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eraeuropaeu.sharepoint.com/sites/NIB/Accidentinvestigations/"/>
    </mc:Choice>
  </mc:AlternateContent>
  <xr:revisionPtr revIDLastSave="18200" documentId="14_{AE3D6012-31D3-4D58-9BB7-C3A9E235630E}" xr6:coauthVersionLast="47" xr6:coauthVersionMax="47" xr10:uidLastSave="{0AD8D1D6-97B1-4785-954C-34A2D0DBCF16}"/>
  <bookViews>
    <workbookView xWindow="-110" yWindow="-110" windowWidth="19420" windowHeight="11500" tabRatio="603" xr2:uid="{00000000-000D-0000-FFFF-FFFF00000000}"/>
  </bookViews>
  <sheets>
    <sheet name="Investigations" sheetId="1" r:id="rId1"/>
    <sheet name="Safety recommendations" sheetId="2" r:id="rId2"/>
  </sheets>
  <definedNames>
    <definedName name="_xlnm._FilterDatabase" localSheetId="0" hidden="1">Investigations!$A$1:$BL$3999</definedName>
    <definedName name="_xlnm._FilterDatabase" localSheetId="1" hidden="1">'Safety recommendations'!$A$1:$I$8472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69" i="1" l="1"/>
  <c r="C3732" i="1" l="1"/>
  <c r="AD3965" i="1"/>
  <c r="C3878" i="1" l="1"/>
  <c r="C3835" i="1" l="1"/>
  <c r="C3890" i="1"/>
  <c r="C3999" i="1" l="1"/>
  <c r="C3749" i="1" l="1"/>
  <c r="C3998" i="1" l="1"/>
  <c r="C3997" i="1"/>
  <c r="C3840" i="1"/>
  <c r="C3867" i="1"/>
  <c r="C3770" i="1"/>
  <c r="C3838" i="1" l="1"/>
  <c r="C3874" i="1" l="1"/>
  <c r="C3738" i="1" l="1"/>
  <c r="C3996" i="1" l="1"/>
  <c r="C3995" i="1"/>
  <c r="C3994" i="1" l="1"/>
  <c r="C3862" i="1"/>
  <c r="C3863" i="1"/>
  <c r="C3827" i="1"/>
  <c r="C3993" i="1" l="1"/>
  <c r="C3992" i="1" l="1"/>
  <c r="C3991" i="1"/>
  <c r="C3866" i="1" l="1"/>
  <c r="C3798" i="1" l="1"/>
  <c r="C3865" i="1"/>
  <c r="C3844" i="1"/>
  <c r="C3839" i="1"/>
  <c r="C3990" i="1" l="1"/>
  <c r="C3989" i="1"/>
  <c r="C3988" i="1" l="1"/>
  <c r="C3987" i="1" l="1"/>
  <c r="C3751" i="1"/>
  <c r="E3751" i="1"/>
  <c r="G3986" i="1"/>
  <c r="G3985" i="1"/>
  <c r="G3984" i="1"/>
  <c r="G3983" i="1"/>
  <c r="G3982" i="1"/>
  <c r="G3981" i="1"/>
  <c r="G3980" i="1"/>
  <c r="G3979" i="1"/>
  <c r="G3978" i="1"/>
  <c r="G3977" i="1"/>
  <c r="G3976" i="1"/>
  <c r="G3975" i="1"/>
  <c r="G3974" i="1"/>
  <c r="G3973" i="1"/>
  <c r="G3971" i="1"/>
  <c r="G3970" i="1"/>
  <c r="G3972" i="1"/>
  <c r="G3859" i="1"/>
  <c r="C3857" i="1" l="1"/>
  <c r="C3871" i="1" l="1"/>
  <c r="C3986" i="1" l="1"/>
  <c r="C3582" i="1"/>
  <c r="C3834" i="1" l="1"/>
  <c r="C3743" i="1" l="1"/>
  <c r="C3985" i="1" l="1"/>
  <c r="C3984" i="1"/>
  <c r="C3983" i="1" l="1"/>
  <c r="C3982" i="1" l="1"/>
  <c r="C3981" i="1" l="1"/>
  <c r="C3980" i="1" l="1"/>
  <c r="C3979" i="1"/>
  <c r="C3978" i="1" l="1"/>
  <c r="C3223" i="1" l="1"/>
  <c r="C3856" i="1"/>
  <c r="C3843" i="1"/>
  <c r="C3851" i="1" l="1"/>
  <c r="C3977" i="1" l="1"/>
  <c r="C3976" i="1"/>
  <c r="C3975" i="1" l="1"/>
  <c r="C3974" i="1"/>
  <c r="C3973" i="1"/>
  <c r="C3972" i="1" l="1"/>
  <c r="C3971" i="1" l="1"/>
  <c r="C3970" i="1" l="1"/>
  <c r="G3969" i="1"/>
  <c r="G3968" i="1"/>
  <c r="C3968" i="1"/>
  <c r="C3969" i="1"/>
  <c r="B8423" i="2"/>
  <c r="B8424" i="2"/>
  <c r="B8425" i="2"/>
  <c r="B8422" i="2"/>
  <c r="B8421" i="2"/>
  <c r="B8420" i="2"/>
  <c r="B8419" i="2"/>
  <c r="B8418" i="2"/>
  <c r="B8417" i="2"/>
  <c r="B8416" i="2"/>
  <c r="B8415" i="2"/>
  <c r="B8414" i="2"/>
  <c r="B8413" i="2"/>
  <c r="B8412" i="2"/>
  <c r="B8411" i="2"/>
  <c r="G3967" i="1"/>
  <c r="G3966" i="1"/>
  <c r="G3965" i="1"/>
  <c r="C3967" i="1"/>
  <c r="C3966" i="1"/>
  <c r="C3965" i="1"/>
  <c r="B8410" i="2"/>
  <c r="B8409" i="2"/>
  <c r="B8408" i="2"/>
  <c r="B8407" i="2"/>
  <c r="B8406" i="2"/>
  <c r="B8405" i="2"/>
  <c r="G3964" i="1"/>
  <c r="G3963" i="1"/>
  <c r="C3964" i="1"/>
  <c r="C3963" i="1"/>
  <c r="G3962" i="1"/>
  <c r="G3961" i="1"/>
  <c r="C3962" i="1"/>
  <c r="C3961" i="1"/>
  <c r="G3960" i="1"/>
  <c r="C3960" i="1"/>
  <c r="G3958" i="1"/>
  <c r="G3959" i="1"/>
  <c r="B8404" i="2"/>
  <c r="B8403" i="2"/>
  <c r="B8402" i="2"/>
  <c r="B8401" i="2"/>
  <c r="B8400" i="2"/>
  <c r="B8399" i="2"/>
  <c r="B8398" i="2"/>
  <c r="B8397" i="2"/>
  <c r="B8396" i="2"/>
  <c r="C3959" i="1"/>
  <c r="C3958" i="1"/>
  <c r="B8395" i="2"/>
  <c r="B8394" i="2"/>
  <c r="B8393" i="2"/>
  <c r="B8392" i="2"/>
  <c r="B8391" i="2"/>
  <c r="B8390" i="2"/>
  <c r="B8389" i="2"/>
  <c r="B8388" i="2"/>
  <c r="B8387" i="2"/>
  <c r="B8386" i="2"/>
  <c r="B8385" i="2"/>
  <c r="G3957" i="1"/>
  <c r="C3957"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BD6" i="1"/>
  <c r="BD5" i="1"/>
  <c r="BD4" i="1"/>
  <c r="BD3" i="1"/>
  <c r="BD2" i="1"/>
  <c r="G3956" i="1"/>
  <c r="G3955" i="1"/>
  <c r="C3956" i="1"/>
  <c r="C3955" i="1"/>
  <c r="G3954" i="1"/>
  <c r="G3953" i="1"/>
  <c r="C3954" i="1"/>
  <c r="C3953" i="1"/>
  <c r="G3952" i="1"/>
  <c r="C3952" i="1"/>
  <c r="B8384" i="2"/>
  <c r="B8383" i="2"/>
  <c r="B8382" i="2"/>
  <c r="G3951" i="1"/>
  <c r="G3950" i="1"/>
  <c r="C3951" i="1"/>
  <c r="C3950" i="1"/>
  <c r="B8381" i="2"/>
  <c r="B8380" i="2"/>
  <c r="B8379" i="2"/>
  <c r="G3949" i="1"/>
  <c r="C3949" i="1"/>
  <c r="G3948" i="1"/>
  <c r="C3948" i="1"/>
  <c r="B8378" i="2"/>
  <c r="G3947" i="1"/>
  <c r="C3947" i="1"/>
  <c r="B8377" i="2"/>
  <c r="G3946" i="1"/>
  <c r="G3945" i="1"/>
  <c r="C3946" i="1"/>
  <c r="C3945" i="1"/>
  <c r="B8376" i="2"/>
  <c r="B8375" i="2"/>
  <c r="G3944" i="1"/>
  <c r="C3944" i="1"/>
  <c r="G3943" i="1"/>
  <c r="C3943" i="1"/>
  <c r="G3942" i="1"/>
  <c r="G3941" i="1"/>
  <c r="C3942" i="1"/>
  <c r="C3941" i="1"/>
  <c r="G3940" i="1"/>
  <c r="C3940" i="1"/>
  <c r="B8374" i="2"/>
  <c r="B8373" i="2"/>
  <c r="B8372" i="2"/>
  <c r="B8371" i="2"/>
  <c r="G3939" i="1"/>
  <c r="C3939" i="1"/>
  <c r="G3938" i="1"/>
  <c r="C3938" i="1"/>
  <c r="G3937" i="1"/>
  <c r="C3937" i="1"/>
  <c r="G3936" i="1"/>
  <c r="C3936" i="1"/>
  <c r="B8370" i="2"/>
  <c r="G3935" i="1"/>
  <c r="G3934" i="1"/>
  <c r="C3935" i="1"/>
  <c r="C3934" i="1"/>
  <c r="B8369" i="2"/>
  <c r="G3933" i="1"/>
  <c r="C3933" i="1"/>
  <c r="G3932" i="1"/>
  <c r="C3932" i="1"/>
  <c r="B8368" i="2"/>
  <c r="G3780" i="1"/>
  <c r="B8367" i="2"/>
  <c r="B8366" i="2"/>
  <c r="G3931" i="1"/>
  <c r="C3931" i="1"/>
  <c r="B8365" i="2"/>
  <c r="B8364" i="2"/>
  <c r="G3930" i="1"/>
  <c r="C3930" i="1"/>
  <c r="B8363" i="2"/>
  <c r="B8362" i="2"/>
  <c r="G3929" i="1"/>
  <c r="C3929" i="1"/>
  <c r="G3928" i="1"/>
  <c r="C3928" i="1"/>
  <c r="G3927" i="1"/>
  <c r="C3927" i="1"/>
  <c r="G3926" i="1"/>
  <c r="C3926" i="1"/>
  <c r="G3925" i="1"/>
  <c r="C3925" i="1"/>
  <c r="G3924" i="1"/>
  <c r="C3924" i="1"/>
  <c r="G3923" i="1"/>
  <c r="C3923" i="1"/>
  <c r="B8361" i="2"/>
  <c r="B8360" i="2"/>
  <c r="B8359" i="2"/>
  <c r="G3922" i="1"/>
  <c r="G3921" i="1"/>
  <c r="G3920" i="1"/>
  <c r="C3922" i="1"/>
  <c r="C3921" i="1"/>
  <c r="C3920" i="1"/>
  <c r="G3919" i="1"/>
  <c r="C3919" i="1"/>
  <c r="G3918" i="1"/>
  <c r="C3918" i="1"/>
  <c r="G3917" i="1"/>
  <c r="G3916" i="1"/>
  <c r="G3915" i="1"/>
  <c r="G3914" i="1"/>
  <c r="C3917" i="1"/>
  <c r="C3916" i="1"/>
  <c r="C3915" i="1"/>
  <c r="C3914" i="1"/>
  <c r="G3912" i="1"/>
  <c r="G3913" i="1"/>
  <c r="G3911" i="1"/>
  <c r="C3913" i="1"/>
  <c r="C3912" i="1"/>
  <c r="C3911" i="1"/>
  <c r="B8358" i="2"/>
  <c r="B8357" i="2"/>
  <c r="B8356" i="2"/>
  <c r="B8355" i="2"/>
  <c r="B8354" i="2"/>
  <c r="B8353" i="2"/>
  <c r="B8352" i="2"/>
  <c r="B8351" i="2"/>
  <c r="B8350" i="2"/>
  <c r="B8349" i="2"/>
  <c r="B8348" i="2"/>
  <c r="B8347" i="2"/>
  <c r="B8346" i="2"/>
  <c r="G3910" i="1"/>
  <c r="C3910" i="1"/>
  <c r="G3909" i="1"/>
  <c r="C3909" i="1"/>
  <c r="G3908" i="1"/>
  <c r="C3908" i="1"/>
  <c r="G3907" i="1"/>
  <c r="C3907" i="1"/>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G3906" i="1"/>
  <c r="C3906" i="1"/>
  <c r="G3905" i="1"/>
  <c r="C3905" i="1"/>
  <c r="B8321" i="2"/>
  <c r="B8320" i="2"/>
  <c r="B8319" i="2"/>
  <c r="B8318" i="2"/>
  <c r="G3904" i="1"/>
  <c r="C3904" i="1"/>
  <c r="B8317" i="2"/>
  <c r="B8316" i="2"/>
  <c r="B8315" i="2"/>
  <c r="B8314" i="2"/>
  <c r="G3903" i="1"/>
  <c r="C3903" i="1"/>
  <c r="G3902" i="1"/>
  <c r="G3901" i="1"/>
  <c r="C3902" i="1"/>
  <c r="C3901" i="1"/>
  <c r="B8313" i="2"/>
  <c r="B8312" i="2"/>
  <c r="B8311" i="2"/>
  <c r="B8310" i="2"/>
  <c r="B8309" i="2"/>
  <c r="B8308" i="2"/>
  <c r="B8307" i="2"/>
  <c r="AM3297" i="1"/>
  <c r="B8306" i="2"/>
  <c r="B8305" i="2"/>
  <c r="B8304" i="2"/>
  <c r="B8303" i="2"/>
  <c r="B8302" i="2"/>
  <c r="B8301" i="2"/>
  <c r="B8300" i="2"/>
  <c r="B8299" i="2"/>
  <c r="G3900" i="1"/>
  <c r="C3900" i="1"/>
  <c r="G3899" i="1"/>
  <c r="C3899" i="1"/>
  <c r="G3898" i="1"/>
  <c r="C3898" i="1"/>
  <c r="B8298" i="2"/>
  <c r="B8297" i="2"/>
  <c r="B8296" i="2"/>
  <c r="B8295" i="2"/>
  <c r="G3897" i="1"/>
  <c r="G3896" i="1"/>
  <c r="C3897" i="1"/>
  <c r="C3896" i="1"/>
  <c r="G3895" i="1"/>
  <c r="C3895" i="1"/>
  <c r="G3894" i="1"/>
  <c r="C3894" i="1"/>
  <c r="B8294" i="2"/>
  <c r="B8293" i="2"/>
  <c r="G3893" i="1"/>
  <c r="C3893" i="1"/>
  <c r="G3892" i="1"/>
  <c r="B8292" i="2"/>
  <c r="B8291" i="2"/>
  <c r="B8290" i="2"/>
  <c r="G3891" i="1"/>
  <c r="C3892" i="1"/>
  <c r="C3891" i="1"/>
  <c r="G3890" i="1"/>
  <c r="G3889" i="1"/>
  <c r="C3889" i="1"/>
  <c r="G3888" i="1"/>
  <c r="C3888" i="1"/>
  <c r="G3887" i="1"/>
  <c r="C3887" i="1"/>
  <c r="B8289" i="2"/>
  <c r="B8288" i="2"/>
  <c r="B8287" i="2"/>
  <c r="G3886" i="1"/>
  <c r="C3886" i="1"/>
  <c r="G3720" i="1"/>
  <c r="G3885" i="1"/>
  <c r="C3885" i="1"/>
  <c r="B8286" i="2"/>
  <c r="B8285" i="2"/>
  <c r="G3884" i="1"/>
  <c r="C3884" i="1"/>
  <c r="B8284" i="2"/>
  <c r="G3883" i="1"/>
  <c r="C3883" i="1"/>
  <c r="B8283" i="2"/>
  <c r="B8282" i="2"/>
  <c r="B8281" i="2"/>
  <c r="G3882" i="1"/>
  <c r="C3882" i="1"/>
  <c r="G3881" i="1"/>
  <c r="C3881" i="1"/>
  <c r="B8280" i="2"/>
  <c r="B8279" i="2"/>
  <c r="B8278" i="2"/>
  <c r="B8277" i="2"/>
  <c r="B8276" i="2"/>
  <c r="B8275" i="2"/>
  <c r="B8274" i="2"/>
  <c r="B8273" i="2"/>
  <c r="G3880" i="1"/>
  <c r="C3880" i="1"/>
  <c r="G3879" i="1"/>
  <c r="C3879" i="1"/>
  <c r="B8272" i="2"/>
  <c r="B8271" i="2"/>
  <c r="B8270" i="2"/>
  <c r="B8269" i="2"/>
  <c r="B8268" i="2"/>
  <c r="B8267" i="2"/>
  <c r="G3878" i="1"/>
  <c r="G3877" i="1"/>
  <c r="C3877" i="1"/>
  <c r="B8266" i="2"/>
  <c r="G3876" i="1"/>
  <c r="C3876" i="1"/>
  <c r="B8265" i="2"/>
  <c r="B8264" i="2"/>
  <c r="G3875" i="1"/>
  <c r="C3875" i="1"/>
  <c r="B8263" i="2"/>
  <c r="G3874" i="1"/>
  <c r="B8262" i="2"/>
  <c r="B8261" i="2"/>
  <c r="B8260" i="2"/>
  <c r="G3873" i="1"/>
  <c r="C3873" i="1"/>
  <c r="B8259" i="2"/>
  <c r="B8258" i="2"/>
  <c r="B8257" i="2"/>
  <c r="B8256" i="2"/>
  <c r="G3872" i="1"/>
  <c r="C3872" i="1"/>
  <c r="G3871" i="1"/>
  <c r="G3870" i="1"/>
  <c r="C3870" i="1"/>
  <c r="B8255" i="2"/>
  <c r="B8254" i="2"/>
  <c r="G3869" i="1"/>
  <c r="B8253" i="2"/>
  <c r="B8252" i="2"/>
  <c r="G3868" i="1"/>
  <c r="C3868" i="1"/>
  <c r="B8251" i="2"/>
  <c r="B8250" i="2"/>
  <c r="B8249" i="2"/>
  <c r="B8248" i="2"/>
  <c r="G3867" i="1"/>
  <c r="B8247" i="2"/>
  <c r="B8246" i="2"/>
  <c r="B8245" i="2"/>
  <c r="B8244" i="2"/>
  <c r="B8243" i="2"/>
  <c r="G3866" i="1"/>
  <c r="G3865" i="1"/>
  <c r="G3864" i="1"/>
  <c r="C3864" i="1"/>
  <c r="G3863" i="1"/>
  <c r="G3862" i="1"/>
  <c r="G3861" i="1"/>
  <c r="C3861" i="1"/>
  <c r="G3860" i="1"/>
  <c r="C3860" i="1"/>
  <c r="B8242" i="2"/>
  <c r="B8241" i="2"/>
  <c r="B8240" i="2"/>
  <c r="B8239" i="2"/>
  <c r="B8238" i="2"/>
  <c r="B8237" i="2"/>
  <c r="G3857" i="1"/>
  <c r="G3858" i="1"/>
  <c r="C3859" i="1"/>
  <c r="C3858" i="1"/>
  <c r="B8236" i="2"/>
  <c r="B8235" i="2"/>
  <c r="B8234" i="2"/>
  <c r="B8233" i="2"/>
  <c r="B8232" i="2"/>
  <c r="B8231" i="2"/>
  <c r="B8230" i="2"/>
  <c r="B8229" i="2"/>
  <c r="B8228" i="2"/>
  <c r="B8227" i="2"/>
  <c r="G3856" i="1"/>
  <c r="G3855" i="1"/>
  <c r="C3855" i="1"/>
  <c r="G3854" i="1"/>
  <c r="C3854" i="1"/>
  <c r="G3853" i="1"/>
  <c r="C3853" i="1"/>
  <c r="G3852" i="1"/>
  <c r="C3852" i="1"/>
  <c r="B8226" i="2"/>
  <c r="B8225" i="2"/>
  <c r="B8224" i="2"/>
  <c r="B8223" i="2"/>
  <c r="G3851" i="1"/>
  <c r="B8222" i="2"/>
  <c r="B8221" i="2"/>
  <c r="B8220" i="2"/>
  <c r="B8219" i="2"/>
  <c r="B8218" i="2"/>
  <c r="B8217" i="2"/>
  <c r="B8216" i="2"/>
  <c r="B8215" i="2"/>
  <c r="B8214" i="2"/>
  <c r="B8213" i="2"/>
  <c r="B8212" i="2"/>
  <c r="B8211" i="2"/>
  <c r="B8210" i="2"/>
  <c r="B8209" i="2"/>
  <c r="B8208" i="2"/>
  <c r="B8207" i="2"/>
  <c r="B8206" i="2"/>
  <c r="B8205" i="2"/>
  <c r="B8204" i="2"/>
  <c r="B8203" i="2"/>
  <c r="G3850" i="1"/>
  <c r="C3850" i="1"/>
  <c r="G3849" i="1"/>
  <c r="C3849" i="1"/>
  <c r="B8202" i="2"/>
  <c r="B8201" i="2"/>
  <c r="B8200" i="2"/>
  <c r="B8199" i="2"/>
  <c r="G3848" i="1"/>
  <c r="C3848" i="1"/>
  <c r="G3847" i="1"/>
  <c r="C3847" i="1"/>
  <c r="B8198" i="2"/>
  <c r="B8197" i="2"/>
  <c r="G3846" i="1"/>
  <c r="C3846" i="1"/>
  <c r="G3845" i="1"/>
  <c r="C3845" i="1"/>
  <c r="G3844" i="1"/>
  <c r="B8196" i="2"/>
  <c r="B8193" i="2"/>
  <c r="B8194" i="2"/>
  <c r="B8195" i="2"/>
  <c r="G3843" i="1" l="1"/>
  <c r="G3842" i="1" l="1"/>
  <c r="C3842" i="1"/>
  <c r="B8188" i="2" l="1"/>
  <c r="B8189" i="2"/>
  <c r="B8190" i="2"/>
  <c r="B8191" i="2"/>
  <c r="B8192" i="2"/>
  <c r="G3841" i="1"/>
  <c r="C3841" i="1"/>
  <c r="G3840" i="1" l="1"/>
  <c r="B8182" i="2" l="1"/>
  <c r="B8183" i="2"/>
  <c r="B8184" i="2"/>
  <c r="B8185" i="2"/>
  <c r="B8186" i="2"/>
  <c r="B8187" i="2"/>
  <c r="G3839" i="1" l="1"/>
  <c r="G3838" i="1" l="1"/>
  <c r="G3837" i="1" l="1"/>
  <c r="C3837" i="1"/>
  <c r="G3836" i="1"/>
  <c r="C3836" i="1"/>
  <c r="G3835" i="1"/>
  <c r="G3834" i="1" l="1"/>
  <c r="B8181" i="2" l="1"/>
  <c r="B8180" i="2" l="1"/>
  <c r="B8179" i="2" l="1"/>
  <c r="B8177" i="2" l="1"/>
  <c r="B8178" i="2"/>
  <c r="G3833" i="1" l="1"/>
  <c r="C3833" i="1" l="1"/>
  <c r="G3832" i="1" l="1"/>
  <c r="C3832" i="1"/>
  <c r="B8176" i="2" l="1"/>
  <c r="B8174" i="2" l="1"/>
  <c r="B8175" i="2"/>
  <c r="G3831" i="1" l="1"/>
  <c r="C3831" i="1"/>
  <c r="G3830" i="1"/>
  <c r="C3830" i="1"/>
  <c r="G3829" i="1" l="1"/>
  <c r="C3829" i="1"/>
  <c r="G3828" i="1" l="1"/>
  <c r="C3828" i="1"/>
  <c r="B8173" i="2" l="1"/>
  <c r="G3827" i="1"/>
  <c r="G3826" i="1" l="1"/>
  <c r="C3826" i="1"/>
  <c r="G3825" i="1" l="1"/>
  <c r="C3825" i="1"/>
  <c r="B8166" i="2" l="1"/>
  <c r="B8167" i="2"/>
  <c r="B8168" i="2"/>
  <c r="B8169" i="2"/>
  <c r="B8170" i="2"/>
  <c r="B8171" i="2"/>
  <c r="B8172" i="2"/>
  <c r="G3824" i="1" l="1"/>
  <c r="C3824" i="1"/>
  <c r="G3823" i="1" l="1"/>
  <c r="C3823" i="1" l="1"/>
  <c r="G3822" i="1" l="1"/>
  <c r="C3822" i="1"/>
  <c r="B8164" i="2" l="1"/>
  <c r="B8165" i="2"/>
  <c r="G3821" i="1" l="1"/>
  <c r="G3820" i="1" l="1"/>
  <c r="G3819" i="1" l="1"/>
  <c r="C3820" i="1"/>
  <c r="C3821" i="1"/>
  <c r="C3819" i="1"/>
  <c r="G3818" i="1" l="1"/>
  <c r="C3818" i="1"/>
  <c r="G3817" i="1" l="1"/>
  <c r="C3817" i="1" l="1"/>
  <c r="G3816" i="1"/>
  <c r="C3816" i="1"/>
  <c r="B8163" i="2" l="1"/>
  <c r="B8162" i="2" l="1"/>
  <c r="B8157" i="2" l="1"/>
  <c r="B8158" i="2"/>
  <c r="B8159" i="2"/>
  <c r="B8160" i="2"/>
  <c r="B8161" i="2"/>
  <c r="G3815" i="1" l="1"/>
  <c r="C3815" i="1"/>
  <c r="G3814" i="1" l="1"/>
  <c r="C3814" i="1"/>
  <c r="G3813" i="1" l="1"/>
  <c r="C3813" i="1"/>
  <c r="G3812" i="1" l="1"/>
  <c r="C3812" i="1"/>
  <c r="G3811" i="1" l="1"/>
  <c r="C3811" i="1"/>
  <c r="G3810" i="1" l="1"/>
  <c r="C3810" i="1"/>
  <c r="G3809" i="1" l="1"/>
  <c r="C3809" i="1" l="1"/>
  <c r="G3808" i="1"/>
  <c r="C3808" i="1"/>
  <c r="B8156" i="2" l="1"/>
  <c r="B8155" i="2"/>
  <c r="G3807" i="1"/>
  <c r="C3807" i="1" l="1"/>
  <c r="B8153" i="2"/>
  <c r="B8154" i="2"/>
  <c r="B8144" i="2"/>
  <c r="B8145" i="2"/>
  <c r="B8146" i="2"/>
  <c r="B8147" i="2"/>
  <c r="B8148" i="2"/>
  <c r="B8149" i="2"/>
  <c r="B8150" i="2"/>
  <c r="B8151" i="2"/>
  <c r="B8152" i="2"/>
  <c r="G3806" i="1" l="1"/>
  <c r="C3806" i="1"/>
  <c r="B8139" i="2"/>
  <c r="B8140" i="2"/>
  <c r="B8141" i="2"/>
  <c r="B8142" i="2"/>
  <c r="B8143" i="2"/>
  <c r="G3805" i="1" l="1"/>
  <c r="C3805" i="1"/>
  <c r="G3804" i="1"/>
  <c r="C3804" i="1"/>
  <c r="B8137" i="2" l="1"/>
  <c r="B8138" i="2"/>
  <c r="G3803" i="1"/>
  <c r="C3803" i="1"/>
  <c r="B8135" i="2"/>
  <c r="B8136" i="2"/>
  <c r="B8132" i="2" l="1"/>
  <c r="B8133" i="2"/>
  <c r="B8134" i="2"/>
  <c r="G3802" i="1" l="1"/>
  <c r="C3802" i="1"/>
  <c r="G3801" i="1" l="1"/>
  <c r="C3801" i="1"/>
  <c r="G3800" i="1" l="1"/>
  <c r="C3800" i="1" l="1"/>
  <c r="B8129" i="2"/>
  <c r="B8130" i="2"/>
  <c r="B8131" i="2"/>
  <c r="B8128" i="2" l="1"/>
  <c r="B8126" i="2" l="1"/>
  <c r="B8127" i="2"/>
  <c r="G3799" i="1" l="1"/>
  <c r="C3799" i="1"/>
  <c r="G3798" i="1"/>
  <c r="B8124" i="2" l="1"/>
  <c r="B8125" i="2"/>
  <c r="G3797" i="1"/>
  <c r="C3797" i="1" l="1"/>
  <c r="B8123" i="2"/>
  <c r="B8122" i="2"/>
  <c r="G3796" i="1" l="1"/>
  <c r="C3796" i="1"/>
  <c r="G3795" i="1" l="1"/>
  <c r="C3795" i="1"/>
  <c r="G3794" i="1" l="1"/>
  <c r="C3794" i="1" l="1"/>
  <c r="G3793" i="1"/>
  <c r="C3793" i="1" l="1"/>
  <c r="G3792" i="1"/>
  <c r="G3791" i="1" l="1"/>
  <c r="C3791" i="1"/>
  <c r="C3792" i="1"/>
  <c r="G3790" i="1" l="1"/>
  <c r="C3790" i="1"/>
  <c r="B8121" i="2"/>
  <c r="G3789" i="1"/>
  <c r="C3789" i="1"/>
  <c r="G3788" i="1" l="1"/>
  <c r="C3788" i="1"/>
  <c r="G3787" i="1" l="1"/>
  <c r="C3787" i="1"/>
  <c r="B8120" i="2" l="1"/>
  <c r="B8114" i="2" l="1"/>
  <c r="B8115" i="2"/>
  <c r="B8116" i="2"/>
  <c r="B8117" i="2"/>
  <c r="B8118" i="2"/>
  <c r="B8119" i="2"/>
  <c r="G3786" i="1" l="1"/>
  <c r="C3786" i="1"/>
  <c r="G3785" i="1" l="1"/>
  <c r="G3784" i="1" l="1"/>
  <c r="G3783" i="1" l="1"/>
  <c r="C3783" i="1"/>
  <c r="C3784" i="1"/>
  <c r="C3785" i="1"/>
  <c r="B8109" i="2" l="1"/>
  <c r="B8110" i="2"/>
  <c r="B8111" i="2"/>
  <c r="B8112" i="2"/>
  <c r="B8113" i="2"/>
  <c r="G3782" i="1" l="1"/>
  <c r="G3781" i="1" l="1"/>
  <c r="C3782" i="1"/>
  <c r="C3781" i="1"/>
  <c r="B8108" i="2"/>
  <c r="B8102" i="2"/>
  <c r="B8103" i="2"/>
  <c r="B8104" i="2"/>
  <c r="B8105" i="2"/>
  <c r="B8106" i="2"/>
  <c r="B8107" i="2"/>
  <c r="C3780" i="1" l="1"/>
  <c r="G3779" i="1" l="1"/>
  <c r="C3779" i="1" l="1"/>
  <c r="G3778" i="1" l="1"/>
  <c r="C3778" i="1" l="1"/>
  <c r="B8098" i="2" l="1"/>
  <c r="B8099" i="2"/>
  <c r="B8100" i="2"/>
  <c r="B8101" i="2"/>
  <c r="G3777" i="1" l="1"/>
  <c r="C3777" i="1"/>
  <c r="B8097" i="2"/>
  <c r="B8096" i="2"/>
  <c r="G3776" i="1"/>
  <c r="C3776" i="1"/>
  <c r="G3775" i="1"/>
  <c r="C3775" i="1" l="1"/>
  <c r="B8095" i="2"/>
  <c r="G3774" i="1" l="1"/>
  <c r="C3774" i="1" l="1"/>
  <c r="G3773" i="1"/>
  <c r="C3773" i="1"/>
  <c r="G3772" i="1" l="1"/>
  <c r="C3772" i="1"/>
  <c r="G3771" i="1" l="1"/>
  <c r="C3771" i="1"/>
  <c r="G3770" i="1"/>
  <c r="B8094" i="2" l="1"/>
  <c r="G3769" i="1"/>
  <c r="C3769" i="1"/>
  <c r="G3768" i="1" l="1"/>
  <c r="C3768" i="1"/>
  <c r="G3767" i="1" l="1"/>
  <c r="C3767" i="1"/>
  <c r="G3766" i="1" l="1"/>
  <c r="C3766" i="1"/>
  <c r="G3765" i="1"/>
  <c r="C3765" i="1"/>
  <c r="G3764" i="1" l="1"/>
  <c r="C3764" i="1"/>
  <c r="B8091" i="2" l="1"/>
  <c r="B8092" i="2"/>
  <c r="B8093" i="2"/>
  <c r="B8087" i="2" l="1"/>
  <c r="B8088" i="2"/>
  <c r="B8089" i="2"/>
  <c r="B8090" i="2"/>
  <c r="G3763" i="1" l="1"/>
  <c r="C3763" i="1"/>
  <c r="B8086" i="2" l="1"/>
  <c r="B8083" i="2" l="1"/>
  <c r="B8084" i="2"/>
  <c r="B8085" i="2"/>
  <c r="B8081" i="2"/>
  <c r="B8082" i="2"/>
  <c r="G3762" i="1"/>
  <c r="C3762" i="1"/>
  <c r="G3761" i="1"/>
  <c r="C3761" i="1" l="1"/>
  <c r="G3760" i="1" l="1"/>
  <c r="C3760" i="1" l="1"/>
  <c r="B8079" i="2"/>
  <c r="B8080" i="2"/>
  <c r="AH3297" i="1" l="1"/>
  <c r="G3759" i="1" l="1"/>
  <c r="C3759" i="1"/>
  <c r="G3758" i="1"/>
  <c r="C3758" i="1"/>
  <c r="B8072" i="2" l="1"/>
  <c r="B8073" i="2"/>
  <c r="B8074" i="2"/>
  <c r="B8075" i="2"/>
  <c r="B8076" i="2"/>
  <c r="B8077" i="2"/>
  <c r="B8078" i="2"/>
  <c r="B8071" i="2" l="1"/>
  <c r="C3757" i="1"/>
  <c r="G3757" i="1" l="1"/>
  <c r="B8065" i="2"/>
  <c r="B8066" i="2"/>
  <c r="B8067" i="2"/>
  <c r="B8068" i="2"/>
  <c r="B8069" i="2"/>
  <c r="B8070" i="2"/>
  <c r="G3756" i="1" l="1"/>
  <c r="C3756" i="1" l="1"/>
  <c r="G3755" i="1"/>
  <c r="C3755" i="1"/>
  <c r="G3754" i="1" l="1"/>
  <c r="C3754" i="1"/>
  <c r="G3753" i="1"/>
  <c r="C3753" i="1"/>
  <c r="G3752" i="1" l="1"/>
  <c r="C3752" i="1"/>
  <c r="B8062" i="2" l="1"/>
  <c r="B8063" i="2"/>
  <c r="B8064" i="2"/>
  <c r="B8061" i="2" l="1"/>
  <c r="B8060" i="2" l="1"/>
  <c r="B8059" i="2" l="1"/>
  <c r="G3751" i="1"/>
  <c r="G3750" i="1" l="1"/>
  <c r="C3750" i="1"/>
  <c r="B8057" i="2"/>
  <c r="B8058" i="2"/>
  <c r="B8056" i="2" l="1"/>
  <c r="B8055" i="2" l="1"/>
  <c r="B8054" i="2" l="1"/>
  <c r="G3749" i="1" l="1"/>
  <c r="G3748" i="1" l="1"/>
  <c r="C3748" i="1"/>
  <c r="G3747" i="1"/>
  <c r="C3747" i="1"/>
  <c r="B8049" i="2" l="1"/>
  <c r="B8050" i="2"/>
  <c r="B8051" i="2"/>
  <c r="B8052" i="2"/>
  <c r="B8053" i="2"/>
  <c r="G3744" i="1" l="1"/>
  <c r="C3744" i="1"/>
  <c r="G3743" i="1" l="1"/>
  <c r="G3746" i="1" l="1"/>
  <c r="C3746" i="1"/>
  <c r="B8047" i="2"/>
  <c r="B8048" i="2"/>
  <c r="G3745" i="1" l="1"/>
  <c r="C3745" i="1"/>
  <c r="B8045" i="2" l="1"/>
  <c r="B8046" i="2"/>
  <c r="B8044" i="2" l="1"/>
  <c r="B8042" i="2" l="1"/>
  <c r="B8043" i="2"/>
  <c r="G3742" i="1" l="1"/>
  <c r="C3742" i="1"/>
  <c r="G3741" i="1"/>
  <c r="C3741" i="1"/>
  <c r="B8041" i="2" l="1"/>
  <c r="G3609" i="1"/>
  <c r="C3609" i="1"/>
  <c r="G3740" i="1" l="1"/>
  <c r="C3740" i="1"/>
  <c r="G3624" i="1" l="1"/>
  <c r="G3738" i="1"/>
  <c r="B8040" i="2" l="1"/>
  <c r="G3722" i="1" l="1"/>
  <c r="C3722" i="1" l="1"/>
  <c r="B8035" i="2" l="1"/>
  <c r="B8036" i="2"/>
  <c r="B8037" i="2"/>
  <c r="B8038" i="2"/>
  <c r="B8039" i="2"/>
  <c r="B8034" i="2" l="1"/>
  <c r="G3737" i="1" l="1"/>
  <c r="C3737" i="1" l="1"/>
  <c r="B8031" i="2" l="1"/>
  <c r="B8032" i="2"/>
  <c r="B8033" i="2"/>
  <c r="B8024" i="2"/>
  <c r="B8025" i="2"/>
  <c r="B8026" i="2"/>
  <c r="B8027" i="2"/>
  <c r="B8028" i="2"/>
  <c r="B8029" i="2"/>
  <c r="B8030" i="2"/>
  <c r="G3739" i="1" l="1"/>
  <c r="C3739" i="1"/>
  <c r="G3733" i="1"/>
  <c r="C3733" i="1"/>
  <c r="B8023" i="2" l="1"/>
  <c r="B8022" i="2" l="1"/>
  <c r="G3735" i="1" l="1"/>
  <c r="C3735" i="1" l="1"/>
  <c r="G3736" i="1"/>
  <c r="C3736" i="1"/>
  <c r="G3734" i="1" l="1"/>
  <c r="C3734" i="1"/>
  <c r="G3710" i="1" l="1"/>
  <c r="C3710" i="1" l="1"/>
  <c r="G3719" i="1"/>
  <c r="C3719" i="1" l="1"/>
  <c r="B8014" i="2" l="1"/>
  <c r="B8015" i="2"/>
  <c r="B8016" i="2"/>
  <c r="B8017" i="2"/>
  <c r="B8018" i="2"/>
  <c r="B8019" i="2"/>
  <c r="B8020" i="2"/>
  <c r="B8021" i="2"/>
  <c r="G3708" i="1" l="1"/>
  <c r="C3708" i="1" l="1"/>
  <c r="G3718" i="1"/>
  <c r="C3718" i="1" l="1"/>
  <c r="B8012" i="2"/>
  <c r="B8013" i="2"/>
  <c r="B8011" i="2" l="1"/>
  <c r="G3732" i="1"/>
  <c r="G3599" i="1"/>
  <c r="B8006" i="2"/>
  <c r="B8007" i="2"/>
  <c r="B8008" i="2"/>
  <c r="B8009" i="2"/>
  <c r="B8010" i="2"/>
  <c r="G3728" i="1" l="1"/>
  <c r="C3728" i="1"/>
  <c r="G3727" i="1"/>
  <c r="C3727" i="1"/>
  <c r="G3731" i="1" l="1"/>
  <c r="C3731" i="1"/>
  <c r="G3730" i="1" l="1"/>
  <c r="C3730" i="1"/>
  <c r="G3203" i="1"/>
  <c r="B8001" i="2" l="1"/>
  <c r="B8002" i="2"/>
  <c r="B8003" i="2"/>
  <c r="B8004" i="2"/>
  <c r="B8005" i="2"/>
  <c r="G3729" i="1" l="1"/>
  <c r="C3729" i="1" l="1"/>
  <c r="B7999" i="2"/>
  <c r="B8000" i="2"/>
  <c r="G3726" i="1" l="1"/>
  <c r="C3726" i="1"/>
  <c r="B7998" i="2" l="1"/>
  <c r="B7997" i="2" l="1"/>
  <c r="G3711" i="1" l="1"/>
  <c r="C3711" i="1"/>
  <c r="G3696" i="1" l="1"/>
  <c r="C3696" i="1"/>
  <c r="C3725" i="1" l="1"/>
  <c r="G3725" i="1"/>
  <c r="G3724" i="1" l="1"/>
  <c r="C3724" i="1"/>
  <c r="G3674" i="1" l="1"/>
  <c r="C3674" i="1"/>
  <c r="B7994" i="2" l="1"/>
  <c r="B7995" i="2"/>
  <c r="B7996" i="2"/>
  <c r="B7993" i="2" l="1"/>
  <c r="G3694" i="1"/>
  <c r="G3693" i="1" l="1"/>
  <c r="C3693" i="1"/>
  <c r="C3694" i="1"/>
  <c r="G3704" i="1" l="1"/>
  <c r="C3704" i="1"/>
  <c r="G3667" i="1" l="1"/>
  <c r="C3667" i="1"/>
  <c r="G3723" i="1" l="1"/>
  <c r="C3723" i="1"/>
  <c r="B7985" i="2" l="1"/>
  <c r="B7986" i="2"/>
  <c r="B7987" i="2"/>
  <c r="B7988" i="2"/>
  <c r="B7989" i="2"/>
  <c r="B7990" i="2"/>
  <c r="B7991" i="2"/>
  <c r="B7992" i="2"/>
  <c r="G3721" i="1" l="1"/>
  <c r="C3721" i="1"/>
  <c r="C3720" i="1" l="1"/>
  <c r="B7984" i="2"/>
  <c r="G3717" i="1"/>
  <c r="C3717" i="1"/>
  <c r="G3716" i="1"/>
  <c r="C3716" i="1"/>
  <c r="B7981" i="2" l="1"/>
  <c r="B7982" i="2"/>
  <c r="B7983" i="2"/>
  <c r="B7980" i="2" l="1"/>
  <c r="G3713" i="1" l="1"/>
  <c r="G3712" i="1" l="1"/>
  <c r="C3712" i="1"/>
  <c r="C3713" i="1"/>
  <c r="G3715" i="1" l="1"/>
  <c r="C3715" i="1"/>
  <c r="G3695" i="1" l="1"/>
  <c r="C3695" i="1"/>
  <c r="G3714" i="1" l="1"/>
  <c r="C3714" i="1"/>
  <c r="G3707" i="1" l="1"/>
  <c r="C3707" i="1"/>
  <c r="B7976" i="2" l="1"/>
  <c r="B7977" i="2"/>
  <c r="B7978" i="2"/>
  <c r="B7979" i="2"/>
  <c r="B7971" i="2" l="1"/>
  <c r="B7972" i="2"/>
  <c r="B7973" i="2"/>
  <c r="B7974" i="2"/>
  <c r="B7975" i="2"/>
  <c r="G3705" i="1" l="1"/>
  <c r="C3705" i="1" l="1"/>
  <c r="G3706" i="1"/>
  <c r="C3706" i="1"/>
  <c r="B7969" i="2" l="1"/>
  <c r="B7970" i="2"/>
  <c r="B7964" i="2" l="1"/>
  <c r="B7965" i="2"/>
  <c r="B7966" i="2"/>
  <c r="B7967" i="2"/>
  <c r="B7968" i="2"/>
  <c r="AM3237" i="1" l="1"/>
  <c r="G3709" i="1"/>
  <c r="C3709" i="1" l="1"/>
  <c r="G3703" i="1"/>
  <c r="C3703" i="1"/>
  <c r="G3702" i="1" l="1"/>
  <c r="C3702" i="1"/>
  <c r="G3699" i="1" l="1"/>
  <c r="G3701" i="1" l="1"/>
  <c r="C3701" i="1"/>
  <c r="C3699" i="1"/>
  <c r="G3698" i="1" l="1"/>
  <c r="C3698" i="1"/>
  <c r="G3700" i="1" l="1"/>
  <c r="C3700" i="1" l="1"/>
  <c r="G3631" i="1"/>
  <c r="C3631" i="1"/>
  <c r="B7961" i="2" l="1"/>
  <c r="B7962" i="2"/>
  <c r="B7963" i="2"/>
  <c r="G3697" i="1"/>
  <c r="C3697" i="1" l="1"/>
  <c r="G3691" i="1"/>
  <c r="C3691" i="1"/>
  <c r="G3670" i="1" l="1"/>
  <c r="C3670" i="1"/>
  <c r="G3692" i="1"/>
  <c r="C3692" i="1"/>
  <c r="G3690" i="1" l="1"/>
  <c r="C3690" i="1"/>
  <c r="G3689" i="1" l="1"/>
  <c r="C3689" i="1"/>
  <c r="G3688" i="1"/>
  <c r="C3688" i="1"/>
  <c r="G3685" i="1" l="1"/>
  <c r="C3685" i="1"/>
  <c r="G3687" i="1" l="1"/>
  <c r="G3686" i="1"/>
  <c r="C3687" i="1"/>
  <c r="C3686" i="1" l="1"/>
  <c r="B7960" i="2" l="1"/>
  <c r="G3684" i="1"/>
  <c r="C3684" i="1"/>
  <c r="G3663" i="1" l="1"/>
  <c r="C3663" i="1" l="1"/>
  <c r="G3666" i="1"/>
  <c r="C3666" i="1"/>
  <c r="G3657" i="1" l="1"/>
  <c r="C3657" i="1"/>
  <c r="B7953" i="2" l="1"/>
  <c r="B7954" i="2"/>
  <c r="B7955" i="2"/>
  <c r="B7956" i="2"/>
  <c r="B7957" i="2"/>
  <c r="B7958" i="2"/>
  <c r="B7959" i="2"/>
  <c r="B7947" i="2" l="1"/>
  <c r="B7948" i="2"/>
  <c r="B7949" i="2"/>
  <c r="B7950" i="2"/>
  <c r="B7951" i="2"/>
  <c r="B7952" i="2"/>
  <c r="G3608" i="1" l="1"/>
  <c r="C3608" i="1"/>
  <c r="G3683" i="1"/>
  <c r="C3683" i="1"/>
  <c r="B7946" i="2"/>
  <c r="G3548" i="1"/>
  <c r="G3681" i="1" l="1"/>
  <c r="C3681" i="1"/>
  <c r="G3682" i="1"/>
  <c r="C3682" i="1"/>
  <c r="G3680" i="1"/>
  <c r="C3680" i="1" l="1"/>
  <c r="C3649" i="1"/>
  <c r="B7940" i="2" l="1"/>
  <c r="B7941" i="2"/>
  <c r="B7942" i="2"/>
  <c r="B7943" i="2"/>
  <c r="B7944" i="2"/>
  <c r="B7945" i="2"/>
  <c r="G3673" i="1" l="1"/>
  <c r="G3678" i="1"/>
  <c r="G3679" i="1"/>
  <c r="G3677" i="1"/>
  <c r="G3676" i="1"/>
  <c r="G3675" i="1"/>
  <c r="G3672" i="1"/>
  <c r="G3668" i="1"/>
  <c r="G3671" i="1"/>
  <c r="G3669" i="1"/>
  <c r="C3678" i="1"/>
  <c r="C3679" i="1" l="1"/>
  <c r="C3673" i="1"/>
  <c r="C3677" i="1" l="1"/>
  <c r="B7939" i="2"/>
  <c r="C3676" i="1" l="1"/>
  <c r="B7937" i="2"/>
  <c r="B7938" i="2"/>
  <c r="B7934" i="2"/>
  <c r="B7935" i="2"/>
  <c r="B7936" i="2"/>
  <c r="C3675" i="1" l="1"/>
  <c r="C3672" i="1" l="1"/>
  <c r="C3671" i="1" l="1"/>
  <c r="C3668" i="1"/>
  <c r="C3669" i="1"/>
  <c r="G3664" i="1"/>
  <c r="C3664" i="1"/>
  <c r="B7932" i="2" l="1"/>
  <c r="B7933" i="2"/>
  <c r="G3503" i="1" l="1"/>
  <c r="G3665" i="1"/>
  <c r="C3665" i="1" l="1"/>
  <c r="G3520" i="1"/>
  <c r="B7928" i="2"/>
  <c r="B7929" i="2"/>
  <c r="B7930" i="2"/>
  <c r="B7931" i="2"/>
  <c r="B7926" i="2" l="1"/>
  <c r="B7927" i="2"/>
  <c r="G3662" i="1" l="1"/>
  <c r="C3662" i="1" l="1"/>
  <c r="B7924" i="2"/>
  <c r="B7925" i="2"/>
  <c r="B7922" i="2" l="1"/>
  <c r="B7923" i="2"/>
  <c r="G3661" i="1" l="1"/>
  <c r="C3661" i="1"/>
  <c r="G3658" i="1" l="1"/>
  <c r="C3658" i="1" l="1"/>
  <c r="G3659" i="1"/>
  <c r="C3659" i="1" l="1"/>
  <c r="G3660" i="1"/>
  <c r="C3660" i="1"/>
  <c r="B7921" i="2" l="1"/>
  <c r="B7918" i="2"/>
  <c r="B7919" i="2"/>
  <c r="B7920" i="2"/>
  <c r="B7910" i="2" l="1"/>
  <c r="B7911" i="2"/>
  <c r="B7912" i="2"/>
  <c r="B7913" i="2"/>
  <c r="B7914" i="2"/>
  <c r="B7915" i="2"/>
  <c r="B7916" i="2"/>
  <c r="B7917" i="2"/>
  <c r="G3655" i="1" l="1"/>
  <c r="C3655" i="1"/>
  <c r="B7909" i="2" l="1"/>
  <c r="B7906" i="2" l="1"/>
  <c r="B7907" i="2"/>
  <c r="B7908" i="2"/>
  <c r="G3656" i="1" l="1"/>
  <c r="C3656" i="1"/>
  <c r="B7905" i="2" l="1"/>
  <c r="G3646" i="1"/>
  <c r="C3646" i="1"/>
  <c r="G3645" i="1" l="1"/>
  <c r="C3645" i="1"/>
  <c r="G3654" i="1" l="1"/>
  <c r="C3654" i="1"/>
  <c r="G3653" i="1" l="1"/>
  <c r="C3653" i="1"/>
  <c r="G3647" i="1" l="1"/>
  <c r="C3647" i="1"/>
  <c r="G3652" i="1" l="1"/>
  <c r="C3652" i="1"/>
  <c r="B7904" i="2" l="1"/>
  <c r="G3651" i="1" l="1"/>
  <c r="C3651" i="1"/>
  <c r="B7903" i="2"/>
  <c r="B7898" i="2" l="1"/>
  <c r="B7899" i="2"/>
  <c r="B7900" i="2"/>
  <c r="B7901" i="2"/>
  <c r="B7902" i="2"/>
  <c r="G3649" i="1"/>
  <c r="G3650" i="1" l="1"/>
  <c r="C3650" i="1"/>
  <c r="B7897" i="2" l="1"/>
  <c r="G3638" i="1" l="1"/>
  <c r="C3638" i="1"/>
  <c r="G3648" i="1" l="1"/>
  <c r="C3648" i="1"/>
  <c r="B7896" i="2"/>
  <c r="B7895" i="2"/>
  <c r="B7890" i="2" l="1"/>
  <c r="B7891" i="2"/>
  <c r="B7892" i="2"/>
  <c r="B7893" i="2"/>
  <c r="B7894" i="2"/>
  <c r="G3644" i="1" l="1"/>
  <c r="C3644" i="1"/>
  <c r="G3640" i="1"/>
  <c r="C3640" i="1"/>
  <c r="G3642" i="1" l="1"/>
  <c r="C3642" i="1"/>
  <c r="G3643" i="1" l="1"/>
  <c r="C3643" i="1"/>
  <c r="G3641" i="1" l="1"/>
  <c r="C3641" i="1" l="1"/>
  <c r="B7889" i="2"/>
  <c r="B7887" i="2" l="1"/>
  <c r="B7888" i="2"/>
  <c r="B7884" i="2" l="1"/>
  <c r="B7885" i="2"/>
  <c r="B7886" i="2"/>
  <c r="B7882" i="2" l="1"/>
  <c r="B7883" i="2"/>
  <c r="B7881" i="2"/>
  <c r="B7879" i="2" l="1"/>
  <c r="B7880" i="2"/>
  <c r="B7878" i="2"/>
  <c r="G3639" i="1"/>
  <c r="C3639" i="1"/>
  <c r="G3544" i="1"/>
  <c r="C3544" i="1" l="1"/>
  <c r="G3462" i="1"/>
  <c r="G3637" i="1" l="1"/>
  <c r="C3462" i="1"/>
  <c r="B7875" i="2" l="1"/>
  <c r="B7876" i="2"/>
  <c r="B7877" i="2"/>
  <c r="B7874" i="2" l="1"/>
  <c r="C3637" i="1" l="1"/>
  <c r="B7872" i="2"/>
  <c r="B7873" i="2"/>
  <c r="B7870" i="2" l="1"/>
  <c r="B7871" i="2"/>
  <c r="B7864" i="2" l="1"/>
  <c r="B7865" i="2"/>
  <c r="B7866" i="2"/>
  <c r="B7867" i="2"/>
  <c r="B7868" i="2"/>
  <c r="B7869" i="2"/>
  <c r="G3636" i="1" l="1"/>
  <c r="C3636" i="1" l="1"/>
  <c r="B7862" i="2"/>
  <c r="B7863" i="2"/>
  <c r="B7861" i="2"/>
  <c r="G3632" i="1"/>
  <c r="C3632" i="1" l="1"/>
  <c r="G3628" i="1"/>
  <c r="C3628" i="1" l="1"/>
  <c r="G3635" i="1"/>
  <c r="C3635" i="1"/>
  <c r="G3629" i="1"/>
  <c r="C3629" i="1" l="1"/>
  <c r="G3633" i="1"/>
  <c r="C3633" i="1"/>
  <c r="G3634" i="1"/>
  <c r="C3634" i="1"/>
  <c r="G3469" i="1"/>
  <c r="G3563" i="1" l="1"/>
  <c r="C3563" i="1"/>
  <c r="G3625" i="1"/>
  <c r="C3625" i="1" l="1"/>
  <c r="B7853" i="2"/>
  <c r="B7854" i="2"/>
  <c r="B7855" i="2"/>
  <c r="B7856" i="2"/>
  <c r="B7857" i="2"/>
  <c r="B7858" i="2"/>
  <c r="B7859" i="2"/>
  <c r="B7860" i="2"/>
  <c r="G3630" i="1" l="1"/>
  <c r="C3630" i="1"/>
  <c r="G3626" i="1"/>
  <c r="C3626" i="1" l="1"/>
  <c r="G3627" i="1"/>
  <c r="C3627" i="1" l="1"/>
  <c r="C3624" i="1" l="1"/>
  <c r="G3623" i="1" l="1"/>
  <c r="C3623" i="1"/>
  <c r="B7845" i="2" l="1"/>
  <c r="B7846" i="2"/>
  <c r="B7847" i="2"/>
  <c r="B7848" i="2"/>
  <c r="B7849" i="2"/>
  <c r="B7850" i="2"/>
  <c r="B7851" i="2"/>
  <c r="B7852" i="2"/>
  <c r="AH3280" i="1"/>
  <c r="G3622" i="1" l="1"/>
  <c r="C3622" i="1" l="1"/>
  <c r="B7839" i="2" l="1"/>
  <c r="B7840" i="2"/>
  <c r="B7841" i="2"/>
  <c r="B7842" i="2"/>
  <c r="B7843" i="2"/>
  <c r="B7844" i="2"/>
  <c r="B7838" i="2" l="1"/>
  <c r="B7836" i="2" l="1"/>
  <c r="B7837" i="2"/>
  <c r="G3619" i="1" l="1"/>
  <c r="C3619" i="1" l="1"/>
  <c r="G3602" i="1" l="1"/>
  <c r="G3603" i="1" l="1"/>
  <c r="C3603" i="1" l="1"/>
  <c r="C3602" i="1"/>
  <c r="B7835" i="2"/>
  <c r="G3621" i="1"/>
  <c r="C3621" i="1"/>
  <c r="B7834" i="2" l="1"/>
  <c r="AL3310" i="1" l="1"/>
  <c r="AL3307" i="1"/>
  <c r="AL3285" i="1"/>
  <c r="AH3285" i="1"/>
  <c r="AL3254" i="1"/>
  <c r="AH3254" i="1"/>
  <c r="G3607" i="1" l="1"/>
  <c r="C3607" i="1" l="1"/>
  <c r="G3620" i="1"/>
  <c r="C3620" i="1"/>
  <c r="G3614" i="1" l="1"/>
  <c r="C3614" i="1" l="1"/>
  <c r="B7826" i="2"/>
  <c r="B7827" i="2"/>
  <c r="B7828" i="2"/>
  <c r="B7829" i="2"/>
  <c r="B7830" i="2"/>
  <c r="B7831" i="2"/>
  <c r="B7832" i="2"/>
  <c r="B7833" i="2"/>
  <c r="G3618" i="1" l="1"/>
  <c r="C3618" i="1" l="1"/>
  <c r="B7822" i="2"/>
  <c r="B7823" i="2"/>
  <c r="B7824" i="2"/>
  <c r="B7825" i="2"/>
  <c r="B7821" i="2"/>
  <c r="B7820" i="2" l="1"/>
  <c r="B7814" i="2" l="1"/>
  <c r="B7815" i="2"/>
  <c r="B7816" i="2"/>
  <c r="B7817" i="2"/>
  <c r="B7818" i="2"/>
  <c r="B7819" i="2"/>
  <c r="B7809" i="2"/>
  <c r="B7810" i="2"/>
  <c r="B7811" i="2"/>
  <c r="B7812" i="2"/>
  <c r="B7813" i="2"/>
  <c r="B7808" i="2"/>
  <c r="G3401" i="1"/>
  <c r="C3401" i="1"/>
  <c r="B7801" i="2"/>
  <c r="B7802" i="2"/>
  <c r="B7803" i="2"/>
  <c r="B7804" i="2"/>
  <c r="B7805" i="2"/>
  <c r="B7806" i="2"/>
  <c r="B7807" i="2"/>
  <c r="B7800" i="2"/>
  <c r="B7799" i="2" l="1"/>
  <c r="B7796" i="2" l="1"/>
  <c r="B7797" i="2"/>
  <c r="B7798" i="2"/>
  <c r="B7795" i="2"/>
  <c r="G3617" i="1" l="1"/>
  <c r="C3617" i="1"/>
  <c r="B7794" i="2"/>
  <c r="B7793" i="2"/>
  <c r="B7792" i="2"/>
  <c r="B7791" i="2"/>
  <c r="B7790" i="2"/>
  <c r="B7789" i="2"/>
  <c r="B7788" i="2"/>
  <c r="B7787" i="2"/>
  <c r="G3616" i="1"/>
  <c r="C3616" i="1" l="1"/>
  <c r="B7785" i="2"/>
  <c r="B7786" i="2"/>
  <c r="G3615" i="1" l="1"/>
  <c r="C3615" i="1" l="1"/>
  <c r="G3611" i="1"/>
  <c r="C3611" i="1"/>
  <c r="G3613" i="1" l="1"/>
  <c r="C3613" i="1"/>
  <c r="G3610" i="1" l="1"/>
  <c r="C3610" i="1"/>
  <c r="G3612" i="1" l="1"/>
  <c r="C3612" i="1" l="1"/>
  <c r="G3604" i="1"/>
  <c r="C3604"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0" i="1" l="1"/>
  <c r="C3590" i="1" l="1"/>
  <c r="B7747" i="2"/>
  <c r="B7748" i="2"/>
  <c r="B7749" i="2"/>
  <c r="G3577" i="1" l="1"/>
  <c r="C3577" i="1" l="1"/>
  <c r="B7746" i="2"/>
  <c r="G3606" i="1" l="1"/>
  <c r="C3606" i="1"/>
  <c r="G3593" i="1" l="1"/>
  <c r="C3593" i="1" l="1"/>
  <c r="G3552" i="1"/>
  <c r="C3552" i="1" l="1"/>
  <c r="G3605" i="1"/>
  <c r="C3605" i="1" l="1"/>
  <c r="B7745" i="2"/>
  <c r="G3601" i="1" l="1"/>
  <c r="C3601" i="1" l="1"/>
  <c r="G3596" i="1"/>
  <c r="C3596" i="1" l="1"/>
  <c r="G3600" i="1"/>
  <c r="C3600" i="1"/>
  <c r="G3598" i="1" l="1"/>
  <c r="C3598" i="1"/>
  <c r="B7744" i="2" l="1"/>
  <c r="G3597" i="1"/>
  <c r="C3597" i="1"/>
  <c r="G3364" i="1"/>
  <c r="C3364" i="1"/>
  <c r="B7743" i="2" l="1"/>
  <c r="G3594" i="1" l="1"/>
  <c r="C3594" i="1" l="1"/>
  <c r="G3595" i="1"/>
  <c r="C3595" i="1"/>
  <c r="G3582" i="1"/>
  <c r="G3579" i="1" l="1"/>
  <c r="G3564" i="1" l="1"/>
  <c r="G3553" i="1" l="1"/>
  <c r="C3564" i="1" l="1"/>
  <c r="C3579" i="1"/>
  <c r="C3553" i="1"/>
  <c r="G3592" i="1" l="1"/>
  <c r="C3592" i="1" l="1"/>
  <c r="B7740" i="2"/>
  <c r="B7741" i="2"/>
  <c r="B7742" i="2"/>
  <c r="B7735" i="2" l="1"/>
  <c r="B7736" i="2"/>
  <c r="B7737" i="2"/>
  <c r="B7738" i="2"/>
  <c r="B7739" i="2"/>
  <c r="G3575" i="1" l="1"/>
  <c r="C3575" i="1" l="1"/>
  <c r="G3587" i="1"/>
  <c r="C3587" i="1" l="1"/>
  <c r="G3591" i="1"/>
  <c r="C3591" i="1"/>
  <c r="G3588" i="1" l="1"/>
  <c r="C3588" i="1" l="1"/>
  <c r="G3586" i="1"/>
  <c r="C3586" i="1" l="1"/>
  <c r="G3426" i="1"/>
  <c r="C3426" i="1"/>
  <c r="G3583" i="1" l="1"/>
  <c r="C3583" i="1"/>
  <c r="G3589" i="1" l="1"/>
  <c r="C3589" i="1"/>
  <c r="B7734" i="2" l="1"/>
  <c r="B7733" i="2"/>
  <c r="B7729" i="2"/>
  <c r="B7730" i="2"/>
  <c r="B7731" i="2"/>
  <c r="B7732" i="2"/>
  <c r="B7725" i="2" l="1"/>
  <c r="B7726" i="2"/>
  <c r="B7727" i="2"/>
  <c r="B7728" i="2"/>
  <c r="G3585" i="1" l="1"/>
  <c r="C3585" i="1"/>
  <c r="B7719" i="2"/>
  <c r="B7720" i="2"/>
  <c r="B7721" i="2"/>
  <c r="B7722" i="2"/>
  <c r="B7723" i="2"/>
  <c r="B7724" i="2"/>
  <c r="G3584" i="1" l="1"/>
  <c r="C3584" i="1" l="1"/>
  <c r="G3574" i="1"/>
  <c r="C3574" i="1" l="1"/>
  <c r="G3470" i="1"/>
  <c r="C3470" i="1" l="1"/>
  <c r="B7717" i="2" l="1"/>
  <c r="B7718" i="2"/>
  <c r="G3570" i="1" l="1"/>
  <c r="C3570" i="1" l="1"/>
  <c r="G3536" i="1"/>
  <c r="C3536" i="1" l="1"/>
  <c r="B7716" i="2"/>
  <c r="B7715" i="2" l="1"/>
  <c r="AO3332" i="1"/>
  <c r="AN3332" i="1"/>
  <c r="G3580" i="1" l="1"/>
  <c r="C3580" i="1" l="1"/>
  <c r="G3550" i="1"/>
  <c r="C3550" i="1" l="1"/>
  <c r="G3573" i="1"/>
  <c r="C3573" i="1"/>
  <c r="B7713" i="2" l="1"/>
  <c r="B7714" i="2"/>
  <c r="G3581" i="1"/>
  <c r="C3581" i="1"/>
  <c r="B7709" i="2" l="1"/>
  <c r="B7710" i="2"/>
  <c r="B7711" i="2"/>
  <c r="B7712" i="2"/>
  <c r="B7708" i="2" l="1"/>
  <c r="B7706" i="2" l="1"/>
  <c r="B7707" i="2"/>
  <c r="G3578" i="1" l="1"/>
  <c r="G3576" i="1" l="1"/>
  <c r="C3578" i="1"/>
  <c r="C3576" i="1"/>
  <c r="B7705" i="2"/>
  <c r="B7699" i="2" l="1"/>
  <c r="B7700" i="2"/>
  <c r="B7701" i="2"/>
  <c r="B7702" i="2"/>
  <c r="B7703" i="2"/>
  <c r="B7704" i="2"/>
  <c r="B7698" i="2" l="1"/>
  <c r="B7694" i="2" l="1"/>
  <c r="B7695" i="2"/>
  <c r="B7696" i="2"/>
  <c r="B7697" i="2"/>
  <c r="G3510" i="1"/>
  <c r="G3572" i="1" l="1"/>
  <c r="C3572" i="1" l="1"/>
  <c r="G3571" i="1" l="1"/>
  <c r="C3571" i="1"/>
  <c r="G3569" i="1"/>
  <c r="C3569" i="1"/>
  <c r="G3450" i="1"/>
  <c r="G3568" i="1"/>
  <c r="C3568" i="1" l="1"/>
  <c r="G3562" i="1"/>
  <c r="C3562" i="1" l="1"/>
  <c r="G3561" i="1"/>
  <c r="C3561" i="1" l="1"/>
  <c r="G3567" i="1" l="1"/>
  <c r="C3567" i="1" l="1"/>
  <c r="B7688" i="2"/>
  <c r="B7689" i="2"/>
  <c r="B7690" i="2"/>
  <c r="B7691" i="2"/>
  <c r="B7692" i="2"/>
  <c r="B7693" i="2"/>
  <c r="G3560" i="1" l="1"/>
  <c r="C3560" i="1"/>
  <c r="B7686" i="2" l="1"/>
  <c r="B7687" i="2"/>
  <c r="G3556" i="1" l="1"/>
  <c r="C3556" i="1"/>
  <c r="G3559" i="1" l="1"/>
  <c r="C3559" i="1" l="1"/>
  <c r="G3566" i="1"/>
  <c r="C3566" i="1" l="1"/>
  <c r="G3565" i="1" l="1"/>
  <c r="C3565" i="1"/>
  <c r="B7685" i="2" l="1"/>
  <c r="G3554" i="1" l="1"/>
  <c r="C3554" i="1"/>
  <c r="G3557" i="1" l="1"/>
  <c r="C3557" i="1" l="1"/>
  <c r="G3558" i="1"/>
  <c r="C3558" i="1" l="1"/>
  <c r="G3555" i="1"/>
  <c r="C3555" i="1"/>
  <c r="G3551" i="1"/>
  <c r="C3551" i="1" l="1"/>
  <c r="G3549" i="1"/>
  <c r="C3549" i="1"/>
  <c r="B7684" i="2"/>
  <c r="B7683" i="2"/>
  <c r="B7680" i="2" l="1"/>
  <c r="B7681" i="2"/>
  <c r="B7682" i="2"/>
  <c r="B7677" i="2" l="1"/>
  <c r="B7678" i="2"/>
  <c r="B7679" i="2"/>
  <c r="B7675" i="2" l="1"/>
  <c r="B7676" i="2"/>
  <c r="G3546" i="1" l="1"/>
  <c r="C3548" i="1" l="1"/>
  <c r="C3546" i="1"/>
  <c r="G3547" i="1"/>
  <c r="C3547" i="1"/>
  <c r="G3545" i="1"/>
  <c r="C3545" i="1"/>
  <c r="B7674" i="2"/>
  <c r="G3543" i="1"/>
  <c r="C3543" i="1"/>
  <c r="G3542" i="1" l="1"/>
  <c r="C3542" i="1"/>
  <c r="G3541" i="1" l="1"/>
  <c r="C3541" i="1"/>
  <c r="B7672" i="2"/>
  <c r="B7673" i="2"/>
  <c r="G3540" i="1"/>
  <c r="C3540" i="1" l="1"/>
  <c r="G3534" i="1"/>
  <c r="C3534" i="1" l="1"/>
  <c r="G3539" i="1"/>
  <c r="C3539" i="1" l="1"/>
  <c r="G3537" i="1"/>
  <c r="C3537" i="1"/>
  <c r="G3538" i="1"/>
  <c r="C3538" i="1"/>
  <c r="G3223" i="1" l="1"/>
  <c r="G3535" i="1"/>
  <c r="C3535" i="1"/>
  <c r="B7671" i="2" l="1"/>
  <c r="G3515" i="1" l="1"/>
  <c r="C3515" i="1"/>
  <c r="G3533" i="1"/>
  <c r="C3533" i="1" l="1"/>
  <c r="G3476" i="1"/>
  <c r="C3476" i="1" l="1"/>
  <c r="G3507" i="1"/>
  <c r="C3507" i="1" l="1"/>
  <c r="G3506" i="1"/>
  <c r="C3506" i="1"/>
  <c r="B7667" i="2" l="1"/>
  <c r="B7668" i="2"/>
  <c r="B7669" i="2"/>
  <c r="B7670" i="2"/>
  <c r="B7665" i="2" l="1"/>
  <c r="B7666" i="2"/>
  <c r="G2533" i="1" l="1"/>
  <c r="G3525" i="1"/>
  <c r="C3525" i="1" l="1"/>
  <c r="C3203" i="1" l="1"/>
  <c r="G3526" i="1"/>
  <c r="C3526" i="1" l="1"/>
  <c r="G3473" i="1"/>
  <c r="C3473" i="1" l="1"/>
  <c r="G3516" i="1" l="1"/>
  <c r="G3428" i="1" l="1"/>
  <c r="C3520" i="1" l="1"/>
  <c r="C3428" i="1"/>
  <c r="C3516" i="1"/>
  <c r="G3532" i="1"/>
  <c r="C3532" i="1" l="1"/>
  <c r="G3528" i="1" l="1"/>
  <c r="C3528" i="1" l="1"/>
  <c r="G3531" i="1"/>
  <c r="C3531" i="1" l="1"/>
  <c r="G3530" i="1"/>
  <c r="C3530" i="1" l="1"/>
  <c r="AL3094" i="1"/>
  <c r="AL3244" i="1"/>
  <c r="AL3238" i="1"/>
  <c r="AL3240" i="1"/>
  <c r="AL3234" i="1"/>
  <c r="AL3237" i="1"/>
  <c r="G3529" i="1"/>
  <c r="C3529" i="1" l="1"/>
  <c r="G3009" i="1" l="1"/>
  <c r="G2906" i="1"/>
  <c r="B7662" i="2"/>
  <c r="B7663" i="2"/>
  <c r="B7664" i="2"/>
  <c r="G3527" i="1" l="1"/>
  <c r="C3527" i="1"/>
  <c r="B7659" i="2" l="1"/>
  <c r="B7660" i="2"/>
  <c r="B7661" i="2"/>
  <c r="B7658" i="2"/>
  <c r="B7656" i="2"/>
  <c r="B7657" i="2"/>
  <c r="G3411" i="1"/>
  <c r="G3513" i="1" l="1"/>
  <c r="C3513" i="1" l="1"/>
  <c r="G3524" i="1"/>
  <c r="C3524" i="1" l="1"/>
  <c r="G3460" i="1"/>
  <c r="C3460" i="1"/>
  <c r="G3366" i="1"/>
  <c r="G3523" i="1" l="1"/>
  <c r="C3523" i="1" l="1"/>
  <c r="G3522" i="1" l="1"/>
  <c r="C3522" i="1" l="1"/>
  <c r="G3521" i="1"/>
  <c r="C3521" i="1"/>
  <c r="G3374" i="1" l="1"/>
  <c r="G3518" i="1" l="1"/>
  <c r="C3518" i="1"/>
  <c r="G3519" i="1"/>
  <c r="C3519" i="1" l="1"/>
  <c r="G3517" i="1"/>
  <c r="C3517" i="1" l="1"/>
  <c r="G3410" i="1"/>
  <c r="C3410" i="1" l="1"/>
  <c r="G3402" i="1"/>
  <c r="C3402" i="1"/>
  <c r="G3512" i="1" l="1"/>
  <c r="C3512" i="1"/>
  <c r="G3389" i="1" l="1"/>
  <c r="G3424" i="1" l="1"/>
  <c r="G3412" i="1" l="1"/>
  <c r="C3389" i="1"/>
  <c r="C3424" i="1"/>
  <c r="C3412" i="1"/>
  <c r="G3381" i="1" l="1"/>
  <c r="C3381" i="1"/>
  <c r="G3514" i="1" l="1"/>
  <c r="C3514" i="1" l="1"/>
  <c r="G3483" i="1"/>
  <c r="C3483" i="1"/>
  <c r="B7655" i="2"/>
  <c r="B7654" i="2" l="1"/>
  <c r="B7650" i="2"/>
  <c r="B7651" i="2"/>
  <c r="B7652" i="2"/>
  <c r="B7653" i="2"/>
  <c r="B7645" i="2" l="1"/>
  <c r="B7646" i="2"/>
  <c r="B7647" i="2"/>
  <c r="B7648" i="2"/>
  <c r="B7649" i="2"/>
  <c r="G3504" i="1" l="1"/>
  <c r="C3504" i="1" l="1"/>
  <c r="B7644" i="2" l="1"/>
  <c r="G3511" i="1" l="1"/>
  <c r="C3511" i="1" l="1"/>
  <c r="B7641" i="2"/>
  <c r="B7642" i="2"/>
  <c r="B7643" i="2"/>
  <c r="B7639" i="2" l="1"/>
  <c r="B7640" i="2"/>
  <c r="G3449" i="1" l="1"/>
  <c r="C3449" i="1" l="1"/>
  <c r="B7638" i="2"/>
  <c r="C3510" i="1" l="1"/>
  <c r="B7636" i="2"/>
  <c r="B7637" i="2"/>
  <c r="C3509" i="1" l="1"/>
  <c r="G3509" i="1"/>
  <c r="G3508" i="1"/>
  <c r="C3508" i="1"/>
  <c r="B7632" i="2"/>
  <c r="B7633" i="2"/>
  <c r="B7634" i="2"/>
  <c r="B7635" i="2"/>
  <c r="G3336" i="1" l="1"/>
  <c r="G3505" i="1" l="1"/>
  <c r="C3505" i="1"/>
  <c r="G3480" i="1" l="1"/>
  <c r="C3480" i="1" l="1"/>
  <c r="B7628" i="2"/>
  <c r="B7629" i="2"/>
  <c r="B7630" i="2"/>
  <c r="B7631" i="2"/>
  <c r="G3482" i="1" l="1"/>
  <c r="C3482" i="1"/>
  <c r="B7626" i="2" l="1"/>
  <c r="B7627" i="2"/>
  <c r="B7625" i="2"/>
  <c r="G2224" i="1"/>
  <c r="C2224" i="1"/>
  <c r="AM3332" i="1"/>
  <c r="B7624" i="2"/>
  <c r="C3503" i="1"/>
  <c r="B7623" i="2"/>
  <c r="B7622" i="2" l="1"/>
  <c r="G3333" i="1"/>
  <c r="C3333" i="1"/>
  <c r="G3378" i="1" l="1"/>
  <c r="C3378" i="1" l="1"/>
  <c r="G3365" i="1"/>
  <c r="C3365" i="1" l="1"/>
  <c r="G3349" i="1" l="1"/>
  <c r="C3349" i="1"/>
  <c r="G3322" i="1" l="1"/>
  <c r="C3322" i="1"/>
  <c r="G3337" i="1" l="1"/>
  <c r="C3337" i="1"/>
  <c r="B7621" i="2"/>
  <c r="G3326" i="1" l="1"/>
  <c r="C3326" i="1" l="1"/>
  <c r="G2818" i="1"/>
  <c r="B7618" i="2"/>
  <c r="B7619" i="2"/>
  <c r="B7620" i="2"/>
  <c r="G3242" i="1"/>
  <c r="C3242" i="1"/>
  <c r="B7617" i="2" l="1"/>
  <c r="B7616" i="2" l="1"/>
  <c r="B7615" i="2" l="1"/>
  <c r="G3489" i="1" l="1"/>
  <c r="C3489" i="1"/>
  <c r="B7612" i="2" l="1"/>
  <c r="B7613" i="2"/>
  <c r="B7614" i="2"/>
  <c r="B7610" i="2" l="1"/>
  <c r="B7611" i="2"/>
  <c r="B7605" i="2" l="1"/>
  <c r="B7606" i="2"/>
  <c r="B7607" i="2"/>
  <c r="B7608" i="2"/>
  <c r="B7609" i="2"/>
  <c r="G3502" i="1" l="1"/>
  <c r="C3502" i="1" l="1"/>
  <c r="B7602" i="2"/>
  <c r="B7603" i="2"/>
  <c r="B7604" i="2"/>
  <c r="G3500" i="1" l="1"/>
  <c r="G3501" i="1" l="1"/>
  <c r="C3501" i="1"/>
  <c r="C3500" i="1"/>
  <c r="B7597" i="2" l="1"/>
  <c r="B7598" i="2"/>
  <c r="B7599" i="2"/>
  <c r="B7600" i="2"/>
  <c r="B7601" i="2"/>
  <c r="AO3130" i="1"/>
  <c r="AN3130" i="1"/>
  <c r="B7593" i="2" l="1"/>
  <c r="B7594" i="2"/>
  <c r="B7595" i="2"/>
  <c r="B7596" i="2"/>
  <c r="G3499" i="1" l="1"/>
  <c r="C3499" i="1"/>
  <c r="G3498" i="1"/>
  <c r="C3498" i="1" l="1"/>
  <c r="B7592" i="2"/>
  <c r="G3419" i="1" l="1"/>
  <c r="C3419" i="1"/>
  <c r="G3478" i="1" l="1"/>
  <c r="C3478" i="1" l="1"/>
  <c r="G3486" i="1"/>
  <c r="C3486" i="1"/>
  <c r="B7591" i="2" l="1"/>
  <c r="G3496" i="1" l="1"/>
  <c r="C3496" i="1" l="1"/>
  <c r="G3497" i="1"/>
  <c r="C3497" i="1"/>
  <c r="G3491" i="1"/>
  <c r="C3491" i="1" l="1"/>
  <c r="G3493" i="1"/>
  <c r="C3493" i="1" l="1"/>
  <c r="G3495" i="1"/>
  <c r="C3495" i="1" l="1"/>
  <c r="G3494" i="1"/>
  <c r="C3494" i="1"/>
  <c r="B7588" i="2"/>
  <c r="B7589" i="2"/>
  <c r="B7590" i="2"/>
  <c r="G3492" i="1" l="1"/>
  <c r="C3492" i="1" l="1"/>
  <c r="AO3320" i="1"/>
  <c r="AN3320" i="1"/>
  <c r="G3490" i="1" l="1"/>
  <c r="C3490" i="1"/>
  <c r="G3488" i="1"/>
  <c r="C3488" i="1" l="1"/>
  <c r="G3466" i="1"/>
  <c r="C3466" i="1"/>
  <c r="G3417" i="1" l="1"/>
  <c r="C3417" i="1"/>
  <c r="B7586" i="2" l="1"/>
  <c r="B7587" i="2"/>
  <c r="G3479" i="1" l="1"/>
  <c r="C3479" i="1"/>
  <c r="B7585" i="2" l="1"/>
  <c r="B7579" i="2" l="1"/>
  <c r="B7580" i="2"/>
  <c r="B7581" i="2"/>
  <c r="B7582" i="2"/>
  <c r="B7583" i="2"/>
  <c r="B7584" i="2"/>
  <c r="B7577" i="2" l="1"/>
  <c r="B7578" i="2"/>
  <c r="B7575" i="2" l="1"/>
  <c r="B7576" i="2"/>
  <c r="B7573" i="2"/>
  <c r="B7574" i="2"/>
  <c r="G3487" i="1" l="1"/>
  <c r="C3487" i="1" l="1"/>
  <c r="B7572" i="2"/>
  <c r="G3485" i="1" l="1"/>
  <c r="C3485" i="1"/>
  <c r="B7571" i="2"/>
  <c r="G3477" i="1"/>
  <c r="C3477" i="1" l="1"/>
  <c r="B7568" i="2"/>
  <c r="B7569" i="2"/>
  <c r="B7570" i="2"/>
  <c r="G3484" i="1" l="1"/>
  <c r="C3484" i="1" l="1"/>
  <c r="G3481" i="1"/>
  <c r="C3481" i="1" l="1"/>
  <c r="B7567" i="2"/>
  <c r="B7564" i="2" l="1"/>
  <c r="B7565" i="2"/>
  <c r="B7566" i="2"/>
  <c r="G3472" i="1"/>
  <c r="C3472" i="1" l="1"/>
  <c r="B7560" i="2"/>
  <c r="B7561" i="2"/>
  <c r="B7562" i="2"/>
  <c r="B7563" i="2"/>
  <c r="G3475" i="1" l="1"/>
  <c r="C3475" i="1" l="1"/>
  <c r="G3474" i="1"/>
  <c r="C3474" i="1" l="1"/>
  <c r="B7556" i="2"/>
  <c r="B7557" i="2"/>
  <c r="B7558" i="2"/>
  <c r="B7559" i="2"/>
  <c r="C3469" i="1" l="1"/>
  <c r="B7551" i="2"/>
  <c r="B7552" i="2"/>
  <c r="B7553" i="2"/>
  <c r="B7554" i="2"/>
  <c r="B7555" i="2"/>
  <c r="G3471" i="1" l="1"/>
  <c r="C3471" i="1"/>
  <c r="B7546" i="2"/>
  <c r="B7547" i="2"/>
  <c r="B7548" i="2"/>
  <c r="B7549" i="2"/>
  <c r="B7550" i="2"/>
  <c r="B7545" i="2" l="1"/>
  <c r="B7541" i="2"/>
  <c r="B7542" i="2"/>
  <c r="B7543" i="2"/>
  <c r="B7544" i="2"/>
  <c r="G3368" i="1" l="1"/>
  <c r="C3368" i="1" l="1"/>
  <c r="G3292" i="1"/>
  <c r="C3292" i="1" l="1"/>
  <c r="B7539" i="2"/>
  <c r="B7540" i="2"/>
  <c r="G3468" i="1" l="1"/>
  <c r="C3468" i="1"/>
  <c r="G3467" i="1"/>
  <c r="C3467" i="1" l="1"/>
  <c r="G3354" i="1"/>
  <c r="C3354" i="1" l="1"/>
  <c r="B7534" i="2" l="1"/>
  <c r="B7535" i="2"/>
  <c r="B7536" i="2"/>
  <c r="B7537" i="2"/>
  <c r="B7538" i="2"/>
  <c r="G3448" i="1" l="1"/>
  <c r="C3448" i="1" l="1"/>
  <c r="G3465" i="1"/>
  <c r="C3465" i="1"/>
  <c r="B7533" i="2"/>
  <c r="B7531" i="2"/>
  <c r="B7532" i="2"/>
  <c r="G3464" i="1" l="1"/>
  <c r="C3464" i="1"/>
  <c r="B7530" i="2"/>
  <c r="B7526" i="2"/>
  <c r="B7527" i="2"/>
  <c r="B7528" i="2"/>
  <c r="B7529" i="2"/>
  <c r="B7525" i="2"/>
  <c r="B7520" i="2" l="1"/>
  <c r="B7521" i="2"/>
  <c r="B7522" i="2"/>
  <c r="B7523" i="2"/>
  <c r="B7524" i="2"/>
  <c r="G3407" i="1"/>
  <c r="C3407" i="1"/>
  <c r="G3463" i="1" l="1"/>
  <c r="C3463" i="1" l="1"/>
  <c r="G3461" i="1"/>
  <c r="C3461" i="1"/>
  <c r="G3458" i="1" l="1"/>
  <c r="C3458" i="1" l="1"/>
  <c r="G3459" i="1"/>
  <c r="C3459" i="1"/>
  <c r="G3441" i="1" l="1"/>
  <c r="C3441" i="1" l="1"/>
  <c r="B7519" i="2" l="1"/>
  <c r="G2771" i="1" l="1"/>
  <c r="B7517" i="2" l="1"/>
  <c r="B7518" i="2"/>
  <c r="G3454" i="1" l="1"/>
  <c r="C3454" i="1" l="1"/>
  <c r="G3457" i="1" l="1"/>
  <c r="C3457" i="1" l="1"/>
  <c r="G3456" i="1"/>
  <c r="C3456" i="1" l="1"/>
  <c r="G3455" i="1"/>
  <c r="C3455" i="1"/>
  <c r="B7509" i="2"/>
  <c r="B7510" i="2"/>
  <c r="B7511" i="2"/>
  <c r="B7512" i="2"/>
  <c r="B7513" i="2"/>
  <c r="B7514" i="2"/>
  <c r="B7515" i="2"/>
  <c r="B7516" i="2"/>
  <c r="G3452" i="1" l="1"/>
  <c r="C3452" i="1" l="1"/>
  <c r="B7508" i="2"/>
  <c r="B7507" i="2" l="1"/>
  <c r="G3453" i="1" l="1"/>
  <c r="C3453" i="1" l="1"/>
  <c r="C3450" i="1"/>
  <c r="G3451" i="1"/>
  <c r="C3451" i="1" l="1"/>
  <c r="B7506" i="2" l="1"/>
  <c r="G2688" i="1"/>
  <c r="G3439" i="1" l="1"/>
  <c r="C3439" i="1" l="1"/>
  <c r="G3408" i="1" l="1"/>
  <c r="C3408" i="1" l="1"/>
  <c r="G3447" i="1" l="1"/>
  <c r="C3447" i="1"/>
  <c r="G3444" i="1"/>
  <c r="C3444" i="1" l="1"/>
  <c r="B7503" i="2"/>
  <c r="B7504" i="2"/>
  <c r="B7505" i="2"/>
  <c r="G3445" i="1" l="1"/>
  <c r="C3445" i="1" l="1"/>
  <c r="G3443" i="1"/>
  <c r="G3446" i="1"/>
  <c r="C3446" i="1"/>
  <c r="B7499" i="2"/>
  <c r="B7500" i="2"/>
  <c r="B7501" i="2"/>
  <c r="B7502" i="2"/>
  <c r="C3443" i="1" l="1"/>
  <c r="B7494" i="2"/>
  <c r="B7495" i="2"/>
  <c r="B7496" i="2"/>
  <c r="B7497" i="2"/>
  <c r="B7498" i="2"/>
  <c r="G3442" i="1"/>
  <c r="C3442" i="1"/>
  <c r="G3319" i="1" l="1"/>
  <c r="G3435" i="1" l="1"/>
  <c r="C3435" i="1" l="1"/>
  <c r="G3440" i="1"/>
  <c r="C3440" i="1" l="1"/>
  <c r="G3438" i="1" l="1"/>
  <c r="C3438" i="1"/>
  <c r="G3436" i="1"/>
  <c r="C3436" i="1"/>
  <c r="G3432" i="1"/>
  <c r="C3432" i="1" l="1"/>
  <c r="G3437" i="1"/>
  <c r="C3437" i="1" l="1"/>
  <c r="G3434" i="1"/>
  <c r="C3434" i="1" l="1"/>
  <c r="B7493" i="2"/>
  <c r="G3433" i="1" l="1"/>
  <c r="C3433" i="1"/>
  <c r="B7490" i="2" l="1"/>
  <c r="B7491" i="2"/>
  <c r="B7492" i="2"/>
  <c r="G3392" i="1" l="1"/>
  <c r="C3392" i="1"/>
  <c r="G3405" i="1" l="1"/>
  <c r="C3405" i="1" l="1"/>
  <c r="G3431" i="1" l="1"/>
  <c r="C3431" i="1"/>
  <c r="G3425" i="1"/>
  <c r="C3425" i="1" l="1"/>
  <c r="G3409" i="1"/>
  <c r="C3409" i="1"/>
  <c r="G3427" i="1" l="1"/>
  <c r="C3427" i="1"/>
  <c r="G3430" i="1" l="1"/>
  <c r="C3430" i="1"/>
  <c r="B7489" i="2" l="1"/>
  <c r="B7485" i="2"/>
  <c r="B7486" i="2"/>
  <c r="B7487" i="2"/>
  <c r="B7488" i="2"/>
  <c r="B7484" i="2" l="1"/>
  <c r="G3318" i="1" l="1"/>
  <c r="B7477" i="2"/>
  <c r="B7478" i="2"/>
  <c r="B7479" i="2"/>
  <c r="B7480" i="2"/>
  <c r="B7481" i="2"/>
  <c r="B7482" i="2"/>
  <c r="B7483" i="2"/>
  <c r="C3411" i="1" l="1"/>
  <c r="C3318" i="1"/>
  <c r="G3429" i="1" l="1"/>
  <c r="C3429" i="1" l="1"/>
  <c r="G3423" i="1"/>
  <c r="C3423" i="1"/>
  <c r="G3422" i="1"/>
  <c r="C3422" i="1"/>
  <c r="G3421" i="1"/>
  <c r="C3421" i="1" l="1"/>
  <c r="B7476" i="2"/>
  <c r="G3420" i="1"/>
  <c r="C3420" i="1"/>
  <c r="G3416" i="1" l="1"/>
  <c r="C3416" i="1" l="1"/>
  <c r="G3404" i="1" l="1"/>
  <c r="C3404" i="1"/>
  <c r="G3418" i="1" l="1"/>
  <c r="C3418" i="1"/>
  <c r="G3415" i="1" l="1"/>
  <c r="C3415" i="1"/>
  <c r="G3213" i="1" l="1"/>
  <c r="G3286" i="1" l="1"/>
  <c r="G3414" i="1" l="1"/>
  <c r="C3414" i="1"/>
  <c r="B7473" i="2"/>
  <c r="B7474" i="2"/>
  <c r="B7475" i="2"/>
  <c r="G3396" i="1" l="1"/>
  <c r="G3406" i="1" l="1"/>
  <c r="C3406" i="1" l="1"/>
  <c r="C3396" i="1"/>
  <c r="B7470" i="2"/>
  <c r="B7471" i="2"/>
  <c r="B7472" i="2"/>
  <c r="G3413" i="1" l="1"/>
  <c r="C3413" i="1" l="1"/>
  <c r="B7468" i="2"/>
  <c r="B7469" i="2"/>
  <c r="G3398" i="1" l="1"/>
  <c r="C3398" i="1" l="1"/>
  <c r="B7467" i="2"/>
  <c r="B7466" i="2" l="1"/>
  <c r="B7462" i="2" l="1"/>
  <c r="B7463" i="2"/>
  <c r="B7464" i="2"/>
  <c r="B7465" i="2"/>
  <c r="G2976" i="1"/>
  <c r="B7461" i="2" l="1"/>
  <c r="B7459" i="2" l="1"/>
  <c r="B7460" i="2"/>
  <c r="G3252" i="1" l="1"/>
  <c r="C3252"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403" i="1" l="1"/>
  <c r="C3403" i="1"/>
  <c r="B7432" i="2"/>
  <c r="G3397" i="1" l="1"/>
  <c r="C3397"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400" i="1" l="1"/>
  <c r="B7406" i="2" l="1"/>
  <c r="B7407" i="2"/>
  <c r="G3391" i="1" l="1"/>
  <c r="C3391" i="1"/>
  <c r="G3399" i="1" l="1"/>
  <c r="C3399" i="1" l="1"/>
  <c r="G3150" i="1" l="1"/>
  <c r="C3150" i="1" l="1"/>
  <c r="B7405" i="2"/>
  <c r="G3341" i="1"/>
  <c r="C3341" i="1"/>
  <c r="B7404" i="2" l="1"/>
  <c r="B7403" i="2" l="1"/>
  <c r="B7402" i="2" l="1"/>
  <c r="G3393" i="1" l="1"/>
  <c r="C3393" i="1" l="1"/>
  <c r="G3395" i="1" l="1"/>
  <c r="C3395" i="1" l="1"/>
  <c r="G3394" i="1"/>
  <c r="C3394" i="1" l="1"/>
  <c r="B7401" i="2"/>
  <c r="B7400" i="2"/>
  <c r="AH3314" i="1"/>
  <c r="AH3301" i="1" l="1"/>
  <c r="B7399" i="2" l="1"/>
  <c r="B7398" i="2"/>
  <c r="G2405" i="1"/>
  <c r="G2905" i="1"/>
  <c r="B7395" i="2"/>
  <c r="B7396" i="2"/>
  <c r="B7397" i="2"/>
  <c r="B7394" i="2"/>
  <c r="G3390" i="1" l="1"/>
  <c r="C3390" i="1" l="1"/>
  <c r="B7393" i="2"/>
  <c r="G3388" i="1" l="1"/>
  <c r="C3388" i="1" l="1"/>
  <c r="G3387" i="1"/>
  <c r="C3387" i="1"/>
  <c r="G3386" i="1" l="1"/>
  <c r="C3386" i="1" l="1"/>
  <c r="G3385" i="1"/>
  <c r="C3385" i="1"/>
  <c r="G3380" i="1"/>
  <c r="C3380" i="1"/>
  <c r="G3384" i="1" l="1"/>
  <c r="C3384" i="1"/>
  <c r="G3383" i="1"/>
  <c r="C3383" i="1"/>
  <c r="B2849" i="2"/>
  <c r="B2850" i="2"/>
  <c r="G3379" i="1" l="1"/>
  <c r="C3379" i="1"/>
  <c r="G3375" i="1" l="1"/>
  <c r="C3375" i="1"/>
  <c r="G3369" i="1" l="1"/>
  <c r="C3369" i="1"/>
  <c r="G3306" i="1" l="1"/>
  <c r="C3306" i="1"/>
  <c r="G3382" i="1" l="1"/>
  <c r="C3382"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5" i="1"/>
  <c r="C2226" i="1"/>
  <c r="C2227" i="1"/>
  <c r="C2228" i="1"/>
  <c r="C2229" i="1"/>
  <c r="C2230" i="1"/>
  <c r="C2232" i="1"/>
  <c r="C2233" i="1"/>
  <c r="C2234" i="1"/>
  <c r="C2235" i="1"/>
  <c r="C2236" i="1"/>
  <c r="C2237" i="1"/>
  <c r="C2238" i="1"/>
  <c r="C2240" i="1"/>
  <c r="C2241" i="1"/>
  <c r="C2242" i="1"/>
  <c r="C2243" i="1"/>
  <c r="C2244" i="1"/>
  <c r="C2231" i="1"/>
  <c r="C2245" i="1"/>
  <c r="C2246" i="1"/>
  <c r="C2247" i="1"/>
  <c r="C2248" i="1"/>
  <c r="C2249" i="1"/>
  <c r="C2250" i="1"/>
  <c r="C2251" i="1"/>
  <c r="C2252" i="1"/>
  <c r="C2253" i="1"/>
  <c r="C2254" i="1"/>
  <c r="C2255" i="1"/>
  <c r="C2256" i="1"/>
  <c r="C2257" i="1"/>
  <c r="C2258" i="1"/>
  <c r="C2259" i="1"/>
  <c r="C2260"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4" i="1"/>
  <c r="C2365" i="1"/>
  <c r="C2366" i="1"/>
  <c r="C2367" i="1"/>
  <c r="C2368" i="1"/>
  <c r="C2369" i="1"/>
  <c r="C2370" i="1"/>
  <c r="C2373" i="1"/>
  <c r="C2371" i="1"/>
  <c r="C2372"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30" i="1"/>
  <c r="C2431" i="1"/>
  <c r="C2432" i="1"/>
  <c r="C2433" i="1"/>
  <c r="C2434" i="1"/>
  <c r="C2435" i="1"/>
  <c r="C2436" i="1"/>
  <c r="C2437" i="1"/>
  <c r="C2438" i="1"/>
  <c r="C2439" i="1"/>
  <c r="C2440" i="1"/>
  <c r="C2441" i="1"/>
  <c r="C2442" i="1"/>
  <c r="C2443" i="1"/>
  <c r="C2444" i="1"/>
  <c r="C2445" i="1"/>
  <c r="C2446" i="1"/>
  <c r="C2447" i="1"/>
  <c r="C2448" i="1"/>
  <c r="C2449" i="1"/>
  <c r="C2450" i="1"/>
  <c r="C2451"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7" i="1"/>
  <c r="C2498" i="1"/>
  <c r="C2499" i="1"/>
  <c r="C2500" i="1"/>
  <c r="C2501" i="1"/>
  <c r="C2502" i="1"/>
  <c r="C2503" i="1"/>
  <c r="C2504" i="1"/>
  <c r="C2505" i="1"/>
  <c r="C2506" i="1"/>
  <c r="C2507" i="1"/>
  <c r="C2508" i="1"/>
  <c r="C2509" i="1"/>
  <c r="C2511" i="1"/>
  <c r="C2512" i="1"/>
  <c r="C2513" i="1"/>
  <c r="C2514" i="1"/>
  <c r="C2515" i="1"/>
  <c r="C2516" i="1"/>
  <c r="C2517" i="1"/>
  <c r="C2518" i="1"/>
  <c r="C2519" i="1"/>
  <c r="C2520" i="1"/>
  <c r="C2521" i="1"/>
  <c r="C2522" i="1"/>
  <c r="C2523" i="1"/>
  <c r="C2524" i="1"/>
  <c r="C2525" i="1"/>
  <c r="C2526" i="1"/>
  <c r="C2527" i="1"/>
  <c r="C2528" i="1"/>
  <c r="C2529" i="1"/>
  <c r="C2530" i="1"/>
  <c r="C2533" i="1"/>
  <c r="C2534" i="1"/>
  <c r="C2535" i="1"/>
  <c r="C2536" i="1"/>
  <c r="C2537" i="1"/>
  <c r="C2538" i="1"/>
  <c r="C2539" i="1"/>
  <c r="C2540" i="1"/>
  <c r="C2541" i="1"/>
  <c r="C2542" i="1"/>
  <c r="C2543" i="1"/>
  <c r="C2544" i="1"/>
  <c r="C2545" i="1"/>
  <c r="C2546" i="1"/>
  <c r="C2548" i="1"/>
  <c r="C2549" i="1"/>
  <c r="C2550" i="1"/>
  <c r="C2551" i="1"/>
  <c r="C2552" i="1"/>
  <c r="C2553" i="1"/>
  <c r="C2554" i="1"/>
  <c r="C2555" i="1"/>
  <c r="C2556" i="1"/>
  <c r="C2558" i="1"/>
  <c r="C2560" i="1"/>
  <c r="C2562" i="1"/>
  <c r="C2563" i="1"/>
  <c r="C2564" i="1"/>
  <c r="C2565" i="1"/>
  <c r="C2566" i="1"/>
  <c r="C2567" i="1"/>
  <c r="C2568" i="1"/>
  <c r="C2569" i="1"/>
  <c r="C2570" i="1"/>
  <c r="C2571" i="1"/>
  <c r="C2574" i="1"/>
  <c r="C2572" i="1"/>
  <c r="C2573" i="1"/>
  <c r="C2575" i="1"/>
  <c r="C2576" i="1"/>
  <c r="C2577" i="1"/>
  <c r="C2578" i="1"/>
  <c r="C2579" i="1"/>
  <c r="C2580" i="1"/>
  <c r="C2582" i="1"/>
  <c r="C2584" i="1"/>
  <c r="C2585" i="1"/>
  <c r="C2586" i="1"/>
  <c r="C2587" i="1"/>
  <c r="C2588" i="1"/>
  <c r="C2589" i="1"/>
  <c r="C2590" i="1"/>
  <c r="C2591" i="1"/>
  <c r="C2592" i="1"/>
  <c r="C2593" i="1"/>
  <c r="C2594" i="1"/>
  <c r="C2595" i="1"/>
  <c r="C2596" i="1"/>
  <c r="C2597" i="1"/>
  <c r="C2599" i="1"/>
  <c r="C2600" i="1"/>
  <c r="C2601" i="1"/>
  <c r="C2602" i="1"/>
  <c r="C2604" i="1"/>
  <c r="C2605" i="1"/>
  <c r="C2606" i="1"/>
  <c r="C2607" i="1"/>
  <c r="C2608" i="1"/>
  <c r="C2610" i="1"/>
  <c r="C2613" i="1"/>
  <c r="C2614" i="1"/>
  <c r="C2615" i="1"/>
  <c r="C2617" i="1"/>
  <c r="C2618" i="1"/>
  <c r="C2619" i="1"/>
  <c r="C2620" i="1"/>
  <c r="C2621" i="1"/>
  <c r="C2622" i="1"/>
  <c r="C2623" i="1"/>
  <c r="C2624" i="1"/>
  <c r="C2625" i="1"/>
  <c r="C2626" i="1"/>
  <c r="C2627" i="1"/>
  <c r="C2628" i="1"/>
  <c r="C2630" i="1"/>
  <c r="C2631" i="1"/>
  <c r="C2632" i="1"/>
  <c r="C2633" i="1"/>
  <c r="C2634" i="1"/>
  <c r="C2635" i="1"/>
  <c r="C2636" i="1"/>
  <c r="C2637" i="1"/>
  <c r="C2638" i="1"/>
  <c r="C2639" i="1"/>
  <c r="C2640" i="1"/>
  <c r="C2641" i="1"/>
  <c r="C2642" i="1"/>
  <c r="C2644" i="1"/>
  <c r="C2645" i="1"/>
  <c r="C2646" i="1"/>
  <c r="C2647" i="1"/>
  <c r="C2648" i="1"/>
  <c r="C2649" i="1"/>
  <c r="C2650" i="1"/>
  <c r="C2652" i="1"/>
  <c r="C2653" i="1"/>
  <c r="C2654" i="1"/>
  <c r="C2655" i="1"/>
  <c r="C2657" i="1"/>
  <c r="C2658" i="1"/>
  <c r="C2659" i="1"/>
  <c r="C2660" i="1"/>
  <c r="C2661" i="1"/>
  <c r="C2663" i="1"/>
  <c r="C2664" i="1"/>
  <c r="C2665" i="1"/>
  <c r="C2666" i="1"/>
  <c r="C2667" i="1"/>
  <c r="C2668" i="1"/>
  <c r="C2669" i="1"/>
  <c r="C2671" i="1"/>
  <c r="C2672" i="1"/>
  <c r="C2673" i="1"/>
  <c r="C2674" i="1"/>
  <c r="C2675" i="1"/>
  <c r="C2676" i="1"/>
  <c r="C2677" i="1"/>
  <c r="C2678" i="1"/>
  <c r="C2679" i="1"/>
  <c r="C2680" i="1"/>
  <c r="C2681" i="1"/>
  <c r="C2683" i="1"/>
  <c r="C2684" i="1"/>
  <c r="C2685" i="1"/>
  <c r="C2686" i="1"/>
  <c r="C2687" i="1"/>
  <c r="C2690" i="1"/>
  <c r="C2691" i="1"/>
  <c r="C2692" i="1"/>
  <c r="C2693" i="1"/>
  <c r="C2694" i="1"/>
  <c r="C2695" i="1"/>
  <c r="C2697" i="1"/>
  <c r="C2696" i="1"/>
  <c r="C2698" i="1"/>
  <c r="C2700" i="1"/>
  <c r="C2701" i="1"/>
  <c r="C2702" i="1"/>
  <c r="C2703" i="1"/>
  <c r="C2704" i="1"/>
  <c r="C2705" i="1"/>
  <c r="C2708" i="1"/>
  <c r="C2710" i="1"/>
  <c r="C2715" i="1"/>
  <c r="C2706" i="1"/>
  <c r="C2759" i="1"/>
  <c r="C2753" i="1"/>
  <c r="C2662" i="1"/>
  <c r="C2740" i="1"/>
  <c r="C2717" i="1"/>
  <c r="C2720" i="1"/>
  <c r="C2722" i="1"/>
  <c r="C2723" i="1"/>
  <c r="C2724" i="1"/>
  <c r="C2727" i="1"/>
  <c r="C2730" i="1"/>
  <c r="C2731" i="1"/>
  <c r="C2739" i="1"/>
  <c r="C2741" i="1"/>
  <c r="C2742" i="1"/>
  <c r="C2754" i="1"/>
  <c r="C2760" i="1"/>
  <c r="C2764" i="1"/>
  <c r="C2765" i="1"/>
  <c r="C2766" i="1"/>
  <c r="C2768" i="1"/>
  <c r="C2716" i="1"/>
  <c r="C2682" i="1"/>
  <c r="C2729" i="1"/>
  <c r="C1963" i="1"/>
  <c r="C2134" i="1"/>
  <c r="C2261" i="1"/>
  <c r="C2711" i="1"/>
  <c r="C2689" i="1"/>
  <c r="C2707" i="1"/>
  <c r="C2531" i="1"/>
  <c r="C2532" i="1"/>
  <c r="C2561" i="1"/>
  <c r="C2726" i="1"/>
  <c r="C2714" i="1"/>
  <c r="C2721" i="1"/>
  <c r="C2737" i="1"/>
  <c r="C2743" i="1"/>
  <c r="C2713" i="1"/>
  <c r="C2712" i="1"/>
  <c r="C2734" i="1"/>
  <c r="C2752" i="1"/>
  <c r="C2732" i="1"/>
  <c r="C2745" i="1"/>
  <c r="C2510" i="1"/>
  <c r="C2733" i="1"/>
  <c r="C2735" i="1"/>
  <c r="C2738" i="1"/>
  <c r="C2748" i="1"/>
  <c r="C2756" i="1"/>
  <c r="C2757" i="1"/>
  <c r="C2767" i="1"/>
  <c r="C2769" i="1"/>
  <c r="C2772" i="1"/>
  <c r="C2773" i="1"/>
  <c r="C2725" i="1"/>
  <c r="C2744" i="1"/>
  <c r="C2751" i="1"/>
  <c r="C2755" i="1"/>
  <c r="C2749" i="1"/>
  <c r="C2736" i="1"/>
  <c r="C2762" i="1"/>
  <c r="C2670" i="1"/>
  <c r="C2781" i="1"/>
  <c r="C2784" i="1"/>
  <c r="C2785" i="1"/>
  <c r="C2796" i="1"/>
  <c r="C2794" i="1"/>
  <c r="C2798" i="1"/>
  <c r="C2799" i="1"/>
  <c r="C2616" i="1"/>
  <c r="C2806" i="1"/>
  <c r="C2809" i="1"/>
  <c r="C2771" i="1"/>
  <c r="C2656" i="1"/>
  <c r="C2688" i="1"/>
  <c r="C1442" i="1"/>
  <c r="C2559" i="1"/>
  <c r="C2797" i="1"/>
  <c r="C2805" i="1"/>
  <c r="C2776" i="1"/>
  <c r="C2779" i="1"/>
  <c r="C2770" i="1"/>
  <c r="C2774" i="1"/>
  <c r="C2782" i="1"/>
  <c r="C2643" i="1"/>
  <c r="C2780" i="1"/>
  <c r="C2793" i="1"/>
  <c r="C2788" i="1"/>
  <c r="C2783" i="1"/>
  <c r="C2787" i="1"/>
  <c r="C2789" i="1"/>
  <c r="C2792" i="1"/>
  <c r="C2795" i="1"/>
  <c r="C2800" i="1"/>
  <c r="C2807" i="1"/>
  <c r="C2758" i="1"/>
  <c r="C2763" i="1"/>
  <c r="C2786" i="1"/>
  <c r="C2778" i="1"/>
  <c r="C2830" i="1"/>
  <c r="C2848" i="1"/>
  <c r="C2810" i="1"/>
  <c r="C2822" i="1"/>
  <c r="C2823" i="1"/>
  <c r="C2826" i="1"/>
  <c r="C2829" i="1"/>
  <c r="C2832" i="1"/>
  <c r="C2791" i="1"/>
  <c r="C2846" i="1"/>
  <c r="C2852" i="1"/>
  <c r="C2853" i="1"/>
  <c r="C2854" i="1"/>
  <c r="C2857" i="1"/>
  <c r="C2858" i="1"/>
  <c r="C2860" i="1"/>
  <c r="C2861" i="1"/>
  <c r="C2862" i="1"/>
  <c r="C2865" i="1"/>
  <c r="C2868" i="1"/>
  <c r="C2775" i="1"/>
  <c r="C2839" i="1"/>
  <c r="C2856" i="1"/>
  <c r="C2818" i="1"/>
  <c r="C2842" i="1"/>
  <c r="C2808" i="1"/>
  <c r="C2651" i="1"/>
  <c r="C2746" i="1"/>
  <c r="C2750" i="1"/>
  <c r="C2827" i="1"/>
  <c r="C2718" i="1"/>
  <c r="C2429" i="1"/>
  <c r="C2820" i="1"/>
  <c r="C2815" i="1"/>
  <c r="C2849" i="1"/>
  <c r="C2843" i="1"/>
  <c r="C2801" i="1"/>
  <c r="C2811" i="1"/>
  <c r="C2825" i="1"/>
  <c r="C2855" i="1"/>
  <c r="C2813" i="1"/>
  <c r="C2812" i="1"/>
  <c r="C2814" i="1"/>
  <c r="C2816" i="1"/>
  <c r="C2817" i="1"/>
  <c r="C2819" i="1"/>
  <c r="C2824" i="1"/>
  <c r="C2821" i="1"/>
  <c r="C2828" i="1"/>
  <c r="C2831" i="1"/>
  <c r="C2833" i="1"/>
  <c r="C2835" i="1"/>
  <c r="C2838" i="1"/>
  <c r="C2844" i="1"/>
  <c r="C2709" i="1"/>
  <c r="C2836" i="1"/>
  <c r="C2837" i="1"/>
  <c r="C2864" i="1"/>
  <c r="C2869" i="1"/>
  <c r="C2583" i="1"/>
  <c r="C2790" i="1"/>
  <c r="C2803" i="1"/>
  <c r="C2802" i="1"/>
  <c r="C2840" i="1"/>
  <c r="C2845" i="1"/>
  <c r="C2882" i="1"/>
  <c r="C2875" i="1"/>
  <c r="C2876" i="1"/>
  <c r="C2878" i="1"/>
  <c r="C2885" i="1"/>
  <c r="C2888" i="1"/>
  <c r="C2903" i="1"/>
  <c r="C2880" i="1"/>
  <c r="C2879" i="1"/>
  <c r="C2884" i="1"/>
  <c r="C2847" i="1"/>
  <c r="C2871" i="1"/>
  <c r="C2777" i="1"/>
  <c r="C2804" i="1"/>
  <c r="C2873" i="1"/>
  <c r="C2898" i="1"/>
  <c r="C2870" i="1"/>
  <c r="C2834" i="1"/>
  <c r="C2872" i="1"/>
  <c r="C2877" i="1"/>
  <c r="C2881" i="1"/>
  <c r="C2891" i="1"/>
  <c r="C2893" i="1"/>
  <c r="C2897" i="1"/>
  <c r="C2901" i="1"/>
  <c r="C2902" i="1"/>
  <c r="C2866" i="1"/>
  <c r="C2867" i="1"/>
  <c r="C2887" i="1"/>
  <c r="C2892" i="1"/>
  <c r="C2899" i="1"/>
  <c r="C2883" i="1"/>
  <c r="C2850" i="1"/>
  <c r="C2915" i="1"/>
  <c r="C2874" i="1"/>
  <c r="C2905" i="1"/>
  <c r="C2914" i="1"/>
  <c r="C2889" i="1"/>
  <c r="C2907" i="1"/>
  <c r="C2909" i="1"/>
  <c r="C2912" i="1"/>
  <c r="C2920" i="1"/>
  <c r="C2904" i="1"/>
  <c r="C2895" i="1"/>
  <c r="C2916" i="1"/>
  <c r="C2962" i="1"/>
  <c r="C2922" i="1"/>
  <c r="C2931" i="1"/>
  <c r="C2937" i="1"/>
  <c r="C2935" i="1"/>
  <c r="C2939" i="1"/>
  <c r="C2945" i="1"/>
  <c r="C2947" i="1"/>
  <c r="C2951" i="1"/>
  <c r="C2952" i="1"/>
  <c r="C2971" i="1"/>
  <c r="C2972" i="1"/>
  <c r="C2944" i="1"/>
  <c r="C2958" i="1"/>
  <c r="C2963" i="1"/>
  <c r="C2896" i="1"/>
  <c r="C2938" i="1"/>
  <c r="C2894" i="1"/>
  <c r="C2917" i="1"/>
  <c r="C2923" i="1"/>
  <c r="C2966" i="1"/>
  <c r="C2973" i="1"/>
  <c r="C2919" i="1"/>
  <c r="C2911" i="1"/>
  <c r="C2948" i="1"/>
  <c r="C2954" i="1"/>
  <c r="C2863" i="1"/>
  <c r="C2953" i="1"/>
  <c r="C2957" i="1"/>
  <c r="C2960" i="1"/>
  <c r="C2921" i="1"/>
  <c r="C2924" i="1"/>
  <c r="C2925" i="1"/>
  <c r="C2926" i="1"/>
  <c r="C2933" i="1"/>
  <c r="C2955" i="1"/>
  <c r="C2959" i="1"/>
  <c r="C2964" i="1"/>
  <c r="C2965" i="1"/>
  <c r="C2968" i="1"/>
  <c r="C2978" i="1"/>
  <c r="C2969" i="1"/>
  <c r="C2913" i="1"/>
  <c r="C2929" i="1"/>
  <c r="C2956" i="1"/>
  <c r="C2979" i="1"/>
  <c r="C2981" i="1"/>
  <c r="C2975" i="1"/>
  <c r="C2984" i="1"/>
  <c r="C2990" i="1"/>
  <c r="C2995" i="1"/>
  <c r="C2886" i="1"/>
  <c r="C2930" i="1"/>
  <c r="C2949" i="1"/>
  <c r="C2699" i="1"/>
  <c r="C2609" i="1"/>
  <c r="C2991" i="1"/>
  <c r="C2992" i="1"/>
  <c r="C2976" i="1"/>
  <c r="C2980" i="1"/>
  <c r="C2986" i="1"/>
  <c r="C2994" i="1"/>
  <c r="C2996" i="1"/>
  <c r="C3006" i="1"/>
  <c r="C3022" i="1"/>
  <c r="C3003" i="1"/>
  <c r="C3001" i="1"/>
  <c r="C3004" i="1"/>
  <c r="C3017" i="1"/>
  <c r="C3018" i="1"/>
  <c r="C2967" i="1"/>
  <c r="C3025" i="1"/>
  <c r="C2974" i="1"/>
  <c r="C2993" i="1"/>
  <c r="C3008" i="1"/>
  <c r="C2747" i="1"/>
  <c r="C2910" i="1"/>
  <c r="C2928" i="1"/>
  <c r="C2932" i="1"/>
  <c r="C2940" i="1"/>
  <c r="C2908" i="1"/>
  <c r="C2989" i="1"/>
  <c r="C2977" i="1"/>
  <c r="C2859" i="1"/>
  <c r="C2936" i="1"/>
  <c r="C2961" i="1"/>
  <c r="C3024" i="1"/>
  <c r="C3000" i="1"/>
  <c r="C3020" i="1"/>
  <c r="C3016" i="1"/>
  <c r="C2942" i="1"/>
  <c r="C2941" i="1"/>
  <c r="C2943" i="1"/>
  <c r="C2950" i="1"/>
  <c r="C2997" i="1"/>
  <c r="C3002" i="1"/>
  <c r="C3005" i="1"/>
  <c r="C3007" i="1"/>
  <c r="C3010" i="1"/>
  <c r="C3015" i="1"/>
  <c r="C3019" i="1"/>
  <c r="C3026" i="1"/>
  <c r="C3029" i="1"/>
  <c r="C2999" i="1"/>
  <c r="C3030" i="1"/>
  <c r="C3034" i="1"/>
  <c r="C2970" i="1"/>
  <c r="C3013" i="1"/>
  <c r="C2998" i="1"/>
  <c r="C3012" i="1"/>
  <c r="C3032" i="1"/>
  <c r="C3031" i="1"/>
  <c r="C3033" i="1"/>
  <c r="C3039" i="1"/>
  <c r="C3023" i="1"/>
  <c r="C3028" i="1"/>
  <c r="C3014" i="1"/>
  <c r="C3027" i="1"/>
  <c r="C3038" i="1"/>
  <c r="C3036" i="1"/>
  <c r="C2987" i="1"/>
  <c r="C2946" i="1"/>
  <c r="C3040" i="1"/>
  <c r="C3041" i="1"/>
  <c r="C3043" i="1"/>
  <c r="C3037" i="1"/>
  <c r="C3047" i="1"/>
  <c r="C3066" i="1"/>
  <c r="C3011" i="1"/>
  <c r="C3049" i="1"/>
  <c r="C3050" i="1"/>
  <c r="C3035" i="1"/>
  <c r="C3042" i="1"/>
  <c r="C2603" i="1"/>
  <c r="C3046" i="1"/>
  <c r="C3068" i="1"/>
  <c r="C3058" i="1"/>
  <c r="C3045" i="1"/>
  <c r="C3054" i="1"/>
  <c r="C3055" i="1"/>
  <c r="C3060" i="1"/>
  <c r="C3061" i="1"/>
  <c r="C3064" i="1"/>
  <c r="C3071" i="1"/>
  <c r="C3052" i="1"/>
  <c r="C2927" i="1"/>
  <c r="C2239" i="1"/>
  <c r="C3069" i="1"/>
  <c r="C2934" i="1"/>
  <c r="C2918" i="1"/>
  <c r="C3076" i="1"/>
  <c r="C3080" i="1"/>
  <c r="C3081" i="1"/>
  <c r="C3082" i="1"/>
  <c r="C3089" i="1"/>
  <c r="C3090" i="1"/>
  <c r="C3048" i="1"/>
  <c r="C3074" i="1"/>
  <c r="C3067" i="1"/>
  <c r="C3085" i="1"/>
  <c r="C3053" i="1"/>
  <c r="C3096" i="1"/>
  <c r="C3105" i="1"/>
  <c r="C2150" i="1"/>
  <c r="C2557" i="1"/>
  <c r="C2496" i="1"/>
  <c r="C2452" i="1"/>
  <c r="C2629" i="1"/>
  <c r="C2612" i="1"/>
  <c r="C2719" i="1"/>
  <c r="C2728" i="1"/>
  <c r="C2761" i="1"/>
  <c r="C2581" i="1"/>
  <c r="C2598" i="1"/>
  <c r="C2900" i="1"/>
  <c r="C2985" i="1"/>
  <c r="C2988" i="1"/>
  <c r="C3021" i="1"/>
  <c r="C3057" i="1"/>
  <c r="C3075" i="1"/>
  <c r="C3083" i="1"/>
  <c r="C3070" i="1"/>
  <c r="C3062" i="1"/>
  <c r="C3091" i="1"/>
  <c r="C3077" i="1"/>
  <c r="C3100" i="1"/>
  <c r="C3051" i="1"/>
  <c r="C3063" i="1"/>
  <c r="C3073" i="1"/>
  <c r="C3078" i="1"/>
  <c r="C3079" i="1"/>
  <c r="C3084" i="1"/>
  <c r="C3086" i="1"/>
  <c r="C3088" i="1"/>
  <c r="C3093" i="1"/>
  <c r="C3097" i="1"/>
  <c r="C3099" i="1"/>
  <c r="C3108" i="1"/>
  <c r="C2841" i="1"/>
  <c r="C3059" i="1"/>
  <c r="C3056" i="1"/>
  <c r="C3101" i="1"/>
  <c r="C3092" i="1"/>
  <c r="C3118" i="1"/>
  <c r="C3123" i="1"/>
  <c r="C3132" i="1"/>
  <c r="C3136" i="1"/>
  <c r="C3149" i="1"/>
  <c r="C3148" i="1"/>
  <c r="C3151" i="1"/>
  <c r="C3152" i="1"/>
  <c r="C3155" i="1"/>
  <c r="C3158" i="1"/>
  <c r="C3112" i="1"/>
  <c r="C3119" i="1"/>
  <c r="C3138" i="1"/>
  <c r="C2890" i="1"/>
  <c r="C3142" i="1"/>
  <c r="C3134" i="1"/>
  <c r="C3122" i="1"/>
  <c r="C3065" i="1"/>
  <c r="C3116" i="1"/>
  <c r="C3124" i="1"/>
  <c r="C3125" i="1"/>
  <c r="C3106" i="1"/>
  <c r="C3141" i="1"/>
  <c r="C3143" i="1"/>
  <c r="C3161" i="1"/>
  <c r="C3044" i="1"/>
  <c r="C3126" i="1"/>
  <c r="C2906" i="1"/>
  <c r="C3113" i="1"/>
  <c r="C3114" i="1"/>
  <c r="C3127" i="1"/>
  <c r="C3128" i="1"/>
  <c r="C3115" i="1"/>
  <c r="C3120" i="1"/>
  <c r="C3129" i="1"/>
  <c r="C3146" i="1"/>
  <c r="C3144" i="1"/>
  <c r="C3098" i="1"/>
  <c r="C2851" i="1"/>
  <c r="C2983" i="1"/>
  <c r="C3147" i="1"/>
  <c r="C3109" i="1"/>
  <c r="C3087" i="1"/>
  <c r="C3110" i="1"/>
  <c r="C3117" i="1"/>
  <c r="C3140" i="1"/>
  <c r="C3162" i="1"/>
  <c r="C3164" i="1"/>
  <c r="C3163" i="1"/>
  <c r="C3167" i="1"/>
  <c r="C3171" i="1"/>
  <c r="C3174" i="1"/>
  <c r="C3175" i="1"/>
  <c r="C3176" i="1"/>
  <c r="C3177" i="1"/>
  <c r="C3178" i="1"/>
  <c r="C3182" i="1"/>
  <c r="C3154" i="1"/>
  <c r="C3157" i="1"/>
  <c r="C3168" i="1"/>
  <c r="C3172" i="1"/>
  <c r="C3179" i="1"/>
  <c r="C3139" i="1"/>
  <c r="C3145" i="1"/>
  <c r="C3165" i="1"/>
  <c r="C3121" i="1"/>
  <c r="C3183" i="1"/>
  <c r="C3160" i="1"/>
  <c r="C3169" i="1"/>
  <c r="C3153" i="1"/>
  <c r="C3184" i="1"/>
  <c r="C3104" i="1"/>
  <c r="C3187" i="1"/>
  <c r="C3189" i="1"/>
  <c r="C3190" i="1"/>
  <c r="C3193" i="1"/>
  <c r="C3200" i="1"/>
  <c r="C3201" i="1"/>
  <c r="C3205" i="1"/>
  <c r="C3209" i="1"/>
  <c r="C3212" i="1"/>
  <c r="C3166" i="1"/>
  <c r="C3180" i="1"/>
  <c r="C3133" i="1"/>
  <c r="C3137" i="1"/>
  <c r="C3199" i="1"/>
  <c r="C3211" i="1"/>
  <c r="C2982" i="1"/>
  <c r="C3103" i="1"/>
  <c r="C3195" i="1"/>
  <c r="C3208" i="1"/>
  <c r="C3220" i="1"/>
  <c r="C3204" i="1"/>
  <c r="C3215" i="1"/>
  <c r="C3191" i="1"/>
  <c r="C3072" i="1"/>
  <c r="C3218" i="1"/>
  <c r="C3196" i="1"/>
  <c r="C3156" i="1"/>
  <c r="C3159" i="1"/>
  <c r="C3194" i="1"/>
  <c r="C3202" i="1"/>
  <c r="C3009" i="1"/>
  <c r="C3185" i="1"/>
  <c r="C3197" i="1"/>
  <c r="C3206" i="1"/>
  <c r="C3207" i="1"/>
  <c r="C3210" i="1"/>
  <c r="C3219" i="1"/>
  <c r="C3222" i="1"/>
  <c r="C3224" i="1"/>
  <c r="C3228" i="1"/>
  <c r="C3186" i="1"/>
  <c r="C3188" i="1"/>
  <c r="C3230" i="1"/>
  <c r="C3229" i="1"/>
  <c r="C3231" i="1"/>
  <c r="C3232" i="1"/>
  <c r="C3227" i="1"/>
  <c r="C3226" i="1"/>
  <c r="C3217" i="1"/>
  <c r="C3221" i="1"/>
  <c r="C3233" i="1"/>
  <c r="C3235" i="1"/>
  <c r="C3234" i="1"/>
  <c r="C3094" i="1"/>
  <c r="C3238" i="1"/>
  <c r="C3240" i="1"/>
  <c r="C3244" i="1"/>
  <c r="C3237" i="1"/>
  <c r="C3107" i="1"/>
  <c r="C3241" i="1"/>
  <c r="C3248" i="1"/>
  <c r="C3239" i="1"/>
  <c r="C3246" i="1"/>
  <c r="C3247" i="1"/>
  <c r="C3253" i="1"/>
  <c r="C3245" i="1"/>
  <c r="C3256" i="1"/>
  <c r="C3257" i="1"/>
  <c r="C3249" i="1"/>
  <c r="C3255" i="1"/>
  <c r="C3261" i="1"/>
  <c r="C3251" i="1"/>
  <c r="C3259" i="1"/>
  <c r="C3264" i="1"/>
  <c r="C3260" i="1"/>
  <c r="C3262" i="1"/>
  <c r="C3267" i="1"/>
  <c r="C3266" i="1"/>
  <c r="C3270" i="1"/>
  <c r="C3268" i="1"/>
  <c r="C3265" i="1"/>
  <c r="C3269" i="1"/>
  <c r="C3250" i="1"/>
  <c r="C3271" i="1"/>
  <c r="C3276" i="1"/>
  <c r="C3277" i="1"/>
  <c r="C3278" i="1"/>
  <c r="C3281" i="1"/>
  <c r="C3284" i="1"/>
  <c r="C3279" i="1"/>
  <c r="C3282" i="1"/>
  <c r="C3272" i="1"/>
  <c r="C3283" i="1"/>
  <c r="C3287" i="1"/>
  <c r="C3288" i="1"/>
  <c r="C3290" i="1"/>
  <c r="C3289" i="1"/>
  <c r="C3293" i="1"/>
  <c r="C3294" i="1"/>
  <c r="C3295" i="1"/>
  <c r="C3296" i="1"/>
  <c r="C3102" i="1"/>
  <c r="C3299" i="1"/>
  <c r="C3301" i="1"/>
  <c r="C3302" i="1"/>
  <c r="C3300" i="1"/>
  <c r="C3305" i="1"/>
  <c r="C3303" i="1"/>
  <c r="C3135" i="1"/>
  <c r="C3214" i="1"/>
  <c r="C3314" i="1"/>
  <c r="C3309" i="1"/>
  <c r="C3173" i="1"/>
  <c r="C3304" i="1"/>
  <c r="C3316" i="1"/>
  <c r="C3274" i="1"/>
  <c r="C3280" i="1"/>
  <c r="C3312" i="1"/>
  <c r="C3311" i="1"/>
  <c r="C3297" i="1"/>
  <c r="C3320" i="1"/>
  <c r="C3111" i="1"/>
  <c r="C3313" i="1"/>
  <c r="C3321" i="1"/>
  <c r="C3243" i="1"/>
  <c r="C3315" i="1"/>
  <c r="C3324" i="1"/>
  <c r="C3329" i="1"/>
  <c r="C3327" i="1"/>
  <c r="C3328" i="1"/>
  <c r="C3330" i="1"/>
  <c r="C3331" i="1"/>
  <c r="C3291" i="1"/>
  <c r="C3308" i="1"/>
  <c r="C3332" i="1"/>
  <c r="C3334" i="1"/>
  <c r="C3130" i="1"/>
  <c r="C3335" i="1"/>
  <c r="C3336" i="1"/>
  <c r="C3338" i="1"/>
  <c r="C3340" i="1"/>
  <c r="C3343" i="1"/>
  <c r="C3347" i="1"/>
  <c r="C3344" i="1"/>
  <c r="C3346" i="1"/>
  <c r="C3350" i="1"/>
  <c r="C3351" i="1"/>
  <c r="C3348" i="1"/>
  <c r="C3352" i="1"/>
  <c r="C3345" i="1"/>
  <c r="C3342" i="1"/>
  <c r="C3357" i="1"/>
  <c r="C3353" i="1"/>
  <c r="C3258" i="1"/>
  <c r="C3358" i="1"/>
  <c r="C3360" i="1"/>
  <c r="C3361" i="1"/>
  <c r="C3325" i="1"/>
  <c r="C3356" i="1"/>
  <c r="C3362" i="1"/>
  <c r="C3363" i="1"/>
  <c r="C3225" i="1"/>
  <c r="C3366" i="1"/>
  <c r="C3339" i="1"/>
  <c r="C3273" i="1"/>
  <c r="C3367" i="1"/>
  <c r="C3370" i="1"/>
  <c r="C3323" i="1"/>
  <c r="C3372" i="1"/>
  <c r="C3371" i="1"/>
  <c r="C2298" i="1"/>
  <c r="C2547" i="1"/>
  <c r="C2363" i="1"/>
  <c r="C2611" i="1"/>
  <c r="C3095" i="1"/>
  <c r="C3131" i="1"/>
  <c r="C3170" i="1"/>
  <c r="C3216" i="1"/>
  <c r="C3355" i="1"/>
  <c r="C3376" i="1"/>
  <c r="C3377" i="1"/>
  <c r="C3373" i="1"/>
  <c r="C2" i="1"/>
  <c r="B7088" i="2"/>
  <c r="B5959" i="2" l="1"/>
  <c r="B5960" i="2"/>
  <c r="G3373" i="1" l="1"/>
  <c r="B1448" i="2" l="1"/>
  <c r="B1449" i="2"/>
  <c r="B1450" i="2"/>
  <c r="B1451" i="2"/>
  <c r="B1452" i="2"/>
  <c r="B2847" i="2" l="1"/>
  <c r="B2844" i="2"/>
  <c r="B2845" i="2"/>
  <c r="B2846" i="2"/>
  <c r="B2861" i="2"/>
  <c r="G3377" i="1" l="1"/>
  <c r="G3376" i="1" l="1"/>
  <c r="G3355" i="1" l="1"/>
  <c r="G3216" i="1" l="1"/>
  <c r="G3170" i="1"/>
  <c r="B2860" i="2"/>
  <c r="B2859" i="2"/>
  <c r="G3131" i="1"/>
  <c r="G3095" i="1"/>
  <c r="G2611" i="1"/>
  <c r="B2855" i="2"/>
  <c r="B2856" i="2"/>
  <c r="B2857" i="2"/>
  <c r="G2547" i="1"/>
  <c r="G2363" i="1"/>
  <c r="B2858" i="2"/>
  <c r="B2854" i="2"/>
  <c r="G2298" i="1"/>
  <c r="G3371" i="1" l="1"/>
  <c r="G3372" i="1" l="1"/>
  <c r="G3323" i="1" l="1"/>
  <c r="B658" i="2"/>
  <c r="B659" i="2"/>
  <c r="B660" i="2"/>
  <c r="B661" i="2"/>
  <c r="B1584" i="2" l="1"/>
  <c r="B1585" i="2"/>
  <c r="B1576" i="2"/>
  <c r="B1577" i="2"/>
  <c r="B1578" i="2"/>
  <c r="B1579" i="2"/>
  <c r="B1580" i="2"/>
  <c r="B1581" i="2"/>
  <c r="B1582" i="2"/>
  <c r="B1583" i="2"/>
  <c r="G3370" i="1" l="1"/>
  <c r="G2786" i="1"/>
  <c r="G2639" i="1"/>
  <c r="G2758" i="1"/>
  <c r="G2642" i="1"/>
  <c r="G2373" i="1"/>
  <c r="G2179" i="1"/>
  <c r="G1713" i="1"/>
  <c r="G2231" i="1"/>
  <c r="G28" i="1"/>
  <c r="G1304" i="1"/>
  <c r="G2807" i="1"/>
  <c r="G2787" i="1"/>
  <c r="G2569" i="1"/>
  <c r="G2200" i="1"/>
  <c r="G2166" i="1"/>
  <c r="B5957" i="2"/>
  <c r="B5958" i="2"/>
  <c r="G3367" i="1"/>
  <c r="B2841" i="2"/>
  <c r="B2842" i="2"/>
  <c r="B2843" i="2"/>
  <c r="G3273" i="1"/>
  <c r="G3339" i="1"/>
  <c r="B5956" i="2"/>
  <c r="B5955" i="2"/>
  <c r="B5954" i="2"/>
  <c r="B5953" i="2"/>
  <c r="B5951" i="2"/>
  <c r="B5952" i="2"/>
  <c r="G3198" i="1"/>
  <c r="G2127" i="1"/>
  <c r="G2018" i="1"/>
  <c r="G1686" i="1"/>
  <c r="G1014" i="1"/>
  <c r="G638" i="1"/>
  <c r="B2822" i="2"/>
  <c r="B2848" i="2"/>
  <c r="G3225" i="1"/>
  <c r="G2747" i="1"/>
  <c r="G2782" i="1"/>
  <c r="G2774" i="1"/>
  <c r="G3363" i="1"/>
  <c r="G3362" i="1"/>
  <c r="B7392" i="2"/>
  <c r="B7391" i="2"/>
  <c r="B7390" i="2"/>
  <c r="B7389" i="2"/>
  <c r="B7388" i="2"/>
  <c r="B7387" i="2"/>
  <c r="B5950" i="2"/>
  <c r="B5949" i="2"/>
  <c r="B6751" i="2"/>
  <c r="B6752" i="2"/>
  <c r="B6750" i="2"/>
  <c r="G3356" i="1"/>
  <c r="G3325" i="1"/>
  <c r="G3361" i="1"/>
  <c r="G3360" i="1"/>
  <c r="G3358" i="1"/>
  <c r="G3258" i="1"/>
  <c r="G3353" i="1"/>
  <c r="G3359" i="1"/>
  <c r="G3357" i="1"/>
  <c r="B5084" i="2"/>
  <c r="B5083" i="2"/>
  <c r="B759" i="2"/>
  <c r="G3112" i="1"/>
  <c r="G3342" i="1"/>
  <c r="G3345" i="1"/>
  <c r="G3352" i="1"/>
  <c r="G3348" i="1"/>
  <c r="G3351" i="1"/>
  <c r="G3350" i="1"/>
  <c r="G3346" i="1"/>
  <c r="G3344" i="1"/>
  <c r="G3347" i="1"/>
  <c r="G3343" i="1"/>
  <c r="G3340" i="1"/>
  <c r="G3338" i="1"/>
  <c r="G2718" i="1"/>
  <c r="G2559" i="1"/>
  <c r="G3335" i="1"/>
  <c r="G2806" i="1"/>
  <c r="G2785" i="1"/>
  <c r="B5082" i="2"/>
  <c r="G3130" i="1"/>
  <c r="AH3334" i="1"/>
  <c r="G3334" i="1"/>
  <c r="G3332" i="1"/>
  <c r="G3313" i="1"/>
  <c r="G3308" i="1"/>
  <c r="G3291" i="1"/>
  <c r="G3331" i="1"/>
  <c r="G3330" i="1"/>
  <c r="G3328" i="1"/>
  <c r="G3327" i="1"/>
  <c r="G3329" i="1"/>
  <c r="G3324" i="1"/>
  <c r="G3315" i="1"/>
  <c r="B5948" i="2"/>
  <c r="G3243" i="1"/>
  <c r="G3321" i="1"/>
  <c r="G3111" i="1"/>
  <c r="AH3320" i="1"/>
  <c r="G3320" i="1"/>
  <c r="AR3289" i="1"/>
  <c r="G3297" i="1"/>
  <c r="AH3311" i="1"/>
  <c r="G3311" i="1"/>
  <c r="AH3312" i="1"/>
  <c r="G3312" i="1"/>
  <c r="G3280" i="1"/>
  <c r="AH3274" i="1"/>
  <c r="G3274" i="1"/>
  <c r="AH3316" i="1"/>
  <c r="G3316" i="1"/>
  <c r="AH3317" i="1"/>
  <c r="G3317" i="1"/>
  <c r="AH3304" i="1"/>
  <c r="G3304" i="1"/>
  <c r="G3173" i="1"/>
  <c r="G3309" i="1"/>
  <c r="G3310" i="1"/>
  <c r="AH3310" i="1"/>
  <c r="G3314" i="1"/>
  <c r="G3214" i="1"/>
  <c r="AH3244" i="1"/>
  <c r="AH3238" i="1"/>
  <c r="AH3240" i="1"/>
  <c r="G3135" i="1"/>
  <c r="B2033" i="2"/>
  <c r="AH3303" i="1"/>
  <c r="G3303" i="1"/>
  <c r="AH3275" i="1"/>
  <c r="G3275" i="1"/>
  <c r="AH3307" i="1"/>
  <c r="G3307" i="1"/>
  <c r="AH3305" i="1"/>
  <c r="G3305" i="1"/>
  <c r="AH3300" i="1"/>
  <c r="G3300" i="1"/>
  <c r="AH3302" i="1"/>
  <c r="G3302" i="1"/>
  <c r="AH3299" i="1"/>
  <c r="AH3298" i="1"/>
  <c r="G3301" i="1"/>
  <c r="G3299" i="1"/>
  <c r="G3298" i="1"/>
  <c r="G3102"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5" i="1"/>
  <c r="G2226" i="1"/>
  <c r="G2227" i="1"/>
  <c r="G2228" i="1"/>
  <c r="G2229" i="1"/>
  <c r="G2230" i="1"/>
  <c r="G2232" i="1"/>
  <c r="G2233" i="1"/>
  <c r="G2234" i="1"/>
  <c r="G2235" i="1"/>
  <c r="G2236" i="1"/>
  <c r="G2237" i="1"/>
  <c r="G2238" i="1"/>
  <c r="G2240" i="1"/>
  <c r="G2241" i="1"/>
  <c r="G2242" i="1"/>
  <c r="G2243" i="1"/>
  <c r="G2244" i="1"/>
  <c r="G2245" i="1"/>
  <c r="G2246" i="1"/>
  <c r="G2247" i="1"/>
  <c r="G2248" i="1"/>
  <c r="G2249" i="1"/>
  <c r="G2250" i="1"/>
  <c r="G2251" i="1"/>
  <c r="G2252" i="1"/>
  <c r="G2253" i="1"/>
  <c r="G2254" i="1"/>
  <c r="G2255" i="1"/>
  <c r="G2256" i="1"/>
  <c r="G2257" i="1"/>
  <c r="G2258" i="1"/>
  <c r="G2259" i="1"/>
  <c r="G2260"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4" i="1"/>
  <c r="G2365" i="1"/>
  <c r="G2366" i="1"/>
  <c r="G2367" i="1"/>
  <c r="G2368" i="1"/>
  <c r="G2369" i="1"/>
  <c r="G2370" i="1"/>
  <c r="G2371" i="1"/>
  <c r="G2372"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30" i="1"/>
  <c r="G2431" i="1"/>
  <c r="G2432" i="1"/>
  <c r="G2433" i="1"/>
  <c r="G2434" i="1"/>
  <c r="G2435" i="1"/>
  <c r="G2436" i="1"/>
  <c r="G2437" i="1"/>
  <c r="G2438" i="1"/>
  <c r="G2439" i="1"/>
  <c r="G2440" i="1"/>
  <c r="G2441" i="1"/>
  <c r="G2442" i="1"/>
  <c r="G2443" i="1"/>
  <c r="G2444" i="1"/>
  <c r="G2445" i="1"/>
  <c r="G2446" i="1"/>
  <c r="G2447" i="1"/>
  <c r="G2448" i="1"/>
  <c r="G2449" i="1"/>
  <c r="G2450" i="1"/>
  <c r="G2451"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7" i="1"/>
  <c r="G2498" i="1"/>
  <c r="G2499" i="1"/>
  <c r="G2500" i="1"/>
  <c r="G2501" i="1"/>
  <c r="G2502" i="1"/>
  <c r="G2503" i="1"/>
  <c r="G2504" i="1"/>
  <c r="G2505" i="1"/>
  <c r="G2506" i="1"/>
  <c r="G2507" i="1"/>
  <c r="G2508" i="1"/>
  <c r="G2509" i="1"/>
  <c r="G2511" i="1"/>
  <c r="G2512" i="1"/>
  <c r="G2513" i="1"/>
  <c r="G2514" i="1"/>
  <c r="G2515" i="1"/>
  <c r="G2516" i="1"/>
  <c r="G2517" i="1"/>
  <c r="G2518" i="1"/>
  <c r="G2519" i="1"/>
  <c r="G2520" i="1"/>
  <c r="G2521" i="1"/>
  <c r="G2522" i="1"/>
  <c r="G2523" i="1"/>
  <c r="G2524" i="1"/>
  <c r="G2525" i="1"/>
  <c r="G2526" i="1"/>
  <c r="G2527" i="1"/>
  <c r="G2528" i="1"/>
  <c r="G2529" i="1"/>
  <c r="G2530" i="1"/>
  <c r="G2534" i="1"/>
  <c r="G2535" i="1"/>
  <c r="G2536" i="1"/>
  <c r="G2537" i="1"/>
  <c r="G2538" i="1"/>
  <c r="G2539" i="1"/>
  <c r="G2540" i="1"/>
  <c r="G2541" i="1"/>
  <c r="G2542" i="1"/>
  <c r="G2543" i="1"/>
  <c r="G2544" i="1"/>
  <c r="G2545" i="1"/>
  <c r="G2546" i="1"/>
  <c r="G2548" i="1"/>
  <c r="G2549" i="1"/>
  <c r="G2550" i="1"/>
  <c r="G2551" i="1"/>
  <c r="G2552" i="1"/>
  <c r="G2553" i="1"/>
  <c r="G2554" i="1"/>
  <c r="G2555" i="1"/>
  <c r="G2556" i="1"/>
  <c r="G2558" i="1"/>
  <c r="G2560" i="1"/>
  <c r="G2562" i="1"/>
  <c r="G2563" i="1"/>
  <c r="G2564" i="1"/>
  <c r="G2565" i="1"/>
  <c r="G2566" i="1"/>
  <c r="G2567" i="1"/>
  <c r="G2568" i="1"/>
  <c r="G2570" i="1"/>
  <c r="G2571" i="1"/>
  <c r="G2574" i="1"/>
  <c r="G2572" i="1"/>
  <c r="G2573" i="1"/>
  <c r="G2575" i="1"/>
  <c r="G2576" i="1"/>
  <c r="G2577" i="1"/>
  <c r="G2578" i="1"/>
  <c r="G2579" i="1"/>
  <c r="G2580" i="1"/>
  <c r="G2582" i="1"/>
  <c r="G2584" i="1"/>
  <c r="G2585" i="1"/>
  <c r="G2586" i="1"/>
  <c r="G2587" i="1"/>
  <c r="G2588" i="1"/>
  <c r="G2589" i="1"/>
  <c r="G2590" i="1"/>
  <c r="G2591" i="1"/>
  <c r="G2592" i="1"/>
  <c r="G2593" i="1"/>
  <c r="G2594" i="1"/>
  <c r="G2595" i="1"/>
  <c r="G2596" i="1"/>
  <c r="G2597" i="1"/>
  <c r="G2599" i="1"/>
  <c r="G2600" i="1"/>
  <c r="G2601" i="1"/>
  <c r="G2602" i="1"/>
  <c r="G2604" i="1"/>
  <c r="G2605" i="1"/>
  <c r="G2606" i="1"/>
  <c r="G2607" i="1"/>
  <c r="G2608" i="1"/>
  <c r="G2610" i="1"/>
  <c r="G2613" i="1"/>
  <c r="G2614" i="1"/>
  <c r="G2615" i="1"/>
  <c r="G2617" i="1"/>
  <c r="G2618" i="1"/>
  <c r="G2619" i="1"/>
  <c r="G2620" i="1"/>
  <c r="G2621" i="1"/>
  <c r="G2622" i="1"/>
  <c r="G2623" i="1"/>
  <c r="G2624" i="1"/>
  <c r="G2625" i="1"/>
  <c r="G2626" i="1"/>
  <c r="G2627" i="1"/>
  <c r="G2628" i="1"/>
  <c r="G2630" i="1"/>
  <c r="G2631" i="1"/>
  <c r="G2632" i="1"/>
  <c r="G2633" i="1"/>
  <c r="G2634" i="1"/>
  <c r="G2635" i="1"/>
  <c r="G2636" i="1"/>
  <c r="G2637" i="1"/>
  <c r="G2638" i="1"/>
  <c r="G2640" i="1"/>
  <c r="G2641" i="1"/>
  <c r="G2644" i="1"/>
  <c r="G2645" i="1"/>
  <c r="G2646" i="1"/>
  <c r="G2647" i="1"/>
  <c r="G2648" i="1"/>
  <c r="G2649" i="1"/>
  <c r="G2650" i="1"/>
  <c r="G2652" i="1"/>
  <c r="G2653" i="1"/>
  <c r="G2654" i="1"/>
  <c r="G2655" i="1"/>
  <c r="G2657" i="1"/>
  <c r="G2658" i="1"/>
  <c r="G2659" i="1"/>
  <c r="G2660" i="1"/>
  <c r="G2661" i="1"/>
  <c r="G2663" i="1"/>
  <c r="G2664" i="1"/>
  <c r="G2665" i="1"/>
  <c r="G2666" i="1"/>
  <c r="G2667" i="1"/>
  <c r="G2668" i="1"/>
  <c r="G2669" i="1"/>
  <c r="G2671" i="1"/>
  <c r="G2672" i="1"/>
  <c r="G2673" i="1"/>
  <c r="G2674" i="1"/>
  <c r="G2675" i="1"/>
  <c r="G2676" i="1"/>
  <c r="G2677" i="1"/>
  <c r="G2678" i="1"/>
  <c r="G2679" i="1"/>
  <c r="G2680" i="1"/>
  <c r="G2681" i="1"/>
  <c r="G2683" i="1"/>
  <c r="G2684" i="1"/>
  <c r="G2685" i="1"/>
  <c r="G2686" i="1"/>
  <c r="G2687" i="1"/>
  <c r="G2690" i="1"/>
  <c r="G2691" i="1"/>
  <c r="G2692" i="1"/>
  <c r="G2693" i="1"/>
  <c r="G2694" i="1"/>
  <c r="G2695" i="1"/>
  <c r="G2697" i="1"/>
  <c r="G2696" i="1"/>
  <c r="G2698" i="1"/>
  <c r="G2700" i="1"/>
  <c r="G2701" i="1"/>
  <c r="G2702" i="1"/>
  <c r="G2703" i="1"/>
  <c r="G2704" i="1"/>
  <c r="G2705" i="1"/>
  <c r="G2708" i="1"/>
  <c r="G2710" i="1"/>
  <c r="G2715" i="1"/>
  <c r="G2706" i="1"/>
  <c r="G2759" i="1"/>
  <c r="G2753" i="1"/>
  <c r="G2662" i="1"/>
  <c r="G2740" i="1"/>
  <c r="G2717" i="1"/>
  <c r="G2720" i="1"/>
  <c r="G2722" i="1"/>
  <c r="G2723" i="1"/>
  <c r="G2724" i="1"/>
  <c r="G2727" i="1"/>
  <c r="G2730" i="1"/>
  <c r="G2731" i="1"/>
  <c r="G2739" i="1"/>
  <c r="G2741" i="1"/>
  <c r="G2742" i="1"/>
  <c r="G2754" i="1"/>
  <c r="G2760" i="1"/>
  <c r="G2764" i="1"/>
  <c r="G2765" i="1"/>
  <c r="G2766" i="1"/>
  <c r="G2768" i="1"/>
  <c r="G2716" i="1"/>
  <c r="G2682" i="1"/>
  <c r="G2729" i="1"/>
  <c r="G1963" i="1"/>
  <c r="G2134" i="1"/>
  <c r="G2261" i="1"/>
  <c r="G2711" i="1"/>
  <c r="G2689" i="1"/>
  <c r="G2707" i="1"/>
  <c r="G2531" i="1"/>
  <c r="G2532" i="1"/>
  <c r="G2561" i="1"/>
  <c r="G2726" i="1"/>
  <c r="G2714" i="1"/>
  <c r="G2721" i="1"/>
  <c r="G2737" i="1"/>
  <c r="G2743" i="1"/>
  <c r="G2713" i="1"/>
  <c r="G2712" i="1"/>
  <c r="G2734" i="1"/>
  <c r="G2752" i="1"/>
  <c r="G2732" i="1"/>
  <c r="G2745" i="1"/>
  <c r="G2510" i="1"/>
  <c r="G2733" i="1"/>
  <c r="G2735" i="1"/>
  <c r="G2738" i="1"/>
  <c r="G2748" i="1"/>
  <c r="G2756" i="1"/>
  <c r="G2757" i="1"/>
  <c r="G2767" i="1"/>
  <c r="G2769" i="1"/>
  <c r="G2772" i="1"/>
  <c r="G2773" i="1"/>
  <c r="G2725" i="1"/>
  <c r="G2744" i="1"/>
  <c r="G2751" i="1"/>
  <c r="G2755" i="1"/>
  <c r="G2749" i="1"/>
  <c r="G2736" i="1"/>
  <c r="G2762" i="1"/>
  <c r="G2670" i="1"/>
  <c r="G2781" i="1"/>
  <c r="G2784" i="1"/>
  <c r="G2796" i="1"/>
  <c r="G2794" i="1"/>
  <c r="G2798" i="1"/>
  <c r="G2799" i="1"/>
  <c r="G2616" i="1"/>
  <c r="G2809" i="1"/>
  <c r="G2656" i="1"/>
  <c r="G1442" i="1"/>
  <c r="G2797" i="1"/>
  <c r="G2805" i="1"/>
  <c r="G2776" i="1"/>
  <c r="G2779" i="1"/>
  <c r="G2770" i="1"/>
  <c r="G2643" i="1"/>
  <c r="G2780" i="1"/>
  <c r="G2793" i="1"/>
  <c r="G2788" i="1"/>
  <c r="G2783" i="1"/>
  <c r="G2789" i="1"/>
  <c r="G2792" i="1"/>
  <c r="G2795" i="1"/>
  <c r="G2800" i="1"/>
  <c r="G2763" i="1"/>
  <c r="G2778" i="1"/>
  <c r="G2830" i="1"/>
  <c r="G2848" i="1"/>
  <c r="G2810" i="1"/>
  <c r="G2822" i="1"/>
  <c r="G2823" i="1"/>
  <c r="G2826" i="1"/>
  <c r="G2829" i="1"/>
  <c r="G2832" i="1"/>
  <c r="G2791" i="1"/>
  <c r="G2846" i="1"/>
  <c r="G2852" i="1"/>
  <c r="G2853" i="1"/>
  <c r="G2854" i="1"/>
  <c r="G2857" i="1"/>
  <c r="G2858" i="1"/>
  <c r="G2860" i="1"/>
  <c r="G2861" i="1"/>
  <c r="G2862" i="1"/>
  <c r="G2865" i="1"/>
  <c r="G2868" i="1"/>
  <c r="G2775" i="1"/>
  <c r="G2839" i="1"/>
  <c r="G2856" i="1"/>
  <c r="G2842" i="1"/>
  <c r="G2808" i="1"/>
  <c r="G2651" i="1"/>
  <c r="G2746" i="1"/>
  <c r="G2750" i="1"/>
  <c r="G2827" i="1"/>
  <c r="G2429" i="1"/>
  <c r="G2820" i="1"/>
  <c r="G2815" i="1"/>
  <c r="G2849" i="1"/>
  <c r="G2843" i="1"/>
  <c r="G2801" i="1"/>
  <c r="G2811" i="1"/>
  <c r="G2825" i="1"/>
  <c r="G2855" i="1"/>
  <c r="G2813" i="1"/>
  <c r="G2812" i="1"/>
  <c r="G2814" i="1"/>
  <c r="G2816" i="1"/>
  <c r="G2817" i="1"/>
  <c r="G2819" i="1"/>
  <c r="G2824" i="1"/>
  <c r="G2821" i="1"/>
  <c r="G2828" i="1"/>
  <c r="G2831" i="1"/>
  <c r="G2833" i="1"/>
  <c r="G2835" i="1"/>
  <c r="G2838" i="1"/>
  <c r="G2844" i="1"/>
  <c r="G2709" i="1"/>
  <c r="G2836" i="1"/>
  <c r="G2837" i="1"/>
  <c r="G2864" i="1"/>
  <c r="G2869" i="1"/>
  <c r="G2583" i="1"/>
  <c r="G2790" i="1"/>
  <c r="G2803" i="1"/>
  <c r="G2802" i="1"/>
  <c r="G2840" i="1"/>
  <c r="G2845" i="1"/>
  <c r="G2882" i="1"/>
  <c r="G2875" i="1"/>
  <c r="G2876" i="1"/>
  <c r="G2878" i="1"/>
  <c r="G2885" i="1"/>
  <c r="G2888" i="1"/>
  <c r="G2903" i="1"/>
  <c r="G2880" i="1"/>
  <c r="G2879" i="1"/>
  <c r="G2884" i="1"/>
  <c r="G2847" i="1"/>
  <c r="G2871" i="1"/>
  <c r="G2777" i="1"/>
  <c r="G2804" i="1"/>
  <c r="G2873" i="1"/>
  <c r="G2898" i="1"/>
  <c r="G2870" i="1"/>
  <c r="G2834" i="1"/>
  <c r="G2872" i="1"/>
  <c r="G2877" i="1"/>
  <c r="G2881" i="1"/>
  <c r="G2891" i="1"/>
  <c r="G2893" i="1"/>
  <c r="G2897" i="1"/>
  <c r="G2901" i="1"/>
  <c r="G2902" i="1"/>
  <c r="G2866" i="1"/>
  <c r="G2867" i="1"/>
  <c r="G2887" i="1"/>
  <c r="G2892" i="1"/>
  <c r="G2899" i="1"/>
  <c r="G2883" i="1"/>
  <c r="G2850" i="1"/>
  <c r="G2915" i="1"/>
  <c r="G2874" i="1"/>
  <c r="G2914" i="1"/>
  <c r="G2889" i="1"/>
  <c r="G2907" i="1"/>
  <c r="G2909" i="1"/>
  <c r="G2912" i="1"/>
  <c r="G2920" i="1"/>
  <c r="G2904" i="1"/>
  <c r="G2895" i="1"/>
  <c r="G2916" i="1"/>
  <c r="G2962" i="1"/>
  <c r="G2922" i="1"/>
  <c r="G2931" i="1"/>
  <c r="G2937" i="1"/>
  <c r="G2935" i="1"/>
  <c r="G2939" i="1"/>
  <c r="G2945" i="1"/>
  <c r="G2947" i="1"/>
  <c r="G2951" i="1"/>
  <c r="G2952" i="1"/>
  <c r="G2971" i="1"/>
  <c r="G2972" i="1"/>
  <c r="G2944" i="1"/>
  <c r="G2958" i="1"/>
  <c r="G2963" i="1"/>
  <c r="G2896" i="1"/>
  <c r="G2938" i="1"/>
  <c r="G2894" i="1"/>
  <c r="G2917" i="1"/>
  <c r="G2923" i="1"/>
  <c r="G2966" i="1"/>
  <c r="G2973" i="1"/>
  <c r="G2919" i="1"/>
  <c r="G2911" i="1"/>
  <c r="G2948" i="1"/>
  <c r="G2954" i="1"/>
  <c r="G2863" i="1"/>
  <c r="G2953" i="1"/>
  <c r="G2957" i="1"/>
  <c r="G2960" i="1"/>
  <c r="G2921" i="1"/>
  <c r="G2924" i="1"/>
  <c r="G2925" i="1"/>
  <c r="G2926" i="1"/>
  <c r="G2933" i="1"/>
  <c r="G2955" i="1"/>
  <c r="G2959" i="1"/>
  <c r="G2964" i="1"/>
  <c r="G2965" i="1"/>
  <c r="G2968" i="1"/>
  <c r="G2978" i="1"/>
  <c r="G2969" i="1"/>
  <c r="G2913" i="1"/>
  <c r="G2929" i="1"/>
  <c r="G2956" i="1"/>
  <c r="G2979" i="1"/>
  <c r="G2981" i="1"/>
  <c r="G2975" i="1"/>
  <c r="G2984" i="1"/>
  <c r="G2990" i="1"/>
  <c r="G2995" i="1"/>
  <c r="G2886" i="1"/>
  <c r="G2930" i="1"/>
  <c r="G2949" i="1"/>
  <c r="G2699" i="1"/>
  <c r="G2609" i="1"/>
  <c r="G2991" i="1"/>
  <c r="G2992" i="1"/>
  <c r="G2980" i="1"/>
  <c r="G2986" i="1"/>
  <c r="G2994" i="1"/>
  <c r="G2996" i="1"/>
  <c r="G3006" i="1"/>
  <c r="G3022" i="1"/>
  <c r="G3003" i="1"/>
  <c r="G3001" i="1"/>
  <c r="G3004" i="1"/>
  <c r="G3017" i="1"/>
  <c r="G3018" i="1"/>
  <c r="G2967" i="1"/>
  <c r="G3025" i="1"/>
  <c r="G2974" i="1"/>
  <c r="G2993" i="1"/>
  <c r="G3008" i="1"/>
  <c r="G2910" i="1"/>
  <c r="G2928" i="1"/>
  <c r="G2932" i="1"/>
  <c r="G2940" i="1"/>
  <c r="G2908" i="1"/>
  <c r="G2989" i="1"/>
  <c r="G2977" i="1"/>
  <c r="G2859" i="1"/>
  <c r="G2936" i="1"/>
  <c r="G2961" i="1"/>
  <c r="G3024" i="1"/>
  <c r="G3000" i="1"/>
  <c r="G3020" i="1"/>
  <c r="G3016" i="1"/>
  <c r="G2942" i="1"/>
  <c r="G2941" i="1"/>
  <c r="G2943" i="1"/>
  <c r="G2950" i="1"/>
  <c r="G2997" i="1"/>
  <c r="G3002" i="1"/>
  <c r="G3005" i="1"/>
  <c r="G3007" i="1"/>
  <c r="G3010" i="1"/>
  <c r="G3015" i="1"/>
  <c r="G3019" i="1"/>
  <c r="G3026" i="1"/>
  <c r="G3029" i="1"/>
  <c r="G2999" i="1"/>
  <c r="G3030" i="1"/>
  <c r="G3034" i="1"/>
  <c r="G2970" i="1"/>
  <c r="G3013" i="1"/>
  <c r="G2998" i="1"/>
  <c r="G3012" i="1"/>
  <c r="G3032" i="1"/>
  <c r="G3031" i="1"/>
  <c r="G3033" i="1"/>
  <c r="G3039" i="1"/>
  <c r="G3023" i="1"/>
  <c r="G3028" i="1"/>
  <c r="G3014" i="1"/>
  <c r="G3027" i="1"/>
  <c r="G3038" i="1"/>
  <c r="G3036" i="1"/>
  <c r="G2987" i="1"/>
  <c r="G2946" i="1"/>
  <c r="G3040" i="1"/>
  <c r="G3041" i="1"/>
  <c r="G3043" i="1"/>
  <c r="G3037" i="1"/>
  <c r="G3047" i="1"/>
  <c r="G3066" i="1"/>
  <c r="G3011" i="1"/>
  <c r="G3049" i="1"/>
  <c r="G3050" i="1"/>
  <c r="G3035" i="1"/>
  <c r="G3042" i="1"/>
  <c r="G2603" i="1"/>
  <c r="G3046" i="1"/>
  <c r="G3068" i="1"/>
  <c r="G3058" i="1"/>
  <c r="G3045" i="1"/>
  <c r="G3054" i="1"/>
  <c r="G3055" i="1"/>
  <c r="G3060" i="1"/>
  <c r="G3061" i="1"/>
  <c r="G3064" i="1"/>
  <c r="G3071" i="1"/>
  <c r="G3052" i="1"/>
  <c r="G2927" i="1"/>
  <c r="G2239" i="1"/>
  <c r="G3069" i="1"/>
  <c r="G2934" i="1"/>
  <c r="G2918" i="1"/>
  <c r="G3076" i="1"/>
  <c r="G3080" i="1"/>
  <c r="G3081" i="1"/>
  <c r="G3082" i="1"/>
  <c r="G3089" i="1"/>
  <c r="G3090" i="1"/>
  <c r="G3048" i="1"/>
  <c r="G3074" i="1"/>
  <c r="G3067" i="1"/>
  <c r="G3085" i="1"/>
  <c r="G3053" i="1"/>
  <c r="G3096" i="1"/>
  <c r="G3105" i="1"/>
  <c r="G2150" i="1"/>
  <c r="G2557" i="1"/>
  <c r="G2496" i="1"/>
  <c r="G2452" i="1"/>
  <c r="G2629" i="1"/>
  <c r="G2612" i="1"/>
  <c r="G2719" i="1"/>
  <c r="G2728" i="1"/>
  <c r="G2761" i="1"/>
  <c r="G2581" i="1"/>
  <c r="G2598" i="1"/>
  <c r="G2900" i="1"/>
  <c r="G2985" i="1"/>
  <c r="G2988" i="1"/>
  <c r="G3021" i="1"/>
  <c r="G3057" i="1"/>
  <c r="G3075" i="1"/>
  <c r="G3083" i="1"/>
  <c r="G3070" i="1"/>
  <c r="G3062" i="1"/>
  <c r="G3091" i="1"/>
  <c r="G3077" i="1"/>
  <c r="G3100" i="1"/>
  <c r="G3051" i="1"/>
  <c r="G3063" i="1"/>
  <c r="G3073" i="1"/>
  <c r="G3078" i="1"/>
  <c r="G3079" i="1"/>
  <c r="G3084" i="1"/>
  <c r="G3086" i="1"/>
  <c r="G3088" i="1"/>
  <c r="G3093" i="1"/>
  <c r="G3097" i="1"/>
  <c r="G3099" i="1"/>
  <c r="G3108" i="1"/>
  <c r="G2841" i="1"/>
  <c r="G3059" i="1"/>
  <c r="G3056" i="1"/>
  <c r="G3101" i="1"/>
  <c r="G3092" i="1"/>
  <c r="G3118" i="1"/>
  <c r="G3123" i="1"/>
  <c r="G3132" i="1"/>
  <c r="G3136" i="1"/>
  <c r="G3149" i="1"/>
  <c r="G3148" i="1"/>
  <c r="G3151" i="1"/>
  <c r="G3152" i="1"/>
  <c r="G3155" i="1"/>
  <c r="G3158" i="1"/>
  <c r="G3119" i="1"/>
  <c r="G3138" i="1"/>
  <c r="G2890" i="1"/>
  <c r="G3142" i="1"/>
  <c r="G3134" i="1"/>
  <c r="G3122" i="1"/>
  <c r="G3065" i="1"/>
  <c r="G3116" i="1"/>
  <c r="G3124" i="1"/>
  <c r="G3125" i="1"/>
  <c r="G3106" i="1"/>
  <c r="G3141" i="1"/>
  <c r="G3143" i="1"/>
  <c r="G3161" i="1"/>
  <c r="G3044" i="1"/>
  <c r="G3126" i="1"/>
  <c r="G3113" i="1"/>
  <c r="G3114" i="1"/>
  <c r="G3127" i="1"/>
  <c r="G3128" i="1"/>
  <c r="G3115" i="1"/>
  <c r="G3120" i="1"/>
  <c r="G3129" i="1"/>
  <c r="G3146" i="1"/>
  <c r="G3144" i="1"/>
  <c r="G3098" i="1"/>
  <c r="G2851" i="1"/>
  <c r="G2983" i="1"/>
  <c r="G3147" i="1"/>
  <c r="G3109" i="1"/>
  <c r="G3087" i="1"/>
  <c r="G3110" i="1"/>
  <c r="G3117" i="1"/>
  <c r="G3140" i="1"/>
  <c r="G3162" i="1"/>
  <c r="G3164" i="1"/>
  <c r="G3163" i="1"/>
  <c r="G3167" i="1"/>
  <c r="G3171" i="1"/>
  <c r="G3174" i="1"/>
  <c r="G3175" i="1"/>
  <c r="G3176" i="1"/>
  <c r="G3177" i="1"/>
  <c r="G3178" i="1"/>
  <c r="G3182" i="1"/>
  <c r="G3154" i="1"/>
  <c r="G3157" i="1"/>
  <c r="G3168" i="1"/>
  <c r="G3172" i="1"/>
  <c r="G3179" i="1"/>
  <c r="G3181" i="1"/>
  <c r="G3139" i="1"/>
  <c r="G3145" i="1"/>
  <c r="G3165" i="1"/>
  <c r="G3121" i="1"/>
  <c r="G3183" i="1"/>
  <c r="G3160" i="1"/>
  <c r="G3169" i="1"/>
  <c r="G3153" i="1"/>
  <c r="G3184" i="1"/>
  <c r="G3104" i="1"/>
  <c r="G3187" i="1"/>
  <c r="G3189" i="1"/>
  <c r="G3190" i="1"/>
  <c r="G3193" i="1"/>
  <c r="G3200" i="1"/>
  <c r="G3201" i="1"/>
  <c r="G3205" i="1"/>
  <c r="G3209" i="1"/>
  <c r="G3212" i="1"/>
  <c r="G3166" i="1"/>
  <c r="G3180" i="1"/>
  <c r="G3133" i="1"/>
  <c r="G3137" i="1"/>
  <c r="G3199" i="1"/>
  <c r="G3211" i="1"/>
  <c r="G2982" i="1"/>
  <c r="G3103" i="1"/>
  <c r="G3195" i="1"/>
  <c r="G3208" i="1"/>
  <c r="G3220" i="1"/>
  <c r="G3204" i="1"/>
  <c r="G3215" i="1"/>
  <c r="G3191" i="1"/>
  <c r="G3192" i="1"/>
  <c r="G3072" i="1"/>
  <c r="G3218" i="1"/>
  <c r="G3196" i="1"/>
  <c r="G3156" i="1"/>
  <c r="G3159" i="1"/>
  <c r="G3194" i="1"/>
  <c r="G3202" i="1"/>
  <c r="G3185" i="1"/>
  <c r="G3197" i="1"/>
  <c r="G3206" i="1"/>
  <c r="G3207" i="1"/>
  <c r="G3210" i="1"/>
  <c r="G3219" i="1"/>
  <c r="G3222" i="1"/>
  <c r="G3224" i="1"/>
  <c r="G3228" i="1"/>
  <c r="G3186" i="1"/>
  <c r="G3188" i="1"/>
  <c r="G3230" i="1"/>
  <c r="G3229" i="1"/>
  <c r="G3231" i="1"/>
  <c r="G3232" i="1"/>
  <c r="G3227" i="1"/>
  <c r="G3226" i="1"/>
  <c r="G3217" i="1"/>
  <c r="G3221" i="1"/>
  <c r="G3233" i="1"/>
  <c r="G3236" i="1"/>
  <c r="G3235" i="1"/>
  <c r="G3234" i="1"/>
  <c r="G3094" i="1"/>
  <c r="G3238" i="1"/>
  <c r="G3240" i="1"/>
  <c r="G3244" i="1"/>
  <c r="G3237" i="1"/>
  <c r="G3107" i="1"/>
  <c r="G3241" i="1"/>
  <c r="G3248" i="1"/>
  <c r="G3239" i="1"/>
  <c r="G3246" i="1"/>
  <c r="G3254" i="1"/>
  <c r="G3247" i="1"/>
  <c r="G3253" i="1"/>
  <c r="G3245" i="1"/>
  <c r="G3256" i="1"/>
  <c r="G3257" i="1"/>
  <c r="G3249" i="1"/>
  <c r="G3255" i="1"/>
  <c r="G3261" i="1"/>
  <c r="G3251" i="1"/>
  <c r="G3259" i="1"/>
  <c r="G3264" i="1"/>
  <c r="G3260" i="1"/>
  <c r="G3262" i="1"/>
  <c r="G3267" i="1"/>
  <c r="G3266" i="1"/>
  <c r="G3270" i="1"/>
  <c r="G3268" i="1"/>
  <c r="G3265" i="1"/>
  <c r="G3269" i="1"/>
  <c r="G3263" i="1"/>
  <c r="G3250" i="1"/>
  <c r="G3271" i="1"/>
  <c r="G3276" i="1"/>
  <c r="G3277" i="1"/>
  <c r="G3278" i="1"/>
  <c r="G3281" i="1"/>
  <c r="G3284" i="1"/>
  <c r="G3279" i="1"/>
  <c r="G3282" i="1"/>
  <c r="G3272" i="1"/>
  <c r="G3283" i="1"/>
  <c r="G3287" i="1"/>
  <c r="G3288" i="1"/>
  <c r="G3290" i="1"/>
  <c r="G3289" i="1"/>
  <c r="G3285" i="1"/>
  <c r="G3293" i="1"/>
  <c r="G3294" i="1"/>
  <c r="G3295" i="1"/>
  <c r="G3296" i="1"/>
  <c r="AQ3288" i="1"/>
  <c r="AT3288" i="1" s="1"/>
  <c r="AQ3287" i="1"/>
  <c r="AT3287" i="1" s="1"/>
  <c r="AQ3286" i="1"/>
  <c r="AS3286" i="1" s="1"/>
  <c r="AQ3285" i="1"/>
  <c r="AQ3279" i="1"/>
  <c r="AQ3266" i="1"/>
  <c r="AS3266" i="1" s="1"/>
  <c r="AQ3273" i="1"/>
  <c r="AQ3278" i="1"/>
  <c r="AR3278" i="1" s="1"/>
  <c r="AQ3272" i="1"/>
  <c r="AS3272" i="1" s="1"/>
  <c r="AQ3271" i="1"/>
  <c r="AT3271" i="1" s="1"/>
  <c r="AQ3270" i="1"/>
  <c r="AQ3265" i="1"/>
  <c r="AQ3245" i="1"/>
  <c r="AS3245" i="1" s="1"/>
  <c r="AQ3257" i="1"/>
  <c r="AT3257" i="1" s="1"/>
  <c r="AQ3263" i="1"/>
  <c r="AS3263" i="1" s="1"/>
  <c r="AQ3259" i="1"/>
  <c r="AT3259" i="1" s="1"/>
  <c r="AQ3262" i="1"/>
  <c r="AR3262" i="1" s="1"/>
  <c r="AQ3145" i="1"/>
  <c r="AR3145" i="1" s="1"/>
  <c r="AQ3264" i="1"/>
  <c r="AT3264" i="1" s="1"/>
  <c r="AQ3260" i="1"/>
  <c r="AQ3261" i="1"/>
  <c r="AT3261" i="1" s="1"/>
  <c r="AQ3256" i="1"/>
  <c r="AT3256" i="1" s="1"/>
  <c r="AQ3254" i="1"/>
  <c r="AT3254" i="1" s="1"/>
  <c r="AQ3258" i="1"/>
  <c r="AR3258" i="1" s="1"/>
  <c r="AQ3253" i="1"/>
  <c r="AT3253" i="1" s="1"/>
  <c r="AQ3246" i="1"/>
  <c r="AT3246" i="1" s="1"/>
  <c r="AQ3255" i="1"/>
  <c r="AQ3244" i="1"/>
  <c r="AQ3249" i="1"/>
  <c r="AT3249" i="1" s="1"/>
  <c r="AQ3251" i="1"/>
  <c r="AS3251" i="1" s="1"/>
  <c r="AQ3250" i="1"/>
  <c r="AQ3240" i="1"/>
  <c r="AS3240" i="1" s="1"/>
  <c r="AQ3247" i="1"/>
  <c r="AR3247" i="1" s="1"/>
  <c r="AQ3242" i="1"/>
  <c r="AT3242" i="1" s="1"/>
  <c r="AQ3248" i="1"/>
  <c r="AS3248" i="1" s="1"/>
  <c r="AQ3241" i="1"/>
  <c r="AQ3235" i="1"/>
  <c r="AT3235" i="1" s="1"/>
  <c r="AQ3243" i="1"/>
  <c r="AT3243" i="1" s="1"/>
  <c r="AQ3237" i="1"/>
  <c r="AT3237" i="1" s="1"/>
  <c r="AQ3104" i="1"/>
  <c r="AT3104" i="1" s="1"/>
  <c r="AQ3233" i="1"/>
  <c r="AT3233" i="1" s="1"/>
  <c r="AQ3239" i="1"/>
  <c r="AT3239" i="1" s="1"/>
  <c r="AP3239" i="1"/>
  <c r="AQ3236" i="1"/>
  <c r="AS3236" i="1" s="1"/>
  <c r="AQ3234" i="1"/>
  <c r="AT3234" i="1" s="1"/>
  <c r="AP3234" i="1"/>
  <c r="AQ3091" i="1"/>
  <c r="AP3091" i="1"/>
  <c r="AQ3230" i="1"/>
  <c r="AR3230" i="1" s="1"/>
  <c r="AP3230" i="1"/>
  <c r="AQ3231" i="1"/>
  <c r="AT3231" i="1" s="1"/>
  <c r="AP3231" i="1"/>
  <c r="AQ3232" i="1"/>
  <c r="AR3232" i="1" s="1"/>
  <c r="AP3232" i="1"/>
  <c r="AQ3229" i="1"/>
  <c r="AP3229" i="1"/>
  <c r="AQ3217" i="1"/>
  <c r="AR3217" i="1" s="1"/>
  <c r="AP3217" i="1"/>
  <c r="AQ3213" i="1"/>
  <c r="AP3213" i="1"/>
  <c r="AQ3222" i="1"/>
  <c r="AR3222" i="1" s="1"/>
  <c r="AP3222" i="1"/>
  <c r="AQ3223" i="1"/>
  <c r="AP3223" i="1"/>
  <c r="AQ3228" i="1"/>
  <c r="AR3228" i="1" s="1"/>
  <c r="AP3228" i="1"/>
  <c r="AQ3227" i="1"/>
  <c r="AT3227" i="1" s="1"/>
  <c r="AP3227" i="1"/>
  <c r="AQ3225" i="1"/>
  <c r="AS3225" i="1" s="1"/>
  <c r="AP3225" i="1"/>
  <c r="AQ3226" i="1"/>
  <c r="AR3226" i="1" s="1"/>
  <c r="AP3226" i="1"/>
  <c r="AQ3185" i="1"/>
  <c r="AP3185" i="1"/>
  <c r="AQ3183" i="1"/>
  <c r="AP3183" i="1"/>
  <c r="AQ3224" i="1"/>
  <c r="AP3224" i="1"/>
  <c r="AQ3220" i="1"/>
  <c r="AP3220" i="1"/>
  <c r="AQ3219" i="1"/>
  <c r="AT3219" i="1" s="1"/>
  <c r="AP3219" i="1"/>
  <c r="AQ3215" i="1"/>
  <c r="AP3215" i="1"/>
  <c r="AQ3207" i="1"/>
  <c r="AS3207" i="1" s="1"/>
  <c r="AP3207" i="1"/>
  <c r="AQ3204" i="1"/>
  <c r="AP3204" i="1"/>
  <c r="AQ3203" i="1"/>
  <c r="AT3203" i="1" s="1"/>
  <c r="AP3203" i="1"/>
  <c r="AQ3194" i="1"/>
  <c r="AP3194" i="1"/>
  <c r="AQ3182" i="1"/>
  <c r="AP3182" i="1"/>
  <c r="AQ3218" i="1"/>
  <c r="AP3218" i="1"/>
  <c r="AQ3199" i="1"/>
  <c r="AR3199" i="1" s="1"/>
  <c r="AP3199" i="1"/>
  <c r="AQ3191" i="1"/>
  <c r="AT3191" i="1" s="1"/>
  <c r="AP3191" i="1"/>
  <c r="AQ3156" i="1"/>
  <c r="AT3156" i="1" s="1"/>
  <c r="AP3156" i="1"/>
  <c r="AQ3153" i="1"/>
  <c r="AT3153" i="1" s="1"/>
  <c r="AP3153" i="1"/>
  <c r="AQ3214" i="1"/>
  <c r="AP3214" i="1"/>
  <c r="AQ3069" i="1"/>
  <c r="AP3069" i="1"/>
  <c r="AQ3189" i="1"/>
  <c r="AT3189" i="1" s="1"/>
  <c r="AP3189" i="1"/>
  <c r="AQ3188" i="1"/>
  <c r="AS3188" i="1" s="1"/>
  <c r="AP3188" i="1"/>
  <c r="AQ3211" i="1"/>
  <c r="AS3211" i="1" s="1"/>
  <c r="AP3211" i="1"/>
  <c r="AQ3201" i="1"/>
  <c r="AR3201" i="1" s="1"/>
  <c r="AP3201" i="1"/>
  <c r="AQ3216" i="1"/>
  <c r="AT3216" i="1" s="1"/>
  <c r="AP3216" i="1"/>
  <c r="AQ3192" i="1"/>
  <c r="AP3192" i="1"/>
  <c r="AQ3100" i="1"/>
  <c r="AT3100" i="1" s="1"/>
  <c r="AP3100" i="1"/>
  <c r="AQ2980" i="1"/>
  <c r="AP2980" i="1"/>
  <c r="AQ3208" i="1"/>
  <c r="AR3208" i="1" s="1"/>
  <c r="AP3208" i="1"/>
  <c r="AQ3196" i="1"/>
  <c r="AT3196" i="1" s="1"/>
  <c r="AP3196" i="1"/>
  <c r="AQ3134" i="1"/>
  <c r="AR3134" i="1" s="1"/>
  <c r="AP3134" i="1"/>
  <c r="AQ3130" i="1"/>
  <c r="AT3130" i="1" s="1"/>
  <c r="AP3130" i="1"/>
  <c r="AQ3177" i="1"/>
  <c r="AR3177" i="1" s="1"/>
  <c r="AP3177" i="1"/>
  <c r="AQ3163" i="1"/>
  <c r="AS3163" i="1" s="1"/>
  <c r="AP3163" i="1"/>
  <c r="AQ3209" i="1"/>
  <c r="AP3209" i="1"/>
  <c r="AQ3206" i="1"/>
  <c r="AT3206" i="1" s="1"/>
  <c r="AP3206" i="1"/>
  <c r="AQ3202" i="1"/>
  <c r="AR3202" i="1" s="1"/>
  <c r="AP3202" i="1"/>
  <c r="AQ3198" i="1"/>
  <c r="AP3198" i="1"/>
  <c r="AQ3197" i="1"/>
  <c r="AT3197" i="1" s="1"/>
  <c r="AP3197" i="1"/>
  <c r="AQ3190" i="1"/>
  <c r="AT3190" i="1" s="1"/>
  <c r="AP3190" i="1"/>
  <c r="AQ3186" i="1"/>
  <c r="AR3186" i="1" s="1"/>
  <c r="AP3186" i="1"/>
  <c r="AQ3184" i="1"/>
  <c r="AP3184" i="1"/>
  <c r="AQ3101" i="1"/>
  <c r="AT3101" i="1" s="1"/>
  <c r="AP3101" i="1"/>
  <c r="AQ3181" i="1"/>
  <c r="AR3181" i="1" s="1"/>
  <c r="AP3181" i="1"/>
  <c r="AQ3150" i="1"/>
  <c r="AP3150" i="1"/>
  <c r="AQ3166" i="1"/>
  <c r="AT3166" i="1" s="1"/>
  <c r="AP3166" i="1"/>
  <c r="AQ3157" i="1"/>
  <c r="AT3157" i="1" s="1"/>
  <c r="AP3157" i="1"/>
  <c r="AQ3180" i="1"/>
  <c r="AP3180" i="1"/>
  <c r="AQ3118" i="1"/>
  <c r="AT3118" i="1" s="1"/>
  <c r="AP3118" i="1"/>
  <c r="AQ3162" i="1"/>
  <c r="AT3162" i="1" s="1"/>
  <c r="AP3162" i="1"/>
  <c r="AQ3136" i="1"/>
  <c r="AT3136" i="1" s="1"/>
  <c r="AP3136" i="1"/>
  <c r="AQ3178" i="1"/>
  <c r="AR3178" i="1" s="1"/>
  <c r="AP3178" i="1"/>
  <c r="AQ3176" i="1"/>
  <c r="AS3176" i="1" s="1"/>
  <c r="AP3176" i="1"/>
  <c r="AQ3169" i="1"/>
  <c r="AR3169" i="1" s="1"/>
  <c r="AP3169" i="1"/>
  <c r="AQ3165" i="1"/>
  <c r="AS3165" i="1" s="1"/>
  <c r="AP3165" i="1"/>
  <c r="AQ3154" i="1"/>
  <c r="AS3154" i="1" s="1"/>
  <c r="AP3154" i="1"/>
  <c r="AQ3151" i="1"/>
  <c r="AT3151" i="1" s="1"/>
  <c r="AP3151" i="1"/>
  <c r="AQ3179" i="1"/>
  <c r="AR3179" i="1" s="1"/>
  <c r="AP3179" i="1"/>
  <c r="AQ3175" i="1"/>
  <c r="AR3175" i="1" s="1"/>
  <c r="AP3175" i="1"/>
  <c r="AQ3174" i="1"/>
  <c r="AP3174" i="1"/>
  <c r="AQ3173" i="1"/>
  <c r="AR3173" i="1" s="1"/>
  <c r="AP3173" i="1"/>
  <c r="AQ3172" i="1"/>
  <c r="AS3172" i="1" s="1"/>
  <c r="AP3172" i="1"/>
  <c r="AQ3171" i="1"/>
  <c r="AR3171" i="1" s="1"/>
  <c r="AP3171" i="1"/>
  <c r="AQ3168" i="1"/>
  <c r="AS3168" i="1" s="1"/>
  <c r="AP3168" i="1"/>
  <c r="AQ3164" i="1"/>
  <c r="AS3164" i="1" s="1"/>
  <c r="AP3164" i="1"/>
  <c r="AQ3160" i="1"/>
  <c r="AP3160" i="1"/>
  <c r="AQ3161" i="1"/>
  <c r="AR3161" i="1" s="1"/>
  <c r="AP3161" i="1"/>
  <c r="AQ3159" i="1"/>
  <c r="AP3159" i="1"/>
  <c r="AQ3138" i="1"/>
  <c r="AP3138" i="1"/>
  <c r="AQ3114" i="1"/>
  <c r="AP3114" i="1"/>
  <c r="AQ3107" i="1"/>
  <c r="AT3107" i="1" s="1"/>
  <c r="AP3107" i="1"/>
  <c r="AQ3084" i="1"/>
  <c r="AP3084" i="1"/>
  <c r="AQ3106" i="1"/>
  <c r="AS3106" i="1" s="1"/>
  <c r="AP3106" i="1"/>
  <c r="AQ2981" i="1"/>
  <c r="AT2981" i="1" s="1"/>
  <c r="AP2981" i="1"/>
  <c r="AQ2850" i="1"/>
  <c r="AT2850" i="1" s="1"/>
  <c r="AP2850" i="1"/>
  <c r="AQ3095" i="1"/>
  <c r="AP3095" i="1"/>
  <c r="AQ3142" i="1"/>
  <c r="AT3142" i="1" s="1"/>
  <c r="AP3142" i="1"/>
  <c r="AQ3144" i="1"/>
  <c r="AP3144" i="1"/>
  <c r="AQ3126" i="1"/>
  <c r="AT3126" i="1" s="1"/>
  <c r="AP3126" i="1"/>
  <c r="AQ3117" i="1"/>
  <c r="AP3117" i="1"/>
  <c r="AQ3112" i="1"/>
  <c r="AT3112" i="1" s="1"/>
  <c r="AP3112" i="1"/>
  <c r="AQ3125" i="1"/>
  <c r="AT3125" i="1" s="1"/>
  <c r="AP3125" i="1"/>
  <c r="AQ3124" i="1"/>
  <c r="AT3124" i="1" s="1"/>
  <c r="AP3124" i="1"/>
  <c r="AQ3111" i="1"/>
  <c r="AP3111" i="1"/>
  <c r="AQ3110" i="1"/>
  <c r="AP3110" i="1"/>
  <c r="AQ3137" i="1"/>
  <c r="AP3137" i="1"/>
  <c r="AQ3123" i="1"/>
  <c r="AT3123" i="1" s="1"/>
  <c r="AP3123" i="1"/>
  <c r="AQ3041" i="1"/>
  <c r="AP3041" i="1"/>
  <c r="AQ3158" i="1"/>
  <c r="AT3158" i="1" s="1"/>
  <c r="AP3158" i="1"/>
  <c r="AQ3141" i="1"/>
  <c r="AS3141" i="1" s="1"/>
  <c r="AP3141" i="1"/>
  <c r="AQ3139" i="1"/>
  <c r="AT3139" i="1" s="1"/>
  <c r="AP3139" i="1"/>
  <c r="AQ3103" i="1"/>
  <c r="AS3103" i="1" s="1"/>
  <c r="AP3103" i="1"/>
  <c r="AQ3122" i="1"/>
  <c r="AS3122" i="1" s="1"/>
  <c r="AP3122" i="1"/>
  <c r="AQ3121" i="1"/>
  <c r="AP3121" i="1"/>
  <c r="AQ3113" i="1"/>
  <c r="AT3113" i="1" s="1"/>
  <c r="AP3113" i="1"/>
  <c r="AQ3062" i="1"/>
  <c r="AR3062" i="1" s="1"/>
  <c r="AP3062" i="1"/>
  <c r="AQ3119" i="1"/>
  <c r="AR3119" i="1" s="1"/>
  <c r="AP3119" i="1"/>
  <c r="AQ3131" i="1"/>
  <c r="AR3131" i="1" s="1"/>
  <c r="AP3131" i="1"/>
  <c r="AQ3140" i="1"/>
  <c r="AT3140" i="1" s="1"/>
  <c r="AP3140" i="1"/>
  <c r="AQ2889" i="1"/>
  <c r="AS2889" i="1" s="1"/>
  <c r="AP2889" i="1"/>
  <c r="AQ3135" i="1"/>
  <c r="AR3135" i="1" s="1"/>
  <c r="AP3135" i="1"/>
  <c r="AQ3116" i="1"/>
  <c r="AP3116" i="1"/>
  <c r="AQ3109" i="1"/>
  <c r="AT3109" i="1" s="1"/>
  <c r="AP3109" i="1"/>
  <c r="AQ3155" i="1"/>
  <c r="AP3155" i="1"/>
  <c r="AQ3152" i="1"/>
  <c r="AS3152" i="1" s="1"/>
  <c r="AP3152" i="1"/>
  <c r="AQ3149" i="1"/>
  <c r="AT3149" i="1" s="1"/>
  <c r="AP3149" i="1"/>
  <c r="AQ3148" i="1"/>
  <c r="AT3148" i="1" s="1"/>
  <c r="AP3148" i="1"/>
  <c r="AQ3146" i="1"/>
  <c r="AS3146" i="1" s="1"/>
  <c r="AP3146" i="1"/>
  <c r="AQ3147" i="1"/>
  <c r="AP3147" i="1"/>
  <c r="AQ3133" i="1"/>
  <c r="AP3133" i="1"/>
  <c r="AQ3129" i="1"/>
  <c r="AT3129" i="1" s="1"/>
  <c r="AP3129" i="1"/>
  <c r="AQ3120" i="1"/>
  <c r="AP3120" i="1"/>
  <c r="AQ3115" i="1"/>
  <c r="AP3115" i="1"/>
  <c r="AQ3089" i="1"/>
  <c r="AP3089" i="1"/>
  <c r="AQ3098" i="1"/>
  <c r="AT3098" i="1" s="1"/>
  <c r="AP3098" i="1"/>
  <c r="AQ3053" i="1"/>
  <c r="AT3053" i="1" s="1"/>
  <c r="AP3053" i="1"/>
  <c r="AQ3056" i="1"/>
  <c r="AT3056" i="1" s="1"/>
  <c r="AP3056" i="1"/>
  <c r="AQ2840" i="1"/>
  <c r="AP2840" i="1"/>
  <c r="AQ3105" i="1"/>
  <c r="AT3105" i="1" s="1"/>
  <c r="AP3105" i="1"/>
  <c r="AQ3096" i="1"/>
  <c r="AR3096" i="1" s="1"/>
  <c r="AP3096" i="1"/>
  <c r="AQ3094" i="1"/>
  <c r="AT3094" i="1" s="1"/>
  <c r="AP3094" i="1"/>
  <c r="AQ3090" i="1"/>
  <c r="AR3090" i="1" s="1"/>
  <c r="AP3090" i="1"/>
  <c r="AQ3085" i="1"/>
  <c r="AR3085" i="1" s="1"/>
  <c r="AP3085" i="1"/>
  <c r="AQ3083" i="1"/>
  <c r="AR3083" i="1" s="1"/>
  <c r="AP3083" i="1"/>
  <c r="AQ3081" i="1"/>
  <c r="AR3081" i="1" s="1"/>
  <c r="AP3081" i="1"/>
  <c r="AQ3076" i="1"/>
  <c r="AP3076" i="1"/>
  <c r="AQ3075" i="1"/>
  <c r="AR3075" i="1" s="1"/>
  <c r="AP3075" i="1"/>
  <c r="AQ3070" i="1"/>
  <c r="AR3070" i="1" s="1"/>
  <c r="AP3070" i="1"/>
  <c r="AQ3060" i="1"/>
  <c r="AS3060" i="1" s="1"/>
  <c r="AP3060" i="1"/>
  <c r="AQ3048" i="1"/>
  <c r="AP3048" i="1"/>
  <c r="AQ3097" i="1"/>
  <c r="AS3097" i="1" s="1"/>
  <c r="AP3097" i="1"/>
  <c r="AQ3074" i="1"/>
  <c r="AR3074" i="1" s="1"/>
  <c r="AP3074" i="1"/>
  <c r="AQ3088" i="1"/>
  <c r="AT3088" i="1" s="1"/>
  <c r="AP3088" i="1"/>
  <c r="AQ3059" i="1"/>
  <c r="AP3059" i="1"/>
  <c r="AQ3067" i="1"/>
  <c r="AR3067" i="1" s="1"/>
  <c r="AP3067" i="1"/>
  <c r="AQ3080" i="1"/>
  <c r="AP3080" i="1"/>
  <c r="AQ3072" i="1"/>
  <c r="AT3072" i="1" s="1"/>
  <c r="AP3072" i="1"/>
  <c r="AQ3054" i="1"/>
  <c r="AR3054" i="1" s="1"/>
  <c r="AP3054" i="1"/>
  <c r="AQ3018" i="1"/>
  <c r="AR3018" i="1" s="1"/>
  <c r="AP3018" i="1"/>
  <c r="AQ2986" i="1"/>
  <c r="AS2986" i="1" s="1"/>
  <c r="AP2986" i="1"/>
  <c r="AQ2983" i="1"/>
  <c r="AT2983" i="1" s="1"/>
  <c r="AP2983" i="1"/>
  <c r="AQ2899" i="1"/>
  <c r="AP2899" i="1"/>
  <c r="AQ2599" i="1"/>
  <c r="AT2599" i="1" s="1"/>
  <c r="AP2599" i="1"/>
  <c r="AQ2580" i="1"/>
  <c r="AT2580" i="1" s="1"/>
  <c r="AP2580" i="1"/>
  <c r="AQ2761" i="1"/>
  <c r="AT2761" i="1" s="1"/>
  <c r="AP2761" i="1"/>
  <c r="AQ2728" i="1"/>
  <c r="AT2728" i="1" s="1"/>
  <c r="AP2728" i="1"/>
  <c r="AQ2719" i="1"/>
  <c r="AR2719" i="1" s="1"/>
  <c r="AP2719" i="1"/>
  <c r="AQ2613" i="1"/>
  <c r="AT2613" i="1" s="1"/>
  <c r="AP2613" i="1"/>
  <c r="AQ2630" i="1"/>
  <c r="AT2630" i="1" s="1"/>
  <c r="AP2630" i="1"/>
  <c r="AQ2451" i="1"/>
  <c r="AR2451" i="1" s="1"/>
  <c r="AP2451" i="1"/>
  <c r="AQ2495" i="1"/>
  <c r="AR2495" i="1" s="1"/>
  <c r="AP2495" i="1"/>
  <c r="AQ2556" i="1"/>
  <c r="AP2556" i="1"/>
  <c r="AQ2150" i="1"/>
  <c r="AT2150" i="1" s="1"/>
  <c r="AP2150" i="1"/>
  <c r="AQ3102" i="1"/>
  <c r="AT3102" i="1" s="1"/>
  <c r="AP3102" i="1"/>
  <c r="AQ3093" i="1"/>
  <c r="AS3093" i="1" s="1"/>
  <c r="AP3093" i="1"/>
  <c r="AQ3050" i="1"/>
  <c r="AP3050" i="1"/>
  <c r="AQ3082" i="1"/>
  <c r="AS3082" i="1" s="1"/>
  <c r="AP3082" i="1"/>
  <c r="AQ3064" i="1"/>
  <c r="AT3064" i="1" s="1"/>
  <c r="AP3064" i="1"/>
  <c r="AQ3071" i="1"/>
  <c r="AR3071" i="1" s="1"/>
  <c r="AP3071" i="1"/>
  <c r="AQ3045" i="1"/>
  <c r="AP3045" i="1"/>
  <c r="AQ3087" i="1"/>
  <c r="AT3087" i="1" s="1"/>
  <c r="AP3087" i="1"/>
  <c r="AQ3086" i="1"/>
  <c r="AP3086" i="1"/>
  <c r="AQ3079" i="1"/>
  <c r="AR3079" i="1" s="1"/>
  <c r="AP3079" i="1"/>
  <c r="AQ3078" i="1"/>
  <c r="AP3078" i="1"/>
  <c r="AQ3077" i="1"/>
  <c r="AR3077" i="1" s="1"/>
  <c r="AP3077" i="1"/>
  <c r="AQ3073" i="1"/>
  <c r="AP3073" i="1"/>
  <c r="AQ2916" i="1"/>
  <c r="AS2916" i="1" s="1"/>
  <c r="AP2916" i="1"/>
  <c r="AQ2932" i="1"/>
  <c r="AP2932" i="1"/>
  <c r="AQ3066" i="1"/>
  <c r="AR3066" i="1" s="1"/>
  <c r="AP3066" i="1"/>
  <c r="AQ2238" i="1"/>
  <c r="AT2238" i="1" s="1"/>
  <c r="AP2238" i="1"/>
  <c r="AQ2925" i="1"/>
  <c r="AS2925" i="1" s="1"/>
  <c r="AP2925" i="1"/>
  <c r="AQ3049" i="1"/>
  <c r="AP3049" i="1"/>
  <c r="AQ3068" i="1"/>
  <c r="AP3068" i="1"/>
  <c r="AQ3061" i="1"/>
  <c r="AR3061" i="1" s="1"/>
  <c r="AP3061" i="1"/>
  <c r="AQ3058" i="1"/>
  <c r="AT3058" i="1" s="1"/>
  <c r="AP3058" i="1"/>
  <c r="AQ3057" i="1"/>
  <c r="AP3057" i="1"/>
  <c r="AQ3052" i="1"/>
  <c r="AS3052" i="1" s="1"/>
  <c r="AP3052" i="1"/>
  <c r="AQ3051" i="1"/>
  <c r="AP3051" i="1"/>
  <c r="AQ3042" i="1"/>
  <c r="AP3042" i="1"/>
  <c r="AQ3055" i="1"/>
  <c r="AP3055" i="1"/>
  <c r="AQ3065" i="1"/>
  <c r="AP3065" i="1"/>
  <c r="AQ3043" i="1"/>
  <c r="AT3043" i="1" s="1"/>
  <c r="AP3043" i="1"/>
  <c r="AQ2604" i="1"/>
  <c r="AR2604" i="1" s="1"/>
  <c r="AP2604" i="1"/>
  <c r="AQ3039" i="1"/>
  <c r="AT3039" i="1" s="1"/>
  <c r="AP3039" i="1"/>
  <c r="AQ3032" i="1"/>
  <c r="AT3032" i="1" s="1"/>
  <c r="AP3032" i="1"/>
  <c r="AQ3047" i="1"/>
  <c r="AT3047" i="1" s="1"/>
  <c r="AP3047" i="1"/>
  <c r="AQ3046" i="1"/>
  <c r="AT3046" i="1" s="1"/>
  <c r="AP3046" i="1"/>
  <c r="AQ3008" i="1"/>
  <c r="AP3008" i="1"/>
  <c r="AQ3063" i="1"/>
  <c r="AP3063" i="1"/>
  <c r="AQ3044" i="1"/>
  <c r="AS3044" i="1" s="1"/>
  <c r="AP3044" i="1"/>
  <c r="AQ3034" i="1"/>
  <c r="AR3034" i="1" s="1"/>
  <c r="AP3034" i="1"/>
  <c r="AQ3040" i="1"/>
  <c r="AP3040" i="1"/>
  <c r="AQ3038" i="1"/>
  <c r="AT3038" i="1" s="1"/>
  <c r="AP3038" i="1"/>
  <c r="AQ3037" i="1"/>
  <c r="AP3037" i="1"/>
  <c r="AQ2944" i="1"/>
  <c r="AP2944" i="1"/>
  <c r="AQ2985" i="1"/>
  <c r="AS2985" i="1" s="1"/>
  <c r="AP2985" i="1"/>
  <c r="AQ3033" i="1"/>
  <c r="AT3033" i="1" s="1"/>
  <c r="AP3033" i="1"/>
  <c r="AQ3035" i="1"/>
  <c r="AR3035" i="1" s="1"/>
  <c r="AP3035" i="1"/>
  <c r="AQ3024" i="1"/>
  <c r="AR3024" i="1" s="1"/>
  <c r="AP3024" i="1"/>
  <c r="AQ3011" i="1"/>
  <c r="AP3011" i="1"/>
  <c r="AQ3025" i="1"/>
  <c r="AT3025" i="1" s="1"/>
  <c r="AP3025" i="1"/>
  <c r="AQ3020" i="1"/>
  <c r="AT3020" i="1" s="1"/>
  <c r="AP3020" i="1"/>
  <c r="AQ3036" i="1"/>
  <c r="AT3036" i="1" s="1"/>
  <c r="AP3036" i="1"/>
  <c r="AQ3030" i="1"/>
  <c r="AP3030" i="1"/>
  <c r="AQ3028" i="1"/>
  <c r="AT3028" i="1" s="1"/>
  <c r="AP3028" i="1"/>
  <c r="AQ3029" i="1"/>
  <c r="AP3029" i="1"/>
  <c r="AQ3009" i="1"/>
  <c r="AR3009" i="1" s="1"/>
  <c r="AP3009" i="1"/>
  <c r="AQ2996" i="1"/>
  <c r="AR2996" i="1" s="1"/>
  <c r="AP2996" i="1"/>
  <c r="AQ3010" i="1"/>
  <c r="AT3010" i="1" s="1"/>
  <c r="AP3010" i="1"/>
  <c r="AQ2969" i="1"/>
  <c r="AR2969" i="1" s="1"/>
  <c r="AP2969" i="1"/>
  <c r="AQ3031" i="1"/>
  <c r="AT3031" i="1" s="1"/>
  <c r="AP3031" i="1"/>
  <c r="AQ3027" i="1"/>
  <c r="AR3027" i="1" s="1"/>
  <c r="AP3027" i="1"/>
  <c r="AQ2997" i="1"/>
  <c r="AT2997" i="1" s="1"/>
  <c r="AP2997" i="1"/>
  <c r="AQ3026" i="1"/>
  <c r="AR3026" i="1" s="1"/>
  <c r="AP3026" i="1"/>
  <c r="AQ3023" i="1"/>
  <c r="AS3023" i="1" s="1"/>
  <c r="AP3023" i="1"/>
  <c r="AQ3016" i="1"/>
  <c r="AR3016" i="1" s="1"/>
  <c r="AP3016" i="1"/>
  <c r="AQ3012" i="1"/>
  <c r="AT3012" i="1" s="1"/>
  <c r="AP3012" i="1"/>
  <c r="AQ3007" i="1"/>
  <c r="AR3007" i="1" s="1"/>
  <c r="AP3007" i="1"/>
  <c r="AQ3005" i="1"/>
  <c r="AP3005" i="1"/>
  <c r="AQ3003" i="1"/>
  <c r="AP3003" i="1"/>
  <c r="AQ3000" i="1"/>
  <c r="AT3000" i="1" s="1"/>
  <c r="AP3000" i="1"/>
  <c r="AQ2995" i="1"/>
  <c r="AP2995" i="1"/>
  <c r="AQ2948" i="1"/>
  <c r="AR2948" i="1" s="1"/>
  <c r="AP2948" i="1"/>
  <c r="AQ2941" i="1"/>
  <c r="AR2941" i="1" s="1"/>
  <c r="AP2941" i="1"/>
  <c r="AQ2939" i="1"/>
  <c r="AT2939" i="1" s="1"/>
  <c r="AP2939" i="1"/>
  <c r="AQ2940" i="1"/>
  <c r="AP2940" i="1"/>
  <c r="AQ3013" i="1"/>
  <c r="AS3013" i="1" s="1"/>
  <c r="AP3013" i="1"/>
  <c r="AQ3017" i="1"/>
  <c r="AS3017" i="1" s="1"/>
  <c r="AP3017" i="1"/>
  <c r="AQ2998" i="1"/>
  <c r="AP2998" i="1"/>
  <c r="AQ3021" i="1"/>
  <c r="AT3021" i="1" s="1"/>
  <c r="AP3021" i="1"/>
  <c r="AQ2960" i="1"/>
  <c r="AT2960" i="1" s="1"/>
  <c r="AP2960" i="1"/>
  <c r="AQ2934" i="1"/>
  <c r="AS2934" i="1" s="1"/>
  <c r="AP2934" i="1"/>
  <c r="AQ2858" i="1"/>
  <c r="AT2858" i="1" s="1"/>
  <c r="AP2858" i="1"/>
  <c r="AQ2975" i="1"/>
  <c r="AP2975" i="1"/>
  <c r="AQ2987" i="1"/>
  <c r="AP2987" i="1"/>
  <c r="AQ2906" i="1"/>
  <c r="AT2906" i="1" s="1"/>
  <c r="AP2906" i="1"/>
  <c r="AQ2938" i="1"/>
  <c r="AS2938" i="1" s="1"/>
  <c r="AP2938" i="1"/>
  <c r="AQ2930" i="1"/>
  <c r="AP2930" i="1"/>
  <c r="AQ2926" i="1"/>
  <c r="AR2926" i="1" s="1"/>
  <c r="AP2926" i="1"/>
  <c r="AQ2908" i="1"/>
  <c r="AP2908" i="1"/>
  <c r="AQ2747" i="1"/>
  <c r="AT2747" i="1" s="1"/>
  <c r="AP2747" i="1"/>
  <c r="AQ3006" i="1"/>
  <c r="AR3006" i="1" s="1"/>
  <c r="AP3006" i="1"/>
  <c r="AQ2991" i="1"/>
  <c r="AS2991" i="1" s="1"/>
  <c r="AP2991" i="1"/>
  <c r="AQ3022" i="1"/>
  <c r="AP3022" i="1"/>
  <c r="AQ2966" i="1"/>
  <c r="AR2966" i="1" s="1"/>
  <c r="AP2966" i="1"/>
  <c r="AQ3015" i="1"/>
  <c r="AR3015" i="1" s="1"/>
  <c r="AP3015" i="1"/>
  <c r="AQ3014" i="1"/>
  <c r="AT3014" i="1" s="1"/>
  <c r="AP3014" i="1"/>
  <c r="AQ3002" i="1"/>
  <c r="AT3002" i="1" s="1"/>
  <c r="AP3002" i="1"/>
  <c r="AQ2999" i="1"/>
  <c r="AR2999" i="1" s="1"/>
  <c r="AP2999" i="1"/>
  <c r="AQ3001" i="1"/>
  <c r="AP3001" i="1"/>
  <c r="AQ3019" i="1"/>
  <c r="AR3019" i="1" s="1"/>
  <c r="AP3019" i="1"/>
  <c r="AQ3004" i="1"/>
  <c r="AT3004" i="1" s="1"/>
  <c r="AP3004" i="1"/>
  <c r="AQ2994" i="1"/>
  <c r="AS2994" i="1" s="1"/>
  <c r="AP2994" i="1"/>
  <c r="AQ2992" i="1"/>
  <c r="AP2992" i="1"/>
  <c r="AQ2984" i="1"/>
  <c r="AR2984" i="1" s="1"/>
  <c r="AP2984" i="1"/>
  <c r="AQ2978" i="1"/>
  <c r="AT2978" i="1" s="1"/>
  <c r="AP2978" i="1"/>
  <c r="AQ2954" i="1"/>
  <c r="AR2954" i="1" s="1"/>
  <c r="AP2954" i="1"/>
  <c r="AQ2990" i="1"/>
  <c r="AT2990" i="1" s="1"/>
  <c r="AP2990" i="1"/>
  <c r="AQ2989" i="1"/>
  <c r="AP2989" i="1"/>
  <c r="AQ2610" i="1"/>
  <c r="AT2610" i="1" s="1"/>
  <c r="AP2610" i="1"/>
  <c r="AQ2699" i="1"/>
  <c r="AR2699" i="1" s="1"/>
  <c r="AP2699" i="1"/>
  <c r="AQ2947" i="1"/>
  <c r="AP2947" i="1"/>
  <c r="AQ2928" i="1"/>
  <c r="AR2928" i="1" s="1"/>
  <c r="AP2928" i="1"/>
  <c r="AQ2885" i="1"/>
  <c r="AT2885" i="1" s="1"/>
  <c r="AP2885" i="1"/>
  <c r="AQ2993" i="1"/>
  <c r="AR2993" i="1" s="1"/>
  <c r="AP2993" i="1"/>
  <c r="AQ2988" i="1"/>
  <c r="AS2988" i="1" s="1"/>
  <c r="AP2988" i="1"/>
  <c r="AQ2982" i="1"/>
  <c r="AR2982" i="1" s="1"/>
  <c r="AP2982" i="1"/>
  <c r="AQ2974" i="1"/>
  <c r="AT2974" i="1" s="1"/>
  <c r="AP2974" i="1"/>
  <c r="AQ2979" i="1"/>
  <c r="AT2979" i="1" s="1"/>
  <c r="AP2979" i="1"/>
  <c r="AQ2977" i="1"/>
  <c r="AP2977" i="1"/>
  <c r="AQ2955" i="1"/>
  <c r="AR2955" i="1" s="1"/>
  <c r="AP2955" i="1"/>
  <c r="AQ2927" i="1"/>
  <c r="AT2927" i="1" s="1"/>
  <c r="AP2927" i="1"/>
  <c r="AQ2911" i="1"/>
  <c r="AP2911" i="1"/>
  <c r="AQ2968" i="1"/>
  <c r="AP2968" i="1"/>
  <c r="AQ2976" i="1"/>
  <c r="AR2976" i="1" s="1"/>
  <c r="AP2976" i="1"/>
  <c r="AQ2967" i="1"/>
  <c r="AS2967" i="1" s="1"/>
  <c r="AP2967" i="1"/>
  <c r="AQ2964" i="1"/>
  <c r="AP2964" i="1"/>
  <c r="AQ2963" i="1"/>
  <c r="AS2963" i="1" s="1"/>
  <c r="AP2963" i="1"/>
  <c r="AQ2958" i="1"/>
  <c r="AP2958" i="1"/>
  <c r="AQ2953" i="1"/>
  <c r="AR2953" i="1" s="1"/>
  <c r="AP2953" i="1"/>
  <c r="AQ2931" i="1"/>
  <c r="AP2931" i="1"/>
  <c r="AQ2924" i="1"/>
  <c r="AR2924" i="1" s="1"/>
  <c r="AP2924" i="1"/>
  <c r="AQ2923" i="1"/>
  <c r="AP2923" i="1"/>
  <c r="AQ2922" i="1"/>
  <c r="AT2922" i="1" s="1"/>
  <c r="AP2922" i="1"/>
  <c r="AQ2919" i="1"/>
  <c r="AP2919" i="1"/>
  <c r="AQ2959" i="1"/>
  <c r="AR2959" i="1" s="1"/>
  <c r="AP2959" i="1"/>
  <c r="AQ2956" i="1"/>
  <c r="AP2956" i="1"/>
  <c r="AQ2951" i="1"/>
  <c r="AR2951" i="1" s="1"/>
  <c r="AP2951" i="1"/>
  <c r="AQ2862" i="1"/>
  <c r="AP2862" i="1"/>
  <c r="AQ2952" i="1"/>
  <c r="AP2952" i="1"/>
  <c r="AQ2946" i="1"/>
  <c r="AP2946" i="1"/>
  <c r="AQ2909" i="1"/>
  <c r="AP2909" i="1"/>
  <c r="AQ2917" i="1"/>
  <c r="AT2917" i="1" s="1"/>
  <c r="AP2917" i="1"/>
  <c r="AQ2972" i="1"/>
  <c r="AR2972" i="1" s="1"/>
  <c r="AP2972" i="1"/>
  <c r="AQ2965" i="1"/>
  <c r="AP2965" i="1"/>
  <c r="AQ2921" i="1"/>
  <c r="AR2921" i="1" s="1"/>
  <c r="AP2921" i="1"/>
  <c r="AQ2915" i="1"/>
  <c r="AP2915" i="1"/>
  <c r="AQ2893" i="1"/>
  <c r="AS2893" i="1" s="1"/>
  <c r="AP2893" i="1"/>
  <c r="AQ2936" i="1"/>
  <c r="AP2936" i="1"/>
  <c r="AQ2895" i="1"/>
  <c r="AP2895" i="1"/>
  <c r="AQ2962" i="1"/>
  <c r="AP2962" i="1"/>
  <c r="AQ2957" i="1"/>
  <c r="AT2957" i="1" s="1"/>
  <c r="AP2957" i="1"/>
  <c r="AQ2942" i="1"/>
  <c r="AT2942" i="1" s="1"/>
  <c r="AP2942" i="1"/>
  <c r="AQ2971" i="1"/>
  <c r="AS2971" i="1" s="1"/>
  <c r="AP2971" i="1"/>
  <c r="AQ2970" i="1"/>
  <c r="AP2970" i="1"/>
  <c r="AQ2950" i="1"/>
  <c r="AP2950" i="1"/>
  <c r="AQ2949" i="1"/>
  <c r="AP2949" i="1"/>
  <c r="AQ2945" i="1"/>
  <c r="AS2945" i="1" s="1"/>
  <c r="AP2945" i="1"/>
  <c r="AQ2943" i="1"/>
  <c r="AP2943" i="1"/>
  <c r="AQ2937" i="1"/>
  <c r="AP2937" i="1"/>
  <c r="AQ2933" i="1"/>
  <c r="AR2933" i="1" s="1"/>
  <c r="AP2933" i="1"/>
  <c r="AQ2935" i="1"/>
  <c r="AP2935" i="1"/>
  <c r="AQ2929" i="1"/>
  <c r="AP2929" i="1"/>
  <c r="AQ2920" i="1"/>
  <c r="AR2920" i="1" s="1"/>
  <c r="AP2920" i="1"/>
  <c r="AQ2961" i="1"/>
  <c r="AR2961" i="1" s="1"/>
  <c r="AP2961" i="1"/>
  <c r="AQ2914" i="1"/>
  <c r="AP2914" i="1"/>
  <c r="AQ2894" i="1"/>
  <c r="AP2894" i="1"/>
  <c r="AQ2903" i="1"/>
  <c r="AS2903" i="1" s="1"/>
  <c r="AP2903" i="1"/>
  <c r="AQ2918" i="1"/>
  <c r="AR2918" i="1" s="1"/>
  <c r="AP2918" i="1"/>
  <c r="AQ2910" i="1"/>
  <c r="AR2910" i="1" s="1"/>
  <c r="AP2910" i="1"/>
  <c r="AQ2907" i="1"/>
  <c r="AP2907" i="1"/>
  <c r="AQ2905" i="1"/>
  <c r="AS2905" i="1" s="1"/>
  <c r="AP2905" i="1"/>
  <c r="AQ2888" i="1"/>
  <c r="AR2888" i="1" s="1"/>
  <c r="AP2888" i="1"/>
  <c r="AQ2912" i="1"/>
  <c r="AR2912" i="1" s="1"/>
  <c r="AP2912" i="1"/>
  <c r="AQ2904" i="1"/>
  <c r="AP2904" i="1"/>
  <c r="AQ2873" i="1"/>
  <c r="AP2873" i="1"/>
  <c r="AQ2913" i="1"/>
  <c r="AR2913" i="1" s="1"/>
  <c r="AP2913" i="1"/>
  <c r="AQ2849" i="1"/>
  <c r="AP2849" i="1"/>
  <c r="AQ2882" i="1"/>
  <c r="AP2882" i="1"/>
  <c r="AQ2898" i="1"/>
  <c r="AT2898" i="1" s="1"/>
  <c r="AP2898" i="1"/>
  <c r="AQ2891" i="1"/>
  <c r="AS2891" i="1" s="1"/>
  <c r="AP2891" i="1"/>
  <c r="AQ2886" i="1"/>
  <c r="AR2886" i="1" s="1"/>
  <c r="AP2886" i="1"/>
  <c r="AQ2866" i="1"/>
  <c r="AP2866" i="1"/>
  <c r="AQ2865" i="1"/>
  <c r="AT2865" i="1" s="1"/>
  <c r="AP2865" i="1"/>
  <c r="AQ2901" i="1"/>
  <c r="AS2901" i="1" s="1"/>
  <c r="AP2901" i="1"/>
  <c r="AQ2900" i="1"/>
  <c r="AR2900" i="1" s="1"/>
  <c r="AP2900" i="1"/>
  <c r="AQ2896" i="1"/>
  <c r="AT2896" i="1" s="1"/>
  <c r="AP2896" i="1"/>
  <c r="AQ2892" i="1"/>
  <c r="AP2892" i="1"/>
  <c r="AQ2890" i="1"/>
  <c r="AT2890" i="1" s="1"/>
  <c r="AP2890" i="1"/>
  <c r="AQ2880" i="1"/>
  <c r="AS2880" i="1" s="1"/>
  <c r="AP2880" i="1"/>
  <c r="AQ2876" i="1"/>
  <c r="AR2876" i="1" s="1"/>
  <c r="AP2876" i="1"/>
  <c r="AQ2871" i="1"/>
  <c r="AP2871" i="1"/>
  <c r="AQ2832" i="1"/>
  <c r="AS2832" i="1" s="1"/>
  <c r="AP2832" i="1"/>
  <c r="AQ2869" i="1"/>
  <c r="AR2869" i="1" s="1"/>
  <c r="AP2869" i="1"/>
  <c r="AQ2897" i="1"/>
  <c r="AP2897" i="1"/>
  <c r="AQ2872" i="1"/>
  <c r="AR2872" i="1" s="1"/>
  <c r="AP2872" i="1"/>
  <c r="AQ2803" i="1"/>
  <c r="AS2803" i="1" s="1"/>
  <c r="AP2803" i="1"/>
  <c r="AQ2776" i="1"/>
  <c r="AS2776" i="1" s="1"/>
  <c r="AP2776" i="1"/>
  <c r="AQ2870" i="1"/>
  <c r="AR2870" i="1" s="1"/>
  <c r="AP2870" i="1"/>
  <c r="AQ2846" i="1"/>
  <c r="AP2846" i="1"/>
  <c r="AQ2883" i="1"/>
  <c r="AT2883" i="1" s="1"/>
  <c r="AP2883" i="1"/>
  <c r="AQ2878" i="1"/>
  <c r="AR2878" i="1" s="1"/>
  <c r="AP2878" i="1"/>
  <c r="AQ2879" i="1"/>
  <c r="AP2879" i="1"/>
  <c r="AQ2902" i="1"/>
  <c r="AP2902" i="1"/>
  <c r="AQ2887" i="1"/>
  <c r="AT2887" i="1" s="1"/>
  <c r="AP2887" i="1"/>
  <c r="AQ2884" i="1"/>
  <c r="AT2884" i="1" s="1"/>
  <c r="AP2884" i="1"/>
  <c r="AQ2877" i="1"/>
  <c r="AP2877" i="1"/>
  <c r="AQ2875" i="1"/>
  <c r="AP2875" i="1"/>
  <c r="AQ2874" i="1"/>
  <c r="AS2874" i="1" s="1"/>
  <c r="AP2874" i="1"/>
  <c r="AQ2881" i="1"/>
  <c r="AR2881" i="1" s="1"/>
  <c r="AP2881" i="1"/>
  <c r="AQ2844" i="1"/>
  <c r="AP2844" i="1"/>
  <c r="AQ2839" i="1"/>
  <c r="AT2839" i="1" s="1"/>
  <c r="AP2839" i="1"/>
  <c r="AQ2801" i="1"/>
  <c r="AT2801" i="1" s="1"/>
  <c r="AP2801" i="1"/>
  <c r="AQ2802" i="1"/>
  <c r="AT2802" i="1" s="1"/>
  <c r="AP2802" i="1"/>
  <c r="AQ2789" i="1"/>
  <c r="AP2789" i="1"/>
  <c r="AQ2582" i="1"/>
  <c r="AP2582" i="1"/>
  <c r="AQ2868" i="1"/>
  <c r="AR2868" i="1" s="1"/>
  <c r="AP2868" i="1"/>
  <c r="AQ2863" i="1"/>
  <c r="AP2863" i="1"/>
  <c r="AQ2836" i="1"/>
  <c r="AS2836" i="1" s="1"/>
  <c r="AP2836" i="1"/>
  <c r="AQ2835" i="1"/>
  <c r="AP2835" i="1"/>
  <c r="AQ2709" i="1"/>
  <c r="AT2709" i="1" s="1"/>
  <c r="AP2709" i="1"/>
  <c r="AQ2843" i="1"/>
  <c r="AT2843" i="1" s="1"/>
  <c r="AP2843" i="1"/>
  <c r="AQ2837" i="1"/>
  <c r="AP2837" i="1"/>
  <c r="AQ2833" i="1"/>
  <c r="AR2833" i="1" s="1"/>
  <c r="AP2833" i="1"/>
  <c r="AQ2831" i="1"/>
  <c r="AR2831" i="1" s="1"/>
  <c r="AP2831" i="1"/>
  <c r="AQ2829" i="1"/>
  <c r="AP2829" i="1"/>
  <c r="AQ2826" i="1"/>
  <c r="AS2826" i="1" s="1"/>
  <c r="AP2826" i="1"/>
  <c r="AQ2819" i="1"/>
  <c r="AS2819" i="1" s="1"/>
  <c r="AP2819" i="1"/>
  <c r="AQ2822" i="1"/>
  <c r="AP2822" i="1"/>
  <c r="AQ2817" i="1"/>
  <c r="AP2817" i="1"/>
  <c r="AQ2816" i="1"/>
  <c r="AP2816" i="1"/>
  <c r="AQ2815" i="1"/>
  <c r="AT2815" i="1" s="1"/>
  <c r="AP2815" i="1"/>
  <c r="AQ2813" i="1"/>
  <c r="AS2813" i="1" s="1"/>
  <c r="AP2813" i="1"/>
  <c r="AQ2811" i="1"/>
  <c r="AR2811" i="1" s="1"/>
  <c r="AP2811" i="1"/>
  <c r="AQ2812" i="1"/>
  <c r="AP2812" i="1"/>
  <c r="AQ2854" i="1"/>
  <c r="AR2854" i="1" s="1"/>
  <c r="AP2854" i="1"/>
  <c r="AQ2823" i="1"/>
  <c r="AR2823" i="1" s="1"/>
  <c r="AP2823" i="1"/>
  <c r="AQ2810" i="1"/>
  <c r="AP2810" i="1"/>
  <c r="AQ2800" i="1"/>
  <c r="AP2800" i="1"/>
  <c r="AQ2842" i="1"/>
  <c r="AP2842" i="1"/>
  <c r="AQ2848" i="1"/>
  <c r="AR2848" i="1" s="1"/>
  <c r="AP2848" i="1"/>
  <c r="AQ2814" i="1"/>
  <c r="AP2814" i="1"/>
  <c r="AQ2818" i="1"/>
  <c r="AT2818" i="1" s="1"/>
  <c r="AP2818" i="1"/>
  <c r="AQ2428" i="1"/>
  <c r="AT2428" i="1" s="1"/>
  <c r="AP2428" i="1"/>
  <c r="AQ2718" i="1"/>
  <c r="AP2718" i="1"/>
  <c r="AQ2825" i="1"/>
  <c r="AR2825" i="1" s="1"/>
  <c r="AP2825" i="1"/>
  <c r="AQ2750" i="1"/>
  <c r="AT2750" i="1" s="1"/>
  <c r="AP2750" i="1"/>
  <c r="AQ2746" i="1"/>
  <c r="AS2746" i="1" s="1"/>
  <c r="AP2746" i="1"/>
  <c r="AQ2652" i="1"/>
  <c r="AR2652" i="1" s="1"/>
  <c r="AP2652" i="1"/>
  <c r="AQ2807" i="1"/>
  <c r="AR2807" i="1" s="1"/>
  <c r="AP2807" i="1"/>
  <c r="AQ2841" i="1"/>
  <c r="AS2841" i="1" s="1"/>
  <c r="AP2841" i="1"/>
  <c r="AQ2834" i="1"/>
  <c r="AP2834" i="1"/>
  <c r="AQ2855" i="1"/>
  <c r="AT2855" i="1" s="1"/>
  <c r="AP2855" i="1"/>
  <c r="AQ2838" i="1"/>
  <c r="AP2838" i="1"/>
  <c r="AQ2774" i="1"/>
  <c r="AR2774" i="1" s="1"/>
  <c r="AP2774" i="1"/>
  <c r="AQ2867" i="1"/>
  <c r="AP2867" i="1"/>
  <c r="AQ2864" i="1"/>
  <c r="AR2864" i="1" s="1"/>
  <c r="AP2864" i="1"/>
  <c r="AQ2861" i="1"/>
  <c r="AP2861" i="1"/>
  <c r="AQ2860" i="1"/>
  <c r="AR2860" i="1" s="1"/>
  <c r="AP2860" i="1"/>
  <c r="AQ2859" i="1"/>
  <c r="AP2859" i="1"/>
  <c r="AQ2857" i="1"/>
  <c r="AP2857" i="1"/>
  <c r="AQ2856" i="1"/>
  <c r="AT2856" i="1" s="1"/>
  <c r="AP2856" i="1"/>
  <c r="AQ2853" i="1"/>
  <c r="AT2853" i="1" s="1"/>
  <c r="AP2853" i="1"/>
  <c r="AQ2852" i="1"/>
  <c r="AT2852" i="1" s="1"/>
  <c r="AP2852" i="1"/>
  <c r="AQ2851" i="1"/>
  <c r="AS2851" i="1" s="1"/>
  <c r="AP2851" i="1"/>
  <c r="AQ2845" i="1"/>
  <c r="AT2845" i="1" s="1"/>
  <c r="AP2845" i="1"/>
  <c r="AQ2790" i="1"/>
  <c r="AR2790" i="1" s="1"/>
  <c r="AP2790" i="1"/>
  <c r="AQ2830" i="1"/>
  <c r="AP2830" i="1"/>
  <c r="AQ2827" i="1"/>
  <c r="AP2827" i="1"/>
  <c r="AQ2824" i="1"/>
  <c r="AT2824" i="1" s="1"/>
  <c r="AP2824" i="1"/>
  <c r="AQ2821" i="1"/>
  <c r="AP2821" i="1"/>
  <c r="AQ2820" i="1"/>
  <c r="AP2820" i="1"/>
  <c r="AQ2809" i="1"/>
  <c r="AR2809" i="1" s="1"/>
  <c r="AP2809" i="1"/>
  <c r="AQ2847" i="1"/>
  <c r="AR2847" i="1" s="1"/>
  <c r="AP2847" i="1"/>
  <c r="AQ2828" i="1"/>
  <c r="AS2828" i="1" s="1"/>
  <c r="AP2828" i="1"/>
  <c r="AW2777" i="1"/>
  <c r="AQ2777" i="1"/>
  <c r="AT2777" i="1" s="1"/>
  <c r="AP2777" i="1"/>
  <c r="AW2785" i="1"/>
  <c r="AQ2785" i="1"/>
  <c r="AP2785" i="1"/>
  <c r="AW2763" i="1"/>
  <c r="AQ2763" i="1"/>
  <c r="AT2763" i="1" s="1"/>
  <c r="AP2763" i="1"/>
  <c r="AW2758" i="1"/>
  <c r="AQ2758" i="1"/>
  <c r="AT2758" i="1" s="1"/>
  <c r="AP2758" i="1"/>
  <c r="AW2806" i="1"/>
  <c r="AQ2806" i="1"/>
  <c r="AR2806" i="1" s="1"/>
  <c r="AP2806" i="1"/>
  <c r="AW2799" i="1"/>
  <c r="AQ2799" i="1"/>
  <c r="AP2799" i="1"/>
  <c r="AW2794" i="1"/>
  <c r="AQ2794" i="1"/>
  <c r="AR2794" i="1" s="1"/>
  <c r="AP2794" i="1"/>
  <c r="AW2791" i="1"/>
  <c r="AQ2791" i="1"/>
  <c r="AT2791" i="1" s="1"/>
  <c r="AP2791" i="1"/>
  <c r="AW2788" i="1"/>
  <c r="AQ2788" i="1"/>
  <c r="AT2788" i="1" s="1"/>
  <c r="AP2788" i="1"/>
  <c r="AW2786" i="1"/>
  <c r="AQ2786" i="1"/>
  <c r="AT2786" i="1" s="1"/>
  <c r="AP2786" i="1"/>
  <c r="AW2782" i="1"/>
  <c r="AQ2782" i="1"/>
  <c r="AR2782" i="1" s="1"/>
  <c r="AP2782" i="1"/>
  <c r="AW2787" i="1"/>
  <c r="AQ2787" i="1"/>
  <c r="AS2787" i="1" s="1"/>
  <c r="AP2787" i="1"/>
  <c r="AW2792" i="1"/>
  <c r="AQ2792" i="1"/>
  <c r="AR2792" i="1" s="1"/>
  <c r="AP2792" i="1"/>
  <c r="AW2779" i="1"/>
  <c r="AQ2779" i="1"/>
  <c r="AP2779" i="1"/>
  <c r="AW2644" i="1"/>
  <c r="AQ2644" i="1"/>
  <c r="AS2644" i="1" s="1"/>
  <c r="AP2644" i="1"/>
  <c r="AW2781" i="1"/>
  <c r="AQ2781" i="1"/>
  <c r="AS2781" i="1" s="1"/>
  <c r="AP2781" i="1"/>
  <c r="AW2773" i="1"/>
  <c r="AQ2773" i="1"/>
  <c r="AS2773" i="1" s="1"/>
  <c r="AP2773" i="1"/>
  <c r="AW2770" i="1"/>
  <c r="AQ2770" i="1"/>
  <c r="AP2770" i="1"/>
  <c r="AW2778" i="1"/>
  <c r="AQ2778" i="1"/>
  <c r="AR2778" i="1" s="1"/>
  <c r="AP2778" i="1"/>
  <c r="AW2775" i="1"/>
  <c r="AQ2775" i="1"/>
  <c r="AR2775" i="1" s="1"/>
  <c r="AP2775" i="1"/>
  <c r="AW2804" i="1"/>
  <c r="AQ2804" i="1"/>
  <c r="AR2804" i="1" s="1"/>
  <c r="AP2804" i="1"/>
  <c r="AW2796" i="1"/>
  <c r="AQ2796" i="1"/>
  <c r="AP2796" i="1"/>
  <c r="AW2558" i="1"/>
  <c r="AQ2558" i="1"/>
  <c r="AT2558" i="1" s="1"/>
  <c r="AP2558" i="1"/>
  <c r="AW1442" i="1"/>
  <c r="AQ1442" i="1"/>
  <c r="AS1442" i="1" s="1"/>
  <c r="AP1442" i="1"/>
  <c r="AW2586" i="1"/>
  <c r="AQ2586" i="1"/>
  <c r="AP2586" i="1"/>
  <c r="AW2657" i="1"/>
  <c r="AQ2657" i="1"/>
  <c r="AT2657" i="1" s="1"/>
  <c r="AP2657" i="1"/>
  <c r="AW2590" i="1"/>
  <c r="AQ2590" i="1"/>
  <c r="AS2590" i="1" s="1"/>
  <c r="AP2590" i="1"/>
  <c r="AW2808" i="1"/>
  <c r="AQ2808" i="1"/>
  <c r="AR2808" i="1" s="1"/>
  <c r="AP2808" i="1"/>
  <c r="AW2805" i="1"/>
  <c r="AQ2805" i="1"/>
  <c r="AR2805" i="1" s="1"/>
  <c r="AP2805" i="1"/>
  <c r="AW2617" i="1"/>
  <c r="AQ2617" i="1"/>
  <c r="AR2617" i="1" s="1"/>
  <c r="AP2617" i="1"/>
  <c r="AW2798" i="1"/>
  <c r="AQ2798" i="1"/>
  <c r="AT2798" i="1" s="1"/>
  <c r="AP2798" i="1"/>
  <c r="AW2797" i="1"/>
  <c r="AQ2797" i="1"/>
  <c r="AS2797" i="1" s="1"/>
  <c r="AP2797" i="1"/>
  <c r="AW2793" i="1"/>
  <c r="AQ2793" i="1"/>
  <c r="AT2793" i="1" s="1"/>
  <c r="AP2793" i="1"/>
  <c r="AW2795" i="1"/>
  <c r="AQ2795" i="1"/>
  <c r="AP2795" i="1"/>
  <c r="AW2784" i="1"/>
  <c r="AQ2784" i="1"/>
  <c r="AS2784" i="1" s="1"/>
  <c r="AP2784" i="1"/>
  <c r="AW2783" i="1"/>
  <c r="AQ2783" i="1"/>
  <c r="AS2783" i="1" s="1"/>
  <c r="AP2783" i="1"/>
  <c r="AW2780" i="1"/>
  <c r="AQ2780" i="1"/>
  <c r="AR2780" i="1" s="1"/>
  <c r="AP2780" i="1"/>
  <c r="AW2671" i="1"/>
  <c r="AQ2671" i="1"/>
  <c r="AT2671" i="1" s="1"/>
  <c r="AP2671" i="1"/>
  <c r="AW2762" i="1"/>
  <c r="AQ2762" i="1"/>
  <c r="AT2762" i="1" s="1"/>
  <c r="AP2762" i="1"/>
  <c r="AW2736" i="1"/>
  <c r="AQ2736" i="1"/>
  <c r="AS2736" i="1" s="1"/>
  <c r="AP2736" i="1"/>
  <c r="AW2749" i="1"/>
  <c r="AQ2749" i="1"/>
  <c r="AS2749" i="1" s="1"/>
  <c r="AP2749" i="1"/>
  <c r="AW2755" i="1"/>
  <c r="AQ2755" i="1"/>
  <c r="AT2755" i="1" s="1"/>
  <c r="AP2755" i="1"/>
  <c r="AW2751" i="1"/>
  <c r="AQ2751" i="1"/>
  <c r="AR2751" i="1" s="1"/>
  <c r="AP2751" i="1"/>
  <c r="AW2744" i="1"/>
  <c r="AQ2744" i="1"/>
  <c r="AP2744" i="1"/>
  <c r="AW2725" i="1"/>
  <c r="AQ2725" i="1"/>
  <c r="AR2725" i="1" s="1"/>
  <c r="AP2725" i="1"/>
  <c r="AW2772" i="1"/>
  <c r="AQ2772" i="1"/>
  <c r="AP2772" i="1"/>
  <c r="AW2771" i="1"/>
  <c r="AQ2771" i="1"/>
  <c r="AT2771" i="1" s="1"/>
  <c r="AP2771" i="1"/>
  <c r="AW2769" i="1"/>
  <c r="AQ2769" i="1"/>
  <c r="AS2769" i="1" s="1"/>
  <c r="AP2769" i="1"/>
  <c r="AW2767" i="1"/>
  <c r="AQ2767" i="1"/>
  <c r="AS2767" i="1" s="1"/>
  <c r="AP2767" i="1"/>
  <c r="AW2757" i="1"/>
  <c r="AQ2757" i="1"/>
  <c r="AT2757" i="1" s="1"/>
  <c r="AP2757" i="1"/>
  <c r="AW2756" i="1"/>
  <c r="AQ2756" i="1"/>
  <c r="AT2756" i="1" s="1"/>
  <c r="AP2756" i="1"/>
  <c r="AW2748" i="1"/>
  <c r="AQ2748" i="1"/>
  <c r="AS2748" i="1" s="1"/>
  <c r="AP2748" i="1"/>
  <c r="AW2738" i="1"/>
  <c r="AQ2738" i="1"/>
  <c r="AR2738" i="1" s="1"/>
  <c r="AP2738" i="1"/>
  <c r="AW2735" i="1"/>
  <c r="AQ2735" i="1"/>
  <c r="AP2735" i="1"/>
  <c r="AW2733" i="1"/>
  <c r="AQ2733" i="1"/>
  <c r="AT2733" i="1" s="1"/>
  <c r="AP2733" i="1"/>
  <c r="AV2509" i="1"/>
  <c r="AU2509" i="1"/>
  <c r="AQ2509" i="1"/>
  <c r="AT2509" i="1" s="1"/>
  <c r="AP2509" i="1"/>
  <c r="AW2745" i="1"/>
  <c r="AQ2745" i="1"/>
  <c r="AS2745" i="1" s="1"/>
  <c r="AP2745" i="1"/>
  <c r="AW2732" i="1"/>
  <c r="AQ2732" i="1"/>
  <c r="AP2732" i="1"/>
  <c r="AW2752" i="1"/>
  <c r="AQ2752" i="1"/>
  <c r="AP2752" i="1"/>
  <c r="AW2734" i="1"/>
  <c r="AQ2734" i="1"/>
  <c r="AT2734" i="1" s="1"/>
  <c r="AP2734" i="1"/>
  <c r="AW2712" i="1"/>
  <c r="AQ2712" i="1"/>
  <c r="AT2712" i="1" s="1"/>
  <c r="AP2712" i="1"/>
  <c r="AW2713" i="1"/>
  <c r="AQ2713" i="1"/>
  <c r="AP2713" i="1"/>
  <c r="AW2743" i="1"/>
  <c r="AQ2743" i="1"/>
  <c r="AS2743" i="1" s="1"/>
  <c r="AP2743" i="1"/>
  <c r="AW2737" i="1"/>
  <c r="AQ2737" i="1"/>
  <c r="AT2737" i="1" s="1"/>
  <c r="AP2737" i="1"/>
  <c r="AW2721" i="1"/>
  <c r="AQ2721" i="1"/>
  <c r="AS2721" i="1" s="1"/>
  <c r="AP2721" i="1"/>
  <c r="AW2714" i="1"/>
  <c r="AQ2714" i="1"/>
  <c r="AP2714" i="1"/>
  <c r="AW2726" i="1"/>
  <c r="AQ2726" i="1"/>
  <c r="AP2726" i="1"/>
  <c r="BA2560" i="1"/>
  <c r="AX2560" i="1"/>
  <c r="AV2560" i="1"/>
  <c r="AU2560" i="1"/>
  <c r="AQ2560" i="1"/>
  <c r="AT2560" i="1" s="1"/>
  <c r="AP2560" i="1"/>
  <c r="BA2531" i="1"/>
  <c r="AX2531" i="1"/>
  <c r="AZ2531" i="1" s="1"/>
  <c r="AV2531" i="1"/>
  <c r="AU2531" i="1"/>
  <c r="AQ2531" i="1"/>
  <c r="AP2531" i="1"/>
  <c r="BA2530" i="1"/>
  <c r="AX2530" i="1"/>
  <c r="AZ2530" i="1" s="1"/>
  <c r="AV2530" i="1"/>
  <c r="AU2530" i="1"/>
  <c r="AQ2530" i="1"/>
  <c r="AT2530" i="1" s="1"/>
  <c r="AP2530" i="1"/>
  <c r="BA2707" i="1"/>
  <c r="AX2707" i="1"/>
  <c r="AV2707" i="1"/>
  <c r="AU2707" i="1"/>
  <c r="AQ2707" i="1"/>
  <c r="AS2707" i="1" s="1"/>
  <c r="AP2707" i="1"/>
  <c r="BA2689" i="1"/>
  <c r="AV2689" i="1"/>
  <c r="AU2689" i="1"/>
  <c r="AQ2689" i="1"/>
  <c r="AP2689" i="1"/>
  <c r="AV2711" i="1"/>
  <c r="AU2711" i="1"/>
  <c r="AQ2711" i="1"/>
  <c r="AP2711" i="1"/>
  <c r="AV2260" i="1"/>
  <c r="AU2260" i="1"/>
  <c r="AQ2260" i="1"/>
  <c r="AP2260" i="1"/>
  <c r="AW2134" i="1"/>
  <c r="AQ2134" i="1"/>
  <c r="AT2134" i="1" s="1"/>
  <c r="AP2134" i="1"/>
  <c r="AW1963" i="1"/>
  <c r="AQ1963" i="1"/>
  <c r="AS1963" i="1" s="1"/>
  <c r="AP1963" i="1"/>
  <c r="AV2729" i="1"/>
  <c r="AU2729" i="1"/>
  <c r="AQ2729" i="1"/>
  <c r="AT2729" i="1" s="1"/>
  <c r="AP2729" i="1"/>
  <c r="AV2683" i="1"/>
  <c r="AU2683" i="1"/>
  <c r="AQ2683" i="1"/>
  <c r="AR2683" i="1" s="1"/>
  <c r="AP2683" i="1"/>
  <c r="AV2716" i="1"/>
  <c r="AU2716" i="1"/>
  <c r="AQ2716" i="1"/>
  <c r="AR2716" i="1" s="1"/>
  <c r="AP2716" i="1"/>
  <c r="AV2768" i="1"/>
  <c r="AU2768" i="1"/>
  <c r="AQ2768" i="1"/>
  <c r="AR2768" i="1" s="1"/>
  <c r="AP2768" i="1"/>
  <c r="AV2766" i="1"/>
  <c r="AU2766" i="1"/>
  <c r="AQ2766" i="1"/>
  <c r="AT2766" i="1" s="1"/>
  <c r="AP2766" i="1"/>
  <c r="AV2765" i="1"/>
  <c r="AU2765" i="1"/>
  <c r="AQ2765" i="1"/>
  <c r="AT2765" i="1" s="1"/>
  <c r="AP2765" i="1"/>
  <c r="AV2764" i="1"/>
  <c r="AU2764" i="1"/>
  <c r="AQ2764" i="1"/>
  <c r="AR2764" i="1" s="1"/>
  <c r="AP2764" i="1"/>
  <c r="AV2760" i="1"/>
  <c r="AU2760" i="1"/>
  <c r="AQ2760" i="1"/>
  <c r="AT2760" i="1" s="1"/>
  <c r="AP2760" i="1"/>
  <c r="AV2754" i="1"/>
  <c r="AU2754" i="1"/>
  <c r="AQ2754" i="1"/>
  <c r="AT2754" i="1" s="1"/>
  <c r="AP2754" i="1"/>
  <c r="AV2742" i="1"/>
  <c r="AU2742" i="1"/>
  <c r="AQ2742" i="1"/>
  <c r="AR2742" i="1" s="1"/>
  <c r="AP2742" i="1"/>
  <c r="AV2741" i="1"/>
  <c r="AU2741" i="1"/>
  <c r="AQ2741" i="1"/>
  <c r="AS2741" i="1" s="1"/>
  <c r="AP2741" i="1"/>
  <c r="AV2739" i="1"/>
  <c r="AU2739" i="1"/>
  <c r="AQ2739" i="1"/>
  <c r="AT2739" i="1" s="1"/>
  <c r="AP2739" i="1"/>
  <c r="AV2731" i="1"/>
  <c r="AU2731" i="1"/>
  <c r="AQ2731" i="1"/>
  <c r="AT2731" i="1" s="1"/>
  <c r="AP2731" i="1"/>
  <c r="AV2730" i="1"/>
  <c r="AU2730" i="1"/>
  <c r="AQ2730" i="1"/>
  <c r="AT2730" i="1" s="1"/>
  <c r="AP2730" i="1"/>
  <c r="AV2727" i="1"/>
  <c r="AU2727" i="1"/>
  <c r="AQ2727" i="1"/>
  <c r="AR2727" i="1" s="1"/>
  <c r="AP2727" i="1"/>
  <c r="AV2724" i="1"/>
  <c r="AU2724" i="1"/>
  <c r="AQ2724" i="1"/>
  <c r="AS2724" i="1" s="1"/>
  <c r="AP2724" i="1"/>
  <c r="AV2723" i="1"/>
  <c r="AU2723" i="1"/>
  <c r="AQ2723" i="1"/>
  <c r="AT2723" i="1" s="1"/>
  <c r="AP2723" i="1"/>
  <c r="AV2722" i="1"/>
  <c r="AU2722" i="1"/>
  <c r="AQ2722" i="1"/>
  <c r="AS2722" i="1" s="1"/>
  <c r="AP2722" i="1"/>
  <c r="AV2720" i="1"/>
  <c r="AU2720" i="1"/>
  <c r="AQ2720" i="1"/>
  <c r="AR2720" i="1" s="1"/>
  <c r="AP2720" i="1"/>
  <c r="AV2717" i="1"/>
  <c r="AU2717" i="1"/>
  <c r="AQ2717" i="1"/>
  <c r="AS2717" i="1" s="1"/>
  <c r="AP2717" i="1"/>
  <c r="BA2740" i="1"/>
  <c r="AX2740" i="1"/>
  <c r="AZ2740" i="1" s="1"/>
  <c r="AV2740" i="1"/>
  <c r="AU2740" i="1"/>
  <c r="AQ2740" i="1"/>
  <c r="AP2740" i="1"/>
  <c r="AV2663" i="1"/>
  <c r="AU2663" i="1"/>
  <c r="AQ2663" i="1"/>
  <c r="AS2663" i="1" s="1"/>
  <c r="AP2663" i="1"/>
  <c r="AV2753" i="1"/>
  <c r="AU2753" i="1"/>
  <c r="AQ2753" i="1"/>
  <c r="AS2753" i="1" s="1"/>
  <c r="AP2753" i="1"/>
  <c r="AV2759" i="1"/>
  <c r="AU2759" i="1"/>
  <c r="AQ2759" i="1"/>
  <c r="AP2759" i="1"/>
  <c r="AV2706" i="1"/>
  <c r="AU2706" i="1"/>
  <c r="AQ2706" i="1"/>
  <c r="AT2706" i="1" s="1"/>
  <c r="AP2706" i="1"/>
  <c r="BA2715" i="1"/>
  <c r="AX2715" i="1"/>
  <c r="AY2715" i="1" s="1"/>
  <c r="AV2715" i="1"/>
  <c r="AU2715" i="1"/>
  <c r="AQ2715" i="1"/>
  <c r="AS2715" i="1" s="1"/>
  <c r="AP2715" i="1"/>
  <c r="AV2710" i="1"/>
  <c r="AU2710" i="1"/>
  <c r="AQ2710" i="1"/>
  <c r="AT2710" i="1" s="1"/>
  <c r="AP2710" i="1"/>
  <c r="AV2708" i="1"/>
  <c r="AU2708" i="1"/>
  <c r="AQ2708" i="1"/>
  <c r="AS2708" i="1" s="1"/>
  <c r="AP2708" i="1"/>
  <c r="AV2705" i="1"/>
  <c r="AU2705" i="1"/>
  <c r="AQ2705" i="1"/>
  <c r="AR2705" i="1" s="1"/>
  <c r="AP2705" i="1"/>
  <c r="BA2704" i="1"/>
  <c r="AX2704" i="1"/>
  <c r="AY2704" i="1" s="1"/>
  <c r="AV2704" i="1"/>
  <c r="AU2704" i="1"/>
  <c r="AQ2704" i="1"/>
  <c r="AP2704" i="1"/>
  <c r="BA2703" i="1"/>
  <c r="AX2703" i="1"/>
  <c r="AY2703" i="1" s="1"/>
  <c r="AV2703" i="1"/>
  <c r="AU2703" i="1"/>
  <c r="AQ2703" i="1"/>
  <c r="AR2703" i="1" s="1"/>
  <c r="AP2703" i="1"/>
  <c r="AV2702" i="1"/>
  <c r="AU2702" i="1"/>
  <c r="AQ2702" i="1"/>
  <c r="AR2702" i="1" s="1"/>
  <c r="AP2702" i="1"/>
  <c r="BA2701" i="1"/>
  <c r="AX2701" i="1"/>
  <c r="AY2701" i="1" s="1"/>
  <c r="AV2701" i="1"/>
  <c r="AU2701" i="1"/>
  <c r="AQ2701" i="1"/>
  <c r="AT2701" i="1" s="1"/>
  <c r="AP2701" i="1"/>
  <c r="BA2700" i="1"/>
  <c r="AX2700" i="1"/>
  <c r="AV2700" i="1"/>
  <c r="AU2700" i="1"/>
  <c r="AQ2700" i="1"/>
  <c r="AT2700" i="1" s="1"/>
  <c r="AP2700" i="1"/>
  <c r="AV2698" i="1"/>
  <c r="AU2698" i="1"/>
  <c r="AQ2698" i="1"/>
  <c r="AT2698" i="1" s="1"/>
  <c r="AP2698" i="1"/>
  <c r="AV2696" i="1"/>
  <c r="AU2696" i="1"/>
  <c r="AQ2696" i="1"/>
  <c r="AS2696" i="1" s="1"/>
  <c r="AP2696" i="1"/>
  <c r="AX2697" i="1"/>
  <c r="AY2697" i="1" s="1"/>
  <c r="AV2697" i="1"/>
  <c r="AU2697" i="1"/>
  <c r="AQ2697" i="1"/>
  <c r="AS2697" i="1" s="1"/>
  <c r="AP2697" i="1"/>
  <c r="AV2695" i="1"/>
  <c r="AU2695" i="1"/>
  <c r="AQ2695" i="1"/>
  <c r="AS2695" i="1" s="1"/>
  <c r="AP2695" i="1"/>
  <c r="BA2694" i="1"/>
  <c r="AX2694" i="1"/>
  <c r="AY2694" i="1" s="1"/>
  <c r="AV2694" i="1"/>
  <c r="AU2694" i="1"/>
  <c r="AQ2694" i="1"/>
  <c r="AT2694" i="1" s="1"/>
  <c r="AP2694" i="1"/>
  <c r="BA2693" i="1"/>
  <c r="AX2693" i="1"/>
  <c r="AV2693" i="1"/>
  <c r="AU2693" i="1"/>
  <c r="AQ2693" i="1"/>
  <c r="AP2693" i="1"/>
  <c r="BA2692" i="1"/>
  <c r="AX2692" i="1"/>
  <c r="AZ2692" i="1" s="1"/>
  <c r="AV2692" i="1"/>
  <c r="AU2692" i="1"/>
  <c r="AQ2692" i="1"/>
  <c r="AR2692" i="1" s="1"/>
  <c r="AP2692" i="1"/>
  <c r="BA2691" i="1"/>
  <c r="AX2691" i="1"/>
  <c r="AV2691" i="1"/>
  <c r="AU2691" i="1"/>
  <c r="AQ2691" i="1"/>
  <c r="AP2691" i="1"/>
  <c r="AV2690" i="1"/>
  <c r="AU2690" i="1"/>
  <c r="AQ2690" i="1"/>
  <c r="AR2690" i="1" s="1"/>
  <c r="AP2690" i="1"/>
  <c r="BA2688" i="1"/>
  <c r="AX2688" i="1"/>
  <c r="AY2688" i="1" s="1"/>
  <c r="AV2688" i="1"/>
  <c r="AU2688" i="1"/>
  <c r="AQ2688" i="1"/>
  <c r="AR2688" i="1" s="1"/>
  <c r="AP2688" i="1"/>
  <c r="AV2687" i="1"/>
  <c r="AU2687" i="1"/>
  <c r="AQ2687" i="1"/>
  <c r="AT2687" i="1" s="1"/>
  <c r="AP2687" i="1"/>
  <c r="BA2686" i="1"/>
  <c r="AX2686" i="1"/>
  <c r="AV2686" i="1"/>
  <c r="AU2686" i="1"/>
  <c r="AQ2686" i="1"/>
  <c r="AP2686" i="1"/>
  <c r="AV2685" i="1"/>
  <c r="AU2685" i="1"/>
  <c r="AQ2685" i="1"/>
  <c r="AR2685" i="1" s="1"/>
  <c r="AP2685" i="1"/>
  <c r="AV2684" i="1"/>
  <c r="AU2684" i="1"/>
  <c r="AQ2684" i="1"/>
  <c r="AT2684" i="1" s="1"/>
  <c r="AP2684" i="1"/>
  <c r="BA2682" i="1"/>
  <c r="AX2682" i="1"/>
  <c r="AY2682" i="1" s="1"/>
  <c r="AV2682" i="1"/>
  <c r="AU2682" i="1"/>
  <c r="AQ2682" i="1"/>
  <c r="AR2682" i="1" s="1"/>
  <c r="AP2682" i="1"/>
  <c r="BA2681" i="1"/>
  <c r="AX2681" i="1"/>
  <c r="AY2681" i="1" s="1"/>
  <c r="AV2681" i="1"/>
  <c r="AU2681" i="1"/>
  <c r="AQ2681" i="1"/>
  <c r="AP2681" i="1"/>
  <c r="BA2680" i="1"/>
  <c r="AX2680" i="1"/>
  <c r="AZ2680" i="1" s="1"/>
  <c r="AV2680" i="1"/>
  <c r="AU2680" i="1"/>
  <c r="AQ2680" i="1"/>
  <c r="AT2680" i="1" s="1"/>
  <c r="AP2680" i="1"/>
  <c r="BA2679" i="1"/>
  <c r="AX2679" i="1"/>
  <c r="AY2679" i="1" s="1"/>
  <c r="AV2679" i="1"/>
  <c r="AU2679" i="1"/>
  <c r="AW2679" i="1" s="1"/>
  <c r="AQ2679" i="1"/>
  <c r="AS2679" i="1" s="1"/>
  <c r="AP2679" i="1"/>
  <c r="AV2678" i="1"/>
  <c r="AU2678" i="1"/>
  <c r="AQ2678" i="1"/>
  <c r="AT2678" i="1" s="1"/>
  <c r="AP2678" i="1"/>
  <c r="AV2677" i="1"/>
  <c r="AU2677" i="1"/>
  <c r="AQ2677" i="1"/>
  <c r="AP2677" i="1"/>
  <c r="AV2676" i="1"/>
  <c r="AU2676" i="1"/>
  <c r="AQ2676" i="1"/>
  <c r="AT2676" i="1" s="1"/>
  <c r="AP2676" i="1"/>
  <c r="BA2675" i="1"/>
  <c r="AX2675" i="1"/>
  <c r="AY2675" i="1" s="1"/>
  <c r="AV2675" i="1"/>
  <c r="AU2675" i="1"/>
  <c r="AQ2675" i="1"/>
  <c r="AT2675" i="1" s="1"/>
  <c r="AP2675" i="1"/>
  <c r="BA2674" i="1"/>
  <c r="AX2674" i="1"/>
  <c r="AY2674" i="1" s="1"/>
  <c r="AV2674" i="1"/>
  <c r="AU2674" i="1"/>
  <c r="AQ2674" i="1"/>
  <c r="AP2674" i="1"/>
  <c r="AV2673" i="1"/>
  <c r="AU2673" i="1"/>
  <c r="AQ2673" i="1"/>
  <c r="AR2673" i="1" s="1"/>
  <c r="AP2673" i="1"/>
  <c r="AV2672" i="1"/>
  <c r="AU2672" i="1"/>
  <c r="AQ2672" i="1"/>
  <c r="AP2672" i="1"/>
  <c r="BA2670" i="1"/>
  <c r="AX2670" i="1"/>
  <c r="AY2670" i="1" s="1"/>
  <c r="AV2670" i="1"/>
  <c r="AU2670" i="1"/>
  <c r="AQ2670" i="1"/>
  <c r="AT2670" i="1" s="1"/>
  <c r="AP2670" i="1"/>
  <c r="AV2669" i="1"/>
  <c r="AU2669" i="1"/>
  <c r="AQ2669" i="1"/>
  <c r="AS2669" i="1" s="1"/>
  <c r="AP2669" i="1"/>
  <c r="AV2668" i="1"/>
  <c r="AU2668" i="1"/>
  <c r="AQ2668" i="1"/>
  <c r="AS2668" i="1" s="1"/>
  <c r="AP2668" i="1"/>
  <c r="AV2667" i="1"/>
  <c r="AU2667" i="1"/>
  <c r="AQ2667" i="1"/>
  <c r="AT2667" i="1" s="1"/>
  <c r="AP2667" i="1"/>
  <c r="AV2666" i="1"/>
  <c r="AU2666" i="1"/>
  <c r="AQ2666" i="1"/>
  <c r="AR2666" i="1" s="1"/>
  <c r="AP2666" i="1"/>
  <c r="BA2665" i="1"/>
  <c r="AX2665" i="1"/>
  <c r="AZ2665" i="1" s="1"/>
  <c r="AV2665" i="1"/>
  <c r="AU2665" i="1"/>
  <c r="AQ2665" i="1"/>
  <c r="AP2665" i="1"/>
  <c r="BA2664" i="1"/>
  <c r="AX2664" i="1"/>
  <c r="AZ2664" i="1" s="1"/>
  <c r="AV2664" i="1"/>
  <c r="AU2664" i="1"/>
  <c r="AQ2664" i="1"/>
  <c r="AS2664" i="1" s="1"/>
  <c r="AP2664" i="1"/>
  <c r="AV2662" i="1"/>
  <c r="AU2662" i="1"/>
  <c r="AQ2662" i="1"/>
  <c r="AS2662" i="1" s="1"/>
  <c r="AP2662" i="1"/>
  <c r="AV2661" i="1"/>
  <c r="AU2661" i="1"/>
  <c r="AQ2661" i="1"/>
  <c r="AS2661" i="1" s="1"/>
  <c r="AP2661" i="1"/>
  <c r="AV2660" i="1"/>
  <c r="AU2660" i="1"/>
  <c r="AQ2660" i="1"/>
  <c r="AS2660" i="1" s="1"/>
  <c r="AP2660" i="1"/>
  <c r="AV2659" i="1"/>
  <c r="AU2659" i="1"/>
  <c r="AQ2659" i="1"/>
  <c r="AT2659" i="1" s="1"/>
  <c r="AP2659" i="1"/>
  <c r="BA2658" i="1"/>
  <c r="AX2658" i="1"/>
  <c r="AV2658" i="1"/>
  <c r="AU2658" i="1"/>
  <c r="AQ2658" i="1"/>
  <c r="AP2658" i="1"/>
  <c r="BA2656" i="1"/>
  <c r="AX2656" i="1"/>
  <c r="AY2656" i="1" s="1"/>
  <c r="AV2656" i="1"/>
  <c r="AU2656" i="1"/>
  <c r="AQ2656" i="1"/>
  <c r="AR2656" i="1" s="1"/>
  <c r="AP2656" i="1"/>
  <c r="AV2655" i="1"/>
  <c r="AU2655" i="1"/>
  <c r="AQ2655" i="1"/>
  <c r="AS2655" i="1" s="1"/>
  <c r="AP2655" i="1"/>
  <c r="BA2654" i="1"/>
  <c r="AX2654" i="1"/>
  <c r="AV2654" i="1"/>
  <c r="AU2654" i="1"/>
  <c r="AQ2654" i="1"/>
  <c r="AT2654" i="1" s="1"/>
  <c r="AP2654" i="1"/>
  <c r="BA2653" i="1"/>
  <c r="AX2653" i="1"/>
  <c r="AZ2653" i="1" s="1"/>
  <c r="AV2653" i="1"/>
  <c r="AU2653" i="1"/>
  <c r="AQ2653" i="1"/>
  <c r="AS2653" i="1" s="1"/>
  <c r="AP2653" i="1"/>
  <c r="BA2651" i="1"/>
  <c r="AX2651" i="1"/>
  <c r="AV2651" i="1"/>
  <c r="AU2651" i="1"/>
  <c r="AQ2651" i="1"/>
  <c r="AP2651" i="1"/>
  <c r="AV2650" i="1"/>
  <c r="AU2650" i="1"/>
  <c r="AQ2650" i="1"/>
  <c r="AS2650" i="1" s="1"/>
  <c r="AP2650" i="1"/>
  <c r="BA2649" i="1"/>
  <c r="AX2649" i="1"/>
  <c r="AY2649" i="1" s="1"/>
  <c r="AV2649" i="1"/>
  <c r="AU2649" i="1"/>
  <c r="AQ2649" i="1"/>
  <c r="AS2649" i="1" s="1"/>
  <c r="AP2649" i="1"/>
  <c r="AV2648" i="1"/>
  <c r="AU2648" i="1"/>
  <c r="AW2648" i="1" s="1"/>
  <c r="AQ2648" i="1"/>
  <c r="AS2648" i="1" s="1"/>
  <c r="AP2648" i="1"/>
  <c r="AV2647" i="1"/>
  <c r="AU2647" i="1"/>
  <c r="AQ2647" i="1"/>
  <c r="AR2647" i="1" s="1"/>
  <c r="AP2647" i="1"/>
  <c r="BA2646" i="1"/>
  <c r="AX2646" i="1"/>
  <c r="AY2646" i="1" s="1"/>
  <c r="AV2646" i="1"/>
  <c r="AU2646" i="1"/>
  <c r="AQ2646" i="1"/>
  <c r="AS2646" i="1" s="1"/>
  <c r="AP2646" i="1"/>
  <c r="BA2645" i="1"/>
  <c r="AX2645" i="1"/>
  <c r="AY2645" i="1" s="1"/>
  <c r="AV2645" i="1"/>
  <c r="AU2645" i="1"/>
  <c r="AQ2645" i="1"/>
  <c r="AT2645" i="1" s="1"/>
  <c r="AP2645" i="1"/>
  <c r="AX2643" i="1"/>
  <c r="AY2643" i="1" s="1"/>
  <c r="AV2643" i="1"/>
  <c r="AU2643" i="1"/>
  <c r="AQ2643" i="1"/>
  <c r="AS2643" i="1" s="1"/>
  <c r="AP2643" i="1"/>
  <c r="BA2642" i="1"/>
  <c r="AX2642" i="1"/>
  <c r="AZ2642" i="1" s="1"/>
  <c r="AV2642" i="1"/>
  <c r="AU2642" i="1"/>
  <c r="AQ2642" i="1"/>
  <c r="AP2642" i="1"/>
  <c r="BA2641" i="1"/>
  <c r="AX2641" i="1"/>
  <c r="AV2641" i="1"/>
  <c r="AU2641" i="1"/>
  <c r="AQ2641" i="1"/>
  <c r="AS2641" i="1" s="1"/>
  <c r="AP2641" i="1"/>
  <c r="AX2640" i="1"/>
  <c r="AV2640" i="1"/>
  <c r="AU2640" i="1"/>
  <c r="AQ2640" i="1"/>
  <c r="AP2640" i="1"/>
  <c r="BA2639" i="1"/>
  <c r="AX2639" i="1"/>
  <c r="AY2639" i="1" s="1"/>
  <c r="AV2639" i="1"/>
  <c r="AU2639" i="1"/>
  <c r="AQ2639" i="1"/>
  <c r="AP2639" i="1"/>
  <c r="AV2638" i="1"/>
  <c r="AU2638" i="1"/>
  <c r="AQ2638" i="1"/>
  <c r="AT2638" i="1" s="1"/>
  <c r="AP2638" i="1"/>
  <c r="BA2637" i="1"/>
  <c r="AX2637" i="1"/>
  <c r="AZ2637" i="1" s="1"/>
  <c r="AV2637" i="1"/>
  <c r="AU2637" i="1"/>
  <c r="AQ2637" i="1"/>
  <c r="AP2637" i="1"/>
  <c r="AV2636" i="1"/>
  <c r="AU2636" i="1"/>
  <c r="AQ2636" i="1"/>
  <c r="AP2636" i="1"/>
  <c r="AX2635" i="1"/>
  <c r="AZ2635" i="1" s="1"/>
  <c r="AV2635" i="1"/>
  <c r="AU2635" i="1"/>
  <c r="AQ2635" i="1"/>
  <c r="AP2635" i="1"/>
  <c r="BA2634" i="1"/>
  <c r="AX2634" i="1"/>
  <c r="AV2634" i="1"/>
  <c r="AU2634" i="1"/>
  <c r="AQ2634" i="1"/>
  <c r="AR2634" i="1" s="1"/>
  <c r="AP2634" i="1"/>
  <c r="AV2633" i="1"/>
  <c r="AU2633" i="1"/>
  <c r="AQ2633" i="1"/>
  <c r="AT2633" i="1" s="1"/>
  <c r="AP2633" i="1"/>
  <c r="BA2632" i="1"/>
  <c r="AX2632" i="1"/>
  <c r="AV2632" i="1"/>
  <c r="AU2632" i="1"/>
  <c r="AQ2632" i="1"/>
  <c r="AP2632" i="1"/>
  <c r="BA2631" i="1"/>
  <c r="AX2631" i="1"/>
  <c r="AV2631" i="1"/>
  <c r="AU2631" i="1"/>
  <c r="AQ2631" i="1"/>
  <c r="AS2631" i="1" s="1"/>
  <c r="AP2631" i="1"/>
  <c r="BA2629" i="1"/>
  <c r="AV2629" i="1"/>
  <c r="AU2629" i="1"/>
  <c r="AQ2629" i="1"/>
  <c r="AP2629" i="1"/>
  <c r="BA2628" i="1"/>
  <c r="AV2628" i="1"/>
  <c r="AU2628" i="1"/>
  <c r="AQ2628" i="1"/>
  <c r="AS2628" i="1" s="1"/>
  <c r="AP2628" i="1"/>
  <c r="AX2627" i="1"/>
  <c r="AZ2627" i="1" s="1"/>
  <c r="AV2627" i="1"/>
  <c r="AU2627" i="1"/>
  <c r="AQ2627" i="1"/>
  <c r="AS2627" i="1" s="1"/>
  <c r="AP2627" i="1"/>
  <c r="BA2626" i="1"/>
  <c r="AX2626" i="1"/>
  <c r="AV2626" i="1"/>
  <c r="AU2626" i="1"/>
  <c r="AQ2626" i="1"/>
  <c r="AP2626" i="1"/>
  <c r="BA2625" i="1"/>
  <c r="AX2625" i="1"/>
  <c r="AY2625" i="1" s="1"/>
  <c r="AV2625" i="1"/>
  <c r="AU2625" i="1"/>
  <c r="AQ2625" i="1"/>
  <c r="AP2625" i="1"/>
  <c r="BA2624" i="1"/>
  <c r="AV2624" i="1"/>
  <c r="AU2624" i="1"/>
  <c r="AQ2624" i="1"/>
  <c r="AT2624" i="1" s="1"/>
  <c r="AP2624" i="1"/>
  <c r="AV2623" i="1"/>
  <c r="AU2623" i="1"/>
  <c r="AQ2623" i="1"/>
  <c r="AT2623" i="1" s="1"/>
  <c r="AP2623" i="1"/>
  <c r="AV2622" i="1"/>
  <c r="AU2622" i="1"/>
  <c r="AQ2622" i="1"/>
  <c r="AS2622" i="1" s="1"/>
  <c r="AP2622" i="1"/>
  <c r="AV2621" i="1"/>
  <c r="AU2621" i="1"/>
  <c r="AQ2621" i="1"/>
  <c r="AT2621" i="1" s="1"/>
  <c r="AP2621" i="1"/>
  <c r="AV2620" i="1"/>
  <c r="AU2620" i="1"/>
  <c r="AQ2620" i="1"/>
  <c r="AR2620" i="1" s="1"/>
  <c r="AP2620" i="1"/>
  <c r="BA2619" i="1"/>
  <c r="AX2619" i="1"/>
  <c r="AZ2619" i="1" s="1"/>
  <c r="AV2619" i="1"/>
  <c r="AU2619" i="1"/>
  <c r="AQ2619" i="1"/>
  <c r="AP2619" i="1"/>
  <c r="AV2618" i="1"/>
  <c r="AU2618" i="1"/>
  <c r="AQ2618" i="1"/>
  <c r="AP2618" i="1"/>
  <c r="AV2616" i="1"/>
  <c r="AU2616" i="1"/>
  <c r="AQ2616" i="1"/>
  <c r="AP2616" i="1"/>
  <c r="BA2615" i="1"/>
  <c r="AX2615" i="1"/>
  <c r="AV2615" i="1"/>
  <c r="AU2615" i="1"/>
  <c r="AQ2615" i="1"/>
  <c r="AS2615" i="1" s="1"/>
  <c r="AP2615" i="1"/>
  <c r="AV2614" i="1"/>
  <c r="AU2614" i="1"/>
  <c r="AQ2614" i="1"/>
  <c r="AT2614" i="1" s="1"/>
  <c r="AP2614" i="1"/>
  <c r="BA2611" i="1"/>
  <c r="AX2611" i="1"/>
  <c r="AY2611" i="1" s="1"/>
  <c r="AV2611" i="1"/>
  <c r="AU2611" i="1"/>
  <c r="AQ2611" i="1"/>
  <c r="AT2611" i="1" s="1"/>
  <c r="AP2611" i="1"/>
  <c r="AV2609" i="1"/>
  <c r="AU2609" i="1"/>
  <c r="AQ2609" i="1"/>
  <c r="AS2609" i="1" s="1"/>
  <c r="AP2609" i="1"/>
  <c r="BA2608" i="1"/>
  <c r="AV2608" i="1"/>
  <c r="AU2608" i="1"/>
  <c r="AQ2608" i="1"/>
  <c r="AR2608" i="1" s="1"/>
  <c r="AP2608" i="1"/>
  <c r="BA2607" i="1"/>
  <c r="AX2607" i="1"/>
  <c r="AY2607" i="1" s="1"/>
  <c r="AV2607" i="1"/>
  <c r="AU2607" i="1"/>
  <c r="AQ2607" i="1"/>
  <c r="AP2607" i="1"/>
  <c r="AX2606" i="1"/>
  <c r="AZ2606" i="1" s="1"/>
  <c r="AV2606" i="1"/>
  <c r="AU2606" i="1"/>
  <c r="AQ2606" i="1"/>
  <c r="AP2606" i="1"/>
  <c r="AV2605" i="1"/>
  <c r="AU2605" i="1"/>
  <c r="AQ2605" i="1"/>
  <c r="AT2605" i="1" s="1"/>
  <c r="AP2605" i="1"/>
  <c r="BA2603" i="1"/>
  <c r="AX2603" i="1"/>
  <c r="AZ2603" i="1" s="1"/>
  <c r="AV2603" i="1"/>
  <c r="AU2603" i="1"/>
  <c r="AQ2603" i="1"/>
  <c r="AS2603" i="1" s="1"/>
  <c r="AP2603" i="1"/>
  <c r="AV2602" i="1"/>
  <c r="AU2602" i="1"/>
  <c r="AQ2602" i="1"/>
  <c r="AR2602" i="1" s="1"/>
  <c r="AP2602" i="1"/>
  <c r="AV2601" i="1"/>
  <c r="AU2601" i="1"/>
  <c r="AQ2601" i="1"/>
  <c r="AR2601" i="1" s="1"/>
  <c r="AP2601" i="1"/>
  <c r="AX2600" i="1"/>
  <c r="AV2600" i="1"/>
  <c r="AU2600" i="1"/>
  <c r="AQ2600" i="1"/>
  <c r="AT2600" i="1" s="1"/>
  <c r="AP2600" i="1"/>
  <c r="AV2598" i="1"/>
  <c r="AU2598" i="1"/>
  <c r="AQ2598" i="1"/>
  <c r="AR2598" i="1" s="1"/>
  <c r="AP2598" i="1"/>
  <c r="AV2597" i="1"/>
  <c r="AU2597" i="1"/>
  <c r="AQ2597" i="1"/>
  <c r="AP2597" i="1"/>
  <c r="AV2596" i="1"/>
  <c r="AU2596" i="1"/>
  <c r="AQ2596" i="1"/>
  <c r="AP2596" i="1"/>
  <c r="BA2595" i="1"/>
  <c r="AX2595" i="1"/>
  <c r="AY2595" i="1" s="1"/>
  <c r="AV2595" i="1"/>
  <c r="AU2595" i="1"/>
  <c r="AQ2595" i="1"/>
  <c r="AS2595" i="1" s="1"/>
  <c r="AP2595" i="1"/>
  <c r="BA2594" i="1"/>
  <c r="AV2594" i="1"/>
  <c r="AU2594" i="1"/>
  <c r="AQ2594" i="1"/>
  <c r="AS2594" i="1" s="1"/>
  <c r="AP2594" i="1"/>
  <c r="AV2593" i="1"/>
  <c r="AU2593" i="1"/>
  <c r="AQ2593" i="1"/>
  <c r="AT2593" i="1" s="1"/>
  <c r="AP2593" i="1"/>
  <c r="AX2592" i="1"/>
  <c r="AV2592" i="1"/>
  <c r="AU2592" i="1"/>
  <c r="AQ2592" i="1"/>
  <c r="AP2592" i="1"/>
  <c r="AV2591" i="1"/>
  <c r="AU2591" i="1"/>
  <c r="AQ2591" i="1"/>
  <c r="AS2591" i="1" s="1"/>
  <c r="AP2591" i="1"/>
  <c r="AV2589" i="1"/>
  <c r="AU2589" i="1"/>
  <c r="AQ2589" i="1"/>
  <c r="AP2589" i="1"/>
  <c r="BA2588" i="1"/>
  <c r="AX2588" i="1"/>
  <c r="AZ2588" i="1" s="1"/>
  <c r="AV2588" i="1"/>
  <c r="AU2588" i="1"/>
  <c r="AQ2588" i="1"/>
  <c r="AS2588" i="1" s="1"/>
  <c r="AP2588" i="1"/>
  <c r="BA2587" i="1"/>
  <c r="AX2587" i="1"/>
  <c r="AV2587" i="1"/>
  <c r="AU2587" i="1"/>
  <c r="AQ2587" i="1"/>
  <c r="AS2587" i="1" s="1"/>
  <c r="AP2587" i="1"/>
  <c r="AV2585" i="1"/>
  <c r="AU2585" i="1"/>
  <c r="AQ2585" i="1"/>
  <c r="AP2585" i="1"/>
  <c r="AV2584" i="1"/>
  <c r="AU2584" i="1"/>
  <c r="AQ2584" i="1"/>
  <c r="AR2584" i="1" s="1"/>
  <c r="AP2584" i="1"/>
  <c r="AV2583" i="1"/>
  <c r="AU2583" i="1"/>
  <c r="AQ2583" i="1"/>
  <c r="AT2583" i="1" s="1"/>
  <c r="AP2583" i="1"/>
  <c r="BA2581" i="1"/>
  <c r="AX2581" i="1"/>
  <c r="AZ2581" i="1" s="1"/>
  <c r="AV2581" i="1"/>
  <c r="AU2581" i="1"/>
  <c r="AQ2581" i="1"/>
  <c r="AT2581" i="1" s="1"/>
  <c r="AP2581" i="1"/>
  <c r="AV2579" i="1"/>
  <c r="AU2579" i="1"/>
  <c r="AQ2579" i="1"/>
  <c r="AT2579" i="1" s="1"/>
  <c r="AP2579" i="1"/>
  <c r="AV2578" i="1"/>
  <c r="AU2578" i="1"/>
  <c r="AQ2578" i="1"/>
  <c r="AR2578" i="1" s="1"/>
  <c r="AP2578" i="1"/>
  <c r="AV2577" i="1"/>
  <c r="AU2577" i="1"/>
  <c r="AQ2577" i="1"/>
  <c r="AS2577" i="1" s="1"/>
  <c r="AP2577" i="1"/>
  <c r="BA2576" i="1"/>
  <c r="AX2576" i="1"/>
  <c r="AV2576" i="1"/>
  <c r="AU2576" i="1"/>
  <c r="AQ2576" i="1"/>
  <c r="AS2576" i="1" s="1"/>
  <c r="AP2576" i="1"/>
  <c r="AV2575" i="1"/>
  <c r="AU2575" i="1"/>
  <c r="AQ2575" i="1"/>
  <c r="AS2575" i="1" s="1"/>
  <c r="AP2575" i="1"/>
  <c r="AV2574" i="1"/>
  <c r="AU2574" i="1"/>
  <c r="AQ2574" i="1"/>
  <c r="AS2574" i="1" s="1"/>
  <c r="AP2574" i="1"/>
  <c r="AV2572" i="1"/>
  <c r="AU2572" i="1"/>
  <c r="AQ2572" i="1"/>
  <c r="AS2572" i="1" s="1"/>
  <c r="AP2572" i="1"/>
  <c r="AV2571" i="1"/>
  <c r="AU2571" i="1"/>
  <c r="AQ2571" i="1"/>
  <c r="AP2571" i="1"/>
  <c r="AX2573" i="1"/>
  <c r="AY2573" i="1" s="1"/>
  <c r="AV2573" i="1"/>
  <c r="AU2573" i="1"/>
  <c r="AQ2573" i="1"/>
  <c r="AS2573" i="1" s="1"/>
  <c r="AP2573" i="1"/>
  <c r="BA2570" i="1"/>
  <c r="AV2570" i="1"/>
  <c r="AU2570" i="1"/>
  <c r="AQ2570" i="1"/>
  <c r="AR2570" i="1" s="1"/>
  <c r="AP2570" i="1"/>
  <c r="BA2569" i="1"/>
  <c r="AX2569" i="1"/>
  <c r="AV2569" i="1"/>
  <c r="AU2569" i="1"/>
  <c r="AQ2569" i="1"/>
  <c r="AS2569" i="1" s="1"/>
  <c r="AP2569" i="1"/>
  <c r="BA2568" i="1"/>
  <c r="AX2568" i="1"/>
  <c r="AY2568" i="1" s="1"/>
  <c r="AV2568" i="1"/>
  <c r="AU2568" i="1"/>
  <c r="AQ2568" i="1"/>
  <c r="AT2568" i="1" s="1"/>
  <c r="AP2568" i="1"/>
  <c r="AV2567" i="1"/>
  <c r="AU2567" i="1"/>
  <c r="AQ2567" i="1"/>
  <c r="AS2567" i="1" s="1"/>
  <c r="AP2567" i="1"/>
  <c r="BA2566" i="1"/>
  <c r="AX2566" i="1"/>
  <c r="AV2566" i="1"/>
  <c r="AU2566" i="1"/>
  <c r="AQ2566" i="1"/>
  <c r="AP2566" i="1"/>
  <c r="BA2565" i="1"/>
  <c r="AX2565" i="1"/>
  <c r="AY2565" i="1" s="1"/>
  <c r="AV2565" i="1"/>
  <c r="AU2565" i="1"/>
  <c r="AQ2565" i="1"/>
  <c r="AS2565" i="1" s="1"/>
  <c r="AP2565" i="1"/>
  <c r="AV2564" i="1"/>
  <c r="AU2564" i="1"/>
  <c r="AQ2564" i="1"/>
  <c r="AS2564" i="1" s="1"/>
  <c r="AP2564" i="1"/>
  <c r="AV2563" i="1"/>
  <c r="AU2563" i="1"/>
  <c r="AQ2563" i="1"/>
  <c r="AR2563" i="1" s="1"/>
  <c r="AP2563" i="1"/>
  <c r="AV2562" i="1"/>
  <c r="AU2562" i="1"/>
  <c r="AQ2562" i="1"/>
  <c r="AR2562" i="1" s="1"/>
  <c r="AP2562" i="1"/>
  <c r="AV2561" i="1"/>
  <c r="AU2561" i="1"/>
  <c r="AQ2561" i="1"/>
  <c r="AP2561" i="1"/>
  <c r="AV2559" i="1"/>
  <c r="AU2559" i="1"/>
  <c r="AQ2559" i="1"/>
  <c r="AP2559" i="1"/>
  <c r="AV2557" i="1"/>
  <c r="AU2557" i="1"/>
  <c r="AQ2557" i="1"/>
  <c r="AR2557" i="1" s="1"/>
  <c r="AP2557" i="1"/>
  <c r="BA2555" i="1"/>
  <c r="AX2555" i="1"/>
  <c r="AV2555" i="1"/>
  <c r="AU2555" i="1"/>
  <c r="AQ2555" i="1"/>
  <c r="AP2555" i="1"/>
  <c r="BA2554" i="1"/>
  <c r="AX2554" i="1"/>
  <c r="AY2554" i="1" s="1"/>
  <c r="AV2554" i="1"/>
  <c r="AU2554" i="1"/>
  <c r="AQ2554" i="1"/>
  <c r="AT2554" i="1" s="1"/>
  <c r="AP2554" i="1"/>
  <c r="AV2553" i="1"/>
  <c r="AU2553" i="1"/>
  <c r="AQ2553" i="1"/>
  <c r="AT2553" i="1" s="1"/>
  <c r="AP2553" i="1"/>
  <c r="BA2552" i="1"/>
  <c r="AX2552" i="1"/>
  <c r="AV2552" i="1"/>
  <c r="AU2552" i="1"/>
  <c r="AQ2552" i="1"/>
  <c r="AP2552" i="1"/>
  <c r="AV2551" i="1"/>
  <c r="AU2551" i="1"/>
  <c r="AQ2551" i="1"/>
  <c r="AP2551" i="1"/>
  <c r="AV2550" i="1"/>
  <c r="AU2550" i="1"/>
  <c r="AQ2550" i="1"/>
  <c r="AP2550" i="1"/>
  <c r="BA2549" i="1"/>
  <c r="AX2549" i="1"/>
  <c r="AV2549" i="1"/>
  <c r="AU2549" i="1"/>
  <c r="AQ2549" i="1"/>
  <c r="AR2549" i="1" s="1"/>
  <c r="AP2549" i="1"/>
  <c r="BA2548" i="1"/>
  <c r="AX2548" i="1"/>
  <c r="AV2548" i="1"/>
  <c r="AU2548" i="1"/>
  <c r="AQ2548" i="1"/>
  <c r="AS2548" i="1" s="1"/>
  <c r="AP2548" i="1"/>
  <c r="AV2547" i="1"/>
  <c r="AU2547" i="1"/>
  <c r="AQ2547" i="1"/>
  <c r="AS2547" i="1" s="1"/>
  <c r="AP2547" i="1"/>
  <c r="AV2545" i="1"/>
  <c r="AU2545" i="1"/>
  <c r="AQ2545" i="1"/>
  <c r="AP2545" i="1"/>
  <c r="BA2544" i="1"/>
  <c r="AX2544" i="1"/>
  <c r="AY2544" i="1" s="1"/>
  <c r="AV2544" i="1"/>
  <c r="AU2544" i="1"/>
  <c r="AQ2544" i="1"/>
  <c r="AT2544" i="1" s="1"/>
  <c r="AP2544" i="1"/>
  <c r="AV2543" i="1"/>
  <c r="AU2543" i="1"/>
  <c r="AQ2543" i="1"/>
  <c r="AT2543" i="1" s="1"/>
  <c r="AP2543" i="1"/>
  <c r="BA2542" i="1"/>
  <c r="AX2542" i="1"/>
  <c r="AZ2542" i="1" s="1"/>
  <c r="AV2542" i="1"/>
  <c r="AU2542" i="1"/>
  <c r="AQ2542" i="1"/>
  <c r="AP2542" i="1"/>
  <c r="BA2541" i="1"/>
  <c r="AX2541" i="1"/>
  <c r="AY2541" i="1" s="1"/>
  <c r="AV2541" i="1"/>
  <c r="AU2541" i="1"/>
  <c r="AQ2541" i="1"/>
  <c r="AS2541" i="1" s="1"/>
  <c r="AP2541" i="1"/>
  <c r="AX2540" i="1"/>
  <c r="AY2540" i="1" s="1"/>
  <c r="AV2540" i="1"/>
  <c r="AU2540" i="1"/>
  <c r="AQ2540" i="1"/>
  <c r="AP2540" i="1"/>
  <c r="AV2539" i="1"/>
  <c r="AU2539" i="1"/>
  <c r="AQ2539" i="1"/>
  <c r="AS2539" i="1" s="1"/>
  <c r="AP2539" i="1"/>
  <c r="BA2538" i="1"/>
  <c r="AX2538" i="1"/>
  <c r="AY2538" i="1" s="1"/>
  <c r="AV2538" i="1"/>
  <c r="AU2538" i="1"/>
  <c r="AQ2538" i="1"/>
  <c r="AS2538" i="1" s="1"/>
  <c r="AP2538" i="1"/>
  <c r="AV2537" i="1"/>
  <c r="AU2537" i="1"/>
  <c r="AQ2537" i="1"/>
  <c r="AR2537" i="1" s="1"/>
  <c r="AP2537" i="1"/>
  <c r="AV2536" i="1"/>
  <c r="AU2536" i="1"/>
  <c r="AQ2536" i="1"/>
  <c r="AP2536" i="1"/>
  <c r="BA2535" i="1"/>
  <c r="AX2535" i="1"/>
  <c r="AZ2535" i="1" s="1"/>
  <c r="AV2535" i="1"/>
  <c r="AU2535" i="1"/>
  <c r="AQ2535" i="1"/>
  <c r="AS2535" i="1" s="1"/>
  <c r="AP2535" i="1"/>
  <c r="AX2534" i="1"/>
  <c r="AY2534" i="1" s="1"/>
  <c r="AV2534" i="1"/>
  <c r="AU2534" i="1"/>
  <c r="AQ2534" i="1"/>
  <c r="AR2534" i="1" s="1"/>
  <c r="AP2534" i="1"/>
  <c r="BA2533" i="1"/>
  <c r="AX2533" i="1"/>
  <c r="AY2533" i="1" s="1"/>
  <c r="AV2533" i="1"/>
  <c r="AU2533" i="1"/>
  <c r="AQ2533" i="1"/>
  <c r="AT2533" i="1" s="1"/>
  <c r="AP2533" i="1"/>
  <c r="AV2532" i="1"/>
  <c r="AU2532" i="1"/>
  <c r="AQ2532" i="1"/>
  <c r="AR2532" i="1" s="1"/>
  <c r="AP2532" i="1"/>
  <c r="BA2529" i="1"/>
  <c r="AX2529" i="1"/>
  <c r="AV2529" i="1"/>
  <c r="AU2529" i="1"/>
  <c r="AQ2529" i="1"/>
  <c r="AR2529" i="1" s="1"/>
  <c r="AP2529" i="1"/>
  <c r="AV2528" i="1"/>
  <c r="AU2528" i="1"/>
  <c r="AQ2528" i="1"/>
  <c r="AP2528" i="1"/>
  <c r="BA2527" i="1"/>
  <c r="AX2527" i="1"/>
  <c r="AY2527" i="1" s="1"/>
  <c r="AV2527" i="1"/>
  <c r="AU2527" i="1"/>
  <c r="AQ2527" i="1"/>
  <c r="AR2527" i="1" s="1"/>
  <c r="AP2527" i="1"/>
  <c r="AV2526" i="1"/>
  <c r="AU2526" i="1"/>
  <c r="AQ2526" i="1"/>
  <c r="AT2526" i="1" s="1"/>
  <c r="AP2526" i="1"/>
  <c r="AX2525" i="1"/>
  <c r="AZ2525" i="1" s="1"/>
  <c r="AV2525" i="1"/>
  <c r="AU2525" i="1"/>
  <c r="AQ2525" i="1"/>
  <c r="AR2525" i="1" s="1"/>
  <c r="AP2525" i="1"/>
  <c r="AX2524" i="1"/>
  <c r="AV2524" i="1"/>
  <c r="AU2524" i="1"/>
  <c r="AQ2524" i="1"/>
  <c r="AP2524" i="1"/>
  <c r="AX2523" i="1"/>
  <c r="AZ2523" i="1" s="1"/>
  <c r="AV2523" i="1"/>
  <c r="AU2523" i="1"/>
  <c r="AQ2523" i="1"/>
  <c r="AP2523" i="1"/>
  <c r="AV2522" i="1"/>
  <c r="AU2522" i="1"/>
  <c r="AQ2522" i="1"/>
  <c r="AP2522" i="1"/>
  <c r="AX2521" i="1"/>
  <c r="AZ2521" i="1" s="1"/>
  <c r="AV2521" i="1"/>
  <c r="AU2521" i="1"/>
  <c r="AQ2521" i="1"/>
  <c r="AS2521" i="1" s="1"/>
  <c r="AP2521" i="1"/>
  <c r="BA2520" i="1"/>
  <c r="AX2520" i="1"/>
  <c r="AV2520" i="1"/>
  <c r="AU2520" i="1"/>
  <c r="AQ2520" i="1"/>
  <c r="AS2520" i="1" s="1"/>
  <c r="AP2520" i="1"/>
  <c r="BA2519" i="1"/>
  <c r="AV2519" i="1"/>
  <c r="AU2519" i="1"/>
  <c r="AQ2519" i="1"/>
  <c r="AP2519" i="1"/>
  <c r="BA2518" i="1"/>
  <c r="AX2518" i="1"/>
  <c r="AZ2518" i="1" s="1"/>
  <c r="AV2518" i="1"/>
  <c r="AU2518" i="1"/>
  <c r="AQ2518" i="1"/>
  <c r="AR2518" i="1" s="1"/>
  <c r="AP2518" i="1"/>
  <c r="BA2517" i="1"/>
  <c r="AX2517" i="1"/>
  <c r="AZ2517" i="1" s="1"/>
  <c r="AV2517" i="1"/>
  <c r="AU2517" i="1"/>
  <c r="AQ2517" i="1"/>
  <c r="AP2517" i="1"/>
  <c r="BA2516" i="1"/>
  <c r="AX2516" i="1"/>
  <c r="AY2516" i="1" s="1"/>
  <c r="AV2516" i="1"/>
  <c r="AU2516" i="1"/>
  <c r="AQ2516" i="1"/>
  <c r="AR2516" i="1" s="1"/>
  <c r="AP2516" i="1"/>
  <c r="AV2515" i="1"/>
  <c r="AU2515" i="1"/>
  <c r="AQ2515" i="1"/>
  <c r="AS2515" i="1" s="1"/>
  <c r="AP2515" i="1"/>
  <c r="BA2514" i="1"/>
  <c r="AX2514" i="1"/>
  <c r="AY2514" i="1" s="1"/>
  <c r="AV2514" i="1"/>
  <c r="AU2514" i="1"/>
  <c r="AQ2514" i="1"/>
  <c r="AP2514" i="1"/>
  <c r="AX2513" i="1"/>
  <c r="AV2513" i="1"/>
  <c r="AU2513" i="1"/>
  <c r="AQ2513" i="1"/>
  <c r="AS2513" i="1" s="1"/>
  <c r="AP2513" i="1"/>
  <c r="AV2512" i="1"/>
  <c r="AU2512" i="1"/>
  <c r="AQ2512" i="1"/>
  <c r="AS2512" i="1" s="1"/>
  <c r="AP2512" i="1"/>
  <c r="BA2511" i="1"/>
  <c r="AX2511" i="1"/>
  <c r="AV2511" i="1"/>
  <c r="AU2511" i="1"/>
  <c r="AQ2511" i="1"/>
  <c r="AP2511" i="1"/>
  <c r="AV2510" i="1"/>
  <c r="AU2510" i="1"/>
  <c r="AQ2510" i="1"/>
  <c r="AS2510" i="1" s="1"/>
  <c r="AP2510" i="1"/>
  <c r="BA2508" i="1"/>
  <c r="AV2508" i="1"/>
  <c r="AU2508" i="1"/>
  <c r="AQ2508" i="1"/>
  <c r="AP2508" i="1"/>
  <c r="BA2507" i="1"/>
  <c r="AX2507" i="1"/>
  <c r="AZ2507" i="1" s="1"/>
  <c r="AV2507" i="1"/>
  <c r="AU2507" i="1"/>
  <c r="AQ2507" i="1"/>
  <c r="AS2507" i="1" s="1"/>
  <c r="AP2507" i="1"/>
  <c r="BA2506" i="1"/>
  <c r="AV2506" i="1"/>
  <c r="AU2506" i="1"/>
  <c r="AQ2506" i="1"/>
  <c r="AP2506" i="1"/>
  <c r="AV2505" i="1"/>
  <c r="AU2505" i="1"/>
  <c r="AQ2505" i="1"/>
  <c r="AS2505" i="1" s="1"/>
  <c r="AP2505" i="1"/>
  <c r="AV2504" i="1"/>
  <c r="AU2504" i="1"/>
  <c r="AQ2504" i="1"/>
  <c r="AS2504" i="1" s="1"/>
  <c r="AP2504" i="1"/>
  <c r="AV2503" i="1"/>
  <c r="AU2503" i="1"/>
  <c r="AQ2503" i="1"/>
  <c r="AS2503" i="1" s="1"/>
  <c r="AP2503" i="1"/>
  <c r="BA2502" i="1"/>
  <c r="AX2502" i="1"/>
  <c r="AY2502" i="1" s="1"/>
  <c r="AV2502" i="1"/>
  <c r="AU2502" i="1"/>
  <c r="AQ2502" i="1"/>
  <c r="AR2502" i="1" s="1"/>
  <c r="AP2502" i="1"/>
  <c r="AV2501" i="1"/>
  <c r="AU2501" i="1"/>
  <c r="AQ2501" i="1"/>
  <c r="AT2501" i="1" s="1"/>
  <c r="AP2501" i="1"/>
  <c r="AV2500" i="1"/>
  <c r="AU2500" i="1"/>
  <c r="AQ2500" i="1"/>
  <c r="AS2500" i="1" s="1"/>
  <c r="AP2500" i="1"/>
  <c r="AV2499" i="1"/>
  <c r="AU2499" i="1"/>
  <c r="AQ2499" i="1"/>
  <c r="AS2499" i="1" s="1"/>
  <c r="AP2499" i="1"/>
  <c r="BA2498" i="1"/>
  <c r="AX2498" i="1"/>
  <c r="AY2498" i="1" s="1"/>
  <c r="AV2498" i="1"/>
  <c r="AU2498" i="1"/>
  <c r="AQ2498" i="1"/>
  <c r="AP2498" i="1"/>
  <c r="AV2497" i="1"/>
  <c r="AU2497" i="1"/>
  <c r="AQ2497" i="1"/>
  <c r="AP2497" i="1"/>
  <c r="AV2496" i="1"/>
  <c r="AU2496" i="1"/>
  <c r="AQ2496" i="1"/>
  <c r="AS2496" i="1" s="1"/>
  <c r="AP2496" i="1"/>
  <c r="BA2494" i="1"/>
  <c r="AX2494" i="1"/>
  <c r="AY2494" i="1" s="1"/>
  <c r="AV2494" i="1"/>
  <c r="AU2494" i="1"/>
  <c r="AQ2494" i="1"/>
  <c r="AR2494" i="1" s="1"/>
  <c r="AP2494" i="1"/>
  <c r="AV2493" i="1"/>
  <c r="AU2493" i="1"/>
  <c r="AQ2493" i="1"/>
  <c r="AS2493" i="1" s="1"/>
  <c r="AP2493" i="1"/>
  <c r="BA2492" i="1"/>
  <c r="AX2492" i="1"/>
  <c r="AZ2492" i="1" s="1"/>
  <c r="AV2492" i="1"/>
  <c r="AU2492" i="1"/>
  <c r="AQ2492" i="1"/>
  <c r="AS2492" i="1" s="1"/>
  <c r="AP2492" i="1"/>
  <c r="AV2491" i="1"/>
  <c r="AU2491" i="1"/>
  <c r="AQ2491" i="1"/>
  <c r="AP2491" i="1"/>
  <c r="BA2490" i="1"/>
  <c r="AX2490" i="1"/>
  <c r="AY2490" i="1" s="1"/>
  <c r="AV2490" i="1"/>
  <c r="AU2490" i="1"/>
  <c r="AQ2490" i="1"/>
  <c r="AT2490" i="1" s="1"/>
  <c r="AP2490" i="1"/>
  <c r="AV2489" i="1"/>
  <c r="AU2489" i="1"/>
  <c r="AQ2489" i="1"/>
  <c r="AS2489" i="1" s="1"/>
  <c r="AP2489" i="1"/>
  <c r="AV2488" i="1"/>
  <c r="AU2488" i="1"/>
  <c r="AQ2488" i="1"/>
  <c r="AR2488" i="1" s="1"/>
  <c r="AP2488" i="1"/>
  <c r="AV2487" i="1"/>
  <c r="AU2487" i="1"/>
  <c r="AQ2487" i="1"/>
  <c r="AR2487" i="1" s="1"/>
  <c r="AP2487" i="1"/>
  <c r="BA2486" i="1"/>
  <c r="AX2486" i="1"/>
  <c r="AV2486" i="1"/>
  <c r="AU2486" i="1"/>
  <c r="AQ2486" i="1"/>
  <c r="AP2486" i="1"/>
  <c r="AV2485" i="1"/>
  <c r="AU2485" i="1"/>
  <c r="AQ2485" i="1"/>
  <c r="AT2485" i="1" s="1"/>
  <c r="AP2485" i="1"/>
  <c r="BA2484" i="1"/>
  <c r="AV2484" i="1"/>
  <c r="AU2484" i="1"/>
  <c r="AQ2484" i="1"/>
  <c r="AT2484" i="1" s="1"/>
  <c r="AP2484" i="1"/>
  <c r="AV2483" i="1"/>
  <c r="AU2483" i="1"/>
  <c r="AQ2483" i="1"/>
  <c r="AP2483" i="1"/>
  <c r="AV2482" i="1"/>
  <c r="AU2482" i="1"/>
  <c r="AQ2482" i="1"/>
  <c r="AR2482" i="1" s="1"/>
  <c r="AP2482" i="1"/>
  <c r="BA2481" i="1"/>
  <c r="AX2481" i="1"/>
  <c r="AV2481" i="1"/>
  <c r="AU2481" i="1"/>
  <c r="AQ2481" i="1"/>
  <c r="AS2481" i="1" s="1"/>
  <c r="AP2481" i="1"/>
  <c r="AV2480" i="1"/>
  <c r="AU2480" i="1"/>
  <c r="AQ2480" i="1"/>
  <c r="AT2480" i="1" s="1"/>
  <c r="AP2480" i="1"/>
  <c r="AX2479" i="1"/>
  <c r="AY2479" i="1" s="1"/>
  <c r="AV2479" i="1"/>
  <c r="AU2479" i="1"/>
  <c r="AQ2479" i="1"/>
  <c r="AP2479" i="1"/>
  <c r="AX2478" i="1"/>
  <c r="AY2478" i="1" s="1"/>
  <c r="AV2478" i="1"/>
  <c r="AU2478" i="1"/>
  <c r="AQ2478" i="1"/>
  <c r="AR2478" i="1" s="1"/>
  <c r="AP2478" i="1"/>
  <c r="AV2477" i="1"/>
  <c r="AU2477" i="1"/>
  <c r="AQ2477" i="1"/>
  <c r="AP2477" i="1"/>
  <c r="AV2476" i="1"/>
  <c r="AU2476" i="1"/>
  <c r="AQ2476" i="1"/>
  <c r="AP2476" i="1"/>
  <c r="AV2475" i="1"/>
  <c r="AU2475" i="1"/>
  <c r="AQ2475" i="1"/>
  <c r="AP2475" i="1"/>
  <c r="AV2474" i="1"/>
  <c r="AU2474" i="1"/>
  <c r="AQ2474" i="1"/>
  <c r="AP2474" i="1"/>
  <c r="BA2473" i="1"/>
  <c r="AX2473" i="1"/>
  <c r="AV2473" i="1"/>
  <c r="AU2473" i="1"/>
  <c r="AQ2473" i="1"/>
  <c r="AS2473" i="1" s="1"/>
  <c r="AP2473" i="1"/>
  <c r="AV2472" i="1"/>
  <c r="AU2472" i="1"/>
  <c r="AQ2472" i="1"/>
  <c r="AT2472" i="1" s="1"/>
  <c r="AP2472" i="1"/>
  <c r="AV2471" i="1"/>
  <c r="AU2471" i="1"/>
  <c r="AQ2471" i="1"/>
  <c r="AS2471" i="1" s="1"/>
  <c r="AP2471" i="1"/>
  <c r="AV2470" i="1"/>
  <c r="AU2470" i="1"/>
  <c r="AQ2470" i="1"/>
  <c r="AS2470" i="1" s="1"/>
  <c r="AP2470" i="1"/>
  <c r="AX2469" i="1"/>
  <c r="AV2469" i="1"/>
  <c r="AU2469" i="1"/>
  <c r="AQ2469" i="1"/>
  <c r="AP2469" i="1"/>
  <c r="AV2468" i="1"/>
  <c r="AU2468" i="1"/>
  <c r="AQ2468" i="1"/>
  <c r="AP2468" i="1"/>
  <c r="AV2467" i="1"/>
  <c r="AU2467" i="1"/>
  <c r="AQ2467" i="1"/>
  <c r="AS2467" i="1" s="1"/>
  <c r="AP2467" i="1"/>
  <c r="BA2466" i="1"/>
  <c r="AX2466" i="1"/>
  <c r="AV2466" i="1"/>
  <c r="AU2466" i="1"/>
  <c r="AQ2466" i="1"/>
  <c r="AS2466" i="1" s="1"/>
  <c r="AP2466" i="1"/>
  <c r="AV2465" i="1"/>
  <c r="AU2465" i="1"/>
  <c r="AQ2465" i="1"/>
  <c r="AT2465" i="1" s="1"/>
  <c r="AP2465" i="1"/>
  <c r="AV2464" i="1"/>
  <c r="AU2464" i="1"/>
  <c r="AQ2464" i="1"/>
  <c r="AR2464" i="1" s="1"/>
  <c r="AP2464" i="1"/>
  <c r="AV2463" i="1"/>
  <c r="AU2463" i="1"/>
  <c r="AQ2463" i="1"/>
  <c r="AR2463" i="1" s="1"/>
  <c r="AP2463" i="1"/>
  <c r="AV2462" i="1"/>
  <c r="AU2462" i="1"/>
  <c r="AQ2462" i="1"/>
  <c r="AS2462" i="1" s="1"/>
  <c r="AP2462" i="1"/>
  <c r="AV2461" i="1"/>
  <c r="AU2461" i="1"/>
  <c r="AQ2461" i="1"/>
  <c r="AT2461" i="1" s="1"/>
  <c r="AP2461" i="1"/>
  <c r="AV2460" i="1"/>
  <c r="AU2460" i="1"/>
  <c r="AQ2460" i="1"/>
  <c r="AP2460" i="1"/>
  <c r="AV2459" i="1"/>
  <c r="AU2459" i="1"/>
  <c r="AQ2459" i="1"/>
  <c r="AS2459" i="1" s="1"/>
  <c r="AP2459" i="1"/>
  <c r="AV2458" i="1"/>
  <c r="AU2458" i="1"/>
  <c r="AQ2458" i="1"/>
  <c r="AP2458" i="1"/>
  <c r="BA2457" i="1"/>
  <c r="AX2457" i="1"/>
  <c r="AV2457" i="1"/>
  <c r="AU2457" i="1"/>
  <c r="AQ2457" i="1"/>
  <c r="AS2457" i="1" s="1"/>
  <c r="AP2457" i="1"/>
  <c r="AV2456" i="1"/>
  <c r="AU2456" i="1"/>
  <c r="AQ2456" i="1"/>
  <c r="AT2456" i="1" s="1"/>
  <c r="AP2456" i="1"/>
  <c r="AV2455" i="1"/>
  <c r="AU2455" i="1"/>
  <c r="AQ2455" i="1"/>
  <c r="AP2455" i="1"/>
  <c r="AV2454" i="1"/>
  <c r="AU2454" i="1"/>
  <c r="AQ2454" i="1"/>
  <c r="AR2454" i="1" s="1"/>
  <c r="AP2454" i="1"/>
  <c r="AX2453" i="1"/>
  <c r="AZ2453" i="1" s="1"/>
  <c r="AV2453" i="1"/>
  <c r="AU2453" i="1"/>
  <c r="AQ2453" i="1"/>
  <c r="AP2453" i="1"/>
  <c r="BA2452" i="1"/>
  <c r="AX2452" i="1"/>
  <c r="AV2452" i="1"/>
  <c r="AU2452" i="1"/>
  <c r="AQ2452" i="1"/>
  <c r="AS2452" i="1" s="1"/>
  <c r="AP2452" i="1"/>
  <c r="AV2450" i="1"/>
  <c r="AU2450" i="1"/>
  <c r="AQ2450" i="1"/>
  <c r="AR2450" i="1" s="1"/>
  <c r="AP2450" i="1"/>
  <c r="BA2449" i="1"/>
  <c r="AX2449" i="1"/>
  <c r="AV2449" i="1"/>
  <c r="AU2449" i="1"/>
  <c r="AQ2449" i="1"/>
  <c r="AP2449" i="1"/>
  <c r="AV2448" i="1"/>
  <c r="AU2448" i="1"/>
  <c r="AQ2448" i="1"/>
  <c r="AP2448" i="1"/>
  <c r="BA2447" i="1"/>
  <c r="AV2447" i="1"/>
  <c r="AU2447" i="1"/>
  <c r="AQ2447" i="1"/>
  <c r="AP2447" i="1"/>
  <c r="AV2446" i="1"/>
  <c r="AU2446" i="1"/>
  <c r="AQ2446" i="1"/>
  <c r="AR2446" i="1" s="1"/>
  <c r="AP2446" i="1"/>
  <c r="AX2445" i="1"/>
  <c r="AV2445" i="1"/>
  <c r="AU2445" i="1"/>
  <c r="AQ2445" i="1"/>
  <c r="AS2445" i="1" s="1"/>
  <c r="AP2445" i="1"/>
  <c r="AV2444" i="1"/>
  <c r="AU2444" i="1"/>
  <c r="AQ2444" i="1"/>
  <c r="AT2444" i="1" s="1"/>
  <c r="AP2444" i="1"/>
  <c r="BA2443" i="1"/>
  <c r="AX2443" i="1"/>
  <c r="AZ2443" i="1" s="1"/>
  <c r="AV2443" i="1"/>
  <c r="AU2443" i="1"/>
  <c r="AQ2443" i="1"/>
  <c r="AP2443" i="1"/>
  <c r="AV2442" i="1"/>
  <c r="AU2442" i="1"/>
  <c r="AQ2442" i="1"/>
  <c r="AP2442" i="1"/>
  <c r="BA2441" i="1"/>
  <c r="AX2441" i="1"/>
  <c r="AV2441" i="1"/>
  <c r="AU2441" i="1"/>
  <c r="AQ2441" i="1"/>
  <c r="AS2441" i="1" s="1"/>
  <c r="AP2441" i="1"/>
  <c r="AV2440" i="1"/>
  <c r="AU2440" i="1"/>
  <c r="AQ2440" i="1"/>
  <c r="AS2440" i="1" s="1"/>
  <c r="AP2440" i="1"/>
  <c r="AV2439" i="1"/>
  <c r="AU2439" i="1"/>
  <c r="AQ2439" i="1"/>
  <c r="AT2439" i="1" s="1"/>
  <c r="AP2439" i="1"/>
  <c r="AV2438" i="1"/>
  <c r="AU2438" i="1"/>
  <c r="AQ2438" i="1"/>
  <c r="AS2438" i="1" s="1"/>
  <c r="AP2438" i="1"/>
  <c r="BA2437" i="1"/>
  <c r="AX2437" i="1"/>
  <c r="AV2437" i="1"/>
  <c r="AU2437" i="1"/>
  <c r="AQ2437" i="1"/>
  <c r="AR2437" i="1" s="1"/>
  <c r="AP2437" i="1"/>
  <c r="BA2436" i="1"/>
  <c r="AX2436" i="1"/>
  <c r="AY2436" i="1" s="1"/>
  <c r="AV2436" i="1"/>
  <c r="AU2436" i="1"/>
  <c r="AQ2436" i="1"/>
  <c r="AT2436" i="1" s="1"/>
  <c r="AP2436" i="1"/>
  <c r="BA2435" i="1"/>
  <c r="AX2435" i="1"/>
  <c r="AZ2435" i="1" s="1"/>
  <c r="AV2435" i="1"/>
  <c r="AU2435" i="1"/>
  <c r="AQ2435" i="1"/>
  <c r="AR2435" i="1" s="1"/>
  <c r="AP2435" i="1"/>
  <c r="BA2434" i="1"/>
  <c r="AX2434" i="1"/>
  <c r="AV2434" i="1"/>
  <c r="AU2434" i="1"/>
  <c r="AQ2434" i="1"/>
  <c r="AT2434" i="1" s="1"/>
  <c r="AP2434" i="1"/>
  <c r="AV2433" i="1"/>
  <c r="AU2433" i="1"/>
  <c r="AQ2433" i="1"/>
  <c r="AS2433" i="1" s="1"/>
  <c r="AP2433" i="1"/>
  <c r="AX2432" i="1"/>
  <c r="AV2432" i="1"/>
  <c r="AU2432" i="1"/>
  <c r="AQ2432" i="1"/>
  <c r="AP2432" i="1"/>
  <c r="AV2431" i="1"/>
  <c r="AU2431" i="1"/>
  <c r="AQ2431" i="1"/>
  <c r="AP2431" i="1"/>
  <c r="AX2430" i="1"/>
  <c r="AV2430" i="1"/>
  <c r="AU2430" i="1"/>
  <c r="AQ2430" i="1"/>
  <c r="AP2430" i="1"/>
  <c r="BA2429" i="1"/>
  <c r="AX2429" i="1"/>
  <c r="AV2429" i="1"/>
  <c r="AU2429" i="1"/>
  <c r="AQ2429" i="1"/>
  <c r="AT2429" i="1" s="1"/>
  <c r="AP2429" i="1"/>
  <c r="AV2427" i="1"/>
  <c r="AU2427" i="1"/>
  <c r="AQ2427" i="1"/>
  <c r="AT2427" i="1" s="1"/>
  <c r="AP2427" i="1"/>
  <c r="AV2426" i="1"/>
  <c r="AU2426" i="1"/>
  <c r="AQ2426" i="1"/>
  <c r="AR2426" i="1" s="1"/>
  <c r="AP2426" i="1"/>
  <c r="BA2425" i="1"/>
  <c r="AX2425" i="1"/>
  <c r="AY2425" i="1" s="1"/>
  <c r="AV2425" i="1"/>
  <c r="AU2425" i="1"/>
  <c r="AQ2425" i="1"/>
  <c r="AS2425" i="1" s="1"/>
  <c r="AP2425" i="1"/>
  <c r="AV2424" i="1"/>
  <c r="AU2424" i="1"/>
  <c r="AQ2424" i="1"/>
  <c r="AP2424" i="1"/>
  <c r="BA2423" i="1"/>
  <c r="AX2423" i="1"/>
  <c r="AY2423" i="1" s="1"/>
  <c r="AV2423" i="1"/>
  <c r="AU2423" i="1"/>
  <c r="AQ2423" i="1"/>
  <c r="AT2423" i="1" s="1"/>
  <c r="AP2423" i="1"/>
  <c r="BA2422" i="1"/>
  <c r="AX2422" i="1"/>
  <c r="AZ2422" i="1" s="1"/>
  <c r="AV2422" i="1"/>
  <c r="AU2422" i="1"/>
  <c r="AQ2422" i="1"/>
  <c r="AP2422" i="1"/>
  <c r="AV2421" i="1"/>
  <c r="AU2421" i="1"/>
  <c r="AQ2421" i="1"/>
  <c r="AT2421" i="1" s="1"/>
  <c r="AP2421" i="1"/>
  <c r="AV2420" i="1"/>
  <c r="AU2420" i="1"/>
  <c r="AQ2420" i="1"/>
  <c r="AP2420" i="1"/>
  <c r="AV2419" i="1"/>
  <c r="AU2419" i="1"/>
  <c r="AQ2419" i="1"/>
  <c r="AT2419" i="1" s="1"/>
  <c r="AP2419" i="1"/>
  <c r="AV2418" i="1"/>
  <c r="AU2418" i="1"/>
  <c r="AQ2418" i="1"/>
  <c r="AP2418" i="1"/>
  <c r="AV2417" i="1"/>
  <c r="AU2417" i="1"/>
  <c r="AQ2417" i="1"/>
  <c r="AP2417" i="1"/>
  <c r="BA2416" i="1"/>
  <c r="AX2416" i="1"/>
  <c r="AY2416" i="1" s="1"/>
  <c r="AV2416" i="1"/>
  <c r="AU2416" i="1"/>
  <c r="AQ2416" i="1"/>
  <c r="AT2416" i="1" s="1"/>
  <c r="AP2416" i="1"/>
  <c r="AV2415" i="1"/>
  <c r="AU2415" i="1"/>
  <c r="AQ2415" i="1"/>
  <c r="AT2415" i="1" s="1"/>
  <c r="AP2415" i="1"/>
  <c r="BA2414" i="1"/>
  <c r="AX2414" i="1"/>
  <c r="AZ2414" i="1" s="1"/>
  <c r="AV2414" i="1"/>
  <c r="AU2414" i="1"/>
  <c r="AQ2414" i="1"/>
  <c r="AS2414" i="1" s="1"/>
  <c r="AP2414" i="1"/>
  <c r="BA2413" i="1"/>
  <c r="AX2413" i="1"/>
  <c r="AV2413" i="1"/>
  <c r="AU2413" i="1"/>
  <c r="AQ2413" i="1"/>
  <c r="AR2413" i="1" s="1"/>
  <c r="AP2413" i="1"/>
  <c r="BA2412" i="1"/>
  <c r="AX2412" i="1"/>
  <c r="AY2412" i="1" s="1"/>
  <c r="AV2412" i="1"/>
  <c r="AU2412" i="1"/>
  <c r="AQ2412" i="1"/>
  <c r="AT2412" i="1" s="1"/>
  <c r="AP2412" i="1"/>
  <c r="AV2411" i="1"/>
  <c r="AU2411" i="1"/>
  <c r="AQ2411" i="1"/>
  <c r="AP2411" i="1"/>
  <c r="AV2410" i="1"/>
  <c r="AU2410" i="1"/>
  <c r="AQ2410" i="1"/>
  <c r="AP2410" i="1"/>
  <c r="BA2409" i="1"/>
  <c r="AX2409" i="1"/>
  <c r="AZ2409" i="1" s="1"/>
  <c r="AV2409" i="1"/>
  <c r="AU2409" i="1"/>
  <c r="AQ2409" i="1"/>
  <c r="AS2409" i="1" s="1"/>
  <c r="AP2409" i="1"/>
  <c r="AV2408" i="1"/>
  <c r="AU2408" i="1"/>
  <c r="AQ2408" i="1"/>
  <c r="AT2408" i="1" s="1"/>
  <c r="AP2408" i="1"/>
  <c r="BA2407" i="1"/>
  <c r="AX2407" i="1"/>
  <c r="AY2407" i="1" s="1"/>
  <c r="AV2407" i="1"/>
  <c r="AU2407" i="1"/>
  <c r="AQ2407" i="1"/>
  <c r="AP2407" i="1"/>
  <c r="AV2406" i="1"/>
  <c r="AU2406" i="1"/>
  <c r="AQ2406" i="1"/>
  <c r="AP2406" i="1"/>
  <c r="BA2405" i="1"/>
  <c r="AX2405" i="1"/>
  <c r="AZ2405" i="1" s="1"/>
  <c r="AV2405" i="1"/>
  <c r="AU2405" i="1"/>
  <c r="AQ2405" i="1"/>
  <c r="AR2405" i="1" s="1"/>
  <c r="AP2405" i="1"/>
  <c r="BA2404" i="1"/>
  <c r="AX2404" i="1"/>
  <c r="AV2404" i="1"/>
  <c r="AU2404" i="1"/>
  <c r="AQ2404" i="1"/>
  <c r="AT2404" i="1" s="1"/>
  <c r="AP2404" i="1"/>
  <c r="AV2403" i="1"/>
  <c r="AU2403" i="1"/>
  <c r="AQ2403" i="1"/>
  <c r="AP2403" i="1"/>
  <c r="AV2402" i="1"/>
  <c r="AU2402" i="1"/>
  <c r="AQ2402" i="1"/>
  <c r="AP2402" i="1"/>
  <c r="AV2401" i="1"/>
  <c r="AU2401" i="1"/>
  <c r="AQ2401" i="1"/>
  <c r="AT2401" i="1" s="1"/>
  <c r="AP2401" i="1"/>
  <c r="BA2400" i="1"/>
  <c r="AX2400" i="1"/>
  <c r="AY2400" i="1" s="1"/>
  <c r="AV2400" i="1"/>
  <c r="AU2400" i="1"/>
  <c r="AQ2400" i="1"/>
  <c r="AS2400" i="1" s="1"/>
  <c r="AP2400" i="1"/>
  <c r="BA2399" i="1"/>
  <c r="AX2399" i="1"/>
  <c r="AZ2399" i="1" s="1"/>
  <c r="AV2399" i="1"/>
  <c r="AU2399" i="1"/>
  <c r="AQ2399" i="1"/>
  <c r="AP2399" i="1"/>
  <c r="AV2398" i="1"/>
  <c r="AU2398" i="1"/>
  <c r="AQ2398" i="1"/>
  <c r="AP2398" i="1"/>
  <c r="BA2397" i="1"/>
  <c r="AX2397" i="1"/>
  <c r="AV2397" i="1"/>
  <c r="AU2397" i="1"/>
  <c r="AQ2397" i="1"/>
  <c r="AS2397" i="1" s="1"/>
  <c r="AP2397" i="1"/>
  <c r="AV2396" i="1"/>
  <c r="AU2396" i="1"/>
  <c r="AQ2396" i="1"/>
  <c r="AT2396" i="1" s="1"/>
  <c r="AP2396" i="1"/>
  <c r="AV2395" i="1"/>
  <c r="AU2395" i="1"/>
  <c r="AQ2395" i="1"/>
  <c r="AS2395" i="1" s="1"/>
  <c r="AP2395" i="1"/>
  <c r="BA2394" i="1"/>
  <c r="AX2394" i="1"/>
  <c r="AV2394" i="1"/>
  <c r="AU2394" i="1"/>
  <c r="AQ2394" i="1"/>
  <c r="AP2394" i="1"/>
  <c r="BA2393" i="1"/>
  <c r="AX2393" i="1"/>
  <c r="AV2393" i="1"/>
  <c r="AU2393" i="1"/>
  <c r="AQ2393" i="1"/>
  <c r="AS2393" i="1" s="1"/>
  <c r="AP2393" i="1"/>
  <c r="BA2392" i="1"/>
  <c r="AX2392" i="1"/>
  <c r="AZ2392" i="1" s="1"/>
  <c r="AV2392" i="1"/>
  <c r="AU2392" i="1"/>
  <c r="AQ2392" i="1"/>
  <c r="AP2392" i="1"/>
  <c r="BA2391" i="1"/>
  <c r="AX2391" i="1"/>
  <c r="AY2391" i="1" s="1"/>
  <c r="AV2391" i="1"/>
  <c r="AU2391" i="1"/>
  <c r="AQ2391" i="1"/>
  <c r="AS2391" i="1" s="1"/>
  <c r="AP2391" i="1"/>
  <c r="AV2390" i="1"/>
  <c r="AU2390" i="1"/>
  <c r="AQ2390" i="1"/>
  <c r="AR2390" i="1" s="1"/>
  <c r="AP2390" i="1"/>
  <c r="AV2389" i="1"/>
  <c r="AU2389" i="1"/>
  <c r="AQ2389" i="1"/>
  <c r="AT2389" i="1" s="1"/>
  <c r="AP2389" i="1"/>
  <c r="BA2388" i="1"/>
  <c r="AX2388" i="1"/>
  <c r="AZ2388" i="1" s="1"/>
  <c r="AV2388" i="1"/>
  <c r="AU2388" i="1"/>
  <c r="AQ2388" i="1"/>
  <c r="AP2388" i="1"/>
  <c r="AX2387" i="1"/>
  <c r="AY2387" i="1" s="1"/>
  <c r="AV2387" i="1"/>
  <c r="AU2387" i="1"/>
  <c r="AQ2387" i="1"/>
  <c r="AR2387" i="1" s="1"/>
  <c r="AP2387" i="1"/>
  <c r="AV2386" i="1"/>
  <c r="AU2386" i="1"/>
  <c r="AQ2386" i="1"/>
  <c r="AS2386" i="1" s="1"/>
  <c r="AP2386" i="1"/>
  <c r="AV2385" i="1"/>
  <c r="AU2385" i="1"/>
  <c r="AQ2385" i="1"/>
  <c r="AT2385" i="1" s="1"/>
  <c r="AP2385" i="1"/>
  <c r="AV2384" i="1"/>
  <c r="AU2384" i="1"/>
  <c r="AQ2384" i="1"/>
  <c r="AS2384" i="1" s="1"/>
  <c r="AP2384" i="1"/>
  <c r="BA2383" i="1"/>
  <c r="AX2383" i="1"/>
  <c r="AV2383" i="1"/>
  <c r="AU2383" i="1"/>
  <c r="AQ2383" i="1"/>
  <c r="AP2383" i="1"/>
  <c r="AV2382" i="1"/>
  <c r="AU2382" i="1"/>
  <c r="AQ2382" i="1"/>
  <c r="AP2382" i="1"/>
  <c r="AV2381" i="1"/>
  <c r="AU2381" i="1"/>
  <c r="AQ2381" i="1"/>
  <c r="AT2381" i="1" s="1"/>
  <c r="AP2381" i="1"/>
  <c r="BA2380" i="1"/>
  <c r="AX2380" i="1"/>
  <c r="AY2380" i="1" s="1"/>
  <c r="AV2380" i="1"/>
  <c r="AU2380" i="1"/>
  <c r="AQ2380" i="1"/>
  <c r="AS2380" i="1" s="1"/>
  <c r="AP2380" i="1"/>
  <c r="AV2379" i="1"/>
  <c r="AU2379" i="1"/>
  <c r="AQ2379" i="1"/>
  <c r="AR2379" i="1" s="1"/>
  <c r="AP2379" i="1"/>
  <c r="BA2378" i="1"/>
  <c r="AX2378" i="1"/>
  <c r="AV2378" i="1"/>
  <c r="AU2378" i="1"/>
  <c r="AQ2378" i="1"/>
  <c r="AS2378" i="1" s="1"/>
  <c r="AP2378" i="1"/>
  <c r="AV2377" i="1"/>
  <c r="AU2377" i="1"/>
  <c r="AQ2377" i="1"/>
  <c r="AP2377" i="1"/>
  <c r="AV2376" i="1"/>
  <c r="AU2376" i="1"/>
  <c r="AQ2376" i="1"/>
  <c r="AP2376" i="1"/>
  <c r="BA2375" i="1"/>
  <c r="AX2375" i="1"/>
  <c r="AV2375" i="1"/>
  <c r="AU2375" i="1"/>
  <c r="AQ2375" i="1"/>
  <c r="AP2375" i="1"/>
  <c r="BA2374" i="1"/>
  <c r="AX2374" i="1"/>
  <c r="AZ2374" i="1" s="1"/>
  <c r="AV2374" i="1"/>
  <c r="AU2374" i="1"/>
  <c r="AQ2374" i="1"/>
  <c r="AR2374" i="1" s="1"/>
  <c r="AP2374" i="1"/>
  <c r="AV2373" i="1"/>
  <c r="AU2373" i="1"/>
  <c r="AQ2373" i="1"/>
  <c r="AP2373" i="1"/>
  <c r="AX2371" i="1"/>
  <c r="AZ2371" i="1" s="1"/>
  <c r="AV2371" i="1"/>
  <c r="AU2371" i="1"/>
  <c r="AQ2371" i="1"/>
  <c r="AP2371" i="1"/>
  <c r="BA2370" i="1"/>
  <c r="AX2370" i="1"/>
  <c r="AV2370" i="1"/>
  <c r="AU2370" i="1"/>
  <c r="AQ2370" i="1"/>
  <c r="AT2370" i="1" s="1"/>
  <c r="AP2370" i="1"/>
  <c r="AX2372" i="1"/>
  <c r="AV2372" i="1"/>
  <c r="AU2372" i="1"/>
  <c r="AQ2372" i="1"/>
  <c r="AS2372" i="1" s="1"/>
  <c r="AP2372" i="1"/>
  <c r="BA2369" i="1"/>
  <c r="AV2369" i="1"/>
  <c r="AU2369" i="1"/>
  <c r="AQ2369" i="1"/>
  <c r="AP2369" i="1"/>
  <c r="BA2368" i="1"/>
  <c r="AX2368" i="1"/>
  <c r="AY2368" i="1" s="1"/>
  <c r="AV2368" i="1"/>
  <c r="AU2368" i="1"/>
  <c r="AQ2368" i="1"/>
  <c r="AS2368" i="1" s="1"/>
  <c r="AP2368" i="1"/>
  <c r="AV2367" i="1"/>
  <c r="AU2367" i="1"/>
  <c r="AQ2367" i="1"/>
  <c r="AS2367" i="1" s="1"/>
  <c r="AP2367" i="1"/>
  <c r="BA2366" i="1"/>
  <c r="AX2366" i="1"/>
  <c r="AZ2366" i="1" s="1"/>
  <c r="AV2366" i="1"/>
  <c r="AU2366" i="1"/>
  <c r="AQ2366" i="1"/>
  <c r="AT2366" i="1" s="1"/>
  <c r="AP2366" i="1"/>
  <c r="BA2365" i="1"/>
  <c r="AX2365" i="1"/>
  <c r="AV2365" i="1"/>
  <c r="AU2365" i="1"/>
  <c r="AQ2365" i="1"/>
  <c r="AP2365" i="1"/>
  <c r="AV2364" i="1"/>
  <c r="AU2364" i="1"/>
  <c r="AQ2364" i="1"/>
  <c r="AS2364" i="1" s="1"/>
  <c r="AP2364" i="1"/>
  <c r="AV2363" i="1"/>
  <c r="AU2363" i="1"/>
  <c r="AQ2363" i="1"/>
  <c r="AT2363" i="1" s="1"/>
  <c r="AP2363" i="1"/>
  <c r="BA2361" i="1"/>
  <c r="AX2361" i="1"/>
  <c r="AZ2361" i="1" s="1"/>
  <c r="AV2361" i="1"/>
  <c r="AU2361" i="1"/>
  <c r="AQ2361" i="1"/>
  <c r="AP2361" i="1"/>
  <c r="BA2360" i="1"/>
  <c r="AX2360" i="1"/>
  <c r="AV2360" i="1"/>
  <c r="AU2360" i="1"/>
  <c r="AQ2360" i="1"/>
  <c r="AT2360" i="1" s="1"/>
  <c r="AP2360" i="1"/>
  <c r="BA2359" i="1"/>
  <c r="AX2359" i="1"/>
  <c r="AZ2359" i="1" s="1"/>
  <c r="AV2359" i="1"/>
  <c r="AU2359" i="1"/>
  <c r="AQ2359" i="1"/>
  <c r="AP2359" i="1"/>
  <c r="AX2358" i="1"/>
  <c r="AZ2358" i="1" s="1"/>
  <c r="AV2358" i="1"/>
  <c r="AU2358" i="1"/>
  <c r="AQ2358" i="1"/>
  <c r="AS2358" i="1" s="1"/>
  <c r="AP2358" i="1"/>
  <c r="AV2357" i="1"/>
  <c r="AU2357" i="1"/>
  <c r="AQ2357" i="1"/>
  <c r="AS2357" i="1" s="1"/>
  <c r="AP2357" i="1"/>
  <c r="BA2356" i="1"/>
  <c r="AX2356" i="1"/>
  <c r="AV2356" i="1"/>
  <c r="AU2356" i="1"/>
  <c r="AQ2356" i="1"/>
  <c r="AP2356" i="1"/>
  <c r="AV2355" i="1"/>
  <c r="AU2355" i="1"/>
  <c r="AQ2355" i="1"/>
  <c r="AP2355" i="1"/>
  <c r="AV2354" i="1"/>
  <c r="AU2354" i="1"/>
  <c r="AQ2354" i="1"/>
  <c r="AR2354" i="1" s="1"/>
  <c r="AP2354" i="1"/>
  <c r="AV2353" i="1"/>
  <c r="AU2353" i="1"/>
  <c r="AQ2353" i="1"/>
  <c r="AP2353" i="1"/>
  <c r="AV2352" i="1"/>
  <c r="AU2352" i="1"/>
  <c r="AQ2352" i="1"/>
  <c r="AP2352" i="1"/>
  <c r="AV2351" i="1"/>
  <c r="AU2351" i="1"/>
  <c r="AQ2351" i="1"/>
  <c r="AP2351" i="1"/>
  <c r="AV2350" i="1"/>
  <c r="AU2350" i="1"/>
  <c r="AQ2350" i="1"/>
  <c r="AP2350" i="1"/>
  <c r="AX2349" i="1"/>
  <c r="AZ2349" i="1" s="1"/>
  <c r="AV2349" i="1"/>
  <c r="AU2349" i="1"/>
  <c r="AQ2349" i="1"/>
  <c r="AS2349" i="1" s="1"/>
  <c r="AP2349" i="1"/>
  <c r="AV2348" i="1"/>
  <c r="AU2348" i="1"/>
  <c r="AQ2348" i="1"/>
  <c r="AP2348" i="1"/>
  <c r="AV2347" i="1"/>
  <c r="AU2347" i="1"/>
  <c r="AQ2347" i="1"/>
  <c r="AT2347" i="1" s="1"/>
  <c r="AP2347" i="1"/>
  <c r="AV2346" i="1"/>
  <c r="AU2346" i="1"/>
  <c r="AQ2346" i="1"/>
  <c r="AP2346" i="1"/>
  <c r="AV2345" i="1"/>
  <c r="AU2345" i="1"/>
  <c r="AQ2345" i="1"/>
  <c r="AS2345" i="1" s="1"/>
  <c r="AP2345" i="1"/>
  <c r="BA2344" i="1"/>
  <c r="AX2344" i="1"/>
  <c r="AZ2344" i="1" s="1"/>
  <c r="AV2344" i="1"/>
  <c r="AU2344" i="1"/>
  <c r="AQ2344" i="1"/>
  <c r="AS2344" i="1" s="1"/>
  <c r="AP2344" i="1"/>
  <c r="AV2343" i="1"/>
  <c r="AU2343" i="1"/>
  <c r="AQ2343" i="1"/>
  <c r="AS2343" i="1" s="1"/>
  <c r="AP2343" i="1"/>
  <c r="AV2342" i="1"/>
  <c r="AU2342" i="1"/>
  <c r="AQ2342" i="1"/>
  <c r="AS2342" i="1" s="1"/>
  <c r="AP2342" i="1"/>
  <c r="AV2341" i="1"/>
  <c r="AU2341" i="1"/>
  <c r="AQ2341" i="1"/>
  <c r="AT2341" i="1" s="1"/>
  <c r="AP2341" i="1"/>
  <c r="AV2340" i="1"/>
  <c r="AU2340" i="1"/>
  <c r="AQ2340" i="1"/>
  <c r="AR2340" i="1" s="1"/>
  <c r="AP2340" i="1"/>
  <c r="AX2339" i="1"/>
  <c r="AZ2339" i="1" s="1"/>
  <c r="AV2339" i="1"/>
  <c r="AU2339" i="1"/>
  <c r="AQ2339" i="1"/>
  <c r="AP2339" i="1"/>
  <c r="AV2338" i="1"/>
  <c r="AU2338" i="1"/>
  <c r="AQ2338" i="1"/>
  <c r="AP2338" i="1"/>
  <c r="BA2337" i="1"/>
  <c r="AX2337" i="1"/>
  <c r="AY2337" i="1" s="1"/>
  <c r="AV2337" i="1"/>
  <c r="AU2337" i="1"/>
  <c r="AQ2337" i="1"/>
  <c r="AR2337" i="1" s="1"/>
  <c r="AP2337" i="1"/>
  <c r="AV2336" i="1"/>
  <c r="AU2336" i="1"/>
  <c r="AQ2336" i="1"/>
  <c r="AS2336" i="1" s="1"/>
  <c r="AP2336" i="1"/>
  <c r="AV2335" i="1"/>
  <c r="AU2335" i="1"/>
  <c r="AQ2335" i="1"/>
  <c r="AR2335" i="1" s="1"/>
  <c r="AP2335" i="1"/>
  <c r="AV2334" i="1"/>
  <c r="AU2334" i="1"/>
  <c r="AQ2334" i="1"/>
  <c r="AR2334" i="1" s="1"/>
  <c r="AP2334" i="1"/>
  <c r="BA2333" i="1"/>
  <c r="AX2333" i="1"/>
  <c r="AY2333" i="1" s="1"/>
  <c r="AV2333" i="1"/>
  <c r="AU2333" i="1"/>
  <c r="AQ2333" i="1"/>
  <c r="AP2333" i="1"/>
  <c r="BA2332" i="1"/>
  <c r="AX2332" i="1"/>
  <c r="AZ2332" i="1" s="1"/>
  <c r="AV2332" i="1"/>
  <c r="AU2332" i="1"/>
  <c r="AQ2332" i="1"/>
  <c r="AR2332" i="1" s="1"/>
  <c r="AP2332" i="1"/>
  <c r="BA2331" i="1"/>
  <c r="AX2331" i="1"/>
  <c r="AV2331" i="1"/>
  <c r="AU2331" i="1"/>
  <c r="AQ2331" i="1"/>
  <c r="AP2331" i="1"/>
  <c r="AX2330" i="1"/>
  <c r="AV2330" i="1"/>
  <c r="AU2330" i="1"/>
  <c r="AQ2330" i="1"/>
  <c r="AR2330" i="1" s="1"/>
  <c r="AP2330" i="1"/>
  <c r="BA2329" i="1"/>
  <c r="AX2329" i="1"/>
  <c r="AV2329" i="1"/>
  <c r="AU2329" i="1"/>
  <c r="AQ2329" i="1"/>
  <c r="AS2329" i="1" s="1"/>
  <c r="AP2329" i="1"/>
  <c r="AX2328" i="1"/>
  <c r="AV2328" i="1"/>
  <c r="AU2328" i="1"/>
  <c r="AQ2328" i="1"/>
  <c r="AP2328" i="1"/>
  <c r="AX2327" i="1"/>
  <c r="AV2327" i="1"/>
  <c r="AU2327" i="1"/>
  <c r="AQ2327" i="1"/>
  <c r="AP2327" i="1"/>
  <c r="AV2326" i="1"/>
  <c r="AU2326" i="1"/>
  <c r="AQ2326" i="1"/>
  <c r="AR2326" i="1" s="1"/>
  <c r="AP2326" i="1"/>
  <c r="AV2325" i="1"/>
  <c r="AU2325" i="1"/>
  <c r="AQ2325" i="1"/>
  <c r="AR2325" i="1" s="1"/>
  <c r="AP2325" i="1"/>
  <c r="AV2324" i="1"/>
  <c r="AU2324" i="1"/>
  <c r="AQ2324" i="1"/>
  <c r="AP2324" i="1"/>
  <c r="AV2323" i="1"/>
  <c r="AU2323" i="1"/>
  <c r="AQ2323" i="1"/>
  <c r="AP2323" i="1"/>
  <c r="BA2322" i="1"/>
  <c r="AX2322" i="1"/>
  <c r="AZ2322" i="1" s="1"/>
  <c r="AV2322" i="1"/>
  <c r="AU2322" i="1"/>
  <c r="AQ2322" i="1"/>
  <c r="AP2322" i="1"/>
  <c r="BA2321" i="1"/>
  <c r="AX2321" i="1"/>
  <c r="AZ2321" i="1" s="1"/>
  <c r="AV2321" i="1"/>
  <c r="AU2321" i="1"/>
  <c r="AQ2321" i="1"/>
  <c r="AP2321" i="1"/>
  <c r="BA2320" i="1"/>
  <c r="AX2320" i="1"/>
  <c r="AV2320" i="1"/>
  <c r="AU2320" i="1"/>
  <c r="AQ2320" i="1"/>
  <c r="AS2320" i="1" s="1"/>
  <c r="AP2320" i="1"/>
  <c r="AV2319" i="1"/>
  <c r="AU2319" i="1"/>
  <c r="AQ2319" i="1"/>
  <c r="AR2319" i="1" s="1"/>
  <c r="AP2319" i="1"/>
  <c r="BA2318" i="1"/>
  <c r="AX2318" i="1"/>
  <c r="AZ2318" i="1" s="1"/>
  <c r="AV2318" i="1"/>
  <c r="AU2318" i="1"/>
  <c r="AQ2318" i="1"/>
  <c r="AP2318" i="1"/>
  <c r="BA2317" i="1"/>
  <c r="AX2317" i="1"/>
  <c r="AV2317" i="1"/>
  <c r="AU2317" i="1"/>
  <c r="AQ2317" i="1"/>
  <c r="AS2317" i="1" s="1"/>
  <c r="AP2317" i="1"/>
  <c r="BA2316" i="1"/>
  <c r="AX2316" i="1"/>
  <c r="AZ2316" i="1" s="1"/>
  <c r="AV2316" i="1"/>
  <c r="AU2316" i="1"/>
  <c r="AQ2316" i="1"/>
  <c r="AS2316" i="1" s="1"/>
  <c r="AP2316" i="1"/>
  <c r="AV2315" i="1"/>
  <c r="AU2315" i="1"/>
  <c r="AQ2315" i="1"/>
  <c r="AP2315" i="1"/>
  <c r="AV2314" i="1"/>
  <c r="AU2314" i="1"/>
  <c r="AQ2314" i="1"/>
  <c r="AR2314" i="1" s="1"/>
  <c r="AP2314" i="1"/>
  <c r="AV2313" i="1"/>
  <c r="AU2313" i="1"/>
  <c r="AQ2313" i="1"/>
  <c r="AP2313" i="1"/>
  <c r="BA2312" i="1"/>
  <c r="AX2312" i="1"/>
  <c r="AV2312" i="1"/>
  <c r="AU2312" i="1"/>
  <c r="AQ2312" i="1"/>
  <c r="AS2312" i="1" s="1"/>
  <c r="AP2312" i="1"/>
  <c r="BA2311" i="1"/>
  <c r="AX2311" i="1"/>
  <c r="AZ2311" i="1" s="1"/>
  <c r="AV2311" i="1"/>
  <c r="AU2311" i="1"/>
  <c r="AQ2311" i="1"/>
  <c r="AP2311" i="1"/>
  <c r="BA2310" i="1"/>
  <c r="AV2310" i="1"/>
  <c r="AU2310" i="1"/>
  <c r="AQ2310" i="1"/>
  <c r="AR2310" i="1" s="1"/>
  <c r="AP2310" i="1"/>
  <c r="AV2309" i="1"/>
  <c r="AU2309" i="1"/>
  <c r="AQ2309" i="1"/>
  <c r="AR2309" i="1" s="1"/>
  <c r="AP2309" i="1"/>
  <c r="BA2308" i="1"/>
  <c r="AX2308" i="1"/>
  <c r="AY2308" i="1" s="1"/>
  <c r="AV2308" i="1"/>
  <c r="AU2308" i="1"/>
  <c r="AQ2308" i="1"/>
  <c r="AS2308" i="1" s="1"/>
  <c r="AP2308" i="1"/>
  <c r="BA2307" i="1"/>
  <c r="AV2307" i="1"/>
  <c r="AU2307" i="1"/>
  <c r="AQ2307" i="1"/>
  <c r="AP2307" i="1"/>
  <c r="AV2306" i="1"/>
  <c r="AU2306" i="1"/>
  <c r="AQ2306" i="1"/>
  <c r="AP2306" i="1"/>
  <c r="BA2305" i="1"/>
  <c r="AX2305" i="1"/>
  <c r="AY2305" i="1" s="1"/>
  <c r="AV2305" i="1"/>
  <c r="AU2305" i="1"/>
  <c r="AQ2305" i="1"/>
  <c r="AP2305" i="1"/>
  <c r="BA2304" i="1"/>
  <c r="AX2304" i="1"/>
  <c r="AZ2304" i="1" s="1"/>
  <c r="AV2304" i="1"/>
  <c r="AU2304" i="1"/>
  <c r="AQ2304" i="1"/>
  <c r="AT2304" i="1" s="1"/>
  <c r="AP2304" i="1"/>
  <c r="AV2303" i="1"/>
  <c r="AU2303" i="1"/>
  <c r="AQ2303" i="1"/>
  <c r="AR2303" i="1" s="1"/>
  <c r="AP2303" i="1"/>
  <c r="AV2302" i="1"/>
  <c r="AU2302" i="1"/>
  <c r="AQ2302" i="1"/>
  <c r="AP2302" i="1"/>
  <c r="AV2301" i="1"/>
  <c r="AU2301" i="1"/>
  <c r="AQ2301" i="1"/>
  <c r="AP2301" i="1"/>
  <c r="BA2300" i="1"/>
  <c r="AX2300" i="1"/>
  <c r="AV2300" i="1"/>
  <c r="AU2300" i="1"/>
  <c r="AQ2300" i="1"/>
  <c r="AT2300" i="1" s="1"/>
  <c r="AP2300" i="1"/>
  <c r="AV2299" i="1"/>
  <c r="AU2299" i="1"/>
  <c r="AQ2299" i="1"/>
  <c r="AT2299" i="1" s="1"/>
  <c r="AP2299" i="1"/>
  <c r="BA2298" i="1"/>
  <c r="AX2298" i="1"/>
  <c r="AZ2298" i="1" s="1"/>
  <c r="AV2298" i="1"/>
  <c r="AU2298" i="1"/>
  <c r="AQ2298" i="1"/>
  <c r="AT2298" i="1" s="1"/>
  <c r="AP2298" i="1"/>
  <c r="AV2296" i="1"/>
  <c r="AU2296" i="1"/>
  <c r="AQ2296" i="1"/>
  <c r="AT2296" i="1" s="1"/>
  <c r="AP2296" i="1"/>
  <c r="AV2295" i="1"/>
  <c r="AU2295" i="1"/>
  <c r="AQ2295" i="1"/>
  <c r="AP2295" i="1"/>
  <c r="BA2294" i="1"/>
  <c r="AX2294" i="1"/>
  <c r="AY2294" i="1" s="1"/>
  <c r="AV2294" i="1"/>
  <c r="AU2294" i="1"/>
  <c r="AQ2294" i="1"/>
  <c r="AS2294" i="1" s="1"/>
  <c r="AP2294" i="1"/>
  <c r="AX2293" i="1"/>
  <c r="AY2293" i="1" s="1"/>
  <c r="AV2293" i="1"/>
  <c r="AU2293" i="1"/>
  <c r="AQ2293" i="1"/>
  <c r="AP2293" i="1"/>
  <c r="BA2292" i="1"/>
  <c r="AX2292" i="1"/>
  <c r="AY2292" i="1" s="1"/>
  <c r="AV2292" i="1"/>
  <c r="AU2292" i="1"/>
  <c r="AQ2292" i="1"/>
  <c r="AT2292" i="1" s="1"/>
  <c r="AP2292" i="1"/>
  <c r="BA2291" i="1"/>
  <c r="AV2291" i="1"/>
  <c r="AU2291" i="1"/>
  <c r="AQ2291" i="1"/>
  <c r="AP2291" i="1"/>
  <c r="AV2290" i="1"/>
  <c r="AU2290" i="1"/>
  <c r="AQ2290" i="1"/>
  <c r="AT2290" i="1" s="1"/>
  <c r="AP2290" i="1"/>
  <c r="BA2289" i="1"/>
  <c r="AX2289" i="1"/>
  <c r="AZ2289" i="1" s="1"/>
  <c r="AV2289" i="1"/>
  <c r="AU2289" i="1"/>
  <c r="AQ2289" i="1"/>
  <c r="AP2289" i="1"/>
  <c r="BA2288" i="1"/>
  <c r="AX2288" i="1"/>
  <c r="AV2288" i="1"/>
  <c r="AU2288" i="1"/>
  <c r="AQ2288" i="1"/>
  <c r="AR2288" i="1" s="1"/>
  <c r="AP2288" i="1"/>
  <c r="AV2287" i="1"/>
  <c r="AU2287" i="1"/>
  <c r="AQ2287" i="1"/>
  <c r="AS2287" i="1" s="1"/>
  <c r="AP2287" i="1"/>
  <c r="AV2286" i="1"/>
  <c r="AU2286" i="1"/>
  <c r="AQ2286" i="1"/>
  <c r="AP2286" i="1"/>
  <c r="AX2285" i="1"/>
  <c r="AZ2285" i="1" s="1"/>
  <c r="AV2285" i="1"/>
  <c r="AU2285" i="1"/>
  <c r="AQ2285" i="1"/>
  <c r="AP2285" i="1"/>
  <c r="AV2284" i="1"/>
  <c r="AU2284" i="1"/>
  <c r="AQ2284" i="1"/>
  <c r="AP2284" i="1"/>
  <c r="BA2283" i="1"/>
  <c r="AX2283" i="1"/>
  <c r="AV2283" i="1"/>
  <c r="AU2283" i="1"/>
  <c r="AQ2283" i="1"/>
  <c r="AT2283" i="1" s="1"/>
  <c r="AP2283" i="1"/>
  <c r="BA2282" i="1"/>
  <c r="AX2282" i="1"/>
  <c r="AV2282" i="1"/>
  <c r="AU2282" i="1"/>
  <c r="AQ2282" i="1"/>
  <c r="AT2282" i="1" s="1"/>
  <c r="AP2282" i="1"/>
  <c r="BA2281" i="1"/>
  <c r="AX2281" i="1"/>
  <c r="AY2281" i="1" s="1"/>
  <c r="AV2281" i="1"/>
  <c r="AU2281" i="1"/>
  <c r="AQ2281" i="1"/>
  <c r="AR2281" i="1" s="1"/>
  <c r="AP2281" i="1"/>
  <c r="BA2280" i="1"/>
  <c r="AX2280" i="1"/>
  <c r="AV2280" i="1"/>
  <c r="AU2280" i="1"/>
  <c r="AQ2280" i="1"/>
  <c r="AP2280" i="1"/>
  <c r="AV2279" i="1"/>
  <c r="AU2279" i="1"/>
  <c r="AQ2279" i="1"/>
  <c r="AP2279" i="1"/>
  <c r="AX2278" i="1"/>
  <c r="AY2278" i="1" s="1"/>
  <c r="AV2278" i="1"/>
  <c r="AU2278" i="1"/>
  <c r="AQ2278" i="1"/>
  <c r="AR2278" i="1" s="1"/>
  <c r="AP2278" i="1"/>
  <c r="BA2277" i="1"/>
  <c r="AX2277" i="1"/>
  <c r="AY2277" i="1" s="1"/>
  <c r="AV2277" i="1"/>
  <c r="AU2277" i="1"/>
  <c r="AQ2277" i="1"/>
  <c r="AP2277" i="1"/>
  <c r="AV2276" i="1"/>
  <c r="AU2276" i="1"/>
  <c r="AQ2276" i="1"/>
  <c r="AT2276" i="1" s="1"/>
  <c r="AP2276" i="1"/>
  <c r="AX2275" i="1"/>
  <c r="AZ2275" i="1" s="1"/>
  <c r="AV2275" i="1"/>
  <c r="AU2275" i="1"/>
  <c r="AQ2275" i="1"/>
  <c r="AP2275" i="1"/>
  <c r="BA2274" i="1"/>
  <c r="AX2274" i="1"/>
  <c r="AZ2274" i="1" s="1"/>
  <c r="AV2274" i="1"/>
  <c r="AU2274" i="1"/>
  <c r="AQ2274" i="1"/>
  <c r="AT2274" i="1" s="1"/>
  <c r="AP2274" i="1"/>
  <c r="AV2273" i="1"/>
  <c r="AU2273" i="1"/>
  <c r="AQ2273" i="1"/>
  <c r="AR2273" i="1" s="1"/>
  <c r="AP2273" i="1"/>
  <c r="AV2272" i="1"/>
  <c r="AU2272" i="1"/>
  <c r="AQ2272" i="1"/>
  <c r="AR2272" i="1" s="1"/>
  <c r="AP2272" i="1"/>
  <c r="BA2271" i="1"/>
  <c r="AX2271" i="1"/>
  <c r="AY2271" i="1" s="1"/>
  <c r="AV2271" i="1"/>
  <c r="AU2271" i="1"/>
  <c r="AQ2271" i="1"/>
  <c r="AP2271" i="1"/>
  <c r="BA2270" i="1"/>
  <c r="AX2270" i="1"/>
  <c r="AZ2270" i="1" s="1"/>
  <c r="AV2270" i="1"/>
  <c r="AU2270" i="1"/>
  <c r="AQ2270" i="1"/>
  <c r="AT2270" i="1" s="1"/>
  <c r="AP2270" i="1"/>
  <c r="BA2269" i="1"/>
  <c r="AX2269" i="1"/>
  <c r="AV2269" i="1"/>
  <c r="AU2269" i="1"/>
  <c r="AQ2269" i="1"/>
  <c r="AS2269" i="1" s="1"/>
  <c r="AP2269" i="1"/>
  <c r="BA2268" i="1"/>
  <c r="AX2268" i="1"/>
  <c r="AY2268" i="1" s="1"/>
  <c r="AV2268" i="1"/>
  <c r="AU2268" i="1"/>
  <c r="AQ2268" i="1"/>
  <c r="AR2268" i="1" s="1"/>
  <c r="AP2268" i="1"/>
  <c r="BA2267" i="1"/>
  <c r="AX2267" i="1"/>
  <c r="AZ2267" i="1" s="1"/>
  <c r="AV2267" i="1"/>
  <c r="AU2267" i="1"/>
  <c r="AQ2267" i="1"/>
  <c r="AP2267" i="1"/>
  <c r="BA2266" i="1"/>
  <c r="AX2266" i="1"/>
  <c r="AZ2266" i="1" s="1"/>
  <c r="AV2266" i="1"/>
  <c r="AU2266" i="1"/>
  <c r="AQ2266" i="1"/>
  <c r="AR2266" i="1" s="1"/>
  <c r="AP2266" i="1"/>
  <c r="BA2265" i="1"/>
  <c r="AX2265" i="1"/>
  <c r="AZ2265" i="1" s="1"/>
  <c r="AV2265" i="1"/>
  <c r="AU2265" i="1"/>
  <c r="AQ2265" i="1"/>
  <c r="AR2265" i="1" s="1"/>
  <c r="AP2265" i="1"/>
  <c r="AV2264" i="1"/>
  <c r="AU2264" i="1"/>
  <c r="AQ2264" i="1"/>
  <c r="AS2264" i="1" s="1"/>
  <c r="AP2264" i="1"/>
  <c r="AV2263" i="1"/>
  <c r="AU2263" i="1"/>
  <c r="AQ2263" i="1"/>
  <c r="AS2263" i="1" s="1"/>
  <c r="AP2263" i="1"/>
  <c r="BA2262" i="1"/>
  <c r="AX2262" i="1"/>
  <c r="AZ2262" i="1" s="1"/>
  <c r="AV2262" i="1"/>
  <c r="AU2262" i="1"/>
  <c r="AQ2262" i="1"/>
  <c r="AR2262" i="1" s="1"/>
  <c r="AP2262" i="1"/>
  <c r="BA2261" i="1"/>
  <c r="AX2261" i="1"/>
  <c r="AZ2261" i="1" s="1"/>
  <c r="AV2261" i="1"/>
  <c r="AU2261" i="1"/>
  <c r="AQ2261" i="1"/>
  <c r="AT2261" i="1" s="1"/>
  <c r="AP2261" i="1"/>
  <c r="AV2259" i="1"/>
  <c r="AU2259" i="1"/>
  <c r="AQ2259" i="1"/>
  <c r="AP2259" i="1"/>
  <c r="BA2258" i="1"/>
  <c r="AX2258" i="1"/>
  <c r="AZ2258" i="1" s="1"/>
  <c r="AV2258" i="1"/>
  <c r="AU2258" i="1"/>
  <c r="AQ2258" i="1"/>
  <c r="AT2258" i="1" s="1"/>
  <c r="AP2258" i="1"/>
  <c r="AX2257" i="1"/>
  <c r="AZ2257" i="1" s="1"/>
  <c r="AV2257" i="1"/>
  <c r="AU2257" i="1"/>
  <c r="AQ2257" i="1"/>
  <c r="AT2257" i="1" s="1"/>
  <c r="AP2257" i="1"/>
  <c r="AV2256" i="1"/>
  <c r="AU2256" i="1"/>
  <c r="AQ2256" i="1"/>
  <c r="AT2256" i="1" s="1"/>
  <c r="AP2256" i="1"/>
  <c r="BA2255" i="1"/>
  <c r="AV2255" i="1"/>
  <c r="AU2255" i="1"/>
  <c r="AQ2255" i="1"/>
  <c r="AS2255" i="1" s="1"/>
  <c r="AP2255" i="1"/>
  <c r="AX2254" i="1"/>
  <c r="AY2254" i="1" s="1"/>
  <c r="AV2254" i="1"/>
  <c r="AU2254" i="1"/>
  <c r="AQ2254" i="1"/>
  <c r="AP2254" i="1"/>
  <c r="BA2253" i="1"/>
  <c r="AX2253" i="1"/>
  <c r="AV2253" i="1"/>
  <c r="AU2253" i="1"/>
  <c r="AQ2253" i="1"/>
  <c r="AP2253" i="1"/>
  <c r="BA2252" i="1"/>
  <c r="AX2252" i="1"/>
  <c r="AZ2252" i="1" s="1"/>
  <c r="AV2252" i="1"/>
  <c r="AU2252" i="1"/>
  <c r="AQ2252" i="1"/>
  <c r="AP2252" i="1"/>
  <c r="AX2251" i="1"/>
  <c r="AZ2251" i="1" s="1"/>
  <c r="AV2251" i="1"/>
  <c r="AU2251" i="1"/>
  <c r="AQ2251" i="1"/>
  <c r="AT2251" i="1" s="1"/>
  <c r="AP2251" i="1"/>
  <c r="BA2250" i="1"/>
  <c r="AV2250" i="1"/>
  <c r="AU2250" i="1"/>
  <c r="AQ2250" i="1"/>
  <c r="AP2250" i="1"/>
  <c r="AV2249" i="1"/>
  <c r="AU2249" i="1"/>
  <c r="AQ2249" i="1"/>
  <c r="AR2249" i="1" s="1"/>
  <c r="AP2249" i="1"/>
  <c r="AV2248" i="1"/>
  <c r="AU2248" i="1"/>
  <c r="AQ2248" i="1"/>
  <c r="AR2248" i="1" s="1"/>
  <c r="AP2248" i="1"/>
  <c r="AV2247" i="1"/>
  <c r="AU2247" i="1"/>
  <c r="AQ2247" i="1"/>
  <c r="AR2247" i="1" s="1"/>
  <c r="AP2247" i="1"/>
  <c r="AV2246" i="1"/>
  <c r="AU2246" i="1"/>
  <c r="AQ2246" i="1"/>
  <c r="AT2246" i="1" s="1"/>
  <c r="AP2246" i="1"/>
  <c r="BA2245" i="1"/>
  <c r="AX2245" i="1"/>
  <c r="AY2245" i="1" s="1"/>
  <c r="AV2245" i="1"/>
  <c r="AU2245" i="1"/>
  <c r="AQ2245" i="1"/>
  <c r="AP2245" i="1"/>
  <c r="BA2244" i="1"/>
  <c r="AX2244" i="1"/>
  <c r="AV2244" i="1"/>
  <c r="AU2244" i="1"/>
  <c r="AQ2244" i="1"/>
  <c r="AT2244" i="1" s="1"/>
  <c r="AP2244" i="1"/>
  <c r="AX2230" i="1"/>
  <c r="AZ2230" i="1" s="1"/>
  <c r="AV2230" i="1"/>
  <c r="AU2230" i="1"/>
  <c r="AQ2230" i="1"/>
  <c r="AT2230" i="1" s="1"/>
  <c r="AP2230" i="1"/>
  <c r="BA2243" i="1"/>
  <c r="AX2243" i="1"/>
  <c r="AV2243" i="1"/>
  <c r="AU2243" i="1"/>
  <c r="AQ2243" i="1"/>
  <c r="AR2243" i="1" s="1"/>
  <c r="AP2243" i="1"/>
  <c r="BA2242" i="1"/>
  <c r="AX2242" i="1"/>
  <c r="AV2242" i="1"/>
  <c r="AU2242" i="1"/>
  <c r="AQ2242" i="1"/>
  <c r="AP2242" i="1"/>
  <c r="AV2241" i="1"/>
  <c r="AU2241" i="1"/>
  <c r="AQ2241" i="1"/>
  <c r="AP2241" i="1"/>
  <c r="BA2240" i="1"/>
  <c r="AX2240" i="1"/>
  <c r="AZ2240" i="1" s="1"/>
  <c r="AV2240" i="1"/>
  <c r="AU2240" i="1"/>
  <c r="AQ2240" i="1"/>
  <c r="AR2240" i="1" s="1"/>
  <c r="AP2240" i="1"/>
  <c r="BA2239" i="1"/>
  <c r="AX2239" i="1"/>
  <c r="AV2239" i="1"/>
  <c r="AU2239" i="1"/>
  <c r="AQ2239" i="1"/>
  <c r="AT2239" i="1" s="1"/>
  <c r="AP2239" i="1"/>
  <c r="BA2237" i="1"/>
  <c r="AV2237" i="1"/>
  <c r="AU2237" i="1"/>
  <c r="AQ2237" i="1"/>
  <c r="AP2237" i="1"/>
  <c r="AV2236" i="1"/>
  <c r="AU2236" i="1"/>
  <c r="AQ2236" i="1"/>
  <c r="AP2236" i="1"/>
  <c r="BA2235" i="1"/>
  <c r="AX2235" i="1"/>
  <c r="AV2235" i="1"/>
  <c r="AU2235" i="1"/>
  <c r="AQ2235" i="1"/>
  <c r="AS2235" i="1" s="1"/>
  <c r="AP2235" i="1"/>
  <c r="AV2234" i="1"/>
  <c r="AU2234" i="1"/>
  <c r="AQ2234" i="1"/>
  <c r="AS2234" i="1" s="1"/>
  <c r="AP2234" i="1"/>
  <c r="AX2233" i="1"/>
  <c r="AV2233" i="1"/>
  <c r="AU2233" i="1"/>
  <c r="AQ2233" i="1"/>
  <c r="AP2233" i="1"/>
  <c r="BA2232" i="1"/>
  <c r="AX2232" i="1"/>
  <c r="AY2232" i="1" s="1"/>
  <c r="AV2232" i="1"/>
  <c r="AU2232" i="1"/>
  <c r="AQ2232" i="1"/>
  <c r="AT2232" i="1" s="1"/>
  <c r="AP2232" i="1"/>
  <c r="BA2231" i="1"/>
  <c r="AX2231" i="1"/>
  <c r="AV2231" i="1"/>
  <c r="AU2231" i="1"/>
  <c r="AQ2231" i="1"/>
  <c r="AP2231" i="1"/>
  <c r="BA2229" i="1"/>
  <c r="AX2229" i="1"/>
  <c r="AV2229" i="1"/>
  <c r="AU2229" i="1"/>
  <c r="AQ2229" i="1"/>
  <c r="AS2229" i="1" s="1"/>
  <c r="AP2229" i="1"/>
  <c r="BA2228" i="1"/>
  <c r="AX2228" i="1"/>
  <c r="AV2228" i="1"/>
  <c r="AU2228" i="1"/>
  <c r="AQ2228" i="1"/>
  <c r="AR2228" i="1" s="1"/>
  <c r="AP2228" i="1"/>
  <c r="AX2227" i="1"/>
  <c r="AV2227" i="1"/>
  <c r="AU2227" i="1"/>
  <c r="AQ2227" i="1"/>
  <c r="AP2227" i="1"/>
  <c r="BA2226" i="1"/>
  <c r="AV2226" i="1"/>
  <c r="AU2226" i="1"/>
  <c r="AQ2226" i="1"/>
  <c r="AT2226" i="1" s="1"/>
  <c r="AP2226" i="1"/>
  <c r="BA2225" i="1"/>
  <c r="AX2225" i="1"/>
  <c r="AV2225" i="1"/>
  <c r="AU2225" i="1"/>
  <c r="AQ2225" i="1"/>
  <c r="AR2225" i="1" s="1"/>
  <c r="AP2225" i="1"/>
  <c r="BA2224" i="1"/>
  <c r="AV2224" i="1"/>
  <c r="AU2224" i="1"/>
  <c r="AQ2224" i="1"/>
  <c r="AP2224" i="1"/>
  <c r="AV2223" i="1"/>
  <c r="AU2223" i="1"/>
  <c r="AQ2223" i="1"/>
  <c r="AP2223" i="1"/>
  <c r="BA2222" i="1"/>
  <c r="AX2222" i="1"/>
  <c r="AV2222" i="1"/>
  <c r="AU2222" i="1"/>
  <c r="AQ2222" i="1"/>
  <c r="AR2222" i="1" s="1"/>
  <c r="AP2222" i="1"/>
  <c r="AV2221" i="1"/>
  <c r="AU2221" i="1"/>
  <c r="AQ2221" i="1"/>
  <c r="AS2221" i="1" s="1"/>
  <c r="AP2221" i="1"/>
  <c r="AV2220" i="1"/>
  <c r="AU2220" i="1"/>
  <c r="AQ2220" i="1"/>
  <c r="AR2220" i="1" s="1"/>
  <c r="AP2220" i="1"/>
  <c r="AV2219" i="1"/>
  <c r="AU2219" i="1"/>
  <c r="AQ2219" i="1"/>
  <c r="AR2219" i="1" s="1"/>
  <c r="AP2219" i="1"/>
  <c r="BA2218" i="1"/>
  <c r="AX2218" i="1"/>
  <c r="AZ2218" i="1" s="1"/>
  <c r="AV2218" i="1"/>
  <c r="AU2218" i="1"/>
  <c r="AQ2218" i="1"/>
  <c r="AT2218" i="1" s="1"/>
  <c r="AP2218" i="1"/>
  <c r="BA2217" i="1"/>
  <c r="AX2217" i="1"/>
  <c r="AY2217" i="1" s="1"/>
  <c r="AV2217" i="1"/>
  <c r="AU2217" i="1"/>
  <c r="AQ2217" i="1"/>
  <c r="AR2217" i="1" s="1"/>
  <c r="AP2217" i="1"/>
  <c r="AV2216" i="1"/>
  <c r="AU2216" i="1"/>
  <c r="AQ2216" i="1"/>
  <c r="AR2216" i="1" s="1"/>
  <c r="AP2216" i="1"/>
  <c r="BA2215" i="1"/>
  <c r="AX2215" i="1"/>
  <c r="AZ2215" i="1" s="1"/>
  <c r="AV2215" i="1"/>
  <c r="AU2215" i="1"/>
  <c r="AQ2215" i="1"/>
  <c r="AP2215" i="1"/>
  <c r="BA2214" i="1"/>
  <c r="AX2214" i="1"/>
  <c r="AY2214" i="1" s="1"/>
  <c r="AV2214" i="1"/>
  <c r="AU2214" i="1"/>
  <c r="AQ2214" i="1"/>
  <c r="AR2214" i="1" s="1"/>
  <c r="AP2214" i="1"/>
  <c r="AV2213" i="1"/>
  <c r="AU2213" i="1"/>
  <c r="AQ2213" i="1"/>
  <c r="AT2213" i="1" s="1"/>
  <c r="AP2213" i="1"/>
  <c r="BA2212" i="1"/>
  <c r="AX2212" i="1"/>
  <c r="AY2212" i="1" s="1"/>
  <c r="AV2212" i="1"/>
  <c r="AU2212" i="1"/>
  <c r="AQ2212" i="1"/>
  <c r="AP2212" i="1"/>
  <c r="BA2211" i="1"/>
  <c r="AX2211" i="1"/>
  <c r="AY2211" i="1" s="1"/>
  <c r="AV2211" i="1"/>
  <c r="AU2211" i="1"/>
  <c r="AQ2211" i="1"/>
  <c r="AT2211" i="1" s="1"/>
  <c r="AP2211" i="1"/>
  <c r="BA2210" i="1"/>
  <c r="AX2210" i="1"/>
  <c r="AV2210" i="1"/>
  <c r="AU2210" i="1"/>
  <c r="AQ2210" i="1"/>
  <c r="AS2210" i="1" s="1"/>
  <c r="AP2210" i="1"/>
  <c r="AV2209" i="1"/>
  <c r="AU2209" i="1"/>
  <c r="AQ2209" i="1"/>
  <c r="AP2209" i="1"/>
  <c r="BA2208" i="1"/>
  <c r="AX2208" i="1"/>
  <c r="AY2208" i="1" s="1"/>
  <c r="AV2208" i="1"/>
  <c r="AU2208" i="1"/>
  <c r="AQ2208" i="1"/>
  <c r="AR2208" i="1" s="1"/>
  <c r="AP2208" i="1"/>
  <c r="BA2207" i="1"/>
  <c r="AX2207" i="1"/>
  <c r="AZ2207" i="1" s="1"/>
  <c r="AV2207" i="1"/>
  <c r="AU2207" i="1"/>
  <c r="AQ2207" i="1"/>
  <c r="AR2207" i="1" s="1"/>
  <c r="AP2207" i="1"/>
  <c r="BA2206" i="1"/>
  <c r="AX2206" i="1"/>
  <c r="AY2206" i="1" s="1"/>
  <c r="AV2206" i="1"/>
  <c r="AU2206" i="1"/>
  <c r="AQ2206" i="1"/>
  <c r="AR2206" i="1" s="1"/>
  <c r="AP2206" i="1"/>
  <c r="AV2205" i="1"/>
  <c r="AU2205" i="1"/>
  <c r="AQ2205" i="1"/>
  <c r="AS2205" i="1" s="1"/>
  <c r="AP2205" i="1"/>
  <c r="BA2204" i="1"/>
  <c r="AX2204" i="1"/>
  <c r="AY2204" i="1" s="1"/>
  <c r="AV2204" i="1"/>
  <c r="AU2204" i="1"/>
  <c r="AQ2204" i="1"/>
  <c r="AP2204" i="1"/>
  <c r="BA2203" i="1"/>
  <c r="AX2203" i="1"/>
  <c r="AZ2203" i="1" s="1"/>
  <c r="AV2203" i="1"/>
  <c r="AU2203" i="1"/>
  <c r="AQ2203" i="1"/>
  <c r="AT2203" i="1" s="1"/>
  <c r="AP2203" i="1"/>
  <c r="AV2202" i="1"/>
  <c r="AU2202" i="1"/>
  <c r="AQ2202" i="1"/>
  <c r="AS2202" i="1" s="1"/>
  <c r="AP2202" i="1"/>
  <c r="BA2200" i="1"/>
  <c r="AX2200" i="1"/>
  <c r="AY2200" i="1" s="1"/>
  <c r="AV2200" i="1"/>
  <c r="AU2200" i="1"/>
  <c r="AQ2200" i="1"/>
  <c r="AP2200" i="1"/>
  <c r="AV2201" i="1"/>
  <c r="AU2201" i="1"/>
  <c r="AQ2201" i="1"/>
  <c r="AP2201" i="1"/>
  <c r="AV2199" i="1"/>
  <c r="AU2199" i="1"/>
  <c r="AQ2199" i="1"/>
  <c r="AT2199" i="1" s="1"/>
  <c r="AP2199" i="1"/>
  <c r="BA2198" i="1"/>
  <c r="AX2198" i="1"/>
  <c r="AV2198" i="1"/>
  <c r="AU2198" i="1"/>
  <c r="AQ2198" i="1"/>
  <c r="AS2198" i="1" s="1"/>
  <c r="AP2198" i="1"/>
  <c r="AX2197" i="1"/>
  <c r="AV2197" i="1"/>
  <c r="AU2197" i="1"/>
  <c r="AQ2197" i="1"/>
  <c r="AP2197" i="1"/>
  <c r="AX2196" i="1"/>
  <c r="AV2196" i="1"/>
  <c r="AU2196" i="1"/>
  <c r="AQ2196" i="1"/>
  <c r="AR2196" i="1" s="1"/>
  <c r="AP2196" i="1"/>
  <c r="AX2195" i="1"/>
  <c r="AV2195" i="1"/>
  <c r="AU2195" i="1"/>
  <c r="AQ2195" i="1"/>
  <c r="AR2195" i="1" s="1"/>
  <c r="AP2195" i="1"/>
  <c r="AV2194" i="1"/>
  <c r="AU2194" i="1"/>
  <c r="AQ2194" i="1"/>
  <c r="AT2194" i="1" s="1"/>
  <c r="AP2194" i="1"/>
  <c r="AV2193" i="1"/>
  <c r="AU2193" i="1"/>
  <c r="AQ2193" i="1"/>
  <c r="AT2193" i="1" s="1"/>
  <c r="AP2193" i="1"/>
  <c r="AX2192" i="1"/>
  <c r="AZ2192" i="1" s="1"/>
  <c r="AV2192" i="1"/>
  <c r="AU2192" i="1"/>
  <c r="AQ2192" i="1"/>
  <c r="AS2192" i="1" s="1"/>
  <c r="AP2192" i="1"/>
  <c r="BA2191" i="1"/>
  <c r="AX2191" i="1"/>
  <c r="AV2191" i="1"/>
  <c r="AU2191" i="1"/>
  <c r="AQ2191" i="1"/>
  <c r="AT2191" i="1" s="1"/>
  <c r="AP2191" i="1"/>
  <c r="BA2190" i="1"/>
  <c r="AV2190" i="1"/>
  <c r="AU2190" i="1"/>
  <c r="AQ2190" i="1"/>
  <c r="AT2190" i="1" s="1"/>
  <c r="AP2190" i="1"/>
  <c r="BA2189" i="1"/>
  <c r="AX2189" i="1"/>
  <c r="AY2189" i="1" s="1"/>
  <c r="AV2189" i="1"/>
  <c r="AU2189" i="1"/>
  <c r="AQ2189" i="1"/>
  <c r="AS2189" i="1" s="1"/>
  <c r="AP2189" i="1"/>
  <c r="AV2188" i="1"/>
  <c r="AU2188" i="1"/>
  <c r="AQ2188" i="1"/>
  <c r="AT2188" i="1" s="1"/>
  <c r="AP2188" i="1"/>
  <c r="AV2187" i="1"/>
  <c r="AU2187" i="1"/>
  <c r="AQ2187" i="1"/>
  <c r="AP2187" i="1"/>
  <c r="AV2186" i="1"/>
  <c r="AU2186" i="1"/>
  <c r="AQ2186" i="1"/>
  <c r="AR2186" i="1" s="1"/>
  <c r="AP2186" i="1"/>
  <c r="AV2185" i="1"/>
  <c r="AU2185" i="1"/>
  <c r="AQ2185" i="1"/>
  <c r="AR2185" i="1" s="1"/>
  <c r="AP2185" i="1"/>
  <c r="BA2184" i="1"/>
  <c r="AX2184" i="1"/>
  <c r="AZ2184" i="1" s="1"/>
  <c r="AV2184" i="1"/>
  <c r="AU2184" i="1"/>
  <c r="AQ2184" i="1"/>
  <c r="AR2184" i="1" s="1"/>
  <c r="AP2184" i="1"/>
  <c r="BA2183" i="1"/>
  <c r="AX2183" i="1"/>
  <c r="AV2183" i="1"/>
  <c r="AU2183" i="1"/>
  <c r="AQ2183" i="1"/>
  <c r="AR2183" i="1" s="1"/>
  <c r="AP2183" i="1"/>
  <c r="BA2182" i="1"/>
  <c r="AX2182" i="1"/>
  <c r="AV2182" i="1"/>
  <c r="AU2182" i="1"/>
  <c r="AQ2182" i="1"/>
  <c r="AR2182" i="1" s="1"/>
  <c r="AP2182" i="1"/>
  <c r="BA2181" i="1"/>
  <c r="AX2181" i="1"/>
  <c r="AY2181" i="1" s="1"/>
  <c r="AV2181" i="1"/>
  <c r="AU2181" i="1"/>
  <c r="AQ2181" i="1"/>
  <c r="AP2181" i="1"/>
  <c r="BA2180" i="1"/>
  <c r="AX2180" i="1"/>
  <c r="AZ2180" i="1" s="1"/>
  <c r="AV2180" i="1"/>
  <c r="AU2180" i="1"/>
  <c r="AQ2180" i="1"/>
  <c r="AT2180" i="1" s="1"/>
  <c r="AP2180" i="1"/>
  <c r="AX2179" i="1"/>
  <c r="AV2179" i="1"/>
  <c r="AU2179" i="1"/>
  <c r="AQ2179" i="1"/>
  <c r="AR2179" i="1" s="1"/>
  <c r="AP2179" i="1"/>
  <c r="AV2178" i="1"/>
  <c r="AU2178" i="1"/>
  <c r="AQ2178" i="1"/>
  <c r="AR2178" i="1" s="1"/>
  <c r="AP2178" i="1"/>
  <c r="AV2177" i="1"/>
  <c r="AU2177" i="1"/>
  <c r="AQ2177" i="1"/>
  <c r="AR2177" i="1" s="1"/>
  <c r="AP2177" i="1"/>
  <c r="AX2176" i="1"/>
  <c r="AV2176" i="1"/>
  <c r="AU2176" i="1"/>
  <c r="AQ2176" i="1"/>
  <c r="AP2176" i="1"/>
  <c r="AV2175" i="1"/>
  <c r="AU2175" i="1"/>
  <c r="AQ2175" i="1"/>
  <c r="AT2175" i="1" s="1"/>
  <c r="AP2175" i="1"/>
  <c r="AV2174" i="1"/>
  <c r="AU2174" i="1"/>
  <c r="AQ2174" i="1"/>
  <c r="AP2174" i="1"/>
  <c r="BA2173" i="1"/>
  <c r="AX2173" i="1"/>
  <c r="AZ2173" i="1" s="1"/>
  <c r="AV2173" i="1"/>
  <c r="AU2173" i="1"/>
  <c r="AQ2173" i="1"/>
  <c r="AR2173" i="1" s="1"/>
  <c r="AP2173" i="1"/>
  <c r="BA2172" i="1"/>
  <c r="AX2172" i="1"/>
  <c r="AV2172" i="1"/>
  <c r="AU2172" i="1"/>
  <c r="AQ2172" i="1"/>
  <c r="AT2172" i="1" s="1"/>
  <c r="AP2172" i="1"/>
  <c r="BA2171" i="1"/>
  <c r="AV2171" i="1"/>
  <c r="AU2171" i="1"/>
  <c r="AQ2171" i="1"/>
  <c r="AP2171" i="1"/>
  <c r="AX2170" i="1"/>
  <c r="AZ2170" i="1" s="1"/>
  <c r="AV2170" i="1"/>
  <c r="AU2170" i="1"/>
  <c r="AQ2170" i="1"/>
  <c r="AT2170" i="1" s="1"/>
  <c r="AP2170" i="1"/>
  <c r="AV2169" i="1"/>
  <c r="AU2169" i="1"/>
  <c r="AQ2169" i="1"/>
  <c r="AR2169" i="1" s="1"/>
  <c r="AP2169" i="1"/>
  <c r="AV2168" i="1"/>
  <c r="AU2168" i="1"/>
  <c r="AQ2168" i="1"/>
  <c r="AT2168" i="1" s="1"/>
  <c r="AP2168" i="1"/>
  <c r="BA2167" i="1"/>
  <c r="AX2167" i="1"/>
  <c r="AZ2167" i="1" s="1"/>
  <c r="AV2167" i="1"/>
  <c r="AU2167" i="1"/>
  <c r="AQ2167" i="1"/>
  <c r="AR2167" i="1" s="1"/>
  <c r="AP2167" i="1"/>
  <c r="BA2166" i="1"/>
  <c r="AX2166" i="1"/>
  <c r="AZ2166" i="1" s="1"/>
  <c r="AV2166" i="1"/>
  <c r="AU2166" i="1"/>
  <c r="AQ2166" i="1"/>
  <c r="AT2166" i="1" s="1"/>
  <c r="AP2166" i="1"/>
  <c r="AX2165" i="1"/>
  <c r="AV2165" i="1"/>
  <c r="AU2165" i="1"/>
  <c r="AQ2165" i="1"/>
  <c r="AS2165" i="1" s="1"/>
  <c r="AP2165" i="1"/>
  <c r="BA2164" i="1"/>
  <c r="AV2164" i="1"/>
  <c r="AU2164" i="1"/>
  <c r="AQ2164" i="1"/>
  <c r="AP2164" i="1"/>
  <c r="AX2163" i="1"/>
  <c r="AY2163" i="1" s="1"/>
  <c r="AV2163" i="1"/>
  <c r="AU2163" i="1"/>
  <c r="AQ2163" i="1"/>
  <c r="AP2163" i="1"/>
  <c r="BA2162" i="1"/>
  <c r="AX2162" i="1"/>
  <c r="AY2162" i="1" s="1"/>
  <c r="AV2162" i="1"/>
  <c r="AU2162" i="1"/>
  <c r="AQ2162" i="1"/>
  <c r="AR2162" i="1" s="1"/>
  <c r="AP2162" i="1"/>
  <c r="AV2161" i="1"/>
  <c r="AU2161" i="1"/>
  <c r="AQ2161" i="1"/>
  <c r="AR2161" i="1" s="1"/>
  <c r="AP2161" i="1"/>
  <c r="AV2160" i="1"/>
  <c r="AU2160" i="1"/>
  <c r="AQ2160" i="1"/>
  <c r="AR2160" i="1" s="1"/>
  <c r="AP2160" i="1"/>
  <c r="BA2159" i="1"/>
  <c r="AX2159" i="1"/>
  <c r="AZ2159" i="1" s="1"/>
  <c r="AV2159" i="1"/>
  <c r="AU2159" i="1"/>
  <c r="AQ2159" i="1"/>
  <c r="AP2159" i="1"/>
  <c r="AV2158" i="1"/>
  <c r="AU2158" i="1"/>
  <c r="AQ2158" i="1"/>
  <c r="AT2158" i="1" s="1"/>
  <c r="AP2158" i="1"/>
  <c r="BA2157" i="1"/>
  <c r="AX2157" i="1"/>
  <c r="AZ2157" i="1" s="1"/>
  <c r="AV2157" i="1"/>
  <c r="AU2157" i="1"/>
  <c r="AQ2157" i="1"/>
  <c r="AS2157" i="1" s="1"/>
  <c r="AP2157" i="1"/>
  <c r="BA2156" i="1"/>
  <c r="AX2156" i="1"/>
  <c r="AZ2156" i="1" s="1"/>
  <c r="AV2156" i="1"/>
  <c r="AU2156" i="1"/>
  <c r="AQ2156" i="1"/>
  <c r="AR2156" i="1" s="1"/>
  <c r="AP2156" i="1"/>
  <c r="BA2155" i="1"/>
  <c r="AV2155" i="1"/>
  <c r="AU2155" i="1"/>
  <c r="AQ2155" i="1"/>
  <c r="AR2155" i="1" s="1"/>
  <c r="AP2155" i="1"/>
  <c r="AV2154" i="1"/>
  <c r="AU2154" i="1"/>
  <c r="AQ2154" i="1"/>
  <c r="AR2154" i="1" s="1"/>
  <c r="AP2154" i="1"/>
  <c r="BA2153" i="1"/>
  <c r="AX2153" i="1"/>
  <c r="AV2153" i="1"/>
  <c r="AU2153" i="1"/>
  <c r="AQ2153" i="1"/>
  <c r="AR2153" i="1" s="1"/>
  <c r="AP2153" i="1"/>
  <c r="AV2152" i="1"/>
  <c r="AU2152" i="1"/>
  <c r="AQ2152" i="1"/>
  <c r="AR2152" i="1" s="1"/>
  <c r="AP2152" i="1"/>
  <c r="BA2151" i="1"/>
  <c r="AX2151" i="1"/>
  <c r="AZ2151" i="1" s="1"/>
  <c r="AV2151" i="1"/>
  <c r="AU2151" i="1"/>
  <c r="AQ2151" i="1"/>
  <c r="AT2151" i="1" s="1"/>
  <c r="AP2151" i="1"/>
  <c r="BA2149" i="1"/>
  <c r="AX2149" i="1"/>
  <c r="AY2149" i="1" s="1"/>
  <c r="AV2149" i="1"/>
  <c r="AU2149" i="1"/>
  <c r="AQ2149" i="1"/>
  <c r="AT2149" i="1" s="1"/>
  <c r="AP2149" i="1"/>
  <c r="AV2148" i="1"/>
  <c r="AU2148" i="1"/>
  <c r="AQ2148" i="1"/>
  <c r="AP2148" i="1"/>
  <c r="AX2147" i="1"/>
  <c r="AY2147" i="1" s="1"/>
  <c r="AV2147" i="1"/>
  <c r="AU2147" i="1"/>
  <c r="AQ2147" i="1"/>
  <c r="AR2147" i="1" s="1"/>
  <c r="AP2147" i="1"/>
  <c r="AX2146" i="1"/>
  <c r="AZ2146" i="1" s="1"/>
  <c r="AV2146" i="1"/>
  <c r="AU2146" i="1"/>
  <c r="AQ2146" i="1"/>
  <c r="AR2146" i="1" s="1"/>
  <c r="AP2146" i="1"/>
  <c r="AV2145" i="1"/>
  <c r="AU2145" i="1"/>
  <c r="AQ2145" i="1"/>
  <c r="AP2145" i="1"/>
  <c r="BA2144" i="1"/>
  <c r="AX2144" i="1"/>
  <c r="AY2144" i="1" s="1"/>
  <c r="AV2144" i="1"/>
  <c r="AU2144" i="1"/>
  <c r="AQ2144" i="1"/>
  <c r="AS2144" i="1" s="1"/>
  <c r="AP2144" i="1"/>
  <c r="BA2143" i="1"/>
  <c r="AX2143" i="1"/>
  <c r="AZ2143" i="1" s="1"/>
  <c r="AV2143" i="1"/>
  <c r="AU2143" i="1"/>
  <c r="AQ2143" i="1"/>
  <c r="AT2143" i="1" s="1"/>
  <c r="AP2143" i="1"/>
  <c r="AV2142" i="1"/>
  <c r="AU2142" i="1"/>
  <c r="AQ2142" i="1"/>
  <c r="AT2142" i="1" s="1"/>
  <c r="AP2142" i="1"/>
  <c r="AV2141" i="1"/>
  <c r="AU2141" i="1"/>
  <c r="AQ2141" i="1"/>
  <c r="AR2141" i="1" s="1"/>
  <c r="AP2141" i="1"/>
  <c r="BA2140" i="1"/>
  <c r="AX2140" i="1"/>
  <c r="AY2140" i="1" s="1"/>
  <c r="AV2140" i="1"/>
  <c r="AU2140" i="1"/>
  <c r="AQ2140" i="1"/>
  <c r="AR2140" i="1" s="1"/>
  <c r="AP2140" i="1"/>
  <c r="BA2139" i="1"/>
  <c r="AX2139" i="1"/>
  <c r="AZ2139" i="1" s="1"/>
  <c r="AV2139" i="1"/>
  <c r="AU2139" i="1"/>
  <c r="AQ2139" i="1"/>
  <c r="AR2139" i="1" s="1"/>
  <c r="AP2139" i="1"/>
  <c r="AV2138" i="1"/>
  <c r="AU2138" i="1"/>
  <c r="AQ2138" i="1"/>
  <c r="AR2138" i="1" s="1"/>
  <c r="AP2138" i="1"/>
  <c r="AV2137" i="1"/>
  <c r="AU2137" i="1"/>
  <c r="AQ2137" i="1"/>
  <c r="AR2137" i="1" s="1"/>
  <c r="AP2137" i="1"/>
  <c r="BA2136" i="1"/>
  <c r="AX2136" i="1"/>
  <c r="AY2136" i="1" s="1"/>
  <c r="AV2136" i="1"/>
  <c r="AU2136" i="1"/>
  <c r="AQ2136" i="1"/>
  <c r="AS2136" i="1" s="1"/>
  <c r="AP2136" i="1"/>
  <c r="AV2135" i="1"/>
  <c r="AU2135" i="1"/>
  <c r="AQ2135" i="1"/>
  <c r="AP2135" i="1"/>
  <c r="BA2133" i="1"/>
  <c r="AV2133" i="1"/>
  <c r="AU2133" i="1"/>
  <c r="AQ2133" i="1"/>
  <c r="AP2133" i="1"/>
  <c r="BA2132" i="1"/>
  <c r="AX2132" i="1"/>
  <c r="AZ2132" i="1" s="1"/>
  <c r="AV2132" i="1"/>
  <c r="AU2132" i="1"/>
  <c r="AQ2132" i="1"/>
  <c r="AS2132" i="1" s="1"/>
  <c r="AP2132" i="1"/>
  <c r="AV2131" i="1"/>
  <c r="AU2131" i="1"/>
  <c r="AQ2131" i="1"/>
  <c r="AT2131" i="1" s="1"/>
  <c r="AP2131" i="1"/>
  <c r="AV2130" i="1"/>
  <c r="AU2130" i="1"/>
  <c r="AQ2130" i="1"/>
  <c r="AT2130" i="1" s="1"/>
  <c r="AP2130" i="1"/>
  <c r="BA2127" i="1"/>
  <c r="AX2127" i="1"/>
  <c r="AY2127" i="1" s="1"/>
  <c r="AV2127" i="1"/>
  <c r="AU2127" i="1"/>
  <c r="AQ2127" i="1"/>
  <c r="AT2127" i="1" s="1"/>
  <c r="AP2127" i="1"/>
  <c r="BA2129" i="1"/>
  <c r="AX2129" i="1"/>
  <c r="AV2129" i="1"/>
  <c r="AU2129" i="1"/>
  <c r="AQ2129" i="1"/>
  <c r="AR2129" i="1" s="1"/>
  <c r="AP2129" i="1"/>
  <c r="BA2128" i="1"/>
  <c r="AX2128" i="1"/>
  <c r="AV2128" i="1"/>
  <c r="AU2128" i="1"/>
  <c r="AQ2128" i="1"/>
  <c r="AT2128" i="1" s="1"/>
  <c r="AP2128" i="1"/>
  <c r="AV2126" i="1"/>
  <c r="AU2126" i="1"/>
  <c r="AQ2126" i="1"/>
  <c r="AS2126" i="1" s="1"/>
  <c r="AP2126" i="1"/>
  <c r="AV2125" i="1"/>
  <c r="AU2125" i="1"/>
  <c r="AQ2125" i="1"/>
  <c r="AP2125" i="1"/>
  <c r="AV2124" i="1"/>
  <c r="AU2124" i="1"/>
  <c r="AQ2124" i="1"/>
  <c r="AS2124" i="1" s="1"/>
  <c r="AP2124" i="1"/>
  <c r="AV2123" i="1"/>
  <c r="AU2123" i="1"/>
  <c r="AQ2123" i="1"/>
  <c r="AT2123" i="1" s="1"/>
  <c r="AP2123" i="1"/>
  <c r="BA2122" i="1"/>
  <c r="AX2122" i="1"/>
  <c r="AV2122" i="1"/>
  <c r="AU2122" i="1"/>
  <c r="AQ2122" i="1"/>
  <c r="AR2122" i="1" s="1"/>
  <c r="AP2122" i="1"/>
  <c r="AV2121" i="1"/>
  <c r="AU2121" i="1"/>
  <c r="AQ2121" i="1"/>
  <c r="AS2121" i="1" s="1"/>
  <c r="AP2121" i="1"/>
  <c r="AV2120" i="1"/>
  <c r="AU2120" i="1"/>
  <c r="AQ2120" i="1"/>
  <c r="AR2120" i="1" s="1"/>
  <c r="AP2120" i="1"/>
  <c r="AX2119" i="1"/>
  <c r="AY2119" i="1" s="1"/>
  <c r="AV2119" i="1"/>
  <c r="AU2119" i="1"/>
  <c r="AQ2119" i="1"/>
  <c r="AT2119" i="1" s="1"/>
  <c r="AP2119" i="1"/>
  <c r="AV2118" i="1"/>
  <c r="AU2118" i="1"/>
  <c r="AQ2118" i="1"/>
  <c r="AP2118" i="1"/>
  <c r="AV2117" i="1"/>
  <c r="AU2117" i="1"/>
  <c r="AQ2117" i="1"/>
  <c r="AP2117" i="1"/>
  <c r="BA2116" i="1"/>
  <c r="AX2116" i="1"/>
  <c r="AY2116" i="1" s="1"/>
  <c r="AV2116" i="1"/>
  <c r="AU2116" i="1"/>
  <c r="AQ2116" i="1"/>
  <c r="AT2116" i="1" s="1"/>
  <c r="AP2116" i="1"/>
  <c r="AX2115" i="1"/>
  <c r="AV2115" i="1"/>
  <c r="AU2115" i="1"/>
  <c r="AQ2115" i="1"/>
  <c r="AT2115" i="1" s="1"/>
  <c r="AP2115" i="1"/>
  <c r="AV2114" i="1"/>
  <c r="AU2114" i="1"/>
  <c r="AQ2114" i="1"/>
  <c r="AR2114" i="1" s="1"/>
  <c r="AP2114" i="1"/>
  <c r="AV2113" i="1"/>
  <c r="AU2113" i="1"/>
  <c r="AQ2113" i="1"/>
  <c r="AR2113" i="1" s="1"/>
  <c r="AP2113" i="1"/>
  <c r="BA2112" i="1"/>
  <c r="AV2112" i="1"/>
  <c r="AU2112" i="1"/>
  <c r="AQ2112" i="1"/>
  <c r="AP2112" i="1"/>
  <c r="BA2111" i="1"/>
  <c r="AV2111" i="1"/>
  <c r="AU2111" i="1"/>
  <c r="AQ2111" i="1"/>
  <c r="AR2111" i="1" s="1"/>
  <c r="AP2111" i="1"/>
  <c r="AV2110" i="1"/>
  <c r="AU2110" i="1"/>
  <c r="AQ2110" i="1"/>
  <c r="AS2110" i="1" s="1"/>
  <c r="AP2110" i="1"/>
  <c r="BA2109" i="1"/>
  <c r="AX2109" i="1"/>
  <c r="AY2109" i="1" s="1"/>
  <c r="AV2109" i="1"/>
  <c r="AU2109" i="1"/>
  <c r="AQ2109" i="1"/>
  <c r="AP2109" i="1"/>
  <c r="AV2108" i="1"/>
  <c r="AU2108" i="1"/>
  <c r="AQ2108" i="1"/>
  <c r="AR2108" i="1" s="1"/>
  <c r="AP2108" i="1"/>
  <c r="AX2107" i="1"/>
  <c r="AY2107" i="1" s="1"/>
  <c r="AV2107" i="1"/>
  <c r="AU2107" i="1"/>
  <c r="AQ2107" i="1"/>
  <c r="AT2107" i="1" s="1"/>
  <c r="AP2107" i="1"/>
  <c r="AV2106" i="1"/>
  <c r="AU2106" i="1"/>
  <c r="AQ2106" i="1"/>
  <c r="AT2106" i="1" s="1"/>
  <c r="AP2106" i="1"/>
  <c r="AV2105" i="1"/>
  <c r="AU2105" i="1"/>
  <c r="AQ2105" i="1"/>
  <c r="AP2105" i="1"/>
  <c r="AV2104" i="1"/>
  <c r="AU2104" i="1"/>
  <c r="AQ2104" i="1"/>
  <c r="AP2104" i="1"/>
  <c r="AX2103" i="1"/>
  <c r="AY2103" i="1" s="1"/>
  <c r="AV2103" i="1"/>
  <c r="AU2103" i="1"/>
  <c r="AQ2103" i="1"/>
  <c r="AS2103" i="1" s="1"/>
  <c r="AP2103" i="1"/>
  <c r="AV2102" i="1"/>
  <c r="AU2102" i="1"/>
  <c r="AQ2102" i="1"/>
  <c r="AP2102" i="1"/>
  <c r="BA2101" i="1"/>
  <c r="AX2101" i="1"/>
  <c r="AZ2101" i="1" s="1"/>
  <c r="AV2101" i="1"/>
  <c r="AU2101" i="1"/>
  <c r="AQ2101" i="1"/>
  <c r="AR2101" i="1" s="1"/>
  <c r="AP2101" i="1"/>
  <c r="AV2100" i="1"/>
  <c r="AU2100" i="1"/>
  <c r="AQ2100" i="1"/>
  <c r="AT2100" i="1" s="1"/>
  <c r="AP2100" i="1"/>
  <c r="BA2099" i="1"/>
  <c r="AX2099" i="1"/>
  <c r="AY2099" i="1" s="1"/>
  <c r="AV2099" i="1"/>
  <c r="AU2099" i="1"/>
  <c r="AQ2099" i="1"/>
  <c r="AR2099" i="1" s="1"/>
  <c r="AP2099" i="1"/>
  <c r="BA2098" i="1"/>
  <c r="AX2098" i="1"/>
  <c r="AY2098" i="1" s="1"/>
  <c r="AV2098" i="1"/>
  <c r="AU2098" i="1"/>
  <c r="AQ2098" i="1"/>
  <c r="AS2098" i="1" s="1"/>
  <c r="AP2098" i="1"/>
  <c r="AV2097" i="1"/>
  <c r="AU2097" i="1"/>
  <c r="AQ2097" i="1"/>
  <c r="AT2097" i="1" s="1"/>
  <c r="AP2097" i="1"/>
  <c r="BA2096" i="1"/>
  <c r="AX2096" i="1"/>
  <c r="AY2096" i="1" s="1"/>
  <c r="AV2096" i="1"/>
  <c r="AU2096" i="1"/>
  <c r="AQ2096" i="1"/>
  <c r="AR2096" i="1" s="1"/>
  <c r="AP2096" i="1"/>
  <c r="AV2095" i="1"/>
  <c r="AU2095" i="1"/>
  <c r="AQ2095" i="1"/>
  <c r="AT2095" i="1" s="1"/>
  <c r="AP2095" i="1"/>
  <c r="AV2094" i="1"/>
  <c r="AU2094" i="1"/>
  <c r="AQ2094" i="1"/>
  <c r="AR2094" i="1" s="1"/>
  <c r="AP2094" i="1"/>
  <c r="AV2093" i="1"/>
  <c r="AU2093" i="1"/>
  <c r="AQ2093" i="1"/>
  <c r="AP2093" i="1"/>
  <c r="BA2092" i="1"/>
  <c r="AV2092" i="1"/>
  <c r="AU2092" i="1"/>
  <c r="AQ2092" i="1"/>
  <c r="AR2092" i="1" s="1"/>
  <c r="AP2092" i="1"/>
  <c r="AV2091" i="1"/>
  <c r="AU2091" i="1"/>
  <c r="AQ2091" i="1"/>
  <c r="AS2091" i="1" s="1"/>
  <c r="AP2091" i="1"/>
  <c r="AV2090" i="1"/>
  <c r="AU2090" i="1"/>
  <c r="AQ2090" i="1"/>
  <c r="AR2090" i="1" s="1"/>
  <c r="AP2090" i="1"/>
  <c r="AV2089" i="1"/>
  <c r="AU2089" i="1"/>
  <c r="AQ2089" i="1"/>
  <c r="AR2089" i="1" s="1"/>
  <c r="AP2089" i="1"/>
  <c r="AV2088" i="1"/>
  <c r="AU2088" i="1"/>
  <c r="AQ2088" i="1"/>
  <c r="AP2088" i="1"/>
  <c r="AV2087" i="1"/>
  <c r="AU2087" i="1"/>
  <c r="AQ2087" i="1"/>
  <c r="AR2087" i="1" s="1"/>
  <c r="AP2087" i="1"/>
  <c r="AV2086" i="1"/>
  <c r="AU2086" i="1"/>
  <c r="AQ2086" i="1"/>
  <c r="AS2086" i="1" s="1"/>
  <c r="AP2086" i="1"/>
  <c r="AX2085" i="1"/>
  <c r="AZ2085" i="1" s="1"/>
  <c r="AV2085" i="1"/>
  <c r="AU2085" i="1"/>
  <c r="AQ2085" i="1"/>
  <c r="AR2085" i="1" s="1"/>
  <c r="AP2085" i="1"/>
  <c r="AV2084" i="1"/>
  <c r="AU2084" i="1"/>
  <c r="AQ2084" i="1"/>
  <c r="AS2084" i="1" s="1"/>
  <c r="AP2084" i="1"/>
  <c r="AV2083" i="1"/>
  <c r="AU2083" i="1"/>
  <c r="AQ2083" i="1"/>
  <c r="AS2083" i="1" s="1"/>
  <c r="AP2083" i="1"/>
  <c r="AV2082" i="1"/>
  <c r="AU2082" i="1"/>
  <c r="AQ2082" i="1"/>
  <c r="AS2082" i="1" s="1"/>
  <c r="AP2082" i="1"/>
  <c r="AV2081" i="1"/>
  <c r="AU2081" i="1"/>
  <c r="AQ2081" i="1"/>
  <c r="AT2081" i="1" s="1"/>
  <c r="AP2081" i="1"/>
  <c r="AV2080" i="1"/>
  <c r="AU2080" i="1"/>
  <c r="AQ2080" i="1"/>
  <c r="AS2080" i="1" s="1"/>
  <c r="AP2080" i="1"/>
  <c r="AV2079" i="1"/>
  <c r="AU2079" i="1"/>
  <c r="AQ2079" i="1"/>
  <c r="AR2079" i="1" s="1"/>
  <c r="AP2079" i="1"/>
  <c r="AV2078" i="1"/>
  <c r="AU2078" i="1"/>
  <c r="AQ2078" i="1"/>
  <c r="AR2078" i="1" s="1"/>
  <c r="AP2078" i="1"/>
  <c r="AX2077" i="1"/>
  <c r="AY2077" i="1" s="1"/>
  <c r="AV2077" i="1"/>
  <c r="AU2077" i="1"/>
  <c r="AQ2077" i="1"/>
  <c r="AT2077" i="1" s="1"/>
  <c r="AP2077" i="1"/>
  <c r="BA2076" i="1"/>
  <c r="AX2076" i="1"/>
  <c r="AZ2076" i="1" s="1"/>
  <c r="AV2076" i="1"/>
  <c r="AU2076" i="1"/>
  <c r="AQ2076" i="1"/>
  <c r="AT2076" i="1" s="1"/>
  <c r="AP2076" i="1"/>
  <c r="AV2075" i="1"/>
  <c r="AU2075" i="1"/>
  <c r="AQ2075" i="1"/>
  <c r="AR2075" i="1" s="1"/>
  <c r="AP2075" i="1"/>
  <c r="BA2074" i="1"/>
  <c r="AX2074" i="1"/>
  <c r="AV2074" i="1"/>
  <c r="AU2074" i="1"/>
  <c r="AQ2074" i="1"/>
  <c r="AS2074" i="1" s="1"/>
  <c r="AP2074" i="1"/>
  <c r="AV2073" i="1"/>
  <c r="AU2073" i="1"/>
  <c r="AQ2073" i="1"/>
  <c r="AR2073" i="1" s="1"/>
  <c r="AP2073" i="1"/>
  <c r="AV2072" i="1"/>
  <c r="AU2072" i="1"/>
  <c r="AQ2072" i="1"/>
  <c r="AT2072" i="1" s="1"/>
  <c r="AP2072" i="1"/>
  <c r="AV2071" i="1"/>
  <c r="AU2071" i="1"/>
  <c r="AQ2071" i="1"/>
  <c r="AS2071" i="1" s="1"/>
  <c r="AP2071" i="1"/>
  <c r="BA2070" i="1"/>
  <c r="AX2070" i="1"/>
  <c r="AZ2070" i="1" s="1"/>
  <c r="AV2070" i="1"/>
  <c r="AU2070" i="1"/>
  <c r="AQ2070" i="1"/>
  <c r="AT2070" i="1" s="1"/>
  <c r="AP2070" i="1"/>
  <c r="BA2069" i="1"/>
  <c r="AX2069" i="1"/>
  <c r="AY2069" i="1" s="1"/>
  <c r="AV2069" i="1"/>
  <c r="AU2069" i="1"/>
  <c r="AQ2069" i="1"/>
  <c r="AR2069" i="1" s="1"/>
  <c r="AP2069" i="1"/>
  <c r="AX2068" i="1"/>
  <c r="AZ2068" i="1" s="1"/>
  <c r="AV2068" i="1"/>
  <c r="AU2068" i="1"/>
  <c r="AQ2068" i="1"/>
  <c r="AP2068" i="1"/>
  <c r="AV2067" i="1"/>
  <c r="AU2067" i="1"/>
  <c r="AQ2067" i="1"/>
  <c r="AT2067" i="1" s="1"/>
  <c r="AP2067" i="1"/>
  <c r="BA2066" i="1"/>
  <c r="AX2066" i="1"/>
  <c r="AY2066" i="1" s="1"/>
  <c r="AV2066" i="1"/>
  <c r="AU2066" i="1"/>
  <c r="AQ2066" i="1"/>
  <c r="AR2066" i="1" s="1"/>
  <c r="AP2066" i="1"/>
  <c r="AV2065" i="1"/>
  <c r="AU2065" i="1"/>
  <c r="AQ2065" i="1"/>
  <c r="AP2065" i="1"/>
  <c r="BA2064" i="1"/>
  <c r="AX2064" i="1"/>
  <c r="AV2064" i="1"/>
  <c r="AU2064" i="1"/>
  <c r="AQ2064" i="1"/>
  <c r="AS2064" i="1" s="1"/>
  <c r="AP2064" i="1"/>
  <c r="AV2063" i="1"/>
  <c r="AU2063" i="1"/>
  <c r="AQ2063" i="1"/>
  <c r="AS2063" i="1" s="1"/>
  <c r="AP2063" i="1"/>
  <c r="AV2062" i="1"/>
  <c r="AU2062" i="1"/>
  <c r="AQ2062" i="1"/>
  <c r="AT2062" i="1" s="1"/>
  <c r="AP2062" i="1"/>
  <c r="AV2061" i="1"/>
  <c r="AU2061" i="1"/>
  <c r="AQ2061" i="1"/>
  <c r="AT2061" i="1" s="1"/>
  <c r="AP2061" i="1"/>
  <c r="BA2060" i="1"/>
  <c r="AX2060" i="1"/>
  <c r="AV2060" i="1"/>
  <c r="AU2060" i="1"/>
  <c r="AQ2060" i="1"/>
  <c r="AT2060" i="1" s="1"/>
  <c r="AP2060" i="1"/>
  <c r="AV2059" i="1"/>
  <c r="AU2059" i="1"/>
  <c r="AQ2059" i="1"/>
  <c r="AS2059" i="1" s="1"/>
  <c r="AP2059" i="1"/>
  <c r="AV2058" i="1"/>
  <c r="AU2058" i="1"/>
  <c r="AQ2058" i="1"/>
  <c r="AP2058" i="1"/>
  <c r="BA2057" i="1"/>
  <c r="AX2057" i="1"/>
  <c r="AY2057" i="1" s="1"/>
  <c r="AV2057" i="1"/>
  <c r="AU2057" i="1"/>
  <c r="AQ2057" i="1"/>
  <c r="AR2057" i="1" s="1"/>
  <c r="AP2057" i="1"/>
  <c r="AV2056" i="1"/>
  <c r="AU2056" i="1"/>
  <c r="AQ2056" i="1"/>
  <c r="AP2056" i="1"/>
  <c r="AV2055" i="1"/>
  <c r="AU2055" i="1"/>
  <c r="AQ2055" i="1"/>
  <c r="AR2055" i="1" s="1"/>
  <c r="AP2055" i="1"/>
  <c r="AV2054" i="1"/>
  <c r="AU2054" i="1"/>
  <c r="AQ2054" i="1"/>
  <c r="AP2054" i="1"/>
  <c r="AV2053" i="1"/>
  <c r="AU2053" i="1"/>
  <c r="AQ2053" i="1"/>
  <c r="AT2053" i="1" s="1"/>
  <c r="AP2053" i="1"/>
  <c r="AX2052" i="1"/>
  <c r="AV2052" i="1"/>
  <c r="AU2052" i="1"/>
  <c r="AQ2052" i="1"/>
  <c r="AR2052" i="1" s="1"/>
  <c r="AP2052" i="1"/>
  <c r="AV2051" i="1"/>
  <c r="AU2051" i="1"/>
  <c r="AQ2051" i="1"/>
  <c r="AS2051" i="1" s="1"/>
  <c r="AP2051" i="1"/>
  <c r="AV2050" i="1"/>
  <c r="AU2050" i="1"/>
  <c r="AQ2050" i="1"/>
  <c r="AS2050" i="1" s="1"/>
  <c r="AP2050" i="1"/>
  <c r="AX2049" i="1"/>
  <c r="AY2049" i="1" s="1"/>
  <c r="AV2049" i="1"/>
  <c r="AU2049" i="1"/>
  <c r="AQ2049" i="1"/>
  <c r="AP2049" i="1"/>
  <c r="BA2048" i="1"/>
  <c r="AX2048" i="1"/>
  <c r="AY2048" i="1" s="1"/>
  <c r="AV2048" i="1"/>
  <c r="AU2048" i="1"/>
  <c r="AQ2048" i="1"/>
  <c r="AR2048" i="1" s="1"/>
  <c r="AP2048" i="1"/>
  <c r="AV2047" i="1"/>
  <c r="AU2047" i="1"/>
  <c r="AQ2047" i="1"/>
  <c r="AP2047" i="1"/>
  <c r="AV2046" i="1"/>
  <c r="AU2046" i="1"/>
  <c r="AQ2046" i="1"/>
  <c r="AR2046" i="1" s="1"/>
  <c r="AP2046" i="1"/>
  <c r="AV2045" i="1"/>
  <c r="AU2045" i="1"/>
  <c r="AQ2045" i="1"/>
  <c r="AP2045" i="1"/>
  <c r="BA2044" i="1"/>
  <c r="AX2044" i="1"/>
  <c r="AY2044" i="1" s="1"/>
  <c r="AV2044" i="1"/>
  <c r="AU2044" i="1"/>
  <c r="AQ2044" i="1"/>
  <c r="AR2044" i="1" s="1"/>
  <c r="AP2044" i="1"/>
  <c r="BA2043" i="1"/>
  <c r="AX2043" i="1"/>
  <c r="AZ2043" i="1" s="1"/>
  <c r="AV2043" i="1"/>
  <c r="AU2043" i="1"/>
  <c r="AQ2043" i="1"/>
  <c r="AP2043" i="1"/>
  <c r="BA2042" i="1"/>
  <c r="AX2042" i="1"/>
  <c r="AZ2042" i="1" s="1"/>
  <c r="AV2042" i="1"/>
  <c r="AU2042" i="1"/>
  <c r="AQ2042" i="1"/>
  <c r="AT2042" i="1" s="1"/>
  <c r="AP2042" i="1"/>
  <c r="AV2041" i="1"/>
  <c r="AU2041" i="1"/>
  <c r="AQ2041" i="1"/>
  <c r="AP2041" i="1"/>
  <c r="AX2040" i="1"/>
  <c r="AV2040" i="1"/>
  <c r="AU2040" i="1"/>
  <c r="AQ2040" i="1"/>
  <c r="AP2040" i="1"/>
  <c r="BA2039" i="1"/>
  <c r="AX2039" i="1"/>
  <c r="AZ2039" i="1" s="1"/>
  <c r="AV2039" i="1"/>
  <c r="AU2039" i="1"/>
  <c r="AQ2039" i="1"/>
  <c r="AT2039" i="1" s="1"/>
  <c r="AP2039" i="1"/>
  <c r="AV2038" i="1"/>
  <c r="AU2038" i="1"/>
  <c r="AQ2038" i="1"/>
  <c r="AR2038" i="1" s="1"/>
  <c r="AP2038" i="1"/>
  <c r="BA2037" i="1"/>
  <c r="AX2037" i="1"/>
  <c r="AY2037" i="1" s="1"/>
  <c r="AV2037" i="1"/>
  <c r="AU2037" i="1"/>
  <c r="AQ2037" i="1"/>
  <c r="AS2037" i="1" s="1"/>
  <c r="AP2037" i="1"/>
  <c r="BA2036" i="1"/>
  <c r="AX2036" i="1"/>
  <c r="AV2036" i="1"/>
  <c r="AU2036" i="1"/>
  <c r="AQ2036" i="1"/>
  <c r="AR2036" i="1" s="1"/>
  <c r="AP2036" i="1"/>
  <c r="BA2035" i="1"/>
  <c r="AX2035" i="1"/>
  <c r="AZ2035" i="1" s="1"/>
  <c r="AV2035" i="1"/>
  <c r="AU2035" i="1"/>
  <c r="AQ2035" i="1"/>
  <c r="AS2035" i="1" s="1"/>
  <c r="AP2035" i="1"/>
  <c r="AV2034" i="1"/>
  <c r="AU2034" i="1"/>
  <c r="AQ2034" i="1"/>
  <c r="AP2034" i="1"/>
  <c r="AX2033" i="1"/>
  <c r="AY2033" i="1" s="1"/>
  <c r="AV2033" i="1"/>
  <c r="AU2033" i="1"/>
  <c r="AQ2033" i="1"/>
  <c r="AP2033" i="1"/>
  <c r="BA2032" i="1"/>
  <c r="AX2032" i="1"/>
  <c r="AY2032" i="1" s="1"/>
  <c r="AV2032" i="1"/>
  <c r="AU2032" i="1"/>
  <c r="AQ2032" i="1"/>
  <c r="AS2032" i="1" s="1"/>
  <c r="AP2032" i="1"/>
  <c r="AV2031" i="1"/>
  <c r="AU2031" i="1"/>
  <c r="AQ2031" i="1"/>
  <c r="AP2031" i="1"/>
  <c r="AV2030" i="1"/>
  <c r="AU2030" i="1"/>
  <c r="AQ2030" i="1"/>
  <c r="AP2030" i="1"/>
  <c r="AX2029" i="1"/>
  <c r="AZ2029" i="1" s="1"/>
  <c r="AV2029" i="1"/>
  <c r="AU2029" i="1"/>
  <c r="AQ2029" i="1"/>
  <c r="AT2029" i="1" s="1"/>
  <c r="AP2029" i="1"/>
  <c r="BA2028" i="1"/>
  <c r="AX2028" i="1"/>
  <c r="AZ2028" i="1" s="1"/>
  <c r="AV2028" i="1"/>
  <c r="AU2028" i="1"/>
  <c r="AQ2028" i="1"/>
  <c r="AR2028" i="1" s="1"/>
  <c r="AP2028" i="1"/>
  <c r="AV2027" i="1"/>
  <c r="AU2027" i="1"/>
  <c r="AQ2027" i="1"/>
  <c r="AR2027" i="1" s="1"/>
  <c r="AP2027" i="1"/>
  <c r="AV2026" i="1"/>
  <c r="AU2026" i="1"/>
  <c r="AQ2026" i="1"/>
  <c r="AT2026" i="1" s="1"/>
  <c r="AP2026" i="1"/>
  <c r="AV2025" i="1"/>
  <c r="AU2025" i="1"/>
  <c r="AQ2025" i="1"/>
  <c r="AR2025" i="1" s="1"/>
  <c r="AP2025" i="1"/>
  <c r="AV2024" i="1"/>
  <c r="AU2024" i="1"/>
  <c r="AQ2024" i="1"/>
  <c r="AR2024" i="1" s="1"/>
  <c r="AP2024" i="1"/>
  <c r="AX2023" i="1"/>
  <c r="AZ2023" i="1" s="1"/>
  <c r="AV2023" i="1"/>
  <c r="AU2023" i="1"/>
  <c r="AQ2023" i="1"/>
  <c r="AP2023" i="1"/>
  <c r="AX2022" i="1"/>
  <c r="AV2022" i="1"/>
  <c r="AU2022" i="1"/>
  <c r="AQ2022" i="1"/>
  <c r="AP2022" i="1"/>
  <c r="AV2021" i="1"/>
  <c r="AU2021" i="1"/>
  <c r="AQ2021" i="1"/>
  <c r="AP2021" i="1"/>
  <c r="BA2020" i="1"/>
  <c r="AX2020" i="1"/>
  <c r="AZ2020" i="1" s="1"/>
  <c r="AV2020" i="1"/>
  <c r="AU2020" i="1"/>
  <c r="AQ2020" i="1"/>
  <c r="AS2020" i="1" s="1"/>
  <c r="AP2020" i="1"/>
  <c r="AV2019" i="1"/>
  <c r="AU2019" i="1"/>
  <c r="AQ2019" i="1"/>
  <c r="AT2019" i="1" s="1"/>
  <c r="AP2019" i="1"/>
  <c r="BA2018" i="1"/>
  <c r="AX2018" i="1"/>
  <c r="AV2018" i="1"/>
  <c r="AU2018" i="1"/>
  <c r="AQ2018" i="1"/>
  <c r="AP2018" i="1"/>
  <c r="AX2017" i="1"/>
  <c r="AZ2017" i="1" s="1"/>
  <c r="AV2017" i="1"/>
  <c r="AU2017" i="1"/>
  <c r="AQ2017" i="1"/>
  <c r="AT2017" i="1" s="1"/>
  <c r="AP2017" i="1"/>
  <c r="BA2016" i="1"/>
  <c r="AX2016" i="1"/>
  <c r="AV2016" i="1"/>
  <c r="AU2016" i="1"/>
  <c r="AQ2016" i="1"/>
  <c r="AP2016" i="1"/>
  <c r="BA2015" i="1"/>
  <c r="AX2015" i="1"/>
  <c r="AZ2015" i="1" s="1"/>
  <c r="AV2015" i="1"/>
  <c r="AU2015" i="1"/>
  <c r="AQ2015" i="1"/>
  <c r="AP2015" i="1"/>
  <c r="BA2014" i="1"/>
  <c r="AX2014" i="1"/>
  <c r="AV2014" i="1"/>
  <c r="AU2014" i="1"/>
  <c r="AQ2014" i="1"/>
  <c r="AP2014" i="1"/>
  <c r="BA2013" i="1"/>
  <c r="AX2013" i="1"/>
  <c r="AY2013" i="1" s="1"/>
  <c r="AV2013" i="1"/>
  <c r="AU2013" i="1"/>
  <c r="AQ2013" i="1"/>
  <c r="AR2013" i="1" s="1"/>
  <c r="AP2013" i="1"/>
  <c r="BA2012" i="1"/>
  <c r="AX2012" i="1"/>
  <c r="AV2012" i="1"/>
  <c r="AU2012" i="1"/>
  <c r="AQ2012" i="1"/>
  <c r="AP2012" i="1"/>
  <c r="AV2011" i="1"/>
  <c r="AU2011" i="1"/>
  <c r="AQ2011" i="1"/>
  <c r="AP2011" i="1"/>
  <c r="BA2010" i="1"/>
  <c r="AX2010" i="1"/>
  <c r="AZ2010" i="1" s="1"/>
  <c r="AV2010" i="1"/>
  <c r="AU2010" i="1"/>
  <c r="AQ2010" i="1"/>
  <c r="AT2010" i="1" s="1"/>
  <c r="AP2010" i="1"/>
  <c r="AV2009" i="1"/>
  <c r="AU2009" i="1"/>
  <c r="AQ2009" i="1"/>
  <c r="AP2009" i="1"/>
  <c r="AV2008" i="1"/>
  <c r="AU2008" i="1"/>
  <c r="AQ2008" i="1"/>
  <c r="AS2008" i="1" s="1"/>
  <c r="AP2008" i="1"/>
  <c r="AV2007" i="1"/>
  <c r="AU2007" i="1"/>
  <c r="AQ2007" i="1"/>
  <c r="AP2007" i="1"/>
  <c r="BA2006" i="1"/>
  <c r="AX2006" i="1"/>
  <c r="AZ2006" i="1" s="1"/>
  <c r="AV2006" i="1"/>
  <c r="AU2006" i="1"/>
  <c r="AQ2006" i="1"/>
  <c r="AP2006" i="1"/>
  <c r="BA2005" i="1"/>
  <c r="AX2005" i="1"/>
  <c r="AY2005" i="1" s="1"/>
  <c r="AV2005" i="1"/>
  <c r="AU2005" i="1"/>
  <c r="AQ2005" i="1"/>
  <c r="AT2005" i="1" s="1"/>
  <c r="AP2005" i="1"/>
  <c r="AV2004" i="1"/>
  <c r="AU2004" i="1"/>
  <c r="AQ2004" i="1"/>
  <c r="AP2004" i="1"/>
  <c r="BA2003" i="1"/>
  <c r="AX2003" i="1"/>
  <c r="AZ2003" i="1" s="1"/>
  <c r="AV2003" i="1"/>
  <c r="AU2003" i="1"/>
  <c r="AQ2003" i="1"/>
  <c r="AT2003" i="1" s="1"/>
  <c r="AP2003" i="1"/>
  <c r="AX2002" i="1"/>
  <c r="AY2002" i="1" s="1"/>
  <c r="AV2002" i="1"/>
  <c r="AU2002" i="1"/>
  <c r="AQ2002" i="1"/>
  <c r="AT2002" i="1" s="1"/>
  <c r="AP2002" i="1"/>
  <c r="AX2001" i="1"/>
  <c r="AZ2001" i="1" s="1"/>
  <c r="AV2001" i="1"/>
  <c r="AU2001" i="1"/>
  <c r="AQ2001" i="1"/>
  <c r="AT2001" i="1" s="1"/>
  <c r="AP2001" i="1"/>
  <c r="BA2000" i="1"/>
  <c r="AX2000" i="1"/>
  <c r="AV2000" i="1"/>
  <c r="AU2000" i="1"/>
  <c r="AQ2000" i="1"/>
  <c r="AP2000" i="1"/>
  <c r="AV1999" i="1"/>
  <c r="AU1999" i="1"/>
  <c r="AQ1999" i="1"/>
  <c r="AS1999" i="1" s="1"/>
  <c r="AP1999" i="1"/>
  <c r="BA1998" i="1"/>
  <c r="AX1998" i="1"/>
  <c r="AY1998" i="1" s="1"/>
  <c r="AV1998" i="1"/>
  <c r="AU1998" i="1"/>
  <c r="AQ1998" i="1"/>
  <c r="AP1998" i="1"/>
  <c r="AV1997" i="1"/>
  <c r="AU1997" i="1"/>
  <c r="AQ1997" i="1"/>
  <c r="AP1997" i="1"/>
  <c r="AX1996" i="1"/>
  <c r="AY1996" i="1" s="1"/>
  <c r="AV1996" i="1"/>
  <c r="AU1996" i="1"/>
  <c r="AQ1996" i="1"/>
  <c r="AR1996" i="1" s="1"/>
  <c r="AP1996" i="1"/>
  <c r="AV1995" i="1"/>
  <c r="AU1995" i="1"/>
  <c r="AQ1995" i="1"/>
  <c r="AR1995" i="1" s="1"/>
  <c r="AP1995" i="1"/>
  <c r="AV1994" i="1"/>
  <c r="AU1994" i="1"/>
  <c r="AQ1994" i="1"/>
  <c r="AR1994" i="1" s="1"/>
  <c r="AP1994" i="1"/>
  <c r="AV1993" i="1"/>
  <c r="AU1993" i="1"/>
  <c r="AQ1993" i="1"/>
  <c r="AS1993" i="1" s="1"/>
  <c r="AP1993" i="1"/>
  <c r="BA1992" i="1"/>
  <c r="AX1992" i="1"/>
  <c r="AZ1992" i="1" s="1"/>
  <c r="AV1992" i="1"/>
  <c r="AU1992" i="1"/>
  <c r="AQ1992" i="1"/>
  <c r="AT1992" i="1" s="1"/>
  <c r="AP1992" i="1"/>
  <c r="AV1991" i="1"/>
  <c r="AU1991" i="1"/>
  <c r="AQ1991" i="1"/>
  <c r="AP1991" i="1"/>
  <c r="AV1990" i="1"/>
  <c r="AU1990" i="1"/>
  <c r="AQ1990" i="1"/>
  <c r="AT1990" i="1" s="1"/>
  <c r="AP1990" i="1"/>
  <c r="AV1989" i="1"/>
  <c r="AU1989" i="1"/>
  <c r="AQ1989" i="1"/>
  <c r="AP1989" i="1"/>
  <c r="AV1988" i="1"/>
  <c r="AU1988" i="1"/>
  <c r="AQ1988" i="1"/>
  <c r="AP1988" i="1"/>
  <c r="BA1987" i="1"/>
  <c r="AX1987" i="1"/>
  <c r="AV1987" i="1"/>
  <c r="AU1987" i="1"/>
  <c r="AQ1987" i="1"/>
  <c r="AT1987" i="1" s="1"/>
  <c r="AP1987" i="1"/>
  <c r="AV1986" i="1"/>
  <c r="AU1986" i="1"/>
  <c r="AQ1986" i="1"/>
  <c r="AS1986" i="1" s="1"/>
  <c r="AP1986" i="1"/>
  <c r="AV1985" i="1"/>
  <c r="AU1985" i="1"/>
  <c r="AQ1985" i="1"/>
  <c r="AS1985" i="1" s="1"/>
  <c r="AP1985" i="1"/>
  <c r="BA1984" i="1"/>
  <c r="AX1984" i="1"/>
  <c r="AZ1984" i="1" s="1"/>
  <c r="AV1984" i="1"/>
  <c r="AU1984" i="1"/>
  <c r="AQ1984" i="1"/>
  <c r="AT1984" i="1" s="1"/>
  <c r="AP1984" i="1"/>
  <c r="AV1983" i="1"/>
  <c r="AU1983" i="1"/>
  <c r="AQ1983" i="1"/>
  <c r="AT1983" i="1" s="1"/>
  <c r="AP1983" i="1"/>
  <c r="BA1982" i="1"/>
  <c r="AX1982" i="1"/>
  <c r="AV1982" i="1"/>
  <c r="AU1982" i="1"/>
  <c r="AQ1982" i="1"/>
  <c r="AT1982" i="1" s="1"/>
  <c r="AP1982" i="1"/>
  <c r="AX1981" i="1"/>
  <c r="AY1981" i="1" s="1"/>
  <c r="AV1981" i="1"/>
  <c r="AU1981" i="1"/>
  <c r="AQ1981" i="1"/>
  <c r="AT1981" i="1" s="1"/>
  <c r="AP1981" i="1"/>
  <c r="AV1980" i="1"/>
  <c r="AU1980" i="1"/>
  <c r="AQ1980" i="1"/>
  <c r="AP1980" i="1"/>
  <c r="AX1979" i="1"/>
  <c r="AV1979" i="1"/>
  <c r="AU1979" i="1"/>
  <c r="AQ1979" i="1"/>
  <c r="AP1979" i="1"/>
  <c r="BA1978" i="1"/>
  <c r="AX1978" i="1"/>
  <c r="AZ1978" i="1" s="1"/>
  <c r="AV1978" i="1"/>
  <c r="AU1978" i="1"/>
  <c r="AQ1978" i="1"/>
  <c r="AS1978" i="1" s="1"/>
  <c r="AP1978" i="1"/>
  <c r="AV1977" i="1"/>
  <c r="AU1977" i="1"/>
  <c r="AQ1977" i="1"/>
  <c r="AS1977" i="1" s="1"/>
  <c r="AP1977" i="1"/>
  <c r="BA1976" i="1"/>
  <c r="AX1976" i="1"/>
  <c r="AV1976" i="1"/>
  <c r="AU1976" i="1"/>
  <c r="AQ1976" i="1"/>
  <c r="AS1976" i="1" s="1"/>
  <c r="AP1976" i="1"/>
  <c r="AV1975" i="1"/>
  <c r="AU1975" i="1"/>
  <c r="AQ1975" i="1"/>
  <c r="AR1975" i="1" s="1"/>
  <c r="AP1975" i="1"/>
  <c r="AV1974" i="1"/>
  <c r="AU1974" i="1"/>
  <c r="AQ1974" i="1"/>
  <c r="AP1974" i="1"/>
  <c r="AV1973" i="1"/>
  <c r="AU1973" i="1"/>
  <c r="AQ1973" i="1"/>
  <c r="AT1973" i="1" s="1"/>
  <c r="AP1973" i="1"/>
  <c r="AX1972" i="1"/>
  <c r="AZ1972" i="1" s="1"/>
  <c r="AV1972" i="1"/>
  <c r="AU1972" i="1"/>
  <c r="AQ1972" i="1"/>
  <c r="AP1972" i="1"/>
  <c r="BA1971" i="1"/>
  <c r="AX1971" i="1"/>
  <c r="AY1971" i="1" s="1"/>
  <c r="AV1971" i="1"/>
  <c r="AU1971" i="1"/>
  <c r="AQ1971" i="1"/>
  <c r="AP1971" i="1"/>
  <c r="BA1970" i="1"/>
  <c r="AX1970" i="1"/>
  <c r="AY1970" i="1" s="1"/>
  <c r="AV1970" i="1"/>
  <c r="AU1970" i="1"/>
  <c r="AQ1970" i="1"/>
  <c r="AP1970" i="1"/>
  <c r="AV1969" i="1"/>
  <c r="AU1969" i="1"/>
  <c r="AQ1969" i="1"/>
  <c r="AP1969" i="1"/>
  <c r="AX1968" i="1"/>
  <c r="AZ1968" i="1" s="1"/>
  <c r="AV1968" i="1"/>
  <c r="AU1968" i="1"/>
  <c r="AQ1968" i="1"/>
  <c r="AR1968" i="1" s="1"/>
  <c r="AP1968" i="1"/>
  <c r="BA1967" i="1"/>
  <c r="AX1967" i="1"/>
  <c r="AV1967" i="1"/>
  <c r="AU1967" i="1"/>
  <c r="AQ1967" i="1"/>
  <c r="AT1967" i="1" s="1"/>
  <c r="AP1967" i="1"/>
  <c r="AV1966" i="1"/>
  <c r="AU1966" i="1"/>
  <c r="AQ1966" i="1"/>
  <c r="AT1966" i="1" s="1"/>
  <c r="AP1966" i="1"/>
  <c r="AX1965" i="1"/>
  <c r="AZ1965" i="1" s="1"/>
  <c r="AV1965" i="1"/>
  <c r="AU1965" i="1"/>
  <c r="AQ1965" i="1"/>
  <c r="AT1965" i="1" s="1"/>
  <c r="AP1965" i="1"/>
  <c r="AX1964" i="1"/>
  <c r="AY1964" i="1" s="1"/>
  <c r="AV1964" i="1"/>
  <c r="AU1964" i="1"/>
  <c r="AQ1964" i="1"/>
  <c r="AR1964" i="1" s="1"/>
  <c r="AP1964" i="1"/>
  <c r="AV1962" i="1"/>
  <c r="AU1962" i="1"/>
  <c r="AQ1962" i="1"/>
  <c r="AT1962" i="1" s="1"/>
  <c r="AP1962" i="1"/>
  <c r="AV1961" i="1"/>
  <c r="AU1961" i="1"/>
  <c r="AQ1961" i="1"/>
  <c r="AR1961" i="1" s="1"/>
  <c r="AP1961" i="1"/>
  <c r="AV1960" i="1"/>
  <c r="AU1960" i="1"/>
  <c r="AQ1960" i="1"/>
  <c r="AS1960" i="1" s="1"/>
  <c r="AP1960" i="1"/>
  <c r="AV1959" i="1"/>
  <c r="AU1959" i="1"/>
  <c r="AQ1959" i="1"/>
  <c r="AR1959" i="1" s="1"/>
  <c r="AP1959" i="1"/>
  <c r="AV1958" i="1"/>
  <c r="AU1958" i="1"/>
  <c r="AQ1958" i="1"/>
  <c r="AS1958" i="1" s="1"/>
  <c r="AP1958" i="1"/>
  <c r="AV1957" i="1"/>
  <c r="AU1957" i="1"/>
  <c r="AQ1957" i="1"/>
  <c r="AR1957" i="1" s="1"/>
  <c r="AP1957" i="1"/>
  <c r="AX1956" i="1"/>
  <c r="AV1956" i="1"/>
  <c r="AU1956" i="1"/>
  <c r="AQ1956" i="1"/>
  <c r="AP1956" i="1"/>
  <c r="AV1955" i="1"/>
  <c r="AU1955" i="1"/>
  <c r="AQ1955" i="1"/>
  <c r="AT1955" i="1" s="1"/>
  <c r="AP1955" i="1"/>
  <c r="AV1954" i="1"/>
  <c r="AU1954" i="1"/>
  <c r="AQ1954" i="1"/>
  <c r="AS1954" i="1" s="1"/>
  <c r="AP1954" i="1"/>
  <c r="BA1953" i="1"/>
  <c r="AX1953" i="1"/>
  <c r="AY1953" i="1" s="1"/>
  <c r="AV1953" i="1"/>
  <c r="AU1953" i="1"/>
  <c r="AQ1953" i="1"/>
  <c r="AP1953" i="1"/>
  <c r="AV1952" i="1"/>
  <c r="AU1952" i="1"/>
  <c r="AQ1952" i="1"/>
  <c r="AR1952" i="1" s="1"/>
  <c r="AP1952" i="1"/>
  <c r="BA1951" i="1"/>
  <c r="AX1951" i="1"/>
  <c r="AZ1951" i="1" s="1"/>
  <c r="AV1951" i="1"/>
  <c r="AU1951" i="1"/>
  <c r="AQ1951" i="1"/>
  <c r="AP1951" i="1"/>
  <c r="AV1950" i="1"/>
  <c r="AU1950" i="1"/>
  <c r="AQ1950" i="1"/>
  <c r="AS1950" i="1" s="1"/>
  <c r="AP1950" i="1"/>
  <c r="BA1949" i="1"/>
  <c r="AX1949" i="1"/>
  <c r="AY1949" i="1" s="1"/>
  <c r="AV1949" i="1"/>
  <c r="AU1949" i="1"/>
  <c r="AQ1949" i="1"/>
  <c r="AP1949" i="1"/>
  <c r="AV1948" i="1"/>
  <c r="AU1948" i="1"/>
  <c r="AQ1948" i="1"/>
  <c r="AP1948" i="1"/>
  <c r="AV1947" i="1"/>
  <c r="AU1947" i="1"/>
  <c r="AQ1947" i="1"/>
  <c r="AP1947" i="1"/>
  <c r="AV1946" i="1"/>
  <c r="AU1946" i="1"/>
  <c r="AQ1946" i="1"/>
  <c r="AR1946" i="1" s="1"/>
  <c r="AP1946" i="1"/>
  <c r="AV1945" i="1"/>
  <c r="AU1945" i="1"/>
  <c r="AQ1945" i="1"/>
  <c r="AS1945" i="1" s="1"/>
  <c r="AP1945" i="1"/>
  <c r="BA1944" i="1"/>
  <c r="AX1944" i="1"/>
  <c r="AZ1944" i="1" s="1"/>
  <c r="AV1944" i="1"/>
  <c r="AU1944" i="1"/>
  <c r="AQ1944" i="1"/>
  <c r="AP1944" i="1"/>
  <c r="BA1943" i="1"/>
  <c r="AV1943" i="1"/>
  <c r="AU1943" i="1"/>
  <c r="AQ1943" i="1"/>
  <c r="AP1943" i="1"/>
  <c r="BA1942" i="1"/>
  <c r="AX1942" i="1"/>
  <c r="AY1942" i="1" s="1"/>
  <c r="AV1942" i="1"/>
  <c r="AU1942" i="1"/>
  <c r="AQ1942" i="1"/>
  <c r="AS1942" i="1" s="1"/>
  <c r="AP1942" i="1"/>
  <c r="AV1941" i="1"/>
  <c r="AU1941" i="1"/>
  <c r="AQ1941" i="1"/>
  <c r="AR1941" i="1" s="1"/>
  <c r="AP1941" i="1"/>
  <c r="AX1940" i="1"/>
  <c r="AZ1940" i="1" s="1"/>
  <c r="AV1940" i="1"/>
  <c r="AU1940" i="1"/>
  <c r="AQ1940" i="1"/>
  <c r="AT1940" i="1" s="1"/>
  <c r="AP1940" i="1"/>
  <c r="AV1939" i="1"/>
  <c r="AU1939" i="1"/>
  <c r="AQ1939" i="1"/>
  <c r="AT1939" i="1" s="1"/>
  <c r="AP1939" i="1"/>
  <c r="AW1938" i="1"/>
  <c r="AQ1938" i="1"/>
  <c r="AR1938" i="1" s="1"/>
  <c r="AP1938" i="1"/>
  <c r="AW1937" i="1"/>
  <c r="AQ1937" i="1"/>
  <c r="AR1937" i="1" s="1"/>
  <c r="AP1937" i="1"/>
  <c r="AW1936" i="1"/>
  <c r="AQ1936" i="1"/>
  <c r="AT1936" i="1" s="1"/>
  <c r="AP1936" i="1"/>
  <c r="AW1935" i="1"/>
  <c r="AQ1935" i="1"/>
  <c r="AS1935" i="1" s="1"/>
  <c r="AP1935" i="1"/>
  <c r="AW1934" i="1"/>
  <c r="AQ1934" i="1"/>
  <c r="AR1934" i="1" s="1"/>
  <c r="AP1934" i="1"/>
  <c r="AW1933" i="1"/>
  <c r="AQ1933" i="1"/>
  <c r="AP1933" i="1"/>
  <c r="AW1932" i="1"/>
  <c r="AQ1932" i="1"/>
  <c r="AP1932" i="1"/>
  <c r="AW1931" i="1"/>
  <c r="AQ1931" i="1"/>
  <c r="AR1931" i="1" s="1"/>
  <c r="AP1931" i="1"/>
  <c r="AW1930" i="1"/>
  <c r="AQ1930" i="1"/>
  <c r="AR1930" i="1" s="1"/>
  <c r="AP1930" i="1"/>
  <c r="AW1929" i="1"/>
  <c r="AQ1929" i="1"/>
  <c r="AT1929" i="1" s="1"/>
  <c r="AP1929" i="1"/>
  <c r="AW1928" i="1"/>
  <c r="AQ1928" i="1"/>
  <c r="AP1928" i="1"/>
  <c r="AW1927" i="1"/>
  <c r="AQ1927" i="1"/>
  <c r="AS1927" i="1" s="1"/>
  <c r="AP1927" i="1"/>
  <c r="AW1926" i="1"/>
  <c r="AQ1926" i="1"/>
  <c r="AR1926" i="1" s="1"/>
  <c r="AP1926" i="1"/>
  <c r="AW1925" i="1"/>
  <c r="AQ1925" i="1"/>
  <c r="AS1925" i="1" s="1"/>
  <c r="AP1925" i="1"/>
  <c r="AQ1924" i="1"/>
  <c r="AS1924" i="1" s="1"/>
  <c r="AP1924" i="1"/>
  <c r="AQ1923" i="1"/>
  <c r="AP1923" i="1"/>
  <c r="AQ1922" i="1"/>
  <c r="AP1922" i="1"/>
  <c r="AQ1921" i="1"/>
  <c r="AP1921" i="1"/>
  <c r="AQ1920" i="1"/>
  <c r="AR1920" i="1" s="1"/>
  <c r="AP1920" i="1"/>
  <c r="AQ1919" i="1"/>
  <c r="AT1919" i="1" s="1"/>
  <c r="AP1919" i="1"/>
  <c r="AQ1918" i="1"/>
  <c r="AP1918" i="1"/>
  <c r="AQ1917" i="1"/>
  <c r="AP1917" i="1"/>
  <c r="AQ1916" i="1"/>
  <c r="AR1916" i="1" s="1"/>
  <c r="AP1916" i="1"/>
  <c r="AQ1915" i="1"/>
  <c r="AT1915" i="1" s="1"/>
  <c r="AP1915" i="1"/>
  <c r="AQ1914" i="1"/>
  <c r="AP1914" i="1"/>
  <c r="AQ1913" i="1"/>
  <c r="AS1913" i="1" s="1"/>
  <c r="AP1913" i="1"/>
  <c r="AQ1912" i="1"/>
  <c r="AR1912" i="1" s="1"/>
  <c r="AP1912" i="1"/>
  <c r="AQ1911" i="1"/>
  <c r="AS1911" i="1" s="1"/>
  <c r="AP1911" i="1"/>
  <c r="AQ1910" i="1"/>
  <c r="AP1910" i="1"/>
  <c r="AQ1909" i="1"/>
  <c r="AP1909" i="1"/>
  <c r="AQ1908" i="1"/>
  <c r="AS1908" i="1" s="1"/>
  <c r="AP1908" i="1"/>
  <c r="AQ1907" i="1"/>
  <c r="AP1907" i="1"/>
  <c r="AQ1906" i="1"/>
  <c r="AP1906" i="1"/>
  <c r="AQ1905" i="1"/>
  <c r="AP1905" i="1"/>
  <c r="AQ1904" i="1"/>
  <c r="AS1904" i="1" s="1"/>
  <c r="AP1904" i="1"/>
  <c r="AQ1903" i="1"/>
  <c r="AT1903" i="1" s="1"/>
  <c r="AP1903" i="1"/>
  <c r="AQ1902" i="1"/>
  <c r="AR1902" i="1" s="1"/>
  <c r="AP1902" i="1"/>
  <c r="AQ1901" i="1"/>
  <c r="AP1901" i="1"/>
  <c r="AQ1900" i="1"/>
  <c r="AS1900" i="1" s="1"/>
  <c r="AP1900" i="1"/>
  <c r="AQ1899" i="1"/>
  <c r="AS1899" i="1" s="1"/>
  <c r="AP1899" i="1"/>
  <c r="AQ1898" i="1"/>
  <c r="AP1898" i="1"/>
  <c r="AQ1897" i="1"/>
  <c r="AP1897" i="1"/>
  <c r="AQ1896" i="1"/>
  <c r="AT1896" i="1" s="1"/>
  <c r="AP1896" i="1"/>
  <c r="AQ1895" i="1"/>
  <c r="AR1895" i="1" s="1"/>
  <c r="AP1895" i="1"/>
  <c r="AQ1894" i="1"/>
  <c r="AP1894" i="1"/>
  <c r="AQ1893" i="1"/>
  <c r="AP1893" i="1"/>
  <c r="AQ1892" i="1"/>
  <c r="AP1892" i="1"/>
  <c r="AQ1891" i="1"/>
  <c r="AP1891" i="1"/>
  <c r="AQ1890" i="1"/>
  <c r="AP1890" i="1"/>
  <c r="AQ1889" i="1"/>
  <c r="AP1889" i="1"/>
  <c r="AQ1888" i="1"/>
  <c r="AS1888" i="1" s="1"/>
  <c r="AP1888" i="1"/>
  <c r="AQ1887" i="1"/>
  <c r="AP1887" i="1"/>
  <c r="AQ1886" i="1"/>
  <c r="AP1886" i="1"/>
  <c r="AQ1885" i="1"/>
  <c r="AR1885" i="1" s="1"/>
  <c r="AP1885" i="1"/>
  <c r="AQ1884" i="1"/>
  <c r="AT1884" i="1" s="1"/>
  <c r="AP1884" i="1"/>
  <c r="AQ1883" i="1"/>
  <c r="AR1883" i="1" s="1"/>
  <c r="AP1883" i="1"/>
  <c r="AQ1882" i="1"/>
  <c r="AP1882" i="1"/>
  <c r="AQ1881" i="1"/>
  <c r="AP1881" i="1"/>
  <c r="AQ1880" i="1"/>
  <c r="AS1880" i="1" s="1"/>
  <c r="AP1880" i="1"/>
  <c r="AQ1879" i="1"/>
  <c r="AP1879" i="1"/>
  <c r="AQ1878" i="1"/>
  <c r="AS1878" i="1" s="1"/>
  <c r="AP1878" i="1"/>
  <c r="AQ1877" i="1"/>
  <c r="AP1877" i="1"/>
  <c r="AQ1876" i="1"/>
  <c r="AR1876" i="1" s="1"/>
  <c r="AP1876" i="1"/>
  <c r="AQ1875" i="1"/>
  <c r="AS1875" i="1" s="1"/>
  <c r="AP1875" i="1"/>
  <c r="AQ1874" i="1"/>
  <c r="AP1874" i="1"/>
  <c r="AQ1873" i="1"/>
  <c r="AP1873" i="1"/>
  <c r="AQ1872" i="1"/>
  <c r="AS1872" i="1" s="1"/>
  <c r="AP1872" i="1"/>
  <c r="AQ1871" i="1"/>
  <c r="AT1871" i="1" s="1"/>
  <c r="AP1871" i="1"/>
  <c r="AQ1870" i="1"/>
  <c r="AP1870" i="1"/>
  <c r="AQ1869" i="1"/>
  <c r="AT1869" i="1" s="1"/>
  <c r="AP1869" i="1"/>
  <c r="AQ1868" i="1"/>
  <c r="AS1868" i="1" s="1"/>
  <c r="AP1868" i="1"/>
  <c r="AQ1867" i="1"/>
  <c r="AP1867" i="1"/>
  <c r="AQ1866" i="1"/>
  <c r="AP1866" i="1"/>
  <c r="AQ1865" i="1"/>
  <c r="AP1865" i="1"/>
  <c r="AQ1864" i="1"/>
  <c r="AS1864" i="1" s="1"/>
  <c r="AP1864" i="1"/>
  <c r="AQ1863" i="1"/>
  <c r="AP1863" i="1"/>
  <c r="AQ1862" i="1"/>
  <c r="AP1862" i="1"/>
  <c r="AQ1861" i="1"/>
  <c r="AT1861" i="1" s="1"/>
  <c r="AP1861" i="1"/>
  <c r="AQ1860" i="1"/>
  <c r="AS1860" i="1" s="1"/>
  <c r="AP1860" i="1"/>
  <c r="AQ1859" i="1"/>
  <c r="AP1859" i="1"/>
  <c r="AQ1858" i="1"/>
  <c r="AT1858" i="1" s="1"/>
  <c r="AP1858" i="1"/>
  <c r="AQ1857" i="1"/>
  <c r="AT1857" i="1" s="1"/>
  <c r="AP1857" i="1"/>
  <c r="AQ1856" i="1"/>
  <c r="AS1856" i="1" s="1"/>
  <c r="AP1856" i="1"/>
  <c r="AQ1855" i="1"/>
  <c r="AS1855" i="1" s="1"/>
  <c r="AP1855" i="1"/>
  <c r="AQ1854" i="1"/>
  <c r="AP1854" i="1"/>
  <c r="AQ1853" i="1"/>
  <c r="AP1853" i="1"/>
  <c r="AQ1852" i="1"/>
  <c r="AS1852" i="1" s="1"/>
  <c r="AP1852" i="1"/>
  <c r="AQ1851" i="1"/>
  <c r="AP1851" i="1"/>
  <c r="AQ1850" i="1"/>
  <c r="AP1850" i="1"/>
  <c r="AQ1849" i="1"/>
  <c r="AP1849" i="1"/>
  <c r="AQ1848" i="1"/>
  <c r="AS1848" i="1" s="1"/>
  <c r="AP1848" i="1"/>
  <c r="AQ1847" i="1"/>
  <c r="AP1847" i="1"/>
  <c r="AQ1846" i="1"/>
  <c r="AS1846" i="1" s="1"/>
  <c r="AP1846" i="1"/>
  <c r="AQ1845" i="1"/>
  <c r="AS1845" i="1" s="1"/>
  <c r="AP1845" i="1"/>
  <c r="AQ1844" i="1"/>
  <c r="AP1844" i="1"/>
  <c r="AQ1843" i="1"/>
  <c r="AR1843" i="1" s="1"/>
  <c r="AP1843" i="1"/>
  <c r="AQ1842" i="1"/>
  <c r="AP1842" i="1"/>
  <c r="AQ1841" i="1"/>
  <c r="AP1841" i="1"/>
  <c r="AQ1840" i="1"/>
  <c r="AR1840" i="1" s="1"/>
  <c r="AP1840" i="1"/>
  <c r="AQ1839" i="1"/>
  <c r="AR1839" i="1" s="1"/>
  <c r="AP1839" i="1"/>
  <c r="AQ1838" i="1"/>
  <c r="AP1838" i="1"/>
  <c r="AQ1837" i="1"/>
  <c r="AP1837" i="1"/>
  <c r="AQ1836" i="1"/>
  <c r="AS1836" i="1" s="1"/>
  <c r="AP1836" i="1"/>
  <c r="AQ1835" i="1"/>
  <c r="AP1835" i="1"/>
  <c r="AQ1834" i="1"/>
  <c r="AS1834" i="1" s="1"/>
  <c r="AP1834" i="1"/>
  <c r="AQ1833" i="1"/>
  <c r="AS1833" i="1" s="1"/>
  <c r="AP1833" i="1"/>
  <c r="AQ1832" i="1"/>
  <c r="AS1832" i="1" s="1"/>
  <c r="AP1832" i="1"/>
  <c r="AQ1831" i="1"/>
  <c r="AP1831" i="1"/>
  <c r="AQ1830" i="1"/>
  <c r="AT1830" i="1" s="1"/>
  <c r="AP1830" i="1"/>
  <c r="AQ1829" i="1"/>
  <c r="AP1829" i="1"/>
  <c r="AQ1828" i="1"/>
  <c r="AS1828" i="1" s="1"/>
  <c r="AP1828" i="1"/>
  <c r="AQ1827" i="1"/>
  <c r="AT1827" i="1" s="1"/>
  <c r="AP1827" i="1"/>
  <c r="AQ1826" i="1"/>
  <c r="AT1826" i="1" s="1"/>
  <c r="AP1826" i="1"/>
  <c r="AQ1825" i="1"/>
  <c r="AS1825" i="1" s="1"/>
  <c r="AP1825" i="1"/>
  <c r="AQ1824" i="1"/>
  <c r="AT1824" i="1" s="1"/>
  <c r="AP1824" i="1"/>
  <c r="AQ1823" i="1"/>
  <c r="AP1823" i="1"/>
  <c r="AQ1822" i="1"/>
  <c r="AS1822" i="1" s="1"/>
  <c r="AP1822" i="1"/>
  <c r="AQ1821" i="1"/>
  <c r="AP1821" i="1"/>
  <c r="AQ1820" i="1"/>
  <c r="AS1820" i="1" s="1"/>
  <c r="AP1820" i="1"/>
  <c r="AQ1819" i="1"/>
  <c r="AP1819" i="1"/>
  <c r="AQ1818" i="1"/>
  <c r="AP1818" i="1"/>
  <c r="AQ1817" i="1"/>
  <c r="AP1817" i="1"/>
  <c r="AQ1816" i="1"/>
  <c r="AS1816" i="1" s="1"/>
  <c r="AP1816" i="1"/>
  <c r="AQ1815" i="1"/>
  <c r="AP1815" i="1"/>
  <c r="AQ1814" i="1"/>
  <c r="AT1814" i="1" s="1"/>
  <c r="AP1814" i="1"/>
  <c r="AQ1813" i="1"/>
  <c r="AP1813" i="1"/>
  <c r="AQ1812" i="1"/>
  <c r="AT1812" i="1" s="1"/>
  <c r="AP1812" i="1"/>
  <c r="AQ1811" i="1"/>
  <c r="AP1811" i="1"/>
  <c r="AQ1810" i="1"/>
  <c r="AP1810" i="1"/>
  <c r="AQ1809" i="1"/>
  <c r="AS1809" i="1" s="1"/>
  <c r="AP1809" i="1"/>
  <c r="AQ1808" i="1"/>
  <c r="AS1808" i="1" s="1"/>
  <c r="AP1808" i="1"/>
  <c r="AQ1805" i="1"/>
  <c r="AS1805" i="1" s="1"/>
  <c r="AP1805" i="1"/>
  <c r="AQ1807" i="1"/>
  <c r="AR1807" i="1" s="1"/>
  <c r="AP1807" i="1"/>
  <c r="AQ1806" i="1"/>
  <c r="AP1806" i="1"/>
  <c r="AQ1804" i="1"/>
  <c r="AS1804" i="1" s="1"/>
  <c r="AP1804" i="1"/>
  <c r="AQ1803" i="1"/>
  <c r="AS1803" i="1" s="1"/>
  <c r="AP1803" i="1"/>
  <c r="AQ1802" i="1"/>
  <c r="AP1802" i="1"/>
  <c r="AQ1801" i="1"/>
  <c r="AP1801" i="1"/>
  <c r="AQ1800" i="1"/>
  <c r="AS1800" i="1" s="1"/>
  <c r="AP1800" i="1"/>
  <c r="AQ1799" i="1"/>
  <c r="AS1799" i="1" s="1"/>
  <c r="AP1799" i="1"/>
  <c r="AQ1798" i="1"/>
  <c r="AS1798" i="1" s="1"/>
  <c r="AP1798" i="1"/>
  <c r="AQ1797" i="1"/>
  <c r="AS1797" i="1" s="1"/>
  <c r="AP1797" i="1"/>
  <c r="AQ1796" i="1"/>
  <c r="AR1796" i="1" s="1"/>
  <c r="AP1796" i="1"/>
  <c r="AQ1795" i="1"/>
  <c r="AR1795" i="1" s="1"/>
  <c r="AP1795" i="1"/>
  <c r="AQ1794" i="1"/>
  <c r="AP1794" i="1"/>
  <c r="AQ1793" i="1"/>
  <c r="AP1793" i="1"/>
  <c r="AQ1792" i="1"/>
  <c r="AT1792" i="1" s="1"/>
  <c r="AP1792" i="1"/>
  <c r="AQ1791" i="1"/>
  <c r="AS1791" i="1" s="1"/>
  <c r="AP1791" i="1"/>
  <c r="AQ1790" i="1"/>
  <c r="AS1790" i="1" s="1"/>
  <c r="AP1790" i="1"/>
  <c r="AQ1789" i="1"/>
  <c r="AS1789" i="1" s="1"/>
  <c r="AP1789" i="1"/>
  <c r="AQ1788" i="1"/>
  <c r="AT1788" i="1" s="1"/>
  <c r="AP1788" i="1"/>
  <c r="AQ1787" i="1"/>
  <c r="AP1787" i="1"/>
  <c r="AQ1786" i="1"/>
  <c r="AP1786" i="1"/>
  <c r="AQ1785" i="1"/>
  <c r="AS1785" i="1" s="1"/>
  <c r="AP1785" i="1"/>
  <c r="AQ1784" i="1"/>
  <c r="AT1784" i="1" s="1"/>
  <c r="AP1784" i="1"/>
  <c r="AQ1783" i="1"/>
  <c r="AS1783" i="1" s="1"/>
  <c r="AP1783" i="1"/>
  <c r="AQ1782" i="1"/>
  <c r="AR1782" i="1" s="1"/>
  <c r="AP1782" i="1"/>
  <c r="AQ1781" i="1"/>
  <c r="AS1781" i="1" s="1"/>
  <c r="AP1781" i="1"/>
  <c r="AQ1780" i="1"/>
  <c r="AS1780" i="1" s="1"/>
  <c r="AP1780" i="1"/>
  <c r="AQ1779" i="1"/>
  <c r="AP1779" i="1"/>
  <c r="AQ1778" i="1"/>
  <c r="AS1778" i="1" s="1"/>
  <c r="AP1778" i="1"/>
  <c r="AQ1777" i="1"/>
  <c r="AP1777" i="1"/>
  <c r="AQ1775" i="1"/>
  <c r="AS1775" i="1" s="1"/>
  <c r="AP1775" i="1"/>
  <c r="AQ1776" i="1"/>
  <c r="AS1776" i="1" s="1"/>
  <c r="AP1776" i="1"/>
  <c r="AQ1774" i="1"/>
  <c r="AR1774" i="1" s="1"/>
  <c r="AP1774" i="1"/>
  <c r="AQ1773" i="1"/>
  <c r="AS1773" i="1" s="1"/>
  <c r="AP1773" i="1"/>
  <c r="AQ1769" i="1"/>
  <c r="AS1769" i="1" s="1"/>
  <c r="AP1769" i="1"/>
  <c r="AQ1772" i="1"/>
  <c r="AP1772" i="1"/>
  <c r="AQ1771" i="1"/>
  <c r="AP1771" i="1"/>
  <c r="AQ1770" i="1"/>
  <c r="AS1770" i="1" s="1"/>
  <c r="AP1770" i="1"/>
  <c r="AQ1768" i="1"/>
  <c r="AS1768" i="1" s="1"/>
  <c r="AP1768" i="1"/>
  <c r="AQ1767" i="1"/>
  <c r="AS1767" i="1" s="1"/>
  <c r="AP1767" i="1"/>
  <c r="AQ1766" i="1"/>
  <c r="AR1766" i="1" s="1"/>
  <c r="AP1766" i="1"/>
  <c r="AQ1765" i="1"/>
  <c r="AS1765" i="1" s="1"/>
  <c r="AP1765" i="1"/>
  <c r="AQ1764" i="1"/>
  <c r="AP1764" i="1"/>
  <c r="AQ1763" i="1"/>
  <c r="AP1763" i="1"/>
  <c r="AQ1762" i="1"/>
  <c r="AP1762" i="1"/>
  <c r="AQ1761" i="1"/>
  <c r="AP1761" i="1"/>
  <c r="AQ1760" i="1"/>
  <c r="AT1760" i="1" s="1"/>
  <c r="AP1760" i="1"/>
  <c r="AQ1759" i="1"/>
  <c r="AS1759" i="1" s="1"/>
  <c r="AP1759" i="1"/>
  <c r="AQ1758" i="1"/>
  <c r="AS1758" i="1" s="1"/>
  <c r="AP1758" i="1"/>
  <c r="AQ1757" i="1"/>
  <c r="AS1757" i="1" s="1"/>
  <c r="AP1757" i="1"/>
  <c r="AQ1756" i="1"/>
  <c r="AS1756" i="1" s="1"/>
  <c r="AP1756" i="1"/>
  <c r="AQ1755" i="1"/>
  <c r="AR1755" i="1" s="1"/>
  <c r="AP1755" i="1"/>
  <c r="AQ1754" i="1"/>
  <c r="AP1754" i="1"/>
  <c r="AQ1753" i="1"/>
  <c r="AS1753" i="1" s="1"/>
  <c r="AP1753" i="1"/>
  <c r="AQ1752" i="1"/>
  <c r="AS1752" i="1" s="1"/>
  <c r="AP1752" i="1"/>
  <c r="AQ1751" i="1"/>
  <c r="AP1751" i="1"/>
  <c r="AQ1750" i="1"/>
  <c r="AS1750" i="1" s="1"/>
  <c r="AP1750" i="1"/>
  <c r="AQ1749" i="1"/>
  <c r="AS1749" i="1" s="1"/>
  <c r="AP1749" i="1"/>
  <c r="AQ1748" i="1"/>
  <c r="AP1748" i="1"/>
  <c r="AQ1747" i="1"/>
  <c r="AP1747" i="1"/>
  <c r="AQ1746" i="1"/>
  <c r="AP1746" i="1"/>
  <c r="AQ1745" i="1"/>
  <c r="AP1745" i="1"/>
  <c r="AQ1744" i="1"/>
  <c r="AS1744" i="1" s="1"/>
  <c r="AP1744" i="1"/>
  <c r="AQ1743" i="1"/>
  <c r="AS1743" i="1" s="1"/>
  <c r="AP1743" i="1"/>
  <c r="AQ1742" i="1"/>
  <c r="AT1742" i="1" s="1"/>
  <c r="AP1742" i="1"/>
  <c r="AQ1741" i="1"/>
  <c r="AS1741" i="1" s="1"/>
  <c r="AP1741" i="1"/>
  <c r="AQ1740" i="1"/>
  <c r="AS1740" i="1" s="1"/>
  <c r="AP1740" i="1"/>
  <c r="AQ1739" i="1"/>
  <c r="AP1739" i="1"/>
  <c r="AQ1738" i="1"/>
  <c r="AP1738" i="1"/>
  <c r="AQ1737" i="1"/>
  <c r="AP1737" i="1"/>
  <c r="AQ1736" i="1"/>
  <c r="AS1736" i="1" s="1"/>
  <c r="AP1736" i="1"/>
  <c r="AQ1735" i="1"/>
  <c r="AP1735" i="1"/>
  <c r="AQ1734" i="1"/>
  <c r="AT1734" i="1" s="1"/>
  <c r="AP1734" i="1"/>
  <c r="AQ1733" i="1"/>
  <c r="AS1733" i="1" s="1"/>
  <c r="AP1733" i="1"/>
  <c r="AQ1732" i="1"/>
  <c r="AR1732" i="1" s="1"/>
  <c r="AP1732" i="1"/>
  <c r="AQ1731" i="1"/>
  <c r="AP1731" i="1"/>
  <c r="AQ1730" i="1"/>
  <c r="AP1730" i="1"/>
  <c r="AQ1729" i="1"/>
  <c r="AS1729" i="1" s="1"/>
  <c r="AP1729" i="1"/>
  <c r="AQ1728" i="1"/>
  <c r="AR1728" i="1" s="1"/>
  <c r="AP1728" i="1"/>
  <c r="AQ1727" i="1"/>
  <c r="AS1727" i="1" s="1"/>
  <c r="AP1727" i="1"/>
  <c r="AQ1726" i="1"/>
  <c r="AP1726" i="1"/>
  <c r="AQ1725" i="1"/>
  <c r="AS1725" i="1" s="1"/>
  <c r="AP1725" i="1"/>
  <c r="AQ1724" i="1"/>
  <c r="AS1724" i="1" s="1"/>
  <c r="AP1724" i="1"/>
  <c r="AQ1723" i="1"/>
  <c r="AR1723" i="1" s="1"/>
  <c r="AP1723" i="1"/>
  <c r="AQ1722" i="1"/>
  <c r="AP1722" i="1"/>
  <c r="AQ1721" i="1"/>
  <c r="AS1721" i="1" s="1"/>
  <c r="AP1721" i="1"/>
  <c r="AQ1720" i="1"/>
  <c r="AT1720" i="1" s="1"/>
  <c r="AP1720" i="1"/>
  <c r="AQ1718" i="1"/>
  <c r="AP1718" i="1"/>
  <c r="AQ1717" i="1"/>
  <c r="AS1717" i="1" s="1"/>
  <c r="AP1717" i="1"/>
  <c r="AQ1716" i="1"/>
  <c r="AR1716" i="1" s="1"/>
  <c r="AP1716" i="1"/>
  <c r="AQ1715" i="1"/>
  <c r="AP1715" i="1"/>
  <c r="AQ1713" i="1"/>
  <c r="AT1713" i="1" s="1"/>
  <c r="AP1713" i="1"/>
  <c r="AQ1714" i="1"/>
  <c r="AR1714" i="1" s="1"/>
  <c r="AP1714" i="1"/>
  <c r="AQ1712" i="1"/>
  <c r="AS1712" i="1" s="1"/>
  <c r="AP1712" i="1"/>
  <c r="AQ1711" i="1"/>
  <c r="AS1711" i="1" s="1"/>
  <c r="AP1711" i="1"/>
  <c r="AQ1710" i="1"/>
  <c r="AP1710" i="1"/>
  <c r="AQ1709" i="1"/>
  <c r="AR1709" i="1" s="1"/>
  <c r="AP1709" i="1"/>
  <c r="AQ1708" i="1"/>
  <c r="AS1708" i="1" s="1"/>
  <c r="AP1708" i="1"/>
  <c r="AQ1707" i="1"/>
  <c r="AS1707" i="1" s="1"/>
  <c r="AP1707" i="1"/>
  <c r="AV1706" i="1"/>
  <c r="AU1706" i="1"/>
  <c r="AQ1706" i="1"/>
  <c r="AS1706" i="1" s="1"/>
  <c r="AP1706" i="1"/>
  <c r="BA1705" i="1"/>
  <c r="AV1705" i="1"/>
  <c r="AU1705" i="1"/>
  <c r="AQ1705" i="1"/>
  <c r="AT1705" i="1" s="1"/>
  <c r="AP1705" i="1"/>
  <c r="BA1704" i="1"/>
  <c r="AX1704" i="1"/>
  <c r="AZ1704" i="1" s="1"/>
  <c r="AV1704" i="1"/>
  <c r="AU1704" i="1"/>
  <c r="AQ1704" i="1"/>
  <c r="AP1704" i="1"/>
  <c r="AV1703" i="1"/>
  <c r="AU1703" i="1"/>
  <c r="AQ1703" i="1"/>
  <c r="AT1703" i="1" s="1"/>
  <c r="AP1703" i="1"/>
  <c r="BA1702" i="1"/>
  <c r="AX1702" i="1"/>
  <c r="AZ1702" i="1" s="1"/>
  <c r="AV1702" i="1"/>
  <c r="AU1702" i="1"/>
  <c r="AQ1702" i="1"/>
  <c r="AT1702" i="1" s="1"/>
  <c r="AP1702" i="1"/>
  <c r="AX1701" i="1"/>
  <c r="AY1701" i="1" s="1"/>
  <c r="AV1701" i="1"/>
  <c r="AU1701" i="1"/>
  <c r="AQ1701" i="1"/>
  <c r="AT1701" i="1" s="1"/>
  <c r="AP1701" i="1"/>
  <c r="AQ1700" i="1"/>
  <c r="AS1700" i="1" s="1"/>
  <c r="AP1700" i="1"/>
  <c r="AQ1699" i="1"/>
  <c r="AS1699" i="1" s="1"/>
  <c r="AP1699" i="1"/>
  <c r="AQ1698" i="1"/>
  <c r="AS1698" i="1" s="1"/>
  <c r="AP1698" i="1"/>
  <c r="AQ1697" i="1"/>
  <c r="AS1697" i="1" s="1"/>
  <c r="AP1697" i="1"/>
  <c r="AQ1696" i="1"/>
  <c r="AP1696" i="1"/>
  <c r="AQ1695" i="1"/>
  <c r="AP1695" i="1"/>
  <c r="AQ1694" i="1"/>
  <c r="AT1694" i="1" s="1"/>
  <c r="AP1694" i="1"/>
  <c r="AQ1693" i="1"/>
  <c r="AR1693" i="1" s="1"/>
  <c r="AP1693" i="1"/>
  <c r="AQ1692" i="1"/>
  <c r="AT1692" i="1" s="1"/>
  <c r="AP1692" i="1"/>
  <c r="AQ1691" i="1"/>
  <c r="AP1691" i="1"/>
  <c r="AQ1690" i="1"/>
  <c r="AR1690" i="1" s="1"/>
  <c r="AP1690" i="1"/>
  <c r="AQ1689" i="1"/>
  <c r="AP1689" i="1"/>
  <c r="AQ1688" i="1"/>
  <c r="AP1688" i="1"/>
  <c r="AQ1686" i="1"/>
  <c r="AT1686" i="1" s="1"/>
  <c r="AP1686" i="1"/>
  <c r="AQ1687" i="1"/>
  <c r="AT1687" i="1" s="1"/>
  <c r="AP1687" i="1"/>
  <c r="AQ1685" i="1"/>
  <c r="AS1685" i="1" s="1"/>
  <c r="AP1685" i="1"/>
  <c r="AQ1684" i="1"/>
  <c r="AT1684" i="1" s="1"/>
  <c r="AP1684" i="1"/>
  <c r="AQ1683" i="1"/>
  <c r="AP1683" i="1"/>
  <c r="AQ1682" i="1"/>
  <c r="AS1682" i="1" s="1"/>
  <c r="AP1682" i="1"/>
  <c r="AQ1680" i="1"/>
  <c r="AR1680" i="1" s="1"/>
  <c r="AP1680" i="1"/>
  <c r="AQ1681" i="1"/>
  <c r="AT1681" i="1" s="1"/>
  <c r="AP1681" i="1"/>
  <c r="AQ1679" i="1"/>
  <c r="AP1679" i="1"/>
  <c r="AQ1678" i="1"/>
  <c r="AT1678" i="1" s="1"/>
  <c r="AP1678" i="1"/>
  <c r="AQ1677" i="1"/>
  <c r="AS1677" i="1" s="1"/>
  <c r="AP1677" i="1"/>
  <c r="AQ1676" i="1"/>
  <c r="AT1676" i="1" s="1"/>
  <c r="AP1676" i="1"/>
  <c r="AQ1675" i="1"/>
  <c r="AS1675" i="1" s="1"/>
  <c r="AP1675" i="1"/>
  <c r="AQ1674" i="1"/>
  <c r="AR1674" i="1" s="1"/>
  <c r="AP1674" i="1"/>
  <c r="AQ1673" i="1"/>
  <c r="AS1673" i="1" s="1"/>
  <c r="AP1673" i="1"/>
  <c r="AQ1672" i="1"/>
  <c r="AP1672" i="1"/>
  <c r="AQ1671" i="1"/>
  <c r="AP1671" i="1"/>
  <c r="AQ1670" i="1"/>
  <c r="AT1670" i="1" s="1"/>
  <c r="AP1670" i="1"/>
  <c r="AQ1669" i="1"/>
  <c r="AP1669" i="1"/>
  <c r="AQ1668" i="1"/>
  <c r="AP1668" i="1"/>
  <c r="AQ1667" i="1"/>
  <c r="AR1667" i="1" s="1"/>
  <c r="AP1667" i="1"/>
  <c r="AQ1666" i="1"/>
  <c r="AT1666" i="1" s="1"/>
  <c r="AP1666" i="1"/>
  <c r="AQ1665" i="1"/>
  <c r="AP1665" i="1"/>
  <c r="AQ1664" i="1"/>
  <c r="AP1664" i="1"/>
  <c r="AQ1663" i="1"/>
  <c r="AP1663" i="1"/>
  <c r="AQ1662" i="1"/>
  <c r="AT1662" i="1" s="1"/>
  <c r="AP1662" i="1"/>
  <c r="AQ1661" i="1"/>
  <c r="AS1661" i="1" s="1"/>
  <c r="AP1661" i="1"/>
  <c r="AQ1660" i="1"/>
  <c r="AT1660" i="1" s="1"/>
  <c r="AP1660" i="1"/>
  <c r="AQ1659" i="1"/>
  <c r="AP1659" i="1"/>
  <c r="AQ1658" i="1"/>
  <c r="AR1658" i="1" s="1"/>
  <c r="AP1658" i="1"/>
  <c r="AQ1657" i="1"/>
  <c r="AP1657" i="1"/>
  <c r="AQ1656" i="1"/>
  <c r="AP1656" i="1"/>
  <c r="AQ1655" i="1"/>
  <c r="AT1655" i="1" s="1"/>
  <c r="AP1655" i="1"/>
  <c r="AQ1654" i="1"/>
  <c r="AT1654" i="1" s="1"/>
  <c r="AP1654" i="1"/>
  <c r="AQ1653" i="1"/>
  <c r="AT1653" i="1" s="1"/>
  <c r="AP1653" i="1"/>
  <c r="AQ1652" i="1"/>
  <c r="AS1652" i="1" s="1"/>
  <c r="AP1652" i="1"/>
  <c r="AQ1651" i="1"/>
  <c r="AP1651" i="1"/>
  <c r="AQ1650" i="1"/>
  <c r="AS1650" i="1" s="1"/>
  <c r="AP1650" i="1"/>
  <c r="AQ1649" i="1"/>
  <c r="AP1649" i="1"/>
  <c r="AQ1648" i="1"/>
  <c r="AT1648" i="1" s="1"/>
  <c r="AP1648" i="1"/>
  <c r="AQ1647" i="1"/>
  <c r="AP1647" i="1"/>
  <c r="AQ1646" i="1"/>
  <c r="AT1646" i="1" s="1"/>
  <c r="AP1646" i="1"/>
  <c r="AQ1644" i="1"/>
  <c r="AP1644" i="1"/>
  <c r="AQ1645" i="1"/>
  <c r="AP1645" i="1"/>
  <c r="AQ1643" i="1"/>
  <c r="AP1643" i="1"/>
  <c r="AQ1642" i="1"/>
  <c r="AR1642" i="1" s="1"/>
  <c r="AP1642" i="1"/>
  <c r="AQ1641" i="1"/>
  <c r="AT1641" i="1" s="1"/>
  <c r="AP1641" i="1"/>
  <c r="AQ1640" i="1"/>
  <c r="AS1640" i="1" s="1"/>
  <c r="AP1640" i="1"/>
  <c r="AQ1639" i="1"/>
  <c r="AR1639" i="1" s="1"/>
  <c r="AP1639" i="1"/>
  <c r="AQ1638" i="1"/>
  <c r="AT1638" i="1" s="1"/>
  <c r="AP1638" i="1"/>
  <c r="AQ1637" i="1"/>
  <c r="AP1637" i="1"/>
  <c r="AQ1636" i="1"/>
  <c r="AT1636" i="1" s="1"/>
  <c r="AP1636" i="1"/>
  <c r="AQ1635" i="1"/>
  <c r="AP1635" i="1"/>
  <c r="AQ1634" i="1"/>
  <c r="AR1634" i="1" s="1"/>
  <c r="AP1634" i="1"/>
  <c r="AQ1633" i="1"/>
  <c r="AP1633" i="1"/>
  <c r="AQ1632" i="1"/>
  <c r="AP1632" i="1"/>
  <c r="AQ1631" i="1"/>
  <c r="AP1631" i="1"/>
  <c r="AQ1628" i="1"/>
  <c r="AT1628" i="1" s="1"/>
  <c r="AP1628" i="1"/>
  <c r="AQ1630" i="1"/>
  <c r="AS1630" i="1" s="1"/>
  <c r="AP1630" i="1"/>
  <c r="AQ1629" i="1"/>
  <c r="AR1629" i="1" s="1"/>
  <c r="AP1629" i="1"/>
  <c r="AQ1627" i="1"/>
  <c r="AP1627" i="1"/>
  <c r="AQ1626" i="1"/>
  <c r="AR1626" i="1" s="1"/>
  <c r="AP1626" i="1"/>
  <c r="AQ1625" i="1"/>
  <c r="AP1625" i="1"/>
  <c r="AQ1624" i="1"/>
  <c r="AP1624" i="1"/>
  <c r="AQ1623" i="1"/>
  <c r="AT1623" i="1" s="1"/>
  <c r="AP1623" i="1"/>
  <c r="AQ1622" i="1"/>
  <c r="AS1622" i="1" s="1"/>
  <c r="AP1622" i="1"/>
  <c r="AQ1621" i="1"/>
  <c r="AT1621" i="1" s="1"/>
  <c r="AP1621" i="1"/>
  <c r="AQ1620" i="1"/>
  <c r="AP1620" i="1"/>
  <c r="AQ1619" i="1"/>
  <c r="AT1619" i="1" s="1"/>
  <c r="AP1619" i="1"/>
  <c r="AQ1618" i="1"/>
  <c r="AR1618" i="1" s="1"/>
  <c r="AP1618" i="1"/>
  <c r="AQ1617" i="1"/>
  <c r="AP1617" i="1"/>
  <c r="AQ1616" i="1"/>
  <c r="AP1616" i="1"/>
  <c r="AQ1615" i="1"/>
  <c r="AP1615" i="1"/>
  <c r="AQ1614" i="1"/>
  <c r="AS1614" i="1" s="1"/>
  <c r="AP1614" i="1"/>
  <c r="AQ1613" i="1"/>
  <c r="AP1613" i="1"/>
  <c r="AQ1612" i="1"/>
  <c r="AP1612" i="1"/>
  <c r="AQ1611" i="1"/>
  <c r="AP1611" i="1"/>
  <c r="AQ1610" i="1"/>
  <c r="AT1610" i="1" s="1"/>
  <c r="AP1610" i="1"/>
  <c r="AQ1609" i="1"/>
  <c r="AR1609" i="1" s="1"/>
  <c r="AP1609" i="1"/>
  <c r="AQ1608" i="1"/>
  <c r="AP1608" i="1"/>
  <c r="AQ1607" i="1"/>
  <c r="AP1607" i="1"/>
  <c r="AQ1606" i="1"/>
  <c r="AS1606" i="1" s="1"/>
  <c r="AP1606" i="1"/>
  <c r="AQ1605" i="1"/>
  <c r="AP1605" i="1"/>
  <c r="AQ1604" i="1"/>
  <c r="AP1604" i="1"/>
  <c r="AQ1603" i="1"/>
  <c r="AS1603" i="1" s="1"/>
  <c r="AP1603" i="1"/>
  <c r="AQ1602" i="1"/>
  <c r="AS1602" i="1" s="1"/>
  <c r="AP1602" i="1"/>
  <c r="AQ1600" i="1"/>
  <c r="AT1600" i="1" s="1"/>
  <c r="AP1600" i="1"/>
  <c r="AQ1601" i="1"/>
  <c r="AP1601" i="1"/>
  <c r="AQ1599" i="1"/>
  <c r="AP1599" i="1"/>
  <c r="AQ1598" i="1"/>
  <c r="AS1598" i="1" s="1"/>
  <c r="AP1598" i="1"/>
  <c r="AQ1597" i="1"/>
  <c r="AR1597" i="1" s="1"/>
  <c r="AP1597" i="1"/>
  <c r="AQ1596" i="1"/>
  <c r="AP1596" i="1"/>
  <c r="AQ1595" i="1"/>
  <c r="AP1595" i="1"/>
  <c r="AQ1594" i="1"/>
  <c r="AS1594" i="1" s="1"/>
  <c r="AP1594" i="1"/>
  <c r="AQ1593" i="1"/>
  <c r="AT1593" i="1" s="1"/>
  <c r="AP1593" i="1"/>
  <c r="AQ1592" i="1"/>
  <c r="AP1592" i="1"/>
  <c r="AQ1591" i="1"/>
  <c r="AP1591" i="1"/>
  <c r="AQ1590" i="1"/>
  <c r="AS1590" i="1" s="1"/>
  <c r="AP1590" i="1"/>
  <c r="AQ1589" i="1"/>
  <c r="AS1589" i="1" s="1"/>
  <c r="AP1589" i="1"/>
  <c r="AQ1588" i="1"/>
  <c r="AP1588" i="1"/>
  <c r="AQ1587" i="1"/>
  <c r="AT1587" i="1" s="1"/>
  <c r="AP1587" i="1"/>
  <c r="AQ1586" i="1"/>
  <c r="AS1586" i="1" s="1"/>
  <c r="AP1586" i="1"/>
  <c r="AQ1585" i="1"/>
  <c r="AS1585" i="1" s="1"/>
  <c r="AP1585" i="1"/>
  <c r="AQ1584" i="1"/>
  <c r="AP1584" i="1"/>
  <c r="AQ1583" i="1"/>
  <c r="AR1583" i="1" s="1"/>
  <c r="AP1583" i="1"/>
  <c r="AQ1582" i="1"/>
  <c r="AS1582" i="1" s="1"/>
  <c r="AP1582" i="1"/>
  <c r="AQ1581" i="1"/>
  <c r="AS1581" i="1" s="1"/>
  <c r="AP1581" i="1"/>
  <c r="AQ1580" i="1"/>
  <c r="AT1580" i="1" s="1"/>
  <c r="AP1580" i="1"/>
  <c r="AQ1579" i="1"/>
  <c r="AP1579" i="1"/>
  <c r="AQ1578" i="1"/>
  <c r="AS1578" i="1" s="1"/>
  <c r="AP1578" i="1"/>
  <c r="AQ1577" i="1"/>
  <c r="AR1577" i="1" s="1"/>
  <c r="AP1577" i="1"/>
  <c r="AQ1576" i="1"/>
  <c r="AS1576" i="1" s="1"/>
  <c r="AP1576" i="1"/>
  <c r="AQ1575" i="1"/>
  <c r="AS1575" i="1" s="1"/>
  <c r="AP1575" i="1"/>
  <c r="AQ1574" i="1"/>
  <c r="AS1574" i="1" s="1"/>
  <c r="AP1574" i="1"/>
  <c r="AQ1573" i="1"/>
  <c r="AT1573" i="1" s="1"/>
  <c r="AP1573" i="1"/>
  <c r="AQ1572" i="1"/>
  <c r="AT1572" i="1" s="1"/>
  <c r="AP1572" i="1"/>
  <c r="AQ1571" i="1"/>
  <c r="AS1571" i="1" s="1"/>
  <c r="AP1571" i="1"/>
  <c r="AQ1570" i="1"/>
  <c r="AT1570" i="1" s="1"/>
  <c r="AP1570" i="1"/>
  <c r="AQ1569" i="1"/>
  <c r="AS1569" i="1" s="1"/>
  <c r="AP1569" i="1"/>
  <c r="AQ1568" i="1"/>
  <c r="AP1568" i="1"/>
  <c r="AQ1567" i="1"/>
  <c r="AP1567" i="1"/>
  <c r="AQ1566" i="1"/>
  <c r="AS1566" i="1" s="1"/>
  <c r="AP1566" i="1"/>
  <c r="AQ1565" i="1"/>
  <c r="AR1565" i="1" s="1"/>
  <c r="AP1565" i="1"/>
  <c r="AQ1564" i="1"/>
  <c r="AP1564" i="1"/>
  <c r="AQ1563" i="1"/>
  <c r="AS1563" i="1" s="1"/>
  <c r="AP1563" i="1"/>
  <c r="AQ1562" i="1"/>
  <c r="AR1562" i="1" s="1"/>
  <c r="AP1562" i="1"/>
  <c r="AQ1561" i="1"/>
  <c r="AT1561" i="1" s="1"/>
  <c r="AP1561" i="1"/>
  <c r="AQ1560" i="1"/>
  <c r="AP1560" i="1"/>
  <c r="AQ1559" i="1"/>
  <c r="AT1559" i="1" s="1"/>
  <c r="AP1559" i="1"/>
  <c r="AQ1558" i="1"/>
  <c r="AS1558" i="1" s="1"/>
  <c r="AP1558" i="1"/>
  <c r="AQ1557" i="1"/>
  <c r="AS1557" i="1" s="1"/>
  <c r="AP1557" i="1"/>
  <c r="AQ1556" i="1"/>
  <c r="AP1556" i="1"/>
  <c r="AQ1555" i="1"/>
  <c r="AP1555" i="1"/>
  <c r="AQ1554" i="1"/>
  <c r="AR1554" i="1" s="1"/>
  <c r="AP1554" i="1"/>
  <c r="AQ1553" i="1"/>
  <c r="AR1553" i="1" s="1"/>
  <c r="AP1553" i="1"/>
  <c r="AQ1552" i="1"/>
  <c r="AP1552" i="1"/>
  <c r="AQ1551" i="1"/>
  <c r="AR1551" i="1" s="1"/>
  <c r="AP1551" i="1"/>
  <c r="AQ1550" i="1"/>
  <c r="AS1550" i="1" s="1"/>
  <c r="AP1550" i="1"/>
  <c r="AQ1549" i="1"/>
  <c r="AR1549" i="1" s="1"/>
  <c r="AP1549" i="1"/>
  <c r="AQ1548" i="1"/>
  <c r="AP1548" i="1"/>
  <c r="AQ1547" i="1"/>
  <c r="AR1547" i="1" s="1"/>
  <c r="AP1547" i="1"/>
  <c r="AQ1546" i="1"/>
  <c r="AS1546" i="1" s="1"/>
  <c r="AP1546" i="1"/>
  <c r="AQ1545" i="1"/>
  <c r="AT1545" i="1" s="1"/>
  <c r="AP1545" i="1"/>
  <c r="AQ1544" i="1"/>
  <c r="AP1544" i="1"/>
  <c r="AQ1543" i="1"/>
  <c r="AT1543" i="1" s="1"/>
  <c r="AP1543" i="1"/>
  <c r="AQ1542" i="1"/>
  <c r="AS1542" i="1" s="1"/>
  <c r="AP1542" i="1"/>
  <c r="AQ1541" i="1"/>
  <c r="AP1541" i="1"/>
  <c r="AQ1540" i="1"/>
  <c r="AT1540" i="1" s="1"/>
  <c r="AP1540" i="1"/>
  <c r="AQ1539" i="1"/>
  <c r="AR1539" i="1" s="1"/>
  <c r="AP1539" i="1"/>
  <c r="AQ1538" i="1"/>
  <c r="AS1538" i="1" s="1"/>
  <c r="AP1538" i="1"/>
  <c r="AQ1537" i="1"/>
  <c r="AP1537" i="1"/>
  <c r="AQ1536" i="1"/>
  <c r="AP1536" i="1"/>
  <c r="AQ1535" i="1"/>
  <c r="AR1535" i="1" s="1"/>
  <c r="AP1535" i="1"/>
  <c r="AQ1534" i="1"/>
  <c r="AS1534" i="1" s="1"/>
  <c r="AP1534" i="1"/>
  <c r="AQ1533" i="1"/>
  <c r="AP1533" i="1"/>
  <c r="AQ1532" i="1"/>
  <c r="AP1532" i="1"/>
  <c r="AQ1531" i="1"/>
  <c r="AT1531" i="1" s="1"/>
  <c r="AP1531" i="1"/>
  <c r="AQ1530" i="1"/>
  <c r="AS1530" i="1" s="1"/>
  <c r="AP1530" i="1"/>
  <c r="AQ1529" i="1"/>
  <c r="AP1529" i="1"/>
  <c r="AQ1528" i="1"/>
  <c r="AP1528" i="1"/>
  <c r="AQ1527" i="1"/>
  <c r="AP1527" i="1"/>
  <c r="AQ1526" i="1"/>
  <c r="AS1526" i="1" s="1"/>
  <c r="AP1526" i="1"/>
  <c r="AQ1525" i="1"/>
  <c r="AP1525" i="1"/>
  <c r="AQ1524" i="1"/>
  <c r="AP1524" i="1"/>
  <c r="AQ1523" i="1"/>
  <c r="AR1523" i="1" s="1"/>
  <c r="AP1523" i="1"/>
  <c r="AQ1522" i="1"/>
  <c r="AS1522" i="1" s="1"/>
  <c r="AP1522" i="1"/>
  <c r="AQ1521" i="1"/>
  <c r="AP1521" i="1"/>
  <c r="AQ1520" i="1"/>
  <c r="AP1520" i="1"/>
  <c r="AQ1519" i="1"/>
  <c r="AP1519" i="1"/>
  <c r="AQ1518" i="1"/>
  <c r="AS1518" i="1" s="1"/>
  <c r="AP1518" i="1"/>
  <c r="AQ1517" i="1"/>
  <c r="AR1517" i="1" s="1"/>
  <c r="AP1517" i="1"/>
  <c r="AQ1516" i="1"/>
  <c r="AP1516" i="1"/>
  <c r="AQ1515" i="1"/>
  <c r="AT1515" i="1" s="1"/>
  <c r="AP1515" i="1"/>
  <c r="AQ1514" i="1"/>
  <c r="AT1514" i="1" s="1"/>
  <c r="AP1514" i="1"/>
  <c r="AQ1513" i="1"/>
  <c r="AP1513" i="1"/>
  <c r="AQ1512" i="1"/>
  <c r="AP1512" i="1"/>
  <c r="AQ1511" i="1"/>
  <c r="AP1511" i="1"/>
  <c r="AQ1510" i="1"/>
  <c r="AS1510" i="1" s="1"/>
  <c r="AP1510" i="1"/>
  <c r="AQ1509" i="1"/>
  <c r="AR1509" i="1" s="1"/>
  <c r="AP1509" i="1"/>
  <c r="AQ1508" i="1"/>
  <c r="AP1508" i="1"/>
  <c r="AQ1507" i="1"/>
  <c r="AR1507" i="1" s="1"/>
  <c r="AP1507" i="1"/>
  <c r="AQ1506" i="1"/>
  <c r="AR1506" i="1" s="1"/>
  <c r="AP1506" i="1"/>
  <c r="AQ1505" i="1"/>
  <c r="AP1505" i="1"/>
  <c r="AQ1504" i="1"/>
  <c r="AP1504" i="1"/>
  <c r="AQ1503" i="1"/>
  <c r="AT1503" i="1" s="1"/>
  <c r="AP1503" i="1"/>
  <c r="AQ1502" i="1"/>
  <c r="AS1502" i="1" s="1"/>
  <c r="AP1502" i="1"/>
  <c r="AQ1501" i="1"/>
  <c r="AP1501" i="1"/>
  <c r="AQ1500" i="1"/>
  <c r="AP1500" i="1"/>
  <c r="AQ1499" i="1"/>
  <c r="AS1499" i="1" s="1"/>
  <c r="AP1499" i="1"/>
  <c r="AQ1498" i="1"/>
  <c r="AS1498" i="1" s="1"/>
  <c r="AP1498" i="1"/>
  <c r="AQ1497" i="1"/>
  <c r="AR1497" i="1" s="1"/>
  <c r="AP1497" i="1"/>
  <c r="AQ1496" i="1"/>
  <c r="AP1496" i="1"/>
  <c r="AQ1495" i="1"/>
  <c r="AP1495" i="1"/>
  <c r="AQ1494" i="1"/>
  <c r="AS1494" i="1" s="1"/>
  <c r="AP1494" i="1"/>
  <c r="AQ1493" i="1"/>
  <c r="AR1493" i="1" s="1"/>
  <c r="AP1493" i="1"/>
  <c r="AQ1492" i="1"/>
  <c r="AP1492" i="1"/>
  <c r="AQ1491" i="1"/>
  <c r="AS1491" i="1" s="1"/>
  <c r="AP1491" i="1"/>
  <c r="AQ1490" i="1"/>
  <c r="AS1490" i="1" s="1"/>
  <c r="AP1490" i="1"/>
  <c r="AQ1489" i="1"/>
  <c r="AR1489" i="1" s="1"/>
  <c r="AP1489" i="1"/>
  <c r="AQ1488" i="1"/>
  <c r="AP1488" i="1"/>
  <c r="AQ1487" i="1"/>
  <c r="AP1487" i="1"/>
  <c r="BA1486" i="1"/>
  <c r="AX1486" i="1"/>
  <c r="AZ1486" i="1" s="1"/>
  <c r="AV1486" i="1"/>
  <c r="AU1486" i="1"/>
  <c r="AQ1486" i="1"/>
  <c r="AP1486" i="1"/>
  <c r="AQ1485" i="1"/>
  <c r="AS1485" i="1" s="1"/>
  <c r="AP1485" i="1"/>
  <c r="AQ1484" i="1"/>
  <c r="AR1484" i="1" s="1"/>
  <c r="AP1484" i="1"/>
  <c r="AQ1483" i="1"/>
  <c r="AP1483" i="1"/>
  <c r="AQ1482" i="1"/>
  <c r="AP1482" i="1"/>
  <c r="AQ1481" i="1"/>
  <c r="AT1481" i="1" s="1"/>
  <c r="AP1481" i="1"/>
  <c r="AQ1480" i="1"/>
  <c r="AR1480" i="1" s="1"/>
  <c r="AP1480" i="1"/>
  <c r="AQ1479" i="1"/>
  <c r="AP1479" i="1"/>
  <c r="AQ1478" i="1"/>
  <c r="AP1478" i="1"/>
  <c r="AQ1477" i="1"/>
  <c r="AS1477" i="1" s="1"/>
  <c r="AP1477" i="1"/>
  <c r="AQ1476" i="1"/>
  <c r="AR1476" i="1" s="1"/>
  <c r="AP1476" i="1"/>
  <c r="AQ1475" i="1"/>
  <c r="AS1475" i="1" s="1"/>
  <c r="AP1475" i="1"/>
  <c r="AQ1474" i="1"/>
  <c r="AP1474" i="1"/>
  <c r="AQ1473" i="1"/>
  <c r="AT1473" i="1" s="1"/>
  <c r="AP1473" i="1"/>
  <c r="AQ1472" i="1"/>
  <c r="AR1472" i="1" s="1"/>
  <c r="AP1472" i="1"/>
  <c r="AQ1471" i="1"/>
  <c r="AP1471" i="1"/>
  <c r="AQ1304" i="1"/>
  <c r="AP1304" i="1"/>
  <c r="AQ1470" i="1"/>
  <c r="AP1470" i="1"/>
  <c r="AQ1469" i="1"/>
  <c r="AR1469" i="1" s="1"/>
  <c r="AP1469" i="1"/>
  <c r="AQ1468" i="1"/>
  <c r="AP1468" i="1"/>
  <c r="AQ1467" i="1"/>
  <c r="AP1467" i="1"/>
  <c r="AQ1466" i="1"/>
  <c r="AT1466" i="1" s="1"/>
  <c r="AP1466" i="1"/>
  <c r="AQ1465" i="1"/>
  <c r="AR1465" i="1" s="1"/>
  <c r="AP1465" i="1"/>
  <c r="AQ1464" i="1"/>
  <c r="AP1464" i="1"/>
  <c r="AQ1463" i="1"/>
  <c r="AP1463" i="1"/>
  <c r="AQ1462" i="1"/>
  <c r="AP1462" i="1"/>
  <c r="AQ1461" i="1"/>
  <c r="AR1461" i="1" s="1"/>
  <c r="AP1461" i="1"/>
  <c r="AQ1460" i="1"/>
  <c r="AP1460" i="1"/>
  <c r="AQ1459" i="1"/>
  <c r="AP1459" i="1"/>
  <c r="AQ1458" i="1"/>
  <c r="AT1458" i="1" s="1"/>
  <c r="AP1458" i="1"/>
  <c r="AQ1457" i="1"/>
  <c r="AR1457" i="1" s="1"/>
  <c r="AP1457" i="1"/>
  <c r="AQ1456" i="1"/>
  <c r="AT1456" i="1" s="1"/>
  <c r="AP1456" i="1"/>
  <c r="AQ1455" i="1"/>
  <c r="AP1455" i="1"/>
  <c r="AQ1454" i="1"/>
  <c r="AP1454" i="1"/>
  <c r="AQ1453" i="1"/>
  <c r="AR1453" i="1" s="1"/>
  <c r="AP1453" i="1"/>
  <c r="AQ1452" i="1"/>
  <c r="AT1452" i="1" s="1"/>
  <c r="AP1452" i="1"/>
  <c r="AQ1451" i="1"/>
  <c r="AP1451" i="1"/>
  <c r="AQ1450" i="1"/>
  <c r="AP1450" i="1"/>
  <c r="AQ1449" i="1"/>
  <c r="AR1449" i="1" s="1"/>
  <c r="AP1449" i="1"/>
  <c r="AQ1448" i="1"/>
  <c r="AT1448" i="1" s="1"/>
  <c r="AP1448" i="1"/>
  <c r="AQ1447" i="1"/>
  <c r="AP1447" i="1"/>
  <c r="AQ1446" i="1"/>
  <c r="AP1446" i="1"/>
  <c r="AQ1445" i="1"/>
  <c r="AR1445" i="1" s="1"/>
  <c r="AP1445" i="1"/>
  <c r="AQ1444" i="1"/>
  <c r="AT1444" i="1" s="1"/>
  <c r="AP1444" i="1"/>
  <c r="AQ1443" i="1"/>
  <c r="AP1443" i="1"/>
  <c r="AQ1441" i="1"/>
  <c r="AP1441" i="1"/>
  <c r="AQ1440" i="1"/>
  <c r="AR1440" i="1" s="1"/>
  <c r="AP1440" i="1"/>
  <c r="AQ1439" i="1"/>
  <c r="AS1439" i="1" s="1"/>
  <c r="AP1439" i="1"/>
  <c r="AQ1438" i="1"/>
  <c r="AP1438" i="1"/>
  <c r="AQ1437" i="1"/>
  <c r="AP1437" i="1"/>
  <c r="AQ1436" i="1"/>
  <c r="AR1436" i="1" s="1"/>
  <c r="AP1436" i="1"/>
  <c r="AQ1435" i="1"/>
  <c r="AT1435" i="1" s="1"/>
  <c r="AP1435" i="1"/>
  <c r="AQ1434" i="1"/>
  <c r="AP1434" i="1"/>
  <c r="AQ1433" i="1"/>
  <c r="AR1433" i="1" s="1"/>
  <c r="AP1433" i="1"/>
  <c r="AQ1432" i="1"/>
  <c r="AR1432" i="1" s="1"/>
  <c r="AP1432" i="1"/>
  <c r="AQ1431" i="1"/>
  <c r="AS1431" i="1" s="1"/>
  <c r="AP1431" i="1"/>
  <c r="AQ1430" i="1"/>
  <c r="AT1430" i="1" s="1"/>
  <c r="AP1430" i="1"/>
  <c r="AQ1429" i="1"/>
  <c r="AP1429" i="1"/>
  <c r="AQ1428" i="1"/>
  <c r="AR1428" i="1" s="1"/>
  <c r="AP1428" i="1"/>
  <c r="AQ1427" i="1"/>
  <c r="AS1427" i="1" s="1"/>
  <c r="AP1427" i="1"/>
  <c r="AQ1426" i="1"/>
  <c r="AP1426" i="1"/>
  <c r="AQ1425" i="1"/>
  <c r="AP1425" i="1"/>
  <c r="AQ1424" i="1"/>
  <c r="AR1424" i="1" s="1"/>
  <c r="AP1424" i="1"/>
  <c r="AQ1423" i="1"/>
  <c r="AS1423" i="1" s="1"/>
  <c r="AP1423" i="1"/>
  <c r="AQ1422" i="1"/>
  <c r="AP1422" i="1"/>
  <c r="AQ1421" i="1"/>
  <c r="AP1421" i="1"/>
  <c r="AQ1420" i="1"/>
  <c r="AR1420" i="1" s="1"/>
  <c r="AP1420" i="1"/>
  <c r="AQ1419" i="1"/>
  <c r="AT1419" i="1" s="1"/>
  <c r="AP1419" i="1"/>
  <c r="AQ1418" i="1"/>
  <c r="AP1418" i="1"/>
  <c r="AQ1417" i="1"/>
  <c r="AP1417" i="1"/>
  <c r="AQ1416" i="1"/>
  <c r="AR1416" i="1" s="1"/>
  <c r="AP1416" i="1"/>
  <c r="AQ1415" i="1"/>
  <c r="AS1415" i="1" s="1"/>
  <c r="AP1415" i="1"/>
  <c r="AQ1414" i="1"/>
  <c r="AP1414" i="1"/>
  <c r="AQ1413" i="1"/>
  <c r="AP1413" i="1"/>
  <c r="AQ1412" i="1"/>
  <c r="AR1412" i="1" s="1"/>
  <c r="AP1412" i="1"/>
  <c r="AQ1411" i="1"/>
  <c r="AT1411" i="1" s="1"/>
  <c r="AP1411" i="1"/>
  <c r="AQ1410" i="1"/>
  <c r="AP1410" i="1"/>
  <c r="AQ1409" i="1"/>
  <c r="AP1409" i="1"/>
  <c r="AQ1408" i="1"/>
  <c r="AR1408" i="1" s="1"/>
  <c r="AP1408" i="1"/>
  <c r="AQ1407" i="1"/>
  <c r="AS1407" i="1" s="1"/>
  <c r="AP1407" i="1"/>
  <c r="AQ1406" i="1"/>
  <c r="AP1406" i="1"/>
  <c r="AQ1405" i="1"/>
  <c r="AP1405" i="1"/>
  <c r="AQ1404" i="1"/>
  <c r="AR1404" i="1" s="1"/>
  <c r="AP1404" i="1"/>
  <c r="AQ1403" i="1"/>
  <c r="AT1403" i="1" s="1"/>
  <c r="AP1403" i="1"/>
  <c r="AQ1402" i="1"/>
  <c r="AP1402" i="1"/>
  <c r="AQ1401" i="1"/>
  <c r="AP1401" i="1"/>
  <c r="AQ1400" i="1"/>
  <c r="AR1400" i="1" s="1"/>
  <c r="AP1400" i="1"/>
  <c r="AQ1399" i="1"/>
  <c r="AS1399" i="1" s="1"/>
  <c r="AP1399" i="1"/>
  <c r="AQ1398" i="1"/>
  <c r="AT1398" i="1" s="1"/>
  <c r="AP1398" i="1"/>
  <c r="AQ1397" i="1"/>
  <c r="AP1397" i="1"/>
  <c r="AQ1396" i="1"/>
  <c r="AR1396" i="1" s="1"/>
  <c r="AP1396" i="1"/>
  <c r="AQ1395" i="1"/>
  <c r="AS1395" i="1" s="1"/>
  <c r="AP1395" i="1"/>
  <c r="AQ1394" i="1"/>
  <c r="AP1394" i="1"/>
  <c r="AQ1393" i="1"/>
  <c r="AR1393" i="1" s="1"/>
  <c r="AP1393" i="1"/>
  <c r="AQ1392" i="1"/>
  <c r="AR1392" i="1" s="1"/>
  <c r="AP1392" i="1"/>
  <c r="AQ1391" i="1"/>
  <c r="AT1391" i="1" s="1"/>
  <c r="AP1391" i="1"/>
  <c r="AQ1390" i="1"/>
  <c r="AP1390" i="1"/>
  <c r="AQ1389" i="1"/>
  <c r="AP1389" i="1"/>
  <c r="AQ1388" i="1"/>
  <c r="AR1388" i="1" s="1"/>
  <c r="AP1388" i="1"/>
  <c r="AQ1386" i="1"/>
  <c r="AS1386" i="1" s="1"/>
  <c r="AP1386" i="1"/>
  <c r="AQ1387" i="1"/>
  <c r="AP1387" i="1"/>
  <c r="AQ1385" i="1"/>
  <c r="AT1385" i="1" s="1"/>
  <c r="AP1385" i="1"/>
  <c r="AQ1384" i="1"/>
  <c r="AR1384" i="1" s="1"/>
  <c r="AP1384" i="1"/>
  <c r="AQ1383" i="1"/>
  <c r="AS1383" i="1" s="1"/>
  <c r="AP1383" i="1"/>
  <c r="AQ1382" i="1"/>
  <c r="AP1382" i="1"/>
  <c r="AQ1381" i="1"/>
  <c r="AP1381" i="1"/>
  <c r="AQ1380" i="1"/>
  <c r="AR1380" i="1" s="1"/>
  <c r="AP1380" i="1"/>
  <c r="AQ1379" i="1"/>
  <c r="AR1379" i="1" s="1"/>
  <c r="AP1379" i="1"/>
  <c r="AQ1378" i="1"/>
  <c r="AR1378" i="1" s="1"/>
  <c r="AP1378" i="1"/>
  <c r="AQ1377" i="1"/>
  <c r="AP1377" i="1"/>
  <c r="AQ1376" i="1"/>
  <c r="AR1376" i="1" s="1"/>
  <c r="AP1376" i="1"/>
  <c r="AQ1375" i="1"/>
  <c r="AS1375" i="1" s="1"/>
  <c r="AP1375" i="1"/>
  <c r="AQ1374" i="1"/>
  <c r="AP1374" i="1"/>
  <c r="AQ1373" i="1"/>
  <c r="AP1373" i="1"/>
  <c r="AQ1372" i="1"/>
  <c r="AT1372" i="1" s="1"/>
  <c r="AP1372" i="1"/>
  <c r="AQ1371" i="1"/>
  <c r="AT1371" i="1" s="1"/>
  <c r="AP1371" i="1"/>
  <c r="AQ1370" i="1"/>
  <c r="AP1370" i="1"/>
  <c r="AQ1369" i="1"/>
  <c r="AP1369" i="1"/>
  <c r="AQ1368" i="1"/>
  <c r="AS1368" i="1" s="1"/>
  <c r="AP1368" i="1"/>
  <c r="AQ1367" i="1"/>
  <c r="AS1367" i="1" s="1"/>
  <c r="AP1367" i="1"/>
  <c r="AQ1366" i="1"/>
  <c r="AP1366" i="1"/>
  <c r="AQ1365" i="1"/>
  <c r="AR1365" i="1" s="1"/>
  <c r="AP1365" i="1"/>
  <c r="AQ1364" i="1"/>
  <c r="AP1364" i="1"/>
  <c r="AQ1363" i="1"/>
  <c r="AS1363" i="1" s="1"/>
  <c r="AP1363" i="1"/>
  <c r="AQ1362" i="1"/>
  <c r="AP1362" i="1"/>
  <c r="AQ1361" i="1"/>
  <c r="AS1361" i="1" s="1"/>
  <c r="AP1361" i="1"/>
  <c r="AQ1360" i="1"/>
  <c r="AS1360" i="1" s="1"/>
  <c r="AP1360" i="1"/>
  <c r="AQ1359" i="1"/>
  <c r="AT1359" i="1" s="1"/>
  <c r="AP1359" i="1"/>
  <c r="AQ1358" i="1"/>
  <c r="AP1358" i="1"/>
  <c r="AQ1357" i="1"/>
  <c r="AP1357" i="1"/>
  <c r="AQ1356" i="1"/>
  <c r="AP1356" i="1"/>
  <c r="AQ1355" i="1"/>
  <c r="AT1355" i="1" s="1"/>
  <c r="AP1355" i="1"/>
  <c r="AQ1354" i="1"/>
  <c r="AS1354" i="1" s="1"/>
  <c r="AP1354" i="1"/>
  <c r="AQ1353" i="1"/>
  <c r="AR1353" i="1" s="1"/>
  <c r="AP1353" i="1"/>
  <c r="AQ1352" i="1"/>
  <c r="AP1352" i="1"/>
  <c r="AQ1351" i="1"/>
  <c r="AS1351" i="1" s="1"/>
  <c r="AP1351" i="1"/>
  <c r="AQ1350" i="1"/>
  <c r="AS1350" i="1" s="1"/>
  <c r="AP1350" i="1"/>
  <c r="AQ1349" i="1"/>
  <c r="AS1349" i="1" s="1"/>
  <c r="AP1349" i="1"/>
  <c r="AQ1348" i="1"/>
  <c r="AT1348" i="1" s="1"/>
  <c r="AP1348" i="1"/>
  <c r="AQ1347" i="1"/>
  <c r="AT1347" i="1" s="1"/>
  <c r="AP1347" i="1"/>
  <c r="AQ1346" i="1"/>
  <c r="AP1346" i="1"/>
  <c r="AQ1345" i="1"/>
  <c r="AP1345" i="1"/>
  <c r="AQ1344" i="1"/>
  <c r="AP1344" i="1"/>
  <c r="AQ1343" i="1"/>
  <c r="AS1343" i="1" s="1"/>
  <c r="AP1343" i="1"/>
  <c r="AQ1342" i="1"/>
  <c r="AS1342" i="1" s="1"/>
  <c r="AP1342" i="1"/>
  <c r="AQ1341" i="1"/>
  <c r="AS1341" i="1" s="1"/>
  <c r="AP1341" i="1"/>
  <c r="AQ1340" i="1"/>
  <c r="AT1340" i="1" s="1"/>
  <c r="AP1340" i="1"/>
  <c r="AQ1339" i="1"/>
  <c r="AT1339" i="1" s="1"/>
  <c r="AP1339" i="1"/>
  <c r="AQ1338" i="1"/>
  <c r="AS1338" i="1" s="1"/>
  <c r="AP1338" i="1"/>
  <c r="AQ1337" i="1"/>
  <c r="AS1337" i="1" s="1"/>
  <c r="AP1337" i="1"/>
  <c r="AQ1336" i="1"/>
  <c r="AS1336" i="1" s="1"/>
  <c r="AP1336" i="1"/>
  <c r="AQ1335" i="1"/>
  <c r="AS1335" i="1" s="1"/>
  <c r="AP1335" i="1"/>
  <c r="AQ1334" i="1"/>
  <c r="AP1334" i="1"/>
  <c r="AQ1333" i="1"/>
  <c r="AS1333" i="1" s="1"/>
  <c r="AP1333" i="1"/>
  <c r="AQ1332" i="1"/>
  <c r="AP1332" i="1"/>
  <c r="AQ1331" i="1"/>
  <c r="AS1331" i="1" s="1"/>
  <c r="AP1331" i="1"/>
  <c r="AQ1330" i="1"/>
  <c r="AR1330" i="1" s="1"/>
  <c r="AP1330" i="1"/>
  <c r="AQ1329" i="1"/>
  <c r="AP1329" i="1"/>
  <c r="AQ1328" i="1"/>
  <c r="AS1328" i="1" s="1"/>
  <c r="AP1328" i="1"/>
  <c r="AQ1327" i="1"/>
  <c r="AT1327" i="1" s="1"/>
  <c r="AP1327" i="1"/>
  <c r="AQ1326" i="1"/>
  <c r="AR1326" i="1" s="1"/>
  <c r="AP1326" i="1"/>
  <c r="AQ1325" i="1"/>
  <c r="AP1325" i="1"/>
  <c r="AQ1324" i="1"/>
  <c r="AP1324" i="1"/>
  <c r="AQ1323" i="1"/>
  <c r="AT1323" i="1" s="1"/>
  <c r="AP1323" i="1"/>
  <c r="AQ1322" i="1"/>
  <c r="AR1322" i="1" s="1"/>
  <c r="AP1322" i="1"/>
  <c r="AQ1321" i="1"/>
  <c r="AP1321" i="1"/>
  <c r="AQ1320" i="1"/>
  <c r="AP1320" i="1"/>
  <c r="AQ1319" i="1"/>
  <c r="AS1319" i="1" s="1"/>
  <c r="AP1319" i="1"/>
  <c r="AQ1318" i="1"/>
  <c r="AP1318" i="1"/>
  <c r="AQ1317" i="1"/>
  <c r="AS1317" i="1" s="1"/>
  <c r="AP1317" i="1"/>
  <c r="AQ1316" i="1"/>
  <c r="AT1316" i="1" s="1"/>
  <c r="AP1316" i="1"/>
  <c r="AQ1315" i="1"/>
  <c r="AS1315" i="1" s="1"/>
  <c r="AP1315" i="1"/>
  <c r="AQ1314" i="1"/>
  <c r="AR1314" i="1" s="1"/>
  <c r="AP1314" i="1"/>
  <c r="AQ1313" i="1"/>
  <c r="AP1313" i="1"/>
  <c r="AQ1312" i="1"/>
  <c r="AP1312" i="1"/>
  <c r="AQ1311" i="1"/>
  <c r="AS1311" i="1" s="1"/>
  <c r="AP1311" i="1"/>
  <c r="AQ1310" i="1"/>
  <c r="AR1310" i="1" s="1"/>
  <c r="AP1310" i="1"/>
  <c r="AQ1309" i="1"/>
  <c r="AT1309" i="1" s="1"/>
  <c r="AP1309" i="1"/>
  <c r="AQ1308" i="1"/>
  <c r="AT1308" i="1" s="1"/>
  <c r="AP1308" i="1"/>
  <c r="AQ1307" i="1"/>
  <c r="AR1307" i="1" s="1"/>
  <c r="AP1307" i="1"/>
  <c r="AQ1306" i="1"/>
  <c r="AR1306" i="1" s="1"/>
  <c r="AP1306" i="1"/>
  <c r="AQ1305" i="1"/>
  <c r="AP1305" i="1"/>
  <c r="AQ1303" i="1"/>
  <c r="AS1303" i="1" s="1"/>
  <c r="AP1303" i="1"/>
  <c r="AQ1302" i="1"/>
  <c r="AS1302" i="1" s="1"/>
  <c r="AP1302" i="1"/>
  <c r="AQ1301" i="1"/>
  <c r="AP1301" i="1"/>
  <c r="AQ1300" i="1"/>
  <c r="AP1300" i="1"/>
  <c r="AQ1299" i="1"/>
  <c r="AP1299" i="1"/>
  <c r="AQ1298" i="1"/>
  <c r="AS1298" i="1" s="1"/>
  <c r="AP1298" i="1"/>
  <c r="AQ1297" i="1"/>
  <c r="AR1297" i="1" s="1"/>
  <c r="AP1297" i="1"/>
  <c r="AQ1296" i="1"/>
  <c r="AR1296" i="1" s="1"/>
  <c r="AP1296" i="1"/>
  <c r="AQ1295" i="1"/>
  <c r="AS1295" i="1" s="1"/>
  <c r="AP1295" i="1"/>
  <c r="AQ1294" i="1"/>
  <c r="AT1294" i="1" s="1"/>
  <c r="AP1294" i="1"/>
  <c r="AQ1293" i="1"/>
  <c r="AR1293" i="1" s="1"/>
  <c r="AP1293" i="1"/>
  <c r="AQ1292" i="1"/>
  <c r="AT1292" i="1" s="1"/>
  <c r="AP1292" i="1"/>
  <c r="AQ1291" i="1"/>
  <c r="AP1291" i="1"/>
  <c r="AQ1290" i="1"/>
  <c r="AS1290" i="1" s="1"/>
  <c r="AP1290" i="1"/>
  <c r="AQ1289" i="1"/>
  <c r="AP1289" i="1"/>
  <c r="AQ1288" i="1"/>
  <c r="AT1288" i="1" s="1"/>
  <c r="AP1288" i="1"/>
  <c r="AQ1287" i="1"/>
  <c r="AP1287" i="1"/>
  <c r="AQ1286" i="1"/>
  <c r="AS1286" i="1" s="1"/>
  <c r="AP1286" i="1"/>
  <c r="AQ1285" i="1"/>
  <c r="AR1285" i="1" s="1"/>
  <c r="AP1285" i="1"/>
  <c r="AQ1284" i="1"/>
  <c r="AP1284" i="1"/>
  <c r="AQ1283" i="1"/>
  <c r="AT1283" i="1" s="1"/>
  <c r="AP1283" i="1"/>
  <c r="AQ1282" i="1"/>
  <c r="AT1282" i="1" s="1"/>
  <c r="AP1282" i="1"/>
  <c r="AQ1281" i="1"/>
  <c r="AR1281" i="1" s="1"/>
  <c r="AP1281" i="1"/>
  <c r="AQ1280" i="1"/>
  <c r="AT1280" i="1" s="1"/>
  <c r="AP1280" i="1"/>
  <c r="AQ1279" i="1"/>
  <c r="AP1279" i="1"/>
  <c r="AQ1278" i="1"/>
  <c r="AS1278" i="1" s="1"/>
  <c r="AP1278" i="1"/>
  <c r="AQ1277" i="1"/>
  <c r="AS1277" i="1" s="1"/>
  <c r="AP1277" i="1"/>
  <c r="AQ1276" i="1"/>
  <c r="AP1276" i="1"/>
  <c r="AQ1275" i="1"/>
  <c r="AT1275" i="1" s="1"/>
  <c r="AP1275" i="1"/>
  <c r="AQ1274" i="1"/>
  <c r="AT1274" i="1" s="1"/>
  <c r="AP1274" i="1"/>
  <c r="AQ1273" i="1"/>
  <c r="AS1273" i="1" s="1"/>
  <c r="AP1273" i="1"/>
  <c r="AQ1272" i="1"/>
  <c r="AP1272" i="1"/>
  <c r="AQ1271" i="1"/>
  <c r="AS1271" i="1" s="1"/>
  <c r="AP1271" i="1"/>
  <c r="AQ1270" i="1"/>
  <c r="AS1270" i="1" s="1"/>
  <c r="AP1270" i="1"/>
  <c r="AQ1269" i="1"/>
  <c r="AR1269" i="1" s="1"/>
  <c r="AP1269" i="1"/>
  <c r="AQ1268" i="1"/>
  <c r="AP1268" i="1"/>
  <c r="AQ1267" i="1"/>
  <c r="AP1267" i="1"/>
  <c r="AQ1266" i="1"/>
  <c r="AS1266" i="1" s="1"/>
  <c r="AP1266" i="1"/>
  <c r="AQ1265" i="1"/>
  <c r="AP1265" i="1"/>
  <c r="AQ1264" i="1"/>
  <c r="AT1264" i="1" s="1"/>
  <c r="AP1264" i="1"/>
  <c r="AQ1263" i="1"/>
  <c r="AS1263" i="1" s="1"/>
  <c r="AP1263" i="1"/>
  <c r="AQ1262" i="1"/>
  <c r="AR1262" i="1" s="1"/>
  <c r="AP1262" i="1"/>
  <c r="AQ1261" i="1"/>
  <c r="AR1261" i="1" s="1"/>
  <c r="AP1261" i="1"/>
  <c r="AQ1260" i="1"/>
  <c r="AS1260" i="1" s="1"/>
  <c r="AP1260" i="1"/>
  <c r="AQ1259" i="1"/>
  <c r="AP1259" i="1"/>
  <c r="AQ1258" i="1"/>
  <c r="AR1258" i="1" s="1"/>
  <c r="AP1258" i="1"/>
  <c r="AQ1257" i="1"/>
  <c r="AS1257" i="1" s="1"/>
  <c r="AP1257" i="1"/>
  <c r="AQ1256" i="1"/>
  <c r="AT1256" i="1" s="1"/>
  <c r="AP1256" i="1"/>
  <c r="AQ1255" i="1"/>
  <c r="AP1255" i="1"/>
  <c r="AQ1254" i="1"/>
  <c r="AS1254" i="1" s="1"/>
  <c r="AP1254" i="1"/>
  <c r="AQ1253" i="1"/>
  <c r="AR1253" i="1" s="1"/>
  <c r="AP1253" i="1"/>
  <c r="AQ1252" i="1"/>
  <c r="AP1252" i="1"/>
  <c r="AQ1251" i="1"/>
  <c r="AT1251" i="1" s="1"/>
  <c r="AP1251" i="1"/>
  <c r="AQ1250" i="1"/>
  <c r="AT1250" i="1" s="1"/>
  <c r="AP1250" i="1"/>
  <c r="AQ1249" i="1"/>
  <c r="AR1249" i="1" s="1"/>
  <c r="AP1249" i="1"/>
  <c r="AQ1248" i="1"/>
  <c r="AP1248" i="1"/>
  <c r="AQ1247" i="1"/>
  <c r="AP1247" i="1"/>
  <c r="AQ1246" i="1"/>
  <c r="AR1246" i="1" s="1"/>
  <c r="AP1246" i="1"/>
  <c r="AQ1245" i="1"/>
  <c r="AS1245" i="1" s="1"/>
  <c r="AP1245" i="1"/>
  <c r="AQ1244" i="1"/>
  <c r="AS1244" i="1" s="1"/>
  <c r="AP1244" i="1"/>
  <c r="AQ1243" i="1"/>
  <c r="AR1243" i="1" s="1"/>
  <c r="AP1243" i="1"/>
  <c r="AQ1242" i="1"/>
  <c r="AR1242" i="1" s="1"/>
  <c r="AP1242" i="1"/>
  <c r="AQ1241" i="1"/>
  <c r="AS1241" i="1" s="1"/>
  <c r="AP1241" i="1"/>
  <c r="AQ1240" i="1"/>
  <c r="AP1240" i="1"/>
  <c r="AQ1239" i="1"/>
  <c r="AR1239" i="1" s="1"/>
  <c r="AP1239" i="1"/>
  <c r="AQ1238" i="1"/>
  <c r="AS1238" i="1" s="1"/>
  <c r="AP1238" i="1"/>
  <c r="AQ1237" i="1"/>
  <c r="AR1237" i="1" s="1"/>
  <c r="AP1237" i="1"/>
  <c r="AQ1236" i="1"/>
  <c r="AP1236" i="1"/>
  <c r="AQ1235" i="1"/>
  <c r="AR1235" i="1" s="1"/>
  <c r="AP1235" i="1"/>
  <c r="AQ1234" i="1"/>
  <c r="AR1234" i="1" s="1"/>
  <c r="AP1234" i="1"/>
  <c r="AQ1233" i="1"/>
  <c r="AP1233" i="1"/>
  <c r="AQ1232" i="1"/>
  <c r="AT1232" i="1" s="1"/>
  <c r="AP1232" i="1"/>
  <c r="AQ1231" i="1"/>
  <c r="AR1231" i="1" s="1"/>
  <c r="AP1231" i="1"/>
  <c r="AQ1230" i="1"/>
  <c r="AS1230" i="1" s="1"/>
  <c r="AP1230" i="1"/>
  <c r="AQ1229" i="1"/>
  <c r="AR1229" i="1" s="1"/>
  <c r="AP1229" i="1"/>
  <c r="AQ1227" i="1"/>
  <c r="AP1227" i="1"/>
  <c r="AQ1226" i="1"/>
  <c r="AR1226" i="1" s="1"/>
  <c r="AP1226" i="1"/>
  <c r="AQ1228" i="1"/>
  <c r="AT1228" i="1" s="1"/>
  <c r="AP1228" i="1"/>
  <c r="AQ1225" i="1"/>
  <c r="AP1225" i="1"/>
  <c r="AQ1224" i="1"/>
  <c r="AR1224" i="1" s="1"/>
  <c r="AP1224" i="1"/>
  <c r="AQ1223" i="1"/>
  <c r="AR1223" i="1" s="1"/>
  <c r="AP1223" i="1"/>
  <c r="AQ1222" i="1"/>
  <c r="AS1222" i="1" s="1"/>
  <c r="AP1222" i="1"/>
  <c r="AQ1221" i="1"/>
  <c r="AP1221" i="1"/>
  <c r="AQ1220" i="1"/>
  <c r="AP1220" i="1"/>
  <c r="AQ1219" i="1"/>
  <c r="AR1219" i="1" s="1"/>
  <c r="AP1219" i="1"/>
  <c r="AQ1218" i="1"/>
  <c r="AR1218" i="1" s="1"/>
  <c r="AP1218" i="1"/>
  <c r="AQ1217" i="1"/>
  <c r="AP1217" i="1"/>
  <c r="AQ1216" i="1"/>
  <c r="AP1216" i="1"/>
  <c r="AQ1215" i="1"/>
  <c r="AR1215" i="1" s="1"/>
  <c r="AP1215" i="1"/>
  <c r="AQ1214" i="1"/>
  <c r="AT1214" i="1" s="1"/>
  <c r="AP1214" i="1"/>
  <c r="AQ1213" i="1"/>
  <c r="AR1213" i="1" s="1"/>
  <c r="AP1213" i="1"/>
  <c r="AQ1212" i="1"/>
  <c r="AP1212" i="1"/>
  <c r="AQ1211" i="1"/>
  <c r="AR1211" i="1" s="1"/>
  <c r="AP1211" i="1"/>
  <c r="AQ1210" i="1"/>
  <c r="AP1210" i="1"/>
  <c r="AQ1209" i="1"/>
  <c r="AP1209" i="1"/>
  <c r="AQ1208" i="1"/>
  <c r="AP1208" i="1"/>
  <c r="AQ1207" i="1"/>
  <c r="AR1207" i="1" s="1"/>
  <c r="AP1207" i="1"/>
  <c r="AQ1206" i="1"/>
  <c r="AS1206" i="1" s="1"/>
  <c r="AP1206" i="1"/>
  <c r="AQ1205" i="1"/>
  <c r="AP1205" i="1"/>
  <c r="AQ1204" i="1"/>
  <c r="AP1204" i="1"/>
  <c r="AQ1203" i="1"/>
  <c r="AR1203" i="1" s="1"/>
  <c r="AP1203" i="1"/>
  <c r="AQ1202" i="1"/>
  <c r="AS1202" i="1" s="1"/>
  <c r="AP1202" i="1"/>
  <c r="AQ1201" i="1"/>
  <c r="AR1201" i="1" s="1"/>
  <c r="AP1201" i="1"/>
  <c r="AQ1200" i="1"/>
  <c r="AP1200" i="1"/>
  <c r="AQ1199" i="1"/>
  <c r="AR1199" i="1" s="1"/>
  <c r="AP1199" i="1"/>
  <c r="AQ1198" i="1"/>
  <c r="AT1198" i="1" s="1"/>
  <c r="AP1198" i="1"/>
  <c r="AQ1197" i="1"/>
  <c r="AR1197" i="1" s="1"/>
  <c r="AP1197" i="1"/>
  <c r="AQ1196" i="1"/>
  <c r="AP1196" i="1"/>
  <c r="AQ1195" i="1"/>
  <c r="AR1195" i="1" s="1"/>
  <c r="AP1195" i="1"/>
  <c r="AQ1194" i="1"/>
  <c r="AT1194" i="1" s="1"/>
  <c r="AP1194" i="1"/>
  <c r="AQ1193" i="1"/>
  <c r="AP1193" i="1"/>
  <c r="AQ1192" i="1"/>
  <c r="AP1192" i="1"/>
  <c r="AQ1191" i="1"/>
  <c r="AR1191" i="1" s="1"/>
  <c r="AP1191" i="1"/>
  <c r="AQ1190" i="1"/>
  <c r="AS1190" i="1" s="1"/>
  <c r="AP1190" i="1"/>
  <c r="AQ1189" i="1"/>
  <c r="AP1189" i="1"/>
  <c r="AQ1188" i="1"/>
  <c r="AP1188" i="1"/>
  <c r="AQ1187" i="1"/>
  <c r="AR1187" i="1" s="1"/>
  <c r="AP1187" i="1"/>
  <c r="AQ1186" i="1"/>
  <c r="AT1186" i="1" s="1"/>
  <c r="AP1186" i="1"/>
  <c r="AQ1185" i="1"/>
  <c r="AP1185" i="1"/>
  <c r="AQ1184" i="1"/>
  <c r="AP1184" i="1"/>
  <c r="AQ1183" i="1"/>
  <c r="AR1183" i="1" s="1"/>
  <c r="AP1183" i="1"/>
  <c r="AQ1182" i="1"/>
  <c r="AS1182" i="1" s="1"/>
  <c r="AP1182" i="1"/>
  <c r="AQ1181" i="1"/>
  <c r="AR1181" i="1" s="1"/>
  <c r="AP1181" i="1"/>
  <c r="AQ1180" i="1"/>
  <c r="AR1180" i="1" s="1"/>
  <c r="AP1180" i="1"/>
  <c r="AQ1179" i="1"/>
  <c r="AR1179" i="1" s="1"/>
  <c r="AP1179" i="1"/>
  <c r="AQ1178" i="1"/>
  <c r="AT1178" i="1" s="1"/>
  <c r="AP1178" i="1"/>
  <c r="AQ1177" i="1"/>
  <c r="AR1177" i="1" s="1"/>
  <c r="AP1177" i="1"/>
  <c r="AQ1176" i="1"/>
  <c r="AP1176" i="1"/>
  <c r="AQ1175" i="1"/>
  <c r="AR1175" i="1" s="1"/>
  <c r="AP1175" i="1"/>
  <c r="AQ1174" i="1"/>
  <c r="AS1174" i="1" s="1"/>
  <c r="AP1174" i="1"/>
  <c r="AQ1173" i="1"/>
  <c r="AP1173" i="1"/>
  <c r="AQ1172" i="1"/>
  <c r="AP1172" i="1"/>
  <c r="AQ1171" i="1"/>
  <c r="AR1171" i="1" s="1"/>
  <c r="AP1171" i="1"/>
  <c r="AQ1170" i="1"/>
  <c r="AS1170" i="1" s="1"/>
  <c r="AP1170" i="1"/>
  <c r="AQ1169" i="1"/>
  <c r="AP1169" i="1"/>
  <c r="AQ1168" i="1"/>
  <c r="AR1168" i="1" s="1"/>
  <c r="AP1168" i="1"/>
  <c r="AQ1167" i="1"/>
  <c r="AR1167" i="1" s="1"/>
  <c r="AP1167" i="1"/>
  <c r="AQ1166" i="1"/>
  <c r="AT1166" i="1" s="1"/>
  <c r="AP1166" i="1"/>
  <c r="AQ1165" i="1"/>
  <c r="AP1165" i="1"/>
  <c r="AQ1164" i="1"/>
  <c r="AP1164" i="1"/>
  <c r="AQ1163" i="1"/>
  <c r="AR1163" i="1" s="1"/>
  <c r="AP1163" i="1"/>
  <c r="AQ1162" i="1"/>
  <c r="AT1162" i="1" s="1"/>
  <c r="AP1162" i="1"/>
  <c r="AQ1161" i="1"/>
  <c r="AP1161" i="1"/>
  <c r="AQ1160" i="1"/>
  <c r="AP1160" i="1"/>
  <c r="AQ1159" i="1"/>
  <c r="AS1159" i="1" s="1"/>
  <c r="AP1159" i="1"/>
  <c r="AQ1158" i="1"/>
  <c r="AS1158" i="1" s="1"/>
  <c r="AP1158" i="1"/>
  <c r="AQ1157" i="1"/>
  <c r="AT1157" i="1" s="1"/>
  <c r="AP1157" i="1"/>
  <c r="AQ1156" i="1"/>
  <c r="AP1156" i="1"/>
  <c r="AQ1155" i="1"/>
  <c r="AT1155" i="1" s="1"/>
  <c r="AP1155" i="1"/>
  <c r="AQ1154" i="1"/>
  <c r="AR1154" i="1" s="1"/>
  <c r="AP1154" i="1"/>
  <c r="AQ1153" i="1"/>
  <c r="AR1153" i="1" s="1"/>
  <c r="AP1153" i="1"/>
  <c r="AQ1152" i="1"/>
  <c r="AP1152" i="1"/>
  <c r="AQ1151" i="1"/>
  <c r="AS1151" i="1" s="1"/>
  <c r="AP1151" i="1"/>
  <c r="AQ1150" i="1"/>
  <c r="AP1150" i="1"/>
  <c r="AQ1149" i="1"/>
  <c r="AT1149" i="1" s="1"/>
  <c r="AP1149" i="1"/>
  <c r="AQ1148" i="1"/>
  <c r="AS1148" i="1" s="1"/>
  <c r="AP1148" i="1"/>
  <c r="AQ1147" i="1"/>
  <c r="AT1147" i="1" s="1"/>
  <c r="AP1147" i="1"/>
  <c r="AQ1146" i="1"/>
  <c r="AR1146" i="1" s="1"/>
  <c r="AP1146" i="1"/>
  <c r="AQ1145" i="1"/>
  <c r="AR1145" i="1" s="1"/>
  <c r="AP1145" i="1"/>
  <c r="AQ1144" i="1"/>
  <c r="AT1144" i="1" s="1"/>
  <c r="AP1144" i="1"/>
  <c r="AQ1143" i="1"/>
  <c r="AP1143" i="1"/>
  <c r="AQ1142" i="1"/>
  <c r="AP1142" i="1"/>
  <c r="AQ1141" i="1"/>
  <c r="AP1141" i="1"/>
  <c r="AQ1140" i="1"/>
  <c r="AT1140" i="1" s="1"/>
  <c r="AP1140" i="1"/>
  <c r="AQ1139" i="1"/>
  <c r="AP1139" i="1"/>
  <c r="AQ1138" i="1"/>
  <c r="AP1138" i="1"/>
  <c r="AQ1137" i="1"/>
  <c r="AP1137" i="1"/>
  <c r="AQ1136" i="1"/>
  <c r="AS1136" i="1" s="1"/>
  <c r="AP1136" i="1"/>
  <c r="AQ1135" i="1"/>
  <c r="AS1135" i="1" s="1"/>
  <c r="AP1135" i="1"/>
  <c r="AQ1134" i="1"/>
  <c r="AP1134" i="1"/>
  <c r="AQ1133" i="1"/>
  <c r="AP1133" i="1"/>
  <c r="AQ1132" i="1"/>
  <c r="AS1132" i="1" s="1"/>
  <c r="AP1132" i="1"/>
  <c r="AQ1131" i="1"/>
  <c r="AT1131" i="1" s="1"/>
  <c r="AP1131" i="1"/>
  <c r="AQ1130" i="1"/>
  <c r="AP1130" i="1"/>
  <c r="AQ1129" i="1"/>
  <c r="AP1129" i="1"/>
  <c r="AQ1128" i="1"/>
  <c r="AP1128" i="1"/>
  <c r="AQ1127" i="1"/>
  <c r="AS1127" i="1" s="1"/>
  <c r="AP1127" i="1"/>
  <c r="AQ1126" i="1"/>
  <c r="AP1126" i="1"/>
  <c r="AQ1125" i="1"/>
  <c r="AP1125" i="1"/>
  <c r="AQ1124" i="1"/>
  <c r="AP1124" i="1"/>
  <c r="AQ1123" i="1"/>
  <c r="AT1123" i="1" s="1"/>
  <c r="AP1123" i="1"/>
  <c r="AQ1122" i="1"/>
  <c r="AR1122" i="1" s="1"/>
  <c r="AP1122" i="1"/>
  <c r="AQ1121" i="1"/>
  <c r="AT1121" i="1" s="1"/>
  <c r="AP1121" i="1"/>
  <c r="AQ1120" i="1"/>
  <c r="AP1120" i="1"/>
  <c r="AQ1119" i="1"/>
  <c r="AS1119" i="1" s="1"/>
  <c r="AP1119" i="1"/>
  <c r="AQ1118" i="1"/>
  <c r="AS1118" i="1" s="1"/>
  <c r="AP1118" i="1"/>
  <c r="AQ1117" i="1"/>
  <c r="AP1117" i="1"/>
  <c r="AQ1116" i="1"/>
  <c r="AP1116" i="1"/>
  <c r="AQ1115" i="1"/>
  <c r="AT1115" i="1" s="1"/>
  <c r="AP1115" i="1"/>
  <c r="AQ1114" i="1"/>
  <c r="AS1114" i="1" s="1"/>
  <c r="AP1114" i="1"/>
  <c r="AQ1113" i="1"/>
  <c r="AP1113" i="1"/>
  <c r="AQ1112" i="1"/>
  <c r="AP1112" i="1"/>
  <c r="AQ1111" i="1"/>
  <c r="AP1111" i="1"/>
  <c r="AQ1110" i="1"/>
  <c r="AT1110" i="1" s="1"/>
  <c r="AP1110" i="1"/>
  <c r="AQ1109" i="1"/>
  <c r="AP1109" i="1"/>
  <c r="AQ1108" i="1"/>
  <c r="AP1108" i="1"/>
  <c r="AQ1107" i="1"/>
  <c r="AP1107" i="1"/>
  <c r="AQ1106" i="1"/>
  <c r="AR1106" i="1" s="1"/>
  <c r="AP1106" i="1"/>
  <c r="AQ1105" i="1"/>
  <c r="AP1105" i="1"/>
  <c r="AQ1104" i="1"/>
  <c r="AP1104" i="1"/>
  <c r="AQ1103" i="1"/>
  <c r="AS1103" i="1" s="1"/>
  <c r="AP1103" i="1"/>
  <c r="AQ1102" i="1"/>
  <c r="AR1102" i="1" s="1"/>
  <c r="AP1102" i="1"/>
  <c r="AQ1101" i="1"/>
  <c r="AP1101" i="1"/>
  <c r="AQ1100" i="1"/>
  <c r="AP1100" i="1"/>
  <c r="AQ1099" i="1"/>
  <c r="AT1099" i="1" s="1"/>
  <c r="AP1099" i="1"/>
  <c r="AQ1098" i="1"/>
  <c r="AP1098" i="1"/>
  <c r="AQ1097" i="1"/>
  <c r="AP1097" i="1"/>
  <c r="AQ1096" i="1"/>
  <c r="AP1096" i="1"/>
  <c r="AQ1095" i="1"/>
  <c r="AS1095" i="1" s="1"/>
  <c r="AP1095" i="1"/>
  <c r="AQ1094" i="1"/>
  <c r="AP1094" i="1"/>
  <c r="AQ1093" i="1"/>
  <c r="AP1093" i="1"/>
  <c r="AQ1092" i="1"/>
  <c r="AP1092" i="1"/>
  <c r="AQ1091" i="1"/>
  <c r="AT1091" i="1" s="1"/>
  <c r="AP1091" i="1"/>
  <c r="AQ1090" i="1"/>
  <c r="AP1090" i="1"/>
  <c r="AQ1089" i="1"/>
  <c r="AS1089" i="1" s="1"/>
  <c r="AP1089" i="1"/>
  <c r="AQ1088" i="1"/>
  <c r="AR1088" i="1" s="1"/>
  <c r="AP1088" i="1"/>
  <c r="AQ1087" i="1"/>
  <c r="AS1087" i="1" s="1"/>
  <c r="AP1087" i="1"/>
  <c r="AQ1086" i="1"/>
  <c r="AS1086" i="1" s="1"/>
  <c r="AP1086" i="1"/>
  <c r="AQ1085" i="1"/>
  <c r="AS1085" i="1" s="1"/>
  <c r="AP1085" i="1"/>
  <c r="AQ1084" i="1"/>
  <c r="AT1084" i="1" s="1"/>
  <c r="AP1084" i="1"/>
  <c r="AQ1083" i="1"/>
  <c r="AT1083" i="1" s="1"/>
  <c r="AP1083" i="1"/>
  <c r="AQ1082" i="1"/>
  <c r="AT1082" i="1" s="1"/>
  <c r="AP1082" i="1"/>
  <c r="AQ1081" i="1"/>
  <c r="AP1081" i="1"/>
  <c r="AQ1080" i="1"/>
  <c r="AP1080" i="1"/>
  <c r="AQ1079" i="1"/>
  <c r="AP1079" i="1"/>
  <c r="AQ1078" i="1"/>
  <c r="AT1078" i="1" s="1"/>
  <c r="AP1078" i="1"/>
  <c r="AQ1077" i="1"/>
  <c r="AP1077" i="1"/>
  <c r="AQ1076" i="1"/>
  <c r="AP1076" i="1"/>
  <c r="AQ1075" i="1"/>
  <c r="AP1075" i="1"/>
  <c r="AQ1074" i="1"/>
  <c r="AS1074" i="1" s="1"/>
  <c r="AP1074" i="1"/>
  <c r="AQ1073" i="1"/>
  <c r="AP1073" i="1"/>
  <c r="AQ1072" i="1"/>
  <c r="AP1072" i="1"/>
  <c r="AQ1071" i="1"/>
  <c r="AS1071" i="1" s="1"/>
  <c r="AP1071" i="1"/>
  <c r="AQ1070" i="1"/>
  <c r="AP1070" i="1"/>
  <c r="AQ1069" i="1"/>
  <c r="AP1069" i="1"/>
  <c r="AQ1068" i="1"/>
  <c r="AP1068" i="1"/>
  <c r="AQ1067" i="1"/>
  <c r="AT1067" i="1" s="1"/>
  <c r="AP1067" i="1"/>
  <c r="AQ1066" i="1"/>
  <c r="AP1066" i="1"/>
  <c r="AQ1065" i="1"/>
  <c r="AS1065" i="1" s="1"/>
  <c r="AP1065" i="1"/>
  <c r="AQ1064" i="1"/>
  <c r="AP1064" i="1"/>
  <c r="AQ1063" i="1"/>
  <c r="AS1063" i="1" s="1"/>
  <c r="AP1063" i="1"/>
  <c r="AQ1062" i="1"/>
  <c r="AR1062" i="1" s="1"/>
  <c r="AP1062" i="1"/>
  <c r="AQ1061" i="1"/>
  <c r="AP1061" i="1"/>
  <c r="AQ1060" i="1"/>
  <c r="AP1060" i="1"/>
  <c r="AQ1059" i="1"/>
  <c r="AT1059" i="1" s="1"/>
  <c r="AP1059" i="1"/>
  <c r="AQ1058" i="1"/>
  <c r="AS1058" i="1" s="1"/>
  <c r="AP1058" i="1"/>
  <c r="AQ1057" i="1"/>
  <c r="AP1057" i="1"/>
  <c r="AQ1056" i="1"/>
  <c r="AP1056" i="1"/>
  <c r="AQ1055" i="1"/>
  <c r="AP1055" i="1"/>
  <c r="AQ1054" i="1"/>
  <c r="AT1054" i="1" s="1"/>
  <c r="AP1054" i="1"/>
  <c r="AQ1053" i="1"/>
  <c r="AP1053" i="1"/>
  <c r="AQ1052" i="1"/>
  <c r="AP1052" i="1"/>
  <c r="AQ1051" i="1"/>
  <c r="AP1051" i="1"/>
  <c r="AQ1050" i="1"/>
  <c r="AS1050" i="1" s="1"/>
  <c r="AP1050" i="1"/>
  <c r="AQ1049" i="1"/>
  <c r="AP1049" i="1"/>
  <c r="AQ1048" i="1"/>
  <c r="AR1048" i="1" s="1"/>
  <c r="AP1048" i="1"/>
  <c r="AQ1047" i="1"/>
  <c r="AP1047" i="1"/>
  <c r="AQ1046" i="1"/>
  <c r="AP1046" i="1"/>
  <c r="AQ1045" i="1"/>
  <c r="AP1045" i="1"/>
  <c r="AQ1044" i="1"/>
  <c r="AR1044" i="1" s="1"/>
  <c r="AP1044" i="1"/>
  <c r="AQ1043" i="1"/>
  <c r="AP1043" i="1"/>
  <c r="AQ1042" i="1"/>
  <c r="AP1042" i="1"/>
  <c r="AQ1041" i="1"/>
  <c r="AP1041" i="1"/>
  <c r="AQ1040" i="1"/>
  <c r="AS1040" i="1" s="1"/>
  <c r="AP1040" i="1"/>
  <c r="AQ1039" i="1"/>
  <c r="AT1039" i="1" s="1"/>
  <c r="AP1039" i="1"/>
  <c r="AQ1038" i="1"/>
  <c r="AP1038" i="1"/>
  <c r="AQ1037" i="1"/>
  <c r="AP1037" i="1"/>
  <c r="AQ1036" i="1"/>
  <c r="AP1036" i="1"/>
  <c r="AQ1035" i="1"/>
  <c r="AP1035" i="1"/>
  <c r="AQ1034" i="1"/>
  <c r="AT1034" i="1" s="1"/>
  <c r="AP1034" i="1"/>
  <c r="AQ1033" i="1"/>
  <c r="AP1033" i="1"/>
  <c r="AQ1032" i="1"/>
  <c r="AP1032" i="1"/>
  <c r="AQ1031" i="1"/>
  <c r="AR1031" i="1" s="1"/>
  <c r="AP1031" i="1"/>
  <c r="AQ1030" i="1"/>
  <c r="AP1030" i="1"/>
  <c r="AQ1029" i="1"/>
  <c r="AP1029" i="1"/>
  <c r="AQ1028" i="1"/>
  <c r="AP1028" i="1"/>
  <c r="AQ1027" i="1"/>
  <c r="AR1027" i="1" s="1"/>
  <c r="AP1027" i="1"/>
  <c r="AQ1026" i="1"/>
  <c r="AS1026" i="1" s="1"/>
  <c r="AP1026" i="1"/>
  <c r="AQ1025" i="1"/>
  <c r="AP1025" i="1"/>
  <c r="AQ1024" i="1"/>
  <c r="AP1024" i="1"/>
  <c r="AQ1023" i="1"/>
  <c r="AT1023" i="1" s="1"/>
  <c r="AP1023" i="1"/>
  <c r="AQ1022" i="1"/>
  <c r="AT1022" i="1" s="1"/>
  <c r="AP1022" i="1"/>
  <c r="AQ1021" i="1"/>
  <c r="AP1021" i="1"/>
  <c r="AQ1020" i="1"/>
  <c r="AS1020" i="1" s="1"/>
  <c r="AP1020" i="1"/>
  <c r="AQ1019" i="1"/>
  <c r="AT1019" i="1" s="1"/>
  <c r="AP1019" i="1"/>
  <c r="AQ1018" i="1"/>
  <c r="AT1018" i="1" s="1"/>
  <c r="AP1018" i="1"/>
  <c r="AQ1014" i="1"/>
  <c r="AP1014" i="1"/>
  <c r="AQ1017" i="1"/>
  <c r="AT1017" i="1" s="1"/>
  <c r="AP1017" i="1"/>
  <c r="AQ1016" i="1"/>
  <c r="AS1016" i="1" s="1"/>
  <c r="AP1016" i="1"/>
  <c r="AQ1015" i="1"/>
  <c r="AP1015" i="1"/>
  <c r="AQ1013" i="1"/>
  <c r="AP1013" i="1"/>
  <c r="AQ1012" i="1"/>
  <c r="AP1012" i="1"/>
  <c r="AQ1011" i="1"/>
  <c r="AR1011" i="1" s="1"/>
  <c r="AP1011" i="1"/>
  <c r="AQ1010" i="1"/>
  <c r="AT1010" i="1" s="1"/>
  <c r="AP1010" i="1"/>
  <c r="AQ1009" i="1"/>
  <c r="AP1009" i="1"/>
  <c r="AQ1008" i="1"/>
  <c r="AR1008" i="1" s="1"/>
  <c r="AP1008" i="1"/>
  <c r="AQ1007" i="1"/>
  <c r="AP1007" i="1"/>
  <c r="AQ1006" i="1"/>
  <c r="AS1006" i="1" s="1"/>
  <c r="AP1006" i="1"/>
  <c r="AQ1005" i="1"/>
  <c r="AP1005" i="1"/>
  <c r="AQ1004" i="1"/>
  <c r="AP1004" i="1"/>
  <c r="AQ1003" i="1"/>
  <c r="AR1003" i="1" s="1"/>
  <c r="AP1003" i="1"/>
  <c r="AQ1002" i="1"/>
  <c r="AT1002" i="1" s="1"/>
  <c r="AP1002" i="1"/>
  <c r="AQ1001" i="1"/>
  <c r="AP1001" i="1"/>
  <c r="AQ1000" i="1"/>
  <c r="AS1000" i="1" s="1"/>
  <c r="AP1000" i="1"/>
  <c r="AQ999" i="1"/>
  <c r="AP999" i="1"/>
  <c r="AQ998" i="1"/>
  <c r="AP998" i="1"/>
  <c r="AQ997" i="1"/>
  <c r="AP997" i="1"/>
  <c r="AQ996" i="1"/>
  <c r="AR996" i="1" s="1"/>
  <c r="AP996" i="1"/>
  <c r="AQ995" i="1"/>
  <c r="AP995" i="1"/>
  <c r="AQ994" i="1"/>
  <c r="AS994" i="1" s="1"/>
  <c r="AP994" i="1"/>
  <c r="AQ993" i="1"/>
  <c r="AP993" i="1"/>
  <c r="AQ992" i="1"/>
  <c r="AP992" i="1"/>
  <c r="AQ991" i="1"/>
  <c r="AR991" i="1" s="1"/>
  <c r="AP991" i="1"/>
  <c r="AQ990" i="1"/>
  <c r="AT990" i="1" s="1"/>
  <c r="AP990" i="1"/>
  <c r="AQ988" i="1"/>
  <c r="AP988" i="1"/>
  <c r="AQ987" i="1"/>
  <c r="AR987" i="1" s="1"/>
  <c r="AP987" i="1"/>
  <c r="AQ989" i="1"/>
  <c r="AP989" i="1"/>
  <c r="AQ986" i="1"/>
  <c r="AP986" i="1"/>
  <c r="AQ985" i="1"/>
  <c r="AP985" i="1"/>
  <c r="AQ984" i="1"/>
  <c r="AP984" i="1"/>
  <c r="AQ983" i="1"/>
  <c r="AP983" i="1"/>
  <c r="AQ982" i="1"/>
  <c r="AT982" i="1" s="1"/>
  <c r="AP982" i="1"/>
  <c r="AQ981" i="1"/>
  <c r="AP981" i="1"/>
  <c r="AQ980" i="1"/>
  <c r="AT980" i="1" s="1"/>
  <c r="AP980" i="1"/>
  <c r="AQ979" i="1"/>
  <c r="AT979" i="1" s="1"/>
  <c r="AP979" i="1"/>
  <c r="AQ978" i="1"/>
  <c r="AP978" i="1"/>
  <c r="AQ977" i="1"/>
  <c r="AP977" i="1"/>
  <c r="AQ976" i="1"/>
  <c r="AP976" i="1"/>
  <c r="AQ975" i="1"/>
  <c r="AP975" i="1"/>
  <c r="AQ974" i="1"/>
  <c r="AS974" i="1" s="1"/>
  <c r="AP974" i="1"/>
  <c r="AQ973" i="1"/>
  <c r="AP973" i="1"/>
  <c r="AQ972" i="1"/>
  <c r="AT972" i="1" s="1"/>
  <c r="AP972" i="1"/>
  <c r="AQ971" i="1"/>
  <c r="AS971" i="1" s="1"/>
  <c r="AP971" i="1"/>
  <c r="AQ970" i="1"/>
  <c r="AP970" i="1"/>
  <c r="AQ969" i="1"/>
  <c r="AP969" i="1"/>
  <c r="AQ968" i="1"/>
  <c r="AT968" i="1" s="1"/>
  <c r="AP968" i="1"/>
  <c r="AQ967" i="1"/>
  <c r="AT967" i="1" s="1"/>
  <c r="AP967" i="1"/>
  <c r="AQ966" i="1"/>
  <c r="AP966" i="1"/>
  <c r="AQ965" i="1"/>
  <c r="AP965" i="1"/>
  <c r="AQ964" i="1"/>
  <c r="AP964" i="1"/>
  <c r="AQ963" i="1"/>
  <c r="AR963" i="1" s="1"/>
  <c r="AP963" i="1"/>
  <c r="AQ962" i="1"/>
  <c r="AP962" i="1"/>
  <c r="AQ961" i="1"/>
  <c r="AP961" i="1"/>
  <c r="AQ960" i="1"/>
  <c r="AT960" i="1" s="1"/>
  <c r="AP960" i="1"/>
  <c r="AQ959" i="1"/>
  <c r="AS959" i="1" s="1"/>
  <c r="AP959" i="1"/>
  <c r="AQ958" i="1"/>
  <c r="AP958" i="1"/>
  <c r="AQ957" i="1"/>
  <c r="AR957" i="1" s="1"/>
  <c r="AP957" i="1"/>
  <c r="AQ956" i="1"/>
  <c r="AS956" i="1" s="1"/>
  <c r="AP956" i="1"/>
  <c r="AQ955" i="1"/>
  <c r="AP955" i="1"/>
  <c r="AQ954" i="1"/>
  <c r="AP954" i="1"/>
  <c r="AQ953" i="1"/>
  <c r="AP953" i="1"/>
  <c r="AQ952" i="1"/>
  <c r="AP952" i="1"/>
  <c r="AQ951" i="1"/>
  <c r="AS951" i="1" s="1"/>
  <c r="AP951" i="1"/>
  <c r="AQ950" i="1"/>
  <c r="AP950" i="1"/>
  <c r="AQ949" i="1"/>
  <c r="AT949" i="1" s="1"/>
  <c r="AP949" i="1"/>
  <c r="AQ948" i="1"/>
  <c r="AR948" i="1" s="1"/>
  <c r="AP948" i="1"/>
  <c r="AQ947" i="1"/>
  <c r="AP947" i="1"/>
  <c r="AQ946" i="1"/>
  <c r="AP946" i="1"/>
  <c r="AQ945" i="1"/>
  <c r="AS945" i="1" s="1"/>
  <c r="AP945" i="1"/>
  <c r="AQ944" i="1"/>
  <c r="AP944" i="1"/>
  <c r="AQ943" i="1"/>
  <c r="AP943" i="1"/>
  <c r="AQ942" i="1"/>
  <c r="AP942" i="1"/>
  <c r="AQ941" i="1"/>
  <c r="AP941" i="1"/>
  <c r="AQ940" i="1"/>
  <c r="AR940" i="1" s="1"/>
  <c r="AP940" i="1"/>
  <c r="AQ939" i="1"/>
  <c r="AS939" i="1" s="1"/>
  <c r="AP939" i="1"/>
  <c r="AQ938" i="1"/>
  <c r="AP938" i="1"/>
  <c r="AQ937" i="1"/>
  <c r="AP937" i="1"/>
  <c r="AQ936" i="1"/>
  <c r="AP936" i="1"/>
  <c r="AQ935" i="1"/>
  <c r="AP935" i="1"/>
  <c r="AQ934" i="1"/>
  <c r="AP934" i="1"/>
  <c r="AQ933" i="1"/>
  <c r="AP933" i="1"/>
  <c r="AQ932" i="1"/>
  <c r="AP932" i="1"/>
  <c r="AQ931" i="1"/>
  <c r="AR931" i="1" s="1"/>
  <c r="AP931" i="1"/>
  <c r="AQ930" i="1"/>
  <c r="AP930" i="1"/>
  <c r="AQ929" i="1"/>
  <c r="AP929" i="1"/>
  <c r="AQ928" i="1"/>
  <c r="AP928" i="1"/>
  <c r="AQ927" i="1"/>
  <c r="AP927" i="1"/>
  <c r="AQ926" i="1"/>
  <c r="AP926" i="1"/>
  <c r="AQ925" i="1"/>
  <c r="AR925" i="1" s="1"/>
  <c r="AP925" i="1"/>
  <c r="AQ924" i="1"/>
  <c r="AP924" i="1"/>
  <c r="AQ923" i="1"/>
  <c r="AS923" i="1" s="1"/>
  <c r="AP923" i="1"/>
  <c r="AQ922" i="1"/>
  <c r="AT922" i="1" s="1"/>
  <c r="AP922" i="1"/>
  <c r="AQ921" i="1"/>
  <c r="AP921" i="1"/>
  <c r="AQ920" i="1"/>
  <c r="AR920" i="1" s="1"/>
  <c r="AP920" i="1"/>
  <c r="AQ919" i="1"/>
  <c r="AS919" i="1" s="1"/>
  <c r="AP919" i="1"/>
  <c r="AQ918" i="1"/>
  <c r="AP918" i="1"/>
  <c r="AQ917" i="1"/>
  <c r="AS917" i="1" s="1"/>
  <c r="AP917" i="1"/>
  <c r="AQ916" i="1"/>
  <c r="AR916" i="1" s="1"/>
  <c r="AP916" i="1"/>
  <c r="AQ915" i="1"/>
  <c r="AP915" i="1"/>
  <c r="AQ914" i="1"/>
  <c r="AP914" i="1"/>
  <c r="AQ913" i="1"/>
  <c r="AP913" i="1"/>
  <c r="AQ912" i="1"/>
  <c r="AP912" i="1"/>
  <c r="AQ911" i="1"/>
  <c r="AR911" i="1" s="1"/>
  <c r="AP911" i="1"/>
  <c r="AQ910" i="1"/>
  <c r="AR910" i="1" s="1"/>
  <c r="AP910" i="1"/>
  <c r="AQ909" i="1"/>
  <c r="AP909" i="1"/>
  <c r="AQ908" i="1"/>
  <c r="AP908" i="1"/>
  <c r="AQ907" i="1"/>
  <c r="AP907" i="1"/>
  <c r="AQ906" i="1"/>
  <c r="AR906" i="1" s="1"/>
  <c r="AP906" i="1"/>
  <c r="AQ905" i="1"/>
  <c r="AP905" i="1"/>
  <c r="AQ904" i="1"/>
  <c r="AR904" i="1" s="1"/>
  <c r="AP904" i="1"/>
  <c r="AQ903" i="1"/>
  <c r="AP903" i="1"/>
  <c r="AQ902" i="1"/>
  <c r="AT902" i="1" s="1"/>
  <c r="AP902" i="1"/>
  <c r="AQ901" i="1"/>
  <c r="AP901" i="1"/>
  <c r="AQ900" i="1"/>
  <c r="AP900" i="1"/>
  <c r="AQ899" i="1"/>
  <c r="AP899" i="1"/>
  <c r="AQ898" i="1"/>
  <c r="AT898" i="1" s="1"/>
  <c r="AP898" i="1"/>
  <c r="AQ897" i="1"/>
  <c r="AR897" i="1" s="1"/>
  <c r="AP897" i="1"/>
  <c r="AQ896" i="1"/>
  <c r="AS896" i="1" s="1"/>
  <c r="AP896" i="1"/>
  <c r="AQ895" i="1"/>
  <c r="AS895" i="1" s="1"/>
  <c r="AP895" i="1"/>
  <c r="AQ894" i="1"/>
  <c r="AP894" i="1"/>
  <c r="AQ893" i="1"/>
  <c r="AP893" i="1"/>
  <c r="AQ892" i="1"/>
  <c r="AS892" i="1" s="1"/>
  <c r="AP892" i="1"/>
  <c r="AQ891" i="1"/>
  <c r="AS891" i="1" s="1"/>
  <c r="AP891" i="1"/>
  <c r="AQ890" i="1"/>
  <c r="AP890" i="1"/>
  <c r="AQ889" i="1"/>
  <c r="AP889" i="1"/>
  <c r="AQ888" i="1"/>
  <c r="AP888" i="1"/>
  <c r="AQ887" i="1"/>
  <c r="AS887" i="1" s="1"/>
  <c r="AP887" i="1"/>
  <c r="AQ886" i="1"/>
  <c r="AT886" i="1" s="1"/>
  <c r="AP886" i="1"/>
  <c r="AQ885" i="1"/>
  <c r="AP885" i="1"/>
  <c r="AQ884" i="1"/>
  <c r="AT884" i="1" s="1"/>
  <c r="AP884" i="1"/>
  <c r="AQ883" i="1"/>
  <c r="AS883" i="1" s="1"/>
  <c r="AP883" i="1"/>
  <c r="AQ882" i="1"/>
  <c r="AP882" i="1"/>
  <c r="AQ881" i="1"/>
  <c r="AP881" i="1"/>
  <c r="AQ880" i="1"/>
  <c r="AR880" i="1" s="1"/>
  <c r="AP880" i="1"/>
  <c r="AQ879" i="1"/>
  <c r="AR879" i="1" s="1"/>
  <c r="AP879" i="1"/>
  <c r="AQ878" i="1"/>
  <c r="AP878" i="1"/>
  <c r="AQ877" i="1"/>
  <c r="AP877" i="1"/>
  <c r="AQ876" i="1"/>
  <c r="AP876" i="1"/>
  <c r="AQ875" i="1"/>
  <c r="AT875" i="1" s="1"/>
  <c r="AP875" i="1"/>
  <c r="AQ874" i="1"/>
  <c r="AP874" i="1"/>
  <c r="AQ873" i="1"/>
  <c r="AP873" i="1"/>
  <c r="AQ872" i="1"/>
  <c r="AS872" i="1" s="1"/>
  <c r="AP872" i="1"/>
  <c r="AQ871" i="1"/>
  <c r="AP871" i="1"/>
  <c r="AQ870" i="1"/>
  <c r="AP870" i="1"/>
  <c r="AQ869" i="1"/>
  <c r="AP869" i="1"/>
  <c r="AQ868" i="1"/>
  <c r="AS868" i="1" s="1"/>
  <c r="AP868" i="1"/>
  <c r="AQ867" i="1"/>
  <c r="AP867" i="1"/>
  <c r="AQ866" i="1"/>
  <c r="AP866" i="1"/>
  <c r="AQ865" i="1"/>
  <c r="AP865" i="1"/>
  <c r="AQ864" i="1"/>
  <c r="AP864" i="1"/>
  <c r="AQ863" i="1"/>
  <c r="AP863" i="1"/>
  <c r="AQ862" i="1"/>
  <c r="AP862" i="1"/>
  <c r="AQ861" i="1"/>
  <c r="AP861" i="1"/>
  <c r="AQ860" i="1"/>
  <c r="AS860" i="1" s="1"/>
  <c r="AP860" i="1"/>
  <c r="AQ859" i="1"/>
  <c r="AP859" i="1"/>
  <c r="AQ858" i="1"/>
  <c r="AP858" i="1"/>
  <c r="AQ857" i="1"/>
  <c r="AP857" i="1"/>
  <c r="AQ856" i="1"/>
  <c r="AP856" i="1"/>
  <c r="AQ855" i="1"/>
  <c r="AS855" i="1" s="1"/>
  <c r="AP855" i="1"/>
  <c r="AQ854" i="1"/>
  <c r="AP854" i="1"/>
  <c r="AQ853" i="1"/>
  <c r="AP853" i="1"/>
  <c r="AQ852" i="1"/>
  <c r="AP852" i="1"/>
  <c r="AQ851" i="1"/>
  <c r="AT851" i="1" s="1"/>
  <c r="AP851" i="1"/>
  <c r="AQ850" i="1"/>
  <c r="AP850" i="1"/>
  <c r="AQ849" i="1"/>
  <c r="AP849" i="1"/>
  <c r="AQ848" i="1"/>
  <c r="AP848" i="1"/>
  <c r="AQ847" i="1"/>
  <c r="AR847" i="1" s="1"/>
  <c r="AP847" i="1"/>
  <c r="AQ846" i="1"/>
  <c r="AP846" i="1"/>
  <c r="AQ845" i="1"/>
  <c r="AP845" i="1"/>
  <c r="AQ844" i="1"/>
  <c r="AT844" i="1" s="1"/>
  <c r="AP844" i="1"/>
  <c r="AQ843" i="1"/>
  <c r="AT843" i="1" s="1"/>
  <c r="AP843" i="1"/>
  <c r="AQ842" i="1"/>
  <c r="AP842" i="1"/>
  <c r="AQ841" i="1"/>
  <c r="AP841" i="1"/>
  <c r="AQ840" i="1"/>
  <c r="AP840" i="1"/>
  <c r="AQ839" i="1"/>
  <c r="AS839" i="1" s="1"/>
  <c r="AP839" i="1"/>
  <c r="AQ838" i="1"/>
  <c r="AP838" i="1"/>
  <c r="AQ837" i="1"/>
  <c r="AP837" i="1"/>
  <c r="AQ836" i="1"/>
  <c r="AR836" i="1" s="1"/>
  <c r="AP836" i="1"/>
  <c r="AQ835" i="1"/>
  <c r="AP835" i="1"/>
  <c r="AQ834" i="1"/>
  <c r="AP834" i="1"/>
  <c r="AQ833" i="1"/>
  <c r="AP833" i="1"/>
  <c r="AQ832" i="1"/>
  <c r="AP832" i="1"/>
  <c r="AQ831" i="1"/>
  <c r="AP831" i="1"/>
  <c r="AQ830" i="1"/>
  <c r="AP830" i="1"/>
  <c r="AQ829" i="1"/>
  <c r="AP829" i="1"/>
  <c r="AQ828" i="1"/>
  <c r="AS828" i="1" s="1"/>
  <c r="AP828" i="1"/>
  <c r="AQ827" i="1"/>
  <c r="AS827" i="1" s="1"/>
  <c r="AP827" i="1"/>
  <c r="AQ826" i="1"/>
  <c r="AP826" i="1"/>
  <c r="AQ825" i="1"/>
  <c r="AP825" i="1"/>
  <c r="AQ824" i="1"/>
  <c r="AP824" i="1"/>
  <c r="AQ823" i="1"/>
  <c r="AT823" i="1" s="1"/>
  <c r="AP823" i="1"/>
  <c r="AQ822" i="1"/>
  <c r="AP822" i="1"/>
  <c r="AQ821" i="1"/>
  <c r="AP821" i="1"/>
  <c r="AQ820" i="1"/>
  <c r="AR820" i="1" s="1"/>
  <c r="AP820" i="1"/>
  <c r="AQ819" i="1"/>
  <c r="AP819" i="1"/>
  <c r="AQ818" i="1"/>
  <c r="AP818" i="1"/>
  <c r="AQ817" i="1"/>
  <c r="AP817" i="1"/>
  <c r="AQ816" i="1"/>
  <c r="AT816" i="1" s="1"/>
  <c r="AP816" i="1"/>
  <c r="AQ815" i="1"/>
  <c r="AS815" i="1" s="1"/>
  <c r="AP815" i="1"/>
  <c r="AQ814" i="1"/>
  <c r="AP814" i="1"/>
  <c r="AQ813" i="1"/>
  <c r="AP813" i="1"/>
  <c r="AQ812" i="1"/>
  <c r="AT812" i="1" s="1"/>
  <c r="AP812" i="1"/>
  <c r="AQ811" i="1"/>
  <c r="AT811" i="1" s="1"/>
  <c r="AP811" i="1"/>
  <c r="AQ810" i="1"/>
  <c r="AP810" i="1"/>
  <c r="AQ809" i="1"/>
  <c r="AP809" i="1"/>
  <c r="AQ808" i="1"/>
  <c r="AP808" i="1"/>
  <c r="AQ807" i="1"/>
  <c r="AR807" i="1" s="1"/>
  <c r="AP807" i="1"/>
  <c r="AQ806" i="1"/>
  <c r="AP806" i="1"/>
  <c r="AQ805" i="1"/>
  <c r="AP805" i="1"/>
  <c r="AQ804" i="1"/>
  <c r="AP804" i="1"/>
  <c r="AQ803" i="1"/>
  <c r="AR803" i="1" s="1"/>
  <c r="AP803" i="1"/>
  <c r="AQ802" i="1"/>
  <c r="AP802" i="1"/>
  <c r="AQ801" i="1"/>
  <c r="AP801" i="1"/>
  <c r="AQ800" i="1"/>
  <c r="AS800" i="1" s="1"/>
  <c r="AP800" i="1"/>
  <c r="AQ799" i="1"/>
  <c r="AP799" i="1"/>
  <c r="AQ798" i="1"/>
  <c r="AS798" i="1" s="1"/>
  <c r="AP798" i="1"/>
  <c r="AQ797" i="1"/>
  <c r="AP797" i="1"/>
  <c r="AQ796" i="1"/>
  <c r="AT796" i="1" s="1"/>
  <c r="AP796" i="1"/>
  <c r="AQ795" i="1"/>
  <c r="AP795" i="1"/>
  <c r="AQ794" i="1"/>
  <c r="AP794" i="1"/>
  <c r="AQ793" i="1"/>
  <c r="AP793" i="1"/>
  <c r="AQ792" i="1"/>
  <c r="AP792" i="1"/>
  <c r="AQ791" i="1"/>
  <c r="AS791" i="1" s="1"/>
  <c r="AP791" i="1"/>
  <c r="AQ790" i="1"/>
  <c r="AP790" i="1"/>
  <c r="AQ789" i="1"/>
  <c r="AP789" i="1"/>
  <c r="AQ788" i="1"/>
  <c r="AR788" i="1" s="1"/>
  <c r="AP788" i="1"/>
  <c r="AQ787" i="1"/>
  <c r="AS787" i="1" s="1"/>
  <c r="AP787" i="1"/>
  <c r="AQ786" i="1"/>
  <c r="AP786" i="1"/>
  <c r="AQ785" i="1"/>
  <c r="AP785" i="1"/>
  <c r="AQ784" i="1"/>
  <c r="AS784" i="1" s="1"/>
  <c r="AP784" i="1"/>
  <c r="AQ783" i="1"/>
  <c r="AR783" i="1" s="1"/>
  <c r="AP783" i="1"/>
  <c r="AQ782" i="1"/>
  <c r="AP782" i="1"/>
  <c r="AQ781" i="1"/>
  <c r="AP781" i="1"/>
  <c r="AQ780" i="1"/>
  <c r="AT780" i="1" s="1"/>
  <c r="AP780" i="1"/>
  <c r="AQ779" i="1"/>
  <c r="AP779" i="1"/>
  <c r="AQ778" i="1"/>
  <c r="AP778" i="1"/>
  <c r="AQ777" i="1"/>
  <c r="AP777" i="1"/>
  <c r="AQ776" i="1"/>
  <c r="AT776" i="1" s="1"/>
  <c r="AP776" i="1"/>
  <c r="AQ775" i="1"/>
  <c r="AP775" i="1"/>
  <c r="AQ774" i="1"/>
  <c r="AT774" i="1" s="1"/>
  <c r="AP774" i="1"/>
  <c r="AQ773" i="1"/>
  <c r="AT773" i="1" s="1"/>
  <c r="AP773" i="1"/>
  <c r="AQ772" i="1"/>
  <c r="AT772" i="1" s="1"/>
  <c r="AP772" i="1"/>
  <c r="AQ771" i="1"/>
  <c r="AP771" i="1"/>
  <c r="AQ770" i="1"/>
  <c r="AP770" i="1"/>
  <c r="AQ769" i="1"/>
  <c r="AP769" i="1"/>
  <c r="AQ768" i="1"/>
  <c r="AS768" i="1" s="1"/>
  <c r="AP768" i="1"/>
  <c r="AQ767" i="1"/>
  <c r="AS767" i="1" s="1"/>
  <c r="AP767" i="1"/>
  <c r="AQ766" i="1"/>
  <c r="AS766" i="1" s="1"/>
  <c r="AP766" i="1"/>
  <c r="AQ765" i="1"/>
  <c r="AP765" i="1"/>
  <c r="AQ764" i="1"/>
  <c r="AP764" i="1"/>
  <c r="AQ763" i="1"/>
  <c r="AP763" i="1"/>
  <c r="AQ762" i="1"/>
  <c r="AP762" i="1"/>
  <c r="AQ761" i="1"/>
  <c r="AT761" i="1" s="1"/>
  <c r="AP761" i="1"/>
  <c r="AQ760" i="1"/>
  <c r="AR760" i="1" s="1"/>
  <c r="AP760" i="1"/>
  <c r="AQ759" i="1"/>
  <c r="AR759" i="1" s="1"/>
  <c r="AP759" i="1"/>
  <c r="AQ758" i="1"/>
  <c r="AP758" i="1"/>
  <c r="AQ757" i="1"/>
  <c r="AP757" i="1"/>
  <c r="AQ756" i="1"/>
  <c r="AP756" i="1"/>
  <c r="AQ755" i="1"/>
  <c r="AP755" i="1"/>
  <c r="AQ754" i="1"/>
  <c r="AP754" i="1"/>
  <c r="AQ753" i="1"/>
  <c r="AP753" i="1"/>
  <c r="AQ752" i="1"/>
  <c r="AP752" i="1"/>
  <c r="AQ751" i="1"/>
  <c r="AP751" i="1"/>
  <c r="AQ750" i="1"/>
  <c r="AP750" i="1"/>
  <c r="AQ749" i="1"/>
  <c r="AP749" i="1"/>
  <c r="AQ748" i="1"/>
  <c r="AP748" i="1"/>
  <c r="AQ747" i="1"/>
  <c r="AP747" i="1"/>
  <c r="AQ746" i="1"/>
  <c r="AS746" i="1" s="1"/>
  <c r="AP746" i="1"/>
  <c r="AQ745" i="1"/>
  <c r="AP745" i="1"/>
  <c r="AQ744" i="1"/>
  <c r="AP744" i="1"/>
  <c r="AQ743" i="1"/>
  <c r="AT743" i="1" s="1"/>
  <c r="AP743" i="1"/>
  <c r="AQ742" i="1"/>
  <c r="AT742" i="1" s="1"/>
  <c r="AP742" i="1"/>
  <c r="AQ741" i="1"/>
  <c r="AP741" i="1"/>
  <c r="AQ740" i="1"/>
  <c r="AS740" i="1" s="1"/>
  <c r="AP740" i="1"/>
  <c r="AQ739" i="1"/>
  <c r="AP739" i="1"/>
  <c r="AQ738" i="1"/>
  <c r="AP738" i="1"/>
  <c r="AQ737" i="1"/>
  <c r="AP737" i="1"/>
  <c r="AQ736" i="1"/>
  <c r="AT736" i="1" s="1"/>
  <c r="AP736" i="1"/>
  <c r="AQ735" i="1"/>
  <c r="AS735" i="1" s="1"/>
  <c r="AP735" i="1"/>
  <c r="AQ734" i="1"/>
  <c r="AP734" i="1"/>
  <c r="AQ733" i="1"/>
  <c r="AP733" i="1"/>
  <c r="AQ732" i="1"/>
  <c r="AR732" i="1" s="1"/>
  <c r="AP732" i="1"/>
  <c r="AQ731" i="1"/>
  <c r="AS731" i="1" s="1"/>
  <c r="AP731" i="1"/>
  <c r="AQ730" i="1"/>
  <c r="AT730" i="1" s="1"/>
  <c r="AP730" i="1"/>
  <c r="AQ729" i="1"/>
  <c r="AP729" i="1"/>
  <c r="AQ728" i="1"/>
  <c r="AT728" i="1" s="1"/>
  <c r="AP728" i="1"/>
  <c r="AQ727" i="1"/>
  <c r="AR727" i="1" s="1"/>
  <c r="AP727" i="1"/>
  <c r="AQ726" i="1"/>
  <c r="AS726" i="1" s="1"/>
  <c r="AP726" i="1"/>
  <c r="AQ725" i="1"/>
  <c r="AP725" i="1"/>
  <c r="AQ724" i="1"/>
  <c r="AP724" i="1"/>
  <c r="AQ723" i="1"/>
  <c r="AP723" i="1"/>
  <c r="AQ722" i="1"/>
  <c r="AP722" i="1"/>
  <c r="AQ721" i="1"/>
  <c r="AR721" i="1" s="1"/>
  <c r="AP721" i="1"/>
  <c r="AQ720" i="1"/>
  <c r="AP720" i="1"/>
  <c r="AQ719" i="1"/>
  <c r="AS719" i="1" s="1"/>
  <c r="AP719" i="1"/>
  <c r="AQ718" i="1"/>
  <c r="AT718" i="1" s="1"/>
  <c r="AP718" i="1"/>
  <c r="AQ717" i="1"/>
  <c r="AS717" i="1" s="1"/>
  <c r="AP717" i="1"/>
  <c r="AQ716" i="1"/>
  <c r="AP716" i="1"/>
  <c r="AQ715" i="1"/>
  <c r="AP715" i="1"/>
  <c r="AQ714" i="1"/>
  <c r="AP714" i="1"/>
  <c r="AQ713" i="1"/>
  <c r="AP713" i="1"/>
  <c r="AQ712" i="1"/>
  <c r="AS712" i="1" s="1"/>
  <c r="AP712" i="1"/>
  <c r="AQ711" i="1"/>
  <c r="AR711" i="1" s="1"/>
  <c r="AP711" i="1"/>
  <c r="AQ710" i="1"/>
  <c r="AS710" i="1" s="1"/>
  <c r="AP710" i="1"/>
  <c r="AQ709" i="1"/>
  <c r="AP709" i="1"/>
  <c r="AQ708" i="1"/>
  <c r="AP708" i="1"/>
  <c r="AQ707" i="1"/>
  <c r="AR707" i="1" s="1"/>
  <c r="AP707" i="1"/>
  <c r="AQ706" i="1"/>
  <c r="AP706" i="1"/>
  <c r="AQ705" i="1"/>
  <c r="AP705" i="1"/>
  <c r="AQ704" i="1"/>
  <c r="AP704" i="1"/>
  <c r="AQ703" i="1"/>
  <c r="AR703" i="1" s="1"/>
  <c r="AP703" i="1"/>
  <c r="AQ702" i="1"/>
  <c r="AT702" i="1" s="1"/>
  <c r="AP702" i="1"/>
  <c r="AQ701" i="1"/>
  <c r="AP701" i="1"/>
  <c r="AQ700" i="1"/>
  <c r="AS700" i="1" s="1"/>
  <c r="AP700" i="1"/>
  <c r="AQ699" i="1"/>
  <c r="AS699" i="1" s="1"/>
  <c r="AP699" i="1"/>
  <c r="AQ698" i="1"/>
  <c r="AS698" i="1" s="1"/>
  <c r="AP698" i="1"/>
  <c r="AQ697" i="1"/>
  <c r="AP697" i="1"/>
  <c r="AQ696" i="1"/>
  <c r="AS696" i="1" s="1"/>
  <c r="AP696" i="1"/>
  <c r="AQ695" i="1"/>
  <c r="AR695" i="1" s="1"/>
  <c r="AP695" i="1"/>
  <c r="AQ694" i="1"/>
  <c r="AT694" i="1" s="1"/>
  <c r="AP694" i="1"/>
  <c r="AQ693" i="1"/>
  <c r="AS693" i="1" s="1"/>
  <c r="AP693" i="1"/>
  <c r="AQ692" i="1"/>
  <c r="AP692" i="1"/>
  <c r="AQ691" i="1"/>
  <c r="AP691" i="1"/>
  <c r="AQ690" i="1"/>
  <c r="AP690" i="1"/>
  <c r="AQ689" i="1"/>
  <c r="AR689" i="1" s="1"/>
  <c r="AP689" i="1"/>
  <c r="AQ688" i="1"/>
  <c r="AR688" i="1" s="1"/>
  <c r="AP688" i="1"/>
  <c r="AQ687" i="1"/>
  <c r="AT687" i="1" s="1"/>
  <c r="AP687" i="1"/>
  <c r="AQ686" i="1"/>
  <c r="AS686" i="1" s="1"/>
  <c r="AP686" i="1"/>
  <c r="AQ685" i="1"/>
  <c r="AP685" i="1"/>
  <c r="AQ684" i="1"/>
  <c r="AR684" i="1" s="1"/>
  <c r="AP684" i="1"/>
  <c r="AQ683" i="1"/>
  <c r="AP683" i="1"/>
  <c r="AQ682" i="1"/>
  <c r="AP682" i="1"/>
  <c r="AQ681" i="1"/>
  <c r="AP681" i="1"/>
  <c r="AQ680" i="1"/>
  <c r="AT680" i="1" s="1"/>
  <c r="AP680" i="1"/>
  <c r="AQ679" i="1"/>
  <c r="AS679" i="1" s="1"/>
  <c r="AP679" i="1"/>
  <c r="AQ678" i="1"/>
  <c r="AS678" i="1" s="1"/>
  <c r="AP678" i="1"/>
  <c r="AQ677" i="1"/>
  <c r="AR677" i="1" s="1"/>
  <c r="AP677" i="1"/>
  <c r="AQ675" i="1"/>
  <c r="AR675" i="1" s="1"/>
  <c r="AP675" i="1"/>
  <c r="AQ674" i="1"/>
  <c r="AR674" i="1" s="1"/>
  <c r="AP674" i="1"/>
  <c r="AQ673" i="1"/>
  <c r="AS673" i="1" s="1"/>
  <c r="AP673" i="1"/>
  <c r="AQ672" i="1"/>
  <c r="AT672" i="1" s="1"/>
  <c r="AP672" i="1"/>
  <c r="AQ671" i="1"/>
  <c r="AR671" i="1" s="1"/>
  <c r="AP671" i="1"/>
  <c r="AQ676" i="1"/>
  <c r="AS676" i="1" s="1"/>
  <c r="AP676" i="1"/>
  <c r="AQ670" i="1"/>
  <c r="AP670" i="1"/>
  <c r="AQ669" i="1"/>
  <c r="AP669" i="1"/>
  <c r="AQ668" i="1"/>
  <c r="AR668" i="1" s="1"/>
  <c r="AP668" i="1"/>
  <c r="AQ667" i="1"/>
  <c r="AP667" i="1"/>
  <c r="AQ666" i="1"/>
  <c r="AT666" i="1" s="1"/>
  <c r="AP666" i="1"/>
  <c r="AQ665" i="1"/>
  <c r="AT665" i="1" s="1"/>
  <c r="AP665" i="1"/>
  <c r="AQ664" i="1"/>
  <c r="AT664" i="1" s="1"/>
  <c r="AP664" i="1"/>
  <c r="AQ663" i="1"/>
  <c r="AR663" i="1" s="1"/>
  <c r="AP663" i="1"/>
  <c r="AQ662" i="1"/>
  <c r="AP662" i="1"/>
  <c r="AQ661" i="1"/>
  <c r="AP661" i="1"/>
  <c r="AQ660" i="1"/>
  <c r="AR660" i="1" s="1"/>
  <c r="AP660" i="1"/>
  <c r="AQ659" i="1"/>
  <c r="AP659" i="1"/>
  <c r="AQ658" i="1"/>
  <c r="AP658" i="1"/>
  <c r="AQ657" i="1"/>
  <c r="AP657" i="1"/>
  <c r="AQ656" i="1"/>
  <c r="AS656" i="1" s="1"/>
  <c r="AP656" i="1"/>
  <c r="AQ655" i="1"/>
  <c r="AS655" i="1" s="1"/>
  <c r="AP655" i="1"/>
  <c r="AQ654" i="1"/>
  <c r="AP654" i="1"/>
  <c r="AQ653" i="1"/>
  <c r="AP653" i="1"/>
  <c r="AQ652" i="1"/>
  <c r="AS652" i="1" s="1"/>
  <c r="AP652" i="1"/>
  <c r="AQ651" i="1"/>
  <c r="AS651" i="1" s="1"/>
  <c r="AP651" i="1"/>
  <c r="AQ650" i="1"/>
  <c r="AP650" i="1"/>
  <c r="AQ649" i="1"/>
  <c r="AP649" i="1"/>
  <c r="AQ648" i="1"/>
  <c r="AR648" i="1" s="1"/>
  <c r="AP648" i="1"/>
  <c r="AQ647" i="1"/>
  <c r="AS647" i="1" s="1"/>
  <c r="AP647" i="1"/>
  <c r="AQ646" i="1"/>
  <c r="AP646" i="1"/>
  <c r="AQ645" i="1"/>
  <c r="AP645" i="1"/>
  <c r="AQ644" i="1"/>
  <c r="AT644" i="1" s="1"/>
  <c r="AP644" i="1"/>
  <c r="AQ643" i="1"/>
  <c r="AP643" i="1"/>
  <c r="AQ642" i="1"/>
  <c r="AP642" i="1"/>
  <c r="AQ641" i="1"/>
  <c r="AP641" i="1"/>
  <c r="AQ640" i="1"/>
  <c r="AP640" i="1"/>
  <c r="AQ639" i="1"/>
  <c r="AR639" i="1" s="1"/>
  <c r="AP639" i="1"/>
  <c r="AQ638" i="1"/>
  <c r="AP638" i="1"/>
  <c r="AQ637" i="1"/>
  <c r="AP637" i="1"/>
  <c r="AQ636" i="1"/>
  <c r="AR636" i="1" s="1"/>
  <c r="AP636" i="1"/>
  <c r="AQ635" i="1"/>
  <c r="AP635" i="1"/>
  <c r="AQ634" i="1"/>
  <c r="AP634" i="1"/>
  <c r="AQ633" i="1"/>
  <c r="AP633" i="1"/>
  <c r="AQ632" i="1"/>
  <c r="AT632" i="1" s="1"/>
  <c r="AP632" i="1"/>
  <c r="AQ631" i="1"/>
  <c r="AS631" i="1" s="1"/>
  <c r="AP631" i="1"/>
  <c r="AQ630" i="1"/>
  <c r="AP630" i="1"/>
  <c r="AQ629" i="1"/>
  <c r="AP629" i="1"/>
  <c r="AQ628" i="1"/>
  <c r="AP628" i="1"/>
  <c r="AQ627" i="1"/>
  <c r="AT627" i="1" s="1"/>
  <c r="AP627" i="1"/>
  <c r="AQ626" i="1"/>
  <c r="AP626" i="1"/>
  <c r="AQ625" i="1"/>
  <c r="AP625" i="1"/>
  <c r="AQ624" i="1"/>
  <c r="AP624" i="1"/>
  <c r="AQ623" i="1"/>
  <c r="AP623" i="1"/>
  <c r="AQ622" i="1"/>
  <c r="AP622" i="1"/>
  <c r="AQ621" i="1"/>
  <c r="AP621" i="1"/>
  <c r="AQ620" i="1"/>
  <c r="AP620" i="1"/>
  <c r="AQ619" i="1"/>
  <c r="AP619" i="1"/>
  <c r="AQ618" i="1"/>
  <c r="AP618" i="1"/>
  <c r="AQ617" i="1"/>
  <c r="AP617" i="1"/>
  <c r="AQ616" i="1"/>
  <c r="AR616" i="1" s="1"/>
  <c r="AP616" i="1"/>
  <c r="AQ615" i="1"/>
  <c r="AP615" i="1"/>
  <c r="AQ614" i="1"/>
  <c r="AS614" i="1" s="1"/>
  <c r="AP614" i="1"/>
  <c r="AQ613" i="1"/>
  <c r="AP613" i="1"/>
  <c r="AQ612" i="1"/>
  <c r="AT612" i="1" s="1"/>
  <c r="AP612" i="1"/>
  <c r="AQ611" i="1"/>
  <c r="AT611" i="1" s="1"/>
  <c r="AP611" i="1"/>
  <c r="AQ610" i="1"/>
  <c r="AP610" i="1"/>
  <c r="AQ609" i="1"/>
  <c r="AP609" i="1"/>
  <c r="AQ608" i="1"/>
  <c r="AR608" i="1" s="1"/>
  <c r="AP608" i="1"/>
  <c r="AQ607" i="1"/>
  <c r="AR607" i="1" s="1"/>
  <c r="AP607" i="1"/>
  <c r="AQ606" i="1"/>
  <c r="AP606" i="1"/>
  <c r="AQ605" i="1"/>
  <c r="AP605" i="1"/>
  <c r="AQ604" i="1"/>
  <c r="AT604" i="1" s="1"/>
  <c r="AP604" i="1"/>
  <c r="AQ603" i="1"/>
  <c r="AS603" i="1" s="1"/>
  <c r="AP603" i="1"/>
  <c r="AQ602" i="1"/>
  <c r="AP602" i="1"/>
  <c r="AQ601" i="1"/>
  <c r="AP601" i="1"/>
  <c r="AQ600" i="1"/>
  <c r="AS600" i="1" s="1"/>
  <c r="AP600" i="1"/>
  <c r="AQ599" i="1"/>
  <c r="AT599" i="1" s="1"/>
  <c r="AP599" i="1"/>
  <c r="AQ598" i="1"/>
  <c r="AS598" i="1" s="1"/>
  <c r="AP598" i="1"/>
  <c r="AQ597" i="1"/>
  <c r="AP597" i="1"/>
  <c r="AQ596" i="1"/>
  <c r="AT596" i="1" s="1"/>
  <c r="AP596" i="1"/>
  <c r="AQ595" i="1"/>
  <c r="AP595" i="1"/>
  <c r="AQ594" i="1"/>
  <c r="AP594" i="1"/>
  <c r="AQ593" i="1"/>
  <c r="AS593" i="1" s="1"/>
  <c r="AP593" i="1"/>
  <c r="AQ592" i="1"/>
  <c r="AP592" i="1"/>
  <c r="AQ591" i="1"/>
  <c r="AR591" i="1" s="1"/>
  <c r="AP591" i="1"/>
  <c r="AQ590" i="1"/>
  <c r="AP590" i="1"/>
  <c r="AQ589" i="1"/>
  <c r="AP589" i="1"/>
  <c r="AQ588" i="1"/>
  <c r="AT588" i="1" s="1"/>
  <c r="AP588" i="1"/>
  <c r="AQ587" i="1"/>
  <c r="AR587" i="1" s="1"/>
  <c r="AP587" i="1"/>
  <c r="AQ586" i="1"/>
  <c r="AP586" i="1"/>
  <c r="AQ585" i="1"/>
  <c r="AP585" i="1"/>
  <c r="AQ584" i="1"/>
  <c r="AT584" i="1" s="1"/>
  <c r="AP584" i="1"/>
  <c r="AQ583" i="1"/>
  <c r="AT583" i="1" s="1"/>
  <c r="AP583" i="1"/>
  <c r="AQ582" i="1"/>
  <c r="AP582" i="1"/>
  <c r="AQ581" i="1"/>
  <c r="AP581" i="1"/>
  <c r="AQ580" i="1"/>
  <c r="AP580" i="1"/>
  <c r="AQ579" i="1"/>
  <c r="AP579" i="1"/>
  <c r="AQ578" i="1"/>
  <c r="AP578" i="1"/>
  <c r="AQ577" i="1"/>
  <c r="AS577" i="1" s="1"/>
  <c r="AP577" i="1"/>
  <c r="AQ576" i="1"/>
  <c r="AT576" i="1" s="1"/>
  <c r="AP576" i="1"/>
  <c r="AQ575" i="1"/>
  <c r="AR575" i="1" s="1"/>
  <c r="AP575" i="1"/>
  <c r="AQ574" i="1"/>
  <c r="AP574" i="1"/>
  <c r="AQ573" i="1"/>
  <c r="AP573" i="1"/>
  <c r="AQ572" i="1"/>
  <c r="AT572" i="1" s="1"/>
  <c r="AP572" i="1"/>
  <c r="AQ571" i="1"/>
  <c r="AS571" i="1" s="1"/>
  <c r="AP571" i="1"/>
  <c r="AQ570" i="1"/>
  <c r="AP570" i="1"/>
  <c r="AQ569" i="1"/>
  <c r="AP569" i="1"/>
  <c r="AQ568" i="1"/>
  <c r="AP568" i="1"/>
  <c r="AQ567" i="1"/>
  <c r="AT567" i="1" s="1"/>
  <c r="AP567" i="1"/>
  <c r="AQ566" i="1"/>
  <c r="AP566" i="1"/>
  <c r="AQ565" i="1"/>
  <c r="AP565" i="1"/>
  <c r="AQ564" i="1"/>
  <c r="AP564" i="1"/>
  <c r="AQ563" i="1"/>
  <c r="AP563" i="1"/>
  <c r="AQ562" i="1"/>
  <c r="AP562" i="1"/>
  <c r="AQ561" i="1"/>
  <c r="AT561" i="1" s="1"/>
  <c r="AP561" i="1"/>
  <c r="AQ560" i="1"/>
  <c r="AS560" i="1" s="1"/>
  <c r="AP560" i="1"/>
  <c r="AQ559" i="1"/>
  <c r="AT559" i="1" s="1"/>
  <c r="AP559" i="1"/>
  <c r="AQ558" i="1"/>
  <c r="AS558" i="1" s="1"/>
  <c r="AP558" i="1"/>
  <c r="AQ557" i="1"/>
  <c r="AT557" i="1" s="1"/>
  <c r="AP557" i="1"/>
  <c r="AQ556" i="1"/>
  <c r="AS556" i="1" s="1"/>
  <c r="AP556" i="1"/>
  <c r="AQ555" i="1"/>
  <c r="AP555" i="1"/>
  <c r="AQ554" i="1"/>
  <c r="AT554" i="1" s="1"/>
  <c r="AP554" i="1"/>
  <c r="AQ553" i="1"/>
  <c r="AS553" i="1" s="1"/>
  <c r="AP553" i="1"/>
  <c r="AQ552" i="1"/>
  <c r="AT552" i="1" s="1"/>
  <c r="AP552" i="1"/>
  <c r="AQ551" i="1"/>
  <c r="AT551" i="1" s="1"/>
  <c r="AP551" i="1"/>
  <c r="AQ550" i="1"/>
  <c r="AP550" i="1"/>
  <c r="AQ549" i="1"/>
  <c r="AP549" i="1"/>
  <c r="AQ548" i="1"/>
  <c r="AT548" i="1" s="1"/>
  <c r="AP548" i="1"/>
  <c r="AQ547" i="1"/>
  <c r="AT547" i="1" s="1"/>
  <c r="AP547" i="1"/>
  <c r="AQ546" i="1"/>
  <c r="AP546" i="1"/>
  <c r="AQ545" i="1"/>
  <c r="AP545" i="1"/>
  <c r="AQ544" i="1"/>
  <c r="AP544" i="1"/>
  <c r="AQ543" i="1"/>
  <c r="AR543" i="1" s="1"/>
  <c r="AP543" i="1"/>
  <c r="AQ542" i="1"/>
  <c r="AT542" i="1" s="1"/>
  <c r="AP542" i="1"/>
  <c r="AQ541" i="1"/>
  <c r="AP541" i="1"/>
  <c r="AQ540" i="1"/>
  <c r="AR540" i="1" s="1"/>
  <c r="AP540" i="1"/>
  <c r="AQ539" i="1"/>
  <c r="AS539" i="1" s="1"/>
  <c r="AP539" i="1"/>
  <c r="AQ538" i="1"/>
  <c r="AP538" i="1"/>
  <c r="AQ537" i="1"/>
  <c r="AP537" i="1"/>
  <c r="AQ536" i="1"/>
  <c r="AP536" i="1"/>
  <c r="AQ535" i="1"/>
  <c r="AT535" i="1" s="1"/>
  <c r="AP535" i="1"/>
  <c r="AQ534" i="1"/>
  <c r="AP534" i="1"/>
  <c r="AQ533" i="1"/>
  <c r="AP533" i="1"/>
  <c r="AQ532" i="1"/>
  <c r="AS532" i="1" s="1"/>
  <c r="AP532" i="1"/>
  <c r="AQ531" i="1"/>
  <c r="AS531" i="1" s="1"/>
  <c r="AP531" i="1"/>
  <c r="AQ530" i="1"/>
  <c r="AT530" i="1" s="1"/>
  <c r="AP530" i="1"/>
  <c r="AQ529" i="1"/>
  <c r="AP529" i="1"/>
  <c r="AQ528" i="1"/>
  <c r="AR528" i="1" s="1"/>
  <c r="AP528" i="1"/>
  <c r="AQ527" i="1"/>
  <c r="AT527" i="1" s="1"/>
  <c r="AP527" i="1"/>
  <c r="AQ526" i="1"/>
  <c r="AP526" i="1"/>
  <c r="AQ525" i="1"/>
  <c r="AP525" i="1"/>
  <c r="AQ524" i="1"/>
  <c r="AP524" i="1"/>
  <c r="AQ523" i="1"/>
  <c r="AR523" i="1" s="1"/>
  <c r="AP523" i="1"/>
  <c r="AQ522" i="1"/>
  <c r="AP522" i="1"/>
  <c r="AQ521" i="1"/>
  <c r="AP521" i="1"/>
  <c r="AQ520" i="1"/>
  <c r="AS520" i="1" s="1"/>
  <c r="AP520" i="1"/>
  <c r="AQ519" i="1"/>
  <c r="AT519" i="1" s="1"/>
  <c r="AP519" i="1"/>
  <c r="AQ518" i="1"/>
  <c r="AP518" i="1"/>
  <c r="AQ517" i="1"/>
  <c r="AP517" i="1"/>
  <c r="AQ516" i="1"/>
  <c r="AS516" i="1" s="1"/>
  <c r="AP516" i="1"/>
  <c r="AQ515" i="1"/>
  <c r="AP515" i="1"/>
  <c r="AQ514" i="1"/>
  <c r="AS514" i="1" s="1"/>
  <c r="AP514" i="1"/>
  <c r="AQ513" i="1"/>
  <c r="AP513" i="1"/>
  <c r="AQ512" i="1"/>
  <c r="AP512" i="1"/>
  <c r="AQ511" i="1"/>
  <c r="AR511" i="1" s="1"/>
  <c r="AP511" i="1"/>
  <c r="AQ510" i="1"/>
  <c r="AP510" i="1"/>
  <c r="AQ509" i="1"/>
  <c r="AP509" i="1"/>
  <c r="AQ508" i="1"/>
  <c r="AS508" i="1" s="1"/>
  <c r="AP508" i="1"/>
  <c r="AQ507" i="1"/>
  <c r="AS507" i="1" s="1"/>
  <c r="AP507" i="1"/>
  <c r="AQ506" i="1"/>
  <c r="AP506" i="1"/>
  <c r="AQ505" i="1"/>
  <c r="AP505" i="1"/>
  <c r="AQ504" i="1"/>
  <c r="AT504" i="1" s="1"/>
  <c r="AP504" i="1"/>
  <c r="AQ503" i="1"/>
  <c r="AS503" i="1" s="1"/>
  <c r="AP503" i="1"/>
  <c r="AQ502" i="1"/>
  <c r="AR502" i="1" s="1"/>
  <c r="AP502" i="1"/>
  <c r="AQ501" i="1"/>
  <c r="AP501" i="1"/>
  <c r="AQ500" i="1"/>
  <c r="AT500" i="1" s="1"/>
  <c r="AP500" i="1"/>
  <c r="AQ499" i="1"/>
  <c r="AS499" i="1" s="1"/>
  <c r="AP499" i="1"/>
  <c r="AQ498" i="1"/>
  <c r="AP498" i="1"/>
  <c r="AQ497" i="1"/>
  <c r="AP497" i="1"/>
  <c r="AQ496" i="1"/>
  <c r="AT496" i="1" s="1"/>
  <c r="AP496" i="1"/>
  <c r="AQ495" i="1"/>
  <c r="AP495" i="1"/>
  <c r="AQ494" i="1"/>
  <c r="AP494" i="1"/>
  <c r="AQ493" i="1"/>
  <c r="AP493" i="1"/>
  <c r="AQ492" i="1"/>
  <c r="AS492" i="1" s="1"/>
  <c r="AP492" i="1"/>
  <c r="AQ491" i="1"/>
  <c r="AS491" i="1" s="1"/>
  <c r="AP491" i="1"/>
  <c r="AQ490" i="1"/>
  <c r="AT490" i="1" s="1"/>
  <c r="AP490" i="1"/>
  <c r="AQ489" i="1"/>
  <c r="AP489" i="1"/>
  <c r="AQ488" i="1"/>
  <c r="AS488" i="1" s="1"/>
  <c r="AP488" i="1"/>
  <c r="AQ487" i="1"/>
  <c r="AT487" i="1" s="1"/>
  <c r="AP487" i="1"/>
  <c r="AQ486" i="1"/>
  <c r="AP486" i="1"/>
  <c r="AQ485" i="1"/>
  <c r="AP485" i="1"/>
  <c r="AQ484" i="1"/>
  <c r="AR484" i="1" s="1"/>
  <c r="AP484" i="1"/>
  <c r="AQ483" i="1"/>
  <c r="AS483" i="1" s="1"/>
  <c r="AP483" i="1"/>
  <c r="AQ482" i="1"/>
  <c r="AP482" i="1"/>
  <c r="AQ481" i="1"/>
  <c r="AP481" i="1"/>
  <c r="AQ480" i="1"/>
  <c r="AP480" i="1"/>
  <c r="AQ478" i="1"/>
  <c r="AR478" i="1" s="1"/>
  <c r="AP478" i="1"/>
  <c r="AQ479" i="1"/>
  <c r="AR479" i="1" s="1"/>
  <c r="AP479" i="1"/>
  <c r="AQ477" i="1"/>
  <c r="AP477" i="1"/>
  <c r="AQ476" i="1"/>
  <c r="AR476" i="1" s="1"/>
  <c r="AP476" i="1"/>
  <c r="AQ475" i="1"/>
  <c r="AS475" i="1" s="1"/>
  <c r="AP475" i="1"/>
  <c r="AQ474" i="1"/>
  <c r="AP474" i="1"/>
  <c r="AQ473" i="1"/>
  <c r="AP473" i="1"/>
  <c r="AQ472" i="1"/>
  <c r="AT472" i="1" s="1"/>
  <c r="AP472" i="1"/>
  <c r="AQ471" i="1"/>
  <c r="AS471" i="1" s="1"/>
  <c r="AP471" i="1"/>
  <c r="AQ470" i="1"/>
  <c r="AP470" i="1"/>
  <c r="AQ469" i="1"/>
  <c r="AP469" i="1"/>
  <c r="AQ468" i="1"/>
  <c r="AS468" i="1" s="1"/>
  <c r="AP468" i="1"/>
  <c r="AQ467" i="1"/>
  <c r="AS467" i="1" s="1"/>
  <c r="AP467" i="1"/>
  <c r="AQ466" i="1"/>
  <c r="AP466" i="1"/>
  <c r="AQ465" i="1"/>
  <c r="AT465" i="1" s="1"/>
  <c r="AP465" i="1"/>
  <c r="AQ464" i="1"/>
  <c r="AR464" i="1" s="1"/>
  <c r="AP464" i="1"/>
  <c r="AQ463" i="1"/>
  <c r="AP463" i="1"/>
  <c r="AQ462" i="1"/>
  <c r="AT462" i="1" s="1"/>
  <c r="AP462" i="1"/>
  <c r="AQ461" i="1"/>
  <c r="AP461" i="1"/>
  <c r="AQ460" i="1"/>
  <c r="AS460" i="1" s="1"/>
  <c r="AP460" i="1"/>
  <c r="AQ459" i="1"/>
  <c r="AS459" i="1" s="1"/>
  <c r="AP459" i="1"/>
  <c r="AQ458" i="1"/>
  <c r="AP458" i="1"/>
  <c r="AQ457" i="1"/>
  <c r="AP457" i="1"/>
  <c r="AQ456" i="1"/>
  <c r="AR456" i="1" s="1"/>
  <c r="AP456" i="1"/>
  <c r="AQ455" i="1"/>
  <c r="AT455" i="1" s="1"/>
  <c r="AP455" i="1"/>
  <c r="AQ454" i="1"/>
  <c r="AP454" i="1"/>
  <c r="AQ453" i="1"/>
  <c r="AP453" i="1"/>
  <c r="AQ452" i="1"/>
  <c r="AP452" i="1"/>
  <c r="AQ451" i="1"/>
  <c r="AP451" i="1"/>
  <c r="AQ450" i="1"/>
  <c r="AP450" i="1"/>
  <c r="AQ449" i="1"/>
  <c r="AP449" i="1"/>
  <c r="AQ448" i="1"/>
  <c r="AR448" i="1" s="1"/>
  <c r="AP448" i="1"/>
  <c r="AQ447" i="1"/>
  <c r="AR447" i="1" s="1"/>
  <c r="AP447" i="1"/>
  <c r="AQ446" i="1"/>
  <c r="AP446" i="1"/>
  <c r="AQ445" i="1"/>
  <c r="AP445" i="1"/>
  <c r="AQ444" i="1"/>
  <c r="AR444" i="1" s="1"/>
  <c r="AP444" i="1"/>
  <c r="AQ443" i="1"/>
  <c r="AT443" i="1" s="1"/>
  <c r="AP443" i="1"/>
  <c r="AQ442" i="1"/>
  <c r="AT442" i="1" s="1"/>
  <c r="AP442" i="1"/>
  <c r="AQ441" i="1"/>
  <c r="AP441" i="1"/>
  <c r="AQ440" i="1"/>
  <c r="AP440" i="1"/>
  <c r="AQ439" i="1"/>
  <c r="AT439" i="1" s="1"/>
  <c r="AP439" i="1"/>
  <c r="AQ438" i="1"/>
  <c r="AP438" i="1"/>
  <c r="AQ437" i="1"/>
  <c r="AP437" i="1"/>
  <c r="AQ436" i="1"/>
  <c r="AR436" i="1" s="1"/>
  <c r="AP436" i="1"/>
  <c r="AQ435" i="1"/>
  <c r="AP435" i="1"/>
  <c r="AQ434" i="1"/>
  <c r="AP434" i="1"/>
  <c r="AQ433" i="1"/>
  <c r="AR433" i="1" s="1"/>
  <c r="AP433" i="1"/>
  <c r="AQ432" i="1"/>
  <c r="AS432" i="1" s="1"/>
  <c r="AP432" i="1"/>
  <c r="AQ431" i="1"/>
  <c r="AP431" i="1"/>
  <c r="AQ430" i="1"/>
  <c r="AS430" i="1" s="1"/>
  <c r="AP430" i="1"/>
  <c r="AQ429" i="1"/>
  <c r="AP429" i="1"/>
  <c r="AQ428" i="1"/>
  <c r="AR428" i="1" s="1"/>
  <c r="AP428" i="1"/>
  <c r="AQ427" i="1"/>
  <c r="AS427" i="1" s="1"/>
  <c r="AP427" i="1"/>
  <c r="AQ426" i="1"/>
  <c r="AP426" i="1"/>
  <c r="AQ425" i="1"/>
  <c r="AP425" i="1"/>
  <c r="AQ424" i="1"/>
  <c r="AR424" i="1" s="1"/>
  <c r="AP424" i="1"/>
  <c r="AQ423" i="1"/>
  <c r="AS423" i="1" s="1"/>
  <c r="AP423" i="1"/>
  <c r="AQ422" i="1"/>
  <c r="AP422" i="1"/>
  <c r="AQ421" i="1"/>
  <c r="AT421" i="1" s="1"/>
  <c r="AP421" i="1"/>
  <c r="AQ420" i="1"/>
  <c r="AS420" i="1" s="1"/>
  <c r="AP420" i="1"/>
  <c r="AQ419" i="1"/>
  <c r="AP419" i="1"/>
  <c r="AQ418" i="1"/>
  <c r="AP418" i="1"/>
  <c r="AQ417" i="1"/>
  <c r="AP417" i="1"/>
  <c r="AQ416" i="1"/>
  <c r="AT416" i="1" s="1"/>
  <c r="AP416" i="1"/>
  <c r="AQ415" i="1"/>
  <c r="AP415" i="1"/>
  <c r="AQ414" i="1"/>
  <c r="AS414" i="1" s="1"/>
  <c r="AP414" i="1"/>
  <c r="AQ413" i="1"/>
  <c r="AS413" i="1" s="1"/>
  <c r="AP413" i="1"/>
  <c r="AQ412" i="1"/>
  <c r="AR412" i="1" s="1"/>
  <c r="AP412" i="1"/>
  <c r="AQ411" i="1"/>
  <c r="AP411" i="1"/>
  <c r="AQ410" i="1"/>
  <c r="AP410" i="1"/>
  <c r="AQ409" i="1"/>
  <c r="AP409" i="1"/>
  <c r="AQ408" i="1"/>
  <c r="AT408" i="1" s="1"/>
  <c r="AP408" i="1"/>
  <c r="AQ407" i="1"/>
  <c r="AR407" i="1" s="1"/>
  <c r="AP407" i="1"/>
  <c r="AQ406" i="1"/>
  <c r="AP406" i="1"/>
  <c r="AQ405" i="1"/>
  <c r="AP405" i="1"/>
  <c r="AQ404" i="1"/>
  <c r="AP404" i="1"/>
  <c r="AQ403" i="1"/>
  <c r="AS403" i="1" s="1"/>
  <c r="AP403" i="1"/>
  <c r="AQ402" i="1"/>
  <c r="AP402" i="1"/>
  <c r="AQ401" i="1"/>
  <c r="AS401" i="1" s="1"/>
  <c r="AP401" i="1"/>
  <c r="AQ400" i="1"/>
  <c r="AT400" i="1" s="1"/>
  <c r="AP400" i="1"/>
  <c r="AQ399" i="1"/>
  <c r="AP399" i="1"/>
  <c r="AQ398" i="1"/>
  <c r="AR398" i="1" s="1"/>
  <c r="AP398" i="1"/>
  <c r="AQ397" i="1"/>
  <c r="AP397" i="1"/>
  <c r="AQ396" i="1"/>
  <c r="AT396" i="1" s="1"/>
  <c r="AP396" i="1"/>
  <c r="AQ395" i="1"/>
  <c r="AP395" i="1"/>
  <c r="AQ394" i="1"/>
  <c r="AP394" i="1"/>
  <c r="AQ393" i="1"/>
  <c r="AP393" i="1"/>
  <c r="AQ392" i="1"/>
  <c r="AT392" i="1" s="1"/>
  <c r="AP392" i="1"/>
  <c r="AQ391" i="1"/>
  <c r="AS391" i="1" s="1"/>
  <c r="AP391" i="1"/>
  <c r="AQ390" i="1"/>
  <c r="AS390" i="1" s="1"/>
  <c r="AP390" i="1"/>
  <c r="AQ389" i="1"/>
  <c r="AP389" i="1"/>
  <c r="AQ388" i="1"/>
  <c r="AP388" i="1"/>
  <c r="AQ387" i="1"/>
  <c r="AP387" i="1"/>
  <c r="AQ386" i="1"/>
  <c r="AP386" i="1"/>
  <c r="AQ385" i="1"/>
  <c r="AP385" i="1"/>
  <c r="AQ384" i="1"/>
  <c r="AR384" i="1" s="1"/>
  <c r="AP384" i="1"/>
  <c r="AQ383" i="1"/>
  <c r="AP383" i="1"/>
  <c r="AQ382" i="1"/>
  <c r="AP382" i="1"/>
  <c r="AQ381" i="1"/>
  <c r="AP381" i="1"/>
  <c r="AQ380" i="1"/>
  <c r="AP380" i="1"/>
  <c r="AQ379" i="1"/>
  <c r="AP379" i="1"/>
  <c r="AQ378" i="1"/>
  <c r="AP378" i="1"/>
  <c r="AQ377" i="1"/>
  <c r="AP377" i="1"/>
  <c r="AQ376" i="1"/>
  <c r="AP376" i="1"/>
  <c r="AQ375" i="1"/>
  <c r="AP375" i="1"/>
  <c r="AQ374" i="1"/>
  <c r="AP374" i="1"/>
  <c r="AQ373" i="1"/>
  <c r="AP373" i="1"/>
  <c r="AQ372" i="1"/>
  <c r="AP372" i="1"/>
  <c r="AQ371" i="1"/>
  <c r="AS371" i="1" s="1"/>
  <c r="AP371" i="1"/>
  <c r="AQ370" i="1"/>
  <c r="AP370" i="1"/>
  <c r="AQ369" i="1"/>
  <c r="AP369" i="1"/>
  <c r="AQ368" i="1"/>
  <c r="AP368" i="1"/>
  <c r="AQ367" i="1"/>
  <c r="AR367" i="1" s="1"/>
  <c r="AP367" i="1"/>
  <c r="AQ366" i="1"/>
  <c r="AP366" i="1"/>
  <c r="AQ365" i="1"/>
  <c r="AP365" i="1"/>
  <c r="AQ364" i="1"/>
  <c r="AP364" i="1"/>
  <c r="AQ363" i="1"/>
  <c r="AS363" i="1" s="1"/>
  <c r="AP363" i="1"/>
  <c r="AQ362" i="1"/>
  <c r="AR362" i="1" s="1"/>
  <c r="AP362" i="1"/>
  <c r="AQ361" i="1"/>
  <c r="AS361" i="1" s="1"/>
  <c r="AP361" i="1"/>
  <c r="AQ360" i="1"/>
  <c r="AP360" i="1"/>
  <c r="AQ359" i="1"/>
  <c r="AP359" i="1"/>
  <c r="AQ358" i="1"/>
  <c r="AS358" i="1" s="1"/>
  <c r="AP358" i="1"/>
  <c r="AQ357" i="1"/>
  <c r="AR357" i="1" s="1"/>
  <c r="AP357" i="1"/>
  <c r="AQ356" i="1"/>
  <c r="AP356" i="1"/>
  <c r="AQ355" i="1"/>
  <c r="AP355" i="1"/>
  <c r="AQ354" i="1"/>
  <c r="AP354" i="1"/>
  <c r="AQ353" i="1"/>
  <c r="AP353" i="1"/>
  <c r="AQ352" i="1"/>
  <c r="AT352" i="1" s="1"/>
  <c r="AP352" i="1"/>
  <c r="AQ351" i="1"/>
  <c r="AS351" i="1" s="1"/>
  <c r="AP351" i="1"/>
  <c r="AQ350" i="1"/>
  <c r="AP350" i="1"/>
  <c r="AQ349" i="1"/>
  <c r="AP349" i="1"/>
  <c r="AQ348" i="1"/>
  <c r="AP348" i="1"/>
  <c r="AQ347" i="1"/>
  <c r="AT347" i="1" s="1"/>
  <c r="AP347" i="1"/>
  <c r="AQ346" i="1"/>
  <c r="AP346" i="1"/>
  <c r="AQ345" i="1"/>
  <c r="AP345" i="1"/>
  <c r="AQ344" i="1"/>
  <c r="AP344" i="1"/>
  <c r="AQ343" i="1"/>
  <c r="AR343" i="1" s="1"/>
  <c r="AP343" i="1"/>
  <c r="AQ342" i="1"/>
  <c r="AP342" i="1"/>
  <c r="AQ341" i="1"/>
  <c r="AP341" i="1"/>
  <c r="AQ340" i="1"/>
  <c r="AR340" i="1" s="1"/>
  <c r="AP340" i="1"/>
  <c r="AQ339" i="1"/>
  <c r="AP339" i="1"/>
  <c r="AQ338" i="1"/>
  <c r="AR338" i="1" s="1"/>
  <c r="AP338" i="1"/>
  <c r="AQ337" i="1"/>
  <c r="AS337" i="1" s="1"/>
  <c r="AP337" i="1"/>
  <c r="AQ336" i="1"/>
  <c r="AR336" i="1" s="1"/>
  <c r="AP336" i="1"/>
  <c r="AQ335" i="1"/>
  <c r="AP335" i="1"/>
  <c r="AQ334" i="1"/>
  <c r="AP334" i="1"/>
  <c r="AQ333" i="1"/>
  <c r="AP333" i="1"/>
  <c r="AQ332" i="1"/>
  <c r="AS332" i="1" s="1"/>
  <c r="AP332" i="1"/>
  <c r="AQ331" i="1"/>
  <c r="AS331" i="1" s="1"/>
  <c r="AP331" i="1"/>
  <c r="AQ330" i="1"/>
  <c r="AP330" i="1"/>
  <c r="AQ329" i="1"/>
  <c r="AS329" i="1" s="1"/>
  <c r="AP329" i="1"/>
  <c r="AQ328" i="1"/>
  <c r="AR328" i="1" s="1"/>
  <c r="AP328" i="1"/>
  <c r="AQ327" i="1"/>
  <c r="AP327" i="1"/>
  <c r="AQ326" i="1"/>
  <c r="AP326" i="1"/>
  <c r="AQ325" i="1"/>
  <c r="AR325" i="1" s="1"/>
  <c r="AP325" i="1"/>
  <c r="AQ324" i="1"/>
  <c r="AP324" i="1"/>
  <c r="AQ323" i="1"/>
  <c r="AP323" i="1"/>
  <c r="AQ322" i="1"/>
  <c r="AP322" i="1"/>
  <c r="AQ321" i="1"/>
  <c r="AR321" i="1" s="1"/>
  <c r="AP321" i="1"/>
  <c r="AQ320" i="1"/>
  <c r="AP320" i="1"/>
  <c r="AQ319" i="1"/>
  <c r="AR319" i="1" s="1"/>
  <c r="AP319" i="1"/>
  <c r="AQ318" i="1"/>
  <c r="AP318" i="1"/>
  <c r="AQ317" i="1"/>
  <c r="AP317" i="1"/>
  <c r="AQ316" i="1"/>
  <c r="AR316" i="1" s="1"/>
  <c r="AP316" i="1"/>
  <c r="AQ315" i="1"/>
  <c r="AP315" i="1"/>
  <c r="AQ314" i="1"/>
  <c r="AP314" i="1"/>
  <c r="AQ313" i="1"/>
  <c r="AP313" i="1"/>
  <c r="AQ312" i="1"/>
  <c r="AP312" i="1"/>
  <c r="AQ311" i="1"/>
  <c r="AS311" i="1" s="1"/>
  <c r="AP311" i="1"/>
  <c r="AQ310" i="1"/>
  <c r="AP310" i="1"/>
  <c r="AQ309" i="1"/>
  <c r="AP309" i="1"/>
  <c r="AQ308" i="1"/>
  <c r="AR308" i="1" s="1"/>
  <c r="AP308" i="1"/>
  <c r="AQ307" i="1"/>
  <c r="AS307" i="1" s="1"/>
  <c r="AP307" i="1"/>
  <c r="AQ306" i="1"/>
  <c r="AP306" i="1"/>
  <c r="AQ305" i="1"/>
  <c r="AP305" i="1"/>
  <c r="AQ304" i="1"/>
  <c r="AP304" i="1"/>
  <c r="AQ303" i="1"/>
  <c r="AS303" i="1" s="1"/>
  <c r="AP303" i="1"/>
  <c r="AQ302" i="1"/>
  <c r="AP302" i="1"/>
  <c r="AQ301" i="1"/>
  <c r="AP301" i="1"/>
  <c r="AQ300" i="1"/>
  <c r="AS300" i="1" s="1"/>
  <c r="AP300" i="1"/>
  <c r="AQ299" i="1"/>
  <c r="AP299" i="1"/>
  <c r="AQ298" i="1"/>
  <c r="AP298" i="1"/>
  <c r="AQ297" i="1"/>
  <c r="AP297" i="1"/>
  <c r="AQ296" i="1"/>
  <c r="AP296" i="1"/>
  <c r="AQ293" i="1"/>
  <c r="AR293" i="1" s="1"/>
  <c r="AP293" i="1"/>
  <c r="AQ295" i="1"/>
  <c r="AP295" i="1"/>
  <c r="AQ294" i="1"/>
  <c r="AP294" i="1"/>
  <c r="AQ292" i="1"/>
  <c r="AP292" i="1"/>
  <c r="AQ291" i="1"/>
  <c r="AT291" i="1" s="1"/>
  <c r="AP291" i="1"/>
  <c r="AQ290" i="1"/>
  <c r="AS290" i="1" s="1"/>
  <c r="AP290" i="1"/>
  <c r="AQ289" i="1"/>
  <c r="AP289" i="1"/>
  <c r="AQ288" i="1"/>
  <c r="AR288" i="1" s="1"/>
  <c r="AP288" i="1"/>
  <c r="AQ287" i="1"/>
  <c r="AR287" i="1" s="1"/>
  <c r="AP287" i="1"/>
  <c r="AQ286" i="1"/>
  <c r="AP286" i="1"/>
  <c r="AQ285" i="1"/>
  <c r="AP285" i="1"/>
  <c r="AQ284" i="1"/>
  <c r="AS284" i="1" s="1"/>
  <c r="AP284" i="1"/>
  <c r="AQ283" i="1"/>
  <c r="AP283" i="1"/>
  <c r="AQ282" i="1"/>
  <c r="AP282" i="1"/>
  <c r="AQ281" i="1"/>
  <c r="AP281" i="1"/>
  <c r="AQ280" i="1"/>
  <c r="AR280" i="1" s="1"/>
  <c r="AP280" i="1"/>
  <c r="AQ279" i="1"/>
  <c r="AS279" i="1" s="1"/>
  <c r="AP279" i="1"/>
  <c r="AQ278" i="1"/>
  <c r="AP278" i="1"/>
  <c r="AQ277" i="1"/>
  <c r="AR277" i="1" s="1"/>
  <c r="AP277" i="1"/>
  <c r="AQ276" i="1"/>
  <c r="AR276" i="1" s="1"/>
  <c r="AP276" i="1"/>
  <c r="AQ275" i="1"/>
  <c r="AP275" i="1"/>
  <c r="AQ274" i="1"/>
  <c r="AP274" i="1"/>
  <c r="AQ273" i="1"/>
  <c r="AR273" i="1" s="1"/>
  <c r="AP273" i="1"/>
  <c r="AQ272" i="1"/>
  <c r="AP272" i="1"/>
  <c r="AQ271" i="1"/>
  <c r="AS271" i="1" s="1"/>
  <c r="AP271" i="1"/>
  <c r="AQ270" i="1"/>
  <c r="AP270" i="1"/>
  <c r="AQ269" i="1"/>
  <c r="AR269" i="1" s="1"/>
  <c r="AP269" i="1"/>
  <c r="AQ268" i="1"/>
  <c r="AP268" i="1"/>
  <c r="AQ267" i="1"/>
  <c r="AR267" i="1" s="1"/>
  <c r="AP267" i="1"/>
  <c r="AQ266" i="1"/>
  <c r="AP266" i="1"/>
  <c r="AQ265" i="1"/>
  <c r="AP265" i="1"/>
  <c r="AQ264" i="1"/>
  <c r="AP264" i="1"/>
  <c r="AQ263" i="1"/>
  <c r="AP263" i="1"/>
  <c r="AQ262" i="1"/>
  <c r="AP262" i="1"/>
  <c r="AQ261" i="1"/>
  <c r="AP261" i="1"/>
  <c r="AQ260" i="1"/>
  <c r="AP260" i="1"/>
  <c r="AQ259" i="1"/>
  <c r="AP259" i="1"/>
  <c r="AQ258" i="1"/>
  <c r="AP258" i="1"/>
  <c r="AQ257" i="1"/>
  <c r="AP257" i="1"/>
  <c r="AQ256" i="1"/>
  <c r="AP256" i="1"/>
  <c r="AQ255" i="1"/>
  <c r="AP255" i="1"/>
  <c r="AQ254" i="1"/>
  <c r="AP254" i="1"/>
  <c r="AQ253" i="1"/>
  <c r="AP253" i="1"/>
  <c r="AQ252" i="1"/>
  <c r="AS252" i="1" s="1"/>
  <c r="AP252" i="1"/>
  <c r="AQ251" i="1"/>
  <c r="AP251" i="1"/>
  <c r="AQ250" i="1"/>
  <c r="AP250" i="1"/>
  <c r="AQ249" i="1"/>
  <c r="AP249" i="1"/>
  <c r="AQ248" i="1"/>
  <c r="AS248" i="1" s="1"/>
  <c r="AP248" i="1"/>
  <c r="AQ247" i="1"/>
  <c r="AP247" i="1"/>
  <c r="AQ246" i="1"/>
  <c r="AP246" i="1"/>
  <c r="AQ245" i="1"/>
  <c r="AP245" i="1"/>
  <c r="AQ244" i="1"/>
  <c r="AS244" i="1" s="1"/>
  <c r="AP244" i="1"/>
  <c r="AQ243" i="1"/>
  <c r="AT243" i="1" s="1"/>
  <c r="AP243" i="1"/>
  <c r="AQ242" i="1"/>
  <c r="AP242" i="1"/>
  <c r="AQ241" i="1"/>
  <c r="AP241" i="1"/>
  <c r="AQ240" i="1"/>
  <c r="AS240" i="1" s="1"/>
  <c r="AP240" i="1"/>
  <c r="AQ239" i="1"/>
  <c r="AR239" i="1" s="1"/>
  <c r="AP239" i="1"/>
  <c r="AQ238" i="1"/>
  <c r="AP238" i="1"/>
  <c r="AQ237" i="1"/>
  <c r="AP237" i="1"/>
  <c r="AQ236" i="1"/>
  <c r="AP236" i="1"/>
  <c r="AQ235" i="1"/>
  <c r="AP235" i="1"/>
  <c r="AQ234" i="1"/>
  <c r="AR234" i="1" s="1"/>
  <c r="AP234" i="1"/>
  <c r="AQ233" i="1"/>
  <c r="AP233" i="1"/>
  <c r="AQ232" i="1"/>
  <c r="AS232" i="1" s="1"/>
  <c r="AP232" i="1"/>
  <c r="AQ231" i="1"/>
  <c r="AS231" i="1" s="1"/>
  <c r="AP231" i="1"/>
  <c r="AQ230" i="1"/>
  <c r="AR230" i="1" s="1"/>
  <c r="AP230" i="1"/>
  <c r="AQ229" i="1"/>
  <c r="AP229" i="1"/>
  <c r="AQ228" i="1"/>
  <c r="AT228" i="1" s="1"/>
  <c r="AP228" i="1"/>
  <c r="AQ227" i="1"/>
  <c r="AR227" i="1" s="1"/>
  <c r="AP227" i="1"/>
  <c r="AQ226" i="1"/>
  <c r="AT226" i="1" s="1"/>
  <c r="AP226" i="1"/>
  <c r="AQ225" i="1"/>
  <c r="AP225" i="1"/>
  <c r="AQ224" i="1"/>
  <c r="AR224" i="1" s="1"/>
  <c r="AP224" i="1"/>
  <c r="AQ223" i="1"/>
  <c r="AT223" i="1" s="1"/>
  <c r="AP223" i="1"/>
  <c r="AQ222" i="1"/>
  <c r="AT222" i="1" s="1"/>
  <c r="AP222" i="1"/>
  <c r="AQ221" i="1"/>
  <c r="AP221" i="1"/>
  <c r="AQ220" i="1"/>
  <c r="AT220" i="1" s="1"/>
  <c r="AP220" i="1"/>
  <c r="AQ219" i="1"/>
  <c r="AR219" i="1" s="1"/>
  <c r="AP219" i="1"/>
  <c r="AQ218" i="1"/>
  <c r="AR218" i="1" s="1"/>
  <c r="AP218" i="1"/>
  <c r="AQ217" i="1"/>
  <c r="AT217" i="1" s="1"/>
  <c r="AP217" i="1"/>
  <c r="AQ216" i="1"/>
  <c r="AP216" i="1"/>
  <c r="AQ215" i="1"/>
  <c r="AP215" i="1"/>
  <c r="AQ214" i="1"/>
  <c r="AT214" i="1" s="1"/>
  <c r="AP214" i="1"/>
  <c r="AQ213" i="1"/>
  <c r="AS213" i="1" s="1"/>
  <c r="AP213" i="1"/>
  <c r="AQ212" i="1"/>
  <c r="AP212" i="1"/>
  <c r="AQ211" i="1"/>
  <c r="AS211" i="1" s="1"/>
  <c r="AP211" i="1"/>
  <c r="AQ210" i="1"/>
  <c r="AR210" i="1" s="1"/>
  <c r="AP210" i="1"/>
  <c r="AQ209" i="1"/>
  <c r="AR209" i="1" s="1"/>
  <c r="AP209" i="1"/>
  <c r="AQ208" i="1"/>
  <c r="AT208" i="1" s="1"/>
  <c r="AP208" i="1"/>
  <c r="AQ207" i="1"/>
  <c r="AR207" i="1" s="1"/>
  <c r="AP207" i="1"/>
  <c r="AQ206" i="1"/>
  <c r="AT206" i="1" s="1"/>
  <c r="AP206" i="1"/>
  <c r="AQ205" i="1"/>
  <c r="AS205" i="1" s="1"/>
  <c r="AP205" i="1"/>
  <c r="AQ204" i="1"/>
  <c r="AR204" i="1" s="1"/>
  <c r="AP204" i="1"/>
  <c r="AQ203" i="1"/>
  <c r="AS203" i="1" s="1"/>
  <c r="AP203" i="1"/>
  <c r="AQ202" i="1"/>
  <c r="AR202" i="1" s="1"/>
  <c r="AP202" i="1"/>
  <c r="AQ201" i="1"/>
  <c r="AP201" i="1"/>
  <c r="AQ200" i="1"/>
  <c r="AS200" i="1" s="1"/>
  <c r="AP200" i="1"/>
  <c r="AQ199" i="1"/>
  <c r="AS199" i="1" s="1"/>
  <c r="AP199" i="1"/>
  <c r="AQ198" i="1"/>
  <c r="AS198" i="1" s="1"/>
  <c r="AP198" i="1"/>
  <c r="AQ197" i="1"/>
  <c r="AS197" i="1" s="1"/>
  <c r="AP197" i="1"/>
  <c r="AQ196" i="1"/>
  <c r="AS196" i="1" s="1"/>
  <c r="AP196" i="1"/>
  <c r="AQ195" i="1"/>
  <c r="AT195" i="1" s="1"/>
  <c r="AP195" i="1"/>
  <c r="AQ194" i="1"/>
  <c r="AP194" i="1"/>
  <c r="AQ193" i="1"/>
  <c r="AP193" i="1"/>
  <c r="AQ192" i="1"/>
  <c r="AS192" i="1" s="1"/>
  <c r="AP192" i="1"/>
  <c r="AQ191" i="1"/>
  <c r="AP191" i="1"/>
  <c r="AQ190" i="1"/>
  <c r="AP190" i="1"/>
  <c r="AQ189" i="1"/>
  <c r="AR189" i="1" s="1"/>
  <c r="AP189" i="1"/>
  <c r="AQ188" i="1"/>
  <c r="AR188" i="1" s="1"/>
  <c r="AP188" i="1"/>
  <c r="AQ187" i="1"/>
  <c r="AP187" i="1"/>
  <c r="AQ186" i="1"/>
  <c r="AR186" i="1" s="1"/>
  <c r="AP186" i="1"/>
  <c r="AQ185" i="1"/>
  <c r="AP185" i="1"/>
  <c r="AQ184" i="1"/>
  <c r="AS184" i="1" s="1"/>
  <c r="AP184" i="1"/>
  <c r="AQ183" i="1"/>
  <c r="AR183" i="1" s="1"/>
  <c r="AP183" i="1"/>
  <c r="AQ182" i="1"/>
  <c r="AP182" i="1"/>
  <c r="AQ181" i="1"/>
  <c r="AP181" i="1"/>
  <c r="AQ180" i="1"/>
  <c r="AR180" i="1" s="1"/>
  <c r="AP180" i="1"/>
  <c r="AQ179" i="1"/>
  <c r="AP179" i="1"/>
  <c r="AQ178" i="1"/>
  <c r="AP178" i="1"/>
  <c r="AQ177" i="1"/>
  <c r="AR177" i="1" s="1"/>
  <c r="AP177" i="1"/>
  <c r="AQ176" i="1"/>
  <c r="AS176" i="1" s="1"/>
  <c r="AP176" i="1"/>
  <c r="AQ175" i="1"/>
  <c r="AR175" i="1" s="1"/>
  <c r="AP175" i="1"/>
  <c r="AQ174" i="1"/>
  <c r="AT174" i="1" s="1"/>
  <c r="AP174" i="1"/>
  <c r="AQ173" i="1"/>
  <c r="AP173" i="1"/>
  <c r="AQ172" i="1"/>
  <c r="AR172" i="1" s="1"/>
  <c r="AP172" i="1"/>
  <c r="AQ171" i="1"/>
  <c r="AR171" i="1" s="1"/>
  <c r="AP171" i="1"/>
  <c r="AQ170" i="1"/>
  <c r="AR170" i="1" s="1"/>
  <c r="AP170" i="1"/>
  <c r="AQ169" i="1"/>
  <c r="AP169" i="1"/>
  <c r="AQ168" i="1"/>
  <c r="AT168" i="1" s="1"/>
  <c r="AP168" i="1"/>
  <c r="AQ167" i="1"/>
  <c r="AP167" i="1"/>
  <c r="AQ166" i="1"/>
  <c r="AP166" i="1"/>
  <c r="AQ165" i="1"/>
  <c r="AP165" i="1"/>
  <c r="AQ164" i="1"/>
  <c r="AP164" i="1"/>
  <c r="AQ163" i="1"/>
  <c r="AP163" i="1"/>
  <c r="AQ162" i="1"/>
  <c r="AT162" i="1" s="1"/>
  <c r="AP162" i="1"/>
  <c r="AQ161" i="1"/>
  <c r="AP161" i="1"/>
  <c r="AQ160" i="1"/>
  <c r="AT160" i="1" s="1"/>
  <c r="AP160" i="1"/>
  <c r="AQ159" i="1"/>
  <c r="AP159" i="1"/>
  <c r="AQ158" i="1"/>
  <c r="AT158" i="1" s="1"/>
  <c r="AP158" i="1"/>
  <c r="AQ157" i="1"/>
  <c r="AP157" i="1"/>
  <c r="AQ156" i="1"/>
  <c r="AP156" i="1"/>
  <c r="AQ155" i="1"/>
  <c r="AT155" i="1" s="1"/>
  <c r="AP155" i="1"/>
  <c r="AQ154" i="1"/>
  <c r="AR154" i="1" s="1"/>
  <c r="AP154" i="1"/>
  <c r="AQ153" i="1"/>
  <c r="AP153" i="1"/>
  <c r="AQ152" i="1"/>
  <c r="AS152" i="1" s="1"/>
  <c r="AP152" i="1"/>
  <c r="AQ151" i="1"/>
  <c r="AR151" i="1" s="1"/>
  <c r="AP151" i="1"/>
  <c r="AQ150" i="1"/>
  <c r="AT150" i="1" s="1"/>
  <c r="AP150" i="1"/>
  <c r="AQ149" i="1"/>
  <c r="AP149" i="1"/>
  <c r="AQ148" i="1"/>
  <c r="AT148" i="1" s="1"/>
  <c r="AP148" i="1"/>
  <c r="AQ147" i="1"/>
  <c r="AR147" i="1" s="1"/>
  <c r="AP147" i="1"/>
  <c r="AQ146" i="1"/>
  <c r="AR146" i="1" s="1"/>
  <c r="AP146" i="1"/>
  <c r="AQ145" i="1"/>
  <c r="AP145" i="1"/>
  <c r="AQ144" i="1"/>
  <c r="AR144" i="1" s="1"/>
  <c r="AP144" i="1"/>
  <c r="AQ143" i="1"/>
  <c r="AP143" i="1"/>
  <c r="AQ142" i="1"/>
  <c r="AR142" i="1" s="1"/>
  <c r="AP142" i="1"/>
  <c r="AQ141" i="1"/>
  <c r="AP141" i="1"/>
  <c r="AQ140" i="1"/>
  <c r="AP140" i="1"/>
  <c r="AQ139" i="1"/>
  <c r="AR139" i="1" s="1"/>
  <c r="AP139" i="1"/>
  <c r="AQ138" i="1"/>
  <c r="AP138" i="1"/>
  <c r="AQ137" i="1"/>
  <c r="AP137" i="1"/>
  <c r="AQ136" i="1"/>
  <c r="AR136" i="1" s="1"/>
  <c r="AP136" i="1"/>
  <c r="AQ135" i="1"/>
  <c r="AR135" i="1" s="1"/>
  <c r="AP135" i="1"/>
  <c r="AQ134" i="1"/>
  <c r="AS134" i="1" s="1"/>
  <c r="AP134" i="1"/>
  <c r="AQ133" i="1"/>
  <c r="AP133" i="1"/>
  <c r="AQ132" i="1"/>
  <c r="AR132" i="1" s="1"/>
  <c r="AP132" i="1"/>
  <c r="AQ131" i="1"/>
  <c r="AP131" i="1"/>
  <c r="AQ130" i="1"/>
  <c r="AT130" i="1" s="1"/>
  <c r="AP130" i="1"/>
  <c r="AQ129" i="1"/>
  <c r="AR129" i="1" s="1"/>
  <c r="AP129" i="1"/>
  <c r="AQ128" i="1"/>
  <c r="AP128" i="1"/>
  <c r="AQ127" i="1"/>
  <c r="AP127" i="1"/>
  <c r="AQ126" i="1"/>
  <c r="AT126" i="1" s="1"/>
  <c r="AP126" i="1"/>
  <c r="AQ125" i="1"/>
  <c r="AP125" i="1"/>
  <c r="AQ124" i="1"/>
  <c r="AS124" i="1" s="1"/>
  <c r="AP124" i="1"/>
  <c r="AQ123" i="1"/>
  <c r="AP123" i="1"/>
  <c r="AQ122" i="1"/>
  <c r="AP122" i="1"/>
  <c r="AQ121" i="1"/>
  <c r="AP121" i="1"/>
  <c r="AQ120" i="1"/>
  <c r="AP120" i="1"/>
  <c r="AQ119" i="1"/>
  <c r="AR119" i="1" s="1"/>
  <c r="AP119" i="1"/>
  <c r="AQ118" i="1"/>
  <c r="AP118" i="1"/>
  <c r="AQ117" i="1"/>
  <c r="AP117" i="1"/>
  <c r="AQ116" i="1"/>
  <c r="AS116" i="1" s="1"/>
  <c r="AP116" i="1"/>
  <c r="AQ115" i="1"/>
  <c r="AR115" i="1" s="1"/>
  <c r="AP115" i="1"/>
  <c r="AQ114" i="1"/>
  <c r="AP114" i="1"/>
  <c r="AQ113" i="1"/>
  <c r="AP113" i="1"/>
  <c r="AQ112" i="1"/>
  <c r="AS112" i="1" s="1"/>
  <c r="AP112" i="1"/>
  <c r="AQ111" i="1"/>
  <c r="AP111" i="1"/>
  <c r="AQ110" i="1"/>
  <c r="AP110" i="1"/>
  <c r="AQ109" i="1"/>
  <c r="AP109" i="1"/>
  <c r="AQ108" i="1"/>
  <c r="AS108" i="1" s="1"/>
  <c r="AP108" i="1"/>
  <c r="AQ107" i="1"/>
  <c r="AP107" i="1"/>
  <c r="AQ106" i="1"/>
  <c r="AP106" i="1"/>
  <c r="AQ105" i="1"/>
  <c r="AP105" i="1"/>
  <c r="AQ104" i="1"/>
  <c r="AP104" i="1"/>
  <c r="AQ103" i="1"/>
  <c r="AP103" i="1"/>
  <c r="AQ102" i="1"/>
  <c r="AP102" i="1"/>
  <c r="AQ101" i="1"/>
  <c r="AP101" i="1"/>
  <c r="AQ100" i="1"/>
  <c r="AS100" i="1" s="1"/>
  <c r="AP100" i="1"/>
  <c r="AQ99" i="1"/>
  <c r="AR99" i="1" s="1"/>
  <c r="AP99" i="1"/>
  <c r="AQ98" i="1"/>
  <c r="AP98" i="1"/>
  <c r="AQ97" i="1"/>
  <c r="AP97" i="1"/>
  <c r="AQ96" i="1"/>
  <c r="AT96" i="1" s="1"/>
  <c r="AP96" i="1"/>
  <c r="AQ95" i="1"/>
  <c r="AR95" i="1" s="1"/>
  <c r="AP95" i="1"/>
  <c r="AQ94" i="1"/>
  <c r="AP94" i="1"/>
  <c r="AQ93" i="1"/>
  <c r="AP93" i="1"/>
  <c r="AQ92" i="1"/>
  <c r="AS92" i="1" s="1"/>
  <c r="AP92" i="1"/>
  <c r="AQ91" i="1"/>
  <c r="AR91" i="1" s="1"/>
  <c r="AP91" i="1"/>
  <c r="AQ90" i="1"/>
  <c r="AP90" i="1"/>
  <c r="AQ89" i="1"/>
  <c r="AT89" i="1" s="1"/>
  <c r="AP89" i="1"/>
  <c r="AQ88" i="1"/>
  <c r="AR88" i="1" s="1"/>
  <c r="AP88" i="1"/>
  <c r="AQ87" i="1"/>
  <c r="AS87" i="1" s="1"/>
  <c r="AP87" i="1"/>
  <c r="AQ86" i="1"/>
  <c r="AP86" i="1"/>
  <c r="AQ85" i="1"/>
  <c r="AS85" i="1" s="1"/>
  <c r="AP85" i="1"/>
  <c r="AQ84" i="1"/>
  <c r="AS84" i="1" s="1"/>
  <c r="AP84" i="1"/>
  <c r="AQ83" i="1"/>
  <c r="AT83" i="1" s="1"/>
  <c r="AP83" i="1"/>
  <c r="AQ82" i="1"/>
  <c r="AP82" i="1"/>
  <c r="AQ81" i="1"/>
  <c r="AP81" i="1"/>
  <c r="AQ80" i="1"/>
  <c r="AT80" i="1" s="1"/>
  <c r="AP80" i="1"/>
  <c r="AQ79" i="1"/>
  <c r="AS79" i="1" s="1"/>
  <c r="AP79" i="1"/>
  <c r="AQ78" i="1"/>
  <c r="AT78" i="1" s="1"/>
  <c r="AP78" i="1"/>
  <c r="AQ77" i="1"/>
  <c r="AT77" i="1" s="1"/>
  <c r="AP77" i="1"/>
  <c r="AQ76" i="1"/>
  <c r="AR76" i="1" s="1"/>
  <c r="AP76" i="1"/>
  <c r="AQ75" i="1"/>
  <c r="AS75" i="1" s="1"/>
  <c r="AP75" i="1"/>
  <c r="AQ74" i="1"/>
  <c r="AP74" i="1"/>
  <c r="AQ73" i="1"/>
  <c r="AP73" i="1"/>
  <c r="AQ72" i="1"/>
  <c r="AT72" i="1" s="1"/>
  <c r="AP72" i="1"/>
  <c r="AQ71" i="1"/>
  <c r="AS71" i="1" s="1"/>
  <c r="AP71" i="1"/>
  <c r="AQ70" i="1"/>
  <c r="AP70" i="1"/>
  <c r="AQ69" i="1"/>
  <c r="AP69" i="1"/>
  <c r="AQ68" i="1"/>
  <c r="AP68" i="1"/>
  <c r="AQ67" i="1"/>
  <c r="AP67" i="1"/>
  <c r="AQ66" i="1"/>
  <c r="AT66" i="1" s="1"/>
  <c r="AP66" i="1"/>
  <c r="AQ65" i="1"/>
  <c r="AP65" i="1"/>
  <c r="AQ64" i="1"/>
  <c r="AR64" i="1" s="1"/>
  <c r="AP64" i="1"/>
  <c r="AQ63" i="1"/>
  <c r="AP63" i="1"/>
  <c r="AQ62" i="1"/>
  <c r="AP62" i="1"/>
  <c r="AQ61" i="1"/>
  <c r="AP61" i="1"/>
  <c r="AQ60" i="1"/>
  <c r="AT60" i="1" s="1"/>
  <c r="AP60" i="1"/>
  <c r="AQ59" i="1"/>
  <c r="AP59" i="1"/>
  <c r="AQ58" i="1"/>
  <c r="AP58" i="1"/>
  <c r="AQ57" i="1"/>
  <c r="AP57" i="1"/>
  <c r="AQ56" i="1"/>
  <c r="AT56" i="1" s="1"/>
  <c r="AP56" i="1"/>
  <c r="AQ55" i="1"/>
  <c r="AT55" i="1" s="1"/>
  <c r="AP55" i="1"/>
  <c r="AQ54" i="1"/>
  <c r="AP54" i="1"/>
  <c r="AQ53" i="1"/>
  <c r="AT53" i="1" s="1"/>
  <c r="AP53" i="1"/>
  <c r="AQ52" i="1"/>
  <c r="AR52" i="1" s="1"/>
  <c r="AP52" i="1"/>
  <c r="AQ51" i="1"/>
  <c r="AS51" i="1" s="1"/>
  <c r="AP51" i="1"/>
  <c r="AQ50" i="1"/>
  <c r="AR50" i="1" s="1"/>
  <c r="AP50" i="1"/>
  <c r="AQ49" i="1"/>
  <c r="AR49" i="1" s="1"/>
  <c r="AP49" i="1"/>
  <c r="AQ48" i="1"/>
  <c r="AR48" i="1" s="1"/>
  <c r="AP48" i="1"/>
  <c r="AX47" i="1"/>
  <c r="AY47" i="1" s="1"/>
  <c r="AV47" i="1"/>
  <c r="AU47" i="1"/>
  <c r="AQ47" i="1"/>
  <c r="AR47" i="1" s="1"/>
  <c r="AP47" i="1"/>
  <c r="AX46" i="1"/>
  <c r="AZ46" i="1" s="1"/>
  <c r="AV46" i="1"/>
  <c r="AU46" i="1"/>
  <c r="AQ46" i="1"/>
  <c r="AS46" i="1" s="1"/>
  <c r="AP46" i="1"/>
  <c r="AX45" i="1"/>
  <c r="AY45" i="1" s="1"/>
  <c r="AU45" i="1"/>
  <c r="AQ45" i="1"/>
  <c r="AP45" i="1"/>
  <c r="AX44" i="1"/>
  <c r="AZ44" i="1" s="1"/>
  <c r="AV44" i="1"/>
  <c r="AU44" i="1"/>
  <c r="AQ44" i="1"/>
  <c r="AR44" i="1" s="1"/>
  <c r="AP44" i="1"/>
  <c r="AX43" i="1"/>
  <c r="AZ43" i="1" s="1"/>
  <c r="AU43" i="1"/>
  <c r="AQ43" i="1"/>
  <c r="AR43" i="1" s="1"/>
  <c r="AP43" i="1"/>
  <c r="AX42" i="1"/>
  <c r="AU42" i="1"/>
  <c r="AQ42" i="1"/>
  <c r="AR42" i="1" s="1"/>
  <c r="AP42" i="1"/>
  <c r="AX41" i="1"/>
  <c r="AZ41" i="1" s="1"/>
  <c r="AU41" i="1"/>
  <c r="AQ41" i="1"/>
  <c r="AR41" i="1" s="1"/>
  <c r="AP41" i="1"/>
  <c r="AX40" i="1"/>
  <c r="AY40" i="1" s="1"/>
  <c r="AU40" i="1"/>
  <c r="AQ40" i="1"/>
  <c r="AR40" i="1" s="1"/>
  <c r="AP40" i="1"/>
  <c r="AX39" i="1"/>
  <c r="AZ39" i="1" s="1"/>
  <c r="AU39" i="1"/>
  <c r="AQ39" i="1"/>
  <c r="AS39" i="1" s="1"/>
  <c r="AP39" i="1"/>
  <c r="AX38" i="1"/>
  <c r="AY38" i="1" s="1"/>
  <c r="AU38" i="1"/>
  <c r="AQ38" i="1"/>
  <c r="AR38" i="1" s="1"/>
  <c r="AP38" i="1"/>
  <c r="AX37" i="1"/>
  <c r="AY37" i="1" s="1"/>
  <c r="AU37" i="1"/>
  <c r="AQ37" i="1"/>
  <c r="AS37" i="1" s="1"/>
  <c r="AP37" i="1"/>
  <c r="AX36" i="1"/>
  <c r="AY36" i="1" s="1"/>
  <c r="AU36" i="1"/>
  <c r="AQ36" i="1"/>
  <c r="AR36" i="1" s="1"/>
  <c r="AP36" i="1"/>
  <c r="AX35" i="1"/>
  <c r="AZ35" i="1" s="1"/>
  <c r="AU35" i="1"/>
  <c r="AQ35" i="1"/>
  <c r="AS35" i="1" s="1"/>
  <c r="AP35" i="1"/>
  <c r="AX34" i="1"/>
  <c r="AY34" i="1" s="1"/>
  <c r="AU34" i="1"/>
  <c r="AQ34" i="1"/>
  <c r="AR34" i="1" s="1"/>
  <c r="AP34" i="1"/>
  <c r="AX33" i="1"/>
  <c r="AY33" i="1" s="1"/>
  <c r="AU33" i="1"/>
  <c r="AQ33" i="1"/>
  <c r="AS33" i="1" s="1"/>
  <c r="AP33" i="1"/>
  <c r="AX32" i="1"/>
  <c r="AY32" i="1" s="1"/>
  <c r="AU32" i="1"/>
  <c r="AQ32" i="1"/>
  <c r="AR32" i="1" s="1"/>
  <c r="AP32" i="1"/>
  <c r="AX31" i="1"/>
  <c r="AZ31" i="1" s="1"/>
  <c r="AU31" i="1"/>
  <c r="AQ31" i="1"/>
  <c r="AT31" i="1" s="1"/>
  <c r="AP31" i="1"/>
  <c r="AX30" i="1"/>
  <c r="AU30" i="1"/>
  <c r="AQ30" i="1"/>
  <c r="AR30" i="1" s="1"/>
  <c r="AP30" i="1"/>
  <c r="AX29" i="1"/>
  <c r="AZ29" i="1" s="1"/>
  <c r="AU29" i="1"/>
  <c r="AQ29" i="1"/>
  <c r="AR29" i="1" s="1"/>
  <c r="AP29" i="1"/>
  <c r="AX27" i="1"/>
  <c r="AU27" i="1"/>
  <c r="AQ27" i="1"/>
  <c r="AR27" i="1" s="1"/>
  <c r="AP27" i="1"/>
  <c r="AX26" i="1"/>
  <c r="AY26" i="1" s="1"/>
  <c r="AU26" i="1"/>
  <c r="AQ26" i="1"/>
  <c r="AS26" i="1" s="1"/>
  <c r="AP26" i="1"/>
  <c r="AX28" i="1"/>
  <c r="AY28" i="1" s="1"/>
  <c r="AU28" i="1"/>
  <c r="AQ28" i="1"/>
  <c r="AR28" i="1" s="1"/>
  <c r="AP28" i="1"/>
  <c r="AX25" i="1"/>
  <c r="AZ25" i="1" s="1"/>
  <c r="AU25" i="1"/>
  <c r="AQ25" i="1"/>
  <c r="AR25" i="1" s="1"/>
  <c r="AP25" i="1"/>
  <c r="AX24" i="1"/>
  <c r="AY24" i="1" s="1"/>
  <c r="AU24" i="1"/>
  <c r="AQ24" i="1"/>
  <c r="AS24" i="1" s="1"/>
  <c r="AP24" i="1"/>
  <c r="AX23" i="1"/>
  <c r="AY23" i="1" s="1"/>
  <c r="AU23" i="1"/>
  <c r="AQ23" i="1"/>
  <c r="AS23" i="1" s="1"/>
  <c r="AP23" i="1"/>
  <c r="AX22" i="1"/>
  <c r="AU22" i="1"/>
  <c r="AQ22" i="1"/>
  <c r="AT22" i="1" s="1"/>
  <c r="AP22" i="1"/>
  <c r="AX21" i="1"/>
  <c r="AZ21" i="1" s="1"/>
  <c r="AV21" i="1"/>
  <c r="AU21" i="1"/>
  <c r="AQ21" i="1"/>
  <c r="AT21" i="1" s="1"/>
  <c r="AP21" i="1"/>
  <c r="AX20" i="1"/>
  <c r="AZ20" i="1" s="1"/>
  <c r="AU20" i="1"/>
  <c r="AQ20" i="1"/>
  <c r="AR20" i="1" s="1"/>
  <c r="AP20" i="1"/>
  <c r="AX19" i="1"/>
  <c r="AU19" i="1"/>
  <c r="AQ19" i="1"/>
  <c r="AT19" i="1" s="1"/>
  <c r="AP19" i="1"/>
  <c r="AX18" i="1"/>
  <c r="AY18" i="1" s="1"/>
  <c r="AU18" i="1"/>
  <c r="AQ18" i="1"/>
  <c r="AP18" i="1"/>
  <c r="AX17" i="1"/>
  <c r="AU17" i="1"/>
  <c r="AQ17" i="1"/>
  <c r="AR17" i="1" s="1"/>
  <c r="AP17" i="1"/>
  <c r="AX16" i="1"/>
  <c r="AZ16" i="1" s="1"/>
  <c r="AV16" i="1"/>
  <c r="AU16" i="1"/>
  <c r="AQ16" i="1"/>
  <c r="AP16" i="1"/>
  <c r="AX15" i="1"/>
  <c r="AZ15" i="1" s="1"/>
  <c r="AU15" i="1"/>
  <c r="AQ15" i="1"/>
  <c r="AT15" i="1" s="1"/>
  <c r="AP15" i="1"/>
  <c r="AX14" i="1"/>
  <c r="AY14" i="1" s="1"/>
  <c r="AV14" i="1"/>
  <c r="AU14" i="1"/>
  <c r="AQ14" i="1"/>
  <c r="AP14" i="1"/>
  <c r="AX13" i="1"/>
  <c r="AU13" i="1"/>
  <c r="AQ13" i="1"/>
  <c r="AS13" i="1" s="1"/>
  <c r="AP13" i="1"/>
  <c r="AX12" i="1"/>
  <c r="AZ12" i="1" s="1"/>
  <c r="AV12" i="1"/>
  <c r="AU12" i="1"/>
  <c r="AQ12" i="1"/>
  <c r="AR12" i="1" s="1"/>
  <c r="AP12" i="1"/>
  <c r="AX11" i="1"/>
  <c r="AZ11" i="1" s="1"/>
  <c r="AU11" i="1"/>
  <c r="AQ11" i="1"/>
  <c r="AR11" i="1" s="1"/>
  <c r="AP11" i="1"/>
  <c r="AX10" i="1"/>
  <c r="AY10" i="1" s="1"/>
  <c r="AV10" i="1"/>
  <c r="AU10" i="1"/>
  <c r="AQ10" i="1"/>
  <c r="AP10" i="1"/>
  <c r="AX9" i="1"/>
  <c r="AZ9" i="1" s="1"/>
  <c r="AU9" i="1"/>
  <c r="AQ9" i="1"/>
  <c r="AT9" i="1" s="1"/>
  <c r="AP9" i="1"/>
  <c r="AX8" i="1"/>
  <c r="AU8" i="1"/>
  <c r="AQ8" i="1"/>
  <c r="AR8" i="1" s="1"/>
  <c r="AP8" i="1"/>
  <c r="AX7" i="1"/>
  <c r="AY7" i="1" s="1"/>
  <c r="AU7" i="1"/>
  <c r="AQ7" i="1"/>
  <c r="AT7" i="1" s="1"/>
  <c r="AP7" i="1"/>
  <c r="AX6" i="1"/>
  <c r="AU6" i="1"/>
  <c r="AQ6" i="1"/>
  <c r="AS6" i="1" s="1"/>
  <c r="AP6" i="1"/>
  <c r="AX5" i="1"/>
  <c r="AU5" i="1"/>
  <c r="AQ5" i="1"/>
  <c r="AR5" i="1" s="1"/>
  <c r="AP5" i="1"/>
  <c r="AX4" i="1"/>
  <c r="AV4" i="1"/>
  <c r="AU4" i="1"/>
  <c r="AQ4" i="1"/>
  <c r="AR4" i="1" s="1"/>
  <c r="AP4" i="1"/>
  <c r="AX3" i="1"/>
  <c r="AZ3" i="1" s="1"/>
  <c r="AU3" i="1"/>
  <c r="AQ3" i="1"/>
  <c r="AR3" i="1" s="1"/>
  <c r="AP3" i="1"/>
  <c r="AX2" i="1"/>
  <c r="AZ2" i="1" s="1"/>
  <c r="AW2" i="1"/>
  <c r="AU2" i="1"/>
  <c r="AQ2" i="1"/>
  <c r="AS2" i="1" s="1"/>
  <c r="AP2" i="1"/>
  <c r="AT3201" i="1"/>
  <c r="AZ2032" i="1"/>
  <c r="AT2578" i="1"/>
  <c r="AZ2147" i="1"/>
  <c r="AY2388" i="1"/>
  <c r="AS3231" i="1"/>
  <c r="AY2298" i="1"/>
  <c r="AS2961" i="1"/>
  <c r="AR2589" i="1"/>
  <c r="AS2558" i="1"/>
  <c r="AR2822" i="1"/>
  <c r="AT3016" i="1"/>
  <c r="AT3069" i="1"/>
  <c r="AT3005" i="1"/>
  <c r="AR3005" i="1"/>
  <c r="AS3005" i="1"/>
  <c r="AR2946" i="1"/>
  <c r="AT2718" i="1"/>
  <c r="AZ1971" i="1"/>
  <c r="AZ2425" i="1"/>
  <c r="AR2588" i="1"/>
  <c r="AR1705" i="1"/>
  <c r="AR3011" i="1"/>
  <c r="AT3011" i="1"/>
  <c r="AT2337" i="1"/>
  <c r="AS2337" i="1"/>
  <c r="AS3046" i="1"/>
  <c r="AR3046" i="1"/>
  <c r="AR2381" i="1"/>
  <c r="AS2272" i="1"/>
  <c r="AT2272" i="1"/>
  <c r="AS2333" i="1"/>
  <c r="AT2987" i="1"/>
  <c r="AR2987" i="1"/>
  <c r="AT3214" i="1"/>
  <c r="AR3214" i="1"/>
  <c r="AS3214" i="1"/>
  <c r="AS2987" i="1"/>
  <c r="AS3036" i="1"/>
  <c r="AT3027" i="1"/>
  <c r="AT3024" i="1"/>
  <c r="AR2709" i="1"/>
  <c r="AS2709" i="1"/>
  <c r="AT2921" i="1"/>
  <c r="AR2934" i="1"/>
  <c r="AT2934" i="1"/>
  <c r="AR2971" i="1"/>
  <c r="AT2971" i="1"/>
  <c r="AR3023" i="1"/>
  <c r="AR3093" i="1"/>
  <c r="AR2758" i="1"/>
  <c r="AS3191" i="1"/>
  <c r="AR3191" i="1"/>
  <c r="AT2155" i="1"/>
  <c r="AZ2394" i="1"/>
  <c r="AY2394" i="1"/>
  <c r="AY2405" i="1"/>
  <c r="AT2663" i="1"/>
  <c r="AS2376" i="1"/>
  <c r="AT2375" i="1"/>
  <c r="AR2375" i="1"/>
  <c r="AT2628" i="1"/>
  <c r="AT2649" i="1"/>
  <c r="AZ2044" i="1"/>
  <c r="AT2141" i="1"/>
  <c r="AR2175" i="1"/>
  <c r="AS2175" i="1"/>
  <c r="AY2327" i="1"/>
  <c r="AZ2327" i="1"/>
  <c r="AZ2404" i="1"/>
  <c r="AY2404" i="1"/>
  <c r="AS2190" i="1"/>
  <c r="AZ2278" i="1"/>
  <c r="AZ2632" i="1"/>
  <c r="AY2632" i="1"/>
  <c r="AT2808" i="1"/>
  <c r="AS2808" i="1"/>
  <c r="AR2193" i="1"/>
  <c r="AS2193" i="1"/>
  <c r="AT2827" i="1"/>
  <c r="AS2827" i="1"/>
  <c r="AR2827" i="1"/>
  <c r="AR2172" i="1"/>
  <c r="AR2241" i="1"/>
  <c r="AY2361" i="1"/>
  <c r="AT2497" i="1"/>
  <c r="AT2831" i="1"/>
  <c r="AT2925" i="1"/>
  <c r="AS2693" i="1"/>
  <c r="AT2787" i="1"/>
  <c r="AS2855" i="1"/>
  <c r="AT3042" i="1"/>
  <c r="AS3042" i="1"/>
  <c r="AS2338" i="1"/>
  <c r="AT2457" i="1"/>
  <c r="AR2457" i="1"/>
  <c r="AT2479" i="1"/>
  <c r="AT2506" i="1"/>
  <c r="AT2608" i="1"/>
  <c r="AS2608" i="1"/>
  <c r="AS2656" i="1"/>
  <c r="AT2656" i="1"/>
  <c r="AT2721" i="1"/>
  <c r="AR2721" i="1"/>
  <c r="AR2855" i="1"/>
  <c r="AT2848" i="1"/>
  <c r="AR2801" i="1"/>
  <c r="AT2886" i="1"/>
  <c r="AT2982" i="1"/>
  <c r="AT3019" i="1"/>
  <c r="AT2991" i="1"/>
  <c r="AT3013" i="1"/>
  <c r="AR3013" i="1"/>
  <c r="AR3031" i="1"/>
  <c r="AT2944" i="1"/>
  <c r="AS2944" i="1"/>
  <c r="AR2944" i="1"/>
  <c r="AT3008" i="1"/>
  <c r="AR3042" i="1"/>
  <c r="AR3080" i="1"/>
  <c r="AT3080" i="1"/>
  <c r="AT3097" i="1"/>
  <c r="AR2571" i="1"/>
  <c r="AT3215" i="1"/>
  <c r="AS3215" i="1"/>
  <c r="AR3215" i="1"/>
  <c r="AS2823" i="1"/>
  <c r="AR2880" i="1"/>
  <c r="AT2880" i="1"/>
  <c r="AT3018" i="1"/>
  <c r="AS3018" i="1"/>
  <c r="AR3100" i="1"/>
  <c r="AT3217" i="1"/>
  <c r="AR2908" i="1"/>
  <c r="AT2908" i="1"/>
  <c r="AT2996" i="1"/>
  <c r="AR3040" i="1"/>
  <c r="AT3040" i="1"/>
  <c r="AT2719" i="1"/>
  <c r="AS3075" i="1"/>
  <c r="AT3083" i="1"/>
  <c r="AT2878" i="1"/>
  <c r="AT2869" i="1"/>
  <c r="AT2900" i="1"/>
  <c r="AR3227" i="1"/>
  <c r="AR3231" i="1"/>
  <c r="AR3239" i="1"/>
  <c r="AZ2437" i="1"/>
  <c r="AY2437" i="1"/>
  <c r="AS2455" i="1"/>
  <c r="AZ2540" i="1"/>
  <c r="AR2542" i="1"/>
  <c r="AT2542" i="1"/>
  <c r="AS2542" i="1"/>
  <c r="AR2845" i="1"/>
  <c r="AS2845" i="1"/>
  <c r="AS2807" i="1"/>
  <c r="AT2811" i="1"/>
  <c r="AR2863" i="1"/>
  <c r="AS2863" i="1"/>
  <c r="AT2863" i="1"/>
  <c r="AR3045" i="1"/>
  <c r="AS3045" i="1"/>
  <c r="AT3045" i="1"/>
  <c r="AR3146" i="1"/>
  <c r="AT3146" i="1"/>
  <c r="AR3203" i="1"/>
  <c r="AS3203" i="1"/>
  <c r="AR1943" i="1"/>
  <c r="AS1990" i="1"/>
  <c r="AY2064" i="1"/>
  <c r="AZ2064" i="1"/>
  <c r="AS1967" i="1"/>
  <c r="AS1973" i="1"/>
  <c r="AS1983" i="1"/>
  <c r="AT2028" i="1"/>
  <c r="AZ2208" i="1"/>
  <c r="AS2029" i="1"/>
  <c r="AY2043" i="1"/>
  <c r="AT2050" i="1"/>
  <c r="AZ2162" i="1"/>
  <c r="AT2024" i="1"/>
  <c r="AS2024" i="1"/>
  <c r="AR2050" i="1"/>
  <c r="AS2183" i="1"/>
  <c r="AS2265" i="1"/>
  <c r="AT2265" i="1"/>
  <c r="AY2330" i="1"/>
  <c r="AZ2330" i="1"/>
  <c r="AS2383" i="1"/>
  <c r="AR2459" i="1"/>
  <c r="AT2459" i="1"/>
  <c r="AT2463" i="1"/>
  <c r="AR2072" i="1"/>
  <c r="AY2129" i="1"/>
  <c r="AZ2129" i="1"/>
  <c r="AR2188" i="1"/>
  <c r="AS2188" i="1"/>
  <c r="AY2257" i="1"/>
  <c r="AS2280" i="1"/>
  <c r="AS2089" i="1"/>
  <c r="AT2089" i="1"/>
  <c r="AR2149" i="1"/>
  <c r="AS2153" i="1"/>
  <c r="AT2153" i="1"/>
  <c r="AS2284" i="1"/>
  <c r="AY2285" i="1"/>
  <c r="AR2372" i="1"/>
  <c r="AT2373" i="1"/>
  <c r="AS2375" i="1"/>
  <c r="AZ2407" i="1"/>
  <c r="AR2431" i="1"/>
  <c r="AR2504" i="1"/>
  <c r="AT2504" i="1"/>
  <c r="AT2609" i="1"/>
  <c r="AT2662" i="1"/>
  <c r="AS2491" i="1"/>
  <c r="AR2491" i="1"/>
  <c r="AT2491" i="1"/>
  <c r="AR2545" i="1"/>
  <c r="AS2568" i="1"/>
  <c r="AR2568" i="1"/>
  <c r="AT2569" i="1"/>
  <c r="AR2569" i="1"/>
  <c r="AR2637" i="1"/>
  <c r="AT2637" i="1"/>
  <c r="AS2637" i="1"/>
  <c r="AR2639" i="1"/>
  <c r="AT2639" i="1"/>
  <c r="AS2639" i="1"/>
  <c r="AR2658" i="1"/>
  <c r="AS2501" i="1"/>
  <c r="AZ2516" i="1"/>
  <c r="AS2524" i="1"/>
  <c r="AY2525" i="1"/>
  <c r="AT2541" i="1"/>
  <c r="AS2551" i="1"/>
  <c r="AT2561" i="1"/>
  <c r="AS2578" i="1"/>
  <c r="AT2697" i="1"/>
  <c r="AR2650" i="1"/>
  <c r="AT2650" i="1"/>
  <c r="AS2682" i="1"/>
  <c r="AT2653" i="1"/>
  <c r="AR2653" i="1"/>
  <c r="AT2743" i="1"/>
  <c r="AT2847" i="1"/>
  <c r="AR2861" i="1"/>
  <c r="AS2861" i="1"/>
  <c r="AT2861" i="1"/>
  <c r="AR2814" i="1"/>
  <c r="AS2814" i="1"/>
  <c r="AT2814" i="1"/>
  <c r="AR2829" i="1"/>
  <c r="AS2829" i="1"/>
  <c r="AT2829" i="1"/>
  <c r="AS2881" i="1"/>
  <c r="AT2881" i="1"/>
  <c r="AR2657" i="1"/>
  <c r="AS2657" i="1"/>
  <c r="AR2786" i="1"/>
  <c r="AS2786" i="1"/>
  <c r="AR2932" i="1"/>
  <c r="AS2932" i="1"/>
  <c r="AT2932" i="1"/>
  <c r="AR2757" i="1"/>
  <c r="AR2556" i="1"/>
  <c r="AS2556" i="1"/>
  <c r="AT2556" i="1"/>
  <c r="AR2824" i="1"/>
  <c r="AR2843" i="1"/>
  <c r="AS2843" i="1"/>
  <c r="AR2802" i="1"/>
  <c r="AR2884" i="1"/>
  <c r="AS2884" i="1"/>
  <c r="AR3057" i="1"/>
  <c r="AS3057" i="1"/>
  <c r="AT3057" i="1"/>
  <c r="AR2580" i="1"/>
  <c r="AS2580" i="1"/>
  <c r="AS2869" i="1"/>
  <c r="AS2900" i="1"/>
  <c r="AS2849" i="1"/>
  <c r="AS2910" i="1"/>
  <c r="AS2914" i="1"/>
  <c r="AS2935" i="1"/>
  <c r="AS2921" i="1"/>
  <c r="AS2953" i="1"/>
  <c r="AS2927" i="1"/>
  <c r="AS2885" i="1"/>
  <c r="AS2989" i="1"/>
  <c r="AS3004" i="1"/>
  <c r="AS3019" i="1"/>
  <c r="AS3002" i="1"/>
  <c r="AS2908" i="1"/>
  <c r="AS2941" i="1"/>
  <c r="AS3003" i="1"/>
  <c r="AS3016" i="1"/>
  <c r="AS3027" i="1"/>
  <c r="AS2996" i="1"/>
  <c r="AS3030" i="1"/>
  <c r="AS3011" i="1"/>
  <c r="AS3040" i="1"/>
  <c r="AS3039" i="1"/>
  <c r="AT3096" i="1"/>
  <c r="AS3096" i="1"/>
  <c r="AR3155" i="1"/>
  <c r="AT3155" i="1"/>
  <c r="AS3155" i="1"/>
  <c r="AR3041" i="1"/>
  <c r="AT3041" i="1"/>
  <c r="AS3041" i="1"/>
  <c r="AR3084" i="1"/>
  <c r="AT3084" i="1"/>
  <c r="AS3084" i="1"/>
  <c r="AR3120" i="1"/>
  <c r="AT3120" i="1"/>
  <c r="AS3120" i="1"/>
  <c r="AS3062" i="1"/>
  <c r="AR3117" i="1"/>
  <c r="AT3117" i="1"/>
  <c r="AS3117" i="1"/>
  <c r="AR2927" i="1"/>
  <c r="AR2885" i="1"/>
  <c r="AR3002" i="1"/>
  <c r="AR3022" i="1"/>
  <c r="AS3078" i="1"/>
  <c r="AS2613" i="1"/>
  <c r="AR3053" i="1"/>
  <c r="AT3111" i="1"/>
  <c r="AS3080" i="1"/>
  <c r="AS3070" i="1"/>
  <c r="AS3098" i="1"/>
  <c r="AS3124" i="1"/>
  <c r="AS2850" i="1"/>
  <c r="AT3159" i="1"/>
  <c r="AR3168" i="1"/>
  <c r="AT3168" i="1"/>
  <c r="AT3174" i="1"/>
  <c r="AT3175" i="1"/>
  <c r="AS3175" i="1"/>
  <c r="AR3154" i="1"/>
  <c r="AT3154" i="1"/>
  <c r="AT3178" i="1"/>
  <c r="AS3178" i="1"/>
  <c r="AR3185" i="1"/>
  <c r="AS3185" i="1"/>
  <c r="AT3185" i="1"/>
  <c r="AR3124" i="1"/>
  <c r="AR3126" i="1"/>
  <c r="AR2850" i="1"/>
  <c r="AT3161" i="1"/>
  <c r="AR3180" i="1"/>
  <c r="AT3180" i="1"/>
  <c r="AS3180" i="1"/>
  <c r="AS3136" i="1"/>
  <c r="AS3101" i="1"/>
  <c r="AS3190" i="1"/>
  <c r="AS3209" i="1"/>
  <c r="AS3201" i="1"/>
  <c r="AR3101" i="1"/>
  <c r="AR3190" i="1"/>
  <c r="AR3206" i="1"/>
  <c r="AR3130" i="1"/>
  <c r="AR2980" i="1"/>
  <c r="AS3217" i="1"/>
  <c r="AS3239" i="1"/>
  <c r="AZ2128" i="1"/>
  <c r="AY2128" i="1"/>
  <c r="AS3242" i="1"/>
  <c r="AR3052" i="1"/>
  <c r="AS2468" i="1"/>
  <c r="AT2468" i="1"/>
  <c r="AR2468" i="1"/>
  <c r="AT2486" i="1"/>
  <c r="AS2486" i="1"/>
  <c r="AR2486" i="1"/>
  <c r="AY2507" i="1"/>
  <c r="AR2887" i="1"/>
  <c r="AR2803" i="1"/>
  <c r="AS2890" i="1"/>
  <c r="AR3253" i="1"/>
  <c r="AR3264" i="1"/>
  <c r="AS3264" i="1"/>
  <c r="AT2182" i="1"/>
  <c r="AR3244" i="1"/>
  <c r="AS3104" i="1"/>
  <c r="AS3246" i="1"/>
  <c r="AS3258" i="1"/>
  <c r="AT3278" i="1"/>
  <c r="AR3272" i="1"/>
  <c r="AR3286" i="1"/>
  <c r="AT3258" i="1"/>
  <c r="AR3287" i="1"/>
  <c r="AS2978" i="1"/>
  <c r="AT2891" i="1"/>
  <c r="AT2606" i="1"/>
  <c r="AY2535" i="1"/>
  <c r="AS2888" i="1"/>
  <c r="AS2526" i="1"/>
  <c r="AZ2715" i="1"/>
  <c r="AT2597" i="1"/>
  <c r="AT2888" i="1"/>
  <c r="AR2978" i="1"/>
  <c r="AT3285" i="1"/>
  <c r="AR3285" i="1"/>
  <c r="AS3285" i="1"/>
  <c r="AT3286" i="1"/>
  <c r="AR3104" i="1"/>
  <c r="AT3248" i="1"/>
  <c r="AR3279" i="1"/>
  <c r="AR3255" i="1"/>
  <c r="AR3241" i="1"/>
  <c r="AR3248" i="1"/>
  <c r="AR2613" i="1" l="1"/>
  <c r="AS2802" i="1"/>
  <c r="AY2157" i="1"/>
  <c r="AR2269" i="1"/>
  <c r="AR3004" i="1"/>
  <c r="AS2106" i="1"/>
  <c r="AR3271" i="1"/>
  <c r="AZ2703" i="1"/>
  <c r="AS3216" i="1"/>
  <c r="AS3181" i="1"/>
  <c r="AS3083" i="1"/>
  <c r="AR2610" i="1"/>
  <c r="AS2856" i="1"/>
  <c r="AY2603" i="1"/>
  <c r="AZ2211" i="1"/>
  <c r="AR3246" i="1"/>
  <c r="AT3181" i="1"/>
  <c r="AS2886" i="1"/>
  <c r="AR2856" i="1"/>
  <c r="AS2230" i="1"/>
  <c r="AZ2217" i="1"/>
  <c r="AS2912" i="1"/>
  <c r="AZ2214" i="1"/>
  <c r="AR3249" i="1"/>
  <c r="AS3206" i="1"/>
  <c r="AS3074" i="1"/>
  <c r="AR2974" i="1"/>
  <c r="AS2824" i="1"/>
  <c r="AT2183" i="1"/>
  <c r="AS2381" i="1"/>
  <c r="AR2263" i="1"/>
  <c r="AS2002" i="1"/>
  <c r="AT2889" i="1"/>
  <c r="AS2610" i="1"/>
  <c r="AR2697" i="1"/>
  <c r="AT3074" i="1"/>
  <c r="AZ2368" i="1"/>
  <c r="AS3271" i="1"/>
  <c r="AR2002" i="1"/>
  <c r="AR2889" i="1"/>
  <c r="AR2687" i="1"/>
  <c r="AT2144" i="1"/>
  <c r="AS3053" i="1"/>
  <c r="AS2974" i="1"/>
  <c r="AT2805" i="1"/>
  <c r="AT2986" i="1"/>
  <c r="AR1992" i="1"/>
  <c r="AS2757" i="1"/>
  <c r="AY2359" i="1"/>
  <c r="AR2986" i="1"/>
  <c r="AW2570" i="1"/>
  <c r="AT3245" i="1"/>
  <c r="AS3202" i="1"/>
  <c r="AS2966" i="1"/>
  <c r="AY2207" i="1"/>
  <c r="AT3202" i="1"/>
  <c r="AR3082" i="1"/>
  <c r="AR3245" i="1"/>
  <c r="AT3082" i="1"/>
  <c r="AT3122" i="1"/>
  <c r="AS2554" i="1"/>
  <c r="AR2630" i="1"/>
  <c r="AR3000" i="1"/>
  <c r="AY2304" i="1"/>
  <c r="AS3088" i="1"/>
  <c r="AS3222" i="1"/>
  <c r="AW2601" i="1"/>
  <c r="AT2559" i="1"/>
  <c r="AR2559" i="1"/>
  <c r="AT2625" i="1"/>
  <c r="AS2625" i="1"/>
  <c r="AT2994" i="1"/>
  <c r="AR2994" i="1"/>
  <c r="AT2938" i="1"/>
  <c r="AR2938" i="1"/>
  <c r="AT2998" i="1"/>
  <c r="AR2998" i="1"/>
  <c r="AS2998" i="1"/>
  <c r="AT3063" i="1"/>
  <c r="AS3063" i="1"/>
  <c r="AT3065" i="1"/>
  <c r="AS3065" i="1"/>
  <c r="AT3068" i="1"/>
  <c r="AR3068" i="1"/>
  <c r="AT3077" i="1"/>
  <c r="AS3077" i="1"/>
  <c r="AS2983" i="1"/>
  <c r="AR2983" i="1"/>
  <c r="AS3147" i="1"/>
  <c r="AR3147" i="1"/>
  <c r="AT3110" i="1"/>
  <c r="AR3110" i="1"/>
  <c r="AS3138" i="1"/>
  <c r="AR3138" i="1"/>
  <c r="AT3138" i="1"/>
  <c r="AT3150" i="1"/>
  <c r="AR3150" i="1"/>
  <c r="AT3182" i="1"/>
  <c r="AS3182" i="1"/>
  <c r="AT3224" i="1"/>
  <c r="AS3224" i="1"/>
  <c r="AS3234" i="1"/>
  <c r="AR3234" i="1"/>
  <c r="AY2192" i="1"/>
  <c r="AS2072" i="1"/>
  <c r="AT2263" i="1"/>
  <c r="AT2186" i="1"/>
  <c r="AS1943" i="1"/>
  <c r="AT1943" i="1"/>
  <c r="AY1956" i="1"/>
  <c r="AZ1956" i="1"/>
  <c r="AR1988" i="1"/>
  <c r="AS1988" i="1"/>
  <c r="AZ2014" i="1"/>
  <c r="AY2014" i="1"/>
  <c r="AT2034" i="1"/>
  <c r="AR2034" i="1"/>
  <c r="AT2040" i="1"/>
  <c r="AR2040" i="1"/>
  <c r="AY2060" i="1"/>
  <c r="AZ2060" i="1"/>
  <c r="AS2164" i="1"/>
  <c r="AT2164" i="1"/>
  <c r="AT2231" i="1"/>
  <c r="AR2231" i="1"/>
  <c r="AS2231" i="1"/>
  <c r="AT2241" i="1"/>
  <c r="AS2241" i="1"/>
  <c r="AR2259" i="1"/>
  <c r="AS2259" i="1"/>
  <c r="AT2259" i="1"/>
  <c r="AT2275" i="1"/>
  <c r="AS2275" i="1"/>
  <c r="AT2284" i="1"/>
  <c r="AR2284" i="1"/>
  <c r="AR2308" i="1"/>
  <c r="AT2308" i="1"/>
  <c r="AY2317" i="1"/>
  <c r="AZ2317" i="1"/>
  <c r="AY2320" i="1"/>
  <c r="AZ2320" i="1"/>
  <c r="AR2333" i="1"/>
  <c r="AT2333" i="1"/>
  <c r="AR2351" i="1"/>
  <c r="AT2351" i="1"/>
  <c r="AS2351" i="1"/>
  <c r="AT2355" i="1"/>
  <c r="AS2355" i="1"/>
  <c r="AR2355" i="1"/>
  <c r="AZ2365" i="1"/>
  <c r="AY2365" i="1"/>
  <c r="AY2370" i="1"/>
  <c r="AZ2370" i="1"/>
  <c r="AT2378" i="1"/>
  <c r="AR2378" i="1"/>
  <c r="AZ2413" i="1"/>
  <c r="AY2413" i="1"/>
  <c r="AS2431" i="1"/>
  <c r="AT2431" i="1"/>
  <c r="AY2434" i="1"/>
  <c r="AZ2434" i="1"/>
  <c r="AT2455" i="1"/>
  <c r="AR2455" i="1"/>
  <c r="AY2473" i="1"/>
  <c r="AZ2473" i="1"/>
  <c r="AS2506" i="1"/>
  <c r="AR2506" i="1"/>
  <c r="AT2510" i="1"/>
  <c r="AR2510" i="1"/>
  <c r="AT2534" i="1"/>
  <c r="AS2534" i="1"/>
  <c r="AR2551" i="1"/>
  <c r="AT2551" i="1"/>
  <c r="AT2672" i="1"/>
  <c r="AR2672" i="1"/>
  <c r="AS2672" i="1"/>
  <c r="AR2693" i="1"/>
  <c r="AT2693" i="1"/>
  <c r="AT2795" i="1"/>
  <c r="AR2795" i="1"/>
  <c r="AS2795" i="1"/>
  <c r="AT2770" i="1"/>
  <c r="AR2770" i="1"/>
  <c r="AS2770" i="1"/>
  <c r="AT2785" i="1"/>
  <c r="AR2785" i="1"/>
  <c r="AS2785" i="1"/>
  <c r="AT2838" i="1"/>
  <c r="AR2838" i="1"/>
  <c r="AS2838" i="1"/>
  <c r="AT2825" i="1"/>
  <c r="AS2825" i="1"/>
  <c r="AT2810" i="1"/>
  <c r="AR2810" i="1"/>
  <c r="AS2810" i="1"/>
  <c r="AT2817" i="1"/>
  <c r="AS2817" i="1"/>
  <c r="AR2817" i="1"/>
  <c r="AR2895" i="1"/>
  <c r="AS2895" i="1"/>
  <c r="AR2909" i="1"/>
  <c r="AS2909" i="1"/>
  <c r="AR2922" i="1"/>
  <c r="AS2922" i="1"/>
  <c r="AT3022" i="1"/>
  <c r="AS3022" i="1"/>
  <c r="AR2906" i="1"/>
  <c r="AS2906" i="1"/>
  <c r="AR3003" i="1"/>
  <c r="AT3003" i="1"/>
  <c r="AR3030" i="1"/>
  <c r="AT3030" i="1"/>
  <c r="AR2985" i="1"/>
  <c r="AT2985" i="1"/>
  <c r="AR3008" i="1"/>
  <c r="AS3008" i="1"/>
  <c r="AT3055" i="1"/>
  <c r="AR3055" i="1"/>
  <c r="AS3055" i="1"/>
  <c r="AT3049" i="1"/>
  <c r="AS3049" i="1"/>
  <c r="AR3049" i="1"/>
  <c r="AT3078" i="1"/>
  <c r="AR3078" i="1"/>
  <c r="AT3050" i="1"/>
  <c r="AS3050" i="1"/>
  <c r="AR3050" i="1"/>
  <c r="AR3103" i="1"/>
  <c r="AT3103" i="1"/>
  <c r="AR3111" i="1"/>
  <c r="AS3111" i="1"/>
  <c r="AR3095" i="1"/>
  <c r="AT3095" i="1"/>
  <c r="AS3095" i="1"/>
  <c r="AR3159" i="1"/>
  <c r="AS3159" i="1"/>
  <c r="AS3174" i="1"/>
  <c r="AR3174" i="1"/>
  <c r="AT2980" i="1"/>
  <c r="AS2980" i="1"/>
  <c r="AR3069" i="1"/>
  <c r="AS3069" i="1"/>
  <c r="AT3194" i="1"/>
  <c r="AS3194" i="1"/>
  <c r="AR3194" i="1"/>
  <c r="AT3183" i="1"/>
  <c r="AR3183" i="1"/>
  <c r="AS3183" i="1"/>
  <c r="AR3213" i="1"/>
  <c r="AT3213" i="1"/>
  <c r="AS3213" i="1"/>
  <c r="AT3255" i="1"/>
  <c r="AS3255" i="1"/>
  <c r="AR3270" i="1"/>
  <c r="AS3270" i="1"/>
  <c r="AT3270" i="1"/>
  <c r="AS2149" i="1"/>
  <c r="AR2029" i="1"/>
  <c r="AZ2416" i="1"/>
  <c r="AR2106" i="1"/>
  <c r="AT2269" i="1"/>
  <c r="AT2358" i="1"/>
  <c r="AS2077" i="1"/>
  <c r="AZ2423" i="1"/>
  <c r="AR2077" i="1"/>
  <c r="AZ2000" i="1"/>
  <c r="AY2000" i="1"/>
  <c r="AS2022" i="1"/>
  <c r="AT2022" i="1"/>
  <c r="AR2022" i="1"/>
  <c r="AR2104" i="1"/>
  <c r="AS2104" i="1"/>
  <c r="AT2118" i="1"/>
  <c r="AR2118" i="1"/>
  <c r="AS2118" i="1"/>
  <c r="AZ2165" i="1"/>
  <c r="AY2165" i="1"/>
  <c r="AZ2222" i="1"/>
  <c r="AY2222" i="1"/>
  <c r="AZ2235" i="1"/>
  <c r="AY2235" i="1"/>
  <c r="AZ2244" i="1"/>
  <c r="AY2244" i="1"/>
  <c r="AR2280" i="1"/>
  <c r="AT2280" i="1"/>
  <c r="AZ2312" i="1"/>
  <c r="AY2312" i="1"/>
  <c r="AR2338" i="1"/>
  <c r="AT2338" i="1"/>
  <c r="AR2353" i="1"/>
  <c r="AS2353" i="1"/>
  <c r="AT2353" i="1"/>
  <c r="AR2373" i="1"/>
  <c r="AS2373" i="1"/>
  <c r="AT2376" i="1"/>
  <c r="AR2376" i="1"/>
  <c r="AT2383" i="1"/>
  <c r="AR2383" i="1"/>
  <c r="AY2429" i="1"/>
  <c r="AZ2429" i="1"/>
  <c r="AZ2445" i="1"/>
  <c r="AY2445" i="1"/>
  <c r="AS2479" i="1"/>
  <c r="AR2479" i="1"/>
  <c r="AS2497" i="1"/>
  <c r="AR2497" i="1"/>
  <c r="AR2524" i="1"/>
  <c r="AT2524" i="1"/>
  <c r="AS2545" i="1"/>
  <c r="AT2545" i="1"/>
  <c r="AR2566" i="1"/>
  <c r="AT2566" i="1"/>
  <c r="AS2566" i="1"/>
  <c r="AS2571" i="1"/>
  <c r="AT2571" i="1"/>
  <c r="AT2589" i="1"/>
  <c r="AS2589" i="1"/>
  <c r="AS2597" i="1"/>
  <c r="AR2597" i="1"/>
  <c r="AT2658" i="1"/>
  <c r="AS2658" i="1"/>
  <c r="AS2674" i="1"/>
  <c r="AR2674" i="1"/>
  <c r="AT2674" i="1"/>
  <c r="AR2677" i="1"/>
  <c r="AT2677" i="1"/>
  <c r="AS2677" i="1"/>
  <c r="AS2559" i="1"/>
  <c r="AR2230" i="1"/>
  <c r="AY2003" i="1"/>
  <c r="AS2034" i="1"/>
  <c r="AR2275" i="1"/>
  <c r="AZ1981" i="1"/>
  <c r="AS2847" i="1"/>
  <c r="AS2755" i="1"/>
  <c r="AS2811" i="1"/>
  <c r="AS2878" i="1"/>
  <c r="AR2755" i="1"/>
  <c r="AT3070" i="1"/>
  <c r="AS3227" i="1"/>
  <c r="AT2910" i="1"/>
  <c r="AT3062" i="1"/>
  <c r="AS2951" i="1"/>
  <c r="AT2941" i="1"/>
  <c r="AR3039" i="1"/>
  <c r="AR2743" i="1"/>
  <c r="AT2807" i="1"/>
  <c r="AR2762" i="1"/>
  <c r="AT2951" i="1"/>
  <c r="AR2358" i="1"/>
  <c r="AR2384" i="1"/>
  <c r="AR2554" i="1"/>
  <c r="AT2494" i="1"/>
  <c r="AR2625" i="1"/>
  <c r="AT3034" i="1"/>
  <c r="AS2688" i="1"/>
  <c r="AT2229" i="1"/>
  <c r="AT1960" i="1"/>
  <c r="AS2666" i="1"/>
  <c r="AT3171" i="1"/>
  <c r="AT3230" i="1"/>
  <c r="AR2832" i="1"/>
  <c r="AT2647" i="1"/>
  <c r="AR2274" i="1"/>
  <c r="AR2229" i="1"/>
  <c r="AY2392" i="1"/>
  <c r="AR2553" i="1"/>
  <c r="AS3107" i="1"/>
  <c r="AR2599" i="1"/>
  <c r="AT2926" i="1"/>
  <c r="AR2745" i="1"/>
  <c r="AS3123" i="1"/>
  <c r="AS2984" i="1"/>
  <c r="AR2530" i="1"/>
  <c r="AR3242" i="1"/>
  <c r="AS2243" i="1"/>
  <c r="AS3034" i="1"/>
  <c r="AT2901" i="1"/>
  <c r="AS2831" i="1"/>
  <c r="AS2182" i="1"/>
  <c r="AR2143" i="1"/>
  <c r="AT2169" i="1"/>
  <c r="AS2527" i="1"/>
  <c r="AR3129" i="1"/>
  <c r="AZ1998" i="1"/>
  <c r="AT2577" i="1"/>
  <c r="AT3147" i="1"/>
  <c r="AZ2611" i="1"/>
  <c r="AT2384" i="1"/>
  <c r="AR1978" i="1"/>
  <c r="AS2667" i="1"/>
  <c r="AS3135" i="1"/>
  <c r="AW2615" i="1"/>
  <c r="AW2320" i="1"/>
  <c r="AW2729" i="1"/>
  <c r="AW2715" i="1"/>
  <c r="AW2764" i="1"/>
  <c r="AR2577" i="1"/>
  <c r="AR2890" i="1"/>
  <c r="AT3240" i="1"/>
  <c r="AR3139" i="1"/>
  <c r="AS3139" i="1"/>
  <c r="AS2173" i="1"/>
  <c r="AT2488" i="1"/>
  <c r="AS1938" i="1"/>
  <c r="AR1703" i="1"/>
  <c r="AR2544" i="1"/>
  <c r="AT2823" i="1"/>
  <c r="AT2493" i="1"/>
  <c r="AS3031" i="1"/>
  <c r="AS2801" i="1"/>
  <c r="AR2499" i="1"/>
  <c r="AS2385" i="1"/>
  <c r="AT3093" i="1"/>
  <c r="AT2961" i="1"/>
  <c r="AZ2033" i="1"/>
  <c r="AS3253" i="1"/>
  <c r="AZ2096" i="1"/>
  <c r="AR1985" i="1"/>
  <c r="AS3100" i="1"/>
  <c r="AR3140" i="1"/>
  <c r="AS3140" i="1"/>
  <c r="AS2488" i="1"/>
  <c r="AS2544" i="1"/>
  <c r="AR3097" i="1"/>
  <c r="AT2499" i="1"/>
  <c r="AR2853" i="1"/>
  <c r="AT2567" i="1"/>
  <c r="AR2385" i="1"/>
  <c r="AS3079" i="1"/>
  <c r="AR3176" i="1"/>
  <c r="AS2976" i="1"/>
  <c r="AR2668" i="1"/>
  <c r="AT2803" i="1"/>
  <c r="AR3148" i="1"/>
  <c r="AS3148" i="1"/>
  <c r="AS3033" i="1"/>
  <c r="AS2463" i="1"/>
  <c r="AS2494" i="1"/>
  <c r="AR2787" i="1"/>
  <c r="AR2567" i="1"/>
  <c r="AT2336" i="1"/>
  <c r="AS2141" i="1"/>
  <c r="AS2027" i="1"/>
  <c r="AS2155" i="1"/>
  <c r="AT3079" i="1"/>
  <c r="AT3176" i="1"/>
  <c r="AT2976" i="1"/>
  <c r="AT2668" i="1"/>
  <c r="AS3233" i="1"/>
  <c r="AS2887" i="1"/>
  <c r="AS2630" i="1"/>
  <c r="AR3098" i="1"/>
  <c r="AT2660" i="1"/>
  <c r="AT2655" i="1"/>
  <c r="AY2635" i="1"/>
  <c r="AR3182" i="1"/>
  <c r="AR1442" i="1"/>
  <c r="AR2541" i="1"/>
  <c r="AT2928" i="1"/>
  <c r="AR3036" i="1"/>
  <c r="AT2588" i="1"/>
  <c r="AR2660" i="1"/>
  <c r="AS2170" i="1"/>
  <c r="AS2028" i="1"/>
  <c r="AT2876" i="1"/>
  <c r="AR2736" i="1"/>
  <c r="AR2190" i="1"/>
  <c r="AS2092" i="1"/>
  <c r="AR2638" i="1"/>
  <c r="AR3259" i="1"/>
  <c r="AT3272" i="1"/>
  <c r="AY2252" i="1"/>
  <c r="AS3085" i="1"/>
  <c r="AR2991" i="1"/>
  <c r="AR2925" i="1"/>
  <c r="AR2649" i="1"/>
  <c r="AR2675" i="1"/>
  <c r="AS3173" i="1"/>
  <c r="AR3240" i="1"/>
  <c r="AS2180" i="1"/>
  <c r="AT2682" i="1"/>
  <c r="AT2138" i="1"/>
  <c r="AZ2057" i="1"/>
  <c r="AZ2099" i="1"/>
  <c r="AS2502" i="1"/>
  <c r="AR2565" i="1"/>
  <c r="AR2526" i="1"/>
  <c r="AR3233" i="1"/>
  <c r="AR2891" i="1"/>
  <c r="AS3249" i="1"/>
  <c r="AS3259" i="1"/>
  <c r="AS3000" i="1"/>
  <c r="AS2982" i="1"/>
  <c r="AT2565" i="1"/>
  <c r="AZ2245" i="1"/>
  <c r="AS2138" i="1"/>
  <c r="AT2243" i="1"/>
  <c r="AS2310" i="1"/>
  <c r="AS2719" i="1"/>
  <c r="AT3085" i="1"/>
  <c r="AZ2412" i="1"/>
  <c r="AS2026" i="1"/>
  <c r="AR2258" i="1"/>
  <c r="AT2502" i="1"/>
  <c r="AS2675" i="1"/>
  <c r="AT3173" i="1"/>
  <c r="AY2311" i="1"/>
  <c r="AS2281" i="1"/>
  <c r="AW2372" i="1"/>
  <c r="AS3228" i="1"/>
  <c r="AR3165" i="1"/>
  <c r="AS3126" i="1"/>
  <c r="AR2180" i="1"/>
  <c r="AT2984" i="1"/>
  <c r="AR3197" i="1"/>
  <c r="AT2092" i="1"/>
  <c r="AT3211" i="1"/>
  <c r="AT1978" i="1"/>
  <c r="AS3219" i="1"/>
  <c r="AT3165" i="1"/>
  <c r="AR3012" i="1"/>
  <c r="AS2955" i="1"/>
  <c r="AT2173" i="1"/>
  <c r="AT2086" i="1"/>
  <c r="AT2775" i="1"/>
  <c r="AR2916" i="1"/>
  <c r="AR2166" i="1"/>
  <c r="AR2627" i="1"/>
  <c r="AT2832" i="1"/>
  <c r="AT2745" i="1"/>
  <c r="AS2268" i="1"/>
  <c r="AZ2048" i="1"/>
  <c r="AT2557" i="1"/>
  <c r="AY2399" i="1"/>
  <c r="AS3199" i="1"/>
  <c r="AS1703" i="1"/>
  <c r="AR3288" i="1"/>
  <c r="AT3199" i="1"/>
  <c r="AR2747" i="1"/>
  <c r="AR2270" i="1"/>
  <c r="AS2075" i="1"/>
  <c r="AT2627" i="1"/>
  <c r="AR2380" i="1"/>
  <c r="AT3152" i="1"/>
  <c r="AS2948" i="1"/>
  <c r="AS3087" i="1"/>
  <c r="AT2860" i="1"/>
  <c r="AR3164" i="1"/>
  <c r="AT2051" i="1"/>
  <c r="AS2446" i="1"/>
  <c r="AT2262" i="1"/>
  <c r="AS2387" i="1"/>
  <c r="AY2001" i="1"/>
  <c r="AT2380" i="1"/>
  <c r="AT2948" i="1"/>
  <c r="AS2868" i="1"/>
  <c r="AS2258" i="1"/>
  <c r="AS2670" i="1"/>
  <c r="AR2851" i="1"/>
  <c r="AT2020" i="1"/>
  <c r="AY2606" i="1"/>
  <c r="AR2960" i="1"/>
  <c r="AR2142" i="1"/>
  <c r="AS2169" i="1"/>
  <c r="AS3105" i="1"/>
  <c r="AT2387" i="1"/>
  <c r="AT2868" i="1"/>
  <c r="AR3058" i="1"/>
  <c r="AR2521" i="1"/>
  <c r="AZ2254" i="1"/>
  <c r="AR3225" i="1"/>
  <c r="AR3014" i="1"/>
  <c r="AT1958" i="1"/>
  <c r="AS2553" i="1"/>
  <c r="AT2052" i="1"/>
  <c r="AR3107" i="1"/>
  <c r="AZ2538" i="1"/>
  <c r="AS1995" i="1"/>
  <c r="AS2025" i="1"/>
  <c r="AS2848" i="1"/>
  <c r="AS3058" i="1"/>
  <c r="AT3134" i="1"/>
  <c r="AT2874" i="1"/>
  <c r="AR2150" i="1"/>
  <c r="AS3171" i="1"/>
  <c r="AS2692" i="1"/>
  <c r="AT2532" i="1"/>
  <c r="AS2143" i="1"/>
  <c r="AT1995" i="1"/>
  <c r="AT2310" i="1"/>
  <c r="AS2913" i="1"/>
  <c r="AT3052" i="1"/>
  <c r="AZ2204" i="1"/>
  <c r="AR2283" i="1"/>
  <c r="AT2841" i="1"/>
  <c r="AT2652" i="1"/>
  <c r="AT2521" i="1"/>
  <c r="AR1962" i="1"/>
  <c r="AT3145" i="1"/>
  <c r="AS3230" i="1"/>
  <c r="AS2530" i="1"/>
  <c r="AR2662" i="1"/>
  <c r="AS2195" i="1"/>
  <c r="AS2274" i="1"/>
  <c r="AS2283" i="1"/>
  <c r="AT1977" i="1"/>
  <c r="AT2813" i="1"/>
  <c r="AR2748" i="1"/>
  <c r="AT2783" i="1"/>
  <c r="AT2666" i="1"/>
  <c r="AY2159" i="1"/>
  <c r="AS3024" i="1"/>
  <c r="AR2501" i="1"/>
  <c r="AS2563" i="1"/>
  <c r="AS3068" i="1"/>
  <c r="AS3189" i="1"/>
  <c r="AS2687" i="1"/>
  <c r="AT2266" i="1"/>
  <c r="AS2166" i="1"/>
  <c r="AS1964" i="1"/>
  <c r="AR1977" i="1"/>
  <c r="AR2813" i="1"/>
  <c r="AS2647" i="1"/>
  <c r="AS2926" i="1"/>
  <c r="AR2826" i="1"/>
  <c r="AZ2704" i="1"/>
  <c r="AT1442" i="1"/>
  <c r="AT2027" i="1"/>
  <c r="AS2758" i="1"/>
  <c r="AT3023" i="1"/>
  <c r="AS2557" i="1"/>
  <c r="AT2916" i="1"/>
  <c r="AR3235" i="1"/>
  <c r="AR2595" i="1"/>
  <c r="AR3219" i="1"/>
  <c r="AS3208" i="1"/>
  <c r="AS2747" i="1"/>
  <c r="AR2979" i="1"/>
  <c r="AT2966" i="1"/>
  <c r="AR2655" i="1"/>
  <c r="AS2266" i="1"/>
  <c r="AS2076" i="1"/>
  <c r="AT2154" i="1"/>
  <c r="AR1960" i="1"/>
  <c r="AT2332" i="1"/>
  <c r="AT3228" i="1"/>
  <c r="AT3075" i="1"/>
  <c r="AT2797" i="1"/>
  <c r="AR2493" i="1"/>
  <c r="AS3009" i="1"/>
  <c r="AR2750" i="1"/>
  <c r="AT2512" i="1"/>
  <c r="AY2619" i="1"/>
  <c r="AY2316" i="1"/>
  <c r="AS2659" i="1"/>
  <c r="AT3164" i="1"/>
  <c r="AT2527" i="1"/>
  <c r="AR2357" i="1"/>
  <c r="AS2604" i="1"/>
  <c r="AZ2127" i="1"/>
  <c r="AS3151" i="1"/>
  <c r="AS3287" i="1"/>
  <c r="AY2453" i="1"/>
  <c r="AY2422" i="1"/>
  <c r="AT2595" i="1"/>
  <c r="AS2853" i="1"/>
  <c r="AT3207" i="1"/>
  <c r="AS3134" i="1"/>
  <c r="AR3123" i="1"/>
  <c r="AT3208" i="1"/>
  <c r="AS3113" i="1"/>
  <c r="AR3065" i="1"/>
  <c r="AS3028" i="1"/>
  <c r="AS2699" i="1"/>
  <c r="AR2648" i="1"/>
  <c r="AY2349" i="1"/>
  <c r="AR2076" i="1"/>
  <c r="AS2154" i="1"/>
  <c r="AY2289" i="1"/>
  <c r="AR2039" i="1"/>
  <c r="AS2332" i="1"/>
  <c r="AR2769" i="1"/>
  <c r="AT3009" i="1"/>
  <c r="AS2645" i="1"/>
  <c r="AS3066" i="1"/>
  <c r="AZ2163" i="1"/>
  <c r="AS2791" i="1"/>
  <c r="AR2512" i="1"/>
  <c r="AR3156" i="1"/>
  <c r="AR2659" i="1"/>
  <c r="AT2357" i="1"/>
  <c r="AT2604" i="1"/>
  <c r="AS3157" i="1"/>
  <c r="AR3189" i="1"/>
  <c r="AR3063" i="1"/>
  <c r="AS3014" i="1"/>
  <c r="AT2648" i="1"/>
  <c r="AT2466" i="1"/>
  <c r="AS2262" i="1"/>
  <c r="AS2039" i="1"/>
  <c r="AS1934" i="1"/>
  <c r="AR3142" i="1"/>
  <c r="AT2870" i="1"/>
  <c r="AR2645" i="1"/>
  <c r="AT3222" i="1"/>
  <c r="AS2750" i="1"/>
  <c r="AT3066" i="1"/>
  <c r="AS2581" i="1"/>
  <c r="AR2791" i="1"/>
  <c r="AR2533" i="1"/>
  <c r="AT1968" i="1"/>
  <c r="AS3071" i="1"/>
  <c r="AS2809" i="1"/>
  <c r="AY2740" i="1"/>
  <c r="AS3110" i="1"/>
  <c r="AS3109" i="1"/>
  <c r="AR3033" i="1"/>
  <c r="AS3010" i="1"/>
  <c r="AS2465" i="1"/>
  <c r="AT2335" i="1"/>
  <c r="AR2086" i="1"/>
  <c r="AT1934" i="1"/>
  <c r="AT2240" i="1"/>
  <c r="AS3067" i="1"/>
  <c r="AS3142" i="1"/>
  <c r="AR2883" i="1"/>
  <c r="AS2775" i="1"/>
  <c r="AS2533" i="1"/>
  <c r="AS1968" i="1"/>
  <c r="AT2563" i="1"/>
  <c r="AT2281" i="1"/>
  <c r="AS2570" i="1"/>
  <c r="AS3262" i="1"/>
  <c r="AR3113" i="1"/>
  <c r="AT2446" i="1"/>
  <c r="AS2712" i="1"/>
  <c r="AS3261" i="1"/>
  <c r="AS3145" i="1"/>
  <c r="AT2570" i="1"/>
  <c r="AT3262" i="1"/>
  <c r="AS3197" i="1"/>
  <c r="AR3028" i="1"/>
  <c r="AR2513" i="1"/>
  <c r="AS2461" i="1"/>
  <c r="AS2335" i="1"/>
  <c r="AS2226" i="1"/>
  <c r="AY2068" i="1"/>
  <c r="AS2240" i="1"/>
  <c r="AT3067" i="1"/>
  <c r="AS2883" i="1"/>
  <c r="AR3088" i="1"/>
  <c r="AR2901" i="1"/>
  <c r="AR3122" i="1"/>
  <c r="AR2564" i="1"/>
  <c r="AT2091" i="1"/>
  <c r="AR2670" i="1"/>
  <c r="AR2712" i="1"/>
  <c r="AT2513" i="1"/>
  <c r="AR2664" i="1"/>
  <c r="AS2960" i="1"/>
  <c r="AT3071" i="1"/>
  <c r="AS2543" i="1"/>
  <c r="AS3288" i="1"/>
  <c r="AR3109" i="1"/>
  <c r="AS3129" i="1"/>
  <c r="AR2997" i="1"/>
  <c r="AS2997" i="1"/>
  <c r="AR2226" i="1"/>
  <c r="AY2010" i="1"/>
  <c r="AR2874" i="1"/>
  <c r="AT3060" i="1"/>
  <c r="AR2783" i="1"/>
  <c r="AS2549" i="1"/>
  <c r="AT2564" i="1"/>
  <c r="AR2091" i="1"/>
  <c r="AT2664" i="1"/>
  <c r="AT3225" i="1"/>
  <c r="AR2543" i="1"/>
  <c r="AS2680" i="1"/>
  <c r="AT2146" i="1"/>
  <c r="AR2170" i="1"/>
  <c r="AR2667" i="1"/>
  <c r="AS2495" i="1"/>
  <c r="AT2748" i="1"/>
  <c r="AT2268" i="1"/>
  <c r="AR3157" i="1"/>
  <c r="AS3247" i="1"/>
  <c r="AT2692" i="1"/>
  <c r="AR2465" i="1"/>
  <c r="AR1987" i="1"/>
  <c r="AS2599" i="1"/>
  <c r="AT2955" i="1"/>
  <c r="AS3150" i="1"/>
  <c r="AT2736" i="1"/>
  <c r="AS2652" i="1"/>
  <c r="AZ1949" i="1"/>
  <c r="AR2581" i="1"/>
  <c r="AR2336" i="1"/>
  <c r="AT2851" i="1"/>
  <c r="AT2913" i="1"/>
  <c r="AS2638" i="1"/>
  <c r="AR2020" i="1"/>
  <c r="AT3247" i="1"/>
  <c r="AR3224" i="1"/>
  <c r="AR3105" i="1"/>
  <c r="AR2858" i="1"/>
  <c r="AS2928" i="1"/>
  <c r="AR2461" i="1"/>
  <c r="AT2195" i="1"/>
  <c r="AS2146" i="1"/>
  <c r="AT1986" i="1"/>
  <c r="AT2495" i="1"/>
  <c r="AT2688" i="1"/>
  <c r="AR3087" i="1"/>
  <c r="AY2156" i="1"/>
  <c r="AR3211" i="1"/>
  <c r="AS1926" i="1"/>
  <c r="AS1941" i="1"/>
  <c r="AR2051" i="1"/>
  <c r="AR3151" i="1"/>
  <c r="AS3186" i="1"/>
  <c r="AS3072" i="1"/>
  <c r="AR2232" i="1"/>
  <c r="AS3094" i="1"/>
  <c r="AT2316" i="1"/>
  <c r="AS2579" i="1"/>
  <c r="AT2386" i="1"/>
  <c r="AY1972" i="1"/>
  <c r="AS2168" i="1"/>
  <c r="AY2321" i="1"/>
  <c r="AT2999" i="1"/>
  <c r="AT1941" i="1"/>
  <c r="AR3072" i="1"/>
  <c r="AR3094" i="1"/>
  <c r="AZ2514" i="1"/>
  <c r="AR3207" i="1"/>
  <c r="AR3038" i="1"/>
  <c r="AS2954" i="1"/>
  <c r="AR2694" i="1"/>
  <c r="AY2414" i="1"/>
  <c r="AS2292" i="1"/>
  <c r="AT2139" i="1"/>
  <c r="AT3106" i="1"/>
  <c r="AT3186" i="1"/>
  <c r="AS2818" i="1"/>
  <c r="AR2560" i="1"/>
  <c r="AZ2573" i="1"/>
  <c r="AR2194" i="1"/>
  <c r="AR2579" i="1"/>
  <c r="AR2386" i="1"/>
  <c r="AR3118" i="1"/>
  <c r="AT3232" i="1"/>
  <c r="AR2168" i="1"/>
  <c r="AR3106" i="1"/>
  <c r="AS3232" i="1"/>
  <c r="AY2318" i="1"/>
  <c r="AS3235" i="1"/>
  <c r="AS2761" i="1"/>
  <c r="AT2309" i="1"/>
  <c r="AS3177" i="1"/>
  <c r="AY2523" i="1"/>
  <c r="AS2562" i="1"/>
  <c r="AR2292" i="1"/>
  <c r="AS2139" i="1"/>
  <c r="AS2038" i="1"/>
  <c r="AR2828" i="1"/>
  <c r="AS2560" i="1"/>
  <c r="AS2194" i="1"/>
  <c r="AS3118" i="1"/>
  <c r="AZ2200" i="1"/>
  <c r="AT2184" i="1"/>
  <c r="AS2184" i="1"/>
  <c r="AY2371" i="1"/>
  <c r="AS2939" i="1"/>
  <c r="AT3177" i="1"/>
  <c r="AR3025" i="1"/>
  <c r="AY2215" i="1"/>
  <c r="AT2038" i="1"/>
  <c r="AT2828" i="1"/>
  <c r="AY2218" i="1"/>
  <c r="AR3032" i="1"/>
  <c r="AS2232" i="1"/>
  <c r="AS3038" i="1"/>
  <c r="AY2366" i="1"/>
  <c r="AS2860" i="1"/>
  <c r="AT2562" i="1"/>
  <c r="AR2761" i="1"/>
  <c r="AS3156" i="1"/>
  <c r="AS3025" i="1"/>
  <c r="AS2858" i="1"/>
  <c r="AT2273" i="1"/>
  <c r="AZ2212" i="1"/>
  <c r="AT2090" i="1"/>
  <c r="AR2019" i="1"/>
  <c r="AR2781" i="1"/>
  <c r="AZ2701" i="1"/>
  <c r="AZ1701" i="1"/>
  <c r="AS3257" i="1"/>
  <c r="AS2309" i="1"/>
  <c r="AR3010" i="1"/>
  <c r="AS2273" i="1"/>
  <c r="AS2090" i="1"/>
  <c r="AS2019" i="1"/>
  <c r="AY2015" i="1"/>
  <c r="AR3060" i="1"/>
  <c r="AT2781" i="1"/>
  <c r="AR3152" i="1"/>
  <c r="AT1926" i="1"/>
  <c r="AT2036" i="1"/>
  <c r="AY2517" i="1"/>
  <c r="AR1958" i="1"/>
  <c r="AR3158" i="1"/>
  <c r="AS2270" i="1"/>
  <c r="AR2210" i="1"/>
  <c r="AR2797" i="1"/>
  <c r="AR2841" i="1"/>
  <c r="AS2694" i="1"/>
  <c r="AZ2103" i="1"/>
  <c r="AS2150" i="1"/>
  <c r="AR3216" i="1"/>
  <c r="AR2939" i="1"/>
  <c r="AS2532" i="1"/>
  <c r="AR2680" i="1"/>
  <c r="AS2251" i="1"/>
  <c r="AS2379" i="1"/>
  <c r="AS2142" i="1"/>
  <c r="AT2769" i="1"/>
  <c r="AT2549" i="1"/>
  <c r="AR1993" i="1"/>
  <c r="AR3261" i="1"/>
  <c r="AT2500" i="1"/>
  <c r="AR2251" i="1"/>
  <c r="AT2379" i="1"/>
  <c r="AT2836" i="1"/>
  <c r="AY2642" i="1"/>
  <c r="AR2661" i="1"/>
  <c r="AS2334" i="1"/>
  <c r="AT2025" i="1"/>
  <c r="AS1962" i="1"/>
  <c r="AT2669" i="1"/>
  <c r="AR2500" i="1"/>
  <c r="AR1986" i="1"/>
  <c r="AT2661" i="1"/>
  <c r="AS3158" i="1"/>
  <c r="AS3032" i="1"/>
  <c r="AS3012" i="1"/>
  <c r="AR2669" i="1"/>
  <c r="AT2334" i="1"/>
  <c r="AT2075" i="1"/>
  <c r="AT1993" i="1"/>
  <c r="AW2185" i="1"/>
  <c r="AW2382" i="1"/>
  <c r="AW2555" i="1"/>
  <c r="AW2572" i="1"/>
  <c r="AW2575" i="1"/>
  <c r="AW2591" i="1"/>
  <c r="AW2596" i="1"/>
  <c r="AW2598" i="1"/>
  <c r="AW2607" i="1"/>
  <c r="AW2629" i="1"/>
  <c r="AW2651" i="1"/>
  <c r="AW2673" i="1"/>
  <c r="AT2535" i="1"/>
  <c r="AR3043" i="1"/>
  <c r="AS1705" i="1"/>
  <c r="AR2520" i="1"/>
  <c r="AS2480" i="1"/>
  <c r="AW2691" i="1"/>
  <c r="AW2707" i="1"/>
  <c r="AT2959" i="1"/>
  <c r="AR2990" i="1"/>
  <c r="AS3226" i="1"/>
  <c r="AS2981" i="1"/>
  <c r="AZ2436" i="1"/>
  <c r="AR2865" i="1"/>
  <c r="AR3149" i="1"/>
  <c r="AR2898" i="1"/>
  <c r="AS2852" i="1"/>
  <c r="AS1936" i="1"/>
  <c r="AT3188" i="1"/>
  <c r="AS3054" i="1"/>
  <c r="AS2839" i="1"/>
  <c r="AR2134" i="1"/>
  <c r="AR2963" i="1"/>
  <c r="AT2920" i="1"/>
  <c r="AZ2277" i="1"/>
  <c r="AS2485" i="1"/>
  <c r="AT2454" i="1"/>
  <c r="AS2728" i="1"/>
  <c r="AT3006" i="1"/>
  <c r="AS2112" i="1"/>
  <c r="AT2112" i="1"/>
  <c r="AR2112" i="1"/>
  <c r="AZ2122" i="1"/>
  <c r="AY2122" i="1"/>
  <c r="AZ2179" i="1"/>
  <c r="AY2179" i="1"/>
  <c r="AR2187" i="1"/>
  <c r="AS2187" i="1"/>
  <c r="AT2187" i="1"/>
  <c r="AT2197" i="1"/>
  <c r="AS2197" i="1"/>
  <c r="AR2197" i="1"/>
  <c r="AR2255" i="1"/>
  <c r="AT2255" i="1"/>
  <c r="AS2285" i="1"/>
  <c r="AR2285" i="1"/>
  <c r="AS2293" i="1"/>
  <c r="AT2293" i="1"/>
  <c r="AY2300" i="1"/>
  <c r="AZ2300" i="1"/>
  <c r="AT2328" i="1"/>
  <c r="AR2328" i="1"/>
  <c r="AS2328" i="1"/>
  <c r="AR2377" i="1"/>
  <c r="AT2377" i="1"/>
  <c r="AY2441" i="1"/>
  <c r="AZ2441" i="1"/>
  <c r="AT2552" i="1"/>
  <c r="AR2552" i="1"/>
  <c r="AS2552" i="1"/>
  <c r="AY2634" i="1"/>
  <c r="AZ2634" i="1"/>
  <c r="AS2691" i="1"/>
  <c r="AT2691" i="1"/>
  <c r="AR2752" i="1"/>
  <c r="AT2752" i="1"/>
  <c r="AS2772" i="1"/>
  <c r="AT2772" i="1"/>
  <c r="AR2779" i="1"/>
  <c r="AS2779" i="1"/>
  <c r="AT2799" i="1"/>
  <c r="AR2799" i="1"/>
  <c r="AR2871" i="1"/>
  <c r="AT2871" i="1"/>
  <c r="AS2871" i="1"/>
  <c r="AS2873" i="1"/>
  <c r="AR2873" i="1"/>
  <c r="AT2873" i="1"/>
  <c r="AR2937" i="1"/>
  <c r="AS2937" i="1"/>
  <c r="AT2937" i="1"/>
  <c r="AR2952" i="1"/>
  <c r="AT2952" i="1"/>
  <c r="AS2952" i="1"/>
  <c r="AR2977" i="1"/>
  <c r="AT2977" i="1"/>
  <c r="AS2977" i="1"/>
  <c r="AR2992" i="1"/>
  <c r="AT2992" i="1"/>
  <c r="AS2992" i="1"/>
  <c r="AS2975" i="1"/>
  <c r="AT2975" i="1"/>
  <c r="AR3037" i="1"/>
  <c r="AT3037" i="1"/>
  <c r="AT3051" i="1"/>
  <c r="AS3051" i="1"/>
  <c r="AT2899" i="1"/>
  <c r="AS2899" i="1"/>
  <c r="AY2409" i="1"/>
  <c r="AS3131" i="1"/>
  <c r="AR2852" i="1"/>
  <c r="AY2101" i="1"/>
  <c r="AT3226" i="1"/>
  <c r="AR3166" i="1"/>
  <c r="AY22" i="1"/>
  <c r="AZ22" i="1"/>
  <c r="AR2105" i="1"/>
  <c r="AT2105" i="1"/>
  <c r="AS2105" i="1"/>
  <c r="AY2115" i="1"/>
  <c r="AZ2115" i="1"/>
  <c r="AR2181" i="1"/>
  <c r="AS2181" i="1"/>
  <c r="AT2181" i="1"/>
  <c r="AS2233" i="1"/>
  <c r="AT2233" i="1"/>
  <c r="AY2253" i="1"/>
  <c r="AZ2253" i="1"/>
  <c r="AY2288" i="1"/>
  <c r="AZ2288" i="1"/>
  <c r="AS2665" i="1"/>
  <c r="AT2665" i="1"/>
  <c r="AT2830" i="1"/>
  <c r="AS2830" i="1"/>
  <c r="AT2902" i="1"/>
  <c r="AS2902" i="1"/>
  <c r="AR2950" i="1"/>
  <c r="AT2950" i="1"/>
  <c r="AS2950" i="1"/>
  <c r="AR3001" i="1"/>
  <c r="AT3001" i="1"/>
  <c r="AR2995" i="1"/>
  <c r="AS2995" i="1"/>
  <c r="AR3121" i="1"/>
  <c r="AS3121" i="1"/>
  <c r="AT3160" i="1"/>
  <c r="AR3160" i="1"/>
  <c r="AS3160" i="1"/>
  <c r="AY27" i="1"/>
  <c r="AZ27" i="1"/>
  <c r="AS2584" i="1"/>
  <c r="AT2685" i="1"/>
  <c r="AR3254" i="1"/>
  <c r="AR3125" i="1"/>
  <c r="AS3125" i="1"/>
  <c r="AS3061" i="1"/>
  <c r="AR2238" i="1"/>
  <c r="AS2924" i="1"/>
  <c r="AS2957" i="1"/>
  <c r="AS2872" i="1"/>
  <c r="AT3044" i="1"/>
  <c r="AS2377" i="1"/>
  <c r="AZ2294" i="1"/>
  <c r="AY1940" i="1"/>
  <c r="AS2676" i="1"/>
  <c r="AR3196" i="1"/>
  <c r="AT2707" i="1"/>
  <c r="AS2454" i="1"/>
  <c r="AT2374" i="1"/>
  <c r="AS2456" i="1"/>
  <c r="AR3163" i="1"/>
  <c r="AT2872" i="1"/>
  <c r="AT2905" i="1"/>
  <c r="AT1928" i="1"/>
  <c r="AS1928" i="1"/>
  <c r="AR1928" i="1"/>
  <c r="AS2117" i="1"/>
  <c r="AT2117" i="1"/>
  <c r="AR2117" i="1"/>
  <c r="AR2135" i="1"/>
  <c r="AT2135" i="1"/>
  <c r="AZ2198" i="1"/>
  <c r="AY2198" i="1"/>
  <c r="AS2352" i="1"/>
  <c r="AR2352" i="1"/>
  <c r="AR2382" i="1"/>
  <c r="AT2382" i="1"/>
  <c r="AY2452" i="1"/>
  <c r="AZ2452" i="1"/>
  <c r="AS2498" i="1"/>
  <c r="AT2498" i="1"/>
  <c r="AS2511" i="1"/>
  <c r="AR2511" i="1"/>
  <c r="AT2511" i="1"/>
  <c r="AS2651" i="1"/>
  <c r="AR2651" i="1"/>
  <c r="AT2820" i="1"/>
  <c r="AR2820" i="1"/>
  <c r="AS2820" i="1"/>
  <c r="AT2859" i="1"/>
  <c r="AR2859" i="1"/>
  <c r="AT2842" i="1"/>
  <c r="AR2842" i="1"/>
  <c r="AS2842" i="1"/>
  <c r="AT2835" i="1"/>
  <c r="AR2835" i="1"/>
  <c r="AS2835" i="1"/>
  <c r="AR2846" i="1"/>
  <c r="AT2846" i="1"/>
  <c r="AR2893" i="1"/>
  <c r="AT2893" i="1"/>
  <c r="AT2968" i="1"/>
  <c r="AR2968" i="1"/>
  <c r="AS2968" i="1"/>
  <c r="AS2940" i="1"/>
  <c r="AR2940" i="1"/>
  <c r="AT2940" i="1"/>
  <c r="AR3029" i="1"/>
  <c r="AT3029" i="1"/>
  <c r="AT3086" i="1"/>
  <c r="AR3086" i="1"/>
  <c r="AT2840" i="1"/>
  <c r="AR2840" i="1"/>
  <c r="AS2840" i="1"/>
  <c r="AR3116" i="1"/>
  <c r="AS3116" i="1"/>
  <c r="AT3114" i="1"/>
  <c r="AR3114" i="1"/>
  <c r="AS3114" i="1"/>
  <c r="AR3162" i="1"/>
  <c r="AS3162" i="1"/>
  <c r="AT3198" i="1"/>
  <c r="AS3198" i="1"/>
  <c r="AR3198" i="1"/>
  <c r="AT3218" i="1"/>
  <c r="AR3218" i="1"/>
  <c r="AS3218" i="1"/>
  <c r="AT3223" i="1"/>
  <c r="AS3223" i="1"/>
  <c r="AR3223" i="1"/>
  <c r="AS3250" i="1"/>
  <c r="AT3250" i="1"/>
  <c r="AR2839" i="1"/>
  <c r="AY2042" i="1"/>
  <c r="AR2485" i="1"/>
  <c r="AS2685" i="1"/>
  <c r="AY1486" i="1"/>
  <c r="AS3090" i="1"/>
  <c r="AR3064" i="1"/>
  <c r="AR2498" i="1"/>
  <c r="AR2233" i="1"/>
  <c r="AT2520" i="1"/>
  <c r="AR3250" i="1"/>
  <c r="AZ32" i="1"/>
  <c r="AS3166" i="1"/>
  <c r="AS3149" i="1"/>
  <c r="AS2799" i="1"/>
  <c r="AR3044" i="1"/>
  <c r="AS2815" i="1"/>
  <c r="AS2428" i="1"/>
  <c r="AS2354" i="1"/>
  <c r="AY2132" i="1"/>
  <c r="AR3047" i="1"/>
  <c r="AR2676" i="1"/>
  <c r="AS3196" i="1"/>
  <c r="AT2503" i="1"/>
  <c r="AR2456" i="1"/>
  <c r="AS3001" i="1"/>
  <c r="AT3163" i="1"/>
  <c r="AR2905" i="1"/>
  <c r="AT2021" i="1"/>
  <c r="AS2021" i="1"/>
  <c r="AR2021" i="1"/>
  <c r="AS2148" i="1"/>
  <c r="AT2148" i="1"/>
  <c r="AR2267" i="1"/>
  <c r="AS2267" i="1"/>
  <c r="AT2267" i="1"/>
  <c r="AZ2329" i="1"/>
  <c r="AY2329" i="1"/>
  <c r="AR2350" i="1"/>
  <c r="AT2350" i="1"/>
  <c r="AR2496" i="1"/>
  <c r="AT2496" i="1"/>
  <c r="AR2505" i="1"/>
  <c r="AT2505" i="1"/>
  <c r="AS2550" i="1"/>
  <c r="AR2550" i="1"/>
  <c r="AT2550" i="1"/>
  <c r="AT2681" i="1"/>
  <c r="AR2681" i="1"/>
  <c r="AS2681" i="1"/>
  <c r="AT2796" i="1"/>
  <c r="AS2796" i="1"/>
  <c r="AT2867" i="1"/>
  <c r="AS2867" i="1"/>
  <c r="AT2854" i="1"/>
  <c r="AS2854" i="1"/>
  <c r="AT2582" i="1"/>
  <c r="AR2582" i="1"/>
  <c r="AR2930" i="1"/>
  <c r="AT2930" i="1"/>
  <c r="AT3035" i="1"/>
  <c r="AS3035" i="1"/>
  <c r="AS2451" i="1"/>
  <c r="AT2451" i="1"/>
  <c r="AT3048" i="1"/>
  <c r="AR3048" i="1"/>
  <c r="AR3089" i="1"/>
  <c r="AT3089" i="1"/>
  <c r="AS3144" i="1"/>
  <c r="AR3144" i="1"/>
  <c r="AT3179" i="1"/>
  <c r="AS3179" i="1"/>
  <c r="AR3184" i="1"/>
  <c r="AT3184" i="1"/>
  <c r="AT3192" i="1"/>
  <c r="AS3192" i="1"/>
  <c r="AR3192" i="1"/>
  <c r="AT3229" i="1"/>
  <c r="AS3229" i="1"/>
  <c r="AR3229" i="1"/>
  <c r="AT3273" i="1"/>
  <c r="AR3273" i="1"/>
  <c r="AS3273" i="1"/>
  <c r="AR3237" i="1"/>
  <c r="AT3144" i="1"/>
  <c r="AT2467" i="1"/>
  <c r="AS2134" i="1"/>
  <c r="AT2779" i="1"/>
  <c r="AS2582" i="1"/>
  <c r="AS3048" i="1"/>
  <c r="AS2959" i="1"/>
  <c r="AS2898" i="1"/>
  <c r="AS2846" i="1"/>
  <c r="AS3037" i="1"/>
  <c r="AR2796" i="1"/>
  <c r="AS3029" i="1"/>
  <c r="AR2815" i="1"/>
  <c r="AR2428" i="1"/>
  <c r="AR2665" i="1"/>
  <c r="AS2350" i="1"/>
  <c r="AR2148" i="1"/>
  <c r="AR3020" i="1"/>
  <c r="AR2264" i="1"/>
  <c r="AT3172" i="1"/>
  <c r="AZ2305" i="1"/>
  <c r="AR2503" i="1"/>
  <c r="AR2988" i="1"/>
  <c r="AT2354" i="1"/>
  <c r="AT2176" i="1"/>
  <c r="AS2176" i="1"/>
  <c r="AR2176" i="1"/>
  <c r="AR2239" i="1"/>
  <c r="AS2239" i="1"/>
  <c r="AR2261" i="1"/>
  <c r="AS2261" i="1"/>
  <c r="AR2279" i="1"/>
  <c r="AS2279" i="1"/>
  <c r="AT2279" i="1"/>
  <c r="AT2356" i="1"/>
  <c r="AS2356" i="1"/>
  <c r="AR2356" i="1"/>
  <c r="AR2432" i="1"/>
  <c r="AT2432" i="1"/>
  <c r="AS2432" i="1"/>
  <c r="AT2469" i="1"/>
  <c r="AS2469" i="1"/>
  <c r="AR2469" i="1"/>
  <c r="AY2481" i="1"/>
  <c r="AZ2481" i="1"/>
  <c r="AT2528" i="1"/>
  <c r="AS2528" i="1"/>
  <c r="AR2528" i="1"/>
  <c r="AS2678" i="1"/>
  <c r="AR2678" i="1"/>
  <c r="AT2834" i="1"/>
  <c r="AR2834" i="1"/>
  <c r="AS2834" i="1"/>
  <c r="AT2833" i="1"/>
  <c r="AS2833" i="1"/>
  <c r="AT2947" i="1"/>
  <c r="AS2947" i="1"/>
  <c r="AR2947" i="1"/>
  <c r="AR3073" i="1"/>
  <c r="AS3073" i="1"/>
  <c r="AT3073" i="1"/>
  <c r="AT3059" i="1"/>
  <c r="AR3059" i="1"/>
  <c r="AS3059" i="1"/>
  <c r="AR3188" i="1"/>
  <c r="AS3064" i="1"/>
  <c r="AR2772" i="1"/>
  <c r="AS3184" i="1"/>
  <c r="AR2467" i="1"/>
  <c r="AS2374" i="1"/>
  <c r="AY30" i="1"/>
  <c r="AZ30" i="1"/>
  <c r="AY42" i="1"/>
  <c r="AZ42" i="1"/>
  <c r="AS3254" i="1"/>
  <c r="AZ24" i="1"/>
  <c r="AT2651" i="1"/>
  <c r="AS3169" i="1"/>
  <c r="AR2899" i="1"/>
  <c r="AT2969" i="1"/>
  <c r="AS2671" i="1"/>
  <c r="AS2930" i="1"/>
  <c r="AS2859" i="1"/>
  <c r="AS2752" i="1"/>
  <c r="AY2518" i="1"/>
  <c r="AY2322" i="1"/>
  <c r="AT3169" i="1"/>
  <c r="AR2707" i="1"/>
  <c r="AT2352" i="1"/>
  <c r="AR2293" i="1"/>
  <c r="AR3172" i="1"/>
  <c r="AT2547" i="1"/>
  <c r="AS2140" i="1"/>
  <c r="AY2344" i="1"/>
  <c r="AT2988" i="1"/>
  <c r="AR2957" i="1"/>
  <c r="AT2924" i="1"/>
  <c r="AZ2016" i="1"/>
  <c r="AY2016" i="1"/>
  <c r="AS2119" i="1"/>
  <c r="AR2119" i="1"/>
  <c r="AR2174" i="1"/>
  <c r="AT2174" i="1"/>
  <c r="AS2174" i="1"/>
  <c r="AS2225" i="1"/>
  <c r="AT2225" i="1"/>
  <c r="AR2242" i="1"/>
  <c r="AS2242" i="1"/>
  <c r="AT2242" i="1"/>
  <c r="AT2271" i="1"/>
  <c r="AR2271" i="1"/>
  <c r="AS2271" i="1"/>
  <c r="AS2331" i="1"/>
  <c r="AT2331" i="1"/>
  <c r="AR2331" i="1"/>
  <c r="AR2339" i="1"/>
  <c r="AS2339" i="1"/>
  <c r="AY2360" i="1"/>
  <c r="AZ2360" i="1"/>
  <c r="AR2492" i="1"/>
  <c r="AT2492" i="1"/>
  <c r="AR2626" i="1"/>
  <c r="AS2626" i="1"/>
  <c r="AR2695" i="1"/>
  <c r="AT2695" i="1"/>
  <c r="AR2726" i="1"/>
  <c r="AS2726" i="1"/>
  <c r="AT2726" i="1"/>
  <c r="AT2735" i="1"/>
  <c r="AR2735" i="1"/>
  <c r="AS2735" i="1"/>
  <c r="AS2617" i="1"/>
  <c r="AT2617" i="1"/>
  <c r="AT2746" i="1"/>
  <c r="AR2746" i="1"/>
  <c r="AT2819" i="1"/>
  <c r="AR2819" i="1"/>
  <c r="AT2875" i="1"/>
  <c r="AR2875" i="1"/>
  <c r="AS2875" i="1"/>
  <c r="AR2892" i="1"/>
  <c r="AS2892" i="1"/>
  <c r="AT2892" i="1"/>
  <c r="AR2903" i="1"/>
  <c r="AT2903" i="1"/>
  <c r="AT2972" i="1"/>
  <c r="AS2972" i="1"/>
  <c r="AS3015" i="1"/>
  <c r="AT3015" i="1"/>
  <c r="AS3021" i="1"/>
  <c r="AR3021" i="1"/>
  <c r="AT3076" i="1"/>
  <c r="AR3076" i="1"/>
  <c r="AS3076" i="1"/>
  <c r="AT3133" i="1"/>
  <c r="AS3133" i="1"/>
  <c r="AR3137" i="1"/>
  <c r="AS3137" i="1"/>
  <c r="AT3091" i="1"/>
  <c r="AR3091" i="1"/>
  <c r="AS3091" i="1"/>
  <c r="AS3102" i="1"/>
  <c r="AS2990" i="1"/>
  <c r="AS2185" i="1"/>
  <c r="AR1936" i="1"/>
  <c r="AS2238" i="1"/>
  <c r="AT3026" i="1"/>
  <c r="AS3237" i="1"/>
  <c r="AZ36" i="1"/>
  <c r="AS3089" i="1"/>
  <c r="AS2920" i="1"/>
  <c r="AS2865" i="1"/>
  <c r="AS3006" i="1"/>
  <c r="AR2671" i="1"/>
  <c r="AR2867" i="1"/>
  <c r="AR2902" i="1"/>
  <c r="AR2830" i="1"/>
  <c r="AR2282" i="1"/>
  <c r="AR2547" i="1"/>
  <c r="AT2140" i="1"/>
  <c r="AS2382" i="1"/>
  <c r="AT2963" i="1"/>
  <c r="AW2045" i="1"/>
  <c r="AW2313" i="1"/>
  <c r="AW2346" i="1"/>
  <c r="AW2371" i="1"/>
  <c r="AW2392" i="1"/>
  <c r="AW2398" i="1"/>
  <c r="AW2401" i="1"/>
  <c r="AW2435" i="1"/>
  <c r="AW2476" i="1"/>
  <c r="AW2483" i="1"/>
  <c r="AW2523" i="1"/>
  <c r="AW2740" i="1"/>
  <c r="AW2711" i="1"/>
  <c r="AS2601" i="1"/>
  <c r="AT2603" i="1"/>
  <c r="AR2708" i="1"/>
  <c r="AT2696" i="1"/>
  <c r="AT2741" i="1"/>
  <c r="AR2700" i="1"/>
  <c r="AR2741" i="1"/>
  <c r="AZ2649" i="1"/>
  <c r="AT2601" i="1"/>
  <c r="AY2588" i="1"/>
  <c r="AS2716" i="1"/>
  <c r="AR2593" i="1"/>
  <c r="AR2615" i="1"/>
  <c r="AT2440" i="1"/>
  <c r="AY2530" i="1"/>
  <c r="AZ40" i="1"/>
  <c r="AS2729" i="1"/>
  <c r="AZ2688" i="1"/>
  <c r="AT2716" i="1"/>
  <c r="AT2615" i="1"/>
  <c r="AR1650" i="1"/>
  <c r="AR2696" i="1"/>
  <c r="AR2737" i="1"/>
  <c r="AR2729" i="1"/>
  <c r="AS1981" i="1"/>
  <c r="AR2391" i="1"/>
  <c r="AY11" i="1"/>
  <c r="AS2509" i="1"/>
  <c r="AS2766" i="1"/>
  <c r="AS1215" i="1"/>
  <c r="AS2764" i="1"/>
  <c r="AT2782" i="1"/>
  <c r="AT1502" i="1"/>
  <c r="AY2653" i="1"/>
  <c r="AR2312" i="1"/>
  <c r="AR2317" i="1"/>
  <c r="AZ28" i="1"/>
  <c r="AS2129" i="1"/>
  <c r="AZ38" i="1"/>
  <c r="AR2509" i="1"/>
  <c r="AS2754" i="1"/>
  <c r="AS2727" i="1"/>
  <c r="AS2720" i="1"/>
  <c r="AT2764" i="1"/>
  <c r="AS2737" i="1"/>
  <c r="AS2782" i="1"/>
  <c r="AZ34" i="1"/>
  <c r="AT2395" i="1"/>
  <c r="AR15" i="1"/>
  <c r="AS2731" i="1"/>
  <c r="AT2727" i="1"/>
  <c r="AT2720" i="1"/>
  <c r="AW2674" i="1"/>
  <c r="AY2692" i="1"/>
  <c r="AT2312" i="1"/>
  <c r="AR2440" i="1"/>
  <c r="AZ2544" i="1"/>
  <c r="AS1610" i="1"/>
  <c r="AR2423" i="1"/>
  <c r="AS15" i="1"/>
  <c r="AS2723" i="1"/>
  <c r="AT959" i="1"/>
  <c r="AT1203" i="1"/>
  <c r="AR1694" i="1"/>
  <c r="AT1706" i="1"/>
  <c r="AR1662" i="1"/>
  <c r="AT1658" i="1"/>
  <c r="AR1610" i="1"/>
  <c r="AR1628" i="1"/>
  <c r="AR1590" i="1"/>
  <c r="AR1538" i="1"/>
  <c r="AT1566" i="1"/>
  <c r="AR1526" i="1"/>
  <c r="AS1570" i="1"/>
  <c r="AS1472" i="1"/>
  <c r="AT1461" i="1"/>
  <c r="AS1376" i="1"/>
  <c r="AR1682" i="1"/>
  <c r="AW2270" i="1"/>
  <c r="AW2281" i="1"/>
  <c r="AW2458" i="1"/>
  <c r="AW2487" i="1"/>
  <c r="AW2500" i="1"/>
  <c r="AR1531" i="1"/>
  <c r="AW2037" i="1"/>
  <c r="AW2077" i="1"/>
  <c r="AW2118" i="1"/>
  <c r="AW2172" i="1"/>
  <c r="AW2186" i="1"/>
  <c r="AW2188" i="1"/>
  <c r="AW2231" i="1"/>
  <c r="AW2420" i="1"/>
  <c r="AW2431" i="1"/>
  <c r="AW2455" i="1"/>
  <c r="AW2457" i="1"/>
  <c r="AW2491" i="1"/>
  <c r="AW2497" i="1"/>
  <c r="AW2545" i="1"/>
  <c r="AW2551" i="1"/>
  <c r="AW2569" i="1"/>
  <c r="AW2571" i="1"/>
  <c r="AW2574" i="1"/>
  <c r="AW2576" i="1"/>
  <c r="AW2589" i="1"/>
  <c r="AW2597" i="1"/>
  <c r="AW2672" i="1"/>
  <c r="AW2677" i="1"/>
  <c r="AW2693" i="1"/>
  <c r="AW2531" i="1"/>
  <c r="AT1899" i="1"/>
  <c r="AS2067" i="1"/>
  <c r="AS2062" i="1"/>
  <c r="AT35" i="1"/>
  <c r="AR23" i="1"/>
  <c r="AS2123" i="1"/>
  <c r="AT2096" i="1"/>
  <c r="AS31" i="1"/>
  <c r="AY2374" i="1"/>
  <c r="AS2199" i="1"/>
  <c r="AT2722" i="1"/>
  <c r="AW2017" i="1"/>
  <c r="AW2200" i="1"/>
  <c r="AW2412" i="1"/>
  <c r="AW2425" i="1"/>
  <c r="AW2628" i="1"/>
  <c r="AW2632" i="1"/>
  <c r="AW2635" i="1"/>
  <c r="AW2759" i="1"/>
  <c r="AW2663" i="1"/>
  <c r="AW2260" i="1"/>
  <c r="AW2689" i="1"/>
  <c r="AY2680" i="1"/>
  <c r="AR2734" i="1"/>
  <c r="AR2631" i="1"/>
  <c r="AT2602" i="1"/>
  <c r="AY2251" i="1"/>
  <c r="AS2742" i="1"/>
  <c r="AS2624" i="1"/>
  <c r="AR2409" i="1"/>
  <c r="AT2702" i="1"/>
  <c r="AS2765" i="1"/>
  <c r="AR2733" i="1"/>
  <c r="AT2470" i="1"/>
  <c r="AR2234" i="1"/>
  <c r="AT2620" i="1"/>
  <c r="AZ2694" i="1"/>
  <c r="AW2133" i="1"/>
  <c r="AW2191" i="1"/>
  <c r="AW2199" i="1"/>
  <c r="AW2204" i="1"/>
  <c r="AW2207" i="1"/>
  <c r="AW2224" i="1"/>
  <c r="AW2227" i="1"/>
  <c r="AW2237" i="1"/>
  <c r="AW2394" i="1"/>
  <c r="AW2410" i="1"/>
  <c r="AW2418" i="1"/>
  <c r="AW2422" i="1"/>
  <c r="AW2437" i="1"/>
  <c r="AW2442" i="1"/>
  <c r="AW2449" i="1"/>
  <c r="AW2453" i="1"/>
  <c r="AW2475" i="1"/>
  <c r="AW2477" i="1"/>
  <c r="AW2484" i="1"/>
  <c r="AW2522" i="1"/>
  <c r="AW2537" i="1"/>
  <c r="AW2606" i="1"/>
  <c r="AW2609" i="1"/>
  <c r="AW2415" i="1"/>
  <c r="AS2219" i="1"/>
  <c r="AS2702" i="1"/>
  <c r="AS2705" i="1"/>
  <c r="AZ2675" i="1"/>
  <c r="AT1963" i="1"/>
  <c r="AR2198" i="1"/>
  <c r="AT1964" i="1"/>
  <c r="AR2472" i="1"/>
  <c r="AR2614" i="1"/>
  <c r="AS2319" i="1"/>
  <c r="AT2390" i="1"/>
  <c r="AR2622" i="1"/>
  <c r="AR2798" i="1"/>
  <c r="AT3266" i="1"/>
  <c r="AT2221" i="1"/>
  <c r="AT2705" i="1"/>
  <c r="AT1378" i="1"/>
  <c r="AT2441" i="1"/>
  <c r="AR2644" i="1"/>
  <c r="AS2762" i="1"/>
  <c r="AR2444" i="1"/>
  <c r="AS2733" i="1"/>
  <c r="AS2620" i="1"/>
  <c r="AS3256" i="1"/>
  <c r="AR2760" i="1"/>
  <c r="AS2614" i="1"/>
  <c r="AS1987" i="1"/>
  <c r="AS1982" i="1"/>
  <c r="AR2717" i="1"/>
  <c r="AT2622" i="1"/>
  <c r="AR2433" i="1"/>
  <c r="AT2219" i="1"/>
  <c r="AR3257" i="1"/>
  <c r="AT2631" i="1"/>
  <c r="AS2798" i="1"/>
  <c r="AZ2645" i="1"/>
  <c r="AZ2595" i="1"/>
  <c r="AS2760" i="1"/>
  <c r="AS2396" i="1"/>
  <c r="AR2698" i="1"/>
  <c r="AT1942" i="1"/>
  <c r="AZ2625" i="1"/>
  <c r="AS2427" i="1"/>
  <c r="AZ2005" i="1"/>
  <c r="AR3243" i="1"/>
  <c r="AS2216" i="1"/>
  <c r="AT2768" i="1"/>
  <c r="AR2481" i="1"/>
  <c r="AR2439" i="1"/>
  <c r="AS2288" i="1"/>
  <c r="AR3256" i="1"/>
  <c r="AT2433" i="1"/>
  <c r="AS3243" i="1"/>
  <c r="AT2216" i="1"/>
  <c r="AR2730" i="1"/>
  <c r="AY1965" i="1"/>
  <c r="AS2390" i="1"/>
  <c r="AY2151" i="1"/>
  <c r="AY2085" i="1"/>
  <c r="AS1959" i="1"/>
  <c r="AT2071" i="1"/>
  <c r="AT1994" i="1"/>
  <c r="AS2768" i="1"/>
  <c r="AT2634" i="1"/>
  <c r="AR1963" i="1"/>
  <c r="AZ2697" i="1"/>
  <c r="AT2393" i="1"/>
  <c r="AT2264" i="1"/>
  <c r="AT2228" i="1"/>
  <c r="AS2107" i="1"/>
  <c r="AZ2013" i="1"/>
  <c r="AT2185" i="1"/>
  <c r="AT2643" i="1"/>
  <c r="AT2644" i="1"/>
  <c r="AT2794" i="1"/>
  <c r="AT2594" i="1"/>
  <c r="AY2203" i="1"/>
  <c r="AS2152" i="1"/>
  <c r="AT2152" i="1"/>
  <c r="AT2234" i="1"/>
  <c r="AT2742" i="1"/>
  <c r="AS2444" i="1"/>
  <c r="AT2724" i="1"/>
  <c r="AS2683" i="1"/>
  <c r="AR2221" i="1"/>
  <c r="AZ2232" i="1"/>
  <c r="AT1938" i="1"/>
  <c r="AT2717" i="1"/>
  <c r="AS2634" i="1"/>
  <c r="AR2452" i="1"/>
  <c r="AY2664" i="1"/>
  <c r="AR3251" i="1"/>
  <c r="AT2409" i="1"/>
  <c r="AS1378" i="1"/>
  <c r="AS2730" i="1"/>
  <c r="AZ1970" i="1"/>
  <c r="AS1930" i="1"/>
  <c r="AS11" i="1"/>
  <c r="AZ2527" i="1"/>
  <c r="AR2594" i="1"/>
  <c r="AR2624" i="1"/>
  <c r="AT2481" i="1"/>
  <c r="AS2256" i="1"/>
  <c r="AS2135" i="1"/>
  <c r="AT1959" i="1"/>
  <c r="AR2470" i="1"/>
  <c r="AR2765" i="1"/>
  <c r="AS2228" i="1"/>
  <c r="AR2724" i="1"/>
  <c r="AT2189" i="1"/>
  <c r="AR2107" i="1"/>
  <c r="AR2415" i="1"/>
  <c r="AR2643" i="1"/>
  <c r="AS2794" i="1"/>
  <c r="AT2285" i="1"/>
  <c r="AT2329" i="1"/>
  <c r="AZ2494" i="1"/>
  <c r="AR3266" i="1"/>
  <c r="AS2340" i="1"/>
  <c r="AR1982" i="1"/>
  <c r="AS1660" i="1"/>
  <c r="AT2683" i="1"/>
  <c r="AS2602" i="1"/>
  <c r="AR2393" i="1"/>
  <c r="AY2358" i="1"/>
  <c r="AS1994" i="1"/>
  <c r="AS2698" i="1"/>
  <c r="AR2427" i="1"/>
  <c r="AS2472" i="1"/>
  <c r="AS2300" i="1"/>
  <c r="AY2173" i="1"/>
  <c r="AT3251" i="1"/>
  <c r="AS2734" i="1"/>
  <c r="AS2788" i="1"/>
  <c r="AZ2502" i="1"/>
  <c r="AR2722" i="1"/>
  <c r="AT2339" i="1"/>
  <c r="AZ2206" i="1"/>
  <c r="AR2441" i="1"/>
  <c r="AS2282" i="1"/>
  <c r="AR2189" i="1"/>
  <c r="AR2558" i="1"/>
  <c r="AT1538" i="1"/>
  <c r="AW1940" i="1"/>
  <c r="AW1950" i="1"/>
  <c r="AW2012" i="1"/>
  <c r="AW2031" i="1"/>
  <c r="AW2059" i="1"/>
  <c r="AW2066" i="1"/>
  <c r="AW2079" i="1"/>
  <c r="AW2081" i="1"/>
  <c r="AW2085" i="1"/>
  <c r="AW2098" i="1"/>
  <c r="AW2101" i="1"/>
  <c r="AW2108" i="1"/>
  <c r="AW2113" i="1"/>
  <c r="AW2122" i="1"/>
  <c r="AW2132" i="1"/>
  <c r="AW2161" i="1"/>
  <c r="AW2198" i="1"/>
  <c r="AW2203" i="1"/>
  <c r="AW2213" i="1"/>
  <c r="AW2219" i="1"/>
  <c r="AW2221" i="1"/>
  <c r="AW2246" i="1"/>
  <c r="AW2253" i="1"/>
  <c r="AW2256" i="1"/>
  <c r="AW1942" i="1"/>
  <c r="AW2028" i="1"/>
  <c r="AW2036" i="1"/>
  <c r="AW2076" i="1"/>
  <c r="AW2087" i="1"/>
  <c r="AW2089" i="1"/>
  <c r="AW2091" i="1"/>
  <c r="AW2169" i="1"/>
  <c r="AW2190" i="1"/>
  <c r="AW2193" i="1"/>
  <c r="AW2195" i="1"/>
  <c r="AW2229" i="1"/>
  <c r="AW2240" i="1"/>
  <c r="AW2243" i="1"/>
  <c r="AW2262" i="1"/>
  <c r="AW2268" i="1"/>
  <c r="AW2272" i="1"/>
  <c r="AW2274" i="1"/>
  <c r="AW2277" i="1"/>
  <c r="AW2283" i="1"/>
  <c r="AW2286" i="1"/>
  <c r="AW2288" i="1"/>
  <c r="AW2291" i="1"/>
  <c r="AW2294" i="1"/>
  <c r="AW2300" i="1"/>
  <c r="AW2305" i="1"/>
  <c r="AW2310" i="1"/>
  <c r="AW2319" i="1"/>
  <c r="AW2322" i="1"/>
  <c r="AW2329" i="1"/>
  <c r="AW2332" i="1"/>
  <c r="AW2335" i="1"/>
  <c r="AW2337" i="1"/>
  <c r="AW2340" i="1"/>
  <c r="AW2342" i="1"/>
  <c r="AW2344" i="1"/>
  <c r="AW2357" i="1"/>
  <c r="AW2360" i="1"/>
  <c r="AW2367" i="1"/>
  <c r="AW2375" i="1"/>
  <c r="AW2380" i="1"/>
  <c r="AW2385" i="1"/>
  <c r="AW2393" i="1"/>
  <c r="AW2396" i="1"/>
  <c r="AW2427" i="1"/>
  <c r="AW2433" i="1"/>
  <c r="AW2446" i="1"/>
  <c r="AW2463" i="1"/>
  <c r="AW2465" i="1"/>
  <c r="AW2470" i="1"/>
  <c r="AW2481" i="1"/>
  <c r="AW2490" i="1"/>
  <c r="AW2493" i="1"/>
  <c r="AW2499" i="1"/>
  <c r="AW2501" i="1"/>
  <c r="AW2512" i="1"/>
  <c r="AW2518" i="1"/>
  <c r="AW2521" i="1"/>
  <c r="AW2526" i="1"/>
  <c r="AW2533" i="1"/>
  <c r="AW2541" i="1"/>
  <c r="AW2544" i="1"/>
  <c r="AW2568" i="1"/>
  <c r="AW2581" i="1"/>
  <c r="AW2594" i="1"/>
  <c r="AW2602" i="1"/>
  <c r="AW2614" i="1"/>
  <c r="AW2620" i="1"/>
  <c r="AW2624" i="1"/>
  <c r="AW2631" i="1"/>
  <c r="AW2643" i="1"/>
  <c r="AW2656" i="1"/>
  <c r="AW2660" i="1"/>
  <c r="AW2662" i="1"/>
  <c r="AW2666" i="1"/>
  <c r="AW2668" i="1"/>
  <c r="AW2670" i="1"/>
  <c r="AW2682" i="1"/>
  <c r="AW2688" i="1"/>
  <c r="AW2692" i="1"/>
  <c r="AW2698" i="1"/>
  <c r="AW2702" i="1"/>
  <c r="AW2705" i="1"/>
  <c r="AW2710" i="1"/>
  <c r="AW2717" i="1"/>
  <c r="AW2722" i="1"/>
  <c r="AW2724" i="1"/>
  <c r="AW2730" i="1"/>
  <c r="AW2739" i="1"/>
  <c r="AW2760" i="1"/>
  <c r="AW2765" i="1"/>
  <c r="AW2768" i="1"/>
  <c r="AW2683" i="1"/>
  <c r="AW2530" i="1"/>
  <c r="AR2611" i="1"/>
  <c r="AS2296" i="1"/>
  <c r="AS2401" i="1"/>
  <c r="AT1755" i="1"/>
  <c r="AY2531" i="1"/>
  <c r="AS2706" i="1"/>
  <c r="AZ2333" i="1"/>
  <c r="AR2788" i="1"/>
  <c r="AR1829" i="1"/>
  <c r="AT1829" i="1"/>
  <c r="AS1829" i="1"/>
  <c r="AS1881" i="1"/>
  <c r="AR1881" i="1"/>
  <c r="AR1897" i="1"/>
  <c r="AT1897" i="1"/>
  <c r="AS1897" i="1"/>
  <c r="AR1905" i="1"/>
  <c r="AT1905" i="1"/>
  <c r="AR1945" i="1"/>
  <c r="AT1945" i="1"/>
  <c r="AR1949" i="1"/>
  <c r="AS1949" i="1"/>
  <c r="AZ1967" i="1"/>
  <c r="AY1967" i="1"/>
  <c r="AT1972" i="1"/>
  <c r="AS1972" i="1"/>
  <c r="AR1972" i="1"/>
  <c r="AR2007" i="1"/>
  <c r="AS2007" i="1"/>
  <c r="AT2007" i="1"/>
  <c r="AS2015" i="1"/>
  <c r="AR2015" i="1"/>
  <c r="AT2015" i="1"/>
  <c r="AY2040" i="1"/>
  <c r="AZ2040" i="1"/>
  <c r="AS2047" i="1"/>
  <c r="AR2047" i="1"/>
  <c r="AT2047" i="1"/>
  <c r="AT2054" i="1"/>
  <c r="AR2054" i="1"/>
  <c r="AS2054" i="1"/>
  <c r="AR2068" i="1"/>
  <c r="AS2068" i="1"/>
  <c r="AR2093" i="1"/>
  <c r="AT2093" i="1"/>
  <c r="AT2209" i="1"/>
  <c r="AR2209" i="1"/>
  <c r="AS2209" i="1"/>
  <c r="AR2212" i="1"/>
  <c r="AT2212" i="1"/>
  <c r="AZ2269" i="1"/>
  <c r="AY2269" i="1"/>
  <c r="AZ2280" i="1"/>
  <c r="AY2280" i="1"/>
  <c r="AR2302" i="1"/>
  <c r="AS2302" i="1"/>
  <c r="AT2302" i="1"/>
  <c r="AR2307" i="1"/>
  <c r="AT2307" i="1"/>
  <c r="AS2313" i="1"/>
  <c r="AT2313" i="1"/>
  <c r="AR2315" i="1"/>
  <c r="AT2315" i="1"/>
  <c r="AR2318" i="1"/>
  <c r="AS2318" i="1"/>
  <c r="AT2318" i="1"/>
  <c r="AS2321" i="1"/>
  <c r="AT2321" i="1"/>
  <c r="AS2324" i="1"/>
  <c r="AR2324" i="1"/>
  <c r="AT2324" i="1"/>
  <c r="AS2346" i="1"/>
  <c r="AT2346" i="1"/>
  <c r="AT2348" i="1"/>
  <c r="AS2348" i="1"/>
  <c r="AR2359" i="1"/>
  <c r="AT2359" i="1"/>
  <c r="AS2359" i="1"/>
  <c r="AR2366" i="1"/>
  <c r="AS2366" i="1"/>
  <c r="AS2371" i="1"/>
  <c r="AT2371" i="1"/>
  <c r="AY2378" i="1"/>
  <c r="AZ2378" i="1"/>
  <c r="AY2383" i="1"/>
  <c r="AZ2383" i="1"/>
  <c r="AR2392" i="1"/>
  <c r="AT2392" i="1"/>
  <c r="AS2392" i="1"/>
  <c r="AR2398" i="1"/>
  <c r="AT2398" i="1"/>
  <c r="AR2406" i="1"/>
  <c r="AT2406" i="1"/>
  <c r="AT2411" i="1"/>
  <c r="AS2411" i="1"/>
  <c r="AR2411" i="1"/>
  <c r="AT2417" i="1"/>
  <c r="AR2417" i="1"/>
  <c r="AS2417" i="1"/>
  <c r="AS2421" i="1"/>
  <c r="AR2421" i="1"/>
  <c r="AT2424" i="1"/>
  <c r="AS2424" i="1"/>
  <c r="AR2424" i="1"/>
  <c r="AS2430" i="1"/>
  <c r="AT2430" i="1"/>
  <c r="AR2430" i="1"/>
  <c r="AT2443" i="1"/>
  <c r="AS2443" i="1"/>
  <c r="AR2443" i="1"/>
  <c r="AT2448" i="1"/>
  <c r="AR2448" i="1"/>
  <c r="AY2457" i="1"/>
  <c r="AZ2457" i="1"/>
  <c r="AT2474" i="1"/>
  <c r="AR2474" i="1"/>
  <c r="AS2474" i="1"/>
  <c r="AR2476" i="1"/>
  <c r="AT2476" i="1"/>
  <c r="AS2476" i="1"/>
  <c r="AS2478" i="1"/>
  <c r="AT2478" i="1"/>
  <c r="AT2483" i="1"/>
  <c r="AR2483" i="1"/>
  <c r="AS2483" i="1"/>
  <c r="AY2486" i="1"/>
  <c r="AZ2486" i="1"/>
  <c r="AT2508" i="1"/>
  <c r="AS2508" i="1"/>
  <c r="AR2514" i="1"/>
  <c r="AS2514" i="1"/>
  <c r="AR2517" i="1"/>
  <c r="AT2517" i="1"/>
  <c r="AR2523" i="1"/>
  <c r="AT2523" i="1"/>
  <c r="AS2523" i="1"/>
  <c r="AZ2524" i="1"/>
  <c r="AY2524" i="1"/>
  <c r="AY2529" i="1"/>
  <c r="AZ2529" i="1"/>
  <c r="AT2536" i="1"/>
  <c r="AR2536" i="1"/>
  <c r="AY2548" i="1"/>
  <c r="AZ2548" i="1"/>
  <c r="AZ2566" i="1"/>
  <c r="AY2566" i="1"/>
  <c r="AY2569" i="1"/>
  <c r="AZ2569" i="1"/>
  <c r="AR2573" i="1"/>
  <c r="AT2573" i="1"/>
  <c r="AY2576" i="1"/>
  <c r="AZ2576" i="1"/>
  <c r="AY2592" i="1"/>
  <c r="AZ2592" i="1"/>
  <c r="AY2600" i="1"/>
  <c r="AZ2600" i="1"/>
  <c r="AS2616" i="1"/>
  <c r="AT2616" i="1"/>
  <c r="AT2619" i="1"/>
  <c r="AR2619" i="1"/>
  <c r="AY2640" i="1"/>
  <c r="AZ2640" i="1"/>
  <c r="AS2642" i="1"/>
  <c r="AT2642" i="1"/>
  <c r="AR2642" i="1"/>
  <c r="AY2654" i="1"/>
  <c r="AZ2654" i="1"/>
  <c r="AZ2658" i="1"/>
  <c r="AY2658" i="1"/>
  <c r="AY2686" i="1"/>
  <c r="AZ2686" i="1"/>
  <c r="AZ2693" i="1"/>
  <c r="AY2693" i="1"/>
  <c r="AR2701" i="1"/>
  <c r="AS2701" i="1"/>
  <c r="AR2704" i="1"/>
  <c r="AT2704" i="1"/>
  <c r="AR2753" i="1"/>
  <c r="AT2753" i="1"/>
  <c r="AT2740" i="1"/>
  <c r="AR2740" i="1"/>
  <c r="AS2740" i="1"/>
  <c r="AR2711" i="1"/>
  <c r="AT2711" i="1"/>
  <c r="AS2711" i="1"/>
  <c r="AR2713" i="1"/>
  <c r="AT2713" i="1"/>
  <c r="AS2713" i="1"/>
  <c r="AR2767" i="1"/>
  <c r="AT2767" i="1"/>
  <c r="AT2749" i="1"/>
  <c r="AR2749" i="1"/>
  <c r="AR2793" i="1"/>
  <c r="AS2793" i="1"/>
  <c r="AS2586" i="1"/>
  <c r="AT2586" i="1"/>
  <c r="AR2586" i="1"/>
  <c r="AR2773" i="1"/>
  <c r="AT2773" i="1"/>
  <c r="AR2777" i="1"/>
  <c r="AS2777" i="1"/>
  <c r="AR3236" i="1"/>
  <c r="AT3236" i="1"/>
  <c r="AT3241" i="1"/>
  <c r="AS3241" i="1"/>
  <c r="AS3244" i="1"/>
  <c r="AT3244" i="1"/>
  <c r="AT3260" i="1"/>
  <c r="AR3260" i="1"/>
  <c r="AS3260" i="1"/>
  <c r="AT3265" i="1"/>
  <c r="AS3265" i="1"/>
  <c r="AR3265" i="1"/>
  <c r="AS3279" i="1"/>
  <c r="AT3279" i="1"/>
  <c r="AR1761" i="1"/>
  <c r="AT1761" i="1"/>
  <c r="AS1761" i="1"/>
  <c r="AT1777" i="1"/>
  <c r="AS1777" i="1"/>
  <c r="AS1813" i="1"/>
  <c r="AT1813" i="1"/>
  <c r="AS1841" i="1"/>
  <c r="AR1841" i="1"/>
  <c r="AS1865" i="1"/>
  <c r="AR1865" i="1"/>
  <c r="AR1877" i="1"/>
  <c r="AS1877" i="1"/>
  <c r="AR1889" i="1"/>
  <c r="AS1889" i="1"/>
  <c r="AR1901" i="1"/>
  <c r="AT1901" i="1"/>
  <c r="AR1909" i="1"/>
  <c r="AS1909" i="1"/>
  <c r="AR1917" i="1"/>
  <c r="AS1917" i="1"/>
  <c r="AR1933" i="1"/>
  <c r="AS1933" i="1"/>
  <c r="AT1947" i="1"/>
  <c r="AS1947" i="1"/>
  <c r="AR1947" i="1"/>
  <c r="AT2009" i="1"/>
  <c r="AS2009" i="1"/>
  <c r="AR2009" i="1"/>
  <c r="AR2033" i="1"/>
  <c r="AS2033" i="1"/>
  <c r="AS2045" i="1"/>
  <c r="AR2045" i="1"/>
  <c r="AS2056" i="1"/>
  <c r="AT2056" i="1"/>
  <c r="AT2171" i="1"/>
  <c r="AR2171" i="1"/>
  <c r="AR2201" i="1"/>
  <c r="AT2201" i="1"/>
  <c r="AS2215" i="1"/>
  <c r="AT2215" i="1"/>
  <c r="AR2218" i="1"/>
  <c r="AS2218" i="1"/>
  <c r="AR2223" i="1"/>
  <c r="AS2223" i="1"/>
  <c r="AT2223" i="1"/>
  <c r="AZ2231" i="1"/>
  <c r="AY2231" i="1"/>
  <c r="AT2236" i="1"/>
  <c r="AR2236" i="1"/>
  <c r="AT2245" i="1"/>
  <c r="AS2245" i="1"/>
  <c r="AR2252" i="1"/>
  <c r="AS2252" i="1"/>
  <c r="AT2252" i="1"/>
  <c r="AT1933" i="1"/>
  <c r="AY2637" i="1"/>
  <c r="AS2236" i="1"/>
  <c r="AR2296" i="1"/>
  <c r="AS2093" i="1"/>
  <c r="AS2536" i="1"/>
  <c r="AR2321" i="1"/>
  <c r="AS2611" i="1"/>
  <c r="AZ2679" i="1"/>
  <c r="AZ2534" i="1"/>
  <c r="AR2245" i="1"/>
  <c r="AY2275" i="1"/>
  <c r="AT1909" i="1"/>
  <c r="AR831" i="1"/>
  <c r="AS831" i="1"/>
  <c r="AS943" i="1"/>
  <c r="AT943" i="1"/>
  <c r="AT975" i="1"/>
  <c r="AS975" i="1"/>
  <c r="AT983" i="1"/>
  <c r="AS983" i="1"/>
  <c r="AS1853" i="1"/>
  <c r="AR1853" i="1"/>
  <c r="AR1813" i="1"/>
  <c r="AR2348" i="1"/>
  <c r="AT1952" i="1"/>
  <c r="AZ2308" i="1"/>
  <c r="AS2406" i="1"/>
  <c r="AZ2479" i="1"/>
  <c r="AT1853" i="1"/>
  <c r="AS2704" i="1"/>
  <c r="AT1737" i="1"/>
  <c r="AR1737" i="1"/>
  <c r="AS1737" i="1"/>
  <c r="AT1745" i="1"/>
  <c r="AS1745" i="1"/>
  <c r="AR1745" i="1"/>
  <c r="AT1806" i="1"/>
  <c r="AR1806" i="1"/>
  <c r="AS1806" i="1"/>
  <c r="AT1821" i="1"/>
  <c r="AS1821" i="1"/>
  <c r="AT1837" i="1"/>
  <c r="AS1837" i="1"/>
  <c r="AT1849" i="1"/>
  <c r="AS1849" i="1"/>
  <c r="AS1873" i="1"/>
  <c r="AT1873" i="1"/>
  <c r="AR1873" i="1"/>
  <c r="AR1893" i="1"/>
  <c r="AT1893" i="1"/>
  <c r="AS1893" i="1"/>
  <c r="AS1921" i="1"/>
  <c r="AT1921" i="1"/>
  <c r="AR1969" i="1"/>
  <c r="AT1969" i="1"/>
  <c r="AZ2002" i="1"/>
  <c r="AZ2037" i="1"/>
  <c r="AR2346" i="1"/>
  <c r="AS1901" i="1"/>
  <c r="AY2542" i="1"/>
  <c r="AS2619" i="1"/>
  <c r="AT2514" i="1"/>
  <c r="AR2313" i="1"/>
  <c r="AY1992" i="1"/>
  <c r="AT2033" i="1"/>
  <c r="AR2371" i="1"/>
  <c r="AS2201" i="1"/>
  <c r="AT1917" i="1"/>
  <c r="AR1821" i="1"/>
  <c r="AR1849" i="1"/>
  <c r="AT2538" i="1"/>
  <c r="AR1921" i="1"/>
  <c r="AS1969" i="1"/>
  <c r="AS1905" i="1"/>
  <c r="AT1889" i="1"/>
  <c r="AS2307" i="1"/>
  <c r="AR2215" i="1"/>
  <c r="AZ2077" i="1"/>
  <c r="AY2029" i="1"/>
  <c r="AY2167" i="1"/>
  <c r="AR2706" i="1"/>
  <c r="AS1952" i="1"/>
  <c r="AY2230" i="1"/>
  <c r="AR1925" i="1"/>
  <c r="AT1841" i="1"/>
  <c r="AR2538" i="1"/>
  <c r="AS2605" i="1"/>
  <c r="AZ2069" i="1"/>
  <c r="AT2063" i="1"/>
  <c r="AS2517" i="1"/>
  <c r="AR2508" i="1"/>
  <c r="AT1925" i="1"/>
  <c r="AT1793" i="1"/>
  <c r="AR1793" i="1"/>
  <c r="AS1793" i="1"/>
  <c r="AR1801" i="1"/>
  <c r="AS1801" i="1"/>
  <c r="AT1801" i="1"/>
  <c r="AR1817" i="1"/>
  <c r="AT1817" i="1"/>
  <c r="AS1817" i="1"/>
  <c r="AR1833" i="1"/>
  <c r="AT1833" i="1"/>
  <c r="AT1845" i="1"/>
  <c r="AR1845" i="1"/>
  <c r="AS1869" i="1"/>
  <c r="AR1869" i="1"/>
  <c r="AS1885" i="1"/>
  <c r="AT1885" i="1"/>
  <c r="AR1913" i="1"/>
  <c r="AT1913" i="1"/>
  <c r="AT2068" i="1"/>
  <c r="AT1881" i="1"/>
  <c r="AR2056" i="1"/>
  <c r="AT1949" i="1"/>
  <c r="AT1877" i="1"/>
  <c r="AR2605" i="1"/>
  <c r="AR2401" i="1"/>
  <c r="AS2448" i="1"/>
  <c r="AZ2144" i="1"/>
  <c r="AT2110" i="1"/>
  <c r="AS2398" i="1"/>
  <c r="AS2171" i="1"/>
  <c r="AR2063" i="1"/>
  <c r="AZ2674" i="1"/>
  <c r="AR1777" i="1"/>
  <c r="AZ2149" i="1"/>
  <c r="AT1865" i="1"/>
  <c r="AS2315" i="1"/>
  <c r="AT2045" i="1"/>
  <c r="AR2616" i="1"/>
  <c r="AY2265" i="1"/>
  <c r="AS2212" i="1"/>
  <c r="AT1235" i="1"/>
  <c r="AT1171" i="1"/>
  <c r="AS1183" i="1"/>
  <c r="AT1428" i="1"/>
  <c r="AS1440" i="1"/>
  <c r="AT1396" i="1"/>
  <c r="AS1408" i="1"/>
  <c r="AR427" i="1"/>
  <c r="AS439" i="1"/>
  <c r="AW1701" i="1"/>
  <c r="AW2261" i="1"/>
  <c r="AW2315" i="1"/>
  <c r="AW2326" i="1"/>
  <c r="AW2331" i="1"/>
  <c r="AW2681" i="1"/>
  <c r="AW2685" i="1"/>
  <c r="AW2695" i="1"/>
  <c r="AS743" i="1"/>
  <c r="AT2214" i="1"/>
  <c r="AT1490" i="1"/>
  <c r="AR983" i="1"/>
  <c r="AT407" i="1"/>
  <c r="AT471" i="1"/>
  <c r="AR959" i="1"/>
  <c r="AR1830" i="1"/>
  <c r="AT971" i="1"/>
  <c r="AR975" i="1"/>
  <c r="AT231" i="1"/>
  <c r="AS455" i="1"/>
  <c r="AT1016" i="1"/>
  <c r="AR815" i="1"/>
  <c r="AS711" i="1"/>
  <c r="AR599" i="1"/>
  <c r="AS1714" i="1"/>
  <c r="AS1687" i="1"/>
  <c r="AS1654" i="1"/>
  <c r="AT1622" i="1"/>
  <c r="AT1558" i="1"/>
  <c r="AT1494" i="1"/>
  <c r="AT1457" i="1"/>
  <c r="AT1424" i="1"/>
  <c r="AT1392" i="1"/>
  <c r="AT1231" i="1"/>
  <c r="AT1199" i="1"/>
  <c r="AT1167" i="1"/>
  <c r="AR1706" i="1"/>
  <c r="AT1650" i="1"/>
  <c r="AR1582" i="1"/>
  <c r="AR1518" i="1"/>
  <c r="AS1469" i="1"/>
  <c r="AS1436" i="1"/>
  <c r="AS1404" i="1"/>
  <c r="AS1243" i="1"/>
  <c r="AS1211" i="1"/>
  <c r="AS1179" i="1"/>
  <c r="AS1674" i="1"/>
  <c r="AS1642" i="1"/>
  <c r="AR1602" i="1"/>
  <c r="AR1530" i="1"/>
  <c r="AT1586" i="1"/>
  <c r="AT1506" i="1"/>
  <c r="AT1578" i="1"/>
  <c r="AT855" i="1"/>
  <c r="AT1550" i="1"/>
  <c r="AT1195" i="1"/>
  <c r="AR1510" i="1"/>
  <c r="AS1175" i="1"/>
  <c r="AR1522" i="1"/>
  <c r="AT735" i="1"/>
  <c r="AS1709" i="1"/>
  <c r="AT1614" i="1"/>
  <c r="AT1388" i="1"/>
  <c r="AT1163" i="1"/>
  <c r="AT1642" i="1"/>
  <c r="AR1586" i="1"/>
  <c r="AS1506" i="1"/>
  <c r="AT478" i="1"/>
  <c r="AS1562" i="1"/>
  <c r="AT1790" i="1"/>
  <c r="AY2332" i="1"/>
  <c r="AS967" i="1"/>
  <c r="AR455" i="1"/>
  <c r="AS551" i="1"/>
  <c r="AT363" i="1"/>
  <c r="AR559" i="1"/>
  <c r="AT815" i="1"/>
  <c r="AT119" i="1"/>
  <c r="AT847" i="1"/>
  <c r="AT674" i="1"/>
  <c r="AT2400" i="1"/>
  <c r="AS1678" i="1"/>
  <c r="AS1646" i="1"/>
  <c r="AT1606" i="1"/>
  <c r="AT1542" i="1"/>
  <c r="AT1480" i="1"/>
  <c r="AT1449" i="1"/>
  <c r="AT1416" i="1"/>
  <c r="AT1384" i="1"/>
  <c r="AT1223" i="1"/>
  <c r="AT1191" i="1"/>
  <c r="AT1690" i="1"/>
  <c r="AT1634" i="1"/>
  <c r="AR1566" i="1"/>
  <c r="AR1502" i="1"/>
  <c r="AS1461" i="1"/>
  <c r="AS1428" i="1"/>
  <c r="AS1396" i="1"/>
  <c r="AS1235" i="1"/>
  <c r="AS1203" i="1"/>
  <c r="AS1171" i="1"/>
  <c r="AS1666" i="1"/>
  <c r="AS1634" i="1"/>
  <c r="AR1578" i="1"/>
  <c r="AR1514" i="1"/>
  <c r="AT1554" i="1"/>
  <c r="AS1514" i="1"/>
  <c r="AT1530" i="1"/>
  <c r="AT503" i="1"/>
  <c r="AT1453" i="1"/>
  <c r="AS1432" i="1"/>
  <c r="AS478" i="1"/>
  <c r="AR2211" i="1"/>
  <c r="AS2211" i="1"/>
  <c r="AR743" i="1"/>
  <c r="AR471" i="1"/>
  <c r="AT447" i="1"/>
  <c r="AS783" i="1"/>
  <c r="AT783" i="1"/>
  <c r="AT139" i="1"/>
  <c r="AR735" i="1"/>
  <c r="AR459" i="1"/>
  <c r="AR2480" i="1"/>
  <c r="AR1678" i="1"/>
  <c r="AR1646" i="1"/>
  <c r="AT1598" i="1"/>
  <c r="AT1534" i="1"/>
  <c r="AT1476" i="1"/>
  <c r="AT1445" i="1"/>
  <c r="AT1412" i="1"/>
  <c r="AT1380" i="1"/>
  <c r="AT1219" i="1"/>
  <c r="AT1187" i="1"/>
  <c r="AT1682" i="1"/>
  <c r="AR1622" i="1"/>
  <c r="AR1558" i="1"/>
  <c r="AR1494" i="1"/>
  <c r="AS1457" i="1"/>
  <c r="AS1424" i="1"/>
  <c r="AS1392" i="1"/>
  <c r="AS1231" i="1"/>
  <c r="AS1199" i="1"/>
  <c r="AS1167" i="1"/>
  <c r="AR1666" i="1"/>
  <c r="AY1704" i="1"/>
  <c r="AR1570" i="1"/>
  <c r="AS1554" i="1"/>
  <c r="AT1562" i="1"/>
  <c r="AR967" i="1"/>
  <c r="AR1654" i="1"/>
  <c r="AT1226" i="1"/>
  <c r="AR1574" i="1"/>
  <c r="AS1239" i="1"/>
  <c r="AR71" i="1"/>
  <c r="AS171" i="1"/>
  <c r="AT639" i="1"/>
  <c r="AR971" i="1"/>
  <c r="AT1774" i="1"/>
  <c r="AT511" i="1"/>
  <c r="AT759" i="1"/>
  <c r="AT711" i="1"/>
  <c r="AT2445" i="1"/>
  <c r="AS1670" i="1"/>
  <c r="AS1638" i="1"/>
  <c r="AT1590" i="1"/>
  <c r="AT1526" i="1"/>
  <c r="AT1472" i="1"/>
  <c r="AT1440" i="1"/>
  <c r="AT1408" i="1"/>
  <c r="AT1376" i="1"/>
  <c r="AT1215" i="1"/>
  <c r="AT1183" i="1"/>
  <c r="AT1674" i="1"/>
  <c r="AR1614" i="1"/>
  <c r="AR1550" i="1"/>
  <c r="AS1484" i="1"/>
  <c r="AS1453" i="1"/>
  <c r="AS1420" i="1"/>
  <c r="AS1388" i="1"/>
  <c r="AS1226" i="1"/>
  <c r="AS1195" i="1"/>
  <c r="AS1690" i="1"/>
  <c r="AS1658" i="1"/>
  <c r="AR1498" i="1"/>
  <c r="AT1714" i="1"/>
  <c r="AT2751" i="1"/>
  <c r="AT1618" i="1"/>
  <c r="AT1709" i="1"/>
  <c r="AT1522" i="1"/>
  <c r="AT1546" i="1"/>
  <c r="AT267" i="1"/>
  <c r="AR687" i="1"/>
  <c r="AT1484" i="1"/>
  <c r="AS1400" i="1"/>
  <c r="AT371" i="1"/>
  <c r="AR1670" i="1"/>
  <c r="AR1638" i="1"/>
  <c r="AT1582" i="1"/>
  <c r="AT1518" i="1"/>
  <c r="AT1469" i="1"/>
  <c r="AT1436" i="1"/>
  <c r="AT1404" i="1"/>
  <c r="AT1243" i="1"/>
  <c r="AT1211" i="1"/>
  <c r="AT1179" i="1"/>
  <c r="AR1606" i="1"/>
  <c r="AR1542" i="1"/>
  <c r="AS1480" i="1"/>
  <c r="AS1449" i="1"/>
  <c r="AS1416" i="1"/>
  <c r="AS1384" i="1"/>
  <c r="AS1223" i="1"/>
  <c r="AS1191" i="1"/>
  <c r="AR1490" i="1"/>
  <c r="AS1618" i="1"/>
  <c r="AT1602" i="1"/>
  <c r="AR2766" i="1"/>
  <c r="AS1814" i="1"/>
  <c r="AS727" i="1"/>
  <c r="AR1687" i="1"/>
  <c r="AT1420" i="1"/>
  <c r="AS1465" i="1"/>
  <c r="AS1207" i="1"/>
  <c r="AT831" i="1"/>
  <c r="AR679" i="1"/>
  <c r="AS2214" i="1"/>
  <c r="AR439" i="1"/>
  <c r="AR483" i="1"/>
  <c r="AT663" i="1"/>
  <c r="AR943" i="1"/>
  <c r="AR503" i="1"/>
  <c r="AS511" i="1"/>
  <c r="AR2471" i="1"/>
  <c r="AR2343" i="1"/>
  <c r="AS1694" i="1"/>
  <c r="AS1662" i="1"/>
  <c r="AS1628" i="1"/>
  <c r="AT1574" i="1"/>
  <c r="AT1510" i="1"/>
  <c r="AT1465" i="1"/>
  <c r="AT1432" i="1"/>
  <c r="AT1400" i="1"/>
  <c r="AT1239" i="1"/>
  <c r="AT1207" i="1"/>
  <c r="AT1175" i="1"/>
  <c r="AR1598" i="1"/>
  <c r="AR1534" i="1"/>
  <c r="AS1476" i="1"/>
  <c r="AS1445" i="1"/>
  <c r="AS1412" i="1"/>
  <c r="AS1380" i="1"/>
  <c r="AS1219" i="1"/>
  <c r="AS1187" i="1"/>
  <c r="AR1546" i="1"/>
  <c r="AT29" i="1"/>
  <c r="AW2038" i="1"/>
  <c r="AT25" i="1"/>
  <c r="AR1965" i="1"/>
  <c r="AR39" i="1"/>
  <c r="AR1702" i="1"/>
  <c r="AS1702" i="1"/>
  <c r="AT23" i="1"/>
  <c r="AT39" i="1"/>
  <c r="AS12" i="1"/>
  <c r="AY46" i="1"/>
  <c r="AT30" i="1"/>
  <c r="AT44" i="1"/>
  <c r="AR31" i="1"/>
  <c r="AS1547" i="1"/>
  <c r="AT12" i="1"/>
  <c r="AR1503" i="1"/>
  <c r="AR35" i="1"/>
  <c r="AT33" i="1"/>
  <c r="AT26" i="1"/>
  <c r="AR26" i="1"/>
  <c r="AS43" i="1"/>
  <c r="AS41" i="1"/>
  <c r="AR37" i="1"/>
  <c r="AT43" i="1"/>
  <c r="AS29" i="1"/>
  <c r="AR33" i="1"/>
  <c r="AT41" i="1"/>
  <c r="AS25" i="1"/>
  <c r="AT37" i="1"/>
  <c r="AY15" i="1"/>
  <c r="AW1973" i="1"/>
  <c r="AW1988" i="1"/>
  <c r="AW2008" i="1"/>
  <c r="AW2013" i="1"/>
  <c r="AW2048" i="1"/>
  <c r="AW2072" i="1"/>
  <c r="AW2104" i="1"/>
  <c r="AW2136" i="1"/>
  <c r="AW2144" i="1"/>
  <c r="AW2147" i="1"/>
  <c r="AW2153" i="1"/>
  <c r="AW2156" i="1"/>
  <c r="AW2159" i="1"/>
  <c r="AW2164" i="1"/>
  <c r="AW2167" i="1"/>
  <c r="AW2592" i="1"/>
  <c r="AW2600" i="1"/>
  <c r="AW1486" i="1"/>
  <c r="AY2139" i="1"/>
  <c r="AY1978" i="1"/>
  <c r="AR2130" i="1"/>
  <c r="AT2113" i="1"/>
  <c r="AT2085" i="1"/>
  <c r="AS2130" i="1"/>
  <c r="AT2161" i="1"/>
  <c r="AS2113" i="1"/>
  <c r="AT1828" i="1"/>
  <c r="AT1581" i="1"/>
  <c r="AT2198" i="1"/>
  <c r="AT1363" i="1"/>
  <c r="AZ2554" i="1"/>
  <c r="AR1569" i="1"/>
  <c r="AR1836" i="1"/>
  <c r="AR2083" i="1"/>
  <c r="AT1756" i="1"/>
  <c r="AT1006" i="1"/>
  <c r="AS2085" i="1"/>
  <c r="AR490" i="1"/>
  <c r="AR694" i="1"/>
  <c r="AR1950" i="1"/>
  <c r="AT1950" i="1"/>
  <c r="AY2020" i="1"/>
  <c r="AR1744" i="1"/>
  <c r="AS1509" i="1"/>
  <c r="AS774" i="1"/>
  <c r="AT1697" i="1"/>
  <c r="AS2081" i="1"/>
  <c r="AS2203" i="1"/>
  <c r="AT2122" i="1"/>
  <c r="AT2179" i="1"/>
  <c r="AR2436" i="1"/>
  <c r="AT1270" i="1"/>
  <c r="AS1411" i="1"/>
  <c r="AR2081" i="1"/>
  <c r="AT338" i="1"/>
  <c r="AR678" i="1"/>
  <c r="AR774" i="1"/>
  <c r="AR1006" i="1"/>
  <c r="AR1581" i="1"/>
  <c r="AR150" i="1"/>
  <c r="AR718" i="1"/>
  <c r="AT598" i="1"/>
  <c r="AR1908" i="1"/>
  <c r="AT1904" i="1"/>
  <c r="AR2059" i="1"/>
  <c r="AT1206" i="1"/>
  <c r="AS1323" i="1"/>
  <c r="AT1379" i="1"/>
  <c r="AS1545" i="1"/>
  <c r="AR614" i="1"/>
  <c r="AT1386" i="1"/>
  <c r="AT1509" i="1"/>
  <c r="AR358" i="1"/>
  <c r="AS886" i="1"/>
  <c r="AS694" i="1"/>
  <c r="AR1697" i="1"/>
  <c r="AR1955" i="1"/>
  <c r="AR1900" i="1"/>
  <c r="AR1752" i="1"/>
  <c r="AT1202" i="1"/>
  <c r="AR1315" i="1"/>
  <c r="AT1307" i="1"/>
  <c r="AS1162" i="1"/>
  <c r="AS1018" i="1"/>
  <c r="AR1018" i="1"/>
  <c r="AS1078" i="1"/>
  <c r="AT1497" i="1"/>
  <c r="AR1573" i="1"/>
  <c r="AT1677" i="1"/>
  <c r="AT1154" i="1"/>
  <c r="AR1423" i="1"/>
  <c r="AW1703" i="1"/>
  <c r="AS1497" i="1"/>
  <c r="AS1573" i="1"/>
  <c r="AT2066" i="1"/>
  <c r="AS1327" i="1"/>
  <c r="AR886" i="1"/>
  <c r="AR686" i="1"/>
  <c r="AT1174" i="1"/>
  <c r="AT614" i="1"/>
  <c r="AS1489" i="1"/>
  <c r="AS718" i="1"/>
  <c r="AY1968" i="1"/>
  <c r="AR1896" i="1"/>
  <c r="AR1999" i="1"/>
  <c r="AT1399" i="1"/>
  <c r="AT1262" i="1"/>
  <c r="AR1174" i="1"/>
  <c r="AR1078" i="1"/>
  <c r="AT20" i="1"/>
  <c r="AT1489" i="1"/>
  <c r="AS338" i="1"/>
  <c r="AS1896" i="1"/>
  <c r="AT1999" i="1"/>
  <c r="AT1335" i="1"/>
  <c r="AR1407" i="1"/>
  <c r="AR1290" i="1"/>
  <c r="AR9" i="1"/>
  <c r="AT1258" i="1"/>
  <c r="AR1561" i="1"/>
  <c r="AS32" i="1"/>
  <c r="AT24" i="1"/>
  <c r="AS28" i="1"/>
  <c r="AS27" i="1"/>
  <c r="AT27" i="1"/>
  <c r="AS44" i="1"/>
  <c r="AR24" i="1"/>
  <c r="AY3" i="1"/>
  <c r="AR22" i="1"/>
  <c r="AT11" i="1"/>
  <c r="AS22" i="1"/>
  <c r="AT32" i="1"/>
  <c r="AS30" i="1"/>
  <c r="AT28" i="1"/>
  <c r="AZ14" i="1"/>
  <c r="AS34" i="1"/>
  <c r="AR271" i="1"/>
  <c r="AR699" i="1"/>
  <c r="AS227" i="1"/>
  <c r="AT91" i="1"/>
  <c r="AT115" i="1"/>
  <c r="AT1498" i="1"/>
  <c r="AT199" i="1"/>
  <c r="AT307" i="1"/>
  <c r="AR2" i="1"/>
  <c r="AT71" i="1"/>
  <c r="AT219" i="1"/>
  <c r="AT183" i="1"/>
  <c r="AT211" i="1"/>
  <c r="AT1011" i="1"/>
  <c r="AR1023" i="1"/>
  <c r="AZ47" i="1"/>
  <c r="AS95" i="1"/>
  <c r="AT207" i="1"/>
  <c r="AT51" i="1"/>
  <c r="AW44" i="1"/>
  <c r="AZ5" i="1"/>
  <c r="AY5" i="1"/>
  <c r="AS55" i="1"/>
  <c r="AR55" i="1"/>
  <c r="AS59" i="1"/>
  <c r="AT59" i="1"/>
  <c r="AS63" i="1"/>
  <c r="AT63" i="1"/>
  <c r="AS83" i="1"/>
  <c r="AR83" i="1"/>
  <c r="AS103" i="1"/>
  <c r="AR103" i="1"/>
  <c r="AT103" i="1"/>
  <c r="AR107" i="1"/>
  <c r="AS107" i="1"/>
  <c r="AR111" i="1"/>
  <c r="AT111" i="1"/>
  <c r="AR123" i="1"/>
  <c r="AS123" i="1"/>
  <c r="AT123" i="1"/>
  <c r="AR127" i="1"/>
  <c r="AT127" i="1"/>
  <c r="AR131" i="1"/>
  <c r="AS131" i="1"/>
  <c r="AT131" i="1"/>
  <c r="AR143" i="1"/>
  <c r="AS143" i="1"/>
  <c r="AR155" i="1"/>
  <c r="AS155" i="1"/>
  <c r="AR159" i="1"/>
  <c r="AT159" i="1"/>
  <c r="AR163" i="1"/>
  <c r="AT163" i="1"/>
  <c r="AS163" i="1"/>
  <c r="AR167" i="1"/>
  <c r="AT167" i="1"/>
  <c r="AR179" i="1"/>
  <c r="AS179" i="1"/>
  <c r="AT179" i="1"/>
  <c r="AR191" i="1"/>
  <c r="AS191" i="1"/>
  <c r="AT191" i="1"/>
  <c r="AS195" i="1"/>
  <c r="AR195" i="1"/>
  <c r="AR223" i="1"/>
  <c r="AS223" i="1"/>
  <c r="AR235" i="1"/>
  <c r="AS235" i="1"/>
  <c r="AR243" i="1"/>
  <c r="AS243" i="1"/>
  <c r="AS247" i="1"/>
  <c r="AR247" i="1"/>
  <c r="AR251" i="1"/>
  <c r="AT251" i="1"/>
  <c r="AS251" i="1"/>
  <c r="AS259" i="1"/>
  <c r="AR259" i="1"/>
  <c r="AT259" i="1"/>
  <c r="AS263" i="1"/>
  <c r="AR263" i="1"/>
  <c r="AS275" i="1"/>
  <c r="AT275" i="1"/>
  <c r="AS283" i="1"/>
  <c r="AR283" i="1"/>
  <c r="AR291" i="1"/>
  <c r="AS291" i="1"/>
  <c r="AS299" i="1"/>
  <c r="AR299" i="1"/>
  <c r="AT299" i="1"/>
  <c r="AR315" i="1"/>
  <c r="AS315" i="1"/>
  <c r="AT315" i="1"/>
  <c r="AR323" i="1"/>
  <c r="AS323" i="1"/>
  <c r="AS335" i="1"/>
  <c r="AR335" i="1"/>
  <c r="AR339" i="1"/>
  <c r="AT339" i="1"/>
  <c r="AS339" i="1"/>
  <c r="AR347" i="1"/>
  <c r="AS347" i="1"/>
  <c r="AR355" i="1"/>
  <c r="AS355" i="1"/>
  <c r="AS359" i="1"/>
  <c r="AR359" i="1"/>
  <c r="AS375" i="1"/>
  <c r="AR375" i="1"/>
  <c r="AR395" i="1"/>
  <c r="AT395" i="1"/>
  <c r="AS395" i="1"/>
  <c r="AR399" i="1"/>
  <c r="AS399" i="1"/>
  <c r="AR415" i="1"/>
  <c r="AS415" i="1"/>
  <c r="AS419" i="1"/>
  <c r="AR419" i="1"/>
  <c r="AT419" i="1"/>
  <c r="AS431" i="1"/>
  <c r="AT431" i="1"/>
  <c r="AS435" i="1"/>
  <c r="AT435" i="1"/>
  <c r="AS451" i="1"/>
  <c r="AR451" i="1"/>
  <c r="AR463" i="1"/>
  <c r="AS463" i="1"/>
  <c r="AS487" i="1"/>
  <c r="AR487" i="1"/>
  <c r="AS495" i="1"/>
  <c r="AT495" i="1"/>
  <c r="AR495" i="1"/>
  <c r="AT515" i="1"/>
  <c r="AR515" i="1"/>
  <c r="AR527" i="1"/>
  <c r="AS527" i="1"/>
  <c r="AR535" i="1"/>
  <c r="AS535" i="1"/>
  <c r="AS543" i="1"/>
  <c r="AT543" i="1"/>
  <c r="AT555" i="1"/>
  <c r="AS555" i="1"/>
  <c r="AS563" i="1"/>
  <c r="AR563" i="1"/>
  <c r="AS567" i="1"/>
  <c r="AR567" i="1"/>
  <c r="AS575" i="1"/>
  <c r="AT575" i="1"/>
  <c r="AS595" i="1"/>
  <c r="AR595" i="1"/>
  <c r="AR667" i="1"/>
  <c r="AT667" i="1"/>
  <c r="AS691" i="1"/>
  <c r="AT691" i="1"/>
  <c r="AR691" i="1"/>
  <c r="AS695" i="1"/>
  <c r="AT695" i="1"/>
  <c r="AT715" i="1"/>
  <c r="AR715" i="1"/>
  <c r="AR719" i="1"/>
  <c r="AT719" i="1"/>
  <c r="AS747" i="1"/>
  <c r="AR747" i="1"/>
  <c r="AT751" i="1"/>
  <c r="AS751" i="1"/>
  <c r="AR751" i="1"/>
  <c r="AR775" i="1"/>
  <c r="AT775" i="1"/>
  <c r="AS779" i="1"/>
  <c r="AT779" i="1"/>
  <c r="AR779" i="1"/>
  <c r="AT799" i="1"/>
  <c r="AR799" i="1"/>
  <c r="AS799" i="1"/>
  <c r="AS803" i="1"/>
  <c r="AT803" i="1"/>
  <c r="AS811" i="1"/>
  <c r="AR811" i="1"/>
  <c r="AR819" i="1"/>
  <c r="AS819" i="1"/>
  <c r="AT819" i="1"/>
  <c r="AS835" i="1"/>
  <c r="AT835" i="1"/>
  <c r="AR835" i="1"/>
  <c r="AS851" i="1"/>
  <c r="AR851" i="1"/>
  <c r="AR859" i="1"/>
  <c r="AS859" i="1"/>
  <c r="AT859" i="1"/>
  <c r="AT903" i="1"/>
  <c r="AS903" i="1"/>
  <c r="AS907" i="1"/>
  <c r="AR907" i="1"/>
  <c r="AR919" i="1"/>
  <c r="AT919" i="1"/>
  <c r="AT923" i="1"/>
  <c r="AR923" i="1"/>
  <c r="AS931" i="1"/>
  <c r="AT931" i="1"/>
  <c r="AR947" i="1"/>
  <c r="AS947" i="1"/>
  <c r="AT947" i="1"/>
  <c r="AR955" i="1"/>
  <c r="AT955" i="1"/>
  <c r="AS955" i="1"/>
  <c r="AS963" i="1"/>
  <c r="AT963" i="1"/>
  <c r="AR979" i="1"/>
  <c r="AS979" i="1"/>
  <c r="AS989" i="1"/>
  <c r="AT989" i="1"/>
  <c r="AR989" i="1"/>
  <c r="AT991" i="1"/>
  <c r="AS991" i="1"/>
  <c r="AR995" i="1"/>
  <c r="AT995" i="1"/>
  <c r="AR1007" i="1"/>
  <c r="AS1007" i="1"/>
  <c r="AR1019" i="1"/>
  <c r="AS1019" i="1"/>
  <c r="AT1027" i="1"/>
  <c r="AS1027" i="1"/>
  <c r="AT1031" i="1"/>
  <c r="AS1031" i="1"/>
  <c r="AR1035" i="1"/>
  <c r="AS1035" i="1"/>
  <c r="AT1035" i="1"/>
  <c r="AR1043" i="1"/>
  <c r="AS1043" i="1"/>
  <c r="AR1059" i="1"/>
  <c r="AS1059" i="1"/>
  <c r="AR1063" i="1"/>
  <c r="AT1063" i="1"/>
  <c r="AR1067" i="1"/>
  <c r="AS1067" i="1"/>
  <c r="AR1071" i="1"/>
  <c r="AT1071" i="1"/>
  <c r="AR1075" i="1"/>
  <c r="AS1075" i="1"/>
  <c r="AT1075" i="1"/>
  <c r="AR1079" i="1"/>
  <c r="AS1079" i="1"/>
  <c r="AT1079" i="1"/>
  <c r="AR1083" i="1"/>
  <c r="AS1083" i="1"/>
  <c r="AR1087" i="1"/>
  <c r="AT1087" i="1"/>
  <c r="AR1091" i="1"/>
  <c r="AS1091" i="1"/>
  <c r="AR1095" i="1"/>
  <c r="AT1095" i="1"/>
  <c r="AR1099" i="1"/>
  <c r="AS1099" i="1"/>
  <c r="AR1103" i="1"/>
  <c r="AT1103" i="1"/>
  <c r="AR1107" i="1"/>
  <c r="AS1107" i="1"/>
  <c r="AT1107" i="1"/>
  <c r="AR1111" i="1"/>
  <c r="AS1111" i="1"/>
  <c r="AT1111" i="1"/>
  <c r="AR1115" i="1"/>
  <c r="AS1115" i="1"/>
  <c r="AR1119" i="1"/>
  <c r="AT1119" i="1"/>
  <c r="AR1123" i="1"/>
  <c r="AS1123" i="1"/>
  <c r="AR1127" i="1"/>
  <c r="AT1127" i="1"/>
  <c r="AR1131" i="1"/>
  <c r="AS1131" i="1"/>
  <c r="AR1135" i="1"/>
  <c r="AT1135" i="1"/>
  <c r="AR1139" i="1"/>
  <c r="AS1139" i="1"/>
  <c r="AT1139" i="1"/>
  <c r="AR1143" i="1"/>
  <c r="AS1143" i="1"/>
  <c r="AT1143" i="1"/>
  <c r="AR1147" i="1"/>
  <c r="AS1147" i="1"/>
  <c r="AR1151" i="1"/>
  <c r="AT1151" i="1"/>
  <c r="AR1155" i="1"/>
  <c r="AS1155" i="1"/>
  <c r="AR1159" i="1"/>
  <c r="AT1159" i="1"/>
  <c r="AS167" i="1"/>
  <c r="AT571" i="1"/>
  <c r="AS91" i="1"/>
  <c r="AT171" i="1"/>
  <c r="AT147" i="1"/>
  <c r="AT463" i="1"/>
  <c r="AT283" i="1"/>
  <c r="AR431" i="1"/>
  <c r="AT323" i="1"/>
  <c r="AS135" i="1"/>
  <c r="AT475" i="1"/>
  <c r="AS67" i="1"/>
  <c r="AT67" i="1"/>
  <c r="AR67" i="1"/>
  <c r="AT107" i="1"/>
  <c r="AZ7" i="1"/>
  <c r="AT95" i="1"/>
  <c r="AS407" i="1"/>
  <c r="AT415" i="1"/>
  <c r="AS447" i="1"/>
  <c r="AT331" i="1"/>
  <c r="AT99" i="1"/>
  <c r="AT355" i="1"/>
  <c r="AT46" i="1"/>
  <c r="AR307" i="1"/>
  <c r="AT319" i="1"/>
  <c r="AR211" i="1"/>
  <c r="AT87" i="1"/>
  <c r="AS115" i="1"/>
  <c r="AT2" i="1"/>
  <c r="AT175" i="1"/>
  <c r="AT135" i="1"/>
  <c r="AT203" i="1"/>
  <c r="AT75" i="1"/>
  <c r="AT79" i="1"/>
  <c r="AS319" i="1"/>
  <c r="AR79" i="1"/>
  <c r="AT143" i="1"/>
  <c r="AT151" i="1"/>
  <c r="AS267" i="1"/>
  <c r="AW4" i="1"/>
  <c r="AW1952" i="1"/>
  <c r="AW1976" i="1"/>
  <c r="AW2033" i="1"/>
  <c r="AW2047" i="1"/>
  <c r="AW2071" i="1"/>
  <c r="AW2073" i="1"/>
  <c r="AW2112" i="1"/>
  <c r="AW2124" i="1"/>
  <c r="AW2140" i="1"/>
  <c r="AW2148" i="1"/>
  <c r="AW2152" i="1"/>
  <c r="AW2163" i="1"/>
  <c r="AW2174" i="1"/>
  <c r="AW2176" i="1"/>
  <c r="AW2187" i="1"/>
  <c r="AW2189" i="1"/>
  <c r="AW2197" i="1"/>
  <c r="AW2201" i="1"/>
  <c r="AW2209" i="1"/>
  <c r="AW2212" i="1"/>
  <c r="AW2215" i="1"/>
  <c r="AW2225" i="1"/>
  <c r="AW2228" i="1"/>
  <c r="AW2239" i="1"/>
  <c r="AW2242" i="1"/>
  <c r="AW2245" i="1"/>
  <c r="AW2264" i="1"/>
  <c r="AW2267" i="1"/>
  <c r="AW2285" i="1"/>
  <c r="AW2296" i="1"/>
  <c r="AW2304" i="1"/>
  <c r="AW2328" i="1"/>
  <c r="AW2348" i="1"/>
  <c r="AW2350" i="1"/>
  <c r="AW2352" i="1"/>
  <c r="AW2354" i="1"/>
  <c r="AW2356" i="1"/>
  <c r="AW2374" i="1"/>
  <c r="AW2377" i="1"/>
  <c r="AW2417" i="1"/>
  <c r="AW2419" i="1"/>
  <c r="AW2421" i="1"/>
  <c r="AW2430" i="1"/>
  <c r="AW2448" i="1"/>
  <c r="AW2605" i="1"/>
  <c r="AW2626" i="1"/>
  <c r="AW2665" i="1"/>
  <c r="AW2676" i="1"/>
  <c r="AS1163" i="1"/>
  <c r="AR1341" i="1"/>
  <c r="AT896" i="1"/>
  <c r="AS1531" i="1"/>
  <c r="AS1503" i="1"/>
  <c r="AS1830" i="1"/>
  <c r="AR1814" i="1"/>
  <c r="AR1790" i="1"/>
  <c r="AT1766" i="1"/>
  <c r="AT2397" i="1"/>
  <c r="AR2445" i="1"/>
  <c r="AT2471" i="1"/>
  <c r="AS2100" i="1"/>
  <c r="AZ1996" i="1"/>
  <c r="AR2623" i="1"/>
  <c r="AS2416" i="1"/>
  <c r="AS2751" i="1"/>
  <c r="AS2621" i="1"/>
  <c r="AR1878" i="1"/>
  <c r="AR1981" i="1"/>
  <c r="AT1337" i="1"/>
  <c r="AS1523" i="1"/>
  <c r="AR1499" i="1"/>
  <c r="AR1826" i="1"/>
  <c r="AS1807" i="1"/>
  <c r="AS1782" i="1"/>
  <c r="AT2129" i="1"/>
  <c r="AZ1964" i="1"/>
  <c r="AT1699" i="1"/>
  <c r="AY2166" i="1"/>
  <c r="AR2341" i="1"/>
  <c r="AS2623" i="1"/>
  <c r="AZ2639" i="1"/>
  <c r="AS2703" i="1"/>
  <c r="AR2621" i="1"/>
  <c r="AR2756" i="1"/>
  <c r="AY2143" i="1"/>
  <c r="AR1846" i="1"/>
  <c r="AS1539" i="1"/>
  <c r="AT1523" i="1"/>
  <c r="AT1499" i="1"/>
  <c r="AS1826" i="1"/>
  <c r="AT1807" i="1"/>
  <c r="AT1782" i="1"/>
  <c r="AS1766" i="1"/>
  <c r="AT1008" i="1"/>
  <c r="AT2368" i="1"/>
  <c r="AR2165" i="1"/>
  <c r="AY2627" i="1"/>
  <c r="AR2633" i="1"/>
  <c r="AZ2568" i="1"/>
  <c r="AT2703" i="1"/>
  <c r="AR2590" i="1"/>
  <c r="AR2434" i="1"/>
  <c r="AZ2387" i="1"/>
  <c r="AT2078" i="1"/>
  <c r="AT1539" i="1"/>
  <c r="AS1515" i="1"/>
  <c r="AR1491" i="1"/>
  <c r="AT956" i="1"/>
  <c r="AZ2337" i="1"/>
  <c r="AR2320" i="1"/>
  <c r="AY2258" i="1"/>
  <c r="AR2157" i="1"/>
  <c r="AR2754" i="1"/>
  <c r="AS2633" i="1"/>
  <c r="AT2590" i="1"/>
  <c r="AR2603" i="1"/>
  <c r="AT1846" i="1"/>
  <c r="AS996" i="1"/>
  <c r="AT152" i="1"/>
  <c r="AS2078" i="1"/>
  <c r="AR1515" i="1"/>
  <c r="AT1485" i="1"/>
  <c r="AT2032" i="1"/>
  <c r="AT1834" i="1"/>
  <c r="AT1822" i="1"/>
  <c r="AT1798" i="1"/>
  <c r="AR1778" i="1"/>
  <c r="AS2208" i="1"/>
  <c r="AT1433" i="1"/>
  <c r="AR1587" i="1"/>
  <c r="AR2416" i="1"/>
  <c r="AR2429" i="1"/>
  <c r="AR2370" i="1"/>
  <c r="AS2700" i="1"/>
  <c r="AY2146" i="1"/>
  <c r="AT2708" i="1"/>
  <c r="AR2397" i="1"/>
  <c r="AT2784" i="1"/>
  <c r="AT1878" i="1"/>
  <c r="AT1547" i="1"/>
  <c r="AS1535" i="1"/>
  <c r="AS1507" i="1"/>
  <c r="AR2032" i="1"/>
  <c r="AR1834" i="1"/>
  <c r="AR1822" i="1"/>
  <c r="AR1798" i="1"/>
  <c r="AT1778" i="1"/>
  <c r="AZ2380" i="1"/>
  <c r="AR2235" i="1"/>
  <c r="AR2400" i="1"/>
  <c r="AS2429" i="1"/>
  <c r="AT2405" i="1"/>
  <c r="AS2370" i="1"/>
  <c r="AZ2656" i="1"/>
  <c r="AT1535" i="1"/>
  <c r="AR1260" i="1"/>
  <c r="AT240" i="1"/>
  <c r="AT2208" i="1"/>
  <c r="AR1619" i="1"/>
  <c r="AS1774" i="1"/>
  <c r="AS2341" i="1"/>
  <c r="AR2084" i="1"/>
  <c r="AR2290" i="1"/>
  <c r="AS1648" i="1"/>
  <c r="AY1944" i="1"/>
  <c r="AS2040" i="1"/>
  <c r="AR2074" i="1"/>
  <c r="AY2023" i="1"/>
  <c r="AT1177" i="1"/>
  <c r="AY2006" i="1"/>
  <c r="AR1973" i="1"/>
  <c r="AS2069" i="1"/>
  <c r="AS1992" i="1"/>
  <c r="AT2372" i="1"/>
  <c r="AR2037" i="1"/>
  <c r="AT1988" i="1"/>
  <c r="AT2104" i="1"/>
  <c r="AS1975" i="1"/>
  <c r="AZ2109" i="1"/>
  <c r="AS2186" i="1"/>
  <c r="AT2069" i="1"/>
  <c r="AT2037" i="1"/>
  <c r="AS1946" i="1"/>
  <c r="AR1967" i="1"/>
  <c r="AR1990" i="1"/>
  <c r="AY1951" i="1"/>
  <c r="AS2172" i="1"/>
  <c r="AT1975" i="1"/>
  <c r="AT2167" i="1"/>
  <c r="AS1684" i="1"/>
  <c r="AR1636" i="1"/>
  <c r="AT2136" i="1"/>
  <c r="AR2164" i="1"/>
  <c r="AZ2049" i="1"/>
  <c r="AS2167" i="1"/>
  <c r="AT2074" i="1"/>
  <c r="AZ10" i="1"/>
  <c r="AR1983" i="1"/>
  <c r="AR2144" i="1"/>
  <c r="AR2136" i="1"/>
  <c r="AW2584" i="1"/>
  <c r="AW2587" i="1"/>
  <c r="AW14" i="1"/>
  <c r="AW16" i="1"/>
  <c r="AW1970" i="1"/>
  <c r="AW2046" i="1"/>
  <c r="AW2067" i="1"/>
  <c r="AW2099" i="1"/>
  <c r="AZ37" i="1"/>
  <c r="AS47" i="1"/>
  <c r="AY43" i="1"/>
  <c r="AY41" i="1"/>
  <c r="AY21" i="1"/>
  <c r="AS18" i="1"/>
  <c r="AR18" i="1"/>
  <c r="AT62" i="1"/>
  <c r="AS62" i="1"/>
  <c r="AR62" i="1"/>
  <c r="AR90" i="1"/>
  <c r="AT90" i="1"/>
  <c r="AS90" i="1"/>
  <c r="AR106" i="1"/>
  <c r="AS106" i="1"/>
  <c r="AT106" i="1"/>
  <c r="AT118" i="1"/>
  <c r="AS118" i="1"/>
  <c r="AR118" i="1"/>
  <c r="AR122" i="1"/>
  <c r="AS122" i="1"/>
  <c r="AT122" i="1"/>
  <c r="AT166" i="1"/>
  <c r="AS166" i="1"/>
  <c r="AR178" i="1"/>
  <c r="AS178" i="1"/>
  <c r="AT182" i="1"/>
  <c r="AS182" i="1"/>
  <c r="AT190" i="1"/>
  <c r="AS190" i="1"/>
  <c r="AR194" i="1"/>
  <c r="AT194" i="1"/>
  <c r="AT238" i="1"/>
  <c r="AR238" i="1"/>
  <c r="AT254" i="1"/>
  <c r="AS254" i="1"/>
  <c r="AR254" i="1"/>
  <c r="AT258" i="1"/>
  <c r="AR258" i="1"/>
  <c r="AT262" i="1"/>
  <c r="AR262" i="1"/>
  <c r="AS266" i="1"/>
  <c r="AT266" i="1"/>
  <c r="AT270" i="1"/>
  <c r="AR270" i="1"/>
  <c r="AS270" i="1"/>
  <c r="AR274" i="1"/>
  <c r="AT274" i="1"/>
  <c r="AS274" i="1"/>
  <c r="AT278" i="1"/>
  <c r="AS278" i="1"/>
  <c r="AR278" i="1"/>
  <c r="AR282" i="1"/>
  <c r="AT282" i="1"/>
  <c r="AT286" i="1"/>
  <c r="AR286" i="1"/>
  <c r="AS286" i="1"/>
  <c r="AR295" i="1"/>
  <c r="AT295" i="1"/>
  <c r="AS295" i="1"/>
  <c r="AR298" i="1"/>
  <c r="AS298" i="1"/>
  <c r="AT298" i="1"/>
  <c r="AT302" i="1"/>
  <c r="AS302" i="1"/>
  <c r="AR302" i="1"/>
  <c r="AR306" i="1"/>
  <c r="AS306" i="1"/>
  <c r="AT306" i="1"/>
  <c r="AT310" i="1"/>
  <c r="AR310" i="1"/>
  <c r="AR314" i="1"/>
  <c r="AS314" i="1"/>
  <c r="AT318" i="1"/>
  <c r="AS318" i="1"/>
  <c r="AR318" i="1"/>
  <c r="AT322" i="1"/>
  <c r="AR322" i="1"/>
  <c r="AS326" i="1"/>
  <c r="AR326" i="1"/>
  <c r="AR330" i="1"/>
  <c r="AS330" i="1"/>
  <c r="AT330" i="1"/>
  <c r="AT334" i="1"/>
  <c r="AS334" i="1"/>
  <c r="AT342" i="1"/>
  <c r="AS342" i="1"/>
  <c r="AR342" i="1"/>
  <c r="AR346" i="1"/>
  <c r="AS346" i="1"/>
  <c r="AT346" i="1"/>
  <c r="AR350" i="1"/>
  <c r="AT350" i="1"/>
  <c r="AS350" i="1"/>
  <c r="AR354" i="1"/>
  <c r="AT354" i="1"/>
  <c r="AS354" i="1"/>
  <c r="AT366" i="1"/>
  <c r="AR366" i="1"/>
  <c r="AS366" i="1"/>
  <c r="AR370" i="1"/>
  <c r="AT370" i="1"/>
  <c r="AS370" i="1"/>
  <c r="AT374" i="1"/>
  <c r="AS374" i="1"/>
  <c r="AR374" i="1"/>
  <c r="AR378" i="1"/>
  <c r="AS378" i="1"/>
  <c r="AT378" i="1"/>
  <c r="AR382" i="1"/>
  <c r="AS382" i="1"/>
  <c r="AR386" i="1"/>
  <c r="AS386" i="1"/>
  <c r="AT386" i="1"/>
  <c r="AR394" i="1"/>
  <c r="AS394" i="1"/>
  <c r="AT394" i="1"/>
  <c r="AT398" i="1"/>
  <c r="AS398" i="1"/>
  <c r="AR406" i="1"/>
  <c r="AS406" i="1"/>
  <c r="AT422" i="1"/>
  <c r="AR422" i="1"/>
  <c r="AS422" i="1"/>
  <c r="AR438" i="1"/>
  <c r="AS438" i="1"/>
  <c r="AT438" i="1"/>
  <c r="AR446" i="1"/>
  <c r="AS446" i="1"/>
  <c r="AT446" i="1"/>
  <c r="AT450" i="1"/>
  <c r="AS450" i="1"/>
  <c r="AT454" i="1"/>
  <c r="AS454" i="1"/>
  <c r="AR454" i="1"/>
  <c r="AT458" i="1"/>
  <c r="AR458" i="1"/>
  <c r="AT466" i="1"/>
  <c r="AS466" i="1"/>
  <c r="AR470" i="1"/>
  <c r="AT470" i="1"/>
  <c r="AS470" i="1"/>
  <c r="AT474" i="1"/>
  <c r="AR474" i="1"/>
  <c r="AT486" i="1"/>
  <c r="AR486" i="1"/>
  <c r="AR494" i="1"/>
  <c r="AT494" i="1"/>
  <c r="AT518" i="1"/>
  <c r="AR518" i="1"/>
  <c r="AS522" i="1"/>
  <c r="AT522" i="1"/>
  <c r="AR522" i="1"/>
  <c r="AS526" i="1"/>
  <c r="AR526" i="1"/>
  <c r="AS534" i="1"/>
  <c r="AT534" i="1"/>
  <c r="AT538" i="1"/>
  <c r="AS538" i="1"/>
  <c r="AR538" i="1"/>
  <c r="AR542" i="1"/>
  <c r="AS542" i="1"/>
  <c r="AR546" i="1"/>
  <c r="AT546" i="1"/>
  <c r="AS546" i="1"/>
  <c r="AT550" i="1"/>
  <c r="AS550" i="1"/>
  <c r="AR550" i="1"/>
  <c r="AT562" i="1"/>
  <c r="AS562" i="1"/>
  <c r="AS566" i="1"/>
  <c r="AT566" i="1"/>
  <c r="AR566" i="1"/>
  <c r="AR570" i="1"/>
  <c r="AS570" i="1"/>
  <c r="AR574" i="1"/>
  <c r="AS574" i="1"/>
  <c r="AS578" i="1"/>
  <c r="AT578" i="1"/>
  <c r="AR578" i="1"/>
  <c r="AT582" i="1"/>
  <c r="AS582" i="1"/>
  <c r="AR586" i="1"/>
  <c r="AT586" i="1"/>
  <c r="AS586" i="1"/>
  <c r="AT590" i="1"/>
  <c r="AS590" i="1"/>
  <c r="AR590" i="1"/>
  <c r="AR594" i="1"/>
  <c r="AT594" i="1"/>
  <c r="AS594" i="1"/>
  <c r="AR602" i="1"/>
  <c r="AT602" i="1"/>
  <c r="AS602" i="1"/>
  <c r="AR606" i="1"/>
  <c r="AS606" i="1"/>
  <c r="AT606" i="1"/>
  <c r="AT610" i="1"/>
  <c r="AS610" i="1"/>
  <c r="AR610" i="1"/>
  <c r="AS618" i="1"/>
  <c r="AR618" i="1"/>
  <c r="AS622" i="1"/>
  <c r="AT622" i="1"/>
  <c r="AR626" i="1"/>
  <c r="AT626" i="1"/>
  <c r="AS626" i="1"/>
  <c r="AS630" i="1"/>
  <c r="AT630" i="1"/>
  <c r="AR630" i="1"/>
  <c r="AR634" i="1"/>
  <c r="AT634" i="1"/>
  <c r="AT638" i="1"/>
  <c r="AS638" i="1"/>
  <c r="AR642" i="1"/>
  <c r="AT642" i="1"/>
  <c r="AS642" i="1"/>
  <c r="AR646" i="1"/>
  <c r="AS646" i="1"/>
  <c r="AT646" i="1"/>
  <c r="AT650" i="1"/>
  <c r="AS650" i="1"/>
  <c r="AR650" i="1"/>
  <c r="AT654" i="1"/>
  <c r="AR654" i="1"/>
  <c r="AS654" i="1"/>
  <c r="AT658" i="1"/>
  <c r="AS658" i="1"/>
  <c r="AR658" i="1"/>
  <c r="AR662" i="1"/>
  <c r="AS662" i="1"/>
  <c r="AR670" i="1"/>
  <c r="AT670" i="1"/>
  <c r="AR702" i="1"/>
  <c r="AS702" i="1"/>
  <c r="AR706" i="1"/>
  <c r="AT706" i="1"/>
  <c r="AS706" i="1"/>
  <c r="AT710" i="1"/>
  <c r="AR710" i="1"/>
  <c r="AR714" i="1"/>
  <c r="AT714" i="1"/>
  <c r="AS714" i="1"/>
  <c r="AR722" i="1"/>
  <c r="AT722" i="1"/>
  <c r="AS722" i="1"/>
  <c r="AR726" i="1"/>
  <c r="AT726" i="1"/>
  <c r="AR734" i="1"/>
  <c r="AT734" i="1"/>
  <c r="AS734" i="1"/>
  <c r="AR742" i="1"/>
  <c r="AS742" i="1"/>
  <c r="AR750" i="1"/>
  <c r="AT750" i="1"/>
  <c r="AS750" i="1"/>
  <c r="AR754" i="1"/>
  <c r="AT754" i="1"/>
  <c r="AS758" i="1"/>
  <c r="AR758" i="1"/>
  <c r="AT758" i="1"/>
  <c r="AR762" i="1"/>
  <c r="AT762" i="1"/>
  <c r="AS762" i="1"/>
  <c r="AR766" i="1"/>
  <c r="AT766" i="1"/>
  <c r="AR770" i="1"/>
  <c r="AT770" i="1"/>
  <c r="AS770" i="1"/>
  <c r="AR778" i="1"/>
  <c r="AT778" i="1"/>
  <c r="AS778" i="1"/>
  <c r="AS782" i="1"/>
  <c r="AR782" i="1"/>
  <c r="AT782" i="1"/>
  <c r="AS786" i="1"/>
  <c r="AR786" i="1"/>
  <c r="AR790" i="1"/>
  <c r="AT790" i="1"/>
  <c r="AS790" i="1"/>
  <c r="AR794" i="1"/>
  <c r="AT794" i="1"/>
  <c r="AS794" i="1"/>
  <c r="AR798" i="1"/>
  <c r="AT798" i="1"/>
  <c r="AS802" i="1"/>
  <c r="AR802" i="1"/>
  <c r="AT802" i="1"/>
  <c r="AR806" i="1"/>
  <c r="AT806" i="1"/>
  <c r="AS806" i="1"/>
  <c r="AR810" i="1"/>
  <c r="AT810" i="1"/>
  <c r="AS810" i="1"/>
  <c r="AT814" i="1"/>
  <c r="AS814" i="1"/>
  <c r="AR814" i="1"/>
  <c r="AS818" i="1"/>
  <c r="AR818" i="1"/>
  <c r="AT818" i="1"/>
  <c r="AS822" i="1"/>
  <c r="AT822" i="1"/>
  <c r="AT826" i="1"/>
  <c r="AR826" i="1"/>
  <c r="AS830" i="1"/>
  <c r="AR830" i="1"/>
  <c r="AT834" i="1"/>
  <c r="AR834" i="1"/>
  <c r="AS838" i="1"/>
  <c r="AR838" i="1"/>
  <c r="AR842" i="1"/>
  <c r="AT842" i="1"/>
  <c r="AS846" i="1"/>
  <c r="AR846" i="1"/>
  <c r="AR850" i="1"/>
  <c r="AT850" i="1"/>
  <c r="AS850" i="1"/>
  <c r="AR854" i="1"/>
  <c r="AS854" i="1"/>
  <c r="AT854" i="1"/>
  <c r="AT858" i="1"/>
  <c r="AS858" i="1"/>
  <c r="AT862" i="1"/>
  <c r="AR862" i="1"/>
  <c r="AS862" i="1"/>
  <c r="AT866" i="1"/>
  <c r="AS866" i="1"/>
  <c r="AR866" i="1"/>
  <c r="AS870" i="1"/>
  <c r="AT870" i="1"/>
  <c r="AR870" i="1"/>
  <c r="AR874" i="1"/>
  <c r="AT874" i="1"/>
  <c r="AS874" i="1"/>
  <c r="AS878" i="1"/>
  <c r="AT878" i="1"/>
  <c r="AR878" i="1"/>
  <c r="AT882" i="1"/>
  <c r="AS882" i="1"/>
  <c r="AR882" i="1"/>
  <c r="AR890" i="1"/>
  <c r="AT890" i="1"/>
  <c r="AS890" i="1"/>
  <c r="AR894" i="1"/>
  <c r="AS894" i="1"/>
  <c r="AT894" i="1"/>
  <c r="AS918" i="1"/>
  <c r="AR918" i="1"/>
  <c r="AT918" i="1"/>
  <c r="AT926" i="1"/>
  <c r="AS926" i="1"/>
  <c r="AR926" i="1"/>
  <c r="AT930" i="1"/>
  <c r="AS930" i="1"/>
  <c r="AR930" i="1"/>
  <c r="AT934" i="1"/>
  <c r="AR934" i="1"/>
  <c r="AS934" i="1"/>
  <c r="AT938" i="1"/>
  <c r="AR938" i="1"/>
  <c r="AR942" i="1"/>
  <c r="AS942" i="1"/>
  <c r="AT942" i="1"/>
  <c r="AS946" i="1"/>
  <c r="AT946" i="1"/>
  <c r="AR946" i="1"/>
  <c r="AR950" i="1"/>
  <c r="AT950" i="1"/>
  <c r="AS950" i="1"/>
  <c r="AT954" i="1"/>
  <c r="AS954" i="1"/>
  <c r="AR954" i="1"/>
  <c r="AR958" i="1"/>
  <c r="AT958" i="1"/>
  <c r="AT962" i="1"/>
  <c r="AS962" i="1"/>
  <c r="AR962" i="1"/>
  <c r="AR966" i="1"/>
  <c r="AT966" i="1"/>
  <c r="AS966" i="1"/>
  <c r="AR970" i="1"/>
  <c r="AT970" i="1"/>
  <c r="AR998" i="1"/>
  <c r="AT998" i="1"/>
  <c r="AS998" i="1"/>
  <c r="AT1015" i="1"/>
  <c r="AR1015" i="1"/>
  <c r="AS1015" i="1"/>
  <c r="AT1042" i="1"/>
  <c r="AS1042" i="1"/>
  <c r="AR1042" i="1"/>
  <c r="AR1046" i="1"/>
  <c r="AT1046" i="1"/>
  <c r="AS1046" i="1"/>
  <c r="AR1066" i="1"/>
  <c r="AT1066" i="1"/>
  <c r="AS1066" i="1"/>
  <c r="AS1090" i="1"/>
  <c r="AR1090" i="1"/>
  <c r="AR1094" i="1"/>
  <c r="AT1094" i="1"/>
  <c r="AS1098" i="1"/>
  <c r="AR1098" i="1"/>
  <c r="AR1110" i="1"/>
  <c r="AS1110" i="1"/>
  <c r="AR1114" i="1"/>
  <c r="AT1114" i="1"/>
  <c r="AT1118" i="1"/>
  <c r="AR1118" i="1"/>
  <c r="AS1122" i="1"/>
  <c r="AT1122" i="1"/>
  <c r="AS1126" i="1"/>
  <c r="AT1126" i="1"/>
  <c r="AR1126" i="1"/>
  <c r="AT1130" i="1"/>
  <c r="AR1130" i="1"/>
  <c r="AS1130" i="1"/>
  <c r="AS1134" i="1"/>
  <c r="AT1134" i="1"/>
  <c r="AR1134" i="1"/>
  <c r="AS1138" i="1"/>
  <c r="AT1138" i="1"/>
  <c r="AR1138" i="1"/>
  <c r="AS1142" i="1"/>
  <c r="AT1142" i="1"/>
  <c r="AR1142" i="1"/>
  <c r="AS1146" i="1"/>
  <c r="AT1146" i="1"/>
  <c r="AS1150" i="1"/>
  <c r="AT1150" i="1"/>
  <c r="AR1150" i="1"/>
  <c r="AR58" i="1"/>
  <c r="AS58" i="1"/>
  <c r="AS70" i="1"/>
  <c r="AR70" i="1"/>
  <c r="AR82" i="1"/>
  <c r="AT82" i="1"/>
  <c r="AS82" i="1"/>
  <c r="AT94" i="1"/>
  <c r="AS94" i="1"/>
  <c r="AR94" i="1"/>
  <c r="AT110" i="1"/>
  <c r="AR110" i="1"/>
  <c r="AS110" i="1"/>
  <c r="AR114" i="1"/>
  <c r="AT114" i="1"/>
  <c r="AS114" i="1"/>
  <c r="AS510" i="1"/>
  <c r="AR510" i="1"/>
  <c r="AT510" i="1"/>
  <c r="AT70" i="1"/>
  <c r="AT358" i="1"/>
  <c r="AS9" i="1"/>
  <c r="AR334" i="1"/>
  <c r="AT558" i="1"/>
  <c r="AS518" i="1"/>
  <c r="AT54" i="1"/>
  <c r="AR54" i="1"/>
  <c r="AS54" i="1"/>
  <c r="AT86" i="1"/>
  <c r="AS86" i="1"/>
  <c r="AR290" i="1"/>
  <c r="AS502" i="1"/>
  <c r="AT326" i="1"/>
  <c r="AT686" i="1"/>
  <c r="AS670" i="1"/>
  <c r="AR414" i="1"/>
  <c r="AT526" i="1"/>
  <c r="AT618" i="1"/>
  <c r="AR66" i="1"/>
  <c r="AS66" i="1"/>
  <c r="AR98" i="1"/>
  <c r="AS98" i="1"/>
  <c r="AT98" i="1"/>
  <c r="AT482" i="1"/>
  <c r="AR482" i="1"/>
  <c r="AS482" i="1"/>
  <c r="AS462" i="1"/>
  <c r="AS20" i="1"/>
  <c r="AT414" i="1"/>
  <c r="AT406" i="1"/>
  <c r="AT502" i="1"/>
  <c r="AS310" i="1"/>
  <c r="AT314" i="1"/>
  <c r="AT382" i="1"/>
  <c r="AS754" i="1"/>
  <c r="AS958" i="1"/>
  <c r="AT846" i="1"/>
  <c r="AS50" i="1"/>
  <c r="AT50" i="1"/>
  <c r="AR74" i="1"/>
  <c r="AT74" i="1"/>
  <c r="AS74" i="1"/>
  <c r="AR102" i="1"/>
  <c r="AT102" i="1"/>
  <c r="AS102" i="1"/>
  <c r="AT138" i="1"/>
  <c r="AS138" i="1"/>
  <c r="AT479" i="1"/>
  <c r="AS479" i="1"/>
  <c r="AR462" i="1"/>
  <c r="AT430" i="1"/>
  <c r="AT290" i="1"/>
  <c r="AR390" i="1"/>
  <c r="AR558" i="1"/>
  <c r="AR86" i="1"/>
  <c r="AR858" i="1"/>
  <c r="AR250" i="1"/>
  <c r="AS250" i="1"/>
  <c r="AT250" i="1"/>
  <c r="AR266" i="1"/>
  <c r="AT210" i="1"/>
  <c r="AS634" i="1"/>
  <c r="AR242" i="1"/>
  <c r="AT242" i="1"/>
  <c r="AS242" i="1"/>
  <c r="AS158" i="1"/>
  <c r="AT142" i="1"/>
  <c r="AS490" i="1"/>
  <c r="AS78" i="1"/>
  <c r="AR78" i="1"/>
  <c r="AS322" i="1"/>
  <c r="AS486" i="1"/>
  <c r="AS494" i="1"/>
  <c r="AT154" i="1"/>
  <c r="AS842" i="1"/>
  <c r="AT246" i="1"/>
  <c r="AS246" i="1"/>
  <c r="AR246" i="1"/>
  <c r="AT58" i="1"/>
  <c r="AR226" i="1"/>
  <c r="AS150" i="1"/>
  <c r="AZ45" i="1"/>
  <c r="AS262" i="1"/>
  <c r="AT570" i="1"/>
  <c r="AT786" i="1"/>
  <c r="AS970" i="1"/>
  <c r="AR222" i="1"/>
  <c r="AT1840" i="1"/>
  <c r="AT1920" i="1"/>
  <c r="AR1736" i="1"/>
  <c r="AR1383" i="1"/>
  <c r="AR1319" i="1"/>
  <c r="AR1254" i="1"/>
  <c r="AR1190" i="1"/>
  <c r="AR1439" i="1"/>
  <c r="AT1407" i="1"/>
  <c r="AS1355" i="1"/>
  <c r="AR1323" i="1"/>
  <c r="AT1290" i="1"/>
  <c r="AS1194" i="1"/>
  <c r="AR1162" i="1"/>
  <c r="AS1435" i="1"/>
  <c r="AT1315" i="1"/>
  <c r="AS1218" i="1"/>
  <c r="AT1423" i="1"/>
  <c r="AR1327" i="1"/>
  <c r="AR1411" i="1"/>
  <c r="AS1371" i="1"/>
  <c r="AS1282" i="1"/>
  <c r="AR1824" i="1"/>
  <c r="AT1569" i="1"/>
  <c r="AS1716" i="1"/>
  <c r="AR1545" i="1"/>
  <c r="AS1565" i="1"/>
  <c r="AR1888" i="1"/>
  <c r="AT1383" i="1"/>
  <c r="AT1319" i="1"/>
  <c r="AT1254" i="1"/>
  <c r="AT1190" i="1"/>
  <c r="AR2042" i="1"/>
  <c r="AT1732" i="1"/>
  <c r="AT1439" i="1"/>
  <c r="AR1395" i="1"/>
  <c r="AR1355" i="1"/>
  <c r="AR1278" i="1"/>
  <c r="AR1194" i="1"/>
  <c r="AR1435" i="1"/>
  <c r="AS1274" i="1"/>
  <c r="AT1218" i="1"/>
  <c r="AR1820" i="1"/>
  <c r="AS1391" i="1"/>
  <c r="AS1198" i="1"/>
  <c r="AR1371" i="1"/>
  <c r="AR1282" i="1"/>
  <c r="AS1549" i="1"/>
  <c r="AS1593" i="1"/>
  <c r="AT1565" i="1"/>
  <c r="AR1431" i="1"/>
  <c r="AR1367" i="1"/>
  <c r="AR1302" i="1"/>
  <c r="AR1238" i="1"/>
  <c r="AR1158" i="1"/>
  <c r="AT2120" i="1"/>
  <c r="AT1673" i="1"/>
  <c r="AR1427" i="1"/>
  <c r="AT1395" i="1"/>
  <c r="AR1311" i="1"/>
  <c r="AT1278" i="1"/>
  <c r="AS1228" i="1"/>
  <c r="AR1274" i="1"/>
  <c r="AS1178" i="1"/>
  <c r="AR1391" i="1"/>
  <c r="AS1294" i="1"/>
  <c r="AR1198" i="1"/>
  <c r="AS1403" i="1"/>
  <c r="AR1585" i="1"/>
  <c r="AT1549" i="1"/>
  <c r="AS1553" i="1"/>
  <c r="AT1431" i="1"/>
  <c r="AT1367" i="1"/>
  <c r="AT1302" i="1"/>
  <c r="AT1238" i="1"/>
  <c r="AT1158" i="1"/>
  <c r="AT2098" i="1"/>
  <c r="AR1784" i="1"/>
  <c r="AT1427" i="1"/>
  <c r="AR1386" i="1"/>
  <c r="AR1343" i="1"/>
  <c r="AT1311" i="1"/>
  <c r="AR1266" i="1"/>
  <c r="AR1228" i="1"/>
  <c r="AR1182" i="1"/>
  <c r="AS1728" i="1"/>
  <c r="AS1339" i="1"/>
  <c r="AR1178" i="1"/>
  <c r="AR1294" i="1"/>
  <c r="AR1403" i="1"/>
  <c r="AS1347" i="1"/>
  <c r="AS1186" i="1"/>
  <c r="AT1585" i="1"/>
  <c r="AR1593" i="1"/>
  <c r="AT1557" i="1"/>
  <c r="AT1553" i="1"/>
  <c r="AY1702" i="1"/>
  <c r="AT1912" i="1"/>
  <c r="AT1800" i="1"/>
  <c r="AR1415" i="1"/>
  <c r="AR1351" i="1"/>
  <c r="AR1286" i="1"/>
  <c r="AR1222" i="1"/>
  <c r="AT1769" i="1"/>
  <c r="AS1419" i="1"/>
  <c r="AR1375" i="1"/>
  <c r="AT1343" i="1"/>
  <c r="AR1298" i="1"/>
  <c r="AT1266" i="1"/>
  <c r="AT1182" i="1"/>
  <c r="AT1728" i="1"/>
  <c r="AR1339" i="1"/>
  <c r="AS1250" i="1"/>
  <c r="AS1359" i="1"/>
  <c r="AS1166" i="1"/>
  <c r="AR1347" i="1"/>
  <c r="AR1186" i="1"/>
  <c r="AT2079" i="1"/>
  <c r="AS1597" i="1"/>
  <c r="AR1557" i="1"/>
  <c r="AR1880" i="1"/>
  <c r="AT1415" i="1"/>
  <c r="AT1351" i="1"/>
  <c r="AT1286" i="1"/>
  <c r="AT1222" i="1"/>
  <c r="AS1884" i="1"/>
  <c r="AT1712" i="1"/>
  <c r="AR1419" i="1"/>
  <c r="AT1375" i="1"/>
  <c r="AR1331" i="1"/>
  <c r="AT1298" i="1"/>
  <c r="AS1258" i="1"/>
  <c r="AR1170" i="1"/>
  <c r="AT1685" i="1"/>
  <c r="AR1250" i="1"/>
  <c r="AS1154" i="1"/>
  <c r="AR1359" i="1"/>
  <c r="AS1262" i="1"/>
  <c r="AR1166" i="1"/>
  <c r="AS1379" i="1"/>
  <c r="AT1597" i="1"/>
  <c r="AY2070" i="1"/>
  <c r="AS1577" i="1"/>
  <c r="AT1589" i="1"/>
  <c r="AR1589" i="1"/>
  <c r="AR1399" i="1"/>
  <c r="AR1335" i="1"/>
  <c r="AR1270" i="1"/>
  <c r="AR1206" i="1"/>
  <c r="AT1796" i="1"/>
  <c r="AT1708" i="1"/>
  <c r="AR1363" i="1"/>
  <c r="AT1331" i="1"/>
  <c r="AR1202" i="1"/>
  <c r="AT1170" i="1"/>
  <c r="AS1307" i="1"/>
  <c r="AS1561" i="1"/>
  <c r="AT1577" i="1"/>
  <c r="AW46" i="1"/>
  <c r="AW1706" i="1"/>
  <c r="AW1966" i="1"/>
  <c r="AW1974" i="1"/>
  <c r="AW1979" i="1"/>
  <c r="AW1984" i="1"/>
  <c r="AW1989" i="1"/>
  <c r="AW1991" i="1"/>
  <c r="AW2004" i="1"/>
  <c r="AW2007" i="1"/>
  <c r="AW2018" i="1"/>
  <c r="AW2021" i="1"/>
  <c r="AW2035" i="1"/>
  <c r="AW2056" i="1"/>
  <c r="AW2105" i="1"/>
  <c r="AW2110" i="1"/>
  <c r="AW2117" i="1"/>
  <c r="AW2126" i="1"/>
  <c r="AW2127" i="1"/>
  <c r="AW2171" i="1"/>
  <c r="AW2218" i="1"/>
  <c r="AW2223" i="1"/>
  <c r="AW2321" i="1"/>
  <c r="AW2324" i="1"/>
  <c r="AW2411" i="1"/>
  <c r="AW2414" i="1"/>
  <c r="AW2424" i="1"/>
  <c r="AW2443" i="1"/>
  <c r="AW2474" i="1"/>
  <c r="AW2478" i="1"/>
  <c r="AW2636" i="1"/>
  <c r="AW2646" i="1"/>
  <c r="AW2678" i="1"/>
  <c r="AW2704" i="1"/>
  <c r="AR824" i="1"/>
  <c r="AS824" i="1"/>
  <c r="AR864" i="1"/>
  <c r="AS864" i="1"/>
  <c r="AR900" i="1"/>
  <c r="AS900" i="1"/>
  <c r="AT908" i="1"/>
  <c r="AR908" i="1"/>
  <c r="AR912" i="1"/>
  <c r="AT912" i="1"/>
  <c r="AT920" i="1"/>
  <c r="AS920" i="1"/>
  <c r="AS924" i="1"/>
  <c r="AT924" i="1"/>
  <c r="AR924" i="1"/>
  <c r="AT928" i="1"/>
  <c r="AS928" i="1"/>
  <c r="AR932" i="1"/>
  <c r="AT932" i="1"/>
  <c r="AT936" i="1"/>
  <c r="AS936" i="1"/>
  <c r="AT944" i="1"/>
  <c r="AS944" i="1"/>
  <c r="AR944" i="1"/>
  <c r="AT952" i="1"/>
  <c r="AR952" i="1"/>
  <c r="AS952" i="1"/>
  <c r="AR964" i="1"/>
  <c r="AT964" i="1"/>
  <c r="AT976" i="1"/>
  <c r="AS976" i="1"/>
  <c r="AS984" i="1"/>
  <c r="AT984" i="1"/>
  <c r="AR984" i="1"/>
  <c r="AT992" i="1"/>
  <c r="AR992" i="1"/>
  <c r="AS992" i="1"/>
  <c r="AT1004" i="1"/>
  <c r="AS1004" i="1"/>
  <c r="AS1012" i="1"/>
  <c r="AT1012" i="1"/>
  <c r="AR1024" i="1"/>
  <c r="AS1024" i="1"/>
  <c r="AR1028" i="1"/>
  <c r="AT1028" i="1"/>
  <c r="AS1028" i="1"/>
  <c r="AS1032" i="1"/>
  <c r="AR1032" i="1"/>
  <c r="AT1032" i="1"/>
  <c r="AT1036" i="1"/>
  <c r="AR1036" i="1"/>
  <c r="AS1036" i="1"/>
  <c r="AS1052" i="1"/>
  <c r="AR1052" i="1"/>
  <c r="AT1056" i="1"/>
  <c r="AR1056" i="1"/>
  <c r="AR1060" i="1"/>
  <c r="AS1060" i="1"/>
  <c r="AT1060" i="1"/>
  <c r="AR1064" i="1"/>
  <c r="AT1064" i="1"/>
  <c r="AT1068" i="1"/>
  <c r="AS1068" i="1"/>
  <c r="AR1068" i="1"/>
  <c r="AT1072" i="1"/>
  <c r="AR1072" i="1"/>
  <c r="AT1076" i="1"/>
  <c r="AR1076" i="1"/>
  <c r="AS1080" i="1"/>
  <c r="AT1080" i="1"/>
  <c r="AT1092" i="1"/>
  <c r="AS1092" i="1"/>
  <c r="AR1096" i="1"/>
  <c r="AT1096" i="1"/>
  <c r="AT1100" i="1"/>
  <c r="AS1100" i="1"/>
  <c r="AT1104" i="1"/>
  <c r="AR1104" i="1"/>
  <c r="AT1108" i="1"/>
  <c r="AR1108" i="1"/>
  <c r="AT1112" i="1"/>
  <c r="AR1112" i="1"/>
  <c r="AT1116" i="1"/>
  <c r="AR1116" i="1"/>
  <c r="AT1120" i="1"/>
  <c r="AR1120" i="1"/>
  <c r="AT1152" i="1"/>
  <c r="AR1152" i="1"/>
  <c r="AT1156" i="1"/>
  <c r="AR1156" i="1"/>
  <c r="AT1160" i="1"/>
  <c r="AR1160" i="1"/>
  <c r="AT1164" i="1"/>
  <c r="AS1164" i="1"/>
  <c r="AR1164" i="1"/>
  <c r="AT1172" i="1"/>
  <c r="AS1172" i="1"/>
  <c r="AR1172" i="1"/>
  <c r="AT1176" i="1"/>
  <c r="AR1176" i="1"/>
  <c r="AT1184" i="1"/>
  <c r="AR1184" i="1"/>
  <c r="AT1188" i="1"/>
  <c r="AS1188" i="1"/>
  <c r="AT1192" i="1"/>
  <c r="AR1192" i="1"/>
  <c r="AR1196" i="1"/>
  <c r="AS1196" i="1"/>
  <c r="AT1200" i="1"/>
  <c r="AR1200" i="1"/>
  <c r="AT1204" i="1"/>
  <c r="AS1204" i="1"/>
  <c r="AS1208" i="1"/>
  <c r="AR1208" i="1"/>
  <c r="AS1212" i="1"/>
  <c r="AR1212" i="1"/>
  <c r="AT1216" i="1"/>
  <c r="AR1216" i="1"/>
  <c r="AT1220" i="1"/>
  <c r="AR1220" i="1"/>
  <c r="AS1220" i="1"/>
  <c r="AT1227" i="1"/>
  <c r="AR1227" i="1"/>
  <c r="AS1227" i="1"/>
  <c r="AT1236" i="1"/>
  <c r="AR1236" i="1"/>
  <c r="AT1240" i="1"/>
  <c r="AR1240" i="1"/>
  <c r="AT1248" i="1"/>
  <c r="AR1248" i="1"/>
  <c r="AT1252" i="1"/>
  <c r="AS1252" i="1"/>
  <c r="AR1252" i="1"/>
  <c r="AT1268" i="1"/>
  <c r="AR1268" i="1"/>
  <c r="AS1268" i="1"/>
  <c r="AS1272" i="1"/>
  <c r="AT1272" i="1"/>
  <c r="AR1272" i="1"/>
  <c r="AS1276" i="1"/>
  <c r="AR1276" i="1"/>
  <c r="AT1284" i="1"/>
  <c r="AR1284" i="1"/>
  <c r="AS1284" i="1"/>
  <c r="AR1292" i="1"/>
  <c r="AS1292" i="1"/>
  <c r="AT1300" i="1"/>
  <c r="AR1300" i="1"/>
  <c r="AS1300" i="1"/>
  <c r="AT1305" i="1"/>
  <c r="AR1305" i="1"/>
  <c r="AT1313" i="1"/>
  <c r="AR1313" i="1"/>
  <c r="AT1325" i="1"/>
  <c r="AR1325" i="1"/>
  <c r="AT1329" i="1"/>
  <c r="AR1329" i="1"/>
  <c r="AT1345" i="1"/>
  <c r="AR1345" i="1"/>
  <c r="AT1357" i="1"/>
  <c r="AS1357" i="1"/>
  <c r="AT1365" i="1"/>
  <c r="AS1365" i="1"/>
  <c r="AS1369" i="1"/>
  <c r="AT1369" i="1"/>
  <c r="AR1369" i="1"/>
  <c r="AR1373" i="1"/>
  <c r="AS1373" i="1"/>
  <c r="AT1377" i="1"/>
  <c r="AR1377" i="1"/>
  <c r="AT1381" i="1"/>
  <c r="AS1381" i="1"/>
  <c r="AT1389" i="1"/>
  <c r="AR1389" i="1"/>
  <c r="AS1389" i="1"/>
  <c r="AT1397" i="1"/>
  <c r="AR1397" i="1"/>
  <c r="AS1401" i="1"/>
  <c r="AR1401" i="1"/>
  <c r="AT1405" i="1"/>
  <c r="AS1405" i="1"/>
  <c r="AR1405" i="1"/>
  <c r="AT1409" i="1"/>
  <c r="AR1409" i="1"/>
  <c r="AT1413" i="1"/>
  <c r="AS1413" i="1"/>
  <c r="AS1417" i="1"/>
  <c r="AT1417" i="1"/>
  <c r="AR1421" i="1"/>
  <c r="AS1421" i="1"/>
  <c r="AR1425" i="1"/>
  <c r="AT1425" i="1"/>
  <c r="AT1429" i="1"/>
  <c r="AS1429" i="1"/>
  <c r="AR1429" i="1"/>
  <c r="AT1437" i="1"/>
  <c r="AR1437" i="1"/>
  <c r="AS1437" i="1"/>
  <c r="AT1441" i="1"/>
  <c r="AR1441" i="1"/>
  <c r="AT1446" i="1"/>
  <c r="AS1446" i="1"/>
  <c r="AR1450" i="1"/>
  <c r="AT1450" i="1"/>
  <c r="AT1454" i="1"/>
  <c r="AR1454" i="1"/>
  <c r="AS1454" i="1"/>
  <c r="AT1462" i="1"/>
  <c r="AR1462" i="1"/>
  <c r="AS1470" i="1"/>
  <c r="AR1470" i="1"/>
  <c r="AR1487" i="1"/>
  <c r="AT1487" i="1"/>
  <c r="AS1495" i="1"/>
  <c r="AT1495" i="1"/>
  <c r="AR1495" i="1"/>
  <c r="AR1511" i="1"/>
  <c r="AT1511" i="1"/>
  <c r="AS1519" i="1"/>
  <c r="AT1519" i="1"/>
  <c r="AS1527" i="1"/>
  <c r="AR1527" i="1"/>
  <c r="AR1543" i="1"/>
  <c r="AS1543" i="1"/>
  <c r="AS1555" i="1"/>
  <c r="AR1555" i="1"/>
  <c r="AT1555" i="1"/>
  <c r="AT1567" i="1"/>
  <c r="AR1567" i="1"/>
  <c r="AS1591" i="1"/>
  <c r="AT1591" i="1"/>
  <c r="AR1591" i="1"/>
  <c r="AS1595" i="1"/>
  <c r="AR1595" i="1"/>
  <c r="AR1599" i="1"/>
  <c r="AT1599" i="1"/>
  <c r="AS1599" i="1"/>
  <c r="AT1603" i="1"/>
  <c r="AR1603" i="1"/>
  <c r="AR1607" i="1"/>
  <c r="AT1607" i="1"/>
  <c r="AR1611" i="1"/>
  <c r="AS1611" i="1"/>
  <c r="AT1611" i="1"/>
  <c r="AS1615" i="1"/>
  <c r="AT1615" i="1"/>
  <c r="AS1623" i="1"/>
  <c r="AR1623" i="1"/>
  <c r="AR1627" i="1"/>
  <c r="AT1627" i="1"/>
  <c r="AS1627" i="1"/>
  <c r="AR1631" i="1"/>
  <c r="AS1631" i="1"/>
  <c r="AR1635" i="1"/>
  <c r="AT1635" i="1"/>
  <c r="AS1635" i="1"/>
  <c r="AT1639" i="1"/>
  <c r="AS1639" i="1"/>
  <c r="AS1643" i="1"/>
  <c r="AT1643" i="1"/>
  <c r="AR1643" i="1"/>
  <c r="AT1647" i="1"/>
  <c r="AR1647" i="1"/>
  <c r="AR1651" i="1"/>
  <c r="AT1651" i="1"/>
  <c r="AS1651" i="1"/>
  <c r="AS1659" i="1"/>
  <c r="AT1659" i="1"/>
  <c r="AR1659" i="1"/>
  <c r="AR1663" i="1"/>
  <c r="AS1663" i="1"/>
  <c r="AT1667" i="1"/>
  <c r="AS1667" i="1"/>
  <c r="AR1671" i="1"/>
  <c r="AT1671" i="1"/>
  <c r="AS1671" i="1"/>
  <c r="AR1679" i="1"/>
  <c r="AS1679" i="1"/>
  <c r="AS1683" i="1"/>
  <c r="AR1683" i="1"/>
  <c r="AR1686" i="1"/>
  <c r="AS1686" i="1"/>
  <c r="AR1691" i="1"/>
  <c r="AT1691" i="1"/>
  <c r="AS1695" i="1"/>
  <c r="AR1695" i="1"/>
  <c r="AS1710" i="1"/>
  <c r="AT1710" i="1"/>
  <c r="AR1710" i="1"/>
  <c r="AR1718" i="1"/>
  <c r="AT1718" i="1"/>
  <c r="AS1718" i="1"/>
  <c r="AR1722" i="1"/>
  <c r="AS1722" i="1"/>
  <c r="AR1726" i="1"/>
  <c r="AT1726" i="1"/>
  <c r="AS1726" i="1"/>
  <c r="AR1730" i="1"/>
  <c r="AT1730" i="1"/>
  <c r="AS1734" i="1"/>
  <c r="AR1734" i="1"/>
  <c r="AR1738" i="1"/>
  <c r="AS1738" i="1"/>
  <c r="AR1742" i="1"/>
  <c r="AS1742" i="1"/>
  <c r="AR1746" i="1"/>
  <c r="AT1746" i="1"/>
  <c r="AT1750" i="1"/>
  <c r="AR1750" i="1"/>
  <c r="AS1754" i="1"/>
  <c r="AT1754" i="1"/>
  <c r="AR1754" i="1"/>
  <c r="AT1758" i="1"/>
  <c r="AR1758" i="1"/>
  <c r="AR1762" i="1"/>
  <c r="AT1762" i="1"/>
  <c r="AR1771" i="1"/>
  <c r="AS1771" i="1"/>
  <c r="AR1786" i="1"/>
  <c r="AS1786" i="1"/>
  <c r="AR1794" i="1"/>
  <c r="AT1794" i="1"/>
  <c r="AR1802" i="1"/>
  <c r="AS1802" i="1"/>
  <c r="AR1810" i="1"/>
  <c r="AS1810" i="1"/>
  <c r="AS1818" i="1"/>
  <c r="AT1818" i="1"/>
  <c r="AS1838" i="1"/>
  <c r="AR1838" i="1"/>
  <c r="AT1842" i="1"/>
  <c r="AS1842" i="1"/>
  <c r="AR1850" i="1"/>
  <c r="AT1850" i="1"/>
  <c r="AS1854" i="1"/>
  <c r="AT1854" i="1"/>
  <c r="AR1854" i="1"/>
  <c r="AR1858" i="1"/>
  <c r="AS1858" i="1"/>
  <c r="AS1862" i="1"/>
  <c r="AT1862" i="1"/>
  <c r="AR1862" i="1"/>
  <c r="AT1866" i="1"/>
  <c r="AR1866" i="1"/>
  <c r="AS1866" i="1"/>
  <c r="AS1870" i="1"/>
  <c r="AT1870" i="1"/>
  <c r="AR1870" i="1"/>
  <c r="AT1874" i="1"/>
  <c r="AR1874" i="1"/>
  <c r="AR1882" i="1"/>
  <c r="AT1882" i="1"/>
  <c r="AS1886" i="1"/>
  <c r="AT1886" i="1"/>
  <c r="AR1886" i="1"/>
  <c r="AT1890" i="1"/>
  <c r="AS1890" i="1"/>
  <c r="AR1890" i="1"/>
  <c r="AS1894" i="1"/>
  <c r="AT1894" i="1"/>
  <c r="AR1894" i="1"/>
  <c r="AS1898" i="1"/>
  <c r="AT1898" i="1"/>
  <c r="AR1898" i="1"/>
  <c r="AS1902" i="1"/>
  <c r="AT1902" i="1"/>
  <c r="AR1906" i="1"/>
  <c r="AS1906" i="1"/>
  <c r="AT1906" i="1"/>
  <c r="AS1910" i="1"/>
  <c r="AT1910" i="1"/>
  <c r="AR1910" i="1"/>
  <c r="AR1914" i="1"/>
  <c r="AT1914" i="1"/>
  <c r="AS1918" i="1"/>
  <c r="AT1918" i="1"/>
  <c r="AR1918" i="1"/>
  <c r="AT1922" i="1"/>
  <c r="AS1922" i="1"/>
  <c r="AR1944" i="1"/>
  <c r="AS1944" i="1"/>
  <c r="AT1944" i="1"/>
  <c r="AT1951" i="1"/>
  <c r="AS1951" i="1"/>
  <c r="AR1951" i="1"/>
  <c r="AR1954" i="1"/>
  <c r="AT1954" i="1"/>
  <c r="AT1956" i="1"/>
  <c r="AR1956" i="1"/>
  <c r="AT1971" i="1"/>
  <c r="AS1971" i="1"/>
  <c r="AR1971" i="1"/>
  <c r="AY1982" i="1"/>
  <c r="AZ1982" i="1"/>
  <c r="AZ1987" i="1"/>
  <c r="AY1987" i="1"/>
  <c r="AT2000" i="1"/>
  <c r="AS2000" i="1"/>
  <c r="AR2000" i="1"/>
  <c r="AS2003" i="1"/>
  <c r="AR2003" i="1"/>
  <c r="AT2006" i="1"/>
  <c r="AS2006" i="1"/>
  <c r="AR2006" i="1"/>
  <c r="AS2011" i="1"/>
  <c r="AR2011" i="1"/>
  <c r="AT2014" i="1"/>
  <c r="AS2014" i="1"/>
  <c r="AR2014" i="1"/>
  <c r="AR2023" i="1"/>
  <c r="AT2023" i="1"/>
  <c r="AS2023" i="1"/>
  <c r="AS2030" i="1"/>
  <c r="AT2030" i="1"/>
  <c r="AR2030" i="1"/>
  <c r="AZ2036" i="1"/>
  <c r="AY2036" i="1"/>
  <c r="AR2041" i="1"/>
  <c r="AS2041" i="1"/>
  <c r="AT2041" i="1"/>
  <c r="AT2044" i="1"/>
  <c r="AS2044" i="1"/>
  <c r="AS2049" i="1"/>
  <c r="AR2049" i="1"/>
  <c r="AY2052" i="1"/>
  <c r="AZ2052" i="1"/>
  <c r="AS2058" i="1"/>
  <c r="AT2058" i="1"/>
  <c r="AR2058" i="1"/>
  <c r="AT2065" i="1"/>
  <c r="AS2065" i="1"/>
  <c r="AS480" i="1"/>
  <c r="AR480" i="1"/>
  <c r="AT856" i="1"/>
  <c r="AR856" i="1"/>
  <c r="AR1140" i="1"/>
  <c r="AR972" i="1"/>
  <c r="AT1341" i="1"/>
  <c r="AT1048" i="1"/>
  <c r="AR896" i="1"/>
  <c r="AR1477" i="1"/>
  <c r="AT1260" i="1"/>
  <c r="AS980" i="1"/>
  <c r="AS908" i="1"/>
  <c r="AR1204" i="1"/>
  <c r="AS836" i="1"/>
  <c r="AS1619" i="1"/>
  <c r="AT1276" i="1"/>
  <c r="AT1321" i="1"/>
  <c r="AR1321" i="1"/>
  <c r="AS972" i="1"/>
  <c r="AR1337" i="1"/>
  <c r="AS280" i="1"/>
  <c r="AS968" i="1"/>
  <c r="AT1477" i="1"/>
  <c r="AR1244" i="1"/>
  <c r="AR240" i="1"/>
  <c r="AR1000" i="1"/>
  <c r="AR1084" i="1"/>
  <c r="AS1647" i="1"/>
  <c r="AS1587" i="1"/>
  <c r="AR1012" i="1"/>
  <c r="AR1699" i="1"/>
  <c r="AT1595" i="1"/>
  <c r="AT1212" i="1"/>
  <c r="AT1838" i="1"/>
  <c r="AS1462" i="1"/>
  <c r="AT1583" i="1"/>
  <c r="AT1128" i="1"/>
  <c r="AR1128" i="1"/>
  <c r="AR416" i="1"/>
  <c r="AT1244" i="1"/>
  <c r="AT904" i="1"/>
  <c r="AT987" i="1"/>
  <c r="AT868" i="1"/>
  <c r="AT1208" i="1"/>
  <c r="AS1397" i="1"/>
  <c r="AT1695" i="1"/>
  <c r="AR1675" i="1"/>
  <c r="AR840" i="1"/>
  <c r="AT840" i="1"/>
  <c r="AS876" i="1"/>
  <c r="AR876" i="1"/>
  <c r="AS8" i="1"/>
  <c r="AR960" i="1"/>
  <c r="AT1044" i="1"/>
  <c r="AS464" i="1"/>
  <c r="AT196" i="1"/>
  <c r="AR72" i="1"/>
  <c r="AS400" i="1"/>
  <c r="AR168" i="1"/>
  <c r="AR1357" i="1"/>
  <c r="AT1000" i="1"/>
  <c r="AR1288" i="1"/>
  <c r="AR1264" i="1"/>
  <c r="AS1511" i="1"/>
  <c r="AS1017" i="1"/>
  <c r="AS1325" i="1"/>
  <c r="AT832" i="1"/>
  <c r="AS832" i="1"/>
  <c r="AT1124" i="1"/>
  <c r="AS1124" i="1"/>
  <c r="AR1124" i="1"/>
  <c r="AS1044" i="1"/>
  <c r="AR60" i="1"/>
  <c r="AS880" i="1"/>
  <c r="AR1481" i="1"/>
  <c r="AR1188" i="1"/>
  <c r="AT864" i="1"/>
  <c r="AT1470" i="1"/>
  <c r="AS1008" i="1"/>
  <c r="AS1236" i="1"/>
  <c r="AR744" i="1"/>
  <c r="AS744" i="1"/>
  <c r="AS848" i="1"/>
  <c r="AT848" i="1"/>
  <c r="AR848" i="1"/>
  <c r="AR888" i="1"/>
  <c r="AS888" i="1"/>
  <c r="AS960" i="1"/>
  <c r="AT112" i="1"/>
  <c r="AR332" i="1"/>
  <c r="AT872" i="1"/>
  <c r="AR80" i="1"/>
  <c r="AR1040" i="1"/>
  <c r="AS392" i="1"/>
  <c r="AT1507" i="1"/>
  <c r="AT1491" i="1"/>
  <c r="AS224" i="1"/>
  <c r="AT880" i="1"/>
  <c r="AR300" i="1"/>
  <c r="AS987" i="1"/>
  <c r="AT1180" i="1"/>
  <c r="AT1196" i="1"/>
  <c r="AR860" i="1"/>
  <c r="AR784" i="1"/>
  <c r="AS1655" i="1"/>
  <c r="AT1421" i="1"/>
  <c r="AR968" i="1"/>
  <c r="AS1156" i="1"/>
  <c r="AR1818" i="1"/>
  <c r="AT852" i="1"/>
  <c r="AS852" i="1"/>
  <c r="AS1140" i="1"/>
  <c r="AS1048" i="1"/>
  <c r="AR872" i="1"/>
  <c r="AT600" i="1"/>
  <c r="AT1040" i="1"/>
  <c r="AR1485" i="1"/>
  <c r="AR1092" i="1"/>
  <c r="AR1309" i="1"/>
  <c r="AS932" i="1"/>
  <c r="AR1655" i="1"/>
  <c r="AT1401" i="1"/>
  <c r="AT948" i="1"/>
  <c r="AT2157" i="1"/>
  <c r="AS2097" i="1"/>
  <c r="AT2343" i="1"/>
  <c r="AR2080" i="1"/>
  <c r="AS2405" i="1"/>
  <c r="AR2368" i="1"/>
  <c r="AS2756" i="1"/>
  <c r="AS2426" i="1"/>
  <c r="AS2423" i="1"/>
  <c r="AR2784" i="1"/>
  <c r="AR2723" i="1"/>
  <c r="AR2097" i="1"/>
  <c r="AT2080" i="1"/>
  <c r="AR2363" i="1"/>
  <c r="AT2426" i="1"/>
  <c r="AR2438" i="1"/>
  <c r="AY2076" i="1"/>
  <c r="AT2320" i="1"/>
  <c r="AT2084" i="1"/>
  <c r="AT2247" i="1"/>
  <c r="AZ2268" i="1"/>
  <c r="AS2363" i="1"/>
  <c r="AT2082" i="1"/>
  <c r="AR2473" i="1"/>
  <c r="AR2408" i="1"/>
  <c r="AT2438" i="1"/>
  <c r="AR2763" i="1"/>
  <c r="AR2202" i="1"/>
  <c r="AR2100" i="1"/>
  <c r="AT2235" i="1"/>
  <c r="AT2202" i="1"/>
  <c r="AS2247" i="1"/>
  <c r="AT2222" i="1"/>
  <c r="AY2274" i="1"/>
  <c r="AY2240" i="1"/>
  <c r="AS2131" i="1"/>
  <c r="AR2389" i="1"/>
  <c r="AS2593" i="1"/>
  <c r="AT2641" i="1"/>
  <c r="AR2082" i="1"/>
  <c r="AT2473" i="1"/>
  <c r="AS2408" i="1"/>
  <c r="AT2778" i="1"/>
  <c r="AR2715" i="1"/>
  <c r="AR2731" i="1"/>
  <c r="AS2763" i="1"/>
  <c r="AW2029" i="1"/>
  <c r="AW2074" i="1"/>
  <c r="AW2106" i="1"/>
  <c r="AW2175" i="1"/>
  <c r="AW2183" i="1"/>
  <c r="AW2230" i="1"/>
  <c r="AW2259" i="1"/>
  <c r="AW2263" i="1"/>
  <c r="AW2265" i="1"/>
  <c r="AW2269" i="1"/>
  <c r="AW2275" i="1"/>
  <c r="AW2280" i="1"/>
  <c r="AW2284" i="1"/>
  <c r="AW2333" i="1"/>
  <c r="AW2338" i="1"/>
  <c r="AY2262" i="1"/>
  <c r="AT2178" i="1"/>
  <c r="AT2165" i="1"/>
  <c r="AS2244" i="1"/>
  <c r="AS2222" i="1"/>
  <c r="AR2131" i="1"/>
  <c r="AS2389" i="1"/>
  <c r="AT2450" i="1"/>
  <c r="AR2641" i="1"/>
  <c r="AS2778" i="1"/>
  <c r="AT2715" i="1"/>
  <c r="AT2391" i="1"/>
  <c r="AZ2565" i="1"/>
  <c r="AT2413" i="1"/>
  <c r="AS2178" i="1"/>
  <c r="AT2160" i="1"/>
  <c r="AT2317" i="1"/>
  <c r="AR2244" i="1"/>
  <c r="AZ2490" i="1"/>
  <c r="AS2290" i="1"/>
  <c r="AS2434" i="1"/>
  <c r="AZ2670" i="1"/>
  <c r="AS2450" i="1"/>
  <c r="AS2413" i="1"/>
  <c r="AZ2682" i="1"/>
  <c r="AS2160" i="1"/>
  <c r="AY2581" i="1"/>
  <c r="AY2" i="1"/>
  <c r="AW1704" i="1"/>
  <c r="AW1975" i="1"/>
  <c r="AW2002" i="1"/>
  <c r="AS916" i="1"/>
  <c r="AS104" i="1"/>
  <c r="AR104" i="1"/>
  <c r="AT104" i="1"/>
  <c r="AS120" i="1"/>
  <c r="AT120" i="1"/>
  <c r="AS292" i="1"/>
  <c r="AT292" i="1"/>
  <c r="AS308" i="1"/>
  <c r="AT308" i="1"/>
  <c r="AS372" i="1"/>
  <c r="AT372" i="1"/>
  <c r="AR372" i="1"/>
  <c r="AS388" i="1"/>
  <c r="AT388" i="1"/>
  <c r="AS452" i="1"/>
  <c r="AR452" i="1"/>
  <c r="AS628" i="1"/>
  <c r="AR628" i="1"/>
  <c r="AT640" i="1"/>
  <c r="AR640" i="1"/>
  <c r="AR716" i="1"/>
  <c r="AS716" i="1"/>
  <c r="AR780" i="1"/>
  <c r="AS780" i="1"/>
  <c r="AT675" i="1"/>
  <c r="AS88" i="1"/>
  <c r="AR152" i="1"/>
  <c r="AR112" i="1"/>
  <c r="AR600" i="1"/>
  <c r="AS736" i="1"/>
  <c r="AT188" i="1"/>
  <c r="AS416" i="1"/>
  <c r="AR396" i="1"/>
  <c r="AR208" i="1"/>
  <c r="AT184" i="1"/>
  <c r="AT492" i="1"/>
  <c r="AT116" i="1"/>
  <c r="AT740" i="1"/>
  <c r="AY13" i="1"/>
  <c r="AZ13" i="1"/>
  <c r="AS68" i="1"/>
  <c r="AR68" i="1"/>
  <c r="AS216" i="1"/>
  <c r="AR216" i="1"/>
  <c r="AS260" i="1"/>
  <c r="AR260" i="1"/>
  <c r="AT260" i="1"/>
  <c r="AR304" i="1"/>
  <c r="AT304" i="1"/>
  <c r="AS324" i="1"/>
  <c r="AT324" i="1"/>
  <c r="AR324" i="1"/>
  <c r="AS348" i="1"/>
  <c r="AR348" i="1"/>
  <c r="AT348" i="1"/>
  <c r="AR376" i="1"/>
  <c r="AT376" i="1"/>
  <c r="AR624" i="1"/>
  <c r="AS624" i="1"/>
  <c r="AR692" i="1"/>
  <c r="AT692" i="1"/>
  <c r="AS708" i="1"/>
  <c r="AT708" i="1"/>
  <c r="AT724" i="1"/>
  <c r="AS724" i="1"/>
  <c r="AT788" i="1"/>
  <c r="AS788" i="1"/>
  <c r="AT808" i="1"/>
  <c r="AR808" i="1"/>
  <c r="AT64" i="1"/>
  <c r="AS160" i="1"/>
  <c r="AT332" i="1"/>
  <c r="AR816" i="1"/>
  <c r="AT76" i="1"/>
  <c r="AT280" i="1"/>
  <c r="AR392" i="1"/>
  <c r="AT192" i="1"/>
  <c r="AR192" i="1"/>
  <c r="AS60" i="1"/>
  <c r="AT224" i="1"/>
  <c r="AS148" i="1"/>
  <c r="AT124" i="1"/>
  <c r="AT88" i="1"/>
  <c r="AR432" i="1"/>
  <c r="AT132" i="1"/>
  <c r="AT784" i="1"/>
  <c r="AR420" i="1"/>
  <c r="AT6" i="1"/>
  <c r="AS56" i="1"/>
  <c r="AS396" i="1"/>
  <c r="AS64" i="1"/>
  <c r="AR120" i="1"/>
  <c r="AS816" i="1"/>
  <c r="AS76" i="1"/>
  <c r="AR736" i="1"/>
  <c r="AR284" i="1"/>
  <c r="AS384" i="1"/>
  <c r="AS304" i="1"/>
  <c r="AT412" i="1"/>
  <c r="AT84" i="1"/>
  <c r="AR84" i="1"/>
  <c r="AR292" i="1"/>
  <c r="AR116" i="1"/>
  <c r="AS136" i="1"/>
  <c r="AR388" i="1"/>
  <c r="AT744" i="1"/>
  <c r="AS132" i="1"/>
  <c r="AT716" i="1"/>
  <c r="AR21" i="1"/>
  <c r="AS21" i="1"/>
  <c r="AR128" i="1"/>
  <c r="AT128" i="1"/>
  <c r="AS164" i="1"/>
  <c r="AR164" i="1"/>
  <c r="AT180" i="1"/>
  <c r="AS180" i="1"/>
  <c r="AR248" i="1"/>
  <c r="AT248" i="1"/>
  <c r="AT264" i="1"/>
  <c r="AS264" i="1"/>
  <c r="AT296" i="1"/>
  <c r="AS296" i="1"/>
  <c r="AT312" i="1"/>
  <c r="AR312" i="1"/>
  <c r="AS312" i="1"/>
  <c r="AS368" i="1"/>
  <c r="AT368" i="1"/>
  <c r="AR368" i="1"/>
  <c r="AT440" i="1"/>
  <c r="AR440" i="1"/>
  <c r="AT512" i="1"/>
  <c r="AR512" i="1"/>
  <c r="AT524" i="1"/>
  <c r="AR524" i="1"/>
  <c r="AT544" i="1"/>
  <c r="AR544" i="1"/>
  <c r="AS584" i="1"/>
  <c r="AR584" i="1"/>
  <c r="AS620" i="1"/>
  <c r="AT620" i="1"/>
  <c r="AT688" i="1"/>
  <c r="AS688" i="1"/>
  <c r="AS704" i="1"/>
  <c r="AR704" i="1"/>
  <c r="AT720" i="1"/>
  <c r="AS720" i="1"/>
  <c r="AS732" i="1"/>
  <c r="AT732" i="1"/>
  <c r="AT748" i="1"/>
  <c r="AR748" i="1"/>
  <c r="AT252" i="1"/>
  <c r="AT136" i="1"/>
  <c r="AS188" i="1"/>
  <c r="AT68" i="1"/>
  <c r="AT428" i="1"/>
  <c r="AS500" i="1"/>
  <c r="AS140" i="1"/>
  <c r="AR140" i="1"/>
  <c r="AR220" i="1"/>
  <c r="AS220" i="1"/>
  <c r="AS236" i="1"/>
  <c r="AR236" i="1"/>
  <c r="AR256" i="1"/>
  <c r="AT256" i="1"/>
  <c r="AR272" i="1"/>
  <c r="AT272" i="1"/>
  <c r="AS272" i="1"/>
  <c r="AS320" i="1"/>
  <c r="AT320" i="1"/>
  <c r="AS360" i="1"/>
  <c r="AT360" i="1"/>
  <c r="AR404" i="1"/>
  <c r="AT404" i="1"/>
  <c r="AR568" i="1"/>
  <c r="AS568" i="1"/>
  <c r="AS592" i="1"/>
  <c r="AT592" i="1"/>
  <c r="AT792" i="1"/>
  <c r="AR792" i="1"/>
  <c r="AT52" i="1"/>
  <c r="AR196" i="1"/>
  <c r="AS412" i="1"/>
  <c r="AR148" i="1"/>
  <c r="AR296" i="1"/>
  <c r="AS276" i="1"/>
  <c r="AT276" i="1"/>
  <c r="AR92" i="1"/>
  <c r="AR656" i="1"/>
  <c r="AR492" i="1"/>
  <c r="AT17" i="1"/>
  <c r="AT8" i="1"/>
  <c r="AS52" i="1"/>
  <c r="AT232" i="1"/>
  <c r="AT200" i="1"/>
  <c r="AR244" i="1"/>
  <c r="AT284" i="1"/>
  <c r="AS408" i="1"/>
  <c r="AT448" i="1"/>
  <c r="AR160" i="1"/>
  <c r="AR184" i="1"/>
  <c r="AS476" i="1"/>
  <c r="AR708" i="1"/>
  <c r="AT468" i="1"/>
  <c r="AS808" i="1"/>
  <c r="AS444" i="1"/>
  <c r="AS10" i="1"/>
  <c r="AR10" i="1"/>
  <c r="AS156" i="1"/>
  <c r="AR156" i="1"/>
  <c r="AT156" i="1"/>
  <c r="AS212" i="1"/>
  <c r="AR212" i="1"/>
  <c r="AS352" i="1"/>
  <c r="AR352" i="1"/>
  <c r="AT364" i="1"/>
  <c r="AR364" i="1"/>
  <c r="AS364" i="1"/>
  <c r="AS380" i="1"/>
  <c r="AT380" i="1"/>
  <c r="AR380" i="1"/>
  <c r="AT436" i="1"/>
  <c r="AS436" i="1"/>
  <c r="AT804" i="1"/>
  <c r="AR804" i="1"/>
  <c r="AS804" i="1"/>
  <c r="AT420" i="1"/>
  <c r="AS544" i="1"/>
  <c r="AS17" i="1"/>
  <c r="AS48" i="1"/>
  <c r="AT108" i="1"/>
  <c r="AR488" i="1"/>
  <c r="AR200" i="1"/>
  <c r="AT244" i="1"/>
  <c r="AT144" i="1"/>
  <c r="AS72" i="1"/>
  <c r="AR408" i="1"/>
  <c r="AT236" i="1"/>
  <c r="AS96" i="1"/>
  <c r="AR100" i="1"/>
  <c r="AS448" i="1"/>
  <c r="AS680" i="1"/>
  <c r="AT10" i="1"/>
  <c r="AS524" i="1"/>
  <c r="AS428" i="1"/>
  <c r="AS636" i="1"/>
  <c r="AR632" i="1"/>
  <c r="AS440" i="1"/>
  <c r="AR800" i="1"/>
  <c r="AT212" i="1"/>
  <c r="AR56" i="1"/>
  <c r="AR232" i="1"/>
  <c r="AT336" i="1"/>
  <c r="AS288" i="1"/>
  <c r="AS144" i="1"/>
  <c r="AS208" i="1"/>
  <c r="AT384" i="1"/>
  <c r="AR588" i="1"/>
  <c r="AR228" i="1"/>
  <c r="AT432" i="1"/>
  <c r="AS168" i="1"/>
  <c r="AT140" i="1"/>
  <c r="AS424" i="1"/>
  <c r="AR124" i="1"/>
  <c r="AR740" i="1"/>
  <c r="AS472" i="1"/>
  <c r="AT300" i="1"/>
  <c r="AT48" i="1"/>
  <c r="AS748" i="1"/>
  <c r="AS376" i="1"/>
  <c r="AR720" i="1"/>
  <c r="AT800" i="1"/>
  <c r="AT176" i="1"/>
  <c r="AR176" i="1"/>
  <c r="AT268" i="1"/>
  <c r="AS268" i="1"/>
  <c r="AR344" i="1"/>
  <c r="AS344" i="1"/>
  <c r="AT344" i="1"/>
  <c r="AS728" i="1"/>
  <c r="AR728" i="1"/>
  <c r="AS671" i="1"/>
  <c r="AT712" i="1"/>
  <c r="AR6" i="1"/>
  <c r="AR252" i="1"/>
  <c r="AR96" i="1"/>
  <c r="AR712" i="1"/>
  <c r="AT444" i="1"/>
  <c r="AR108" i="1"/>
  <c r="AS128" i="1"/>
  <c r="AS336" i="1"/>
  <c r="AS80" i="1"/>
  <c r="AT288" i="1"/>
  <c r="AT216" i="1"/>
  <c r="AR400" i="1"/>
  <c r="AS404" i="1"/>
  <c r="AS228" i="1"/>
  <c r="AR592" i="1"/>
  <c r="AS256" i="1"/>
  <c r="AR264" i="1"/>
  <c r="AR320" i="1"/>
  <c r="AT92" i="1"/>
  <c r="AT164" i="1"/>
  <c r="AT100" i="1"/>
  <c r="AS640" i="1"/>
  <c r="AT668" i="1"/>
  <c r="AY44" i="1"/>
  <c r="AR268" i="1"/>
  <c r="AR724" i="1"/>
  <c r="AT424" i="1"/>
  <c r="AR360" i="1"/>
  <c r="AT704" i="1"/>
  <c r="AS792" i="1"/>
  <c r="AT1052" i="1"/>
  <c r="AR980" i="1"/>
  <c r="AT824" i="1"/>
  <c r="AT888" i="1"/>
  <c r="AT1024" i="1"/>
  <c r="AS856" i="1"/>
  <c r="AR928" i="1"/>
  <c r="AR1020" i="1"/>
  <c r="AR832" i="1"/>
  <c r="AR1080" i="1"/>
  <c r="AR976" i="1"/>
  <c r="AS948" i="1"/>
  <c r="AS1458" i="1"/>
  <c r="AS1425" i="1"/>
  <c r="AS1393" i="1"/>
  <c r="AS1329" i="1"/>
  <c r="AS1296" i="1"/>
  <c r="AS1264" i="1"/>
  <c r="AS1232" i="1"/>
  <c r="AS1200" i="1"/>
  <c r="AS1168" i="1"/>
  <c r="AS1128" i="1"/>
  <c r="AS1096" i="1"/>
  <c r="AS1064" i="1"/>
  <c r="AR1922" i="1"/>
  <c r="AS1914" i="1"/>
  <c r="AT1786" i="1"/>
  <c r="AT1722" i="1"/>
  <c r="AT1663" i="1"/>
  <c r="AS1874" i="1"/>
  <c r="AT1738" i="1"/>
  <c r="AT1631" i="1"/>
  <c r="AR1519" i="1"/>
  <c r="AS1850" i="1"/>
  <c r="AT1393" i="1"/>
  <c r="AR1417" i="1"/>
  <c r="AS964" i="1"/>
  <c r="AR450" i="1"/>
  <c r="AS458" i="1"/>
  <c r="AR2065" i="1"/>
  <c r="AR1473" i="1"/>
  <c r="AT662" i="1"/>
  <c r="AT1296" i="1"/>
  <c r="AT1088" i="1"/>
  <c r="AR1280" i="1"/>
  <c r="AT1373" i="1"/>
  <c r="AR1004" i="1"/>
  <c r="AR622" i="1"/>
  <c r="AR598" i="1"/>
  <c r="AS904" i="1"/>
  <c r="AR868" i="1"/>
  <c r="AT996" i="1"/>
  <c r="AR828" i="1"/>
  <c r="AT876" i="1"/>
  <c r="AR956" i="1"/>
  <c r="AT860" i="1"/>
  <c r="AR1017" i="1"/>
  <c r="AS1481" i="1"/>
  <c r="AS1450" i="1"/>
  <c r="AS1385" i="1"/>
  <c r="AS1353" i="1"/>
  <c r="AS1321" i="1"/>
  <c r="AS1288" i="1"/>
  <c r="AS1256" i="1"/>
  <c r="AS1224" i="1"/>
  <c r="AS1192" i="1"/>
  <c r="AS1160" i="1"/>
  <c r="AS1120" i="1"/>
  <c r="AS1088" i="1"/>
  <c r="AS1056" i="1"/>
  <c r="AY12" i="1"/>
  <c r="AY2039" i="1"/>
  <c r="AS1762" i="1"/>
  <c r="AT1683" i="1"/>
  <c r="AS1956" i="1"/>
  <c r="AT1771" i="1"/>
  <c r="AT1810" i="1"/>
  <c r="AT1675" i="1"/>
  <c r="AT2011" i="1"/>
  <c r="AS1583" i="1"/>
  <c r="AS1487" i="1"/>
  <c r="AR1232" i="1"/>
  <c r="AR1385" i="1"/>
  <c r="AS1607" i="1"/>
  <c r="AS2060" i="1"/>
  <c r="AR2060" i="1"/>
  <c r="AR534" i="1"/>
  <c r="AR2395" i="1"/>
  <c r="AS1116" i="1"/>
  <c r="AS1084" i="1"/>
  <c r="AR1100" i="1"/>
  <c r="AT1168" i="1"/>
  <c r="AT1353" i="1"/>
  <c r="AS884" i="1"/>
  <c r="AR884" i="1"/>
  <c r="AT828" i="1"/>
  <c r="AR852" i="1"/>
  <c r="AT1020" i="1"/>
  <c r="AS840" i="1"/>
  <c r="AR936" i="1"/>
  <c r="AS1473" i="1"/>
  <c r="AS1441" i="1"/>
  <c r="AS1409" i="1"/>
  <c r="AS1377" i="1"/>
  <c r="AS1345" i="1"/>
  <c r="AS1313" i="1"/>
  <c r="AS1280" i="1"/>
  <c r="AS1248" i="1"/>
  <c r="AS1216" i="1"/>
  <c r="AS1184" i="1"/>
  <c r="AS1152" i="1"/>
  <c r="AS1112" i="1"/>
  <c r="AS1882" i="1"/>
  <c r="AT1679" i="1"/>
  <c r="AS1691" i="1"/>
  <c r="AR1615" i="1"/>
  <c r="AT1802" i="1"/>
  <c r="AR1381" i="1"/>
  <c r="AR1458" i="1"/>
  <c r="AR1256" i="1"/>
  <c r="AR1842" i="1"/>
  <c r="AT2049" i="1"/>
  <c r="AS282" i="1"/>
  <c r="AR1466" i="1"/>
  <c r="AS1309" i="1"/>
  <c r="AS1180" i="1"/>
  <c r="AS1144" i="1"/>
  <c r="AS1108" i="1"/>
  <c r="AS1076" i="1"/>
  <c r="AT1527" i="1"/>
  <c r="AT1224" i="1"/>
  <c r="AS912" i="1"/>
  <c r="AT836" i="1"/>
  <c r="AT916" i="1"/>
  <c r="AT900" i="1"/>
  <c r="AS1466" i="1"/>
  <c r="AS1433" i="1"/>
  <c r="AS1305" i="1"/>
  <c r="AS1240" i="1"/>
  <c r="AS1176" i="1"/>
  <c r="AS1104" i="1"/>
  <c r="AS1072" i="1"/>
  <c r="AT18" i="1"/>
  <c r="AY2028" i="1"/>
  <c r="AZ1942" i="1"/>
  <c r="AS1794" i="1"/>
  <c r="AS1730" i="1"/>
  <c r="AS1746" i="1"/>
  <c r="AR1446" i="1"/>
  <c r="AR1413" i="1"/>
  <c r="AR466" i="1"/>
  <c r="AS474" i="1"/>
  <c r="AR638" i="1"/>
  <c r="AR582" i="1"/>
  <c r="AW2447" i="1"/>
  <c r="AW2460" i="1"/>
  <c r="AW2462" i="1"/>
  <c r="AW2464" i="1"/>
  <c r="AW2466" i="1"/>
  <c r="AW2489" i="1"/>
  <c r="AW2494" i="1"/>
  <c r="AW2502" i="1"/>
  <c r="AW2513" i="1"/>
  <c r="AW2527" i="1"/>
  <c r="AW2532" i="1"/>
  <c r="AW2543" i="1"/>
  <c r="AW2554" i="1"/>
  <c r="AW2559" i="1"/>
  <c r="AW2564" i="1"/>
  <c r="AW2567" i="1"/>
  <c r="AW2638" i="1"/>
  <c r="AW2645" i="1"/>
  <c r="AW2661" i="1"/>
  <c r="AW2664" i="1"/>
  <c r="AW1702" i="1"/>
  <c r="AW1705" i="1"/>
  <c r="AW1939" i="1"/>
  <c r="AW1951" i="1"/>
  <c r="AW1954" i="1"/>
  <c r="AW1956" i="1"/>
  <c r="AW1958" i="1"/>
  <c r="AW1962" i="1"/>
  <c r="AW1968" i="1"/>
  <c r="AW1971" i="1"/>
  <c r="AW1981" i="1"/>
  <c r="AW1995" i="1"/>
  <c r="AW2000" i="1"/>
  <c r="AW2003" i="1"/>
  <c r="AW2011" i="1"/>
  <c r="AW2014" i="1"/>
  <c r="AW2020" i="1"/>
  <c r="AW2023" i="1"/>
  <c r="AW2030" i="1"/>
  <c r="AW2041" i="1"/>
  <c r="AW2051" i="1"/>
  <c r="AW2058" i="1"/>
  <c r="AW2065" i="1"/>
  <c r="AW2070" i="1"/>
  <c r="AW2075" i="1"/>
  <c r="AW2078" i="1"/>
  <c r="AW2080" i="1"/>
  <c r="AW2100" i="1"/>
  <c r="AW2109" i="1"/>
  <c r="AW2116" i="1"/>
  <c r="AW2121" i="1"/>
  <c r="AW2137" i="1"/>
  <c r="AW2139" i="1"/>
  <c r="AW2142" i="1"/>
  <c r="AW2145" i="1"/>
  <c r="AW2151" i="1"/>
  <c r="AW2154" i="1"/>
  <c r="AW2157" i="1"/>
  <c r="AW2160" i="1"/>
  <c r="AW2162" i="1"/>
  <c r="AW2165" i="1"/>
  <c r="AW2168" i="1"/>
  <c r="AW2170" i="1"/>
  <c r="AW2173" i="1"/>
  <c r="AW2178" i="1"/>
  <c r="AW2180" i="1"/>
  <c r="AW2184" i="1"/>
  <c r="AW2192" i="1"/>
  <c r="AW2194" i="1"/>
  <c r="AW2202" i="1"/>
  <c r="AW2205" i="1"/>
  <c r="AW2208" i="1"/>
  <c r="AW2211" i="1"/>
  <c r="AW2214" i="1"/>
  <c r="AW2217" i="1"/>
  <c r="AW2220" i="1"/>
  <c r="AW2222" i="1"/>
  <c r="AW2232" i="1"/>
  <c r="AW2235" i="1"/>
  <c r="AW2244" i="1"/>
  <c r="AW2247" i="1"/>
  <c r="AW2249" i="1"/>
  <c r="AW2251" i="1"/>
  <c r="AW2257" i="1"/>
  <c r="AW2266" i="1"/>
  <c r="AW2273" i="1"/>
  <c r="AW2276" i="1"/>
  <c r="AW2287" i="1"/>
  <c r="AW2290" i="1"/>
  <c r="AW2292" i="1"/>
  <c r="AW2299" i="1"/>
  <c r="AW2309" i="1"/>
  <c r="AW2312" i="1"/>
  <c r="AW2318" i="1"/>
  <c r="AW2334" i="1"/>
  <c r="AW2336" i="1"/>
  <c r="AW2341" i="1"/>
  <c r="AW2343" i="1"/>
  <c r="AW2358" i="1"/>
  <c r="AW2363" i="1"/>
  <c r="AW2365" i="1"/>
  <c r="AW2368" i="1"/>
  <c r="AW2370" i="1"/>
  <c r="AW2379" i="1"/>
  <c r="AW2384" i="1"/>
  <c r="AW2386" i="1"/>
  <c r="AW2389" i="1"/>
  <c r="AW2391" i="1"/>
  <c r="AW2395" i="1"/>
  <c r="AW2397" i="1"/>
  <c r="AW2400" i="1"/>
  <c r="AW2405" i="1"/>
  <c r="AW2507" i="1"/>
  <c r="AW2516" i="1"/>
  <c r="AW2525" i="1"/>
  <c r="AW2535" i="1"/>
  <c r="AW2540" i="1"/>
  <c r="AW2593" i="1"/>
  <c r="AW2603" i="1"/>
  <c r="AW2621" i="1"/>
  <c r="AW2623" i="1"/>
  <c r="AW2633" i="1"/>
  <c r="AW2641" i="1"/>
  <c r="AW2675" i="1"/>
  <c r="AW2687" i="1"/>
  <c r="AW2696" i="1"/>
  <c r="AW2700" i="1"/>
  <c r="AW2703" i="1"/>
  <c r="AW2708" i="1"/>
  <c r="AW2720" i="1"/>
  <c r="AW2723" i="1"/>
  <c r="AW2727" i="1"/>
  <c r="AW2731" i="1"/>
  <c r="AW2741" i="1"/>
  <c r="AW2754" i="1"/>
  <c r="AW2766" i="1"/>
  <c r="AW2716" i="1"/>
  <c r="AW2308" i="1"/>
  <c r="AW10" i="1"/>
  <c r="AW12" i="1"/>
  <c r="AW21" i="1"/>
  <c r="AW2509" i="1"/>
  <c r="AW1990" i="1"/>
  <c r="AW2138" i="1"/>
  <c r="AW2177" i="1"/>
  <c r="AW2206" i="1"/>
  <c r="AW2248" i="1"/>
  <c r="AW2250" i="1"/>
  <c r="AW2452" i="1"/>
  <c r="AY6" i="1"/>
  <c r="AZ6" i="1"/>
  <c r="AS14" i="1"/>
  <c r="AR14" i="1"/>
  <c r="AT14" i="1"/>
  <c r="AY17" i="1"/>
  <c r="AZ17" i="1"/>
  <c r="AY19" i="1"/>
  <c r="AZ19" i="1"/>
  <c r="AR45" i="1"/>
  <c r="AS45" i="1"/>
  <c r="AT45" i="1"/>
  <c r="AS93" i="1"/>
  <c r="AT93" i="1"/>
  <c r="AR93" i="1"/>
  <c r="AS109" i="1"/>
  <c r="AT109" i="1"/>
  <c r="AR109" i="1"/>
  <c r="AS137" i="1"/>
  <c r="AR137" i="1"/>
  <c r="AS145" i="1"/>
  <c r="AT145" i="1"/>
  <c r="AR145" i="1"/>
  <c r="AS153" i="1"/>
  <c r="AR153" i="1"/>
  <c r="AS161" i="1"/>
  <c r="AR161" i="1"/>
  <c r="AS169" i="1"/>
  <c r="AR169" i="1"/>
  <c r="AS173" i="1"/>
  <c r="AT173" i="1"/>
  <c r="AR173" i="1"/>
  <c r="AS181" i="1"/>
  <c r="AR181" i="1"/>
  <c r="AT181" i="1"/>
  <c r="AS193" i="1"/>
  <c r="AR193" i="1"/>
  <c r="AR201" i="1"/>
  <c r="AS201" i="1"/>
  <c r="AS221" i="1"/>
  <c r="AR221" i="1"/>
  <c r="AS241" i="1"/>
  <c r="AT241" i="1"/>
  <c r="AR241" i="1"/>
  <c r="AR249" i="1"/>
  <c r="AT249" i="1"/>
  <c r="AS249" i="1"/>
  <c r="AR257" i="1"/>
  <c r="AT257" i="1"/>
  <c r="AS257" i="1"/>
  <c r="AS294" i="1"/>
  <c r="AT294" i="1"/>
  <c r="AR294" i="1"/>
  <c r="AR301" i="1"/>
  <c r="AT301" i="1"/>
  <c r="AS301" i="1"/>
  <c r="AR309" i="1"/>
  <c r="AT309" i="1"/>
  <c r="AS309" i="1"/>
  <c r="AR333" i="1"/>
  <c r="AS333" i="1"/>
  <c r="AT333" i="1"/>
  <c r="AS341" i="1"/>
  <c r="AT341" i="1"/>
  <c r="AR341" i="1"/>
  <c r="AS349" i="1"/>
  <c r="AR349" i="1"/>
  <c r="AR369" i="1"/>
  <c r="AS369" i="1"/>
  <c r="AS377" i="1"/>
  <c r="AT377" i="1"/>
  <c r="AR377" i="1"/>
  <c r="AS385" i="1"/>
  <c r="AT385" i="1"/>
  <c r="AR385" i="1"/>
  <c r="AS393" i="1"/>
  <c r="AT393" i="1"/>
  <c r="AR393" i="1"/>
  <c r="AS397" i="1"/>
  <c r="AR397" i="1"/>
  <c r="AS405" i="1"/>
  <c r="AT405" i="1"/>
  <c r="AR405" i="1"/>
  <c r="AS409" i="1"/>
  <c r="AR409" i="1"/>
  <c r="AT409" i="1"/>
  <c r="AS417" i="1"/>
  <c r="AR417" i="1"/>
  <c r="AS425" i="1"/>
  <c r="AT425" i="1"/>
  <c r="AR425" i="1"/>
  <c r="AS429" i="1"/>
  <c r="AR429" i="1"/>
  <c r="AT429" i="1"/>
  <c r="AS437" i="1"/>
  <c r="AR437" i="1"/>
  <c r="AT437" i="1"/>
  <c r="AS445" i="1"/>
  <c r="AR445" i="1"/>
  <c r="AT445" i="1"/>
  <c r="AS453" i="1"/>
  <c r="AR453" i="1"/>
  <c r="AT453" i="1"/>
  <c r="AS473" i="1"/>
  <c r="AT473" i="1"/>
  <c r="AR473" i="1"/>
  <c r="AS481" i="1"/>
  <c r="AR481" i="1"/>
  <c r="AT481" i="1"/>
  <c r="AS489" i="1"/>
  <c r="AT489" i="1"/>
  <c r="AR489" i="1"/>
  <c r="AS501" i="1"/>
  <c r="AT501" i="1"/>
  <c r="AR501" i="1"/>
  <c r="AS505" i="1"/>
  <c r="AR505" i="1"/>
  <c r="AT505" i="1"/>
  <c r="AR521" i="1"/>
  <c r="AT521" i="1"/>
  <c r="AS521" i="1"/>
  <c r="AR529" i="1"/>
  <c r="AS529" i="1"/>
  <c r="AT529" i="1"/>
  <c r="AT537" i="1"/>
  <c r="AR537" i="1"/>
  <c r="AS537" i="1"/>
  <c r="AT545" i="1"/>
  <c r="AS545" i="1"/>
  <c r="AR545" i="1"/>
  <c r="AS549" i="1"/>
  <c r="AR549" i="1"/>
  <c r="AT549" i="1"/>
  <c r="AR565" i="1"/>
  <c r="AT565" i="1"/>
  <c r="AT585" i="1"/>
  <c r="AR585" i="1"/>
  <c r="AS585" i="1"/>
  <c r="AT589" i="1"/>
  <c r="AS589" i="1"/>
  <c r="AR589" i="1"/>
  <c r="AS597" i="1"/>
  <c r="AR597" i="1"/>
  <c r="AT597" i="1"/>
  <c r="AS605" i="1"/>
  <c r="AR605" i="1"/>
  <c r="AS613" i="1"/>
  <c r="AR613" i="1"/>
  <c r="AR621" i="1"/>
  <c r="AT621" i="1"/>
  <c r="AT629" i="1"/>
  <c r="AR629" i="1"/>
  <c r="AS629" i="1"/>
  <c r="AS637" i="1"/>
  <c r="AT637" i="1"/>
  <c r="AR637" i="1"/>
  <c r="AR641" i="1"/>
  <c r="AS641" i="1"/>
  <c r="AT641" i="1"/>
  <c r="AS645" i="1"/>
  <c r="AT645" i="1"/>
  <c r="AR645" i="1"/>
  <c r="AR649" i="1"/>
  <c r="AT649" i="1"/>
  <c r="AS653" i="1"/>
  <c r="AT653" i="1"/>
  <c r="AR653" i="1"/>
  <c r="AR657" i="1"/>
  <c r="AS657" i="1"/>
  <c r="AT657" i="1"/>
  <c r="AT697" i="1"/>
  <c r="AS697" i="1"/>
  <c r="AS705" i="1"/>
  <c r="AT705" i="1"/>
  <c r="AR705" i="1"/>
  <c r="AS709" i="1"/>
  <c r="AT709" i="1"/>
  <c r="AR709" i="1"/>
  <c r="AT725" i="1"/>
  <c r="AS725" i="1"/>
  <c r="AR725" i="1"/>
  <c r="AS729" i="1"/>
  <c r="AT729" i="1"/>
  <c r="AR729" i="1"/>
  <c r="AS733" i="1"/>
  <c r="AT733" i="1"/>
  <c r="AR733" i="1"/>
  <c r="AS737" i="1"/>
  <c r="AT737" i="1"/>
  <c r="AR737" i="1"/>
  <c r="AS741" i="1"/>
  <c r="AT741" i="1"/>
  <c r="AR741" i="1"/>
  <c r="AR745" i="1"/>
  <c r="AS745" i="1"/>
  <c r="AT745" i="1"/>
  <c r="AS749" i="1"/>
  <c r="AT749" i="1"/>
  <c r="AR749" i="1"/>
  <c r="AR753" i="1"/>
  <c r="AS753" i="1"/>
  <c r="AT753" i="1"/>
  <c r="AS757" i="1"/>
  <c r="AR757" i="1"/>
  <c r="AS765" i="1"/>
  <c r="AT765" i="1"/>
  <c r="AR765" i="1"/>
  <c r="AT769" i="1"/>
  <c r="AS769" i="1"/>
  <c r="AR769" i="1"/>
  <c r="AS777" i="1"/>
  <c r="AT777" i="1"/>
  <c r="AR777" i="1"/>
  <c r="AS781" i="1"/>
  <c r="AT781" i="1"/>
  <c r="AR781" i="1"/>
  <c r="AR785" i="1"/>
  <c r="AS785" i="1"/>
  <c r="AT785" i="1"/>
  <c r="AR789" i="1"/>
  <c r="AT789" i="1"/>
  <c r="AS793" i="1"/>
  <c r="AT793" i="1"/>
  <c r="AR793" i="1"/>
  <c r="AR797" i="1"/>
  <c r="AS797" i="1"/>
  <c r="AT797" i="1"/>
  <c r="AS801" i="1"/>
  <c r="AT801" i="1"/>
  <c r="AR801" i="1"/>
  <c r="AS805" i="1"/>
  <c r="AT805" i="1"/>
  <c r="AR805" i="1"/>
  <c r="AT809" i="1"/>
  <c r="AS809" i="1"/>
  <c r="AR809" i="1"/>
  <c r="AS813" i="1"/>
  <c r="AT813" i="1"/>
  <c r="AR817" i="1"/>
  <c r="AS817" i="1"/>
  <c r="AT817" i="1"/>
  <c r="AS821" i="1"/>
  <c r="AR821" i="1"/>
  <c r="AT821" i="1"/>
  <c r="AT825" i="1"/>
  <c r="AR825" i="1"/>
  <c r="AS825" i="1"/>
  <c r="AS829" i="1"/>
  <c r="AT829" i="1"/>
  <c r="AR829" i="1"/>
  <c r="AR833" i="1"/>
  <c r="AS833" i="1"/>
  <c r="AT833" i="1"/>
  <c r="AR837" i="1"/>
  <c r="AS837" i="1"/>
  <c r="AT837" i="1"/>
  <c r="AS841" i="1"/>
  <c r="AT841" i="1"/>
  <c r="AR841" i="1"/>
  <c r="AS845" i="1"/>
  <c r="AR845" i="1"/>
  <c r="AR849" i="1"/>
  <c r="AT849" i="1"/>
  <c r="AS849" i="1"/>
  <c r="AR853" i="1"/>
  <c r="AS853" i="1"/>
  <c r="AT853" i="1"/>
  <c r="AS857" i="1"/>
  <c r="AT857" i="1"/>
  <c r="AR857" i="1"/>
  <c r="AS861" i="1"/>
  <c r="AT861" i="1"/>
  <c r="AR861" i="1"/>
  <c r="AR865" i="1"/>
  <c r="AS865" i="1"/>
  <c r="AT865" i="1"/>
  <c r="AT869" i="1"/>
  <c r="AS869" i="1"/>
  <c r="AR869" i="1"/>
  <c r="AT873" i="1"/>
  <c r="AS873" i="1"/>
  <c r="AR873" i="1"/>
  <c r="AS877" i="1"/>
  <c r="AT877" i="1"/>
  <c r="AR877" i="1"/>
  <c r="AR881" i="1"/>
  <c r="AS881" i="1"/>
  <c r="AT881" i="1"/>
  <c r="AT885" i="1"/>
  <c r="AR885" i="1"/>
  <c r="AS885" i="1"/>
  <c r="AR889" i="1"/>
  <c r="AS889" i="1"/>
  <c r="AT889" i="1"/>
  <c r="AR893" i="1"/>
  <c r="AS893" i="1"/>
  <c r="AT893" i="1"/>
  <c r="AS901" i="1"/>
  <c r="AT901" i="1"/>
  <c r="AR901" i="1"/>
  <c r="AR905" i="1"/>
  <c r="AS905" i="1"/>
  <c r="AT905" i="1"/>
  <c r="AT909" i="1"/>
  <c r="AS909" i="1"/>
  <c r="AR909" i="1"/>
  <c r="AT913" i="1"/>
  <c r="AR913" i="1"/>
  <c r="AS913" i="1"/>
  <c r="AS965" i="1"/>
  <c r="AR965" i="1"/>
  <c r="AT965" i="1"/>
  <c r="AS969" i="1"/>
  <c r="AR969" i="1"/>
  <c r="AT969" i="1"/>
  <c r="AT973" i="1"/>
  <c r="AS973" i="1"/>
  <c r="AR973" i="1"/>
  <c r="AT977" i="1"/>
  <c r="AS977" i="1"/>
  <c r="AR977" i="1"/>
  <c r="AS981" i="1"/>
  <c r="AR981" i="1"/>
  <c r="AT981" i="1"/>
  <c r="AS985" i="1"/>
  <c r="AT985" i="1"/>
  <c r="AR985" i="1"/>
  <c r="AS988" i="1"/>
  <c r="AR988" i="1"/>
  <c r="AT988" i="1"/>
  <c r="AS993" i="1"/>
  <c r="AT993" i="1"/>
  <c r="AR993" i="1"/>
  <c r="AT997" i="1"/>
  <c r="AS997" i="1"/>
  <c r="AR997" i="1"/>
  <c r="AS1001" i="1"/>
  <c r="AT1001" i="1"/>
  <c r="AR1001" i="1"/>
  <c r="AT1005" i="1"/>
  <c r="AS1005" i="1"/>
  <c r="AR1005" i="1"/>
  <c r="AR1009" i="1"/>
  <c r="AS1009" i="1"/>
  <c r="AT1009" i="1"/>
  <c r="AT1013" i="1"/>
  <c r="AS1013" i="1"/>
  <c r="AS1014" i="1"/>
  <c r="AT1014" i="1"/>
  <c r="AR1014" i="1"/>
  <c r="AT1021" i="1"/>
  <c r="AS1021" i="1"/>
  <c r="AR1021" i="1"/>
  <c r="AS1025" i="1"/>
  <c r="AT1025" i="1"/>
  <c r="AR1025" i="1"/>
  <c r="AT1029" i="1"/>
  <c r="AS1029" i="1"/>
  <c r="AR1029" i="1"/>
  <c r="AT1033" i="1"/>
  <c r="AR1033" i="1"/>
  <c r="AT1037" i="1"/>
  <c r="AS1037" i="1"/>
  <c r="AR1037" i="1"/>
  <c r="AR1041" i="1"/>
  <c r="AT1041" i="1"/>
  <c r="AS1041" i="1"/>
  <c r="AS1045" i="1"/>
  <c r="AR1045" i="1"/>
  <c r="AT1045" i="1"/>
  <c r="AS1049" i="1"/>
  <c r="AT1049" i="1"/>
  <c r="AR1049" i="1"/>
  <c r="AS1053" i="1"/>
  <c r="AR1053" i="1"/>
  <c r="AT1053" i="1"/>
  <c r="AR1057" i="1"/>
  <c r="AT1057" i="1"/>
  <c r="AS1057" i="1"/>
  <c r="AR1061" i="1"/>
  <c r="AS1061" i="1"/>
  <c r="AT1061" i="1"/>
  <c r="AR1069" i="1"/>
  <c r="AT1069" i="1"/>
  <c r="AS1069" i="1"/>
  <c r="AR1073" i="1"/>
  <c r="AT1073" i="1"/>
  <c r="AS1073" i="1"/>
  <c r="AR1077" i="1"/>
  <c r="AS1077" i="1"/>
  <c r="AT1077" i="1"/>
  <c r="AR1081" i="1"/>
  <c r="AT1081" i="1"/>
  <c r="AS1081" i="1"/>
  <c r="AR1093" i="1"/>
  <c r="AT1093" i="1"/>
  <c r="AS1093" i="1"/>
  <c r="AS1097" i="1"/>
  <c r="AR1097" i="1"/>
  <c r="AT1097" i="1"/>
  <c r="AR1101" i="1"/>
  <c r="AT1101" i="1"/>
  <c r="AS1101" i="1"/>
  <c r="AR1105" i="1"/>
  <c r="AT1105" i="1"/>
  <c r="AS1105" i="1"/>
  <c r="AR1125" i="1"/>
  <c r="AT1125" i="1"/>
  <c r="AS1125" i="1"/>
  <c r="AR1129" i="1"/>
  <c r="AT1129" i="1"/>
  <c r="AS1129" i="1"/>
  <c r="AR1133" i="1"/>
  <c r="AT1133" i="1"/>
  <c r="AS1133" i="1"/>
  <c r="AR1137" i="1"/>
  <c r="AT1137" i="1"/>
  <c r="AS1137" i="1"/>
  <c r="AR1141" i="1"/>
  <c r="AT1141" i="1"/>
  <c r="AS1161" i="1"/>
  <c r="AR1161" i="1"/>
  <c r="AT1161" i="1"/>
  <c r="AS1165" i="1"/>
  <c r="AR1165" i="1"/>
  <c r="AT1165" i="1"/>
  <c r="AS1169" i="1"/>
  <c r="AR1169" i="1"/>
  <c r="AS1185" i="1"/>
  <c r="AR1185" i="1"/>
  <c r="AT1185" i="1"/>
  <c r="AR1189" i="1"/>
  <c r="AS1189" i="1"/>
  <c r="AS1193" i="1"/>
  <c r="AR1193" i="1"/>
  <c r="AT1193" i="1"/>
  <c r="AR1205" i="1"/>
  <c r="AS1205" i="1"/>
  <c r="AR1209" i="1"/>
  <c r="AS1209" i="1"/>
  <c r="AS1217" i="1"/>
  <c r="AT1217" i="1"/>
  <c r="AR1221" i="1"/>
  <c r="AS1221" i="1"/>
  <c r="AR1225" i="1"/>
  <c r="AS1225" i="1"/>
  <c r="AR1233" i="1"/>
  <c r="AS1233" i="1"/>
  <c r="AS1265" i="1"/>
  <c r="AR1265" i="1"/>
  <c r="AT1265" i="1"/>
  <c r="AT1289" i="1"/>
  <c r="AR1289" i="1"/>
  <c r="AT1301" i="1"/>
  <c r="AR1301" i="1"/>
  <c r="AR1318" i="1"/>
  <c r="AT1318" i="1"/>
  <c r="AT1334" i="1"/>
  <c r="AR1334" i="1"/>
  <c r="AR1346" i="1"/>
  <c r="AT1346" i="1"/>
  <c r="AS1346" i="1"/>
  <c r="AR1350" i="1"/>
  <c r="AT1350" i="1"/>
  <c r="AR1354" i="1"/>
  <c r="AT1354" i="1"/>
  <c r="AS1358" i="1"/>
  <c r="AR1358" i="1"/>
  <c r="AR1362" i="1"/>
  <c r="AS1362" i="1"/>
  <c r="AT1362" i="1"/>
  <c r="AR1366" i="1"/>
  <c r="AT1366" i="1"/>
  <c r="AS1366" i="1"/>
  <c r="AR1370" i="1"/>
  <c r="AT1370" i="1"/>
  <c r="AS1370" i="1"/>
  <c r="AS1374" i="1"/>
  <c r="AR1374" i="1"/>
  <c r="AT1374" i="1"/>
  <c r="AR1382" i="1"/>
  <c r="AT1382" i="1"/>
  <c r="AS1382" i="1"/>
  <c r="AR1387" i="1"/>
  <c r="AT1387" i="1"/>
  <c r="AS1387" i="1"/>
  <c r="AS1390" i="1"/>
  <c r="AR1390" i="1"/>
  <c r="AT1390" i="1"/>
  <c r="AT1394" i="1"/>
  <c r="AR1394" i="1"/>
  <c r="AS1394" i="1"/>
  <c r="AS1398" i="1"/>
  <c r="AR1398" i="1"/>
  <c r="AR1402" i="1"/>
  <c r="AT1402" i="1"/>
  <c r="AS1402" i="1"/>
  <c r="AS1406" i="1"/>
  <c r="AR1406" i="1"/>
  <c r="AT1406" i="1"/>
  <c r="AR1410" i="1"/>
  <c r="AT1410" i="1"/>
  <c r="AS1410" i="1"/>
  <c r="AT1414" i="1"/>
  <c r="AR1414" i="1"/>
  <c r="AS1414" i="1"/>
  <c r="AS1418" i="1"/>
  <c r="AT1418" i="1"/>
  <c r="AR1418" i="1"/>
  <c r="AS1422" i="1"/>
  <c r="AR1422" i="1"/>
  <c r="AT1422" i="1"/>
  <c r="AS1426" i="1"/>
  <c r="AR1426" i="1"/>
  <c r="AT1426" i="1"/>
  <c r="AS1430" i="1"/>
  <c r="AR1430" i="1"/>
  <c r="AR1434" i="1"/>
  <c r="AT1434" i="1"/>
  <c r="AS1434" i="1"/>
  <c r="AS1438" i="1"/>
  <c r="AR1438" i="1"/>
  <c r="AT1438" i="1"/>
  <c r="AT1443" i="1"/>
  <c r="AS1443" i="1"/>
  <c r="AR1443" i="1"/>
  <c r="AS1447" i="1"/>
  <c r="AR1447" i="1"/>
  <c r="AT1447" i="1"/>
  <c r="AR1451" i="1"/>
  <c r="AT1451" i="1"/>
  <c r="AS1451" i="1"/>
  <c r="AR1455" i="1"/>
  <c r="AT1455" i="1"/>
  <c r="AS1455" i="1"/>
  <c r="AR1459" i="1"/>
  <c r="AS1459" i="1"/>
  <c r="AR1463" i="1"/>
  <c r="AT1463" i="1"/>
  <c r="AS1463" i="1"/>
  <c r="AR1467" i="1"/>
  <c r="AT1467" i="1"/>
  <c r="AS1467" i="1"/>
  <c r="AR1304" i="1"/>
  <c r="AT1304" i="1"/>
  <c r="AS1304" i="1"/>
  <c r="AR1474" i="1"/>
  <c r="AT1474" i="1"/>
  <c r="AS1474" i="1"/>
  <c r="AR1478" i="1"/>
  <c r="AT1478" i="1"/>
  <c r="AS1478" i="1"/>
  <c r="AR1482" i="1"/>
  <c r="AT1482" i="1"/>
  <c r="AS1482" i="1"/>
  <c r="AT1486" i="1"/>
  <c r="AR1486" i="1"/>
  <c r="AS1486" i="1"/>
  <c r="AS1488" i="1"/>
  <c r="AR1488" i="1"/>
  <c r="AT1488" i="1"/>
  <c r="AS1492" i="1"/>
  <c r="AR1492" i="1"/>
  <c r="AT1492" i="1"/>
  <c r="AS1496" i="1"/>
  <c r="AR1496" i="1"/>
  <c r="AT1496" i="1"/>
  <c r="AS1500" i="1"/>
  <c r="AR1500" i="1"/>
  <c r="AT1500" i="1"/>
  <c r="AS1504" i="1"/>
  <c r="AT1504" i="1"/>
  <c r="AR1504" i="1"/>
  <c r="AR1508" i="1"/>
  <c r="AT1508" i="1"/>
  <c r="AS1508" i="1"/>
  <c r="AT1512" i="1"/>
  <c r="AS1512" i="1"/>
  <c r="AR1512" i="1"/>
  <c r="AS1516" i="1"/>
  <c r="AT1516" i="1"/>
  <c r="AR1516" i="1"/>
  <c r="AS1524" i="1"/>
  <c r="AT1524" i="1"/>
  <c r="AR1524" i="1"/>
  <c r="AS1532" i="1"/>
  <c r="AR1532" i="1"/>
  <c r="AT1532" i="1"/>
  <c r="AZ4" i="1"/>
  <c r="AY4" i="1"/>
  <c r="AZ8" i="1"/>
  <c r="AY8" i="1"/>
  <c r="AR61" i="1"/>
  <c r="AS61" i="1"/>
  <c r="AT61" i="1"/>
  <c r="AS121" i="1"/>
  <c r="AT121" i="1"/>
  <c r="AR121" i="1"/>
  <c r="AS125" i="1"/>
  <c r="AR125" i="1"/>
  <c r="AS133" i="1"/>
  <c r="AR133" i="1"/>
  <c r="AS141" i="1"/>
  <c r="AR141" i="1"/>
  <c r="AS149" i="1"/>
  <c r="AR149" i="1"/>
  <c r="AT149" i="1"/>
  <c r="AS157" i="1"/>
  <c r="AR157" i="1"/>
  <c r="AS165" i="1"/>
  <c r="AR165" i="1"/>
  <c r="AS185" i="1"/>
  <c r="AR185" i="1"/>
  <c r="AS225" i="1"/>
  <c r="AR225" i="1"/>
  <c r="AS237" i="1"/>
  <c r="AR237" i="1"/>
  <c r="AS245" i="1"/>
  <c r="AT245" i="1"/>
  <c r="AR245" i="1"/>
  <c r="AS253" i="1"/>
  <c r="AT253" i="1"/>
  <c r="AR253" i="1"/>
  <c r="AR261" i="1"/>
  <c r="AT261" i="1"/>
  <c r="AR265" i="1"/>
  <c r="AS265" i="1"/>
  <c r="AT265" i="1"/>
  <c r="AS289" i="1"/>
  <c r="AR289" i="1"/>
  <c r="AT289" i="1"/>
  <c r="AS297" i="1"/>
  <c r="AT297" i="1"/>
  <c r="AR297" i="1"/>
  <c r="AR305" i="1"/>
  <c r="AT305" i="1"/>
  <c r="AS305" i="1"/>
  <c r="AS313" i="1"/>
  <c r="AR313" i="1"/>
  <c r="AS317" i="1"/>
  <c r="AT317" i="1"/>
  <c r="AR317" i="1"/>
  <c r="AR345" i="1"/>
  <c r="AT345" i="1"/>
  <c r="AS353" i="1"/>
  <c r="AR353" i="1"/>
  <c r="AT353" i="1"/>
  <c r="AR365" i="1"/>
  <c r="AS365" i="1"/>
  <c r="AT365" i="1"/>
  <c r="AR373" i="1"/>
  <c r="AT373" i="1"/>
  <c r="AS373" i="1"/>
  <c r="AS381" i="1"/>
  <c r="AR381" i="1"/>
  <c r="AR389" i="1"/>
  <c r="AT389" i="1"/>
  <c r="AS389" i="1"/>
  <c r="AS421" i="1"/>
  <c r="AR421" i="1"/>
  <c r="AS441" i="1"/>
  <c r="AR441" i="1"/>
  <c r="AT441" i="1"/>
  <c r="AS449" i="1"/>
  <c r="AT449" i="1"/>
  <c r="AR449" i="1"/>
  <c r="AS457" i="1"/>
  <c r="AT457" i="1"/>
  <c r="AR457" i="1"/>
  <c r="AS461" i="1"/>
  <c r="AT461" i="1"/>
  <c r="AR461" i="1"/>
  <c r="AS477" i="1"/>
  <c r="AT477" i="1"/>
  <c r="AR477" i="1"/>
  <c r="AS485" i="1"/>
  <c r="AT485" i="1"/>
  <c r="AR485" i="1"/>
  <c r="AS497" i="1"/>
  <c r="AT497" i="1"/>
  <c r="AR497" i="1"/>
  <c r="AR509" i="1"/>
  <c r="AS509" i="1"/>
  <c r="AT509" i="1"/>
  <c r="AR525" i="1"/>
  <c r="AS525" i="1"/>
  <c r="AR533" i="1"/>
  <c r="AS533" i="1"/>
  <c r="AT533" i="1"/>
  <c r="AS541" i="1"/>
  <c r="AR541" i="1"/>
  <c r="AT541" i="1"/>
  <c r="AS569" i="1"/>
  <c r="AR569" i="1"/>
  <c r="AT569" i="1"/>
  <c r="AR573" i="1"/>
  <c r="AS573" i="1"/>
  <c r="AT573" i="1"/>
  <c r="AR581" i="1"/>
  <c r="AS581" i="1"/>
  <c r="AT581" i="1"/>
  <c r="AR601" i="1"/>
  <c r="AT601" i="1"/>
  <c r="AR609" i="1"/>
  <c r="AT609" i="1"/>
  <c r="AS617" i="1"/>
  <c r="AT617" i="1"/>
  <c r="AR617" i="1"/>
  <c r="AR625" i="1"/>
  <c r="AS625" i="1"/>
  <c r="AT625" i="1"/>
  <c r="AR633" i="1"/>
  <c r="AS633" i="1"/>
  <c r="AT633" i="1"/>
  <c r="AS1173" i="1"/>
  <c r="AR1173" i="1"/>
  <c r="AT1173" i="1"/>
  <c r="AS789" i="1"/>
  <c r="AS1141" i="1"/>
  <c r="AS1033" i="1"/>
  <c r="AR513" i="1"/>
  <c r="AT513" i="1"/>
  <c r="AR517" i="1"/>
  <c r="AS517" i="1"/>
  <c r="AT517" i="1"/>
  <c r="AT1358" i="1"/>
  <c r="AS345" i="1"/>
  <c r="AS261" i="1"/>
  <c r="AR1013" i="1"/>
  <c r="AR233" i="1"/>
  <c r="AS233" i="1"/>
  <c r="AT233" i="1"/>
  <c r="AS609" i="1"/>
  <c r="AT165" i="1"/>
  <c r="AS493" i="1"/>
  <c r="AT493" i="1"/>
  <c r="AR493" i="1"/>
  <c r="AS565" i="1"/>
  <c r="AS649" i="1"/>
  <c r="AS1177" i="1"/>
  <c r="AT1169" i="1"/>
  <c r="AT525" i="1"/>
  <c r="AR813" i="1"/>
  <c r="AT125" i="1"/>
  <c r="AS129" i="1"/>
  <c r="AT2102" i="1"/>
  <c r="AR2102" i="1"/>
  <c r="AS2102" i="1"/>
  <c r="AS2133" i="1"/>
  <c r="AT2133" i="1"/>
  <c r="AR2133" i="1"/>
  <c r="AR2402" i="1"/>
  <c r="AT2402" i="1"/>
  <c r="AS2402" i="1"/>
  <c r="AS2407" i="1"/>
  <c r="AR2407" i="1"/>
  <c r="AT2407" i="1"/>
  <c r="AZ2432" i="1"/>
  <c r="AY2432" i="1"/>
  <c r="AT2442" i="1"/>
  <c r="AR2442" i="1"/>
  <c r="AT2449" i="1"/>
  <c r="AR2449" i="1"/>
  <c r="AS2449" i="1"/>
  <c r="AR2453" i="1"/>
  <c r="AT2453" i="1"/>
  <c r="AY2469" i="1"/>
  <c r="AZ2469" i="1"/>
  <c r="AR2475" i="1"/>
  <c r="AS2475" i="1"/>
  <c r="AR2477" i="1"/>
  <c r="AT2477" i="1"/>
  <c r="AS2477" i="1"/>
  <c r="AZ2511" i="1"/>
  <c r="AY2511" i="1"/>
  <c r="AR2519" i="1"/>
  <c r="AT2519" i="1"/>
  <c r="AZ2520" i="1"/>
  <c r="AY2520" i="1"/>
  <c r="AS2522" i="1"/>
  <c r="AR2522" i="1"/>
  <c r="AY2552" i="1"/>
  <c r="AZ2552" i="1"/>
  <c r="AZ2555" i="1"/>
  <c r="AY2555" i="1"/>
  <c r="AY2587" i="1"/>
  <c r="AZ2587" i="1"/>
  <c r="AR2606" i="1"/>
  <c r="AS2606" i="1"/>
  <c r="AR2618" i="1"/>
  <c r="AT2618" i="1"/>
  <c r="AS2618" i="1"/>
  <c r="AY2626" i="1"/>
  <c r="AZ2626" i="1"/>
  <c r="AR2632" i="1"/>
  <c r="AS2632" i="1"/>
  <c r="AT2632" i="1"/>
  <c r="AR2635" i="1"/>
  <c r="AS2635" i="1"/>
  <c r="AT2635" i="1"/>
  <c r="AY2651" i="1"/>
  <c r="AZ2651" i="1"/>
  <c r="AY2691" i="1"/>
  <c r="AZ2691" i="1"/>
  <c r="AS2759" i="1"/>
  <c r="AR2759" i="1"/>
  <c r="AR2260" i="1"/>
  <c r="AT2260" i="1"/>
  <c r="AS2689" i="1"/>
  <c r="AT2689" i="1"/>
  <c r="AT2714" i="1"/>
  <c r="AS2714" i="1"/>
  <c r="AR2714" i="1"/>
  <c r="AT2732" i="1"/>
  <c r="AR2732" i="1"/>
  <c r="AS2732" i="1"/>
  <c r="AS1520" i="1"/>
  <c r="AT1520" i="1"/>
  <c r="AR1520" i="1"/>
  <c r="AS1536" i="1"/>
  <c r="AT1536" i="1"/>
  <c r="AR1536" i="1"/>
  <c r="AT1544" i="1"/>
  <c r="AR1544" i="1"/>
  <c r="AT1552" i="1"/>
  <c r="AS1552" i="1"/>
  <c r="AT1588" i="1"/>
  <c r="AS1588" i="1"/>
  <c r="AR1588" i="1"/>
  <c r="AR1596" i="1"/>
  <c r="AT1596" i="1"/>
  <c r="AS1596" i="1"/>
  <c r="AS1604" i="1"/>
  <c r="AR1604" i="1"/>
  <c r="AT1604" i="1"/>
  <c r="AS1612" i="1"/>
  <c r="AR1612" i="1"/>
  <c r="AR1620" i="1"/>
  <c r="AT1620" i="1"/>
  <c r="AS1620" i="1"/>
  <c r="AT1632" i="1"/>
  <c r="AR1632" i="1"/>
  <c r="AS1632" i="1"/>
  <c r="AT1668" i="1"/>
  <c r="AR1668" i="1"/>
  <c r="AT1672" i="1"/>
  <c r="AR1672" i="1"/>
  <c r="AT1688" i="1"/>
  <c r="AR1688" i="1"/>
  <c r="AS1688" i="1"/>
  <c r="AR1696" i="1"/>
  <c r="AT1696" i="1"/>
  <c r="AT1711" i="1"/>
  <c r="AR1711" i="1"/>
  <c r="AR1727" i="1"/>
  <c r="AT1727" i="1"/>
  <c r="AT1735" i="1"/>
  <c r="AR1735" i="1"/>
  <c r="AR1739" i="1"/>
  <c r="AT1739" i="1"/>
  <c r="AR1747" i="1"/>
  <c r="AT1747" i="1"/>
  <c r="AR1751" i="1"/>
  <c r="AT1751" i="1"/>
  <c r="AR1763" i="1"/>
  <c r="AT1763" i="1"/>
  <c r="AR1772" i="1"/>
  <c r="AT1772" i="1"/>
  <c r="AR1779" i="1"/>
  <c r="AT1779" i="1"/>
  <c r="AR1787" i="1"/>
  <c r="AT1787" i="1"/>
  <c r="AR1791" i="1"/>
  <c r="AT1791" i="1"/>
  <c r="AR1805" i="1"/>
  <c r="AT1805" i="1"/>
  <c r="AR1815" i="1"/>
  <c r="AT1815" i="1"/>
  <c r="AY1976" i="1"/>
  <c r="AZ1976" i="1"/>
  <c r="AT2125" i="1"/>
  <c r="AS2125" i="1"/>
  <c r="AR2125" i="1"/>
  <c r="AR2224" i="1"/>
  <c r="AS2224" i="1"/>
  <c r="AS2254" i="1"/>
  <c r="AR2254" i="1"/>
  <c r="AT2254" i="1"/>
  <c r="AR2289" i="1"/>
  <c r="AS2289" i="1"/>
  <c r="AT2289" i="1"/>
  <c r="AS2306" i="1"/>
  <c r="AT2306" i="1"/>
  <c r="AT2311" i="1"/>
  <c r="AS2311" i="1"/>
  <c r="AT2323" i="1"/>
  <c r="AS2323" i="1"/>
  <c r="AT2327" i="1"/>
  <c r="AS2327" i="1"/>
  <c r="AS1895" i="1"/>
  <c r="AS2805" i="1"/>
  <c r="AT2806" i="1"/>
  <c r="AT2780" i="1"/>
  <c r="AT2759" i="1"/>
  <c r="AZ2607" i="1"/>
  <c r="AR2609" i="1"/>
  <c r="AR2316" i="1"/>
  <c r="AS2298" i="1"/>
  <c r="AS2128" i="1"/>
  <c r="AR2067" i="1"/>
  <c r="AR2123" i="1"/>
  <c r="AS2482" i="1"/>
  <c r="AR2404" i="1"/>
  <c r="AT2330" i="1"/>
  <c r="AR2199" i="1"/>
  <c r="AT2111" i="1"/>
  <c r="AT1946" i="1"/>
  <c r="AS2096" i="1"/>
  <c r="AY2035" i="1"/>
  <c r="AR2017" i="1"/>
  <c r="AS1965" i="1"/>
  <c r="AR1684" i="1"/>
  <c r="AR1660" i="1"/>
  <c r="AR1648" i="1"/>
  <c r="AY2665" i="1"/>
  <c r="AT2224" i="1"/>
  <c r="AS1937" i="1"/>
  <c r="AT1723" i="1"/>
  <c r="AR1759" i="1"/>
  <c r="AT1759" i="1"/>
  <c r="AR1919" i="1"/>
  <c r="AT1895" i="1"/>
  <c r="AS1843" i="1"/>
  <c r="AS2806" i="1"/>
  <c r="AS2780" i="1"/>
  <c r="AW2364" i="1"/>
  <c r="AT2349" i="1"/>
  <c r="AT2325" i="1"/>
  <c r="AR2298" i="1"/>
  <c r="AT2207" i="1"/>
  <c r="AR2128" i="1"/>
  <c r="AT2345" i="1"/>
  <c r="AZ2189" i="1"/>
  <c r="AT2482" i="1"/>
  <c r="AS2404" i="1"/>
  <c r="AS2330" i="1"/>
  <c r="AT2156" i="1"/>
  <c r="AY2339" i="1"/>
  <c r="AS1787" i="1"/>
  <c r="AS1772" i="1"/>
  <c r="AS1755" i="1"/>
  <c r="AS1739" i="1"/>
  <c r="AS1723" i="1"/>
  <c r="AS2017" i="1"/>
  <c r="AR1911" i="1"/>
  <c r="AT1937" i="1"/>
  <c r="AT1799" i="1"/>
  <c r="AT1629" i="1"/>
  <c r="AS1629" i="1"/>
  <c r="AS1919" i="1"/>
  <c r="AT1883" i="1"/>
  <c r="AT1843" i="1"/>
  <c r="AR2689" i="1"/>
  <c r="AY2492" i="1"/>
  <c r="AS2484" i="1"/>
  <c r="AR2311" i="1"/>
  <c r="AR2349" i="1"/>
  <c r="AS2325" i="1"/>
  <c r="AR2062" i="1"/>
  <c r="AR2345" i="1"/>
  <c r="AT2210" i="1"/>
  <c r="AT2196" i="1"/>
  <c r="AZ2181" i="1"/>
  <c r="AS2156" i="1"/>
  <c r="AS2046" i="1"/>
  <c r="AZ2119" i="1"/>
  <c r="AS2013" i="1"/>
  <c r="AS1676" i="1"/>
  <c r="AY2261" i="1"/>
  <c r="AR1799" i="1"/>
  <c r="AT2200" i="1"/>
  <c r="AS2200" i="1"/>
  <c r="AR2200" i="1"/>
  <c r="AR2204" i="1"/>
  <c r="AS2204" i="1"/>
  <c r="AT2204" i="1"/>
  <c r="AT2227" i="1"/>
  <c r="AR2227" i="1"/>
  <c r="AS2227" i="1"/>
  <c r="AS2237" i="1"/>
  <c r="AT2237" i="1"/>
  <c r="AR2237" i="1"/>
  <c r="AY2242" i="1"/>
  <c r="AZ2242" i="1"/>
  <c r="AS2295" i="1"/>
  <c r="AR2295" i="1"/>
  <c r="AT2295" i="1"/>
  <c r="AS2314" i="1"/>
  <c r="AT2314" i="1"/>
  <c r="AT2361" i="1"/>
  <c r="AR2361" i="1"/>
  <c r="AS2361" i="1"/>
  <c r="AS1883" i="1"/>
  <c r="AT2792" i="1"/>
  <c r="AT2725" i="1"/>
  <c r="AZ2681" i="1"/>
  <c r="AZ2293" i="1"/>
  <c r="AZ2271" i="1"/>
  <c r="AS2196" i="1"/>
  <c r="AT2147" i="1"/>
  <c r="AT2046" i="1"/>
  <c r="AW2317" i="1"/>
  <c r="AT2013" i="1"/>
  <c r="AS1751" i="1"/>
  <c r="AS1735" i="1"/>
  <c r="AR1676" i="1"/>
  <c r="AS1544" i="1"/>
  <c r="AR1552" i="1"/>
  <c r="AR1528" i="1"/>
  <c r="AS1528" i="1"/>
  <c r="AT1528" i="1"/>
  <c r="AS1540" i="1"/>
  <c r="AR1540" i="1"/>
  <c r="AS1548" i="1"/>
  <c r="AR1548" i="1"/>
  <c r="AS1556" i="1"/>
  <c r="AR1556" i="1"/>
  <c r="AT1556" i="1"/>
  <c r="AS1564" i="1"/>
  <c r="AR1564" i="1"/>
  <c r="AT1564" i="1"/>
  <c r="AR1584" i="1"/>
  <c r="AS1584" i="1"/>
  <c r="AT1584" i="1"/>
  <c r="AT1592" i="1"/>
  <c r="AS1592" i="1"/>
  <c r="AR1592" i="1"/>
  <c r="AT1601" i="1"/>
  <c r="AS1601" i="1"/>
  <c r="AR1601" i="1"/>
  <c r="AT1608" i="1"/>
  <c r="AS1608" i="1"/>
  <c r="AR1608" i="1"/>
  <c r="AT1616" i="1"/>
  <c r="AS1616" i="1"/>
  <c r="AR1616" i="1"/>
  <c r="AS1624" i="1"/>
  <c r="AR1624" i="1"/>
  <c r="AT1624" i="1"/>
  <c r="AT1640" i="1"/>
  <c r="AR1640" i="1"/>
  <c r="AT1645" i="1"/>
  <c r="AS1645" i="1"/>
  <c r="AT1652" i="1"/>
  <c r="AR1652" i="1"/>
  <c r="AT1656" i="1"/>
  <c r="AR1656" i="1"/>
  <c r="AS1656" i="1"/>
  <c r="AT1664" i="1"/>
  <c r="AR1664" i="1"/>
  <c r="AS1664" i="1"/>
  <c r="AR1700" i="1"/>
  <c r="AT1700" i="1"/>
  <c r="AR1707" i="1"/>
  <c r="AT1707" i="1"/>
  <c r="AR1715" i="1"/>
  <c r="AT1715" i="1"/>
  <c r="AR1731" i="1"/>
  <c r="AT1731" i="1"/>
  <c r="AR1743" i="1"/>
  <c r="AT1743" i="1"/>
  <c r="AR1767" i="1"/>
  <c r="AT1767" i="1"/>
  <c r="AR1776" i="1"/>
  <c r="AT1776" i="1"/>
  <c r="AR1783" i="1"/>
  <c r="AT1783" i="1"/>
  <c r="AR1803" i="1"/>
  <c r="AT1803" i="1"/>
  <c r="AR1811" i="1"/>
  <c r="AT1811" i="1"/>
  <c r="AS1903" i="1"/>
  <c r="AR1903" i="1"/>
  <c r="AR1907" i="1"/>
  <c r="AT1907" i="1"/>
  <c r="AS1907" i="1"/>
  <c r="AT1923" i="1"/>
  <c r="AR1923" i="1"/>
  <c r="AS1923" i="1"/>
  <c r="AR1929" i="1"/>
  <c r="AS1929" i="1"/>
  <c r="AY2018" i="1"/>
  <c r="AZ2018" i="1"/>
  <c r="AR2159" i="1"/>
  <c r="AT2159" i="1"/>
  <c r="AS2159" i="1"/>
  <c r="AY2176" i="1"/>
  <c r="AZ2176" i="1"/>
  <c r="AZ2197" i="1"/>
  <c r="AY2197" i="1"/>
  <c r="AZ2225" i="1"/>
  <c r="AY2225" i="1"/>
  <c r="AY2228" i="1"/>
  <c r="AZ2228" i="1"/>
  <c r="AY2233" i="1"/>
  <c r="AZ2233" i="1"/>
  <c r="AY2239" i="1"/>
  <c r="AZ2239" i="1"/>
  <c r="AY2282" i="1"/>
  <c r="AZ2282" i="1"/>
  <c r="AR2301" i="1"/>
  <c r="AT2301" i="1"/>
  <c r="AS2301" i="1"/>
  <c r="AZ2328" i="1"/>
  <c r="AY2328" i="1"/>
  <c r="AZ2331" i="1"/>
  <c r="AY2331" i="1"/>
  <c r="AR2347" i="1"/>
  <c r="AS2347" i="1"/>
  <c r="AY2356" i="1"/>
  <c r="AZ2356" i="1"/>
  <c r="AT2388" i="1"/>
  <c r="AR2388" i="1"/>
  <c r="AS2388" i="1"/>
  <c r="AR2394" i="1"/>
  <c r="AS2394" i="1"/>
  <c r="AR2399" i="1"/>
  <c r="AT2399" i="1"/>
  <c r="AS2399" i="1"/>
  <c r="AT1911" i="1"/>
  <c r="AS2792" i="1"/>
  <c r="AS2725" i="1"/>
  <c r="AT2804" i="1"/>
  <c r="AT2738" i="1"/>
  <c r="AR2628" i="1"/>
  <c r="AT2394" i="1"/>
  <c r="AR2327" i="1"/>
  <c r="AR2306" i="1"/>
  <c r="AS2207" i="1"/>
  <c r="AS2191" i="1"/>
  <c r="AS2147" i="1"/>
  <c r="AR2010" i="1"/>
  <c r="AS2111" i="1"/>
  <c r="AY1984" i="1"/>
  <c r="AS1815" i="1"/>
  <c r="AS1696" i="1"/>
  <c r="AR2005" i="1"/>
  <c r="AS1692" i="1"/>
  <c r="AR1645" i="1"/>
  <c r="AS1681" i="1"/>
  <c r="AT1612" i="1"/>
  <c r="AZ2646" i="1"/>
  <c r="AS2453" i="1"/>
  <c r="AS2537" i="1"/>
  <c r="AT1795" i="1"/>
  <c r="AR1899" i="1"/>
  <c r="AS2804" i="1"/>
  <c r="AS2738" i="1"/>
  <c r="AT2522" i="1"/>
  <c r="AR2484" i="1"/>
  <c r="AS2437" i="1"/>
  <c r="AS2303" i="1"/>
  <c r="AT2278" i="1"/>
  <c r="AZ2107" i="1"/>
  <c r="AR2191" i="1"/>
  <c r="AZ2140" i="1"/>
  <c r="AS2010" i="1"/>
  <c r="AS1811" i="1"/>
  <c r="AS1795" i="1"/>
  <c r="AS1779" i="1"/>
  <c r="AS1763" i="1"/>
  <c r="AS1747" i="1"/>
  <c r="AS1731" i="1"/>
  <c r="AS1715" i="1"/>
  <c r="AS2005" i="1"/>
  <c r="AR1692" i="1"/>
  <c r="AS1668" i="1"/>
  <c r="AR1681" i="1"/>
  <c r="AT2303" i="1"/>
  <c r="AS2442" i="1"/>
  <c r="AT2537" i="1"/>
  <c r="AS2519" i="1"/>
  <c r="AZ2498" i="1"/>
  <c r="AR2323" i="1"/>
  <c r="AS2278" i="1"/>
  <c r="AS1636" i="1"/>
  <c r="AY2267" i="1"/>
  <c r="AS1672" i="1"/>
  <c r="AT1548" i="1"/>
  <c r="AT2475" i="1"/>
  <c r="AS2260" i="1"/>
  <c r="AR2663" i="1"/>
  <c r="AT2437" i="1"/>
  <c r="AT3" i="1"/>
  <c r="AZ33" i="1"/>
  <c r="AY39" i="1"/>
  <c r="AY35" i="1"/>
  <c r="AS3" i="1"/>
  <c r="AT47" i="1"/>
  <c r="AY25" i="1"/>
  <c r="AW1946" i="1"/>
  <c r="AW1948" i="1"/>
  <c r="AW1953" i="1"/>
  <c r="AW1965" i="1"/>
  <c r="AW1997" i="1"/>
  <c r="AW2005" i="1"/>
  <c r="AW2010" i="1"/>
  <c r="AW2043" i="1"/>
  <c r="AW2053" i="1"/>
  <c r="AW2055" i="1"/>
  <c r="AW2057" i="1"/>
  <c r="AW2062" i="1"/>
  <c r="AW2064" i="1"/>
  <c r="AW2094" i="1"/>
  <c r="AW2096" i="1"/>
  <c r="AW2102" i="1"/>
  <c r="AW2111" i="1"/>
  <c r="AW2123" i="1"/>
  <c r="AW2125" i="1"/>
  <c r="AW2128" i="1"/>
  <c r="AW2196" i="1"/>
  <c r="AW2210" i="1"/>
  <c r="AW2254" i="1"/>
  <c r="AW2278" i="1"/>
  <c r="AW2351" i="1"/>
  <c r="AW2506" i="1"/>
  <c r="AW2529" i="1"/>
  <c r="AW2542" i="1"/>
  <c r="AW2566" i="1"/>
  <c r="AW2583" i="1"/>
  <c r="AW2585" i="1"/>
  <c r="AW2637" i="1"/>
  <c r="AW2640" i="1"/>
  <c r="AW2650" i="1"/>
  <c r="AW2654" i="1"/>
  <c r="AW2658" i="1"/>
  <c r="AW2684" i="1"/>
  <c r="AW2686" i="1"/>
  <c r="AW2697" i="1"/>
  <c r="AW2141" i="1"/>
  <c r="AW2143" i="1"/>
  <c r="AW2146" i="1"/>
  <c r="AW2166" i="1"/>
  <c r="AW2182" i="1"/>
  <c r="AW2226" i="1"/>
  <c r="AW2258" i="1"/>
  <c r="AW2387" i="1"/>
  <c r="AW2390" i="1"/>
  <c r="AW2459" i="1"/>
  <c r="AW2461" i="1"/>
  <c r="AW2488" i="1"/>
  <c r="AW2549" i="1"/>
  <c r="AW2625" i="1"/>
  <c r="AW2289" i="1"/>
  <c r="AW2295" i="1"/>
  <c r="AW2298" i="1"/>
  <c r="AW2301" i="1"/>
  <c r="AW2303" i="1"/>
  <c r="AW2306" i="1"/>
  <c r="AW2311" i="1"/>
  <c r="AW2314" i="1"/>
  <c r="AW2316" i="1"/>
  <c r="AW2323" i="1"/>
  <c r="AW2325" i="1"/>
  <c r="AW2327" i="1"/>
  <c r="AW2330" i="1"/>
  <c r="AW2345" i="1"/>
  <c r="AW2347" i="1"/>
  <c r="AW2349" i="1"/>
  <c r="AW2353" i="1"/>
  <c r="AW2355" i="1"/>
  <c r="AW2361" i="1"/>
  <c r="AW2373" i="1"/>
  <c r="AW2376" i="1"/>
  <c r="AW2378" i="1"/>
  <c r="AW2381" i="1"/>
  <c r="AW2383" i="1"/>
  <c r="AW2388" i="1"/>
  <c r="AW2482" i="1"/>
  <c r="AW2486" i="1"/>
  <c r="AW2515" i="1"/>
  <c r="AW2539" i="1"/>
  <c r="AW2622" i="1"/>
  <c r="AW2634" i="1"/>
  <c r="AW2742" i="1"/>
  <c r="AR1828" i="1"/>
  <c r="AS1955" i="1"/>
  <c r="AR1935" i="1"/>
  <c r="AR1868" i="1"/>
  <c r="AS2066" i="1"/>
  <c r="AR1904" i="1"/>
  <c r="AS1840" i="1"/>
  <c r="AS1912" i="1"/>
  <c r="AS1920" i="1"/>
  <c r="AS293" i="1"/>
  <c r="AS207" i="1"/>
  <c r="AS175" i="1"/>
  <c r="AS139" i="1"/>
  <c r="AS99" i="1"/>
  <c r="AR363" i="1"/>
  <c r="AR331" i="1"/>
  <c r="AR231" i="1"/>
  <c r="AR87" i="1"/>
  <c r="AR51" i="1"/>
  <c r="AT2452" i="1"/>
  <c r="AZ2116" i="1"/>
  <c r="AR2098" i="1"/>
  <c r="AS1796" i="1"/>
  <c r="AR1673" i="1"/>
  <c r="AT1752" i="1"/>
  <c r="AS1784" i="1"/>
  <c r="AR1708" i="1"/>
  <c r="AT483" i="1"/>
  <c r="AS995" i="1"/>
  <c r="AT1820" i="1"/>
  <c r="AT699" i="1"/>
  <c r="AR403" i="1"/>
  <c r="AR1756" i="1"/>
  <c r="AR555" i="1"/>
  <c r="AS1824" i="1"/>
  <c r="AS687" i="1"/>
  <c r="AT2083" i="1"/>
  <c r="AS2529" i="1"/>
  <c r="AT2529" i="1"/>
  <c r="AT2548" i="1"/>
  <c r="AR2548" i="1"/>
  <c r="AR2574" i="1"/>
  <c r="AT2574" i="1"/>
  <c r="AY2615" i="1"/>
  <c r="AZ2615" i="1"/>
  <c r="AY2641" i="1"/>
  <c r="AZ2641" i="1"/>
  <c r="AR2776" i="1"/>
  <c r="AT2776" i="1"/>
  <c r="AR2849" i="1"/>
  <c r="AT2849" i="1"/>
  <c r="AT2914" i="1"/>
  <c r="AR2914" i="1"/>
  <c r="AR2935" i="1"/>
  <c r="AT2935" i="1"/>
  <c r="AR2945" i="1"/>
  <c r="AT2945" i="1"/>
  <c r="AR2967" i="1"/>
  <c r="AT2967" i="1"/>
  <c r="AS3081" i="1"/>
  <c r="AT3081" i="1"/>
  <c r="AR3115" i="1"/>
  <c r="AS3115" i="1"/>
  <c r="AS3112" i="1"/>
  <c r="AR3112" i="1"/>
  <c r="AR3209" i="1"/>
  <c r="AT3209" i="1"/>
  <c r="AR1600" i="1"/>
  <c r="AS1600" i="1"/>
  <c r="AR1605" i="1"/>
  <c r="AS1605" i="1"/>
  <c r="AT1605" i="1"/>
  <c r="AT1613" i="1"/>
  <c r="AS1613" i="1"/>
  <c r="AR1689" i="1"/>
  <c r="AT1689" i="1"/>
  <c r="AR1724" i="1"/>
  <c r="AT1724" i="1"/>
  <c r="AT1764" i="1"/>
  <c r="AS1764" i="1"/>
  <c r="AR1764" i="1"/>
  <c r="AR1780" i="1"/>
  <c r="AT1780" i="1"/>
  <c r="AS1788" i="1"/>
  <c r="AR1788" i="1"/>
  <c r="AS1844" i="1"/>
  <c r="AT1844" i="1"/>
  <c r="AS1892" i="1"/>
  <c r="AT1892" i="1"/>
  <c r="AR1980" i="1"/>
  <c r="AS1980" i="1"/>
  <c r="AS2012" i="1"/>
  <c r="AT2012" i="1"/>
  <c r="AR2016" i="1"/>
  <c r="AT2016" i="1"/>
  <c r="AT2031" i="1"/>
  <c r="AR2031" i="1"/>
  <c r="AS2031" i="1"/>
  <c r="AY2466" i="1"/>
  <c r="AZ2466" i="1"/>
  <c r="AS1748" i="1"/>
  <c r="AT1748" i="1"/>
  <c r="AR1748" i="1"/>
  <c r="AR3263" i="1"/>
  <c r="AS1693" i="1"/>
  <c r="AR1860" i="1"/>
  <c r="AR1864" i="1"/>
  <c r="AT1880" i="1"/>
  <c r="AT1888" i="1"/>
  <c r="AR2012" i="1"/>
  <c r="AT1736" i="1"/>
  <c r="AT1744" i="1"/>
  <c r="AT1836" i="1"/>
  <c r="AS1720" i="1"/>
  <c r="AS1701" i="1"/>
  <c r="AR1613" i="1"/>
  <c r="AT1716" i="1"/>
  <c r="AS2016" i="1"/>
  <c r="AR187" i="1"/>
  <c r="AT187" i="1"/>
  <c r="AR215" i="1"/>
  <c r="AT215" i="1"/>
  <c r="AR255" i="1"/>
  <c r="AT255" i="1"/>
  <c r="AS411" i="1"/>
  <c r="AR411" i="1"/>
  <c r="AT411" i="1"/>
  <c r="AT423" i="1"/>
  <c r="AR423" i="1"/>
  <c r="AS443" i="1"/>
  <c r="AR443" i="1"/>
  <c r="AR547" i="1"/>
  <c r="AS547" i="1"/>
  <c r="AR579" i="1"/>
  <c r="AS579" i="1"/>
  <c r="AT579" i="1"/>
  <c r="AT587" i="1"/>
  <c r="AS587" i="1"/>
  <c r="AT591" i="1"/>
  <c r="AS591" i="1"/>
  <c r="AR676" i="1"/>
  <c r="AT676" i="1"/>
  <c r="AT683" i="1"/>
  <c r="AS683" i="1"/>
  <c r="AR683" i="1"/>
  <c r="AT703" i="1"/>
  <c r="AS703" i="1"/>
  <c r="AT707" i="1"/>
  <c r="AS707" i="1"/>
  <c r="AS739" i="1"/>
  <c r="AT739" i="1"/>
  <c r="AS755" i="1"/>
  <c r="AT755" i="1"/>
  <c r="AR755" i="1"/>
  <c r="AS763" i="1"/>
  <c r="AT763" i="1"/>
  <c r="AR767" i="1"/>
  <c r="AT767" i="1"/>
  <c r="AS771" i="1"/>
  <c r="AT771" i="1"/>
  <c r="AR787" i="1"/>
  <c r="AT787" i="1"/>
  <c r="AT791" i="1"/>
  <c r="AR791" i="1"/>
  <c r="AS795" i="1"/>
  <c r="AT795" i="1"/>
  <c r="AR795" i="1"/>
  <c r="AT807" i="1"/>
  <c r="AS807" i="1"/>
  <c r="AR823" i="1"/>
  <c r="AS823" i="1"/>
  <c r="AT827" i="1"/>
  <c r="AR827" i="1"/>
  <c r="AR839" i="1"/>
  <c r="AT839" i="1"/>
  <c r="AR899" i="1"/>
  <c r="AT899" i="1"/>
  <c r="AS927" i="1"/>
  <c r="AT927" i="1"/>
  <c r="AR927" i="1"/>
  <c r="AR935" i="1"/>
  <c r="AS935" i="1"/>
  <c r="AT935" i="1"/>
  <c r="AT939" i="1"/>
  <c r="AR939" i="1"/>
  <c r="AR999" i="1"/>
  <c r="AS999" i="1"/>
  <c r="AS1003" i="1"/>
  <c r="AT1003" i="1"/>
  <c r="AR1039" i="1"/>
  <c r="AS1039" i="1"/>
  <c r="AT1047" i="1"/>
  <c r="AS1047" i="1"/>
  <c r="AS2561" i="1"/>
  <c r="AR2561" i="1"/>
  <c r="AT2744" i="1"/>
  <c r="AR2744" i="1"/>
  <c r="AS2744" i="1"/>
  <c r="AR2857" i="1"/>
  <c r="AT2857" i="1"/>
  <c r="AS2718" i="1"/>
  <c r="AR2718" i="1"/>
  <c r="AS2822" i="1"/>
  <c r="AT2822" i="1"/>
  <c r="AS2918" i="1"/>
  <c r="AT2918" i="1"/>
  <c r="AT2933" i="1"/>
  <c r="AS2933" i="1"/>
  <c r="AR2949" i="1"/>
  <c r="AS2949" i="1"/>
  <c r="AT2949" i="1"/>
  <c r="AS2942" i="1"/>
  <c r="AR2942" i="1"/>
  <c r="AR2936" i="1"/>
  <c r="AT2936" i="1"/>
  <c r="AS2936" i="1"/>
  <c r="AR2965" i="1"/>
  <c r="AT2965" i="1"/>
  <c r="AS2965" i="1"/>
  <c r="AT2946" i="1"/>
  <c r="AS2946" i="1"/>
  <c r="AS2956" i="1"/>
  <c r="AR2956" i="1"/>
  <c r="AT2956" i="1"/>
  <c r="AT2923" i="1"/>
  <c r="AR2923" i="1"/>
  <c r="AS2923" i="1"/>
  <c r="AT2958" i="1"/>
  <c r="AR2958" i="1"/>
  <c r="AS2958" i="1"/>
  <c r="AR3017" i="1"/>
  <c r="AT3017" i="1"/>
  <c r="AR1630" i="1"/>
  <c r="AT3263" i="1"/>
  <c r="AT1630" i="1"/>
  <c r="AT1693" i="1"/>
  <c r="AR1924" i="1"/>
  <c r="AR1892" i="1"/>
  <c r="AT1864" i="1"/>
  <c r="AR1872" i="1"/>
  <c r="AR1927" i="1"/>
  <c r="AS159" i="1"/>
  <c r="AS127" i="1"/>
  <c r="AZ18" i="1"/>
  <c r="AR75" i="1"/>
  <c r="AY20" i="1"/>
  <c r="AR2115" i="1"/>
  <c r="AS2079" i="1"/>
  <c r="AT1935" i="1"/>
  <c r="AT1900" i="1"/>
  <c r="AT1868" i="1"/>
  <c r="AR1808" i="1"/>
  <c r="AR1740" i="1"/>
  <c r="AT1860" i="1"/>
  <c r="AS1760" i="1"/>
  <c r="AR1720" i="1"/>
  <c r="AT1852" i="1"/>
  <c r="AR1701" i="1"/>
  <c r="AT507" i="1"/>
  <c r="AT467" i="1"/>
  <c r="AT271" i="1"/>
  <c r="AS715" i="1"/>
  <c r="AR1940" i="1"/>
  <c r="AR855" i="1"/>
  <c r="AS1812" i="1"/>
  <c r="AS1626" i="1"/>
  <c r="AT1626" i="1"/>
  <c r="AR1721" i="1"/>
  <c r="AT1721" i="1"/>
  <c r="AR1825" i="1"/>
  <c r="AT1825" i="1"/>
  <c r="AS1857" i="1"/>
  <c r="AR1857" i="1"/>
  <c r="AR1861" i="1"/>
  <c r="AS1861" i="1"/>
  <c r="AR2001" i="1"/>
  <c r="AS2001" i="1"/>
  <c r="AS2004" i="1"/>
  <c r="AT2004" i="1"/>
  <c r="AR2004" i="1"/>
  <c r="AZ2022" i="1"/>
  <c r="AY2022" i="1"/>
  <c r="AR2061" i="1"/>
  <c r="AS2061" i="1"/>
  <c r="AY2074" i="1"/>
  <c r="AZ2074" i="1"/>
  <c r="AR2095" i="1"/>
  <c r="AS2095" i="1"/>
  <c r="AY2172" i="1"/>
  <c r="AZ2172" i="1"/>
  <c r="AZ2183" i="1"/>
  <c r="AY2183" i="1"/>
  <c r="AR2304" i="1"/>
  <c r="AS2304" i="1"/>
  <c r="AS2326" i="1"/>
  <c r="AT2326" i="1"/>
  <c r="AR2369" i="1"/>
  <c r="AS2369" i="1"/>
  <c r="AT2369" i="1"/>
  <c r="AZ2372" i="1"/>
  <c r="AY2372" i="1"/>
  <c r="AS2403" i="1"/>
  <c r="AT2403" i="1"/>
  <c r="AR2403" i="1"/>
  <c r="AR2414" i="1"/>
  <c r="AT2414" i="1"/>
  <c r="AS2435" i="1"/>
  <c r="AT2435" i="1"/>
  <c r="AR1852" i="1"/>
  <c r="AT1872" i="1"/>
  <c r="AR1848" i="1"/>
  <c r="AT1927" i="1"/>
  <c r="AR1856" i="1"/>
  <c r="AT2108" i="1"/>
  <c r="AR1768" i="1"/>
  <c r="AT1808" i="1"/>
  <c r="AT1740" i="1"/>
  <c r="AR1760" i="1"/>
  <c r="AR1775" i="1"/>
  <c r="AS1792" i="1"/>
  <c r="AT235" i="1"/>
  <c r="AS1689" i="1"/>
  <c r="AR1832" i="1"/>
  <c r="AR1812" i="1"/>
  <c r="AT892" i="1"/>
  <c r="AR892" i="1"/>
  <c r="AS940" i="1"/>
  <c r="AT940" i="1"/>
  <c r="AR1677" i="1"/>
  <c r="AS2101" i="1"/>
  <c r="AS2122" i="1"/>
  <c r="AR1884" i="1"/>
  <c r="AR1844" i="1"/>
  <c r="AT1848" i="1"/>
  <c r="AT2059" i="1"/>
  <c r="AT1856" i="1"/>
  <c r="AS219" i="1"/>
  <c r="AS187" i="1"/>
  <c r="AS151" i="1"/>
  <c r="AS119" i="1"/>
  <c r="AR279" i="1"/>
  <c r="AR203" i="1"/>
  <c r="AR63" i="1"/>
  <c r="AR2396" i="1"/>
  <c r="AS2120" i="1"/>
  <c r="AT1924" i="1"/>
  <c r="AT1768" i="1"/>
  <c r="AT2132" i="1"/>
  <c r="AR1804" i="1"/>
  <c r="AR1816" i="1"/>
  <c r="AS1680" i="1"/>
  <c r="AT1775" i="1"/>
  <c r="AS2415" i="1"/>
  <c r="AR1792" i="1"/>
  <c r="AR1685" i="1"/>
  <c r="AT595" i="1"/>
  <c r="AT499" i="1"/>
  <c r="AT403" i="1"/>
  <c r="AS2439" i="1"/>
  <c r="AT359" i="1"/>
  <c r="AT263" i="1"/>
  <c r="AT227" i="1"/>
  <c r="AR843" i="1"/>
  <c r="AR763" i="1"/>
  <c r="AR435" i="1"/>
  <c r="AR1047" i="1"/>
  <c r="AS759" i="1"/>
  <c r="AS847" i="1"/>
  <c r="AT1980" i="1"/>
  <c r="AS775" i="1"/>
  <c r="AR1016" i="1"/>
  <c r="AT1832" i="1"/>
  <c r="AS3278" i="1"/>
  <c r="AT2101" i="1"/>
  <c r="AS1940" i="1"/>
  <c r="AR46" i="1"/>
  <c r="AS255" i="1"/>
  <c r="AS215" i="1"/>
  <c r="AS183" i="1"/>
  <c r="AS147" i="1"/>
  <c r="AS111" i="1"/>
  <c r="AR371" i="1"/>
  <c r="AR303" i="1"/>
  <c r="AR275" i="1"/>
  <c r="AR199" i="1"/>
  <c r="AR59" i="1"/>
  <c r="AS2436" i="1"/>
  <c r="AR1800" i="1"/>
  <c r="AR2132" i="1"/>
  <c r="AS2042" i="1"/>
  <c r="AT1804" i="1"/>
  <c r="AS1732" i="1"/>
  <c r="AT1816" i="1"/>
  <c r="AT1680" i="1"/>
  <c r="AR1769" i="1"/>
  <c r="AR1712" i="1"/>
  <c r="AT1043" i="1"/>
  <c r="AS1011" i="1"/>
  <c r="AT399" i="1"/>
  <c r="AT303" i="1"/>
  <c r="AS843" i="1"/>
  <c r="AR571" i="1"/>
  <c r="AR507" i="1"/>
  <c r="AR771" i="1"/>
  <c r="AT1908" i="1"/>
  <c r="AR1837" i="1"/>
  <c r="AW1955" i="1"/>
  <c r="AW2016" i="1"/>
  <c r="AW2042" i="1"/>
  <c r="AW2083" i="1"/>
  <c r="AW2436" i="1"/>
  <c r="AW2439" i="1"/>
  <c r="AW2441" i="1"/>
  <c r="AW2444" i="1"/>
  <c r="AW2468" i="1"/>
  <c r="AW2472" i="1"/>
  <c r="AW2479" i="1"/>
  <c r="AW2504" i="1"/>
  <c r="AW2510" i="1"/>
  <c r="AW2519" i="1"/>
  <c r="AW2524" i="1"/>
  <c r="AW2534" i="1"/>
  <c r="AW2548" i="1"/>
  <c r="AW2236" i="1"/>
  <c r="AW2252" i="1"/>
  <c r="AW2302" i="1"/>
  <c r="AW2307" i="1"/>
  <c r="AW2359" i="1"/>
  <c r="AW2366" i="1"/>
  <c r="AW2369" i="1"/>
  <c r="AW2553" i="1"/>
  <c r="AW2557" i="1"/>
  <c r="AW2561" i="1"/>
  <c r="AW2563" i="1"/>
  <c r="AW2565" i="1"/>
  <c r="AW2578" i="1"/>
  <c r="AW2588" i="1"/>
  <c r="AW2608" i="1"/>
  <c r="AW2627" i="1"/>
  <c r="AW2639" i="1"/>
  <c r="AW2119" i="1"/>
  <c r="AW2429" i="1"/>
  <c r="AW2434" i="1"/>
  <c r="AW2438" i="1"/>
  <c r="AW2440" i="1"/>
  <c r="AW2445" i="1"/>
  <c r="AW2450" i="1"/>
  <c r="AW2454" i="1"/>
  <c r="AW2456" i="1"/>
  <c r="AW2467" i="1"/>
  <c r="AW2469" i="1"/>
  <c r="AW2471" i="1"/>
  <c r="AW2473" i="1"/>
  <c r="AW2480" i="1"/>
  <c r="AW2485" i="1"/>
  <c r="AW2492" i="1"/>
  <c r="AW2496" i="1"/>
  <c r="AW2498" i="1"/>
  <c r="AW2503" i="1"/>
  <c r="AW2505" i="1"/>
  <c r="AW2511" i="1"/>
  <c r="AW2520" i="1"/>
  <c r="AW2528" i="1"/>
  <c r="AW2547" i="1"/>
  <c r="AW2550" i="1"/>
  <c r="AW1941" i="1"/>
  <c r="AW2399" i="1"/>
  <c r="AW2402" i="1"/>
  <c r="AW2404" i="1"/>
  <c r="AW2407" i="1"/>
  <c r="AW2181" i="1"/>
  <c r="AW2233" i="1"/>
  <c r="AW2255" i="1"/>
  <c r="AW2271" i="1"/>
  <c r="AW2279" i="1"/>
  <c r="AW2293" i="1"/>
  <c r="AW2339" i="1"/>
  <c r="AW2403" i="1"/>
  <c r="AW2406" i="1"/>
  <c r="AW2006" i="1"/>
  <c r="AW2032" i="1"/>
  <c r="AW2044" i="1"/>
  <c r="AW2082" i="1"/>
  <c r="AW2432" i="1"/>
  <c r="AW2508" i="1"/>
  <c r="AW2514" i="1"/>
  <c r="AW2517" i="1"/>
  <c r="AW2536" i="1"/>
  <c r="AW2538" i="1"/>
  <c r="AW2552" i="1"/>
  <c r="AW1943" i="1"/>
  <c r="AW1967" i="1"/>
  <c r="AW1983" i="1"/>
  <c r="AW1992" i="1"/>
  <c r="AW2022" i="1"/>
  <c r="AW2034" i="1"/>
  <c r="AW2040" i="1"/>
  <c r="AW2069" i="1"/>
  <c r="AS214" i="1"/>
  <c r="AR13" i="1"/>
  <c r="AY16" i="1"/>
  <c r="AT488" i="1"/>
  <c r="AS222" i="1"/>
  <c r="AR138" i="1"/>
  <c r="AR166" i="1"/>
  <c r="AS194" i="1"/>
  <c r="AR162" i="1"/>
  <c r="AR130" i="1"/>
  <c r="AT568" i="1"/>
  <c r="AT616" i="1"/>
  <c r="AT452" i="1"/>
  <c r="AS512" i="1"/>
  <c r="AS632" i="1"/>
  <c r="AR612" i="1"/>
  <c r="AR516" i="1"/>
  <c r="AR644" i="1"/>
  <c r="AS648" i="1"/>
  <c r="AR472" i="1"/>
  <c r="AS1334" i="1"/>
  <c r="AS1318" i="1"/>
  <c r="AS1301" i="1"/>
  <c r="AS1285" i="1"/>
  <c r="AS1269" i="1"/>
  <c r="AS1253" i="1"/>
  <c r="AS1237" i="1"/>
  <c r="AS1153" i="1"/>
  <c r="AS2052" i="1"/>
  <c r="AR2026" i="1"/>
  <c r="AT1957" i="1"/>
  <c r="AZ1953" i="1"/>
  <c r="AT1090" i="1"/>
  <c r="AS2036" i="1"/>
  <c r="AS1559" i="1"/>
  <c r="AT451" i="1"/>
  <c r="AT161" i="1"/>
  <c r="AS899" i="1"/>
  <c r="AR475" i="1"/>
  <c r="AT907" i="1"/>
  <c r="AT1098" i="1"/>
  <c r="AR539" i="1"/>
  <c r="AT1237" i="1"/>
  <c r="AS238" i="1"/>
  <c r="AT1201" i="1"/>
  <c r="AR1217" i="1"/>
  <c r="AT1269" i="1"/>
  <c r="AT1221" i="1"/>
  <c r="AW2149" i="1"/>
  <c r="AW2179" i="1"/>
  <c r="AW2216" i="1"/>
  <c r="AW2562" i="1"/>
  <c r="AW2577" i="1"/>
  <c r="AW2579" i="1"/>
  <c r="AW2595" i="1"/>
  <c r="AW2618" i="1"/>
  <c r="AW2655" i="1"/>
  <c r="AW2659" i="1"/>
  <c r="AW2667" i="1"/>
  <c r="AW2669" i="1"/>
  <c r="AW2680" i="1"/>
  <c r="AW2694" i="1"/>
  <c r="AW2560" i="1"/>
  <c r="AT484" i="1"/>
  <c r="AT460" i="1"/>
  <c r="AT230" i="1"/>
  <c r="AS234" i="1"/>
  <c r="AS154" i="1"/>
  <c r="AT134" i="1"/>
  <c r="AT42" i="1"/>
  <c r="AT34" i="1"/>
  <c r="AR504" i="1"/>
  <c r="AR206" i="1"/>
  <c r="AS528" i="1"/>
  <c r="AR696" i="1"/>
  <c r="AS616" i="1"/>
  <c r="AS548" i="1"/>
  <c r="AT684" i="1"/>
  <c r="AT528" i="1"/>
  <c r="AS664" i="1"/>
  <c r="AS644" i="1"/>
  <c r="AT516" i="1"/>
  <c r="AT648" i="1"/>
  <c r="AS40" i="1"/>
  <c r="AR895" i="1"/>
  <c r="AS1201" i="1"/>
  <c r="AS2108" i="1"/>
  <c r="AS1961" i="1"/>
  <c r="AS2087" i="1"/>
  <c r="AR1074" i="1"/>
  <c r="AR1559" i="1"/>
  <c r="AT157" i="1"/>
  <c r="AS692" i="1"/>
  <c r="AS1054" i="1"/>
  <c r="AR500" i="1"/>
  <c r="AS1082" i="1"/>
  <c r="AT539" i="1"/>
  <c r="AT1257" i="1"/>
  <c r="AT1996" i="1"/>
  <c r="AT1245" i="1"/>
  <c r="AT1342" i="1"/>
  <c r="AT1189" i="1"/>
  <c r="AT1205" i="1"/>
  <c r="AW1969" i="1"/>
  <c r="AW1972" i="1"/>
  <c r="AW1998" i="1"/>
  <c r="AW2001" i="1"/>
  <c r="AW2009" i="1"/>
  <c r="AW2015" i="1"/>
  <c r="AW2054" i="1"/>
  <c r="AW2061" i="1"/>
  <c r="AW2063" i="1"/>
  <c r="AW2068" i="1"/>
  <c r="AW2093" i="1"/>
  <c r="AW2095" i="1"/>
  <c r="AT36" i="1"/>
  <c r="AT13" i="1"/>
  <c r="AS484" i="1"/>
  <c r="AS146" i="1"/>
  <c r="AS608" i="1"/>
  <c r="AS588" i="1"/>
  <c r="AR134" i="1"/>
  <c r="AR604" i="1"/>
  <c r="AS596" i="1"/>
  <c r="AR182" i="1"/>
  <c r="AT40" i="1"/>
  <c r="AS130" i="1"/>
  <c r="AT456" i="1"/>
  <c r="AS496" i="1"/>
  <c r="AT202" i="1"/>
  <c r="AS210" i="1"/>
  <c r="AT218" i="1"/>
  <c r="AT696" i="1"/>
  <c r="AR496" i="1"/>
  <c r="AS684" i="1"/>
  <c r="AR532" i="1"/>
  <c r="AT520" i="1"/>
  <c r="AR620" i="1"/>
  <c r="AS612" i="1"/>
  <c r="AR664" i="1"/>
  <c r="AT628" i="1"/>
  <c r="AR520" i="1"/>
  <c r="AT636" i="1"/>
  <c r="AR887" i="1"/>
  <c r="AT887" i="1"/>
  <c r="AS1330" i="1"/>
  <c r="AS1314" i="1"/>
  <c r="AS1297" i="1"/>
  <c r="AS1281" i="1"/>
  <c r="AS1249" i="1"/>
  <c r="AS1149" i="1"/>
  <c r="AS1957" i="1"/>
  <c r="AT1961" i="1"/>
  <c r="AT2087" i="1"/>
  <c r="AT1074" i="1"/>
  <c r="AT652" i="1"/>
  <c r="AS42" i="1"/>
  <c r="AR1086" i="1"/>
  <c r="AT201" i="1"/>
  <c r="AT153" i="1"/>
  <c r="AR499" i="1"/>
  <c r="AR1054" i="1"/>
  <c r="AR1082" i="1"/>
  <c r="AR891" i="1"/>
  <c r="AS523" i="1"/>
  <c r="AR1257" i="1"/>
  <c r="AS2115" i="1"/>
  <c r="AT1338" i="1"/>
  <c r="AS1996" i="1"/>
  <c r="AR1245" i="1"/>
  <c r="AT1197" i="1"/>
  <c r="AT1281" i="1"/>
  <c r="AR1342" i="1"/>
  <c r="AT1145" i="1"/>
  <c r="AT1285" i="1"/>
  <c r="AT1229" i="1"/>
  <c r="AT1241" i="1"/>
  <c r="AT1930" i="1"/>
  <c r="AW2409" i="1"/>
  <c r="AW2690" i="1"/>
  <c r="AT608" i="1"/>
  <c r="AS142" i="1"/>
  <c r="AT186" i="1"/>
  <c r="AS170" i="1"/>
  <c r="AT146" i="1"/>
  <c r="AT170" i="1"/>
  <c r="AS456" i="1"/>
  <c r="AS126" i="1"/>
  <c r="AR680" i="1"/>
  <c r="AS660" i="1"/>
  <c r="AR548" i="1"/>
  <c r="AT671" i="1"/>
  <c r="AT532" i="1"/>
  <c r="AS504" i="1"/>
  <c r="AR652" i="1"/>
  <c r="AT508" i="1"/>
  <c r="AT660" i="1"/>
  <c r="AT700" i="1"/>
  <c r="AT624" i="1"/>
  <c r="AT879" i="1"/>
  <c r="AR903" i="1"/>
  <c r="AT4" i="1"/>
  <c r="AS1229" i="1"/>
  <c r="AS1213" i="1"/>
  <c r="AS1197" i="1"/>
  <c r="AS1181" i="1"/>
  <c r="AS1145" i="1"/>
  <c r="AS1551" i="1"/>
  <c r="AR1058" i="1"/>
  <c r="AT1086" i="1"/>
  <c r="AR883" i="1"/>
  <c r="AT193" i="1"/>
  <c r="AT141" i="1"/>
  <c r="AR531" i="1"/>
  <c r="AR467" i="1"/>
  <c r="AT891" i="1"/>
  <c r="AR1338" i="1"/>
  <c r="AT1985" i="1"/>
  <c r="AT1050" i="1"/>
  <c r="AT1209" i="1"/>
  <c r="AR583" i="1"/>
  <c r="AR1157" i="1"/>
  <c r="AY2017" i="1"/>
  <c r="AT1326" i="1"/>
  <c r="AR1241" i="1"/>
  <c r="AW2158" i="1"/>
  <c r="AW2282" i="1"/>
  <c r="AR158" i="1"/>
  <c r="AT234" i="1"/>
  <c r="AS230" i="1"/>
  <c r="AT38" i="1"/>
  <c r="AR190" i="1"/>
  <c r="AT178" i="1"/>
  <c r="AS202" i="1"/>
  <c r="AR126" i="1"/>
  <c r="AS206" i="1"/>
  <c r="AR214" i="1"/>
  <c r="AS668" i="1"/>
  <c r="AT480" i="1"/>
  <c r="AT656" i="1"/>
  <c r="AT476" i="1"/>
  <c r="AR700" i="1"/>
  <c r="AR468" i="1"/>
  <c r="AS675" i="1"/>
  <c r="AR460" i="1"/>
  <c r="AR174" i="1"/>
  <c r="AS1326" i="1"/>
  <c r="AS1310" i="1"/>
  <c r="AS1293" i="1"/>
  <c r="AS1261" i="1"/>
  <c r="AS277" i="1"/>
  <c r="AT1551" i="1"/>
  <c r="AT1058" i="1"/>
  <c r="AT883" i="1"/>
  <c r="AT137" i="1"/>
  <c r="AR491" i="1"/>
  <c r="AR1149" i="1"/>
  <c r="AS519" i="1"/>
  <c r="AT1153" i="1"/>
  <c r="AT679" i="1"/>
  <c r="AT1225" i="1"/>
  <c r="AT1253" i="1"/>
  <c r="AT1213" i="1"/>
  <c r="AW1944" i="1"/>
  <c r="AW1960" i="1"/>
  <c r="AW1978" i="1"/>
  <c r="AW1986" i="1"/>
  <c r="AW1993" i="1"/>
  <c r="AW2025" i="1"/>
  <c r="AW2027" i="1"/>
  <c r="AW2086" i="1"/>
  <c r="AW2088" i="1"/>
  <c r="AW2090" i="1"/>
  <c r="AW2092" i="1"/>
  <c r="AW2114" i="1"/>
  <c r="AW2129" i="1"/>
  <c r="AW2131" i="1"/>
  <c r="AW2573" i="1"/>
  <c r="AW2611" i="1"/>
  <c r="AW2616" i="1"/>
  <c r="AW2619" i="1"/>
  <c r="AW2642" i="1"/>
  <c r="AW2647" i="1"/>
  <c r="AW2649" i="1"/>
  <c r="AW2653" i="1"/>
  <c r="AW2701" i="1"/>
  <c r="AW2706" i="1"/>
  <c r="AW2753" i="1"/>
  <c r="AY9" i="1"/>
  <c r="AS273" i="1"/>
  <c r="AR1050" i="1"/>
  <c r="AS4" i="1"/>
  <c r="AT1261" i="1"/>
  <c r="AT1322" i="1"/>
  <c r="AT464" i="1"/>
  <c r="AS36" i="1"/>
  <c r="AS226" i="1"/>
  <c r="AS604" i="1"/>
  <c r="AS186" i="1"/>
  <c r="AS174" i="1"/>
  <c r="AS162" i="1"/>
  <c r="AS218" i="1"/>
  <c r="AR508" i="1"/>
  <c r="AS38" i="1"/>
  <c r="AT895" i="1"/>
  <c r="AS1322" i="1"/>
  <c r="AS1306" i="1"/>
  <c r="AS1289" i="1"/>
  <c r="AS1157" i="1"/>
  <c r="AS1094" i="1"/>
  <c r="AT459" i="1"/>
  <c r="AT237" i="1"/>
  <c r="AT169" i="1"/>
  <c r="AR1942" i="1"/>
  <c r="AS879" i="1"/>
  <c r="AT1233" i="1"/>
  <c r="AR551" i="1"/>
  <c r="AW2408" i="1"/>
  <c r="AW2413" i="1"/>
  <c r="AW2416" i="1"/>
  <c r="AW2423" i="1"/>
  <c r="AW2426" i="1"/>
  <c r="AR915" i="1"/>
  <c r="AS915" i="1"/>
  <c r="AT2800" i="1"/>
  <c r="AR2800" i="1"/>
  <c r="AS2800" i="1"/>
  <c r="AT2812" i="1"/>
  <c r="AS2812" i="1"/>
  <c r="AR2816" i="1"/>
  <c r="AT2816" i="1"/>
  <c r="AS2816" i="1"/>
  <c r="AR2837" i="1"/>
  <c r="AT2837" i="1"/>
  <c r="AS2837" i="1"/>
  <c r="AR2789" i="1"/>
  <c r="AT2789" i="1"/>
  <c r="AR2844" i="1"/>
  <c r="AS2844" i="1"/>
  <c r="AT2877" i="1"/>
  <c r="AS2877" i="1"/>
  <c r="AT2879" i="1"/>
  <c r="AS2879" i="1"/>
  <c r="AT2897" i="1"/>
  <c r="AS2897" i="1"/>
  <c r="AR2897" i="1"/>
  <c r="AR2866" i="1"/>
  <c r="AS2866" i="1"/>
  <c r="AT2882" i="1"/>
  <c r="AR2882" i="1"/>
  <c r="AS2882" i="1"/>
  <c r="AR2904" i="1"/>
  <c r="AS2904" i="1"/>
  <c r="AR2907" i="1"/>
  <c r="AS2907" i="1"/>
  <c r="AS2894" i="1"/>
  <c r="AR2894" i="1"/>
  <c r="AT2929" i="1"/>
  <c r="AS2929" i="1"/>
  <c r="AT2943" i="1"/>
  <c r="AR2943" i="1"/>
  <c r="AS2943" i="1"/>
  <c r="AT2970" i="1"/>
  <c r="AS2970" i="1"/>
  <c r="AR2962" i="1"/>
  <c r="AT2962" i="1"/>
  <c r="AS2962" i="1"/>
  <c r="AT2915" i="1"/>
  <c r="AR2915" i="1"/>
  <c r="AS2915" i="1"/>
  <c r="AS2917" i="1"/>
  <c r="AR2917" i="1"/>
  <c r="AR2862" i="1"/>
  <c r="AS2862" i="1"/>
  <c r="AS2919" i="1"/>
  <c r="AR2919" i="1"/>
  <c r="AT2931" i="1"/>
  <c r="AS2931" i="1"/>
  <c r="AR2931" i="1"/>
  <c r="AR2964" i="1"/>
  <c r="AT2964" i="1"/>
  <c r="AS2964" i="1"/>
  <c r="AR2911" i="1"/>
  <c r="AS2911" i="1"/>
  <c r="AR3141" i="1"/>
  <c r="AT3141" i="1"/>
  <c r="AR3204" i="1"/>
  <c r="AS3204" i="1"/>
  <c r="AT3220" i="1"/>
  <c r="AS3220" i="1"/>
  <c r="AR3220" i="1"/>
  <c r="AS3020" i="1"/>
  <c r="AR2975" i="1"/>
  <c r="AT2844" i="1"/>
  <c r="AR2970" i="1"/>
  <c r="AT2919" i="1"/>
  <c r="AT3131" i="1"/>
  <c r="AS2896" i="1"/>
  <c r="AS796" i="1"/>
  <c r="AR796" i="1"/>
  <c r="AR1698" i="1"/>
  <c r="AT1698" i="1"/>
  <c r="AR1717" i="1"/>
  <c r="AT1717" i="1"/>
  <c r="AR1725" i="1"/>
  <c r="AT1725" i="1"/>
  <c r="AR1729" i="1"/>
  <c r="AT1729" i="1"/>
  <c r="AR1733" i="1"/>
  <c r="AT1733" i="1"/>
  <c r="AR1741" i="1"/>
  <c r="AT1741" i="1"/>
  <c r="AR1749" i="1"/>
  <c r="AT1749" i="1"/>
  <c r="AR1753" i="1"/>
  <c r="AT1753" i="1"/>
  <c r="AR1757" i="1"/>
  <c r="AT1757" i="1"/>
  <c r="AR1765" i="1"/>
  <c r="AT1765" i="1"/>
  <c r="AR1770" i="1"/>
  <c r="AT1770" i="1"/>
  <c r="AR1773" i="1"/>
  <c r="AT1773" i="1"/>
  <c r="AR1781" i="1"/>
  <c r="AT1781" i="1"/>
  <c r="AR1785" i="1"/>
  <c r="AT1785" i="1"/>
  <c r="AR1797" i="1"/>
  <c r="AT1797" i="1"/>
  <c r="AR1809" i="1"/>
  <c r="AT1809" i="1"/>
  <c r="AT2576" i="1"/>
  <c r="AR2576" i="1"/>
  <c r="AS2583" i="1"/>
  <c r="AR2583" i="1"/>
  <c r="AS2585" i="1"/>
  <c r="AT2585" i="1"/>
  <c r="AR2585" i="1"/>
  <c r="AR2592" i="1"/>
  <c r="AT2592" i="1"/>
  <c r="AS2592" i="1"/>
  <c r="AS2600" i="1"/>
  <c r="AR2600" i="1"/>
  <c r="AR2640" i="1"/>
  <c r="AS2640" i="1"/>
  <c r="AT2640" i="1"/>
  <c r="AS2654" i="1"/>
  <c r="AR2654" i="1"/>
  <c r="AT2679" i="1"/>
  <c r="AR2679" i="1"/>
  <c r="AS2684" i="1"/>
  <c r="AR2684" i="1"/>
  <c r="AR2686" i="1"/>
  <c r="AS2686" i="1"/>
  <c r="AT2686" i="1"/>
  <c r="AT2690" i="1"/>
  <c r="AS2690" i="1"/>
  <c r="AZ2700" i="1"/>
  <c r="AY2700" i="1"/>
  <c r="AR2531" i="1"/>
  <c r="AS2531" i="1"/>
  <c r="AT2531" i="1"/>
  <c r="AR3153" i="1"/>
  <c r="AR3136" i="1"/>
  <c r="AS3153" i="1"/>
  <c r="AS3130" i="1"/>
  <c r="AS3161" i="1"/>
  <c r="AT3061" i="1"/>
  <c r="AR2728" i="1"/>
  <c r="AR3051" i="1"/>
  <c r="AS2969" i="1"/>
  <c r="AS3026" i="1"/>
  <c r="AS2999" i="1"/>
  <c r="AS2876" i="1"/>
  <c r="AR2836" i="1"/>
  <c r="AT2866" i="1"/>
  <c r="AT2904" i="1"/>
  <c r="AR19" i="1"/>
  <c r="AS19" i="1"/>
  <c r="AS661" i="1"/>
  <c r="AR661" i="1"/>
  <c r="AR665" i="1"/>
  <c r="AS665" i="1"/>
  <c r="AS669" i="1"/>
  <c r="AT669" i="1"/>
  <c r="AR669" i="1"/>
  <c r="AR672" i="1"/>
  <c r="AS672" i="1"/>
  <c r="AS677" i="1"/>
  <c r="AT677" i="1"/>
  <c r="AR681" i="1"/>
  <c r="AS681" i="1"/>
  <c r="AT681" i="1"/>
  <c r="AS685" i="1"/>
  <c r="AT685" i="1"/>
  <c r="AS701" i="1"/>
  <c r="AR701" i="1"/>
  <c r="AT1560" i="1"/>
  <c r="AS1560" i="1"/>
  <c r="AR1560" i="1"/>
  <c r="AR1568" i="1"/>
  <c r="AS1568" i="1"/>
  <c r="AT1568" i="1"/>
  <c r="AS1572" i="1"/>
  <c r="AR1572" i="1"/>
  <c r="AT1576" i="1"/>
  <c r="AR1576" i="1"/>
  <c r="AS1580" i="1"/>
  <c r="AR1580" i="1"/>
  <c r="AZ2449" i="1"/>
  <c r="AY2449" i="1"/>
  <c r="AS2490" i="1"/>
  <c r="AR2490" i="1"/>
  <c r="AY2513" i="1"/>
  <c r="AZ2513" i="1"/>
  <c r="AR2515" i="1"/>
  <c r="AT2515" i="1"/>
  <c r="AT2518" i="1"/>
  <c r="AS2518" i="1"/>
  <c r="AT2539" i="1"/>
  <c r="AR2539" i="1"/>
  <c r="AY2549" i="1"/>
  <c r="AZ2549" i="1"/>
  <c r="AT3137" i="1"/>
  <c r="AT915" i="1"/>
  <c r="AR3133" i="1"/>
  <c r="AS911" i="1"/>
  <c r="AT434" i="1"/>
  <c r="AS434" i="1"/>
  <c r="AS2419" i="1"/>
  <c r="AR2419" i="1"/>
  <c r="AT911" i="1"/>
  <c r="AR3102" i="1"/>
  <c r="AT2954" i="1"/>
  <c r="AT2995" i="1"/>
  <c r="AS2979" i="1"/>
  <c r="AS3043" i="1"/>
  <c r="AT2699" i="1"/>
  <c r="AS3007" i="1"/>
  <c r="AR2896" i="1"/>
  <c r="AR2877" i="1"/>
  <c r="AT3090" i="1"/>
  <c r="AT3054" i="1"/>
  <c r="AT2826" i="1"/>
  <c r="AR2981" i="1"/>
  <c r="AR2929" i="1"/>
  <c r="AT2894" i="1"/>
  <c r="AT2907" i="1"/>
  <c r="AT2911" i="1"/>
  <c r="AT3121" i="1"/>
  <c r="AS2162" i="1"/>
  <c r="AT2162" i="1"/>
  <c r="AY2182" i="1"/>
  <c r="AZ2182" i="1"/>
  <c r="AT2192" i="1"/>
  <c r="AR2192" i="1"/>
  <c r="AZ2195" i="1"/>
  <c r="AY2195" i="1"/>
  <c r="AT2205" i="1"/>
  <c r="AR2205" i="1"/>
  <c r="AS2217" i="1"/>
  <c r="AT2217" i="1"/>
  <c r="AT2220" i="1"/>
  <c r="AS2220" i="1"/>
  <c r="AY2229" i="1"/>
  <c r="AZ2229" i="1"/>
  <c r="AY2243" i="1"/>
  <c r="AZ2243" i="1"/>
  <c r="AT2249" i="1"/>
  <c r="AS2249" i="1"/>
  <c r="AS2257" i="1"/>
  <c r="AR2257" i="1"/>
  <c r="AR2276" i="1"/>
  <c r="AS2276" i="1"/>
  <c r="AY2283" i="1"/>
  <c r="AZ2283" i="1"/>
  <c r="AT2287" i="1"/>
  <c r="AR2287" i="1"/>
  <c r="AS2299" i="1"/>
  <c r="AR2299" i="1"/>
  <c r="AT2365" i="1"/>
  <c r="AS2365" i="1"/>
  <c r="AR2365" i="1"/>
  <c r="AZ2375" i="1"/>
  <c r="AY2375" i="1"/>
  <c r="AZ2393" i="1"/>
  <c r="AY2393" i="1"/>
  <c r="AS3086" i="1"/>
  <c r="AT3007" i="1"/>
  <c r="AS2993" i="1"/>
  <c r="AR2812" i="1"/>
  <c r="AR311" i="1"/>
  <c r="AT311" i="1"/>
  <c r="AS327" i="1"/>
  <c r="AT327" i="1"/>
  <c r="AR327" i="1"/>
  <c r="AS343" i="1"/>
  <c r="AT343" i="1"/>
  <c r="AR351" i="1"/>
  <c r="AT351" i="1"/>
  <c r="AS367" i="1"/>
  <c r="AT367" i="1"/>
  <c r="AT1132" i="1"/>
  <c r="AR1132" i="1"/>
  <c r="AR1136" i="1"/>
  <c r="AT1136" i="1"/>
  <c r="AR1948" i="1"/>
  <c r="AT1948" i="1"/>
  <c r="AS1948" i="1"/>
  <c r="AR1953" i="1"/>
  <c r="AT1953" i="1"/>
  <c r="AS1953" i="1"/>
  <c r="AR1970" i="1"/>
  <c r="AS1970" i="1"/>
  <c r="AT1970" i="1"/>
  <c r="AY1979" i="1"/>
  <c r="AZ1979" i="1"/>
  <c r="AT1997" i="1"/>
  <c r="AR1997" i="1"/>
  <c r="AS1997" i="1"/>
  <c r="AR2008" i="1"/>
  <c r="AT2008" i="1"/>
  <c r="AT2055" i="1"/>
  <c r="AS2055" i="1"/>
  <c r="AR2064" i="1"/>
  <c r="AT2064" i="1"/>
  <c r="AS2094" i="1"/>
  <c r="AT2094" i="1"/>
  <c r="AS2099" i="1"/>
  <c r="AT2099" i="1"/>
  <c r="AS2116" i="1"/>
  <c r="AR2116" i="1"/>
  <c r="AS2137" i="1"/>
  <c r="AT2137" i="1"/>
  <c r="AS2145" i="1"/>
  <c r="AR2145" i="1"/>
  <c r="AT2145" i="1"/>
  <c r="AR2151" i="1"/>
  <c r="AS2151" i="1"/>
  <c r="AS3047" i="1"/>
  <c r="AT2993" i="1"/>
  <c r="AR2818" i="1"/>
  <c r="AT3116" i="1"/>
  <c r="AS2789" i="1"/>
  <c r="AR213" i="1"/>
  <c r="AT213" i="1"/>
  <c r="AS217" i="1"/>
  <c r="AR217" i="1"/>
  <c r="AS229" i="1"/>
  <c r="AR229" i="1"/>
  <c r="AR1065" i="1"/>
  <c r="AT1065" i="1"/>
  <c r="AR1085" i="1"/>
  <c r="AT1085" i="1"/>
  <c r="AR1089" i="1"/>
  <c r="AT1089" i="1"/>
  <c r="AT1932" i="1"/>
  <c r="AR1932" i="1"/>
  <c r="AS1932" i="1"/>
  <c r="AR2879" i="1"/>
  <c r="AS2870" i="1"/>
  <c r="AT2862" i="1"/>
  <c r="AS1916" i="1"/>
  <c r="AT1916" i="1"/>
  <c r="AS583" i="1"/>
  <c r="AS559" i="1"/>
  <c r="AW1999" i="1"/>
  <c r="AT277" i="1"/>
  <c r="AW1945" i="1"/>
  <c r="AW1947" i="1"/>
  <c r="AW1949" i="1"/>
  <c r="AW1957" i="1"/>
  <c r="AW1959" i="1"/>
  <c r="AW1961" i="1"/>
  <c r="AW1964" i="1"/>
  <c r="AW1982" i="1"/>
  <c r="AW1987" i="1"/>
  <c r="AW1994" i="1"/>
  <c r="AW2019" i="1"/>
  <c r="AW2024" i="1"/>
  <c r="AW2026" i="1"/>
  <c r="AW2039" i="1"/>
  <c r="AW2050" i="1"/>
  <c r="AW2052" i="1"/>
  <c r="AW2115" i="1"/>
  <c r="AW2120" i="1"/>
  <c r="AW2130" i="1"/>
  <c r="AW2234" i="1"/>
  <c r="AW2155" i="1"/>
  <c r="AW2084" i="1"/>
  <c r="AW2097" i="1"/>
  <c r="AW2107" i="1"/>
  <c r="AW2135" i="1"/>
  <c r="AR379" i="1"/>
  <c r="AS379" i="1"/>
  <c r="AT379" i="1"/>
  <c r="AR383" i="1"/>
  <c r="AT383" i="1"/>
  <c r="AS383" i="1"/>
  <c r="AS387" i="1"/>
  <c r="AR387" i="1"/>
  <c r="AT387" i="1"/>
  <c r="AT410" i="1"/>
  <c r="AS410" i="1"/>
  <c r="AR410" i="1"/>
  <c r="AT418" i="1"/>
  <c r="AR418" i="1"/>
  <c r="AS418" i="1"/>
  <c r="AT426" i="1"/>
  <c r="AR426" i="1"/>
  <c r="AS426" i="1"/>
  <c r="AS752" i="1"/>
  <c r="AR752" i="1"/>
  <c r="AT752" i="1"/>
  <c r="AT756" i="1"/>
  <c r="AR756" i="1"/>
  <c r="AS756" i="1"/>
  <c r="AS760" i="1"/>
  <c r="AT760" i="1"/>
  <c r="AS764" i="1"/>
  <c r="AR764" i="1"/>
  <c r="AT764" i="1"/>
  <c r="AT768" i="1"/>
  <c r="AR768" i="1"/>
  <c r="AS772" i="1"/>
  <c r="AR772" i="1"/>
  <c r="AS776" i="1"/>
  <c r="AR776" i="1"/>
  <c r="AR1247" i="1"/>
  <c r="AT1247" i="1"/>
  <c r="AS1247" i="1"/>
  <c r="AR1251" i="1"/>
  <c r="AS1251" i="1"/>
  <c r="AR1255" i="1"/>
  <c r="AT1255" i="1"/>
  <c r="AS1255" i="1"/>
  <c r="AR1259" i="1"/>
  <c r="AT1259" i="1"/>
  <c r="AS1259" i="1"/>
  <c r="AR1263" i="1"/>
  <c r="AT1263" i="1"/>
  <c r="AR1267" i="1"/>
  <c r="AS1267" i="1"/>
  <c r="AT1267" i="1"/>
  <c r="AR1271" i="1"/>
  <c r="AT1271" i="1"/>
  <c r="AR1275" i="1"/>
  <c r="AS1275" i="1"/>
  <c r="AR1279" i="1"/>
  <c r="AT1279" i="1"/>
  <c r="AS1279" i="1"/>
  <c r="AR1283" i="1"/>
  <c r="AS1283" i="1"/>
  <c r="AR1287" i="1"/>
  <c r="AT1287" i="1"/>
  <c r="AS1287" i="1"/>
  <c r="AR1291" i="1"/>
  <c r="AT1291" i="1"/>
  <c r="AS1291" i="1"/>
  <c r="AR1295" i="1"/>
  <c r="AT1295" i="1"/>
  <c r="AR1299" i="1"/>
  <c r="AS1299" i="1"/>
  <c r="AT1299" i="1"/>
  <c r="AR1303" i="1"/>
  <c r="AT1303" i="1"/>
  <c r="AR1308" i="1"/>
  <c r="AS1308" i="1"/>
  <c r="AR1312" i="1"/>
  <c r="AT1312" i="1"/>
  <c r="AS1312" i="1"/>
  <c r="AR1316" i="1"/>
  <c r="AS1316" i="1"/>
  <c r="AR1320" i="1"/>
  <c r="AT1320" i="1"/>
  <c r="AS1320" i="1"/>
  <c r="AR1324" i="1"/>
  <c r="AT1324" i="1"/>
  <c r="AS1324" i="1"/>
  <c r="AR1328" i="1"/>
  <c r="AT1328" i="1"/>
  <c r="AR1332" i="1"/>
  <c r="AS1332" i="1"/>
  <c r="AT1332" i="1"/>
  <c r="AR1336" i="1"/>
  <c r="AT1336" i="1"/>
  <c r="AR1340" i="1"/>
  <c r="AS1340" i="1"/>
  <c r="AR1344" i="1"/>
  <c r="AT1344" i="1"/>
  <c r="AS1344" i="1"/>
  <c r="AR1348" i="1"/>
  <c r="AS1348" i="1"/>
  <c r="AR1352" i="1"/>
  <c r="AT1352" i="1"/>
  <c r="AS1352" i="1"/>
  <c r="AR1356" i="1"/>
  <c r="AT1356" i="1"/>
  <c r="AS1356" i="1"/>
  <c r="AR1360" i="1"/>
  <c r="AT1360" i="1"/>
  <c r="AR1364" i="1"/>
  <c r="AS1364" i="1"/>
  <c r="AT1364" i="1"/>
  <c r="AR1368" i="1"/>
  <c r="AT1368" i="1"/>
  <c r="AR1372" i="1"/>
  <c r="AS1372" i="1"/>
  <c r="AR1444" i="1"/>
  <c r="AS1444" i="1"/>
  <c r="AS1448" i="1"/>
  <c r="AR1448" i="1"/>
  <c r="AR1452" i="1"/>
  <c r="AS1452" i="1"/>
  <c r="AR1456" i="1"/>
  <c r="AS1456" i="1"/>
  <c r="AS1460" i="1"/>
  <c r="AT1460" i="1"/>
  <c r="AR1460" i="1"/>
  <c r="AS1464" i="1"/>
  <c r="AT1464" i="1"/>
  <c r="AR1464" i="1"/>
  <c r="AT1468" i="1"/>
  <c r="AR1468" i="1"/>
  <c r="AS1468" i="1"/>
  <c r="AS1471" i="1"/>
  <c r="AT1471" i="1"/>
  <c r="AR1471" i="1"/>
  <c r="AT1475" i="1"/>
  <c r="AR1475" i="1"/>
  <c r="AS1479" i="1"/>
  <c r="AT1479" i="1"/>
  <c r="AR1479" i="1"/>
  <c r="AT1483" i="1"/>
  <c r="AR1483" i="1"/>
  <c r="AS1483" i="1"/>
  <c r="AS1493" i="1"/>
  <c r="AT1493" i="1"/>
  <c r="AR1501" i="1"/>
  <c r="AT1501" i="1"/>
  <c r="AR1505" i="1"/>
  <c r="AS1505" i="1"/>
  <c r="AT1505" i="1"/>
  <c r="AS1513" i="1"/>
  <c r="AT1513" i="1"/>
  <c r="AR1513" i="1"/>
  <c r="AT1517" i="1"/>
  <c r="AS1517" i="1"/>
  <c r="AS1521" i="1"/>
  <c r="AT1521" i="1"/>
  <c r="AR1521" i="1"/>
  <c r="AR1525" i="1"/>
  <c r="AT1525" i="1"/>
  <c r="AS1525" i="1"/>
  <c r="AS713" i="1"/>
  <c r="AT713" i="1"/>
  <c r="AR713" i="1"/>
  <c r="AS721" i="1"/>
  <c r="AT721" i="1"/>
  <c r="AR1109" i="1"/>
  <c r="AS1109" i="1"/>
  <c r="AS1501" i="1"/>
  <c r="AS316" i="1"/>
  <c r="AT316" i="1"/>
  <c r="AT328" i="1"/>
  <c r="AS328" i="1"/>
  <c r="AS340" i="1"/>
  <c r="AT340" i="1"/>
  <c r="AR356" i="1"/>
  <c r="AS356" i="1"/>
  <c r="AT356" i="1"/>
  <c r="AR682" i="1"/>
  <c r="AT682" i="1"/>
  <c r="AS682" i="1"/>
  <c r="AR690" i="1"/>
  <c r="AT690" i="1"/>
  <c r="AS690" i="1"/>
  <c r="AR698" i="1"/>
  <c r="AT698" i="1"/>
  <c r="AS1062" i="1"/>
  <c r="AT1062" i="1"/>
  <c r="AS1070" i="1"/>
  <c r="AT1070" i="1"/>
  <c r="AR1070" i="1"/>
  <c r="AR281" i="1"/>
  <c r="AT281" i="1"/>
  <c r="AS281" i="1"/>
  <c r="AR285" i="1"/>
  <c r="AT285" i="1"/>
  <c r="AS285" i="1"/>
  <c r="AS607" i="1"/>
  <c r="AT607" i="1"/>
  <c r="AR611" i="1"/>
  <c r="AS611" i="1"/>
  <c r="AR615" i="1"/>
  <c r="AT615" i="1"/>
  <c r="AS615" i="1"/>
  <c r="AR619" i="1"/>
  <c r="AS619" i="1"/>
  <c r="AT619" i="1"/>
  <c r="AR623" i="1"/>
  <c r="AT623" i="1"/>
  <c r="AS623" i="1"/>
  <c r="AS1051" i="1"/>
  <c r="AT1051" i="1"/>
  <c r="AR1051" i="1"/>
  <c r="AR1055" i="1"/>
  <c r="AT1055" i="1"/>
  <c r="AS1055" i="1"/>
  <c r="AS172" i="1"/>
  <c r="AT172" i="1"/>
  <c r="AS204" i="1"/>
  <c r="AT204" i="1"/>
  <c r="AS536" i="1"/>
  <c r="AR536" i="1"/>
  <c r="AT536" i="1"/>
  <c r="AS540" i="1"/>
  <c r="AT540" i="1"/>
  <c r="AS552" i="1"/>
  <c r="AR552" i="1"/>
  <c r="AT556" i="1"/>
  <c r="AR556" i="1"/>
  <c r="AT560" i="1"/>
  <c r="AR560" i="1"/>
  <c r="AS564" i="1"/>
  <c r="AT564" i="1"/>
  <c r="AR564" i="1"/>
  <c r="AR572" i="1"/>
  <c r="AS572" i="1"/>
  <c r="AS576" i="1"/>
  <c r="AR576" i="1"/>
  <c r="AT580" i="1"/>
  <c r="AS580" i="1"/>
  <c r="AR580" i="1"/>
  <c r="AR921" i="1"/>
  <c r="AS921" i="1"/>
  <c r="AT921" i="1"/>
  <c r="AT925" i="1"/>
  <c r="AS925" i="1"/>
  <c r="AS929" i="1"/>
  <c r="AT929" i="1"/>
  <c r="AR929" i="1"/>
  <c r="AT933" i="1"/>
  <c r="AS933" i="1"/>
  <c r="AS937" i="1"/>
  <c r="AT937" i="1"/>
  <c r="AR937" i="1"/>
  <c r="AT941" i="1"/>
  <c r="AS941" i="1"/>
  <c r="AR941" i="1"/>
  <c r="AR945" i="1"/>
  <c r="AT945" i="1"/>
  <c r="AS949" i="1"/>
  <c r="AR949" i="1"/>
  <c r="AR953" i="1"/>
  <c r="AS953" i="1"/>
  <c r="AT953" i="1"/>
  <c r="AT957" i="1"/>
  <c r="AS957" i="1"/>
  <c r="AS961" i="1"/>
  <c r="AT961" i="1"/>
  <c r="AR961" i="1"/>
  <c r="AR1617" i="1"/>
  <c r="AS1617" i="1"/>
  <c r="AT1617" i="1"/>
  <c r="AR1621" i="1"/>
  <c r="AS1621" i="1"/>
  <c r="AR1625" i="1"/>
  <c r="AS1625" i="1"/>
  <c r="AT1625" i="1"/>
  <c r="AT1633" i="1"/>
  <c r="AR1633" i="1"/>
  <c r="AS1633" i="1"/>
  <c r="AR1637" i="1"/>
  <c r="AT1637" i="1"/>
  <c r="AS1637" i="1"/>
  <c r="AS1641" i="1"/>
  <c r="AR1641" i="1"/>
  <c r="AT1644" i="1"/>
  <c r="AR1644" i="1"/>
  <c r="AS1644" i="1"/>
  <c r="AR1649" i="1"/>
  <c r="AT1649" i="1"/>
  <c r="AS1649" i="1"/>
  <c r="AS1653" i="1"/>
  <c r="AR1653" i="1"/>
  <c r="AT1657" i="1"/>
  <c r="AR1657" i="1"/>
  <c r="AS1657" i="1"/>
  <c r="AR1661" i="1"/>
  <c r="AT1661" i="1"/>
  <c r="AS1665" i="1"/>
  <c r="AT1665" i="1"/>
  <c r="AR1665" i="1"/>
  <c r="AR1669" i="1"/>
  <c r="AT1669" i="1"/>
  <c r="AS1669" i="1"/>
  <c r="AR1704" i="1"/>
  <c r="AT1704" i="1"/>
  <c r="AS1704" i="1"/>
  <c r="AR1819" i="1"/>
  <c r="AS1819" i="1"/>
  <c r="AT1819" i="1"/>
  <c r="AR1823" i="1"/>
  <c r="AT1823" i="1"/>
  <c r="AS1823" i="1"/>
  <c r="AS1827" i="1"/>
  <c r="AR1827" i="1"/>
  <c r="AS1831" i="1"/>
  <c r="AR1831" i="1"/>
  <c r="AT1831" i="1"/>
  <c r="AT1835" i="1"/>
  <c r="AS1835" i="1"/>
  <c r="AR1835" i="1"/>
  <c r="AT1839" i="1"/>
  <c r="AS1839" i="1"/>
  <c r="AT1847" i="1"/>
  <c r="AS1847" i="1"/>
  <c r="AR1847" i="1"/>
  <c r="AR1851" i="1"/>
  <c r="AS1851" i="1"/>
  <c r="AT1851" i="1"/>
  <c r="AR1855" i="1"/>
  <c r="AT1855" i="1"/>
  <c r="AR1859" i="1"/>
  <c r="AT1859" i="1"/>
  <c r="AS1859" i="1"/>
  <c r="AR1863" i="1"/>
  <c r="AS1863" i="1"/>
  <c r="AT1863" i="1"/>
  <c r="AR1867" i="1"/>
  <c r="AS1867" i="1"/>
  <c r="AT1867" i="1"/>
  <c r="AS1871" i="1"/>
  <c r="AR1871" i="1"/>
  <c r="AR1875" i="1"/>
  <c r="AT1875" i="1"/>
  <c r="AS1879" i="1"/>
  <c r="AT1879" i="1"/>
  <c r="AR1879" i="1"/>
  <c r="AR1887" i="1"/>
  <c r="AT1887" i="1"/>
  <c r="AS1887" i="1"/>
  <c r="AT1891" i="1"/>
  <c r="AS1891" i="1"/>
  <c r="AR1891" i="1"/>
  <c r="AS1931" i="1"/>
  <c r="AT1931" i="1"/>
  <c r="AR1939" i="1"/>
  <c r="AS1939" i="1"/>
  <c r="AS1966" i="1"/>
  <c r="AR1966" i="1"/>
  <c r="AS1974" i="1"/>
  <c r="AR1974" i="1"/>
  <c r="AT1974" i="1"/>
  <c r="AR1976" i="1"/>
  <c r="AT1976" i="1"/>
  <c r="AT1979" i="1"/>
  <c r="AR1979" i="1"/>
  <c r="AS1979" i="1"/>
  <c r="AR1984" i="1"/>
  <c r="AS1984" i="1"/>
  <c r="AT1989" i="1"/>
  <c r="AR1989" i="1"/>
  <c r="AT1991" i="1"/>
  <c r="AS1991" i="1"/>
  <c r="AR1991" i="1"/>
  <c r="AY2012" i="1"/>
  <c r="AZ2012" i="1"/>
  <c r="AR2018" i="1"/>
  <c r="AT2018" i="1"/>
  <c r="AS2018" i="1"/>
  <c r="AT2035" i="1"/>
  <c r="AR2035" i="1"/>
  <c r="AR16" i="1"/>
  <c r="AS16" i="1"/>
  <c r="AT16" i="1"/>
  <c r="AS49" i="1"/>
  <c r="AT49" i="1"/>
  <c r="AR53" i="1"/>
  <c r="AS53" i="1"/>
  <c r="AR57" i="1"/>
  <c r="AT57" i="1"/>
  <c r="AS57" i="1"/>
  <c r="AR65" i="1"/>
  <c r="AT65" i="1"/>
  <c r="AS65" i="1"/>
  <c r="AR69" i="1"/>
  <c r="AT69" i="1"/>
  <c r="AS69" i="1"/>
  <c r="AR73" i="1"/>
  <c r="AT73" i="1"/>
  <c r="AS73" i="1"/>
  <c r="AR77" i="1"/>
  <c r="AS77" i="1"/>
  <c r="AR81" i="1"/>
  <c r="AT81" i="1"/>
  <c r="AS81" i="1"/>
  <c r="AR85" i="1"/>
  <c r="AT85" i="1"/>
  <c r="AR89" i="1"/>
  <c r="AS89" i="1"/>
  <c r="AS97" i="1"/>
  <c r="AT97" i="1"/>
  <c r="AR97" i="1"/>
  <c r="AS101" i="1"/>
  <c r="AT101" i="1"/>
  <c r="AR101" i="1"/>
  <c r="AR105" i="1"/>
  <c r="AT105" i="1"/>
  <c r="AS105" i="1"/>
  <c r="AS113" i="1"/>
  <c r="AT113" i="1"/>
  <c r="AR113" i="1"/>
  <c r="AS117" i="1"/>
  <c r="AT117" i="1"/>
  <c r="AR117" i="1"/>
  <c r="AT863" i="1"/>
  <c r="AR863" i="1"/>
  <c r="AS863" i="1"/>
  <c r="AS867" i="1"/>
  <c r="AT867" i="1"/>
  <c r="AR867" i="1"/>
  <c r="AS871" i="1"/>
  <c r="AT871" i="1"/>
  <c r="AR871" i="1"/>
  <c r="AR914" i="1"/>
  <c r="AT914" i="1"/>
  <c r="AS914" i="1"/>
  <c r="AR1579" i="1"/>
  <c r="AS1579" i="1"/>
  <c r="AR933" i="1"/>
  <c r="AS465" i="1"/>
  <c r="AR465" i="1"/>
  <c r="AS469" i="1"/>
  <c r="AT469" i="1"/>
  <c r="AR469" i="1"/>
  <c r="AR2110" i="1"/>
  <c r="AS2161" i="1"/>
  <c r="AR2126" i="1"/>
  <c r="AS2179" i="1"/>
  <c r="AT2909" i="1"/>
  <c r="AW2241" i="1"/>
  <c r="AZ2136" i="1"/>
  <c r="AZ2098" i="1"/>
  <c r="AT2126" i="1"/>
  <c r="AR2071" i="1"/>
  <c r="AS2516" i="1"/>
  <c r="AT2673" i="1"/>
  <c r="AY2170" i="1"/>
  <c r="AW2103" i="1"/>
  <c r="AS2213" i="1"/>
  <c r="AR2127" i="1"/>
  <c r="AS2177" i="1"/>
  <c r="AR2342" i="1"/>
  <c r="AS2857" i="1"/>
  <c r="AT2809" i="1"/>
  <c r="AS2864" i="1"/>
  <c r="AS2673" i="1"/>
  <c r="AS2073" i="1"/>
  <c r="AT2895" i="1"/>
  <c r="AW2049" i="1"/>
  <c r="AW2060" i="1"/>
  <c r="AT2206" i="1"/>
  <c r="AY2180" i="1"/>
  <c r="AR2213" i="1"/>
  <c r="AS2127" i="1"/>
  <c r="AT2177" i="1"/>
  <c r="AS2246" i="1"/>
  <c r="AZ2066" i="1"/>
  <c r="AT2864" i="1"/>
  <c r="AR2691" i="1"/>
  <c r="AT2073" i="1"/>
  <c r="AT2953" i="1"/>
  <c r="AS2206" i="1"/>
  <c r="AT2294" i="1"/>
  <c r="AR2103" i="1"/>
  <c r="AR2246" i="1"/>
  <c r="AT2912" i="1"/>
  <c r="AT2124" i="1"/>
  <c r="AT2103" i="1"/>
  <c r="AY2184" i="1"/>
  <c r="AR2203" i="1"/>
  <c r="AR2124" i="1"/>
  <c r="AW1977" i="1"/>
  <c r="AW1980" i="1"/>
  <c r="AW1985" i="1"/>
  <c r="AW1996" i="1"/>
  <c r="AR7" i="1"/>
  <c r="AS7" i="1"/>
  <c r="AS635" i="1"/>
  <c r="AR635" i="1"/>
  <c r="AS643" i="1"/>
  <c r="AR643" i="1"/>
  <c r="AS659" i="1"/>
  <c r="AR659" i="1"/>
  <c r="AR1113" i="1"/>
  <c r="AT1113" i="1"/>
  <c r="AR1117" i="1"/>
  <c r="AT1117" i="1"/>
  <c r="AR1529" i="1"/>
  <c r="AT1529" i="1"/>
  <c r="AS1529" i="1"/>
  <c r="AS1533" i="1"/>
  <c r="AT1533" i="1"/>
  <c r="AR1533" i="1"/>
  <c r="AT1537" i="1"/>
  <c r="AS1537" i="1"/>
  <c r="AR1537" i="1"/>
  <c r="AR1541" i="1"/>
  <c r="AS1541" i="1"/>
  <c r="AT1541" i="1"/>
  <c r="AT2250" i="1"/>
  <c r="AS2250" i="1"/>
  <c r="AR2253" i="1"/>
  <c r="AT2253" i="1"/>
  <c r="AS2253" i="1"/>
  <c r="AS2277" i="1"/>
  <c r="AR2277" i="1"/>
  <c r="AR2286" i="1"/>
  <c r="AS2286" i="1"/>
  <c r="AT2286" i="1"/>
  <c r="AR2291" i="1"/>
  <c r="AT2291" i="1"/>
  <c r="AS2291" i="1"/>
  <c r="AT2305" i="1"/>
  <c r="AS2305" i="1"/>
  <c r="AR2322" i="1"/>
  <c r="AT2322" i="1"/>
  <c r="AR2364" i="1"/>
  <c r="AT2364" i="1"/>
  <c r="AY2397" i="1"/>
  <c r="AZ2397" i="1"/>
  <c r="AR2410" i="1"/>
  <c r="AT2410" i="1"/>
  <c r="AR2412" i="1"/>
  <c r="AS2412" i="1"/>
  <c r="AR2418" i="1"/>
  <c r="AS2418" i="1"/>
  <c r="AT2420" i="1"/>
  <c r="AS2420" i="1"/>
  <c r="AR2422" i="1"/>
  <c r="AS2422" i="1"/>
  <c r="AZ2430" i="1"/>
  <c r="AY2430" i="1"/>
  <c r="AR2447" i="1"/>
  <c r="AT2447" i="1"/>
  <c r="AS2447" i="1"/>
  <c r="AS2458" i="1"/>
  <c r="AR2458" i="1"/>
  <c r="AR2460" i="1"/>
  <c r="AT2460" i="1"/>
  <c r="AR2540" i="1"/>
  <c r="AS2540" i="1"/>
  <c r="AT2587" i="1"/>
  <c r="AR2587" i="1"/>
  <c r="AT2596" i="1"/>
  <c r="AS2596" i="1"/>
  <c r="AS2607" i="1"/>
  <c r="AT2607" i="1"/>
  <c r="AS2629" i="1"/>
  <c r="AT2629" i="1"/>
  <c r="AR2629" i="1"/>
  <c r="AZ2631" i="1"/>
  <c r="AY2631" i="1"/>
  <c r="AS2636" i="1"/>
  <c r="AR2636" i="1"/>
  <c r="AR2555" i="1"/>
  <c r="AS2555" i="1"/>
  <c r="AT1579" i="1"/>
  <c r="AT1563" i="1"/>
  <c r="AR1148" i="1"/>
  <c r="AR2466" i="1"/>
  <c r="AY2521" i="1"/>
  <c r="AT2626" i="1"/>
  <c r="AZ2533" i="1"/>
  <c r="AT2507" i="1"/>
  <c r="AT2319" i="1"/>
  <c r="AR2256" i="1"/>
  <c r="AZ2281" i="1"/>
  <c r="AS2525" i="1"/>
  <c r="AR2294" i="1"/>
  <c r="AT2464" i="1"/>
  <c r="AT2516" i="1"/>
  <c r="AT2342" i="1"/>
  <c r="AR1121" i="1"/>
  <c r="AR2300" i="1"/>
  <c r="AR812" i="1"/>
  <c r="AS812" i="1"/>
  <c r="AT820" i="1"/>
  <c r="AS820" i="1"/>
  <c r="AR844" i="1"/>
  <c r="AS844" i="1"/>
  <c r="AS1102" i="1"/>
  <c r="AT1102" i="1"/>
  <c r="AS1106" i="1"/>
  <c r="AT1106" i="1"/>
  <c r="AS1915" i="1"/>
  <c r="AR1915" i="1"/>
  <c r="AZ2191" i="1"/>
  <c r="AY2191" i="1"/>
  <c r="AZ2196" i="1"/>
  <c r="AY2196" i="1"/>
  <c r="AZ2210" i="1"/>
  <c r="AY2210" i="1"/>
  <c r="AY2227" i="1"/>
  <c r="AZ2227" i="1"/>
  <c r="AR627" i="1"/>
  <c r="AR647" i="1"/>
  <c r="AT655" i="1"/>
  <c r="AS639" i="1"/>
  <c r="AT1594" i="1"/>
  <c r="AT5" i="1"/>
  <c r="AR1563" i="1"/>
  <c r="AT1148" i="1"/>
  <c r="AT2646" i="1"/>
  <c r="AT2636" i="1"/>
  <c r="AT2487" i="1"/>
  <c r="AR2507" i="1"/>
  <c r="AT2462" i="1"/>
  <c r="AT2248" i="1"/>
  <c r="AT2525" i="1"/>
  <c r="AR1594" i="1"/>
  <c r="AS1121" i="1"/>
  <c r="AS239" i="1"/>
  <c r="AS2464" i="1"/>
  <c r="AZ2541" i="1"/>
  <c r="AS2360" i="1"/>
  <c r="AS2460" i="1"/>
  <c r="AS177" i="1"/>
  <c r="AT177" i="1"/>
  <c r="AS189" i="1"/>
  <c r="AT189" i="1"/>
  <c r="AR197" i="1"/>
  <c r="AT197" i="1"/>
  <c r="AR205" i="1"/>
  <c r="AT205" i="1"/>
  <c r="AS209" i="1"/>
  <c r="AT209" i="1"/>
  <c r="AS321" i="1"/>
  <c r="AT321" i="1"/>
  <c r="AS325" i="1"/>
  <c r="AT325" i="1"/>
  <c r="AR329" i="1"/>
  <c r="AT329" i="1"/>
  <c r="AR337" i="1"/>
  <c r="AT337" i="1"/>
  <c r="AS357" i="1"/>
  <c r="AT357" i="1"/>
  <c r="AR361" i="1"/>
  <c r="AT361" i="1"/>
  <c r="AS557" i="1"/>
  <c r="AR557" i="1"/>
  <c r="AR561" i="1"/>
  <c r="AS561" i="1"/>
  <c r="AR577" i="1"/>
  <c r="AT577" i="1"/>
  <c r="AR761" i="1"/>
  <c r="AS761" i="1"/>
  <c r="AS773" i="1"/>
  <c r="AR773" i="1"/>
  <c r="AT1317" i="1"/>
  <c r="AR1317" i="1"/>
  <c r="AT1333" i="1"/>
  <c r="AR1333" i="1"/>
  <c r="AT1349" i="1"/>
  <c r="AR1349" i="1"/>
  <c r="AT1361" i="1"/>
  <c r="AR1361" i="1"/>
  <c r="AS1876" i="1"/>
  <c r="AT1876" i="1"/>
  <c r="AR2070" i="1"/>
  <c r="AS2070" i="1"/>
  <c r="AT2088" i="1"/>
  <c r="AS2088" i="1"/>
  <c r="AR2088" i="1"/>
  <c r="AS2109" i="1"/>
  <c r="AR2109" i="1"/>
  <c r="AT2109" i="1"/>
  <c r="AS2114" i="1"/>
  <c r="AT2114" i="1"/>
  <c r="AR2121" i="1"/>
  <c r="AT2121" i="1"/>
  <c r="AY2153" i="1"/>
  <c r="AZ2153" i="1"/>
  <c r="AS2158" i="1"/>
  <c r="AR2158" i="1"/>
  <c r="AR2163" i="1"/>
  <c r="AS2163" i="1"/>
  <c r="AT2163" i="1"/>
  <c r="AR2989" i="1"/>
  <c r="AT2989" i="1"/>
  <c r="AT2584" i="1"/>
  <c r="AR391" i="1"/>
  <c r="AR655" i="1"/>
  <c r="AT631" i="1"/>
  <c r="AS5" i="1"/>
  <c r="AT1575" i="1"/>
  <c r="AR1144" i="1"/>
  <c r="AR2646" i="1"/>
  <c r="AT2555" i="1"/>
  <c r="AS2487" i="1"/>
  <c r="AR2462" i="1"/>
  <c r="AS2410" i="1"/>
  <c r="AS2598" i="1"/>
  <c r="AT2489" i="1"/>
  <c r="AR2575" i="1"/>
  <c r="AR2360" i="1"/>
  <c r="AZ2400" i="1"/>
  <c r="AR2607" i="1"/>
  <c r="AS2322" i="1"/>
  <c r="AT498" i="1"/>
  <c r="AR498" i="1"/>
  <c r="AS498" i="1"/>
  <c r="AT506" i="1"/>
  <c r="AR506" i="1"/>
  <c r="AS506" i="1"/>
  <c r="AR514" i="1"/>
  <c r="AT514" i="1"/>
  <c r="AR530" i="1"/>
  <c r="AS530" i="1"/>
  <c r="AR730" i="1"/>
  <c r="AS730" i="1"/>
  <c r="AS738" i="1"/>
  <c r="AT738" i="1"/>
  <c r="AR738" i="1"/>
  <c r="AR746" i="1"/>
  <c r="AT746" i="1"/>
  <c r="AR974" i="1"/>
  <c r="AT974" i="1"/>
  <c r="AS978" i="1"/>
  <c r="AT978" i="1"/>
  <c r="AR978" i="1"/>
  <c r="AS982" i="1"/>
  <c r="AR982" i="1"/>
  <c r="AT986" i="1"/>
  <c r="AR986" i="1"/>
  <c r="AS990" i="1"/>
  <c r="AR990" i="1"/>
  <c r="AT994" i="1"/>
  <c r="AR994" i="1"/>
  <c r="AR1002" i="1"/>
  <c r="AS1002" i="1"/>
  <c r="AR1010" i="1"/>
  <c r="AS1010" i="1"/>
  <c r="AS1022" i="1"/>
  <c r="AR1022" i="1"/>
  <c r="AT1026" i="1"/>
  <c r="AR1026" i="1"/>
  <c r="AT1030" i="1"/>
  <c r="AR1030" i="1"/>
  <c r="AS1030" i="1"/>
  <c r="AS1034" i="1"/>
  <c r="AR1034" i="1"/>
  <c r="AR1038" i="1"/>
  <c r="AS1038" i="1"/>
  <c r="AT1038" i="1"/>
  <c r="AR1789" i="1"/>
  <c r="AT1789" i="1"/>
  <c r="AS2043" i="1"/>
  <c r="AT2043" i="1"/>
  <c r="AR2043" i="1"/>
  <c r="AT2048" i="1"/>
  <c r="AS2048" i="1"/>
  <c r="AR2053" i="1"/>
  <c r="AS2053" i="1"/>
  <c r="AT2057" i="1"/>
  <c r="AS2057" i="1"/>
  <c r="AT647" i="1"/>
  <c r="AR631" i="1"/>
  <c r="AR1575" i="1"/>
  <c r="AT2598" i="1"/>
  <c r="AT2458" i="1"/>
  <c r="AT2422" i="1"/>
  <c r="AR2305" i="1"/>
  <c r="AR2425" i="1"/>
  <c r="AS1117" i="1"/>
  <c r="AR2489" i="1"/>
  <c r="AT2575" i="1"/>
  <c r="AY2270" i="1"/>
  <c r="AR2572" i="1"/>
  <c r="AT2572" i="1"/>
  <c r="AZ2391" i="1"/>
  <c r="AT635" i="1"/>
  <c r="AY2435" i="1"/>
  <c r="AZ2292" i="1"/>
  <c r="AT198" i="1"/>
  <c r="AR198" i="1"/>
  <c r="AS287" i="1"/>
  <c r="AT287" i="1"/>
  <c r="AR723" i="1"/>
  <c r="AS723" i="1"/>
  <c r="AT723" i="1"/>
  <c r="AR951" i="1"/>
  <c r="AT951" i="1"/>
  <c r="AR1273" i="1"/>
  <c r="AT1273" i="1"/>
  <c r="AR1277" i="1"/>
  <c r="AT1277" i="1"/>
  <c r="AS2821" i="1"/>
  <c r="AT2821" i="1"/>
  <c r="AR2821" i="1"/>
  <c r="AS2790" i="1"/>
  <c r="AT2790" i="1"/>
  <c r="AT2774" i="1"/>
  <c r="AS2774" i="1"/>
  <c r="AT391" i="1"/>
  <c r="AT643" i="1"/>
  <c r="AR651" i="1"/>
  <c r="AR1571" i="1"/>
  <c r="AT1571" i="1"/>
  <c r="AR2367" i="1"/>
  <c r="AT2344" i="1"/>
  <c r="AT2425" i="1"/>
  <c r="AZ26" i="1"/>
  <c r="AY31" i="1"/>
  <c r="AS627" i="1"/>
  <c r="AT2277" i="1"/>
  <c r="AT1210" i="1"/>
  <c r="AR1210" i="1"/>
  <c r="AS1210" i="1"/>
  <c r="AS1214" i="1"/>
  <c r="AR1214" i="1"/>
  <c r="AT1230" i="1"/>
  <c r="AR1230" i="1"/>
  <c r="AS1234" i="1"/>
  <c r="AT1234" i="1"/>
  <c r="AS1242" i="1"/>
  <c r="AT1242" i="1"/>
  <c r="AS1246" i="1"/>
  <c r="AT1246" i="1"/>
  <c r="AR1713" i="1"/>
  <c r="AS1713" i="1"/>
  <c r="AR2710" i="1"/>
  <c r="AS2710" i="1"/>
  <c r="AS2739" i="1"/>
  <c r="AR2739" i="1"/>
  <c r="AY2560" i="1"/>
  <c r="AZ2560" i="1"/>
  <c r="AS2771" i="1"/>
  <c r="AR2771" i="1"/>
  <c r="AT2540" i="1"/>
  <c r="AR2596" i="1"/>
  <c r="AR2535" i="1"/>
  <c r="AR2420" i="1"/>
  <c r="AR2344" i="1"/>
  <c r="AS2248" i="1"/>
  <c r="AT2340" i="1"/>
  <c r="AR2329" i="1"/>
  <c r="AS1113" i="1"/>
  <c r="AY29" i="1"/>
  <c r="AR2591" i="1"/>
  <c r="AT2367" i="1"/>
  <c r="AT659" i="1"/>
  <c r="AR875" i="1"/>
  <c r="AY2443" i="1"/>
  <c r="AR2250" i="1"/>
  <c r="AS269" i="1"/>
  <c r="AT269" i="1"/>
  <c r="AS433" i="1"/>
  <c r="AT433" i="1"/>
  <c r="AT917" i="1"/>
  <c r="AR917" i="1"/>
  <c r="AT651" i="1"/>
  <c r="AS1567" i="1"/>
  <c r="AT239" i="1"/>
  <c r="AZ2643" i="1"/>
  <c r="AT2418" i="1"/>
  <c r="AT2288" i="1"/>
  <c r="AY2266" i="1"/>
  <c r="AZ23" i="1"/>
  <c r="AT2591" i="1"/>
  <c r="AS875" i="1"/>
  <c r="AZ2478" i="1"/>
  <c r="AT402" i="1"/>
  <c r="AS402" i="1"/>
  <c r="AR402" i="1"/>
  <c r="AR666" i="1"/>
  <c r="AS666" i="1"/>
  <c r="AT673" i="1"/>
  <c r="AR673" i="1"/>
  <c r="AR898" i="1"/>
  <c r="AS898" i="1"/>
  <c r="AS902" i="1"/>
  <c r="AR902" i="1"/>
  <c r="AT906" i="1"/>
  <c r="AS906" i="1"/>
  <c r="AS910" i="1"/>
  <c r="AT910" i="1"/>
  <c r="AS1609" i="1"/>
  <c r="AT1609" i="1"/>
  <c r="AS1998" i="1"/>
  <c r="AR1998" i="1"/>
  <c r="AT1998" i="1"/>
  <c r="AS667" i="1"/>
  <c r="AR554" i="1"/>
  <c r="AS554" i="1"/>
  <c r="AR519" i="1"/>
  <c r="AS362" i="1"/>
  <c r="AT999" i="1"/>
  <c r="AS663" i="1"/>
  <c r="AR562" i="1"/>
  <c r="AT273" i="1"/>
  <c r="AS515" i="1"/>
  <c r="AT523" i="1"/>
  <c r="AT3115" i="1"/>
  <c r="AS3056" i="1"/>
  <c r="AS1023" i="1"/>
  <c r="AS3119" i="1"/>
  <c r="AT845" i="1"/>
  <c r="AR3056" i="1"/>
  <c r="AT3119" i="1"/>
  <c r="AT605" i="1"/>
  <c r="AR434" i="1"/>
  <c r="AS601" i="1"/>
  <c r="AT362" i="1"/>
  <c r="AT531" i="1"/>
  <c r="AT3204" i="1"/>
  <c r="AT3135" i="1"/>
  <c r="AT574" i="1"/>
  <c r="AT1330" i="1"/>
  <c r="AT1007" i="1"/>
  <c r="AR430" i="1"/>
  <c r="AT133" i="1"/>
  <c r="AS621" i="1"/>
  <c r="AT613" i="1"/>
  <c r="AT701" i="1"/>
  <c r="AT563" i="1"/>
  <c r="AT491" i="1"/>
  <c r="AT427" i="1"/>
  <c r="AR697" i="1"/>
  <c r="AR442" i="1"/>
  <c r="AT279" i="1"/>
  <c r="AS513" i="1"/>
  <c r="AR731" i="1"/>
  <c r="AR922" i="1"/>
  <c r="AS826" i="1"/>
  <c r="AS986" i="1"/>
  <c r="AT838" i="1"/>
  <c r="AT757" i="1"/>
  <c r="AT678" i="1"/>
  <c r="AT390" i="1"/>
  <c r="AT661" i="1"/>
  <c r="AR693" i="1"/>
  <c r="AT717" i="1"/>
  <c r="AT401" i="1"/>
  <c r="AT229" i="1"/>
  <c r="AT129" i="1"/>
  <c r="AT689" i="1"/>
  <c r="AT731" i="1"/>
  <c r="AS938" i="1"/>
  <c r="AT1314" i="1"/>
  <c r="AS258" i="1"/>
  <c r="AT693" i="1"/>
  <c r="AR553" i="1"/>
  <c r="AR413" i="1"/>
  <c r="AT381" i="1"/>
  <c r="AT293" i="1"/>
  <c r="AS689" i="1"/>
  <c r="AR603" i="1"/>
  <c r="AT897" i="1"/>
  <c r="AT830" i="1"/>
  <c r="AT1249" i="1"/>
  <c r="AT1297" i="1"/>
  <c r="AR596" i="1"/>
  <c r="AR401" i="1"/>
  <c r="AT335" i="1"/>
  <c r="AT313" i="1"/>
  <c r="AT225" i="1"/>
  <c r="AT603" i="1"/>
  <c r="AS897" i="1"/>
  <c r="AT413" i="1"/>
  <c r="AT727" i="1"/>
  <c r="AT1310" i="1"/>
  <c r="AT375" i="1"/>
  <c r="AT247" i="1"/>
  <c r="AT221" i="1"/>
  <c r="AT747" i="1"/>
  <c r="AR593" i="1"/>
  <c r="AT553" i="1"/>
  <c r="AT1109" i="1"/>
  <c r="AT1459" i="1"/>
  <c r="AT1293" i="1"/>
  <c r="AT397" i="1"/>
  <c r="AT593" i="1"/>
  <c r="AS922" i="1"/>
  <c r="AS834" i="1"/>
  <c r="AR822" i="1"/>
  <c r="AR685" i="1"/>
  <c r="AR717" i="1"/>
  <c r="AT369" i="1"/>
  <c r="AT349" i="1"/>
  <c r="AT185" i="1"/>
  <c r="AS442" i="1"/>
  <c r="AT417" i="1"/>
  <c r="AR739" i="1"/>
  <c r="AS674" i="1"/>
  <c r="AS599" i="1"/>
  <c r="AT1181" i="1"/>
  <c r="AT1306" i="1"/>
  <c r="AS19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7"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<sst xmlns="http://schemas.openxmlformats.org/spreadsheetml/2006/main" count="136518" uniqueCount="46049">
  <si>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</si>
  <si>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</si>
  <si>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</si>
  <si>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</si>
  <si>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</si>
  <si>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</si>
  <si>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</si>
  <si>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</si>
  <si>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</si>
  <si>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</si>
  <si>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</si>
  <si>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</si>
  <si>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</si>
  <si>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</si>
  <si>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</si>
  <si>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</si>
  <si>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</si>
  <si>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</si>
  <si>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</si>
  <si>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</si>
  <si>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</si>
  <si>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</si>
  <si>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</si>
  <si>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</si>
  <si>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</si>
  <si>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</si>
  <si>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</si>
  <si>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</si>
  <si>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</si>
  <si>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</si>
  <si>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</si>
  <si>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</si>
  <si>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</si>
  <si>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</si>
  <si>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</si>
  <si>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</si>
  <si>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</si>
  <si>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Notification date (occurrence creation date for data from ERAIL)</t>
  </si>
  <si>
    <t>Date of sending the interim statement(s), if any</t>
  </si>
  <si>
    <t>Date of sending the final report to ERA</t>
  </si>
  <si>
    <t>Date of the investigation closure</t>
  </si>
  <si>
    <t>Acronym</t>
  </si>
  <si>
    <t>DATE (Italic format)</t>
  </si>
  <si>
    <t>Day</t>
  </si>
  <si>
    <t>Month</t>
  </si>
  <si>
    <t>Year</t>
  </si>
  <si>
    <t>Occurrence creation date</t>
  </si>
  <si>
    <t>Decision to investigate</t>
  </si>
  <si>
    <t>Delay</t>
  </si>
  <si>
    <t>Declaration date</t>
  </si>
  <si>
    <t>Month DECL DATE</t>
  </si>
  <si>
    <t>Year DECL DATE</t>
  </si>
  <si>
    <t>Date of IM/RU notification</t>
  </si>
  <si>
    <t>Notes</t>
  </si>
  <si>
    <t>Investigation report</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</si>
  <si>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</si>
  <si>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</si>
  <si>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</si>
  <si>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</si>
  <si>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</si>
  <si>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</si>
  <si>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</si>
  <si>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</si>
  <si>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</si>
  <si>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</si>
  <si>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</si>
  <si>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</si>
  <si>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</si>
  <si>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</si>
  <si>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</si>
  <si>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</si>
  <si>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</si>
  <si>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</si>
  <si>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</si>
  <si>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</si>
  <si>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</si>
  <si>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</si>
  <si>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</si>
  <si>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</si>
  <si>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</si>
  <si>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</si>
  <si>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</si>
  <si>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</si>
  <si>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Check again</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</si>
  <si>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</si>
  <si>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</si>
  <si>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</si>
  <si>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</si>
  <si>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</si>
  <si>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</si>
  <si>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</si>
  <si>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</si>
  <si>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</si>
  <si>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</si>
  <si>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</si>
  <si>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</si>
  <si>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</si>
  <si>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</si>
  <si>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</si>
  <si>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</si>
  <si>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</si>
  <si>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</si>
  <si>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</si>
  <si>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</si>
  <si>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</si>
  <si>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</si>
  <si>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</si>
  <si>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</si>
  <si>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</si>
  <si>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</si>
  <si>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</si>
  <si>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</si>
  <si>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</si>
  <si>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</si>
  <si>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</si>
  <si>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</si>
  <si>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</si>
  <si>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</si>
  <si>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</si>
  <si>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</si>
  <si>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</si>
  <si>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</si>
  <si>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</si>
  <si>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</si>
  <si>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</si>
  <si>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</si>
  <si>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</si>
  <si>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</si>
  <si>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</si>
  <si>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</si>
  <si>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</si>
  <si>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</si>
  <si>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</si>
  <si>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</si>
  <si>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</si>
  <si>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</si>
  <si>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</si>
  <si>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</si>
  <si>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</si>
  <si>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</si>
  <si>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</si>
  <si>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</si>
  <si>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</si>
  <si>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</si>
  <si>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</si>
  <si>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</si>
  <si>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</si>
  <si>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</si>
  <si>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</si>
  <si>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</si>
  <si>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</si>
  <si>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</si>
  <si>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</si>
  <si>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</si>
  <si>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</si>
  <si>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</si>
  <si>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</si>
  <si>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</si>
  <si>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</si>
  <si>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</si>
  <si>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</si>
  <si>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</si>
  <si>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</si>
  <si>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</si>
  <si>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</si>
  <si>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</si>
  <si>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</si>
  <si>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</si>
  <si>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</si>
  <si>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</si>
  <si>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</si>
  <si>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</si>
  <si>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</si>
  <si>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</si>
  <si>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</si>
  <si>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</si>
  <si>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</si>
  <si>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</si>
  <si>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</si>
  <si>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</si>
  <si>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</si>
  <si>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</si>
  <si>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</si>
  <si>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</si>
  <si>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</si>
  <si>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</si>
  <si>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</si>
  <si>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</si>
  <si>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</si>
  <si>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</si>
  <si>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</si>
  <si>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</si>
  <si>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</si>
  <si>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</si>
  <si>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</si>
  <si>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</si>
  <si>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</si>
  <si>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</si>
  <si>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</si>
  <si>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</si>
  <si>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</si>
  <si>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</si>
  <si>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</si>
  <si>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</si>
  <si>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</si>
  <si>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</si>
  <si>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</si>
  <si>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</si>
  <si>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</si>
  <si>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</si>
  <si>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</si>
  <si>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</si>
  <si>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</si>
  <si>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</si>
  <si>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</si>
  <si>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</si>
  <si>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</si>
  <si>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</si>
  <si>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</si>
  <si>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</si>
  <si>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</si>
  <si>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</si>
  <si>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</si>
  <si>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</si>
  <si>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</si>
  <si>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</si>
  <si>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</si>
  <si>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</si>
  <si>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</si>
  <si>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</si>
  <si>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</si>
  <si>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</si>
  <si>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</si>
  <si>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</si>
  <si>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</si>
  <si>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</si>
  <si>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</si>
  <si>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</si>
  <si>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</si>
  <si>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</si>
  <si>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</si>
  <si>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</si>
  <si>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</si>
  <si>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</si>
  <si>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</si>
  <si>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</si>
  <si>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</si>
  <si>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</si>
  <si>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</si>
  <si>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</si>
  <si>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</si>
  <si>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</si>
  <si>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</si>
  <si>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</si>
  <si>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</si>
  <si>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</si>
  <si>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</si>
  <si>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</si>
  <si>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</si>
  <si>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</si>
  <si>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</si>
  <si>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</si>
  <si>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</si>
  <si>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</si>
  <si>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</si>
  <si>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</si>
  <si>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</si>
  <si>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</si>
  <si>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</si>
  <si>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</si>
  <si>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</si>
  <si>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</si>
  <si>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</si>
  <si>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</si>
  <si>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</si>
  <si>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</si>
  <si>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</si>
  <si>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</si>
  <si>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</si>
  <si>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</si>
  <si>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</si>
  <si>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</si>
  <si>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</si>
  <si>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</si>
  <si>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</si>
  <si>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</si>
  <si>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</si>
  <si>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</si>
  <si>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</si>
  <si>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</si>
  <si>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</si>
  <si>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</si>
  <si>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</si>
  <si>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</si>
  <si>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</si>
  <si>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</si>
  <si>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</si>
  <si>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</si>
  <si>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</si>
  <si>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</si>
  <si>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</si>
  <si>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</si>
  <si>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</si>
  <si>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</si>
  <si>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</si>
  <si>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</si>
  <si>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</si>
  <si>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</si>
  <si>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</si>
  <si>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</si>
  <si>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</si>
  <si>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</si>
  <si>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</si>
  <si>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</si>
  <si>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</si>
  <si>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</si>
  <si>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</si>
  <si>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</si>
  <si>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</si>
  <si>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</si>
  <si>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</si>
  <si>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</si>
  <si>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</si>
  <si>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</si>
  <si>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</si>
  <si>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</si>
  <si>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</si>
  <si>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</si>
  <si>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</si>
  <si>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</si>
  <si>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</si>
  <si>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</si>
  <si>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</si>
  <si>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</si>
  <si>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</si>
  <si>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</si>
  <si>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</si>
  <si>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</si>
  <si>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</si>
  <si>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</si>
  <si>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</si>
  <si>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</si>
  <si>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</si>
  <si>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</si>
  <si>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</si>
  <si>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</si>
  <si>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</si>
  <si>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</si>
  <si>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</si>
  <si>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</si>
  <si>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</si>
  <si>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</si>
  <si>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</si>
  <si>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</si>
  <si>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</si>
  <si>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</si>
  <si>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</si>
  <si>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</si>
  <si>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</si>
  <si>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</si>
  <si>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</si>
  <si>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</si>
  <si>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</si>
  <si>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</si>
  <si>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</si>
  <si>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</si>
  <si>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</si>
  <si>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</si>
  <si>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</si>
  <si>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</si>
  <si>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</si>
  <si>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</si>
  <si>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</si>
  <si>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</si>
  <si>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</si>
  <si>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</si>
  <si>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</si>
  <si>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</si>
  <si>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</si>
  <si>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</si>
  <si>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</si>
  <si>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</si>
  <si>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</si>
  <si>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</si>
  <si>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</si>
  <si>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</si>
  <si>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</si>
  <si>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</si>
  <si>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</si>
  <si>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</si>
  <si>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</si>
  <si>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</si>
  <si>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</si>
  <si>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</si>
  <si>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</si>
  <si>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</si>
  <si>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</si>
  <si>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</si>
  <si>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</si>
  <si>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</si>
  <si>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</si>
  <si>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</si>
  <si>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</si>
  <si>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</si>
  <si>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</si>
  <si>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</si>
  <si>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</si>
  <si>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</si>
  <si>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</si>
  <si>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</si>
  <si>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</si>
  <si>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</si>
  <si>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</si>
  <si>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</si>
  <si>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</si>
  <si>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</si>
  <si>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</si>
  <si>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</si>
  <si>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</si>
  <si>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</si>
  <si>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</si>
  <si>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</si>
  <si>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</si>
  <si>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</si>
  <si>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</si>
  <si>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</si>
  <si>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</si>
  <si>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</si>
  <si>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</si>
  <si>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</si>
  <si>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</si>
  <si>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</si>
  <si>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</si>
  <si>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</si>
  <si>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</si>
  <si>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</si>
  <si>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</si>
  <si>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</si>
  <si>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</si>
  <si>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</si>
  <si>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</si>
  <si>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</si>
  <si>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</si>
  <si>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</si>
  <si>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</si>
  <si>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</si>
  <si>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</si>
  <si>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</si>
  <si>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</si>
  <si>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</si>
  <si>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</si>
  <si>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</si>
  <si>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</si>
  <si>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</si>
  <si>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</si>
  <si>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</si>
  <si>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</si>
  <si>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</si>
  <si>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</si>
  <si>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</si>
  <si>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</si>
  <si>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</si>
  <si>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</si>
  <si>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</si>
  <si>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</si>
  <si>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</si>
  <si>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</si>
  <si>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</si>
  <si>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</si>
  <si>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</si>
  <si>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</si>
  <si>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</si>
  <si>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</si>
  <si>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</si>
  <si>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</si>
  <si>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</si>
  <si>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</si>
  <si>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</si>
  <si>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</si>
  <si>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</si>
  <si>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</si>
  <si>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</si>
  <si>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</si>
  <si>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</si>
  <si>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</si>
  <si>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</si>
  <si>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</si>
  <si>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</si>
  <si>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</si>
  <si>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</si>
  <si>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</si>
  <si>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</si>
  <si>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</si>
  <si>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</si>
  <si>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</si>
  <si>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</si>
  <si>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</si>
  <si>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</si>
  <si>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</si>
  <si>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</si>
  <si>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</si>
  <si>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</si>
  <si>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</si>
  <si>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</si>
  <si>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</si>
  <si>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</si>
  <si>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</si>
  <si>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</si>
  <si>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</si>
  <si>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</si>
  <si>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</si>
  <si>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</si>
  <si>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</si>
  <si>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</si>
  <si>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</si>
  <si>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</si>
  <si>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</si>
  <si>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</si>
  <si>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</si>
  <si>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</si>
  <si>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</si>
  <si>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</si>
  <si>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</si>
  <si>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</si>
  <si>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</si>
  <si>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</si>
  <si>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</si>
  <si>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</si>
  <si>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</si>
  <si>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</si>
  <si>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</si>
  <si>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</si>
  <si>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</si>
  <si>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</si>
  <si>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</si>
  <si>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</si>
  <si>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</si>
  <si>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</si>
  <si>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</si>
  <si>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</si>
  <si>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</si>
  <si>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</si>
  <si>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</si>
  <si>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</si>
  <si>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</si>
  <si>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</si>
  <si>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</si>
  <si>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</si>
  <si>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</si>
  <si>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</si>
  <si>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</si>
  <si>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</si>
  <si>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</si>
  <si>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</si>
  <si>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</si>
  <si>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</si>
  <si>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</si>
  <si>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</si>
  <si>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</si>
  <si>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</si>
  <si>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</si>
  <si>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</si>
  <si>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</si>
  <si>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</si>
  <si>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</si>
  <si>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</si>
  <si>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</si>
  <si>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</si>
  <si>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</si>
  <si>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</si>
  <si>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</si>
  <si>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</si>
  <si>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</si>
  <si>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</si>
  <si>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</si>
  <si>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</si>
  <si>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</si>
  <si>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</si>
  <si>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</si>
  <si>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</si>
  <si>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</si>
  <si>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</si>
  <si>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</si>
  <si>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</si>
  <si>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</si>
  <si>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</si>
  <si>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</si>
  <si>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</si>
  <si>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</si>
  <si>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</si>
  <si>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</si>
  <si>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</si>
  <si>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</si>
  <si>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</si>
  <si>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</si>
  <si>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</si>
  <si>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</si>
  <si>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</si>
  <si>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</si>
  <si>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</si>
  <si>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</si>
  <si>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</si>
  <si>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</si>
  <si>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</si>
  <si>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</si>
  <si>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</si>
  <si>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</si>
  <si>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</si>
  <si>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</si>
  <si>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</si>
  <si>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</si>
  <si>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</si>
  <si>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</si>
  <si>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</si>
  <si>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</si>
  <si>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</si>
  <si>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</si>
  <si>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</si>
  <si>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</si>
  <si>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</si>
  <si>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</si>
  <si>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</si>
  <si>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</si>
  <si>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</si>
  <si>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</si>
  <si>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</si>
  <si>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</si>
  <si>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</si>
  <si>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</si>
  <si>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</si>
  <si>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</si>
  <si>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</si>
  <si>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</si>
  <si>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</si>
  <si>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</si>
  <si>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</si>
  <si>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</si>
  <si>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</si>
  <si>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</si>
  <si>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</si>
  <si>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</si>
  <si>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</si>
  <si>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</si>
  <si>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</si>
  <si>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</si>
  <si>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</si>
  <si>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</si>
  <si>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</si>
  <si>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</si>
  <si>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</si>
  <si>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</si>
  <si>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</si>
  <si>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</si>
  <si>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</si>
  <si>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</si>
  <si>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</si>
  <si>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</si>
  <si>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</si>
  <si>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</si>
  <si>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</si>
  <si>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</si>
  <si>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</si>
  <si>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</si>
  <si>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</si>
  <si>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</si>
  <si>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</si>
  <si>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</si>
  <si>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</si>
  <si>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</si>
  <si>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</si>
  <si>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</si>
  <si>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</si>
  <si>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</si>
  <si>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</si>
  <si>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</si>
  <si>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</si>
  <si>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</si>
  <si>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</si>
  <si>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</si>
  <si>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</si>
  <si>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</si>
  <si>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</si>
  <si>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</si>
  <si>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</si>
  <si>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</si>
  <si>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</si>
  <si>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</si>
  <si>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</si>
  <si>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</si>
  <si>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</si>
  <si>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</si>
  <si>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</si>
  <si>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</si>
  <si>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</si>
  <si>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</si>
  <si>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</si>
  <si>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</si>
  <si>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</si>
  <si>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</si>
  <si>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</si>
  <si>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</si>
  <si>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</si>
  <si>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</si>
  <si>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</si>
  <si>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</si>
  <si>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</si>
  <si>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</si>
  <si>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</si>
  <si>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PT-77</t>
  </si>
  <si>
    <t>Other, 18/05/2006, level crossing near Moledo do Minho station (Portugal)</t>
  </si>
  <si>
    <t>Lifting barriers of level crossing barriers were opened when train passed despite no disfunction was detected in system's operation. 
Warning and protection systems of AHB level crossing were not activated when train approached.</t>
  </si>
  <si>
    <t>level crossing near Moledo do Minho station</t>
  </si>
  <si>
    <t>None</t>
  </si>
  <si>
    <t>art. 19.2 – Directive 2004/49/EC</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</si>
  <si>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</si>
  <si>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</si>
  <si>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</si>
  <si>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</si>
  <si>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no indication</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</si>
  <si>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</si>
  <si>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</si>
  <si>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</si>
  <si>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</si>
  <si>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</si>
  <si>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</si>
  <si>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</si>
  <si>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</si>
  <si>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</si>
  <si>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</si>
  <si>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</si>
  <si>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</si>
  <si>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</si>
  <si>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</si>
  <si>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</si>
  <si>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</si>
  <si>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</si>
  <si>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</si>
  <si>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</si>
  <si>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</si>
  <si>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</si>
  <si>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</si>
  <si>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</si>
  <si>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</si>
  <si>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</si>
  <si>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</si>
  <si>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</si>
  <si>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</si>
  <si>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</si>
  <si>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</si>
  <si>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</si>
  <si>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</si>
  <si>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</si>
  <si>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</si>
  <si>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</si>
  <si>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</si>
  <si>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</si>
  <si>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</si>
  <si>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</si>
  <si>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</si>
  <si>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</si>
  <si>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</si>
  <si>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</si>
  <si>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</si>
  <si>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</si>
  <si>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</si>
  <si>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</si>
  <si>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</si>
  <si>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</si>
  <si>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</si>
  <si>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</si>
  <si>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</si>
  <si>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</si>
  <si>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</si>
  <si>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</si>
  <si>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</si>
  <si>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</si>
  <si>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</si>
  <si>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</si>
  <si>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</si>
  <si>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</si>
  <si>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</si>
  <si>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</si>
  <si>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</si>
  <si>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</si>
  <si>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</si>
  <si>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</si>
  <si>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</si>
  <si>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</si>
  <si>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</si>
  <si>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</si>
  <si>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</si>
  <si>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</si>
  <si>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</si>
  <si>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</si>
  <si>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</si>
  <si>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</si>
  <si>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</si>
  <si>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</si>
  <si>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</si>
  <si>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</si>
  <si>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</si>
  <si>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</si>
  <si>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</si>
  <si>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</si>
  <si>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</si>
  <si>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</si>
  <si>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</si>
  <si>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</si>
  <si>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</si>
  <si>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</si>
  <si>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</si>
  <si>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</si>
  <si>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</si>
  <si>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</si>
  <si>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</si>
  <si>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</si>
  <si>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</si>
  <si>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</si>
  <si>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</si>
  <si>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</si>
  <si>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</si>
  <si>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</si>
  <si>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</si>
  <si>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</si>
  <si>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</si>
  <si>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</si>
  <si>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</si>
  <si>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</si>
  <si>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</si>
  <si>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</si>
  <si>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</si>
  <si>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</si>
  <si>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</si>
  <si>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</si>
  <si>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</si>
  <si>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</si>
  <si>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</si>
  <si>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</si>
  <si>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</si>
  <si>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</si>
  <si>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</si>
  <si>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</si>
  <si>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</si>
  <si>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</si>
  <si>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</si>
  <si>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</si>
  <si>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</si>
  <si>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</si>
  <si>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</si>
  <si>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</si>
  <si>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</si>
  <si>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</si>
  <si>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</si>
  <si>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</si>
  <si>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</si>
  <si>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</si>
  <si>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</si>
  <si>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</si>
  <si>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</si>
  <si>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Derailment of six wagons of freight train at station.</t>
  </si>
  <si>
    <t>Station L.Norte-Pampilhosa</t>
  </si>
  <si>
    <t>CP Carga, S.A</t>
  </si>
  <si>
    <t>€ 66 503 (apenas infraestrutura || infrastructure only)</t>
  </si>
  <si>
    <t>Light to serious damage on 6 wagons. Significant damage on about 50 metres of track, including switches and crossings, and signalling
equipment.</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</si>
  <si>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</si>
  <si>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</si>
  <si>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</si>
  <si>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</si>
  <si>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</si>
  <si>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</si>
  <si>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</si>
  <si>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</si>
  <si>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</si>
  <si>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</si>
  <si>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</si>
  <si>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</si>
  <si>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</si>
  <si>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</si>
  <si>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</si>
  <si>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</si>
  <si>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</si>
  <si>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</si>
  <si>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</si>
  <si>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</si>
  <si>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</si>
  <si>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</si>
  <si>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</si>
  <si>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Accident to persons caused by RS in motion, 11/07/2006, between Cacela
station and Castro Marim station (Portugal)</t>
  </si>
  <si>
    <t>The train killed a worker which was developing cleaning works on the tracks for REFER (IM)</t>
  </si>
  <si>
    <t>between Cacela
station and Castro Marim station</t>
  </si>
  <si>
    <t>art. 19.1 – Directive 2004/49/EC</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</si>
  <si>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</si>
  <si>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</si>
  <si>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</si>
  <si>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</si>
  <si>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</si>
  <si>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</si>
  <si>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</si>
  <si>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</si>
  <si>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</si>
  <si>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</si>
  <si>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</si>
  <si>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</si>
  <si>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</si>
  <si>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</si>
  <si>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</si>
  <si>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</si>
  <si>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</si>
  <si>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</si>
  <si>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</si>
  <si>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</si>
  <si>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</si>
  <si>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</si>
  <si>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</si>
  <si>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</si>
  <si>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</si>
  <si>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</si>
  <si>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</si>
  <si>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</si>
  <si>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</si>
  <si>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</si>
  <si>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</si>
  <si>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</si>
  <si>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</si>
  <si>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</si>
  <si>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</si>
  <si>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</si>
  <si>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</si>
  <si>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</si>
  <si>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</si>
  <si>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</si>
  <si>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</si>
  <si>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</si>
  <si>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</si>
  <si>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</si>
  <si>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</si>
  <si>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</si>
  <si>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</si>
  <si>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</si>
  <si>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</si>
  <si>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</si>
  <si>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</si>
  <si>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</si>
  <si>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</si>
  <si>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</si>
  <si>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</si>
  <si>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</si>
  <si>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</si>
  <si>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</si>
  <si>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</si>
  <si>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</si>
  <si>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</si>
  <si>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</si>
  <si>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</si>
  <si>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</si>
  <si>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</si>
  <si>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</si>
  <si>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</si>
  <si>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</si>
  <si>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</si>
  <si>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</si>
  <si>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</si>
  <si>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</si>
  <si>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</si>
  <si>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</si>
  <si>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</si>
  <si>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</si>
  <si>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</si>
  <si>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</si>
  <si>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</si>
  <si>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</si>
  <si>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</si>
  <si>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</si>
  <si>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</si>
  <si>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</si>
  <si>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</si>
  <si>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</si>
  <si>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</si>
  <si>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</si>
  <si>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</si>
  <si>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</si>
  <si>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</si>
  <si>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</si>
  <si>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</si>
  <si>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</si>
  <si>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</si>
  <si>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</si>
  <si>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</si>
  <si>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</si>
  <si>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</si>
  <si>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</si>
  <si>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</si>
  <si>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</si>
  <si>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</si>
  <si>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</si>
  <si>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</si>
  <si>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</si>
  <si>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</si>
  <si>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</si>
  <si>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</si>
  <si>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</si>
  <si>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</si>
  <si>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</si>
  <si>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</si>
  <si>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</si>
  <si>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</si>
  <si>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</si>
  <si>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</si>
  <si>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</si>
  <si>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</si>
  <si>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</si>
  <si>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</si>
  <si>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</si>
  <si>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</si>
  <si>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</si>
  <si>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</si>
  <si>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</si>
  <si>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</si>
  <si>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</si>
  <si>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</si>
  <si>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</si>
  <si>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</si>
  <si>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</si>
  <si>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</si>
  <si>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</si>
  <si>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</si>
  <si>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</si>
  <si>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</si>
  <si>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</si>
  <si>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</si>
  <si>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</si>
  <si>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</si>
  <si>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</si>
  <si>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</si>
  <si>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</si>
  <si>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</si>
  <si>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</si>
  <si>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</si>
  <si>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</si>
  <si>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</si>
  <si>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</si>
  <si>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Failure of a wheelset axlebox of a wagon on a freight train</t>
  </si>
  <si>
    <t>Vale de Figueira station</t>
  </si>
  <si>
    <t>double track</t>
  </si>
  <si>
    <t>CP Carga</t>
  </si>
  <si>
    <t>€ 10784,00</t>
  </si>
  <si>
    <t>Significant damage on the axlebox</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</si>
  <si>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</si>
  <si>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</si>
  <si>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</si>
  <si>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</si>
  <si>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</si>
  <si>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</si>
  <si>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</si>
  <si>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</si>
  <si>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</si>
  <si>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</si>
  <si>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</si>
  <si>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</si>
  <si>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</si>
  <si>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</si>
  <si>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</si>
  <si>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</si>
  <si>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</si>
  <si>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</si>
  <si>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</si>
  <si>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</si>
  <si>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</si>
  <si>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</si>
  <si>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</si>
  <si>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</si>
  <si>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</si>
  <si>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</si>
  <si>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</si>
  <si>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</si>
  <si>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</si>
  <si>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</si>
  <si>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</si>
  <si>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</si>
  <si>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</si>
  <si>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</si>
  <si>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</si>
  <si>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</si>
  <si>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</si>
  <si>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</si>
  <si>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</si>
  <si>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</si>
  <si>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</si>
  <si>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</si>
  <si>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</si>
  <si>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</si>
  <si>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</si>
  <si>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</si>
  <si>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</si>
  <si>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</si>
  <si>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</si>
  <si>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</si>
  <si>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</si>
  <si>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</si>
  <si>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</si>
  <si>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</si>
  <si>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</si>
  <si>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</si>
  <si>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</si>
  <si>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</si>
  <si>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</si>
  <si>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</si>
  <si>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</si>
  <si>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</si>
  <si>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</si>
  <si>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</si>
  <si>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</si>
  <si>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</si>
  <si>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</si>
  <si>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</si>
  <si>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</si>
  <si>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</si>
  <si>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</si>
  <si>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</si>
  <si>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</si>
  <si>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</si>
  <si>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</si>
  <si>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</si>
  <si>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</si>
  <si>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</si>
  <si>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</si>
  <si>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</si>
  <si>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</si>
  <si>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</si>
  <si>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</si>
  <si>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</si>
  <si>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</si>
  <si>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</si>
  <si>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</si>
  <si>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</si>
  <si>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</si>
  <si>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</si>
  <si>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</si>
  <si>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</si>
  <si>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</si>
  <si>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</si>
  <si>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</si>
  <si>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</si>
  <si>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</si>
  <si>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</si>
  <si>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</si>
  <si>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</si>
  <si>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</si>
  <si>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</si>
  <si>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</si>
  <si>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</si>
  <si>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</si>
  <si>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</si>
  <si>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</si>
  <si>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</si>
  <si>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</si>
  <si>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</si>
  <si>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</si>
  <si>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</si>
  <si>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</si>
  <si>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</si>
  <si>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</si>
  <si>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</si>
  <si>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</si>
  <si>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</si>
  <si>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</si>
  <si>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</si>
  <si>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</si>
  <si>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</si>
  <si>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</si>
  <si>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</si>
  <si>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</si>
  <si>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</si>
  <si>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</si>
  <si>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</si>
  <si>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</si>
  <si>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</si>
  <si>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</si>
  <si>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</si>
  <si>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</si>
  <si>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</si>
  <si>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</si>
  <si>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</si>
  <si>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</si>
  <si>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</si>
  <si>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</si>
  <si>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</si>
  <si>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</si>
  <si>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</si>
  <si>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</si>
  <si>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</si>
  <si>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</si>
  <si>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</si>
  <si>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</si>
  <si>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</si>
  <si>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</si>
  <si>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</si>
  <si>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</si>
  <si>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</si>
  <si>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</si>
  <si>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</si>
  <si>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</si>
  <si>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</si>
  <si>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</si>
  <si>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</si>
  <si>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</si>
  <si>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</si>
  <si>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</si>
  <si>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</si>
  <si>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</si>
  <si>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</si>
  <si>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</si>
  <si>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</si>
  <si>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</si>
  <si>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</si>
  <si>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</si>
  <si>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</si>
  <si>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</si>
  <si>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</si>
  <si>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</si>
  <si>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</si>
  <si>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</si>
  <si>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</si>
  <si>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</si>
  <si>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</si>
  <si>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</si>
  <si>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</si>
  <si>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</si>
  <si>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</si>
  <si>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</si>
  <si>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</si>
  <si>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</si>
  <si>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</si>
  <si>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</si>
  <si>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</si>
  <si>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</si>
  <si>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</si>
  <si>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</si>
  <si>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</si>
  <si>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</si>
  <si>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</si>
  <si>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</si>
  <si>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</si>
  <si>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</si>
  <si>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</si>
  <si>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</si>
  <si>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</si>
  <si>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</si>
  <si>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</si>
  <si>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</si>
  <si>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</si>
  <si>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</si>
  <si>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</si>
  <si>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</si>
  <si>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</si>
  <si>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</si>
  <si>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</si>
  <si>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</si>
  <si>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</si>
  <si>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</si>
  <si>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</si>
  <si>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</si>
  <si>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</si>
  <si>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</si>
  <si>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</si>
  <si>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</si>
  <si>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</si>
  <si>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</si>
  <si>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</si>
  <si>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</si>
  <si>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</si>
  <si>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</si>
  <si>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</si>
  <si>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</si>
  <si>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</si>
  <si>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</si>
  <si>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</si>
  <si>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</si>
  <si>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</si>
  <si>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Derailment of a wagons of a freight train while negotiating points at a station.</t>
  </si>
  <si>
    <t>Oliveira do Bairro station</t>
  </si>
  <si>
    <t>CP Carga, S.A.</t>
  </si>
  <si>
    <t>€ 125 098,40 (apenas infraestrutura || infrastructure only)</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</si>
  <si>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</si>
  <si>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</si>
  <si>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</si>
  <si>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</si>
  <si>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</si>
  <si>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</si>
  <si>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</si>
  <si>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</si>
  <si>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</si>
  <si>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</si>
  <si>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</si>
  <si>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</si>
  <si>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</si>
  <si>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</si>
  <si>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</si>
  <si>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</si>
  <si>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</si>
  <si>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</si>
  <si>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</si>
  <si>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</si>
  <si>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</si>
  <si>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</si>
  <si>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</si>
  <si>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</si>
  <si>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</si>
  <si>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</si>
  <si>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</si>
  <si>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</si>
  <si>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</si>
  <si>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</si>
  <si>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</si>
  <si>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</si>
  <si>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</si>
  <si>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</si>
  <si>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</si>
  <si>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</si>
  <si>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</si>
  <si>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</si>
  <si>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</si>
  <si>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</si>
  <si>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</si>
  <si>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</si>
  <si>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</si>
  <si>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</si>
  <si>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</si>
  <si>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</si>
  <si>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</si>
  <si>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</si>
  <si>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</si>
  <si>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</si>
  <si>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</si>
  <si>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</si>
  <si>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</si>
  <si>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</si>
  <si>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</si>
  <si>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</si>
  <si>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</si>
  <si>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</si>
  <si>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</si>
  <si>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</si>
  <si>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</si>
  <si>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</si>
  <si>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</si>
  <si>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</si>
  <si>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</si>
  <si>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</si>
  <si>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</si>
  <si>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</si>
  <si>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</si>
  <si>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</si>
  <si>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</si>
  <si>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</si>
  <si>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</si>
  <si>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</si>
  <si>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</si>
  <si>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</si>
  <si>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</si>
  <si>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</si>
  <si>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</si>
  <si>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</si>
  <si>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</si>
  <si>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</si>
  <si>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</si>
  <si>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</si>
  <si>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</si>
  <si>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</si>
  <si>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</si>
  <si>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</si>
  <si>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</si>
  <si>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</si>
  <si>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</si>
  <si>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</si>
  <si>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</si>
  <si>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</si>
  <si>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</si>
  <si>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</si>
  <si>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</si>
  <si>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</si>
  <si>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</si>
  <si>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</si>
  <si>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</si>
  <si>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</si>
  <si>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</si>
  <si>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</si>
  <si>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</si>
  <si>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</si>
  <si>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</si>
  <si>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</si>
  <si>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</si>
  <si>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</si>
  <si>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</si>
  <si>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</si>
  <si>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</si>
  <si>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</si>
  <si>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</si>
  <si>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</si>
  <si>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</si>
  <si>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</si>
  <si>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</si>
  <si>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</si>
  <si>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</si>
  <si>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</si>
  <si>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</si>
  <si>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</si>
  <si>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</si>
  <si>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</si>
  <si>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</si>
  <si>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</si>
  <si>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</si>
  <si>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</si>
  <si>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</si>
  <si>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</si>
  <si>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</si>
  <si>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</si>
  <si>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</si>
  <si>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</si>
  <si>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</si>
  <si>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</si>
  <si>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</si>
  <si>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</si>
  <si>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</si>
  <si>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</si>
  <si>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</si>
  <si>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</si>
  <si>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</si>
  <si>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</si>
  <si>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</si>
  <si>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</si>
  <si>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</si>
  <si>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</si>
  <si>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</si>
  <si>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</si>
  <si>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</si>
  <si>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</si>
  <si>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</si>
  <si>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</si>
  <si>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</si>
  <si>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</si>
  <si>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</si>
  <si>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</si>
  <si>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</si>
  <si>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</si>
  <si>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</si>
  <si>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</si>
  <si>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</si>
  <si>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</si>
  <si>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</si>
  <si>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</si>
  <si>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</si>
  <si>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</si>
  <si>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</si>
  <si>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</si>
  <si>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</si>
  <si>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</si>
  <si>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</si>
  <si>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</si>
  <si>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</si>
  <si>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</si>
  <si>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</si>
  <si>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</si>
  <si>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</si>
  <si>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</si>
  <si>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</si>
  <si>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</si>
  <si>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</si>
  <si>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</si>
  <si>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</si>
  <si>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</si>
  <si>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</si>
  <si>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</si>
  <si>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</si>
  <si>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</si>
  <si>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</si>
  <si>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</si>
  <si>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</si>
  <si>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</si>
  <si>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</si>
  <si>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</si>
  <si>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</si>
  <si>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</si>
  <si>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</si>
  <si>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</si>
  <si>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</si>
  <si>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</si>
  <si>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</si>
  <si>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</si>
  <si>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</si>
  <si>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</si>
  <si>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</si>
  <si>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</si>
  <si>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</si>
  <si>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</si>
  <si>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</si>
  <si>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</si>
  <si>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</si>
  <si>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</si>
  <si>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</si>
  <si>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</si>
  <si>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</si>
  <si>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</si>
  <si>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</si>
  <si>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</si>
  <si>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</si>
  <si>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</si>
  <si>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</si>
  <si>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</si>
  <si>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</si>
  <si>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</si>
  <si>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</si>
  <si>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</si>
  <si>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</si>
  <si>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</si>
  <si>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</si>
  <si>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</si>
  <si>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</si>
  <si>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</si>
  <si>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</si>
  <si>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</si>
  <si>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</si>
  <si>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</si>
  <si>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</si>
  <si>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</si>
  <si>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 xml:space="preserve"> </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</si>
  <si>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</si>
  <si>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</si>
  <si>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</si>
  <si>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</si>
  <si>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</si>
  <si>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</si>
  <si>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</si>
  <si>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</si>
  <si>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</si>
  <si>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</si>
  <si>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</si>
  <si>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</si>
  <si>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</si>
  <si>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</si>
  <si>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</si>
  <si>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</si>
  <si>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</si>
  <si>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</si>
  <si>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</si>
  <si>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</si>
  <si>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</si>
  <si>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</si>
  <si>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</si>
  <si>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</si>
  <si>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</si>
  <si>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</si>
  <si>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</si>
  <si>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</si>
  <si>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</si>
  <si>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</si>
  <si>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</si>
  <si>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</si>
  <si>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</si>
  <si>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</si>
  <si>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</si>
  <si>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</si>
  <si>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</si>
  <si>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</si>
  <si>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</si>
  <si>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</si>
  <si>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</si>
  <si>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</si>
  <si>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</si>
  <si>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</si>
  <si>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</si>
  <si>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</si>
  <si>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</si>
  <si>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</si>
  <si>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</si>
  <si>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</si>
  <si>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</si>
  <si>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</si>
  <si>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</si>
  <si>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</si>
  <si>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</si>
  <si>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</si>
  <si>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</si>
  <si>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</si>
  <si>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</si>
  <si>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</si>
  <si>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</si>
  <si>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</si>
  <si>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</si>
  <si>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</si>
  <si>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</si>
  <si>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</si>
  <si>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</si>
  <si>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</si>
  <si>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</si>
  <si>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</si>
  <si>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</si>
  <si>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</si>
  <si>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</si>
  <si>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</si>
  <si>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</si>
  <si>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</si>
  <si>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</si>
  <si>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</si>
  <si>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</si>
  <si>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</si>
  <si>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</si>
  <si>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</si>
  <si>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</si>
  <si>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</si>
  <si>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</si>
  <si>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</si>
  <si>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</si>
  <si>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</si>
  <si>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</si>
  <si>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</si>
  <si>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</si>
  <si>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</si>
  <si>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</si>
  <si>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</si>
  <si>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</si>
  <si>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</si>
  <si>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</si>
  <si>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</si>
  <si>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</si>
  <si>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</si>
  <si>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</si>
  <si>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</si>
  <si>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</si>
  <si>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</si>
  <si>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</si>
  <si>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</si>
  <si>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</si>
  <si>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</si>
  <si>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</si>
  <si>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</si>
  <si>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</si>
  <si>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</si>
  <si>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</si>
  <si>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</si>
  <si>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</si>
  <si>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</si>
  <si>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</si>
  <si>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</si>
  <si>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</si>
  <si>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</si>
  <si>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</si>
  <si>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</si>
  <si>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</si>
  <si>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</si>
  <si>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</si>
  <si>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</si>
  <si>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</si>
  <si>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</si>
  <si>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</si>
  <si>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</si>
  <si>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</si>
  <si>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</si>
  <si>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</si>
  <si>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</si>
  <si>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</si>
  <si>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</si>
  <si>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</si>
  <si>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</si>
  <si>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</si>
  <si>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</si>
  <si>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</si>
  <si>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</si>
  <si>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</si>
  <si>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</si>
  <si>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</si>
  <si>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</si>
  <si>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</si>
  <si>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</si>
  <si>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</si>
  <si>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</si>
  <si>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</si>
  <si>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</si>
  <si>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</si>
  <si>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</si>
  <si>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</si>
  <si>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</si>
  <si>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</si>
  <si>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</si>
  <si>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</si>
  <si>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</si>
  <si>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</si>
  <si>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</si>
  <si>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</si>
  <si>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</si>
  <si>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</si>
  <si>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</si>
  <si>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</si>
  <si>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</si>
  <si>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</si>
  <si>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</si>
  <si>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</si>
  <si>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</si>
  <si>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</si>
  <si>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</si>
  <si>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</si>
  <si>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</si>
  <si>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</si>
  <si>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</si>
  <si>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</si>
  <si>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</si>
  <si>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</si>
  <si>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</si>
  <si>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</si>
  <si>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</si>
  <si>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</si>
  <si>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</si>
  <si>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</si>
  <si>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</si>
  <si>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</si>
  <si>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</si>
  <si>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</si>
  <si>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</si>
  <si>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</si>
  <si>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</si>
  <si>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</si>
  <si>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</si>
  <si>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</si>
  <si>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</si>
  <si>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</si>
  <si>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</si>
  <si>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</si>
  <si>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</si>
  <si>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</si>
  <si>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</si>
  <si>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</si>
  <si>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</si>
  <si>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</si>
  <si>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</si>
  <si>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</si>
  <si>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</si>
  <si>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</si>
  <si>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</si>
  <si>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</si>
  <si>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</si>
  <si>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</si>
  <si>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</si>
  <si>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</si>
  <si>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</si>
  <si>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</si>
  <si>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</si>
  <si>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</si>
  <si>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</si>
  <si>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</si>
  <si>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</si>
  <si>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</si>
  <si>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</si>
  <si>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</si>
  <si>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</si>
  <si>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</si>
  <si>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</si>
  <si>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</si>
  <si>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</si>
  <si>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</si>
  <si>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</si>
  <si>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</si>
  <si>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</si>
  <si>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</si>
  <si>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</si>
  <si>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</si>
  <si>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</si>
  <si>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</si>
  <si>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</si>
  <si>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</si>
  <si>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</si>
  <si>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</si>
  <si>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</si>
  <si>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</si>
  <si>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</si>
  <si>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</si>
  <si>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</si>
  <si>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</si>
  <si>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</si>
  <si>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</si>
  <si>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</si>
  <si>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</si>
  <si>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</si>
  <si>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</si>
  <si>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</si>
  <si>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</si>
  <si>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</si>
  <si>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</si>
  <si>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</si>
  <si>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</si>
  <si>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</si>
  <si>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</si>
  <si>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</si>
  <si>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</si>
  <si>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</si>
  <si>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</si>
  <si>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</si>
  <si>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</si>
  <si>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</si>
  <si>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</si>
  <si>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</si>
  <si>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</si>
  <si>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</si>
  <si>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</si>
  <si>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</si>
  <si>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</si>
  <si>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</si>
  <si>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</si>
  <si>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</si>
  <si>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</si>
  <si>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</si>
  <si>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</si>
  <si>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</si>
  <si>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</si>
  <si>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</si>
  <si>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</si>
  <si>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</si>
  <si>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</si>
  <si>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</si>
  <si>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</si>
  <si>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</si>
  <si>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</si>
  <si>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</si>
  <si>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</si>
  <si>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</si>
  <si>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</si>
  <si>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</si>
  <si>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</si>
  <si>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</si>
  <si>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</si>
  <si>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</si>
  <si>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</si>
  <si>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</si>
  <si>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</si>
  <si>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</si>
  <si>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</si>
  <si>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</si>
  <si>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</si>
  <si>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</si>
  <si>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</si>
  <si>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</si>
  <si>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</si>
  <si>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</si>
  <si>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</si>
  <si>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</si>
  <si>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</si>
  <si>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</si>
  <si>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</si>
  <si>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</si>
  <si>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</si>
  <si>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</si>
  <si>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</si>
  <si>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</si>
  <si>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</si>
  <si>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</si>
  <si>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</si>
  <si>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</si>
  <si>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</si>
  <si>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</si>
  <si>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</si>
  <si>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</si>
  <si>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</si>
  <si>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</si>
  <si>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</si>
  <si>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</si>
  <si>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</si>
  <si>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</si>
  <si>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</si>
  <si>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</si>
  <si>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</si>
  <si>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</si>
  <si>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</si>
  <si>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</si>
  <si>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</si>
  <si>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</si>
  <si>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</si>
  <si>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</si>
  <si>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</si>
  <si>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</si>
  <si>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</si>
  <si>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</si>
  <si>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</si>
  <si>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</si>
  <si>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</si>
  <si>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</si>
  <si>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</si>
  <si>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</si>
  <si>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Accident to persons caused by RS in motion, 13/06/2007, Between
Coimbra-B and Souselas  (Portugal)</t>
  </si>
  <si>
    <t>During the works in the line with the interdiction of one track it was mortally hit a worker of the IM (REFER E.P.)</t>
  </si>
  <si>
    <t xml:space="preserve">between
Coimbra-B and Souselas </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</si>
  <si>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</si>
  <si>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</si>
  <si>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</si>
  <si>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</si>
  <si>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</si>
  <si>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</si>
  <si>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</si>
  <si>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</si>
  <si>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</si>
  <si>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</si>
  <si>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</si>
  <si>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</si>
  <si>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</si>
  <si>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</si>
  <si>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</si>
  <si>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</si>
  <si>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</si>
  <si>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</si>
  <si>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</si>
  <si>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</si>
  <si>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</si>
  <si>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</si>
  <si>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</si>
  <si>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</si>
  <si>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</si>
  <si>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</si>
  <si>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</si>
  <si>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</si>
  <si>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</si>
  <si>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</si>
  <si>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</si>
  <si>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</si>
  <si>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</si>
  <si>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</si>
  <si>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</si>
  <si>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</si>
  <si>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</si>
  <si>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</si>
  <si>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</si>
  <si>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</si>
  <si>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</si>
  <si>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</si>
  <si>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</si>
  <si>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</si>
  <si>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</si>
  <si>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</si>
  <si>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</si>
  <si>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</si>
  <si>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</si>
  <si>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</si>
  <si>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</si>
  <si>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</si>
  <si>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</si>
  <si>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</si>
  <si>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</si>
  <si>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</si>
  <si>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</si>
  <si>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</si>
  <si>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</si>
  <si>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</si>
  <si>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</si>
  <si>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</si>
  <si>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</si>
  <si>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</si>
  <si>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</si>
  <si>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</si>
  <si>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</si>
  <si>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</si>
  <si>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</si>
  <si>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</si>
  <si>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</si>
  <si>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</si>
  <si>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</si>
  <si>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</si>
  <si>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</si>
  <si>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</si>
  <si>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</si>
  <si>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</si>
  <si>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</si>
  <si>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</si>
  <si>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</si>
  <si>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</si>
  <si>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</si>
  <si>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</si>
  <si>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</si>
  <si>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</si>
  <si>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</si>
  <si>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</si>
  <si>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</si>
  <si>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</si>
  <si>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</si>
  <si>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</si>
  <si>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</si>
  <si>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</si>
  <si>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</si>
  <si>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</si>
  <si>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</si>
  <si>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</si>
  <si>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</si>
  <si>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</si>
  <si>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</si>
  <si>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</si>
  <si>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</si>
  <si>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</si>
  <si>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</si>
  <si>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</si>
  <si>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</si>
  <si>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</si>
  <si>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</si>
  <si>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</si>
  <si>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</si>
  <si>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</si>
  <si>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</si>
  <si>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</si>
  <si>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</si>
  <si>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</si>
  <si>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</si>
  <si>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</si>
  <si>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</si>
  <si>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</si>
  <si>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</si>
  <si>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</si>
  <si>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</si>
  <si>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</si>
  <si>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</si>
  <si>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</si>
  <si>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</si>
  <si>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</si>
  <si>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</si>
  <si>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</si>
  <si>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</si>
  <si>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</si>
  <si>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</si>
  <si>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</si>
  <si>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</si>
  <si>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</si>
  <si>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</si>
  <si>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</si>
  <si>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</si>
  <si>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</si>
  <si>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</si>
  <si>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</si>
  <si>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</si>
  <si>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</si>
  <si>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</si>
  <si>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</si>
  <si>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</si>
  <si>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</si>
  <si>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</si>
  <si>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</si>
  <si>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</si>
  <si>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</si>
  <si>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Beira Baixa line</t>
  </si>
  <si>
    <t>CP – Comboios de Portugal, E.P.E</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</si>
  <si>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</si>
  <si>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</si>
  <si>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</si>
  <si>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</si>
  <si>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</si>
  <si>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</si>
  <si>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</si>
  <si>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</si>
  <si>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</si>
  <si>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</si>
  <si>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</si>
  <si>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</si>
  <si>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</si>
  <si>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</si>
  <si>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</si>
  <si>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</si>
  <si>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</si>
  <si>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</si>
  <si>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</si>
  <si>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</si>
  <si>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</si>
  <si>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</si>
  <si>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</si>
  <si>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</si>
  <si>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</si>
  <si>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</si>
  <si>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</si>
  <si>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</si>
  <si>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</si>
  <si>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</si>
  <si>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</si>
  <si>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</si>
  <si>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</si>
  <si>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</si>
  <si>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</si>
  <si>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</si>
  <si>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</si>
  <si>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</si>
  <si>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</si>
  <si>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</si>
  <si>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</si>
  <si>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</si>
  <si>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</si>
  <si>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</si>
  <si>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</si>
  <si>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</si>
  <si>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</si>
  <si>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</si>
  <si>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</si>
  <si>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</si>
  <si>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</si>
  <si>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</si>
  <si>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</si>
  <si>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</si>
  <si>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</si>
  <si>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</si>
  <si>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</si>
  <si>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</si>
  <si>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</si>
  <si>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</si>
  <si>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</si>
  <si>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</si>
  <si>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</si>
  <si>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</si>
  <si>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</si>
  <si>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</si>
  <si>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</si>
  <si>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</si>
  <si>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</si>
  <si>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</si>
  <si>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</si>
  <si>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</si>
  <si>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</si>
  <si>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</si>
  <si>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</si>
  <si>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</si>
  <si>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</si>
  <si>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</si>
  <si>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</si>
  <si>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</si>
  <si>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</si>
  <si>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Notification</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</si>
  <si>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</si>
  <si>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</si>
  <si>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</si>
  <si>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</si>
  <si>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</si>
  <si>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</si>
  <si>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</si>
  <si>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</si>
  <si>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</si>
  <si>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</si>
  <si>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</si>
  <si>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</si>
  <si>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</si>
  <si>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</si>
  <si>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</si>
  <si>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</si>
  <si>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</si>
  <si>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</si>
  <si>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</si>
  <si>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</si>
  <si>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</si>
  <si>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</si>
  <si>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</si>
  <si>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</si>
  <si>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</si>
  <si>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</si>
  <si>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</si>
  <si>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</si>
  <si>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</si>
  <si>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</si>
  <si>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</si>
  <si>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</si>
  <si>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</si>
  <si>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</si>
  <si>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</si>
  <si>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</si>
  <si>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</si>
  <si>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</si>
  <si>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</si>
  <si>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</si>
  <si>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</si>
  <si>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</si>
  <si>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</si>
  <si>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</si>
  <si>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</si>
  <si>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</si>
  <si>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</si>
  <si>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</si>
  <si>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</si>
  <si>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</si>
  <si>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</si>
  <si>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</si>
  <si>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</si>
  <si>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</si>
  <si>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</si>
  <si>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</si>
  <si>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</si>
  <si>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</si>
  <si>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</si>
  <si>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</si>
  <si>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</si>
  <si>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</si>
  <si>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</si>
  <si>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</si>
  <si>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</si>
  <si>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</si>
  <si>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</si>
  <si>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</si>
  <si>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</si>
  <si>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</si>
  <si>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</si>
  <si>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</si>
  <si>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</si>
  <si>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</si>
  <si>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</si>
  <si>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</si>
  <si>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</si>
  <si>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</si>
  <si>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</si>
  <si>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</si>
  <si>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</si>
  <si>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</si>
  <si>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</si>
  <si>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</si>
  <si>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</si>
  <si>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</si>
  <si>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</si>
  <si>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</si>
  <si>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</si>
  <si>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</si>
  <si>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</si>
  <si>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</si>
  <si>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</si>
  <si>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</si>
  <si>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</si>
  <si>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</si>
  <si>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</si>
  <si>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</si>
  <si>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</si>
  <si>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</si>
  <si>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</si>
  <si>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</si>
  <si>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</si>
  <si>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</si>
  <si>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</si>
  <si>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</si>
  <si>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</si>
  <si>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</si>
  <si>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</si>
  <si>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</si>
  <si>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</si>
  <si>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</si>
  <si>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</si>
  <si>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</si>
  <si>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</si>
  <si>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</si>
  <si>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</si>
  <si>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</si>
  <si>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</si>
  <si>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</si>
  <si>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</si>
  <si>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</si>
  <si>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</si>
  <si>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</si>
  <si>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</si>
  <si>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</si>
  <si>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</si>
  <si>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</si>
  <si>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</si>
  <si>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</si>
  <si>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</si>
  <si>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</si>
  <si>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</si>
  <si>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</si>
  <si>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</si>
  <si>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</si>
  <si>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</si>
  <si>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</si>
  <si>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</si>
  <si>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</si>
  <si>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</si>
  <si>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</si>
  <si>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</si>
  <si>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</si>
  <si>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</si>
  <si>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</si>
  <si>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</si>
  <si>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</si>
  <si>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</si>
  <si>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</si>
  <si>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</si>
  <si>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</si>
  <si>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</si>
  <si>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</si>
  <si>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</si>
  <si>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</si>
  <si>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</si>
  <si>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</si>
  <si>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</si>
  <si>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</si>
  <si>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</si>
  <si>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</si>
  <si>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</si>
  <si>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</si>
  <si>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</si>
  <si>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</si>
  <si>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</si>
  <si>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</si>
  <si>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</si>
  <si>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</si>
  <si>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</si>
  <si>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</si>
  <si>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</si>
  <si>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</si>
  <si>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</si>
  <si>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</si>
  <si>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</si>
  <si>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</si>
  <si>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</si>
  <si>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</si>
  <si>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</si>
  <si>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</si>
  <si>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</si>
  <si>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</si>
  <si>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</si>
  <si>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</si>
  <si>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</si>
  <si>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</si>
  <si>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</si>
  <si>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</si>
  <si>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</si>
  <si>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</si>
  <si>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</si>
  <si>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</si>
  <si>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</si>
  <si>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</si>
  <si>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</si>
  <si>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</si>
  <si>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</si>
  <si>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</si>
  <si>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</si>
  <si>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</si>
  <si>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</si>
  <si>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</si>
  <si>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</si>
  <si>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</si>
  <si>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</si>
  <si>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</si>
  <si>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</si>
  <si>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</si>
  <si>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</si>
  <si>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</si>
  <si>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</si>
  <si>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</si>
  <si>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</si>
  <si>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</si>
  <si>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</si>
  <si>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</si>
  <si>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</si>
  <si>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</si>
  <si>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</si>
  <si>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</si>
  <si>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</si>
  <si>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</si>
  <si>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</si>
  <si>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</si>
  <si>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</si>
  <si>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</si>
  <si>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</si>
  <si>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</si>
  <si>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</si>
  <si>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</si>
  <si>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</si>
  <si>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</si>
  <si>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</si>
  <si>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</si>
  <si>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</si>
  <si>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</si>
  <si>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</si>
  <si>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</si>
  <si>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</si>
  <si>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</si>
  <si>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</si>
  <si>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</si>
  <si>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</si>
  <si>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</si>
  <si>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</si>
  <si>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</si>
  <si>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</si>
  <si>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</si>
  <si>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</si>
  <si>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</si>
  <si>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</si>
  <si>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</si>
  <si>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</si>
  <si>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</si>
  <si>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</si>
  <si>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</si>
  <si>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</si>
  <si>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</si>
  <si>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</si>
  <si>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</si>
  <si>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</si>
  <si>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</si>
  <si>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</si>
  <si>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</si>
  <si>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</si>
  <si>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</si>
  <si>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</si>
  <si>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</si>
  <si>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</si>
  <si>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</si>
  <si>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</si>
  <si>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</si>
  <si>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</si>
  <si>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</si>
  <si>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</si>
  <si>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</si>
  <si>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</si>
  <si>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</si>
  <si>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</si>
  <si>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</si>
  <si>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</si>
  <si>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</si>
  <si>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</si>
  <si>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</si>
  <si>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</si>
  <si>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</si>
  <si>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</si>
  <si>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</si>
  <si>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</si>
  <si>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</si>
  <si>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</si>
  <si>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</si>
  <si>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</si>
  <si>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</si>
  <si>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</si>
  <si>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</si>
  <si>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</si>
  <si>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</si>
  <si>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</si>
  <si>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</si>
  <si>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</si>
  <si>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</si>
  <si>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</si>
  <si>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</si>
  <si>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</si>
  <si>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</si>
  <si>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</si>
  <si>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</si>
  <si>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</si>
  <si>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</si>
  <si>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</si>
  <si>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</si>
  <si>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</si>
  <si>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</si>
  <si>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</si>
  <si>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</si>
  <si>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</si>
  <si>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</si>
  <si>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</si>
  <si>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</si>
  <si>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</si>
  <si>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</si>
  <si>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</si>
  <si>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</si>
  <si>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</si>
  <si>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</si>
  <si>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</si>
  <si>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</si>
  <si>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</si>
  <si>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</si>
  <si>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</si>
  <si>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</si>
  <si>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</si>
  <si>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</si>
  <si>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</si>
  <si>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</si>
  <si>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</si>
  <si>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</si>
  <si>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</si>
  <si>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</si>
  <si>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</si>
  <si>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</si>
  <si>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</si>
  <si>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</si>
  <si>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</si>
  <si>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</si>
  <si>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</si>
  <si>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</si>
  <si>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</si>
  <si>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</si>
  <si>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</si>
  <si>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</si>
  <si>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</si>
  <si>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</si>
  <si>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</si>
  <si>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</si>
  <si>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</si>
  <si>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</si>
  <si>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</si>
  <si>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</si>
  <si>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</si>
  <si>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</si>
  <si>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</si>
  <si>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</si>
  <si>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</si>
  <si>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</si>
  <si>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</si>
  <si>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</si>
  <si>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</si>
  <si>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</si>
  <si>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</si>
  <si>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</si>
  <si>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</si>
  <si>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</si>
  <si>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</si>
  <si>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</si>
  <si>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</si>
  <si>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</si>
  <si>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</si>
  <si>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</si>
  <si>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</si>
  <si>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</si>
  <si>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</si>
  <si>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</si>
  <si>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</si>
  <si>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</si>
  <si>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</si>
  <si>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</si>
  <si>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</si>
  <si>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</si>
  <si>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</si>
  <si>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</si>
  <si>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</si>
  <si>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</si>
  <si>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</si>
  <si>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</si>
  <si>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</si>
  <si>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</si>
  <si>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</si>
  <si>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</si>
  <si>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</si>
  <si>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</si>
  <si>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</si>
  <si>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</si>
  <si>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</si>
  <si>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</si>
  <si>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</si>
  <si>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</si>
  <si>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</si>
  <si>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</si>
  <si>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</si>
  <si>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</si>
  <si>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</si>
  <si>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</si>
  <si>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</si>
  <si>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</si>
  <si>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</si>
  <si>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</si>
  <si>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</si>
  <si>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</si>
  <si>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</si>
  <si>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</si>
  <si>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</si>
  <si>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</si>
  <si>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</si>
  <si>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</si>
  <si>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</si>
  <si>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</si>
  <si>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</si>
  <si>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</si>
  <si>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</si>
  <si>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</si>
  <si>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</si>
  <si>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</si>
  <si>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</si>
  <si>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</si>
  <si>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</si>
  <si>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</si>
  <si>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</si>
  <si>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</si>
  <si>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</si>
  <si>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</si>
  <si>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</si>
  <si>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</si>
  <si>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</si>
  <si>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</si>
  <si>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</si>
  <si>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</si>
  <si>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</si>
  <si>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</si>
  <si>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</si>
  <si>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</si>
  <si>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</si>
  <si>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</si>
  <si>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</si>
  <si>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</si>
  <si>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</si>
  <si>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</si>
  <si>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</si>
  <si>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</si>
  <si>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</si>
  <si>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</si>
  <si>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</si>
  <si>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</si>
  <si>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</si>
  <si>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</si>
  <si>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</si>
  <si>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</si>
  <si>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</si>
  <si>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</si>
  <si>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</si>
  <si>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</si>
  <si>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</si>
  <si>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</si>
  <si>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</si>
  <si>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</si>
  <si>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</si>
  <si>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</si>
  <si>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</si>
  <si>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</si>
  <si>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</si>
  <si>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</si>
  <si>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</si>
  <si>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</si>
  <si>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</si>
  <si>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</si>
  <si>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</si>
  <si>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</si>
  <si>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</si>
  <si>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</si>
  <si>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</si>
  <si>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</si>
  <si>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</si>
  <si>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</si>
  <si>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</si>
  <si>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</si>
  <si>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</si>
  <si>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</si>
  <si>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</si>
  <si>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</si>
  <si>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</si>
  <si>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</si>
  <si>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</si>
  <si>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</si>
  <si>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</si>
  <si>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</si>
  <si>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</si>
  <si>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</si>
  <si>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</si>
  <si>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</si>
  <si>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</si>
  <si>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</si>
  <si>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</si>
  <si>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</si>
  <si>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</si>
  <si>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</si>
  <si>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</si>
  <si>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</si>
  <si>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</si>
  <si>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</si>
  <si>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</si>
  <si>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</si>
  <si>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</si>
  <si>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</si>
  <si>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</si>
  <si>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</si>
  <si>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</si>
  <si>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</si>
  <si>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</si>
  <si>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</si>
  <si>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</si>
  <si>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</si>
  <si>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</si>
  <si>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</si>
  <si>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</si>
  <si>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</si>
  <si>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</si>
  <si>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</si>
  <si>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</si>
  <si>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</si>
  <si>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</si>
  <si>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</si>
  <si>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</si>
  <si>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</si>
  <si>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</si>
  <si>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</si>
  <si>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</si>
  <si>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</si>
  <si>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</si>
  <si>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</si>
  <si>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</si>
  <si>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</si>
  <si>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</si>
  <si>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</si>
  <si>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</si>
  <si>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</si>
  <si>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</si>
  <si>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</si>
  <si>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</si>
  <si>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</si>
  <si>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</si>
  <si>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</si>
  <si>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</si>
  <si>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</si>
  <si>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</si>
  <si>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</si>
  <si>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</si>
  <si>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</si>
  <si>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</si>
  <si>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</si>
  <si>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</si>
  <si>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</si>
  <si>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</si>
  <si>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</si>
  <si>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</si>
  <si>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</si>
  <si>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</si>
  <si>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</si>
  <si>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</si>
  <si>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</si>
  <si>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</si>
  <si>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</si>
  <si>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</si>
  <si>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</si>
  <si>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</si>
  <si>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</si>
  <si>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</si>
  <si>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</si>
  <si>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</si>
  <si>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</si>
  <si>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</si>
  <si>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</si>
  <si>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</si>
  <si>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</si>
  <si>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</si>
  <si>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</si>
  <si>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</si>
  <si>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</si>
  <si>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</si>
  <si>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</si>
  <si>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</si>
  <si>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</si>
  <si>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</si>
  <si>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</si>
  <si>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</si>
  <si>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</si>
  <si>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</si>
  <si>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</si>
  <si>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</si>
  <si>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</si>
  <si>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</si>
  <si>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</si>
  <si>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</si>
  <si>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</si>
  <si>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</si>
  <si>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</si>
  <si>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</si>
  <si>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</si>
  <si>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</si>
  <si>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</si>
  <si>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</si>
  <si>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</si>
  <si>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</si>
  <si>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</si>
  <si>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</si>
  <si>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</si>
  <si>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</si>
  <si>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</si>
  <si>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</si>
  <si>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</si>
  <si>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</si>
  <si>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</si>
  <si>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</si>
  <si>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</si>
  <si>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</si>
  <si>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</si>
  <si>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</si>
  <si>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</si>
  <si>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</si>
  <si>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</si>
  <si>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</si>
  <si>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</si>
  <si>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</si>
  <si>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</si>
  <si>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</si>
  <si>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</si>
  <si>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</si>
  <si>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</si>
  <si>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</si>
  <si>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</si>
  <si>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</si>
  <si>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</si>
  <si>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</si>
  <si>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</si>
  <si>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</si>
  <si>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</si>
  <si>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</si>
  <si>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</si>
  <si>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</si>
  <si>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</si>
  <si>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</si>
  <si>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</si>
  <si>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</si>
  <si>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</si>
  <si>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</si>
  <si>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</si>
  <si>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</si>
  <si>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</si>
  <si>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</si>
  <si>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</si>
  <si>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</si>
  <si>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</si>
  <si>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</si>
  <si>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</si>
  <si>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</si>
  <si>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</si>
  <si>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</si>
  <si>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</si>
  <si>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</si>
  <si>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</si>
  <si>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</si>
  <si>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</si>
  <si>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</si>
  <si>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</si>
  <si>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</si>
  <si>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</si>
  <si>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</si>
  <si>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</si>
  <si>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</si>
  <si>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</si>
  <si>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</si>
  <si>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</si>
  <si>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</si>
  <si>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</si>
  <si>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</si>
  <si>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</si>
  <si>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</si>
  <si>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</si>
  <si>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</si>
  <si>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</si>
  <si>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</si>
  <si>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</si>
  <si>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</si>
  <si>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</si>
  <si>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</si>
  <si>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</si>
  <si>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</si>
  <si>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</si>
  <si>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</si>
  <si>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</si>
  <si>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</si>
  <si>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</si>
  <si>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</si>
  <si>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</si>
  <si>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</si>
  <si>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</si>
  <si>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</si>
  <si>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</si>
  <si>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</si>
  <si>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</si>
  <si>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</si>
  <si>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</si>
  <si>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</si>
  <si>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</si>
  <si>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</si>
  <si>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</si>
  <si>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</si>
  <si>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</si>
  <si>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</si>
  <si>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</si>
  <si>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</si>
  <si>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</si>
  <si>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</si>
  <si>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</si>
  <si>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</si>
  <si>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</si>
  <si>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</si>
  <si>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</si>
  <si>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</si>
  <si>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</si>
  <si>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</si>
  <si>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</si>
  <si>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</si>
  <si>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</si>
  <si>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</si>
  <si>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</si>
  <si>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</si>
  <si>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</si>
  <si>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</si>
  <si>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</si>
  <si>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</si>
  <si>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</si>
  <si>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</si>
  <si>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</si>
  <si>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</si>
  <si>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</si>
  <si>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</si>
  <si>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</si>
  <si>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</si>
  <si>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</si>
  <si>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</si>
  <si>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</si>
  <si>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</si>
  <si>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</si>
  <si>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</si>
  <si>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</si>
  <si>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</si>
  <si>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</si>
  <si>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</si>
  <si>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</si>
  <si>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</si>
  <si>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</si>
  <si>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</si>
  <si>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</si>
  <si>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</si>
  <si>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</si>
  <si>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</si>
  <si>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</si>
  <si>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</si>
  <si>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</si>
  <si>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</si>
  <si>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</si>
  <si>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</si>
  <si>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</si>
  <si>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</si>
  <si>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</si>
  <si>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</si>
  <si>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</si>
  <si>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</si>
  <si>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</si>
  <si>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</si>
  <si>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</si>
  <si>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</si>
  <si>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</si>
  <si>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</si>
  <si>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</si>
  <si>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</si>
  <si>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</si>
  <si>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</si>
  <si>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</si>
  <si>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</si>
  <si>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</si>
  <si>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</si>
  <si>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</si>
  <si>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</si>
  <si>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</si>
  <si>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</si>
  <si>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</si>
  <si>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</si>
  <si>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</si>
  <si>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</si>
  <si>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</si>
  <si>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</si>
  <si>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</si>
  <si>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</si>
  <si>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</si>
  <si>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</si>
  <si>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</si>
  <si>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</si>
  <si>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</si>
  <si>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</si>
  <si>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</si>
  <si>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</si>
  <si>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</si>
  <si>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</si>
  <si>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</si>
  <si>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</si>
  <si>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</si>
  <si>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</si>
  <si>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</si>
  <si>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</si>
  <si>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</si>
  <si>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</si>
  <si>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</si>
  <si>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</si>
  <si>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</si>
  <si>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</si>
  <si>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</si>
  <si>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</si>
  <si>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</si>
  <si>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</si>
  <si>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</si>
  <si>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</si>
  <si>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</si>
  <si>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</si>
  <si>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</si>
  <si>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</si>
  <si>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</si>
  <si>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</si>
  <si>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</si>
  <si>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</si>
  <si>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</si>
  <si>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</si>
  <si>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</si>
  <si>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</si>
  <si>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</si>
  <si>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</si>
  <si>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</si>
  <si>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</si>
  <si>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</si>
  <si>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</si>
  <si>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</si>
  <si>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</si>
  <si>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</si>
  <si>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</si>
  <si>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</si>
  <si>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</si>
  <si>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</si>
  <si>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</si>
  <si>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</si>
  <si>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</si>
  <si>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</si>
  <si>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</si>
  <si>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</si>
  <si>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</si>
  <si>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</si>
  <si>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</si>
  <si>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</si>
  <si>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</si>
  <si>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</si>
  <si>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</si>
  <si>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</si>
  <si>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</si>
  <si>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</si>
  <si>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</si>
  <si>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</si>
  <si>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</si>
  <si>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</si>
  <si>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</si>
  <si>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</si>
  <si>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</si>
  <si>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</si>
  <si>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</si>
  <si>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</si>
  <si>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</si>
  <si>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</si>
  <si>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</si>
  <si>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</si>
  <si>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</si>
  <si>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</si>
  <si>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</si>
  <si>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</si>
  <si>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</si>
  <si>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</si>
  <si>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</si>
  <si>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</si>
  <si>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</si>
  <si>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</si>
  <si>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</si>
  <si>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</si>
  <si>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</si>
  <si>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</si>
  <si>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</si>
  <si>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</si>
  <si>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</si>
  <si>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</si>
  <si>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</si>
  <si>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</si>
  <si>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</si>
  <si>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</si>
  <si>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</si>
  <si>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</si>
  <si>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</si>
  <si>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</si>
  <si>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</si>
  <si>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</si>
  <si>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</si>
  <si>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</si>
  <si>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</si>
  <si>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</si>
  <si>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</si>
  <si>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</si>
  <si>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</si>
  <si>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</si>
  <si>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</si>
  <si>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</si>
  <si>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</si>
  <si>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</si>
  <si>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</si>
  <si>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</si>
  <si>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</si>
  <si>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</si>
  <si>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</si>
  <si>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</si>
  <si>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</si>
  <si>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</si>
  <si>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</si>
  <si>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</si>
  <si>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</si>
  <si>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</si>
  <si>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</si>
  <si>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</si>
  <si>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</si>
  <si>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</si>
  <si>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</si>
  <si>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</si>
  <si>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</si>
  <si>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</si>
  <si>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</si>
  <si>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</si>
  <si>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</si>
  <si>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</si>
  <si>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</si>
  <si>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</si>
  <si>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</si>
  <si>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</si>
  <si>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</si>
  <si>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</si>
  <si>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</si>
  <si>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</si>
  <si>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</si>
  <si>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</si>
  <si>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</si>
  <si>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</si>
  <si>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</si>
  <si>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</si>
  <si>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</si>
  <si>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</si>
  <si>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</si>
  <si>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</si>
  <si>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</si>
  <si>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</si>
  <si>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</si>
  <si>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</si>
  <si>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</si>
  <si>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</si>
  <si>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</si>
  <si>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</si>
  <si>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</si>
  <si>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</si>
  <si>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</si>
  <si>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</si>
  <si>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</si>
  <si>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</si>
  <si>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</si>
  <si>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</si>
  <si>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</si>
  <si>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</si>
  <si>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</si>
  <si>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</si>
  <si>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</si>
  <si>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</si>
  <si>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</si>
  <si>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</si>
  <si>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</si>
  <si>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</si>
  <si>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</si>
  <si>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</si>
  <si>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</si>
  <si>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</si>
  <si>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</si>
  <si>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</si>
  <si>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</si>
  <si>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</si>
  <si>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</si>
  <si>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</si>
  <si>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</si>
  <si>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</si>
  <si>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</si>
  <si>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</si>
  <si>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</si>
  <si>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</si>
  <si>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</si>
  <si>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</si>
  <si>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</si>
  <si>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</si>
  <si>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</si>
  <si>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</si>
  <si>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</si>
  <si>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</si>
  <si>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</si>
  <si>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</si>
  <si>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</si>
  <si>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</si>
  <si>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</si>
  <si>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</si>
  <si>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</si>
  <si>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</si>
  <si>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</si>
  <si>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</si>
  <si>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</si>
  <si>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</si>
  <si>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</si>
  <si>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</si>
  <si>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</si>
  <si>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</si>
  <si>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</si>
  <si>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</si>
  <si>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</si>
  <si>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</si>
  <si>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</si>
  <si>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</si>
  <si>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</si>
  <si>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</si>
  <si>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</si>
  <si>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</si>
  <si>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</si>
  <si>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</si>
  <si>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</si>
  <si>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</si>
  <si>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</si>
  <si>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</si>
  <si>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</si>
  <si>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</si>
  <si>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</si>
  <si>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</si>
  <si>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</si>
  <si>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</si>
  <si>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</si>
  <si>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</si>
  <si>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</si>
  <si>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</si>
  <si>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</si>
  <si>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</si>
  <si>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</si>
  <si>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</si>
  <si>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</si>
  <si>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</si>
  <si>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</si>
  <si>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</si>
  <si>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</si>
  <si>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</si>
  <si>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</si>
  <si>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</si>
  <si>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</si>
  <si>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</si>
  <si>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</si>
  <si>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</si>
  <si>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</si>
  <si>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</si>
  <si>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</si>
  <si>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</si>
  <si>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</si>
  <si>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</si>
  <si>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</si>
  <si>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</si>
  <si>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</si>
  <si>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</si>
  <si>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</si>
  <si>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</si>
  <si>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</si>
  <si>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</si>
  <si>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</si>
  <si>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</si>
  <si>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</si>
  <si>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</si>
  <si>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</si>
  <si>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</si>
  <si>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</si>
  <si>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</si>
  <si>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</si>
  <si>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</si>
  <si>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</si>
  <si>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</si>
  <si>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</si>
  <si>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</si>
  <si>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</si>
  <si>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</si>
  <si>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</si>
  <si>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</si>
  <si>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</si>
  <si>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</si>
  <si>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</si>
  <si>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</si>
  <si>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</si>
  <si>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</si>
  <si>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</si>
  <si>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</si>
  <si>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</si>
  <si>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</si>
  <si>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</si>
  <si>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</si>
  <si>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</si>
  <si>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</si>
  <si>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</si>
  <si>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</si>
  <si>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</si>
  <si>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</si>
  <si>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</si>
  <si>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</si>
  <si>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</si>
  <si>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</si>
  <si>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</si>
  <si>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</si>
  <si>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</si>
  <si>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</si>
  <si>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</si>
  <si>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</si>
  <si>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</si>
  <si>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</si>
  <si>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</si>
  <si>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</si>
  <si>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</si>
  <si>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</si>
  <si>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</si>
  <si>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</si>
  <si>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</si>
  <si>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</si>
  <si>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</si>
  <si>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</si>
  <si>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</si>
  <si>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</si>
  <si>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</si>
  <si>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</si>
  <si>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</si>
  <si>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</si>
  <si>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</si>
  <si>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</si>
  <si>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</si>
  <si>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</si>
  <si>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</si>
  <si>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</si>
  <si>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</si>
  <si>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</si>
  <si>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</si>
  <si>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</si>
  <si>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</si>
  <si>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</si>
  <si>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</si>
  <si>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</si>
  <si>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</si>
  <si>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</si>
  <si>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</si>
  <si>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</si>
  <si>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</si>
  <si>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</si>
  <si>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</si>
  <si>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</si>
  <si>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</si>
  <si>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</si>
  <si>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</si>
  <si>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</si>
  <si>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</si>
  <si>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</si>
  <si>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</si>
  <si>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</si>
  <si>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</si>
  <si>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</si>
  <si>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</si>
  <si>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</si>
  <si>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</si>
  <si>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</si>
  <si>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</si>
  <si>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</si>
  <si>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</si>
  <si>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</si>
  <si>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</si>
  <si>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</si>
  <si>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</si>
  <si>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</si>
  <si>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</si>
  <si>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</si>
  <si>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</si>
  <si>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</si>
  <si>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</si>
  <si>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</si>
  <si>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</si>
  <si>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</si>
  <si>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</si>
  <si>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</si>
  <si>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</si>
  <si>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</si>
  <si>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</si>
  <si>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</si>
  <si>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</si>
  <si>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</si>
  <si>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</si>
  <si>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</si>
  <si>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</si>
  <si>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</si>
  <si>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</si>
  <si>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</si>
  <si>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</si>
  <si>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</si>
  <si>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</si>
  <si>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</si>
  <si>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</si>
  <si>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</si>
  <si>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</si>
  <si>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</si>
  <si>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</si>
  <si>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</si>
  <si>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</si>
  <si>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</si>
  <si>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</si>
  <si>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</si>
  <si>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</si>
  <si>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</si>
  <si>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</si>
  <si>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</si>
  <si>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</si>
  <si>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</si>
  <si>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</si>
  <si>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</si>
  <si>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</si>
  <si>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</si>
  <si>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</si>
  <si>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</si>
  <si>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</si>
  <si>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</si>
  <si>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</si>
  <si>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</si>
  <si>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</si>
  <si>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</si>
  <si>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</si>
  <si>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</si>
  <si>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</si>
  <si>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</si>
  <si>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</si>
  <si>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</si>
  <si>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</si>
  <si>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</si>
  <si>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</si>
  <si>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</si>
  <si>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</si>
  <si>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</si>
  <si>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</si>
  <si>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</si>
  <si>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</si>
  <si>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</si>
  <si>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</si>
  <si>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</si>
  <si>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</si>
  <si>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</si>
  <si>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</si>
  <si>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</si>
  <si>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</si>
  <si>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</si>
  <si>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</si>
  <si>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</si>
  <si>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</si>
  <si>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</si>
  <si>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</si>
  <si>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</si>
  <si>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</si>
  <si>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</si>
  <si>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</si>
  <si>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</si>
  <si>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</si>
  <si>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</si>
  <si>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</si>
  <si>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</si>
  <si>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</si>
  <si>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</si>
  <si>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</si>
  <si>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</si>
  <si>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</si>
  <si>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</si>
  <si>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</si>
  <si>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</si>
  <si>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</si>
  <si>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</si>
  <si>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</si>
  <si>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</si>
  <si>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</si>
  <si>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</si>
  <si>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</si>
  <si>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</si>
  <si>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</si>
  <si>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</si>
  <si>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</si>
  <si>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</si>
  <si>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</si>
  <si>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</si>
  <si>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</si>
  <si>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</si>
  <si>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</si>
  <si>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</si>
  <si>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</si>
  <si>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</si>
  <si>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</si>
  <si>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</si>
  <si>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</si>
  <si>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</si>
  <si>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</si>
  <si>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</si>
  <si>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</si>
  <si>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</si>
  <si>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</si>
  <si>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</si>
  <si>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</si>
  <si>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</si>
  <si>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</si>
  <si>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</si>
  <si>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</si>
  <si>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</si>
  <si>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</si>
  <si>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</si>
  <si>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</si>
  <si>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</si>
  <si>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</si>
  <si>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</si>
  <si>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</si>
  <si>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</si>
  <si>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</si>
  <si>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</si>
  <si>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</si>
  <si>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</si>
  <si>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</si>
  <si>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</si>
  <si>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</si>
  <si>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</si>
  <si>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</si>
  <si>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</si>
  <si>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</si>
  <si>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</si>
  <si>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</si>
  <si>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</si>
  <si>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</si>
  <si>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</si>
  <si>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</si>
  <si>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</si>
  <si>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</si>
  <si>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</si>
  <si>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</si>
  <si>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</si>
  <si>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</si>
  <si>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</si>
  <si>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</si>
  <si>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</si>
  <si>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</si>
  <si>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</si>
  <si>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</si>
  <si>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</si>
  <si>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</si>
  <si>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</si>
  <si>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</si>
  <si>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</si>
  <si>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</si>
  <si>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</si>
  <si>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</si>
  <si>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</si>
  <si>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</si>
  <si>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</si>
  <si>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</si>
  <si>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</si>
  <si>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</si>
  <si>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</si>
  <si>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</si>
  <si>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</si>
  <si>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</si>
  <si>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</si>
  <si>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</si>
  <si>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</si>
  <si>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</si>
  <si>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</si>
  <si>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</si>
  <si>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</si>
  <si>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</si>
  <si>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</si>
  <si>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</si>
  <si>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</si>
  <si>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</si>
  <si>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</si>
  <si>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</si>
  <si>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</si>
  <si>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</si>
  <si>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</si>
  <si>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</si>
  <si>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</si>
  <si>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</si>
  <si>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</si>
  <si>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</si>
  <si>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</si>
  <si>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</si>
  <si>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</si>
  <si>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</si>
  <si>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</si>
  <si>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</si>
  <si>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</si>
  <si>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</si>
  <si>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</si>
  <si>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</si>
  <si>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</si>
  <si>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</si>
  <si>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</si>
  <si>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</si>
  <si>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</si>
  <si>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</si>
  <si>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</si>
  <si>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</si>
  <si>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</si>
  <si>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</si>
  <si>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</si>
  <si>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</si>
  <si>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</si>
  <si>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</si>
  <si>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</si>
  <si>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</si>
  <si>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</si>
  <si>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</si>
  <si>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</si>
  <si>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</si>
  <si>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</si>
  <si>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</si>
  <si>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</si>
  <si>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</si>
  <si>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</si>
  <si>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</si>
  <si>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</si>
  <si>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</si>
  <si>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</si>
  <si>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</si>
  <si>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</si>
  <si>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</si>
  <si>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</si>
  <si>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</si>
  <si>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</si>
  <si>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</si>
  <si>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</si>
  <si>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</si>
  <si>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</si>
  <si>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</si>
  <si>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</si>
  <si>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</si>
  <si>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</si>
  <si>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</si>
  <si>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</si>
  <si>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</si>
  <si>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</si>
  <si>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</si>
  <si>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</si>
  <si>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</si>
  <si>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</si>
  <si>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</si>
  <si>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</si>
  <si>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</si>
  <si>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</si>
  <si>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</si>
  <si>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</si>
  <si>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</si>
  <si>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</si>
  <si>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</si>
  <si>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</si>
  <si>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</si>
  <si>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</si>
  <si>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</si>
  <si>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</si>
  <si>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</si>
  <si>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</si>
  <si>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</si>
  <si>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</si>
  <si>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</si>
  <si>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</si>
  <si>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</si>
  <si>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</si>
  <si>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</si>
  <si>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</si>
  <si>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</si>
  <si>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</si>
  <si>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</si>
  <si>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</si>
  <si>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</si>
  <si>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</si>
  <si>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</si>
  <si>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</si>
  <si>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</si>
  <si>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</si>
  <si>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</si>
  <si>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</si>
  <si>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</si>
  <si>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</si>
  <si>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</si>
  <si>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</si>
  <si>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</si>
  <si>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</si>
  <si>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</si>
  <si>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</si>
  <si>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</si>
  <si>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</si>
  <si>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</si>
  <si>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</si>
  <si>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</si>
  <si>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</si>
  <si>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</si>
  <si>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</si>
  <si>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</si>
  <si>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</si>
  <si>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</si>
  <si>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</si>
  <si>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</si>
  <si>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</si>
  <si>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</si>
  <si>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</si>
  <si>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</si>
  <si>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</si>
  <si>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</si>
  <si>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</si>
  <si>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</si>
  <si>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</si>
  <si>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</si>
  <si>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</si>
  <si>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</si>
  <si>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</si>
  <si>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</si>
  <si>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</si>
  <si>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</si>
  <si>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</si>
  <si>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</si>
  <si>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</si>
  <si>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</si>
  <si>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</si>
  <si>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</si>
  <si>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</si>
  <si>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</si>
  <si>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</si>
  <si>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</si>
  <si>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</si>
  <si>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</si>
  <si>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</si>
  <si>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</si>
  <si>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</si>
  <si>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</si>
  <si>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</si>
  <si>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</si>
  <si>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</si>
  <si>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</si>
  <si>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</si>
  <si>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</si>
  <si>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</si>
  <si>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</si>
  <si>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</si>
  <si>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</si>
  <si>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</si>
  <si>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</si>
  <si>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</si>
  <si>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</si>
  <si>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</si>
  <si>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</si>
  <si>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</si>
  <si>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</si>
  <si>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</si>
  <si>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</si>
  <si>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</si>
  <si>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</si>
  <si>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</si>
  <si>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</si>
  <si>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</si>
  <si>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</si>
  <si>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</si>
  <si>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</si>
  <si>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</si>
  <si>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</si>
  <si>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</si>
  <si>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</si>
  <si>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</si>
  <si>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</si>
  <si>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</si>
  <si>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</si>
  <si>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</si>
  <si>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</si>
  <si>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</si>
  <si>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</si>
  <si>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</si>
  <si>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</si>
  <si>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</si>
  <si>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</si>
  <si>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</si>
  <si>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</si>
  <si>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</si>
  <si>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</si>
  <si>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</si>
  <si>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</si>
  <si>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</si>
  <si>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</si>
  <si>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</si>
  <si>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</si>
  <si>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</si>
  <si>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</si>
  <si>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</si>
  <si>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</si>
  <si>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</si>
  <si>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</si>
  <si>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</si>
  <si>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</si>
  <si>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</si>
  <si>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</si>
  <si>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</si>
  <si>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</si>
  <si>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</si>
  <si>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</si>
  <si>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</si>
  <si>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</si>
  <si>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</si>
  <si>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</si>
  <si>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</si>
  <si>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</si>
  <si>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</si>
  <si>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</si>
  <si>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</si>
  <si>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</si>
  <si>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</si>
  <si>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</si>
  <si>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</si>
  <si>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</si>
  <si>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</si>
  <si>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</si>
  <si>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</si>
  <si>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</si>
  <si>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</si>
  <si>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</si>
  <si>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</si>
  <si>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</si>
  <si>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</si>
  <si>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</si>
  <si>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</si>
  <si>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</si>
  <si>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</si>
  <si>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</si>
  <si>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</si>
  <si>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</si>
  <si>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</si>
  <si>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</si>
  <si>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</si>
  <si>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</si>
  <si>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</si>
  <si>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</si>
  <si>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</si>
  <si>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</si>
  <si>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</si>
  <si>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</si>
  <si>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</si>
  <si>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</si>
  <si>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</si>
  <si>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</si>
  <si>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</si>
  <si>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</si>
  <si>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</si>
  <si>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</si>
  <si>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</si>
  <si>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</si>
  <si>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</si>
  <si>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</si>
  <si>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</si>
  <si>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</si>
  <si>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</si>
  <si>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</si>
  <si>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</si>
  <si>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</si>
  <si>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</si>
  <si>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</si>
  <si>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</si>
  <si>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</si>
  <si>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</si>
  <si>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</si>
  <si>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</si>
  <si>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</si>
  <si>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</si>
  <si>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</si>
  <si>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</si>
  <si>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</si>
  <si>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</si>
  <si>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</si>
  <si>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</si>
  <si>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</si>
  <si>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</si>
  <si>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</si>
  <si>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</si>
  <si>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</si>
  <si>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</si>
  <si>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</si>
  <si>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</si>
  <si>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</si>
  <si>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</si>
  <si>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</si>
  <si>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</si>
  <si>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</si>
  <si>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</si>
  <si>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</si>
  <si>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</si>
  <si>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</si>
  <si>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</si>
  <si>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</si>
  <si>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</si>
  <si>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</si>
  <si>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</si>
  <si>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</si>
  <si>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</si>
  <si>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</si>
  <si>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</si>
  <si>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</si>
  <si>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</si>
  <si>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</si>
  <si>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</si>
  <si>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</si>
  <si>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</si>
  <si>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</si>
  <si>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</si>
  <si>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</si>
  <si>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</si>
  <si>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</si>
  <si>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</si>
  <si>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</si>
  <si>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</si>
  <si>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</si>
  <si>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</si>
  <si>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</si>
  <si>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</si>
  <si>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</si>
  <si>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</si>
  <si>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</si>
  <si>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</si>
  <si>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</si>
  <si>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</si>
  <si>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</si>
  <si>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</si>
  <si>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</si>
  <si>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</si>
  <si>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</si>
  <si>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</si>
  <si>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</si>
  <si>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</si>
  <si>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</si>
  <si>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</si>
  <si>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</si>
  <si>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</si>
  <si>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</si>
  <si>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</si>
  <si>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</si>
  <si>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</si>
  <si>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</si>
  <si>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</si>
  <si>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</si>
  <si>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</si>
  <si>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</si>
  <si>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</si>
  <si>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</si>
  <si>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</si>
  <si>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</si>
  <si>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</si>
  <si>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</si>
  <si>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</si>
  <si>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</si>
  <si>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</si>
  <si>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</si>
  <si>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</si>
  <si>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</si>
  <si>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</si>
  <si>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</si>
  <si>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</si>
  <si>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</si>
  <si>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</si>
  <si>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</si>
  <si>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</si>
  <si>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</si>
  <si>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</si>
  <si>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</si>
  <si>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</si>
  <si>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</si>
  <si>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</si>
  <si>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</si>
  <si>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</si>
  <si>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</si>
  <si>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</si>
  <si>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</si>
  <si>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</si>
  <si>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</si>
  <si>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</si>
  <si>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</si>
  <si>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</si>
  <si>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</si>
  <si>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</si>
  <si>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</si>
  <si>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</si>
  <si>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</si>
  <si>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</si>
  <si>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</si>
  <si>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</si>
  <si>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</si>
  <si>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</si>
  <si>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</si>
  <si>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</si>
  <si>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</si>
  <si>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</si>
  <si>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</si>
  <si>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</si>
  <si>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</si>
  <si>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</si>
  <si>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</si>
  <si>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</si>
  <si>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</si>
  <si>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</si>
  <si>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</si>
  <si>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</si>
  <si>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</si>
  <si>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</si>
  <si>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</si>
  <si>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</si>
  <si>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</si>
  <si>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</si>
  <si>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</si>
  <si>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</si>
  <si>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</si>
  <si>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</si>
  <si>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</si>
  <si>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</si>
  <si>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</si>
  <si>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</si>
  <si>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</si>
  <si>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</si>
  <si>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</si>
  <si>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</si>
  <si>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</si>
  <si>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</si>
  <si>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</si>
  <si>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</si>
  <si>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</si>
  <si>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</si>
  <si>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</si>
  <si>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</si>
  <si>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</si>
  <si>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</si>
  <si>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</si>
  <si>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</si>
  <si>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</si>
  <si>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</si>
  <si>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</si>
  <si>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</si>
  <si>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</si>
  <si>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</si>
  <si>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</si>
  <si>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</si>
  <si>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</si>
  <si>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</si>
  <si>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</si>
  <si>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</si>
  <si>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</si>
  <si>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</si>
  <si>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</si>
  <si>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</si>
  <si>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</si>
  <si>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</si>
  <si>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</si>
  <si>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</si>
  <si>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</si>
  <si>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</si>
  <si>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</si>
  <si>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</si>
  <si>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</si>
  <si>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</si>
  <si>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</si>
  <si>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</si>
  <si>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</si>
  <si>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</si>
  <si>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</si>
  <si>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</si>
  <si>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</si>
  <si>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</si>
  <si>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</si>
  <si>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</si>
  <si>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</si>
  <si>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</si>
  <si>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</si>
  <si>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</si>
  <si>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</si>
  <si>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</si>
  <si>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</si>
  <si>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</si>
  <si>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</si>
  <si>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</si>
  <si>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</si>
  <si>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</si>
  <si>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</si>
  <si>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</si>
  <si>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</si>
  <si>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</si>
  <si>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</si>
  <si>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</si>
  <si>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</si>
  <si>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</si>
  <si>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</si>
  <si>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</si>
  <si>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</si>
  <si>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</si>
  <si>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</si>
  <si>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</si>
  <si>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</si>
  <si>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</si>
  <si>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</si>
  <si>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</si>
  <si>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</si>
  <si>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</si>
  <si>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</si>
  <si>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</si>
  <si>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</si>
  <si>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</si>
  <si>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</si>
  <si>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</si>
  <si>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</si>
  <si>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</si>
  <si>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</si>
  <si>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</si>
  <si>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</si>
  <si>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</si>
  <si>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</si>
  <si>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</si>
  <si>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</si>
  <si>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</si>
  <si>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</si>
  <si>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</si>
  <si>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</si>
  <si>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</si>
  <si>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</si>
  <si>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</si>
  <si>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</si>
  <si>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</si>
  <si>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</si>
  <si>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</si>
  <si>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</si>
  <si>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</si>
  <si>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</si>
  <si>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</si>
  <si>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</si>
  <si>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</si>
  <si>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</si>
  <si>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</si>
  <si>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</si>
  <si>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</si>
  <si>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</si>
  <si>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</si>
  <si>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</si>
  <si>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</si>
  <si>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</si>
  <si>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</si>
  <si>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</si>
  <si>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</si>
  <si>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</si>
  <si>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</si>
  <si>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</si>
  <si>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</si>
  <si>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</si>
  <si>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</si>
  <si>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</si>
  <si>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</si>
  <si>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</si>
  <si>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</si>
  <si>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</si>
  <si>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</si>
  <si>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</si>
  <si>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</si>
  <si>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</si>
  <si>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</si>
  <si>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</si>
  <si>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</si>
  <si>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</si>
  <si>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</si>
  <si>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</si>
  <si>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</si>
  <si>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</si>
  <si>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</si>
  <si>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</si>
  <si>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</si>
  <si>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</si>
  <si>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</si>
  <si>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</si>
  <si>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</si>
  <si>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</si>
  <si>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</si>
  <si>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</si>
  <si>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</si>
  <si>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</si>
  <si>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</si>
  <si>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</si>
  <si>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</si>
  <si>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</si>
  <si>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</si>
  <si>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</si>
  <si>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</si>
  <si>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</si>
  <si>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</si>
  <si>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</si>
  <si>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</si>
  <si>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</si>
  <si>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</si>
  <si>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</si>
  <si>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</si>
  <si>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</si>
  <si>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</si>
  <si>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</si>
  <si>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</si>
  <si>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</si>
  <si>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</si>
  <si>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</si>
  <si>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</si>
  <si>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</si>
  <si>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</si>
  <si>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</si>
  <si>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</si>
  <si>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</si>
  <si>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</si>
  <si>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</si>
  <si>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</si>
  <si>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</si>
  <si>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</si>
  <si>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</si>
  <si>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</si>
  <si>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</si>
  <si>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</si>
  <si>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</si>
  <si>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</si>
  <si>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</si>
  <si>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</si>
  <si>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</si>
  <si>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</si>
  <si>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</si>
  <si>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</si>
  <si>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</si>
  <si>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</si>
  <si>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</si>
  <si>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</si>
  <si>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</si>
  <si>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</si>
  <si>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</si>
  <si>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</si>
  <si>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</si>
  <si>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</si>
  <si>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</si>
  <si>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</si>
  <si>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</si>
  <si>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</si>
  <si>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</si>
  <si>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</si>
  <si>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</si>
  <si>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</si>
  <si>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</si>
  <si>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</si>
  <si>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</si>
  <si>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</si>
  <si>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</si>
  <si>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</si>
  <si>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</si>
  <si>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</si>
  <si>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</si>
  <si>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</si>
  <si>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</si>
  <si>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</si>
  <si>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</si>
  <si>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</si>
  <si>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</si>
  <si>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</si>
  <si>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</si>
  <si>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</si>
  <si>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</si>
  <si>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</si>
  <si>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</si>
  <si>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</si>
  <si>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</si>
  <si>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</si>
  <si>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</si>
  <si>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</si>
  <si>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</si>
  <si>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</si>
  <si>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</si>
  <si>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</si>
  <si>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</si>
  <si>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</si>
  <si>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</si>
  <si>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</si>
  <si>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</si>
  <si>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</si>
  <si>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</si>
  <si>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</si>
  <si>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</si>
  <si>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</si>
  <si>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</si>
  <si>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</si>
  <si>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</si>
  <si>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</si>
  <si>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</si>
  <si>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</si>
  <si>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</si>
  <si>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</si>
  <si>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</si>
  <si>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</si>
  <si>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</si>
  <si>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</si>
  <si>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</si>
  <si>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</si>
  <si>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</si>
  <si>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</si>
  <si>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</si>
  <si>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</si>
  <si>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</si>
  <si>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</si>
  <si>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</si>
  <si>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</si>
  <si>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</si>
  <si>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</si>
  <si>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</si>
  <si>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</si>
  <si>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</si>
  <si>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</si>
  <si>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</si>
  <si>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</si>
  <si>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</si>
  <si>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</si>
  <si>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</si>
  <si>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</si>
  <si>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</si>
  <si>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</si>
  <si>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</si>
  <si>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</si>
  <si>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</si>
  <si>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</si>
  <si>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</si>
  <si>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</si>
  <si>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</si>
  <si>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</si>
  <si>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</si>
  <si>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</si>
  <si>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</si>
  <si>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</si>
  <si>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</si>
  <si>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</si>
  <si>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</si>
  <si>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</si>
  <si>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</si>
  <si>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</si>
  <si>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</si>
  <si>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</si>
  <si>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</si>
  <si>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</si>
  <si>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</si>
  <si>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</si>
  <si>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</si>
  <si>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</si>
  <si>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</si>
  <si>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</si>
  <si>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</si>
  <si>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</si>
  <si>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</si>
  <si>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</si>
  <si>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</si>
  <si>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</si>
  <si>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</si>
  <si>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</si>
  <si>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</si>
  <si>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</si>
  <si>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</si>
  <si>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</si>
  <si>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</si>
  <si>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</si>
  <si>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</si>
  <si>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</si>
  <si>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</si>
  <si>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</si>
  <si>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</si>
  <si>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</si>
  <si>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</si>
  <si>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</si>
  <si>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</si>
  <si>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</si>
  <si>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</si>
  <si>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</si>
  <si>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</si>
  <si>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</si>
  <si>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</si>
  <si>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</si>
  <si>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</si>
  <si>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</si>
  <si>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</si>
  <si>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</si>
  <si>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</si>
  <si>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</si>
  <si>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</si>
  <si>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</si>
  <si>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</si>
  <si>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</si>
  <si>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</si>
  <si>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</si>
  <si>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</si>
  <si>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</si>
  <si>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</si>
  <si>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</si>
  <si>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</si>
  <si>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</si>
  <si>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</si>
  <si>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</si>
  <si>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</si>
  <si>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</si>
  <si>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</si>
  <si>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</si>
  <si>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</si>
  <si>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</si>
  <si>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</si>
  <si>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</si>
  <si>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</si>
  <si>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</si>
  <si>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</si>
  <si>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</si>
  <si>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</si>
  <si>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</si>
  <si>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</si>
  <si>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</si>
  <si>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</si>
  <si>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</si>
  <si>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</si>
  <si>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</si>
  <si>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</si>
  <si>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</si>
  <si>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</si>
  <si>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</si>
  <si>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</si>
  <si>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</si>
  <si>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</si>
  <si>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</si>
  <si>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</si>
  <si>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</si>
  <si>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</si>
  <si>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</si>
  <si>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</si>
  <si>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</si>
  <si>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</si>
  <si>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</si>
  <si>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</si>
  <si>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</si>
  <si>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</si>
  <si>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</si>
  <si>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</si>
  <si>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</si>
  <si>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</si>
  <si>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</si>
  <si>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</si>
  <si>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</si>
  <si>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</si>
  <si>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</si>
  <si>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</si>
  <si>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</si>
  <si>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</si>
  <si>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</si>
  <si>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</si>
  <si>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</si>
  <si>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</si>
  <si>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</si>
  <si>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</si>
  <si>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</si>
  <si>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</si>
  <si>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</si>
  <si>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</si>
  <si>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</si>
  <si>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</si>
  <si>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</si>
  <si>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</si>
  <si>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</si>
  <si>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</si>
  <si>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</si>
  <si>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</si>
  <si>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</si>
  <si>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</si>
  <si>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</si>
  <si>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</si>
  <si>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</si>
  <si>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</si>
  <si>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</si>
  <si>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</si>
  <si>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</si>
  <si>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</si>
  <si>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</si>
  <si>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</si>
  <si>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</si>
  <si>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</si>
  <si>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</si>
  <si>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</si>
  <si>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</si>
  <si>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</si>
  <si>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</si>
  <si>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</si>
  <si>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</si>
  <si>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</si>
  <si>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</si>
  <si>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</si>
  <si>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</si>
  <si>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</si>
  <si>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</si>
  <si>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</si>
  <si>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</si>
  <si>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</si>
  <si>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</si>
  <si>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</si>
  <si>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</si>
  <si>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</si>
  <si>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</si>
  <si>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</si>
  <si>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</si>
  <si>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</si>
  <si>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</si>
  <si>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</si>
  <si>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</si>
  <si>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</si>
  <si>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</si>
  <si>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</si>
  <si>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</si>
  <si>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</si>
  <si>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</si>
  <si>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</si>
  <si>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</si>
  <si>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</si>
  <si>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</si>
  <si>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</si>
  <si>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</si>
  <si>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</si>
  <si>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</si>
  <si>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</si>
  <si>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</si>
  <si>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</si>
  <si>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</si>
  <si>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</si>
  <si>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</si>
  <si>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</si>
  <si>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</si>
  <si>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</si>
  <si>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</si>
  <si>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</si>
  <si>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</si>
  <si>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</si>
  <si>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</si>
  <si>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</si>
  <si>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</si>
  <si>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</si>
  <si>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</si>
  <si>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</si>
  <si>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</si>
  <si>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</si>
  <si>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</si>
  <si>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</si>
  <si>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</si>
  <si>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</si>
  <si>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</si>
  <si>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</si>
  <si>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</si>
  <si>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</si>
  <si>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</si>
  <si>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</si>
  <si>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</si>
  <si>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</si>
  <si>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</si>
  <si>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</si>
  <si>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</si>
  <si>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</si>
  <si>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</si>
  <si>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</si>
  <si>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</si>
  <si>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</si>
  <si>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</si>
  <si>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</si>
  <si>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</si>
  <si>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</si>
  <si>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</si>
  <si>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</si>
  <si>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</si>
  <si>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</si>
  <si>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</si>
  <si>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</si>
  <si>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</si>
  <si>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</si>
  <si>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</si>
  <si>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</si>
  <si>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</si>
  <si>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</si>
  <si>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</si>
  <si>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</si>
  <si>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</si>
  <si>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</si>
  <si>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</si>
  <si>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</si>
  <si>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</si>
  <si>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</si>
  <si>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</si>
  <si>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</si>
  <si>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</si>
  <si>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</si>
  <si>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</si>
  <si>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</si>
  <si>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</si>
  <si>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</si>
  <si>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</si>
  <si>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</si>
  <si>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</si>
  <si>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</si>
  <si>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</si>
  <si>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</si>
  <si>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</si>
  <si>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</si>
  <si>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</si>
  <si>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</si>
  <si>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</si>
  <si>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</si>
  <si>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</si>
  <si>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</si>
  <si>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</si>
  <si>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</si>
  <si>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</si>
  <si>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</si>
  <si>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</si>
  <si>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</si>
  <si>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</si>
  <si>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</si>
  <si>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</si>
  <si>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</si>
  <si>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</si>
  <si>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</si>
  <si>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</si>
  <si>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</si>
  <si>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</si>
  <si>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</si>
  <si>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</si>
  <si>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</si>
  <si>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</si>
  <si>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</si>
  <si>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</si>
  <si>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</si>
  <si>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</si>
  <si>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</si>
  <si>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</si>
  <si>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</si>
  <si>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</si>
  <si>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</si>
  <si>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</si>
  <si>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</si>
  <si>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</si>
  <si>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</si>
  <si>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</si>
  <si>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</si>
  <si>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</si>
  <si>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</si>
  <si>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</si>
  <si>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</si>
  <si>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</si>
  <si>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</si>
  <si>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</si>
  <si>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</si>
  <si>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</si>
  <si>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</si>
  <si>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</si>
  <si>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</si>
  <si>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</si>
  <si>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</si>
  <si>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</si>
  <si>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</si>
  <si>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</si>
  <si>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</si>
  <si>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</si>
  <si>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</si>
  <si>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</si>
  <si>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</si>
  <si>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</si>
  <si>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</si>
  <si>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</si>
  <si>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</si>
  <si>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</si>
  <si>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</si>
  <si>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</si>
  <si>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</si>
  <si>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</si>
  <si>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</si>
  <si>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</si>
  <si>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</si>
  <si>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</si>
  <si>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</si>
  <si>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</si>
  <si>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</si>
  <si>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</si>
  <si>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</si>
  <si>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</si>
  <si>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</si>
  <si>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</si>
  <si>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</si>
  <si>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</si>
  <si>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</si>
  <si>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</si>
  <si>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</si>
  <si>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</si>
  <si>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</si>
  <si>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</si>
  <si>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</si>
  <si>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</si>
  <si>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</si>
  <si>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</si>
  <si>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</si>
  <si>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</si>
  <si>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</si>
  <si>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</si>
  <si>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</si>
  <si>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</si>
  <si>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</si>
  <si>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</si>
  <si>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</si>
  <si>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</si>
  <si>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</si>
  <si>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</si>
  <si>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</si>
  <si>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</si>
  <si>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</si>
  <si>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</si>
  <si>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</si>
  <si>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</si>
  <si>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</si>
  <si>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</si>
  <si>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</si>
  <si>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</si>
  <si>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</si>
  <si>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</si>
  <si>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</si>
  <si>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</si>
  <si>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</si>
  <si>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</si>
  <si>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</si>
  <si>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</si>
  <si>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</si>
  <si>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</si>
  <si>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</si>
  <si>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</si>
  <si>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</si>
  <si>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</si>
  <si>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</si>
  <si>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</si>
  <si>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</si>
  <si>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</si>
  <si>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</si>
  <si>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</si>
  <si>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</si>
  <si>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</si>
  <si>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</si>
  <si>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</si>
  <si>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</si>
  <si>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</si>
  <si>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</si>
  <si>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</si>
  <si>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</si>
  <si>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</si>
  <si>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</si>
  <si>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</si>
  <si>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</si>
  <si>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</si>
  <si>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</si>
  <si>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</si>
  <si>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</si>
  <si>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</si>
  <si>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</si>
  <si>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</si>
  <si>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</si>
  <si>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</si>
  <si>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</si>
  <si>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</si>
  <si>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</si>
  <si>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</si>
  <si>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</si>
  <si>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</si>
  <si>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</si>
  <si>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</si>
  <si>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</si>
  <si>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</si>
  <si>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</si>
  <si>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</si>
  <si>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</si>
  <si>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</si>
  <si>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</si>
  <si>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</si>
  <si>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</si>
  <si>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</si>
  <si>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</si>
  <si>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</si>
  <si>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</si>
  <si>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</si>
  <si>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</si>
  <si>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</si>
  <si>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</si>
  <si>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</si>
  <si>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</si>
  <si>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</si>
  <si>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</si>
  <si>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</si>
  <si>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</si>
  <si>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</si>
  <si>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</si>
  <si>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</si>
  <si>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</si>
  <si>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</si>
  <si>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</si>
  <si>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</si>
  <si>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</si>
  <si>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</si>
  <si>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</si>
  <si>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</si>
  <si>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</si>
  <si>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</si>
  <si>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</si>
  <si>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</si>
  <si>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</si>
  <si>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</si>
  <si>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</si>
  <si>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</si>
  <si>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</si>
  <si>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</si>
  <si>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</si>
  <si>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</si>
  <si>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</si>
  <si>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</si>
  <si>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</si>
  <si>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</si>
  <si>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</si>
  <si>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</si>
  <si>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</si>
  <si>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</si>
  <si>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</si>
  <si>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</si>
  <si>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</si>
  <si>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</si>
  <si>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</si>
  <si>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</si>
  <si>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</si>
  <si>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</si>
  <si>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</si>
  <si>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</si>
  <si>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</si>
  <si>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</si>
  <si>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</si>
  <si>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</si>
  <si>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</si>
  <si>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</si>
  <si>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</si>
  <si>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</si>
  <si>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</si>
  <si>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</si>
  <si>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</si>
  <si>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</si>
  <si>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</si>
  <si>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</si>
  <si>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</si>
  <si>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</si>
  <si>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</si>
  <si>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</si>
  <si>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</si>
  <si>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</si>
  <si>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</si>
  <si>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</si>
  <si>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</si>
  <si>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</si>
  <si>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</si>
  <si>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</si>
  <si>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</si>
  <si>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</si>
  <si>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</si>
  <si>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</si>
  <si>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</si>
  <si>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</si>
  <si>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</si>
  <si>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</si>
  <si>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</si>
  <si>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</si>
  <si>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</si>
  <si>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</si>
  <si>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</si>
  <si>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</si>
  <si>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</si>
  <si>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</si>
  <si>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</si>
  <si>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</si>
  <si>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</si>
  <si>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</si>
  <si>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</si>
  <si>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</si>
  <si>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</si>
  <si>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</si>
  <si>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</si>
  <si>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</si>
  <si>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</si>
  <si>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</si>
  <si>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</si>
  <si>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</si>
  <si>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</si>
  <si>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</si>
  <si>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</si>
  <si>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</si>
  <si>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</si>
  <si>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</si>
  <si>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</si>
  <si>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</si>
  <si>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</si>
  <si>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</si>
  <si>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</si>
  <si>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</si>
  <si>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</si>
  <si>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</si>
  <si>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</si>
  <si>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</si>
  <si>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</si>
  <si>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</si>
  <si>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</si>
  <si>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</si>
  <si>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</si>
  <si>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</si>
  <si>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</si>
  <si>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</si>
  <si>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</si>
  <si>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</si>
  <si>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</si>
  <si>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</si>
  <si>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</si>
  <si>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</si>
  <si>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</si>
  <si>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</si>
  <si>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</si>
  <si>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</si>
  <si>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</si>
  <si>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</si>
  <si>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</si>
  <si>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</si>
  <si>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</si>
  <si>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</si>
  <si>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</si>
  <si>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</si>
  <si>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</si>
  <si>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</si>
  <si>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</si>
  <si>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</si>
  <si>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</si>
  <si>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</si>
  <si>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</si>
  <si>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</si>
  <si>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</si>
  <si>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</si>
  <si>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</si>
  <si>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</si>
  <si>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</si>
  <si>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</si>
  <si>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</si>
  <si>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</si>
  <si>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DE-917-Rheydt-Gbf.pdf</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</si>
  <si>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</si>
  <si>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</si>
  <si>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</si>
  <si>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</si>
  <si>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</si>
  <si>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</si>
  <si>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</si>
  <si>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</si>
  <si>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</si>
  <si>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</si>
  <si>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</si>
  <si>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</si>
  <si>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</si>
  <si>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</si>
  <si>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</si>
  <si>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</si>
  <si>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</si>
  <si>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</si>
  <si>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</si>
  <si>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</si>
  <si>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</si>
  <si>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</si>
  <si>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</si>
  <si>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</si>
  <si>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</si>
  <si>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</si>
  <si>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</si>
  <si>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</si>
  <si>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</si>
  <si>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</si>
  <si>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</si>
  <si>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</si>
  <si>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</si>
  <si>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</si>
  <si>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</si>
  <si>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</si>
  <si>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</si>
  <si>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</si>
  <si>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</si>
  <si>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</si>
  <si>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</si>
  <si>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</si>
  <si>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</si>
  <si>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</si>
  <si>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</si>
  <si>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</si>
  <si>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</si>
  <si>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</si>
  <si>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</si>
  <si>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</si>
  <si>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</si>
  <si>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</si>
  <si>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</si>
  <si>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</si>
  <si>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</si>
  <si>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</si>
  <si>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</si>
  <si>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</si>
  <si>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</si>
  <si>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</si>
  <si>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</si>
  <si>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</si>
  <si>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</si>
  <si>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</si>
  <si>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</si>
  <si>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</si>
  <si>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</si>
  <si>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</si>
  <si>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</si>
  <si>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</si>
  <si>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</si>
  <si>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</si>
  <si>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</si>
  <si>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</si>
  <si>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</si>
  <si>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</si>
  <si>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</si>
  <si>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</si>
  <si>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</si>
  <si>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</si>
  <si>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</si>
  <si>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</si>
  <si>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</si>
  <si>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</si>
  <si>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</si>
  <si>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</si>
  <si>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</si>
  <si>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</si>
  <si>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</si>
  <si>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</si>
  <si>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</si>
  <si>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</si>
  <si>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</si>
  <si>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</si>
  <si>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</si>
  <si>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</si>
  <si>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</si>
  <si>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</si>
  <si>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</si>
  <si>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</si>
  <si>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</si>
  <si>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</si>
  <si>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</si>
  <si>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</si>
  <si>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</si>
  <si>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</si>
  <si>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</si>
  <si>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</si>
  <si>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</si>
  <si>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</si>
  <si>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</si>
  <si>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</si>
  <si>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</si>
  <si>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</si>
  <si>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</si>
  <si>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</si>
  <si>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</si>
  <si>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</si>
  <si>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</si>
  <si>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</si>
  <si>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</si>
  <si>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</si>
  <si>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</si>
  <si>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</si>
  <si>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</si>
  <si>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</si>
  <si>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</si>
  <si>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</si>
  <si>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</si>
  <si>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</si>
  <si>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</si>
  <si>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</si>
  <si>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</si>
  <si>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</si>
  <si>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</si>
  <si>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</si>
  <si>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</si>
  <si>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</si>
  <si>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</si>
  <si>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</si>
  <si>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</si>
  <si>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</si>
  <si>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</si>
  <si>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</si>
  <si>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</si>
  <si>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</si>
  <si>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</si>
  <si>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</si>
  <si>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</si>
  <si>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</si>
  <si>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</si>
  <si>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</si>
  <si>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</si>
  <si>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</si>
  <si>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</si>
  <si>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</si>
  <si>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</si>
  <si>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</si>
  <si>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</si>
  <si>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</si>
  <si>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</si>
  <si>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</si>
  <si>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</si>
  <si>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</si>
  <si>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</si>
  <si>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</si>
  <si>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</si>
  <si>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</si>
  <si>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</si>
  <si>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</si>
  <si>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</si>
  <si>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</si>
  <si>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</si>
  <si>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</si>
  <si>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</si>
  <si>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</si>
  <si>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</si>
  <si>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</si>
  <si>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</si>
  <si>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</si>
  <si>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</si>
  <si>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</si>
  <si>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</si>
  <si>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</si>
  <si>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</si>
  <si>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</si>
  <si>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</si>
  <si>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</si>
  <si>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</si>
  <si>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</si>
  <si>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</si>
  <si>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</si>
  <si>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</si>
  <si>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</si>
  <si>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</si>
  <si>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</si>
  <si>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</si>
  <si>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</si>
  <si>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</si>
  <si>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</si>
  <si>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</si>
  <si>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</si>
  <si>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</si>
  <si>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Derailment of eleven wagons of a freight train in plain line</t>
  </si>
  <si>
    <t>Válega station</t>
  </si>
  <si>
    <t>CP Carga - Logística e Transportes Ferroviários de Mercadorias</t>
  </si>
  <si>
    <t>€ 439 123,78</t>
  </si>
  <si>
    <t>Significant damage to the rolling stock. Destruction of track and catenary along about 250 metres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</si>
  <si>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</si>
  <si>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</si>
  <si>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</si>
  <si>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</si>
  <si>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</si>
  <si>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</si>
  <si>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</si>
  <si>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</si>
  <si>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</si>
  <si>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</si>
  <si>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</si>
  <si>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</si>
  <si>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</si>
  <si>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</si>
  <si>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</si>
  <si>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</si>
  <si>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</si>
  <si>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</si>
  <si>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</si>
  <si>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</si>
  <si>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</si>
  <si>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</si>
  <si>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</si>
  <si>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</si>
  <si>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</si>
  <si>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</si>
  <si>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</si>
  <si>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</si>
  <si>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</si>
  <si>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</si>
  <si>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</si>
  <si>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</si>
  <si>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</si>
  <si>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</si>
  <si>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</si>
  <si>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</si>
  <si>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</si>
  <si>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</si>
  <si>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</si>
  <si>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</si>
  <si>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</si>
  <si>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</si>
  <si>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</si>
  <si>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</si>
  <si>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</si>
  <si>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</si>
  <si>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</si>
  <si>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</si>
  <si>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</si>
  <si>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</si>
  <si>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</si>
  <si>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</si>
  <si>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</si>
  <si>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</si>
  <si>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</si>
  <si>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</si>
  <si>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</si>
  <si>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</si>
  <si>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</si>
  <si>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</si>
  <si>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</si>
  <si>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</si>
  <si>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</si>
  <si>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</si>
  <si>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</si>
  <si>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</si>
  <si>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</si>
  <si>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</si>
  <si>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</si>
  <si>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</si>
  <si>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</si>
  <si>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</si>
  <si>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</si>
  <si>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</si>
  <si>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</si>
  <si>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</si>
  <si>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</si>
  <si>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</si>
  <si>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</si>
  <si>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</si>
  <si>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</si>
  <si>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</si>
  <si>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</si>
  <si>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</si>
  <si>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</si>
  <si>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</si>
  <si>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</si>
  <si>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</si>
  <si>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</si>
  <si>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</si>
  <si>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</si>
  <si>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</si>
  <si>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</si>
  <si>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</si>
  <si>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</si>
  <si>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</si>
  <si>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</si>
  <si>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</si>
  <si>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</si>
  <si>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</si>
  <si>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</si>
  <si>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</si>
  <si>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</si>
  <si>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</si>
  <si>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</si>
  <si>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</si>
  <si>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</si>
  <si>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</si>
  <si>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</si>
  <si>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</si>
  <si>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</si>
  <si>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</si>
  <si>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</si>
  <si>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</si>
  <si>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</si>
  <si>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</si>
  <si>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</si>
  <si>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</si>
  <si>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</si>
  <si>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</si>
  <si>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</si>
  <si>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</si>
  <si>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</si>
  <si>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</si>
  <si>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</si>
  <si>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</si>
  <si>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</si>
  <si>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</si>
  <si>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</si>
  <si>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</si>
  <si>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</si>
  <si>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</si>
  <si>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</si>
  <si>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</si>
  <si>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</si>
  <si>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</si>
  <si>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</si>
  <si>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</si>
  <si>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</si>
  <si>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</si>
  <si>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</si>
  <si>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</si>
  <si>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</si>
  <si>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</si>
  <si>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</si>
  <si>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</si>
  <si>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</si>
  <si>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</si>
  <si>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</si>
  <si>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</si>
  <si>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</si>
  <si>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</si>
  <si>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</si>
  <si>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</si>
  <si>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</si>
  <si>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</si>
  <si>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</si>
  <si>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</si>
  <si>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</si>
  <si>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</si>
  <si>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</si>
  <si>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</si>
  <si>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</si>
  <si>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</si>
  <si>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</si>
  <si>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</si>
  <si>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</si>
  <si>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</si>
  <si>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</si>
  <si>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</si>
  <si>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</si>
  <si>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</si>
  <si>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</si>
  <si>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</si>
  <si>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</si>
  <si>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</si>
  <si>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</si>
  <si>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</si>
  <si>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</si>
  <si>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</si>
  <si>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</si>
  <si>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</si>
  <si>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</si>
  <si>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</si>
  <si>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</si>
  <si>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</si>
  <si>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</si>
  <si>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</si>
  <si>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</si>
  <si>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</si>
  <si>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</si>
  <si>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</si>
  <si>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</si>
  <si>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</si>
  <si>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</si>
  <si>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</si>
  <si>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</si>
  <si>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</si>
  <si>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</si>
  <si>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</si>
  <si>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</si>
  <si>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</si>
  <si>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</si>
  <si>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</si>
  <si>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</si>
  <si>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</si>
  <si>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</si>
  <si>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</si>
  <si>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</si>
  <si>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</si>
  <si>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</si>
  <si>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</si>
  <si>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</si>
  <si>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</si>
  <si>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</si>
  <si>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</si>
  <si>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</si>
  <si>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</si>
  <si>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</si>
  <si>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</si>
  <si>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</si>
  <si>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</si>
  <si>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</si>
  <si>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</si>
  <si>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</si>
  <si>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</si>
  <si>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</si>
  <si>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</si>
  <si>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</si>
  <si>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</si>
  <si>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</si>
  <si>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</si>
  <si>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</si>
  <si>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</si>
  <si>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</si>
  <si>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</si>
  <si>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</si>
  <si>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</si>
  <si>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</si>
  <si>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</si>
  <si>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</si>
  <si>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</si>
  <si>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</si>
  <si>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</si>
  <si>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</si>
  <si>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</si>
  <si>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</si>
  <si>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</si>
  <si>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</si>
  <si>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</si>
  <si>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</si>
  <si>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</si>
  <si>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</si>
  <si>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</si>
  <si>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</si>
  <si>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</si>
  <si>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</si>
  <si>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</si>
  <si>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</si>
  <si>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</si>
  <si>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</si>
  <si>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</si>
  <si>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</si>
  <si>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</si>
  <si>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</si>
  <si>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</si>
  <si>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</si>
  <si>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</si>
  <si>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</si>
  <si>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</si>
  <si>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</si>
  <si>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</si>
  <si>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</si>
  <si>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</si>
  <si>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</si>
  <si>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</si>
  <si>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</si>
  <si>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</si>
  <si>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</si>
  <si>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</si>
  <si>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</si>
  <si>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</si>
  <si>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</si>
  <si>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</si>
  <si>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</si>
  <si>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</si>
  <si>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</si>
  <si>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</si>
  <si>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</si>
  <si>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</si>
  <si>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</si>
  <si>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</si>
  <si>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</si>
  <si>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</si>
  <si>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</si>
  <si>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</si>
  <si>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</si>
  <si>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</si>
  <si>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</si>
  <si>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</si>
  <si>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</si>
  <si>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</si>
  <si>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</si>
  <si>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</si>
  <si>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</si>
  <si>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</si>
  <si>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</si>
  <si>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</si>
  <si>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</si>
  <si>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</si>
  <si>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</si>
  <si>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</si>
  <si>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</si>
  <si>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</si>
  <si>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</si>
  <si>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</si>
  <si>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</si>
  <si>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</si>
  <si>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</si>
  <si>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</si>
  <si>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</si>
  <si>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</si>
  <si>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</si>
  <si>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</si>
  <si>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</si>
  <si>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</si>
  <si>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</si>
  <si>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</si>
  <si>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</si>
  <si>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</si>
  <si>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</si>
  <si>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</si>
  <si>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</si>
  <si>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</si>
  <si>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</si>
  <si>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</si>
  <si>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</si>
  <si>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</si>
  <si>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</si>
  <si>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</si>
  <si>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</si>
  <si>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</si>
  <si>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</si>
  <si>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</si>
  <si>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</si>
  <si>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</si>
  <si>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</si>
  <si>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</si>
  <si>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</si>
  <si>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</si>
  <si>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</si>
  <si>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</si>
  <si>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</si>
  <si>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</si>
  <si>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</si>
  <si>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</si>
  <si>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</si>
  <si>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</si>
  <si>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</si>
  <si>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</si>
  <si>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</si>
  <si>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</si>
  <si>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</si>
  <si>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</si>
  <si>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</si>
  <si>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</si>
  <si>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</si>
  <si>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</si>
  <si>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</si>
  <si>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</si>
  <si>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</si>
  <si>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</si>
  <si>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</si>
  <si>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</si>
  <si>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</si>
  <si>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</si>
  <si>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</si>
  <si>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</si>
  <si>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</si>
  <si>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</si>
  <si>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</si>
  <si>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</si>
  <si>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</si>
  <si>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</si>
  <si>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</si>
  <si>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</si>
  <si>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</si>
  <si>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</si>
  <si>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</si>
  <si>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</si>
  <si>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</si>
  <si>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</si>
  <si>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</si>
  <si>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</si>
  <si>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</si>
  <si>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</si>
  <si>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</si>
  <si>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</si>
  <si>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</si>
  <si>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</si>
  <si>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</si>
  <si>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</si>
  <si>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</si>
  <si>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</si>
  <si>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</si>
  <si>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</si>
  <si>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</si>
  <si>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</si>
  <si>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</si>
  <si>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</si>
  <si>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</si>
  <si>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</si>
  <si>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</si>
  <si>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</si>
  <si>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</si>
  <si>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</si>
  <si>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</si>
  <si>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</si>
  <si>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</si>
  <si>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</si>
  <si>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</si>
  <si>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</si>
  <si>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</si>
  <si>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</si>
  <si>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</si>
  <si>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</si>
  <si>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</si>
  <si>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</si>
  <si>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</si>
  <si>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</si>
  <si>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</si>
  <si>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</si>
  <si>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</si>
  <si>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</si>
  <si>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</si>
  <si>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</si>
  <si>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</si>
  <si>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</si>
  <si>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</si>
  <si>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</si>
  <si>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</si>
  <si>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</si>
  <si>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</si>
  <si>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</si>
  <si>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</si>
  <si>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</si>
  <si>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</si>
  <si>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</si>
  <si>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</si>
  <si>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</si>
  <si>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</si>
  <si>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</si>
  <si>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</si>
  <si>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</si>
  <si>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</si>
  <si>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</si>
  <si>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</si>
  <si>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</si>
  <si>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</si>
  <si>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</si>
  <si>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</si>
  <si>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</si>
  <si>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</si>
  <si>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</si>
  <si>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</si>
  <si>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</si>
  <si>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</si>
  <si>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</si>
  <si>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</si>
  <si>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</si>
  <si>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</si>
  <si>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</si>
  <si>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</si>
  <si>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</si>
  <si>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</si>
  <si>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</si>
  <si>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</si>
  <si>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</si>
  <si>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</si>
  <si>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</si>
  <si>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</si>
  <si>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</si>
  <si>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</si>
  <si>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</si>
  <si>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</si>
  <si>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</si>
  <si>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</si>
  <si>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</si>
  <si>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</si>
  <si>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</si>
  <si>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</si>
  <si>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</si>
  <si>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</si>
  <si>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</si>
  <si>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</si>
  <si>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</si>
  <si>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</si>
  <si>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</si>
  <si>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</si>
  <si>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</si>
  <si>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</si>
  <si>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</si>
  <si>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</si>
  <si>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</si>
  <si>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</si>
  <si>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</si>
  <si>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</si>
  <si>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</si>
  <si>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</si>
  <si>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</si>
  <si>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</si>
  <si>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</si>
  <si>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</si>
  <si>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</si>
  <si>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</si>
  <si>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</si>
  <si>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</si>
  <si>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</si>
  <si>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</si>
  <si>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</si>
  <si>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</si>
  <si>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</si>
  <si>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</si>
  <si>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</si>
  <si>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</si>
  <si>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</si>
  <si>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</si>
  <si>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</si>
  <si>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</si>
  <si>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</si>
  <si>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</si>
  <si>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</si>
  <si>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</si>
  <si>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</si>
  <si>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</si>
  <si>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</si>
  <si>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</si>
  <si>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</si>
  <si>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</si>
  <si>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</si>
  <si>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</si>
  <si>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</si>
  <si>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</si>
  <si>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</si>
  <si>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</si>
  <si>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</si>
  <si>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</si>
  <si>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</si>
  <si>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</si>
  <si>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</si>
  <si>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</si>
  <si>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</si>
  <si>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</si>
  <si>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</si>
  <si>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</si>
  <si>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</si>
  <si>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</si>
  <si>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</si>
  <si>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</si>
  <si>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</si>
  <si>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</si>
  <si>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</si>
  <si>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</si>
  <si>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</si>
  <si>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</si>
  <si>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</si>
  <si>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</si>
  <si>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</si>
  <si>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</si>
  <si>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</si>
  <si>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</si>
  <si>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</si>
  <si>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</si>
  <si>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</si>
  <si>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</si>
  <si>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</si>
  <si>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</si>
  <si>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</si>
  <si>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</si>
  <si>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</si>
  <si>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</si>
  <si>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</si>
  <si>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</si>
  <si>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</si>
  <si>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</si>
  <si>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</si>
  <si>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</si>
  <si>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</si>
  <si>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</si>
  <si>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</si>
  <si>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</si>
  <si>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</si>
  <si>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</si>
  <si>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</si>
  <si>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</si>
  <si>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</si>
  <si>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</si>
  <si>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</si>
  <si>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</si>
  <si>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</si>
  <si>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</si>
  <si>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</si>
  <si>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</si>
  <si>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</si>
  <si>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</si>
  <si>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</si>
  <si>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</si>
  <si>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</si>
  <si>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</si>
  <si>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</si>
  <si>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</si>
  <si>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</si>
  <si>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</si>
  <si>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</si>
  <si>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</si>
  <si>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</si>
  <si>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</si>
  <si>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</si>
  <si>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</si>
  <si>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</si>
  <si>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</si>
  <si>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</si>
  <si>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</si>
  <si>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</si>
  <si>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</si>
  <si>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</si>
  <si>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</si>
  <si>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</si>
  <si>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</si>
  <si>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</si>
  <si>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</si>
  <si>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</si>
  <si>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</si>
  <si>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</si>
  <si>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</si>
  <si>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</si>
  <si>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</si>
  <si>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</si>
  <si>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</si>
  <si>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</si>
  <si>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</si>
  <si>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</si>
  <si>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</si>
  <si>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</si>
  <si>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</si>
  <si>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</si>
  <si>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</si>
  <si>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</si>
  <si>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</si>
  <si>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</si>
  <si>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</si>
  <si>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</si>
  <si>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</si>
  <si>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</si>
  <si>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</si>
  <si>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</si>
  <si>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</si>
  <si>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</si>
  <si>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</si>
  <si>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</si>
  <si>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</si>
  <si>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</si>
  <si>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</si>
  <si>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</si>
  <si>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</si>
  <si>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</si>
  <si>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</si>
  <si>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</si>
  <si>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</si>
  <si>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</si>
  <si>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</si>
  <si>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</si>
  <si>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</si>
  <si>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</si>
  <si>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</si>
  <si>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</si>
  <si>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</si>
  <si>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</si>
  <si>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</si>
  <si>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</si>
  <si>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</si>
  <si>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</si>
  <si>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</si>
  <si>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</si>
  <si>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</si>
  <si>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</si>
  <si>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</si>
  <si>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</si>
  <si>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</si>
  <si>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</si>
  <si>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</si>
  <si>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</si>
  <si>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</si>
  <si>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</si>
  <si>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</si>
  <si>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</si>
  <si>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</si>
  <si>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</si>
  <si>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</si>
  <si>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</si>
  <si>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</si>
  <si>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</si>
  <si>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</si>
  <si>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</si>
  <si>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</si>
  <si>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</si>
  <si>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</si>
  <si>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</si>
  <si>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</si>
  <si>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</si>
  <si>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</si>
  <si>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</si>
  <si>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</si>
  <si>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</si>
  <si>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</si>
  <si>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</si>
  <si>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</si>
  <si>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</si>
  <si>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</si>
  <si>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</si>
  <si>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</si>
  <si>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</si>
  <si>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</si>
  <si>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</si>
  <si>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</si>
  <si>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</si>
  <si>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</si>
  <si>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</si>
  <si>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</si>
  <si>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</si>
  <si>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</si>
  <si>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</si>
  <si>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</si>
  <si>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</si>
  <si>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</si>
  <si>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</si>
  <si>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</si>
  <si>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</si>
  <si>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</si>
  <si>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</si>
  <si>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</si>
  <si>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</si>
  <si>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</si>
  <si>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</si>
  <si>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</si>
  <si>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</si>
  <si>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</si>
  <si>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</si>
  <si>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</si>
  <si>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</si>
  <si>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</si>
  <si>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</si>
  <si>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</si>
  <si>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</si>
  <si>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</si>
  <si>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</si>
  <si>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</si>
  <si>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</si>
  <si>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</si>
  <si>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</si>
  <si>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</si>
  <si>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</si>
  <si>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</si>
  <si>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</si>
  <si>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</si>
  <si>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</si>
  <si>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</si>
  <si>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</si>
  <si>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</si>
  <si>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</si>
  <si>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</si>
  <si>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</si>
  <si>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</si>
  <si>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</si>
  <si>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</si>
  <si>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</si>
  <si>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</si>
  <si>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</si>
  <si>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</si>
  <si>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</si>
  <si>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</si>
  <si>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</si>
  <si>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</si>
  <si>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</si>
  <si>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</si>
  <si>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</si>
  <si>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</si>
  <si>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</si>
  <si>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</si>
  <si>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</si>
  <si>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</si>
  <si>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</si>
  <si>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</si>
  <si>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</si>
  <si>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</si>
  <si>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</si>
  <si>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</si>
  <si>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</si>
  <si>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</si>
  <si>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</si>
  <si>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</si>
  <si>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</si>
  <si>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</si>
  <si>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</si>
  <si>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</si>
  <si>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</si>
  <si>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</si>
  <si>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</si>
  <si>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</si>
  <si>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</si>
  <si>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</si>
  <si>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</si>
  <si>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</si>
  <si>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</si>
  <si>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</si>
  <si>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</si>
  <si>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</si>
  <si>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</si>
  <si>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</si>
  <si>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</si>
  <si>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</si>
  <si>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</si>
  <si>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</si>
  <si>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</si>
  <si>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</si>
  <si>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</si>
  <si>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</si>
  <si>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</si>
  <si>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</si>
  <si>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</si>
  <si>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</si>
  <si>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</si>
  <si>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</si>
  <si>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</si>
  <si>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</si>
  <si>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</si>
  <si>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</si>
  <si>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</si>
  <si>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</si>
  <si>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</si>
  <si>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</si>
  <si>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</si>
  <si>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</si>
  <si>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</si>
  <si>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</si>
  <si>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</si>
  <si>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</si>
  <si>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</si>
  <si>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</si>
  <si>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</si>
  <si>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</si>
  <si>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</si>
  <si>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</si>
  <si>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</si>
  <si>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</si>
  <si>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</si>
  <si>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</si>
  <si>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</si>
  <si>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</si>
  <si>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</si>
  <si>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</si>
  <si>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</si>
  <si>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</si>
  <si>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</si>
  <si>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</si>
  <si>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</si>
  <si>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</si>
  <si>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</si>
  <si>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</si>
  <si>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</si>
  <si>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</si>
  <si>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</si>
  <si>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</si>
  <si>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</si>
  <si>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</si>
  <si>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</si>
  <si>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</si>
  <si>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</si>
  <si>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</si>
  <si>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</si>
  <si>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</si>
  <si>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</si>
  <si>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</si>
  <si>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</si>
  <si>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</si>
  <si>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</si>
  <si>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</si>
  <si>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</si>
  <si>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</si>
  <si>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</si>
  <si>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</si>
  <si>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</si>
  <si>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</si>
  <si>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</si>
  <si>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</si>
  <si>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</si>
  <si>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</si>
  <si>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</si>
  <si>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</si>
  <si>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</si>
  <si>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</si>
  <si>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</si>
  <si>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</si>
  <si>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</si>
  <si>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</si>
  <si>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</si>
  <si>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</si>
  <si>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</si>
  <si>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</si>
  <si>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</si>
  <si>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</si>
  <si>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</si>
  <si>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</si>
  <si>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</si>
  <si>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</si>
  <si>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</si>
  <si>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</si>
  <si>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</si>
  <si>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</si>
  <si>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</si>
  <si>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</si>
  <si>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</si>
  <si>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</si>
  <si>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</si>
  <si>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</si>
  <si>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</si>
  <si>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</si>
  <si>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</si>
  <si>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</si>
  <si>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</si>
  <si>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</si>
  <si>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</si>
  <si>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</si>
  <si>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</si>
  <si>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</si>
  <si>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</si>
  <si>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</si>
  <si>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</si>
  <si>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</si>
  <si>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</si>
  <si>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</si>
  <si>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</si>
  <si>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</si>
  <si>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</si>
  <si>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</si>
  <si>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</si>
  <si>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</si>
  <si>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</si>
  <si>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</si>
  <si>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</si>
  <si>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</si>
  <si>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</si>
  <si>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</si>
  <si>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</si>
  <si>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</si>
  <si>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</si>
  <si>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</si>
  <si>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</si>
  <si>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</si>
  <si>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</si>
  <si>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</si>
  <si>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</si>
  <si>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</si>
  <si>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</si>
  <si>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</si>
  <si>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</si>
  <si>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</si>
  <si>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</si>
  <si>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</si>
  <si>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</si>
  <si>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</si>
  <si>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</si>
  <si>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</si>
  <si>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</si>
  <si>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</si>
  <si>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</si>
  <si>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</si>
  <si>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</si>
  <si>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</si>
  <si>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</si>
  <si>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</si>
  <si>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</si>
  <si>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</si>
  <si>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</si>
  <si>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</si>
  <si>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</si>
  <si>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</si>
  <si>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</si>
  <si>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</si>
  <si>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</si>
  <si>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</si>
  <si>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</si>
  <si>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</si>
  <si>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</si>
  <si>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</si>
  <si>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</si>
  <si>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</si>
  <si>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</si>
  <si>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</si>
  <si>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</si>
  <si>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</si>
  <si>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</si>
  <si>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</si>
  <si>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</si>
  <si>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</si>
  <si>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</si>
  <si>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</si>
  <si>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</si>
  <si>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</si>
  <si>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</si>
  <si>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</si>
  <si>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</si>
  <si>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</si>
  <si>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</si>
  <si>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</si>
  <si>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</si>
  <si>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</si>
  <si>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</si>
  <si>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</si>
  <si>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</si>
  <si>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</si>
  <si>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</si>
  <si>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</si>
  <si>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</si>
  <si>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</si>
  <si>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</si>
  <si>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</si>
  <si>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</si>
  <si>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</si>
  <si>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</si>
  <si>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</si>
  <si>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</si>
  <si>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</si>
  <si>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</si>
  <si>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</si>
  <si>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</si>
  <si>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</si>
  <si>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</si>
  <si>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</si>
  <si>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</si>
  <si>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</si>
  <si>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</si>
  <si>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</si>
  <si>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</si>
  <si>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</si>
  <si>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</si>
  <si>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</si>
  <si>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</si>
  <si>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</si>
  <si>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</si>
  <si>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</si>
  <si>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</si>
  <si>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</si>
  <si>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</si>
  <si>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</si>
  <si>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</si>
  <si>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</si>
  <si>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</si>
  <si>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</si>
  <si>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</si>
  <si>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</si>
  <si>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</si>
  <si>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</si>
  <si>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</si>
  <si>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</si>
  <si>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</si>
  <si>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</si>
  <si>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</si>
  <si>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</si>
  <si>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</si>
  <si>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</si>
  <si>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</si>
  <si>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</si>
  <si>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</si>
  <si>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</si>
  <si>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</si>
  <si>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</si>
  <si>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</si>
  <si>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</si>
  <si>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</si>
  <si>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</si>
  <si>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</si>
  <si>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</si>
  <si>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</si>
  <si>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</si>
  <si>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</si>
  <si>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</si>
  <si>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</si>
  <si>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</si>
  <si>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</si>
  <si>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</si>
  <si>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</si>
  <si>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</si>
  <si>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</si>
  <si>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</si>
  <si>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</si>
  <si>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</si>
  <si>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</si>
  <si>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</si>
  <si>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</si>
  <si>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</si>
  <si>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</si>
  <si>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</si>
  <si>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</si>
  <si>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</si>
  <si>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</si>
  <si>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</si>
  <si>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</si>
  <si>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</si>
  <si>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</si>
  <si>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</si>
  <si>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</si>
  <si>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</si>
  <si>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</si>
  <si>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</si>
  <si>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</si>
  <si>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</si>
  <si>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</si>
  <si>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</si>
  <si>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</si>
  <si>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</si>
  <si>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</si>
  <si>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</si>
  <si>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</si>
  <si>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</si>
  <si>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</si>
  <si>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</si>
  <si>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</si>
  <si>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</si>
  <si>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</si>
  <si>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</si>
  <si>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</si>
  <si>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</si>
  <si>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</si>
  <si>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</si>
  <si>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</si>
  <si>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</si>
  <si>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</si>
  <si>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</si>
  <si>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</si>
  <si>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</si>
  <si>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</si>
  <si>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</si>
  <si>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</si>
  <si>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</si>
  <si>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</si>
  <si>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</si>
  <si>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</si>
  <si>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</si>
  <si>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</si>
  <si>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</si>
  <si>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</si>
  <si>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</si>
  <si>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</si>
  <si>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</si>
  <si>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</si>
  <si>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</si>
  <si>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</si>
  <si>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</si>
  <si>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</si>
  <si>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</si>
  <si>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</si>
  <si>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</si>
  <si>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</si>
  <si>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</si>
  <si>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</si>
  <si>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</si>
  <si>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</si>
  <si>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</si>
  <si>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</si>
  <si>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</si>
  <si>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</si>
  <si>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</si>
  <si>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</si>
  <si>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</si>
  <si>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</si>
  <si>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</si>
  <si>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</si>
  <si>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</si>
  <si>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</si>
  <si>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</si>
  <si>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</si>
  <si>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</si>
  <si>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</si>
  <si>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</si>
  <si>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</si>
  <si>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</si>
  <si>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</si>
  <si>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</si>
  <si>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</si>
  <si>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</si>
  <si>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</si>
  <si>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</si>
  <si>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</si>
  <si>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</si>
  <si>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</si>
  <si>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</si>
  <si>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</si>
  <si>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</si>
  <si>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</si>
  <si>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</si>
  <si>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</si>
  <si>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</si>
  <si>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</si>
  <si>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</si>
  <si>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</si>
  <si>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</si>
  <si>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</si>
  <si>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</si>
  <si>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</si>
  <si>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</si>
  <si>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</si>
  <si>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</si>
  <si>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</si>
  <si>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</si>
  <si>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</si>
  <si>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</si>
  <si>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</si>
  <si>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</si>
  <si>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</si>
  <si>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</si>
  <si>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</si>
  <si>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</si>
  <si>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</si>
  <si>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</si>
  <si>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</si>
  <si>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</si>
  <si>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</si>
  <si>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</si>
  <si>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</si>
  <si>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</si>
  <si>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</si>
  <si>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</si>
  <si>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</si>
  <si>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</si>
  <si>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</si>
  <si>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</si>
  <si>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</si>
  <si>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</si>
  <si>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</si>
  <si>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</si>
  <si>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</si>
  <si>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</si>
  <si>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</si>
  <si>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</si>
  <si>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</si>
  <si>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</si>
  <si>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</si>
  <si>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</si>
  <si>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</si>
  <si>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</si>
  <si>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</si>
  <si>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</si>
  <si>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</si>
  <si>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</si>
  <si>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</si>
  <si>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</si>
  <si>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</si>
  <si>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</si>
  <si>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</si>
  <si>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</si>
  <si>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</si>
  <si>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</si>
  <si>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</si>
  <si>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</si>
  <si>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</si>
  <si>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</si>
  <si>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</si>
  <si>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</si>
  <si>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</si>
  <si>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</si>
  <si>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</si>
  <si>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</si>
  <si>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</si>
  <si>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</si>
  <si>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</si>
  <si>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</si>
  <si>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</si>
  <si>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</si>
  <si>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</si>
  <si>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</si>
  <si>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</si>
  <si>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</si>
  <si>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</si>
  <si>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</si>
  <si>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</si>
  <si>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</si>
  <si>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</si>
  <si>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</si>
  <si>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</si>
  <si>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</si>
  <si>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</si>
  <si>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</si>
  <si>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</si>
  <si>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</si>
  <si>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</si>
  <si>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</si>
  <si>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</si>
  <si>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</si>
  <si>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</si>
  <si>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</si>
  <si>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</si>
  <si>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</si>
  <si>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</si>
  <si>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</si>
  <si>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</si>
  <si>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</si>
  <si>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</si>
  <si>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</si>
  <si>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</si>
  <si>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</si>
  <si>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</si>
  <si>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</si>
  <si>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</si>
  <si>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</si>
  <si>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</si>
  <si>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</si>
  <si>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</si>
  <si>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</si>
  <si>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</si>
  <si>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</si>
  <si>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</si>
  <si>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</si>
  <si>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</si>
  <si>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</si>
  <si>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</si>
  <si>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</si>
  <si>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</si>
  <si>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</si>
  <si>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</si>
  <si>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</si>
  <si>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</si>
  <si>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</si>
  <si>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</si>
  <si>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</si>
  <si>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</si>
  <si>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</si>
  <si>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</si>
  <si>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</si>
  <si>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</si>
  <si>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</si>
  <si>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</si>
  <si>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</si>
  <si>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</si>
  <si>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</si>
  <si>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</si>
  <si>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</si>
  <si>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</si>
  <si>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</si>
  <si>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</si>
  <si>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</si>
  <si>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</si>
  <si>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</si>
  <si>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</si>
  <si>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</si>
  <si>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</si>
  <si>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</si>
  <si>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</si>
  <si>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</si>
  <si>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</si>
  <si>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</si>
  <si>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</si>
  <si>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</si>
  <si>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</si>
  <si>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</si>
  <si>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</si>
  <si>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</si>
  <si>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</si>
  <si>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</si>
  <si>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</si>
  <si>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</si>
  <si>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</si>
  <si>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</si>
  <si>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</si>
  <si>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</si>
  <si>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</si>
  <si>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</si>
  <si>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</si>
  <si>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</si>
  <si>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</si>
  <si>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</si>
  <si>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</si>
  <si>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</si>
  <si>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</si>
  <si>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</si>
  <si>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</si>
  <si>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</si>
  <si>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</si>
  <si>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</si>
  <si>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</si>
  <si>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</si>
  <si>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</si>
  <si>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</si>
  <si>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</si>
  <si>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</si>
  <si>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</si>
  <si>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</si>
  <si>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</si>
  <si>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</si>
  <si>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</si>
  <si>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</si>
  <si>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</si>
  <si>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</si>
  <si>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</si>
  <si>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</si>
  <si>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</si>
  <si>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</si>
  <si>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</si>
  <si>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</si>
  <si>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</si>
  <si>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</si>
  <si>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</si>
  <si>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</si>
  <si>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</si>
  <si>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</si>
  <si>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</si>
  <si>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</si>
  <si>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</si>
  <si>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</si>
  <si>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</si>
  <si>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</si>
  <si>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</si>
  <si>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</si>
  <si>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</si>
  <si>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</si>
  <si>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</si>
  <si>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</si>
  <si>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</si>
  <si>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</si>
  <si>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</si>
  <si>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</si>
  <si>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</si>
  <si>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</si>
  <si>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</si>
  <si>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</si>
  <si>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</si>
  <si>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</si>
  <si>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</si>
  <si>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</si>
  <si>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</si>
  <si>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</si>
  <si>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</si>
  <si>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</si>
  <si>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</si>
  <si>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</si>
  <si>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</si>
  <si>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</si>
  <si>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</si>
  <si>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</si>
  <si>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</si>
  <si>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</si>
  <si>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</si>
  <si>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</si>
  <si>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</si>
  <si>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</si>
  <si>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</si>
  <si>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</si>
  <si>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</si>
  <si>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</si>
  <si>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</si>
  <si>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</si>
  <si>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</si>
  <si>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</si>
  <si>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</si>
  <si>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</si>
  <si>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</si>
  <si>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</si>
  <si>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</si>
  <si>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</si>
  <si>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</si>
  <si>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</si>
  <si>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</si>
  <si>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</si>
  <si>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</si>
  <si>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</si>
  <si>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</si>
  <si>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Rolling stock event</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</si>
  <si>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</si>
  <si>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</si>
  <si>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</si>
  <si>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</si>
  <si>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</si>
  <si>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</si>
  <si>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</si>
  <si>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</si>
  <si>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</si>
  <si>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</si>
  <si>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</si>
  <si>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</si>
  <si>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</si>
  <si>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</si>
  <si>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</si>
  <si>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</si>
  <si>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</si>
  <si>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</si>
  <si>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</si>
  <si>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</si>
  <si>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</si>
  <si>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</si>
  <si>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</si>
  <si>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</si>
  <si>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</si>
  <si>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</si>
  <si>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</si>
  <si>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</si>
  <si>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</si>
  <si>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</si>
  <si>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</si>
  <si>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</si>
  <si>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</si>
  <si>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</si>
  <si>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</si>
  <si>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</si>
  <si>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</si>
  <si>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</si>
  <si>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</si>
  <si>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</si>
  <si>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</si>
  <si>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</si>
  <si>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</si>
  <si>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</si>
  <si>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</si>
  <si>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</si>
  <si>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</si>
  <si>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</si>
  <si>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</si>
  <si>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</si>
  <si>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</si>
  <si>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</si>
  <si>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</si>
  <si>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</si>
  <si>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</si>
  <si>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</si>
  <si>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</si>
  <si>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</si>
  <si>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</si>
  <si>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</si>
  <si>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</si>
  <si>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</si>
  <si>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</si>
  <si>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</si>
  <si>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</si>
  <si>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</si>
  <si>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</si>
  <si>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</si>
  <si>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</si>
  <si>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</si>
  <si>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</si>
  <si>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</si>
  <si>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</si>
  <si>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</si>
  <si>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</si>
  <si>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</si>
  <si>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</si>
  <si>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</si>
  <si>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</si>
  <si>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</si>
  <si>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</si>
  <si>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</si>
  <si>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</si>
  <si>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</si>
  <si>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</si>
  <si>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</si>
  <si>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</si>
  <si>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</si>
  <si>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</si>
  <si>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</si>
  <si>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</si>
  <si>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</si>
  <si>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</si>
  <si>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</si>
  <si>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</si>
  <si>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</si>
  <si>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</si>
  <si>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</si>
  <si>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</si>
  <si>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</si>
  <si>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</si>
  <si>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</si>
  <si>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</si>
  <si>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</si>
  <si>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</si>
  <si>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</si>
  <si>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</si>
  <si>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</si>
  <si>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</si>
  <si>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</si>
  <si>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</si>
  <si>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</si>
  <si>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</si>
  <si>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</si>
  <si>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</si>
  <si>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</si>
  <si>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</si>
  <si>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</si>
  <si>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</si>
  <si>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</si>
  <si>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</si>
  <si>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</si>
  <si>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</si>
  <si>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</si>
  <si>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</si>
  <si>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</si>
  <si>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</si>
  <si>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</si>
  <si>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</si>
  <si>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</si>
  <si>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</si>
  <si>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</si>
  <si>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</si>
  <si>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</si>
  <si>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</si>
  <si>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</si>
  <si>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</si>
  <si>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</si>
  <si>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</si>
  <si>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</si>
  <si>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</si>
  <si>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</si>
  <si>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</si>
  <si>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</si>
  <si>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</si>
  <si>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</si>
  <si>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</si>
  <si>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</si>
  <si>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</si>
  <si>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</si>
  <si>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</si>
  <si>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</si>
  <si>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</si>
  <si>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</si>
  <si>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</si>
  <si>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</si>
  <si>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</si>
  <si>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</si>
  <si>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</si>
  <si>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</si>
  <si>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</si>
  <si>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</si>
  <si>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</si>
  <si>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</si>
  <si>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</si>
  <si>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</si>
  <si>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</si>
  <si>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</si>
  <si>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</si>
  <si>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</si>
  <si>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</si>
  <si>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</si>
  <si>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</si>
  <si>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</si>
  <si>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</si>
  <si>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</si>
  <si>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</si>
  <si>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</si>
  <si>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</si>
  <si>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</si>
  <si>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</si>
  <si>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</si>
  <si>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</si>
  <si>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</si>
  <si>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</si>
  <si>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</si>
  <si>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</si>
  <si>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</si>
  <si>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</si>
  <si>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</si>
  <si>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</si>
  <si>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</si>
  <si>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</si>
  <si>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</si>
  <si>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</si>
  <si>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</si>
  <si>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</si>
  <si>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</si>
  <si>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</si>
  <si>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</si>
  <si>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</si>
  <si>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</si>
  <si>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</si>
  <si>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</si>
  <si>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</si>
  <si>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</si>
  <si>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</si>
  <si>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</si>
  <si>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</si>
  <si>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</si>
  <si>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</si>
  <si>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</si>
  <si>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</si>
  <si>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</si>
  <si>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</si>
  <si>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</si>
  <si>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</si>
  <si>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</si>
  <si>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</si>
  <si>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</si>
  <si>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</si>
  <si>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</si>
  <si>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</si>
  <si>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</si>
  <si>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</si>
  <si>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</si>
  <si>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</si>
  <si>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</si>
  <si>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</si>
  <si>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</si>
  <si>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</si>
  <si>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</si>
  <si>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</si>
  <si>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</si>
  <si>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</si>
  <si>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</si>
  <si>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</si>
  <si>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</si>
  <si>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</si>
  <si>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</si>
  <si>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</si>
  <si>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</si>
  <si>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</si>
  <si>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</si>
  <si>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</si>
  <si>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</si>
  <si>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</si>
  <si>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</si>
  <si>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</si>
  <si>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</si>
  <si>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</si>
  <si>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</si>
  <si>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</si>
  <si>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</si>
  <si>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</si>
  <si>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</si>
  <si>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</si>
  <si>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</si>
  <si>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</si>
  <si>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</si>
  <si>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</si>
  <si>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</si>
  <si>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</si>
  <si>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</si>
  <si>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</si>
  <si>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</si>
  <si>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</si>
  <si>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</si>
  <si>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</si>
  <si>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</si>
  <si>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</si>
  <si>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Railway vehicle movement event</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</si>
  <si>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</si>
  <si>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</si>
  <si>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</si>
  <si>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</si>
  <si>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</si>
  <si>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</si>
  <si>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</si>
  <si>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</si>
  <si>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</si>
  <si>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</si>
  <si>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</si>
  <si>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</si>
  <si>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</si>
  <si>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</si>
  <si>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</si>
  <si>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</si>
  <si>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</si>
  <si>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</si>
  <si>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</si>
  <si>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</si>
  <si>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</si>
  <si>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</si>
  <si>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</si>
  <si>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</si>
  <si>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</si>
  <si>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</si>
  <si>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</si>
  <si>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</si>
  <si>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</si>
  <si>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</si>
  <si>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</si>
  <si>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</si>
  <si>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</si>
  <si>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</si>
  <si>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</si>
  <si>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</si>
  <si>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</si>
  <si>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</si>
  <si>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</si>
  <si>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</si>
  <si>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</si>
  <si>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</si>
  <si>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</si>
  <si>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</si>
  <si>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</si>
  <si>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</si>
  <si>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</si>
  <si>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</si>
  <si>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</si>
  <si>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</si>
  <si>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</si>
  <si>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</si>
  <si>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</si>
  <si>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</si>
  <si>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</si>
  <si>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</si>
  <si>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</si>
  <si>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</si>
  <si>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</si>
  <si>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</si>
  <si>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</si>
  <si>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</si>
  <si>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</si>
  <si>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</si>
  <si>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</si>
  <si>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</si>
  <si>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</si>
  <si>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</si>
  <si>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</si>
  <si>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</si>
  <si>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</si>
  <si>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</si>
  <si>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</si>
  <si>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</si>
  <si>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</si>
  <si>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</si>
  <si>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</si>
  <si>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</si>
  <si>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</si>
  <si>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</si>
  <si>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</si>
  <si>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</si>
  <si>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</si>
  <si>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</si>
  <si>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</si>
  <si>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</si>
  <si>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</si>
  <si>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</si>
  <si>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</si>
  <si>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</si>
  <si>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</si>
  <si>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</si>
  <si>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</si>
  <si>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</si>
  <si>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</si>
  <si>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</si>
  <si>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</si>
  <si>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</si>
  <si>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</si>
  <si>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</si>
  <si>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</si>
  <si>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</si>
  <si>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</si>
  <si>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</si>
  <si>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</si>
  <si>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</si>
  <si>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</si>
  <si>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</si>
  <si>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</si>
  <si>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</si>
  <si>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</si>
  <si>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</si>
  <si>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</si>
  <si>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</si>
  <si>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</si>
  <si>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</si>
  <si>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</si>
  <si>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</si>
  <si>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</si>
  <si>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</si>
  <si>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</si>
  <si>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</si>
  <si>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</si>
  <si>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</si>
  <si>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</si>
  <si>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</si>
  <si>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</si>
  <si>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</si>
  <si>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</si>
  <si>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</si>
  <si>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</si>
  <si>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</si>
  <si>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</si>
  <si>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</si>
  <si>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</si>
  <si>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</si>
  <si>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</si>
  <si>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</si>
  <si>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</si>
  <si>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</si>
  <si>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</si>
  <si>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</si>
  <si>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</si>
  <si>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</si>
  <si>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</si>
  <si>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</si>
  <si>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</si>
  <si>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</si>
  <si>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</si>
  <si>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</si>
  <si>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</si>
  <si>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</si>
  <si>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</si>
  <si>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</si>
  <si>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</si>
  <si>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</si>
  <si>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</si>
  <si>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</si>
  <si>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</si>
  <si>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</si>
  <si>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</si>
  <si>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</si>
  <si>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</si>
  <si>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</si>
  <si>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</si>
  <si>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</si>
  <si>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</si>
  <si>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</si>
  <si>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</si>
  <si>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</si>
  <si>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</si>
  <si>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</si>
  <si>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</si>
  <si>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</si>
  <si>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</si>
  <si>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</si>
  <si>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</si>
  <si>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</si>
  <si>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</si>
  <si>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</si>
  <si>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</si>
  <si>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</si>
  <si>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</si>
  <si>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</si>
  <si>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</si>
  <si>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</si>
  <si>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</si>
  <si>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</si>
  <si>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</si>
  <si>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</si>
  <si>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</si>
  <si>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</si>
  <si>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</si>
  <si>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</si>
  <si>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</si>
  <si>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</si>
  <si>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</si>
  <si>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</si>
  <si>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</si>
  <si>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</si>
  <si>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</si>
  <si>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</si>
  <si>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</si>
  <si>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</si>
  <si>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</si>
  <si>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</si>
  <si>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</si>
  <si>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</si>
  <si>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</si>
  <si>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</si>
  <si>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</si>
  <si>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</si>
  <si>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</si>
  <si>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</si>
  <si>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</si>
  <si>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</si>
  <si>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</si>
  <si>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</si>
  <si>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</si>
  <si>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</si>
  <si>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</si>
  <si>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</si>
  <si>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</si>
  <si>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</si>
  <si>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</si>
  <si>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</si>
  <si>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</si>
  <si>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</si>
  <si>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</si>
  <si>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</si>
  <si>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</si>
  <si>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</si>
  <si>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</si>
  <si>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</si>
  <si>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</si>
  <si>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</si>
  <si>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</si>
  <si>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</si>
  <si>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</si>
  <si>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</si>
  <si>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</si>
  <si>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</si>
  <si>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</si>
  <si>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</si>
  <si>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</si>
  <si>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</si>
  <si>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</si>
  <si>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</si>
  <si>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</si>
  <si>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</si>
  <si>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</si>
  <si>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</si>
  <si>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</si>
  <si>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</si>
  <si>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</si>
  <si>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</si>
  <si>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</si>
  <si>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</si>
  <si>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</si>
  <si>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</si>
  <si>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</si>
  <si>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</si>
  <si>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</si>
  <si>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</si>
  <si>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</si>
  <si>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</si>
  <si>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</si>
  <si>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</si>
  <si>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</si>
  <si>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</si>
  <si>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</si>
  <si>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</si>
  <si>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</si>
  <si>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</si>
  <si>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</si>
  <si>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</si>
  <si>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</si>
  <si>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</si>
  <si>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</si>
  <si>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</si>
  <si>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</si>
  <si>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</si>
  <si>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</si>
  <si>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</si>
  <si>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</si>
  <si>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</si>
  <si>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</si>
  <si>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</si>
  <si>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</si>
  <si>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</si>
  <si>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</si>
  <si>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</si>
  <si>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</si>
  <si>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</si>
  <si>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</si>
  <si>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</si>
  <si>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</si>
  <si>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</si>
  <si>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</si>
  <si>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</si>
  <si>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</si>
  <si>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</si>
  <si>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</si>
  <si>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</si>
  <si>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</si>
  <si>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</si>
  <si>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</si>
  <si>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</si>
  <si>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</si>
  <si>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</si>
  <si>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</si>
  <si>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</si>
  <si>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</si>
  <si>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</si>
  <si>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</si>
  <si>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</si>
  <si>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</si>
  <si>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</si>
  <si>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</si>
  <si>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</si>
  <si>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</si>
  <si>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</si>
  <si>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</si>
  <si>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</si>
  <si>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</si>
  <si>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</si>
  <si>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</si>
  <si>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</si>
  <si>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</si>
  <si>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</si>
  <si>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</si>
  <si>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</si>
  <si>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</si>
  <si>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</si>
  <si>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</si>
  <si>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</si>
  <si>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</si>
  <si>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</si>
  <si>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</si>
  <si>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</si>
  <si>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</si>
  <si>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</si>
  <si>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</si>
  <si>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</si>
  <si>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</si>
  <si>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</si>
  <si>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</si>
  <si>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</si>
  <si>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</si>
  <si>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</si>
  <si>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</si>
  <si>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</si>
  <si>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</si>
  <si>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</si>
  <si>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</si>
  <si>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</si>
  <si>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</si>
  <si>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</si>
  <si>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</si>
  <si>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</si>
  <si>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</si>
  <si>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</si>
  <si>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</si>
  <si>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</si>
  <si>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</si>
  <si>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</si>
  <si>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</si>
  <si>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</si>
  <si>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</si>
  <si>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</si>
  <si>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</si>
  <si>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</si>
  <si>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</si>
  <si>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</si>
  <si>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</si>
  <si>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</si>
  <si>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</si>
  <si>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</si>
  <si>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</si>
  <si>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</si>
  <si>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</si>
  <si>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</si>
  <si>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</si>
  <si>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</si>
  <si>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</si>
  <si>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</si>
  <si>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</si>
  <si>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</si>
  <si>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</si>
  <si>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</si>
  <si>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</si>
  <si>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</si>
  <si>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</si>
  <si>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</si>
  <si>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</si>
  <si>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</si>
  <si>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</si>
  <si>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</si>
  <si>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</si>
  <si>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</si>
  <si>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</si>
  <si>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</si>
  <si>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</si>
  <si>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</si>
  <si>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</si>
  <si>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</si>
  <si>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</si>
  <si>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</si>
  <si>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</si>
  <si>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</si>
  <si>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</si>
  <si>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</si>
  <si>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</si>
  <si>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</si>
  <si>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</si>
  <si>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</si>
  <si>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</si>
  <si>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</si>
  <si>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</si>
  <si>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</si>
  <si>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</si>
  <si>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</si>
  <si>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</si>
  <si>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</si>
  <si>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</si>
  <si>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</si>
  <si>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</si>
  <si>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</si>
  <si>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</si>
  <si>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</si>
  <si>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</si>
  <si>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</si>
  <si>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</si>
  <si>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</si>
  <si>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</si>
  <si>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</si>
  <si>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</si>
  <si>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</si>
  <si>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</si>
  <si>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</si>
  <si>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</si>
  <si>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</si>
  <si>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</si>
  <si>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</si>
  <si>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</si>
  <si>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</si>
  <si>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</si>
  <si>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</si>
  <si>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</si>
  <si>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</si>
  <si>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</si>
  <si>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</si>
  <si>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</si>
  <si>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</si>
  <si>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</si>
  <si>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</si>
  <si>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</si>
  <si>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</si>
  <si>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</si>
  <si>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</si>
  <si>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</si>
  <si>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</si>
  <si>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</si>
  <si>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</si>
  <si>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</si>
  <si>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</si>
  <si>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</si>
  <si>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</si>
  <si>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</si>
  <si>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</si>
  <si>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</si>
  <si>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</si>
  <si>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</si>
  <si>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</si>
  <si>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</si>
  <si>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</si>
  <si>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</si>
  <si>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</si>
  <si>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</si>
  <si>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</si>
  <si>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</si>
  <si>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</si>
  <si>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</si>
  <si>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</si>
  <si>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</si>
  <si>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</si>
  <si>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</si>
  <si>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</si>
  <si>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</si>
  <si>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</si>
  <si>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</si>
  <si>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</si>
  <si>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</si>
  <si>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</si>
  <si>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</si>
  <si>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</si>
  <si>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</si>
  <si>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</si>
  <si>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</si>
  <si>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</si>
  <si>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</si>
  <si>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</si>
  <si>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</si>
  <si>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</si>
  <si>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</si>
  <si>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</si>
  <si>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</si>
  <si>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</si>
  <si>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</si>
  <si>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</si>
  <si>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</si>
  <si>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</si>
  <si>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</si>
  <si>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</si>
  <si>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</si>
  <si>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</si>
  <si>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</si>
  <si>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</si>
  <si>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</si>
  <si>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</si>
  <si>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</si>
  <si>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</si>
  <si>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</si>
  <si>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</si>
  <si>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</si>
  <si>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</si>
  <si>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</si>
  <si>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</si>
  <si>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</si>
  <si>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</si>
  <si>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</si>
  <si>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</si>
  <si>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</si>
  <si>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</si>
  <si>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</si>
  <si>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</si>
  <si>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</si>
  <si>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</si>
  <si>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</si>
  <si>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</si>
  <si>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</si>
  <si>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</si>
  <si>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</si>
  <si>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</si>
  <si>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</si>
  <si>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</si>
  <si>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</si>
  <si>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</si>
  <si>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</si>
  <si>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</si>
  <si>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</si>
  <si>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</si>
  <si>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</si>
  <si>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</si>
  <si>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</si>
  <si>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</si>
  <si>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</si>
  <si>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</si>
  <si>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</si>
  <si>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</si>
  <si>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</si>
  <si>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</si>
  <si>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</si>
  <si>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</si>
  <si>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</si>
  <si>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</si>
  <si>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</si>
  <si>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</si>
  <si>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</si>
  <si>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</si>
  <si>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</si>
  <si>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</si>
  <si>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</si>
  <si>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</si>
  <si>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</si>
  <si>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</si>
  <si>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</si>
  <si>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</si>
  <si>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</si>
  <si>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</si>
  <si>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</si>
  <si>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</si>
  <si>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</si>
  <si>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</si>
  <si>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</si>
  <si>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</si>
  <si>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</si>
  <si>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</si>
  <si>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</si>
  <si>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</si>
  <si>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</si>
  <si>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</si>
  <si>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</si>
  <si>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</si>
  <si>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</si>
  <si>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</si>
  <si>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</si>
  <si>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</si>
  <si>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</si>
  <si>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</si>
  <si>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</si>
  <si>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</si>
  <si>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</si>
  <si>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</si>
  <si>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</si>
  <si>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</si>
  <si>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</si>
  <si>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</si>
  <si>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</si>
  <si>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</si>
  <si>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</si>
  <si>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</si>
  <si>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</si>
  <si>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</si>
  <si>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</si>
  <si>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</si>
  <si>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</si>
  <si>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</si>
  <si>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</si>
  <si>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</si>
  <si>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</si>
  <si>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</si>
  <si>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</si>
  <si>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</si>
  <si>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</si>
  <si>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</si>
  <si>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</si>
  <si>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</si>
  <si>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</si>
  <si>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</si>
  <si>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</si>
  <si>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</si>
  <si>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</si>
  <si>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</si>
  <si>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</si>
  <si>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</si>
  <si>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</si>
  <si>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</si>
  <si>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</si>
  <si>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</si>
  <si>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</si>
  <si>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</si>
  <si>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</si>
  <si>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</si>
  <si>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</si>
  <si>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</si>
  <si>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</si>
  <si>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</si>
  <si>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</si>
  <si>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</si>
  <si>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</si>
  <si>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</si>
  <si>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</si>
  <si>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</si>
  <si>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</si>
  <si>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</si>
  <si>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</si>
  <si>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</si>
  <si>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</si>
  <si>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</si>
  <si>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</si>
  <si>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</si>
  <si>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</si>
  <si>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</si>
  <si>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</si>
  <si>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</si>
  <si>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</si>
  <si>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</si>
  <si>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</si>
  <si>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</si>
  <si>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</si>
  <si>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</si>
  <si>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</si>
  <si>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</si>
  <si>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</si>
  <si>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</si>
  <si>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</si>
  <si>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</si>
  <si>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</si>
  <si>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</si>
  <si>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</si>
  <si>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</si>
  <si>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</si>
  <si>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</si>
  <si>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</si>
  <si>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</si>
  <si>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</si>
  <si>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</si>
  <si>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</si>
  <si>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</si>
  <si>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</si>
  <si>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</si>
  <si>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</si>
  <si>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</si>
  <si>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</si>
  <si>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</si>
  <si>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</si>
  <si>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</si>
  <si>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</si>
  <si>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</si>
  <si>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</si>
  <si>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</si>
  <si>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</si>
  <si>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</si>
  <si>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</si>
  <si>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</si>
  <si>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</si>
  <si>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</si>
  <si>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</si>
  <si>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</si>
  <si>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</si>
  <si>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</si>
  <si>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</si>
  <si>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</si>
  <si>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</si>
  <si>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</si>
  <si>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</si>
  <si>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</si>
  <si>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</si>
  <si>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</si>
  <si>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</si>
  <si>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</si>
  <si>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</si>
  <si>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</si>
  <si>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</si>
  <si>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</si>
  <si>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</si>
  <si>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</si>
  <si>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</si>
  <si>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</si>
  <si>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</si>
  <si>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</si>
  <si>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</si>
  <si>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</si>
  <si>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</si>
  <si>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</si>
  <si>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</si>
  <si>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</si>
  <si>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</si>
  <si>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</si>
  <si>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</si>
  <si>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</si>
  <si>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</si>
  <si>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</si>
  <si>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</si>
  <si>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</si>
  <si>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</si>
  <si>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</si>
  <si>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</si>
  <si>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</si>
  <si>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</si>
  <si>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</si>
  <si>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</si>
  <si>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</si>
  <si>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</si>
  <si>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</si>
  <si>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</si>
  <si>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</si>
  <si>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</si>
  <si>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</si>
  <si>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</si>
  <si>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</si>
  <si>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</si>
  <si>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</si>
  <si>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</si>
  <si>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</si>
  <si>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</si>
  <si>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</si>
  <si>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</si>
  <si>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</si>
  <si>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</si>
  <si>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</si>
  <si>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</si>
  <si>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</si>
  <si>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</si>
  <si>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</si>
  <si>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</si>
  <si>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</si>
  <si>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</si>
  <si>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</si>
  <si>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</si>
  <si>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</si>
  <si>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</si>
  <si>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</si>
  <si>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</si>
  <si>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</si>
  <si>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</si>
  <si>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</si>
  <si>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</si>
  <si>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</si>
  <si>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</si>
  <si>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</si>
  <si>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</si>
  <si>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</si>
  <si>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</si>
  <si>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</si>
  <si>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</si>
  <si>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</si>
  <si>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</si>
  <si>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</si>
  <si>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</si>
  <si>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</si>
  <si>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</si>
  <si>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</si>
  <si>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</si>
  <si>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</si>
  <si>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</si>
  <si>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</si>
  <si>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</si>
  <si>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</si>
  <si>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</si>
  <si>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</si>
  <si>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</si>
  <si>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</si>
  <si>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</si>
  <si>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</si>
  <si>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</si>
  <si>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</si>
  <si>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</si>
  <si>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</si>
  <si>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</si>
  <si>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</si>
  <si>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</si>
  <si>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</si>
  <si>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</si>
  <si>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</si>
  <si>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</si>
  <si>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</si>
  <si>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</si>
  <si>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</si>
  <si>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</si>
  <si>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</si>
  <si>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</si>
  <si>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</si>
  <si>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</si>
  <si>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</si>
  <si>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</si>
  <si>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</si>
  <si>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</si>
  <si>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</si>
  <si>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</si>
  <si>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</si>
  <si>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</si>
  <si>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</si>
  <si>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</si>
  <si>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</si>
  <si>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</si>
  <si>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</si>
  <si>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</si>
  <si>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</si>
  <si>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</si>
  <si>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</si>
  <si>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</si>
  <si>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</si>
  <si>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</si>
  <si>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</si>
  <si>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</si>
  <si>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</si>
  <si>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</si>
  <si>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</si>
  <si>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</si>
  <si>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</si>
  <si>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</si>
  <si>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</si>
  <si>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</si>
  <si>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</si>
  <si>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</si>
  <si>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</si>
  <si>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</si>
  <si>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</si>
  <si>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</si>
  <si>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</si>
  <si>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</si>
  <si>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</si>
  <si>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</si>
  <si>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</si>
  <si>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</si>
  <si>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</si>
  <si>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</si>
  <si>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</si>
  <si>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</si>
  <si>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</si>
  <si>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</si>
  <si>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</si>
  <si>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</si>
  <si>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</si>
  <si>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</si>
  <si>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</si>
  <si>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</si>
  <si>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</si>
  <si>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</si>
  <si>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</si>
  <si>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</si>
  <si>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</si>
  <si>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</si>
  <si>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</si>
  <si>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</si>
  <si>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</si>
  <si>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</si>
  <si>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</si>
  <si>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</si>
  <si>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</si>
  <si>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</si>
  <si>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</si>
  <si>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</si>
  <si>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</si>
  <si>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</si>
  <si>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</si>
  <si>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</si>
  <si>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</si>
  <si>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</si>
  <si>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</si>
  <si>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</si>
  <si>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</si>
  <si>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</si>
  <si>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</si>
  <si>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</si>
  <si>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</si>
  <si>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</si>
  <si>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</si>
  <si>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</si>
  <si>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</si>
  <si>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</si>
  <si>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</si>
  <si>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</si>
  <si>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</si>
  <si>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</si>
  <si>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</si>
  <si>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</si>
  <si>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</si>
  <si>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</si>
  <si>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</si>
  <si>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</si>
  <si>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</si>
  <si>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</si>
  <si>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</si>
  <si>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</si>
  <si>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</si>
  <si>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</si>
  <si>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</si>
  <si>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</si>
  <si>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</si>
  <si>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</si>
  <si>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</si>
  <si>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</si>
  <si>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</si>
  <si>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</si>
  <si>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</si>
  <si>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</si>
  <si>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</si>
  <si>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</si>
  <si>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</si>
  <si>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</si>
  <si>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</si>
  <si>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</si>
  <si>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</si>
  <si>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</si>
  <si>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</si>
  <si>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</si>
  <si>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</si>
  <si>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</si>
  <si>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</si>
  <si>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</si>
  <si>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</si>
  <si>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</si>
  <si>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</si>
  <si>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</si>
  <si>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</si>
  <si>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</si>
  <si>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</si>
  <si>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</si>
  <si>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</si>
  <si>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</si>
  <si>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</si>
  <si>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</si>
  <si>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</si>
  <si>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</si>
  <si>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</si>
  <si>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</si>
  <si>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</si>
  <si>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</si>
  <si>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</si>
  <si>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</si>
  <si>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</si>
  <si>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</si>
  <si>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</si>
  <si>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</si>
  <si>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</si>
  <si>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</si>
  <si>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</si>
  <si>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</si>
  <si>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</si>
  <si>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</si>
  <si>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</si>
  <si>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</si>
  <si>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</si>
  <si>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</si>
  <si>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</si>
  <si>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</si>
  <si>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</si>
  <si>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</si>
  <si>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</si>
  <si>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</si>
  <si>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</si>
  <si>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</si>
  <si>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</si>
  <si>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</si>
  <si>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</si>
  <si>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</si>
  <si>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</si>
  <si>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</si>
  <si>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</si>
  <si>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</si>
  <si>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</si>
  <si>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</si>
  <si>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</si>
  <si>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</si>
  <si>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</si>
  <si>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</si>
  <si>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</si>
  <si>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</si>
  <si>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</si>
  <si>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</si>
  <si>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</si>
  <si>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</si>
  <si>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</si>
  <si>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</si>
  <si>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</si>
  <si>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</si>
  <si>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</si>
  <si>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</si>
  <si>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</si>
  <si>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</si>
  <si>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</si>
  <si>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</si>
  <si>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</si>
  <si>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</si>
  <si>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</si>
  <si>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</si>
  <si>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</si>
  <si>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</si>
  <si>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</si>
  <si>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</si>
  <si>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</si>
  <si>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</si>
  <si>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</si>
  <si>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</si>
  <si>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</si>
  <si>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</si>
  <si>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</si>
  <si>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</si>
  <si>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</si>
  <si>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</si>
  <si>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</si>
  <si>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</si>
  <si>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</si>
  <si>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</si>
  <si>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</si>
  <si>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</si>
  <si>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</si>
  <si>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</si>
  <si>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</si>
  <si>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</si>
  <si>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</si>
  <si>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</si>
  <si>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</si>
  <si>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</si>
  <si>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</si>
  <si>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</si>
  <si>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</si>
  <si>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</si>
  <si>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</si>
  <si>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</si>
  <si>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</si>
  <si>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</si>
  <si>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</si>
  <si>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</si>
  <si>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</si>
  <si>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</si>
  <si>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</si>
  <si>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</si>
  <si>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</si>
  <si>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</si>
  <si>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</si>
  <si>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</si>
  <si>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</si>
  <si>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</si>
  <si>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</si>
  <si>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</si>
  <si>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</si>
  <si>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</si>
  <si>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</si>
  <si>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</si>
  <si>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</si>
  <si>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</si>
  <si>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</si>
  <si>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</si>
  <si>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</si>
  <si>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</si>
  <si>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</si>
  <si>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</si>
  <si>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</si>
  <si>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</si>
  <si>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</si>
  <si>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</si>
  <si>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</si>
  <si>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</si>
  <si>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</si>
  <si>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</si>
  <si>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</si>
  <si>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</si>
  <si>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</si>
  <si>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</si>
  <si>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</si>
  <si>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</si>
  <si>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</si>
  <si>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</si>
  <si>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</si>
  <si>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</si>
  <si>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</si>
  <si>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</si>
  <si>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</si>
  <si>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</si>
  <si>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</si>
  <si>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</si>
  <si>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</si>
  <si>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</si>
  <si>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</si>
  <si>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</si>
  <si>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</si>
  <si>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</si>
  <si>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</si>
  <si>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</si>
  <si>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</si>
  <si>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</si>
  <si>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</si>
  <si>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</si>
  <si>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</si>
  <si>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</si>
  <si>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</si>
  <si>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</si>
  <si>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</si>
  <si>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</si>
  <si>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</si>
  <si>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</si>
  <si>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</si>
  <si>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</si>
  <si>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</si>
  <si>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</si>
  <si>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</si>
  <si>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</si>
  <si>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</si>
  <si>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</si>
  <si>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</si>
  <si>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</si>
  <si>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</si>
  <si>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</si>
  <si>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</si>
  <si>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</si>
  <si>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</si>
  <si>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</si>
  <si>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</si>
  <si>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</si>
  <si>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</si>
  <si>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</si>
  <si>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</si>
  <si>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</si>
  <si>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</si>
  <si>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</si>
  <si>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</si>
  <si>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</si>
  <si>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</si>
  <si>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</si>
  <si>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</si>
  <si>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</si>
  <si>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</si>
  <si>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</si>
  <si>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</si>
  <si>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</si>
  <si>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</si>
  <si>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</si>
  <si>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</si>
  <si>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</si>
  <si>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</si>
  <si>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</si>
  <si>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</si>
  <si>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</si>
  <si>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</si>
  <si>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</si>
  <si>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</si>
  <si>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</si>
  <si>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</si>
  <si>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</si>
  <si>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</si>
  <si>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</si>
  <si>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</si>
  <si>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</si>
  <si>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</si>
  <si>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</si>
  <si>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</si>
  <si>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</si>
  <si>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</si>
  <si>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</si>
  <si>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</si>
  <si>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</si>
  <si>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</si>
  <si>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</si>
  <si>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</si>
  <si>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</si>
  <si>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</si>
  <si>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</si>
  <si>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</si>
  <si>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</si>
  <si>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</si>
  <si>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</si>
  <si>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</si>
  <si>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</si>
  <si>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</si>
  <si>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</si>
  <si>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</si>
  <si>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</si>
  <si>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</si>
  <si>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</si>
  <si>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</si>
  <si>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</si>
  <si>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</si>
  <si>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</si>
  <si>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</si>
  <si>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</si>
  <si>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</si>
  <si>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</si>
  <si>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</si>
  <si>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</si>
  <si>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</si>
  <si>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</si>
  <si>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</si>
  <si>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</si>
  <si>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</si>
  <si>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</si>
  <si>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</si>
  <si>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</si>
  <si>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</si>
  <si>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</si>
  <si>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</si>
  <si>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</si>
  <si>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</si>
  <si>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</si>
  <si>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</si>
  <si>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</si>
  <si>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</si>
  <si>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</si>
  <si>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</si>
  <si>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</si>
  <si>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</si>
  <si>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</si>
  <si>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</si>
  <si>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</si>
  <si>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</si>
  <si>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</si>
  <si>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</si>
  <si>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</si>
  <si>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</si>
  <si>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</si>
  <si>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</si>
  <si>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</si>
  <si>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</si>
  <si>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</si>
  <si>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</si>
  <si>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</si>
  <si>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</si>
  <si>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</si>
  <si>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</si>
  <si>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</si>
  <si>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</si>
  <si>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</si>
  <si>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</si>
  <si>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</si>
  <si>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</si>
  <si>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</si>
  <si>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</si>
  <si>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</si>
  <si>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</si>
  <si>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</si>
  <si>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</si>
  <si>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</si>
  <si>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</si>
  <si>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</si>
  <si>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</si>
  <si>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</si>
  <si>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</si>
  <si>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</si>
  <si>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</si>
  <si>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</si>
  <si>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</si>
  <si>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</si>
  <si>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</si>
  <si>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</si>
  <si>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</si>
  <si>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</si>
  <si>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</si>
  <si>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</si>
  <si>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</si>
  <si>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</si>
  <si>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</si>
  <si>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</si>
  <si>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</si>
  <si>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</si>
  <si>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</si>
  <si>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</si>
  <si>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</si>
  <si>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</si>
  <si>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</si>
  <si>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</si>
  <si>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</si>
  <si>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</si>
  <si>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</si>
  <si>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</si>
  <si>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</si>
  <si>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</si>
  <si>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</si>
  <si>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</si>
  <si>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</si>
  <si>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</si>
  <si>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</si>
  <si>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</si>
  <si>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</si>
  <si>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</si>
  <si>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</si>
  <si>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</si>
  <si>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</si>
  <si>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</si>
  <si>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</si>
  <si>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</si>
  <si>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</si>
  <si>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</si>
  <si>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</si>
  <si>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</si>
  <si>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</si>
  <si>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</si>
  <si>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</si>
  <si>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</si>
  <si>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</si>
  <si>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</si>
  <si>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</si>
  <si>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</si>
  <si>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</si>
  <si>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</si>
  <si>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</si>
  <si>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</si>
  <si>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</si>
  <si>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</si>
  <si>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</si>
  <si>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</si>
  <si>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</si>
  <si>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</si>
  <si>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</si>
  <si>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</si>
  <si>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</si>
  <si>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</si>
  <si>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</si>
  <si>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</si>
  <si>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</si>
  <si>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</si>
  <si>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</si>
  <si>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</si>
  <si>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</si>
  <si>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</si>
  <si>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</si>
  <si>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</si>
  <si>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</si>
  <si>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</si>
  <si>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</si>
  <si>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</si>
  <si>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</si>
  <si>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</si>
  <si>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</si>
  <si>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</si>
  <si>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</si>
  <si>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</si>
  <si>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</si>
  <si>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</si>
  <si>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</si>
  <si>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</si>
  <si>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</si>
  <si>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</si>
  <si>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</si>
  <si>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</si>
  <si>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</si>
  <si>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</si>
  <si>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</si>
  <si>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</si>
  <si>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</si>
  <si>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</si>
  <si>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</si>
  <si>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</si>
  <si>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</si>
  <si>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</si>
  <si>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</si>
  <si>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</si>
  <si>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</si>
  <si>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</si>
  <si>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</si>
  <si>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</si>
  <si>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</si>
  <si>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</si>
  <si>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</si>
  <si>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</si>
  <si>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</si>
  <si>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</si>
  <si>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</si>
  <si>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</si>
  <si>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</si>
  <si>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</si>
  <si>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</si>
  <si>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</si>
  <si>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</si>
  <si>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</si>
  <si>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</si>
  <si>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</si>
  <si>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</si>
  <si>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</si>
  <si>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</si>
  <si>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</si>
  <si>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</si>
  <si>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</si>
  <si>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</si>
  <si>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</si>
  <si>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</si>
  <si>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</si>
  <si>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</si>
  <si>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</si>
  <si>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</si>
  <si>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</si>
  <si>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</si>
  <si>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</si>
  <si>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</si>
  <si>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</si>
  <si>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</si>
  <si>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</si>
  <si>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</si>
  <si>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</si>
  <si>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</si>
  <si>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</si>
  <si>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</si>
  <si>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</si>
  <si>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</si>
  <si>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</si>
  <si>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</si>
  <si>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</si>
  <si>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</si>
  <si>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</si>
  <si>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</si>
  <si>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</si>
  <si>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</si>
  <si>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</si>
  <si>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</si>
  <si>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</si>
  <si>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</si>
  <si>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</si>
  <si>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</si>
  <si>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</si>
  <si>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</si>
  <si>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</si>
  <si>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</si>
  <si>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</si>
  <si>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</si>
  <si>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</si>
  <si>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</si>
  <si>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</si>
  <si>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</si>
  <si>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</si>
  <si>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</si>
  <si>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</si>
  <si>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</si>
  <si>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</si>
  <si>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</si>
  <si>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</si>
  <si>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</si>
  <si>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</si>
  <si>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</si>
  <si>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</si>
  <si>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</si>
  <si>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</si>
  <si>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</si>
  <si>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</si>
  <si>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</si>
  <si>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</si>
  <si>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</si>
  <si>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</si>
  <si>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</si>
  <si>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</si>
  <si>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</si>
  <si>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</si>
  <si>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</si>
  <si>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</si>
  <si>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</si>
  <si>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</si>
  <si>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</si>
  <si>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</si>
  <si>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</si>
  <si>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</si>
  <si>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</si>
  <si>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</si>
  <si>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</si>
  <si>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</si>
  <si>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</si>
  <si>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</si>
  <si>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</si>
  <si>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</si>
  <si>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</si>
  <si>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</si>
  <si>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</si>
  <si>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</si>
  <si>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</si>
  <si>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</si>
  <si>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</si>
  <si>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</si>
  <si>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</si>
  <si>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</si>
  <si>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</si>
  <si>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</si>
  <si>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</si>
  <si>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</si>
  <si>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</si>
  <si>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</si>
  <si>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</si>
  <si>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</si>
  <si>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</si>
  <si>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</si>
  <si>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</si>
  <si>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</si>
  <si>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</si>
  <si>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</si>
  <si>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</si>
  <si>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</si>
  <si>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</si>
  <si>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</si>
  <si>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</si>
  <si>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</si>
  <si>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</si>
  <si>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</si>
  <si>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</si>
  <si>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</si>
  <si>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</si>
  <si>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</si>
  <si>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</si>
  <si>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</si>
  <si>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</si>
  <si>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</si>
  <si>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</si>
  <si>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</si>
  <si>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</si>
  <si>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</si>
  <si>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</si>
  <si>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</si>
  <si>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</si>
  <si>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</si>
  <si>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</si>
  <si>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</si>
  <si>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</si>
  <si>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</si>
  <si>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</si>
  <si>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</si>
  <si>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</si>
  <si>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</si>
  <si>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</si>
  <si>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</si>
  <si>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</si>
  <si>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</si>
  <si>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</si>
  <si>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</si>
  <si>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</si>
  <si>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</si>
  <si>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</si>
  <si>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</si>
  <si>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</si>
  <si>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</si>
  <si>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</si>
  <si>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</si>
  <si>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</si>
  <si>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</si>
  <si>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</si>
  <si>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</si>
  <si>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</si>
  <si>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</si>
  <si>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</si>
  <si>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</si>
  <si>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</si>
  <si>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</si>
  <si>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</si>
  <si>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</si>
  <si>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</si>
  <si>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</si>
  <si>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</si>
  <si>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</si>
  <si>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</si>
  <si>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</si>
  <si>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</si>
  <si>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</si>
  <si>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</si>
  <si>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</si>
  <si>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</si>
  <si>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</si>
  <si>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</si>
  <si>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</si>
  <si>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</si>
  <si>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</si>
  <si>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</si>
  <si>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</si>
  <si>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</si>
  <si>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</si>
  <si>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</si>
  <si>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</si>
  <si>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</si>
  <si>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</si>
  <si>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</si>
  <si>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</si>
  <si>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</si>
  <si>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</si>
  <si>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</si>
  <si>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</si>
  <si>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</si>
  <si>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</si>
  <si>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</si>
  <si>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</si>
  <si>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</si>
  <si>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</si>
  <si>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</si>
  <si>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</si>
  <si>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</si>
  <si>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</si>
  <si>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</si>
  <si>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</si>
  <si>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</si>
  <si>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</si>
  <si>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</si>
  <si>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</si>
  <si>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</si>
  <si>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</si>
  <si>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</si>
  <si>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</si>
  <si>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</si>
  <si>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</si>
  <si>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</si>
  <si>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</si>
  <si>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</si>
  <si>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</si>
  <si>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</si>
  <si>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</si>
  <si>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</si>
  <si>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</si>
  <si>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</si>
  <si>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</si>
  <si>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</si>
  <si>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</si>
  <si>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</si>
  <si>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</si>
  <si>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</si>
  <si>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</si>
  <si>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</si>
  <si>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</si>
  <si>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</si>
  <si>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</si>
  <si>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</si>
  <si>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</si>
  <si>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</si>
  <si>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</si>
  <si>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</si>
  <si>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</si>
  <si>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</si>
  <si>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</si>
  <si>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</si>
  <si>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</si>
  <si>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</si>
  <si>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</si>
  <si>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</si>
  <si>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</si>
  <si>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</si>
  <si>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</si>
  <si>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</si>
  <si>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</si>
  <si>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</si>
  <si>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</si>
  <si>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</si>
  <si>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</si>
  <si>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</si>
  <si>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</si>
  <si>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</si>
  <si>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</si>
  <si>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</si>
  <si>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</si>
  <si>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</si>
  <si>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</si>
  <si>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</si>
  <si>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</si>
  <si>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</si>
  <si>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</si>
  <si>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</si>
  <si>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</si>
  <si>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</si>
  <si>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</si>
  <si>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</si>
  <si>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</si>
  <si>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</si>
  <si>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</si>
  <si>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</si>
  <si>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</si>
  <si>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</si>
  <si>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</si>
  <si>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</si>
  <si>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</si>
  <si>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</si>
  <si>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</si>
  <si>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</si>
  <si>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</si>
  <si>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</si>
  <si>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</si>
  <si>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</si>
  <si>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</si>
  <si>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</si>
  <si>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</si>
  <si>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</si>
  <si>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</si>
  <si>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</si>
  <si>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</si>
  <si>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</si>
  <si>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</si>
  <si>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</si>
  <si>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</si>
  <si>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</si>
  <si>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</si>
  <si>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</si>
  <si>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</si>
  <si>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</si>
  <si>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</si>
  <si>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</si>
  <si>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</si>
  <si>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</si>
  <si>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</si>
  <si>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</si>
  <si>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</si>
  <si>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</si>
  <si>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</si>
  <si>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</si>
  <si>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</si>
  <si>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</si>
  <si>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</si>
  <si>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</si>
  <si>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</si>
  <si>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</si>
  <si>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</si>
  <si>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</si>
  <si>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</si>
  <si>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</si>
  <si>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</si>
  <si>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</si>
  <si>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</si>
  <si>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</si>
  <si>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</si>
  <si>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</si>
  <si>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</si>
  <si>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</si>
  <si>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</si>
  <si>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</si>
  <si>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</si>
  <si>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</si>
  <si>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</si>
  <si>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</si>
  <si>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</si>
  <si>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</si>
  <si>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</si>
  <si>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</si>
  <si>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</si>
  <si>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</si>
  <si>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</si>
  <si>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</si>
  <si>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</si>
  <si>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</si>
  <si>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</si>
  <si>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</si>
  <si>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</si>
  <si>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</si>
  <si>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</si>
  <si>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</si>
  <si>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</si>
  <si>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</si>
  <si>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</si>
  <si>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</si>
  <si>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</si>
  <si>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</si>
  <si>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</si>
  <si>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</si>
  <si>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</si>
  <si>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</si>
  <si>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</si>
  <si>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</si>
  <si>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</si>
  <si>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</si>
  <si>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</si>
  <si>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</si>
  <si>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</si>
  <si>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</si>
  <si>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</si>
  <si>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</si>
  <si>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</si>
  <si>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</si>
  <si>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</si>
  <si>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</si>
  <si>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</si>
  <si>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</si>
  <si>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</si>
  <si>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</si>
  <si>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</si>
  <si>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</si>
  <si>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</si>
  <si>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</si>
  <si>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</si>
  <si>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</si>
  <si>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</si>
  <si>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</si>
  <si>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</si>
  <si>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</si>
  <si>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</si>
  <si>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</si>
  <si>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</si>
  <si>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</si>
  <si>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</si>
  <si>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</si>
  <si>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</si>
  <si>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</si>
  <si>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</si>
  <si>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</si>
  <si>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</si>
  <si>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</si>
  <si>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</si>
  <si>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</si>
  <si>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</si>
  <si>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</si>
  <si>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</si>
  <si>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</si>
  <si>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</si>
  <si>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</si>
  <si>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</si>
  <si>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</si>
  <si>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</si>
  <si>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</si>
  <si>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</si>
  <si>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</si>
  <si>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</si>
  <si>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</si>
  <si>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</si>
  <si>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</si>
  <si>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</si>
  <si>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</si>
  <si>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</si>
  <si>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</si>
  <si>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</si>
  <si>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</si>
  <si>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</si>
  <si>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</si>
  <si>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</si>
  <si>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</si>
  <si>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</si>
  <si>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</si>
  <si>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</si>
  <si>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</si>
  <si>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</si>
  <si>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</si>
  <si>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</si>
  <si>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</si>
  <si>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</si>
  <si>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</si>
  <si>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</si>
  <si>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</si>
  <si>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</si>
  <si>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</si>
  <si>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</si>
  <si>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</si>
  <si>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</si>
  <si>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</si>
  <si>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</si>
  <si>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</si>
  <si>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</si>
  <si>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</si>
  <si>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</si>
  <si>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</si>
  <si>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</si>
  <si>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</si>
  <si>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</si>
  <si>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</si>
  <si>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</si>
  <si>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</si>
  <si>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</si>
  <si>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</si>
  <si>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</si>
  <si>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</si>
  <si>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</si>
  <si>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</si>
  <si>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</si>
  <si>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</si>
  <si>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</si>
  <si>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</si>
  <si>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</si>
  <si>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</si>
  <si>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</si>
  <si>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</si>
  <si>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</si>
  <si>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</si>
  <si>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</si>
  <si>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</si>
  <si>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</si>
  <si>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</si>
  <si>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</si>
  <si>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</si>
  <si>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</si>
  <si>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</si>
  <si>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</si>
  <si>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</si>
  <si>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</si>
  <si>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</si>
  <si>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</si>
  <si>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</si>
  <si>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</si>
  <si>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</si>
  <si>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</si>
  <si>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</si>
  <si>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</si>
  <si>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</si>
  <si>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</si>
  <si>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</si>
  <si>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</si>
  <si>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</si>
  <si>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</si>
  <si>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</si>
  <si>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</si>
  <si>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</si>
  <si>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</si>
  <si>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</si>
  <si>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</si>
  <si>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</si>
  <si>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</si>
  <si>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</si>
  <si>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</si>
  <si>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</si>
  <si>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</si>
  <si>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</si>
  <si>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</si>
  <si>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</si>
  <si>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</si>
  <si>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</si>
  <si>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</si>
  <si>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</si>
  <si>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</si>
  <si>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</si>
  <si>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</si>
  <si>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</si>
  <si>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</si>
  <si>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</si>
  <si>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</si>
  <si>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</si>
  <si>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</si>
  <si>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</si>
  <si>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</si>
  <si>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</si>
  <si>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</si>
  <si>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</si>
  <si>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</si>
  <si>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</si>
  <si>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</si>
  <si>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</si>
  <si>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</si>
  <si>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</si>
  <si>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</si>
  <si>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</si>
  <si>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</si>
  <si>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</si>
  <si>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</si>
  <si>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</si>
  <si>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</si>
  <si>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</si>
  <si>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</si>
  <si>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</si>
  <si>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</si>
  <si>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</si>
  <si>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</si>
  <si>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</si>
  <si>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</si>
  <si>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</si>
  <si>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</si>
  <si>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</si>
  <si>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</si>
  <si>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</si>
  <si>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</si>
  <si>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</si>
  <si>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</si>
  <si>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</si>
  <si>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</si>
  <si>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</si>
  <si>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</si>
  <si>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</si>
  <si>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</si>
  <si>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</si>
  <si>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</si>
  <si>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</si>
  <si>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</si>
  <si>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</si>
  <si>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</si>
  <si>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</si>
  <si>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</si>
  <si>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</si>
  <si>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</si>
  <si>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</si>
  <si>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</si>
  <si>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</si>
  <si>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</si>
  <si>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</si>
  <si>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</si>
  <si>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</si>
  <si>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</si>
  <si>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</si>
  <si>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</si>
  <si>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</si>
  <si>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</si>
  <si>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</si>
  <si>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</si>
  <si>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</si>
  <si>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</si>
  <si>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</si>
  <si>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</si>
  <si>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</si>
  <si>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</si>
  <si>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</si>
  <si>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</si>
  <si>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</si>
  <si>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</si>
  <si>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</si>
  <si>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</si>
  <si>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</si>
  <si>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</si>
  <si>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</si>
  <si>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</si>
  <si>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</si>
  <si>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</si>
  <si>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</si>
  <si>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</si>
  <si>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</si>
  <si>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</si>
  <si>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</si>
  <si>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</si>
  <si>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</si>
  <si>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</si>
  <si>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</si>
  <si>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</si>
  <si>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</si>
  <si>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</si>
  <si>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</si>
  <si>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</si>
  <si>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</si>
  <si>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</si>
  <si>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</si>
  <si>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</si>
  <si>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</si>
  <si>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</si>
  <si>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</si>
  <si>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</si>
  <si>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</si>
  <si>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</si>
  <si>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</si>
  <si>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</si>
  <si>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</si>
  <si>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</si>
  <si>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</si>
  <si>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</si>
  <si>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</si>
  <si>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</si>
  <si>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</si>
  <si>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</si>
  <si>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</si>
  <si>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</si>
  <si>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</si>
  <si>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</si>
  <si>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</si>
  <si>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</si>
  <si>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</si>
  <si>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</si>
  <si>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</si>
  <si>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</si>
  <si>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</si>
  <si>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</si>
  <si>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</si>
  <si>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</si>
  <si>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</si>
  <si>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</si>
  <si>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</si>
  <si>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</si>
  <si>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</si>
  <si>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</si>
  <si>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</si>
  <si>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</si>
  <si>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</si>
  <si>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</si>
  <si>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</si>
  <si>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</si>
  <si>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</si>
  <si>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</si>
  <si>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</si>
  <si>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</si>
  <si>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</si>
  <si>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</si>
  <si>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</si>
  <si>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</si>
  <si>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</si>
  <si>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</si>
  <si>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</si>
  <si>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</si>
  <si>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</si>
  <si>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</si>
  <si>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</si>
  <si>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</si>
  <si>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</si>
  <si>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</si>
  <si>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</si>
  <si>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</si>
  <si>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</si>
  <si>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</si>
  <si>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</si>
  <si>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</si>
  <si>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</si>
  <si>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</si>
  <si>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</si>
  <si>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</si>
  <si>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</si>
  <si>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</si>
  <si>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</si>
  <si>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</si>
  <si>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</si>
  <si>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</si>
  <si>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</si>
  <si>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</si>
  <si>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</si>
  <si>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</si>
  <si>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</si>
  <si>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</si>
  <si>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</si>
  <si>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</si>
  <si>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</si>
  <si>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</si>
  <si>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</si>
  <si>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</si>
  <si>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</si>
  <si>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</si>
  <si>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</si>
  <si>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</si>
  <si>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</si>
  <si>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</si>
  <si>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</si>
  <si>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</si>
  <si>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</si>
  <si>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</si>
  <si>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</si>
  <si>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</si>
  <si>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</si>
  <si>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</si>
  <si>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</si>
  <si>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</si>
  <si>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</si>
  <si>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</si>
  <si>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</si>
  <si>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</si>
  <si>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</si>
  <si>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</si>
  <si>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</si>
  <si>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</si>
  <si>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</si>
  <si>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</si>
  <si>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</si>
  <si>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</si>
  <si>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</si>
  <si>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</si>
  <si>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</si>
  <si>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</si>
  <si>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</si>
  <si>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</si>
  <si>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</si>
  <si>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</si>
  <si>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</si>
  <si>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</si>
  <si>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</si>
  <si>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</si>
  <si>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</si>
  <si>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</si>
  <si>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</si>
  <si>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</si>
  <si>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</si>
  <si>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</si>
  <si>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</si>
  <si>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</si>
  <si>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</si>
  <si>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</si>
  <si>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</si>
  <si>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</si>
  <si>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</si>
  <si>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</si>
  <si>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</si>
  <si>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</si>
  <si>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</si>
  <si>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</si>
  <si>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</si>
  <si>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</si>
  <si>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</si>
  <si>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</si>
  <si>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</si>
  <si>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</si>
  <si>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</si>
  <si>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</si>
  <si>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</si>
  <si>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</si>
  <si>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</si>
  <si>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</si>
  <si>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</si>
  <si>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</si>
  <si>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</si>
  <si>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</si>
  <si>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</si>
  <si>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</si>
  <si>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</si>
  <si>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</si>
  <si>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</si>
  <si>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</si>
  <si>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</si>
  <si>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</si>
  <si>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</si>
  <si>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</si>
  <si>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</si>
  <si>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</si>
  <si>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</si>
  <si>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</si>
  <si>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</si>
  <si>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</si>
  <si>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</si>
  <si>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</si>
  <si>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</si>
  <si>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</si>
  <si>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</si>
  <si>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</si>
  <si>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</si>
  <si>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</si>
  <si>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</si>
  <si>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</si>
  <si>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</si>
  <si>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</si>
  <si>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</si>
  <si>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</si>
  <si>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</si>
  <si>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</si>
  <si>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</si>
  <si>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</si>
  <si>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</si>
  <si>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</si>
  <si>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</si>
  <si>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</si>
  <si>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</si>
  <si>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</si>
  <si>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</si>
  <si>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</si>
  <si>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</si>
  <si>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</si>
  <si>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</si>
  <si>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</si>
  <si>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</si>
  <si>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</si>
  <si>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</si>
  <si>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</si>
  <si>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</si>
  <si>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</si>
  <si>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</si>
  <si>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</si>
  <si>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</si>
  <si>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</si>
  <si>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</si>
  <si>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</si>
  <si>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</si>
  <si>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</si>
  <si>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</si>
  <si>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</si>
  <si>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</si>
  <si>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</si>
  <si>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</si>
  <si>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</si>
  <si>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</si>
  <si>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</si>
  <si>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</si>
  <si>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</si>
  <si>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</si>
  <si>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</si>
  <si>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</si>
  <si>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</si>
  <si>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</si>
  <si>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</si>
  <si>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</si>
  <si>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</si>
  <si>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</si>
  <si>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</si>
  <si>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</si>
  <si>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</si>
  <si>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</si>
  <si>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</si>
  <si>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</si>
  <si>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</si>
  <si>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</si>
  <si>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</si>
  <si>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</si>
  <si>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</si>
  <si>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</si>
  <si>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</si>
  <si>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</si>
  <si>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</si>
  <si>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</si>
  <si>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</si>
  <si>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</si>
  <si>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</si>
  <si>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</si>
  <si>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</si>
  <si>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</si>
  <si>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</si>
  <si>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</si>
  <si>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</si>
  <si>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</si>
  <si>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</si>
  <si>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</si>
  <si>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</si>
  <si>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</si>
  <si>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</si>
  <si>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</si>
  <si>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</si>
  <si>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</si>
  <si>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</si>
  <si>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</si>
  <si>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</si>
  <si>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</si>
  <si>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</si>
  <si>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</si>
  <si>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</si>
  <si>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</si>
  <si>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</si>
  <si>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</si>
  <si>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</si>
  <si>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</si>
  <si>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</si>
  <si>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</si>
  <si>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</si>
  <si>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</si>
  <si>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</si>
  <si>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</si>
  <si>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</si>
  <si>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</si>
  <si>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</si>
  <si>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</si>
  <si>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</si>
  <si>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</si>
  <si>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</si>
  <si>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</si>
  <si>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</si>
  <si>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</si>
  <si>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</si>
  <si>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</si>
  <si>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</si>
  <si>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</si>
  <si>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</si>
  <si>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</si>
  <si>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</si>
  <si>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</si>
  <si>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</si>
  <si>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</si>
  <si>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</si>
  <si>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</si>
  <si>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</si>
  <si>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</si>
  <si>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</si>
  <si>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</si>
  <si>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</si>
  <si>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</si>
  <si>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</si>
  <si>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</si>
  <si>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</si>
  <si>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</si>
  <si>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</si>
  <si>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</si>
  <si>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</si>
  <si>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</si>
  <si>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</si>
  <si>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</si>
  <si>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</si>
  <si>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</si>
  <si>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</si>
  <si>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</si>
  <si>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</si>
  <si>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</si>
  <si>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</si>
  <si>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</si>
  <si>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</si>
  <si>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</si>
  <si>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</si>
  <si>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</si>
  <si>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</si>
  <si>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</si>
  <si>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</si>
  <si>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</si>
  <si>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</si>
  <si>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</si>
  <si>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</si>
  <si>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</si>
  <si>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</si>
  <si>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</si>
  <si>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</si>
  <si>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</si>
  <si>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</si>
  <si>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</si>
  <si>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</si>
  <si>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</si>
  <si>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</si>
  <si>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</si>
  <si>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</si>
  <si>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</si>
  <si>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</si>
  <si>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</si>
  <si>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</si>
  <si>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</si>
  <si>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</si>
  <si>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</si>
  <si>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</si>
  <si>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</si>
  <si>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</si>
  <si>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</si>
  <si>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</si>
  <si>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</si>
  <si>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</si>
  <si>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</si>
  <si>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</si>
  <si>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</si>
  <si>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</si>
  <si>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</si>
  <si>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</si>
  <si>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</si>
  <si>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</si>
  <si>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</si>
  <si>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</si>
  <si>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</si>
  <si>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</si>
  <si>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</si>
  <si>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</si>
  <si>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</si>
  <si>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</si>
  <si>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</si>
  <si>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</si>
  <si>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</si>
  <si>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</si>
  <si>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</si>
  <si>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</si>
  <si>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</si>
  <si>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</si>
  <si>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</si>
  <si>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</si>
  <si>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</si>
  <si>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</si>
  <si>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</si>
  <si>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</si>
  <si>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</si>
  <si>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</si>
  <si>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</si>
  <si>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</si>
  <si>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</si>
  <si>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</si>
  <si>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</si>
  <si>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</si>
  <si>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</si>
  <si>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</si>
  <si>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</si>
  <si>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</si>
  <si>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</si>
  <si>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</si>
  <si>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</si>
  <si>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</si>
  <si>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</si>
  <si>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</si>
  <si>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</si>
  <si>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</si>
  <si>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</si>
  <si>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</si>
  <si>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</si>
  <si>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</si>
  <si>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</si>
  <si>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</si>
  <si>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</si>
  <si>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</si>
  <si>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</si>
  <si>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</si>
  <si>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</si>
  <si>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</si>
  <si>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</si>
  <si>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</si>
  <si>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</si>
  <si>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</si>
  <si>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</si>
  <si>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</si>
  <si>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</si>
  <si>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</si>
  <si>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</si>
  <si>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</si>
  <si>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</si>
  <si>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</si>
  <si>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</si>
  <si>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</si>
  <si>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</si>
  <si>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</si>
  <si>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</si>
  <si>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</si>
  <si>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</si>
  <si>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</si>
  <si>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</si>
  <si>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</si>
  <si>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</si>
  <si>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</si>
  <si>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</si>
  <si>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</si>
  <si>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</si>
  <si>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</si>
  <si>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</si>
  <si>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</si>
  <si>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</si>
  <si>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</si>
  <si>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</si>
  <si>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</si>
  <si>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</si>
  <si>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</si>
  <si>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</si>
  <si>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</si>
  <si>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</si>
  <si>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</si>
  <si>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</si>
  <si>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</si>
  <si>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</si>
  <si>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</si>
  <si>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</si>
  <si>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</si>
  <si>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</si>
  <si>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</si>
  <si>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</si>
  <si>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</si>
  <si>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</si>
  <si>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</si>
  <si>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</si>
  <si>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</si>
  <si>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</si>
  <si>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</si>
  <si>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</si>
  <si>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</si>
  <si>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</si>
  <si>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</si>
  <si>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</si>
  <si>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</si>
  <si>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</si>
  <si>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</si>
  <si>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</si>
  <si>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</si>
  <si>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</si>
  <si>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</si>
  <si>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</si>
  <si>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</si>
  <si>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</si>
  <si>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</si>
  <si>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</si>
  <si>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</si>
  <si>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</si>
  <si>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</si>
  <si>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</si>
  <si>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</si>
  <si>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</si>
  <si>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</si>
  <si>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</si>
  <si>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</si>
  <si>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</si>
  <si>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</si>
  <si>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</si>
  <si>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</si>
  <si>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</si>
  <si>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</si>
  <si>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</si>
  <si>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</si>
  <si>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</si>
  <si>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</si>
  <si>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</si>
  <si>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</si>
  <si>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</si>
  <si>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</si>
  <si>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</si>
  <si>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</si>
  <si>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</si>
  <si>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</si>
  <si>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</si>
  <si>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</si>
  <si>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</si>
  <si>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</si>
  <si>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</si>
  <si>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</si>
  <si>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</si>
  <si>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</si>
  <si>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</si>
  <si>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</si>
  <si>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</si>
  <si>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</si>
  <si>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</si>
  <si>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</si>
  <si>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</si>
  <si>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</si>
  <si>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</si>
  <si>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</si>
  <si>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</si>
  <si>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</si>
  <si>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</si>
  <si>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</si>
  <si>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</si>
  <si>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</si>
  <si>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</si>
  <si>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</si>
  <si>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</si>
  <si>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</si>
  <si>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</si>
  <si>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</si>
  <si>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</si>
  <si>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</si>
  <si>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</si>
  <si>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</si>
  <si>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</si>
  <si>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</si>
  <si>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</si>
  <si>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</si>
  <si>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</si>
  <si>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</si>
  <si>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</si>
  <si>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</si>
  <si>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</si>
  <si>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</si>
  <si>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</si>
  <si>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</si>
  <si>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</si>
  <si>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</si>
  <si>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</si>
  <si>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</si>
  <si>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</si>
  <si>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</si>
  <si>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</si>
  <si>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</si>
  <si>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</si>
  <si>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</si>
  <si>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</si>
  <si>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</si>
  <si>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</si>
  <si>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</si>
  <si>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</si>
  <si>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</si>
  <si>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</si>
  <si>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</si>
  <si>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</si>
  <si>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</si>
  <si>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</si>
  <si>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</si>
  <si>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</si>
  <si>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</si>
  <si>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</si>
  <si>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</si>
  <si>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</si>
  <si>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</si>
  <si>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</si>
  <si>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</si>
  <si>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</si>
  <si>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</si>
  <si>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</si>
  <si>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</si>
  <si>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</si>
  <si>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</si>
  <si>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</si>
  <si>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</si>
  <si>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</si>
  <si>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</si>
  <si>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</si>
  <si>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</si>
  <si>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</si>
  <si>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</si>
  <si>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</si>
  <si>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</si>
  <si>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</si>
  <si>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</si>
  <si>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</si>
  <si>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</si>
  <si>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</si>
  <si>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</si>
  <si>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</si>
  <si>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</si>
  <si>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</si>
  <si>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</si>
  <si>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</si>
  <si>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</si>
  <si>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</si>
  <si>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</si>
  <si>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</si>
  <si>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</si>
  <si>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</si>
  <si>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</si>
  <si>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</si>
  <si>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</si>
  <si>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</si>
  <si>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</si>
  <si>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</si>
  <si>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</si>
  <si>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</si>
  <si>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</si>
  <si>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</si>
  <si>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</si>
  <si>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</si>
  <si>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</si>
  <si>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</si>
  <si>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</si>
  <si>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</si>
  <si>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</si>
  <si>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</si>
  <si>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</si>
  <si>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</si>
  <si>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</si>
  <si>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</si>
  <si>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</si>
  <si>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</si>
  <si>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</si>
  <si>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</si>
  <si>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</si>
  <si>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</si>
  <si>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</si>
  <si>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</si>
  <si>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</si>
  <si>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</si>
  <si>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</si>
  <si>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</si>
  <si>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</si>
  <si>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</si>
  <si>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</si>
  <si>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</si>
  <si>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</si>
  <si>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</si>
  <si>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</si>
  <si>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</si>
  <si>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</si>
  <si>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</si>
  <si>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</si>
  <si>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</si>
  <si>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</si>
  <si>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</si>
  <si>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</si>
  <si>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</si>
  <si>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</si>
  <si>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</si>
  <si>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</si>
  <si>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</si>
  <si>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</si>
  <si>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</si>
  <si>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</si>
  <si>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</si>
  <si>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</si>
  <si>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</si>
  <si>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</si>
  <si>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</si>
  <si>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</si>
  <si>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</si>
  <si>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</si>
  <si>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</si>
  <si>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</si>
  <si>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</si>
  <si>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</si>
  <si>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</si>
  <si>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</si>
  <si>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</si>
  <si>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</si>
  <si>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</si>
  <si>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</si>
  <si>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</si>
  <si>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</si>
  <si>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</si>
  <si>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</si>
  <si>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</si>
  <si>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</si>
  <si>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</si>
  <si>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</si>
  <si>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</si>
  <si>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</si>
  <si>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</si>
  <si>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</si>
  <si>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</si>
  <si>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</si>
  <si>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</si>
  <si>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</si>
  <si>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</si>
  <si>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</si>
  <si>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</si>
  <si>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</si>
  <si>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</si>
  <si>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</si>
  <si>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</si>
  <si>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</si>
  <si>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</si>
  <si>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</si>
  <si>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</si>
  <si>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</si>
  <si>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</si>
  <si>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</si>
  <si>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</si>
  <si>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</si>
  <si>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</si>
  <si>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</si>
  <si>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</si>
  <si>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</si>
  <si>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</si>
  <si>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</si>
  <si>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</si>
  <si>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</si>
  <si>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</si>
  <si>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</si>
  <si>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</si>
  <si>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</si>
  <si>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</si>
  <si>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</si>
  <si>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</si>
  <si>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</si>
  <si>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</si>
  <si>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</si>
  <si>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</si>
  <si>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</si>
  <si>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</si>
  <si>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</si>
  <si>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</si>
  <si>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</si>
  <si>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</si>
  <si>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</si>
  <si>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</si>
  <si>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</si>
  <si>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</si>
  <si>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</si>
  <si>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</si>
  <si>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</si>
  <si>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</si>
  <si>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</si>
  <si>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</si>
  <si>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</si>
  <si>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</si>
  <si>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</si>
  <si>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</si>
  <si>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</si>
  <si>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</si>
  <si>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</si>
  <si>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</si>
  <si>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</si>
  <si>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</si>
  <si>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</si>
  <si>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</si>
  <si>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</si>
  <si>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</si>
  <si>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</si>
  <si>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</si>
  <si>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</si>
  <si>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</si>
  <si>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</si>
  <si>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</si>
  <si>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</si>
  <si>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</si>
  <si>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</si>
  <si>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</si>
  <si>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</si>
  <si>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</si>
  <si>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</si>
  <si>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</si>
  <si>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</si>
  <si>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</si>
  <si>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</si>
  <si>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</si>
  <si>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</si>
  <si>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</si>
  <si>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</si>
  <si>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</si>
  <si>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</si>
  <si>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</si>
  <si>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</si>
  <si>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</si>
  <si>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</si>
  <si>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</si>
  <si>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</si>
  <si>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</si>
  <si>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</si>
  <si>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</si>
  <si>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</si>
  <si>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</si>
  <si>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</si>
  <si>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</si>
  <si>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</si>
  <si>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</si>
  <si>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</si>
  <si>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</si>
  <si>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</si>
  <si>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</si>
  <si>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</si>
  <si>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</si>
  <si>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</si>
  <si>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</si>
  <si>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</si>
  <si>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</si>
  <si>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</si>
  <si>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</si>
  <si>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</si>
  <si>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</si>
  <si>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</si>
  <si>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</si>
  <si>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</si>
  <si>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</si>
  <si>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</si>
  <si>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</si>
  <si>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</si>
  <si>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</si>
  <si>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</si>
  <si>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</si>
  <si>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</si>
  <si>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</si>
  <si>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</si>
  <si>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</si>
  <si>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</si>
  <si>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</si>
  <si>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</si>
  <si>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</si>
  <si>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</si>
  <si>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</si>
  <si>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</si>
  <si>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</si>
  <si>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</si>
  <si>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</si>
  <si>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</si>
  <si>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</si>
  <si>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</si>
  <si>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</si>
  <si>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</si>
  <si>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</si>
  <si>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</si>
  <si>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</si>
  <si>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</si>
  <si>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</si>
  <si>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</si>
  <si>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</si>
  <si>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</si>
  <si>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</si>
  <si>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</si>
  <si>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</si>
  <si>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</si>
  <si>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</si>
  <si>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</si>
  <si>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</si>
  <si>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</si>
  <si>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</si>
  <si>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</si>
  <si>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</si>
  <si>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</si>
  <si>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</si>
  <si>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</si>
  <si>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</si>
  <si>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</si>
  <si>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</si>
  <si>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</si>
  <si>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</si>
  <si>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</si>
  <si>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</si>
  <si>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</si>
  <si>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</si>
  <si>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</si>
  <si>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Bf Gröbers</t>
  </si>
  <si>
    <t>DB Schenker Rail AG</t>
  </si>
  <si>
    <t>DB Netz Aktiengesellschaft</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</si>
  <si>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</si>
  <si>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</si>
  <si>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AT-3591</t>
  </si>
  <si>
    <t>Fire in RS, 24/04/2014, Station Launsdorf-Hochosterwitz (Austria)</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</si>
  <si>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</si>
  <si>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</si>
  <si>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</si>
  <si>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</si>
  <si>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</si>
  <si>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</si>
  <si>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</si>
  <si>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</si>
  <si>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</si>
  <si>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</si>
  <si>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</si>
  <si>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</si>
  <si>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</si>
  <si>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</si>
  <si>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</si>
  <si>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</si>
  <si>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</si>
  <si>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</si>
  <si>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</si>
  <si>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</si>
  <si>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</si>
  <si>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</si>
  <si>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</si>
  <si>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</si>
  <si>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</si>
  <si>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</si>
  <si>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</si>
  <si>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</si>
  <si>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</si>
  <si>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</si>
  <si>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</si>
  <si>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</si>
  <si>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</si>
  <si>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</si>
  <si>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</si>
  <si>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</si>
  <si>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</si>
  <si>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</si>
  <si>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</si>
  <si>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</si>
  <si>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</si>
  <si>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</si>
  <si>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</si>
  <si>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</si>
  <si>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</si>
  <si>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</si>
  <si>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</si>
  <si>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</si>
  <si>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</si>
  <si>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</si>
  <si>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</si>
  <si>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</si>
  <si>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</si>
  <si>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</si>
  <si>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</si>
  <si>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</si>
  <si>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</si>
  <si>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</si>
  <si>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</si>
  <si>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</si>
  <si>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</si>
  <si>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</si>
  <si>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</si>
  <si>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</si>
  <si>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</si>
  <si>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</si>
  <si>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</si>
  <si>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</si>
  <si>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</si>
  <si>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</si>
  <si>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</si>
  <si>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</si>
  <si>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</si>
  <si>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</si>
  <si>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</si>
  <si>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</si>
  <si>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</si>
  <si>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</si>
  <si>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</si>
  <si>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</si>
  <si>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</si>
  <si>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</si>
  <si>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</si>
  <si>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</si>
  <si>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</si>
  <si>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</si>
  <si>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</si>
  <si>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</si>
  <si>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</si>
  <si>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</si>
  <si>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</si>
  <si>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</si>
  <si>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</si>
  <si>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</si>
  <si>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</si>
  <si>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</si>
  <si>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</si>
  <si>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</si>
  <si>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</si>
  <si>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</si>
  <si>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</si>
  <si>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</si>
  <si>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</si>
  <si>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</si>
  <si>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</si>
  <si>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</si>
  <si>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</si>
  <si>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</si>
  <si>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</si>
  <si>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</si>
  <si>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</si>
  <si>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</si>
  <si>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</si>
  <si>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</si>
  <si>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Herne</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</si>
  <si>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</si>
  <si>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</si>
  <si>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</si>
  <si>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</si>
  <si>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</si>
  <si>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</si>
  <si>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</si>
  <si>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</si>
  <si>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</si>
  <si>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</si>
  <si>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</si>
  <si>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</si>
  <si>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</si>
  <si>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</si>
  <si>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</si>
  <si>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</si>
  <si>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</si>
  <si>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</si>
  <si>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</si>
  <si>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</si>
  <si>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</si>
  <si>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</si>
  <si>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</si>
  <si>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</si>
  <si>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</si>
  <si>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</si>
  <si>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</si>
  <si>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</si>
  <si>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</si>
  <si>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</si>
  <si>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</si>
  <si>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</si>
  <si>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</si>
  <si>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</si>
  <si>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</si>
  <si>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</si>
  <si>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</si>
  <si>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</si>
  <si>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</si>
  <si>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</si>
  <si>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</si>
  <si>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</si>
  <si>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</si>
  <si>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</si>
  <si>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</si>
  <si>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</si>
  <si>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</si>
  <si>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</si>
  <si>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</si>
  <si>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</si>
  <si>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</si>
  <si>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</si>
  <si>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</si>
  <si>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</si>
  <si>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</si>
  <si>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</si>
  <si>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</si>
  <si>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</si>
  <si>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</si>
  <si>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</si>
  <si>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</si>
  <si>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</si>
  <si>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</si>
  <si>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</si>
  <si>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</si>
  <si>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</si>
  <si>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</si>
  <si>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</si>
  <si>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</si>
  <si>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</si>
  <si>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</si>
  <si>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</si>
  <si>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</si>
  <si>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</si>
  <si>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</si>
  <si>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</si>
  <si>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</si>
  <si>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</si>
  <si>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</si>
  <si>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</si>
  <si>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</si>
  <si>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</si>
  <si>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</si>
  <si>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</si>
  <si>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</si>
  <si>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</si>
  <si>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</si>
  <si>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</si>
  <si>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</si>
  <si>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</si>
  <si>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</si>
  <si>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</si>
  <si>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</si>
  <si>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</si>
  <si>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</si>
  <si>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</si>
  <si>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</si>
  <si>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</si>
  <si>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</si>
  <si>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</si>
  <si>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</si>
  <si>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</si>
  <si>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</si>
  <si>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</si>
  <si>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</si>
  <si>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</si>
  <si>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</si>
  <si>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</si>
  <si>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</si>
  <si>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</si>
  <si>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</si>
  <si>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</si>
  <si>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</si>
  <si>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</si>
  <si>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</si>
  <si>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</si>
  <si>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</si>
  <si>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</si>
  <si>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</si>
  <si>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</si>
  <si>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</si>
  <si>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</si>
  <si>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</si>
  <si>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</si>
  <si>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</si>
  <si>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</si>
  <si>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</si>
  <si>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</si>
  <si>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</si>
  <si>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</si>
  <si>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</si>
  <si>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</si>
  <si>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</si>
  <si>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</si>
  <si>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</si>
  <si>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</si>
  <si>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</si>
  <si>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</si>
  <si>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</si>
  <si>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</si>
  <si>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</si>
  <si>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</si>
  <si>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</si>
  <si>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</si>
  <si>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</si>
  <si>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</si>
  <si>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</si>
  <si>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</si>
  <si>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</si>
  <si>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</si>
  <si>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</si>
  <si>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</si>
  <si>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</si>
  <si>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</si>
  <si>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</si>
  <si>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</si>
  <si>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</si>
  <si>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</si>
  <si>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</si>
  <si>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</si>
  <si>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</si>
  <si>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</si>
  <si>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</si>
  <si>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</si>
  <si>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</si>
  <si>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</si>
  <si>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</si>
  <si>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</si>
  <si>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</si>
  <si>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</si>
  <si>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</si>
  <si>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</si>
  <si>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</si>
  <si>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</si>
  <si>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</si>
  <si>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</si>
  <si>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</si>
  <si>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</si>
  <si>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</si>
  <si>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</si>
  <si>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</si>
  <si>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</si>
  <si>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</si>
  <si>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</si>
  <si>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</si>
  <si>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</si>
  <si>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</si>
  <si>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</si>
  <si>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</si>
  <si>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</si>
  <si>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</si>
  <si>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</si>
  <si>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</si>
  <si>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</si>
  <si>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</si>
  <si>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</si>
  <si>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</si>
  <si>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</si>
  <si>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</si>
  <si>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</si>
  <si>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</si>
  <si>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</si>
  <si>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</si>
  <si>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</si>
  <si>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</si>
  <si>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</si>
  <si>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</si>
  <si>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</si>
  <si>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</si>
  <si>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</si>
  <si>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</si>
  <si>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</si>
  <si>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</si>
  <si>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</si>
  <si>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</si>
  <si>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</si>
  <si>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</si>
  <si>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</si>
  <si>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</si>
  <si>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</si>
  <si>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</si>
  <si>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</si>
  <si>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</si>
  <si>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</si>
  <si>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</si>
  <si>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</si>
  <si>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</si>
  <si>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</si>
  <si>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</si>
  <si>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</si>
  <si>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</si>
  <si>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</si>
  <si>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</si>
  <si>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</si>
  <si>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</si>
  <si>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</si>
  <si>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</si>
  <si>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</si>
  <si>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</si>
  <si>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</si>
  <si>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</si>
  <si>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</si>
  <si>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</si>
  <si>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</si>
  <si>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</si>
  <si>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</si>
  <si>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</si>
  <si>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</si>
  <si>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</si>
  <si>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</si>
  <si>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</si>
  <si>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</si>
  <si>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</si>
  <si>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</si>
  <si>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</si>
  <si>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</si>
  <si>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</si>
  <si>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</si>
  <si>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</si>
  <si>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</si>
  <si>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</si>
  <si>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</si>
  <si>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</si>
  <si>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</si>
  <si>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</si>
  <si>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</si>
  <si>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</si>
  <si>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</si>
  <si>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</si>
  <si>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</si>
  <si>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</si>
  <si>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</si>
  <si>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</si>
  <si>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</si>
  <si>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</si>
  <si>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</si>
  <si>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</si>
  <si>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</si>
  <si>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</si>
  <si>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</si>
  <si>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</si>
  <si>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</si>
  <si>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</si>
  <si>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</si>
  <si>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</si>
  <si>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</si>
  <si>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</si>
  <si>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</si>
  <si>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</si>
  <si>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</si>
  <si>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</si>
  <si>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</si>
  <si>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</si>
  <si>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</si>
  <si>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</si>
  <si>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</si>
  <si>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</si>
  <si>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</si>
  <si>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</si>
  <si>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</si>
  <si>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</si>
  <si>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</si>
  <si>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</si>
  <si>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</si>
  <si>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</si>
  <si>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</si>
  <si>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</si>
  <si>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</si>
  <si>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</si>
  <si>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</si>
  <si>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</si>
  <si>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</si>
  <si>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</si>
  <si>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</si>
  <si>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</si>
  <si>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</si>
  <si>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</si>
  <si>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</si>
  <si>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</si>
  <si>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</si>
  <si>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</si>
  <si>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</si>
  <si>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</si>
  <si>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</si>
  <si>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</si>
  <si>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</si>
  <si>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</si>
  <si>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</si>
  <si>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</si>
  <si>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</si>
  <si>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</si>
  <si>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</si>
  <si>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</si>
  <si>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</si>
  <si>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</si>
  <si>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</si>
  <si>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</si>
  <si>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</si>
  <si>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</si>
  <si>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</si>
  <si>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</si>
  <si>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</si>
  <si>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</si>
  <si>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</si>
  <si>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</si>
  <si>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</si>
  <si>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</si>
  <si>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</si>
  <si>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</si>
  <si>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</si>
  <si>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</si>
  <si>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</si>
  <si>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</si>
  <si>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</si>
  <si>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</si>
  <si>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</si>
  <si>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</si>
  <si>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</si>
  <si>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</si>
  <si>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</si>
  <si>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</si>
  <si>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</si>
  <si>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</si>
  <si>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</si>
  <si>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</si>
  <si>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</si>
  <si>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</si>
  <si>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</si>
  <si>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</si>
  <si>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</si>
  <si>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</si>
  <si>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</si>
  <si>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</si>
  <si>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</si>
  <si>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</si>
  <si>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</si>
  <si>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</si>
  <si>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</si>
  <si>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</si>
  <si>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</si>
  <si>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</si>
  <si>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</si>
  <si>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</si>
  <si>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</si>
  <si>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</si>
  <si>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</si>
  <si>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</si>
  <si>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</si>
  <si>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</si>
  <si>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</si>
  <si>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</si>
  <si>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</si>
  <si>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</si>
  <si>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</si>
  <si>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</si>
  <si>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</si>
  <si>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</si>
  <si>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</si>
  <si>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</si>
  <si>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</si>
  <si>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</si>
  <si>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</si>
  <si>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</si>
  <si>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</si>
  <si>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</si>
  <si>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</si>
  <si>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</si>
  <si>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</si>
  <si>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</si>
  <si>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</si>
  <si>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</si>
  <si>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</si>
  <si>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</si>
  <si>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</si>
  <si>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</si>
  <si>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</si>
  <si>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</si>
  <si>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</si>
  <si>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</si>
  <si>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</si>
  <si>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</si>
  <si>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</si>
  <si>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</si>
  <si>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</si>
  <si>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</si>
  <si>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</si>
  <si>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</si>
  <si>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</si>
  <si>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</si>
  <si>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</si>
  <si>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</si>
  <si>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</si>
  <si>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</si>
  <si>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</si>
  <si>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</si>
  <si>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</si>
  <si>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</si>
  <si>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</si>
  <si>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</si>
  <si>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</si>
  <si>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</si>
  <si>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</si>
  <si>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</si>
  <si>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</si>
  <si>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</si>
  <si>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</si>
  <si>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</si>
  <si>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</si>
  <si>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</si>
  <si>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</si>
  <si>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</si>
  <si>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</si>
  <si>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</si>
  <si>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</si>
  <si>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</si>
  <si>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</si>
  <si>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</si>
  <si>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</si>
  <si>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</si>
  <si>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</si>
  <si>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</si>
  <si>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</si>
  <si>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</si>
  <si>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</si>
  <si>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</si>
  <si>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DB Regio Aktiengesellschaft</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</si>
  <si>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</si>
  <si>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</si>
  <si>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</si>
  <si>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</si>
  <si>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</si>
  <si>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</si>
  <si>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</si>
  <si>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</si>
  <si>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</si>
  <si>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</si>
  <si>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</si>
  <si>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</si>
  <si>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</si>
  <si>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</si>
  <si>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</si>
  <si>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</si>
  <si>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</si>
  <si>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</si>
  <si>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</si>
  <si>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</si>
  <si>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</si>
  <si>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</si>
  <si>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</si>
  <si>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</si>
  <si>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</si>
  <si>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</si>
  <si>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</si>
  <si>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</si>
  <si>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</si>
  <si>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</si>
  <si>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</si>
  <si>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</si>
  <si>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</si>
  <si>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</si>
  <si>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</si>
  <si>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</si>
  <si>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</si>
  <si>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</si>
  <si>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</si>
  <si>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</si>
  <si>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</si>
  <si>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</si>
  <si>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</si>
  <si>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</si>
  <si>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</si>
  <si>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</si>
  <si>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</si>
  <si>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</si>
  <si>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</si>
  <si>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</si>
  <si>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</si>
  <si>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</si>
  <si>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</si>
  <si>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</si>
  <si>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</si>
  <si>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</si>
  <si>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</si>
  <si>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</si>
  <si>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</si>
  <si>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</si>
  <si>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</si>
  <si>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</si>
  <si>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</si>
  <si>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</si>
  <si>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</si>
  <si>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</si>
  <si>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</si>
  <si>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</si>
  <si>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</si>
  <si>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</si>
  <si>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</si>
  <si>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</si>
  <si>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</si>
  <si>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</si>
  <si>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</si>
  <si>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</si>
  <si>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</si>
  <si>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</si>
  <si>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</si>
  <si>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</si>
  <si>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</si>
  <si>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</si>
  <si>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</si>
  <si>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</si>
  <si>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</si>
  <si>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</si>
  <si>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</si>
  <si>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</si>
  <si>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</si>
  <si>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</si>
  <si>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</si>
  <si>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</si>
  <si>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</si>
  <si>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</si>
  <si>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</si>
  <si>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</si>
  <si>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</si>
  <si>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</si>
  <si>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</si>
  <si>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</si>
  <si>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</si>
  <si>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</si>
  <si>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</si>
  <si>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</si>
  <si>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</si>
  <si>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</si>
  <si>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</si>
  <si>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</si>
  <si>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</si>
  <si>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</si>
  <si>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</si>
  <si>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</si>
  <si>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</si>
  <si>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</si>
  <si>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</si>
  <si>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</si>
  <si>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</si>
  <si>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</si>
  <si>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</si>
  <si>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</si>
  <si>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</si>
  <si>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</si>
  <si>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</si>
  <si>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</si>
  <si>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</si>
  <si>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</si>
  <si>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</si>
  <si>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</si>
  <si>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</si>
  <si>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</si>
  <si>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</si>
  <si>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</si>
  <si>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</si>
  <si>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</si>
  <si>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</si>
  <si>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</si>
  <si>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</si>
  <si>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</si>
  <si>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</si>
  <si>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</si>
  <si>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</si>
  <si>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</si>
  <si>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</si>
  <si>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</si>
  <si>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</si>
  <si>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</si>
  <si>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</si>
  <si>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</si>
  <si>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</si>
  <si>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</si>
  <si>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</si>
  <si>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</si>
  <si>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</si>
  <si>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</si>
  <si>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</si>
  <si>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</si>
  <si>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</si>
  <si>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</si>
  <si>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</si>
  <si>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</si>
  <si>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</si>
  <si>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</si>
  <si>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</si>
  <si>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</si>
  <si>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</si>
  <si>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</si>
  <si>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</si>
  <si>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</si>
  <si>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</si>
  <si>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</si>
  <si>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</si>
  <si>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</si>
  <si>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</si>
  <si>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</si>
  <si>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</si>
  <si>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</si>
  <si>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</si>
  <si>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</si>
  <si>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</si>
  <si>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</si>
  <si>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</si>
  <si>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</si>
  <si>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</si>
  <si>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</si>
  <si>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</si>
  <si>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</si>
  <si>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</si>
  <si>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</si>
  <si>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</si>
  <si>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</si>
  <si>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</si>
  <si>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</si>
  <si>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</si>
  <si>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</si>
  <si>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</si>
  <si>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</si>
  <si>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</si>
  <si>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</si>
  <si>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</si>
  <si>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</si>
  <si>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</si>
  <si>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</si>
  <si>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</si>
  <si>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</si>
  <si>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</si>
  <si>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</si>
  <si>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</si>
  <si>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</si>
  <si>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</si>
  <si>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</si>
  <si>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</si>
  <si>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</si>
  <si>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</si>
  <si>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</si>
  <si>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</si>
  <si>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</si>
  <si>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</si>
  <si>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</si>
  <si>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</si>
  <si>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</si>
  <si>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</si>
  <si>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</si>
  <si>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</si>
  <si>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</si>
  <si>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</si>
  <si>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</si>
  <si>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</si>
  <si>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</si>
  <si>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</si>
  <si>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</si>
  <si>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</si>
  <si>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</si>
  <si>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</si>
  <si>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</si>
  <si>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</si>
  <si>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</si>
  <si>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</si>
  <si>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</si>
  <si>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</si>
  <si>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</si>
  <si>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</si>
  <si>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</si>
  <si>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</si>
  <si>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</si>
  <si>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</si>
  <si>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</si>
  <si>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</si>
  <si>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</si>
  <si>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</si>
  <si>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</si>
  <si>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</si>
  <si>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</si>
  <si>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</si>
  <si>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</si>
  <si>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</si>
  <si>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</si>
  <si>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</si>
  <si>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</si>
  <si>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</si>
  <si>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</si>
  <si>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</si>
  <si>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</si>
  <si>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</si>
  <si>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</si>
  <si>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</si>
  <si>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</si>
  <si>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</si>
  <si>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</si>
  <si>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</si>
  <si>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</si>
  <si>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</si>
  <si>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</si>
  <si>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</si>
  <si>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</si>
  <si>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</si>
  <si>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</si>
  <si>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</si>
  <si>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</si>
  <si>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</si>
  <si>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</si>
  <si>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</si>
  <si>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</si>
  <si>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</si>
  <si>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</si>
  <si>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</si>
  <si>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</si>
  <si>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</si>
  <si>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</si>
  <si>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</si>
  <si>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</si>
  <si>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</si>
  <si>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</si>
  <si>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</si>
  <si>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</si>
  <si>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</si>
  <si>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</si>
  <si>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</si>
  <si>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</si>
  <si>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</si>
  <si>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</si>
  <si>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</si>
  <si>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</si>
  <si>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</si>
  <si>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</si>
  <si>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</si>
  <si>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</si>
  <si>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</si>
  <si>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</si>
  <si>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</si>
  <si>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</si>
  <si>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</si>
  <si>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</si>
  <si>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</si>
  <si>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</si>
  <si>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</si>
  <si>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</si>
  <si>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</si>
  <si>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</si>
  <si>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</si>
  <si>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</si>
  <si>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</si>
  <si>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</si>
  <si>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</si>
  <si>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</si>
  <si>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</si>
  <si>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</si>
  <si>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</si>
  <si>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</si>
  <si>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</si>
  <si>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</si>
  <si>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</si>
  <si>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</si>
  <si>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</si>
  <si>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</si>
  <si>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</si>
  <si>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</si>
  <si>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</si>
  <si>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</si>
  <si>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</si>
  <si>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</si>
  <si>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</si>
  <si>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</si>
  <si>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</si>
  <si>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</si>
  <si>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</si>
  <si>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</si>
  <si>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</si>
  <si>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</si>
  <si>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</si>
  <si>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</si>
  <si>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</si>
  <si>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</si>
  <si>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</si>
  <si>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</si>
  <si>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</si>
  <si>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</si>
  <si>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</si>
  <si>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</si>
  <si>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</si>
  <si>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</si>
  <si>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</si>
  <si>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</si>
  <si>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</si>
  <si>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</si>
  <si>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</si>
  <si>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</si>
  <si>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</si>
  <si>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</si>
  <si>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</si>
  <si>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</si>
  <si>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</si>
  <si>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</si>
  <si>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</si>
  <si>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</si>
  <si>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</si>
  <si>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</si>
  <si>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</si>
  <si>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</si>
  <si>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</si>
  <si>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</si>
  <si>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</si>
  <si>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</si>
  <si>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</si>
  <si>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</si>
  <si>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</si>
  <si>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</si>
  <si>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</si>
  <si>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</si>
  <si>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</si>
  <si>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</si>
  <si>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</si>
  <si>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</si>
  <si>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</si>
  <si>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</si>
  <si>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</si>
  <si>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</si>
  <si>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</si>
  <si>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</si>
  <si>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</si>
  <si>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</si>
  <si>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</si>
  <si>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</si>
  <si>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</si>
  <si>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</si>
  <si>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</si>
  <si>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</si>
  <si>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</si>
  <si>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</si>
  <si>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</si>
  <si>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</si>
  <si>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</si>
  <si>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</si>
  <si>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</si>
  <si>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</si>
  <si>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</si>
  <si>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</si>
  <si>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</si>
  <si>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</si>
  <si>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</si>
  <si>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</si>
  <si>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</si>
  <si>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</si>
  <si>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</si>
  <si>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</si>
  <si>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</si>
  <si>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</si>
  <si>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</si>
  <si>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</si>
  <si>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</si>
  <si>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</si>
  <si>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</si>
  <si>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</si>
  <si>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</si>
  <si>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</si>
  <si>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</si>
  <si>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</si>
  <si>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</si>
  <si>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</si>
  <si>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</si>
  <si>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</si>
  <si>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</si>
  <si>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</si>
  <si>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</si>
  <si>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</si>
  <si>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</si>
  <si>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</si>
  <si>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</si>
  <si>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</si>
  <si>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</si>
  <si>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</si>
  <si>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</si>
  <si>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</si>
  <si>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</si>
  <si>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</si>
  <si>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</si>
  <si>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</si>
  <si>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</si>
  <si>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</si>
  <si>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</si>
  <si>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</si>
  <si>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</si>
  <si>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</si>
  <si>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</si>
  <si>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</si>
  <si>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</si>
  <si>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</si>
  <si>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</si>
  <si>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</si>
  <si>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</si>
  <si>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</si>
  <si>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</si>
  <si>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</si>
  <si>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</si>
  <si>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</si>
  <si>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</si>
  <si>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</si>
  <si>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</si>
  <si>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</si>
  <si>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</si>
  <si>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</si>
  <si>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</si>
  <si>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</si>
  <si>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</si>
  <si>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</si>
  <si>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</si>
  <si>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</si>
  <si>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</si>
  <si>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</si>
  <si>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</si>
  <si>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</si>
  <si>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</si>
  <si>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</si>
  <si>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</si>
  <si>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</si>
  <si>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</si>
  <si>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</si>
  <si>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</si>
  <si>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</si>
  <si>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</si>
  <si>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</si>
  <si>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</si>
  <si>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</si>
  <si>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</si>
  <si>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</si>
  <si>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</si>
  <si>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</si>
  <si>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</si>
  <si>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</si>
  <si>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</si>
  <si>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</si>
  <si>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</si>
  <si>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</si>
  <si>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</si>
  <si>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</si>
  <si>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</si>
  <si>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</si>
  <si>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</si>
  <si>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</si>
  <si>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</si>
  <si>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</si>
  <si>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</si>
  <si>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</si>
  <si>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</si>
  <si>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</si>
  <si>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</si>
  <si>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</si>
  <si>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</si>
  <si>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</si>
  <si>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</si>
  <si>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</si>
  <si>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</si>
  <si>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</si>
  <si>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</si>
  <si>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</si>
  <si>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</si>
  <si>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</si>
  <si>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</si>
  <si>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</si>
  <si>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</si>
  <si>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</si>
  <si>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</si>
  <si>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</si>
  <si>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</si>
  <si>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</si>
  <si>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</si>
  <si>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</si>
  <si>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</si>
  <si>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</si>
  <si>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</si>
  <si>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</si>
  <si>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</si>
  <si>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</si>
  <si>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</si>
  <si>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</si>
  <si>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</si>
  <si>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</si>
  <si>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</si>
  <si>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</si>
  <si>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</si>
  <si>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</si>
  <si>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</si>
  <si>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</si>
  <si>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</si>
  <si>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</si>
  <si>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</si>
  <si>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</si>
  <si>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</si>
  <si>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</si>
  <si>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</si>
  <si>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</si>
  <si>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</si>
  <si>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</si>
  <si>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</si>
  <si>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</si>
  <si>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</si>
  <si>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</si>
  <si>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</si>
  <si>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</si>
  <si>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</si>
  <si>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</si>
  <si>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</si>
  <si>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</si>
  <si>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</si>
  <si>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</si>
  <si>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</si>
  <si>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</si>
  <si>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</si>
  <si>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</si>
  <si>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</si>
  <si>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</si>
  <si>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</si>
  <si>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</si>
  <si>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</si>
  <si>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</si>
  <si>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</si>
  <si>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</si>
  <si>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</si>
  <si>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</si>
  <si>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</si>
  <si>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</si>
  <si>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</si>
  <si>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</si>
  <si>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</si>
  <si>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</si>
  <si>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</si>
  <si>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</si>
  <si>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</si>
  <si>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</si>
  <si>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</si>
  <si>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</si>
  <si>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</si>
  <si>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</si>
  <si>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</si>
  <si>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</si>
  <si>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</si>
  <si>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</si>
  <si>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</si>
  <si>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</si>
  <si>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</si>
  <si>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</si>
  <si>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</si>
  <si>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</si>
  <si>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</si>
  <si>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</si>
  <si>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</si>
  <si>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</si>
  <si>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</si>
  <si>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</si>
  <si>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</si>
  <si>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</si>
  <si>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</si>
  <si>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</si>
  <si>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</si>
  <si>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</si>
  <si>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</si>
  <si>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</si>
  <si>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</si>
  <si>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</si>
  <si>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</si>
  <si>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</si>
  <si>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</si>
  <si>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</si>
  <si>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</si>
  <si>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</si>
  <si>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</si>
  <si>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</si>
  <si>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</si>
  <si>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</si>
  <si>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</si>
  <si>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</si>
  <si>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</si>
  <si>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</si>
  <si>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</si>
  <si>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</si>
  <si>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</si>
  <si>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</si>
  <si>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</si>
  <si>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</si>
  <si>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</si>
  <si>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</si>
  <si>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</si>
  <si>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</si>
  <si>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</si>
  <si>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</si>
  <si>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</si>
  <si>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</si>
  <si>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</si>
  <si>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</si>
  <si>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</si>
  <si>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</si>
  <si>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</si>
  <si>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</si>
  <si>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</si>
  <si>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</si>
  <si>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</si>
  <si>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</si>
  <si>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</si>
  <si>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</si>
  <si>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</si>
  <si>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</si>
  <si>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</si>
  <si>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</si>
  <si>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</si>
  <si>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</si>
  <si>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</si>
  <si>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</si>
  <si>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</si>
  <si>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</si>
  <si>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</si>
  <si>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</si>
  <si>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</si>
  <si>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</si>
  <si>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</si>
  <si>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</si>
  <si>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</si>
  <si>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</si>
  <si>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</si>
  <si>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</si>
  <si>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</si>
  <si>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</si>
  <si>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</si>
  <si>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</si>
  <si>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</si>
  <si>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</si>
  <si>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</si>
  <si>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</si>
  <si>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</si>
  <si>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</si>
  <si>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</si>
  <si>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</si>
  <si>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</si>
  <si>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</si>
  <si>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</si>
  <si>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</si>
  <si>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</si>
  <si>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</si>
  <si>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</si>
  <si>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</si>
  <si>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</si>
  <si>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</si>
  <si>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</si>
  <si>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</si>
  <si>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</si>
  <si>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</si>
  <si>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</si>
  <si>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</si>
  <si>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</si>
  <si>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</si>
  <si>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</si>
  <si>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</si>
  <si>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</si>
  <si>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</si>
  <si>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</si>
  <si>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</si>
  <si>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</si>
  <si>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</si>
  <si>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</si>
  <si>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</si>
  <si>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</si>
  <si>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</si>
  <si>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</si>
  <si>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</si>
  <si>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</si>
  <si>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</si>
  <si>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</si>
  <si>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</si>
  <si>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</si>
  <si>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</si>
  <si>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</si>
  <si>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</si>
  <si>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</si>
  <si>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</si>
  <si>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</si>
  <si>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</si>
  <si>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</si>
  <si>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</si>
  <si>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</si>
  <si>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</si>
  <si>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</si>
  <si>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</si>
  <si>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</si>
  <si>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</si>
  <si>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</si>
  <si>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</si>
  <si>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</si>
  <si>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</si>
  <si>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</si>
  <si>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</si>
  <si>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</si>
  <si>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</si>
  <si>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</si>
  <si>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</si>
  <si>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</si>
  <si>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</si>
  <si>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</si>
  <si>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</si>
  <si>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</si>
  <si>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</si>
  <si>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</si>
  <si>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</si>
  <si>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</si>
  <si>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</si>
  <si>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</si>
  <si>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</si>
  <si>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</si>
  <si>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</si>
  <si>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</si>
  <si>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</si>
  <si>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</si>
  <si>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</si>
  <si>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</si>
  <si>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</si>
  <si>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</si>
  <si>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</si>
  <si>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</si>
  <si>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</si>
  <si>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</si>
  <si>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</si>
  <si>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</si>
  <si>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</si>
  <si>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</si>
  <si>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</si>
  <si>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</si>
  <si>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</si>
  <si>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</si>
  <si>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</si>
  <si>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</si>
  <si>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</si>
  <si>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</si>
  <si>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</si>
  <si>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</si>
  <si>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</si>
  <si>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</si>
  <si>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</si>
  <si>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</si>
  <si>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</si>
  <si>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</si>
  <si>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</si>
  <si>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</si>
  <si>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</si>
  <si>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</si>
  <si>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</si>
  <si>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</si>
  <si>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</si>
  <si>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</si>
  <si>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</si>
  <si>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</si>
  <si>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</si>
  <si>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</si>
  <si>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</si>
  <si>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</si>
  <si>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</si>
  <si>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</si>
  <si>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</si>
  <si>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</si>
  <si>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</si>
  <si>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</si>
  <si>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</si>
  <si>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</si>
  <si>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</si>
  <si>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</si>
  <si>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</si>
  <si>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</si>
  <si>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</si>
  <si>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</si>
  <si>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</si>
  <si>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</si>
  <si>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</si>
  <si>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</si>
  <si>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</si>
  <si>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</si>
  <si>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</si>
  <si>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</si>
  <si>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</si>
  <si>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</si>
  <si>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</si>
  <si>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</si>
  <si>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</si>
  <si>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</si>
  <si>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</si>
  <si>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</si>
  <si>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</si>
  <si>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</si>
  <si>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</si>
  <si>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</si>
  <si>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</si>
  <si>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</si>
  <si>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</si>
  <si>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</si>
  <si>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</si>
  <si>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</si>
  <si>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</si>
  <si>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</si>
  <si>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</si>
  <si>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</si>
  <si>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</si>
  <si>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</si>
  <si>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</si>
  <si>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</si>
  <si>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</si>
  <si>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</si>
  <si>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</si>
  <si>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</si>
  <si>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</si>
  <si>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</si>
  <si>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</si>
  <si>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</si>
  <si>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</si>
  <si>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</si>
  <si>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</si>
  <si>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</si>
  <si>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</si>
  <si>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</si>
  <si>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</si>
  <si>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</si>
  <si>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</si>
  <si>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</si>
  <si>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</si>
  <si>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Mannheim Hbf - Ludwigshafen (Rhein) Hbf</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</si>
  <si>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</si>
  <si>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</si>
  <si>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</si>
  <si>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</si>
  <si>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</si>
  <si>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</si>
  <si>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</si>
  <si>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</si>
  <si>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</si>
  <si>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</si>
  <si>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</si>
  <si>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</si>
  <si>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</si>
  <si>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</si>
  <si>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</si>
  <si>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</si>
  <si>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</si>
  <si>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</si>
  <si>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</si>
  <si>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</si>
  <si>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</si>
  <si>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</si>
  <si>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</si>
  <si>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</si>
  <si>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</si>
  <si>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</si>
  <si>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</si>
  <si>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</si>
  <si>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</si>
  <si>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</si>
  <si>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</si>
  <si>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</si>
  <si>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</si>
  <si>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</si>
  <si>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</si>
  <si>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</si>
  <si>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</si>
  <si>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</si>
  <si>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</si>
  <si>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</si>
  <si>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</si>
  <si>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</si>
  <si>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</si>
  <si>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</si>
  <si>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</si>
  <si>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</si>
  <si>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</si>
  <si>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</si>
  <si>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</si>
  <si>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</si>
  <si>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</si>
  <si>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</si>
  <si>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</si>
  <si>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</si>
  <si>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</si>
  <si>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</si>
  <si>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</si>
  <si>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</si>
  <si>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</si>
  <si>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</si>
  <si>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</si>
  <si>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</si>
  <si>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</si>
  <si>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</si>
  <si>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</si>
  <si>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</si>
  <si>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</si>
  <si>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</si>
  <si>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</si>
  <si>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</si>
  <si>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</si>
  <si>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</si>
  <si>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</si>
  <si>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</si>
  <si>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</si>
  <si>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</si>
  <si>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</si>
  <si>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</si>
  <si>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</si>
  <si>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</si>
  <si>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</si>
  <si>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</si>
  <si>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</si>
  <si>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</si>
  <si>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</si>
  <si>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</si>
  <si>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</si>
  <si>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</si>
  <si>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</si>
  <si>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</si>
  <si>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</si>
  <si>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</si>
  <si>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</si>
  <si>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</si>
  <si>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</si>
  <si>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</si>
  <si>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</si>
  <si>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</si>
  <si>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</si>
  <si>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</si>
  <si>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</si>
  <si>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</si>
  <si>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</si>
  <si>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</si>
  <si>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</si>
  <si>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</si>
  <si>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</si>
  <si>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</si>
  <si>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</si>
  <si>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</si>
  <si>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</si>
  <si>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</si>
  <si>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</si>
  <si>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</si>
  <si>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</si>
  <si>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</si>
  <si>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</si>
  <si>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</si>
  <si>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</si>
  <si>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</si>
  <si>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</si>
  <si>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</si>
  <si>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</si>
  <si>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</si>
  <si>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</si>
  <si>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</si>
  <si>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</si>
  <si>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</si>
  <si>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</si>
  <si>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</si>
  <si>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</si>
  <si>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</si>
  <si>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</si>
  <si>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</si>
  <si>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</si>
  <si>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</si>
  <si>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</si>
  <si>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</si>
  <si>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</si>
  <si>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</si>
  <si>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</si>
  <si>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</si>
  <si>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</si>
  <si>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</si>
  <si>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</si>
  <si>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</si>
  <si>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</si>
  <si>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</si>
  <si>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</si>
  <si>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</si>
  <si>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</si>
  <si>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</si>
  <si>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</si>
  <si>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</si>
  <si>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</si>
  <si>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</si>
  <si>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</si>
  <si>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</si>
  <si>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</si>
  <si>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</si>
  <si>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</si>
  <si>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</si>
  <si>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</si>
  <si>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</si>
  <si>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</si>
  <si>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</si>
  <si>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</si>
  <si>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</si>
  <si>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</si>
  <si>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Ravensburg - Friedrichshafen Stadt</t>
  </si>
  <si>
    <t>Bodensee-Oberschwaben-Bahn GmbH</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</si>
  <si>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</si>
  <si>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</si>
  <si>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</si>
  <si>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</si>
  <si>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</si>
  <si>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</si>
  <si>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</si>
  <si>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</si>
  <si>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</si>
  <si>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</si>
  <si>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</si>
  <si>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</si>
  <si>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</si>
  <si>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</si>
  <si>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</si>
  <si>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</si>
  <si>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</si>
  <si>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</si>
  <si>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</si>
  <si>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</si>
  <si>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</si>
  <si>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</si>
  <si>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</si>
  <si>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</si>
  <si>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</si>
  <si>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</si>
  <si>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</si>
  <si>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</si>
  <si>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</si>
  <si>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</si>
  <si>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</si>
  <si>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</si>
  <si>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</si>
  <si>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</si>
  <si>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</si>
  <si>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</si>
  <si>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</si>
  <si>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</si>
  <si>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</si>
  <si>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</si>
  <si>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</si>
  <si>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</si>
  <si>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</si>
  <si>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</si>
  <si>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</si>
  <si>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</si>
  <si>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</si>
  <si>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</si>
  <si>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</si>
  <si>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</si>
  <si>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</si>
  <si>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</si>
  <si>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</si>
  <si>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</si>
  <si>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</si>
  <si>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</si>
  <si>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</si>
  <si>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</si>
  <si>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</si>
  <si>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</si>
  <si>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</si>
  <si>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</si>
  <si>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</si>
  <si>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</si>
  <si>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</si>
  <si>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</si>
  <si>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</si>
  <si>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</si>
  <si>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</si>
  <si>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</si>
  <si>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</si>
  <si>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</si>
  <si>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</si>
  <si>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</si>
  <si>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</si>
  <si>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</si>
  <si>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</si>
  <si>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</si>
  <si>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</si>
  <si>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</si>
  <si>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</si>
  <si>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</si>
  <si>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</si>
  <si>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</si>
  <si>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</si>
  <si>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</si>
  <si>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</si>
  <si>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</si>
  <si>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</si>
  <si>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</si>
  <si>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</si>
  <si>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</si>
  <si>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</si>
  <si>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</si>
  <si>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</si>
  <si>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</si>
  <si>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</si>
  <si>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</si>
  <si>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</si>
  <si>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</si>
  <si>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</si>
  <si>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</si>
  <si>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</si>
  <si>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</si>
  <si>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</si>
  <si>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</si>
  <si>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</si>
  <si>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</si>
  <si>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</si>
  <si>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</si>
  <si>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</si>
  <si>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</si>
  <si>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</si>
  <si>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</si>
  <si>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</si>
  <si>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</si>
  <si>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</si>
  <si>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</si>
  <si>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</si>
  <si>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</si>
  <si>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</si>
  <si>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</si>
  <si>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</si>
  <si>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</si>
  <si>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</si>
  <si>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</si>
  <si>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</si>
  <si>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</si>
  <si>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</si>
  <si>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</si>
  <si>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</si>
  <si>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</si>
  <si>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</si>
  <si>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</si>
  <si>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</si>
  <si>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</si>
  <si>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</si>
  <si>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</si>
  <si>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</si>
  <si>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</si>
  <si>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</si>
  <si>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</si>
  <si>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</si>
  <si>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</si>
  <si>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</si>
  <si>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</si>
  <si>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</si>
  <si>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</si>
  <si>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</si>
  <si>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</si>
  <si>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</si>
  <si>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</si>
  <si>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</si>
  <si>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</si>
  <si>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</si>
  <si>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</si>
  <si>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</si>
  <si>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</si>
  <si>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</si>
  <si>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</si>
  <si>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</si>
  <si>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</si>
  <si>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</si>
  <si>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</si>
  <si>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</si>
  <si>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</si>
  <si>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</si>
  <si>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</si>
  <si>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</si>
  <si>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</si>
  <si>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</si>
  <si>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</si>
  <si>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</si>
  <si>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</si>
  <si>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</si>
  <si>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</si>
  <si>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</si>
  <si>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</si>
  <si>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</si>
  <si>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</si>
  <si>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</si>
  <si>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</si>
  <si>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</si>
  <si>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</si>
  <si>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</si>
  <si>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</si>
  <si>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</si>
  <si>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</si>
  <si>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</si>
  <si>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</si>
  <si>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</si>
  <si>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</si>
  <si>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</si>
  <si>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</si>
  <si>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</si>
  <si>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</si>
  <si>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</si>
  <si>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</si>
  <si>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</si>
  <si>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</si>
  <si>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</si>
  <si>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</si>
  <si>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</si>
  <si>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</si>
  <si>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</si>
  <si>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</si>
  <si>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</si>
  <si>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</si>
  <si>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</si>
  <si>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</si>
  <si>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</si>
  <si>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</si>
  <si>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</si>
  <si>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</si>
  <si>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</si>
  <si>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</si>
  <si>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</si>
  <si>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</si>
  <si>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</si>
  <si>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</si>
  <si>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</si>
  <si>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</si>
  <si>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</si>
  <si>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</si>
  <si>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</si>
  <si>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</si>
  <si>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</si>
  <si>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</si>
  <si>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</si>
  <si>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</si>
  <si>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</si>
  <si>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</si>
  <si>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</si>
  <si>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</si>
  <si>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</si>
  <si>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</si>
  <si>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</si>
  <si>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</si>
  <si>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</si>
  <si>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</si>
  <si>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</si>
  <si>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</si>
  <si>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</si>
  <si>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</si>
  <si>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</si>
  <si>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</si>
  <si>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</si>
  <si>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</si>
  <si>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</si>
  <si>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</si>
  <si>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</si>
  <si>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</si>
  <si>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</si>
  <si>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</si>
  <si>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</si>
  <si>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</si>
  <si>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</si>
  <si>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</si>
  <si>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</si>
  <si>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</si>
  <si>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</si>
  <si>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</si>
  <si>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</si>
  <si>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</si>
  <si>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</si>
  <si>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</si>
  <si>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</si>
  <si>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</si>
  <si>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</si>
  <si>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</si>
  <si>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</si>
  <si>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</si>
  <si>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</si>
  <si>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</si>
  <si>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</si>
  <si>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</si>
  <si>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</si>
  <si>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</si>
  <si>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</si>
  <si>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</si>
  <si>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</si>
  <si>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</si>
  <si>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</si>
  <si>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</si>
  <si>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</si>
  <si>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</si>
  <si>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</si>
  <si>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</si>
  <si>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</si>
  <si>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</si>
  <si>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</si>
  <si>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</si>
  <si>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</si>
  <si>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</si>
  <si>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</si>
  <si>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</si>
  <si>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</si>
  <si>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</si>
  <si>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</si>
  <si>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</si>
  <si>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</si>
  <si>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</si>
  <si>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</si>
  <si>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</si>
  <si>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</si>
  <si>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</si>
  <si>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</si>
  <si>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</si>
  <si>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</si>
  <si>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</si>
  <si>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</si>
  <si>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</si>
  <si>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</si>
  <si>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</si>
  <si>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</si>
  <si>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</si>
  <si>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</si>
  <si>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</si>
  <si>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</si>
  <si>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</si>
  <si>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</si>
  <si>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</si>
  <si>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</si>
  <si>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</si>
  <si>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</si>
  <si>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</si>
  <si>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</si>
  <si>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</si>
  <si>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</si>
  <si>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</si>
  <si>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</si>
  <si>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</si>
  <si>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</si>
  <si>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</si>
  <si>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</si>
  <si>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</si>
  <si>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</si>
  <si>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</si>
  <si>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</si>
  <si>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</si>
  <si>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</si>
  <si>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</si>
  <si>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</si>
  <si>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</si>
  <si>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</si>
  <si>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</si>
  <si>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</si>
  <si>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</si>
  <si>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</si>
  <si>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</si>
  <si>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</si>
  <si>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</si>
  <si>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</si>
  <si>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</si>
  <si>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</si>
  <si>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</si>
  <si>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</si>
  <si>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</si>
  <si>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</si>
  <si>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</si>
  <si>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</si>
  <si>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</si>
  <si>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</si>
  <si>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</si>
  <si>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</si>
  <si>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</si>
  <si>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</si>
  <si>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</si>
  <si>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</si>
  <si>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</si>
  <si>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</si>
  <si>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</si>
  <si>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</si>
  <si>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</si>
  <si>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Am 11.11.2015 gegen 23:40 Uhr entgleiste die Zugfahrt GA 52805 des Eisenbahnverkehrsunternehmens DB Schenker Rail auf der Fahrt von Bahnhof (Bf) Braunschweig Rbf nach Bf Mosel in der Überleitstelle (Üst) Treben‐Lehma in der Weiche 20 mit zwei Wagen.</t>
  </si>
  <si>
    <t>Treben-Lehma</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</si>
  <si>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</si>
  <si>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</si>
  <si>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</si>
  <si>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</si>
  <si>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</si>
  <si>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</si>
  <si>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</si>
  <si>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</si>
  <si>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</si>
  <si>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</si>
  <si>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</si>
  <si>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</si>
  <si>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</si>
  <si>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</si>
  <si>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</si>
  <si>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</si>
  <si>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</si>
  <si>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</si>
  <si>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</si>
  <si>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</si>
  <si>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</si>
  <si>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</si>
  <si>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</si>
  <si>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</si>
  <si>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</si>
  <si>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</si>
  <si>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</si>
  <si>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</si>
  <si>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</si>
  <si>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</si>
  <si>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</si>
  <si>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</si>
  <si>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</si>
  <si>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</si>
  <si>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</si>
  <si>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</si>
  <si>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</si>
  <si>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</si>
  <si>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</si>
  <si>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</si>
  <si>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</si>
  <si>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</si>
  <si>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</si>
  <si>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</si>
  <si>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</si>
  <si>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</si>
  <si>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</si>
  <si>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</si>
  <si>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</si>
  <si>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</si>
  <si>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</si>
  <si>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</si>
  <si>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</si>
  <si>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</si>
  <si>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</si>
  <si>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</si>
  <si>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</si>
  <si>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</si>
  <si>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</si>
  <si>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</si>
  <si>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</si>
  <si>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</si>
  <si>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</si>
  <si>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</si>
  <si>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</si>
  <si>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</si>
  <si>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</si>
  <si>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</si>
  <si>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Bremerhaven-Speckbüttel</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</si>
  <si>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</si>
  <si>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</si>
  <si>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</si>
  <si>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</si>
  <si>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</si>
  <si>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</si>
  <si>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</si>
  <si>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</si>
  <si>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</si>
  <si>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</si>
  <si>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</si>
  <si>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</si>
  <si>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</si>
  <si>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</si>
  <si>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</si>
  <si>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</si>
  <si>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</si>
  <si>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</si>
  <si>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</si>
  <si>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</si>
  <si>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</si>
  <si>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</si>
  <si>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</si>
  <si>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</si>
  <si>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</si>
  <si>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</si>
  <si>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</si>
  <si>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</si>
  <si>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</si>
  <si>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</si>
  <si>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</si>
  <si>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</si>
  <si>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</si>
  <si>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</si>
  <si>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</si>
  <si>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</si>
  <si>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</si>
  <si>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</si>
  <si>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</si>
  <si>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</si>
  <si>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</si>
  <si>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</si>
  <si>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</si>
  <si>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</si>
  <si>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</si>
  <si>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</si>
  <si>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</si>
  <si>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</si>
  <si>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</si>
  <si>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</si>
  <si>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</si>
  <si>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</si>
  <si>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</si>
  <si>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</si>
  <si>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</si>
  <si>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</si>
  <si>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</si>
  <si>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</si>
  <si>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</si>
  <si>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</si>
  <si>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</si>
  <si>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</si>
  <si>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</si>
  <si>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</si>
  <si>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</si>
  <si>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</si>
  <si>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</si>
  <si>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</si>
  <si>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</si>
  <si>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</si>
  <si>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</si>
  <si>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</si>
  <si>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</si>
  <si>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</si>
  <si>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</si>
  <si>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</si>
  <si>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</si>
  <si>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</si>
  <si>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</si>
  <si>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</si>
  <si>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</si>
  <si>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</si>
  <si>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</si>
  <si>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</si>
  <si>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</si>
  <si>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</si>
  <si>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</si>
  <si>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</si>
  <si>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</si>
  <si>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</si>
  <si>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</si>
  <si>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</si>
  <si>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</si>
  <si>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</si>
  <si>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</si>
  <si>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</si>
  <si>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</si>
  <si>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</si>
  <si>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</si>
  <si>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</si>
  <si>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</si>
  <si>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</si>
  <si>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</si>
  <si>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</si>
  <si>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</si>
  <si>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</si>
  <si>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</si>
  <si>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</si>
  <si>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</si>
  <si>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</si>
  <si>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</si>
  <si>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</si>
  <si>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</si>
  <si>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</si>
  <si>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</si>
  <si>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</si>
  <si>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</si>
  <si>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</si>
  <si>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</si>
  <si>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</si>
  <si>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</si>
  <si>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</si>
  <si>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</si>
  <si>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</si>
  <si>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</si>
  <si>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</si>
  <si>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</si>
  <si>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</si>
  <si>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</si>
  <si>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</si>
  <si>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</si>
  <si>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</si>
  <si>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</si>
  <si>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</si>
  <si>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</si>
  <si>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</si>
  <si>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</si>
  <si>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</si>
  <si>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</si>
  <si>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</si>
  <si>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</si>
  <si>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</si>
  <si>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</si>
  <si>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</si>
  <si>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</si>
  <si>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</si>
  <si>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</si>
  <si>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</si>
  <si>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</si>
  <si>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</si>
  <si>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</si>
  <si>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</si>
  <si>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</si>
  <si>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</si>
  <si>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</si>
  <si>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</si>
  <si>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</si>
  <si>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</si>
  <si>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</si>
  <si>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</si>
  <si>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</si>
  <si>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</si>
  <si>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</si>
  <si>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</si>
  <si>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</si>
  <si>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</si>
  <si>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</si>
  <si>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</si>
  <si>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</si>
  <si>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</si>
  <si>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</si>
  <si>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</si>
  <si>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</si>
  <si>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</si>
  <si>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</si>
  <si>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</si>
  <si>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</si>
  <si>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</si>
  <si>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</si>
  <si>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</si>
  <si>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</si>
  <si>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</si>
  <si>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real date 06.02.2016</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</si>
  <si>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</si>
  <si>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</si>
  <si>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</si>
  <si>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</si>
  <si>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</si>
  <si>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</si>
  <si>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</si>
  <si>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</si>
  <si>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</si>
  <si>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</si>
  <si>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</si>
  <si>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</si>
  <si>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</si>
  <si>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</si>
  <si>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</si>
  <si>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</si>
  <si>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</si>
  <si>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</si>
  <si>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</si>
  <si>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</si>
  <si>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</si>
  <si>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</si>
  <si>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</si>
  <si>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</si>
  <si>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</si>
  <si>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</si>
  <si>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</si>
  <si>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</si>
  <si>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</si>
  <si>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</si>
  <si>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</si>
  <si>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</si>
  <si>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</si>
  <si>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</si>
  <si>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</si>
  <si>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</si>
  <si>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</si>
  <si>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</si>
  <si>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</si>
  <si>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</si>
  <si>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</si>
  <si>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</si>
  <si>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</si>
  <si>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</si>
  <si>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</si>
  <si>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</si>
  <si>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</si>
  <si>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</si>
  <si>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</si>
  <si>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</si>
  <si>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</si>
  <si>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</si>
  <si>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</si>
  <si>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</si>
  <si>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</si>
  <si>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</si>
  <si>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</si>
  <si>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</si>
  <si>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</si>
  <si>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</si>
  <si>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</si>
  <si>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</si>
  <si>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</si>
  <si>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</si>
  <si>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</si>
  <si>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</si>
  <si>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</si>
  <si>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</si>
  <si>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</si>
  <si>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</si>
  <si>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</si>
  <si>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</si>
  <si>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</si>
  <si>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</si>
  <si>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</si>
  <si>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</si>
  <si>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</si>
  <si>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</si>
  <si>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</si>
  <si>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</si>
  <si>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</si>
  <si>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</si>
  <si>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</si>
  <si>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</si>
  <si>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</si>
  <si>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</si>
  <si>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</si>
  <si>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</si>
  <si>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</si>
  <si>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</si>
  <si>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</si>
  <si>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</si>
  <si>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</si>
  <si>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</si>
  <si>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</si>
  <si>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</si>
  <si>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</si>
  <si>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</si>
  <si>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</si>
  <si>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</si>
  <si>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</si>
  <si>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</si>
  <si>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</si>
  <si>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</si>
  <si>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</si>
  <si>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</si>
  <si>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</si>
  <si>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</si>
  <si>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</si>
  <si>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</si>
  <si>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</si>
  <si>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</si>
  <si>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</si>
  <si>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</si>
  <si>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</si>
  <si>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</si>
  <si>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</si>
  <si>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</si>
  <si>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</si>
  <si>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</si>
  <si>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</si>
  <si>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</si>
  <si>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</si>
  <si>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</si>
  <si>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</si>
  <si>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</si>
  <si>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</si>
  <si>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</si>
  <si>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</si>
  <si>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</si>
  <si>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</si>
  <si>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</si>
  <si>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</si>
  <si>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</si>
  <si>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</si>
  <si>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</si>
  <si>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</si>
  <si>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</si>
  <si>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</si>
  <si>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</si>
  <si>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</si>
  <si>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</si>
  <si>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</si>
  <si>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</si>
  <si>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</si>
  <si>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</si>
  <si>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</si>
  <si>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</si>
  <si>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</si>
  <si>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</si>
  <si>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</si>
  <si>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</si>
  <si>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</si>
  <si>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</si>
  <si>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</si>
  <si>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</si>
  <si>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</si>
  <si>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</si>
  <si>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</si>
  <si>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</si>
  <si>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</si>
  <si>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</si>
  <si>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</si>
  <si>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</si>
  <si>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</si>
  <si>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</si>
  <si>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</si>
  <si>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</si>
  <si>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</si>
  <si>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</si>
  <si>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</si>
  <si>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</si>
  <si>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</si>
  <si>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</si>
  <si>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</si>
  <si>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</si>
  <si>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</si>
  <si>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</si>
  <si>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</si>
  <si>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</si>
  <si>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</si>
  <si>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</si>
  <si>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</si>
  <si>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</si>
  <si>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</si>
  <si>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</si>
  <si>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</si>
  <si>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</si>
  <si>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</si>
  <si>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</si>
  <si>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</si>
  <si>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</si>
  <si>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</si>
  <si>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</si>
  <si>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</si>
  <si>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</si>
  <si>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</si>
  <si>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</si>
  <si>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</si>
  <si>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</si>
  <si>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</si>
  <si>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</si>
  <si>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</si>
  <si>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</si>
  <si>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</si>
  <si>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</si>
  <si>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</si>
  <si>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</si>
  <si>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</si>
  <si>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</si>
  <si>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</si>
  <si>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</si>
  <si>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</si>
  <si>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</si>
  <si>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</si>
  <si>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</si>
  <si>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</si>
  <si>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</si>
  <si>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</si>
  <si>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</si>
  <si>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</si>
  <si>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</si>
  <si>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</si>
  <si>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</si>
  <si>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</si>
  <si>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</si>
  <si>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</si>
  <si>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</si>
  <si>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</si>
  <si>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</si>
  <si>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</si>
  <si>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</si>
  <si>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</si>
  <si>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</si>
  <si>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</si>
  <si>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</si>
  <si>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</si>
  <si>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</si>
  <si>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</si>
  <si>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</si>
  <si>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</si>
  <si>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</si>
  <si>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</si>
  <si>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</si>
  <si>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</si>
  <si>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</si>
  <si>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</si>
  <si>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</si>
  <si>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</si>
  <si>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</si>
  <si>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</si>
  <si>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</si>
  <si>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</si>
  <si>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</si>
  <si>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</si>
  <si>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</si>
  <si>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</si>
  <si>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</si>
  <si>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</si>
  <si>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</si>
  <si>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</si>
  <si>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</si>
  <si>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</si>
  <si>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</si>
  <si>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</si>
  <si>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</si>
  <si>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</si>
  <si>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</si>
  <si>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</si>
  <si>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</si>
  <si>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</si>
  <si>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</si>
  <si>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</si>
  <si>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</si>
  <si>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</si>
  <si>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</si>
  <si>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</si>
  <si>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</si>
  <si>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</si>
  <si>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</si>
  <si>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</si>
  <si>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</si>
  <si>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</si>
  <si>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</si>
  <si>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</si>
  <si>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</si>
  <si>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</si>
  <si>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</si>
  <si>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</si>
  <si>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</si>
  <si>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</si>
  <si>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</si>
  <si>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</si>
  <si>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</si>
  <si>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</si>
  <si>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</si>
  <si>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</si>
  <si>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</si>
  <si>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</si>
  <si>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</si>
  <si>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</si>
  <si>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</si>
  <si>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</si>
  <si>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</si>
  <si>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</si>
  <si>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</si>
  <si>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</si>
  <si>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</si>
  <si>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</si>
  <si>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</si>
  <si>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</si>
  <si>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</si>
  <si>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</si>
  <si>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</si>
  <si>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</si>
  <si>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</si>
  <si>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</si>
  <si>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</si>
  <si>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</si>
  <si>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</si>
  <si>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</si>
  <si>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</si>
  <si>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</si>
  <si>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</si>
  <si>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</si>
  <si>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</si>
  <si>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</si>
  <si>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</si>
  <si>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</si>
  <si>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</si>
  <si>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</si>
  <si>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</si>
  <si>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</si>
  <si>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</si>
  <si>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</si>
  <si>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X-ID</t>
  </si>
  <si>
    <t>AT-10269</t>
  </si>
  <si>
    <t>Trains collision with an obstacle, 31.05.2016, St. Pölten Hbf station</t>
  </si>
  <si>
    <t>NIB AT</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</si>
  <si>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</si>
  <si>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</si>
  <si>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</si>
  <si>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</si>
  <si>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</si>
  <si>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Article 20.2 of Directive (EU) 2016/798 – (b)</t>
  </si>
  <si>
    <t>Die Seitenschürze von RJ 160 war nicht ordnungsgemäß gesichert, klappte während der Fahrt auf, ragte
aus dem Lichtraumprofil heraus und kollidierte mit dem Bstg.</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</si>
  <si>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</si>
  <si>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</si>
  <si>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</si>
  <si>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</si>
  <si>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</si>
  <si>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</si>
  <si>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</si>
  <si>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</si>
  <si>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</si>
  <si>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</si>
  <si>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</si>
  <si>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</si>
  <si>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</si>
  <si>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</si>
  <si>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</si>
  <si>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</si>
  <si>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</si>
  <si>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</si>
  <si>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</si>
  <si>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</si>
  <si>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</si>
  <si>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</si>
  <si>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</si>
  <si>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</si>
  <si>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</si>
  <si>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</si>
  <si>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</si>
  <si>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</si>
  <si>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</si>
  <si>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</si>
  <si>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</si>
  <si>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</si>
  <si>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</si>
  <si>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</si>
  <si>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</si>
  <si>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</si>
  <si>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</si>
  <si>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</si>
  <si>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</si>
  <si>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</si>
  <si>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</si>
  <si>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</si>
  <si>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</si>
  <si>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</si>
  <si>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</si>
  <si>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</si>
  <si>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</si>
  <si>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</si>
  <si>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</si>
  <si>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</si>
  <si>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</si>
  <si>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</si>
  <si>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</si>
  <si>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</si>
  <si>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</si>
  <si>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</si>
  <si>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</si>
  <si>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</si>
  <si>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</si>
  <si>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</si>
  <si>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</si>
  <si>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</si>
  <si>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</si>
  <si>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</si>
  <si>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</si>
  <si>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</si>
  <si>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</si>
  <si>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</si>
  <si>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</si>
  <si>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</si>
  <si>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</si>
  <si>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</si>
  <si>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</si>
  <si>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</si>
  <si>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</si>
  <si>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</si>
  <si>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</si>
  <si>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</si>
  <si>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</si>
  <si>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</si>
  <si>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</si>
  <si>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</si>
  <si>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</si>
  <si>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</si>
  <si>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</si>
  <si>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</si>
  <si>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</si>
  <si>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</si>
  <si>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</si>
  <si>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</si>
  <si>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</si>
  <si>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</si>
  <si>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</si>
  <si>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</si>
  <si>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</si>
  <si>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</si>
  <si>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</si>
  <si>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</si>
  <si>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</si>
  <si>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</si>
  <si>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</si>
  <si>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</si>
  <si>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</si>
  <si>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</si>
  <si>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</si>
  <si>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</si>
  <si>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</si>
  <si>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</si>
  <si>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</si>
  <si>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</si>
  <si>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</si>
  <si>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</si>
  <si>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</si>
  <si>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</si>
  <si>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</si>
  <si>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</si>
  <si>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</si>
  <si>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</si>
  <si>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</si>
  <si>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</si>
  <si>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</si>
  <si>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</si>
  <si>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</si>
  <si>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</si>
  <si>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</si>
  <si>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</si>
  <si>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</si>
  <si>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</si>
  <si>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</si>
  <si>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</si>
  <si>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</si>
  <si>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</si>
  <si>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</si>
  <si>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</si>
  <si>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</si>
  <si>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</si>
  <si>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</si>
  <si>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</si>
  <si>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</si>
  <si>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</si>
  <si>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</si>
  <si>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</si>
  <si>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</si>
  <si>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</si>
  <si>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</si>
  <si>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</si>
  <si>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</si>
  <si>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</si>
  <si>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</si>
  <si>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</si>
  <si>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</si>
  <si>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</si>
  <si>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</si>
  <si>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</si>
  <si>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</si>
  <si>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</si>
  <si>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</si>
  <si>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</si>
  <si>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</si>
  <si>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</si>
  <si>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</si>
  <si>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</si>
  <si>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</si>
  <si>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</si>
  <si>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</si>
  <si>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</si>
  <si>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</si>
  <si>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</si>
  <si>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</si>
  <si>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</si>
  <si>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</si>
  <si>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</si>
  <si>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</si>
  <si>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</si>
  <si>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</si>
  <si>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</si>
  <si>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</si>
  <si>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</si>
  <si>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</si>
  <si>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</si>
  <si>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</si>
  <si>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</si>
  <si>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</si>
  <si>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</si>
  <si>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</si>
  <si>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</si>
  <si>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</si>
  <si>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</si>
  <si>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</si>
  <si>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</si>
  <si>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</si>
  <si>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</si>
  <si>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</si>
  <si>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</si>
  <si>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</si>
  <si>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</si>
  <si>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</si>
  <si>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</si>
  <si>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</si>
  <si>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</si>
  <si>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</si>
  <si>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</si>
  <si>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</si>
  <si>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</si>
  <si>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</si>
  <si>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</si>
  <si>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</si>
  <si>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</si>
  <si>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</si>
  <si>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</si>
  <si>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</si>
  <si>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</si>
  <si>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</si>
  <si>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</si>
  <si>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</si>
  <si>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</si>
  <si>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</si>
  <si>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</si>
  <si>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</si>
  <si>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</si>
  <si>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</si>
  <si>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</si>
  <si>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</si>
  <si>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</si>
  <si>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</si>
  <si>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</si>
  <si>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</si>
  <si>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</si>
  <si>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</si>
  <si>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</si>
  <si>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</si>
  <si>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</si>
  <si>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</si>
  <si>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</si>
  <si>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</si>
  <si>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</si>
  <si>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</si>
  <si>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</si>
  <si>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</si>
  <si>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</si>
  <si>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</si>
  <si>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</si>
  <si>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</si>
  <si>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</si>
  <si>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</si>
  <si>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</si>
  <si>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</si>
  <si>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</si>
  <si>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</si>
  <si>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</si>
  <si>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</si>
  <si>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</si>
  <si>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</si>
  <si>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</si>
  <si>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</si>
  <si>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</si>
  <si>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</si>
  <si>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</si>
  <si>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</si>
  <si>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</si>
  <si>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</si>
  <si>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</si>
  <si>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</si>
  <si>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</si>
  <si>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</si>
  <si>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</si>
  <si>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</si>
  <si>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</si>
  <si>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</si>
  <si>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</si>
  <si>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</si>
  <si>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</si>
  <si>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</si>
  <si>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</si>
  <si>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</si>
  <si>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</si>
  <si>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</si>
  <si>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</si>
  <si>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</si>
  <si>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</si>
  <si>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</si>
  <si>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</si>
  <si>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</si>
  <si>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</si>
  <si>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</si>
  <si>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</si>
  <si>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</si>
  <si>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</si>
  <si>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</si>
  <si>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</si>
  <si>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</si>
  <si>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</si>
  <si>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</si>
  <si>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</si>
  <si>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</si>
  <si>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</si>
  <si>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</si>
  <si>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</si>
  <si>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</si>
  <si>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</si>
  <si>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</si>
  <si>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</si>
  <si>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</si>
  <si>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</si>
  <si>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</si>
  <si>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</si>
  <si>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</si>
  <si>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</si>
  <si>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</si>
  <si>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</si>
  <si>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</si>
  <si>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</si>
  <si>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</si>
  <si>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</si>
  <si>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</si>
  <si>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</si>
  <si>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</si>
  <si>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</si>
  <si>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</si>
  <si>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</si>
  <si>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</si>
  <si>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</si>
  <si>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</si>
  <si>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</si>
  <si>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</si>
  <si>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</si>
  <si>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</si>
  <si>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</si>
  <si>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</si>
  <si>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</si>
  <si>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</si>
  <si>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</si>
  <si>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</si>
  <si>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</si>
  <si>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</si>
  <si>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</si>
  <si>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</si>
  <si>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</si>
  <si>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</si>
  <si>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</si>
  <si>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</si>
  <si>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</si>
  <si>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</si>
  <si>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</si>
  <si>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</si>
  <si>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</si>
  <si>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</si>
  <si>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</si>
  <si>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</si>
  <si>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</si>
  <si>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</si>
  <si>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</si>
  <si>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</si>
  <si>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</si>
  <si>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</si>
  <si>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</si>
  <si>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</si>
  <si>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</si>
  <si>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</si>
  <si>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</si>
  <si>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</si>
  <si>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</si>
  <si>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</si>
  <si>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</si>
  <si>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</si>
  <si>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</si>
  <si>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</si>
  <si>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</si>
  <si>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</si>
  <si>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</si>
  <si>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</si>
  <si>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</si>
  <si>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</si>
  <si>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</si>
  <si>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</si>
  <si>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</si>
  <si>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</si>
  <si>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</si>
  <si>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</si>
  <si>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</si>
  <si>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</si>
  <si>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</si>
  <si>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</si>
  <si>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</si>
  <si>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</si>
  <si>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</si>
  <si>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</si>
  <si>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</si>
  <si>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</si>
  <si>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</si>
  <si>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</si>
  <si>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</si>
  <si>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</si>
  <si>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</si>
  <si>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</si>
  <si>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</si>
  <si>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</si>
  <si>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</si>
  <si>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</si>
  <si>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</si>
  <si>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</si>
  <si>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</si>
  <si>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</si>
  <si>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</si>
  <si>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</si>
  <si>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</si>
  <si>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</si>
  <si>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</si>
  <si>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</si>
  <si>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</si>
  <si>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</si>
  <si>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</si>
  <si>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</si>
  <si>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</si>
  <si>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</si>
  <si>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</si>
  <si>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</si>
  <si>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</si>
  <si>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</si>
  <si>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</si>
  <si>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</si>
  <si>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Level crossing accident, 21/10/2016, Oberkochen – Königsbronn</t>
  </si>
  <si>
    <t>Am 21.10.2016 gegen 09:16 Uhr prallte IRE 3225 auf dem Weg von Aalen nach Ulm Hbf auf dem Bahnübergang (BÜ) km 11,2 mit einem Lastkraftwagen (Lkw) zusammen.</t>
  </si>
  <si>
    <t>Oberkochen - Königsbronn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</si>
  <si>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</si>
  <si>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</si>
  <si>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</si>
  <si>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</si>
  <si>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</si>
  <si>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</si>
  <si>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</si>
  <si>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</si>
  <si>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</si>
  <si>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</si>
  <si>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</si>
  <si>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</si>
  <si>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</si>
  <si>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</si>
  <si>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</si>
  <si>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</si>
  <si>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</si>
  <si>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</si>
  <si>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</si>
  <si>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</si>
  <si>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</si>
  <si>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</si>
  <si>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</si>
  <si>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</si>
  <si>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</si>
  <si>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</si>
  <si>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</si>
  <si>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</si>
  <si>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</si>
  <si>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</si>
  <si>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</si>
  <si>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</si>
  <si>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</si>
  <si>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</si>
  <si>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</si>
  <si>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</si>
  <si>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</si>
  <si>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</si>
  <si>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</si>
  <si>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Blumenberg</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</si>
  <si>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</si>
  <si>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</si>
  <si>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</si>
  <si>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</si>
  <si>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</si>
  <si>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</si>
  <si>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</si>
  <si>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</si>
  <si>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</si>
  <si>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</si>
  <si>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</si>
  <si>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</si>
  <si>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</si>
  <si>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</si>
  <si>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</si>
  <si>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</si>
  <si>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</si>
  <si>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</si>
  <si>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</si>
  <si>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</si>
  <si>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</si>
  <si>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</si>
  <si>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</si>
  <si>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</si>
  <si>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</si>
  <si>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</si>
  <si>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</si>
  <si>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</si>
  <si>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</si>
  <si>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</si>
  <si>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</si>
  <si>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</si>
  <si>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</si>
  <si>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</si>
  <si>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</si>
  <si>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</si>
  <si>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</si>
  <si>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</si>
  <si>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</si>
  <si>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</si>
  <si>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</si>
  <si>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</si>
  <si>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</si>
  <si>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</si>
  <si>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</si>
  <si>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</si>
  <si>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</si>
  <si>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</si>
  <si>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</si>
  <si>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</si>
  <si>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</si>
  <si>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</si>
  <si>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</si>
  <si>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</si>
  <si>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</si>
  <si>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</si>
  <si>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</si>
  <si>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</si>
  <si>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</si>
  <si>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</si>
  <si>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</si>
  <si>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</si>
  <si>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</si>
  <si>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</si>
  <si>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</si>
  <si>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</si>
  <si>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</si>
  <si>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</si>
  <si>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</si>
  <si>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</si>
  <si>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</si>
  <si>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</si>
  <si>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</si>
  <si>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</si>
  <si>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</si>
  <si>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</si>
  <si>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</si>
  <si>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</si>
  <si>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</si>
  <si>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</si>
  <si>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</si>
  <si>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</si>
  <si>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</si>
  <si>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</si>
  <si>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</si>
  <si>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</si>
  <si>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</si>
  <si>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</si>
  <si>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</si>
  <si>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</si>
  <si>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</si>
  <si>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</si>
  <si>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</si>
  <si>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</si>
  <si>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</si>
  <si>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</si>
  <si>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</si>
  <si>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</si>
  <si>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</si>
  <si>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</si>
  <si>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</si>
  <si>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</si>
  <si>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</si>
  <si>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</si>
  <si>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</si>
  <si>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</si>
  <si>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</si>
  <si>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</si>
  <si>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</si>
  <si>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</si>
  <si>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</si>
  <si>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</si>
  <si>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</si>
  <si>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</si>
  <si>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</si>
  <si>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</si>
  <si>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</si>
  <si>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</si>
  <si>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</si>
  <si>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</si>
  <si>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</si>
  <si>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</si>
  <si>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</si>
  <si>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</si>
  <si>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</si>
  <si>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</si>
  <si>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</si>
  <si>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</si>
  <si>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</si>
  <si>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</si>
  <si>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</si>
  <si>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</si>
  <si>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</si>
  <si>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</si>
  <si>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</si>
  <si>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</si>
  <si>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</si>
  <si>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</si>
  <si>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</si>
  <si>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</si>
  <si>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</si>
  <si>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</si>
  <si>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</si>
  <si>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</si>
  <si>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</si>
  <si>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</si>
  <si>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</si>
  <si>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</si>
  <si>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</si>
  <si>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</si>
  <si>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</si>
  <si>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</si>
  <si>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</si>
  <si>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</si>
  <si>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</si>
  <si>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</si>
  <si>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</si>
  <si>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</si>
  <si>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</si>
  <si>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</si>
  <si>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</si>
  <si>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</si>
  <si>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</si>
  <si>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</si>
  <si>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</si>
  <si>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</si>
  <si>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</si>
  <si>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</si>
  <si>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</si>
  <si>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OPEN</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</si>
  <si>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</si>
  <si>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</si>
  <si>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</si>
  <si>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</si>
  <si>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</si>
  <si>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</si>
  <si>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Covers also 03-17-21 accident TBC</t>
  </si>
  <si>
    <t>DE-5230</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</si>
  <si>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</si>
  <si>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</si>
  <si>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</si>
  <si>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</si>
  <si>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</si>
  <si>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</si>
  <si>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</si>
  <si>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</si>
  <si>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</si>
  <si>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</si>
  <si>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</si>
  <si>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</si>
  <si>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</si>
  <si>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</si>
  <si>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</si>
  <si>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</si>
  <si>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</si>
  <si>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</si>
  <si>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</si>
  <si>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</si>
  <si>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</si>
  <si>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</si>
  <si>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</si>
  <si>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</si>
  <si>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</si>
  <si>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</si>
  <si>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</si>
  <si>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</si>
  <si>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</si>
  <si>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</si>
  <si>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</si>
  <si>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</si>
  <si>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</si>
  <si>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</si>
  <si>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</si>
  <si>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</si>
  <si>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</si>
  <si>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</si>
  <si>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</si>
  <si>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</si>
  <si>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CLOSED</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</si>
  <si>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</si>
  <si>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</si>
  <si>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</si>
  <si>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</si>
  <si>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</si>
  <si>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</si>
  <si>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</si>
  <si>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</si>
  <si>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</si>
  <si>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</si>
  <si>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</si>
  <si>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</si>
  <si>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</si>
  <si>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</si>
  <si>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</si>
  <si>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</si>
  <si>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</si>
  <si>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</si>
  <si>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</si>
  <si>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</si>
  <si>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</si>
  <si>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</si>
  <si>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</si>
  <si>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</si>
  <si>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</si>
  <si>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</si>
  <si>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</si>
  <si>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</si>
  <si>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</si>
  <si>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</si>
  <si>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</si>
  <si>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</si>
  <si>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</si>
  <si>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</si>
  <si>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</si>
  <si>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</si>
  <si>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</si>
  <si>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</si>
  <si>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</si>
  <si>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</si>
  <si>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</si>
  <si>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</si>
  <si>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</si>
  <si>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</si>
  <si>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</si>
  <si>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</si>
  <si>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</si>
  <si>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</si>
  <si>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</si>
  <si>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</si>
  <si>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</si>
  <si>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</si>
  <si>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</si>
  <si>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</si>
  <si>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</si>
  <si>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</si>
  <si>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</si>
  <si>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</si>
  <si>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</si>
  <si>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</si>
  <si>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</si>
  <si>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</si>
  <si>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</si>
  <si>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</si>
  <si>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</si>
  <si>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</si>
  <si>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</si>
  <si>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</si>
  <si>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</si>
  <si>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</si>
  <si>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</si>
  <si>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</si>
  <si>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</si>
  <si>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</si>
  <si>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</si>
  <si>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</si>
  <si>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</si>
  <si>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</si>
  <si>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</si>
  <si>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</si>
  <si>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</si>
  <si>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</si>
  <si>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</si>
  <si>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</si>
  <si>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</si>
  <si>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</si>
  <si>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</si>
  <si>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</si>
  <si>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</si>
  <si>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</si>
  <si>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</si>
  <si>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</si>
  <si>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</si>
  <si>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</si>
  <si>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</si>
  <si>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</si>
  <si>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</si>
  <si>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</si>
  <si>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</si>
  <si>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</si>
  <si>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</si>
  <si>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</si>
  <si>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</si>
  <si>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</si>
  <si>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</si>
  <si>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</si>
  <si>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</si>
  <si>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</si>
  <si>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</si>
  <si>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</si>
  <si>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</si>
  <si>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</si>
  <si>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</si>
  <si>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</si>
  <si>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</si>
  <si>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</si>
  <si>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</si>
  <si>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</si>
  <si>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</si>
  <si>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</si>
  <si>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</si>
  <si>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</si>
  <si>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</si>
  <si>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</si>
  <si>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</si>
  <si>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</si>
  <si>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</si>
  <si>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</si>
  <si>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</si>
  <si>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</si>
  <si>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</si>
  <si>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</si>
  <si>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</si>
  <si>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</si>
  <si>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</si>
  <si>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</si>
  <si>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</si>
  <si>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</si>
  <si>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</si>
  <si>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</si>
  <si>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</si>
  <si>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</si>
  <si>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</si>
  <si>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</si>
  <si>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</si>
  <si>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</si>
  <si>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</si>
  <si>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</si>
  <si>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</si>
  <si>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</si>
  <si>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</si>
  <si>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</si>
  <si>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MORE FILES TO BE UPLOAD INTO EXTRANET</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</si>
  <si>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</si>
  <si>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</si>
  <si>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</si>
  <si>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</si>
  <si>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</si>
  <si>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</si>
  <si>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</si>
  <si>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</si>
  <si>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</si>
  <si>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</si>
  <si>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</si>
  <si>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</si>
  <si>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</si>
  <si>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</si>
  <si>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</si>
  <si>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</si>
  <si>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</si>
  <si>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</si>
  <si>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partial collapse wall</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</si>
  <si>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</si>
  <si>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</si>
  <si>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</si>
  <si>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</si>
  <si>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</si>
  <si>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</si>
  <si>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right data 28.02.2018</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</si>
  <si>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</si>
  <si>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</si>
  <si>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</si>
  <si>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</si>
  <si>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</si>
  <si>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</si>
  <si>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</si>
  <si>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</si>
  <si>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</si>
  <si>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</si>
  <si>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</si>
  <si>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</si>
  <si>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</si>
  <si>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</si>
  <si>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</si>
  <si>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</si>
  <si>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</si>
  <si>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</si>
  <si>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</si>
  <si>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</si>
  <si>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</si>
  <si>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</si>
  <si>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</si>
  <si>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</si>
  <si>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</si>
  <si>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</si>
  <si>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</si>
  <si>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</si>
  <si>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</si>
  <si>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</si>
  <si>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</si>
  <si>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</si>
  <si>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</si>
  <si>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</si>
  <si>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</si>
  <si>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</si>
  <si>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</si>
  <si>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</si>
  <si>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</si>
  <si>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</si>
  <si>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</si>
  <si>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</si>
  <si>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</si>
  <si>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</si>
  <si>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</si>
  <si>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</si>
  <si>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</si>
  <si>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</si>
  <si>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</si>
  <si>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</si>
  <si>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</si>
  <si>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</si>
  <si>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</si>
  <si>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</si>
  <si>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</si>
  <si>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</si>
  <si>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</si>
  <si>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</si>
  <si>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</si>
  <si>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</si>
  <si>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</si>
  <si>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</si>
  <si>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</si>
  <si>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</si>
  <si>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</si>
  <si>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</si>
  <si>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</si>
  <si>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</si>
  <si>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</si>
  <si>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</si>
  <si>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</si>
  <si>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</si>
  <si>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</si>
  <si>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</si>
  <si>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</si>
  <si>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</si>
  <si>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</si>
  <si>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</si>
  <si>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</si>
  <si>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</si>
  <si>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</si>
  <si>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</si>
  <si>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</si>
  <si>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</si>
  <si>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</si>
  <si>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</si>
  <si>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</si>
  <si>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</si>
  <si>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</si>
  <si>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</si>
  <si>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</si>
  <si>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</si>
  <si>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</si>
  <si>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</si>
  <si>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</si>
  <si>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</si>
  <si>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</si>
  <si>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</si>
  <si>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</si>
  <si>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</si>
  <si>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</si>
  <si>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</si>
  <si>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</si>
  <si>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</si>
  <si>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</si>
  <si>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Frankfurt (Oder) Oderbrücke</t>
  </si>
  <si>
    <t>DeltaRail GmbH</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</si>
  <si>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</si>
  <si>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</si>
  <si>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</si>
  <si>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</si>
  <si>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</si>
  <si>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</si>
  <si>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</si>
  <si>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</si>
  <si>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</si>
  <si>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</si>
  <si>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</si>
  <si>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</si>
  <si>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</si>
  <si>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</si>
  <si>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</si>
  <si>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</si>
  <si>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</si>
  <si>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</si>
  <si>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</si>
  <si>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</si>
  <si>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</si>
  <si>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</si>
  <si>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</si>
  <si>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</si>
  <si>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</si>
  <si>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</si>
  <si>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</si>
  <si>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</si>
  <si>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</si>
  <si>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</si>
  <si>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</si>
  <si>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</si>
  <si>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</si>
  <si>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</si>
  <si>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</si>
  <si>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</si>
  <si>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</si>
  <si>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</si>
  <si>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</si>
  <si>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</si>
  <si>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</si>
  <si>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</si>
  <si>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</si>
  <si>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</si>
  <si>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</si>
  <si>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</si>
  <si>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</si>
  <si>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</si>
  <si>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</si>
  <si>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</si>
  <si>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</si>
  <si>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</si>
  <si>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</si>
  <si>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</si>
  <si>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</si>
  <si>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</si>
  <si>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</si>
  <si>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</si>
  <si>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</si>
  <si>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</si>
  <si>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</si>
  <si>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</si>
  <si>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</si>
  <si>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</si>
  <si>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</si>
  <si>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</si>
  <si>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</si>
  <si>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</si>
  <si>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</si>
  <si>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</si>
  <si>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</si>
  <si>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</si>
  <si>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</si>
  <si>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</si>
  <si>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</si>
  <si>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</si>
  <si>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</si>
  <si>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</si>
  <si>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</si>
  <si>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</si>
  <si>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</si>
  <si>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</si>
  <si>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</si>
  <si>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</si>
  <si>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</si>
  <si>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</si>
  <si>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Article 20.2 of Directive (EU) 2016/798 - (b)</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</si>
  <si>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</si>
  <si>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</si>
  <si>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</si>
  <si>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</si>
  <si>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</si>
  <si>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</si>
  <si>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</si>
  <si>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</si>
  <si>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</si>
  <si>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</si>
  <si>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</si>
  <si>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</si>
  <si>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</si>
  <si>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</si>
  <si>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</si>
  <si>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</si>
  <si>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</si>
  <si>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</si>
  <si>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</si>
  <si>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</si>
  <si>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</si>
  <si>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</si>
  <si>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</si>
  <si>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</si>
  <si>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</si>
  <si>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</si>
  <si>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</si>
  <si>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</si>
  <si>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</si>
  <si>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</si>
  <si>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</si>
  <si>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</si>
  <si>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</si>
  <si>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</si>
  <si>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</si>
  <si>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r>
      <t>A</t>
    </r>
    <r>
      <rPr>
        <b/>
        <sz val="11"/>
        <color theme="1"/>
        <rFont val="Calibri"/>
        <family val="2"/>
        <scheme val="minor"/>
      </rPr>
      <t>T-5492</t>
    </r>
  </si>
  <si>
    <t>Train derailment, 18-04-17, Betriebsstelle Schwechat (Austria)</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</si>
  <si>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</si>
  <si>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</si>
  <si>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</si>
  <si>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</si>
  <si>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</si>
  <si>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</si>
  <si>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</si>
  <si>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</si>
  <si>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</si>
  <si>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</si>
  <si>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</si>
  <si>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</si>
  <si>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</si>
  <si>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</si>
  <si>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</si>
  <si>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</si>
  <si>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</si>
  <si>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</si>
  <si>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</si>
  <si>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</si>
  <si>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</si>
  <si>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</si>
  <si>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</si>
  <si>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</si>
  <si>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</si>
  <si>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</si>
  <si>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</si>
  <si>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</si>
  <si>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</si>
  <si>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</si>
  <si>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</si>
  <si>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</si>
  <si>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</si>
  <si>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</si>
  <si>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</si>
  <si>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</si>
  <si>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</si>
  <si>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</si>
  <si>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</si>
  <si>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</si>
  <si>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</si>
  <si>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</si>
  <si>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DB Cargo Aktiengesellschaft</t>
  </si>
  <si>
    <t>Bei dem Ereignis wurden keine Personen verletzt oder getötet.</t>
  </si>
  <si>
    <t>Die Entgleisung des Güterzuges GA 52789 wurde durch Gleislagefehler verursacht, die auf ein Tragfähigkeitsproblem des Unterbaues zurückzuführen waren.</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</si>
  <si>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</si>
  <si>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</si>
  <si>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</si>
  <si>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</si>
  <si>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</si>
  <si>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</si>
  <si>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</si>
  <si>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</si>
  <si>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</si>
  <si>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</si>
  <si>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</si>
  <si>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</si>
  <si>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</si>
  <si>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</si>
  <si>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</si>
  <si>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</si>
  <si>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</si>
  <si>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</si>
  <si>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</si>
  <si>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</si>
  <si>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</si>
  <si>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</si>
  <si>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</si>
  <si>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</si>
  <si>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</si>
  <si>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</si>
  <si>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</si>
  <si>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</si>
  <si>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</si>
  <si>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</si>
  <si>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</si>
  <si>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</si>
  <si>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</si>
  <si>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</si>
  <si>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</si>
  <si>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</si>
  <si>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</si>
  <si>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</si>
  <si>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</si>
  <si>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</si>
  <si>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</si>
  <si>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</si>
  <si>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</si>
  <si>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</si>
  <si>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</si>
  <si>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</si>
  <si>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</si>
  <si>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</si>
  <si>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</si>
  <si>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</si>
  <si>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</si>
  <si>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</si>
  <si>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</si>
  <si>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</si>
  <si>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</si>
  <si>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</si>
  <si>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</si>
  <si>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</si>
  <si>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</si>
  <si>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</si>
  <si>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</si>
  <si>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</si>
  <si>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</si>
  <si>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</si>
  <si>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</si>
  <si>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</si>
  <si>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</si>
  <si>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</si>
  <si>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</si>
  <si>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</si>
  <si>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</si>
  <si>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</si>
  <si>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</si>
  <si>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</si>
  <si>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</si>
  <si>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</si>
  <si>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</si>
  <si>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</si>
  <si>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</si>
  <si>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</si>
  <si>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</si>
  <si>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</si>
  <si>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</si>
  <si>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</si>
  <si>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</si>
  <si>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</si>
  <si>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</si>
  <si>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</si>
  <si>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</si>
  <si>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</si>
  <si>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</si>
  <si>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</si>
  <si>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</si>
  <si>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</si>
  <si>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</si>
  <si>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</si>
  <si>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</si>
  <si>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</si>
  <si>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</si>
  <si>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</si>
  <si>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</si>
  <si>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</si>
  <si>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</si>
  <si>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</si>
  <si>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</si>
  <si>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</si>
  <si>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</si>
  <si>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</si>
  <si>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</si>
  <si>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</si>
  <si>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</si>
  <si>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</si>
  <si>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</si>
  <si>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</si>
  <si>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</si>
  <si>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</si>
  <si>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</si>
  <si>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</si>
  <si>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</si>
  <si>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</si>
  <si>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</si>
  <si>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</si>
  <si>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</si>
  <si>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</si>
  <si>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</si>
  <si>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</si>
  <si>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</si>
  <si>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</si>
  <si>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</si>
  <si>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</si>
  <si>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</si>
  <si>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</si>
  <si>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</si>
  <si>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</si>
  <si>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</si>
  <si>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</si>
  <si>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</si>
  <si>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</si>
  <si>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</si>
  <si>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</si>
  <si>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</si>
  <si>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</si>
  <si>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</si>
  <si>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</si>
  <si>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</si>
  <si>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</si>
  <si>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</si>
  <si>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</si>
  <si>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</si>
  <si>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</si>
  <si>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</si>
  <si>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</si>
  <si>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</si>
  <si>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</si>
  <si>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</si>
  <si>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</si>
  <si>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</si>
  <si>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</si>
  <si>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</si>
  <si>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</si>
  <si>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</si>
  <si>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</si>
  <si>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</si>
  <si>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</si>
  <si>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</si>
  <si>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</si>
  <si>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</si>
  <si>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</si>
  <si>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</si>
  <si>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</si>
  <si>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</si>
  <si>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</si>
  <si>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</si>
  <si>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</si>
  <si>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</si>
  <si>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</si>
  <si>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</si>
  <si>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</si>
  <si>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</si>
  <si>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</si>
  <si>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</si>
  <si>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</si>
  <si>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</si>
  <si>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</si>
  <si>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</si>
  <si>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</si>
  <si>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</si>
  <si>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</si>
  <si>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</si>
  <si>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</si>
  <si>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</si>
  <si>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</si>
  <si>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</si>
  <si>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</si>
  <si>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</si>
  <si>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</si>
  <si>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</si>
  <si>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</si>
  <si>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</si>
  <si>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</si>
  <si>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</si>
  <si>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</si>
  <si>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</si>
  <si>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</si>
  <si>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</si>
  <si>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</si>
  <si>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</si>
  <si>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</si>
  <si>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</si>
  <si>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</si>
  <si>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</si>
  <si>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</si>
  <si>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</si>
  <si>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</si>
  <si>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</si>
  <si>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</si>
  <si>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</si>
  <si>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</si>
  <si>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</si>
  <si>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</si>
  <si>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</si>
  <si>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</si>
  <si>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</si>
  <si>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</si>
  <si>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</si>
  <si>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</si>
  <si>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</si>
  <si>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</si>
  <si>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</si>
  <si>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</si>
  <si>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</si>
  <si>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</si>
  <si>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</si>
  <si>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</si>
  <si>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</si>
  <si>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</si>
  <si>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</si>
  <si>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</si>
  <si>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</si>
  <si>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</si>
  <si>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</si>
  <si>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</si>
  <si>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</si>
  <si>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</si>
  <si>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</si>
  <si>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</si>
  <si>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</si>
  <si>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</si>
  <si>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</si>
  <si>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</si>
  <si>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</si>
  <si>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</si>
  <si>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</si>
  <si>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</si>
  <si>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</si>
  <si>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</si>
  <si>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</si>
  <si>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</si>
  <si>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</si>
  <si>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</si>
  <si>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</si>
  <si>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</si>
  <si>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</si>
  <si>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</si>
  <si>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</si>
  <si>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</si>
  <si>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</si>
  <si>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</si>
  <si>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</si>
  <si>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</si>
  <si>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</si>
  <si>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</si>
  <si>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</si>
  <si>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</si>
  <si>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</si>
  <si>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</si>
  <si>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</si>
  <si>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</si>
  <si>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</si>
  <si>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</si>
  <si>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</si>
  <si>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</si>
  <si>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</si>
  <si>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</si>
  <si>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</si>
  <si>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</si>
  <si>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</si>
  <si>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</si>
  <si>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</si>
  <si>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</si>
  <si>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</si>
  <si>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</si>
  <si>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</si>
  <si>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</si>
  <si>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</si>
  <si>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</si>
  <si>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</si>
  <si>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</si>
  <si>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</si>
  <si>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</si>
  <si>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</si>
  <si>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</si>
  <si>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</si>
  <si>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</si>
  <si>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</si>
  <si>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</si>
  <si>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</si>
  <si>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</si>
  <si>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</si>
  <si>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</si>
  <si>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</si>
  <si>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</si>
  <si>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</si>
  <si>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</si>
  <si>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</si>
  <si>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</si>
  <si>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</si>
  <si>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</si>
  <si>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</si>
  <si>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</si>
  <si>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</si>
  <si>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</si>
  <si>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</si>
  <si>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</si>
  <si>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</si>
  <si>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</si>
  <si>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</si>
  <si>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</si>
  <si>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</si>
  <si>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</si>
  <si>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</si>
  <si>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</si>
  <si>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</si>
  <si>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</si>
  <si>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</si>
  <si>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</si>
  <si>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</si>
  <si>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</si>
  <si>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</si>
  <si>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</si>
  <si>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</si>
  <si>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</si>
  <si>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</si>
  <si>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</si>
  <si>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</si>
  <si>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</si>
  <si>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</si>
  <si>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</si>
  <si>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</si>
  <si>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</si>
  <si>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</si>
  <si>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</si>
  <si>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</si>
  <si>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</si>
  <si>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</si>
  <si>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</si>
  <si>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</si>
  <si>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</si>
  <si>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</si>
  <si>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</si>
  <si>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</si>
  <si>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</si>
  <si>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</si>
  <si>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</si>
  <si>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</si>
  <si>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</si>
  <si>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</si>
  <si>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</si>
  <si>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</si>
  <si>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</si>
  <si>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</si>
  <si>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</si>
  <si>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</si>
  <si>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</si>
  <si>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</si>
  <si>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</si>
  <si>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</si>
  <si>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</si>
  <si>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</si>
  <si>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</si>
  <si>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</si>
  <si>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</si>
  <si>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</si>
  <si>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</si>
  <si>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</si>
  <si>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</si>
  <si>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</si>
  <si>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</si>
  <si>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</si>
  <si>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</si>
  <si>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</si>
  <si>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</si>
  <si>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</si>
  <si>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</si>
  <si>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</si>
  <si>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</si>
  <si>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</si>
  <si>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</si>
  <si>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</si>
  <si>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</si>
  <si>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</si>
  <si>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</si>
  <si>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</si>
  <si>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</si>
  <si>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</si>
  <si>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</si>
  <si>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</si>
  <si>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</si>
  <si>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 collision at ÖBB Linz marshalling yard East on August 23, 2017</t>
  </si>
  <si>
    <t>On August 23, 2017, at 11:49 a.m., at the ÖBB Linz marshalling yard East, the Z 97209 of WESTbahn Management GmbH, which was coming from Vienna Westbahnhof and was running as an acceptance journey, collided with the CargoServ freight train Z 61004, which was coming from Eisenerz and was loaded with ore. Both trains were on their way to „Voest connecting line“. For Z 61004 there was a train route that was suitable for signaling over switch 204. For Z 97209 there was a train road that was suitable for signaling from the protective signal “SCH 391” to “SCH 396”. Z 97209 passed the protection signal “SCH 396” indicating “no driving” and collided with the freight train on switch 204. The Tfzf of the Z 97209 initiated emergency braking at a speed of 40 km/h. Z 61004 was traveling at approximately 35 km/h at the time of the collision.</t>
  </si>
  <si>
    <t>ÖBB Linz marshalling yard East</t>
  </si>
  <si>
    <t>Westbahn, CargoServ</t>
  </si>
  <si>
    <t>Damage to vehicles and infrastructure.</t>
  </si>
  <si>
    <t>Article 20.2 of Directive (EU) 2016/798 - (c)</t>
  </si>
  <si>
    <t xml:space="preserve">Causal factors
The cause of the accident was the crossing of the signal by train 97209 via the protective signal “SCH396”, as well as the “failure” or too late intervention of the train protection for the danger point (boundary mark switch 204).
Contributing factors
The limited view from the location of the “SCH 391” to the “SCH 396” signal was a contributing factor due to the contrast to the massive concrete catenary mast behind it (orientation of the light point).
</t>
  </si>
  <si>
    <t>Does not apply</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</si>
  <si>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</si>
  <si>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</si>
  <si>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</si>
  <si>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</si>
  <si>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</si>
  <si>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</si>
  <si>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</si>
  <si>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</si>
  <si>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</si>
  <si>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</si>
  <si>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</si>
  <si>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</si>
  <si>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</si>
  <si>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</si>
  <si>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</si>
  <si>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</si>
  <si>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</si>
  <si>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</si>
  <si>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</si>
  <si>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</si>
  <si>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</si>
  <si>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</si>
  <si>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</si>
  <si>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</si>
  <si>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</si>
  <si>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</si>
  <si>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</si>
  <si>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</si>
  <si>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</si>
  <si>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</si>
  <si>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</si>
  <si>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</si>
  <si>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</si>
  <si>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</si>
  <si>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</si>
  <si>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</si>
  <si>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</si>
  <si>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</si>
  <si>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</si>
  <si>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</si>
  <si>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</si>
  <si>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</si>
  <si>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</si>
  <si>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</si>
  <si>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</si>
  <si>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</si>
  <si>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</si>
  <si>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</si>
  <si>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</si>
  <si>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</si>
  <si>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</si>
  <si>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</si>
  <si>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</si>
  <si>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</si>
  <si>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</si>
  <si>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</si>
  <si>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</si>
  <si>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</si>
  <si>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</si>
  <si>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</si>
  <si>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</si>
  <si>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</si>
  <si>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</si>
  <si>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</si>
  <si>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</si>
  <si>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</si>
  <si>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</si>
  <si>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</si>
  <si>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</si>
  <si>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</si>
  <si>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</si>
  <si>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</si>
  <si>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</si>
  <si>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</si>
  <si>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</si>
  <si>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</si>
  <si>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</si>
  <si>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</si>
  <si>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</si>
  <si>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</si>
  <si>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</si>
  <si>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</si>
  <si>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</si>
  <si>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</si>
  <si>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</si>
  <si>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</si>
  <si>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</si>
  <si>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</si>
  <si>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</si>
  <si>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</si>
  <si>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</si>
  <si>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</si>
  <si>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</si>
  <si>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</si>
  <si>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</si>
  <si>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</si>
  <si>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</si>
  <si>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</si>
  <si>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</si>
  <si>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</si>
  <si>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</si>
  <si>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</si>
  <si>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</si>
  <si>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</si>
  <si>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</si>
  <si>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</si>
  <si>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</si>
  <si>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</si>
  <si>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</si>
  <si>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</si>
  <si>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</si>
  <si>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</si>
  <si>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</si>
  <si>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</si>
  <si>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</si>
  <si>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</si>
  <si>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</si>
  <si>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</si>
  <si>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</si>
  <si>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</si>
  <si>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</si>
  <si>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</si>
  <si>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</si>
  <si>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</si>
  <si>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</si>
  <si>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</si>
  <si>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</si>
  <si>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</si>
  <si>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</si>
  <si>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</si>
  <si>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</si>
  <si>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</si>
  <si>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</si>
  <si>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</si>
  <si>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</si>
  <si>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</si>
  <si>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</si>
  <si>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</si>
  <si>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</si>
  <si>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</si>
  <si>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</si>
  <si>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</si>
  <si>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</si>
  <si>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</si>
  <si>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</si>
  <si>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</si>
  <si>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</si>
  <si>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</si>
  <si>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</si>
  <si>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</si>
  <si>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</si>
  <si>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</si>
  <si>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</si>
  <si>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</si>
  <si>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</si>
  <si>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</si>
  <si>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</si>
  <si>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</si>
  <si>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</si>
  <si>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</si>
  <si>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</si>
  <si>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</si>
  <si>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</si>
  <si>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</si>
  <si>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</si>
  <si>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</si>
  <si>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</si>
  <si>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</si>
  <si>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</si>
  <si>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</si>
  <si>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</si>
  <si>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</si>
  <si>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</si>
  <si>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</si>
  <si>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</si>
  <si>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</si>
  <si>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</si>
  <si>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</si>
  <si>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</si>
  <si>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</si>
  <si>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</si>
  <si>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</si>
  <si>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</si>
  <si>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</si>
  <si>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</si>
  <si>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</si>
  <si>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</si>
  <si>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</si>
  <si>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</si>
  <si>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</si>
  <si>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</si>
  <si>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</si>
  <si>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</si>
  <si>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</si>
  <si>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</si>
  <si>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</si>
  <si>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</si>
  <si>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</si>
  <si>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</si>
  <si>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</si>
  <si>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</si>
  <si>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</si>
  <si>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</si>
  <si>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</si>
  <si>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</si>
  <si>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</si>
  <si>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</si>
  <si>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</si>
  <si>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</si>
  <si>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</si>
  <si>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</si>
  <si>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</si>
  <si>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</si>
  <si>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</si>
  <si>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</si>
  <si>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</si>
  <si>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</si>
  <si>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</si>
  <si>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</si>
  <si>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</si>
  <si>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</si>
  <si>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</si>
  <si>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</si>
  <si>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</si>
  <si>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</si>
  <si>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</si>
  <si>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</si>
  <si>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</si>
  <si>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</si>
  <si>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</si>
  <si>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</si>
  <si>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</si>
  <si>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</si>
  <si>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</si>
  <si>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</si>
  <si>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</si>
  <si>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</si>
  <si>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</si>
  <si>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</si>
  <si>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</si>
  <si>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</si>
  <si>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</si>
  <si>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</si>
  <si>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</si>
  <si>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</si>
  <si>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</si>
  <si>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</si>
  <si>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</si>
  <si>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</si>
  <si>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</si>
  <si>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</si>
  <si>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</si>
  <si>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</si>
  <si>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</si>
  <si>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</si>
  <si>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</si>
  <si>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</si>
  <si>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</si>
  <si>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</si>
  <si>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</si>
  <si>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Haiding</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</si>
  <si>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</si>
  <si>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</si>
  <si>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</si>
  <si>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</si>
  <si>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</si>
  <si>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</si>
  <si>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</si>
  <si>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</si>
  <si>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</si>
  <si>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</si>
  <si>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</si>
  <si>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</si>
  <si>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</si>
  <si>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</si>
  <si>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</si>
  <si>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</si>
  <si>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</si>
  <si>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</si>
  <si>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</si>
  <si>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</si>
  <si>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</si>
  <si>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</si>
  <si>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</si>
  <si>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</si>
  <si>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</si>
  <si>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</si>
  <si>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</si>
  <si>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</si>
  <si>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</si>
  <si>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</si>
  <si>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</si>
  <si>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</si>
  <si>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</si>
  <si>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</si>
  <si>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</si>
  <si>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</si>
  <si>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</si>
  <si>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</si>
  <si>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</si>
  <si>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</si>
  <si>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</si>
  <si>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</si>
  <si>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</si>
  <si>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</si>
  <si>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</si>
  <si>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</si>
  <si>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</si>
  <si>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</si>
  <si>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</si>
  <si>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</si>
  <si>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</si>
  <si>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</si>
  <si>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</si>
  <si>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</si>
  <si>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</si>
  <si>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</si>
  <si>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</si>
  <si>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</si>
  <si>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</si>
  <si>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</si>
  <si>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</si>
  <si>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</si>
  <si>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</si>
  <si>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</si>
  <si>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</si>
  <si>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</si>
  <si>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</si>
  <si>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</si>
  <si>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</si>
  <si>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</si>
  <si>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</si>
  <si>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</si>
  <si>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</si>
  <si>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</si>
  <si>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</si>
  <si>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</si>
  <si>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</si>
  <si>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</si>
  <si>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</si>
  <si>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</si>
  <si>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</si>
  <si>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</si>
  <si>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</si>
  <si>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</si>
  <si>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</si>
  <si>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</si>
  <si>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</si>
  <si>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</si>
  <si>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</si>
  <si>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</si>
  <si>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</si>
  <si>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Elmshorn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</si>
  <si>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</si>
  <si>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</si>
  <si>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</si>
  <si>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</si>
  <si>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</si>
  <si>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</si>
  <si>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</si>
  <si>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</si>
  <si>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</si>
  <si>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</si>
  <si>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</si>
  <si>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</si>
  <si>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</si>
  <si>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</si>
  <si>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</si>
  <si>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</si>
  <si>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</si>
  <si>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</si>
  <si>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</si>
  <si>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</si>
  <si>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</si>
  <si>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</si>
  <si>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</si>
  <si>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</si>
  <si>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</si>
  <si>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</si>
  <si>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</si>
  <si>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</si>
  <si>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</si>
  <si>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</si>
  <si>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</si>
  <si>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</si>
  <si>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</si>
  <si>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</si>
  <si>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</si>
  <si>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</si>
  <si>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</si>
  <si>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</si>
  <si>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</si>
  <si>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</si>
  <si>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</si>
  <si>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</si>
  <si>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</si>
  <si>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</si>
  <si>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</si>
  <si>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</si>
  <si>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</si>
  <si>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</si>
  <si>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</si>
  <si>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</si>
  <si>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</si>
  <si>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</si>
  <si>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</si>
  <si>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</si>
  <si>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</si>
  <si>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</si>
  <si>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</si>
  <si>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</si>
  <si>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</si>
  <si>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</si>
  <si>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</si>
  <si>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</si>
  <si>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</si>
  <si>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</si>
  <si>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</si>
  <si>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</si>
  <si>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</si>
  <si>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</si>
  <si>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</si>
  <si>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</si>
  <si>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</si>
  <si>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</si>
  <si>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</si>
  <si>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</si>
  <si>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</si>
  <si>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</si>
  <si>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</si>
  <si>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</si>
  <si>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</si>
  <si>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</si>
  <si>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</si>
  <si>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</si>
  <si>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</si>
  <si>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</si>
  <si>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</si>
  <si>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</si>
  <si>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</si>
  <si>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</si>
  <si>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</si>
  <si>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</si>
  <si>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</si>
  <si>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</si>
  <si>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</si>
  <si>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</si>
  <si>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</si>
  <si>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</si>
  <si>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</si>
  <si>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</si>
  <si>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</si>
  <si>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</si>
  <si>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</si>
  <si>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</si>
  <si>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</si>
  <si>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</si>
  <si>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</si>
  <si>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</si>
  <si>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</si>
  <si>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</si>
  <si>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</si>
  <si>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</si>
  <si>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</si>
  <si>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</si>
  <si>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</si>
  <si>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</si>
  <si>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</si>
  <si>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</si>
  <si>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</si>
  <si>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</si>
  <si>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</si>
  <si>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</si>
  <si>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</si>
  <si>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</si>
  <si>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</si>
  <si>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</si>
  <si>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</si>
  <si>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</si>
  <si>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</si>
  <si>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</si>
  <si>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</si>
  <si>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</si>
  <si>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</si>
  <si>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</si>
  <si>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</si>
  <si>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</si>
  <si>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</si>
  <si>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</si>
  <si>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</si>
  <si>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</si>
  <si>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</si>
  <si>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</si>
  <si>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</si>
  <si>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</si>
  <si>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</si>
  <si>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</si>
  <si>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</si>
  <si>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</si>
  <si>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</si>
  <si>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</si>
  <si>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</si>
  <si>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</si>
  <si>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</si>
  <si>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</si>
  <si>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</si>
  <si>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</si>
  <si>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</si>
  <si>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</si>
  <si>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</si>
  <si>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</si>
  <si>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</si>
  <si>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</si>
  <si>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</si>
  <si>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</si>
  <si>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</si>
  <si>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</si>
  <si>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</si>
  <si>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</si>
  <si>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</si>
  <si>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</si>
  <si>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</si>
  <si>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</si>
  <si>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</si>
  <si>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</si>
  <si>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</si>
  <si>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</si>
  <si>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</si>
  <si>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</si>
  <si>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</si>
  <si>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Does not apply.</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</si>
  <si>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</si>
  <si>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</si>
  <si>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</si>
  <si>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</si>
  <si>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</si>
  <si>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</si>
  <si>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</si>
  <si>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</si>
  <si>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</si>
  <si>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</si>
  <si>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</si>
  <si>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</si>
  <si>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</si>
  <si>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</si>
  <si>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</si>
  <si>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</si>
  <si>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</si>
  <si>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</si>
  <si>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</si>
  <si>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</si>
  <si>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</si>
  <si>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</si>
  <si>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</si>
  <si>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</si>
  <si>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</si>
  <si>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</si>
  <si>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</si>
  <si>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</si>
  <si>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</si>
  <si>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</si>
  <si>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</si>
  <si>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</si>
  <si>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</si>
  <si>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</si>
  <si>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</si>
  <si>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</si>
  <si>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</si>
  <si>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</si>
  <si>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</si>
  <si>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</si>
  <si>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</si>
  <si>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</si>
  <si>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</si>
  <si>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</si>
  <si>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</si>
  <si>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</si>
  <si>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</si>
  <si>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</si>
  <si>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</si>
  <si>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</si>
  <si>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</si>
  <si>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</si>
  <si>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</si>
  <si>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</si>
  <si>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</si>
  <si>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</si>
  <si>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</si>
  <si>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</si>
  <si>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</si>
  <si>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</si>
  <si>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</si>
  <si>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</si>
  <si>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</si>
  <si>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</si>
  <si>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</si>
  <si>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</si>
  <si>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</si>
  <si>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</si>
  <si>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</si>
  <si>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</si>
  <si>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</si>
  <si>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</si>
  <si>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</si>
  <si>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</si>
  <si>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</si>
  <si>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</si>
  <si>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</si>
  <si>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</si>
  <si>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</si>
  <si>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</si>
  <si>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</si>
  <si>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</si>
  <si>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</si>
  <si>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</si>
  <si>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</si>
  <si>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</si>
  <si>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</si>
  <si>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</si>
  <si>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</si>
  <si>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</si>
  <si>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</si>
  <si>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</si>
  <si>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</si>
  <si>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</si>
  <si>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</si>
  <si>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</si>
  <si>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</si>
  <si>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</si>
  <si>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</si>
  <si>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</si>
  <si>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</si>
  <si>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</si>
  <si>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</si>
  <si>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</si>
  <si>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</si>
  <si>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</si>
  <si>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</si>
  <si>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</si>
  <si>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</si>
  <si>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</si>
  <si>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</si>
  <si>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</si>
  <si>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</si>
  <si>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</si>
  <si>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</si>
  <si>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</si>
  <si>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</si>
  <si>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</si>
  <si>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</si>
  <si>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</si>
  <si>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</si>
  <si>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</si>
  <si>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</si>
  <si>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</si>
  <si>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</si>
  <si>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</si>
  <si>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</si>
  <si>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</si>
  <si>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</si>
  <si>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</si>
  <si>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</si>
  <si>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</si>
  <si>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</si>
  <si>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</si>
  <si>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</si>
  <si>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</si>
  <si>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</si>
  <si>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</si>
  <si>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</si>
  <si>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</si>
  <si>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</si>
  <si>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</si>
  <si>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</si>
  <si>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</si>
  <si>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</si>
  <si>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</si>
  <si>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</si>
  <si>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</si>
  <si>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</si>
  <si>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</si>
  <si>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</si>
  <si>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</si>
  <si>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</si>
  <si>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</si>
  <si>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</si>
  <si>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</si>
  <si>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</si>
  <si>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</si>
  <si>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</si>
  <si>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</si>
  <si>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</si>
  <si>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</si>
  <si>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</si>
  <si>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</si>
  <si>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</si>
  <si>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</si>
  <si>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</si>
  <si>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</si>
  <si>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</si>
  <si>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</si>
  <si>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</si>
  <si>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</si>
  <si>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</si>
  <si>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</si>
  <si>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</si>
  <si>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</si>
  <si>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</si>
  <si>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</si>
  <si>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</si>
  <si>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</si>
  <si>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</si>
  <si>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</si>
  <si>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</si>
  <si>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</si>
  <si>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</si>
  <si>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</si>
  <si>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</si>
  <si>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</si>
  <si>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</si>
  <si>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</si>
  <si>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</si>
  <si>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</si>
  <si>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</si>
  <si>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</si>
  <si>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</si>
  <si>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</si>
  <si>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</si>
  <si>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</si>
  <si>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</si>
  <si>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</si>
  <si>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</si>
  <si>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</si>
  <si>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</si>
  <si>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</si>
  <si>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</si>
  <si>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</si>
  <si>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</si>
  <si>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</si>
  <si>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</si>
  <si>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</si>
  <si>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</si>
  <si>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</si>
  <si>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</si>
  <si>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</si>
  <si>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</si>
  <si>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</si>
  <si>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</si>
  <si>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</si>
  <si>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</si>
  <si>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</si>
  <si>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</si>
  <si>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</si>
  <si>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</si>
  <si>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</si>
  <si>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</si>
  <si>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</si>
  <si>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</si>
  <si>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</si>
  <si>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</si>
  <si>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</si>
  <si>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</si>
  <si>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</si>
  <si>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</si>
  <si>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</si>
  <si>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</si>
  <si>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</si>
  <si>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</si>
  <si>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</si>
  <si>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</si>
  <si>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</si>
  <si>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</si>
  <si>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</si>
  <si>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</si>
  <si>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</si>
  <si>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</si>
  <si>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</si>
  <si>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</si>
  <si>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</si>
  <si>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</si>
  <si>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</si>
  <si>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</si>
  <si>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</si>
  <si>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</si>
  <si>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</si>
  <si>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</si>
  <si>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</si>
  <si>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</si>
  <si>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</si>
  <si>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</si>
  <si>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</si>
  <si>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</si>
  <si>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</si>
  <si>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</si>
  <si>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</si>
  <si>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</si>
  <si>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</si>
  <si>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</si>
  <si>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</si>
  <si>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</si>
  <si>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</si>
  <si>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</si>
  <si>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</si>
  <si>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</si>
  <si>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</si>
  <si>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</si>
  <si>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</si>
  <si>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</si>
  <si>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</si>
  <si>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</si>
  <si>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</si>
  <si>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</si>
  <si>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</si>
  <si>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</si>
  <si>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</si>
  <si>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</si>
  <si>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</si>
  <si>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</si>
  <si>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</si>
  <si>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</si>
  <si>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</si>
  <si>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</si>
  <si>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</si>
  <si>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</si>
  <si>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</si>
  <si>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</si>
  <si>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</si>
  <si>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</si>
  <si>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</si>
  <si>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</si>
  <si>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</si>
  <si>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</si>
  <si>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</si>
  <si>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</si>
  <si>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</si>
  <si>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</si>
  <si>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</si>
  <si>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</si>
  <si>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</si>
  <si>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</si>
  <si>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</si>
  <si>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</si>
  <si>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</si>
  <si>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</si>
  <si>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</si>
  <si>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</si>
  <si>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</si>
  <si>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</si>
  <si>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</si>
  <si>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</si>
  <si>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</si>
  <si>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</si>
  <si>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</si>
  <si>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</si>
  <si>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</si>
  <si>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</si>
  <si>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</si>
  <si>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</si>
  <si>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</si>
  <si>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</si>
  <si>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</si>
  <si>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</si>
  <si>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</si>
  <si>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</si>
  <si>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</si>
  <si>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</si>
  <si>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</si>
  <si>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</si>
  <si>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</si>
  <si>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</si>
  <si>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</si>
  <si>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</si>
  <si>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</si>
  <si>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</si>
  <si>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</si>
  <si>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</si>
  <si>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</si>
  <si>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</si>
  <si>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</si>
  <si>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</si>
  <si>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</si>
  <si>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</si>
  <si>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</si>
  <si>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</si>
  <si>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</si>
  <si>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</si>
  <si>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</si>
  <si>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</si>
  <si>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</si>
  <si>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</si>
  <si>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</si>
  <si>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</si>
  <si>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</si>
  <si>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</si>
  <si>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</si>
  <si>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</si>
  <si>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</si>
  <si>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</si>
  <si>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</si>
  <si>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</si>
  <si>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</si>
  <si>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</si>
  <si>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</si>
  <si>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</si>
  <si>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</si>
  <si>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</si>
  <si>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</si>
  <si>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</si>
  <si>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</si>
  <si>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</si>
  <si>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</si>
  <si>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</si>
  <si>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</si>
  <si>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</si>
  <si>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</si>
  <si>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</si>
  <si>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</si>
  <si>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</si>
  <si>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</si>
  <si>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</si>
  <si>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</si>
  <si>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</si>
  <si>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</si>
  <si>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</si>
  <si>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</si>
  <si>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</si>
  <si>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</si>
  <si>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</si>
  <si>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</si>
  <si>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</si>
  <si>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</si>
  <si>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</si>
  <si>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</si>
  <si>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</si>
  <si>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</si>
  <si>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</si>
  <si>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</si>
  <si>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</si>
  <si>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</si>
  <si>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</si>
  <si>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</si>
  <si>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</si>
  <si>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</si>
  <si>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</si>
  <si>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</si>
  <si>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</si>
  <si>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</si>
  <si>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</si>
  <si>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</si>
  <si>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</si>
  <si>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</si>
  <si>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</si>
  <si>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</si>
  <si>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</si>
  <si>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</si>
  <si>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</si>
  <si>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</si>
  <si>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</si>
  <si>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</si>
  <si>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</si>
  <si>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</si>
  <si>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</si>
  <si>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</si>
  <si>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</si>
  <si>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</si>
  <si>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</si>
  <si>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</si>
  <si>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</si>
  <si>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</si>
  <si>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according to me there is an error in ERAIL file, it should be 2018</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</si>
  <si>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</si>
  <si>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</si>
  <si>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</si>
  <si>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</si>
  <si>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</si>
  <si>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</si>
  <si>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</si>
  <si>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</si>
  <si>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</si>
  <si>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</si>
  <si>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</si>
  <si>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</si>
  <si>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</si>
  <si>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</si>
  <si>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</si>
  <si>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</si>
  <si>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</si>
  <si>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</si>
  <si>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</si>
  <si>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</si>
  <si>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</si>
  <si>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</si>
  <si>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</si>
  <si>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</si>
  <si>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</si>
  <si>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</si>
  <si>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</si>
  <si>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</si>
  <si>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</si>
  <si>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</si>
  <si>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</si>
  <si>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</si>
  <si>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</si>
  <si>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</si>
  <si>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</si>
  <si>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</si>
  <si>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</si>
  <si>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</si>
  <si>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</si>
  <si>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Am 27.04.2018 gegen 23:50 Uhr kollidierte die Zugfahrt DGS 69150 auf der Fahrt von München-Riem Ubf nach Bremerhaven Weddewarder Tief bei der Ausfahrt aus dem Bahnhofsteil München-Riem Ubf mit einem Hemmschuh und entgleiste infolgedessen im Verlauf der Weiterfahrt.</t>
  </si>
  <si>
    <t>München-Riem</t>
  </si>
  <si>
    <t>BoxXpress.de GmbH</t>
  </si>
  <si>
    <t>1 staff lightly injured. Heavy damages on vehicles. Heavy damages on infrastructure with unvailabilities of high-frequented lines and the intermodal terminal for one week.</t>
  </si>
  <si>
    <t>Ursächlich für das Ereignis war eine mangelhafte Zugvorbereitung. Zur Sicherung gegen unbeabsichtigtes Bewegen wurden zwei Hemmschuhe eingesetzt. Diese wurden vor der Abfahrt des betroffenen Zuges nicht ordnungsgemäß entfernt.</t>
  </si>
  <si>
    <t>Local principles of vehicle securing while parking under RU's coordination of a supplier.</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</si>
  <si>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</si>
  <si>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</si>
  <si>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</si>
  <si>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</si>
  <si>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</si>
  <si>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</si>
  <si>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</si>
  <si>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</si>
  <si>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</si>
  <si>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</si>
  <si>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</si>
  <si>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</si>
  <si>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</si>
  <si>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</si>
  <si>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</si>
  <si>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</si>
  <si>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</si>
  <si>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</si>
  <si>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</si>
  <si>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</si>
  <si>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NIB CH</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</si>
  <si>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</si>
  <si>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</si>
  <si>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</si>
  <si>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</si>
  <si>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Extensive damage to rolling stock and infrastructure</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</si>
  <si>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</si>
  <si>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</si>
  <si>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</si>
  <si>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</si>
  <si>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</si>
  <si>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</si>
  <si>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</si>
  <si>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</si>
  <si>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</si>
  <si>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</si>
  <si>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</si>
  <si>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</si>
  <si>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</si>
  <si>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</si>
  <si>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</si>
  <si>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</si>
  <si>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</si>
  <si>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</si>
  <si>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</si>
  <si>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</si>
  <si>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</si>
  <si>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</si>
  <si>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</si>
  <si>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</si>
  <si>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</si>
  <si>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</si>
  <si>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</si>
  <si>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</si>
  <si>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</si>
  <si>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</si>
  <si>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</si>
  <si>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</si>
  <si>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</si>
  <si>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</si>
  <si>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</si>
  <si>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</si>
  <si>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</si>
  <si>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</si>
  <si>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</si>
  <si>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</si>
  <si>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</si>
  <si>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</si>
  <si>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</si>
  <si>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</si>
  <si>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</si>
  <si>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</si>
  <si>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</si>
  <si>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</si>
  <si>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</si>
  <si>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</si>
  <si>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</si>
  <si>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</si>
  <si>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</si>
  <si>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</si>
  <si>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</si>
  <si>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</si>
  <si>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</si>
  <si>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</si>
  <si>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</si>
  <si>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</si>
  <si>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</si>
  <si>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</si>
  <si>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</si>
  <si>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</si>
  <si>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</si>
  <si>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</si>
  <si>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</si>
  <si>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</si>
  <si>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</si>
  <si>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</si>
  <si>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</si>
  <si>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</si>
  <si>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</si>
  <si>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</si>
  <si>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</si>
  <si>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</si>
  <si>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</si>
  <si>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</si>
  <si>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</si>
  <si>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</si>
  <si>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</si>
  <si>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</si>
  <si>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</si>
  <si>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</si>
  <si>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</si>
  <si>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</si>
  <si>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</si>
  <si>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</si>
  <si>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</si>
  <si>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</si>
  <si>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</si>
  <si>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</si>
  <si>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</si>
  <si>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</si>
  <si>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</si>
  <si>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</si>
  <si>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</si>
  <si>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</si>
  <si>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</si>
  <si>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</si>
  <si>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</si>
  <si>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</si>
  <si>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</si>
  <si>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</si>
  <si>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</si>
  <si>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</si>
  <si>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</si>
  <si>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</si>
  <si>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</si>
  <si>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</si>
  <si>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</si>
  <si>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</si>
  <si>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</si>
  <si>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</si>
  <si>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</si>
  <si>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</si>
  <si>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</si>
  <si>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</si>
  <si>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</si>
  <si>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</si>
  <si>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</si>
  <si>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</si>
  <si>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</si>
  <si>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</si>
  <si>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</si>
  <si>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</si>
  <si>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</si>
  <si>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</si>
  <si>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</si>
  <si>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</si>
  <si>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</si>
  <si>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</si>
  <si>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</si>
  <si>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</si>
  <si>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</si>
  <si>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</si>
  <si>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</si>
  <si>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</si>
  <si>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</si>
  <si>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</si>
  <si>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</si>
  <si>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</si>
  <si>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</si>
  <si>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</si>
  <si>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</si>
  <si>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</si>
  <si>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</si>
  <si>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</si>
  <si>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</si>
  <si>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</si>
  <si>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</si>
  <si>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</si>
  <si>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</si>
  <si>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</si>
  <si>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</si>
  <si>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</si>
  <si>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</si>
  <si>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</si>
  <si>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</si>
  <si>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</si>
  <si>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</si>
  <si>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</si>
  <si>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</si>
  <si>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</si>
  <si>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</si>
  <si>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</si>
  <si>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</si>
  <si>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</si>
  <si>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</si>
  <si>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</si>
  <si>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</si>
  <si>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</si>
  <si>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</si>
  <si>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</si>
  <si>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</si>
  <si>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</si>
  <si>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</si>
  <si>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</si>
  <si>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</si>
  <si>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</si>
  <si>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</si>
  <si>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</si>
  <si>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</si>
  <si>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</si>
  <si>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</si>
  <si>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</si>
  <si>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</si>
  <si>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</si>
  <si>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</si>
  <si>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</si>
  <si>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</si>
  <si>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</si>
  <si>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</si>
  <si>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</si>
  <si>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</si>
  <si>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</si>
  <si>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</si>
  <si>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Am 24.06.2018 gegen 12:58 Uhr kollidierte der Güterzug GM 41590 auf der Fahrt von Oberhausen West nach Amsterdam-Westhaven bei der Ausfahrt aus dem Bahnhof Oberhausen West mit einem Hemmschuh und entgleiste.</t>
  </si>
  <si>
    <t>Oberhausen West</t>
  </si>
  <si>
    <t>Zum Unfall führte eine fehlerhafte Zugvorbereitung. Vor der Abfahrt des Zuges wurde ein Hemmschuh, der zur Sicherung gegen unbeabsichtigtes Bewegen verwendet wurde, nicht ordnungsgemäß entfernt.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</si>
  <si>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</si>
  <si>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</si>
  <si>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</si>
  <si>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</si>
  <si>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</si>
  <si>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</si>
  <si>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</si>
  <si>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</si>
  <si>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</si>
  <si>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</si>
  <si>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</si>
  <si>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</si>
  <si>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</si>
  <si>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</si>
  <si>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</si>
  <si>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</si>
  <si>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</si>
  <si>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</si>
  <si>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</si>
  <si>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</si>
  <si>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</si>
  <si>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</si>
  <si>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</si>
  <si>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</si>
  <si>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</si>
  <si>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</si>
  <si>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</si>
  <si>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</si>
  <si>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</si>
  <si>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</si>
  <si>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</si>
  <si>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</si>
  <si>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</si>
  <si>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</si>
  <si>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</si>
  <si>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</si>
  <si>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</si>
  <si>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</si>
  <si>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</si>
  <si>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</si>
  <si>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</si>
  <si>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</si>
  <si>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</si>
  <si>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</si>
  <si>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</si>
  <si>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</si>
  <si>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</si>
  <si>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</si>
  <si>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</si>
  <si>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</si>
  <si>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</si>
  <si>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</si>
  <si>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</si>
  <si>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</si>
  <si>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</si>
  <si>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</si>
  <si>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</si>
  <si>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</si>
  <si>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</si>
  <si>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</si>
  <si>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</si>
  <si>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</si>
  <si>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</si>
  <si>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</si>
  <si>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</si>
  <si>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</si>
  <si>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</si>
  <si>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</si>
  <si>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</si>
  <si>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</si>
  <si>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</si>
  <si>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</si>
  <si>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</si>
  <si>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</si>
  <si>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</si>
  <si>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</si>
  <si>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</si>
  <si>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</si>
  <si>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</si>
  <si>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</si>
  <si>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</si>
  <si>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</si>
  <si>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</si>
  <si>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</si>
  <si>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</si>
  <si>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</si>
  <si>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</si>
  <si>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</si>
  <si>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</si>
  <si>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</si>
  <si>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</si>
  <si>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</si>
  <si>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</si>
  <si>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</si>
  <si>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</si>
  <si>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</si>
  <si>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</si>
  <si>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</si>
  <si>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</si>
  <si>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</si>
  <si>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</si>
  <si>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</si>
  <si>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</si>
  <si>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</si>
  <si>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</si>
  <si>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</si>
  <si>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</si>
  <si>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</si>
  <si>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</si>
  <si>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</si>
  <si>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</si>
  <si>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</si>
  <si>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</si>
  <si>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</si>
  <si>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</si>
  <si>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</si>
  <si>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</si>
  <si>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</si>
  <si>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</si>
  <si>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</si>
  <si>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</si>
  <si>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</si>
  <si>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</si>
  <si>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</si>
  <si>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</si>
  <si>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</si>
  <si>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</si>
  <si>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</si>
  <si>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</si>
  <si>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</si>
  <si>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</si>
  <si>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</si>
  <si>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</si>
  <si>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</si>
  <si>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</si>
  <si>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</si>
  <si>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</si>
  <si>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</si>
  <si>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</si>
  <si>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</si>
  <si>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</si>
  <si>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</si>
  <si>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</si>
  <si>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</si>
  <si>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</si>
  <si>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</si>
  <si>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</si>
  <si>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</si>
  <si>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</si>
  <si>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</si>
  <si>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</si>
  <si>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</si>
  <si>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</si>
  <si>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</si>
  <si>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</si>
  <si>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</si>
  <si>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</si>
  <si>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</si>
  <si>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</si>
  <si>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</si>
  <si>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</si>
  <si>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</si>
  <si>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</si>
  <si>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</si>
  <si>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</si>
  <si>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</si>
  <si>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</si>
  <si>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</si>
  <si>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</si>
  <si>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</si>
  <si>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</si>
  <si>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</si>
  <si>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</si>
  <si>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</si>
  <si>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</si>
  <si>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</si>
  <si>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</si>
  <si>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</si>
  <si>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</si>
  <si>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</si>
  <si>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</si>
  <si>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</si>
  <si>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</si>
  <si>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</si>
  <si>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</si>
  <si>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</si>
  <si>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</si>
  <si>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</si>
  <si>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</si>
  <si>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</si>
  <si>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</si>
  <si>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</si>
  <si>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</si>
  <si>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</si>
  <si>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</si>
  <si>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</si>
  <si>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</si>
  <si>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</si>
  <si>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</si>
  <si>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</si>
  <si>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</si>
  <si>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</si>
  <si>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</si>
  <si>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</si>
  <si>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</si>
  <si>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</si>
  <si>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</si>
  <si>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</si>
  <si>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</si>
  <si>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</si>
  <si>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</si>
  <si>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</si>
  <si>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</si>
  <si>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</si>
  <si>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</si>
  <si>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</si>
  <si>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</si>
  <si>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</si>
  <si>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</si>
  <si>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</si>
  <si>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</si>
  <si>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</si>
  <si>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</si>
  <si>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</si>
  <si>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</si>
  <si>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</si>
  <si>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</si>
  <si>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</si>
  <si>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</si>
  <si>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</si>
  <si>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</si>
  <si>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</si>
  <si>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</si>
  <si>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</si>
  <si>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</si>
  <si>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</si>
  <si>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</si>
  <si>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</si>
  <si>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</si>
  <si>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</si>
  <si>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</si>
  <si>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</si>
  <si>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</si>
  <si>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</si>
  <si>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</si>
  <si>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</si>
  <si>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</si>
  <si>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</si>
  <si>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</si>
  <si>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</si>
  <si>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</si>
  <si>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</si>
  <si>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</si>
  <si>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</si>
  <si>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</si>
  <si>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</si>
  <si>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</si>
  <si>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</si>
  <si>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</si>
  <si>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</si>
  <si>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</si>
  <si>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</si>
  <si>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</si>
  <si>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</si>
  <si>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</si>
  <si>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</si>
  <si>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</si>
  <si>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</si>
  <si>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</si>
  <si>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</si>
  <si>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</si>
  <si>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</si>
  <si>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</si>
  <si>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</si>
  <si>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</si>
  <si>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</si>
  <si>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</si>
  <si>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</si>
  <si>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</si>
  <si>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</si>
  <si>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</si>
  <si>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</si>
  <si>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</si>
  <si>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</si>
  <si>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</si>
  <si>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</si>
  <si>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</si>
  <si>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</si>
  <si>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</si>
  <si>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</si>
  <si>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</si>
  <si>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</si>
  <si>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</si>
  <si>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</si>
  <si>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</si>
  <si>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</si>
  <si>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</si>
  <si>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</si>
  <si>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</si>
  <si>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</si>
  <si>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</si>
  <si>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</si>
  <si>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</si>
  <si>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</si>
  <si>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</si>
  <si>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</si>
  <si>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</si>
  <si>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</si>
  <si>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</si>
  <si>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</si>
  <si>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</si>
  <si>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</si>
  <si>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</si>
  <si>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</si>
  <si>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</si>
  <si>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</si>
  <si>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</si>
  <si>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</si>
  <si>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</si>
  <si>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</si>
  <si>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</si>
  <si>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</si>
  <si>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</si>
  <si>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</si>
  <si>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</si>
  <si>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</si>
  <si>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</si>
  <si>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</si>
  <si>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</si>
  <si>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</si>
  <si>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</si>
  <si>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</si>
  <si>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</si>
  <si>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</si>
  <si>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</si>
  <si>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</si>
  <si>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</si>
  <si>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</si>
  <si>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</si>
  <si>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</si>
  <si>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</si>
  <si>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</si>
  <si>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</si>
  <si>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</si>
  <si>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</si>
  <si>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</si>
  <si>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</si>
  <si>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</si>
  <si>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</si>
  <si>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</si>
  <si>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</si>
  <si>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</si>
  <si>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</si>
  <si>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</si>
  <si>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</si>
  <si>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</si>
  <si>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</si>
  <si>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</si>
  <si>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</si>
  <si>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</si>
  <si>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</si>
  <si>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</si>
  <si>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</si>
  <si>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</si>
  <si>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</si>
  <si>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</si>
  <si>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</si>
  <si>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</si>
  <si>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</si>
  <si>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</si>
  <si>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</si>
  <si>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</si>
  <si>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</si>
  <si>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</si>
  <si>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</si>
  <si>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</si>
  <si>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</si>
  <si>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</si>
  <si>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</si>
  <si>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</si>
  <si>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</si>
  <si>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</si>
  <si>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</si>
  <si>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</si>
  <si>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</si>
  <si>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</si>
  <si>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</si>
  <si>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</si>
  <si>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</si>
  <si>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</si>
  <si>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</si>
  <si>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</si>
  <si>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</si>
  <si>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</si>
  <si>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</si>
  <si>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</si>
  <si>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</si>
  <si>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</si>
  <si>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</si>
  <si>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</si>
  <si>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</si>
  <si>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</si>
  <si>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</si>
  <si>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</si>
  <si>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</si>
  <si>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</si>
  <si>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</si>
  <si>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</si>
  <si>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</si>
  <si>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</si>
  <si>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</si>
  <si>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</si>
  <si>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</si>
  <si>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</si>
  <si>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</si>
  <si>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</si>
  <si>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</si>
  <si>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</si>
  <si>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</si>
  <si>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</si>
  <si>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</si>
  <si>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</si>
  <si>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</si>
  <si>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</si>
  <si>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</si>
  <si>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</si>
  <si>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</si>
  <si>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</si>
  <si>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</si>
  <si>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</si>
  <si>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</si>
  <si>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</si>
  <si>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</si>
  <si>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</si>
  <si>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</si>
  <si>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</si>
  <si>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</si>
  <si>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</si>
  <si>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</si>
  <si>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</si>
  <si>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</si>
  <si>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</si>
  <si>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</si>
  <si>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</si>
  <si>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</si>
  <si>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</si>
  <si>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</si>
  <si>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</si>
  <si>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</si>
  <si>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</si>
  <si>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</si>
  <si>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</si>
  <si>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</si>
  <si>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</si>
  <si>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</si>
  <si>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</si>
  <si>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</si>
  <si>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</si>
  <si>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</si>
  <si>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</si>
  <si>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</si>
  <si>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</si>
  <si>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</si>
  <si>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</si>
  <si>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</si>
  <si>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</si>
  <si>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</si>
  <si>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</si>
  <si>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</si>
  <si>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</si>
  <si>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</si>
  <si>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</si>
  <si>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</si>
  <si>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</si>
  <si>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</si>
  <si>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</si>
  <si>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</si>
  <si>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</si>
  <si>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</si>
  <si>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</si>
  <si>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</si>
  <si>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</si>
  <si>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</si>
  <si>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</si>
  <si>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</si>
  <si>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</si>
  <si>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</si>
  <si>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</si>
  <si>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</si>
  <si>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</si>
  <si>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</si>
  <si>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</si>
  <si>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</si>
  <si>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</si>
  <si>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</si>
  <si>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</si>
  <si>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</si>
  <si>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</si>
  <si>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</si>
  <si>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</si>
  <si>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</si>
  <si>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</si>
  <si>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</si>
  <si>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</si>
  <si>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</si>
  <si>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</si>
  <si>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</si>
  <si>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</si>
  <si>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</si>
  <si>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</si>
  <si>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</si>
  <si>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</si>
  <si>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</si>
  <si>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</si>
  <si>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</si>
  <si>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</si>
  <si>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</si>
  <si>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</si>
  <si>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</si>
  <si>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</si>
  <si>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</si>
  <si>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</si>
  <si>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</si>
  <si>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</si>
  <si>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</si>
  <si>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</si>
  <si>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</si>
  <si>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</si>
  <si>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</si>
  <si>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</si>
  <si>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</si>
  <si>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</si>
  <si>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</si>
  <si>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</si>
  <si>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</si>
  <si>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</si>
  <si>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</si>
  <si>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</si>
  <si>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</si>
  <si>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</si>
  <si>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</si>
  <si>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</si>
  <si>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</si>
  <si>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</si>
  <si>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</si>
  <si>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</si>
  <si>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</si>
  <si>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</si>
  <si>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</si>
  <si>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</si>
  <si>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</si>
  <si>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</si>
  <si>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</si>
  <si>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</si>
  <si>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</si>
  <si>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</si>
  <si>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</si>
  <si>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</si>
  <si>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</si>
  <si>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</si>
  <si>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</si>
  <si>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</si>
  <si>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</si>
  <si>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</si>
  <si>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</si>
  <si>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</si>
  <si>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</si>
  <si>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</si>
  <si>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</si>
  <si>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</si>
  <si>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</si>
  <si>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</si>
  <si>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</si>
  <si>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</si>
  <si>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</si>
  <si>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</si>
  <si>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</si>
  <si>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</si>
  <si>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</si>
  <si>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</si>
  <si>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</si>
  <si>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</si>
  <si>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</si>
  <si>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</si>
  <si>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</si>
  <si>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</si>
  <si>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</si>
  <si>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</si>
  <si>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</si>
  <si>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</si>
  <si>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</si>
  <si>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</si>
  <si>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</si>
  <si>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</si>
  <si>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</si>
  <si>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</si>
  <si>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</si>
  <si>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</si>
  <si>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</si>
  <si>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</si>
  <si>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</si>
  <si>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</si>
  <si>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</si>
  <si>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</si>
  <si>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</si>
  <si>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</si>
  <si>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</si>
  <si>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</si>
  <si>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</si>
  <si>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</si>
  <si>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</si>
  <si>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</si>
  <si>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</si>
  <si>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</si>
  <si>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</si>
  <si>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</si>
  <si>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</si>
  <si>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</si>
  <si>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</si>
  <si>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</si>
  <si>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</si>
  <si>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</si>
  <si>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</si>
  <si>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</si>
  <si>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</si>
  <si>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</si>
  <si>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</si>
  <si>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</si>
  <si>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</si>
  <si>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</si>
  <si>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</si>
  <si>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</si>
  <si>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</si>
  <si>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</si>
  <si>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</si>
  <si>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</si>
  <si>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</si>
  <si>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</si>
  <si>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</si>
  <si>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</si>
  <si>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</si>
  <si>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</si>
  <si>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</si>
  <si>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</si>
  <si>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</si>
  <si>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</si>
  <si>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</si>
  <si>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</si>
  <si>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</si>
  <si>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</si>
  <si>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</si>
  <si>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</si>
  <si>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</si>
  <si>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</si>
  <si>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</si>
  <si>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</si>
  <si>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</si>
  <si>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</si>
  <si>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</si>
  <si>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</si>
  <si>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</si>
  <si>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</si>
  <si>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</si>
  <si>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</si>
  <si>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</si>
  <si>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</si>
  <si>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</si>
  <si>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</si>
  <si>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</si>
  <si>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</si>
  <si>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</si>
  <si>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</si>
  <si>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</si>
  <si>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</si>
  <si>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</si>
  <si>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</si>
  <si>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</si>
  <si>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</si>
  <si>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</si>
  <si>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</si>
  <si>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</si>
  <si>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</si>
  <si>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</si>
  <si>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</si>
  <si>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</si>
  <si>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</si>
  <si>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</si>
  <si>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</si>
  <si>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</si>
  <si>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</si>
  <si>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</si>
  <si>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</si>
  <si>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</si>
  <si>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</si>
  <si>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</si>
  <si>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</si>
  <si>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</si>
  <si>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</si>
  <si>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</si>
  <si>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</si>
  <si>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</si>
  <si>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</si>
  <si>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</si>
  <si>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</si>
  <si>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</si>
  <si>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</si>
  <si>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</si>
  <si>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</si>
  <si>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</si>
  <si>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</si>
  <si>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</si>
  <si>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</si>
  <si>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</si>
  <si>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</si>
  <si>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</si>
  <si>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</si>
  <si>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</si>
  <si>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</si>
  <si>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</si>
  <si>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</si>
  <si>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</si>
  <si>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</si>
  <si>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</si>
  <si>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</si>
  <si>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</si>
  <si>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</si>
  <si>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</si>
  <si>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</si>
  <si>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</si>
  <si>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</si>
  <si>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</si>
  <si>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</si>
  <si>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</si>
  <si>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</si>
  <si>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</si>
  <si>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</si>
  <si>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</si>
  <si>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</si>
  <si>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</si>
  <si>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</si>
  <si>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</si>
  <si>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</si>
  <si>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</si>
  <si>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</si>
  <si>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</si>
  <si>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</si>
  <si>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</si>
  <si>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</si>
  <si>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</si>
  <si>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</si>
  <si>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</si>
  <si>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</si>
  <si>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</si>
  <si>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</si>
  <si>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</si>
  <si>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</si>
  <si>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</si>
  <si>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</si>
  <si>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</si>
  <si>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</si>
  <si>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</si>
  <si>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</si>
  <si>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</si>
  <si>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</si>
  <si>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</si>
  <si>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</si>
  <si>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</si>
  <si>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</si>
  <si>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</si>
  <si>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</si>
  <si>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</si>
  <si>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</si>
  <si>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</si>
  <si>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</si>
  <si>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</si>
  <si>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</si>
  <si>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</si>
  <si>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</si>
  <si>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</si>
  <si>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</si>
  <si>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</si>
  <si>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</si>
  <si>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</si>
  <si>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</si>
  <si>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</si>
  <si>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</si>
  <si>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</si>
  <si>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</si>
  <si>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</si>
  <si>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</si>
  <si>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</si>
  <si>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</si>
  <si>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</si>
  <si>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</si>
  <si>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</si>
  <si>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</si>
  <si>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</si>
  <si>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</si>
  <si>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</si>
  <si>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</si>
  <si>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</si>
  <si>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</si>
  <si>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</si>
  <si>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</si>
  <si>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</si>
  <si>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</si>
  <si>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SPAD, 11/2/2019, Noorderkempen</t>
  </si>
  <si>
    <t>Signal C-W.12 passed at danger by train E15214.</t>
  </si>
  <si>
    <t>Noorderkempen</t>
  </si>
  <si>
    <t>SNCB/NMBS</t>
  </si>
  <si>
    <t>Switch 02W was run through and damaged.  No damages to rolling stock.</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</si>
  <si>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</si>
  <si>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</si>
  <si>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</si>
  <si>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</si>
  <si>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</si>
  <si>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</si>
  <si>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</si>
  <si>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</si>
  <si>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</si>
  <si>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</si>
  <si>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</si>
  <si>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</si>
  <si>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</si>
  <si>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Ursächlich für die Zugkollision war eine mangelhafte Zugvorbereitung. Der zur Sicherung der Fahrzeuge gegen unbeabsichtigte Bewegung untergelegte Hemmschuh wurde vor der Abfahrt des Zuges nicht ordnungsgemäß entfernt.</t>
  </si>
  <si>
    <t>Hemmschuh nicht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</si>
  <si>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</si>
  <si>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</si>
  <si>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</si>
  <si>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</si>
  <si>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</si>
  <si>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</si>
  <si>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</si>
  <si>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</si>
  <si>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</si>
  <si>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</si>
  <si>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</si>
  <si>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</si>
  <si>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</si>
  <si>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</si>
  <si>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</si>
  <si>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</si>
  <si>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</si>
  <si>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</si>
  <si>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</si>
  <si>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</si>
  <si>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</si>
  <si>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</si>
  <si>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</si>
  <si>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</si>
  <si>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</si>
  <si>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</si>
  <si>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</si>
  <si>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</si>
  <si>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</si>
  <si>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</si>
  <si>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</si>
  <si>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</si>
  <si>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</si>
  <si>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</si>
  <si>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</si>
  <si>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</si>
  <si>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</si>
  <si>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</si>
  <si>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</si>
  <si>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</si>
  <si>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</si>
  <si>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</si>
  <si>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</si>
  <si>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</si>
  <si>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</si>
  <si>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</si>
  <si>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</si>
  <si>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</si>
  <si>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</si>
  <si>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</si>
  <si>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</si>
  <si>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</si>
  <si>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</si>
  <si>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</si>
  <si>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</si>
  <si>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</si>
  <si>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</si>
  <si>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</si>
  <si>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</si>
  <si>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</si>
  <si>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</si>
  <si>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</si>
  <si>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</si>
  <si>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</si>
  <si>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</si>
  <si>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</si>
  <si>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</si>
  <si>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</si>
  <si>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</si>
  <si>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</si>
  <si>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</si>
  <si>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</si>
  <si>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</si>
  <si>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</si>
  <si>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</si>
  <si>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</si>
  <si>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</si>
  <si>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</si>
  <si>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</si>
  <si>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</si>
  <si>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</si>
  <si>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</si>
  <si>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</si>
  <si>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</si>
  <si>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</si>
  <si>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</si>
  <si>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</si>
  <si>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</si>
  <si>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</si>
  <si>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</si>
  <si>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</si>
  <si>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</si>
  <si>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</si>
  <si>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</si>
  <si>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</si>
  <si>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</si>
  <si>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</si>
  <si>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</si>
  <si>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</si>
  <si>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</si>
  <si>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</si>
  <si>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</si>
  <si>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</si>
  <si>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</si>
  <si>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</si>
  <si>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</si>
  <si>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</si>
  <si>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</si>
  <si>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</si>
  <si>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</si>
  <si>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</si>
  <si>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</si>
  <si>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</si>
  <si>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</si>
  <si>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</si>
  <si>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</si>
  <si>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</si>
  <si>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</si>
  <si>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</si>
  <si>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</si>
  <si>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</si>
  <si>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</si>
  <si>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</si>
  <si>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</si>
  <si>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</si>
  <si>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</si>
  <si>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</si>
  <si>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</si>
  <si>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</si>
  <si>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</si>
  <si>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</si>
  <si>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</si>
  <si>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</si>
  <si>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</si>
  <si>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</si>
  <si>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</si>
  <si>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</si>
  <si>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</si>
  <si>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</si>
  <si>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</si>
  <si>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</si>
  <si>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</si>
  <si>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</si>
  <si>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</si>
  <si>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</si>
  <si>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</si>
  <si>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</si>
  <si>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</si>
  <si>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</si>
  <si>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</si>
  <si>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</si>
  <si>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</si>
  <si>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</si>
  <si>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</si>
  <si>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</si>
  <si>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</si>
  <si>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</si>
  <si>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</si>
  <si>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</si>
  <si>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</si>
  <si>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</si>
  <si>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</si>
  <si>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</si>
  <si>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</si>
  <si>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</si>
  <si>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</si>
  <si>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</si>
  <si>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</si>
  <si>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</si>
  <si>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</si>
  <si>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</si>
  <si>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</si>
  <si>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</si>
  <si>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</si>
  <si>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</si>
  <si>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</si>
  <si>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</si>
  <si>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</si>
  <si>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</si>
  <si>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</si>
  <si>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</si>
  <si>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</si>
  <si>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</si>
  <si>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</si>
  <si>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</si>
  <si>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</si>
  <si>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</si>
  <si>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</si>
  <si>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</si>
  <si>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</si>
  <si>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</si>
  <si>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</si>
  <si>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</si>
  <si>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</si>
  <si>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</si>
  <si>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</si>
  <si>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</si>
  <si>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</si>
  <si>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</si>
  <si>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</si>
  <si>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</si>
  <si>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</si>
  <si>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</si>
  <si>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</si>
  <si>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</si>
  <si>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</si>
  <si>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</si>
  <si>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</si>
  <si>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</si>
  <si>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</si>
  <si>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</si>
  <si>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</si>
  <si>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</si>
  <si>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</si>
  <si>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</si>
  <si>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</si>
  <si>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Am 12.04.2019 gegen 08:38 Uhr entgleiste der Reisezug DPN 61357 des Eisenbahnverkehrsunternehmens Niederbarnimer Eisenbahn Betriebsgesellschaft mbH auf der Fahrt von Eberswalde nach Templin im Bahnhof (Bf) Joachimsthal auf der Weiche 1.</t>
  </si>
  <si>
    <t>Joachimsthal</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</si>
  <si>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</si>
  <si>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</si>
  <si>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</si>
  <si>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</si>
  <si>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</si>
  <si>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</si>
  <si>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</si>
  <si>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</si>
  <si>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</si>
  <si>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</si>
  <si>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</si>
  <si>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</si>
  <si>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</si>
  <si>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</si>
  <si>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</si>
  <si>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</si>
  <si>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</si>
  <si>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</si>
  <si>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</si>
  <si>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</si>
  <si>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</si>
  <si>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</si>
  <si>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</si>
  <si>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</si>
  <si>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</si>
  <si>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</si>
  <si>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</si>
  <si>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</si>
  <si>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</si>
  <si>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</si>
  <si>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</si>
  <si>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</si>
  <si>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</si>
  <si>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</si>
  <si>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</si>
  <si>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</si>
  <si>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</si>
  <si>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</si>
  <si>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</si>
  <si>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</si>
  <si>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</si>
  <si>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</si>
  <si>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</si>
  <si>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</si>
  <si>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</si>
  <si>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</si>
  <si>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</si>
  <si>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</si>
  <si>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</si>
  <si>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</si>
  <si>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</si>
  <si>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</si>
  <si>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</si>
  <si>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</si>
  <si>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</si>
  <si>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</si>
  <si>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</si>
  <si>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</si>
  <si>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</si>
  <si>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</si>
  <si>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</si>
  <si>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</si>
  <si>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</si>
  <si>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</si>
  <si>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</si>
  <si>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</si>
  <si>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</si>
  <si>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</si>
  <si>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</si>
  <si>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</si>
  <si>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</si>
  <si>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</si>
  <si>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</si>
  <si>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</si>
  <si>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</si>
  <si>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</si>
  <si>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</si>
  <si>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</si>
  <si>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</si>
  <si>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</si>
  <si>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</si>
  <si>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</si>
  <si>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</si>
  <si>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</si>
  <si>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</si>
  <si>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</si>
  <si>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</si>
  <si>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</si>
  <si>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</si>
  <si>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</si>
  <si>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</si>
  <si>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</si>
  <si>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</si>
  <si>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</si>
  <si>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</si>
  <si>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</si>
  <si>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</si>
  <si>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</si>
  <si>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</si>
  <si>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</si>
  <si>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</si>
  <si>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</si>
  <si>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</si>
  <si>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</si>
  <si>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</si>
  <si>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</si>
  <si>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</si>
  <si>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</si>
  <si>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NIB CZ</t>
  </si>
  <si>
    <t>Derailment of the service train No. 54500 between Domoušice and Hřivice stations</t>
  </si>
  <si>
    <t>Open line between Domoušice and Hřivice stations</t>
  </si>
  <si>
    <t>Other – service train</t>
  </si>
  <si>
    <t>Traťová strojní společnost, a.s.</t>
  </si>
  <si>
    <t>Správa železniční dopravní cesty, státní organizace</t>
  </si>
  <si>
    <t>150 000 – 2 000 000 €</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</si>
  <si>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</si>
  <si>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</si>
  <si>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</si>
  <si>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</si>
  <si>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</si>
  <si>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</si>
  <si>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</si>
  <si>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</si>
  <si>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</si>
  <si>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</si>
  <si>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</si>
  <si>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</si>
  <si>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</si>
  <si>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</si>
  <si>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</si>
  <si>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</si>
  <si>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</si>
  <si>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</si>
  <si>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</si>
  <si>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</si>
  <si>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</si>
  <si>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</si>
  <si>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</si>
  <si>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</si>
  <si>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</si>
  <si>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</si>
  <si>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</si>
  <si>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</si>
  <si>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</si>
  <si>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</si>
  <si>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</si>
  <si>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</si>
  <si>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</si>
  <si>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</si>
  <si>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</si>
  <si>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</si>
  <si>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</si>
  <si>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</si>
  <si>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</si>
  <si>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</si>
  <si>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</si>
  <si>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</si>
  <si>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</si>
  <si>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</si>
  <si>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</si>
  <si>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</si>
  <si>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</si>
  <si>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</si>
  <si>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</si>
  <si>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</si>
  <si>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</si>
  <si>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</si>
  <si>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</si>
  <si>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</si>
  <si>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</si>
  <si>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</si>
  <si>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</si>
  <si>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</si>
  <si>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</si>
  <si>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</si>
  <si>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</si>
  <si>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</si>
  <si>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</si>
  <si>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</si>
  <si>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</si>
  <si>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</si>
  <si>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</si>
  <si>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</si>
  <si>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</si>
  <si>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</si>
  <si>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</si>
  <si>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On 18 June 2019, freight train no. 54490 was on its way from the eastern Linz shunting yard to Hall, Tyrol. At about 2:50pm, freight wagons 19 and 20 near the rear end of the train derailed at km 163.668 between Kitzbühel and Kirchberg, Tyrol. Four more freight wagons of the same train then derailed while the train was passing the switch at the entry to Kirchberg in Tirol station (km 165.853). Also, the train separated between wagons 23 and 24, which caused the main air duct to be cut and, consequently, the train to stop automatically.</t>
  </si>
  <si>
    <t>Bf Kirchberg in Tirol</t>
  </si>
  <si>
    <t>ÖBB RCA</t>
  </si>
  <si>
    <t xml:space="preserve">see final report BMK-2024-0.306.720 page 14 to 18.
Causal factors
It is very likely that a combination of the following factors led to compressing the track
section and then to derailment:
• High compressive stress in the track due to high temperatures and a high level of solar
radiation.
• Imperfectly consolidated track bed and reduced resistance to transverse displacement
as a result of the maintenance activities carried out briefly before the accident. The
maintenance activities were carried out although the conditions failed to meet the
requirements of ÖBB regulation 07.06.05 version 4, section 7.2.
• Track exposed to the high load (1,569 t) of freight train Z 54490 travelling at about 100
km/h.
</t>
  </si>
  <si>
    <t xml:space="preserve">Apparently, neither the compulsory measurement and documentation of rail temperatures prevailing at the time of work nor an effective system of verification whether or not the rail temperatures admissible according to regulations had been met was clearly defined. </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</si>
  <si>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</si>
  <si>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</si>
  <si>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</si>
  <si>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</si>
  <si>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</si>
  <si>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</si>
  <si>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</si>
  <si>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</si>
  <si>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</si>
  <si>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</si>
  <si>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</si>
  <si>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</si>
  <si>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</si>
  <si>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</si>
  <si>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</si>
  <si>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</si>
  <si>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</si>
  <si>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</si>
  <si>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</si>
  <si>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</si>
  <si>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</si>
  <si>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</si>
  <si>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</si>
  <si>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</si>
  <si>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</si>
  <si>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</si>
  <si>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</si>
  <si>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</si>
  <si>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</si>
  <si>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</si>
  <si>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</si>
  <si>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</si>
  <si>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</si>
  <si>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</si>
  <si>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</si>
  <si>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</si>
  <si>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</si>
  <si>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</si>
  <si>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</si>
  <si>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</si>
  <si>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</si>
  <si>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</si>
  <si>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</si>
  <si>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</si>
  <si>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</si>
  <si>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</si>
  <si>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</si>
  <si>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</si>
  <si>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</si>
  <si>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</si>
  <si>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</si>
  <si>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</si>
  <si>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</si>
  <si>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</si>
  <si>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</si>
  <si>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</si>
  <si>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</si>
  <si>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</si>
  <si>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</si>
  <si>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</si>
  <si>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Train collision at Floridsdorf train station on July 01, 2019</t>
  </si>
  <si>
    <t>On 1 July 2019 at 16:42 at Floridsdorf station, the Z 24646 regional train departing from platform 3 (track 103) and coming from Mödling collided with the side of a shunting train travelling in the opposite direction. There was a signalled shunting route for the shunting run. For train Z 24646, there was a signalled train route up to the intermediate signal "F 202". This intermediate signal which was indicating to stop was passed at a speed of 59 km/h.</t>
  </si>
  <si>
    <t>Floridsdorf train station</t>
  </si>
  <si>
    <t xml:space="preserve">The driver of train Z 24646 failed to perceive both the existing "STOP" signalling of the intermediate signal "F 202", as well as the signalling of the signal imitator located approx. 50,5 m in front of it and assigned to the intermediate signal. Due to the perception failure, the driver also failed to initiate the necessary braking process to stop the train before the intermediate signal. The lack of perception is therefore a causal factor for the collision.
Train Z 24646 automatically triggered the emergency braking when it passed the stop signal at a speed of 59 km/h due to the 2000 Hz magnet located there. This made it possible to reduce the impact speed by around 50 km/h to approx. 10 km/h, which significantly reduced the force generated in the collision. Nevertheless, due to the distance of the 2000 Hz magnet from the danger point, in conjunction with the signalled speed of 60 km/h and the resulting braking distance of more than 90 m, it was not possible to prevent the collision with this technical safety device. The design of the technical safety device (no 500 Hz magnet, no selective train control PZB 90 equipment) must therefore also be regarded as a causal factor for the collision.
</t>
  </si>
  <si>
    <t xml:space="preserve">Contributing factor
The lack of perception, which caused the collision in connection with the design of the technical safety device, is the result of a lack of attention. Lack of attention therefore is a contributing factor.
Systemic factors
The driver's full attention on the actual journey can be restricted by the tight time limit for the transfer. The driver was given one minute by the organisation to take over the Z 24646. As the train arrived at the handover/takeover station already more than three minutes late, the driver decided to put his/her personal TIM device (Train Driver Information Management) into operation only at the next stop. The driver thus set the Z  24646 in motion without having fully completed the necessary preparatory work. Although the missing TIM device did not cause the accident, as the permitted speed was indicated by the infrastructure signalling and the driver would not have received any information to the contrary from the TIM device, the knowledge that this work still had to be done may still have been on the driver's mind at the time of not noticing the stop signal. This means that both the lack of time at the pick-up location, caused by the time not specified by the organisations (railway undertakings, service providers) in accordance with the regulations of the infrastructure requirements (instead of 3 minutes, only 1 minute was scheduled), and the uncertainty regarding the handling of the TIM device at the start of the journey, possibly caused by unclear explanations in the regulations in conjunction with inefficient communication between the organisations and the driver, can be identified as systemic factors in the cause of the collision.
</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</si>
  <si>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</si>
  <si>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</si>
  <si>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</si>
  <si>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</si>
  <si>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</si>
  <si>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</si>
  <si>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</si>
  <si>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</si>
  <si>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</si>
  <si>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</si>
  <si>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</si>
  <si>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</si>
  <si>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</si>
  <si>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</si>
  <si>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</si>
  <si>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</si>
  <si>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</si>
  <si>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</si>
  <si>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</si>
  <si>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</si>
  <si>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</si>
  <si>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</si>
  <si>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</si>
  <si>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</si>
  <si>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</si>
  <si>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</si>
  <si>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</si>
  <si>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</si>
  <si>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</si>
  <si>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</si>
  <si>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</si>
  <si>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</si>
  <si>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</si>
  <si>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</si>
  <si>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</si>
  <si>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</si>
  <si>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</si>
  <si>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</si>
  <si>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Derailment of a passenger train of the railway undertaking SNCB/NMBS, empty and towed because of a train breakdown</t>
  </si>
  <si>
    <t>Liège-Guillemins</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</si>
  <si>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</si>
  <si>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</si>
  <si>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</si>
  <si>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</si>
  <si>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</si>
  <si>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</si>
  <si>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</si>
  <si>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</si>
  <si>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</si>
  <si>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</si>
  <si>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</si>
  <si>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</si>
  <si>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</si>
  <si>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</si>
  <si>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</si>
  <si>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</si>
  <si>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</si>
  <si>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</si>
  <si>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</si>
  <si>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</si>
  <si>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</si>
  <si>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</si>
  <si>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</si>
  <si>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</si>
  <si>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</si>
  <si>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</si>
  <si>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</si>
  <si>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</si>
  <si>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</si>
  <si>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</si>
  <si>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</si>
  <si>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</si>
  <si>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</si>
  <si>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</si>
  <si>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</si>
  <si>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</si>
  <si>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</si>
  <si>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</si>
  <si>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</si>
  <si>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</si>
  <si>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</si>
  <si>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</si>
  <si>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</si>
  <si>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</si>
  <si>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</si>
  <si>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</si>
  <si>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</si>
  <si>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</si>
  <si>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</si>
  <si>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</si>
  <si>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</si>
  <si>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</si>
  <si>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</si>
  <si>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</si>
  <si>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</si>
  <si>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</si>
  <si>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</si>
  <si>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</si>
  <si>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</si>
  <si>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</si>
  <si>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</si>
  <si>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</si>
  <si>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</si>
  <si>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</si>
  <si>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</si>
  <si>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</si>
  <si>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</si>
  <si>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</si>
  <si>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</si>
  <si>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</si>
  <si>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</si>
  <si>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</si>
  <si>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</si>
  <si>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</si>
  <si>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</si>
  <si>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</si>
  <si>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</si>
  <si>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</si>
  <si>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</si>
  <si>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</si>
  <si>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</si>
  <si>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</si>
  <si>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</si>
  <si>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</si>
  <si>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Railway vehicle movement event, 26/7/2019, Marinhais</t>
  </si>
  <si>
    <t>NIB PT</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</si>
  <si>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</si>
  <si>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Marinhais</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</si>
  <si>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</si>
  <si>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</si>
  <si>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</si>
  <si>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</si>
  <si>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</si>
  <si>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</si>
  <si>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</si>
  <si>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</si>
  <si>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</si>
  <si>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</si>
  <si>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</si>
  <si>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</si>
  <si>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</si>
  <si>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</si>
  <si>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</si>
  <si>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</si>
  <si>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</si>
  <si>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</si>
  <si>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</si>
  <si>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</si>
  <si>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</si>
  <si>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</si>
  <si>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</si>
  <si>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</si>
  <si>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</si>
  <si>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</si>
  <si>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</si>
  <si>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</si>
  <si>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</si>
  <si>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</si>
  <si>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</si>
  <si>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</si>
  <si>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</si>
  <si>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</si>
  <si>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</si>
  <si>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</si>
  <si>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</si>
  <si>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</si>
  <si>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</si>
  <si>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</si>
  <si>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</si>
  <si>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</si>
  <si>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</si>
  <si>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</si>
  <si>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</si>
  <si>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</si>
  <si>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</si>
  <si>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</si>
  <si>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</si>
  <si>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</si>
  <si>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</si>
  <si>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</si>
  <si>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</si>
  <si>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</si>
  <si>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</si>
  <si>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</si>
  <si>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</si>
  <si>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</si>
  <si>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</si>
  <si>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</si>
  <si>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</si>
  <si>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</si>
  <si>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</si>
  <si>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</si>
  <si>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</si>
  <si>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</si>
  <si>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</si>
  <si>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</si>
  <si>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</si>
  <si>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</si>
  <si>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</si>
  <si>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</si>
  <si>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</si>
  <si>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</si>
  <si>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</si>
  <si>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</si>
  <si>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</si>
  <si>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</si>
  <si>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</si>
  <si>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</si>
  <si>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</si>
  <si>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</si>
  <si>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</si>
  <si>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</si>
  <si>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</si>
  <si>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</si>
  <si>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</si>
  <si>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</si>
  <si>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</si>
  <si>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</si>
  <si>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</si>
  <si>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</si>
  <si>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</si>
  <si>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</si>
  <si>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</si>
  <si>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</si>
  <si>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</si>
  <si>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</si>
  <si>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</si>
  <si>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</si>
  <si>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</si>
  <si>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</si>
  <si>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</si>
  <si>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</si>
  <si>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</si>
  <si>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</si>
  <si>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</si>
  <si>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</si>
  <si>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</si>
  <si>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</si>
  <si>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</si>
  <si>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</si>
  <si>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</si>
  <si>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</si>
  <si>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</si>
  <si>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</si>
  <si>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</si>
  <si>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</si>
  <si>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</si>
  <si>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</si>
  <si>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</si>
  <si>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</si>
  <si>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</si>
  <si>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</si>
  <si>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</si>
  <si>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</si>
  <si>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</si>
  <si>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</si>
  <si>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</si>
  <si>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</si>
  <si>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</si>
  <si>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</si>
  <si>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</si>
  <si>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</si>
  <si>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</si>
  <si>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</si>
  <si>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</si>
  <si>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</si>
  <si>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</si>
  <si>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</si>
  <si>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</si>
  <si>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</si>
  <si>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</si>
  <si>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DE-6099</t>
  </si>
  <si>
    <t>Train derailment, 24-08-19, Köln Bonntor - Köln Süd Abzw (Germany)</t>
  </si>
  <si>
    <t>Am 24.08.2019 gegen 18:35 Uhr entgleisten drei Wagen des Güterzuges DGS 68754 auf der Fahrt von Köln-Kalk Nord nach Köln-Niehl Hafen, in km 0,62, zwischen den Betriebsstellen Köln Bonntor und Köln Süd.</t>
  </si>
  <si>
    <t>Köln Bonntor - Köln Süd Abzw</t>
  </si>
  <si>
    <t>Germany - RheinCargo GmbH &amp; Co. KG</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</si>
  <si>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</si>
  <si>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</si>
  <si>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</si>
  <si>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</si>
  <si>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</si>
  <si>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</si>
  <si>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</si>
  <si>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</si>
  <si>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</si>
  <si>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</si>
  <si>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</si>
  <si>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</si>
  <si>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</si>
  <si>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</si>
  <si>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</si>
  <si>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</si>
  <si>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</si>
  <si>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</si>
  <si>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</si>
  <si>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</si>
  <si>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</si>
  <si>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</si>
  <si>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</si>
  <si>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</si>
  <si>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</si>
  <si>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</si>
  <si>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</si>
  <si>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</si>
  <si>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</si>
  <si>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</si>
  <si>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</si>
  <si>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</si>
  <si>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</si>
  <si>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</si>
  <si>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</si>
  <si>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</si>
  <si>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</si>
  <si>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</si>
  <si>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</si>
  <si>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</si>
  <si>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</si>
  <si>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</si>
  <si>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</si>
  <si>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</si>
  <si>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</si>
  <si>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</si>
  <si>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</si>
  <si>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</si>
  <si>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</si>
  <si>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</si>
  <si>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</si>
  <si>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</si>
  <si>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</si>
  <si>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</si>
  <si>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</si>
  <si>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</si>
  <si>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</si>
  <si>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</si>
  <si>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</si>
  <si>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</si>
  <si>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</si>
  <si>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</si>
  <si>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</si>
  <si>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</si>
  <si>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</si>
  <si>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</si>
  <si>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</si>
  <si>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</si>
  <si>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</si>
  <si>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</si>
  <si>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</si>
  <si>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</si>
  <si>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</si>
  <si>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</si>
  <si>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</si>
  <si>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</si>
  <si>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</si>
  <si>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</si>
  <si>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</si>
  <si>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</si>
  <si>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</si>
  <si>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</si>
  <si>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</si>
  <si>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</si>
  <si>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</si>
  <si>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</si>
  <si>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</si>
  <si>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</si>
  <si>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</si>
  <si>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</si>
  <si>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</si>
  <si>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</si>
  <si>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</si>
  <si>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</si>
  <si>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</si>
  <si>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</si>
  <si>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</si>
  <si>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</si>
  <si>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</si>
  <si>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</si>
  <si>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</si>
  <si>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</si>
  <si>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</si>
  <si>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</si>
  <si>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</si>
  <si>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</si>
  <si>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</si>
  <si>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</si>
  <si>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</si>
  <si>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</si>
  <si>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</si>
  <si>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</si>
  <si>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</si>
  <si>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</si>
  <si>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</si>
  <si>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</si>
  <si>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</si>
  <si>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</si>
  <si>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</si>
  <si>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</si>
  <si>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</si>
  <si>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</si>
  <si>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</si>
  <si>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</si>
  <si>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</si>
  <si>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</si>
  <si>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</si>
  <si>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</si>
  <si>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</si>
  <si>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</si>
  <si>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</si>
  <si>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</si>
  <si>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</si>
  <si>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</si>
  <si>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</si>
  <si>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</si>
  <si>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</si>
  <si>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</si>
  <si>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</si>
  <si>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</si>
  <si>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</si>
  <si>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</si>
  <si>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</si>
  <si>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</si>
  <si>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</si>
  <si>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</si>
  <si>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</si>
  <si>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</si>
  <si>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</si>
  <si>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</si>
  <si>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</si>
  <si>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</si>
  <si>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</si>
  <si>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</si>
  <si>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</si>
  <si>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</si>
  <si>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</si>
  <si>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</si>
  <si>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</si>
  <si>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</si>
  <si>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</si>
  <si>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</si>
  <si>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</si>
  <si>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</si>
  <si>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</si>
  <si>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</si>
  <si>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</si>
  <si>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</si>
  <si>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</si>
  <si>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</si>
  <si>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</si>
  <si>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</si>
  <si>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</si>
  <si>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</si>
  <si>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</si>
  <si>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</si>
  <si>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</si>
  <si>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</si>
  <si>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</si>
  <si>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</si>
  <si>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</si>
  <si>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</si>
  <si>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</si>
  <si>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</si>
  <si>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</si>
  <si>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</si>
  <si>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</si>
  <si>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</si>
  <si>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</si>
  <si>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</si>
  <si>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</si>
  <si>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</si>
  <si>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</si>
  <si>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</si>
  <si>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</si>
  <si>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</si>
  <si>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</si>
  <si>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</si>
  <si>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</si>
  <si>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</si>
  <si>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</si>
  <si>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</si>
  <si>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PL-6348</t>
  </si>
  <si>
    <t>other events, 16-10-19, Leszczyny (Poland)</t>
  </si>
  <si>
    <t>NIB PL</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</si>
  <si>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</si>
  <si>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</si>
  <si>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</si>
  <si>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</si>
  <si>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Article 20.2 of Directive (EU) 2016/798 - (d)</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</si>
  <si>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</si>
  <si>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</si>
  <si>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</si>
  <si>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</si>
  <si>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</si>
  <si>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</si>
  <si>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</si>
  <si>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</si>
  <si>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</si>
  <si>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</si>
  <si>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</si>
  <si>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</si>
  <si>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Centralbahn GmbH</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</si>
  <si>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</si>
  <si>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</si>
  <si>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</si>
  <si>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</si>
  <si>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</si>
  <si>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</si>
  <si>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</si>
  <si>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</si>
  <si>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</si>
  <si>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</si>
  <si>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</si>
  <si>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</si>
  <si>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</si>
  <si>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</si>
  <si>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</si>
  <si>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</si>
  <si>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</si>
  <si>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</si>
  <si>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</si>
  <si>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</si>
  <si>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</si>
  <si>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</si>
  <si>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</si>
  <si>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</si>
  <si>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</si>
  <si>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</si>
  <si>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</si>
  <si>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</si>
  <si>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</si>
  <si>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</si>
  <si>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</si>
  <si>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</si>
  <si>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</si>
  <si>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</si>
  <si>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</si>
  <si>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</si>
  <si>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</si>
  <si>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</si>
  <si>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</si>
  <si>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</si>
  <si>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</si>
  <si>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</si>
  <si>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</si>
  <si>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</si>
  <si>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</si>
  <si>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</si>
  <si>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</si>
  <si>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</si>
  <si>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</si>
  <si>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</si>
  <si>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</si>
  <si>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</si>
  <si>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</si>
  <si>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</si>
  <si>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</si>
  <si>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</si>
  <si>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</si>
  <si>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</si>
  <si>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</si>
  <si>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</si>
  <si>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</si>
  <si>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</si>
  <si>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</si>
  <si>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</si>
  <si>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</si>
  <si>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</si>
  <si>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</si>
  <si>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</si>
  <si>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</si>
  <si>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</si>
  <si>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</si>
  <si>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</si>
  <si>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</si>
  <si>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</si>
  <si>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</si>
  <si>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</si>
  <si>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</si>
  <si>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</si>
  <si>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</si>
  <si>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</si>
  <si>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</si>
  <si>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</si>
  <si>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</si>
  <si>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</si>
  <si>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</si>
  <si>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</si>
  <si>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</si>
  <si>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UEF Eisenbahnverkehrsgesellschaft mbH</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</si>
  <si>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</si>
  <si>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</si>
  <si>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</si>
  <si>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</si>
  <si>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</si>
  <si>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</si>
  <si>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</si>
  <si>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</si>
  <si>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</si>
  <si>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</si>
  <si>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</si>
  <si>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</si>
  <si>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</si>
  <si>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</si>
  <si>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</si>
  <si>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</si>
  <si>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</si>
  <si>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</si>
  <si>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</si>
  <si>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</si>
  <si>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</si>
  <si>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</si>
  <si>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</si>
  <si>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</si>
  <si>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</si>
  <si>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</si>
  <si>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</si>
  <si>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</si>
  <si>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</si>
  <si>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</si>
  <si>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</si>
  <si>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</si>
  <si>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</si>
  <si>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</si>
  <si>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</si>
  <si>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</si>
  <si>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</si>
  <si>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</si>
  <si>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</si>
  <si>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</si>
  <si>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</si>
  <si>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</si>
  <si>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</si>
  <si>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</si>
  <si>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</si>
  <si>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</si>
  <si>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</si>
  <si>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</si>
  <si>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</si>
  <si>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</si>
  <si>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</si>
  <si>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</si>
  <si>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</si>
  <si>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</si>
  <si>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</si>
  <si>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</si>
  <si>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</si>
  <si>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</si>
  <si>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</si>
  <si>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</si>
  <si>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</si>
  <si>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</si>
  <si>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</si>
  <si>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</si>
  <si>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</si>
  <si>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</si>
  <si>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</si>
  <si>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</si>
  <si>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</si>
  <si>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</si>
  <si>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</si>
  <si>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</si>
  <si>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</si>
  <si>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</si>
  <si>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</si>
  <si>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</si>
  <si>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</si>
  <si>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</si>
  <si>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</si>
  <si>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</si>
  <si>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</si>
  <si>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</si>
  <si>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</si>
  <si>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</si>
  <si>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</si>
  <si>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</si>
  <si>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</si>
  <si>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</si>
  <si>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</si>
  <si>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</si>
  <si>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</si>
  <si>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</si>
  <si>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</si>
  <si>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</si>
  <si>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</si>
  <si>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</si>
  <si>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</si>
  <si>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</si>
  <si>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</si>
  <si>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</si>
  <si>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</si>
  <si>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</si>
  <si>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</si>
  <si>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</si>
  <si>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</si>
  <si>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</si>
  <si>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</si>
  <si>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</si>
  <si>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Trains collision near miss, 22/1/2020, Griesen (Oberbay)</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</si>
  <si>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</si>
  <si>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Griesen (Oberbay)</t>
  </si>
  <si>
    <t>DB Netz AG, ÖBB Infrastruktur AG</t>
  </si>
  <si>
    <t>any damages.</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</si>
  <si>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</si>
  <si>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Culture of safety-related communication, internal supervision of staff and coordinated supervision between IMs.</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</si>
  <si>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</si>
  <si>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</si>
  <si>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</si>
  <si>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</si>
  <si>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</si>
  <si>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</si>
  <si>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</si>
  <si>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Hamburg-Altona</t>
  </si>
  <si>
    <t>2.500 € Sachschäden an den Fahrzeugen (geringfügig).</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</si>
  <si>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</si>
  <si>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</si>
  <si>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</si>
  <si>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</si>
  <si>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</si>
  <si>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</si>
  <si>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</si>
  <si>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</si>
  <si>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</si>
  <si>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</si>
  <si>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</si>
  <si>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</si>
  <si>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</si>
  <si>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</si>
  <si>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</si>
  <si>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</si>
  <si>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</si>
  <si>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</si>
  <si>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</si>
  <si>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</si>
  <si>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</si>
  <si>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</si>
  <si>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</si>
  <si>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</si>
  <si>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</si>
  <si>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</si>
  <si>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</si>
  <si>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</si>
  <si>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</si>
  <si>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</si>
  <si>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</si>
  <si>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</si>
  <si>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</si>
  <si>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</si>
  <si>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</si>
  <si>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</si>
  <si>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</si>
  <si>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</si>
  <si>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</si>
  <si>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</si>
  <si>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</si>
  <si>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</si>
  <si>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</si>
  <si>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</si>
  <si>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</si>
  <si>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</si>
  <si>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</si>
  <si>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</si>
  <si>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</si>
  <si>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</si>
  <si>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</si>
  <si>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</si>
  <si>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</si>
  <si>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</si>
  <si>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</si>
  <si>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</si>
  <si>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</si>
  <si>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</si>
  <si>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</si>
  <si>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</si>
  <si>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</si>
  <si>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</si>
  <si>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</si>
  <si>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</si>
  <si>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</si>
  <si>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</si>
  <si>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</si>
  <si>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</si>
  <si>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</si>
  <si>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</si>
  <si>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A shunting train crossed the route of an overpassing freight train no. 82901 and collided with it side to side at Pusztaszabolcs station.</t>
  </si>
  <si>
    <t>Pusztaszabolcs</t>
  </si>
  <si>
    <t>Kárpát Vasút Kft.; 
Rail Cargo Hungaria Zrt.</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</si>
  <si>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</si>
  <si>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</si>
  <si>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</si>
  <si>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CZ-6183</t>
  </si>
  <si>
    <t>Spad, 04-02-20, Praha Masarykovo nádraží (Czech Republic)</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</si>
  <si>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</si>
  <si>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</si>
  <si>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</si>
  <si>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</si>
  <si>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</si>
  <si>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</si>
  <si>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</si>
  <si>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</si>
  <si>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</si>
  <si>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Am 04.02.2020 gegen 11:42 Uhr entgleiste der Güterzug GM 60856 auf der Fahrt von Oberhausen West nach Wilhelmshaven Ölweiche im Bahnhof (Bf) Bremen-Neustadt mit 10 Wagen.</t>
  </si>
  <si>
    <t>Bremen - Neustadt</t>
  </si>
  <si>
    <t>DB Cargo AG</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</si>
  <si>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</si>
  <si>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</si>
  <si>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</si>
  <si>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HU-6181</t>
  </si>
  <si>
    <t>Train derailment, 04-02-20, Budapest Rákos - rendezo station (Hungary)</t>
  </si>
  <si>
    <t>The passenger train no. 2067 derailed on the switch no. 11 at Rákosrendező station.</t>
  </si>
  <si>
    <t>Budapest Rákos - rendezo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</si>
  <si>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</si>
  <si>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</si>
  <si>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</si>
  <si>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</si>
  <si>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</si>
  <si>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</si>
  <si>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</si>
  <si>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</si>
  <si>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</si>
  <si>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</si>
  <si>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</si>
  <si>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</si>
  <si>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</si>
  <si>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</si>
  <si>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</si>
  <si>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</si>
  <si>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</si>
  <si>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</si>
  <si>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</si>
  <si>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</si>
  <si>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</si>
  <si>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</si>
  <si>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</si>
  <si>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</si>
  <si>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</si>
  <si>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</si>
  <si>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</si>
  <si>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</si>
  <si>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</si>
  <si>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RO-6189</t>
  </si>
  <si>
    <t>Train derailment, 12-02-20, Mihaesti (Romania)</t>
  </si>
  <si>
    <t>the first 3 wagons of the freight train no. 20270 derailed on the entrance route in  Mihaesti railway station</t>
  </si>
  <si>
    <t>DE-6207</t>
  </si>
  <si>
    <t>Trains collision, 16-02-20, Würzburg Hbf (Germany)</t>
  </si>
  <si>
    <t>Am 16.02.2020 gegen 22:02 Uhr kollidierte der Güterzug DGS 48959 auf der Fahrt von Gelsenkirchen‐Bismarck nach Linz Verschiebebahnhof mit der Rangierfahrt für RE‐D 4636 im Bahnhof Würzburg Hbf auf der Weiche 377.</t>
  </si>
  <si>
    <t>Würzburg Hbf</t>
  </si>
  <si>
    <t>DB Regio AG, IGE Bahntouristik Gmbh &amp; Co. KG</t>
  </si>
  <si>
    <t>Vehicles and infrastructure damages.</t>
  </si>
  <si>
    <t>Ursächlich für die Zugkollision war die unzulässige Vorbeifahrt der Rangierfahrt am haltzeigenden Lichtsperrsignal 231II aus Gleis 231.</t>
  </si>
  <si>
    <t xml:space="preserve">Sight conditions on low standing signals from modern cabin while shunting </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</si>
  <si>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</si>
  <si>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</si>
  <si>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</si>
  <si>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</si>
  <si>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</si>
  <si>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</si>
  <si>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</si>
  <si>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</si>
  <si>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</si>
  <si>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</si>
  <si>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</si>
  <si>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</si>
  <si>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</si>
  <si>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</si>
  <si>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</si>
  <si>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</si>
  <si>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</si>
  <si>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</si>
  <si>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</si>
  <si>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</si>
  <si>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</si>
  <si>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</si>
  <si>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</si>
  <si>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</si>
  <si>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</si>
  <si>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</si>
  <si>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</si>
  <si>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</si>
  <si>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</si>
  <si>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</si>
  <si>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</si>
  <si>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</si>
  <si>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</si>
  <si>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</si>
  <si>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</si>
  <si>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</si>
  <si>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</si>
  <si>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</si>
  <si>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</si>
  <si>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</si>
  <si>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</si>
  <si>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</si>
  <si>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Lokösháza</t>
  </si>
  <si>
    <t>CER Hungary Zrt. (RU)
MÁV-START Zrt. (RU)</t>
  </si>
  <si>
    <t>No damage (EUR 0)</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</si>
  <si>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</si>
  <si>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</si>
  <si>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</si>
  <si>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</si>
  <si>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</si>
  <si>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</si>
  <si>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</si>
  <si>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</si>
  <si>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</si>
  <si>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</si>
  <si>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</si>
  <si>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</si>
  <si>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</si>
  <si>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</si>
  <si>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</si>
  <si>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</si>
  <si>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</si>
  <si>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</si>
  <si>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</si>
  <si>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</si>
  <si>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</si>
  <si>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</si>
  <si>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</si>
  <si>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</si>
  <si>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</si>
  <si>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</si>
  <si>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</si>
  <si>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</si>
  <si>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</si>
  <si>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</si>
  <si>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</si>
  <si>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</si>
  <si>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</si>
  <si>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</si>
  <si>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</si>
  <si>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</si>
  <si>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</si>
  <si>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</si>
  <si>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</si>
  <si>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</si>
  <si>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</si>
  <si>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</si>
  <si>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</si>
  <si>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</si>
  <si>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</si>
  <si>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</si>
  <si>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</si>
  <si>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</si>
  <si>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</si>
  <si>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</si>
  <si>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</si>
  <si>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</si>
  <si>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</si>
  <si>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</si>
  <si>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</si>
  <si>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</si>
  <si>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</si>
  <si>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</si>
  <si>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</si>
  <si>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</si>
  <si>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</si>
  <si>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</si>
  <si>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</si>
  <si>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</si>
  <si>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</si>
  <si>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</si>
  <si>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</si>
  <si>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</si>
  <si>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</si>
  <si>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</si>
  <si>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</si>
  <si>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</si>
  <si>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</si>
  <si>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</si>
  <si>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</si>
  <si>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</si>
  <si>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</si>
  <si>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</si>
  <si>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</si>
  <si>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</si>
  <si>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</si>
  <si>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</si>
  <si>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</si>
  <si>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</si>
  <si>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</si>
  <si>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</si>
  <si>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</si>
  <si>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</si>
  <si>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</si>
  <si>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</si>
  <si>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</si>
  <si>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</si>
  <si>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</si>
  <si>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</si>
  <si>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</si>
  <si>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</si>
  <si>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</si>
  <si>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</si>
  <si>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</si>
  <si>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</si>
  <si>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</si>
  <si>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</si>
  <si>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</si>
  <si>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</si>
  <si>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</si>
  <si>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</si>
  <si>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</si>
  <si>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</si>
  <si>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</si>
  <si>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For the passenger train no. 32228 the route was set incorrectly by the signaller from track no. 4b instead from track no. 3b at Vác station. The train left the station this way: passed a signal at danger and opened up a switch.</t>
  </si>
  <si>
    <t>Vác Station, Hungary</t>
  </si>
  <si>
    <t>ARRIVA vlaky s. r. o.</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</si>
  <si>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</si>
  <si>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FR-6337</t>
  </si>
  <si>
    <t>Accident to persons caused by RS in motion, 18-03-20, Schiltigheim (France)</t>
  </si>
  <si>
    <t>A passager train hits three agents of the infrastructure manager carrying out a track inspection tour.</t>
  </si>
  <si>
    <t>Schiltigheim</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</si>
  <si>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</si>
  <si>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</si>
  <si>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</si>
  <si>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CZ-6317</t>
  </si>
  <si>
    <t>Trains collision, 20-03-20, Kolín station (Czech Republic)</t>
  </si>
  <si>
    <t>Collision of the shunting operation with a detached rolling stocks</t>
  </si>
  <si>
    <t>HU</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</si>
  <si>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</si>
  <si>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</si>
  <si>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</si>
  <si>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</si>
  <si>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</si>
  <si>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</si>
  <si>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</si>
  <si>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</si>
  <si>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</si>
  <si>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</si>
  <si>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</si>
  <si>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</si>
  <si>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</si>
  <si>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</si>
  <si>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</si>
  <si>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</si>
  <si>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</si>
  <si>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</si>
  <si>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</si>
  <si>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</si>
  <si>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</si>
  <si>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</si>
  <si>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</si>
  <si>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</si>
  <si>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</si>
  <si>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</si>
  <si>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</si>
  <si>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</si>
  <si>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</si>
  <si>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</si>
  <si>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</si>
  <si>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</si>
  <si>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</si>
  <si>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</si>
  <si>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</si>
  <si>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</si>
  <si>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</si>
  <si>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</si>
  <si>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</si>
  <si>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</si>
  <si>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</si>
  <si>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</si>
  <si>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</si>
  <si>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</si>
  <si>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</si>
  <si>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</si>
  <si>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</si>
  <si>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</si>
  <si>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</si>
  <si>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Check date as ERAIL had it as 6/4/20 (while INV report says 5/4/20)</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</si>
  <si>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</si>
  <si>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</si>
  <si>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</si>
  <si>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</si>
  <si>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</si>
  <si>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</si>
  <si>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National rules imposed by implementing of the Safety Directive 2004/49/EC; 
in light of Article 19 §2 of SD"</t>
  </si>
  <si>
    <t>RO-6235</t>
  </si>
  <si>
    <t>Fire in RS, 06-04-20, Augustin- Racos (Romania)</t>
  </si>
  <si>
    <t>the both wagons of the regional passenger train no.3535 caught fire in open line between Augustin and Racos railway station</t>
  </si>
  <si>
    <t>Augustin- Racos</t>
  </si>
  <si>
    <t>HU-6238</t>
  </si>
  <si>
    <t>Spad, 07-04-20, Nyírbátor (Hungary)</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</si>
  <si>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</si>
  <si>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</si>
  <si>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</si>
  <si>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</si>
  <si>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</si>
  <si>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</si>
  <si>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</si>
  <si>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</si>
  <si>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</si>
  <si>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</si>
  <si>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</si>
  <si>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</si>
  <si>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</si>
  <si>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</si>
  <si>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</si>
  <si>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</si>
  <si>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</si>
  <si>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15/4/2020, Berlin-Lichtenberg, Bf.</t>
  </si>
  <si>
    <t>Am 15.04.2020 gegen 21:03 Uhr entgleiste der Personenzug S 75626 auf der Fahrt von Berlin-Wartenberg nach Berlin Ostbahnhof im Bahnhof Berlin-Lichtenberg bei der Ausfahrt aus Gleis 2 in der doppelten Kreuzungsweiche 350.</t>
  </si>
  <si>
    <t>Berlin-Lichtenberg</t>
  </si>
  <si>
    <t>commuter train derailed and lightly damaged. Infrastructure damages.</t>
  </si>
  <si>
    <t>Malfunction of a switch drive / locking</t>
  </si>
  <si>
    <t>design took not into account maximum force loads and vibrations while trains go past</t>
  </si>
  <si>
    <t>RO-6254</t>
  </si>
  <si>
    <t>Train derailment, 17-04-20, Vatra Dornei (Romania)</t>
  </si>
  <si>
    <t>NIB RO</t>
  </si>
  <si>
    <t>The locomotive EA 426 - light engine - derailed in Vatra Dornei railway station when have passed on the switch no.24.</t>
  </si>
  <si>
    <t>Vatra Dornei</t>
  </si>
  <si>
    <t xml:space="preserve">SC Grup Feroviar Român SA </t>
  </si>
  <si>
    <t xml:space="preserve">CNCF „CFR”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</si>
  <si>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</si>
  <si>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</si>
  <si>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</si>
  <si>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</si>
  <si>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</si>
  <si>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</si>
  <si>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</si>
  <si>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</si>
  <si>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</si>
  <si>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</si>
  <si>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</si>
  <si>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</si>
  <si>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</si>
  <si>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</si>
  <si>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</si>
  <si>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</si>
  <si>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</si>
  <si>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</si>
  <si>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</si>
  <si>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</si>
  <si>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</si>
  <si>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The tram no. 14 derailed on the switch of the terminus Budapest, Lehel tér.</t>
  </si>
  <si>
    <t>Budapest, Lehel tér vá.</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</si>
  <si>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</si>
  <si>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</si>
  <si>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</si>
  <si>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HU-6261</t>
  </si>
  <si>
    <t>Spad, 29-04-20, Budapest-Déli pályaudvar (Hungary)</t>
  </si>
  <si>
    <t>The train no. 20348-1 passed the signal at danger at Budapest-Déli station and opened up a switch. Eventually the train was stopped by the engineer.</t>
  </si>
  <si>
    <t>Budapest-Déli pályaudvar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</si>
  <si>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</si>
  <si>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</si>
  <si>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Not found in original export</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</si>
  <si>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</si>
  <si>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</si>
  <si>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</si>
  <si>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</si>
  <si>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</si>
  <si>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</si>
  <si>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</si>
  <si>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</si>
  <si>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</si>
  <si>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</si>
  <si>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</si>
  <si>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</si>
  <si>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</si>
  <si>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</si>
  <si>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</si>
  <si>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</si>
  <si>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</si>
  <si>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</si>
  <si>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</si>
  <si>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</si>
  <si>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</si>
  <si>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</si>
  <si>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</si>
  <si>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</si>
  <si>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11:50</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</si>
  <si>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</si>
  <si>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plain line section Świdnica Kraszewicze - Jedlina Zdrój</t>
  </si>
  <si>
    <t xml:space="preserve">DPNIK Dolkom Sp. z o. o. </t>
  </si>
  <si>
    <t xml:space="preserve">demages within work train type PRSM-4 No 47 and freight wagon </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</si>
  <si>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</si>
  <si>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</si>
  <si>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</si>
  <si>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</si>
  <si>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</si>
  <si>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</si>
  <si>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</si>
  <si>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</si>
  <si>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</si>
  <si>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</si>
  <si>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</si>
  <si>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</si>
  <si>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</si>
  <si>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</si>
  <si>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</si>
  <si>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</si>
  <si>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</si>
  <si>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</si>
  <si>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</si>
  <si>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</si>
  <si>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</si>
  <si>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</si>
  <si>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</si>
  <si>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</si>
  <si>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</si>
  <si>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</si>
  <si>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</si>
  <si>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CZK 14 230 957,- (EUR 551 587,-)</t>
  </si>
  <si>
    <t>line, rolling stocks, lorry</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</si>
  <si>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</si>
  <si>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</si>
  <si>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</si>
  <si>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</si>
  <si>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</si>
  <si>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</si>
  <si>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</si>
  <si>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</si>
  <si>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</si>
  <si>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</si>
  <si>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Am 20.05.2020 gegen 16:46 Uhr auf der Fahrt von Passau nach Bochum‐Langendreer entgleiste ein Wagen des Güterzuges DGS 43982 im Bf Wengern Ost in km 67,54.</t>
  </si>
  <si>
    <t>Wengern Ost</t>
  </si>
  <si>
    <t>LTE Netherlands B.V.</t>
  </si>
  <si>
    <t>Damages on freight wagons and infrastructure</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</si>
  <si>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</si>
  <si>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Unprecise mounting of axle boxes by the manufacturer, unmature quality management by manufacturer</t>
  </si>
  <si>
    <t>DE-6285</t>
  </si>
  <si>
    <t>Trains collision, 23/5/2020, München Nord Rbf</t>
  </si>
  <si>
    <t>On 23/05/2020 at around 10:19 pm, in Munich North marshalling yard in the area of the northern bypass of the set of sorting sidings on non‐public, internal operational railway crossing 6 at km 16.0, the goods train DGS 50214, which was travelling from Munich East marshalling yard to Meimersdorf, collided with a truck with a dumper set‐up, which was crossing in the direction from the left.</t>
  </si>
  <si>
    <t>München Nord Rbf</t>
  </si>
  <si>
    <t>Truck driver killed. Truck heavily destroyed. destroyed while by crossing interal track crossing. Locomotive lightly damaged.</t>
  </si>
  <si>
    <t>On 23/05/2020, construction companies were carrying out construction work in Munich North marshalling yard on the direct instruction of the railway infrastructure company or via subcontracts. The contractors were responsible for observing the obligation to only use appropriately instructed workers. A truck driver who was scheduled to provide transport services was working in the operational facility without the obligatory instruction. At 10:19 pm, he crossed an internal operational railway crossing in his truck. When he did so, the collision with train DGS 50214 occurred.</t>
  </si>
  <si>
    <t>IM's supplier management related to risks for railway operation.
IM's rules for safe operation of internal railway crossings.</t>
  </si>
  <si>
    <t>IE-6291</t>
  </si>
  <si>
    <t>Level crossing event, 24-05-20, XA068 Ashfield Co Offaly (Ireland)</t>
  </si>
  <si>
    <t>Operational Irregularity at CCTV Level Crossing XA068, Ashfield, Co Offaly</t>
  </si>
  <si>
    <t>XA068 Ashfield Co Offaly</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</si>
  <si>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</si>
  <si>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</si>
  <si>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</si>
  <si>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</si>
  <si>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</si>
  <si>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</si>
  <si>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</si>
  <si>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</si>
  <si>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The train no. 14566 (work train) passed the signal of Kaba station at danger and moved on towards the oncoming freight train no. 48911. Eventually the two trains stopped 200 metres away from each other.</t>
  </si>
  <si>
    <t>Kaba</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</si>
  <si>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</si>
  <si>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</si>
  <si>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</si>
  <si>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</si>
  <si>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</si>
  <si>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</si>
  <si>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</si>
  <si>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</si>
  <si>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Rail Cargo Hungaria Zrt. (RU)</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</si>
  <si>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</si>
  <si>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</si>
  <si>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</si>
  <si>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</si>
  <si>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</si>
  <si>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</si>
  <si>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</si>
  <si>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</si>
  <si>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</si>
  <si>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IE</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</si>
  <si>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</si>
  <si>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</si>
  <si>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</si>
  <si>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</si>
  <si>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</si>
  <si>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</si>
  <si>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</si>
  <si>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CZ</t>
  </si>
  <si>
    <t>RO-6277</t>
  </si>
  <si>
    <t>Train derailment, 11-06-20, Crivadia_Baru Mare (Romania)</t>
  </si>
  <si>
    <t>15:50</t>
  </si>
  <si>
    <t>The 15th wagon of the freight train no.30536 derailed in open line between Baru Mare and Crivadia railway stations</t>
  </si>
  <si>
    <t>Crivadia_Baru Mare</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</si>
  <si>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</si>
  <si>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</si>
  <si>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</si>
  <si>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</si>
  <si>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CZ-6280</t>
  </si>
  <si>
    <t>Train derailment, 12-06-20, open line between Jindřiš and Blažejov operating control points, (Czech Republic)</t>
  </si>
  <si>
    <t>Derailment of 1 rolling stock of freigt train No. 21357.</t>
  </si>
  <si>
    <t>Open line between Jindřiš and Blažejov operating control points</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</si>
  <si>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</si>
  <si>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</si>
  <si>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</si>
  <si>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</si>
  <si>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</si>
  <si>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</si>
  <si>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HU-10158</t>
  </si>
  <si>
    <t>SPAD, 14/6/2020, Püspökladány station</t>
  </si>
  <si>
    <t>Passenger train no. 6417 could not stop before the station exit signal "K2", due to a failure in the brake system.</t>
  </si>
  <si>
    <t>No damage occured.</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</si>
  <si>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</si>
  <si>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</si>
  <si>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Not in original export from ERAIL (TBC)</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</si>
  <si>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</si>
  <si>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</si>
  <si>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</si>
  <si>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</si>
  <si>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</si>
  <si>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</si>
  <si>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</si>
  <si>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</si>
  <si>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</si>
  <si>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</si>
  <si>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</si>
  <si>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</si>
  <si>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</si>
  <si>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</si>
  <si>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</si>
  <si>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</si>
  <si>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</si>
  <si>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</si>
  <si>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</si>
  <si>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</si>
  <si>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</si>
  <si>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</si>
  <si>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</si>
  <si>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</si>
  <si>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</si>
  <si>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</si>
  <si>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</si>
  <si>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</si>
  <si>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</si>
  <si>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</si>
  <si>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</si>
  <si>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</si>
  <si>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</si>
  <si>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</si>
  <si>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</si>
  <si>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</si>
  <si>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</si>
  <si>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</si>
  <si>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</si>
  <si>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</si>
  <si>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</si>
  <si>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</si>
  <si>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</si>
  <si>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</si>
  <si>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</si>
  <si>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</si>
  <si>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</si>
  <si>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</si>
  <si>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</si>
  <si>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</si>
  <si>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</si>
  <si>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</si>
  <si>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</si>
  <si>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</si>
  <si>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</si>
  <si>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</si>
  <si>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The train no. 9694 passed the signal of Uzsa station at danger. Eventually the train was stopped by the engine driver.</t>
  </si>
  <si>
    <t>Uzsa</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</si>
  <si>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</si>
  <si>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</si>
  <si>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</si>
  <si>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</si>
  <si>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</si>
  <si>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</si>
  <si>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</si>
  <si>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</si>
  <si>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</si>
  <si>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</si>
  <si>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</si>
  <si>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</si>
  <si>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</si>
  <si>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</si>
  <si>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</si>
  <si>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</si>
  <si>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</si>
  <si>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</si>
  <si>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</si>
  <si>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</si>
  <si>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</si>
  <si>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</si>
  <si>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</si>
  <si>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</si>
  <si>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</si>
  <si>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</si>
  <si>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</si>
  <si>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</si>
  <si>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</si>
  <si>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</si>
  <si>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</si>
  <si>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</si>
  <si>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</si>
  <si>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</si>
  <si>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</si>
  <si>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</si>
  <si>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</si>
  <si>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</si>
  <si>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</si>
  <si>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</si>
  <si>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</si>
  <si>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</si>
  <si>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</si>
  <si>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</si>
  <si>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</si>
  <si>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</si>
  <si>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</si>
  <si>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</si>
  <si>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</si>
  <si>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</si>
  <si>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</si>
  <si>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</si>
  <si>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</si>
  <si>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</si>
  <si>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</si>
  <si>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</si>
  <si>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</si>
  <si>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</si>
  <si>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</si>
  <si>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</si>
  <si>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</si>
  <si>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</si>
  <si>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</si>
  <si>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</si>
  <si>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</si>
  <si>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</si>
  <si>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</si>
  <si>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</si>
  <si>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</si>
  <si>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</si>
  <si>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</si>
  <si>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</si>
  <si>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</si>
  <si>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</si>
  <si>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</si>
  <si>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</si>
  <si>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</si>
  <si>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</si>
  <si>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</si>
  <si>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</si>
  <si>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</si>
  <si>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</si>
  <si>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</si>
  <si>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</si>
  <si>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</si>
  <si>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</si>
  <si>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</si>
  <si>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</si>
  <si>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</si>
  <si>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</si>
  <si>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</si>
  <si>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</si>
  <si>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</si>
  <si>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</si>
  <si>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</si>
  <si>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</si>
  <si>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</si>
  <si>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The train no. 22425 passed the signal „G” of Budapest-Nyugati station at danger and moved on towards the oncoming passenger train no. 2346. Eventually the two trains stopped 288 metres away from each other.</t>
  </si>
  <si>
    <t>Budapest-Nyugati pu.</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</si>
  <si>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</si>
  <si>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</si>
  <si>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DE-6327</t>
  </si>
  <si>
    <t>Level crossing accident, 27/7/2020, Hp Großwalbur – Hp Meeder</t>
  </si>
  <si>
    <t>Am 27.07.2020 gegen 18:15 Uhr prallte die Zugfahrt DPN‐G 84553 auf der Fahrt von Bad Rodach nach Coburg auf dem nicht technisch gesicherten Bahnübergang in km 8,615 mit einem Pkw zusammen.</t>
  </si>
  <si>
    <t>Hp Großwalbur – Hp Meeder</t>
  </si>
  <si>
    <t>Regional passenger train lightly damaged. Car totally destroyed.</t>
  </si>
  <si>
    <t>Priority for rail vehicles ignored [F1]; Visible area not correct [F2]; Inspection interval during the local growing period [F3]; Exchange of safety information [F4].</t>
  </si>
  <si>
    <t>Definition and location of the visible area [S2]; Fulfilment of duties by the authority responsible for road construction [S3].</t>
  </si>
  <si>
    <t>Closed</t>
  </si>
  <si>
    <t>HU-6310</t>
  </si>
  <si>
    <t>Spad, 27-07-20, Piliscsaba (Hungary)</t>
  </si>
  <si>
    <t>A személyvonat a "Megállj!" jelzést adó bejárati jelzot 5 méterrel engedély nélkül meghaladta. 
The passenger train exceeded the ‘Stop!’ sign by 5 m without permission.</t>
  </si>
  <si>
    <t>Piliscsaba</t>
  </si>
  <si>
    <t>0</t>
  </si>
  <si>
    <t>No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</si>
  <si>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</si>
  <si>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</si>
  <si>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</si>
  <si>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</si>
  <si>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</si>
  <si>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</si>
  <si>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</si>
  <si>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</si>
  <si>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</si>
  <si>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</si>
  <si>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</si>
  <si>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</si>
  <si>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</si>
  <si>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</si>
  <si>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</si>
  <si>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</si>
  <si>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</si>
  <si>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</si>
  <si>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</si>
  <si>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</si>
  <si>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</si>
  <si>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</si>
  <si>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</si>
  <si>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</si>
  <si>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</si>
  <si>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</si>
  <si>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</si>
  <si>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</si>
  <si>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</si>
  <si>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NIB SE</t>
  </si>
  <si>
    <t>Accident during a shunting operation. The shunter was standing on the first vehicle in the direction of travel, fell off, was run over and sustained fatal injuries.</t>
  </si>
  <si>
    <t>Sundsvall C</t>
  </si>
  <si>
    <t>CFL cargo Sverige AB</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</si>
  <si>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</si>
  <si>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</si>
  <si>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</si>
  <si>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</si>
  <si>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</si>
  <si>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</si>
  <si>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</si>
  <si>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</si>
  <si>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</si>
  <si>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</si>
  <si>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</si>
  <si>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</si>
  <si>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</si>
  <si>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</si>
  <si>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</si>
  <si>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</si>
  <si>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</si>
  <si>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</si>
  <si>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</si>
  <si>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</si>
  <si>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</si>
  <si>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</si>
  <si>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</si>
  <si>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</si>
  <si>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ČD Cargo, a. s.</t>
  </si>
  <si>
    <t>DBV-ITL, s.r.o.</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</si>
  <si>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</si>
  <si>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</si>
  <si>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</si>
  <si>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</si>
  <si>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</si>
  <si>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</si>
  <si>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</si>
  <si>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</si>
  <si>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</si>
  <si>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</si>
  <si>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</si>
  <si>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Track was damaged, wagons were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</si>
  <si>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</si>
  <si>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</si>
  <si>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</si>
  <si>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</si>
  <si>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</si>
  <si>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</si>
  <si>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</si>
  <si>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</si>
  <si>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</si>
  <si>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</si>
  <si>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</si>
  <si>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</si>
  <si>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</si>
  <si>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</si>
  <si>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</si>
  <si>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</si>
  <si>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</si>
  <si>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</si>
  <si>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</si>
  <si>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NIB IT</t>
  </si>
  <si>
    <t>Runaway and subsequent derailment of the regional train 10776</t>
  </si>
  <si>
    <t>Carnate</t>
  </si>
  <si>
    <t>TRENORD</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</si>
  <si>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</si>
  <si>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</si>
  <si>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</si>
  <si>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</si>
  <si>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</si>
  <si>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</si>
  <si>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</si>
  <si>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</si>
  <si>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</si>
  <si>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</si>
  <si>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</si>
  <si>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</si>
  <si>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</si>
  <si>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</si>
  <si>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</si>
  <si>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</si>
  <si>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</si>
  <si>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</si>
  <si>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DE-6335</t>
  </si>
  <si>
    <t>Train derailment, 30-08-20, Niederlahnstein (Germany)</t>
  </si>
  <si>
    <t>Am 30.08.2020 gegen 18:35 Uhr entgleiste der mit Dieselkraftstoff beladene Kesselwagen-zug DGS 49077 auf der Fahrt von Rotterdam nach Basel im Bahnhof Niederlahnstein in der Weichenverbindung W 35 – W 18.</t>
  </si>
  <si>
    <t>Niederlahnstein</t>
  </si>
  <si>
    <t>Laeger &amp; Wöstenhöfer GmbH &amp; Co. KG</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</si>
  <si>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</si>
  <si>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</si>
  <si>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</si>
  <si>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</si>
  <si>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</si>
  <si>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</si>
  <si>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</si>
  <si>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</si>
  <si>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</si>
  <si>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</si>
  <si>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</si>
  <si>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</si>
  <si>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</si>
  <si>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</si>
  <si>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</si>
  <si>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</si>
  <si>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</si>
  <si>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</si>
  <si>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</si>
  <si>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In Folge der Entgleisung entstanden erhebliche Schäden an dem betroffenen sowie an dem vor- und nachlaufenden Wagen. Der Oberbau sowie die Leit- und Sicherungstechnik wurden im Bereich der Entgleisungsstelle stark beschädigt</t>
  </si>
  <si>
    <t>Bogie of a freight waggn was unable to turn, this lead to a derailment when passing a switch. Blockade was caused by an earlier spot welding from an unclear high voltage breakdown inside the waggon (e.g. lightning).</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</si>
  <si>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</si>
  <si>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</si>
  <si>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</si>
  <si>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</si>
  <si>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</si>
  <si>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</si>
  <si>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</si>
  <si>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</si>
  <si>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</si>
  <si>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</si>
  <si>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</si>
  <si>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</si>
  <si>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</si>
  <si>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</si>
  <si>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</si>
  <si>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</si>
  <si>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</si>
  <si>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</si>
  <si>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</si>
  <si>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</si>
  <si>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</si>
  <si>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</si>
  <si>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</si>
  <si>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</si>
  <si>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</si>
  <si>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</si>
  <si>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</si>
  <si>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</si>
  <si>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</si>
  <si>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</si>
  <si>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</si>
  <si>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Train derailment, 17/9/2020, Corbonod</t>
  </si>
  <si>
    <t>Derailment of a wagon bogie of a mineral water transport train
over 2.8 km</t>
  </si>
  <si>
    <t>Corbonod</t>
  </si>
  <si>
    <t>RegioRail</t>
  </si>
  <si>
    <t>SNCF Reseau</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</si>
  <si>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</si>
  <si>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</si>
  <si>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</si>
  <si>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</si>
  <si>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</si>
  <si>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</si>
  <si>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</si>
  <si>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</si>
  <si>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</si>
  <si>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</si>
  <si>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</si>
  <si>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</si>
  <si>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</si>
  <si>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</si>
  <si>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</si>
  <si>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</si>
  <si>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</si>
  <si>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</si>
  <si>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Am 24.09.2020 entgleiste der Güterzug GC 68327 im Bahnhof Bietigheim-Bissingen. Zuvor verlor der achte Wagen des Zuges während der Fahrt an mehreren Stellen einseitig Ladegut.</t>
  </si>
  <si>
    <t>Bietigheim-Bissingen</t>
  </si>
  <si>
    <t>Freight waggon derailed, damages on vehicles and infrstructure.</t>
  </si>
  <si>
    <t>Unloading hatches of a freight waggon not secured after maintenance. Good (salt) was lost and led to derailment on minor track failure.</t>
  </si>
  <si>
    <t>Quality of train preparation after maintenance, and for shunting and train movements.</t>
  </si>
  <si>
    <t>CZ-6346</t>
  </si>
  <si>
    <t>Train derailment, 26-09-20, Úporiny station (Czech Republic)</t>
  </si>
  <si>
    <t>Derailment of 5 rolling stocks of the freight train No. 69071</t>
  </si>
  <si>
    <t>Úporiny station</t>
  </si>
  <si>
    <t>SD - Kolejová doprava, a.s.</t>
  </si>
  <si>
    <t>CZK 42 327 033,- (€ 1 561 595,-); Rolling stocks, infrastructure</t>
  </si>
  <si>
    <t>Causal factor:
• broken axle of the third wheelset of in thirteenth rolling stock of the freight train No. 69071.
Contributing factor: none.</t>
  </si>
  <si>
    <t>Systemic factor: none.</t>
  </si>
  <si>
    <t>HU-10171</t>
  </si>
  <si>
    <t>Train derailment,  26/09/2020 at Sopron station</t>
  </si>
  <si>
    <t>No. 42338 freight train  derailed on the No. 16 points</t>
  </si>
  <si>
    <t>Sopron station</t>
  </si>
  <si>
    <t>RCH Zrt.</t>
  </si>
  <si>
    <t>Railway vehicle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</si>
  <si>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</si>
  <si>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</si>
  <si>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</si>
  <si>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</si>
  <si>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</si>
  <si>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</si>
  <si>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</si>
  <si>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</si>
  <si>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</si>
  <si>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</si>
  <si>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</si>
  <si>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</si>
  <si>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</si>
  <si>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</si>
  <si>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</si>
  <si>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</si>
  <si>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</si>
  <si>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</si>
  <si>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</si>
  <si>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</si>
  <si>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</si>
  <si>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</si>
  <si>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</si>
  <si>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</si>
  <si>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</si>
  <si>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</si>
  <si>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</si>
  <si>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</si>
  <si>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</si>
  <si>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</si>
  <si>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</si>
  <si>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</si>
  <si>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</si>
  <si>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</si>
  <si>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</si>
  <si>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</si>
  <si>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</si>
  <si>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</si>
  <si>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</si>
  <si>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</si>
  <si>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</si>
  <si>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</si>
  <si>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</si>
  <si>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</si>
  <si>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</si>
  <si>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</si>
  <si>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</si>
  <si>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</si>
  <si>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</si>
  <si>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</si>
  <si>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</si>
  <si>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</si>
  <si>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</si>
  <si>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16/11/2021 - 08/12/2021</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</si>
  <si>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</si>
  <si>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</si>
  <si>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</si>
  <si>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</si>
  <si>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</si>
  <si>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</si>
  <si>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t>Causal factor: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</si>
  <si>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</si>
  <si>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DE-10316</t>
  </si>
  <si>
    <t>Trains collision with an obstacle, 16/10/2020, Bf Dreileben-Drackenstedt</t>
  </si>
  <si>
    <t>Am 16.10.2020 gegen 10:14 Uhr kollidierte der Zug DbZ 79653 auf der Fahrt von Salzgitter nach Blankenburg (Harz) im Bahnhof Dreileben-Drackenstedt mit einem Gleisabschluss.</t>
  </si>
  <si>
    <t>Dreileben-Drackenstedt</t>
  </si>
  <si>
    <t>VGT Vorbereitungsgesellschaft Transporttechnik mbH</t>
  </si>
  <si>
    <t>Locomotive and hauled motor units (for export) derailed and heavily damaged.</t>
  </si>
  <si>
    <t>No continuity of the main reservoir pipe between traction unit and multiple unit when preparing the train [F1]</t>
  </si>
  <si>
    <t>Inadequate inspection measures in relation to the effectiveness of the brake [S1]</t>
  </si>
  <si>
    <t>RO-6358</t>
  </si>
  <si>
    <t>Train derailment, 17-10-20, Atarnati (Romania)</t>
  </si>
  <si>
    <t>The 31st wagon of the freight train no.21153 derailed in Atarnati railway station.</t>
  </si>
  <si>
    <t>Atarnati</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</si>
  <si>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</si>
  <si>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</si>
  <si>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</si>
  <si>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and  06/07/2021, Basel SBB RB (BL) and Lüsslingen (SO)</t>
  </si>
  <si>
    <t>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protective lining cannot be excluded. If these defects existed, they were not detected during the initial tests.
Both tank cars have been in operation since 16 months (Basel) and 30 months (Lüsslingen).</t>
  </si>
  <si>
    <t>Basel RB (19.10.2020) and Lüssligen (06.07.2021)</t>
  </si>
  <si>
    <t>On 19 October 2020 at 21:02, a technical inspector in Basel SBB RB (marshalling yard) noticed that liquid was dripping and evaporating from the front of a tank wagon filled with hydrochloric acid. The technical inspector was injured when he inhaled the fumes.
On 6 July 2021 at 07:36, the train driver noticed blue steam on a train being shunted from Solothurn to Arch. He stopped the train in Lüsslingen and saw steam escaping from a small leak in the wall of a tank wagon filled with hydrochloric acid.
The steam was coming from underneath the access opening (domed cover).
In both cases, the emergency services were able to contain the hydrochloric acid leak and then pump the hazardous material out of the tank wagons.</t>
  </si>
  <si>
    <t>The hazardous material leak in the incidents on 19 October 2020 in Basel SBB RB and on 6 July 2021 in Lüsslingen was due to the failure of the internal protective lining of the respective tank wagons.
The incidents occurred because defects in the manufacture of the protective lining of the tank wagons had not been discovered despite mandatory inspections by various test centres.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</si>
  <si>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</si>
  <si>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</si>
  <si>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</si>
  <si>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</si>
  <si>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</si>
  <si>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</si>
  <si>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</si>
  <si>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</si>
  <si>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</si>
  <si>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</si>
  <si>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</si>
  <si>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</si>
  <si>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</si>
  <si>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</si>
  <si>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</si>
  <si>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</si>
  <si>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</si>
  <si>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</si>
  <si>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</si>
  <si>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</si>
  <si>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</si>
  <si>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</si>
  <si>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</si>
  <si>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</si>
  <si>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</si>
  <si>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</si>
  <si>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CZ-6366</t>
  </si>
  <si>
    <t>Train derailment, 06-11-20, Kolín station (Czech Republic)</t>
  </si>
  <si>
    <t>Derailment locomotive of shunting operation.</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</si>
  <si>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</si>
  <si>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</si>
  <si>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</si>
  <si>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Collision of the regional passenger train No. 9318 with a lorry at Poříčany station</t>
  </si>
  <si>
    <t>Poříčany station</t>
  </si>
  <si>
    <t>Causal factor:
• an unauthorized entrance of the lorry to structure gauge of station track where the train was moving.
Contributing factor:
• insufficient awareness of the lorry driver about organization works within track possession.</t>
  </si>
  <si>
    <t>HU-6373</t>
  </si>
  <si>
    <t>Train derailment, 14-11-20, Budakalász (Hungary)</t>
  </si>
  <si>
    <t>One wagon of passanger train derailed on a switch.</t>
  </si>
  <si>
    <t>AT</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</si>
  <si>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</si>
  <si>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</si>
  <si>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</si>
  <si>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</si>
  <si>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</si>
  <si>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</si>
  <si>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</si>
  <si>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</si>
  <si>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</si>
  <si>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</si>
  <si>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Vácrátót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</si>
  <si>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</si>
  <si>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</si>
  <si>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AT-10006</t>
  </si>
  <si>
    <t>Runaway, 5/12/2020, Hst Kottingbrunn</t>
  </si>
  <si>
    <t>Sicherheitsuntersuchungsstelle des Bundes (NIB AT)</t>
  </si>
  <si>
    <t>Collision of Z 2371 with unrolled wagon group near Kottingbrunn station</t>
  </si>
  <si>
    <t>Kottingbrunn/Austria</t>
  </si>
  <si>
    <t>ÖBB-Personenverkehr Aktiengesellschaft</t>
  </si>
  <si>
    <t>• ÖBB-Produktion Gesellschaft mbH: € 25.000.-
• Rail Cargo Austria Aktiengesellschaft: € 20.000.-
• ÖBB-Personenverkehr Aktiengesellschaft: € 50.000.-</t>
  </si>
  <si>
    <r>
      <t>•</t>
    </r>
    <r>
      <rPr>
        <sz val="7"/>
        <color rgb="FFE1320F"/>
        <rFont val="Times New Roman"/>
        <family val="1"/>
      </rPr>
      <t xml:space="preserve">        </t>
    </r>
    <r>
      <rPr>
        <sz val="12"/>
        <color rgb="FF000000"/>
        <rFont val="Calibri"/>
        <family val="2"/>
      </rPr>
      <t xml:space="preserve">The collision of train Z 2371 and the group of five cars was caused by the car group having run away beforehand. </t>
    </r>
    <r>
      <rPr>
        <vertAlign val="superscript"/>
        <sz val="12"/>
        <color rgb="FF000000"/>
        <rFont val="Calibri"/>
        <family val="2"/>
      </rPr>
      <t>[13]Interviewing the persons in charge revealed thDecember 5, 2020, at 11:03pm UTC+1 (CET).at the car group last moved on track 210 at Lb St during the night of December 2, 2020 to December 3, 2020, at 5:00am. The car group in question then ran away on
•        Although side track 210 at Lb St is protected by a shunting signal on the side facing the station (Wbf), this means of flank protection failed to prevent the car group from running away.
Pursuant to s22,2 and s22,4 of the Austrian Railway Line Construction and Operation Ordinance (Eisenbahnbau- und -betriebsverordnung, EisbBBV), the site of the runaway event requires no further flank protection.
•        According to the information provided by the persons responsible for securing the car group in place, the security devices have possible been removed by unauthorised persons.
Given the 3.69 per mill maximum slope of track 210 at Lb St, the car group concerned is very unlikely to have stayed in place for the above duration without any securing devices.</t>
    </r>
  </si>
  <si>
    <t>Not applicable</t>
  </si>
  <si>
    <t>HR</t>
  </si>
  <si>
    <t>CZ-10003</t>
  </si>
  <si>
    <t>Derailment of the long distance passenger train No. 655 at Hluboká nad Vltavou -Zámostí station;</t>
  </si>
  <si>
    <t>The NIB of The Czech Republic</t>
  </si>
  <si>
    <t>Hluboká nad Vltavou-Zámostí station</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</si>
  <si>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</si>
  <si>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</si>
  <si>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</si>
  <si>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Two trams were leaving the terminus of Budapest, Közvágóhíd (one from the track no. 1 and one from the track no. 2) towards the same direction at the same time and they collided side to side at the switch.</t>
  </si>
  <si>
    <t xml:space="preserve">Budapest, Közvágóhíd vá. </t>
  </si>
  <si>
    <t xml:space="preserve">Switch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</si>
  <si>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</si>
  <si>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</si>
  <si>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</si>
  <si>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</si>
  <si>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</si>
  <si>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</si>
  <si>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</si>
  <si>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</si>
  <si>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t>Causal factor: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</si>
  <si>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</si>
  <si>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FR</t>
  </si>
  <si>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</si>
  <si>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</si>
  <si>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</si>
  <si>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</si>
  <si>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</si>
  <si>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</si>
  <si>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</si>
  <si>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</si>
  <si>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</si>
  <si>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</si>
  <si>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</si>
  <si>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</si>
  <si>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</si>
  <si>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</si>
  <si>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</si>
  <si>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</si>
  <si>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NO</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</si>
  <si>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</si>
  <si>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</si>
  <si>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</si>
  <si>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</si>
  <si>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</si>
  <si>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</si>
  <si>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</si>
  <si>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</si>
  <si>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</si>
  <si>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</si>
  <si>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</si>
  <si>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</si>
  <si>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</si>
  <si>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</si>
  <si>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</si>
  <si>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PL</t>
  </si>
  <si>
    <t>FR-10015</t>
  </si>
  <si>
    <t>Level crossing accident, 15/1/2021, Peronnas</t>
  </si>
  <si>
    <t>a regional passager train collides with a light vehicle on level crossing 44</t>
  </si>
  <si>
    <t>Péronnas</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</si>
  <si>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</si>
  <si>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</si>
  <si>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HU-10011</t>
  </si>
  <si>
    <t>Train derailment, 17/1/2021, Murakeresztúr</t>
  </si>
  <si>
    <t>Freight train derailed on a switch.</t>
  </si>
  <si>
    <t>Murakeresztúr</t>
  </si>
  <si>
    <t>track, freight waggon</t>
  </si>
  <si>
    <t>Failure of switch</t>
  </si>
  <si>
    <t>track maintenance</t>
  </si>
  <si>
    <t>BE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</si>
  <si>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</si>
  <si>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</si>
  <si>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</si>
  <si>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</si>
  <si>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</si>
  <si>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</si>
  <si>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</si>
  <si>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</si>
  <si>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HU-10009</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</si>
  <si>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</si>
  <si>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</si>
  <si>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</si>
  <si>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</si>
  <si>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</si>
  <si>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</si>
  <si>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</si>
  <si>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</si>
  <si>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</si>
  <si>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</si>
  <si>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</si>
  <si>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</si>
  <si>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</si>
  <si>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</si>
  <si>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</si>
  <si>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SE</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</si>
  <si>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</si>
  <si>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</si>
  <si>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</si>
  <si>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</si>
  <si>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</si>
  <si>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</si>
  <si>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</si>
  <si>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RO</t>
  </si>
  <si>
    <t>BE-10021</t>
  </si>
  <si>
    <t>Train derailment, 28/1/2021, Weerde</t>
  </si>
  <si>
    <t>Derailment of a passenger train</t>
  </si>
  <si>
    <t>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</si>
  <si>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</si>
  <si>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</si>
  <si>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</si>
  <si>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</si>
  <si>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</si>
  <si>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</si>
  <si>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</si>
  <si>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</si>
  <si>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Renfe Viajeros</t>
  </si>
  <si>
    <t>No damages</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</si>
  <si>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</si>
  <si>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</si>
  <si>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</si>
  <si>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</si>
  <si>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</si>
  <si>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</si>
  <si>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</si>
  <si>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</si>
  <si>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</si>
  <si>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</si>
  <si>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The front carriage of InterCity train no. 934 derailed with one bogie and the train broke up while it was leaving Tatabánya station. A passenger of the train suffered minor injuries.</t>
  </si>
  <si>
    <t xml:space="preserve">Tatabánya </t>
  </si>
  <si>
    <t>Track was damaged, bogie and interior of the derailed wagon was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</si>
  <si>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</si>
  <si>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</si>
  <si>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SE-10019</t>
  </si>
  <si>
    <t>Trains collision near miss, 1/2/2021, Garsås - Rättvik</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</si>
  <si>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</si>
  <si>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</si>
  <si>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</si>
  <si>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</si>
  <si>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</si>
  <si>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</si>
  <si>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</si>
  <si>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</si>
  <si>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</si>
  <si>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</si>
  <si>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</si>
  <si>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</si>
  <si>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</si>
  <si>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</si>
  <si>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</si>
  <si>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</si>
  <si>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</si>
  <si>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</si>
  <si>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</si>
  <si>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</si>
  <si>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</si>
  <si>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</si>
  <si>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</si>
  <si>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</si>
  <si>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</si>
  <si>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17.02.2021</t>
  </si>
  <si>
    <t>PL-10022</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</si>
  <si>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</si>
  <si>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</si>
  <si>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</si>
  <si>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</si>
  <si>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</si>
  <si>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</si>
  <si>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NO-10024</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</si>
  <si>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</si>
  <si>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</si>
  <si>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</si>
  <si>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</si>
  <si>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</si>
  <si>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</si>
  <si>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</si>
  <si>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</si>
  <si>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</si>
  <si>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</si>
  <si>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</si>
  <si>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t xml:space="preserve">Causal factors: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</si>
  <si>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</si>
  <si>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</si>
  <si>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Train derailment, 11/2/2021, between Kummelby and Häggvik, Stockholm</t>
  </si>
  <si>
    <t>Derailment involving a freight train between Kummelby and Häggvik, 
Stockholm County,</t>
  </si>
  <si>
    <t>Open line between Kummelby and Häggvik</t>
  </si>
  <si>
    <t>Green Cargo</t>
  </si>
  <si>
    <t>Major damage to infrastructure and also some damage to rolling stock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</si>
  <si>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</si>
  <si>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HU-10032</t>
  </si>
  <si>
    <t>Signal passed at danger (SPAD), Pécel, 14/02/21</t>
  </si>
  <si>
    <t>Locomotive running solo no. 14523 passed entry signal at danger „D” of Pécel station without permission and stopped at the station’s end point switch area. No injuries occured.</t>
  </si>
  <si>
    <t>Pécel (47.493546, 19.338512)</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</si>
  <si>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</si>
  <si>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</si>
  <si>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</si>
  <si>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</si>
  <si>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</si>
  <si>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</si>
  <si>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</si>
  <si>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</si>
  <si>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t>Causal factor: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</si>
  <si>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</si>
  <si>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</si>
  <si>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</si>
  <si>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</si>
  <si>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</si>
  <si>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</si>
  <si>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</si>
  <si>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</si>
  <si>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</si>
  <si>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</si>
  <si>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Accident to persons caused by RS in motion, 27/2/2021, Ruisbroek</t>
  </si>
  <si>
    <t>An employee of a subcontractor in railway works is struck by a passenger train.</t>
  </si>
  <si>
    <t>Ruisbroek</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</si>
  <si>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</si>
  <si>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</si>
  <si>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</si>
  <si>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</si>
  <si>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</si>
  <si>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</si>
  <si>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</si>
  <si>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</si>
  <si>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</si>
  <si>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</si>
  <si>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</si>
  <si>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</si>
  <si>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</si>
  <si>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</si>
  <si>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</si>
  <si>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</si>
  <si>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</si>
  <si>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</si>
  <si>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</si>
  <si>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Train derailment, 4/3/2021, Germoir Railway Station (Ixelles, Brussels)</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</si>
  <si>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</si>
  <si>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</si>
  <si>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</si>
  <si>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</si>
  <si>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</si>
  <si>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</si>
  <si>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</si>
  <si>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</si>
  <si>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</si>
  <si>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</si>
  <si>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</si>
  <si>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</si>
  <si>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</si>
  <si>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</si>
  <si>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</si>
  <si>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</si>
  <si>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</si>
  <si>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</si>
  <si>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</si>
  <si>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HU-10042</t>
  </si>
  <si>
    <t>SPAD, 10-03-21, Rákos station (Hungary)</t>
  </si>
  <si>
    <t>Freight train passed the signal at danger.</t>
  </si>
  <si>
    <t>Rákos Station</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</si>
  <si>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</si>
  <si>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</si>
  <si>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</si>
  <si>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</si>
  <si>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</si>
  <si>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</si>
  <si>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</si>
  <si>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</si>
  <si>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DE</t>
  </si>
  <si>
    <t>IT-10072</t>
  </si>
  <si>
    <t>Unauthorised train movement other than SPAD, 21/3/2021, PM Bivio Adda</t>
  </si>
  <si>
    <t>passing of a switch in an undefined position with consequent incorrect routing of part of Trenord's train 2231, occurred on the Milan-Bergamo line</t>
  </si>
  <si>
    <t>PM Bivio Adda</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</si>
  <si>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</si>
  <si>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</si>
  <si>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</si>
  <si>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</si>
  <si>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</si>
  <si>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</si>
  <si>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</si>
  <si>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</si>
  <si>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</si>
  <si>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</si>
  <si>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</si>
  <si>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</si>
  <si>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</si>
  <si>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</si>
  <si>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</si>
  <si>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</si>
  <si>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</si>
  <si>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</si>
  <si>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</si>
  <si>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</si>
  <si>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</si>
  <si>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</si>
  <si>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</si>
  <si>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</si>
  <si>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</si>
  <si>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</si>
  <si>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</si>
  <si>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</si>
  <si>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</si>
  <si>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</si>
  <si>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</si>
  <si>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</si>
  <si>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</si>
  <si>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31/3/2021, Bf. Fallersleben</t>
  </si>
  <si>
    <t xml:space="preserve">Trains collision </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</si>
  <si>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</si>
  <si>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Bf Fallersleben</t>
  </si>
  <si>
    <t>DB Cargo AG (2x)</t>
  </si>
  <si>
    <t>Locomotives derailed and damaged. Infrastructure strongly damaged.</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</si>
  <si>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</si>
  <si>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The event was caused by the shun􀆟ng train driver passing light signal 363 R, which was showing ‘stop’, without authorisa􀆟on. Consequently, this operational error led to the collision between the shunting operation and the incoming freight train EZK 53180. The lighting condi􀆟ons at the time of the event can be cited as a contributing factor, which may have led to a misinterpretation of the signal. The failure of the driver to omit a GSM-R emergency call after recognising his operational error meant that the extent of the damage that ultimately occurred was not reduced.</t>
  </si>
  <si>
    <t>IT-10073</t>
  </si>
  <si>
    <t>Trains collision with an obstacle, 2/4/2021, Roma-Lido line</t>
  </si>
  <si>
    <t>12:55</t>
  </si>
  <si>
    <t>Train collision with contact line, Roma-Lido line, which occurred on 02.04.2021 and fire principle on train n. 2061 and overhead line fall contact on 09.12.2021</t>
  </si>
  <si>
    <t>Roma-Lido line</t>
  </si>
  <si>
    <t>ATAC SpA</t>
  </si>
  <si>
    <t>serious damage to rolling stock and infrastructure</t>
  </si>
  <si>
    <t xml:space="preserve">The direct cause of the event (02.04.2021) can be traced to the failure of the overhead line, which was allegedly also damaged by the impact with the pantograph of the MA 226-330 train, which was splintered and slightly raised. </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</si>
  <si>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</si>
  <si>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</si>
  <si>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</si>
  <si>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</si>
  <si>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</si>
  <si>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</si>
  <si>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</si>
  <si>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</si>
  <si>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11/06/2024 &amp; 15/04/2025</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</si>
  <si>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</si>
  <si>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</si>
  <si>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</si>
  <si>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</si>
  <si>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</si>
  <si>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</si>
  <si>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</si>
  <si>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</si>
  <si>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</si>
  <si>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</si>
  <si>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</si>
  <si>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</si>
  <si>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</si>
  <si>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</si>
  <si>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</si>
  <si>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</si>
  <si>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</si>
  <si>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</si>
  <si>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</si>
  <si>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</si>
  <si>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</si>
  <si>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</si>
  <si>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</si>
  <si>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</si>
  <si>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Rákosrendező (Budapest), Hungary</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</si>
  <si>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</si>
  <si>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</si>
  <si>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HU-10170</t>
  </si>
  <si>
    <t>Other,  10/04/2021 at Bicske station</t>
  </si>
  <si>
    <t>No. 4851 passenger train  entered a track occupied by the No. 4948 passenger train.</t>
  </si>
  <si>
    <t>Bicske</t>
  </si>
  <si>
    <t>MÁV START Zrt.</t>
  </si>
  <si>
    <t>Railway track closure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</si>
  <si>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</si>
  <si>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</si>
  <si>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</si>
  <si>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</si>
  <si>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</si>
  <si>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</si>
  <si>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</si>
  <si>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</si>
  <si>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</si>
  <si>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</si>
  <si>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</si>
  <si>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</si>
  <si>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</si>
  <si>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</si>
  <si>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</si>
  <si>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</si>
  <si>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</si>
  <si>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</si>
  <si>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</si>
  <si>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</si>
  <si>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</si>
  <si>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</si>
  <si>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</si>
  <si>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Train derailment, 12-05-21, Bf Berlin-Lichtenberg (Germany)</t>
  </si>
  <si>
    <t xml:space="preserve">Bei der Fahrt auf Zsig L 22 aus Gl. 22 des Stellwerksbezirkes B 6 des Bf Berlin-Lichtenberg in Richtung Stellwerksbezirk B 1 entgleiste der Güterzug DGS 91017 der ArcelorMittal Eisenhüttenstadt Transporttechnik GmbH in der Weiche 163 und prallte mit dem mittleren Zugteil gegen den Leerreisezug 62220 der ODEG GmbH der am Zsig G wartete. Bis zur Entgleisung fuhr der Zug 91017 ab der Weiche 163 zweigleisig auf den Gleisen 203 und 204. Der Zug 91017 war auf dem Weg von Eisenhüttenstadt-Ziltendorf nach Lünen Süd. In Höhe des Zsig G prallte der 19. Wagen des Güterzuges seitlich auf die Spitze des haltenden Triebzuges der BR 445 der ODEG GmbH. Daraufhin kam es zur Zugtrennung. </t>
  </si>
  <si>
    <t>Bf Berlin-Lichtenberg</t>
  </si>
  <si>
    <t>Freight train;
Passenger train</t>
  </si>
  <si>
    <t>Germany
ArcelorMittal Eisenhüttenstadt Transport;
Germany
ODEG Ostdeutsche Eisenbahngesellschaft mbH</t>
  </si>
  <si>
    <t>HU-10046</t>
  </si>
  <si>
    <t>Level crossing accident 20-04-21, Between Hajdúhadház and Újfehértó Stations, Hungary</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</si>
  <si>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</si>
  <si>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Between Hajdúhadház and Újfehértó Stations, Hungary</t>
  </si>
  <si>
    <t>MÁV-START Zrt</t>
  </si>
  <si>
    <t xml:space="preserve">MÁV Zrt. </t>
  </si>
  <si>
    <t xml:space="preserve">Total damage HUF 272,000,000 </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</si>
  <si>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</si>
  <si>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</si>
  <si>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</si>
  <si>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</si>
  <si>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</si>
  <si>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</si>
  <si>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</si>
  <si>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</si>
  <si>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</si>
  <si>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</si>
  <si>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ES-10227</t>
  </si>
  <si>
    <t>Train derailment, 3/5/2021, Galicia junction (León)</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</si>
  <si>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</si>
  <si>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</si>
  <si>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</si>
  <si>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</si>
  <si>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CZ-10049</t>
  </si>
  <si>
    <t>Trains collision with an obstacle, 05-05-21, open line between Třebovice v Čechách and Česká Třebová stations (Czech Republic)</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</si>
  <si>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</si>
  <si>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</si>
  <si>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</si>
  <si>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</si>
  <si>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</si>
  <si>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</si>
  <si>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</si>
  <si>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</si>
  <si>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</si>
  <si>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</si>
  <si>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</si>
  <si>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</si>
  <si>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</si>
  <si>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</si>
  <si>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</si>
  <si>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</si>
  <si>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</si>
  <si>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</si>
  <si>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</si>
  <si>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</si>
  <si>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</si>
  <si>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</si>
  <si>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</si>
  <si>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</si>
  <si>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</si>
  <si>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</si>
  <si>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AMEH, ODEG</t>
  </si>
  <si>
    <t>1 tank car derailed, infrastructure equipment damaged, vehicles on other tracks damaged.</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</si>
  <si>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</si>
  <si>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</si>
  <si>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</si>
  <si>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</si>
  <si>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</si>
  <si>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</si>
  <si>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</si>
  <si>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</si>
  <si>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</si>
  <si>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</si>
  <si>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</si>
  <si>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</si>
  <si>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</si>
  <si>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</si>
  <si>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</si>
  <si>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</si>
  <si>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</si>
  <si>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</si>
  <si>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</si>
  <si>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</si>
  <si>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</si>
  <si>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</si>
  <si>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MÁV-Start Zrt.</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</si>
  <si>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</si>
  <si>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</si>
  <si>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</si>
  <si>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</si>
  <si>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</si>
  <si>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</si>
  <si>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 xml:space="preserve">CNCF „CFR" SA </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</si>
  <si>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</si>
  <si>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</si>
  <si>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</si>
  <si>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CZ-10062</t>
  </si>
  <si>
    <t>Train collision with technical device, 05-06-21, Třinec (Czech Republic)</t>
  </si>
  <si>
    <t>Train collision with technical device</t>
  </si>
  <si>
    <t>The collision of the locomotive train No. 53484 with the specified technical equipment placed on the contact wire</t>
  </si>
  <si>
    <t>Třinec station, km 312,820</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</si>
  <si>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</si>
  <si>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</si>
  <si>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</si>
  <si>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</si>
  <si>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Systemic factor: none</t>
  </si>
  <si>
    <t>FI-10069</t>
  </si>
  <si>
    <t>Fire in RS, 5/6/2021, Joroinen, between Huutokoski and Siikamäki, line number 1801, km 400+0500</t>
  </si>
  <si>
    <t>NIB FI</t>
  </si>
  <si>
    <t>One unit of train composing 2 Dm12 rail busses caught fire in Joroinen.</t>
  </si>
  <si>
    <t>Joroinen, between Huutokoski and Siikamäki, line number 1801, km 400+0500</t>
  </si>
  <si>
    <t>Finish Transport Infrastructure Agency</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</si>
  <si>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</si>
  <si>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</si>
  <si>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</si>
  <si>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RO-10059</t>
  </si>
  <si>
    <t>Fire in RS, 06-06-2021, Poarta railway station, Romania</t>
  </si>
  <si>
    <t>After the parking of the freight train no.81690 in the Poarta railway station, a fire brust in EA071 locomotive.</t>
  </si>
  <si>
    <t>Poarta railway station</t>
  </si>
  <si>
    <t xml:space="preserve">SNTFM „CFR Marfă”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</si>
  <si>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</si>
  <si>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</si>
  <si>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</si>
  <si>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DE-10142</t>
  </si>
  <si>
    <t>Train derailment, 9/6/2021, Bf Demmin</t>
  </si>
  <si>
    <t>Am 09.06.2021 gegen 12:17 Uhr entgleiste der Güterzug DGS 95370 auf der Fahrt von Stendell nach Pirna im Bahnhof (Bf) Demmin beim Befahren der Weiche W 39 mit den beiden Radsätzen am hinteren Drehgestell des letzten Wagens.</t>
  </si>
  <si>
    <t>Bf Demmin</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</si>
  <si>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</si>
  <si>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</si>
  <si>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</si>
  <si>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HU-10060</t>
  </si>
  <si>
    <t>Spad, 09-06-2021, Püspökladány Station, Hungary</t>
  </si>
  <si>
    <t>The passenger train no. 6105 overrun the “K4” signal.</t>
  </si>
  <si>
    <t>Püspökladány Station, Hungary (N:47.327632 o, E:21.125711o)</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</si>
  <si>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</si>
  <si>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</si>
  <si>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</si>
  <si>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</si>
  <si>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</si>
  <si>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</si>
  <si>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</si>
  <si>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</si>
  <si>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</si>
  <si>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</si>
  <si>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</si>
  <si>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</si>
  <si>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</si>
  <si>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</si>
  <si>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</si>
  <si>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</si>
  <si>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</si>
  <si>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</si>
  <si>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</si>
  <si>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</si>
  <si>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</si>
  <si>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</si>
  <si>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</si>
  <si>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 xml:space="preserve">Directive 2016/798, article 20.2.(b)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</si>
  <si>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</si>
  <si>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</si>
  <si>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PL-10075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</si>
  <si>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</si>
  <si>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</si>
  <si>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</si>
  <si>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</si>
  <si>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</si>
  <si>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</si>
  <si>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RO-10074</t>
  </si>
  <si>
    <t>Train derailment, 15-06-21, Dej Triaj railway station, Romania</t>
  </si>
  <si>
    <t>Two wagons from the composition of the freight train no. 48375 (3rd and 4th) derailed in Dej Triaj railway station.</t>
  </si>
  <si>
    <t>Dej Triaj railway station</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</si>
  <si>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</si>
  <si>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</si>
  <si>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</si>
  <si>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FR-10079</t>
  </si>
  <si>
    <t>Level crossing accident, 16-6-2021, Rumigny, France</t>
  </si>
  <si>
    <t>collision between a freight train carrying dangerous goods and a semi-trailer of exceptional transport carrying a boat</t>
  </si>
  <si>
    <t>Rumigny</t>
  </si>
  <si>
    <t>EUROPORTE</t>
  </si>
  <si>
    <t>SNCF RESEAU</t>
  </si>
  <si>
    <t>Train engine and the first seven tank cars carrying phosphoric acid were overturned</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</si>
  <si>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</si>
  <si>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</si>
  <si>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</si>
  <si>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</si>
  <si>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</si>
  <si>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</si>
  <si>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</si>
  <si>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</si>
  <si>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</si>
  <si>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</si>
  <si>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</si>
  <si>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</si>
  <si>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</si>
  <si>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</si>
  <si>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</si>
  <si>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</si>
  <si>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CZ-10071</t>
  </si>
  <si>
    <t>Train collision, 18-06-2021, Čerčany station,Czech Republic</t>
  </si>
  <si>
    <t>Unauthorized movement of the shunting operation behind the
signal device Se12 and its consequent collision with the standing regional passenger train No. 9010</t>
  </si>
  <si>
    <t>Čerčany station</t>
  </si>
  <si>
    <t>Shunting operation; Regional passenger train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</si>
  <si>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</si>
  <si>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</si>
  <si>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</si>
  <si>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</si>
  <si>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</si>
  <si>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</si>
  <si>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</si>
  <si>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</si>
  <si>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</si>
  <si>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</si>
  <si>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PT-10182</t>
  </si>
  <si>
    <t>Level crossing accident, 19/6/2021, Level crossing 27,335 (Linha de Vendas Novas)</t>
  </si>
  <si>
    <t>Fatal collision at level crossing 27,335 (Linha de Vendas Novas)</t>
  </si>
  <si>
    <t>Level crossing 27,335 (Linha de Vendas Novas)</t>
  </si>
  <si>
    <t>Light damage to locomotive. Destruction of road vehicle.</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</si>
  <si>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</si>
  <si>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</si>
  <si>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</si>
  <si>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</si>
  <si>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</si>
  <si>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</si>
  <si>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</si>
  <si>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</si>
  <si>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</si>
  <si>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</si>
  <si>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</si>
  <si>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</si>
  <si>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</si>
  <si>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</si>
  <si>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</si>
  <si>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</si>
  <si>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</si>
  <si>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CNCF „CFR” SA</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</si>
  <si>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</si>
  <si>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</si>
  <si>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</si>
  <si>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</si>
  <si>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</si>
  <si>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</si>
  <si>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</si>
  <si>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</si>
  <si>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</si>
  <si>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</si>
  <si>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</si>
  <si>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</si>
  <si>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</si>
  <si>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</si>
  <si>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FI-10083</t>
  </si>
  <si>
    <t>Train derailment, 3/7/2021, Vesanka, Jyväskylä–Haapamäki section of line, Finland</t>
  </si>
  <si>
    <t>15:5</t>
  </si>
  <si>
    <t>Last six wagons of freight train TR3381 (2 x Dv12 diesel-hydraulic locomotives + 26 x unloaded Sp/Sps timber wagons.) derailed at Vesanka. Train travelled 1,5km before stopping.</t>
  </si>
  <si>
    <t>Vesanka, Jyväskylä–Haapamäki section of line (line number 1503), km 0363.</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</si>
  <si>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</si>
  <si>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</si>
  <si>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</si>
  <si>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NO-10115</t>
  </si>
  <si>
    <t>Trains collision, 3/7/2021, Storo, Oslo</t>
  </si>
  <si>
    <t>Trams colliding. Switch point at wrong positions. Driver failed to notice.</t>
  </si>
  <si>
    <t>Storo, Oslo</t>
  </si>
  <si>
    <t>Front body of tram 132, and left side last wagon body tram 135</t>
  </si>
  <si>
    <t>Driver failed to see orientation signal and switch points</t>
  </si>
  <si>
    <t>Driver not fit for operating trams, due to stress caused by incident earlier same week.</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</si>
  <si>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</si>
  <si>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</si>
  <si>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</si>
  <si>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</si>
  <si>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</si>
  <si>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</si>
  <si>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</si>
  <si>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RO-10085</t>
  </si>
  <si>
    <t>Train derailment, 8/7/2021, Câmpia Turzii, Romania</t>
  </si>
  <si>
    <t>The third coach from the composition of the passenger train no.3081 derailed in Câmpia Turzii railway station.</t>
  </si>
  <si>
    <t>Câmpia Turzii</t>
  </si>
  <si>
    <t xml:space="preserve">Following the accident, the track superstructure was affected on about 450 m. Damage to the derailed bogie of wagon no.50538483005-3 . </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</si>
  <si>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</si>
  <si>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</si>
  <si>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RO-10086</t>
  </si>
  <si>
    <t>Fire in RS, 8/7/2021, Bușteni, Romania</t>
  </si>
  <si>
    <t>4:30</t>
  </si>
  <si>
    <t>A fire broke out at the tank car no. 33877852226-2, which was the first in the composition of the freight train no. 80498-1.</t>
  </si>
  <si>
    <t>Bușteni</t>
  </si>
  <si>
    <t>SC GRUP FEROVIAR ROMÂN SA</t>
  </si>
  <si>
    <t>Slight damage to the upper part of the tank car no.33877852226-2.</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</si>
  <si>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</si>
  <si>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</si>
  <si>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HU-10084</t>
  </si>
  <si>
    <t>Other, 11/7/2021, Ferencváros, Hungary</t>
  </si>
  <si>
    <t>14:25</t>
  </si>
  <si>
    <t>Freight train passed signal at danger, asked by the control staff; and entered in an occupied track.</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</si>
  <si>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</si>
  <si>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</si>
  <si>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RO-10087</t>
  </si>
  <si>
    <t>Fire in RS, 12/7/2021, Beia, Romania</t>
  </si>
  <si>
    <t>6:45</t>
  </si>
  <si>
    <t>A fire broke out at the cargo (wooden logs) from the open-top wagon no. 33876735081-6, which was the first in the composition of the freight train no.99514.</t>
  </si>
  <si>
    <t>Beia</t>
  </si>
  <si>
    <t>SC VEST TRANS RAIL SRL</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</si>
  <si>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</si>
  <si>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</si>
  <si>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</si>
  <si>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</si>
  <si>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</si>
  <si>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</si>
  <si>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</si>
  <si>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</si>
  <si>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</si>
  <si>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a) the switch tongue in the switch № 23 was not properly aligned with the stock rail; and
b) the wheels of the first freight wagon to derail were worn, within limits but beyond the operational state</t>
  </si>
  <si>
    <t>no such factor was identified by the IC</t>
  </si>
  <si>
    <t>CZ-10091</t>
  </si>
  <si>
    <t>Spad, 14-07-21, Poříčany station, Czech Republic</t>
  </si>
  <si>
    <t>Unauthorized movement of the regional passenger train No. 9344 behind the signal device No. L6 and its ride into the rain route of the long distance passenger train No. 924.</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</si>
  <si>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</si>
  <si>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</si>
  <si>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</si>
  <si>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</si>
  <si>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</si>
  <si>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</si>
  <si>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</si>
  <si>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</si>
  <si>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</si>
  <si>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</si>
  <si>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CZ-10092</t>
  </si>
  <si>
    <t>Train derailment, 15-07-21, Chválkov – Včelnička (Czech Republic)</t>
  </si>
  <si>
    <t>Derailment of diesel railcar of the regional passenger train No. 21209</t>
  </si>
  <si>
    <t xml:space="preserve">Open line between Chválkov and Včelnička operating points </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</si>
  <si>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</si>
  <si>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</si>
  <si>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</si>
  <si>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</si>
  <si>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RO-10094</t>
  </si>
  <si>
    <t>Train derailment, 15/7/2021, Bucureștii Noi, Romania</t>
  </si>
  <si>
    <t>The ED002 locomotive that was hauling the freight train no.83548G-1  derailed from the first bogie in the direction of travel in the Bucureștii Noi railway station.</t>
  </si>
  <si>
    <t>Bucureștii Noi</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</si>
  <si>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</si>
  <si>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</si>
  <si>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</si>
  <si>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RO-10095</t>
  </si>
  <si>
    <t>Fire in RS, 18/7/2021, Jegălia</t>
  </si>
  <si>
    <t xml:space="preserve">A traction engine of the DMU Desiro Siemens no.2084 caught fire in the Jegălia railway station. </t>
  </si>
  <si>
    <t>Jegalia</t>
  </si>
  <si>
    <t>SNTFC „CFR Calatori” SA</t>
  </si>
  <si>
    <t>The multiple unit Desiro no.2084 was affected, especially the diesel engine no. 2.</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</si>
  <si>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</si>
  <si>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</si>
  <si>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</si>
  <si>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</si>
  <si>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</si>
  <si>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</si>
  <si>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</si>
  <si>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</si>
  <si>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RO-10096</t>
  </si>
  <si>
    <t>Train derailment, 20/7/2021, Dorobantu</t>
  </si>
  <si>
    <t>2:45</t>
  </si>
  <si>
    <t>The 33th wagon of the freight train no.50830 derailed in Dorobantu railway station</t>
  </si>
  <si>
    <t>Dorobantu</t>
  </si>
  <si>
    <t>SC EXPRESS FORWARDING SRL</t>
  </si>
  <si>
    <t xml:space="preserve">Following the accident, the track superstructure of the track was affected on about 4650 m.                                                            Damages at all wheels of a wagon derailed.                                        The railway installations were affected on the  distance where the wagon ran in derailed condition.                                                             </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</si>
  <si>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</si>
  <si>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</si>
  <si>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IE-10122</t>
  </si>
  <si>
    <t>Other event (near miss), 21/7/2021, Gormanstown</t>
  </si>
  <si>
    <t>NIB IE</t>
  </si>
  <si>
    <t>Near miss with MOS &amp; A124 Gormanstown</t>
  </si>
  <si>
    <t>Gormanstown</t>
  </si>
  <si>
    <t>Minimal damage</t>
  </si>
  <si>
    <t>RO-10097</t>
  </si>
  <si>
    <t>Train derailment, 21/7/2021, Fetesti</t>
  </si>
  <si>
    <t>Three wagons of the freight train no.64288 derailed on the exit of Fetești railway station.</t>
  </si>
  <si>
    <t>SC ROFERSPED SA</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</si>
  <si>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</si>
  <si>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</si>
  <si>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</si>
  <si>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</si>
  <si>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</si>
  <si>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</si>
  <si>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</si>
  <si>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</si>
  <si>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</si>
  <si>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</si>
  <si>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</si>
  <si>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NO-10107</t>
  </si>
  <si>
    <t>Infrastructure event, 27/7/2021,  Sandefjord</t>
  </si>
  <si>
    <t>11:30</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</si>
  <si>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</si>
  <si>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</si>
  <si>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</si>
  <si>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</si>
  <si>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</si>
  <si>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</si>
  <si>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HU-10098</t>
  </si>
  <si>
    <t>Train derailment, 28/7/2021, Nagykáta station</t>
  </si>
  <si>
    <t>Two wagons of the train derailed because gauge spread.</t>
  </si>
  <si>
    <t>Nagykáta station</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</si>
  <si>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</si>
  <si>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</si>
  <si>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RO-10100</t>
  </si>
  <si>
    <t>Trains collision, 28/7/2021, Fetești</t>
  </si>
  <si>
    <t>23:20</t>
  </si>
  <si>
    <t>Freight train no.60514-1 overtook and collided seriously freight train no.50791-1 in Fetești railway station.</t>
  </si>
  <si>
    <t>Fetești</t>
  </si>
  <si>
    <t>SC TIM RAIL CARGO SRL and SC EXPRESS Forwarding SRL</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</si>
  <si>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</si>
  <si>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</si>
  <si>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</si>
  <si>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</si>
  <si>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</si>
  <si>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</si>
  <si>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</si>
  <si>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</si>
  <si>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</si>
  <si>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</si>
  <si>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</si>
  <si>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</si>
  <si>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</si>
  <si>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</si>
  <si>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</si>
  <si>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</si>
  <si>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</si>
  <si>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</si>
  <si>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</si>
  <si>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</si>
  <si>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</si>
  <si>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</si>
  <si>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</si>
  <si>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Unauthorized movement of the locomotive train No. 52489 behind the main (departure) signal device S1 and consequent collision with the oncoming
regional passenger train No. 3821</t>
  </si>
  <si>
    <t>Němčice nad Hanou station</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</si>
  <si>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</si>
  <si>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</si>
  <si>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</si>
  <si>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</si>
  <si>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</si>
  <si>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</si>
  <si>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</si>
  <si>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</si>
  <si>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</si>
  <si>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</si>
  <si>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</si>
  <si>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</si>
  <si>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</si>
  <si>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</si>
  <si>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</si>
  <si>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</si>
  <si>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</si>
  <si>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CZ-10102</t>
  </si>
  <si>
    <t xml:space="preserve">Train derailment, 04-08-21, Kralupy nad Vltavou station (Czech Republic) </t>
  </si>
  <si>
    <t>Derailment of 3 rolling stocks of the freight train No. 62310</t>
  </si>
  <si>
    <t xml:space="preserve"> Kralupy nad Vltavou station, switch No. 101, km 435,660</t>
  </si>
  <si>
    <t>CZK 2 238 649,- (€ 88 015,-); Rolling stocks, infrastructure</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</si>
  <si>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</si>
  <si>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</si>
  <si>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</si>
  <si>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</si>
  <si>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</si>
  <si>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</si>
  <si>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</si>
  <si>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</si>
  <si>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</si>
  <si>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</si>
  <si>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</si>
  <si>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</si>
  <si>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</si>
  <si>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</si>
  <si>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</si>
  <si>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</si>
  <si>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RO-10110</t>
  </si>
  <si>
    <t>Train derailment, 7/8/2021, Vlăduleni - Piatra Olt</t>
  </si>
  <si>
    <t>The 13th wagon from the composition of the freight train no. 20536-1 derailed between Vlăduleni and Piatra Olt railway stations.</t>
  </si>
  <si>
    <t>Vlăduleni - Piatra Olt</t>
  </si>
  <si>
    <t>SC CER - FERSPED SA</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</si>
  <si>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</si>
  <si>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</si>
  <si>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</si>
  <si>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</si>
  <si>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</si>
  <si>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</si>
  <si>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</si>
  <si>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MÁV-HÉV Zrt.</t>
  </si>
  <si>
    <t>The end and the driver's cabin on power car no. 920 of passenger train no. 1082 damaged.</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</si>
  <si>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</si>
  <si>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</si>
  <si>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</si>
  <si>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</si>
  <si>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</si>
  <si>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</si>
  <si>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</si>
  <si>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</si>
  <si>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</si>
  <si>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</si>
  <si>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</si>
  <si>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</si>
  <si>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</si>
  <si>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</si>
  <si>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</si>
  <si>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</si>
  <si>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</si>
  <si>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</si>
  <si>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</si>
  <si>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</si>
  <si>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</si>
  <si>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</si>
  <si>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</si>
  <si>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</si>
  <si>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</si>
  <si>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</si>
  <si>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</si>
  <si>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</si>
  <si>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</si>
  <si>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</si>
  <si>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</si>
  <si>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</si>
  <si>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</si>
  <si>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</si>
  <si>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</si>
  <si>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</si>
  <si>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</si>
  <si>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</si>
  <si>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</si>
  <si>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</si>
  <si>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RO-10113</t>
  </si>
  <si>
    <t>Fire in RS, 23/8/2021, Șag - Vinga</t>
  </si>
  <si>
    <t>A fire brust out at the locomotive of passenger train no.2602.</t>
  </si>
  <si>
    <t>Șag - Vinga</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</si>
  <si>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</si>
  <si>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</si>
  <si>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</si>
  <si>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</si>
  <si>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</si>
  <si>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</si>
  <si>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</si>
  <si>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</si>
  <si>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</si>
  <si>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</si>
  <si>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</si>
  <si>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FR-10117</t>
  </si>
  <si>
    <t>Train derailment, 26/8/2021, Saint-Hilaire-au-Temple</t>
  </si>
  <si>
    <t>deraillement of 13 wagons of a freight train carrying grain</t>
  </si>
  <si>
    <t>Saint-Hilaire-au-Temple</t>
  </si>
  <si>
    <t>FRET SNCF</t>
  </si>
  <si>
    <t>13 wagons overturned and heavily damaged, 200 metres of track destroyed.</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</si>
  <si>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</si>
  <si>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</si>
  <si>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RO-10118</t>
  </si>
  <si>
    <t>Train derailment, 27/8/2021, Nucet</t>
  </si>
  <si>
    <t>Six wagons from the composition of the freight train no.59401 (from the 9th to the 14th) derailed in Nucet railway station.</t>
  </si>
  <si>
    <t>Nucet</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</si>
  <si>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</si>
  <si>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</si>
  <si>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IE-10375</t>
  </si>
  <si>
    <t>Other event, 27/8/2021, Between Newbridge and Kildare</t>
  </si>
  <si>
    <t xml:space="preserve">Collision btween train and object left on line by staff </t>
  </si>
  <si>
    <t>Between Newbridge and Kildare</t>
  </si>
  <si>
    <t>Damage to train</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</si>
  <si>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</si>
  <si>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</si>
  <si>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DK-10265</t>
  </si>
  <si>
    <t>Person hit by train at Jægerbrog Station</t>
  </si>
  <si>
    <t>n the morning on 02-09-2021 when it became light around kl. 06:14, train 642117 found that there was a person between the platform edge and the rails. The person was subsequently found dead.</t>
  </si>
  <si>
    <t>RO-10120</t>
  </si>
  <si>
    <t>Train derailment, 3/9/2021, Făgăraș</t>
  </si>
  <si>
    <t>The 10th wagon from the composition of the freight train no. 99974 derailed in Făgăraș railway station.</t>
  </si>
  <si>
    <t>Făgăraș</t>
  </si>
  <si>
    <t>SC Rail Force SRL</t>
  </si>
  <si>
    <t>Damage to the first bogie in the direction of travel from wagon no.84535489632-4.
The line was slightly damaged for about 109 meters.</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</si>
  <si>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</si>
  <si>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</si>
  <si>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</si>
  <si>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</si>
  <si>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</si>
  <si>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</si>
  <si>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</si>
  <si>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</si>
  <si>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</si>
  <si>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</si>
  <si>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</si>
  <si>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</si>
  <si>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</si>
  <si>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</si>
  <si>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</si>
  <si>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DE-10143</t>
  </si>
  <si>
    <t>Train derailment, 8/9/2021, Bf Senftenberg</t>
  </si>
  <si>
    <t>Am 08.09.2021 gegen 07:43 Uhr entgleiste der Reisezug RB 18344 auf der Fahrt von Halbe nach Senftenberg bei der Einfahrt nach Gleis 4 im Bahnhof Senftenberg auf der Weiche S91 mit dem mittleren Teil des Triebzuges.</t>
  </si>
  <si>
    <t>Bf Senftenberg</t>
  </si>
  <si>
    <t>Train and infrastructure damages.</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</si>
  <si>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</si>
  <si>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CZ-10125</t>
  </si>
  <si>
    <t>Accident to persons caused by RS in motion, 22-09-2011, Boří les station (Czech Republic)</t>
  </si>
  <si>
    <t>A falling out of a conductor from the entrance door of a rolling stock during a ride of the regional passenger train No.11451</t>
  </si>
  <si>
    <t>Boří les station</t>
  </si>
  <si>
    <t>Without damage</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</si>
  <si>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</si>
  <si>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</si>
  <si>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</si>
  <si>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NO-10128</t>
  </si>
  <si>
    <t>Infrastructure event, 26/9/2021, Vegårshei, Sørlandsbanen</t>
  </si>
  <si>
    <t>Fire in snow shed in relation to track grinding train.</t>
  </si>
  <si>
    <t>Vegårshei, Sørlandsbanen</t>
  </si>
  <si>
    <t>Snow shed burnt down, stop in traffic for 1,5 days.</t>
  </si>
  <si>
    <t>Rail grinding started fire</t>
  </si>
  <si>
    <t>Preventive measures are not compelled to, unclear responsibilities.</t>
  </si>
  <si>
    <t>NO-10127</t>
  </si>
  <si>
    <t>Fire in RS, 2/10/2021, Sarpsborg</t>
  </si>
  <si>
    <t>Fire in EL16 electrical locomotive.</t>
  </si>
  <si>
    <t>Sarpsborg</t>
  </si>
  <si>
    <t>. Damage on cabelling, engine 2 and ventilators.</t>
  </si>
  <si>
    <t>Mechanical failure in engine number two caused friction between engine components and whee. Friction caused sparks that ignited cabeling and fire spread to machine compartment.</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</si>
  <si>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</si>
  <si>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</si>
  <si>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</si>
  <si>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</si>
  <si>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</si>
  <si>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</si>
  <si>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</si>
  <si>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</si>
  <si>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HU-10291</t>
  </si>
  <si>
    <t>Train derailment, 10/10/2021, Szeged-Rókus station</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</si>
  <si>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</si>
  <si>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Railway line no. 135., Szeged-Rókus station</t>
  </si>
  <si>
    <t>The affectected point was destroyed. Both bogeys of the derailed locomotive are heavily damaged. The chassis of the first carriage was deformed by the buffers of the derailed locomotive.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</si>
  <si>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</si>
  <si>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</si>
  <si>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DE-10144</t>
  </si>
  <si>
    <t>Train derailment, 12/10/2021, Bf Nördlingen</t>
  </si>
  <si>
    <t>Am 12.10.2021 gegen 14:13 Uhr entgleiste der Personenzug RB 57223 bei der Fahrt von Aalen Hbf nach Donauwörth bei der Einfahrt in den Bahnhof (Bf) Nördlingen auf der Weiche 208.</t>
  </si>
  <si>
    <t>Bf Nördlingen</t>
  </si>
  <si>
    <t>Light train and infrastructure damages.</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</si>
  <si>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</si>
  <si>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FR-10138</t>
  </si>
  <si>
    <t>Accident to persons caused by RS in motion, 12/10/2021, Ciboure, France</t>
  </si>
  <si>
    <t>4 persons, who happened to be migrants, are run over by a train. 3 of them died, and one was seriously injured.</t>
  </si>
  <si>
    <t>Ciboure</t>
  </si>
  <si>
    <t>trespassing on railway domain and fall to sleep of victims on the track</t>
  </si>
  <si>
    <t>HU-10139</t>
  </si>
  <si>
    <t>Train derailment, 15/10/2021, Miskolc-Rendező</t>
  </si>
  <si>
    <t>A freight wagon derailed on a switch.</t>
  </si>
  <si>
    <t>Miskolc-Rendező station</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</si>
  <si>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</si>
  <si>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</si>
  <si>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</si>
  <si>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DK-10266</t>
  </si>
  <si>
    <t>Person hit by train at Skive</t>
  </si>
  <si>
    <t>When train 5401 was under deceleration for stopping at the platform in Skive track 2, the train hit "something", which subsequently turned out to be a person</t>
  </si>
  <si>
    <t>Unauthorised person at the track</t>
  </si>
  <si>
    <t>DE-10145</t>
  </si>
  <si>
    <t>Trains collision, 19/10/2021, Bf Flandersbach</t>
  </si>
  <si>
    <t xml:space="preserve">Am 19.10.2021 gegen 06:42 Uhr kollidierte der Güterzug GAG 68432, auf der Fahrt von Oberhausen West nach Flandersbach, mit einer unbeabsichtigt entlaufenen Fahrzeuggruppe auf der Weiche 01W3 des Bahnhofs Flandersbach. </t>
  </si>
  <si>
    <t>Flandersbach</t>
  </si>
  <si>
    <t>BUG Vermietungsgesellschaft mbH, DB Cargo AG</t>
  </si>
  <si>
    <t>Freight train loco  and wagons, and maintenance vehicles lightly damaged.</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</si>
  <si>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</si>
  <si>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Unmature plannign of construction logistics and unprecise working of construction staff.</t>
  </si>
  <si>
    <t>HU-10148</t>
  </si>
  <si>
    <t>SPAD, 21/10/2021, Császárszállás</t>
  </si>
  <si>
    <t>The freight train passed the signal at dander, and the safety system did not stopped it.</t>
  </si>
  <si>
    <t>Császárszállás</t>
  </si>
  <si>
    <t>the locomotive driver most likely failed to apply the brakes in time due to a micro-sleep</t>
  </si>
  <si>
    <t>the infrastructure manager does not consider the shortcomings of the safety installation (resulting from its design) as a risk to be managed</t>
  </si>
  <si>
    <t>DK-10281</t>
  </si>
  <si>
    <t>Accident to persons caused by RS in motion, 24/10/2021, Holmstrup (Denmark)</t>
  </si>
  <si>
    <t>Person hit by the train</t>
  </si>
  <si>
    <t>Between  Holmstrup and Odense</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</si>
  <si>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</si>
  <si>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</si>
  <si>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CZ-10141</t>
  </si>
  <si>
    <t>Train derailment, 25/10/2021, Plzeň hl n station, Czech Republic</t>
  </si>
  <si>
    <t>Unauthorized movement of the shunting operation behind the shunting signal device Se 508 with consequent derailment at Plzeň hl n station</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</si>
  <si>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</si>
  <si>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</si>
  <si>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</si>
  <si>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</si>
  <si>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</si>
  <si>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</si>
  <si>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</si>
  <si>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</si>
  <si>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</si>
  <si>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</si>
  <si>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</si>
  <si>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</si>
  <si>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</si>
  <si>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CZ-10149</t>
  </si>
  <si>
    <t>Trains collision, 31/10/2011, Open line between Albrechtice u Českého Těšína and Český Těšín stations</t>
  </si>
  <si>
    <t>Collision of the locomotive moving as shunting between operating control points for the stuck freight train No. 62054 with this train</t>
  </si>
  <si>
    <t>Open line between Albrechtice u Českého Těšína and Český Těšín stations</t>
  </si>
  <si>
    <t>Solo running locomotive (shunting between operating control points); freight train No. 62054</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</si>
  <si>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</si>
  <si>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</si>
  <si>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</si>
  <si>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</si>
  <si>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</si>
  <si>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</si>
  <si>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</si>
  <si>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</si>
  <si>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</si>
  <si>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</si>
  <si>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HU-10151</t>
  </si>
  <si>
    <t>Level crossing accident, 6/11/2021, Pápa</t>
  </si>
  <si>
    <t>Passenger train collided with a car, the earning light did not closed the road.</t>
  </si>
  <si>
    <t>Pápa</t>
  </si>
  <si>
    <t>Car destroyed.</t>
  </si>
  <si>
    <t>signal of warning light</t>
  </si>
  <si>
    <t>failure of detection track circuit</t>
  </si>
  <si>
    <t>SE-10152</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</si>
  <si>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</si>
  <si>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</si>
  <si>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</si>
  <si>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LKAB Malmtrafik AB</t>
  </si>
  <si>
    <t>Major damage to infrastructure and rolling stock</t>
  </si>
  <si>
    <t>The assessment is that the derailment was caused by a fatigue crack in the rail which triggered a rail break. The crack formation had not been identified or remedied under the infrastructure manager's system for preventive maintenance</t>
  </si>
  <si>
    <t>DK-10284</t>
  </si>
  <si>
    <t>Accident to persons caused by RS in motion, 7/11/2021, Valby (Denmark)</t>
  </si>
  <si>
    <t>Valby</t>
  </si>
  <si>
    <t>Inattention (affected)</t>
  </si>
  <si>
    <t>Alcohol or drugs</t>
  </si>
  <si>
    <t>FR-10153</t>
  </si>
  <si>
    <t>Level crossing accident, 8/11/2021, Héricy</t>
  </si>
  <si>
    <t>teenager is hit by commuter train at unsupervised pedestrian level crossing</t>
  </si>
  <si>
    <t>Héricy</t>
  </si>
  <si>
    <t>a teenager is severely injured</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</si>
  <si>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</si>
  <si>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</si>
  <si>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HR-10160</t>
  </si>
  <si>
    <t>SPAD, 11-11-21, railway station Novska (Croatia)</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</si>
  <si>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</si>
  <si>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Station Novska</t>
  </si>
  <si>
    <t xml:space="preserve">Transagent Rail </t>
  </si>
  <si>
    <t>There wasn't material damage to the railway infrastructure and railway vehicle.</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</si>
  <si>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</si>
  <si>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</si>
  <si>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</si>
  <si>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</si>
  <si>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</si>
  <si>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</si>
  <si>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</si>
  <si>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</si>
  <si>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Causative factor: The collision of train 6809 with the car was caused by the car entering the level crossing which at that time signalled a stop for road traffic.
Contributing factor: Failure by the car driver to observe the set of lights.</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</si>
  <si>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</si>
  <si>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</si>
  <si>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</si>
  <si>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</si>
  <si>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</si>
  <si>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</si>
  <si>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</si>
  <si>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</si>
  <si>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</si>
  <si>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</si>
  <si>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</si>
  <si>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</si>
  <si>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</si>
  <si>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</si>
  <si>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</si>
  <si>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RO-10155</t>
  </si>
  <si>
    <t>Train derailment, 29/11/2021, Turceni</t>
  </si>
  <si>
    <t>The 15th and 16th wagons from the composition of the freight train no. 23644 derailed in Turceni railway station.</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</si>
  <si>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</si>
  <si>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</si>
  <si>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</si>
  <si>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IT-10168</t>
  </si>
  <si>
    <t>Trains collision with an obstacle, 1/12/2021, Cedegolo (Brescia)</t>
  </si>
  <si>
    <t>collision with boulders and subsequent derailment of Trenord train no. 1917, on Cedegolo, Brescia-Iseo-Edolo line</t>
  </si>
  <si>
    <t>Cedegolo (Brescia)</t>
  </si>
  <si>
    <t>FERROVIENORD</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</si>
  <si>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</si>
  <si>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</si>
  <si>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</si>
  <si>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</si>
  <si>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</si>
  <si>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</si>
  <si>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</si>
  <si>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</si>
  <si>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</si>
  <si>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</si>
  <si>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</si>
  <si>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</si>
  <si>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</si>
  <si>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</si>
  <si>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</si>
  <si>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</si>
  <si>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</si>
  <si>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</si>
  <si>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RO-10159</t>
  </si>
  <si>
    <t>Train derailment, 6/12/2021, Barboși Triaj</t>
  </si>
  <si>
    <t>The first wagon from the composition of the freight train no. 30630-1 derailed in Barboși Triaj railway station.</t>
  </si>
  <si>
    <t>Barboși Triaj</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</si>
  <si>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</si>
  <si>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</si>
  <si>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</si>
  <si>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</si>
  <si>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</si>
  <si>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</si>
  <si>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</si>
  <si>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</si>
  <si>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</si>
  <si>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</si>
  <si>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</si>
  <si>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</si>
  <si>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</si>
  <si>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</si>
  <si>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</si>
  <si>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</si>
  <si>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DK-10286</t>
  </si>
  <si>
    <t>Trains collision near miss,  8/12/2021, Maribo-Sakskøbing (Denmark)</t>
  </si>
  <si>
    <t>Train near miss a digger machine</t>
  </si>
  <si>
    <t>Between Maribo and Sakskøbing</t>
  </si>
  <si>
    <t>Lokaltog A/S</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</si>
  <si>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</si>
  <si>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</si>
  <si>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</si>
  <si>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</si>
  <si>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</si>
  <si>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</si>
  <si>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Total damage CZK 13 493 296,- (EUR 554 140,-)</t>
  </si>
  <si>
    <t>Causal factor:
• the lorry got stuck at loading gauge at the level crossing No. P4073 and it was not remove before the regional passenger train No. 7153 was arriving, caused by unexpected technical failure of the lorry.</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</si>
  <si>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</si>
  <si>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</si>
  <si>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</si>
  <si>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</si>
  <si>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</si>
  <si>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</si>
  <si>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</si>
  <si>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AT-10188</t>
  </si>
  <si>
    <t>Level crossing accident, 10/12/2021, Level crossing km 11,771 between Bf Reutte and Bf Vils</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</si>
  <si>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</si>
  <si>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Level crossing km 11,771 between Bf Reutte and Bf Vils</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</si>
  <si>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</si>
  <si>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</si>
  <si>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IT-10167</t>
  </si>
  <si>
    <t>Accident to persons caused by RS in motion, 14/12/2021, Torino Orbassano</t>
  </si>
  <si>
    <t xml:space="preserve">fatal investment of a driver of Mercitalia train no. 49353, in Turin Orbassano bundle arrivals </t>
  </si>
  <si>
    <t>Torino Orbassano</t>
  </si>
  <si>
    <t>MIR (Mercitalia Rail)</t>
  </si>
  <si>
    <t>RFI (Rete Ferroviaria Italiana)</t>
  </si>
  <si>
    <t>no damage</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</si>
  <si>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</si>
  <si>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</si>
  <si>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</si>
  <si>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</si>
  <si>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</si>
  <si>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</si>
  <si>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</si>
  <si>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</si>
  <si>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</si>
  <si>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DE-10205</t>
  </si>
  <si>
    <t>Train derailment, 16/12/2021, Berlin, Oranienburger Straße</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</si>
  <si>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</si>
  <si>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Berlin, Oranienburger Straße</t>
  </si>
  <si>
    <t>S-Bahn Berlin GmbH</t>
  </si>
  <si>
    <t>Vehicle and infrastructure damages</t>
  </si>
  <si>
    <t xml:space="preserve">Nach bisherigen Erkenntnissen ist die Entgleisung auf fahrdynamische Einflüsse zurückzuführen, welche durch das Zusammenwirken von Fahrweg und Fahrzeug hervorgerufen wurden. </t>
  </si>
  <si>
    <t>PT-10185</t>
  </si>
  <si>
    <t>Accident to persons caused by RS in motion, 19/12/2021, Ermesinde station</t>
  </si>
  <si>
    <t>Collision of a train with a person using a passage between station platforms.</t>
  </si>
  <si>
    <t>Ermesinde station</t>
  </si>
  <si>
    <t>Comboios de Portugal, E.P.E.</t>
  </si>
  <si>
    <t>DK-10287</t>
  </si>
  <si>
    <t>Trains collision near miss,  21/12/2021, Ørholm-Fuglevad (Denmark)</t>
  </si>
  <si>
    <t>Trains collision near miss on a single track</t>
  </si>
  <si>
    <t>Between Ørholm and Fuglevad</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</si>
  <si>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</si>
  <si>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</si>
  <si>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PT-10181</t>
  </si>
  <si>
    <t>Level crossing accident, 22/12/2021, (Linha do Alentejo), near Alcáçovas</t>
  </si>
  <si>
    <t>Collision of IC train 688 at private level crossing, causing the death of the car driver and the derailment of the train.</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</si>
  <si>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</si>
  <si>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</si>
  <si>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</si>
  <si>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</si>
  <si>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DK-10282</t>
  </si>
  <si>
    <t>Defective wheel bearing, 23/12/2021, Hjørring (Denmark)</t>
  </si>
  <si>
    <t>Defective wheel bearing</t>
  </si>
  <si>
    <t>Hjørring</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</si>
  <si>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</si>
  <si>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</si>
  <si>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</si>
  <si>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</si>
  <si>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</si>
  <si>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</si>
  <si>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</si>
  <si>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</si>
  <si>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</si>
  <si>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</si>
  <si>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</si>
  <si>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</si>
  <si>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</si>
  <si>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</si>
  <si>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</si>
  <si>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</si>
  <si>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RO-10172</t>
  </si>
  <si>
    <t>Train derailment, 30/12/2021, Nazarcea</t>
  </si>
  <si>
    <t>8 wagons from the composition of the freight train no. 66648030 derailed in Nazarcea railway station.</t>
  </si>
  <si>
    <t>Nazarcea</t>
  </si>
  <si>
    <t>SC Grup Feroviar Român SA</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</si>
  <si>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</si>
  <si>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</si>
  <si>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</si>
  <si>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LV-10175</t>
  </si>
  <si>
    <t>Train derailment, 1/1/2022, Zilupe, Ludza Municipality</t>
  </si>
  <si>
    <t>NIB LV</t>
  </si>
  <si>
    <t>January 1, 2022 at 15-55. at Zilupe railway station, on track No.5.  wagon No.52673068 of train No.2624 derailed due to bogie side frame breakage</t>
  </si>
  <si>
    <t>Zilupe, Ludza Municipality</t>
  </si>
  <si>
    <t>Latvia - Ltd “LDZ CARGO”</t>
  </si>
  <si>
    <t>Latvia - State join-stock company "Latvijas dzelzcels" (Latvian Railway)</t>
  </si>
  <si>
    <t>Track, switch, rolling stock</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</si>
  <si>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</si>
  <si>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</si>
  <si>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HU-10240</t>
  </si>
  <si>
    <t>Level crossing accident, 01/01/2022, Tapolca</t>
  </si>
  <si>
    <t>the train № 9797 collided with an automobile at 9:50 a.m. on 1 January 2022 in the level crossing with warning lights № AS1159. The collision resulted in the death of four of the five people in the automobile and serious injuries to one.</t>
  </si>
  <si>
    <t>Tapolca</t>
  </si>
  <si>
    <t>The loco, and the signal demaged.</t>
  </si>
  <si>
    <t>the driver of the road vehicle failed to stop at the “Start of level crossing” sign, ignoring the red flashing warning light, and ran into the crossing when the train arrived.</t>
  </si>
  <si>
    <t>RO-10173</t>
  </si>
  <si>
    <t>Fire in RS, 2/1/2022, Crivina - Brazi</t>
  </si>
  <si>
    <t>A fire brust out at the locomotive of freight train no.56300.</t>
  </si>
  <si>
    <t>Crivina - Brazi</t>
  </si>
  <si>
    <t>The DA1547 locomotive was 30% affected by the fire.</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</si>
  <si>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</si>
  <si>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</si>
  <si>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IT-10253</t>
  </si>
  <si>
    <t>Rolling stock event, 4/1/2022, Barletta (Puglia)</t>
  </si>
  <si>
    <t>train 58006 of GTS Rail split into two parts, between wagons 7 and 8</t>
  </si>
  <si>
    <t>Barletta (Puglia)</t>
  </si>
  <si>
    <t>GTS Rail</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</si>
  <si>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</si>
  <si>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</si>
  <si>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</si>
  <si>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</si>
  <si>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</si>
  <si>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</si>
  <si>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</si>
  <si>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</si>
  <si>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</si>
  <si>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</si>
  <si>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</si>
  <si>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HU-10177</t>
  </si>
  <si>
    <t>Runaway, 10/1/2022, Hidasnémeti</t>
  </si>
  <si>
    <t>Freight train ran away from Slovakia to Hungary, and stopped on a regional line.</t>
  </si>
  <si>
    <t>Hidasnémeti</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</si>
  <si>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</si>
  <si>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</si>
  <si>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</si>
  <si>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HU-10178</t>
  </si>
  <si>
    <t xml:space="preserve">SPAD, 10/01/2022, at Gödöllő station </t>
  </si>
  <si>
    <t>train № 23028 passed the exit signal at danger without authorisation by about 50 metres, the train № IC658-1, which was entering track II. of the station, stopped in front of the switch № 9, 125 metres from the train № 23028.</t>
  </si>
  <si>
    <t>Gödöllő</t>
  </si>
  <si>
    <t>the driver of the train № 23028 did not stop at the second exit signal V1a indicating “Danger”, because he did not detect it when approaching it or, if he did, he was not aware of its meaning.</t>
  </si>
  <si>
    <t>psychological testing is not a compulsory part of the periodic medical fitness tests for drivers, therefore any age-related mental performance deterioration of workers can be hidden.</t>
  </si>
  <si>
    <t>CZ-10179</t>
  </si>
  <si>
    <t xml:space="preserve">Trains collision, 13-01-22, Prosenice station (Czech Republic) </t>
  </si>
  <si>
    <t>Collision of the freight train No. 43404 with the freight train No. 52479 with consequent derailment.</t>
  </si>
  <si>
    <t xml:space="preserve"> Prosenice station</t>
  </si>
  <si>
    <t>Rail Cargo Carrier - Czech Republic, s.r.o.; ČD Cargo, a. s.</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</si>
  <si>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</si>
  <si>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</si>
  <si>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</si>
  <si>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DK-10283</t>
  </si>
  <si>
    <t>Broken wheels, 13/1/2022, Ejby (Denmark)</t>
  </si>
  <si>
    <t>Broken wheels on freight wagon</t>
  </si>
  <si>
    <t>Ejby</t>
  </si>
  <si>
    <t>Hector Rail</t>
  </si>
  <si>
    <t>A crack in the wheel propagated until failure</t>
  </si>
  <si>
    <t>Deficiencies in the maintenance system of an ECM led to several conditions each elevating the risk of wheel failure, and the inability to discover the conditons over a period of more than two years.</t>
  </si>
  <si>
    <t>PL-10186</t>
  </si>
  <si>
    <t>Level crossing accident, 14/1/2022, Kolbuszowa, km 46,925 line 071 at 10:48</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</si>
  <si>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</si>
  <si>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Kolbuszowa, km 46,925 line 071</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</si>
  <si>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</si>
  <si>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</si>
  <si>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</si>
  <si>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</si>
  <si>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</si>
  <si>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</si>
  <si>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</si>
  <si>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</si>
  <si>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</si>
  <si>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</si>
  <si>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HU-10184</t>
  </si>
  <si>
    <t>SPAD at Bősárkány station on 16/01/2022</t>
  </si>
  <si>
    <t>The driver of a light engine entering Bősárkány station under proper signalling control unsuccessfully attempted to reset the locomotive’s gear selector and thereby eliminate tractive power. Even when the automatic brake was applied, the traction was not interrupted and the vehicle continued to tow with the brakes on. The driver continued his attempts to stop the locomotive on track II, but in the process, he passed the exit sign V2, which was in the position prohibiting further movement</t>
  </si>
  <si>
    <t>Bősárkány</t>
  </si>
  <si>
    <t>Train Hungary</t>
  </si>
  <si>
    <t>the IAG device that operates the servo motor for the step switch failed, so the locomotive continued to tow while the driver applied the brakes;</t>
  </si>
  <si>
    <t>Drivers’ current knowledge of the type and their decades of driving experience do not necessarily reflect their confidence in handling vehicles, and knowledge is not always at a skill level.</t>
  </si>
  <si>
    <t>DK-10305</t>
  </si>
  <si>
    <t>Level crossing accident, 18/1/2022, Strande-Harboøre</t>
  </si>
  <si>
    <t>Train collided with car on level crossing 60 N</t>
  </si>
  <si>
    <t>Between Strande and Harboøre.</t>
  </si>
  <si>
    <t>Midtjyske Jernbaner</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</si>
  <si>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</si>
  <si>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</si>
  <si>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</si>
  <si>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BG-10180</t>
  </si>
  <si>
    <t>Trains collision, 21-01-22,  at railway switch in Iliyantsi station</t>
  </si>
  <si>
    <t>Collision between the locomotives of two freight trains at railway switch in Iliyantsi station. Derailment of locomotives within occurred side collision, serviced DFT № 20691 and DFT № 20698, in Iliyantsi station on 21.01.2022</t>
  </si>
  <si>
    <t xml:space="preserve"> At railway switch in Iliyantsi station</t>
  </si>
  <si>
    <t>railway infrastructure, catenary, signalling, RRS</t>
  </si>
  <si>
    <t xml:space="preserve">unauthorized departure of DFT № 20698 </t>
  </si>
  <si>
    <t>unauthorized departure of train without meeting the regulatory requirements for sending trains, in adverse weather conditions in the dark part of the day</t>
  </si>
  <si>
    <t>HU-10183</t>
  </si>
  <si>
    <t>Trains collision at Kőbánya-Kispest on 21/01/2022</t>
  </si>
  <si>
    <t>train № E05 departing from Kőbánya-Kispest metro station on Turnout Track II collided with the train № E07 departing and exiting from Track III at the same time. Both vehicles derailed .</t>
  </si>
  <si>
    <t>Kőbánya-Kispest</t>
  </si>
  <si>
    <t>but there was considerable damage to the vehicles and infrastructure.</t>
  </si>
  <si>
    <t>a)    the driver of the train № E05 started his train from Track II despite the signal at danger, while the train № E07 was moving out, after responding to the signal, from Track III on a closed track route;</t>
  </si>
  <si>
    <t>during the complex reconstruction of the M3 metro line, which is still ongoing at the time of the accident, the relocation problem (known since 2007) of the track-side elements of the Autostop system installed at the Kőbánya-Kispest turnout area had not been solved.</t>
  </si>
  <si>
    <t>CZ-10187</t>
  </si>
  <si>
    <t>Train derailment, 29/1/2022, Teplice v Čechách</t>
  </si>
  <si>
    <t>Unauthorized movement of the regional passenger train No. 16936 behind the main signal device L3 and consequent derailment at Teplice v Čechách station</t>
  </si>
  <si>
    <t>Teplice v Čechách</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</si>
  <si>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</si>
  <si>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</si>
  <si>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</si>
  <si>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PL-10193</t>
  </si>
  <si>
    <t>Level crossing accident, 3/2/2022, plain line section Warlubie - Laskowice Pomorskie, km 437,386 line 131 at 6:14</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</si>
  <si>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</si>
  <si>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</si>
  <si>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damaged bus Mercedes and demaged locomotive type EU07A-002</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</si>
  <si>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</si>
  <si>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</si>
  <si>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CZ-10190</t>
  </si>
  <si>
    <t xml:space="preserve">Unauthorised train movement other than SPAD, 10-02-22, Děčín-Prostřední Žleb station (Czech Republic) </t>
  </si>
  <si>
    <t>Unsecured movement of the freight train No. 45326 behind the main (departure) signal device L2 with signal „Go“ along settings train route made across track section between shunting signal devices Se14 and Se 15 which occuppied by the shunting operation.</t>
  </si>
  <si>
    <t>Děčín-Prostřední Žleb station, signal device No. L2, km 4,419</t>
  </si>
  <si>
    <t>freight train; shunting operation</t>
  </si>
  <si>
    <t>DB Cargo Czechia s.r.o. (freight train); IDS Cargo a.s. (shunting operation)</t>
  </si>
  <si>
    <t>CZK 5 000,- (€ 205,-); infrastructure</t>
  </si>
  <si>
    <t>Causal factors:
• loss shunt of the track circuit 2bK at Děčín-Prostřední Žleb station, which was occupied by the shunting operation due to failure sanding equipment of the shunting operation, which poured oversize amount of sand and at the same locomotive of the shunting operation operated sanding equipment during braking which is forbidden if the speed is smaller than 20 km.h-1;
• setting the train route by the station dispatcher 2 SEVER across track section which was occupied by shunting operation in the course of ongoing shunting which was allowed by the station  dispatcher 2 SEVER and it has not been finish yet in accordance with the technological procedures of the infrastructure manager.
Contributing factors:
• the station dispatcher 2 SEVER did not communicate time of end shunting on the running tracks during permission to shunting;
• non-existence indication of sanding on locomotive series 770.</t>
  </si>
  <si>
    <t>RO-10191</t>
  </si>
  <si>
    <t>Train derailment, 14/2/2022, Bocicoi - Valea Vișeului</t>
  </si>
  <si>
    <t>The GM 1138 locomotive hauling passenger train no.4116 derailed from the first 2 axles, in the direction of travel, between Bocicoi and  Valea Vișeului railway stations.</t>
  </si>
  <si>
    <t>Bocicoi - Valea Vișeului</t>
  </si>
  <si>
    <t xml:space="preserve">Damage to the first bogie, the direction of travel, of the GM 1138 locomotive.
The line was damaged for about 79 meters. </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</si>
  <si>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</si>
  <si>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</si>
  <si>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DE-10197</t>
  </si>
  <si>
    <t>Trains collision, 14/2/2022, Ebenhausen-Schäftlarn</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</si>
  <si>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</si>
  <si>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Ebenhausen-Schäftlarn</t>
  </si>
  <si>
    <t>Two EMU heavily destroyed by head-crash. Affected infrastructure damages.</t>
  </si>
  <si>
    <t>Failure to observe the signal aspect [F1]; Continuation of journey after passing the main signal without authorisation [F3].</t>
  </si>
  <si>
    <t>Lack of communication with the signaller [F2]; Safety consciousness of the employees [S2]; Technical desgin of the PZB vehicle equipment [S3].</t>
  </si>
  <si>
    <t>CZ-10194</t>
  </si>
  <si>
    <t xml:space="preserve">Trains collision with an obstacle, 17-02-22, open line between Žďárec u Skutče and Hlinsko v Čechách stations (Czech Republic) </t>
  </si>
  <si>
    <t>Collision of the regional passenger train No. 5315 with an obstacle – the fallen trees
and its consequent derailment between Žďárec u Skutče and Hlinsko
v Čechách stations</t>
  </si>
  <si>
    <t>open line between Žďárec u Skutče and Hlinsko v Čechách stations</t>
  </si>
  <si>
    <t>Total damage CZK 709 247,- (EUR 27 890,-)</t>
  </si>
  <si>
    <t xml:space="preserve">Causal factor:
• disruption of the structure gauge of the open line track by the fallen trees which grew in the railway protective area in the impact distance from the structure gauge, as a result of negative meteorological conditions that took place before the day of the incident in combination with the extreme meteorological situation at the time of its occurrence. It was preceded by:
- failure to long-term detection and evaluation of trees growing on a plot of a forest land, in the railway protective area and in the impact distance of a structure gauge of track, as a source of threat to the safety or continuity of railway traffic or the operability of the railway;
- long-term non-elimination of the source of threat to the guideway and guideway transport, which was formed by trees in the track protective zone at the impact distance of the structure gauge;
- failure to inform the train driver of the regional passenger train No. 5315 with an appropriate written order about the worsened weather situation and the danger of an obstacle on the track due to failure to determine this obligation by the technological procedures of the infrastructure manager.
</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</si>
  <si>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</si>
  <si>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</si>
  <si>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</si>
  <si>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</si>
  <si>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</si>
  <si>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</si>
  <si>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</si>
  <si>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</si>
  <si>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CZ-10195</t>
  </si>
  <si>
    <t>Train derailment, 21-02-2022, Letohrad station (Czech Republic)</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</si>
  <si>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</si>
  <si>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</si>
  <si>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</si>
  <si>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</si>
  <si>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DE-10206</t>
  </si>
  <si>
    <t>Train derailment, 23/2/2022, Bf Rüsselsheim</t>
  </si>
  <si>
    <t>Am 23.02.2022 gegen 21:42 Uhr entgleiste die Zugfahrt S 35968 im Bahnhof Rüsselsheim auf der Weiche W 74 mit den letzten beiden Drehgestellen.</t>
  </si>
  <si>
    <t>Bf Rüsselsheim</t>
  </si>
  <si>
    <t>EMU derailled with 2 bogies, heavy damages. Infrastructure equipment lightly destroyed.</t>
  </si>
  <si>
    <t xml:space="preserve">Die Untersuchungsschwerpunkte liegen derzeit im Bereich Eisenbahnbetrieb sowie der Leit- und Sicherungstechnik. </t>
  </si>
  <si>
    <t>Premature release of the route in conjunction with switching of points by the signaller at the wrong time was identified as a causal factor. Another causal factor was a previous malfunction of the clear track signalling system in track 27, which made it necessary to run S 35968 on special order. A heavy workload situation for the signaller due to extensive construction work and the non-implementation of a lever lock for the affected points 74 were identified as contributing factors. The lack of a lever lock and inadequate supervisory staff are considered to be systemic factors.</t>
  </si>
  <si>
    <t>RO-10196</t>
  </si>
  <si>
    <t>Train derailment, 24/2/2022, Alunu - Berbești</t>
  </si>
  <si>
    <t>Three wagons ( the 10th, the 15th and the 16th) from the composition of the freight train no.60566 derailed in open line between Alunu and Berbești railway stations.</t>
  </si>
  <si>
    <t>Alunu - Berbești</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</si>
  <si>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</si>
  <si>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</si>
  <si>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</si>
  <si>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</si>
  <si>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</si>
  <si>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</si>
  <si>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</si>
  <si>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</si>
  <si>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</si>
  <si>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</si>
  <si>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</si>
  <si>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</si>
  <si>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</si>
  <si>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</si>
  <si>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</si>
  <si>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CZ-10200</t>
  </si>
  <si>
    <t>Trains collision, 10/3/2022, Odbočka Skály junction point (Czech Republic)</t>
  </si>
  <si>
    <t>Unauthorized movement of the freight train No. 60204 behind the signal device 1L with signal „Stop“, forced throw the switch No. 1XA, collision with the oncoming freight train No. 85012 and derailment first 2 wheelsets of the locomotive of the freight train No. 60204.</t>
  </si>
  <si>
    <t>Odbočka Skály junction point</t>
  </si>
  <si>
    <t>Total damage CZK 16 474 121,- (EUR 650 380,-)</t>
  </si>
  <si>
    <t>Causal factor:
• failure to respect the signal „Stop” of the main (entry) signal device 1L at Odbočka Skály junction point by the train driver of the freight train No. 60204.</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</si>
  <si>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</si>
  <si>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</si>
  <si>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</si>
  <si>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</si>
  <si>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</si>
  <si>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</si>
  <si>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</si>
  <si>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</si>
  <si>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</si>
  <si>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</si>
  <si>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</si>
  <si>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</si>
  <si>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</si>
  <si>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</si>
  <si>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</si>
  <si>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</si>
  <si>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</si>
  <si>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CZ-10201</t>
  </si>
  <si>
    <t>Train derailment, 14/3/2022, Bílina station (Czech Republic)</t>
  </si>
  <si>
    <t>Derailment of the sixth rolling stock from 14 rolling stocks of the freight train No. 53030.</t>
  </si>
  <si>
    <t>Bílina station</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</si>
  <si>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</si>
  <si>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</si>
  <si>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CZ-10204</t>
  </si>
  <si>
    <t xml:space="preserve">Train derailment, 18-03-22, Obrnice station (Czech Republic)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</si>
  <si>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</si>
  <si>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ORLEN Unipetrol Doprava s.r.o.</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</si>
  <si>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</si>
  <si>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</si>
  <si>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</si>
  <si>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</si>
  <si>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</si>
  <si>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</si>
  <si>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</si>
  <si>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IT-10276</t>
  </si>
  <si>
    <t>Trains collision, 19/3/2022, Rastignano, Bologna-Prato line</t>
  </si>
  <si>
    <t>Improper opening of a swing door of the 68450 freight train and subsequent side collision with the passenger train No. 35295 in transit on the adjacent track,</t>
  </si>
  <si>
    <t>Rastignano, Bologna-Prato line</t>
  </si>
  <si>
    <t>Mercitalia Rail (freight train) and Trenitalia (passenger train)</t>
  </si>
  <si>
    <t>damage to rolling stock</t>
  </si>
  <si>
    <t>An open swing door of train 68450</t>
  </si>
  <si>
    <t>door tampering by third parties, design of the wagon that has not taken into account undue opening actions and ineffective risk mitigation associated with intentional breaches.</t>
  </si>
  <si>
    <t>CZ-10208</t>
  </si>
  <si>
    <t xml:space="preserve">Train derailment, 23-03-22, Praha-Krč station (Czech Republic) </t>
  </si>
  <si>
    <t>Derailment of 1 rolling stock of the regional passenger train No. 9013</t>
  </si>
  <si>
    <t>Praha-Krč station, switch No. 32, km 5,542</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</si>
  <si>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</si>
  <si>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</si>
  <si>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</si>
  <si>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</si>
  <si>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</si>
  <si>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</si>
  <si>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</si>
  <si>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</si>
  <si>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</si>
  <si>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</si>
  <si>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BG-10210</t>
  </si>
  <si>
    <t>Electric shock, 24.03.2022 in Locomotive depot Plovdiv</t>
  </si>
  <si>
    <t>Investigation of railway accident, occurred in Plovdiv locomotive depot during functional tests of locomotive № 91520043309-1 on 24.03.2022</t>
  </si>
  <si>
    <t>Locomotive Depot Plovdiv</t>
  </si>
  <si>
    <t>No IM involved in the accident.</t>
  </si>
  <si>
    <t>staff fatality</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</si>
  <si>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</si>
  <si>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</si>
  <si>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HU-10209</t>
  </si>
  <si>
    <t>Other, 26/3/2022, Maklár</t>
  </si>
  <si>
    <t>Passanger train stopped before a points on wrong position.</t>
  </si>
  <si>
    <t>Maklár</t>
  </si>
  <si>
    <t>Failure of traffic controller</t>
  </si>
  <si>
    <t>bad training</t>
  </si>
  <si>
    <t>HR-10214</t>
  </si>
  <si>
    <t>Accident to persons caused by RS in motion, 28-03-22, between stations Novska and Okucani</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</si>
  <si>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</si>
  <si>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Between stations Novska and Okucani</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</si>
  <si>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</si>
  <si>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</si>
  <si>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</si>
  <si>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</si>
  <si>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</si>
  <si>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</si>
  <si>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</si>
  <si>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</si>
  <si>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</si>
  <si>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</si>
  <si>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RO-10212</t>
  </si>
  <si>
    <t>Train derailment, 1/4/2022, Turceni</t>
  </si>
  <si>
    <t>Three wagons (the 9th, the 10th and the 11th) from the composition of the freight train no.64220 derailed in Turceni railway station.</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</si>
  <si>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</si>
  <si>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</si>
  <si>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</si>
  <si>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RO-10213</t>
  </si>
  <si>
    <t>Train derailment, 2/4/2022, Craiova</t>
  </si>
  <si>
    <t>Two wagons (the 4the and the 5th) from the composition of the freight train no.66708 derailed in Craiova railway station.</t>
  </si>
  <si>
    <t>SC „Deutsche Bahn Cargo Romania” SRL</t>
  </si>
  <si>
    <t xml:space="preserve">Damage to the second bogie, in the running direction, of the wagon no.31842780080-6 (the 4th in composition of the train).                           Damage to the first bogie, in the running direction, of the wagon no.31802780505-6 (the 5th in composition of the train).                                                                                 
</t>
  </si>
  <si>
    <t>HU-10217</t>
  </si>
  <si>
    <t>Level crossing accident, 5/4/2022, Mindszent</t>
  </si>
  <si>
    <t>Passanger train crashed with truck, the train derailed.</t>
  </si>
  <si>
    <t>Mindszent</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</si>
  <si>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</si>
  <si>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</si>
  <si>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RO-10216</t>
  </si>
  <si>
    <t>Train derailment, 6/4/2022, Nazarcea</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</si>
  <si>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</si>
  <si>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SC „Grup Feroviar Român” SA</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</si>
  <si>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</si>
  <si>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</si>
  <si>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</si>
  <si>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DK-10295</t>
  </si>
  <si>
    <t>Accident to persons caused by RS in motion, 7/4/2022, Valby Langgade</t>
  </si>
  <si>
    <t>Person hit by commuter train</t>
  </si>
  <si>
    <t>Valby Langgade</t>
  </si>
  <si>
    <t>Unknown</t>
  </si>
  <si>
    <t>RO-10218</t>
  </si>
  <si>
    <t>Train derailment, 11/4/2022, Cojocna</t>
  </si>
  <si>
    <t>Hauling locomotive EA 798 of the passenger train no.3087 derailed in Cojocna railway station.</t>
  </si>
  <si>
    <t>Cojocna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</si>
  <si>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</si>
  <si>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</si>
  <si>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</si>
  <si>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</si>
  <si>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</si>
  <si>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</si>
  <si>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</si>
  <si>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</si>
  <si>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Introduction into the computer system of a command to set a shunting route from track 51 to track 55 while train THE 575001 was proceeding on track 51 towards track 51b to execute train route 〖G2〗_51b^2, which led to the switch of turnout no. 140 to be switched to the minus (-) position while being entered by locomotive EU07-1529, and to the derailment of the locomotive.</t>
  </si>
  <si>
    <t xml:space="preserve">1) Inappropriate organisation of traffic through accepting of train THE 575001  on track 51b (route 〖G1〗_51b^2) of Poznań Główny station with a plan to further divert the train to track 55, with the possibility of using direct route 〖G2〗_55^2 (diverting to track 55).
 2) Releasing the route by introducing the special command "ZW" during the execution of train route 〖G2〗_51b^2.   
3) The use of the special command "ZW" despite not fulfilling the conditions for its use provided in the Ie-20 Instruction (§13(4), §14(4) and §15(3)) without making entries in the relevant documentation and without notifying the maintenance staff.    Systemic factors: 1) Allowing the use of the special command "ZW" in the computer rail traffic control system for releasing routes〖J53〗_51b^2, 〖G1〗_51b^2,〖G2〗_51b^2, without the required time delay indicated by Technical Standards for Rail Traffic Control Equipment and Operator Manual for Poznań Railway Node E-20.
 2) The adopted organisation of traffic of passenger trains terminating on track 51 at Poznań Główny station, with the application of the special order "ZW" by signallers to release train routes: 〖J53〗_51b^2, 〖G1〗_51b^2,  〖G2〗_51b^2, causing a hazard to rail traffic safety.
3)  Non-compliance of the Technical Regulations of Poznań Główny station in Section 32, which establishes a route place for routes behind the "IZ131c/d" occupancy control section instead behind the turnout no. 140 occupancy detection section, as provided in : 〖J53〗_51b^2, 〖G1〗_51b^2,  〖G2〗_51b^2 route sheets, posing a hazard to rail traffic safety.
</t>
  </si>
  <si>
    <t>RO-10219</t>
  </si>
  <si>
    <t>Train derailment, 13/4/2022, Drăgotești</t>
  </si>
  <si>
    <t>Hauling locomotive ED 050 of the freight train no.64208 derailed in Drăgotești railway station.</t>
  </si>
  <si>
    <t>Drăgotești</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</si>
  <si>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</si>
  <si>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</si>
  <si>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</si>
  <si>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CZ-10221</t>
  </si>
  <si>
    <t xml:space="preserve">Trains collision, 19-04-22, Bohumín station, district Vrbice (Czech Republic) </t>
  </si>
  <si>
    <t>Collision of the shunting operation with the standing locomotive.</t>
  </si>
  <si>
    <t>Bohumín station, district Vrbice, track No. 624, km 272,197</t>
  </si>
  <si>
    <t>Shunting operation, detached locomotive</t>
  </si>
  <si>
    <t>Rail Cargo Carrier - Czech Republic, s.r.o.</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</si>
  <si>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</si>
  <si>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</si>
  <si>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CZ-10222</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</si>
  <si>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</si>
  <si>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</si>
  <si>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</si>
  <si>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Regional passeger train</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</si>
  <si>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</si>
  <si>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BE-10241</t>
  </si>
  <si>
    <t>Other event, 30/4/2022, Antwerpen-Noord</t>
  </si>
  <si>
    <t>Incidents and accidents during shunting operations
in the fan of sidings of Antwerpen-Noord during the first months of 2022</t>
  </si>
  <si>
    <t>Antwerpen-Noord</t>
  </si>
  <si>
    <t>ecco‐rail GmbH, Rail Cargo Carrier – Germany GmbH, DB Cargo AG.</t>
  </si>
  <si>
    <t>1 Locomotive and numkber of freight waggons heavily desatroyed. Line infrastructure locally destroyed.</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</si>
  <si>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</si>
  <si>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</si>
  <si>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RO-10225</t>
  </si>
  <si>
    <t>Train derailment, 7/5/2022, Fetești</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</si>
  <si>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</si>
  <si>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</si>
  <si>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</si>
  <si>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Irregular loading of the wagon no.83536658178-2 in relation to its longitudinal axis, following of it the ratio between the guiding force and the load acting on the guiding wheel (4L) increase over the derailment stability limit.</t>
  </si>
  <si>
    <t>AT-10226</t>
  </si>
  <si>
    <t>Train derailment, 9/5/2022, between Bf Münchendorf und Bf Achau</t>
  </si>
  <si>
    <t>On 9 May 2022, passenger train no. 7657 was on its way from Deutschkreutz station to Vienna Central Station. The train was made up of two permanently coupled 3-part multiple units of the Siemens Desiro Mainline series. At about 6:20pm, passenger train no. 7657 derailed while switching rails as it was passing through Münchendorf station. Derailment occurred at point no. 1 at km 18.022 after traffic control had set a suitable route for the train to exit Münchendorf station.</t>
  </si>
  <si>
    <t>Bf Münchendorf</t>
  </si>
  <si>
    <t xml:space="preserve">ROeEE (Raab-Oedenburg-Ebenfurter Eisenbahn AG) </t>
  </si>
  <si>
    <t>The impact force damaged some personal passenger objects (e.g. a bicycle, a laptop, a hard disk, a mobile, glasses,…). The total amount of loss incurred is unknown to the Federal Safety Investigation Authority of Austria (Sicherheitsuntersuchungsstelle des Bundes, SUB).
The derailment caused serious damage to all vehicles of train no. 7657. The total vehicle damage amounts to an estimated € 10,790,000.-.
Serious infrastructural damage includes two catenary pylons, one shunting signal, one shunting stop post, the signalling equipment, approx. 1,000 m of catenary, approx. 500 m of track superstructure, and point no. 1. The damage to the infrastructure amounts to an estimated € 1,710,000.-.
The meadow next to the track suffered field damage of an unknown amount.
Furthermore, the event massively interfered with regular operations.</t>
  </si>
  <si>
    <t>Derailment was caused by track guidance failure because of the train passing points no.2 and no. 1 at excessive speed. Due to expectations, the train driver wrongly perceived the setting of exit signal “H1”, which caused him/her to pass the point section at 145 km/h instead of at 60 km/h. 
Traffic control failed to inform the train driver of the temporarily set route and switching via GSM-R train radio. This is considered a systemic factor because a piece of information was withheld, although the Standard Operating Procedure (SOP) on deviation management includes a provision to this effect. The SUB assumes that this provision is not duly considered as safety-related and is therefore not consistently observed, not least since deviation management is not primarily safety-oriented. Knowing this piece of information might have prevented the train driver’s expectations. Exit signal “H1” can hardly be perceived wrongly, particularly if you know that you are driving up to a point. 
The design of the automatic train control (ATC) system run at the infrastructural end failed to prevent the train from passing exit signal “H1” at excessive speed already while accelerating further after that point. The ATC system therefore also failed to automatically stop the train. Between the end of the monitoring section at 1000 Hz and the section including points no. 2 and no. 1, there was no technical means of monitoring the train. The design of the ATC system run at the infrastructural end may also be seen as a systemic factor because it may cause similar effects on other trips. Also, similar situations may occur at other stations.
Other causal factors of the accident event are that a red light on block section “f51” was recognised too late and/or that the red light situation was handled too late. Had the red light been recognised and the ensuing clear track signal of the train ahead been collected in due time, a contingency measure like setting a route along the opposite track and monitoring its safety at and after exit signal “H1” would not have been necessary.
The cause of the red light having been recognised too late is assessed as a systemic factor, this cause being the fact that the traffic managers at the signalling control centres have to accept more and more scope of responsibility, such that they cannot continuously supervise the entire scope. Although there are technical limitations and organisational restrictions to the areas of responsibility, they are unable to prevent these areas from being expanded. Therefore, we may not expect a red light to be recognised immediately, unless it is supported by an acoustic or optical signal.</t>
  </si>
  <si>
    <t>The large distance of 1667 m between the advance signal and both the advance exit signal “h” and the exit signal “H1” is a factor that contributed to the accident. Due to this large distance and the lack of technical means of monitoring, the train driver was able to accelerate the train after the 1000 Hz speed monitoring section and while approaching exist signal “H1” (394 m). Had the advance signal been closer to both signals, the train may still have derailed, but the consequences might have been less serious at a lower train speed at the point of derailment. The large distance to the advance signal may be seen as a systemic factor because it may cause similar effects on other trips. Large distances to advance signals and their safety-related effects on trips may also be found at other stations.</t>
  </si>
  <si>
    <t>NO-10230</t>
  </si>
  <si>
    <t>Trains collision near miss, 11/05/2022, Bolna station</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</si>
  <si>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</si>
  <si>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</si>
  <si>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SJ Norge AS</t>
  </si>
  <si>
    <t>None damage</t>
  </si>
  <si>
    <t>The local traffic controller did not notice that the rearmost wagon of the freight train was not within the fouling point</t>
  </si>
  <si>
    <t>Weakness in local training and unsuffiecient planning of the crossing on behalf of the traffic controller.</t>
  </si>
  <si>
    <t>HU-10356</t>
  </si>
  <si>
    <t>Train derailment, 13/5/2022, Zalaszentmihály-Pacsa</t>
  </si>
  <si>
    <t>Freight train derailed on a swith</t>
  </si>
  <si>
    <t>Zalaszentmihály-Pacsa</t>
  </si>
  <si>
    <t>GYSEV-CARGO Zrt.</t>
  </si>
  <si>
    <t>1 wagno destroyed, 2 switches destroyed</t>
  </si>
  <si>
    <t>Track maintenance</t>
  </si>
  <si>
    <t>CZ-10229</t>
  </si>
  <si>
    <t>Electric shock, 19/5/2022, Kolín station (Czech Republic)</t>
  </si>
  <si>
    <t>Injury of the employee of IM by electric current at repair of damaged contact line which originated in connection with ride of the regional passenger train No. 5005.</t>
  </si>
  <si>
    <t>Kolín station, station track No. 101a, km 348,152</t>
  </si>
  <si>
    <t>CZK 746,- (€ 30,-); Rolling stock</t>
  </si>
  <si>
    <t>Article 20.2 of Directive (EU) 2016/798 – a), c)</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</si>
  <si>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</si>
  <si>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DE-10233</t>
  </si>
  <si>
    <t>Trains collision, 19/5/2022, Hp Altheim (Hess) – Bf Dieburg</t>
  </si>
  <si>
    <t>Am 19.05.2022 kollidierte GAG 60101 gegen 04:04 Uhr zwischen dem Haltepunkt Altheim
(Hess) und dem Bahnhof Dieburg mit dem im Blockabschnitt stehenden DGS 42174.</t>
  </si>
  <si>
    <t>Altheim (Hess) - Dieburg</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</si>
  <si>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</si>
  <si>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</si>
  <si>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DE-10307</t>
  </si>
  <si>
    <t xml:space="preserve">Train derailment, 21/5/2022, </t>
  </si>
  <si>
    <t>Am 21.05.2022 gegen 09:53 Uhr entgleiste der Güterzug DGS 76293 auf der Fahrt von
Frankfurt (O) nach Frankfurt (Oder) Oderbrücke während der Einfahrt in den Bahnhof
Frankfurt (Oder) Oderbrücke mit dem ersten Drehgestell des an vorletzter Stelle fahrenden
Wagens.</t>
  </si>
  <si>
    <t>Bf Frankfurt (Oder) Oderbrücke</t>
  </si>
  <si>
    <t>Vehicles and infrastructure damaged.</t>
  </si>
  <si>
    <t>Der Untersuchungsschwerpunkt liegt derzeit im Bereich der konstrukƟven Gestaltung sowie
der Beladung des entgleisten Fahrzeuges.</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</si>
  <si>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</si>
  <si>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</si>
  <si>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</si>
  <si>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</si>
  <si>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</si>
  <si>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</si>
  <si>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</si>
  <si>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RO-10232</t>
  </si>
  <si>
    <t>Train derailment, 26/5/2022, Merișor</t>
  </si>
  <si>
    <t>The light locomotive EC 076 which running as train no.L88151 derailed and overturned in Merișor railway station.</t>
  </si>
  <si>
    <t>Merișor</t>
  </si>
  <si>
    <t>SC „Constantin Grup” SRL</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</si>
  <si>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</si>
  <si>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</si>
  <si>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</si>
  <si>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DK-10313</t>
  </si>
  <si>
    <t>Accident to persons caused by RS in motion, 29/05/2022, Ringsted-Vigerslev (Denmark)</t>
  </si>
  <si>
    <t>High speed passenger train hit a railway worker.</t>
  </si>
  <si>
    <t>Between Ringsted and Vigerslev km 53,6 track no 1.</t>
  </si>
  <si>
    <t>Danish Railways</t>
  </si>
  <si>
    <t>The collision occurred as a result of a railway worker was walking in the middle of a traffic lane without the necessary attention to the fact that a train was approaching from behind.</t>
  </si>
  <si>
    <t>Human routines, planning access routes</t>
  </si>
  <si>
    <t>NO-10236</t>
  </si>
  <si>
    <t>Level crossing accident, 31/5/2022, Hagamælen plo, Støren</t>
  </si>
  <si>
    <t>Colission between tractor and train</t>
  </si>
  <si>
    <t>Hagamælen level crossing, Støren</t>
  </si>
  <si>
    <t xml:space="preserve">SJ Norge AS </t>
  </si>
  <si>
    <t>BaneNOR SF</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</si>
  <si>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</si>
  <si>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</si>
  <si>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</si>
  <si>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</si>
  <si>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</si>
  <si>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</si>
  <si>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</si>
  <si>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</si>
  <si>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CH-10239</t>
  </si>
  <si>
    <t>Trains collision, 2/6/2022, Zollikofen</t>
  </si>
  <si>
    <t>Two freight locomotives in multiple traction running as a locomotive train collided with the rear of an other freight train
train ready for departure.</t>
  </si>
  <si>
    <t>Zollikofen</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</si>
  <si>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</si>
  <si>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</si>
  <si>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FR-10271</t>
  </si>
  <si>
    <t>Trains collision near miss, 2/6/2022, Saint-Chamond</t>
  </si>
  <si>
    <t>a dumper truck fell from a bridge onto the tracks</t>
  </si>
  <si>
    <t>Saint-Chamond</t>
  </si>
  <si>
    <t>not applicable</t>
  </si>
  <si>
    <t>overhead catenary torn out</t>
  </si>
  <si>
    <t>SK-10234</t>
  </si>
  <si>
    <t>Trains collision, 3/6/2022, between Varín - Vrútky</t>
  </si>
  <si>
    <t>between Varín - Vrútky</t>
  </si>
  <si>
    <t>trains collisions, total material costs 4 112 863,72€</t>
  </si>
  <si>
    <t>IT-10270</t>
  </si>
  <si>
    <t>Train derailment, 3/6/2022, Rome (Prenestina)</t>
  </si>
  <si>
    <t>derailment of Trenitalia train n. 9311, high speed line Rome-Naples</t>
  </si>
  <si>
    <t>Rome (Prenestina)</t>
  </si>
  <si>
    <t xml:space="preserve">Rete Ferroviaria Italiana SpA (RFI) </t>
  </si>
  <si>
    <t>approximately EUR 4,2 million of rolling stock damage and 
about EUR 1,2 milion of infrastructure stock damage</t>
  </si>
  <si>
    <t>Improper maintenance</t>
  </si>
  <si>
    <t xml:space="preserve">thermal instability of the track </t>
  </si>
  <si>
    <t>DE-10279</t>
  </si>
  <si>
    <t>Train derailment, 3/6/2022, Garmisch-Partenkirchen - Farchant</t>
  </si>
  <si>
    <t>Am 03.06.2022 gegen 12:16Uhr entgleiste der Personenzug RB-D 59458 auf der Fahrt von Garmisch-Partenkirchen nach München Hbf zwischen den Bahnhöfen (Bf) Garmisch-Partenkirchen und Farchant in km 97,676.</t>
  </si>
  <si>
    <t>Garmisch-Partenkirchen - Farchant</t>
  </si>
  <si>
    <t>Regional passenger train derailed and haevily damaged. Infrastructure damages.</t>
  </si>
  <si>
    <t>Failure of the structure of the prestressed concrete railway sleepers [F1]; Combined process of alkali‐silica reaction (ASR) and secondary ettringite formation (SEF) [F2]; Inspection procedures used to identify damage due to ASR and SEF [F3].</t>
  </si>
  <si>
    <t>State of the art technology for controlling the risk of ASR and SEF at the time of producing the sleepers [S2]; Controlling the risk of ASR and SEF in the life cycle of the prestressed concrete railway sleeper [S3]</t>
  </si>
  <si>
    <t>BG-10235</t>
  </si>
  <si>
    <t>Level crossing accident, 7/6/2022, between the stations Dimovo and Oreshets</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</si>
  <si>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</si>
  <si>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</si>
  <si>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</si>
  <si>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</si>
  <si>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CZ-10237</t>
  </si>
  <si>
    <t>Other, 07/06/2022, Otrokovice station</t>
  </si>
  <si>
    <t>Damage of contact line during entrance of the freight train No. 53742 to Otrokovice station with consequent fire of railway infrastructure equipment at Otrokovice and Tlumačov stations and Otrokovice – Tlumačov track section</t>
  </si>
  <si>
    <t>Otrokovice station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</si>
  <si>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</si>
  <si>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ES-10251</t>
  </si>
  <si>
    <t>Trains collision, 12/6/2022, Vila-seca (Tarragona)</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</si>
  <si>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</si>
  <si>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Vila-seca (Tarragona)</t>
  </si>
  <si>
    <t>Captrain / Renfe Viajeros</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</si>
  <si>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</si>
  <si>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</si>
  <si>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</si>
  <si>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RO-10238</t>
  </si>
  <si>
    <t>Fire in RS, 13/6/2022, Zăvestreni</t>
  </si>
  <si>
    <t>A fire broke out at the tank wagon no. 82537942512-7, which was the first in the composition of the freight train no. 66306.</t>
  </si>
  <si>
    <t>Zăvestreni</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</si>
  <si>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</si>
  <si>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</si>
  <si>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HU-10242</t>
  </si>
  <si>
    <t>Unauthorised train movement other than SPAD, 14/6/2022, Magyarbánhegyes</t>
  </si>
  <si>
    <t>Passenger train leave the station, but it had to wait for opposite train</t>
  </si>
  <si>
    <t>Magyarbánhegyes</t>
  </si>
  <si>
    <t>failure of driver</t>
  </si>
  <si>
    <t>system of traffic managemenet</t>
  </si>
  <si>
    <t>BE-10259</t>
  </si>
  <si>
    <t>Accident to persons caused by RS in motion, 15/6/2022, Wetteren</t>
  </si>
  <si>
    <t>Two workers from a subcontractor hit by a passenger train</t>
  </si>
  <si>
    <t>NMBS / SNCB</t>
  </si>
  <si>
    <t>Slight damage to the front of the locomotive + various train delays and cancellations</t>
  </si>
  <si>
    <t>CZ-10243</t>
  </si>
  <si>
    <t>Train derailment, 19/06/2022, Stupno, Czech Republic</t>
  </si>
  <si>
    <t>Derailment of the regional passenger train No. 17806 at Stupno operating point</t>
  </si>
  <si>
    <t>Stupno operating point</t>
  </si>
  <si>
    <t>PL-10248</t>
  </si>
  <si>
    <t>Trains collision, 20/6/2022, station Regalica, km 204,079 line 351 at 12:55</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</si>
  <si>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</si>
  <si>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station Regalica, km 204,079 line 351 at 12:55</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</si>
  <si>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</si>
  <si>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</si>
  <si>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RO-10244</t>
  </si>
  <si>
    <t>Fire in RS, 22/6/2022, Zăvestreni - Videle</t>
  </si>
  <si>
    <t>A fire brust out at the locomotive of passenger train no.349 between Zăvestreni and Videle railway stations. Later the fire spread to the first car in the train.</t>
  </si>
  <si>
    <t>Zăvestreni - Videle</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</si>
  <si>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</si>
  <si>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</si>
  <si>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HU-10247</t>
  </si>
  <si>
    <t xml:space="preserve">Runaway, 26/06/2022, Mátészalka station </t>
  </si>
  <si>
    <t xml:space="preserve">the wagons of the train No. 32421, which had arrived earlier on track II of Mátészalka station and then was disconnected, ran away while the locomotive was being inspected, and then left the station area on railway line 113 in the direction of Kocsord Alsó. </t>
  </si>
  <si>
    <t>Mátészalka</t>
  </si>
  <si>
    <t xml:space="preserve">on wagon 3, within twelve minutes after the compressed air supply was removed, for reasons that cannot be clearly determined, the pressures in the the main air supply pipe space and the main air reservoir pipe space equalized, causing the pressure in the main air supply pipe space to raise above the value necessary to set the triple valves to release position, and so the brakes in the interconnected wagons 2 and 3 were released </t>
  </si>
  <si>
    <t xml:space="preserve">The contents of MÁV Zrt. E.2. Brake Instruction 6.1.2 are not always in line with the technical requirements for rolling stock, and it may be that a wagon that has been deemed to be in a safe condition during maintenance cannot meet the requirement to be secured against running away for the required period of 30 minutes, when only held stationary by air brakes. </t>
  </si>
  <si>
    <t>CZ-10245</t>
  </si>
  <si>
    <t xml:space="preserve">Trains collision, 27-06-22, Bohumín station (Czech Republic) </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</si>
  <si>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</si>
  <si>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</si>
  <si>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CZ-10246</t>
  </si>
  <si>
    <t xml:space="preserve">Electric shock, 27-06-22, Pardubice hl. n. station (Czech Republic) </t>
  </si>
  <si>
    <t>Injury of an employee in the working basket of a rail crane by electric current during unauthorized work at the contact line.</t>
  </si>
  <si>
    <t>Pardubice hl. n. station</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</si>
  <si>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</si>
  <si>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RO-10250</t>
  </si>
  <si>
    <t>Train derailment, 29/6/2022, Sârca - Podu Iloaiei</t>
  </si>
  <si>
    <t>15 wagons (from 11th to 25th) from the composition of the freight train no. 56317027 derailed between Sârca and Podu Iloaiei railway stations. Of the 15 derailed wagons, 11 wagons overturned.</t>
  </si>
  <si>
    <t>Sârca - Podu Iloaiei</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</si>
  <si>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</si>
  <si>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</si>
  <si>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</si>
  <si>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</si>
  <si>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</si>
  <si>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</si>
  <si>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</si>
  <si>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CZK 76 183 853,- (€ 3 079 380,-); Rolling stocks, infrastructure</t>
  </si>
  <si>
    <t>HU-10254</t>
  </si>
  <si>
    <t>Other, 30/06/2022, Budapest-Keleti station</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</si>
  <si>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</si>
  <si>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</si>
  <si>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CZ-10255</t>
  </si>
  <si>
    <t xml:space="preserve">Level crossing accident, 04-07-22, open line between Klatovy and Janovice nad Úhlavou stations (Czech Republic) </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</si>
  <si>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</si>
  <si>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</si>
  <si>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</si>
  <si>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</si>
  <si>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RO-10258</t>
  </si>
  <si>
    <t>Train derailment, 8/7/2022, Turceni</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</si>
  <si>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</si>
  <si>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</si>
  <si>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</si>
  <si>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</si>
  <si>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HU-10257</t>
  </si>
  <si>
    <t>Trains collision, 10/7/2022, Biatorbágy - Herceghalom</t>
  </si>
  <si>
    <t>Freight train collided with the previous train, 7 wagons derailed.</t>
  </si>
  <si>
    <t>Biatorbágy - Herceghalom</t>
  </si>
  <si>
    <t>H-GYSEV Cargo Zrt.; SK-PSZ AS</t>
  </si>
  <si>
    <t>7 wagons derailed</t>
  </si>
  <si>
    <t>HU-10256</t>
  </si>
  <si>
    <t>Trains collision, 11/07/2022, Balatonfüred station</t>
  </si>
  <si>
    <t>A shunting engine collided with a passenger train</t>
  </si>
  <si>
    <t>Balatonfüred</t>
  </si>
  <si>
    <t>2 engines</t>
  </si>
  <si>
    <t>unallowed shunting movement</t>
  </si>
  <si>
    <t>communication failure</t>
  </si>
  <si>
    <t>CZ-10268</t>
  </si>
  <si>
    <t>Derailment of the freight train No. 62066 at Bohumín station</t>
  </si>
  <si>
    <t>Derailment of one rolling stocks of the freight train No. 62066</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</si>
  <si>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</si>
  <si>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</si>
  <si>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</si>
  <si>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</si>
  <si>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</si>
  <si>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</si>
  <si>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</si>
  <si>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</si>
  <si>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RO-10272</t>
  </si>
  <si>
    <t>Fire in RS, 19/7/2022, Biharia - Diosig</t>
  </si>
  <si>
    <t xml:space="preserve">A fire brust out at the locomotive DHC 410 who was inactive in the passenger train no.6811 between Biharia and Diosig railway stations. </t>
  </si>
  <si>
    <t>Biharia - Diosig</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</si>
  <si>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</si>
  <si>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</si>
  <si>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IT-10311</t>
  </si>
  <si>
    <t>Accident to persons caused by RS in motion, 21/7/2022, Trani (Puglia)</t>
  </si>
  <si>
    <t>Fatal accident of a train passenger No. 23510, at Trani Station, on the Foggia - Bari line</t>
  </si>
  <si>
    <t>Trani (Puglia)</t>
  </si>
  <si>
    <t xml:space="preserve">Rete Ferroviaria Italiana (RFI) SpA </t>
  </si>
  <si>
    <t xml:space="preserve">Lack of passenger protection, called "sensitive edge",  when the emergency door opening handle is operated </t>
  </si>
  <si>
    <t>not detected</t>
  </si>
  <si>
    <t>IT-10312</t>
  </si>
  <si>
    <t>Fire in RS, 22/7/2022, Martina Franca (Taranto, Puglia)</t>
  </si>
  <si>
    <t>Fire on board the train No. 92140, at Martina Franca, 
on the Bari - Taranto line</t>
  </si>
  <si>
    <t>Martina Franca (Taranto, Puglia)</t>
  </si>
  <si>
    <t>Ferrovie del Sud Est - Trasporto Ferroviario</t>
  </si>
  <si>
    <t>Ferrovie del Sud Est - Esercizio Infrastruttura</t>
  </si>
  <si>
    <t>extensive damage to rolling stock, almost completely destroyed</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</si>
  <si>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</si>
  <si>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</si>
  <si>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CZ-10273</t>
  </si>
  <si>
    <t>Level crossing accident, 24/07/2022, Open line between Stráž u Tachova and Bor stations</t>
  </si>
  <si>
    <t>Collision of the regional passenger train No. 7214 with a car at the level crossing No. P751 with consequent derailment between Stráž u Tachova and Bor stations</t>
  </si>
  <si>
    <t>Open line between Stráž u Tachova operating control point and Bor station</t>
  </si>
  <si>
    <t>Total preliminary damage CZK 1 320 000,- (EUR 53 637,-)</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</si>
  <si>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</si>
  <si>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CZ-10274</t>
  </si>
  <si>
    <t>Level crossing accident, 24/07/2022,Open line between Zlín střed and Zlín-Malenovice stations</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</si>
  <si>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</si>
  <si>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</si>
  <si>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</si>
  <si>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</si>
  <si>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</si>
  <si>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</si>
  <si>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</si>
  <si>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</si>
  <si>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</si>
  <si>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</si>
  <si>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</si>
  <si>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</si>
  <si>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</si>
  <si>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</si>
  <si>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RO-10277</t>
  </si>
  <si>
    <t>Train derailment, 28/7/2022, Năvodari - Nazarcea</t>
  </si>
  <si>
    <t>Hauling locomotive DA 1537 of the freight train no.66358028 derailed between Năvodari and Nazarcea railway stations.</t>
  </si>
  <si>
    <t>Năvodari - Nazarcea</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</si>
  <si>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</si>
  <si>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</si>
  <si>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</si>
  <si>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</si>
  <si>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</si>
  <si>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</si>
  <si>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</si>
  <si>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</si>
  <si>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HR-10297</t>
  </si>
  <si>
    <t>Level crossing accident, 01-08-22, LC Milja (between stations Meja-Škrljevo) (Croatia)</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</si>
  <si>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</si>
  <si>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LC Milja (between stations Meja-Škrljevo)</t>
  </si>
  <si>
    <t>RAIL CARGO CARRIER-CROATIA d.o.o.</t>
  </si>
  <si>
    <t>HŽ INFRASTRUKTURA d.o.o.</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</si>
  <si>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</si>
  <si>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</si>
  <si>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</si>
  <si>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RO-10280</t>
  </si>
  <si>
    <t>Train derailment, 9/8/2022, Cojocna</t>
  </si>
  <si>
    <t>One wagon (the 17th) from the composition of the freight train no.57010 derailed in Cojocna railway station.</t>
  </si>
  <si>
    <t>SC UNICOM TRANZIT SA</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</si>
  <si>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</si>
  <si>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</si>
  <si>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</si>
  <si>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CZ-10315</t>
  </si>
  <si>
    <t xml:space="preserve">Level crossing accident, 10/08/2022, Lískovec u Frýdku station </t>
  </si>
  <si>
    <t>Collision of the regional passenger train No. 20119 with a lorry at the level crossing No. P7405 at Lískovec u Frýdku station</t>
  </si>
  <si>
    <t>Lískovec u Frýdku station</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</si>
  <si>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</si>
  <si>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</si>
  <si>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ES-10306</t>
  </si>
  <si>
    <t>Operational event, 15/8/2022, Manresa (Barcelona)</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</si>
  <si>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</si>
  <si>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Manresa (Barcelona)</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</si>
  <si>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</si>
  <si>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</si>
  <si>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</si>
  <si>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</si>
  <si>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</si>
  <si>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</si>
  <si>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</si>
  <si>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</si>
  <si>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</si>
  <si>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CZ-10290</t>
  </si>
  <si>
    <t xml:space="preserve">Trains collision, 20-08-22, Český Těšín station (Czech Republic)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</si>
  <si>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</si>
  <si>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</si>
  <si>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</si>
  <si>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</si>
  <si>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HU-10289</t>
  </si>
  <si>
    <t>Train derailment, 25/8/2022, Nyékládháza</t>
  </si>
  <si>
    <t>13th wagon of freight train derailed by 2 axles, and re-reailed after 5,5 km.</t>
  </si>
  <si>
    <t>Nyékládháza</t>
  </si>
  <si>
    <t>IG Rail</t>
  </si>
  <si>
    <t>9000 concrete slippers, 2 LC signal, 1 switch destroyed</t>
  </si>
  <si>
    <t>Speed of train &amp; track condition</t>
  </si>
  <si>
    <t>Engine driver HF &amp; track maintenance</t>
  </si>
  <si>
    <t>DK-10304</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</si>
  <si>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</si>
  <si>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</si>
  <si>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</si>
  <si>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</si>
  <si>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</si>
  <si>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</si>
  <si>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</si>
  <si>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</si>
  <si>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</si>
  <si>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</si>
  <si>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</si>
  <si>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</si>
  <si>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</si>
  <si>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</si>
  <si>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</si>
  <si>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</si>
  <si>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</si>
  <si>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</si>
  <si>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</si>
  <si>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</si>
  <si>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BE-10294</t>
  </si>
  <si>
    <t>Train derailment, 29/8/2022, Bressoux</t>
  </si>
  <si>
    <t>Derailment of a wagon of a freight train</t>
  </si>
  <si>
    <t>Bressoux</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</si>
  <si>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</si>
  <si>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</si>
  <si>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</si>
  <si>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HU-10296</t>
  </si>
  <si>
    <t>Train derailment, 30/8/2022, Karcag</t>
  </si>
  <si>
    <t>The 22nd waggon of the freight train deralied with 1 boogie.</t>
  </si>
  <si>
    <t xml:space="preserve">Karcag </t>
  </si>
  <si>
    <t>PSZ</t>
  </si>
  <si>
    <t>1,2 km track destroyed</t>
  </si>
  <si>
    <t>Failure of wagon &amp; track</t>
  </si>
  <si>
    <t>HU-10310</t>
  </si>
  <si>
    <t>Level crossing accident, 05/09/2022, between Kiskunhalas and Kunfehértó stations</t>
  </si>
  <si>
    <t>At the level crossing without technical protection, the passenger train № 7809 collided with an automobile. All of the seven occupants of the car deceased and the locomotive driver was slightly injured.</t>
  </si>
  <si>
    <t xml:space="preserve">between Kunfehértó and Kiskunhalas </t>
  </si>
  <si>
    <t xml:space="preserve">The loco demaged </t>
  </si>
  <si>
    <t>the driver of the automobile drove his vehicle into the level crossing when a train was approaching.</t>
  </si>
  <si>
    <t>DE-10308</t>
  </si>
  <si>
    <t>Trains collision, 7/9/2022, Bft Seelze Ost</t>
  </si>
  <si>
    <t>Am 07.09.2022 gegen 14:34 Uhr kollidierte Zug DGV 92947 auf der Fahrt von Hausach nach Padborg (EVU: Spitzke Logistik GmbH) im Bft Seelze Ost mit dem im Gleis 815 stehenden Zug EZ 51593 (EVU: DB Cargo AG).</t>
  </si>
  <si>
    <t>Bft Seelze Ost</t>
  </si>
  <si>
    <t>SLG Spitzke Logistik GmbH; DB Cargo Aktiengesellschaft</t>
  </si>
  <si>
    <t>Damages on freight train and waggons, one staff lightly injured.</t>
  </si>
  <si>
    <t>Lack of continuity in the main brake pipe [F1]; Omitted test process to reveal opera􀆟onal errors [F2].</t>
  </si>
  <si>
    <t>Safety culture within the company [S2]</t>
  </si>
  <si>
    <t>RO-10298</t>
  </si>
  <si>
    <t>Train derailment, 8/9/2022, Izvoru Oltului - Izvoru Mureșului</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</si>
  <si>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</si>
  <si>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</si>
  <si>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</si>
  <si>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 xml:space="preserve">Causal factor  
The technical condition of the wagon that had not clearances at the guides, diagonally.
</t>
  </si>
  <si>
    <t xml:space="preserve">Systemic factor
Improper keeping of the competences afferent to the job of technical examiner.
</t>
  </si>
  <si>
    <t>HR-10302</t>
  </si>
  <si>
    <t>Trains collision, 09-09-2022 (between the stations Okučani-Novska, near place Rajić) (Croatia)</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</si>
  <si>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</si>
  <si>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Between the stations Okučani-Novska, near place Rajić</t>
  </si>
  <si>
    <t xml:space="preserve"> HŽ Putnički prijevoz d.o.o. (passenger train) and ENNA TRANSPORT d.o.o. (freight train)</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</si>
  <si>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</si>
  <si>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</si>
  <si>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</si>
  <si>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</si>
  <si>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</si>
  <si>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</si>
  <si>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</si>
  <si>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</si>
  <si>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</si>
  <si>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</si>
  <si>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CZ-10300</t>
  </si>
  <si>
    <t>Unauthorised train movement other than SPAD, 15/09/2022, at Hoštejn station</t>
  </si>
  <si>
    <t>Unsecured movement of the long distance passenger train No. 512 on an incorrect train route to track line occupied by oncoming regional passenger train No. 3775.</t>
  </si>
  <si>
    <t>Hoštejn station</t>
  </si>
  <si>
    <t>Long distance passenger train;
Regional passenger train</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</si>
  <si>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</si>
  <si>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</si>
  <si>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RO-10301</t>
  </si>
  <si>
    <t>Train derailment, 17/9/2022, Năvodari - Nazarcea</t>
  </si>
  <si>
    <t>One wagon (first) from the composition of the freight train 66300016 derailed  between Năvodari and Nazarcea railway stations.</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</si>
  <si>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</si>
  <si>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</si>
  <si>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</si>
  <si>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RO-10303</t>
  </si>
  <si>
    <t>Train derailment, 20/9/2022, Sărmășel - Luduș</t>
  </si>
  <si>
    <t>The AMX 1704 multiple unit running as a passenger train no. 11011 derailed from a axle between the Sărmășel and Luduș railway stations.</t>
  </si>
  <si>
    <t>Sărmășel - Luduș</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</si>
  <si>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</si>
  <si>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</si>
  <si>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</si>
  <si>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RO-10314</t>
  </si>
  <si>
    <t>Train derailment, 2/10/2022, Borăscu</t>
  </si>
  <si>
    <t>Five wagons (the first 4 and the 6th) from the composition of the freight train no.64220 derailed in Borăscu railway station.</t>
  </si>
  <si>
    <t>Borăscu</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</si>
  <si>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</si>
  <si>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</si>
  <si>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</si>
  <si>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DK-10321</t>
  </si>
  <si>
    <t>Accident to persons caused by RS in motion, 2/10/2022, Nivå</t>
  </si>
  <si>
    <t>Unauthorised person on tracks hit by train</t>
  </si>
  <si>
    <t>Nivå</t>
  </si>
  <si>
    <t>Train and tracks needed cleaning</t>
  </si>
  <si>
    <t>A regional train hit a person who was on the tracks shortly after Nivå Station, in a railway area not open to the public.</t>
  </si>
  <si>
    <t>CZ-10317</t>
  </si>
  <si>
    <t xml:space="preserve">Level crossing accident, 07-10-22, open line between Libice nad Cidlinou and Poděbrady stations (Czech Republic) </t>
  </si>
  <si>
    <t>Collision of the shunting between operating control points with the car at the level crossing No. P3585.</t>
  </si>
  <si>
    <t>open line between Libice nad Cidlinou and Poděbrady stations, the level crossing No. P3585, km 245,044.</t>
  </si>
  <si>
    <t xml:space="preserve">Shunting between operating control points </t>
  </si>
  <si>
    <t>CZK 250 000,- (€ 10 198,-); Other</t>
  </si>
  <si>
    <t>Article 20.2 of Directive (EU) 2016/798 – c)</t>
  </si>
  <si>
    <r>
      <t>Causal factors:</t>
    </r>
    <r>
      <rPr>
        <sz val="10.5"/>
        <color rgb="FF000000"/>
        <rFont val="Arial"/>
        <family val="2"/>
        <charset val="1"/>
      </rPr>
      <t xml:space="preserve">
- unauthorized entry of the car driver onto the level crossing No. P3585 with the level crossing safety installation switched off for the affected (excluded) track line at the time when the barrier beams were raised and the warning signal ended after the train passed along the non-excluded track, and at the same time when a shunting between operating control points was approaching the level crossing along the excluded track, and the car driver did not convince if can ride safe over the level crossing;
- exceed the maximum permitted speed prescribed by the  instruction to drive with increased caution to and over the level crossing No. P3585 more than twice by the driver of the the shunting between operating control points resulting in a reduction in the ability of the car driver to react to the situation and to fulfill the obligation not to enter onto level crossing if an approaching rolling stock is already visible.
Contributing factor: none.</t>
    </r>
  </si>
  <si>
    <r>
      <t xml:space="preserve">Systemic factor: </t>
    </r>
    <r>
      <rPr>
        <sz val="11"/>
        <color rgb="FF000000"/>
        <rFont val="Arial"/>
        <family val="2"/>
        <charset val="1"/>
      </rPr>
      <t>none.</t>
    </r>
  </si>
  <si>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</si>
  <si>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</si>
  <si>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</si>
  <si>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</si>
  <si>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</si>
  <si>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</si>
  <si>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CZ-10319</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</si>
  <si>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</si>
  <si>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</si>
  <si>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</si>
  <si>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</si>
  <si>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CZ-10318</t>
  </si>
  <si>
    <t xml:space="preserve">Level crossing accident, 11-10-22, Střítež nad Bečvou operating point and Valašské Meziříčí station (Czech Republic) </t>
  </si>
  <si>
    <t>Collision of the regional passenger train No. 14342 with a lorry at the level crossing No. P7414 with consequent derailment between Střítež nad Bečvou operating point and Valašské Meziříčí station</t>
  </si>
  <si>
    <t>Střítež nad Bečvou operating point and Valašské Meziříčí station</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</si>
  <si>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</si>
  <si>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</si>
  <si>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HU-10320</t>
  </si>
  <si>
    <t>Level crossing accident, 14/10/2022, Iklad (Hungary)</t>
  </si>
  <si>
    <t>Iklad</t>
  </si>
  <si>
    <t>train and truck destroyed</t>
  </si>
  <si>
    <t>HU-10322</t>
  </si>
  <si>
    <t>Fire in RS, 17/10/2022, Budapest, Metro line M1, Deák Ferenc tér station</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</si>
  <si>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</si>
  <si>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</si>
  <si>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Investigation is in progress.</t>
  </si>
  <si>
    <t>the clip of a high-current motor cable broke in the junction box of the B-C tunnel duct, and the resulting electric arc caused a fir</t>
  </si>
  <si>
    <t>the use of Ganz MillFAV vehicles beyond their designed lifetime</t>
  </si>
  <si>
    <t>CZ-10323</t>
  </si>
  <si>
    <t>Collision of the regional passenger train No. 19406 with a lorry at the level crossing No. P2752 between Brandýs nad Labem and Neratovice stations.</t>
  </si>
  <si>
    <t xml:space="preserve">Collision of the regional passenger train No. 19406 with a lorry at the level crossing No. P2752. </t>
  </si>
  <si>
    <t>Open line between Brandýs nad Labem and Neratovice stations, the level crossing No. P2752.</t>
  </si>
  <si>
    <t>the regional passenger train No. 19406</t>
  </si>
  <si>
    <t>Total damage CZK 310 447,- (EUR 12 839,-)</t>
  </si>
  <si>
    <t>Causal factor:
• an unauthorized entrance of the lorry at the level crossing No. P2752 at the time when the train No. 19406 was arriving, caused by behavior of the driver of the lorry, who did not make sure whether he could safely pass the level crossing.
Contributing factor:
• meteorological effect – heavy to very heavy fog, which reduced visibility in an
observation fields at the level crossing No. P2752 according to ČSN 73 6380.</t>
  </si>
  <si>
    <t>24/10/2023 &amp; 15/04/2025</t>
  </si>
  <si>
    <t>HU-10324</t>
  </si>
  <si>
    <t>Train derailment at Kaposvár station on 21/10/2022</t>
  </si>
  <si>
    <t>Engine derailed with 1 axle</t>
  </si>
  <si>
    <t>Kaposvár</t>
  </si>
  <si>
    <t>THM Kft.</t>
  </si>
  <si>
    <t>Poor maintenance</t>
  </si>
  <si>
    <t>HU-10325</t>
  </si>
  <si>
    <t>SPAD at Röszke on 23/10/2022</t>
  </si>
  <si>
    <t>The locomotive train no. 45660 SPAD at Röszke station. The locomotiv broke the locking mechanism of switch. No one was injured.</t>
  </si>
  <si>
    <t>Röszke</t>
  </si>
  <si>
    <t>MÁV Start Zrt.</t>
  </si>
  <si>
    <t>NO-10423</t>
  </si>
  <si>
    <t>Runaway, 23/10/2022, Alnabru freight terminal (Norway)</t>
  </si>
  <si>
    <t>Runaway locomotive on marshalling yard</t>
  </si>
  <si>
    <t>Alnabruterminalen</t>
  </si>
  <si>
    <t>Locomotive parked in downhill slope without sufficient brakeing power</t>
  </si>
  <si>
    <t>Lack of parking brake test, established and accepted practice of parking locomotives in track circuit 626, insufficient coordination of HSE work.</t>
  </si>
  <si>
    <t>CZ-10326</t>
  </si>
  <si>
    <t xml:space="preserve">Level crossing accident, 26-10-22, open line between Malšice and Sudoměřice u Bechyně operating control points (Czech Republic) </t>
  </si>
  <si>
    <t>Collision of the regional passenger train No. 28422 with a car at the level crossing No. P6309 between Malšice and Sudoměřice u Bechyně operating control points</t>
  </si>
  <si>
    <t>open line between Malšice and Sudoměřice u Bechyně operating
control points</t>
  </si>
  <si>
    <t>Causal factor:
• an unauthorized entrance of the car at the level crossing No. P6309 at the time when the train No. 28422 was arriving, caused by behavior of the driver of the car, who did not make sure whether he could safely pass the level crossing.</t>
  </si>
  <si>
    <t>CZ-10328</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</si>
  <si>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</si>
  <si>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</si>
  <si>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</si>
  <si>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</si>
  <si>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STRABAG Rail a.s.; RegioJet ÚK a.s.</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</si>
  <si>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</si>
  <si>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CZ-10327</t>
  </si>
  <si>
    <t>SPAD, 30-10-22, Vlastec station (Czech Republic)</t>
  </si>
  <si>
    <t>Unauthorized movement (SPAD) of the regional passenger train No. 8415 behind the main (departure) signal device S1 and entry to the train route for the regional
passenger train No. 8416</t>
  </si>
  <si>
    <t>Vlastec station</t>
  </si>
  <si>
    <t>Regional passenger trains</t>
  </si>
  <si>
    <t>Causal factor:
• setting the regional passenger train No. 8415 in motion without instruction by IM and failure to respect the signal „Stop” of the main (departure) signal device S1 by the train driver of this train.</t>
  </si>
  <si>
    <t>RO-10329</t>
  </si>
  <si>
    <t>Train derailment, 1/11/2022, Răcari</t>
  </si>
  <si>
    <t>9 wagons (from 24th to 32th) from the composition of the freight train no. 64316 derailed in Răcari railway station. Of the 9 derailed wagons, 3 wagons overturned.</t>
  </si>
  <si>
    <t>Răcari</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</si>
  <si>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</si>
  <si>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</si>
  <si>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BG-10330</t>
  </si>
  <si>
    <t>Fire in RS, 3/11/2022, between the stations Kaspitchan and Provadia</t>
  </si>
  <si>
    <t>Fire during motion in passenger coaches of fast train (FT) composition between the stations Kaspitchan and Provadia</t>
  </si>
  <si>
    <t>between the stations Kaspitchan and Provadia</t>
  </si>
  <si>
    <t>BDZ-Passenger Services Ltd.</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</si>
  <si>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</si>
  <si>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</si>
  <si>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PL-10352</t>
  </si>
  <si>
    <t>Other, 3/11/2022, passenger stop Krzęcice</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</si>
  <si>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</si>
  <si>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 xml:space="preserve">passenger stop Krzęcice, km 244,636 line 8 </t>
  </si>
  <si>
    <t xml:space="preserve">POLREGIO S.A.  </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</si>
  <si>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</si>
  <si>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</si>
  <si>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NO-10331</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</si>
  <si>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</si>
  <si>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</si>
  <si>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Near Heskestad station, on the Sørlandsbanen line</t>
  </si>
  <si>
    <t xml:space="preserve">A landslide had left a large stone in the track </t>
  </si>
  <si>
    <t>There was neither technical nor organisational measures to detect the stone, or to avoid a powerful impact with it.</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</si>
  <si>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</si>
  <si>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</si>
  <si>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</si>
  <si>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</si>
  <si>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</si>
  <si>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</si>
  <si>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PT-10369</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</si>
  <si>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</si>
  <si>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</si>
  <si>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</si>
  <si>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</si>
  <si>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</si>
  <si>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IT-10335</t>
  </si>
  <si>
    <t>Train derailment, 7/11/2022, Pompei (Napoli)</t>
  </si>
  <si>
    <t>derailment of EAV train n. 4132, functionally isolated railway line Napoli - Torre Annunziata - Poggiomarino (Circumvesuviana)</t>
  </si>
  <si>
    <t>Pompei (Napoli)</t>
  </si>
  <si>
    <t>EAV (Ente Autonomo Volturno) srl</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</si>
  <si>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</si>
  <si>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</si>
  <si>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CZ-10332</t>
  </si>
  <si>
    <t xml:space="preserve">Train collision, 9/11/2022, Mělník station (Czech Republic) </t>
  </si>
  <si>
    <t>Unauthorized movement of the shunting operation behind the main (departure)
signal device S10 and consequent collision with the freight train No. 55530 at
Mělník station</t>
  </si>
  <si>
    <t>Mělník station</t>
  </si>
  <si>
    <t>Shunting operation;
Freight train</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</si>
  <si>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</si>
  <si>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</si>
  <si>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</si>
  <si>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</si>
  <si>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</si>
  <si>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</si>
  <si>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DK-10334</t>
  </si>
  <si>
    <t>Accident to persons caused by RS in motion, 12/11/2022, Odense (Denmark)</t>
  </si>
  <si>
    <t>One person hit by train</t>
  </si>
  <si>
    <t>The person was in a place where there was no public access.</t>
  </si>
  <si>
    <t>Influence of Alcohol</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</si>
  <si>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</si>
  <si>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</si>
  <si>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</si>
  <si>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</si>
  <si>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</si>
  <si>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</si>
  <si>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</si>
  <si>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HU-10338</t>
  </si>
  <si>
    <t>SPAD, 13/11/2022, Beled</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</si>
  <si>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</si>
  <si>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Line no. 16., Beled station</t>
  </si>
  <si>
    <t>Komplex Rail Kft.</t>
  </si>
  <si>
    <t>No material damage occurred.</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</si>
  <si>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</si>
  <si>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</si>
  <si>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</si>
  <si>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</si>
  <si>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HR-10342</t>
  </si>
  <si>
    <t>Trains collision, 14-11-2022 (station Škrljevo) (Croatia)</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</si>
  <si>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</si>
  <si>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Station Škrljevo</t>
  </si>
  <si>
    <t xml:space="preserve"> HŽ Cargo d.o.o. (freight train) and ENNA TRANSPORT d.o.o. (freight train)</t>
  </si>
  <si>
    <t>Greater material damage was recorded on the railway infrastructure and involved railway vehicles.</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</si>
  <si>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</si>
  <si>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</si>
  <si>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SE-10343</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</si>
  <si>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</si>
  <si>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</si>
  <si>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</si>
  <si>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</si>
  <si>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</si>
  <si>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</si>
  <si>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</si>
  <si>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DE-10413</t>
  </si>
  <si>
    <t>Trains collision, 17/11/2022, Hp. Leiferde</t>
  </si>
  <si>
    <t>On 17/11/2022 at around 3:26 am the freight train DGS 42593, which was travelling from Antwerpen-Noord (Belgium) to Köthen central, collided with freight train DGS 90977, which was stationary in front of block 86 of the continuous automatic train control (ATC) system, between Meinersen station and Leiferde (b Gifhorn) halt.</t>
  </si>
  <si>
    <t>Hp. Leiferde</t>
  </si>
  <si>
    <t>Crossrail Benelux N.V., LOCON Logistik &amp; Consulting AG</t>
  </si>
  <si>
    <t>Heavy damages on locos and freight waggons, and line equipment</t>
  </si>
  <si>
    <t>Signaller's Attention to operational procedures after signalling occurence</t>
  </si>
  <si>
    <t>Technical aspects on maintenance of on-bord signalling devices; signaller education, training and supervision</t>
  </si>
  <si>
    <t>PT-10370</t>
  </si>
  <si>
    <t>SPAD, 18/11/2022, Estarreja</t>
  </si>
  <si>
    <t>Unauthorized movement to the outside of a track possession by a work train, invading the path of freight train 69825 that was approaching from the opposite direction.</t>
  </si>
  <si>
    <t>Estarreja</t>
  </si>
  <si>
    <t>HU-10336</t>
  </si>
  <si>
    <t>Train derailment, 19/11/2022, Komárom</t>
  </si>
  <si>
    <t>Band of wheel moved, and the wagon derailed by 1 axle.</t>
  </si>
  <si>
    <t>Komárom</t>
  </si>
  <si>
    <t>MÁV-RailTours Kft.</t>
  </si>
  <si>
    <t>one of the rims of the wagon, which was the eleventh wagon on the train, came off the wheel</t>
  </si>
  <si>
    <t>DK-10337</t>
  </si>
  <si>
    <t>Accident to persons caused by RS in motion, 19-11-2022,Kauslunde</t>
  </si>
  <si>
    <t xml:space="preserve"> Train hit a person</t>
  </si>
  <si>
    <t>Kauslunde</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</si>
  <si>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</si>
  <si>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</si>
  <si>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</si>
  <si>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</si>
  <si>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</si>
  <si>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</si>
  <si>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</si>
  <si>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</si>
  <si>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</si>
  <si>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</si>
  <si>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</si>
  <si>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</si>
  <si>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</si>
  <si>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</si>
  <si>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CZ-10345</t>
  </si>
  <si>
    <t>Collision of the shunting sets of cars at Kolín station</t>
  </si>
  <si>
    <t>Unauthorized movement (SPAD) of the pulling shunting set of cars
behind the shunting signal device Se49 with consequent collision with
the pushing shunting set of cars and derailment of 1 rolling stock of
the pushing shunting set of cars.</t>
  </si>
  <si>
    <t>ČD Cargo, a. s.; České dráhy, a. s.</t>
  </si>
  <si>
    <t>Total damage CZK 31 614 162,- (EUR 270 120,-)</t>
  </si>
  <si>
    <r>
      <t>Causal factor:</t>
    </r>
    <r>
      <rPr>
        <sz val="10"/>
        <color rgb="FF000000"/>
        <rFont val="Arial"/>
        <family val="2"/>
        <charset val="1"/>
      </rPr>
      <t xml:space="preserve">
• failure to respect the signal „Shunting forbidden“ of the shunting signal device Se49 at Kolín station by the train driver of the pulling shunting set of cars.</t>
    </r>
  </si>
  <si>
    <t>DE-10355</t>
  </si>
  <si>
    <t>Train derailment, 6/12/2022, Bf Saarbrücken Rbf</t>
  </si>
  <si>
    <t>Der Güterzug KT 41229 der DB Cargo AG entgleiste auf der Fahrt von Irun (Spanien) nach Saarbrücken Rbf Gruppe Nord im Bahnhof (Bf) Saarbrücken Rbf auf der Weiche 61 mit sechs Wagen.</t>
  </si>
  <si>
    <t>Bf Saarbrücken Rbf</t>
  </si>
  <si>
    <t>Freight wagons and infrastructure damages.</t>
  </si>
  <si>
    <t>Partial lack of frictional connection between ribbed plate and sleeper [F1]; Combined individual faults in the track position of points W62 [F2].</t>
  </si>
  <si>
    <t>Insufficient wear reserve [S2a]; Extensive discretionary powers when inferring suitable maintenance measures [S2b]</t>
  </si>
  <si>
    <t>19/01/2024 &amp; 11/12/2024</t>
  </si>
  <si>
    <t>CZ-10346</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</si>
  <si>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</si>
  <si>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</si>
  <si>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</si>
  <si>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</si>
  <si>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</si>
  <si>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CZ-10347</t>
  </si>
  <si>
    <t xml:space="preserve">Train derailment, 08-12-22, Brno-Maloměřice station (Czech Republic) </t>
  </si>
  <si>
    <t>Derailment of 3 rolling stocks of the freight train No. 60310 at Brno-Maloměřice station</t>
  </si>
  <si>
    <t>Brno-Maloměřice station</t>
  </si>
  <si>
    <t>Total damage CZK 6 558 249,- (EUR 268 671,-)</t>
  </si>
  <si>
    <t>Article 20.2 of Directive (EU) 2016/798 – a), b)</t>
  </si>
  <si>
    <t>Causal factor:
• a fracture of the locking hook and opening of the unheld switch tongue of the switch No. 48a from the stock rail while the freight train No. 60310 was moving over the switch.</t>
  </si>
  <si>
    <t>IT-10351</t>
  </si>
  <si>
    <t>Train derailment, 10/12/2022, Iseo (Brescia)</t>
  </si>
  <si>
    <t>Derailment of TRENORD train n. 969, line Brescia-Iseo-Edolo</t>
  </si>
  <si>
    <t>Iseo (Brescia)</t>
  </si>
  <si>
    <t>around 780 000 € (rail infrastructure: signalling and armament);
around 600 000 € (rolling stock); other indirect damages</t>
  </si>
  <si>
    <t>Timber sleepers's degradation</t>
  </si>
  <si>
    <t>Failure of the infrastructure manager to carry out maintenance activities in a timely manner</t>
  </si>
  <si>
    <t>PL-10357</t>
  </si>
  <si>
    <t xml:space="preserve">Level crossing accident, 12/12/2022, section Koziegłowy - Poznań Piątkowo, km 11,788 line 395 </t>
  </si>
  <si>
    <t>An occurrence at a Category C level crossing during which a passenger car went directly in front of an incoming train during as road signals ordered not to go beyond them, which led to a collision of a freight train with the passenger car.</t>
  </si>
  <si>
    <t xml:space="preserve">section Koziegłowy - Poznań Piątkowo, km 11,788 line 395 </t>
  </si>
  <si>
    <t>damaged passenger car and slightly demages of the ET22-1082 locomotive</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</si>
  <si>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</si>
  <si>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</si>
  <si>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ES-10367</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</si>
  <si>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</si>
  <si>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</si>
  <si>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</si>
  <si>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Renfe Mercancías</t>
  </si>
  <si>
    <t>Damages in 3 wagons and a locomotive, one of the wagons also derailed and with damages in one axle</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</si>
  <si>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</si>
  <si>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</si>
  <si>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HU-10349</t>
  </si>
  <si>
    <t>Collision of trams, Budapest, 19/12/2022</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</si>
  <si>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</si>
  <si>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</si>
  <si>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</si>
  <si>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</si>
  <si>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</si>
  <si>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</si>
  <si>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</si>
  <si>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</si>
  <si>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RO-10348</t>
  </si>
  <si>
    <t>Train derailment, 29/12/2022, Timișoara Est</t>
  </si>
  <si>
    <t>One wagon (the 13th) from the composition of the freight train 66644 derailed in Timișoara Est railway station.</t>
  </si>
  <si>
    <t>Timișoara Est</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</si>
  <si>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</si>
  <si>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</si>
  <si>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</si>
  <si>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PT-10371</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</si>
  <si>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</si>
  <si>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</si>
  <si>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</si>
  <si>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</si>
  <si>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</si>
  <si>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BG-10353</t>
  </si>
  <si>
    <t>Fire in RS, 6/1/2023, Mezdra South-Zverino interstation</t>
  </si>
  <si>
    <t>Fire during motion in locomotive No 91520044169-8, servicing fast train No 2610 along Mezdra South-Zverino interstation</t>
  </si>
  <si>
    <t>Mezdra South-Zverino interstation</t>
  </si>
  <si>
    <t>"BDZ-Passenger Services" EOOD</t>
  </si>
  <si>
    <t>SE NRIC</t>
  </si>
  <si>
    <t>Burnt aggregates and machinery in the engine compartment of the locomotive</t>
  </si>
  <si>
    <t>breaking the integrity of the flexible rubber joint of the first cooling circuit</t>
  </si>
  <si>
    <t>leakage of transformer oil; the high-temperature leaked oil exceeds the flash point, causing it ignition</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</si>
  <si>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</si>
  <si>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</si>
  <si>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</si>
  <si>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</si>
  <si>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</si>
  <si>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</si>
  <si>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</si>
  <si>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</si>
  <si>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</si>
  <si>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</si>
  <si>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</si>
  <si>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Damages on vehicles and track</t>
  </si>
  <si>
    <t>21/01/2025 &amp; 14/01/2026</t>
  </si>
  <si>
    <t>HR-10361</t>
  </si>
  <si>
    <t>Other accidents, 14-01-2023 (station Pula) (Croatia)</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</si>
  <si>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</si>
  <si>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Station Pula</t>
  </si>
  <si>
    <t xml:space="preserve"> HZ Putnicki prijevoz d.o.o. </t>
  </si>
  <si>
    <t>HZ INFRASTRUKTURA d.o.o.</t>
  </si>
  <si>
    <t>Minor material damage to the passenger train and railway infrastructure, while total damage was recorded on the van.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</si>
  <si>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</si>
  <si>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</si>
  <si>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</si>
  <si>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</si>
  <si>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</si>
  <si>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</si>
  <si>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CZ-10359</t>
  </si>
  <si>
    <t xml:space="preserve">Level crossing accident, 18-01-23, open line between Mirovice and Čimelice stations (Czech Republic) </t>
  </si>
  <si>
    <t>Collision of the regional passenger train No. 7947 with a lorry at the level crossing No. P509 with consequent derailment between Čimelice and Mirovice stations.</t>
  </si>
  <si>
    <t>open line between Mirovice and Čimelice stations, the level crossing No. P509, km 41,179.</t>
  </si>
  <si>
    <t>Total damage CZK 10 690 540,- (EUR 447 116,-)</t>
  </si>
  <si>
    <t>Causal factor:
• a deadlock of the lorry in the level crossing area caused by behavior of the driver of the lorry who reversed on slippery road.</t>
  </si>
  <si>
    <t>DK-10363</t>
  </si>
  <si>
    <t xml:space="preserve">Accident to persons caused by RS in motion, 19/1/2023, Ejby Station </t>
  </si>
  <si>
    <t>Train hit a person.</t>
  </si>
  <si>
    <t xml:space="preserve">Ejby Station </t>
  </si>
  <si>
    <t>Person was lying by the track.</t>
  </si>
  <si>
    <t>Under the influence of alcohol.</t>
  </si>
  <si>
    <t>PL-10366</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</si>
  <si>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</si>
  <si>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</si>
  <si>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</si>
  <si>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</si>
  <si>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</si>
  <si>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</si>
  <si>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</si>
  <si>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AT-10364</t>
  </si>
  <si>
    <t>Trains collision, 20/1/2023, Station Fürnitz</t>
  </si>
  <si>
    <t>Train collision after signal passed at danger when passing a danger point between Z 41870 and Z 45484 at station Fürnitz.</t>
  </si>
  <si>
    <t>Station Fürnitz</t>
  </si>
  <si>
    <t>TX Logistik Transalpine GmbH and Rail Cargo Aurstria (RCA)</t>
  </si>
  <si>
    <t>IM 10.000.000,-€; Rail Cargo Austria AG 1.500.000,-€; TX Logistik Transalpine GmbH 3.500.000,-€; Inviroment currently unknown</t>
  </si>
  <si>
    <t>Causal factors were that there was no functioning intermittent automatic train control (IATC) system on-board the leading traction unit and that the sequence of cars was not
changed at Tarvisio Boscoverde station. Otherwise, the trackside IATC system could have
manipulated the leading traction unit and forced it to stop.
Also, the train driver interpreted advance signal “t” as “MAIN SIGNAL – FREE”, although it
actually showed “CAUTION”.
Regulation 30.03.12., Supplementary Provision 12, Appendix 1 (rev. 12-12-2021. V6.2) sets
a top speed of 100 km/h for drives with a malfunctioning IATC system. This is considered a
contributing factor.</t>
  </si>
  <si>
    <t>Not applicable.</t>
  </si>
  <si>
    <t>CZ-10360</t>
  </si>
  <si>
    <t xml:space="preserve">Level crossing accident, 21-01-23, between Ostrava-Svinov and Ostrava-Třebovice stations (Czech Republic) </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</si>
  <si>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</si>
  <si>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</si>
  <si>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</si>
  <si>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</si>
  <si>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</si>
  <si>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</si>
  <si>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</si>
  <si>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</si>
  <si>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</si>
  <si>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RO-10365</t>
  </si>
  <si>
    <t>Train derailment, 26/1/2023, Bucureștii Noi</t>
  </si>
  <si>
    <t>Hauling locomotive EA 038 of the freight train no.57704 derailed in Bucureștii Noi railway station.</t>
  </si>
  <si>
    <t>CER-FERSPED SA</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</si>
  <si>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</si>
  <si>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</si>
  <si>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</si>
  <si>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IT-10368</t>
  </si>
  <si>
    <t>Train derailment, 26/1/2023, Pozzano (Napoli)</t>
  </si>
  <si>
    <t>derailment of EAV train n. 1195, functionally isolated railway line 
Napoli - Sorrento (Circumvesuviana)</t>
  </si>
  <si>
    <t>Pozzano (Napoli)</t>
  </si>
  <si>
    <t>minor damage to infrastructure and rolling stock</t>
  </si>
  <si>
    <t xml:space="preserve">Article 22 of Directive (EU) 2016/798 - (§6) </t>
  </si>
  <si>
    <t>The staff on board the train (driver and chief train) did not comply with the provisions of the Train Movement Regulations in force on the Vesuvian lines. It acted in an erroneous and non-compliant manner, adopting unconventional operating methods.</t>
  </si>
  <si>
    <t>1) non-continuity (declared by the on-board staff) of the appearance of the protection sign placed at via impedita;
2) pressure exerted by passengers after the first minutes of waiting with the train stopped;
3) working environment in tunnel not suitable (poorly lit);
4) obsolete on-board instrumentation;
5) regulatory provisions not always clear and complete.</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</si>
  <si>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</si>
  <si>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</si>
  <si>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</si>
  <si>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</si>
  <si>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</si>
  <si>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Causal factors: 
1. The malfunction in the 3 kV lightning rod of the MCP resulted in a ground fault from the tension supplied by the catenary (Recommendation 11/2023-3).
2. Successive reattachments by the telecontrol center staff caused the pantograph, in contact with the catenary, to become welded to it, resulting in the fire (Recommendations 11/2023-4, 11/2023-5, and 11/2023-6).</t>
  </si>
  <si>
    <t>Contributing factors: 
1. The move through the gauge changer in a degraded state at Zaragoza Delicias was not executed correctly, resulting in the malfunction of the lightning rod (Recommendation 11/2023-3).
2. The absence of an indicator in the train system reporting a malfunction in the lightning rod contributed to the lack of diagnosis of the issue (Recommendation 11/2023-4).
3. The lack of specificity in the information provided by Lead Mind led the Online Technical Support to underestimate the severity of the malfunction, as Lead Mind indicated it was a voltage reading error (Lead Mind is tool that provides real-time information on various train 
parameters, and it’s used when diagnosing faults) (Recommendation 11/2023).
Systemic factors: 
1. The staff of in the telecontrol centres have limited information about the current train movements in each section of the line, leading to uncertainty in cases like the present one (Recommendation 11/2023-6).
2. Technical systems in the power substations currently do not differentiate between power consumption and short circuits (Recommendation 11/2023-7).
3. There are omissions and inaccuracies in the driving manual for the S 120.050 series, which can lead to errors for train operators during gauge-changing moves in degraded states, or even for maintenance staff regarding pantograph disconnection during faults (Recommendation 11/2023-2).</t>
  </si>
  <si>
    <t>DK-10374</t>
  </si>
  <si>
    <t>Level crossing event, 6/2/2023, Stenstrup-Svendborg level crossing 89 km 36,9.</t>
  </si>
  <si>
    <t xml:space="preserve">Train hit a person in a level crossing. </t>
  </si>
  <si>
    <t>Stenstrup-Svendborg level crossing 89 km 36,9.</t>
  </si>
  <si>
    <t>The person went onto the track even though the level crossing was activated</t>
  </si>
  <si>
    <t>It was very foggy</t>
  </si>
  <si>
    <t>CZ-10373</t>
  </si>
  <si>
    <t>Train collision with an obstacle, 7/2/2023,  Český Těšín station</t>
  </si>
  <si>
    <t>Train collision with an obstacle</t>
  </si>
  <si>
    <t>Collision of the regional passenger train No. 12853 with a rail buffer stop
and consequent derailment at Český Těšín station</t>
  </si>
  <si>
    <t xml:space="preserve">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</si>
  <si>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</si>
  <si>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</si>
  <si>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PL-10379</t>
  </si>
  <si>
    <t>Train derailment, 7/2/2023, station Wrocław Brochów, km 1,701 line 349</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</si>
  <si>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</si>
  <si>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station Wrocław Brochów, km 1,701 line 349</t>
  </si>
  <si>
    <t>T &amp; C Ltd</t>
  </si>
  <si>
    <t>demages of freight coal wagon, demages of switches No 501, 502, 503 and 506 and rails joining switches.</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</si>
  <si>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</si>
  <si>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</si>
  <si>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CZ-10376</t>
  </si>
  <si>
    <t xml:space="preserve">Trains collision with an obstacle, 13-02-23, open line between Červenka and Štěpánov stations (Czech Republic) </t>
  </si>
  <si>
    <t>Collision of the long distance passenger train No. 895 with an obstacle (uprooted
tree) between Štěpánov and Červenka stations</t>
  </si>
  <si>
    <t>open line between between Štěpánov and Červenka stations</t>
  </si>
  <si>
    <t>Total damage CZK 768 074,- (EUR 30 662,-)</t>
  </si>
  <si>
    <t>Causal factor:
• disruption of the structure gauge of both line tracks by an obstacle – uprooted tree which grew in the railway protective area in the impact distance from the structure gauge, as a result of static failure which caused by health condition (internal rot) of
tree when the actual state of health could not be ascertained in this particular case
by a non-destructive method (visual inspections) and also its asymmetrical treetop
with one-sided weight direction above railway, in connection with:
- failure to detection and evaluation of all tree growing on a plot of a forest land, in the railway protective area and in the impact distance of a structure gauge of track, as a source of threat to the safety or continuity of railway traffic or the operability of the railway;
- non-elimination of the source of threat to the railway and railway transport, which was formed by tree in the track protective zone at the impact distance of the structure gauge.</t>
  </si>
  <si>
    <t>CZ-10377</t>
  </si>
  <si>
    <t>Trains collision with an obstacle, 16/02/2023, Chlumčany u Dobřan station – LASSELSBERGER Chlumčany u Dobřan siding</t>
  </si>
  <si>
    <t>Collision of the pushing shunting operation with an obstacle (euro
pallets with flooring tiles) with consequent employee injury</t>
  </si>
  <si>
    <t>Chlumčany u Dobřan station – LASSELSBERGER Chlumčany u Dobřan siding</t>
  </si>
  <si>
    <t>Dr. ZENKL s.r.o. (IM of the siding)</t>
  </si>
  <si>
    <t>Total damage CZK 614 057,- (EUR 24 242,-)</t>
  </si>
  <si>
    <t>Causal factors:
• disrupt nominal structure gauge by due to the stored material and consequent failure to identify a long-lasting threat to the safe operation of the railway and railway transport;
• failure to identify an obstacle in the structure gauge of the operated track before giving the guidance to set the shunting operation in motion.</t>
  </si>
  <si>
    <t>PL-10387</t>
  </si>
  <si>
    <t>Level crossing accident, 20/2/2023, section Krzyżanowice - Chałupki, km 47,973 line 151</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</si>
  <si>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</si>
  <si>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section Krzyżanowice - Chałupki, km 47,973 line 151</t>
  </si>
  <si>
    <t>damages of road truck  and  ET22-1062 locomotive</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</si>
  <si>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</si>
  <si>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</si>
  <si>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CZ-10378</t>
  </si>
  <si>
    <t xml:space="preserve">Train derailment, 22-02-23, Malšice operating control point (Czech Republic) </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</si>
  <si>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</si>
  <si>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</si>
  <si>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</si>
  <si>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</si>
  <si>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</si>
  <si>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</si>
  <si>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</si>
  <si>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</si>
  <si>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</si>
  <si>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Causal factor
Exceeding of the derailment stability limit, following the load transfer of the first right wheel, against the running direction, from the motorised coach no.1416 and increase of the lateral force (guiding one) on this wheel, that was running on the exterior rail of the curve, given the existence of the next nonconformities at the track superstructure and at the axle derailed: 
1. existence within the track, at the accident site, a track section with the gradient of the track twist over the maximum accepted value;
2. exceeding of the gauge variation between the points before the derailment point, as well as exceeding of tolerances in operation for the values of the close deflections and between the maximum and minimum deflections for a curve;
3. existence of some plastic distortions at the metalastic springs, that led to an insufficiency of vibrations absorbing effect and permanent static load transfers of the first right wheel from the motorised coach no.1416, in the running direction.
</t>
  </si>
  <si>
    <t xml:space="preserve">Contributing factor
Improper fixing of the failures registered following the control of the track geometry with the testing and recording car.
Systemic factors
1. lack of periodical repairs for keeping the corresponding maintenance of the lines and the track geometry between the accepted tolerances, following the provision with insufficient human resources for these activities.
2. failure in the getting by CNCFR ”CFR” SA the safety traffic staff (track and dangerous points gangers, foreman gangers in charge with the track maintenance);
3. keeping in running of the multiple unit ADH no.1416, after exceeding the deadline of time and km run, for the performance of planned repairs;
4. lack, within the technical specifications for the planned inspections, of some provisions for the control and maintenance of metalastic springs from the carrying bogie of the motorised coach, that composed the multiple unit type ADH.
</t>
  </si>
  <si>
    <t>IE-10404</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</si>
  <si>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</si>
  <si>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</si>
  <si>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</si>
  <si>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</si>
  <si>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The mechanism of failure of the weld (outlined in full in paragraphs 87 to 94), was likely
to be as a result of hot tearing, likely as the result of difficulties encountered by the Welders
with the Rail Tensors (the Person in Charge of Stressing did raise concerns about the
condition on the Rail Tensors on the day that the welding took place (paragraph 137))
whereby it was only on their third attempt that the welders gap was achieved and the
holding pressure remained static. The weld was then dropped and before it solidified the
Rail Tensors released enough to cause hot tearing; this release may have been slight
enough to not present on the pressure gauge (paragraph 138). The hot tear would not
have been detected, at this stage, by a visual examination by the Weld Supervisor or by
tests by the Ultrasonic Operator (paragraph 138).
The RAIU have identified the following possible causal factor to the hot tearing of the
weld:
• CaF-01 – The Rail Tensors did not operate correctly at the time of welding, resulting
in the Welders encountering difficulties pulling and holding the rail ends to the required
welders gap; which may have caused the Rail Tensors to release enough holding
pressure to cause a hot tear in the weld (paragraph 142).
No contributory factors were identified.</t>
  </si>
  <si>
    <t>The following was identified as a systemic factor in relation to the difficulties
encountered by the Welders:
• SF-01 – Technical Standard for the Stressing of Rail, CCE-TMS-323, did not include
guidance on actions for welders to take once difficulties were encountered with the
Rail Tensors (paragraph 143)</t>
  </si>
  <si>
    <t>IE-10403</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</si>
  <si>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</si>
  <si>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</si>
  <si>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</si>
  <si>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DK-10389</t>
  </si>
  <si>
    <t>Accident to persons caused+E3607 by RS in motion, 24/2/2023, Padborg - Vejbæk</t>
  </si>
  <si>
    <t>One person walkin on the tracks, was hit by a train</t>
  </si>
  <si>
    <t>Padborg - Vejbæk</t>
  </si>
  <si>
    <t>ATM Unknown</t>
  </si>
  <si>
    <t>A person walked by the traks.</t>
  </si>
  <si>
    <t>Refugee, hwo was not known in the area.</t>
  </si>
  <si>
    <t>BG-10381</t>
  </si>
  <si>
    <t>Train derailment, 26/2/2023, Banya station</t>
  </si>
  <si>
    <t>Derailment of wagons from the composition of International Direct Freight Train No 40832 while entering in Banya station</t>
  </si>
  <si>
    <t>Banya station</t>
  </si>
  <si>
    <t>DB Cargo Rail Bulgaria EOOD</t>
  </si>
  <si>
    <t>Railway infrastructure, RRS wagons</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</si>
  <si>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</si>
  <si>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</si>
  <si>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</si>
  <si>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</si>
  <si>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</si>
  <si>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</si>
  <si>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</si>
  <si>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</si>
  <si>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</si>
  <si>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</si>
  <si>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</si>
  <si>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</si>
  <si>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</si>
  <si>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</si>
  <si>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Vertical irregularity caused by blow-up of return fluid from Horizontal Directional Drilling under the tracks. Insufficient barriers.</t>
  </si>
  <si>
    <t>Inadequate risk assessment</t>
  </si>
  <si>
    <t>EL-10464</t>
  </si>
  <si>
    <t>Train collision, 28/02/2023, Tempi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</si>
  <si>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</si>
  <si>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</si>
  <si>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</si>
  <si>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Passenger and freight trains</t>
  </si>
  <si>
    <t>Hellenic Train</t>
  </si>
  <si>
    <t>OSE</t>
  </si>
  <si>
    <t>passenger train ic62  destroyed (Siemens elecrtic tarction unit and 4 wagons Siemens/Bombardier UIC-Z1) and cargo train (2 Siemens elecrtic tarction unit and 4 wagons) totally destroyed</t>
  </si>
  <si>
    <t>See final report, in particular section 1. Report available from this link: https://www.era.europa.eu/sites/default/files/2025-03/eodasaam_accident_investigation_tempi-final.pdf</t>
  </si>
  <si>
    <t>PT-10529</t>
  </si>
  <si>
    <t>Operational event, 3/3/2023, Bombarral station</t>
  </si>
  <si>
    <t xml:space="preserve">Regional passenger train 6405 was ordered to enter a block while the track was under possesion for works. </t>
  </si>
  <si>
    <t>Bombarral station</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</si>
  <si>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</si>
  <si>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</si>
  <si>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</si>
  <si>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</si>
  <si>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</si>
  <si>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</si>
  <si>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Accidental touch of joystick on an electric wheelchair, caused it drove over the edge</t>
  </si>
  <si>
    <t>Handbag touched the joystick</t>
  </si>
  <si>
    <t>NO-10393</t>
  </si>
  <si>
    <t>Derailment at Narvik station 12.03.2023, Ofotbanen, train 9912</t>
  </si>
  <si>
    <t>Train 9912 derailed with 24 iron ore wagons at Narvik station.</t>
  </si>
  <si>
    <t>Narvik station</t>
  </si>
  <si>
    <t>Damage to 100 meters of rail and sleepers. Ground works. Damage to several wagons.</t>
  </si>
  <si>
    <t>Track fault</t>
  </si>
  <si>
    <t>Bad ground conditions</t>
  </si>
  <si>
    <t>RO-10390</t>
  </si>
  <si>
    <t>Trains collision, 13/3/2023, Roșiori Nord</t>
  </si>
  <si>
    <t>Passenger train no.1822 overtook and collided freight train no.50514 in Roșiori Nord railway station.</t>
  </si>
  <si>
    <t>Roșiori Nord</t>
  </si>
  <si>
    <t>SNTFC „CFR Călători” SA and SC Deutsche Bahn Cargo Romania SRL</t>
  </si>
  <si>
    <t xml:space="preserve">There were damages at the hauling locomotive of the passenger train no.1822 and at the last two wagons of freight train no.50514.                  3 cars from the upper platform of the second unit of the last but one wagon of freight train no.50514 overturned into the structure clearance of lines no.4 and 5 of the station and other 103 cars were damaged. </t>
  </si>
  <si>
    <t xml:space="preserve">Causal factors
- lack of braking measures for the train stop before the light entry signal YM of the railway station Roșiori Nord, who was on „STOP without pass the signal in stop position!” – a light red unit to the train;
- unjustified pushing, by the driver, of the button „Commanded passing of the signal in stop position” when the locomotive EA 637 ran by the inductor of the light entry signal YM of the railway station Roșiori Nord;
- delayed taking of braking measures and application of train service brake instead of a rapid one, after passing the light entry signal YM of the railway station Roșiori Nord in stop position.
</t>
  </si>
  <si>
    <t xml:space="preserve">Contributing factors 
- fatigue of the driver of passenger train no.1822;
- lack of immediate notification of the collision between the passenger train no.1822 and the freight one no.50514, that had to be made by the driver from the passenger train no.1822, it generating the increase of the consequences seriousness.
Systemic factors
- lack of an assessment of the risks generated by the danger represented by the unjustified/non-instruction pushing of the button „Commanded passing the signal in stop position” at the passing by the signals that order the stop;
- lack of an assessment of the risks generated by the danger represented by the noncompliance with the instruction provisions by the trains crew, regarding the obligation to notify soon the accidents/incidents occurrence.
</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</si>
  <si>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</si>
  <si>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</si>
  <si>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</si>
  <si>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</si>
  <si>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</si>
  <si>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 xml:space="preserve">Causal factor 
Not ensuring of the free ends of the chain used for the anchorage/fixing of the military equipment, backwards in the running direction, on the antepenultimate wagon of the train, and that wagon had holes in the floor where the lateral stanchions are put. 
</t>
  </si>
  <si>
    <t xml:space="preserve">Contributing factor
Improper assembling on the track bed of the check rail from the bridge km 262+858.
Systemic factors
1. Summary activity (unstudied) performed by SNTFM for the identification of the risks associated to the railway operations, keeping the competences of the jobs involved in the reception of the wagons loaded and monitoring of the activity in the stations assigned.
2. Improper monitoring (ineffective) of the line district activity by the staff having responsibilities of inspection and control within Track Section L2 Sighișoara and the railway county Brașov.
</t>
  </si>
  <si>
    <t>IT-10399</t>
  </si>
  <si>
    <t>Runaway and subsequent derailment, 21/3/2023, Pagani (Salerno)</t>
  </si>
  <si>
    <t>Runaway and subsequent derailment of freight wagons, 
line Napoli - Salerno</t>
  </si>
  <si>
    <t>Pagani (Salerno)</t>
  </si>
  <si>
    <t>MIR (Mercitalia Rail - holder)</t>
  </si>
  <si>
    <t xml:space="preserve">damages quantified by IM and RU </t>
  </si>
  <si>
    <t>Uncontrolled movement of the train parked on track V at the Nocera Inferiore station, due to the depletion of air in the pneumatic brake and presumably due to the failure to secure the train with mechanical braking (handbrakes).</t>
  </si>
  <si>
    <t>- probable incorrect positioning of a single rail fastening bracket, taking into account the slope of the track section leading towards Pagani;
- presumable lack of control by the RFI personnel who escorted the transfer of the convoy; they were responsible for ensuring that the parking operations were conducted correctly, given that it was a track not under the IA's responsibility;
- ineffectiveness of the safety monitoring system for the parking of construction vehicles on the infrastructure.</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</si>
  <si>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</si>
  <si>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</si>
  <si>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</si>
  <si>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</si>
  <si>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</si>
  <si>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</si>
  <si>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Causal factor
Unordered and uncontrollable increase in the graduator's steps—and implicitly an increase in the speed of locomotive EC 128—during shunting to line no. 4 at railway station Galați, occupied by car no.50532616090-8, due to the malfunctioning of the SAGMA-type graduator's actuation equipment with which the locomotive was equipped.</t>
  </si>
  <si>
    <t>Contributing factors
- the use of the locomotive under condition in which the position of the changeover switch F2.8 (switch for short-circuiting the voltage relay P5 and P6) no longer ensures a disconnection of the cut-out switch in the event of the pneumatic braking is applied.
- failure to disconnect the cut-out switch in order to cancel the tractive effort following an unordered and uncontrollable increase in locomotive speed, after the control switch group has been set to the "0" position.
Systemic factor
- deficiencies in the identification, assessment and control of hazards in locomotive operations.</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</si>
  <si>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</si>
  <si>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</si>
  <si>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</si>
  <si>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</si>
  <si>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 xml:space="preserve">Causal factor
Hitting of buffing gear, fallen from the wagon no.81536653796-8, by the banking locomotive DA 1129, of the freight train no.60566, followed by the climbing of the exterior rail of the track by the left wheel of the first axle, in the running direction.
</t>
  </si>
  <si>
    <t xml:space="preserve">Contributing factors
 existence of an old crack of about 40% from the breaking surface of a screw ensuring the fastening of the front left buffing gear, in the running direction, on the front beam of the wagon no.81536653796-8;
 taking for transport the wagon no.81536653796-8, after being loaded by the beneficiary, and its coupling in the freight train no.60566, without being technically inspected by the staff competent in this respect;
 the additional collision forces, generated by the reactions appeared into the train, in its running, following the inconsistent coupling found between some wagons (6 active buffing gears improperly fastened).
Systemic factor
Lack of an assessment of the risks associated to the danger represented by the fall, along the running, of a part from a train wagon.
</t>
  </si>
  <si>
    <t>CZ-10396</t>
  </si>
  <si>
    <t>SPAD, 28/3/2023, Vlastec station</t>
  </si>
  <si>
    <t>Unauthorized movement (SPAD) of the regional passenger train No.
2070 behind the main signal device L1 with signal „Stop“ and entry to
the train route for the regional passenger train No. 2071.</t>
  </si>
  <si>
    <t>&lt;150 000 €</t>
  </si>
  <si>
    <t>Total damage CZK 12 431,- (EUR 488,-)</t>
  </si>
  <si>
    <t>Causal factor:
• failure to respect the signal „Stop” of the main (departure) signal device L1 at Vlastec station by the train driver of the regional passenger train No. 2070.</t>
  </si>
  <si>
    <t>NO-10398</t>
  </si>
  <si>
    <t>Trains collision with an obstacle, 28/3/2023, Fyllingsdalen terminal (Norway)</t>
  </si>
  <si>
    <t>Bybanen light rail collided with end-stop concrete block at approx. 14-15 km/h. Seven passangers got sent to emergency room or hospital with light to moderate injuries.</t>
  </si>
  <si>
    <t>Fyllingsdalen terminal</t>
  </si>
  <si>
    <t>Tide Buss og Bane AS</t>
  </si>
  <si>
    <t>Bybanen AS</t>
  </si>
  <si>
    <t>Damage to front of vehicle, intiriour and deformation of structural integrity of the LRV in WGT-6 and 7. Drivers seat moved backwards at impact.</t>
  </si>
  <si>
    <t>The immediate cause for the accident was that the light rail vehicle was not stopped at the platform as intended.</t>
  </si>
  <si>
    <t>A contributing factor to the extent of the accident was the strong deceleration as a result of the construction of the buffer stop. The buffer stop was designed in this way to avert an identified potential major accident. At the same time, the impact this construction could have on more frequently events with lower possible consequences was not assessed.
The Norwegian Safety Investigation Authority’s (NSIA) investigation has shown that there are challenges linked to Tide Buss and Bane's competence goals when training and certifying drivers, in relation to the time available for education.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</si>
  <si>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</si>
  <si>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</si>
  <si>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</si>
  <si>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</si>
  <si>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</si>
  <si>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</si>
  <si>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</si>
  <si>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</si>
  <si>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De Onderzoeksraad heeft niet kunnen vaststellen waardoor de kraan op een indienstzijnd spoor terechtkwam. Wel heeft de Raad ongevalsfactoren geïdentificeerd die mogelijk hebben bijgedragen aan het ontstaan van het ongeval: er reden treinen langs werkzaamheden en de werkplekken zijn niet op een robuuste manier maar via mondelinge communicatie afgeschermd van de rijdende treinen.
ProRail heeft zijn verantwoordelijkheid voor veilig over het spoor kunnen rijden, veilig aan het spoor kunnen werken en veilig langs het spoor kunnen wonen voor een belangrijk deel gedelegeerd aan railAlert en aan onderhoudsaannemers, zonder zelf regie te voeren. IenW stuurt ProRail vooral aan op beschikbaarheid en veilige 
berijdbaarheid, niet op de veiligheid van werkzaamheden en het veilig rijden langs werkzaamheden.
In de planning en uitvoering van de werkzaamheden is de aandacht gericht op arbeidsveiligheid, niet op de risico’s van werkzaamheden voor passerende treinen (spoorwegveiligheid).
Het risico dat mensen te veel uren en in de nacht werken is nog niet onderkend in de brancheregelgeving.</t>
  </si>
  <si>
    <t>HU-10400</t>
  </si>
  <si>
    <t>Trains collision, 15/4/2023, Komárom</t>
  </si>
  <si>
    <t>Freight train arrived to an occupied track and collided with an other train.</t>
  </si>
  <si>
    <t>IG Rail s.r.o., Jelzőőr Kft, Train Hungary Zrt.</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</si>
  <si>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</si>
  <si>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</si>
  <si>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</si>
  <si>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</si>
  <si>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</si>
  <si>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</si>
  <si>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</si>
  <si>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 xml:space="preserve">Causal factor
Existence within the track, at the accident site, a group of improper normal wooden sleepers in turn, whose technical condition could no longer ensure the safety fastening of the metallic plates, leading to the exceeding of the maximum accepted limit for the track gauge in operation, making both the loosing of the support and guiding capacity of the rails under the dynamic action of the rolling stock. 
</t>
  </si>
  <si>
    <t xml:space="preserve">Contributing factor:
Lack, along the last 10 years, before the accident, the measurements made with the testing and recording car at the tracks.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and ”Keeping within the track of improper wooden sleepers” by the infrastructure manager. 
</t>
  </si>
  <si>
    <t>IT-10406</t>
  </si>
  <si>
    <t>Train derailment, 20/4/2023, Firenze Castello</t>
  </si>
  <si>
    <t>derailment of GTS RAIL freight train n. 57034, line 
Prato - Firenze</t>
  </si>
  <si>
    <t>GTS RAIL</t>
  </si>
  <si>
    <t>damage to infrastructure and rolling stock not yet quantified</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</si>
  <si>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</si>
  <si>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</si>
  <si>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</si>
  <si>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</si>
  <si>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</si>
  <si>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</si>
  <si>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</si>
  <si>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</si>
  <si>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</si>
  <si>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</si>
  <si>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</si>
  <si>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Causal factor
The cause was found to be a mix-up of the exit-signals “H2” and “H4” and the resulting acceleration to 70 km/h by the driver of train 40592.
Contributing factors
A 500 Hz magnet allocated to the exit-signal “H2” at the location of the protection-signal “Sch202R” that could have prevented the side-on collision was not fitted at the time of the incident.
The structural distance between the exit-signal “H2” that was passed and the fouling point indicator (danger point) was 70 m.
This distance, combined with the lack of a 500 Hz magnet and a permissible speed of 100 km/h when a signal is showing “STOP”, represents an increased risk for train collisions.</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</si>
  <si>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</si>
  <si>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</si>
  <si>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</si>
  <si>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</si>
  <si>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Risk assessment not carried out in full or in a process‐compliant manner by the contractor; Inten􀆟on to commence work in spite of requirements not being met; Commencement of work in spite of requirements not being met.</t>
  </si>
  <si>
    <t>Lack of safety consciousness on the part of the contractor during the site planning; Lack of safety consciousness on the part of everyone involved during the preliminary discussion of the work; Lack of safety consciousness on the part of everyone involved when commencing work.</t>
  </si>
  <si>
    <t>HR-10410</t>
  </si>
  <si>
    <t>Trains collision near miss, 05-05-2023, between stations Andrijevci - Garčin (Croatia)</t>
  </si>
  <si>
    <t>On May 05, 2023, at 12:30 p.m., on the line M104, between stations Andrijevci and Garčin was trains collision near miss between passenger trains 2018 and 2011. Train no. 2018 stopped at km 199+270 because the train driver noticed another train driving towards him on the same track and due to a received phone call from the train operator of the station Andrijevci warning him to stop, while train no. 2011 stopped at km 200+750 because spatial signal 301 changed to the signal sign „Stop“ and the train driver noticed another train driving towards him on the same track. At the time of the incident, there were a total of 127 passengers in the trains (45 passengers in train number 2011 and 82 passengers in train number 2018), no one was injured and there was no material damage. At the time of the incident, construction work was being carried out for the mechanical regulation of switches and the arrangement of the LC in the station Garčin. The planned closure of the left track between stations Andrijevci-Garčin began on May 5, 2023 at 07:00 a.m. and ended at 10:27 a.m., while the closure of the right track between stations Andrijevci-Garčin began on the same day at 10:50 a.m. and ended at 1:56 p.m.</t>
  </si>
  <si>
    <t>Between stations Andrijevci - Garčin, line M104</t>
  </si>
  <si>
    <t xml:space="preserve"> HŽ Putnički prijevoz d.o.o. </t>
  </si>
  <si>
    <t>There was no material damage.</t>
  </si>
  <si>
    <t>The causal factor of the incident: 
-	train number 2018 was dispatched from station Andrijevci on the irregular left track towards station Garčin without the prior permission of station Garčin due to reduced situational awareness of train operator of station Andrijevci which led to omission while performing work task (Chapter 3.2.1., 4.3.3.).</t>
  </si>
  <si>
    <t>Contributing factor:
-	workload of train operator of station Andrijevci while regulating the safe movement of railway vehicles due to simultaneously performed construction works, from 07:00 a.m. traffic was carried out only on the right track, and from 10:50 a.m. only on the left track (Chapter 3.2.1.).
Systemic factor:
-	none.</t>
  </si>
  <si>
    <t>HU-10409</t>
  </si>
  <si>
    <t>Train derailment, 7/5/2023, Hajdúdhadház - Újfehértó</t>
  </si>
  <si>
    <t>Freight train derailed by 9 wagons</t>
  </si>
  <si>
    <t>Hajdúdhadház - Újfehértó</t>
  </si>
  <si>
    <t>3 kms track and freight wagons destroyed</t>
  </si>
  <si>
    <t>Failure of bearing</t>
  </si>
  <si>
    <t>PL-10418</t>
  </si>
  <si>
    <t>Infrastructure event, 8/5/2023, section Góra Włodowska - Zawiercie , km 212,400 line 4</t>
  </si>
  <si>
    <t xml:space="preserve">On 7 May 2023, at 00:01 hrs, track no. 2 of the Góra Włodowska - Zawiercie route was closed on a 24-hour basis for the purpose of modernisation of line no. 4 under an on-going project titled Modernisation of Railway Line No. 4 – Central Railway Line Stage II. On 08.05.2023, at around 07:00 hrs, the trackmaster in charge of the works arrived with workers by car to the site designated by the work organisation manager. The group was tasked with dismantling the rail attachments in closed track no. 2,  but commenced work on active track no. 1 instead. While the group was in the process of dismantling the rail attachments, train no. 14001 operated by the carrier PKP INTERCITY S.A. between Warszawa Wschodnia and Bohumin departed the Góra Włodowska station at 07:24 hrs. When at km 211.800 of the Góra Włodowska – Zawiercie route, the train driver noticed persons in high-visibility vests working on active track no. 1 on which his train was going. The train driver had been informed that the works would be carried out on track no. 2. When the train driver noticed the workers on the track on which he was going, he commenced emergency braking and at the same time gave the Rp1 "Attention" warning sound signal. The head of the train stopped at km 212.200, i.e. 200 m ahead of the working group, who were hastily leaving the trackway. </t>
  </si>
  <si>
    <t>Loss of the sense of direction by the trackmaster from the company carrying out the works, leading to the commencement of the dismantling of rail attachments in active track no. 1 instead of closed track no. 2.</t>
  </si>
  <si>
    <t xml:space="preserve">1) Organisation of work and designation of tasks to three groups ""disengaging" the track by an unauthorised employee, and the assignment by that employee of work to the trackmaster in the second group by instructing the latter by telephone on the kilometre at which the work should commence and the place of arrival, and by sending the so-called "map pin".
2) Before commencing the work, the trackmaster in charge of the second group of workers had not established the number of the plain track on the basis of the hectometre boards placed on catenary poles.
3) Absence of the work manager appointed in accordance with Interim Rules no. 8/2023 on traffic operation (...) at the location where the rails of the active track were disengaged.
4) Non-compliance by a further subcontractor with the provisions of agreement as regards the prohibition of commissioning work to further subcontractors, and admission of the company workers, without any knowledge or approval of the contracting entity and the main contractor, which had contributed to the lack of immediate supervision over them on the part of the investment supervision inspector.
5) Performance of railworks by workers without the Access Card permitting access to the area managed by PKP Polskie Linie Kolejowe S.A. in accordance with Instruction Id-21.
</t>
  </si>
  <si>
    <t>PL-10416</t>
  </si>
  <si>
    <t>Level crossing accident, 16/5/2023, section Komorów - Podkowa Leśna , km 18,805 line 47</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</si>
  <si>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</si>
  <si>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</si>
  <si>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</si>
  <si>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RO-10411</t>
  </si>
  <si>
    <t>Trains collision, 17/5/2023, Toporu - Chiriacu</t>
  </si>
  <si>
    <t>Freight train no.79562 (light locomotive DA 1692) collided with freight train no.88342 (light locomotive DA 1566) between Toporu and Chiriacu railway stations.</t>
  </si>
  <si>
    <t>Toporu - Chiriacu</t>
  </si>
  <si>
    <t>SC UNITED RAILWAYS SRL and SC RAIL CARGO CARRIER ROMÂNIA SRL</t>
  </si>
  <si>
    <t>Both locomotive (DA 1692 and DA 1566) was severely damaged.</t>
  </si>
  <si>
    <t xml:space="preserve">Causal factors:
 lack of the braking measures for stopping the light locomotive DA1692, running like train no.79562, before the light exit signal XI of the railway station Toporu, whose position was „STOP without pass the signal in stop position!” – a light red unit to the train;
 unjustified pressing of the button „Commanded passing a signal in stop position” (it being left on pressed position), by the driver along the route, as well as the running with IVMS installation set on a level superior to the category of freight train no.79562;
 loss of the driving capacity by the driver of the locomotive DA1692, because he fell asleep during its duty;
 missing of the train manager in the driving cab of the locomotive DA1692 during the running of the freight train no.79562.
</t>
  </si>
  <si>
    <t xml:space="preserve">Contributing factor: 
 physical and mental conditions of the crew from the locomotive DA1692, that were affected by the fatigue cumulated because of frequent exceeding of the continuous maximum duty accepted for the locomotive, missing of the corresponding rest time at home and outside of it, as well as the consumption of alcohol during the duty.
Systemic factors:
 ineffectiveness of the control mechanisms and of the safety management system procedures, that ensure the compliance with the provisions of Minister of Transports and Infrastructure’s Order no.256/2013;
 lack of measures necessary to keep under control the dangers identified and recorded into the Register of Risks;
 lack of identification and implicitly of the assessment of the dangers represented by:
- not taking of braking measures by the locomotive’s crews, according to the situation imposed by the regulations in force;
- non-instruction operation of the safety and vigilance equipment’s, as well as of the installations for the automatic control of the train speed, providing the locomotive;
- missing of the train manager into the driving cab of the locomotive DA1692 during the trains running, in accordance with the regulations in force.
</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</si>
  <si>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</si>
  <si>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</si>
  <si>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</si>
  <si>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</si>
  <si>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No material damages</t>
  </si>
  <si>
    <t>Causal factors: 
1. The software development was based on erroneous assumptions regarding the scope of the project. See Recommendations 43/2023-1 and 43/2023-4.
2. There was no follow-up or verification of the initial assumptions, so they were taken as valid in later phases of the project. See Recommendations 43/2023-1</t>
  </si>
  <si>
    <t>Contributing factors: 
1. The necessary test to detect the present error was not included in the technologist's testing campaign. See Recommendations 43/2023-2 and 43/2023-3.
2. There was a lack of definition of the scope of the project scope and the specification of the necessary tests by both Alstom (technologist) and ADIF (infrastructure manager). See Recommendations 43/2023-3 and 43/2003-4.</t>
  </si>
  <si>
    <t>DK-10419</t>
  </si>
  <si>
    <t>Accident to persons caused by RS in motion, 22/5/2023, Eskilstrup, 1 hsp. Km 137,40.</t>
  </si>
  <si>
    <t>Train hit a person</t>
  </si>
  <si>
    <t>Eskilstrup, 1 hsp. Km 137,40.</t>
  </si>
  <si>
    <t>Unauthorized movement in traks</t>
  </si>
  <si>
    <t>Movement in unknown territory</t>
  </si>
  <si>
    <t>SE-10415</t>
  </si>
  <si>
    <t>Train derailment, 27/5/2023, Blackvreten</t>
  </si>
  <si>
    <t>A-Train 7900 going from Stockholm to Arlanda Airport derailed with three out of four wagons at Blackvreten at a speed of 178 km/h. The train came to a stop after 900 meters. The end of the last wagon had then moved to the right, into the adjacent track. Two passengers recieved minor injuries.</t>
  </si>
  <si>
    <t>Blackvreten</t>
  </si>
  <si>
    <t>A-Train AB</t>
  </si>
  <si>
    <t>Damage to the train, 900 meters of track and several switches</t>
  </si>
  <si>
    <t>The direct cause of the derailment was that the movable crossing in switch 106 moved out of position when the welding joint in the drive connection plate broke due to residual fracture.</t>
  </si>
  <si>
    <t>Dynamic load from passing wheel axles had caused fatigue cracks in the drive connection plate welding joints, originating in lack of fusion in the butt welds.
At the system level, the drive connection plate was not designed for the load cases and conditions that existed in switch 106, furthermore the rules and routines for safety inspection and maintenance were not designed to identify and remedy cracking in the drive connection plate's weld joints.</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</si>
  <si>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</si>
  <si>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</si>
  <si>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</si>
  <si>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</si>
  <si>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</si>
  <si>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</si>
  <si>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CZ-10417</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</si>
  <si>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</si>
  <si>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</si>
  <si>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</si>
  <si>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</si>
  <si>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</si>
  <si>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</si>
  <si>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</si>
  <si>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</si>
  <si>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Causal factor                                                                                             Not paying attention to the line and to the position of the exit signal corresponding to the parking line of the train no.66691-007 in the railway station and delay taking of braking measures to stop before the exit signal, that was in stop position, following the fatigue of the driver, generated by the exceeding of the maximum accepted continuous duty.</t>
  </si>
  <si>
    <t xml:space="preserve">No contributing factors.
Systemic factors
Not elaborated identification of the risks associated to the railway operations performed by SC Grup Feroviar Român SA for the risk category ”railway transport”.
</t>
  </si>
  <si>
    <t>CZ-10421</t>
  </si>
  <si>
    <t>Derailment of two rolling stocks of the freight train No. 53109 between Kolín and Kutná Hora hl. n. stations</t>
  </si>
  <si>
    <t>Derailment of two rolling stocks of the freight train No. 53109.</t>
  </si>
  <si>
    <r>
      <t xml:space="preserve">Open line between Kolín and </t>
    </r>
    <r>
      <rPr>
        <sz val="10"/>
        <color rgb="FF000000"/>
        <rFont val="Arial"/>
        <family val="2"/>
      </rPr>
      <t>Kutná Hora hl. n. stations</t>
    </r>
  </si>
  <si>
    <t>Lokorail, a. s.</t>
  </si>
  <si>
    <t>Total damage CZK 4 356 487,- (EUR 178 985,-)</t>
  </si>
  <si>
    <r>
      <t>Causal factor:</t>
    </r>
    <r>
      <rPr>
        <sz val="10"/>
        <color rgb="FF000000"/>
        <rFont val="Arial"/>
        <family val="2"/>
        <charset val="1"/>
      </rPr>
      <t xml:space="preserve">
• a movement of a rolling stock of the freight train No. 53109 on a track with mud sections and an unsupportable ballast when under its load were exceeded safety limit of a track geometry parameters.</t>
    </r>
  </si>
  <si>
    <r>
      <t>Systemic factor:</t>
    </r>
    <r>
      <rPr>
        <sz val="10"/>
        <color rgb="FF000000"/>
        <rFont val="Arial"/>
        <family val="2"/>
        <charset val="1"/>
      </rPr>
      <t xml:space="preserve">
• recurrent defects of a track geometry parameters in a same places on the line due to ineffective removal method and an absence of a relevant control measurements after a corrective actions, including records of measured values.</t>
    </r>
  </si>
  <si>
    <t>FR-10430</t>
  </si>
  <si>
    <t>Level crossing accident, 19/6/2023, Clerjus</t>
  </si>
  <si>
    <t>Collision on a level crossing between a regional passenger train and a truck transporting a wind turbine tower</t>
  </si>
  <si>
    <t>Clerjus</t>
  </si>
  <si>
    <t>CZ-10424</t>
  </si>
  <si>
    <t>Collision of the regional passenger train No. 6385 with a trailer of a lorry at the level
crossing No. P2819 between Mníšek u Liberce and Liberec stations</t>
  </si>
  <si>
    <t>Collision of the regional passenger train No. 6385 with the trailer of the
lorry which transported building machine (wheel excavator)</t>
  </si>
  <si>
    <t>Open line between Mníšek u Liberce and Liberec, level crossing No. P2819</t>
  </si>
  <si>
    <t xml:space="preserve">České dráhy, a. s.
</t>
  </si>
  <si>
    <t>Total damage CZK 4 240 736,- (EUR 170 140,-)</t>
  </si>
  <si>
    <r>
      <t>Causal factor:</t>
    </r>
    <r>
      <rPr>
        <sz val="10"/>
        <color rgb="FF000000"/>
        <rFont val="Liberation Sans"/>
      </rPr>
      <t xml:space="preserve">
• an unauthorized entrance of the lorry with loaded trailer at the level crossing No. P2819 at the time when the regional passenger train No. 6385 was arriving, caused by behavior of the lorry driver, who did not respect the light and acoustic warning of the level crossing safety equipment and did not make sure whether he could safely pass the level crossing.</t>
    </r>
  </si>
  <si>
    <t>HR-10428</t>
  </si>
  <si>
    <t>Trains collision near miss, 22-06-2023 (station Susak Pecine) (Croatia)</t>
  </si>
  <si>
    <t>On June 22, 2023, at 09:28 a.m., on the line M202 Zagreb GK – Rijeka, at station Sušak Pećine at km 641+461 was trains collision near miss between freight trains No. 45997 and 69029. Freight train No. 45997 should have stopped in front of the entrance signal "A" of the station Sušak Pećine at km 641+208, but due to the untimely activation of the brakes, it extended the journey to km 641+461. Freight train No. 69029 was coming from station Rijeka and was supposed to cross at station Sušak Pećine with freight train No. 45997 at 09:30 a.m. Freight train No. 69029 stopped at switch number 6 at 09:30 a.m. and then entered the third track of station Sušak Pećine. After completed investigation of the joint investigation commission, at 12:05 p.m., train No. 45997 started towards the destination station Rijeka. After starting, the train driver notices that the train is not braking, he reports the same to the train dispatcher at the station Sušak Pećine, who sets the path for the train on the truncated track via switches number 6 and 7a, and the train stops at the end of the truncated track at 12:09 p.m. There were no injured persons in the incident, and no material damage to railway vehicles and railway infrastructure.</t>
  </si>
  <si>
    <t>Station Sušak Pećine</t>
  </si>
  <si>
    <t xml:space="preserve">Rail Cargo Carrier-Croatia d.o.o. (freight train) and HZ Cargo d.o.o. (locomotive train) </t>
  </si>
  <si>
    <t xml:space="preserve">The causal factor of the incident is the not stopping of train No. 45997 in front of the entrance signal "A" of station Sušak Pećine, which showed the signal sign "STOP" (chapter 3.2). </t>
  </si>
  <si>
    <t>Contributing factor: - track slope 27.00 ‰ (chapter 3.2). 
Systemic factors: - procedures for braking and securing against self-starting train no. 45997 (chapter 4.3.3), - procedures when performing the braking test of train no. 45997 (chapter 4.3.3).</t>
  </si>
  <si>
    <t>FR-10425</t>
  </si>
  <si>
    <t>Operational event, 25/6/2023, Nuits</t>
  </si>
  <si>
    <t>Nearmiss of collision with a firefighter and
passagers on the tracks by trains</t>
  </si>
  <si>
    <t>Nuits</t>
  </si>
  <si>
    <t>See accident investigation report (Section 4, p. 63-66): https://www.era.europa.eu/sites/default/files/2025-03/beatt_2023_07_nuits_rapport.pdf</t>
  </si>
  <si>
    <t>CZ-10427</t>
  </si>
  <si>
    <t>SPAD, 6/7/2023,  Ústí nad Labem hlavní nádraží station</t>
  </si>
  <si>
    <t>Unauthorized movement (SPAD) of the freight train No. 55320 behind the signal device Lc205 and ride into train route for the oncoming long distance passenger train No. 677</t>
  </si>
  <si>
    <t xml:space="preserve"> Ústí nad Labem hlavní nádraží station, district north, the signal device Lc205, km 519,316</t>
  </si>
  <si>
    <t>Freight train; Long distance passenger train</t>
  </si>
  <si>
    <t>Retrack Czech s.r.o. (the freight train No. 55320);
České dráhy, a. s. (the long distance passenger train No. 677)</t>
  </si>
  <si>
    <t>Causal factor:
• the train driver of the freight train No. 55320 did operational error  (he did not respect signal „Stop” of the main (route) signal device Lc205 at Ústí nad Labem hlavní nádraží station, district sever) after previously unauthorized set the train in motion without dispatching of train by signal allowing ride.
Contributing factor: none.</t>
  </si>
  <si>
    <t>HU-10426</t>
  </si>
  <si>
    <t>Train derailment, 9/7/2023, Kétpó</t>
  </si>
  <si>
    <t>9 wagons of the freight train deralied.</t>
  </si>
  <si>
    <t>Kétpó</t>
  </si>
  <si>
    <t>GYSEV Cargo Zrt.</t>
  </si>
  <si>
    <t>2 km track and 9 freight waggons destroyed</t>
  </si>
  <si>
    <t>CZ-10429</t>
  </si>
  <si>
    <t>Level crossing accident, 10/7/2023, Božice u Znojma station</t>
  </si>
  <si>
    <t>Collision of the regional passenger train No. 4505 with a lorry at the level crossing
No. P7118 with consequent derailment at Božice u Znojma station</t>
  </si>
  <si>
    <t>Božice u Znojma station</t>
  </si>
  <si>
    <t>Total damage CZK 24 251 764,- (EUR 981 853,-)</t>
  </si>
  <si>
    <t>Causal factor:
• an unauthorized entrance of the combination of vehicles at the level crossing No. P7118 at the time when the regional passenger train No. 4505 was arriving, caused by behavior of the driver of the combination of vehicles, who did not respect the light and acoustic warning of the level crossing safety equipment and did not make sure whether he could safely pass the level crossing.
Contributing factor:
• worsened view to the level crossing warning road signal in direction ride of the combination of vehicles due to stopping other van truck on right shoulder of road in distance 12,5 metres from the level crossing (traffic sign A32a „Warning cross for level crossing single track“ and level crossing warning road signal) in combination with exceeding speed limit (about ca. 26 km.h-1 ) by the driver of the combination of vehicles in front of the level crossing.</t>
  </si>
  <si>
    <t>BE-10439</t>
  </si>
  <si>
    <t>Electric shock, 10/7/2023, Quévy</t>
  </si>
  <si>
    <t>Death by electrocution of a private tree trimmer</t>
  </si>
  <si>
    <t>Quévy</t>
  </si>
  <si>
    <t>Contacts between the trimmed branches and the live electric power cables caused a short circuit, which lead to a high intensity current in the signalling installations:
- short circuits and the piercing of an insulator (to be replaced);
- the deterioration of an insulating joint stuck in the side track of switch 08AI (joint to be replaced);
- failures of signalling elements in the box and on the track (elements to be replaced).</t>
  </si>
  <si>
    <t>The fall of the tree onto the 25 kV AC feeder created an electric arc, electrocuting the tree trimmer.</t>
  </si>
  <si>
    <t>Contributing factor No 1: Ambient conditions
The height of the tree contributed to the accident.
Because of the height reached by the tree,
• a professional tree trimmer was called in by the lineside resident, owner of the tree;
• the upper part of the tree, once cut and without anything to hold it back, could reach the feeder.
Contributing factor No 2: Working conditions
The tree trimmer did not carry out his work as prescribed:
• he was supposed to remove a branch that had fallen onto a catenary cable, and not to cut off the upper part of the tree;
• no measures were taken to prevent the upper part of the tree from falling onto the feeder once it was cut.
Contributing factor No 3: Communication
The “Catenaries” department employees put safety measures in place and passed them on to the tree trimmer.
The implementation of these measures may have given the tree trimmer a false sense of security, leading him to cut the upper part of the tree quickly.
Systemic factor No 1: Regulations
Article 20 of the railway policing act of 28 April 2018 specifies the maximum height of vegetation along tracks.
The height and growth rate of the tree concerned suggest that it exceeded the authorised size for more than a year. It seems that the monitoring of vegetation by the owner-lineside resident failed to detect the out-of-tolerance size earlier.
Systemic factor No 2: Monitoring
The track inspections scheduled twice a year in the procedures of Infrabel include the monitoring of vegetation in the vicinity of tracks. These inspections failed to reveal that the trees concerned along line 96 in Quévy exceeded the authorised size limit.</t>
  </si>
  <si>
    <t>BE-10440</t>
  </si>
  <si>
    <t>Trains collision near miss, 11/7/2023, Denderleeuw</t>
  </si>
  <si>
    <t>Near-collision between an empty passenger train and another passenger train</t>
  </si>
  <si>
    <t>Denderleeuw</t>
  </si>
  <si>
    <t>Rolling stock:
Train EM1590 has damage to the automatic coupling, bogies 1 and 2, the compressor module, the bodywork, the sensor radar, the air tanks, the absorption element and the footboard at the front of the train and the crach module.
No damages to train E5141.
Infrastructure:
On the dead-end track 091, the buffer is destroyed and rails, ballast bed and wood pieces need to be renewed.
No damages to the infrastructure of line 89.</t>
  </si>
  <si>
    <t>The near-collision by passenger train E5141 is caused by the encroachment of the empty passenger train EM1590 on the clearance gauge of track A of line 89.</t>
  </si>
  <si>
    <t>* The first contributing factor is that due to the lack of attention to the shunting movement, the train driver does not see the buffer stop with marker board at the end of the dead-end track 091, causing him to neither slow down nor brake. 
* The second contributing factor is that after the collision with the buffer stop and the derailment of the empty passenger train EM1590, the train driver does not transmit a GSM-R alarm, but uses his service mobile phone.
* The third contributing factor is that the standardised safety communication as provided for in the procedures is not applied between the train driver and the traffic controller.
* The fourth contributing factor is the non-application of permanent coverage of the track (section) by the signal box as provided for in the procedures. 
* The systemic factor is that there was no certainty regarding the operation of the GSM-R of the passenger train after the accident.</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</si>
  <si>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</si>
  <si>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</si>
  <si>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</si>
  <si>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</si>
  <si>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</si>
  <si>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CZ-10431</t>
  </si>
  <si>
    <t xml:space="preserve">Unauthorized train movement other than SPAD, 18-07-23, testing railway Železniční zkušební okruh Cerhenice (Czech Republic) </t>
  </si>
  <si>
    <t>Unauthorized train movement other than SPAD</t>
  </si>
  <si>
    <t>Unsecured movement of the shunting operation, collision with detached rolling
stocks with consequent derailment in the area of the service and storage rails at
Cerhenice railway test circuit</t>
  </si>
  <si>
    <t xml:space="preserve"> Cerhenice railway test circuit</t>
  </si>
  <si>
    <t>Railway test circuit</t>
  </si>
  <si>
    <t>Výzkumný Ústav železniční, a. s.</t>
  </si>
  <si>
    <t>Total damage CZK 153 624 341,- (EUR 6 086 543,-)</t>
  </si>
  <si>
    <t>Causal factors:
• movement of the shunting operation behind the signal device Se2 without arrange of shunting;
• failure to observe condition for running at sight by the train driver of the shunting
operation;
• the leader of shunting did not dedicate to ongoing shunting and he communicated of information about a shunting which caused a wrong perception about the next course of shunting route at the train driver.
Contributing factors:
• unauthorized handling with station interlocking equipment at providing test routes on the great test circuit, by setting up a shunting path around the service signal device Se2 with signal „Shunting allowed”, non-cancellation this route and misleading the train driver of the shunting operation;
• exceeding the maximum permitted speed by the train driver of the shunting Operation.</t>
  </si>
  <si>
    <t>BG-10433</t>
  </si>
  <si>
    <t>Fire occurred in locomotive of passenger train No 80132 in Yambol station on 20.07.2023</t>
  </si>
  <si>
    <t>Fire occurred in a locomotive in station</t>
  </si>
  <si>
    <t>Yambol station</t>
  </si>
  <si>
    <t>BDZ Passenger Services EOOD</t>
  </si>
  <si>
    <t>RRS, locomotive</t>
  </si>
  <si>
    <t>broken valves of the second air compressor</t>
  </si>
  <si>
    <t>failures in the compressor and an increase in temperature during operation in the area of the power unit of the compressor</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</si>
  <si>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</si>
  <si>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</si>
  <si>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</si>
  <si>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</si>
  <si>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</si>
  <si>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 xml:space="preserve">Causal factor 
 breakage of intermediary centre axle (planet one) for the turning of the left wheel (in the running direction of the track vehicle) from the railway axle no.2 (first in the running direction) of the track vehicle Colmar.  
</t>
  </si>
  <si>
    <t xml:space="preserve">Contributing factor 
 lack, within the repairs and maintenances, of periodic non-destructive ultrasonic controls at the intermediary centre axles (planet ones) through which one could have identify possible cracks, developed during the time, at these parts.
Systemic factors
 lack, in the documentation for the maintenance of the track vehicle Colmar, of some provisions that impose performance, periodically, ultrasonic non-destructive controls (CUS) at the intermediary centre axles (planet ones);
 lack of the assessment of the risks generated by the failure during the operation, of the critical railway safety parts from the track vehicles used for the line maintenance.
</t>
  </si>
  <si>
    <t>CZ-10434</t>
  </si>
  <si>
    <t>SPAD, 04/08/2023, at Dluhonice overtaking station</t>
  </si>
  <si>
    <t>Unauthorized movement of the freight train No. 61010 behind the main (departure) signal device L4 with consequent entry to the train route for the freight train No. 53446.</t>
  </si>
  <si>
    <t>Dluhonice overtaking station, the station track No. 4, the main (departure) signal device L4, km 187,398.</t>
  </si>
  <si>
    <t>CZK 10 982,- (€ 452,-); infrastructure</t>
  </si>
  <si>
    <t>Causal factor:
• the train drivers of the freight train No. 61010 did operational error (he did not respect signal „Stop” of the main (departure) signal device L4 at Dluhonice  overtaking station) due to his unconscious  error, when following signals of the main (departure) signal devices located on the signal bridge, which was manifested by the confusion of the main (departure) signal device L6, which signaled the signal  „Speed 120 km/h and go", valid for the neighboring station track, for the main (departure) signal device L4, which signaled the „Stop" signal, and failure to také into account the facts resulting from the operation of the mobile part of the automatic warning system while  driving along the station track of Dluhonice overtaking station.
Contributing factor: none.</t>
  </si>
  <si>
    <t>RO-10435</t>
  </si>
  <si>
    <t>Fire in RS, 5/8/2023, Dumbrăveni</t>
  </si>
  <si>
    <t xml:space="preserve">A fire brust out into hauling locomotive BB 528 of the freight train no.58808 in Dumbrăveni railway station. </t>
  </si>
  <si>
    <t>Dumbrăveni</t>
  </si>
  <si>
    <t xml:space="preserve">The locomotive BB 528 was affected (mainly the central unit of ventilation control devices). </t>
  </si>
  <si>
    <t xml:space="preserve">Causal factor 
Appearance of a short circuit between the turns of the contactor coil for the fans of the traction engines.
</t>
  </si>
  <si>
    <t>There were not identified contributing or systemic factors of the accident.</t>
  </si>
  <si>
    <t>SE-10437</t>
  </si>
  <si>
    <t>Train derailment, 07/08/2023, Iggesund - Hudiksvall</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</si>
  <si>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</si>
  <si>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</si>
  <si>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Minor damage on vehicles, minor damage on infrastructre due to the derailment.</t>
  </si>
  <si>
    <t>The direct cause of the accident was that the drainage at the site was not dimensioned to handle the water flow that occurred during the weather event Hans. Significant rainfall on already water-saturated ground undermined the embankment, which affected the loadbearing capacity and leading to the collapse of the embankment as the train passed.</t>
  </si>
  <si>
    <t>The accident was caused by the fact that the Swedish Transport Administration, at the system level and in the proactive work of the regional operational management, has not managed the risks of the weather event Hans in an adequate way. The Swedish Transport Administration's governing document for heavy rainfall was only partially known and had not been implemented at the traffic center in question. It can also be questioned whether the Swedish Transport Administration's monitoring of ongoing precipitation was sufficient and whether the available support for regional operational management was utilized to an adequate extent. The Swedish Transport Administration had not identified these conditions and therefore train operations were not halted. This raises questions about the effectiveness of The Swedish Transport Administration's efforts to promote a positive safety culture within its operations</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</si>
  <si>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</si>
  <si>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</si>
  <si>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</si>
  <si>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</si>
  <si>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</si>
  <si>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</si>
  <si>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 xml:space="preserve">Causal factor:
Existence within the switch R8 for broad-gauge track, at the accident site, a group of improper wooden sleepers (that could no more ensure the suitable fastening of the rails and keeping the track gauge between the tolerances limits accepted by the regulation framework), leading to the exceeding of the limit accepted for the track gauge in operation, so being lost the support and guiding capacity of the rails, under the dynamic action of rolling stock.
</t>
  </si>
  <si>
    <t xml:space="preserve">Contributing factor:
Inefficiency of the mechanisms established for the maintenance performance and checking of the infrastructure condition.
Systemic factor:
Lack of repairs, to be made by SC Liberty Steel Galați SA, in order to assure the safety and security conditions for the performance of transports on lines and switches got. 
</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</si>
  <si>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</si>
  <si>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</si>
  <si>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</si>
  <si>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</si>
  <si>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</si>
  <si>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</si>
  <si>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</si>
  <si>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The derailment of freight train 45016 in the Gotthard Base Tunnel was caused by a broken wheel disc on the right wheel of the first wheelset on wagon 11, as a result of which the wheelset lost guidance under the wagon and damaged the switch at the Faido crossover. The wheel disc fracture was the result of thermal overloading of the wheel tread; excessive residual tensile stresses caused vertical fatigue cracks to form, which then extended to the wheel web and caused the wheel disc to fracture. The frac-tures developed relatively slowly, over a longer period of time which is difficult to establish.</t>
  </si>
  <si>
    <t>The W386 Hydrostar switch, which has setting and locking elements located above the sleeper edge, was destroyed by the wheelset hanging down at an oblique angle in such a way that the switch blades moved into an undefined position, which meant that there was no longer a firm guidance.</t>
  </si>
  <si>
    <t>HU-10441</t>
  </si>
  <si>
    <t>Train derailment, 14/8/2023, Jánoshegy - Szépjuhászné</t>
  </si>
  <si>
    <t>The passanger wagon of train derail by 1 boogie.</t>
  </si>
  <si>
    <t>Jánoshegy - Szépjuhászné (line km, 4.9)</t>
  </si>
  <si>
    <t>The track was damaged on ca. 30 metres.</t>
  </si>
  <si>
    <t xml:space="preserve">Article 20.2 of Directive (EU) 2016/798 - (a)
</t>
  </si>
  <si>
    <t>failure of track</t>
  </si>
  <si>
    <t>poor maintenance</t>
  </si>
  <si>
    <t>DK-10465</t>
  </si>
  <si>
    <t>Level crossing accident, 17/8/2023, Aarhus, Tueager</t>
  </si>
  <si>
    <t>Cyclist hit by light train</t>
  </si>
  <si>
    <t>Aarhus, Tueager</t>
  </si>
  <si>
    <t>Front end glass damage</t>
  </si>
  <si>
    <t>The primary cause of the accident was the cyclist's inattention to the light rail train when crossing the light rail tracks.</t>
  </si>
  <si>
    <t>• The physical structure of the half barriers could mean that cyclists from Tueager only immediately before crossing the track became aware of a possible upcoming light rail train. 
• Since a building partially blocked the view of cyclists coming from Tueager, a cyclist could risk becoming aware of an oncoming light rail train very shortly before passing the level crossing. 
• Riding an electric bicycle could lead to a higher speed than when riding bicycles without an electric motor, and this in combination with the fact that the level crossing was very busy, especially during rush hour, may have led to the cyclist's primary focus was on driving through the half barriers themselves, rather than on the surroundings and thus the light rail trains when crossing the light rail tracks. 
• The combination of the fact that the cyclist was an experienced user of the level crossing (for several years had used the level crossing when driving home from work, but seldom had to stop for light rail trains), was on their way home for vacation, and was listening to music in their headphones, could have reduced the cyclist's attention to the surroundings when entering the level crossing.</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</si>
  <si>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</si>
  <si>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</si>
  <si>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</si>
  <si>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</si>
  <si>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</si>
  <si>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 xml:space="preserve">Causal factor:
- mechanical damage to the plastic insulation of the 24V converter - battery connection wiring by repeated rubbing against a steel strip in the wagon box, which led to the copper core of the conductor coming into contact with the strip, followed by an electrical short circuit which overheated and ignited the plastic insulation of the electrical conductors.
</t>
  </si>
  <si>
    <t xml:space="preserve">Contributory factor:
- execution of the design of the 24V power supply installation by a firm which had not gone through the technical approval procedures laid down in the regulations in force and could not prove that it had the competence and capability to execute the design.
Systemic factors:
- the lack of a procedure transferring to own staff, both responsibilities for records management and responsibilities for verifying the conditions to be fulfilled by the diesel multiple unit for authorization/certification/accreditation "from design to disposal";
- the failure by railway undertaking Regio Călători to carry out a risk analysis to determine whether the mileage norms taken over from SNCF are still appropriate for the AMX 525's level of reliability, given that the Poyaud engine was replaced by a Tedom engine which also required a new type of electrical installation.
</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</si>
  <si>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</si>
  <si>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</si>
  <si>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</si>
  <si>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</si>
  <si>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</si>
  <si>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</si>
  <si>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Train no. 93965 disregarding the signal J11/2/3/m with the aspect S1 "Stop" positioned at track 1, as a result of which the said train entered turnout no. 13 lying in the route of train no. 524009, which lead to a lateral collision of the two trains.</t>
  </si>
  <si>
    <t xml:space="preserve">1) The fact that the driver of train no. 93965 did not communicate with the signaller to explain the reason why the permissive aspect had not been displayed on the intermediate signal J11/2/3/m when he was starting from the home signal B1/4 (the last one showing the aspect S5 "The next signal is showing the aspect Stop"). Furthermore, the fact that the said train driver did not establish communication when approaching a ToJ1 warning disc showing the aspect Os1  "The signal to which this disc refers is showing the aspect Stop".
2) The driver of the passenger train was under stress caused by fixing door faults in the electric multiple unit at two consecutive passenger stops.
3) Time pressure on the driver due to the requirement to meet the passenger train timetable.
4) Lack of visibility of the aspects displayed by the intermediate signal J11/2/3/m from the required distance of 375 m (the signal aspects are obscured by catenary poles positioned at track two as well as by trains running on that track).
5) The fact that the driver of train no. 93965 took a telephone call from continued the conversation with the dispatcher of the Rolling Stock Repair and Operation Section Warszawa Grochów while approaching, on track one, the intermediate signal J11/2/3/m showing the aspect S1 "Stop", in contravention of the internal regulations of the railway carrier.
</t>
  </si>
  <si>
    <t>HU-10443</t>
  </si>
  <si>
    <t>Train derailment, 28/8/2023, Eplény</t>
  </si>
  <si>
    <t>The engine of passenger train derail by 1 axle.</t>
  </si>
  <si>
    <t>Eplény</t>
  </si>
  <si>
    <t>IT-10446</t>
  </si>
  <si>
    <t>Accident to persons caused by RS in motion, 30/8/2023, Brandizzo</t>
  </si>
  <si>
    <t xml:space="preserve">investment of workers on line by train no.14950, Turin - Milan line </t>
  </si>
  <si>
    <t>Brandizzo</t>
  </si>
  <si>
    <t>no damage to infrastructure and rolling stock</t>
  </si>
  <si>
    <t>Negligence in adhering to safety procedures by the Holder of the Interruption (HI) of the Infrastructure Manager (RFI) and by the Team Leader (TL) of the Railway Maintenance Company (Si.Gi.Fer.) who initiated maintenance operations before obtaining the necessary train traffic interruption and therefore without any protection for the workers in the construction site area.</t>
  </si>
  <si>
    <t>1) The compromised operational context triggered by the HI of RFI and the TL of Si.Gi.Fer. who were about to finalize, through communication with the Movement Director (DM), the request for a 1h and 30’ interruption (instead of choosing the other proposal of 2h and 20’ but available from 01:30 onwards) for a task that normally requires a longer time (about 2h excluding non-destructive conformity checks);
2)The excessive confidence of the HI of RFI in being able to manage the timing of the construction work through a blatant violation of the regulations and incorrectly evaluating the information received from the DM of RFI;
3) The inadequate planning, organization, and supervision by the safety personnel of RFI and Si.Gi.Fer in the context of organizing site protection;
4) The organizational deficiency of RFI, having only one resource available as a Site Specialist to support the verification of documentation related to all the interventions carried out daily by the Maintenance Unit of the Infrastructure Operations Department of Turin.</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</si>
  <si>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</si>
  <si>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</si>
  <si>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</si>
  <si>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</si>
  <si>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</si>
  <si>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 xml:space="preserve">Causal factor:
The occurrence, most likely, of short circuits produced between the cables inside the electrical appliance block, as well as between the cables and the metal housing of the electrical appliance block as a result of damage to the cable insulation.
</t>
  </si>
  <si>
    <t xml:space="preserve">Contributory factor:
The use of the diesel multiple units involved in the accident, for hauling passenger trains, after exceeding the time norm for carrying out a planned repair, a repair that was supposed to ensure the technical potential necessary to carry out rail transport in safe, comfortable and safe traffic conditions.
Systemic factor:
Lack of an assessment, by RU SNTFC ”CFR Călători” SA, of the risks associated with the danger of keeping in service AM 1000 diesel multiple unit after exceeding the time and kilometres at which the planned repairs must be done.
</t>
  </si>
  <si>
    <t>DK-10467</t>
  </si>
  <si>
    <t>Other, 6/9/2023,Vigerslev</t>
  </si>
  <si>
    <t>3 track workers almost hit by train</t>
  </si>
  <si>
    <t>Vigerslev</t>
  </si>
  <si>
    <t>Train entered track where work was in progress</t>
  </si>
  <si>
    <t>Line blockage without notification of track workers. Time pressure initiated by poor planning. Noncompliance to rules and regulation.</t>
  </si>
  <si>
    <t>DK-10449</t>
  </si>
  <si>
    <t>Broken wheels, 9/9/2023, Nyborg</t>
  </si>
  <si>
    <t>Broken wheel on passenger train while in service</t>
  </si>
  <si>
    <t>Nyborg</t>
  </si>
  <si>
    <t>Whheel, axle, bogie and wagon (vibrations)</t>
  </si>
  <si>
    <t>Wheel E2002641-32, located on axle 4, right side of MF5046, failed at high speed due to crack propagation. The crack, which developed as a result of Rolling Contact Fatigue, originated around an Non-Metallic Inclusion (NMI).</t>
  </si>
  <si>
    <t>Regular inspections with ring tests and visual checks, carried out in close succession with the last two reprofilings, did not result in any findings or reactions regarding a developing crack.</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</si>
  <si>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</si>
  <si>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</si>
  <si>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</si>
  <si>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</si>
  <si>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</si>
  <si>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 xml:space="preserve">Causal factor
The railway accident happened following the overclimbing of the exterior rail head by the flange of the guiding wheel of the locomotive DA 216, given the exceeding of the derailment stability limit, generated by the increase of the guiding force and decrease of the load acting on this wheel.
It was possible because:
- existence within the track, at the accident site, at some joints, two improper close wooden sleepers, whose technical condition led finally to the increase of the lateral thresholds at those joints; 
- exceeding, at the derailment site, of the accepted gauge variation and of the tolerances accepted in operation for the gauge;
- exceeding, before the derailment site, of the tolerances accepted in operation for the crossing level.
</t>
  </si>
  <si>
    <t xml:space="preserve">Contributing factor
Non-performance, according to the deadline, of track repair and maintenance, in accordance with the practice codes.
Systemic factors  
- lack of the action plan for the monitoring by the infrastructure manager the supplier of track repairs and maintenance (TEF Logistică Feroviară SRL), generated by the bad collection and analysis of the information;
- infringement of the provisions from the own procedures, having direct implications in the assurance given by the infrastructure manager that, the infrastructure maintenance is ensured safely and that complies with the specific needs of the track section where the derailment happened;
- keeping for a long time the speed restrictions.
</t>
  </si>
  <si>
    <t>DK-10466</t>
  </si>
  <si>
    <t>Accident to persons caused by RS in motion, 10/9/2023, Holmstrup, Person fald at tog 70171</t>
  </si>
  <si>
    <t>Person climbed on to train on outside, fell off at high speed</t>
  </si>
  <si>
    <t>Holmstrup-Tommerup</t>
  </si>
  <si>
    <t xml:space="preserve">The cause of the accident was that the deceased chose to cling to the outside of the train on a step board by a cab door. At a speed of approx. 155 km/h the deceased fell to his death. </t>
  </si>
  <si>
    <t>The decision to stand on the step board was probably made in haste and influenced by the presence of the deceased's belongings inside the train.</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</si>
  <si>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</si>
  <si>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</si>
  <si>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</si>
  <si>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</si>
  <si>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</si>
  <si>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</si>
  <si>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NO-10452</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</si>
  <si>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</si>
  <si>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</si>
  <si>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</si>
  <si>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</si>
  <si>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</si>
  <si>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 xml:space="preserve">The direct cause was that the pricnipal site safe supervisor (PSSS) reported the line section clear when a working team was still on it. </t>
  </si>
  <si>
    <t xml:space="preserve">Underlying causes are that the PSSS did not remember the last working team due to stress, and did not use a log form when reporting the line section clear. There had not been performed a joint start-up meeting in advance. Systemic factors are identified to be lack of technical barriers and an inadequacy of the prosess of coordinating various parties involved in track works, with no overall responsibility of track works as entire process. </t>
  </si>
  <si>
    <t>CZ-10450</t>
  </si>
  <si>
    <t>Trains collision, 14-09-23, Bezděčín overtaking station (Czech Republic)</t>
  </si>
  <si>
    <t>Unauthorized movement of the regional passenger train No. 6051, collision with the freight train No. 62422 and consequent derailment.</t>
  </si>
  <si>
    <t>Bezděčín overtaking station, km 24,850 (place of collision). Place of unauthorized movement was at the main (departure) signal device S1, km 24,878</t>
  </si>
  <si>
    <t>Regional passenger train;
Freight train</t>
  </si>
  <si>
    <t>České dráhy, a. s. (RU of the regional passenger train No. 6051);
ČD Cargo, a. s. (RU of the freight train No. 62422)</t>
  </si>
  <si>
    <t>CZK 2 526 003,- (€ 103 207,-); Rolling stocks, infrastructure</t>
  </si>
  <si>
    <t>Causal factor:
• failure to stop of the regional passenger train No. 6051 in front of the main (departure) signal device S1 at Bezděčín overtaking station with signal „Stop”, due to incorrect driving style of the train driver of the regional passenger train No. 6051 to the signal „Warning signal”  signaled by the main (entrance) signal device S, which warning signalling the signal „Stop" at the following main signal device.
Contributing factor: none.</t>
  </si>
  <si>
    <t>SK-10476</t>
  </si>
  <si>
    <t>Accident to persons caused by RS in motion, 17/9/2023, between Martin - Vrútky</t>
  </si>
  <si>
    <t>between Martin - Vrútky</t>
  </si>
  <si>
    <t>unauthorized movement of a person on the track</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</si>
  <si>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</si>
  <si>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</si>
  <si>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</si>
  <si>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Tampere Viinikka marshalling yard, Helsinki-Tampere section of line (line number 1301), km 186+253</t>
  </si>
  <si>
    <t>6 timber wagons heavily damaged, track damaged.</t>
  </si>
  <si>
    <t xml:space="preserve">The traffic controller authorised the reversing of the train based on the mistaken assumption that the train would fit onto the assigned section of track. </t>
  </si>
  <si>
    <t>1. The actors within rail industry have failed to recognise all the risks associated with reversing. 
2. There are no technological systems in place for reversing that would safeguard against the risk of human error.
3. Current guidelines for reversing are not fully supportive of safety.
4. Actors in rail industry often only look at railway safety from their own perspective. This fragmented approach does not support or lead to the development of common safety standards within the rail industry as a whole. It appears, based on the investigation, that no one organisation is ultimately in charge of managing and improving railway safety.</t>
  </si>
  <si>
    <t>DK-10453</t>
  </si>
  <si>
    <t>Train hit a person, 24/09/2023, Køge</t>
  </si>
  <si>
    <t>Køge</t>
  </si>
  <si>
    <t>The person was demented</t>
  </si>
  <si>
    <t>HR-10458</t>
  </si>
  <si>
    <t>Accident, 27-09-2023 (between stations Zagreb Zitnjak-Velika Gorica) (Croatia)</t>
  </si>
  <si>
    <t>On September 27, 2023, at 08:05 a.m., an accident to persons caused by rolling stock in motion occurred on the line M407, between stations Zagreb Žitnjak and Velika Gorica at km 013+764. Around the site of the accident, during the closure of the railway, construction work was being carried out to repair the road overpass. On that day, the planned closure of the track, disconnection of the voltage in the contact network and the road overpass repairing work should have started immediately after passing train number 89135. At the moment when train number 89135 passed under the road overpass, a worker who was standing on the left side of the track, within the free track profile, was struck. In the aforementioned accident, an employee of the company that was performing repairing work on the road overpass passing over the line M407 was seriously injured, material damage to the railway vehicle and railway infrastructure was not recorded. The injured worker did not work that day, but came to the construction site to deliver remittance for sick leave, and on the way he wanted to check at what stage was the repairing works.</t>
  </si>
  <si>
    <t>Between stations Zagreb Zitnjak-Velika Gorica</t>
  </si>
  <si>
    <t xml:space="preserve">Log Rail d.o.o. </t>
  </si>
  <si>
    <t>The causal factors of the accident:
- reduced situational awareness of the worker who was not aware of the danger or the approach of the train but focused on checking the repair phase of the works (chapter 4.3.1.),
- the worker did not take into account the risk of standing close to the track and did not use his knowledge and experience to ensure his safety (chapter 4.3.1.),
- when checking the repair works of the road overpass, the worker stood on the left side of the track, within the free track profile, while the track was still open for traffic (chapter 4.3.1.).</t>
  </si>
  <si>
    <t>Contributing factor:
- possible background noise from traffic due to nearby roads and highways, as well as the nearness of the airport (Chapter 3.2.2.).
Systemic factor:
- lack of safety measures in the Risk Assessment from occupational safety of the contractor when construction works are carried out within the railway belt (chapter 4.1.7., 4.3.3.).</t>
  </si>
  <si>
    <t>AT-10504</t>
  </si>
  <si>
    <t>Train derailment, 29/9/2023, Wels Vbf-Einfahrgruppe</t>
  </si>
  <si>
    <t>The train 44971 derailed on switch 511 because of an unknown reason.</t>
  </si>
  <si>
    <t>Wels Vbf-Einfahrgruppe</t>
  </si>
  <si>
    <t>IM 2.000.000,- €; Rail Cargo Austria AG 700.000,- €; Inviroment currently unknown</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</si>
  <si>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</si>
  <si>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</si>
  <si>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</si>
  <si>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</si>
  <si>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with 42 wooden sleepers and rail fastenings damaged. </t>
  </si>
  <si>
    <t xml:space="preserve">Causal factor  
The breakage of the main leaf, in the area of the fastening eye, of the laminated suspension spring of the guiding wheel no 7 of the freight wagon No 88537980117-2, which caused a significant load relief at the same time as the striking angle of this wheel increased and, consequently, to an increase in the guiding force applied to this wheel, thereby exceeding the derailment stability limit.
</t>
  </si>
  <si>
    <t xml:space="preserve">Contributory factor
Failure to comply with the uniform variation of 2 mm/m and exceedances of the maximum tolerances allowed in service of the track gauge in the area where the wheel fell off. 
Systemic factor
Ineffective management by ECM (entity in charge of the maintenance) of information on laminated suspension spring (a safety-critical component) resulting from periodic overhauls (PO).
</t>
  </si>
  <si>
    <t>CZ-10455</t>
  </si>
  <si>
    <t>Accident to persons caused by RS in motion, 3/10/2023, open line between Bělčice and Blatná stations</t>
  </si>
  <si>
    <t>Collision of the set train No. 98034 with the workers (the employees of the infrastructure manager) between Bělčice and Blatná stations</t>
  </si>
  <si>
    <t>open line between Bělčice and Blatná stations</t>
  </si>
  <si>
    <t>Total damage CZK 25 469,- (EUR 1 018,-)</t>
  </si>
  <si>
    <t>Causal factor:
• performance of works by employees of the infrastructure manager in the operated non-excluded track line without ensuring safety and health protection at work, specifically without arrange the conditions of work on the equipment, without ensuring the safety of the workplace and without ensuring the safety of employees at the workplace.</t>
  </si>
  <si>
    <t>PL-10456</t>
  </si>
  <si>
    <t>Trains collision, 5/10/2023, station Gdynia Główna</t>
  </si>
  <si>
    <t>Passenger train ROJ 50673 of the railway carrier POLREGIO S.A. travelling from Malbork to Gdynia Chylonia departed from track four of the Gdynia Główna station towards mainline track No. 1 to Gdynia Chylonia station. This train was travelling on a locked route, at signal S10a displayed by the K42/4/m exit signal. At the same time, railbus SA138-004 of the railway carrier POLREGIO S.A. was leaving a fuel depot on a shunting run as a shunting train. The railbus was travelling from track 404 to track 15a on a locked route, the end of which was a shunt signal Tm30 displaying the aspect Ms1 "Shunting prohibited”. Despite this, the railbus ran past the signal in front of which it was supposed to stop and continued towards track one at platform 2. It ran over turnout
No. 64, trailing the switch, drove approximately 128 m over turnouts No. 63 and No. 61 aligned in the straight direction and entered the path of an oncoming ROJ 50673 train, leading to a head-on collision at turnout No. 45 located on track 5. The travel time of the railbus from the moment of activation of the ALARM on the computer panel in the LCS Gdynia Główna signal box – “Switch 64 trailing” to the moment of the collision was 6 s</t>
  </si>
  <si>
    <t>station Gdynia Główna</t>
  </si>
  <si>
    <t>POLREGIO SA and POLREGIO SA</t>
  </si>
  <si>
    <t>totally demaged EN57 electric traction unit and demages of SA138 diesiel traction unit</t>
  </si>
  <si>
    <t>Running past the Tm30 shunt signal displaying the Ms1 aspect, “Shunting prohibited” by the driver performing a shunting run with the SA138-004 railbus of the railway carrier POLREGIO S.A., causing the bus to cross the route of the ROJ 50673 passenger train of the railway carrier POLREGIO S.A. and resulting in the head-on collision with that train.</t>
  </si>
  <si>
    <t>Contributing factors:                                                                                1) Exceeding the permitted shunting speed by the driver of rail vehicle SA138-004.
2) Insufficient observation of the shunting run route by the driver of rail vehicle SA138-004, resulting in the vehicle running past the Tm30 shunt signal displaying the Ms1 aspect, “Shunting prohibited”, and running over the switch of turnout No. 64 and trailing it (the switch was set for the ROJ 50673 train to go straight).
3) Failure of the driver of rail vehicle SA138-004 to react to the trailing of turnout 64 and continuing the run of the vehicle.
4) Time pressure on the driver of rail vehicle SA138-004 related to 
the unscheduled refuelling of the railbus and the need to keep up with the timetable for the ROS 90303 train, which was to be operated by this railbus.
5) Restricted visibility of the front of each rail vehicle by their drivers.
Systemic factor:                                                                                        The time-consuming procedure for activating the RADIO-STOP signal from the level of the remote control panel of the Remote Radio Control System of the Gdynia Główna station by the traffic operator, making it impossible to quickly stop rail vehicles in case of danger to train traffic.</t>
  </si>
  <si>
    <t>HU-10459</t>
  </si>
  <si>
    <t>Train derailment at Hegyeshalom on 05/10/2023</t>
  </si>
  <si>
    <t>The 8th wagon of freigth train no. 42338 derailed at Hegyeshalom station.
No one was injured.</t>
  </si>
  <si>
    <t>GYSEV CARGO Zrt.</t>
  </si>
  <si>
    <t>Wagon damage and track damage to a minimal extent.</t>
  </si>
  <si>
    <t>CZ-10457</t>
  </si>
  <si>
    <t>Accident to persons caused by RS in motion, 06-10-23, Brno-Židenice junction point (Czech Republic)</t>
  </si>
  <si>
    <t xml:space="preserve">Collision of the freight train No. 82720 with the external worker between
Brno-Maloměřice station and Brno-Židenice junction point
</t>
  </si>
  <si>
    <t>open line between Brno-Maloměřice station and Brno-Židenice junction point</t>
  </si>
  <si>
    <t>Total damage CZK/EUR 0,-)</t>
  </si>
  <si>
    <t xml:space="preserve">Causal factors:
• failure to ensure the safety of members of the work group with consequent entrance of the external worker into the structure gauge of operated track while the freight train No. 82720 was moving;
• the security guard did not watch movement of rolling stocks in operated railway
infrastructure and it was engaged in another activity.
</t>
  </si>
  <si>
    <t>NO-10460</t>
  </si>
  <si>
    <t>Train derailment, 16/10/2023, Åneby station</t>
  </si>
  <si>
    <t>Derailment passenger train on main line</t>
  </si>
  <si>
    <t>Åneby station, Gjøvikbanen</t>
  </si>
  <si>
    <t>Vy Gjøvikbanen AS</t>
  </si>
  <si>
    <t>Damages to infrastructure and EMU</t>
  </si>
  <si>
    <t>The derailment occurred when temporary rail joints gave way, causing the train to derail</t>
  </si>
  <si>
    <t xml:space="preserve">Incorrect installation and lack of follow-up of temporary rail joints. Weak systems and an unclear division of responsibility concerning follow-up of temporary rail joints.  </t>
  </si>
  <si>
    <t>CZ-10462</t>
  </si>
  <si>
    <t xml:space="preserve">Accident to persons caused by RS in motion, 16-10-23, between  	
Moravský Písek and Nedakonice stations (Czech Republic) </t>
  </si>
  <si>
    <t>Pressing the passenger in the boarding door of rolling stock of the regional
passenger train No. 4219 with his consequent fall and collision with the freight
train No. 45066 between Moravský Písek and Nedakonice stations</t>
  </si>
  <si>
    <t>Open line between Moravský Písek and Nedakonice stations</t>
  </si>
  <si>
    <t>České dráhy, a. s. (RU of the regional passenger train No. 4219); Rail Cargo Carrier – Czech Republic s. r. o. (RU of the freight train
No. 45066)</t>
  </si>
  <si>
    <t xml:space="preserve">Causal factor:
• unauthorized way out of the passenger from rolling stock of the regional passenger train No. 4219 out of the areas specified for boarding and way out of passengers.
</t>
  </si>
  <si>
    <t>CZ-10461</t>
  </si>
  <si>
    <t xml:space="preserve">Level crossing accident, 17-10-23, Olomouc hl. n. station (Czech Republic) </t>
  </si>
  <si>
    <t>Collision of the regional passenger train No. 3542 with a lorry at the level crossing
No. P7519 with consequent derailment and fire</t>
  </si>
  <si>
    <t>Olomouc hl. n. Station</t>
  </si>
  <si>
    <t>Total damage CZK 44 078 830,- (EUR 1 753 335,-)</t>
  </si>
  <si>
    <t>Causal factor:
• an unauthorized entrance of the lorry at the level crossing No. P7519 at the time when the regional passenger train No. 3542 was arriving, caused by behavior of the driver of the lorry, who did not respect the light and acoustic warning of the level crossing safety equipment and did not make sure whether he could safely pass the level crossing.
Contributing factor:
• failure to take an appropriate measure on the basis of the previous safety recommendation of The Rail Safety Inspection Office, i.e. failure to change the level crossing system of the level crossing No. P7519 to a level crossing systém equipped with barriers, which from the point of view of the optical barrier, will reduce the probability of the driver's entrance to the railway crossing if a driver does not respond to the light and acoustic warning of the crossing safety equipment.</t>
  </si>
  <si>
    <t>CZ-10463</t>
  </si>
  <si>
    <t>Trains collision, 19-10-23, Plzeň, the area behind the crossroad of Karlovarská and Bolevecká streets (Czech Republic)</t>
  </si>
  <si>
    <t>Collision of the tram No. 4 course 6 with the tram No. 1 course 7 in Plzeň, at Klatovská street</t>
  </si>
  <si>
    <t>Plzeň, the area behind the crossroad of Karlovarská and Bolevecká
streets</t>
  </si>
  <si>
    <t>Plzeňské městské dopravní podniky, a. s.</t>
  </si>
  <si>
    <t>18 passengers and 1 staff slightly injured.  Damage: CZK 1 363 771,- (€ 55 292,-); Rolling stocks, other</t>
  </si>
  <si>
    <t>Causal factor:
•failure to comply the conditions of running at sight at movement of the tram rolling stocks at mutual distance by the tram driver of the tram No. 4 course 6.
Contributing factor: none.</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</si>
  <si>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</si>
  <si>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</si>
  <si>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</si>
  <si>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</si>
  <si>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11470 meters. </t>
  </si>
  <si>
    <t xml:space="preserve">Causal factor
Existence in the track, on a section of line within the circular curve, prior to the derailment site, of an area in which the track twist, the track gauge variation, the value of the neighbouring track deflection and the difference between the maximum and minimum track deflection in the curve exceeded the values allowed in operation. This caused an increase in the lateral guiding force on the guiding wheel (on the right-hand side running on the outside of the curve, in the running direction) from the first axle of wagon no.33539339897-9 and exceeding of the derailment stability limits.
</t>
  </si>
  <si>
    <t xml:space="preserve">Contributing factor
Going beyond the deadlines stipulated by the practice code of measurements with the testing and recording car or with the track trolley.
Systemic factors:
 Failure to carry out capital repair works to restore the track components to the designed parameters of the line in order to ensure the safe running of trains at the established speeds and tonnages;
 Provision with insufficient material and human resources for the performance, in accordance with the regulated deadlines, of the track periodical repairs (maintenance), in order to keep its geometry between the tolerances accepted;
 Ineffective management of the risks associated to the danger generated by the exceeding of the tolerances accepted for the track geometry.
</t>
  </si>
  <si>
    <t>BE-10471</t>
  </si>
  <si>
    <t>Accident to persons caused by RS in motion, 27/10/2023, Bleret</t>
  </si>
  <si>
    <t>Rail worker hit by a passenger train</t>
  </si>
  <si>
    <t>Bleret</t>
  </si>
  <si>
    <t>1/ The passenger train locomotive suffered minor damage to one of the footboards.
2/ There was no damage to the railway infrastructure.
3/ Several trains were delayed or cancelled.</t>
  </si>
  <si>
    <t>The direct cause of the employee being hit by the train is the presence of the employee within the clearance gauge of the track in service on which the train is running.</t>
  </si>
  <si>
    <t>* The contributing factor is the fact that the line indicating the precise location of the axis of the mast was not drawn on the track prior to the mast installation works.
* The systemic factor is the absence of a last-minute risk analysis (LMRA) when the team at work noticed that the alignment line was not drawn.</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</si>
  <si>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</si>
  <si>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</si>
  <si>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</si>
  <si>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</si>
  <si>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</si>
  <si>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</si>
  <si>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</si>
  <si>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 xml:space="preserve">Causal factor:
Cracks appeared in the inlet hose to the diesel oil filter, through which diesel oil was sprayed and leaked onto the exhaust system components of the Tedom engine, which was leaking high temperature exhaust gases.
</t>
  </si>
  <si>
    <t xml:space="preserve">Contributing factors:
 the use during maintenance work of a fuel supply hose (connecting the fuel pump to the diesel filters), which did not meet the technical requirements laid down by the Tedom engine manufacturer and whose supplier did not hold the Rail Supplier Authorization or Railway Technical Agreement;
 failure by maintenance crew to ensure the tightness of the flue gas exhaust system;
 keeping AMX 533-9 in service after the expiration of the mileage rule at which the Tedom engine was due for scheduled repair.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</si>
  <si>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</si>
  <si>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</si>
  <si>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</si>
  <si>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</si>
  <si>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</si>
  <si>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 xml:space="preserve">Causal factor
Improper condition of the railway on the track bed at the Y end of the metal bridge at km 28+465 (in the direction of the increase in mileage), caused by:
- the existence on the track, at the accident site, of a group of consecutive, prestressed-concrete sleeper and normal wooden sleepers in the track, the technical condition of which did not ensure proper restraint and maintain of the track gauge within the permissible tolerances; 
- non-conforming construction of the joints of the non-constructive breaks at km 28+480 on both rails (by not ensuring full horizontal connection);
- the existence of track twist that exceeded the tolerances allowed in service,
causing the loss of rail support and guidance capacity under the dynamic action of the rolling stock.
</t>
  </si>
  <si>
    <t xml:space="preserve">Contributory factor
Lack of check rail inside the railway on the track bed sections at the ends of the metal bridge at km 28+465.
Systemic factors
- provision with an insufficient human resources and material resources, against the necessary one, in order to run out the suitable maintenance of the lines for keeping the track geometry between the tolerances accepted;
- ineffective management, of the infrastructure manager, of the risk associated to the exceeding the permissible tolerances of the track geometry.
</t>
  </si>
  <si>
    <t>BG-10472</t>
  </si>
  <si>
    <t>Accident to persons caused by RS in motion, 7/11/2023, Voluyak railway line split post 4 Iliyantsi station, Bulgaria</t>
  </si>
  <si>
    <t>Run over of two employees (workers at railway section Sofia) of SE NRIC during work. Two persons ran over by shunting locomotive 9852205122-7 along Voluyak railway line split post 4 Iliyantsi station</t>
  </si>
  <si>
    <t>Inspection point № 4 and Iliyiantsi station</t>
  </si>
  <si>
    <t>"Cargo Trans Vagon Bulgaria" JSC</t>
  </si>
  <si>
    <t>2 fatalities (employees of SE NRIC)</t>
  </si>
  <si>
    <t>preceding circumstances related to the performance of the assigned tasks</t>
  </si>
  <si>
    <t xml:space="preserve">The requirements of the normative acts, which ensure safety at work in the workplace, have not been met. </t>
  </si>
  <si>
    <t>CZ-10473</t>
  </si>
  <si>
    <t>Level crossing accident, 09-11-23, Pelhřimov station (Czech Republic)</t>
  </si>
  <si>
    <t>Collision of the regional passenger train No. 18404 with a lorry with consequent derailment.</t>
  </si>
  <si>
    <t>Pelhřimov station, the level crossing No. P6353, km 18,441</t>
  </si>
  <si>
    <t>Total damage CZK 4 197 840,- (EUR 165 432,-)</t>
  </si>
  <si>
    <t>Causal factor:
• entrance of the lorry at the level crossing No. P6353 at the time when the situation behind the level crossing did not allow its safe cross over and continuation in next ride.</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</si>
  <si>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</si>
  <si>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</si>
  <si>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</si>
  <si>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</si>
  <si>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</si>
  <si>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 xml:space="preserve">Causal factor
The existence in the track, at the accident site, of a group of improper wooden sleepers, whose technical condition could no longer ensure a secure hold of the metal plates, with the effect of exceeding the maximum permissible limit of track gauge in service, causing the loss of capacity to support and guide the rails under the dynamic action of the rolling stock. 
</t>
  </si>
  <si>
    <t xml:space="preserve">Contribution factor
Ineffective monitoring of the evolution of the defects recorded with the track measuring trolley, which favoured their aggravation.
Systemic factors
 ineffective management in the identification and assessment of the risks generated by its own railway operations regarding the danger posed by the derailment of railway vehicles;
 Insufficient human and material resources in relation to what is necessary to properly maintain the line and keep the track geometry within the permitted tolerances.
</t>
  </si>
  <si>
    <t>HR-10477</t>
  </si>
  <si>
    <t>Accident, 14-11-2023 (station Zagreb Ranzirni) (Croatia)</t>
  </si>
  <si>
    <t>On 14 November 2023, at 09:50 a.m. on the line marked M402 Sava rasputnica-Zagreb Klara, at the Zagreb Ranžirni station, at km 003+422, an accident occurred (Figure 1). When manoeuvring the brute of train No 81214 composed of 31 wagons of the Uagpps series from P-3 track to S-15 track via a hump, the first three wagons of the Ugpps series were derailed in the direction of pushing on switch No 213.</t>
  </si>
  <si>
    <t>Station Zagreb Ranzirni</t>
  </si>
  <si>
    <t>Rail Cargo Carrier-Croatia d.o.o.</t>
  </si>
  <si>
    <t xml:space="preserve">No one was killed or injured in this accident, and there was material damage to railway vehicles and railway infrastructure. </t>
  </si>
  <si>
    <t>The causative factor of the accident in question is the derailment of the first three wagons of the Ugpps series (33 54 934 3108-4, 33 54 934 3112-5 and 33 54 934 3128-2) with both bogies in the direction of displacement, due to poor infrastructure i.e. track condition (Chapter 3.2.3, 4.2.1).</t>
  </si>
  <si>
    <t>Contributing factors:
- small radius of switches in the Sub-hump (Chapter 3.1.8 and 3.2.3),
- the condition of the track structure was not able to withstand the prescribed axle pressure (Chapter 3.2.3, 4.2.1),
- clutch tension state within the manoeuvring composition (Chapter 3.2.3).
Systemic factors:
- no operating procedures are prescribed for manoeuvring when pushing trains in the Sub-hump zone in the ‘Instructions for work on the humps operation’ (Chapter 4.1.1).</t>
  </si>
  <si>
    <t>HU-10475</t>
  </si>
  <si>
    <t>Notification of trains collision at Sáp at 15/11/2023</t>
  </si>
  <si>
    <t xml:space="preserve">Freight train passed signal at danger, and collided with a regional passanger train.
</t>
  </si>
  <si>
    <t>Sáp</t>
  </si>
  <si>
    <t>MMV Zrt. (freight train), MÁV-START Zrt. (reg.pass.train)</t>
  </si>
  <si>
    <t>2 engines, 1 freight wagon, 2 passanger wagons</t>
  </si>
  <si>
    <t>Fatigue of engine driver</t>
  </si>
  <si>
    <t>risk assaement of fatigue + training system</t>
  </si>
  <si>
    <t>DE-10502</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</si>
  <si>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</si>
  <si>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</si>
  <si>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</si>
  <si>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</si>
  <si>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</si>
  <si>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No no􀆟fica􀆟on to the responsible signaller with specifica􀆟on of the loca􀆟on where sand was sca􀆩ered [F1]; Func􀆟onal reliability of detec􀆟on in the event of ingress of sand [F3]; Failure to check sec􀆟on by the signaller [F4].</t>
  </si>
  <si>
    <t>Procedure‐based compensa􀆟on for func􀆟onal impairment of a clear track repor􀆟ng system due to sand ingress [S3]; Opera􀆟onal reliability of the signaller [S4].</t>
  </si>
  <si>
    <t>DE-10503</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</si>
  <si>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</si>
  <si>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</si>
  <si>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</si>
  <si>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</si>
  <si>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</si>
  <si>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IT-10491</t>
  </si>
  <si>
    <t>Runaway, 22/11/2023, Domodossola</t>
  </si>
  <si>
    <t>Runaway of freight train no.63437, without driver,
by Preglia to Domodossola</t>
  </si>
  <si>
    <t>Domodossola</t>
  </si>
  <si>
    <t>damage to infrastructure and rolling stock</t>
  </si>
  <si>
    <t>The direct causes of the accident are identified as follows:
i) failure to open the air brake valve on the locomotive and the first car to be coupled;
ii) failure to test the train brakes before departure;
iii) failure to apply the pneumatic braking effectiveness tests during the positioning maneuver at the starting signal, after departure from Brig, and during the run before a steep descent at approximately km 17+000 (exit of the spiral tunnel) as required for trains traveling through the Simplon Tunnel (north-south direction).</t>
  </si>
  <si>
    <t>The indirect causes are to be identified in the factor:
i) human (continuous training, staff competence, and awareness);
ii) organizational (maintaining competence and monitoring operating personnel).</t>
  </si>
  <si>
    <t>DK-10507</t>
  </si>
  <si>
    <t>Accident to persons caused by RS in motion, 25/11/2023, Between København H. and Hvidovre Fjern, Line 1</t>
  </si>
  <si>
    <t>Unauthorized person hit by passing train</t>
  </si>
  <si>
    <t>Between København H. and Hvidovre Fjern, Line 1</t>
  </si>
  <si>
    <t>None described</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</si>
  <si>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</si>
  <si>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</si>
  <si>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</si>
  <si>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</si>
  <si>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</si>
  <si>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1376 meters. </t>
  </si>
  <si>
    <t xml:space="preserve">Causal factor
Existence within the track, at the accident site, some defects in the track geometry (track gauge, respectively cross level), in conjunction with the defects of the wagon no.83536651666-3 (allowances in the side bearers above the value allowed in service) causing the exceeding of the derailment stability limit.
</t>
  </si>
  <si>
    <t xml:space="preserve">Contributing factors
 overloading of wagon no.83536651666-3, by the consignor;
 the difficulty of checking the allowances in the side bearers during the technical inspection of this type of wagon (Fals series wagon modified for the transportation of cereals), due to the existence of a metal plate (3200 mm x 240 mm) in the area of the wagon bogies, installed during the additional work to extend the fixed down-grade.
Systemic factor
Failure by the consignor (SC Comcereal SA Botoșani) and railway undertaking (SC Grup Feroviar Român SA) to ensure the conditions for weighing the wagons before they are introduced into the composition of trains.
</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</si>
  <si>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</si>
  <si>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</si>
  <si>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</si>
  <si>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</si>
  <si>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</si>
  <si>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The driver's lack of familiarity with the PL km 128+123 area P.M. Thurio, as well as the geometric-functional characteristics of the aforementioned PL, which proved unsuitable for the articulated truck's entry into the curve.</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</si>
  <si>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</si>
  <si>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</si>
  <si>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</si>
  <si>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</si>
  <si>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</si>
  <si>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Improper static load distribution on axle no. 6, the first axle in the running direction of locomotive EA 146, which had the effect of unloading the guiding wheel.</t>
  </si>
  <si>
    <t>Contributing factors</t>
  </si>
  <si>
    <t>FI-10480</t>
  </si>
  <si>
    <t>Train derailment, 30/11/2023, Tampere station, switch V171, Tampere - Seinäjoki section of line (line number 1302, km 188+44)</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</si>
  <si>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</si>
  <si>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</si>
  <si>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</si>
  <si>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</si>
  <si>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</si>
  <si>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The accident was caused by the combined effect of various factors, which included the worn heel of the switch, the high lateral force on the rails characteristic of the locomotive type, and the worn wheelset of the locomotive.</t>
  </si>
  <si>
    <t xml:space="preserve">1. Ineffectiveness of 7 (seven) hydraulic dampers - of the 16 existing on the locomotive - of which both (the vertical and the horizontal one) on the opposite side of the wheel that left the running surface. </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</si>
  <si>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</si>
  <si>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</si>
  <si>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</si>
  <si>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</si>
  <si>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</si>
  <si>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</si>
  <si>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The Signalman, while performing his duties, was simultaneously working with a shovel, cleaning switch boxes. This activity distracted him from his duties as a Signalman and caused the accident.</t>
  </si>
  <si>
    <t xml:space="preserve">2. Improper condition of the track, caused by keeping the geometry of the track outside the tolerances allowed in service. </t>
  </si>
  <si>
    <t>RO-10484</t>
  </si>
  <si>
    <t>Train derailment, 1/12/2023, Capu Midia</t>
  </si>
  <si>
    <t>The head locomotive and first 30 wgons from the composition of the freight train no.66602030 derailed in Capu Midia railway station.</t>
  </si>
  <si>
    <t xml:space="preserve">Damage at the running gear from the head locomotive (DA1547) and at the running gear from first 30 wagons from composition of the freight train.
The line was damaged for about 40 meters, including the switch no.13. </t>
  </si>
  <si>
    <t xml:space="preserve">Causal factor
The existence within the track, of a group of improper sleepers in the area of switch no.13, which could no longer ensure the proper gripping of the rails and the maintenance of the track gauge within the tolerances allowed by the regulatory framework, caused the loss of the rails' supporting and guiding capacity under the dynamic action of the rolling stock.
</t>
  </si>
  <si>
    <t>3. Failure to identify in time deficiencies in the track superstructure as a result of the failure to carry out periodic overhaul by traffic safety personnel within the deadlines stipulated in the practice codes.</t>
  </si>
  <si>
    <t>BG-10485</t>
  </si>
  <si>
    <t>Fire in locomotive serviced IFT No 464 along the interstation Zmeiovo-Tulovo, 1/12/2023</t>
  </si>
  <si>
    <t>Fire in an engine compartment of electric locomotive occurred during motion</t>
  </si>
  <si>
    <t>Zmeiovo-Tulovo interstation</t>
  </si>
  <si>
    <t>damages to the locomotive, damages to the railway infrastructure</t>
  </si>
  <si>
    <t>temperature overheating of the power unit 221, feeding the motor-compressor 235</t>
  </si>
  <si>
    <t>Systemic factors</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</si>
  <si>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</si>
  <si>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</si>
  <si>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</si>
  <si>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</si>
  <si>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</si>
  <si>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</si>
  <si>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16/12/2024 &amp; 14/01/2026</t>
  </si>
  <si>
    <t>DK-10488</t>
  </si>
  <si>
    <t>Accident to person caused by RS in motion, 03.12.2023, between Ballerup and Måløv</t>
  </si>
  <si>
    <t>Between Ballerup and Måløv, km 18,9</t>
  </si>
  <si>
    <t>Danish Railways (DSB)</t>
  </si>
  <si>
    <t xml:space="preserve">2. Defective (ineffective) supervision/monitoring of the district lines by the control staff of the L6 Gheorgheni and railway county Brașov.     </t>
  </si>
  <si>
    <t>DK-10487</t>
  </si>
  <si>
    <t>Accident to person caused by RS in motion, 03.12.2023, between Nordhavn and Svanemøllen</t>
  </si>
  <si>
    <t>Nordhavn-Svanemøllen</t>
  </si>
  <si>
    <t>An affected young man walked at night from the station and onto the line where there is no public access.</t>
  </si>
  <si>
    <t>Alcohol, etc.</t>
  </si>
  <si>
    <t>Interim statement</t>
  </si>
  <si>
    <t>CZ-10489</t>
  </si>
  <si>
    <t>Trains collision, 03-12-23, Česká Třebová station (Czech Republic)</t>
  </si>
  <si>
    <t>Unauthorized movement of the freight train No. 54812 behind the signal device ZL and collision with the freight train No. 62102 with consequent derailment.</t>
  </si>
  <si>
    <t>Česká Třebová station, entry signal device ZL, km 0,710; place of collision was at station track No.102, km 2,054</t>
  </si>
  <si>
    <t xml:space="preserve"> Station</t>
  </si>
  <si>
    <t>IDS CARGO, a. s.; ČD Cargo, a. s.</t>
  </si>
  <si>
    <t>CZK 186 313 303,- (€ 7 651 470,-); Rolling stocks, infrastructure, other</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</si>
  <si>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</si>
  <si>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</si>
  <si>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</si>
  <si>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</si>
  <si>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damages </t>
  </si>
  <si>
    <t xml:space="preserve">Article 20.1 of Directive (EU) 2016/798 </t>
  </si>
  <si>
    <t>Snow clearing carried out at turnout no. 1 by two unsupervised workers, one of whom was using a backpack diesel blower and the other was using a broom, when train ROM 22401 was entering the station, which had resulted in the workers being run over by the railway vehicle.</t>
  </si>
  <si>
    <t>Contributing  factors: 1) Inappropriate organisation of work involving a lack of communication and coordination of activities, scope and method of work between the workers clearing turnouts of snow.
2) The automation foreman operating the blower, instead of carrying out supervision, to which he was obligated under the "Plan for the conduct of winter works in the 2023/2024 season on the premises of the Railway Line Plant in Lublin" (hereinafter referred to as the Plan).                     Systemic factors:  1) Authorisation of the use of a diesel blower under the approved "Plan" for clearing tracks and turnouts of snow without carrying out a risk assessment and without developing detailed rules of safe use of the blower,
2) Failure to develop an effective system of mutual communication during clearing turnouts of snow with a backpack diesel blower that generates a high-intensity noise.
3) Failure to appoint a signal man to cover the workers clearing turnouts of snow.
4) Failure by the signaller to alert the workers at the turnouts to incoming train ROM 22401.
5) Failure of the Jaszczów station signaller to alert the driver of train ROM 22401 to workers clearing snow of turnouts.</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</si>
  <si>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</si>
  <si>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</si>
  <si>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</si>
  <si>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</si>
  <si>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</si>
  <si>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Causal factor
The breaking of pantograph no.1 of the locomotive EA 583 (hauling locomotive of the Interregio passenger train no. 1742, with matriculation number 91 53 0477 583-5), which remained with the collector head caught in the contact wire, resulting in the metal frame of the pantograph hitting the side wall of the wagon no. 61 53 2176 035-2 and breaking the sixth window on the left side in the running direction.</t>
  </si>
  <si>
    <r>
      <t>Contributing factors
§ the improper technical condition of the pantograph no.1 of the locomotive EA 583;</t>
    </r>
    <r>
      <rPr>
        <sz val="10"/>
        <color rgb="FF000000"/>
        <rFont val="Arial"/>
        <family val="2"/>
      </rPr>
      <t xml:space="preserve">
§ omissions within the PTh3 intermediate revision and the lack of proper training of the personnel performing repair works on the Schunk-type pantographs.</t>
    </r>
    <r>
      <rPr>
        <sz val="10"/>
        <color rgb="FF000000"/>
        <rFont val="Arial"/>
        <family val="2"/>
        <charset val="238"/>
      </rPr>
      <t xml:space="preserve">
Systemic factors
§ gaps within the Technical Specification code ST 31-2016 “Planned revisions of type PTh3 – intermediate revision on the technological process carried out at the locomotive, RT, R1, R2, winter preparations and accidental repairs of 3400/3860/4400/5100/6000 kW electric locomotives”, the lack of the necessary technical equipment for the maintenance and verification of the parameters of the Schunk-type pantographs, as well as of the documentation regulating the way in which the verification and maintenance are carried out for this type of pantograph;
§ the ineffective management of the process of monitoring the measures established for the control of the risks corresponding to the danger represented by “non-observance of the technological processes of rolling stock revisions/repairs”;
§ the lack of an assessment of the danger represented by “breaking of the pantographs” within the railway undertaking SNTFC “CFR Călători” SA;
§ the lack of an assessment of the risk “occurrence of damages to the pantographs of the electric locomotives caused by the technical condition of the IFTE” within the infrastructure manager CNCF “CFR” SA (IFTE – fixed installations for electric traction).</t>
    </r>
  </si>
  <si>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</si>
  <si>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</si>
  <si>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</si>
  <si>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</si>
  <si>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</si>
  <si>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</si>
  <si>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DK-10508</t>
  </si>
  <si>
    <t>Level crossing accident, 9/12/2023, Køge, levelcrossing 115</t>
  </si>
  <si>
    <t>Person using levelcrossing, hit and killed by train</t>
  </si>
  <si>
    <t>Køge, levelcrossing 115</t>
  </si>
  <si>
    <t xml:space="preserve">The person intentionally crossed the barrier at the level crossing. </t>
  </si>
  <si>
    <t>The person was under the influence of alcohol and probably had headphones in the ears</t>
  </si>
  <si>
    <t>IT-10493</t>
  </si>
  <si>
    <t>Trains collision, 10/12/2023, Faenza - Forlì</t>
  </si>
  <si>
    <t>Trains collision no. 8828 and no. 1742, Faenza-Forlì line</t>
  </si>
  <si>
    <t>Faenza - Forlì</t>
  </si>
  <si>
    <t>Trenitalia and Tranitalia TPER</t>
  </si>
  <si>
    <t>damage to rolling stock not yet quantified</t>
  </si>
  <si>
    <t>Unauthorized backward movement of train FR8828 after it had stopped on the line,</t>
  </si>
  <si>
    <t>The lack of human intervention in response to the backward movement of the train and the SCMT system's latent inability to detect a backward movement.</t>
  </si>
  <si>
    <t>HR-10494</t>
  </si>
  <si>
    <t>Serious accident, 11-12-2023 (between stations Meja-Skrljevo) (Croatia)</t>
  </si>
  <si>
    <t>On December 11, 2023, at 08:52 a.m., when operating from the direction of Moravica freight train number 81218 on the line M202, due to an uncontrolled increase in speed and the impossibility of stopping in front of the exit signal of the station Meja marked D-3 (signal indicating "STOP"), train number 81218 continued towards the station Škrljevo. Freight train number 81218 continued to operate uncontrolled on the line M202 and at km 635+155 (at the level of the pre-signal "PsB" of station Meja) it collided with a special purpose railway vehicle (TMD) as part of train number 70007. Furthermore, train number 81218 pushed the TMD along the line in the direction of station Škrljevo and due to the increase in speed the freight wagons and locomotives as part of the freight train derailed at km 639+840 of the line M202. There were no fatalities or serious injuries in the serious railway accident, the driver of train 81218 requested medical assistance due to shock and stress, while significant material damage occured to the involved railway vehicles and to a part of the line M202.</t>
  </si>
  <si>
    <t>Between stations Meja-Skrljevo</t>
  </si>
  <si>
    <t>There was significant material damage to the railway vehicles and infrastructure.</t>
  </si>
  <si>
    <t>03/04/2025 &amp; 11/12/2025</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</si>
  <si>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</si>
  <si>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</si>
  <si>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</si>
  <si>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</si>
  <si>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</si>
  <si>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r>
      <t xml:space="preserve">Causal factor </t>
    </r>
    <r>
      <rPr>
        <sz val="10"/>
        <color rgb="FF000000"/>
        <rFont val="Arial"/>
        <family val="2"/>
      </rPr>
      <t xml:space="preserve">
The existence on the track, at the accident site, of a group of unsuitable wooden sleepers, the technical condition of which no longer ensured that the coach screw for fastening the metal plate and prevented their movement, thus allowing the track gauge to exceed the maximum permissible value in service.</t>
    </r>
  </si>
  <si>
    <t>Contributing factors
1. Failure to replace inadequate wooden sleepers as identified in the "record of defective and worn sleepers and their replacement in 2023-2024" on the curve after switch no.16;
2. Failure to carry out periodic overhaul, by the staff in charge of traffic safety, within the deadlines and in the order specified in the codes of practice, to identify in time the worsening of the existing defects on the curve, after the switch nr.16 of the railway station Beclean pe Someș.
Systemic factor
Ineffective management of the risks associated to the danger generated by keeping within the track of two or more improper wooden sleepers.</t>
  </si>
  <si>
    <t>CZ-10492</t>
  </si>
  <si>
    <t>Derailment of the regional passenger train No. 23203
at Brumov operating control point</t>
  </si>
  <si>
    <t>Unsecured movement with consequent derailment of the regional passenger train No. 23203 at spring switch</t>
  </si>
  <si>
    <t>Brumov station</t>
  </si>
  <si>
    <t>the regional passenger train No. 23203</t>
  </si>
  <si>
    <t xml:space="preserve">&lt; 150 000 €  </t>
  </si>
  <si>
    <t>Total damage CZK 3 612 390,- (EUR 144 265,-)</t>
  </si>
  <si>
    <t>the train driver of the regional passenger train No. 23203 did not respect instruction by IM of the signal device Sv4 before entering on the spring switch No. 4sv at Brumov operating control point, the regional passenger train No. 23203 did not stop in front of the spring switch No. 4sv and the train driver did not check correct position of the switch.</t>
  </si>
  <si>
    <t>SE-10495</t>
  </si>
  <si>
    <t>Derailment of freight train no 9914 at Malmbanan, Norrbotten County</t>
  </si>
  <si>
    <t>A loaded train operated by LKAB Malmtrafik AB derailed with one wheel near Tornehamn on the Malmbanan line between Kiruna and Narvik. The wheel and subsequently both wheels, derailed over a distance of 15 km causing extensive damage to the track. At Vassijaure station, the derailment worsened, with several vehicles derailing and inflicting further damage to the infrastructure. The derailment caused no injuries.
The investigation revealed that the wheel fractured from the running surface to the hub of the wheel axle, losing its press fit at the hub. This allowed the wheel to move inwards along the axle and derail inside the right rail in the direction of travel. The fracture initiated from a fatigue crack at the back of the wheel flange and progressed as a rapid brittle fracture along the entire length of the crack to the hub.
Technical investigations confirmed that the wheel met applicable requirements and standards. Additionally, no deviations in the maintenance of the wheel axle were identified.
The wheel damage was likely caused by a combination of unfavourable and interacting factors that had not previously been assessed in relation to the risks of fatigue cracks in the flange and brittle fracture in to the hub. Simulations and calculations of various load cases indicate that tensile stresses and fatigue cracks can occur in the flange. For more comprehensive insights that could lead to revised design and maintenance criteria, further studies and detailed analyses are required.</t>
  </si>
  <si>
    <t>Vassijaure</t>
  </si>
  <si>
    <t>LKAB</t>
  </si>
  <si>
    <t>Total loss of 6 Fammoorr050 (paired freight wagons) and major damage to infrastructre, sleepers, switches and track.</t>
  </si>
  <si>
    <t>The direct cause of the derailment was a wheel moving along its axle.
The cause of the wheel moving was a fracture resulting from a fatigue crack in the flange, extending to the hub, which led to the wheel losing its press fit on the axle.
The load cases and factors that contributed to the fatigue crack and subsequent fracture likely interacted negatively and approached strength limits.</t>
  </si>
  <si>
    <t>The load cases and factors that initiate and propagate fatigue cracks in the flange have not been part of normal design or maintenance criteria for railway wheels.</t>
  </si>
  <si>
    <t>CZ-10496</t>
  </si>
  <si>
    <t>Derailment at Stupno operating point, 18/12/2023</t>
  </si>
  <si>
    <t xml:space="preserve">Unsecured movement of the regional passenger train No. 27307 with
consequent derailment. </t>
  </si>
  <si>
    <t>Stupno operating control point</t>
  </si>
  <si>
    <t>Total damage CZK 321 600,- (EUR 12 712,-)</t>
  </si>
  <si>
    <t>Causal factor:
• the train driver of the regional passenger train No. 27307 did not respect instruction by IM of the signal device Sv1 before entering on the spring switch No. 1sv at Stupno operating control point, the regional passenger train No. 27307 did not stop in front of the spring switch No. 1sv and the train driver did not check correct position of the switch.</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</si>
  <si>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</si>
  <si>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</si>
  <si>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</si>
  <si>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</si>
  <si>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</si>
  <si>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</si>
  <si>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SI-10518</t>
  </si>
  <si>
    <t>Between stations Postojna and Prestranek in km 636.250</t>
  </si>
  <si>
    <t>Front electro motor unit, 2 manual motor work machines</t>
  </si>
  <si>
    <t>CZ-10497</t>
  </si>
  <si>
    <t>Unsecured movement of the detached rolling stock from Praha-Malešice station</t>
  </si>
  <si>
    <t>Unauthorized movement other than SPAD</t>
  </si>
  <si>
    <t>Unsecured movement of the detached rolling stock</t>
  </si>
  <si>
    <t>Praha-Malešice station</t>
  </si>
  <si>
    <t>detached rolling stock</t>
  </si>
  <si>
    <t>Total preliminary damage CZK/EUR 0,-</t>
  </si>
  <si>
    <r>
      <t>Causal factor:</t>
    </r>
    <r>
      <rPr>
        <sz val="10"/>
        <color rgb="FF000000"/>
        <rFont val="Arial"/>
        <family val="2"/>
        <charset val="128"/>
      </rPr>
      <t xml:space="preserve">
• insufficient securing of the detached rolling stock A-RJ 61 81 28-90 032-0 against uncontrolled movement by the train driver of the shunting operation, who beyond the scope of his work duties separate the rolling stock from the rest of the train set on station track No. 6 of Praha-Malešice station, and failure to secure the rolling stock against uncontrolled movement by dispatcher/shunter, who fulfilled the duties of the shunting leader.</t>
    </r>
  </si>
  <si>
    <t>RO-10498</t>
  </si>
  <si>
    <t>Train derailment, 22/12/2023, Zăvestreni</t>
  </si>
  <si>
    <t>Hauling locomotive EA 767 of the passenger train no.9304 derailed in Zăvestreni railway station.</t>
  </si>
  <si>
    <t xml:space="preserve">Damage to first axle in the running direction from the locomotive EA 767.                                                                                           The line was damaged for about 50 meters.                                                                                </t>
  </si>
  <si>
    <t xml:space="preserve">The existence in the track, at the insulating joint of the frog from the switch no.5 from the railway station Zăvestreni, of a group of improper special and normal, consecutive sleepers, whose technical condition could no longer ensure a secure fastening of the rail-metallic plate that supported the rails and maintained the track gauge.  </t>
  </si>
  <si>
    <t>Contributing factors
1. Incorrect securing, with only two horizontal bolts at one end, of the insulating rail joint, in the expansion joint between butt-end of the rail on the right-hand side of the connecting track panel and the butt-end of the rail on the deviated direction, at the switch no. 5;
2. Exceeding the maximum track gauge variation limit of 2 mm/m and the allowed gauge tolerances in operation on a section prior to the occurrence of the railway accident, in the area of the track panel between switch no.5 and no.7, a situation which caused the amplification of the meandering movement of the axle and increasing the wheel-rail contact forces;
3. Failure to carry out measurements/periodical overhauls of the switches, respective failure of the traffic safety personnel to interpret the measurements of the cross-overs (between two switches) within the time limits and in the order specified in the codes of practice, which caused failure to identify deficiencies in the track superstructure in time;
4. Carrying out the periodical technical checks of the tracks with unauthorized personnel, which has decreased the efficiency of this activity.
Systemic factors
1. Ineffective supervision/monitoring of the track`s district activity by the personnel in charge with supervision from the Section L1 București and București Railway County;
2. Improper resources, material and human, in relation to what is necessary to properly maintain the line and keep the track geometry within the permitted tolerances.</t>
  </si>
  <si>
    <t>PT-10526</t>
  </si>
  <si>
    <t>Level crossing accident, 27/12/2023, Automatic level crossing at km 31,670 of Sado Line, at Cachofarra</t>
  </si>
  <si>
    <t>Collision of a passenger train with the trailer of a lorry blocked over the level crossing.</t>
  </si>
  <si>
    <t>Automatic level crossing at km 31,670 of Sado Line, at Cachofarra</t>
  </si>
  <si>
    <t>Damage to rolling stock, level crossing equipment and road vehicle.</t>
  </si>
  <si>
    <t>HU-10499</t>
  </si>
  <si>
    <t>Train derailment, 30/12/2023, Verőce - Nagymaros</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</si>
  <si>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</si>
  <si>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Verőce - Nagymaros</t>
  </si>
  <si>
    <t>Track damage: ca. 1 million EUR + Wagon damage: ca. 250.000 EUR</t>
  </si>
  <si>
    <t>RO-10505</t>
  </si>
  <si>
    <t>Train derailment, 5/1/2024, Turceni</t>
  </si>
  <si>
    <t>One wagon (18th) from the composition of the freight train no.65096 derailed in Turceni railway station.</t>
  </si>
  <si>
    <t xml:space="preserve">Damage to the wagon no.31536651420-7.
The line was damaged for about 35 meters. </t>
  </si>
  <si>
    <r>
      <t xml:space="preserve">Causal factor </t>
    </r>
    <r>
      <rPr>
        <sz val="10"/>
        <color rgb="FF000000"/>
        <rFont val="Arial"/>
        <family val="2"/>
      </rPr>
      <t xml:space="preserve">
Existence within the track, at the accident site, a group of improper special wooden sleepers in turn, whose technical condition could no longer ensure a safety fastening of the metallic plates. It led to the exceeding of the maximum limit accepted for the track gauge in operation.</t>
    </r>
  </si>
  <si>
    <r>
      <t>Contributing factor</t>
    </r>
    <r>
      <rPr>
        <sz val="10"/>
        <color rgb="FF000000"/>
        <rFont val="Arial"/>
        <family val="2"/>
      </rPr>
      <t xml:space="preserve">
Non-replacement of identified improper special wood sleepers as identified in the record of used sleepers and with defects and their replacement in 2023-2024 in the area of the switch no. 47.</t>
    </r>
    <r>
      <rPr>
        <b/>
        <sz val="10"/>
        <color rgb="FF000000"/>
        <rFont val="Arial"/>
        <family val="2"/>
        <charset val="238"/>
      </rPr>
      <t xml:space="preserve">
Systemic factors
1. Failure to carry out periodic repair works for proper maintenance of lines and switches, in order to maintain the track geometry within the permissible tolerances, in the conditions of insufficient material and human resources for these activities.</t>
    </r>
    <r>
      <rPr>
        <sz val="10"/>
        <color rgb="FF000000"/>
        <rFont val="Arial"/>
        <family val="2"/>
      </rPr>
      <t xml:space="preserve">
2. Ineffective management of the risks associated to improper special sleepers in area of the switches.</t>
    </r>
  </si>
  <si>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</si>
  <si>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</si>
  <si>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</si>
  <si>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</si>
  <si>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</si>
  <si>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r>
      <t>Causal factor
The derailment occurred as a result of an increase in the ratio of the guiding force to the weight acting on the right-hand wheel of axle no.1, relative to the running direction of the EA 478 banking locomotive, thereby exceeding the derailment stability limit, due to a combination of the following non-conformities:
1. existence within the track, at the accident site, of an area in which the track torsion ramp exceeded the maximum permissible value, as well as the exceeding of the permissible tolerances at the transverse level, which caused the unloading of the right-hand wheel of axle no.1;</t>
    </r>
    <r>
      <rPr>
        <sz val="10"/>
        <color rgb="FF000000"/>
        <rFont val="Arial"/>
        <family val="2"/>
      </rPr>
      <t xml:space="preserve">
2. exceeding the gauge variation between the points before the point of derailment, which caused an increase in the lateral (guiding) force;
3. the left-right load difference at axle no.1, the first in the running direction, which caused an increase in the load relief of the right wheel of axle no.1.</t>
    </r>
  </si>
  <si>
    <r>
      <t>Contributing factor</t>
    </r>
    <r>
      <rPr>
        <sz val="10"/>
        <color rgb="FF000000"/>
        <rFont val="Arial"/>
        <family val="2"/>
      </rPr>
      <t xml:space="preserve">
Exceeding of deadlines, stipulated by the applicable legislation, for the performance of periodical repairs at the lines at the accident site</t>
    </r>
    <r>
      <rPr>
        <b/>
        <sz val="10"/>
        <color rgb="FF000000"/>
        <rFont val="Arial"/>
        <family val="2"/>
        <charset val="238"/>
      </rPr>
      <t xml:space="preserve">
Systemic factors
1. Provision with improper material and human resources, against the necessary ones, for the performance of suitable maintenance of the line and keeping the track geometry between the accepted tolerances.
2. Ineffective management of the risks associated to the danger generated by exceeding the permitted tolerances of the track geometry.</t>
    </r>
  </si>
  <si>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</si>
  <si>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</si>
  <si>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</si>
  <si>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</si>
  <si>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</si>
  <si>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Causal factor
Exceeding the maximum permissible limit of track gauge in service, causing the wheel to fall from the left side of the first axle of the second bogie of wagon no. 81536650824-1, from the active flange of the inside track of the curve, between the rails, due to the improper condition of the track.</t>
  </si>
  <si>
    <t>Contributing factors
1. Exceeding of deadlines, stipulated by the applicable legislation, for the performance of periodical repairs at the lines at the accident site, thus maintaining a high degree of clogging of the broken rock prism with vegetation and coal dust.
2. The failure to carry out the periodical overhaul by authorized personnel, within the specified timeframes and in the specified order, has decreased the efficiency of this activity and therefore caused the failure to identify deficiencies in the superstructure of the track in time.
Systemic factors
1. Provision with improper material and human resources, against the necessary ones, for the performance of suitable maintenance of the line and keeping the track geometry between the accepted tolerances.
2. Deficiencies in the identification and assessment of the risks generated by own railway operations carried out by the entity in charge of track superstructure maintenance in relation to the risk "Derailments of railway vehicles in trains in service".</t>
  </si>
  <si>
    <t>PL-10513</t>
  </si>
  <si>
    <t>Level crossing accident, 10/1/2024, section Rogoźno Wielkopolskie - Budzyń , km 56,055 line 354</t>
  </si>
  <si>
    <t>An occurrence at a level crossing of category D (hereinafter referred to as the “level crossing”), where an IVECO truck (a tractor with a semi-trailer) drove onto the crossing directly in front of an oncoming MOJ 87940 passenger train running on the
Kołobrzeg-Poznań Główny section, as a result of which the train hit the semi-trailer of the truck.</t>
  </si>
  <si>
    <t>section Rogoźno Wielkopolskie - Budzyń , km 56,055 line 354</t>
  </si>
  <si>
    <t>demages of a truck car, total demages of the electric traction unit EN57AL-1527, demages of 150 m of the railway track</t>
  </si>
  <si>
    <t>Truck entering a level crossing directly in front of an oncoming train.</t>
  </si>
  <si>
    <t>Contributung factors:                                                                                 1) A road vehicle entering a level crossing without stopping as required by the B-20 “STOP” sign.
2) Sharp angle of the level crossing, making it difficult for the driver of the road vehicle to observe the front of the oncoming train.
3) Inattention of the driver of the road vehicle when he approached, drove onto and passed the level crossing while talking on the phone.     
Systemic factor:                                                                                       Insufficient description of the method for measuring the visibility of the front of oncoming trains included in section 4, part B of Annex No. 3 to the Regulation of the Minister of Infrastructure and Development of 20 October 2015 on the technical conditions to be met by crossings of railway lines and sidings with roads, and on their positioning (Journal of Laws of 2015, item 1744, as amended). The Regulation only specifies the height of the vantage point, which does not fully describe the conditions experienced by road users; in particular, it does not account for the limited visibility for drivers of road vehicles through windscreens and side windows.</t>
  </si>
  <si>
    <t>SE-10514</t>
  </si>
  <si>
    <t>Level crossing accident on the open line between Ryr and Uddevalla, 15/1/2024</t>
  </si>
  <si>
    <t>Level crossing accident between a commuter train and a truck.</t>
  </si>
  <si>
    <t>Ramseröd levelcrossing, on the open line between Ryr and Uddevalla, km 4+481.</t>
  </si>
  <si>
    <t>SJ AB (Götalandståg)</t>
  </si>
  <si>
    <t>Trailer totally damaged, front of the train damaged.</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</si>
  <si>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</si>
  <si>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</si>
  <si>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</si>
  <si>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</si>
  <si>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</si>
  <si>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</si>
  <si>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 xml:space="preserve">Causal factor
The multiple and complete breakage of the rail on the right-hand side (in the running direction of the train) of the first buffer panel of the switch no.16 (from km 186+120,50 up to the last rail joint - the joint at the heel of the frog), under the action of the dynamic forces transmitted to the track by the rolling stock, a break that was generated by keeping the rails well above their operating limit and by exceeding the regulated transport capacity of those rails. 
</t>
  </si>
  <si>
    <t xml:space="preserve">Contributing factor
Exceeding the deadlines, laid down by the applicable legislation, for carrying out capital repair work on the line, in the area where the railway accident occurred.
Systemic factors
 ensuring of insufficient material and human resources, in relation to the necessary ones, for the performance of proper maintenance of the line and keeping of the track geometry between the accepted tolerances;
 ineffective management of the risks associated with the danger of keeping rails in operation, with defects of category I or with stored tonnage exceeded by the infrastructure administrator.
</t>
  </si>
  <si>
    <t>CZ-10511</t>
  </si>
  <si>
    <t xml:space="preserve">SPAD, 16-01-24, Rynoltice station (Czech Republic) </t>
  </si>
  <si>
    <t>Unauthorized movement of the long distance passenger train No. 1334 behind the
single-aspect signal with signal „End of the train route“ with consequent ride to
preparing train route for the oncoming long distance passenger train No. 1333</t>
  </si>
  <si>
    <t>Rynoltice station</t>
  </si>
  <si>
    <t>ARRIVA vlaky, s. r. o.</t>
  </si>
  <si>
    <t>Total damage CZK 23 315,- (EUR 949,-)</t>
  </si>
  <si>
    <t>Causal factor:
• the train driver of the long distance passenger train No. 1334 did not act during entry and while driving on the station track No. 3 as at the train which regularly stops at Rynoltice station, which is station without departure signal devices and where train must stopped if it was not dispatched by station dispatcher.</t>
  </si>
  <si>
    <t>RO-10512</t>
  </si>
  <si>
    <t>Fire in RS, 23/1/2024, Mogoșeni - Beclean pe Someș</t>
  </si>
  <si>
    <r>
      <t>A fire brust out into the car no..50532049115-0  (3rd</t>
    </r>
    <r>
      <rPr>
        <sz val="10"/>
        <color rgb="FF000000"/>
        <rFont val="Arial"/>
        <family val="2"/>
        <charset val="238"/>
      </rPr>
      <t>)</t>
    </r>
    <r>
      <rPr>
        <sz val="8"/>
        <color rgb="FF000000"/>
        <rFont val="Arial"/>
        <family val="2"/>
        <charset val="238"/>
      </rPr>
      <t xml:space="preserve"> </t>
    </r>
    <r>
      <rPr>
        <sz val="10"/>
        <color rgb="FF000000"/>
        <rFont val="Arial"/>
        <family val="2"/>
      </rPr>
      <t>who running  in the composition of passenger train no.1830, between Mogoșeni and Beclean pe Someș railway stations. Later the fire spread to the third car of the train (car no.50532049112-7).</t>
    </r>
  </si>
  <si>
    <t>Mogoșeni - Beclean pe Someș</t>
  </si>
  <si>
    <t xml:space="preserve">The bodies of the cars no. 50532049112-7 and no.50532049115-0 burned completely. </t>
  </si>
  <si>
    <t>Causal factor
Possible external action that started the fire in the lower area of the toilet cabin in the front left, running direction, of the passenger car no. 50532049115-0 (opposite end with hand brake).</t>
  </si>
  <si>
    <t>Contributing factor
The extension of the consequences of the accident was influenced by the air currents produced by the running of the train, the toilet cabin window was in the half-open position, and by the compressed air pressure discharge from the pneumatic system for opening the door of the saloon door of the wagon (as a result of overheating and damage to the 5 and 10 bar pipes of the pneumatic system for operating the saloon door).
Systemic factor
Failure to identify risks arising from situations where an external factor (e.g. passenger) could cause fires in rail vehicles on trains in service.</t>
  </si>
  <si>
    <t>CZ-10515</t>
  </si>
  <si>
    <t>BG-10523</t>
  </si>
  <si>
    <t>Derailment of IDFT No 4660 along interstation Lyubenovo-Predavatelna-Radnevo, 3/2/2024</t>
  </si>
  <si>
    <t>Derailment of two wagons of IDFT No 4660 along interstation Lyubenovo-Transmission station-Radnevo. International direct freight train (IDFT) along the route Türkiye-Bulgaria-Romania-Germany</t>
  </si>
  <si>
    <t>interstation Lyubenovo-Predavatelna-Radnevo. International direct freight train (IDFT) along the route Türkiye-Bulgaria-Romania-Germany</t>
  </si>
  <si>
    <t>Damages to the two derailed wagons, railway infrastructure and signalling in Radnevo station</t>
  </si>
  <si>
    <t>A combination of the vertical forced oscillations of the wagon (galloping) caused by the beaten tracks of the rail track</t>
  </si>
  <si>
    <t>A combination of the vertical forced oscillations of the wagon (galloping) caused by the beaten tracks of the rail track with the horizontal movement of the second wheelset of the penultimate wagon towards the right (inside) rail due to the appearance of a horizontal transverse force before exiting the transition curve, supplemented by the small gross weight of the two-axle wagon (empty) and the features of its spring suspension filled with parabolic springs with bilinear characteristics.</t>
  </si>
  <si>
    <t>DK-10520</t>
  </si>
  <si>
    <t>Accident to persons caused by RS in motion, 5/2/2024, Thisted station</t>
  </si>
  <si>
    <t>Person hit by a train</t>
  </si>
  <si>
    <t>Thisted</t>
  </si>
  <si>
    <t>The person was under the influence of alcohol</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</si>
  <si>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</si>
  <si>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</si>
  <si>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</si>
  <si>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</si>
  <si>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</si>
  <si>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</si>
  <si>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The vehicle combination driver failed to notice the approaching shunting unit.</t>
  </si>
  <si>
    <t>There is currently no actor at timber loading sites that would coordinate different functions and be responsible for overall safety.
There are no safety requirements or guidelines for level crossings at timber loading sites to support planning and maintenance. Furthermore, the requirements for level crossings on the public road network do not apply to them.</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</si>
  <si>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</si>
  <si>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</si>
  <si>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</si>
  <si>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</si>
  <si>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</si>
  <si>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</si>
  <si>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r>
      <t xml:space="preserve">Causal factor </t>
    </r>
    <r>
      <rPr>
        <sz val="10"/>
        <color rgb="FF000000"/>
        <rFont val="Arial"/>
        <family val="2"/>
      </rPr>
      <t xml:space="preserve">
Failure to comply with the parking conditions of the freight train no. 86350 and acceptance of the transition from the circulation system to shunting, without complying with the conditions laid down by the regulations in force.</t>
    </r>
  </si>
  <si>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</si>
  <si>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</si>
  <si>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</si>
  <si>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</si>
  <si>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</si>
  <si>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</si>
  <si>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</si>
  <si>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0 (SRs from earlier investigations in place, 04/2025, 01/2023)</t>
  </si>
  <si>
    <t>Fault track system in clear reporting [F1]; Advancing without travel [F2]; Location not identified [F4]; Incorrect assessment of the operational situation [F5]; Defec􀆟ve inspection clearance [F7]; Prerequisites for travel with special order not met [F8].</t>
  </si>
  <si>
    <t>Information not correct [S2].</t>
  </si>
  <si>
    <t>NO-10527</t>
  </si>
  <si>
    <t>Runaway, 12/2/2024, Ekeberg line</t>
  </si>
  <si>
    <t xml:space="preserve">Investigation of a serious railway incident on the Ekeberg line, Oslo. 
On Monday 12 February 2024, a tractor trailer with rail wheels rolled down uncontrolled from the Ekebergparken tram stop in the direction of the city centre. The incident took place during construction work, while the track was closed to ordinary traffic. The tractor trailer collided with an excavator in the track, and stopped, approximately 250 meters further down. Under slightly different circumstances, this could have turned into a serious accident. </t>
  </si>
  <si>
    <t>Ekeberg line</t>
  </si>
  <si>
    <t>Minor material damages</t>
  </si>
  <si>
    <t>Other national rules/regulations (covering possible areas excluded in Art 2 §2 -(b))</t>
  </si>
  <si>
    <t>CZ-10524</t>
  </si>
  <si>
    <t xml:space="preserve">Unauthorized movement (SPAD), 16-02-24, Havlíčkův Brod station (Czech Republic) </t>
  </si>
  <si>
    <t>Unauthorized movement (SPAD)</t>
  </si>
  <si>
    <t>Unauthorized movement of the shunting operation behind the signal device Se12 and consequent ride into the train route for the regional passenger train No. 8747</t>
  </si>
  <si>
    <t>Havlíčkův Brod station, the station track No. 2a, the signal device
Se12, km 223,292</t>
  </si>
  <si>
    <t>Shunting operation;
Regional train</t>
  </si>
  <si>
    <t>CZK 204 100,- (€ 8 018,-); infrastructure</t>
  </si>
  <si>
    <t>Article 20.2 of Directive (EU) 2016/798 – (a), (b), ©</t>
  </si>
  <si>
    <t>Causal factor:
- failure to respect the signal „Shunting forbidden“ of the shunting signal device Se12 at Havlíčkův Brod station by the train driver of the shunting operation.
Contributing factor:
- the station dispatcher of Havlíčkův Brod station did not tell required information during permission for shunting to the train driver of the shunting operation, did not give an order to release the train route and did not stop of interferring shunting.</t>
  </si>
  <si>
    <t>RO-10528</t>
  </si>
  <si>
    <t>Trains collision, 27/2/2024, Timpuri Noi</t>
  </si>
  <si>
    <t>The metro train (TEM) 4, consisting in the TEM 1121-2121, running from the station Mihai Bravu to the station Timpuri Noi, on track II, passed the entry signal of the station Timpuri Noi on stop position and entered the deflecting section, on the cross-over 8-4 on the line 1 of this station, where it was parked the metro train 17, composed from TEM 1117-2117, these two metro trains coupling themselves.</t>
  </si>
  <si>
    <t>Timpuri Noi</t>
  </si>
  <si>
    <t xml:space="preserve">None.   </t>
  </si>
  <si>
    <r>
      <t>Causal factors</t>
    </r>
    <r>
      <rPr>
        <sz val="10"/>
        <color rgb="FF000000"/>
        <rFont val="Arial"/>
        <family val="2"/>
      </rPr>
      <t xml:space="preserve">
- delayed application of braking measures and performing a spontaneous brake application before an emergency brake, which resulted in train 04 passing the Y signal at metro station Timpuri Noi, followed by its coupling with train 17;
- incorrect execution of the exit route for train 17, which allowed train 04 to enter line 1 at metro station Timpuri Noi, already occupied by train 17, causing their coupling.</t>
    </r>
  </si>
  <si>
    <r>
      <t>Contributing factors</t>
    </r>
    <r>
      <rPr>
        <sz val="10"/>
        <color rgb="FF000000"/>
        <rFont val="Arial"/>
        <family val="2"/>
      </rPr>
      <t xml:space="preserve">
- lack of supervision of train 04 (which had its ATP system isolated) by the traffic control personnel;
- deficiencies in verbal communications via the radio communications system and the operational telephone during a crisis situation.</t>
    </r>
    <r>
      <rPr>
        <sz val="10"/>
        <color rgb="FF000000"/>
        <rFont val="Arial"/>
        <family val="2"/>
        <charset val="238"/>
      </rPr>
      <t xml:space="preserve">
Systemic factors
- failure of the designed personnel to apply the provisions of the Procedure PS - 1.1.2.1.1 - 07 - Internal and External Communication, related to verification activities and actions to improve the communication process;
- lack of detailed provisions on the proper execution of verbal communications via the radio communication system and the operational telephone, ensuring coverage of the full range of situations encountered in metro train operations.</t>
    </r>
  </si>
  <si>
    <t>RO-10530</t>
  </si>
  <si>
    <t>Train derailment, 1/3/2024, Jirov</t>
  </si>
  <si>
    <t>One wagon (3rd) from the composition of the freight train no.65094 derailed in Jirov railway station.</t>
  </si>
  <si>
    <t>Jirov</t>
  </si>
  <si>
    <t xml:space="preserve">Damage to the first bogie in the running direction from wagon no.81536653508-7.
The line was damaged for about 52 meters. </t>
  </si>
  <si>
    <r>
      <t>Causal factor</t>
    </r>
    <r>
      <rPr>
        <sz val="10"/>
        <color rgb="FF000000"/>
        <rFont val="Arial"/>
        <family val="2"/>
      </rPr>
      <t xml:space="preserve">
The loosening of the connection between the bogie frame and the brake hanger (located on the left-hand side - facing the running direction) of wheel no.2 of freight wagon no.81536653508-7), which caused the detachment and fall of the brake beam of the wagon, followed by its impact with wheel no.2 and the climbing of this wheel onto the rail on the left-hand side of the track.</t>
    </r>
  </si>
  <si>
    <t>Contributing factor
Breakage of the safety stirrup associated with wheel no.2 during the running of freight train no.65094.
Systemic factor
Lack of measures to control the risks associated with the danger of a wagon subassembly falling off during train operation.</t>
  </si>
  <si>
    <t>CZ-10531</t>
  </si>
  <si>
    <t>Collision of the regional passenger train No. 13206 with the worker (employee
of the infrastructure manager) between Rožnov pod Radhoštěm and Střítež
nad Bečvou operating control points</t>
  </si>
  <si>
    <t>Collision of the regional passenger train No. 13206 with a person (worker of IM who worked at open line).</t>
  </si>
  <si>
    <t>open line between Rožnov pod Radhoštěm and Střítež nad Bečvou operating control points, km 9,112</t>
  </si>
  <si>
    <t>Total damage CZK 27 754,- (EUR 1 111,-)</t>
  </si>
  <si>
    <r>
      <t>Causal factor:</t>
    </r>
    <r>
      <rPr>
        <sz val="10"/>
        <color rgb="FF000000"/>
        <rFont val="Liberation Sans"/>
      </rPr>
      <t xml:space="preserve">
• failure to ensure own safety by the track foreman at entrance and stay in structure gauge of the track line at the time while the the regional passenger train No. 13206 was moving.
Contributing factor:
• the train driver of the regional passenger train No. 13206 did not warn by warning
signal „Attention“ the track foreman who was situated in structure gauge of the track line or in walking and handling clearance or nearness and who entered to the structure gauge before the occurrence, because the train driver did not see the track foreman although the track foreman was located in place where he was detectable from cab of the train driver.</t>
    </r>
  </si>
  <si>
    <t>DE-10534</t>
  </si>
  <si>
    <t>Trains collision, 7/3/2024, Mannheim Rbf.</t>
  </si>
  <si>
    <t>DGS 43373 fuhr aus Richtung Mannheim-Käfertal nach Gleis 602 der Gruppe K in Mannheim Rbf ein und fuhr am Halt zeigenden hochstehenden Zielsignal Ls 602II am Ende des Einfahrgleises 602 unzulässig vorbei. Anschließend fuhr der Zug die Weichen 324 und 325 c/d auf, kollidierte mit der am Berg A stehenden Rangierlok der DB Cargo AG und verschob diese um ca. 2 Loklängen.</t>
  </si>
  <si>
    <t>Mannheim Rbf.</t>
  </si>
  <si>
    <t>LTE Neterlands B.V., DB Cargo AG.</t>
  </si>
  <si>
    <t>The two train drivers both sustained minor injuries in the event. Property damage was caused to the railway vehicles and the infrastructure.</t>
  </si>
  <si>
    <t>Lack of operational reliability [F1]; Target signal not equipped with 2,000 Hz track magnet [F2].</t>
  </si>
  <si>
    <t>No planning requirement for target signals in marshalling yards to be equipped with PZB [S2]</t>
  </si>
  <si>
    <t>BE-10535</t>
  </si>
  <si>
    <t>Trains collision with an obstacle, 12/3/2024, Belsele</t>
  </si>
  <si>
    <t>Collision between an empty passenger train and a railway crane</t>
  </si>
  <si>
    <t>Belsele</t>
  </si>
  <si>
    <t>1/ Damages to rolling stock: all three coaches of the derailed train were damaged (coupling, bogies, buffers,...). The other train suffered damage to the pantograph and fire-damage due to catenary falling on the train.
2/ Damages to infrastructure: the following infrastructure needs to be repaired or replaced: rails, sleepers, catenary, embankment, fences, signalling (crocodiles, balises and glass fibre cable).
3/ Damages to railway crane: the railway crane was damaged beyond repair.
4/ Rail trafic was not possible for about 1 week.</t>
  </si>
  <si>
    <t>The direct cause of the collision of the railway crane by the train is the sliding of the railway crane into the clearance gauge of the track, due to the subsidence of the surface of the cycle highway on which the railway crane was travelling.</t>
  </si>
  <si>
    <t>* The first contributing factor is the relocation of the railway crane before the pre-job briefing and before the infrastructure manager's permission to start the works.
* The second contributing factor is the limited passage and the stability of the surface of the cycle highway.
* The third contributing factor is that after the railway crane sinks onto the tracks, Central Dispatching is not immediately notified.
* The systemic factor is insufficient risk awareness of 'starting works early' and 'preparing for works', which can be interpreted differently by workers.</t>
  </si>
  <si>
    <t>RO-10532</t>
  </si>
  <si>
    <t>Train derailment, 13/3/2024, Zoița - Râmnicu Sărat</t>
  </si>
  <si>
    <t>One wagon (27th) from the composition of the freight train no.66307 derailed between Zoița and Râmnicu Sărat railway stations.</t>
  </si>
  <si>
    <t>Zoița - Râmnicu Sărat</t>
  </si>
  <si>
    <t xml:space="preserve">Damage to the wagon no.83537963122-8.
The line was damaged for about 1635 meters. </t>
  </si>
  <si>
    <t>Causal factor
The overheating of the axle box of wheel no. 2 caused the liquefaction and burning of the grease causing the roller bearing to seize, followed by the breaking of the axle journal due to the high temperature and the detachment of the axle box of wheel no. 2 from wagon 83537963122-8 (the 27th in the train composition). This resulted in the loss of the guiding force of the axle corresponding to wheels 1-2 and the derailment of both axles of the first bogie of this wagon.</t>
  </si>
  <si>
    <r>
      <t>Contributing factor
Failure to identify the overheated axle box by the traction staff operating freight train no.66307 during the check carried out following the notification of a smoke emission from one of the wagons in the train composition, as reported by the movement’s inspector at railway station Boboc.
Systemic factors
1. Omissions in the operational procedure "Risk Assessment of Relevant Processes", code PS6.1-01, regarding the responsibilities of the driver and driver’s assistant roles in relation to the risks posed by the hazard of abnormally heated axle boxes.</t>
    </r>
    <r>
      <rPr>
        <sz val="10"/>
        <color rgb="FF000000"/>
        <rFont val="Arial"/>
        <family val="2"/>
      </rPr>
      <t xml:space="preserve">
2. The absence of the topic on identifying the hazard of an abnormally heated axle box from the lesson plan for driver and driver’s assistant roles.</t>
    </r>
  </si>
  <si>
    <t>CZ-10533</t>
  </si>
  <si>
    <t>SPAD, 18/3/2024, Žalhostice station</t>
  </si>
  <si>
    <t>Unauthorized movement (SPAD) of the regional passenger train No. 25502 behind the main (departure) signal device S1 and entry to the train route for the oncoming regional passenger train No. 6131 at Žalhostice station</t>
  </si>
  <si>
    <t>Žalhostice station</t>
  </si>
  <si>
    <t>AŽD Praha, s.r.o.; České dráhy, a. s.</t>
  </si>
  <si>
    <t xml:space="preserve">Total preliminary damage CZK/EUR 0,- </t>
  </si>
  <si>
    <t>NO-10536</t>
  </si>
  <si>
    <t>Railway accident at Arna station, on the Bergen line, 22/03/2024</t>
  </si>
  <si>
    <t>Freight train passed signal at danger and crashed at Arna station</t>
  </si>
  <si>
    <t>Arna station, Bergensbanen</t>
  </si>
  <si>
    <t>Onrail AS</t>
  </si>
  <si>
    <t>Damage to locomotive, freight carriers, wagons and infrastructure.</t>
  </si>
  <si>
    <t>The direct cause of the accident was that the train was travelling with very reduced braking power from Bergen terminal, so that the train had no possibility to stop at Arna station where it was to cross with a passenger train.</t>
  </si>
  <si>
    <t>The Norwegian Safety Investigation Authority's safety investigation has concluded that the following contributing factors contributed to the accident:
The main brake pipe cranes between the locomotive and the first wagon had been closed before departure from Bergen due to troubleshooting on the locomotive. Neither the driver nor the terminal worker remembered that the cranes were closed and therefore no check that the main brake pipe was open was performed before departure. This meant that the driver was unable to apply brakes to the wagons.
The driver had carried out a brake test while running in the Ulriken tunnel. The brake test was carried out on an incline and the driver perceived the braking effect to be normal, despite the fact that there were only brakes on the locomotive.
Frequent failures of the monitor in the driver's cab of the Alstom Traxx F160 AC3 (BR187) during start-up, in some cases resulting in the driver having to perform a complete restart of the locomotive. The cranes between the locomotive and the wagons were then often closed to avoid emptying the main brake pipe. The failure of the monitor is not safety-critical, but affects necessary functions and the drivers therefore feel the need to troubleshoot and correct the error before departure.
Locomotive BR187-406 had been in use at OnRail AS for about a year. OnRail AS had not risk assessed the locomotive type before it was put into service by the company, nor did it have a written procedure for train drivers on how to carry out fault corrections involving the closing of main brake pipe cranes.</t>
  </si>
  <si>
    <t>RO-10537</t>
  </si>
  <si>
    <t>Train derailment, 26/3/2024, Berbesți - Popești Vâlcea</t>
  </si>
  <si>
    <t>One wagon (13th) from the composition of the freight train no.60566 derailed between Popești Vâlcea and Băbeni railway stations.</t>
  </si>
  <si>
    <t>Berbesți - Popești Vâlcea</t>
  </si>
  <si>
    <t xml:space="preserve">The two axles were affected, which were traveling in a derailed state from wagon no.81536653750-5.
The line was damaged for about 900 meters. </t>
  </si>
  <si>
    <r>
      <t xml:space="preserve">Causal factor </t>
    </r>
    <r>
      <rPr>
        <sz val="10"/>
        <color rgb="FF000000"/>
        <rFont val="Arial"/>
        <family val="2"/>
      </rPr>
      <t xml:space="preserve">
The existence of improper wooden sleepers in the track at the site of the accident, which could no longer ensure the tightening of the coach screw for fastening the baseplates and preventing their displacement, thus favouring an increase in the track gauge value above the maximum value allowed in operation.</t>
    </r>
  </si>
  <si>
    <r>
      <t>Contributing factor</t>
    </r>
    <r>
      <rPr>
        <sz val="10"/>
        <color rgb="FF000000"/>
        <rFont val="Arial"/>
        <family val="2"/>
      </rPr>
      <t xml:space="preserve">
Failure to replace the improper wooden sleepers identified on the curve where the accident occurred and recorded in the " Register of Defective and Worn Sleepers and Their Replacement in 2023–2024".</t>
    </r>
    <r>
      <rPr>
        <sz val="10"/>
        <color rgb="FF000000"/>
        <rFont val="Arial"/>
        <family val="2"/>
        <charset val="238"/>
      </rPr>
      <t xml:space="preserve">
Systemic factors
1. Failure to carry out periodic repair works to ensure proper maintenance of the lines and to maintain track geometry within the permitted tolerances.
2. Provision with improper material and human resources, against the necessary ones, for the performance of suitable maintenance of the line.
3. Ineffective risk management regarding the hazard posed by the presence of two or more neighbouring improper sleepers in the track.</t>
    </r>
  </si>
  <si>
    <t>EL-10538</t>
  </si>
  <si>
    <t>SKA Railway Station</t>
  </si>
  <si>
    <t>EL-10539</t>
  </si>
  <si>
    <t>Trespasser hit by train near  Zevgolatio Station, 17/01/2024</t>
  </si>
  <si>
    <t xml:space="preserve">Passenger train 1313 route Kiato-Pireaus  hit a trespasser trying to cross the railway lines (not on level crossing) near Zevgolatio St. (at KM 118+400) </t>
  </si>
  <si>
    <t xml:space="preserve">Near Zevgolatio St. (at KM 118+400 of Athens -Kiato line)) </t>
  </si>
  <si>
    <t>The trespasser that was hit by the train is dead</t>
  </si>
  <si>
    <t>LV-10540</t>
  </si>
  <si>
    <t>An uncontrollable rolling of 32 wagons from the sorting hill resulted in a side collision of these wagons with a freight train</t>
  </si>
  <si>
    <t>Šķirotava  park "B" Sorting station</t>
  </si>
  <si>
    <t>LDZ CARGO Ltd</t>
  </si>
  <si>
    <t>SJSC "Latvijas dzelzceļš"</t>
  </si>
  <si>
    <t>As a result of the collision, nine freight wagons were damaged, five of which derailed as a result of which the railway infrastructure was damaged - route traffic lights, road boxes, switches and their blowing devices</t>
  </si>
  <si>
    <t>The direct cause of the accident was the exit of a 32-wagon cut from the third braking position at an increased speed of 3.778 m/s, which was approximately twice the calculated speed of 1.826 m/s.</t>
  </si>
  <si>
    <t>Contributory factors:Environmental factors: Fog and haze at the time of the accident significantly reduced visibility, impairing the ability of the hump yard operator and the train assembler to visually monitor operations and assess the movement dynamics of the rolling stock.
Systemic factors:Deficiencies in operational documentation: At the time of handover, the manufacturer of the MSR32 system had not specified clear, written limits regarding the maximum length and weight of wagon cuts. The manufacturer considered such limits unnecessary provided that general operational rules were observed. Consequently, these limits were not incorporated into the Infrastructure Manager’s operational documentation. This deficiency led to a situation in which railway personnel acted in accordance with the valid but incomplete instructions, resulting in what the manufacturer later described as “non-typical use” of the system, allowing the classification of wagon cuts exceeding the physical limits of the hump. Only after the accident did the manufacturer provide clarifications and define new limits.</t>
  </si>
  <si>
    <t>HR-10541</t>
  </si>
  <si>
    <t>Level crossing accident, 15-02-2024, LC Stare Plavnice (between stations Sveti Ivan Zabno-Bjelovar) (Croatia)</t>
  </si>
  <si>
    <t>On February 15, 2024, at 4:55 p.m. at the LC "Stare Plavnice", actively secured (light, sound and half-bumper) on the line marked L203 Križevci - Bjelovar - Kloštar at km 029+865 when train number 787 passed over the mentioned LP, train struck a road motor vehicle with the front left side of a diesel motor train marked 95 78 7121 008-5 in the direction of travel. The train was operating on the route Zagreb - Virovitica.
The driver of the road motor vehicle was minor injured in the accident, and there was major material damage to the road motor vehicle and minor material damage to the diesel motor train.</t>
  </si>
  <si>
    <t>LC Stare Plavnice (between stations Sveti Ivan Zabno-Bjelovar)</t>
  </si>
  <si>
    <t>HZ Putnicki prijevoz d.o.o.</t>
  </si>
  <si>
    <t xml:space="preserve">   There was major material damage to the road motor vehicle and minor material damage to the diesel motor train.</t>
  </si>
  <si>
    <r>
      <t xml:space="preserve">The </t>
    </r>
    <r>
      <rPr>
        <i/>
        <sz val="11"/>
        <color rgb="FF000000"/>
        <rFont val="Calibri"/>
        <family val="2"/>
        <charset val="238"/>
      </rPr>
      <t xml:space="preserve">causal factor </t>
    </r>
    <r>
      <rPr>
        <sz val="11"/>
        <color rgb="FF000000"/>
        <rFont val="Calibri"/>
        <family val="2"/>
        <charset val="238"/>
      </rPr>
      <t>of the subject accident was a combination of events related to the failure of the signaling safety device for the protection of the LC and passing of train number 787 over the railway level crossing which was not secured at that moment, resulting in the train colliding with a road motor vehicle with the front left side of the train in the direction of train movement (chapter 3.2.1).</t>
    </r>
  </si>
  <si>
    <t>Contributing factor:
-   not determined.
System factors:
-     periodicity of maintenance of signal safety devices (chapter 3.1.8 and 4.2.4),
-    driving the train at a speed higher than the prescribed speed according to the timetable book (chapter 3.1.7).</t>
  </si>
  <si>
    <t>SE-10542</t>
  </si>
  <si>
    <t>Derailment on Malmbanan at Vassujaure station</t>
  </si>
  <si>
    <t>Investigation of a (second) derailment at Vassijaure station on Malmbanan Kiruna - Narvik. 2 - 3 unloaded iron ore wagons derailed west of Vassijaure station and was pulled along with the train for about 1 km. At Vassijaure station the derailment developed, forcing several wagons of the track, damaging catenary poles, causing the train to stop.</t>
  </si>
  <si>
    <t>Total loss of 10 freight wagons and major damage to infrastructre, switches, track, sleepers etc.</t>
  </si>
  <si>
    <t>Article 20.1 of Directive (EU) 2016/798 - (a)</t>
  </si>
  <si>
    <t>The direct cause of the derailment was that packed snow, together with lateral forces, caused wheel axles with low axle load to lift and flanges to climb over the rails.
A contributing factor was that strong winds, in combination with the temperature difference between air and ground, formed snowdrifts of hard and packed snow on the track.
A further contributing factor was a hole in the wall of snow gallery 14, which enabled snow to drift onto the track and underneath the wagons.
The long pause of the train allowed yet more snow to drift underneath the wagons.
At inspections, the hole in the wall of snow gallery 14 had not been noted and repaired.
The south-easterly wind may have contributed to increased drift and formations of snow in gallery 14.</t>
  </si>
  <si>
    <t>Operational rules and routines had not dealt with the risks of severe snowdrift formation underneath stationary wagons of low axle weight.</t>
  </si>
  <si>
    <t>RO-10543</t>
  </si>
  <si>
    <t>Fire in RS, 21/4/2024, Sântana - Utvinișu Nou</t>
  </si>
  <si>
    <t xml:space="preserve">A fire brust out into hauling locomotive DA 1544 of the freight train no.66290020 between Sântana and Utvinișu Nou railway stations. </t>
  </si>
  <si>
    <t>Sântana - Utvinișu Nou</t>
  </si>
  <si>
    <t xml:space="preserve">Following the fire at the locomotive DA 1544, there were burnt:
- auxiliary diesel engine;
- force cables of the electric engines 4 and 5;
- ventilation group of the bogie no.2;
- pump for the fuel transfer;
- indicators of the diesel engine
- air conditioning system existing on the celling of driving cab no.2
</t>
  </si>
  <si>
    <r>
      <t>Causal factor:</t>
    </r>
    <r>
      <rPr>
        <sz val="10"/>
        <color rgb="FF000000"/>
        <rFont val="Arial"/>
        <family val="2"/>
      </rPr>
      <t xml:space="preserve">
The occurrence of a short-circuit inside the connection box of traction motor no. 4.</t>
    </r>
  </si>
  <si>
    <r>
      <t>Contributing factors:</t>
    </r>
    <r>
      <rPr>
        <sz val="10"/>
        <color rgb="FF000000"/>
        <rFont val="Arial"/>
        <family val="2"/>
      </rPr>
      <t xml:space="preserve">
The presence of water, diesel fuel, and oils inside the connection box of traction motor no. 4, originating from leaks from the diesel engine installations.
Operation of locomotive DA1544 beyond the maximum time interval prescribed for carrying out periodic repairs/overhauls.</t>
    </r>
    <r>
      <rPr>
        <sz val="10"/>
        <color rgb="FF000000"/>
        <rFont val="Arial"/>
        <family val="2"/>
        <charset val="238"/>
      </rPr>
      <t xml:space="preserve">
Systemic factors:
The ineffectiveness of the monitoring process of the measures established to control the risks associated with the hazard "Flammable liquid leaks from locomotives".
The ineffectiveness of the monitoring process of the measures established to control the risks associated with the hazard "Failure to respect the time intervals for carrying out periodic repairs / overhaul".
Failure to identify the hazard related to the operation of locomotives in improper cleanliness conditions in the area of the connection boxes of the locomotive's traction motors.</t>
    </r>
  </si>
  <si>
    <t>DE-10544</t>
  </si>
  <si>
    <t>Train derailment, 15/4/2024, Aachen West</t>
  </si>
  <si>
    <t>Am 15.04.2024 gegen 13:18 Uhr entgleiste der Güterzug DGS 47026 auf der Fahrt von Ba-sel nach Antwerpen (Belgien) im Bf Aachen West auf der Strecke 2550 in km 4,5.</t>
  </si>
  <si>
    <t>Aachen West</t>
  </si>
  <si>
    <t>CrossRail Benelux NV</t>
  </si>
  <si>
    <t>2 container waggons derailed. Switchs and signalling equipment damaged.</t>
  </si>
  <si>
    <t>DE-10545</t>
  </si>
  <si>
    <t>Trains collision, 16/4/2024, Worms Hbf</t>
  </si>
  <si>
    <t>Am 16.04.2024 gegen 8:54 Uhr fuhr die Rangierfahrt des EVU DB Regio AG bei der Fahrt von Gleis 10 nach Gleis 99 am Halt zeigenden Lichtsperrsignal LS 199 I vorbei. In der Folge kollidierte diese auf der Weiche W 67 als Flankenfahrt mit der Zugfahrt ICE 614 des EVU DB Fernverkehr AG.</t>
  </si>
  <si>
    <t>Worms Hbf</t>
  </si>
  <si>
    <t>DB InfraGo AG</t>
  </si>
  <si>
    <t>High speed passenger unit and regional transport unit derailed and lightly damaged.</t>
  </si>
  <si>
    <t>CZ-10546</t>
  </si>
  <si>
    <t>Train derailment, 02-05-24, Čisovice station (Czech Republic)</t>
  </si>
  <si>
    <t>Unsecured movement of diesel railcar from station to line and consequent derailment.</t>
  </si>
  <si>
    <t>Čisovice station, station track No. 1</t>
  </si>
  <si>
    <t>Station, line</t>
  </si>
  <si>
    <t>detached diesel railcar</t>
  </si>
  <si>
    <t>CZK 9 100 000,- (€ 362 694,-); Rolling stock, infrastructure</t>
  </si>
  <si>
    <t>HU-10547</t>
  </si>
  <si>
    <t>Level crossing accident, 7/5/2024, Adács</t>
  </si>
  <si>
    <t xml:space="preserve"> A freight train strucked a truck at a level crossing and derailed on 4 axles.</t>
  </si>
  <si>
    <t>Adács</t>
  </si>
  <si>
    <t>Retrack Hungary</t>
  </si>
  <si>
    <t>The locomotive  derailed, truck and locomotive were seriously damaged, the railway damaged about 100 mteres.</t>
  </si>
  <si>
    <t>HU-10548</t>
  </si>
  <si>
    <t>Trains collision near miss, 8/5/2024, Kaposmérő</t>
  </si>
  <si>
    <t xml:space="preserve"> A passenger train arrived on line nr. 3., witch was occupied by a freight train.</t>
  </si>
  <si>
    <t>Kaposmérő</t>
  </si>
  <si>
    <t>MÁV-START</t>
  </si>
  <si>
    <t>The line was closed for about 3 hour.</t>
  </si>
  <si>
    <t>Human factor of signalman</t>
  </si>
  <si>
    <t>procedures relating to the check of track occupancy</t>
  </si>
  <si>
    <t>RO-10549</t>
  </si>
  <si>
    <t>Fire in RS, 15/5/2024, Dorobanțu - Basarabi</t>
  </si>
  <si>
    <t xml:space="preserve">A fire brust out into hauling locomotive DA 1504 of the freight train no.66363 between Dorobanțu and Basarabi railway stations. </t>
  </si>
  <si>
    <t>Dorobanțu - Basarabi</t>
  </si>
  <si>
    <t xml:space="preserve">The locomotive DA 1504 was affected (diesel engine, traction engine no. 4 and various elements of the installations in this area).                      </t>
  </si>
  <si>
    <t>Causal factor
A short circuit in the rotor winding of the main generator, which caused the formation of a ring of fire in the collector chamber of the main generator.</t>
  </si>
  <si>
    <t>Contributing factor
Failure to detect the existing fault in the main generator rotor during the periodic overhaul type R1 on locomotive DA 1504, which was intended to ensure the technical capability required for the safe, comfortable, and secure operation of railway transport.
Systemic factor
Ineffectiveness of the measures established to control the risks associated with the hazard of “insufficient monitoring of maintenance process execution by the contractor.”</t>
  </si>
  <si>
    <t>PL-10550</t>
  </si>
  <si>
    <t>Train derailment, 1/5/2024, station Rudna Gwizdanów</t>
  </si>
  <si>
    <t xml:space="preserve">During the entry of train No. 664014/5 (Pol-Miedź Trans Spółka z o.o.) Lubin Kghm BSZ – Głogów Wróblin route route 6Dg-201-E from Koźlice station direction – track No. 1 at Rudna Gwizdanów station at exit No 2 and 3/7 was derailed 6 wagons, 9 and 10 behind locomotive No 84 51 0835092-5 (broken axle in the wagon) and 84 51 0835082-6 and 14, 15, 16 and 17 wagons 84 51 0835101-4, 33 51 0665185-4, 84 51 0835028-9 and 84 51 0835059-4 in train composition (cargots 90UN3077). The train was run on a route organised for a signal allowing the entry semaphore B. The train stopped by ISEDR at the Rudna Gwizdanów station using the radio-stop-A1r alarm signal “Alarm” (after noticing the derailment of the wagons). Interrupted train traffic from 1 hour. 10:35 p.m. 12:40.Tories 1, 3, 5 and 7 at Rudna Gwizdanów station closed from 10:35 until further notice. At 12:40 a.m., after securing the work of the committee, the route was dissolved and switches No 4/8b and 31ab were secured for sponozams and the trains were resumed on track 9 (track without platform edge). Technical rescue drazyna WM15A/PRT-00 from Wrocław Nadodrze station requested at 1 p.m. 11:00 left at 12:49 on the spot at 16:46. For ongoing repairs of the track, an emergency draisine from the Głogów station was deployed. Six wagons (not derailed from the end of the train) were moved to track 4 at 2.30 p.m. by locomotive 6Dg (Pol-Miedź Trans Spółka z o.o.) in order to clear lines 273 and 289. At 17:00, completion of the committee’s work and authorisation of railroad wagons. Turnout No. 7 (on track 1) and turnout No 3 (on track 2) were damaged – the speed limit of trains was introduced to 20 km/h, from km 77,248 to km 77,281 due to poor technical condition of section 3 ab/cd after derailment. </t>
  </si>
  <si>
    <t>station Rudna Gwizdanów</t>
  </si>
  <si>
    <t>Pol-Miedź Trans Spółka z o.o.(Ltd)</t>
  </si>
  <si>
    <t>demages of freight wagons and infrastructure</t>
  </si>
  <si>
    <t>Fatigue fracture of axle no. 018808849 of the second wheel set of the first bogie of a Tals-type wagon no. EVN 84 51 0835 092-5.</t>
  </si>
  <si>
    <t xml:space="preserve">
1. The limit values (sulphur concentration, yield strength), which were in line with the standards applicable at the axle manufacture date and were not considered dangerous, but are unacceptable according to the currently applicable standards and represent a risk factor when exceeded.
2. Occurrence of corrosion in the axle fracture cross section.
3. Exceeding of the surface roughness limit for the central part of the axle.</t>
  </si>
  <si>
    <t>CZ-10551</t>
  </si>
  <si>
    <t>Collision of the regional passenger train No. 1895 with a car at the level crossing
No. P4874 between Borohrádek and Čermná nad Orlicí stations</t>
  </si>
  <si>
    <t>Collision of the regional passenger train No. 1895 with a car at the
level crossing No. P4874</t>
  </si>
  <si>
    <t>the regional passenger train No. 1895</t>
  </si>
  <si>
    <t>Total damage CZK 484 482,- (EUR 19 241,-)</t>
  </si>
  <si>
    <r>
      <t>Causal factor:</t>
    </r>
    <r>
      <rPr>
        <sz val="10"/>
        <color rgb="FF000000"/>
        <rFont val="Calibri"/>
        <family val="2"/>
        <scheme val="minor"/>
      </rPr>
      <t xml:space="preserve">
• an unauthorized entrance of the car at the level crossing No. P4874 at the time when the regional passenger train No. 1895 was arriving, caused by behavior of the car driver, who did not respect the light and acoustic warning of the level crossing safety equipment and did not make sure whether he could safely pass the level crossing.</t>
    </r>
  </si>
  <si>
    <t>DK-10552</t>
  </si>
  <si>
    <t>Accident to persons caused by RS in motion, 12/5/2024, Bispebjerg Station</t>
  </si>
  <si>
    <t xml:space="preserve">Person was hit by the train, right after it was leaving the platform. </t>
  </si>
  <si>
    <t>Bispebjerg Station</t>
  </si>
  <si>
    <t>DSB S-Tog</t>
  </si>
  <si>
    <t>The primary cause of the accident was that the person was on the track in an area where there was no public access when train 672101 was running.
The contributing factors were:
• unclear procedures regarding the risk of passengers leaving a train on the track without authorization.
• that it was dark.
It could not be ruled out that one or more of the following circumstances could have influenced the course of the incident:
• The person was under the influence of alcohol and/or illegal substance.
• The accessibility of the area</t>
  </si>
  <si>
    <t>Unexpected passenger behaviour (Left train via emergency exit onto the tracks)</t>
  </si>
  <si>
    <t>DK-10553</t>
  </si>
  <si>
    <t>Trains collision near miss, 27/3/2024, Nr. Asmindrup station</t>
  </si>
  <si>
    <t>SPAD lead to a near miss collision</t>
  </si>
  <si>
    <t>Nr. Asmindrup station</t>
  </si>
  <si>
    <t>Lokaltog</t>
  </si>
  <si>
    <t>A train left the station without permission</t>
  </si>
  <si>
    <t>Human factors in connection with delays and signals from the level crossing, as well as the fact that the line is not equipped with a train stopping system, are the underlying causes.</t>
  </si>
  <si>
    <t>BG-10554</t>
  </si>
  <si>
    <t>Collision between shunting rolling stock, serviced by locomotive No98520055057-4 with three passenger coaches in the tail end of fast train No 1621 on the first track in Sofia station on 28.05.2024</t>
  </si>
  <si>
    <t xml:space="preserve">Collision between shunting rolling stock, serviced by locomotive with three passenger coaches in the tail end of fast train on track in station </t>
  </si>
  <si>
    <t>Sofia railway station</t>
  </si>
  <si>
    <t>BDZ Passenger Transport EOOD-national carrier</t>
  </si>
  <si>
    <t>slightly injured 8 persons in total-3 passengers and 5 employees, damaged shunting locomotive and passenger coaches of FT.</t>
  </si>
  <si>
    <t>Failure to activate the braking system of the shunting train by the locomotive driver and/or the shunting crew, and/or the vigilance device</t>
  </si>
  <si>
    <t>violation of the applicable regulations</t>
  </si>
  <si>
    <t>CZ-10555</t>
  </si>
  <si>
    <t>Trains collision, 24-05-24, Praha hl.n. station (Czech Republic)</t>
  </si>
  <si>
    <t>Unauthorized movement (spad) of the regional passenger train No. 9123 and consequent collision with the shunting operation.</t>
  </si>
  <si>
    <t>Praha hl.n. station, departure signal device No. S26, km 185,614</t>
  </si>
  <si>
    <t>regional passenger train;
shunting operation</t>
  </si>
  <si>
    <t>CZK 100 700 000,- (€ 4 071 977,-); Rolling stocks, infrastructure</t>
  </si>
  <si>
    <t>DK-10556</t>
  </si>
  <si>
    <t>Other, 15/5/2024, Høje Taastrup, Spor 0</t>
  </si>
  <si>
    <t>Shunting movement collision against derailment device</t>
  </si>
  <si>
    <t>Høje Taastrup, Spor 0</t>
  </si>
  <si>
    <t>TX Logostic</t>
  </si>
  <si>
    <t>Derailment device + 2 wheel sets</t>
  </si>
  <si>
    <t xml:space="preserve"> Shunting was initiated before the
conditions for this were met</t>
  </si>
  <si>
    <t>• a safety message was misinterpreted by the receiver, and this was not noted by the sender
• a signal was overlooked, because the shunter believed that permission to start shunting
already had been given. In addition, the shunter probably avoided looking in the direction of
the signal, due to the position of the bright sun.
• the speed was not adjusted towards Derailing device 1, because the shunter did not expect to
encounter an obstacle here, and because the color of Derailing device 1 blended in with the
surroundings.
The barriers that were set up to prevent these causes were not sufficient.
All the barriers were dependent on human performance (soft barriers).</t>
  </si>
  <si>
    <t>BE-10557</t>
  </si>
  <si>
    <t>Runaway, 24/5/2024, Mechelen</t>
  </si>
  <si>
    <t>Runaway of a passenger train</t>
  </si>
  <si>
    <t>Mechelen</t>
  </si>
  <si>
    <t>1/ Damages to infrastructure: switch 10BN was run through and needed to be repaired.
2/ Train cancellations and delays:
    5 international trains were cancelled;
    22 international trains were delayed for a total of 119 minutes;
    14 freight trains were delayed for a total of 1067 minutes;
    57 passenger trains were (partially) cancelled;
    239 passenger trains were delayed for a total of 1572 minutes.</t>
  </si>
  <si>
    <t>The direct cause of the runaway is that the railcar is not braked on the slope during uncoupling.</t>
  </si>
  <si>
    <t>* A contributing factor is that the actions carried out deviate from the prescribed procedures.
* A contributing factor is that due to cabling faults, the railcar operates abnormally.
* A systemic factor is that the risks associated with the change to the schedule have not been sufficiently managed as part of the uncoupling procedure.
* A systemic factor is that the train driver’s manual (HLT) and the train attendant’s manual are not aligned, leading to different expectations about the allocation of tasks in joint operations.
* A systemic factor is that irregularities in the cabling of the railcar were not identified during maintenance, nor during the post-maintenance check.</t>
  </si>
  <si>
    <t>CZ-10558</t>
  </si>
  <si>
    <t>Trains collision, 05-06-24, Pardubice hl. n. (Czech Republic)</t>
  </si>
  <si>
    <t>Collision of the long distance passenger train No. 1021 with the freight tran No. 41340 at Pardubice hl. n. station. Unauthorized movement of the long distance passenger train No. 1021 behind the signal device S1a and collision with the freight tran No. 41340</t>
  </si>
  <si>
    <t>Pardubice hl. n.</t>
  </si>
  <si>
    <t>Long distance passenger train; Freight train</t>
  </si>
  <si>
    <t>RegioJet a.s.; ČD Cargo, a. s.</t>
  </si>
  <si>
    <t>Total preliminary damage CZK 110 300 000,- (EUR 4 489 214,-)</t>
  </si>
  <si>
    <t>HU-10559</t>
  </si>
  <si>
    <t>SPAD, 07/06/2024, Kőbánya felső</t>
  </si>
  <si>
    <t>Train № 553 passed the entrance signal at danger without authorisation</t>
  </si>
  <si>
    <t>Kőbánya felső</t>
  </si>
  <si>
    <t>No material damage occurred</t>
  </si>
  <si>
    <t>CZ-10560</t>
  </si>
  <si>
    <t>Collision of the regional passenger train No. 25635 with a rail buffer stop and
consequent derailment at Milovice station</t>
  </si>
  <si>
    <t xml:space="preserve"> Train collision with an obstacle (railway technical device)</t>
  </si>
  <si>
    <t>Unauthorized movement of the regional passenger train No. 25635
behind the main (route) signal device Sc2 with consequent collision
with the rail buffer stop and derailment.</t>
  </si>
  <si>
    <t>Milovice station, station track No. 2, rail buffer stop, km 5,553.
Place of the unauthorized movement was the main (route) signal
device Sc2, km 5,550.</t>
  </si>
  <si>
    <t>Total damage CZK 3 438 527,- (EUR 139 664,-)</t>
  </si>
  <si>
    <r>
      <t>Causal factor:</t>
    </r>
    <r>
      <rPr>
        <sz val="10"/>
        <color rgb="FF000000"/>
        <rFont val="Arial"/>
        <family val="2"/>
      </rPr>
      <t xml:space="preserve">
• failure to stop of the regional passenger train No. 25635 in front of the main (route) signal device Sc2 with signal „Stop” at Milovice station, caused by incorrect driving style of the train driver, specifically:
- not to start braking so, that the train safely stopped in front of the main (route) signal device Sc2 due to not to watch an operation and diagnostic monitor and a position of controller mode of ride on the control panel at a driver's footplate pointing out to deactivation of function (mode) target braking and necessity operate of brake controller.</t>
    </r>
  </si>
  <si>
    <t>BG-10561</t>
  </si>
  <si>
    <t>Accident to persons caused by RS in motion, 6/6/2024, along Telizh-Gorni Dabnik interstation, track 2</t>
  </si>
  <si>
    <t>Run out and collision of two employees during work by Fast train No 2654 between the stationsTelizh-Gorni Dabnik, track 2</t>
  </si>
  <si>
    <t>along Telizh-Gorni Dabnik interstation, track 2</t>
  </si>
  <si>
    <t>BDZPP</t>
  </si>
  <si>
    <t>1 fatality, 1 seriously injured employee</t>
  </si>
  <si>
    <t>the two employees of the RSPM got off from the side of the adjacent current track No. 2</t>
  </si>
  <si>
    <t>violation of the gauge of the adjacent track and entered the danger zone</t>
  </si>
  <si>
    <t>BG-10562</t>
  </si>
  <si>
    <t>Trains derailment, 11-06-24, along Anton-Koprivshtitsa interstation</t>
  </si>
  <si>
    <t>Derailment of passenger train No 30114 along Anton-Koprivshtitsa interstation</t>
  </si>
  <si>
    <t>along Anton-Koprivshtitsa interstation</t>
  </si>
  <si>
    <t>BDZ PP</t>
  </si>
  <si>
    <t>Draft gear of RRS, railway line</t>
  </si>
  <si>
    <t>sweeping away of the continuously welded track immediately before the crossing of PT No. 30114</t>
  </si>
  <si>
    <t>replacement of consecutive groups of up to 7 unfit sleepers, non- tamped and non-ballasted</t>
  </si>
  <si>
    <t>RO-10563</t>
  </si>
  <si>
    <t>Train derailment, 8/6/2024, Ploiești Est</t>
  </si>
  <si>
    <t>Hauling locomotive DHC 938 of the freight train no.77280-108  derailed in Ploiești Est railway station.</t>
  </si>
  <si>
    <t>Ploiești Est</t>
  </si>
  <si>
    <t>SC Vest Trans Rail SRL</t>
  </si>
  <si>
    <t xml:space="preserve">Slight damage to the locomotive DHC 938.                                            The superstructure of the tracks was slightly affected within the switch no.37, about 22 meters.                                                                                </t>
  </si>
  <si>
    <t>Causal factor
The formation of a gage rail end mismatch of 20 mm, caused by the breakage of the lignofolium fishplates at the insulated rail joint on the connecting rails of turnout no.37, as a result of the existence within it of a group of consecutive improper special wooden sleepers, whose technical condition could no longer ensure a secure fastening of the metal baseplates that support the rails and maintain the track gauge.</t>
  </si>
  <si>
    <t>Contributing factor
The inefficiency of control activities carried out at Line District no. 4 Ploiești Est by the staff responsible for these tasks.
Systemic factors
§ provision with improper material and human resources, against the necessary ones, for performing proper maintenance of the track and maintaining track geometry within the accepted tolerances;
§ ineffective management of the risk represented by "derailment of rolling stock" caused by "failure to perform necessary works/ keeping improper sleepers in the track".</t>
  </si>
  <si>
    <t>RO-10564</t>
  </si>
  <si>
    <t>Train derailment, 11/6/2024, Roșiori Nord - Atârnați</t>
  </si>
  <si>
    <t>Two coaches (2and and 3th) from the composition of the pasenger train no.1596 derailed between Roșiori Nord and Atârnați railway stations.</t>
  </si>
  <si>
    <t xml:space="preserve">Damage to the coaches no.50533616025-2 and 50532616065-0.
The line was damaged for about 100 meters. </t>
  </si>
  <si>
    <t>Causal factor
Loss of stability of the rail-to-sleeper assembly due to increased rail temperature, as a result of the improper condition of the track on the section where the derailment occurred, a condition caused by:
§ the presence at the accident site of a group of consecutive improper wooden sleepers that failed to secure the rails and maintain the track geometry within the permissible tolerances;
§ the absence of ballast (crushed stone) at the ends of the sleepers over the minimum length required by the applicable code of practice.
This resulted in a transverse deformation of the track (yaw), due to the lateral displacement of the rail-sleeper assembly towards the outside of the track, on the right-hand side in the train running direction, with a deformation wave stringline length of 20.00 m and a maximum versine of 54.60 cm.</t>
  </si>
  <si>
    <t>Contributing factors
1. The presence, in the area where the derailment occurred, of track twist exceeding the maximum permissible value in service.
2. Exceeding the operational tolerances for track gauge and gauge variation in the area where the railway accident occurred.
Systemic factors
1. Ensuring of insufficient material and human resources, in relation to the necessary ones, for the performance of proper maintenance of the line and keeping of the track geometry between the accepted tolerances.
2. Failure by CNCF "CFR" SA to identify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t>
  </si>
  <si>
    <t>CZ-10565</t>
  </si>
  <si>
    <t>SPAD, 10/06/2024, Chrudim station</t>
  </si>
  <si>
    <t>Unauthorized movement (SPAD) of the regional passenger train No. 15186 behind the main (departure) signal device L1a at Chrudim station</t>
  </si>
  <si>
    <t>Chrudim station</t>
  </si>
  <si>
    <r>
      <t>Causal factor:</t>
    </r>
    <r>
      <rPr>
        <sz val="10"/>
        <color rgb="FF000000"/>
        <rFont val="Liberation Sans"/>
      </rPr>
      <t xml:space="preserve">
• failure to respect the signal „Stop” of the main (departure) signal device L1a at Chrudim station by the train driver of the regional passenger train No. 15186 caused by train driver’s unconscious mistake, he did not notice the signal „Stop” while driving to the signal device L1a.</t>
    </r>
  </si>
  <si>
    <t>CZ-10566</t>
  </si>
  <si>
    <t>Derailment of the regional passenger train No. 5414 at Rychnov u Jablonce nad
Nisou station</t>
  </si>
  <si>
    <t>Derailment of the regional passenger train No. 5414</t>
  </si>
  <si>
    <t>Rychnov u Jablonce nad Nisou station, the switch No. 2, km 143,294</t>
  </si>
  <si>
    <t>Total damage CZK 1 038 055 (EUR 41 572,-)</t>
  </si>
  <si>
    <r>
      <t xml:space="preserve">Causal factor:
• </t>
    </r>
    <r>
      <rPr>
        <sz val="10"/>
        <color rgb="FF000000"/>
        <rFont val="Liberation Sans"/>
      </rPr>
      <t>change of gauge of the third wheelset of rolling stock of regional passenger train No. 5414 caused by releasing the connection between the right wheel tyre and the wheel rim in direction of ride.</t>
    </r>
  </si>
  <si>
    <t>BE-10567</t>
  </si>
  <si>
    <t>Trains collision, 13/5/2024, Schaerbeek</t>
  </si>
  <si>
    <t>Collision of a shunting locomotive with an empty, parked passenger train</t>
  </si>
  <si>
    <t>1/ Three SNCB/NMBS staff members have minor injuries.
2/ The buffers of the locomotive of the empty, parked passenger train are completely compressed.</t>
  </si>
  <si>
    <t>The direct cause of the accident is that the single locomotive was unable to brake in time to prevent the collision with the empty, parked passenger train.</t>
  </si>
  <si>
    <t>* A contributing factor is the limited visibility of the tracks in a marshalling yard from type 77 locomotives in the direction of travel with the long nose at the front.
* A contributing factor is the lack of fully developed and standardised procedures for ordering shunting movements, both verbally and via radio.
* A systemic factor is that monitoring and/or auditing the communication of shunting movements is insufficient to identify deficiencies.
* A systemic factor is that the danger of a collision due to limited visibility in locomotives operated in the direction of travel with the long nose at the front was insufficiently identified.</t>
  </si>
  <si>
    <t>DK-10568</t>
  </si>
  <si>
    <t>Accident to persons caused by RS in motion, 22/6/2024, Nørrebrogade Århus.</t>
  </si>
  <si>
    <t>Light rail train hit a person on Nørrebrogade in Århus</t>
  </si>
  <si>
    <t>Nørrebrogade, Århus Letbane</t>
  </si>
  <si>
    <t>Århus Letbane</t>
  </si>
  <si>
    <t>broken windshield</t>
  </si>
  <si>
    <t>Person walking onto an aerea where the public normally would not cross the light rail tracks</t>
  </si>
  <si>
    <t>Person did not orientate themselves about trafic neither on road nor tracks</t>
  </si>
  <si>
    <t>HU-10569</t>
  </si>
  <si>
    <t>Train derailment, 24/06/2024</t>
  </si>
  <si>
    <t>3 wagons of the train derailed.</t>
  </si>
  <si>
    <t>Ludas</t>
  </si>
  <si>
    <t>350 m track and 3 passenger waggons are damaged</t>
  </si>
  <si>
    <t>broken part of vehicle</t>
  </si>
  <si>
    <t>Maintenance of vehicles</t>
  </si>
  <si>
    <t>CZ-10570</t>
  </si>
  <si>
    <t>Collision of the service train No. 52199 with the freight train No. 54035
between Holubice and Rousínov stations</t>
  </si>
  <si>
    <t>Unauthorized movement (SPAD) of the service train No. 52199 behind
the main (departure) signal device S1 at Holubice station with
consequent collision with the freight train No. 54035</t>
  </si>
  <si>
    <t>Holubice station</t>
  </si>
  <si>
    <t>Správa železnic, státní organizace; TOMI-REMONT a.s.</t>
  </si>
  <si>
    <t>Total damage CZK 5 283 520,- (EUR 217 205,-)</t>
  </si>
  <si>
    <r>
      <t xml:space="preserve">Causal factor:
• </t>
    </r>
    <r>
      <rPr>
        <sz val="10"/>
        <color rgb="FF000000"/>
        <rFont val="Arial"/>
        <family val="2"/>
        <charset val="128"/>
      </rPr>
      <t>failure to respect the signal „Stop” of the main (departure) signal device S1 at
Holubice station by the train driver of the service train No. 52199 caused by train driver’s unconscious mistake, he did not notice the signal „Stop” while driving to the signal device S1.
                                                                                                           Contributing factor of trains collision:
• muting and failure to perform a functional test of the on-board radio station located on the service train No. 52199.</t>
    </r>
  </si>
  <si>
    <t>SK-10571</t>
  </si>
  <si>
    <t>Level crossing accident, 27/6/2024, between Nové Zámky - Dvory nad Žitavou</t>
  </si>
  <si>
    <t>between Nové Zámky - Dvory nad Žitavou</t>
  </si>
  <si>
    <t>estimated material costs 2 617 479,89€</t>
  </si>
  <si>
    <t>collision of a train with a bus</t>
  </si>
  <si>
    <t>IE-10572</t>
  </si>
  <si>
    <t>Collission between two road rail vehicles on the Athenry to Galway line</t>
  </si>
  <si>
    <t>Colliission between between RRV dumper and excavator</t>
  </si>
  <si>
    <t>Between Galway and Athenry</t>
  </si>
  <si>
    <t>RRV dumper had damage to rail gear and rail shield</t>
  </si>
  <si>
    <t>IE-10573</t>
  </si>
  <si>
    <t>Operational Irregularity at 70 mile post (Ballybrophy) on th Cork Line</t>
  </si>
  <si>
    <t>Ballybrophy</t>
  </si>
  <si>
    <t>N/A</t>
  </si>
  <si>
    <t>PL-10574</t>
  </si>
  <si>
    <t>Level crossing accident, 1/7/2024, section Błonie - Ożarów Mazowiecki , km 17,211 line 3, track 2</t>
  </si>
  <si>
    <t>Riding by the passsenger train onto road  truck staying on the level crossing while closed semi-barriers</t>
  </si>
  <si>
    <t>section Błonie - Ożarów Mazowiecki , km 17,211 line 3, track 2</t>
  </si>
  <si>
    <t>Koleje Mazowieckie Ltd</t>
  </si>
  <si>
    <t>Demaged electric traction unit and demaged road truck</t>
  </si>
  <si>
    <t>1. The lorry entering and remaining on the Cat. B level crossing on tracks 1 and 2 as the vehicles ahead of it stopped unexpectedly, which prevented the lorry from exiting the crossing and led to a passenger train travelling on track 2 colliding with the semi-trailer of the lorry. 
2. The lorry entering the crossing even though there was no room on the other side of the crossing to continue driving (Article 28(3)(2) of the Road Traffic Act).</t>
  </si>
  <si>
    <t>Contributing factors: 1. Failure of the lorry driver to take special care when approaching and traversing the crossing.
2.  The road vehicles ahead of the lorry stopping and creating a traffic jam voivodeship road DW718, preventing the lorry from leaving the crossing zone at the time of the occurrence.
3. Improper organisation of vehicle traffic in the area of the crossing causing road traffic jams at the crossing and in its vicinity, in particular too short a traffic lights cycle at the junction of voivodeship road no. DW718 and national road no. DK92 located approximately 330 m from the crossing.
4. Ineffective checks at the crossing, failing to reveal recurring traffic jams at the crossing and the risks caused by the improper traffic organisation.
5. Very high traffic volumes on voivodeship road DW718, which is a single level crossing, generated by the nearby exit from the A2 motorway.
Systemic factors: 1. Despite the preventive measures taken by the railway infrastructure manager and the voivodeship road manager in connection with previous railway occurrences at the crossing concerned (accidents, incidents), the safety at the crossing was not ensured (see Section  II. 10 of the Report).
2. Failure to implement the provisions of Agreement No. 25/MZDW/2018 signed on 22 May 2018 between the Municipality of Ożarów Mazowiecki, the Mazovian Voivodeship and PKP PLK S.A. on the construction of collision-free junctions, including a multi-level junction, to replace the level crossing at km 17.211 of railway line no. 3.</t>
  </si>
  <si>
    <t>IE-10575</t>
  </si>
  <si>
    <t>IE Posession Irregulairty at Clontarf</t>
  </si>
  <si>
    <t xml:space="preserve">Possession irregularity - protection </t>
  </si>
  <si>
    <t xml:space="preserve">Irish Rail </t>
  </si>
  <si>
    <t>not applicaable</t>
  </si>
  <si>
    <t>IT-10576</t>
  </si>
  <si>
    <t>Train derailment, 9/7/2024, Centola (Salerno)</t>
  </si>
  <si>
    <t>derailment of MIR freight train no. 64995, Battipaglia-Paola line</t>
  </si>
  <si>
    <t>Centola (Salerno)</t>
  </si>
  <si>
    <t>damages to infrastucture: € 890.000;
demages at rolling stock: € 270.000</t>
  </si>
  <si>
    <t>lack of consolidation and stripping of the ballast following the track renewal works carried out during the night between 8 and 9 July 2024</t>
  </si>
  <si>
    <t>failure to apply the technical instructions for the speed of reactivation of the post-works service;
rigid attachment between the two modules of carriage no. 8 and the altimetric profile of the section of line on which the accident occurred;
failure to use the dynamic stabiliser during track renewal;</t>
  </si>
  <si>
    <t>RO-10577</t>
  </si>
  <si>
    <t>Train derailment, 13/7/2024, Rupea - Racoș</t>
  </si>
  <si>
    <t>One coach (3th) from the composition of the passenger train no.347 derailed between Rupea and Racoș railway stations.</t>
  </si>
  <si>
    <t>Rupea - Racoș</t>
  </si>
  <si>
    <t xml:space="preserve">Damage to the coach no.61532190038-8.
The line was slighty damaged for about 615 meters. </t>
  </si>
  <si>
    <t>Causal factor
Derailment was occurred through climbing of the outer rail at the left-hand curve in the running direction of the train, by the guiding wheel of the first axle of coach no. 61532190038-8, due to the increase in the ratio between the guiding force and the load acting on this wheel, thus exceeding the derailment stability limit, as a result of the combination of the following track geometry non-conformities:
- the existence in the track, in the area of the accident site (within the constant-radius curve), of a section where the track twist exceeded the maximum permissible value for train operation, which caused the unloading of the right-hand wheel of the first axle;
- the exceeding of the variation in track gauge between the points before the derailment point, which caused an increase in the guiding force;
- the exceeding of the allowable operational tolerances for neighbouring versine values and the difference between the minimum and maximum versine on the curve, which caused an increase in the guiding force.</t>
  </si>
  <si>
    <r>
      <t>Contributing factors
1. Failure to meet the deadlines provided by applicable legislation for carrying out periodic overhauls in the area of the accident, maintaining a high number of defective sleepers.
2. Carrying out the thorough inspection of curves on main and secondary tracks in railway stations by an incomplete commission, without the district inspector and the representative of the line section management, which reduced the effectiveness of the inspection and caused the failure to identify the existing track geometry defects.
3. Failure to identify the deficiencies in the track superstructure in a timely manner, as a result of not performing the required measurements/checks for sections with a 30 km/h speed restriction, by the staff responsible for traffic safety, within the time limits and in the order specified by the codes of practice.
Systemic factors
1. Failure by CNCF ”CFR” SA to provide the necessary personnel for positions with traffic safety responsibilities (track`s inspector, ganger, chief of track district`s).</t>
    </r>
    <r>
      <rPr>
        <sz val="10"/>
        <color rgb="FF000000"/>
        <rFont val="Arial"/>
        <family val="2"/>
      </rPr>
      <t xml:space="preserve">
2. Provision of insufficient material and human resources, in relation to the necessary ones, for the performance of proper maintenance of the line and keeping of the track geometry between the accepted tolerances.  
3. Poor (ineffective) supervision and monitoring of the track district’s activity by the personnel responsible for inspection and control within the L2 Sighișoara section and railway county Brasov.</t>
    </r>
  </si>
  <si>
    <t>DK-10578</t>
  </si>
  <si>
    <t>Rolling stock event, 1/6/2024, Brande</t>
  </si>
  <si>
    <t>Hot coolant hit 18 passengers</t>
  </si>
  <si>
    <t>Brande</t>
  </si>
  <si>
    <t>GoColletive</t>
  </si>
  <si>
    <t>Coolant on persons and inventory.</t>
  </si>
  <si>
    <t>The investigation showed that the cause of the leak was a hole in the coolant hose.</t>
  </si>
  <si>
    <t>Marks on the damaged coolant hose indicated that the hose had been reused in connection with a previous repair. This may have contributed to the coolant hose becoming weak and bursting. RU has explained that the reuse of the hose was a mistake, as all affected hoses and clamps in the coolant system repairs had to be replaced with new parts.</t>
  </si>
  <si>
    <t>CZ-10579</t>
  </si>
  <si>
    <t>Derailment of 2 rolling stocks of the regional passenger train No. 4583 between Lednice railway stop and Boří les station</t>
  </si>
  <si>
    <t>Derailment of 2 rolling stocks of the regional passenger train No. 4583</t>
  </si>
  <si>
    <t xml:space="preserve"> open line between Lednice railway stop and Boří les station</t>
  </si>
  <si>
    <t>Total damage CZK 3 710 619,- (EUR 149 743,-)</t>
  </si>
  <si>
    <r>
      <t>Causal factor:</t>
    </r>
    <r>
      <rPr>
        <sz val="10"/>
        <color rgb="FF000000"/>
        <rFont val="Arial"/>
        <family val="2"/>
        <charset val="1"/>
      </rPr>
      <t xml:space="preserve">
• exceeding of the safety limit of track gauge and change of gauge as a result of insufficient holding of fastenings on the rotten wooden sleepers due to failure to adopt adequate measures to ensure safe guideway operating and guided transport operating.</t>
    </r>
  </si>
  <si>
    <t>DK-10580</t>
  </si>
  <si>
    <t>Trains collision with an obstacle, 14/6/2024, Svejbæk-Laven</t>
  </si>
  <si>
    <t>Train hits a wrapped bale and derails in a levelcrossing</t>
  </si>
  <si>
    <t>Svejbæk-Laven</t>
  </si>
  <si>
    <t>GoCollective</t>
  </si>
  <si>
    <t>The train had broken windows and panels</t>
  </si>
  <si>
    <t>The tractor was stuck and was too close to the track.</t>
  </si>
  <si>
    <t>The surroundings sloped down towards the railway</t>
  </si>
  <si>
    <t>DK-10581</t>
  </si>
  <si>
    <t>SPAD, 3/7/2024, Dyssekilde</t>
  </si>
  <si>
    <t>A signal passed at danger (SPAD)</t>
  </si>
  <si>
    <t>Dyssekilde</t>
  </si>
  <si>
    <t>Human factor. Situational awareness. Driver thought that train had permission to depart, when time was right and level crossing was activated</t>
  </si>
  <si>
    <t>Slipses and lapses</t>
  </si>
  <si>
    <t>IT-10582</t>
  </si>
  <si>
    <t>Train derailment, 11/7/2024, Parma</t>
  </si>
  <si>
    <t>Derailment of MEDWAY freight train no. 54269, Bologna-Piacenza line</t>
  </si>
  <si>
    <t>Parma</t>
  </si>
  <si>
    <t>MEDWAY ITALIA</t>
  </si>
  <si>
    <t>several damage to infrastucture and rolling stock</t>
  </si>
  <si>
    <t>Track instability or buckling phenomena in long rail welded sections, generated by improper thermal management of the track.</t>
  </si>
  <si>
    <t>Undue and persistent braking action, observed on the wagon axles in position 14. 2)</t>
  </si>
  <si>
    <t>RO-10583</t>
  </si>
  <si>
    <t>Railway vehicle movement event, 19/7/2024, Bucuresti Nord</t>
  </si>
  <si>
    <t>On the shunting moving for run around  of the locomotiveBB 576 for coupling to the passenger train no.11034 occurred the collision between the locomotive and the passenger trainset RIO  no.05.</t>
  </si>
  <si>
    <t>SC Regio  Călători SRL</t>
  </si>
  <si>
    <t>Minor damages to the electric locomotive BB576.</t>
  </si>
  <si>
    <r>
      <t xml:space="preserve">Causal factor </t>
    </r>
    <r>
      <rPr>
        <sz val="10"/>
        <color rgb="FF000000"/>
        <rFont val="Arial"/>
        <family val="2"/>
      </rPr>
      <t xml:space="preserve">
Human error in the operation and driving of locomotive BB 576 during the last shunting movement, manifested by the delayed application of braking measures to stop before the stationary train set.</t>
    </r>
  </si>
  <si>
    <r>
      <t>Contributing factor
The time constraints (generated by the delay from the train diagram) increased the stress level on the driver and influenced his behaviour during the coupling shunting to train set RIO 05.
Systemic factor</t>
    </r>
    <r>
      <rPr>
        <sz val="10"/>
        <color rgb="FF000000"/>
        <rFont val="Arial"/>
        <family val="2"/>
      </rPr>
      <t xml:space="preserve">
Not identified.</t>
    </r>
  </si>
  <si>
    <t>RO-10584</t>
  </si>
  <si>
    <t>Train derailment, 24/7/2024, Berbești - Popești Vâlcea</t>
  </si>
  <si>
    <t>The hauling locomotiveof the freight train no.60566 derailed in open line between Berbești and Popesti Vâlcea railway stations.</t>
  </si>
  <si>
    <t>Damage on the firs axle, in the running direction, of the diesel-electric locomotive DA 913.                                                                       Slighty damage at the line on around 36 meters.</t>
  </si>
  <si>
    <t>Causal factor
Climbing of the outer rail on the right-hand curve in the running direction of the train, by the guiding wheel of the first axle of the traction locomotive DA 913, due to the increase in the ratio between the guiding force and the weight acting on this wheel, thus exceeding the derailment stability limit, as a result of the combination of the following track geometry non-conformities:
§ the existence in the track, in the accident area (within the constant-radius curve), of a section where the track twist ramp exceeded the maximum permissible value for train running, which caused unloading of the right-hand wheel of the first axle;
§ exceeding the in-service permissible tolerances for the lateral wear values of the rail on the outer side of the curve, which caused an increase in the guiding force;
§ exceeding the gauge and gauge variation values in the accident area (within the circular curve), which caused an increase in the guiding force;
§ exceeding the in-service permissible tolerance for the difference between the minimum and maximum versine in the curve, which caused an increase in the guiding force.</t>
  </si>
  <si>
    <t>Contributing factor
Exceedance of the deadlines provided for by the applicable legislation for carrying out periodic repair works on the line in the area where the accident occurred.
Systemic factors
§ Ineffective management of the risk associated with the danger of the track geometry exceeding the permitted tolerances;
§ Improper human and material resources in relation to what is necessary to properly maintain the line and to keep the track geometry within the permitted tolerances.</t>
  </si>
  <si>
    <t>RO-10585</t>
  </si>
  <si>
    <t>Train derailment, 25/7/2024, Aradu Nou - Zadareni</t>
  </si>
  <si>
    <t>First wagon from the composition of the  freight  train no. 66143 , owned to the SNTFM "CFR Marfa" SA derailed in open line between Aradu Nou and Zadareni railway stations, on km 1+095,5.</t>
  </si>
  <si>
    <t>Aradu Nou - Zadareni</t>
  </si>
  <si>
    <t xml:space="preserve">SC RC-CF Trans Brașov SRL </t>
  </si>
  <si>
    <t>Damage of the one bogie (first in the running direction) of the first wagon from the composition of the train loaded with biodiesel fuel. Slighty damage of the line on around 130 meters</t>
  </si>
  <si>
    <t>Causal factor
There was, at the accident site, a group of consecutive improper normal wooden sleepers, whose technical condition could no longer ensure a secure hold of the metal plates, with the effect of exceeding the maximum permissible limit of the track gauge in service, which caused the loss of the rails’ capacity to support and guide under the dynamic action of the rolling stock.</t>
  </si>
  <si>
    <r>
      <t>Contributing factor
Carrying out periodic overhauls and inspections without recording all deficiencies and without establishing appropriate measures and deadlines for rectification, which caused a group of improper normal wooden sleepers to be maintained on the track.
Systemic factors
§ Improper human and material resources in relation to what is necessary to properly maintain the line and to keep the track geometry within the permitted tolerances.
§ Ineffective management of the risk associated with the hazards of</t>
    </r>
    <r>
      <rPr>
        <sz val="10"/>
        <color rgb="FF000000"/>
        <rFont val="Arial"/>
        <family val="2"/>
      </rPr>
      <t xml:space="preserve">  "Exceeding the maximum permissible track gauge" and "Maintenance of improper wooden sleepers in the track" by the Infrastructure Manager.</t>
    </r>
  </si>
  <si>
    <t>DK-10586</t>
  </si>
  <si>
    <t xml:space="preserve"> Accident at level crossing in Ruds Vedby </t>
  </si>
  <si>
    <t>Person hit by train in level crossing</t>
  </si>
  <si>
    <t>The primary cause of the accident was that the person, on foot, attempted to pass the level crossing, even though the level crossing system was activated and the barriers were down.</t>
  </si>
  <si>
    <t xml:space="preserve">It could not be ruled out that the following had an influence on the course of events: - Limited sound time (warning sound stopped when the barriers came into the blocked position); - Limited sound level for traffic from Birkevej; - - Limited effect from the barriers for traffic from Birkevej over Sorøvej and the track towards Rosenvænget.
</t>
  </si>
  <si>
    <t>CZ-10587</t>
  </si>
  <si>
    <t>Unauthorized movement (SPAD) of the regional passenger train No. 7180 behind the route signal device Lc1 and entry to the train route for the regional passenger train No. 7185 at Jablonné nad Orlicí station</t>
  </si>
  <si>
    <t>Unauthorized movement (SPAD) of the regional passenger train No.
7180 behind the route signal device Lc1 and entry to the train route for
the regional passenger train No. 7185.</t>
  </si>
  <si>
    <t>the regional passenger train No. 7180; the regional passenger train No. 7185.</t>
  </si>
  <si>
    <t>Article 20.2 of Directive (EU) 2016/798 – b)</t>
  </si>
  <si>
    <r>
      <rPr>
        <sz val="10"/>
        <color rgb="FF000000"/>
        <rFont val="Arial"/>
        <family val="2"/>
        <charset val="128"/>
      </rPr>
      <t>Causal factor:
• unauthorized set the regional passenger train No. 7180 in motion and failure to respect the signal „Stop” of the main (route) signal device Lc1 at Jablonné nad Orlicí station by the train driver without:
- it was dispatched the regional passenger train No. 7180 from Jablonné nad
Orlicí station by infrastructure manager;
- the train driver visually convinced whether the main (route) signal device Lc1 at Jablonné nad Orlicí station allows movement of the train.</t>
    </r>
  </si>
  <si>
    <t>CZ-10588</t>
  </si>
  <si>
    <t>Unauthorized movement (SPAD) of the regional passenger train No. 1671 behind the main (departure) signal device L2 and entry to the train route for the regional passenger train No. 7007 at Chodov station</t>
  </si>
  <si>
    <t>Unauthorized movement (SPAD) of the regional passenger train No. 1671 behind the main (departure) signal device L2 and entry to the train route for the regional passenger train No. 7007</t>
  </si>
  <si>
    <t>Total damage CZK 18 757,- (EUR 745,-)</t>
  </si>
  <si>
    <r>
      <t>Causal factor:</t>
    </r>
    <r>
      <rPr>
        <sz val="10"/>
        <color rgb="FF000000"/>
        <rFont val="Arial"/>
        <family val="2"/>
        <charset val="128"/>
      </rPr>
      <t xml:space="preserve">
• unauthorized set the regional passenger train No. 1671 in motion and failure to respect the signal „Stop” of the main (departure) signal device L2 at Chodov station by the train driver without would:
- it was dispatched the regional passenger train No. 1671 from Chodov station;
- the train driver visually convinced whether the main (departure) signal device L2 at Chodov station allows movement of the train.</t>
    </r>
    <r>
      <rPr>
        <sz val="10"/>
        <color rgb="FF000000"/>
        <rFont val="Arial"/>
        <family val="2"/>
        <charset val="1"/>
      </rPr>
      <t xml:space="preserve">
 </t>
    </r>
  </si>
  <si>
    <t>HR-10589</t>
  </si>
  <si>
    <t>Incident, 18-07-2024, LC Krceni put (between stations Sesvete-Dugo Selo) (Croatia)</t>
  </si>
  <si>
    <t>On July 18, 2024, at 12:27 p.m., the LC "Krčeni put" was untimely protected (the half-guards were in a vertical position - open) during passing of passenger train number 210. After spotting the train, the train dispatcher/LC guard turned on the LC protection.
The LC "Krčeni put" (secured by sound and light signals and half-bumpers) is located between the stations Sesvete and Dugo Selo, at km 440+295, on the line M102, which is manually controlled by the train dispatcher/LC guard with a device from the stop Sesvetski Kraljevec (as well as the LC "Rade Končar" at km 439+470, while the LC "Sesvetska Selnica" at km 436+329 has automatic protection with remote control at the station Sesvete).</t>
  </si>
  <si>
    <t>LC Krceni put (between stations Sesvete-Dugo Selo)</t>
  </si>
  <si>
    <t>No one was fatally injured or injured in the incident, nor was there any material damage to the infrastructure and railway vehicles.</t>
  </si>
  <si>
    <t>The causal factor of the incident:
-              untimely protection of the LC (the half-guards were in a vertical position - open) during passing of train number 210 due to workload that led to the mistake of the train dispatcher/LC guard (chapter 3.2.1., 4.3.).</t>
  </si>
  <si>
    <t>Contributing factor:
                -              none.
Systemic factors:
- very intensive rail traffic on the railway section Sesvete – Dugo Selo as well as extremely frequent road vehicle traffic (chapter 4.3.),
- changing jobs and places of work according to the schedule (the train dispatcher/LC guard worked at station Sesvete for the first half of July, and the second half at the stop Sesvetski Kraljevec) (chapter 4.1.1., 4.3.),
- failure to take the necessary preventive measures in accordance with the results of previous incident analyses (chapter 4.3.3., 4.4.3., 4.5.).</t>
  </si>
  <si>
    <t>HR-10590</t>
  </si>
  <si>
    <t>Accident, 08-08-2024, Ogulinski Hreljin (between stations Ogulinski Hreljin-Gomirje) (Croatia)</t>
  </si>
  <si>
    <t>On August 8, 2024, at 7:35 p.m. on the line marked M202 at km 542+670, a special cargo wagon, series Uaai-z, number 83 78 997 2 001-0, which was part of train number 81292, derailed. The wagon derailed from four axles of the first bogie and from four axles of the third bogie in the direction of train movement. The train was operating between stations Podsused Tvornica and Skrad.</t>
  </si>
  <si>
    <t>Ogulinski Hreljin (between stations Ogulinski Hreljin-Gomirje) (Croatia)</t>
  </si>
  <si>
    <t>HZ Cargo d.o.o.</t>
  </si>
  <si>
    <t>There were no injuries or fatalities in the accident, and minor material damage was caused to the special cargo wagon and the railway infrastructure.</t>
  </si>
  <si>
    <r>
      <t xml:space="preserve">The </t>
    </r>
    <r>
      <rPr>
        <i/>
        <sz val="11"/>
        <color rgb="FF000000"/>
        <rFont val="Calibri"/>
        <family val="2"/>
        <charset val="238"/>
      </rPr>
      <t xml:space="preserve">causal factor </t>
    </r>
    <r>
      <rPr>
        <sz val="11"/>
        <color rgb="FF000000"/>
        <rFont val="Calibri"/>
        <family val="2"/>
        <charset val="238"/>
      </rPr>
      <t>of the derailment in question was the untimely return of the load to the center of the longitudinal axis of the wagon due to uncoordinated communication between workers on the  special cargo wagon, which caused the wagon's center of gravity to be disturbed (chapter 3.2.1.,  3.2.3).</t>
    </r>
  </si>
  <si>
    <t>Contributing factor:
-   none.
System factor:
-    none.</t>
  </si>
  <si>
    <t>RO-10591</t>
  </si>
  <si>
    <t>Train derailment, 14/8/2024, Berbești - Popești Vâlcea</t>
  </si>
  <si>
    <t>Hauling locomotive DA 913 of the freight train no.86077 derailed between Popești Vâlcea and Berbești railway stations.</t>
  </si>
  <si>
    <t>Popești Vâlcea - Berbești</t>
  </si>
  <si>
    <t xml:space="preserve">Damage to first axle in the running direction from the locomotive DA 913. The line was damaged for about 13 meters.                                                                                </t>
  </si>
  <si>
    <t>Causal factor
The climbing of the outer rail in the left-hand curve, in the running direction of the train, by the guiding wheel of the first axle of the train engine DA 913, was caused by exceeding the derailment stability limit, as a result of the combination of the following track geometry non-conformities:
§ the existence on the track, in the area where the accident occurred (within the circular curve), of a section where the track twist exceeded the maximum value permitted for train circulation;
§ exceeding the tolerances permitted in operation for the difference between the measured values of adjacent versine and between the maximum and minimum versine;
§ the existence on the outer rail of lateral wear of the rail head whose height exceeded the starting point of the connection of the side face with the rail shoulder;
§ exceeding the tolerances permitted in operation for the value of the track gauge and for its variation.</t>
  </si>
  <si>
    <t>Contributing factor
Failure to carry out periodic repair works for the performance of the corresponding maintenance of the lines and for keeping the track geometry within the permitted tolerances.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t>
  </si>
  <si>
    <t>CZ-10592</t>
  </si>
  <si>
    <t>Unsecured movement, 22-08-24, open line between Praha-Radotín and Dobřichovice stations (Czech Republic)</t>
  </si>
  <si>
    <t>Unsecured movement, trains collision with an obstacle</t>
  </si>
  <si>
    <t>Unsecured movement of the regional passenger train No. 9940 behind the main (section) signal device of Kazín operating point with block apparatus (hereinafter signal box) into the block section which was occupied by the regional passenger train No. 8838 and consequent collision with the damage contact line.</t>
  </si>
  <si>
    <t>open line between Praha-Radotín and Dobřichovice stations, Kazín signal box, the main (section) signal device Lo, the line track No. 2, km 15,152. A place of collision with the damage contact line was between Kazín and Horní Mokropsy signal boxes, the line track No. 2, between the contact line supports No. 172 (km 15,410) and No. 174 (km 15,470).</t>
  </si>
  <si>
    <t>CZK 266 023,- (€ 10 599-); Rolling stocks, infrastructure</t>
  </si>
  <si>
    <t>RO-10593</t>
  </si>
  <si>
    <t>Train derailment, 1/9/2024, Rădulești</t>
  </si>
  <si>
    <t>One wagon (7th) from the composition of the freight train no.40712001  derailed in Rădulești railway station.</t>
  </si>
  <si>
    <t>Rădulești</t>
  </si>
  <si>
    <t>SC Rail Cargo Carrier România SRL</t>
  </si>
  <si>
    <t xml:space="preserve">Damage to the wagon no.31564962069-9.
The line was damaged for about 20 meters. </t>
  </si>
  <si>
    <t>Causal factor
The existence, at the site of the railway accident, of an area where the track twist and the transverse level exceeded the maximum permissible value and the accepted tolerances in operation, which caused the exceeding of the derailment stability limit.</t>
  </si>
  <si>
    <t>Contributing factor
The lack of the wear plates from the centre castings of bogies A and C (the first and the third bogies in the running direction) of wagon no.31564962069-9, which increased the rigidity of the bogie–wagon body assembly, thus increasing the lateral guiding force.
Systemic factors
§ provision with unsuitable material and human resources, against the necessary one, for the performance of the corresponding maintenance of the line geometry between the accepted tolerances;
§ ineffective management of the risk associated to the dangers of not ensuring the level in cross-section and of non-compliance with the tolerances for the level and the track position in plan;
§ non-compliance with the provisions of the relevant regulations regarding the minimum thickness of the wear plates between the centre castings of the wagon.</t>
  </si>
  <si>
    <t>PT-10594</t>
  </si>
  <si>
    <t>Level crossing accident, 12/7/2024, Level crossing at km 312,851 of Algarve Line, near Poço Barreto</t>
  </si>
  <si>
    <t>Collision of a passenger train with a road vehicle on a level crossing with a protection system not compliant with the national legislation.</t>
  </si>
  <si>
    <t>Level crossing at km 312,851 of Algarve Line, near Poço Barreto</t>
  </si>
  <si>
    <t>Damage to rolling stock, track equipment and road vehicle.</t>
  </si>
  <si>
    <t>HU-10595</t>
  </si>
  <si>
    <t>Level crossing accident, 10/08/2024, Adony (Hungary)</t>
  </si>
  <si>
    <t>The train collided with a car.</t>
  </si>
  <si>
    <t>Adony</t>
  </si>
  <si>
    <t>Car and train crashes</t>
  </si>
  <si>
    <t>Maintenance of barrier</t>
  </si>
  <si>
    <t>RO-10596</t>
  </si>
  <si>
    <t>Train derailment, 7/9/2024, Valu lui Traian</t>
  </si>
  <si>
    <t>One wagon (22th) from the composition of the freight train no.68502006  derailed in Valu lui Traian railway station.</t>
  </si>
  <si>
    <t>SC Constantin Grup SRL</t>
  </si>
  <si>
    <t xml:space="preserve">Damage to the wagon no.37809341143-7 (the derailed bogie were replaced).
The line was damaged for 279 meters. </t>
  </si>
  <si>
    <t>Causal factor
The existence on the track at the site of the railway accident of a group of consecutive improper normal wooden sleepers, whose technical condition could no longer ensure the proper fastening of the rails and the maintenance of the track gauge within the tolerances allowed by the regulatory framework, resulting in the maximum permissible track gauge limit being exceeded during operation, thus causing the loss of the rails' support and guidance capacity under the dynamic action of the rolling stock.</t>
  </si>
  <si>
    <t>Contributing factor
Maintaining a high degree of choking of the ballast and abundant vegetation, which caused the premature degradation (rot) of the wooden sleepers.
Systemic factors
§ Provision with unsuitable material and human resources, against the necessary one, for the performance of the corresponding maintenance of the line geometry between the accepted tolerances.
§ Ineffective management of the risk associated to the dangers generated by keeping two or more consecutive improper sleepers in the track.</t>
  </si>
  <si>
    <t>DK-10597</t>
  </si>
  <si>
    <t>2024-465, Jersie - Soelrød Strand, Track worker hit by rolling stock</t>
  </si>
  <si>
    <t>One track worker hit by train at line speed</t>
  </si>
  <si>
    <t>Between Jersie and Solroed Strand</t>
  </si>
  <si>
    <t>RO-10598</t>
  </si>
  <si>
    <t>Train derailment, 12/9/2024, Berbești - Popești Vâlcea</t>
  </si>
  <si>
    <t>One wagon (21st) from the composition of the freight train no.60568212  derailed between Berbești and Popești Vâlcea railway stations.</t>
  </si>
  <si>
    <t xml:space="preserve">Damage to the first bogie in the running direction from  the wagon no.81536654351-1.
The line was damaged for about 3700 meters. </t>
  </si>
  <si>
    <t>Causal factor
Exceeding of the maximum value accepted for the track gauge in operation, which caused the falling between the rails of the right-hand wheel of the first axle of wagon no. 81536654351-1 from the active flank of the inner rail of the curve, due to the improper condition of the track.</t>
  </si>
  <si>
    <t>Contributing factors
Failure to replace the unsuitable concrete sleepers identified on the curve where the accident occurred and recorded in the "record of defective and worn sleepers and their replacement in 2023-2024".
Systemic factors
§ failure to carry out periodic repair works for the performance of the corresponding maintenance of the lines and to maintain the track geometry within the accepted tolerances;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by keeping two or more neighbouring unsuitable sleepers on the track.</t>
  </si>
  <si>
    <t>BG-10599</t>
  </si>
  <si>
    <t>Fire in locomotive No 91520043309-1, serviced by fast train No 8632 between the stations Svoboda and Tchyrpan</t>
  </si>
  <si>
    <t xml:space="preserve">Fire during motion in locomotive, serviced by fast train (FT) between two stations </t>
  </si>
  <si>
    <t xml:space="preserve"> During motion between two stations</t>
  </si>
  <si>
    <t xml:space="preserve">damages caused to the locomotive -fired engine compartment, and to the railway infrastructure (newly laid railway track in the interstation area)-10 086,42;
Including 12 unfit reinforced concrete sleepers ST-6;
• 36 meters of unfit rails type U 60;
• contaminated 18 meters of ballast prism;
• 4 aluminium -thermite welding;• Neutralization of 150 meters of rail track
</t>
  </si>
  <si>
    <t>thermal overheating of the power unit 221, supplying the compressor motor 235</t>
  </si>
  <si>
    <t>The auxiliary rectifier 221, supplying the compressor motor, was not cooled at that time, since the fans were turned off when the train was moving along the route.</t>
  </si>
  <si>
    <t>CZ-10600</t>
  </si>
  <si>
    <t>Collision of the regional passenger train No. 7763 with the end of the standing
regional passenger train No. 9408 at Balabenka junction point</t>
  </si>
  <si>
    <t xml:space="preserve"> Unauthorized movement (SPAD) of the regional passenger train No. 7763 behind the signal device 301VS with consequent collision with
end of the standing regional passenger train No. 9408</t>
  </si>
  <si>
    <t>Balabenka junction point</t>
  </si>
  <si>
    <t>Station (junction point)</t>
  </si>
  <si>
    <t>KŽC Doprava, s.r.o.; České dráhy, a. s.</t>
  </si>
  <si>
    <t>Total damage CZK 31 614 162,- (EUR 1 300 994,-)</t>
  </si>
  <si>
    <r>
      <t>Causal factor:</t>
    </r>
    <r>
      <rPr>
        <sz val="10"/>
        <color rgb="FF000000"/>
        <rFont val="Arial"/>
        <family val="2"/>
        <charset val="1"/>
      </rPr>
      <t xml:space="preserve">
• the instructor-train driver of the regional passenger train No. 7763 did not ensure corresponding speed (which was given by a signal „Speed 80 km/h and Warning“ of the main (departure) signal device L2 at Praha-Vysočany station) of this train at a ride to the main (entry) signal device 301VS at Balabenka junction point so that the train will stop in time in front of this signal device.</t>
    </r>
  </si>
  <si>
    <t>IT-10601</t>
  </si>
  <si>
    <t>Trains collision, 13/9/2024, Milano</t>
  </si>
  <si>
    <t>Collision between two freight trains (EVM Rail e DB Cargo), derailment and collision with passenger train (TRENORD), Nodo di Milano</t>
  </si>
  <si>
    <t>Milano</t>
  </si>
  <si>
    <t>EVM Rail; DB Cargo Italia; TRENORD</t>
  </si>
  <si>
    <t>damage to infrastucture and rolling stock not yet quantified</t>
  </si>
  <si>
    <t>RO-10602</t>
  </si>
  <si>
    <t>Train derailment, 19/9/2024, Sag</t>
  </si>
  <si>
    <t>The rear coach (the 2nd) of the passenger train no.2601 derailed by both axles of the last bogie on the entrance in Sag railway station when passed over the switch no.5.</t>
  </si>
  <si>
    <t>Sag</t>
  </si>
  <si>
    <t>SNTFC "CFR Calatori" SA</t>
  </si>
  <si>
    <t xml:space="preserve">Damage to the last bogie in teh running direction from coach no.50532296005-3 .
The line was damaged for about 90 meters. </t>
  </si>
  <si>
    <t>Causal factor
Transverse break of the right point switch (on the right side in the running direction of the train), corresponding to switch no.5, which was in the inactive position (detached from the stock rail). The break occurred in the section at the hole for fixing with bolt the connecting arm of the spring-loaded auxiliary manoeuvring device in the base of the point switch and caused the derailment of the last bogie of coach no.50532296005-3 (the second in the train composition), by climbing of the wheel on the right side of the first axle of the second bogie on the broken portion of the point of switch (from the breaking section to the switch end). The climbing occurred as a result of the inactive point of switch returning to the position tightened to the stock rail on this portion, following the complete break of the point of switch.
The break of the point of switch under the action of the forces transmitted by the wheels of the rolling stock in motion was caused by the decrease of the fatigue resistance of the material from which the point switch was manufactured, due to the long-term wear of the material structure, as a result of the long-term cyclic stresses to which both the point of switch and the fixing bolt of the spring-loaded auxiliary manoeuvring device were subjected during operation. The deformations in the crystals caused a widening of the sliding areas, creating conditions for the occurrence of microcracks characteristic of fatigue fracture, which spread around the hole for fixing with bolt in the base of the point switch, with a stress concentrator effect, producing brittle fracture in the area of maximum stress concentration.</t>
  </si>
  <si>
    <t>Contributing factor
None.
Systemic factors
§ Failure to carry out major repairs for restoring the railway track components to the designed parameters of the line, in order to ensure train circulation in safe conditions, at the established speeds and tonnages.
§ Provision with unsuitable human resources, against the necessary one, for the performance of the corresponding maintenance of the line.
§ Ineffective management of the risk associated to the danger of keeping in the track the rails with exceeded stored tonnage by the infrastructure manager.</t>
  </si>
  <si>
    <t>RO-10603</t>
  </si>
  <si>
    <t>Train derailment, 22/9/2024, Turceni</t>
  </si>
  <si>
    <t>The locomotive LEMA 083 that hauled the freigt train no.58490020 derailed in Turceni railway station when paased on the switch no.15.</t>
  </si>
  <si>
    <t>Constantin Grup Rail Logistic</t>
  </si>
  <si>
    <t>Damage to the locomotive LEMA no.083.
The line was slighty damaged for about 11,5 meters.</t>
  </si>
  <si>
    <t>Causal factor
The right wheel of the first axle of the LEMA 083 locomotive left the running track when a rail section (about 230 mm) broke off from the joint at the switch end of switch no.15, which created a 230 mm gap, and thus caused the loss of the rails’ support and guidance capacity.</t>
  </si>
  <si>
    <t>Contributing factors
The existence on the track, at the site of the railway accident, of a defect in the rail within the joint at the switch end of switch no.15, which presented the following aspects:
§ an old transverse crack from the running surface to just past the second hole of the rail joint at the switch end of switch, about 2 mm;
§ an old longitudinal crack on the web of the rail starting from the rail-joint gap, passing through the first hole of the joint to the middle of the distance between the two holes.
Systemic factors
§ failure to identify and maintain category I defective rails in switches;
§ failure to carry out major repairs and periodic repairs for the performance of the corresponding maintenance of the lines and switches in order to maintain the track geometry within the accepted tolerances, in the conditions of provision with unsuitable material and human resources;
§ ineffective management of the risks associated to the danger generated by the maintaining in track of category I defective rails in the switch.</t>
  </si>
  <si>
    <t>RO-10604</t>
  </si>
  <si>
    <t>Train derailment, 26/9/2024, Craiova</t>
  </si>
  <si>
    <t>The locomotive LEMA 006 who running solo as freight train no.86699 derailed in Craiova railway station.</t>
  </si>
  <si>
    <t>SC Deutsche Bahn Cargo România SRL</t>
  </si>
  <si>
    <t xml:space="preserve">Damage to first axle in the running direction from the locomotive LEMA 006.                                                                                                  The line was slightly damaged for about 8 meters.                                                                                </t>
  </si>
  <si>
    <t>Causal factor
The climbing of the active side of the rail head of the connecting rail, corresponding to the curved switch blade of switch no.10, was caused by the improper technical condition of the light engine LEMA 006, influenced by the presence on the active side of the wheel flange, over an area of about half of the wheel circumference, of edges, as well as by a roughness higher than 12.5 µ on the active side of the wheel flanges of the wheels of axle no.1.</t>
  </si>
  <si>
    <t>Contributing factors
§ The lack of greasing of the rail contact area between the wheel and the rail as a result of the malfunctioning of the wheel flange greasing system on the locomotive at the time of the accident, resulting in an increase in the adhesion coefficient between the two-rail contact area and, implicitly, an increase in the guiding force;
§ improper geometry of the track in the area of the connecting rails of switch no.10.
Systemic factor
Lack of identification and assessment of the risks associated with the hazards represented by: "roughness on the active side of the flange of the wheel greater than 12.5 µ after re-profiling operations by turning the tyres" and "malfunctioning of the wheel flange greasing system".</t>
  </si>
  <si>
    <t>HU-10605</t>
  </si>
  <si>
    <t>Train derailment, 25/8/2024, Budapest-Keleti</t>
  </si>
  <si>
    <t>The train derailed on a switch.</t>
  </si>
  <si>
    <t>Rail was broken, 5 carriages derailed, and the main station was closed for 3 days.</t>
  </si>
  <si>
    <t>NL-10606</t>
  </si>
  <si>
    <t>Level crossing accident, 28/8/2024, Hooge Zwaluwe</t>
  </si>
  <si>
    <t>On the afternoon of Wednesday 28 August 2024, a freight train collided with a truck that was crossing the Zanddijk level crossing in Hooge Zwaluwe (freight line Lage Zwaluwe - Oosterhout Weststad). The driver of the freight train was killed and one of his two colleagues on the train was injured. The truck driver did not sustain any physical injury.</t>
  </si>
  <si>
    <t>Hooge Zwaluwe</t>
  </si>
  <si>
    <t>DB Cargo Nederland</t>
  </si>
  <si>
    <t>Slight damage to the locomotive. Signs and fences of the level crossing had to be repaired/replaced. The trailer of the truck was damaged.</t>
  </si>
  <si>
    <t>The direct cause of the collision was that the truck driver drove onto
the unprotected level crossing when a freight train was approaching.
The train driver saw the truck approaching, sounded the train’s horn
several times and reduced speed. The truck driver only saw the
train when he was already on the level crossing.</t>
  </si>
  <si>
    <t>The design and surroundings of level crossings influence the behaviour of road users. The unprotected crossing  is located in a rural area on a section of railway line used solely by freight trains. Because this section of line is used only occasionally, road users do not expect a train to be approaching. The vegetation growth surrounding the railway line gives the impression that this section of line is not in use. The design of the road demands the attention of road users, meaning that it is less likely that they will notice an approaching train.
The railway infrastructure manager, the railway company, and the road infrastructure manager did not appreciate these risks.
The driver and his colleagues were standing on the external platform at the front of the locomotive. That made them vulnerable in the event of a collision. The driver was operating the train by radio control from the platform. The instructions issued by the railway company were unclear as to whether operating the train in this way was permitted on this section of line. Drivers assumed that it was permitted. Moreover, they considered that they had a better view of approaching traffic from the platform.</t>
  </si>
  <si>
    <t>RO-10607</t>
  </si>
  <si>
    <t>Fire in RS, 19/10/2024, Nucet - Târgoviște</t>
  </si>
  <si>
    <t xml:space="preserve">A fire brust out into hauling locomotive DA 011 of the freight train no.66625 between Nucet and Târgoviște railway stations. </t>
  </si>
  <si>
    <t>Nucet - Târgoviște</t>
  </si>
  <si>
    <t xml:space="preserve">The locomotive DA 011 was affected (the connecting dose of the compressor power cables).                      </t>
  </si>
  <si>
    <t>Causal factor
The occurrence over time of an improper contact at the terminal board of the coupling box of the power supply wiring of the 22SCE10 helical electro compressor, which caused the overheating and melting of this board, followed by the occurrence of a short circuit between the cables located inside this box, resulting in the ignition of the electrical wiring insulation.</t>
  </si>
  <si>
    <t>No contributing factors or systemic factors of the occurrence of the accident were identified.</t>
  </si>
  <si>
    <t>DE-10608</t>
  </si>
  <si>
    <t>Trains collision, 24/9/2024, Rheinkamp</t>
  </si>
  <si>
    <t>Am 24.09.2024 um ca. 07:18 Uhr kollidierte DPN-G 75332 auf der Fahrt von Duisburg nach Xanten mit einem nicht grenzzeichenfrei stehenden Triebfahrzeug (Tfz) auf der Weiche 41 im Bf Rheinkamp.</t>
  </si>
  <si>
    <t>Rheinkamp</t>
  </si>
  <si>
    <t>DB InfraGO Ag</t>
  </si>
  <si>
    <t>DE-10609</t>
  </si>
  <si>
    <t>Trains collision, 16/9/2024, Lindau-Reutin</t>
  </si>
  <si>
    <t>Am 16.09.2024 gegen 10:15 Uhr kollidierte die Rangierfahrt (Rf) aus dem Personenzug 5564 im Bahnhofsteil (Bft) Lindau-Reutin auf der Weiche 68W822 mit dem einfahrenden Leerreisezug Lr 79112.</t>
  </si>
  <si>
    <t>Lindau-Reutin</t>
  </si>
  <si>
    <t>ÖBB Personenverkehr AG</t>
  </si>
  <si>
    <t>Damages along trainsets.</t>
  </si>
  <si>
    <t>DE-10610</t>
  </si>
  <si>
    <t>Accident to persons caused by RS in motion, 23/7/2024, Eberbach</t>
  </si>
  <si>
    <t>On 22/07/2024 at 8:14 pm, the EZ 51978 hit a child on a bike when passing through platform 3 in Eberbach station at the level pedestrian crossing protected by an electric sliding barrier.</t>
  </si>
  <si>
    <t>Eberbach</t>
  </si>
  <si>
    <t>Child fatal accident at a passenger crossing.</t>
  </si>
  <si>
    <t>Accessing the pedestrian crossing while a train was running [F1]; Design of the pedestrian crossing does not sufficiently protect all passengers against the hazards of railway operations [F2].</t>
  </si>
  <si>
    <t>Awareness and perception of hazards by users [S1]; Legal admissibility [S2a] and intra‐company grandfather policy [S2b].</t>
  </si>
  <si>
    <t>HR-10611</t>
  </si>
  <si>
    <t>Serious accident, 09-10-2024, station Karlovac (Croatia)</t>
  </si>
  <si>
    <t>On October 09, 2024, at 10:38 p.m., on the line M202 at station Karlovac at km 480+990, five freight wagons (tankers) as part of train No. 81111 derailed. Train No. 81111 was dispatched from station Soici to station Sisak Caprag. Train No. 81111 consisted of 29 wagons loaded with diesel fuel and gas. The five wagons that derailed were loaded with diesel fuel.</t>
  </si>
  <si>
    <t>station Karlovac, Croatia</t>
  </si>
  <si>
    <t>ENNA TRANSPORT d.o.o.</t>
  </si>
  <si>
    <t>No one was fatally injured or injured in the accident, and there was major material damage to the railway infrastructure and wagons.</t>
  </si>
  <si>
    <t>ES-10612</t>
  </si>
  <si>
    <t>Runaway, 19/10/2024, Jardín Botánico (Madrid)</t>
  </si>
  <si>
    <t>National ID 108/2024: Runaway of rolling stock and subsequent derailment.
Train #97015 departed from La Sagra bound for the Fuencarral workshop. It was made up of two units of high-speed regional train type 114: the first one was towing the second, which was broken down. The train crew consisted of a driver and two maintenance technicians. The train travelled through the high-speed tunnel from Atocha to Chamartín. At the entrance to Chamartín station, the towing unit suffered a traction failure that prevented it from going up the steep ramp at the entrance to the station (about 30‰). In order to overcome the ramp, the train driver and the signaller agreed that the train should back up to gain momentum on a flatter section. While this manoeuvre was being prepared, the towed and damaged train unit broke free from its coupling and began drifting down the tunnel with no power, no brakes and the two technicians on board. After more than four kilometres drifting down the tunnel (with gradients between 12‰ and 30‰), the unit arrived, with a high speed, at the Jardín Botánico crossover, where it was switched from track #1 to track #2. At the next curve after the track change, the unit derailed and went off at a tangent, colliding with the tunnel wall. The first three cars (in the direction of drift) overturn, while the fourth remains derailed but upright. After sliding some distance, the unit stops at approximately PK 7,000. The two maintenance technicians on board the train were able to escape safely after it stopped. There were no fatalities nor serious injuries, but there was significant damage to the accident unit and the tunnel infrastructure.</t>
  </si>
  <si>
    <t>Jardín Botánico (Madrid)</t>
  </si>
  <si>
    <t>Important damages to train unit and infrastructure, specially to the slab track and signals of the tunnel.</t>
  </si>
  <si>
    <t>NO-10613</t>
  </si>
  <si>
    <t>Trains collision with an obstacle (rockslide and subsequent derailment), 24/10/2024, Finneidfjord</t>
  </si>
  <si>
    <t xml:space="preserve">Passenger train 471 with diesel locomotive and five coaches collided with a rockslide and derailed. The locomotive and one coach continued down a steep slope and ended in the ditch beside main road E6. The locomotive driver perished in the accident. </t>
  </si>
  <si>
    <t>Finneidfjord</t>
  </si>
  <si>
    <t>Locomotive and 1 or 2 coaches heavily damaged.</t>
  </si>
  <si>
    <t>ES-10614</t>
  </si>
  <si>
    <t>SPAD, 25/6/2024, Cuenca Fernándo Zóbel (Cuenca)</t>
  </si>
  <si>
    <t>National ID 64/2024: SPAD.
High Speed train #05903 stopped (as scheduled) at Cuenca-Fernando Zóbel station. After getting on board a trainee driver, the driver resumed the journey at seeing exit signal S1/5, that was showing red + FIXED blue lights. This reaction was a wrong interpretation of the signal, because if the signal was authorising the exit, the blue light should be flashing (no fixed). This causes a SPAD, and ATP system triggers an emergency braking. No personal nor material damages.
Driver has admitted it was a mistake. However, the NIB has considered that this incident reveals a wrong application of operational rules by both driver and signaller in charge, and this could by a hint of deeper training shortages.</t>
  </si>
  <si>
    <t>Cuenca Fernándo Zóbel (Cuenca)</t>
  </si>
  <si>
    <t>Adif AV</t>
  </si>
  <si>
    <r>
      <t xml:space="preserve">Causal factors:
1. Misinterpretation by the driver of the message transmitted by signal S1/5, which caused a SPAD. </t>
    </r>
    <r>
      <rPr>
        <sz val="10"/>
        <color rgb="FF000000"/>
        <rFont val="Arial"/>
        <family val="2"/>
      </rPr>
      <t>(See Recommendations 1, 2, 3, 5 and 7)
2. Authorization to resume train movement issued by the signaller at the CRC, due to failure to recognize that the SPAD had occurred. (See Recommendations 1, 2, 3 and 4)</t>
    </r>
  </si>
  <si>
    <r>
      <t xml:space="preserve">Contributing factors:
1. Driver’s previous experience with TRIP mode activations at other points on the network. </t>
    </r>
    <r>
      <rPr>
        <sz val="10"/>
        <color rgb="FF000000"/>
        <rFont val="Arial"/>
        <family val="2"/>
      </rPr>
      <t>(See Recommendations 1 and 7)
2. Shift change at the CRC. (See Recommendation 4)
3. Failure by the driver to verify the signal aspect. (See Recommendations 1 and 7)
4. Driver’s divided attention due to training personnel entering the cab. (See Recommendation 1)</t>
    </r>
    <r>
      <rPr>
        <b/>
        <sz val="10"/>
        <color rgb="FF000000"/>
        <rFont val="Arial"/>
        <family val="2"/>
      </rPr>
      <t xml:space="preserve">
Systemic factors:
1. Similarity between signal aspects FF7C and FF7D.</t>
    </r>
    <r>
      <rPr>
        <sz val="10"/>
        <color rgb="FF000000"/>
        <rFont val="Arial"/>
        <family val="2"/>
      </rPr>
      <t xml:space="preserve"> (See Recommendation 3)
2. Requirement for different driver actions in response to aspect FF7C within the same service, depending on the ERTMS level under which the train is operating. (See Recommendation 2)
3. Attention required by the driver for release speed control. (See Recommendation 1)
4. Existing track equipment with ERTMS Level 2, not operational on this section. (See Recommendation 2)
5. Driver’s expectation of receiving the Movement Order (Exit Signal). (See Recommendations 2 and 3)</t>
    </r>
  </si>
  <si>
    <t>DK-10615</t>
  </si>
  <si>
    <t>Near miss railway workers, 13/9/2024,  Slagelse - Forlev</t>
  </si>
  <si>
    <t>2 railway workers almost hit by a train</t>
  </si>
  <si>
    <t>Slagelse - Forlev</t>
  </si>
  <si>
    <t xml:space="preserve">The primary cause of the incident was that the railway workers were working alone on a track that was not blocked. </t>
  </si>
  <si>
    <t>This situation arose due to a misunderstanding between the railway workers and the controller of site safety (COOS), and was able to escalate because the work had commenced without prior and adequate instruction to all parties, and without supervision from the COSS or assistant. The employees’ focus on completing the task likely overshadowed considerations for their own safety and increased their willingness to disregard applicable safety regulations.</t>
  </si>
  <si>
    <t>ES-10616</t>
  </si>
  <si>
    <t>Train derailment, 26/11/2023, Atocha (Madrid)</t>
  </si>
  <si>
    <t>National ID 114/2023: Derailment at the exit switch point of Atocha station.
Last six coaches of train #00271 (Renfe long distance, Almería - Madrid, 2 locomotives and 9 coaches) derail when exiting Atocha Cercanías station in Madrid (from track #4 to track #1 of Recoletos tunnel). A switch blade in double slip #10 is broken, so that coaches 1 and 2 pass correctly to track #1, coaches 3 to 7 derail and coaches 8 and 9 pass to track #2 without derailing (the train ends up crossed between both tracks). One of derailed coaches rubs against the tunnel wall and 14 passengers get injured (slightly) with contusions. Tunnel stays cut for two days.
Some days later (December 5th and 8th) there are two more derailments at the exit of Atocha, involving switches very close to the one involved in the first derailment. The board of the CIAF decided to conduct a joint preliminary enquiry of the three derailments, because of the possibility of being related. This enquiry has also analysed the switch blade to find out if it broke before of after the derailment. After the findings of this enquiry, the board has decided to formalize this enquiry into an complete investigation on only the first derailment, although the other two derailments will be mentioned and taken into account (this is the reason because the notification of the investigation opening has been delated till now).</t>
  </si>
  <si>
    <t>Atocha (Madrid)</t>
  </si>
  <si>
    <t>Damages to train unit and infrastructure, broken switch blade</t>
  </si>
  <si>
    <r>
      <t xml:space="preserve">Causal factors:   
Fracture of the right-hand T10A switchblade of turnout T10 at Atocha Cercanías station. </t>
    </r>
    <r>
      <rPr>
        <i/>
        <sz val="10"/>
        <color rgb="FF000000"/>
        <rFont val="Arial"/>
        <family val="2"/>
      </rPr>
      <t>See Recommendation 114/2023-1, 114/2023-2</t>
    </r>
    <r>
      <rPr>
        <sz val="10"/>
        <color rgb="FF000000"/>
        <rFont val="Arial"/>
        <family val="2"/>
      </rPr>
      <t xml:space="preserve"> 
Contributing factors:   
- The high traffic intensity experienced by turnout T10 at Atocha Cercanías station. </t>
    </r>
    <r>
      <rPr>
        <i/>
        <sz val="10"/>
        <color rgb="FF000000"/>
        <rFont val="Arial"/>
        <family val="2"/>
      </rPr>
      <t xml:space="preserve">See Recommendation 114/2023-1 and 114/2023-2, 114/2023-3 </t>
    </r>
    <r>
      <rPr>
        <sz val="10"/>
        <color rgb="FF000000"/>
        <rFont val="Arial"/>
        <family val="2"/>
      </rPr>
      <t xml:space="preserve">
- The design characteristics of turnout T10 due to the difficulty of ensuring track continuity between the station and the tunnel. </t>
    </r>
    <r>
      <rPr>
        <i/>
        <sz val="10"/>
        <color rgb="FF000000"/>
        <rFont val="Arial"/>
        <family val="2"/>
      </rPr>
      <t>See Recommendation 114/2023-1 and 114/2023-2</t>
    </r>
  </si>
  <si>
    <r>
      <t xml:space="preserve">Systemic factors:   
Lifecycle management of elements at critical points, influenced by traffic, design, or environmental conditions. </t>
    </r>
    <r>
      <rPr>
        <i/>
        <sz val="10"/>
        <color rgb="FF000000"/>
        <rFont val="Arial"/>
        <family val="2"/>
      </rPr>
      <t>See Recommendation 114/2023-1, 114/2023-2, 114/2023-3</t>
    </r>
  </si>
  <si>
    <t>RO-10617</t>
  </si>
  <si>
    <t>Train derailment, 29/10/2024, Palas - Constanța Mărfuri</t>
  </si>
  <si>
    <t>Two wagons (31st and 32nd) from the composition of the freight train no.66361 derailed between Palas and Constanța Mărfuri railway stations.</t>
  </si>
  <si>
    <t xml:space="preserve">Damage to the wagons no.31536666192-6 and 89536950046-0.
Damage to the inductor of entrance signal from Constanța Mărfuri railway station. The line was damaged for about 458 meters. </t>
  </si>
  <si>
    <t>Causal factor
Overheating, followed by the breakage of the axle journal corresponding to wheel no.1 of wagon no. 89536950046-0 (the 32nd in the train composition), which caused the loss of the guiding capacity of the axle mounted with wheels 1–2.</t>
  </si>
  <si>
    <r>
      <t>Contributing factor</t>
    </r>
    <r>
      <rPr>
        <sz val="10"/>
        <color rgb="FF000000"/>
        <rFont val="Arial"/>
        <family val="2"/>
        <charset val="238"/>
      </rPr>
      <t xml:space="preserve">
Long service life of the roller bearings mounted in the axle box corresponding to wheel no.1 of this wagon (WJ bearing – 45 years from the date of manufacture, and WJP bearing – 55 years from the date of manufacture).
Systemic factor
Lack of identification of the risks associated to the danger represented by the use of roller bearings in the axle box, a subassembly of the critical component mounted axles, without establishing a maximum service life.</t>
    </r>
  </si>
  <si>
    <t>AT-10618</t>
  </si>
  <si>
    <t>Trains collision, 17/9/2024, Bf Sattendorf</t>
  </si>
  <si>
    <t>At Sattendorf station, passenger train 4329 and freight train 47238 collided on switch 1 at km 368,612.</t>
  </si>
  <si>
    <t>Bf Sattendorf</t>
  </si>
  <si>
    <t>Rail Cargo Austria GmbH</t>
  </si>
  <si>
    <t>The collision caused significant damage to both trains and the track.</t>
  </si>
  <si>
    <t>The cause of the train collision was the unauthorised passing of the ‘H3’ exit signal by train 47238 due to the perception of an incorrect signal aspect at the previously announced exit advance signal “h”.
The incorrect perception occurred because the train driver's attention was focused on changing the train radio from digital to analogue immediately before entering Sattendorf station. This train radio change took place while the train was moving. This was compounded by technical problems that arose while attempting to change the train radio. The focus was therefore on solving the problem and thus also longer than usual on the train radio changeover. The location for the train radio changeover immediately before the entry signal ‘Z’ respectively the exit advance signal ‘h’ must also be considered a systemic factor, as it can have a similar effect on other journeys. The train drivers' focus is systematically directed towards the train radio changeover to be carried out during the journey. The technical problems encountered when changing train radio signals when entering Sattendorf station in direction 2 are also considered a systemic factor. It was found that other train drivers also encountered similar technical problems at this location. These problems can lead to safety-related distractions at any time.
The unauthorised passing of signals was facilitated by the infrastructure design of the train control system and the safety route, which were unable to prevent the train from reaching the first danger point and subsequently colliding with another train. The required automatic braking of the train would have occurred far too late, after the first danger point had been passed. The infrastructure design of the train control system and the safety route must also be considered a systemic factor, as it can have a similar effect on other journeys. Past incidents (not at Sattendorf station, but in general) have already shown that the interaction between the train control system and the safety route often cannot prevent trains from reaching the first danger point, which can result in serious accidents, even if the infrastructure design of the train control system and safety route complies with the regulations.</t>
  </si>
  <si>
    <t>The routine of the train driver is that in the past, trains always passed through Sattendorf station on track 203 and that they always expected the corresponding ‘main signal clear at 40 km/h’ at the exit advance signal ‘h’ and always received ‘clear at 40 km/h’ at the exit signal ‘H3’.
Another contributing factor is considered to be the train driver's lack of situational awareness in the difficult and unexpected situation, which meant that important information, such as the exit advance signal ‘h’ indicating ‘caution’, was not fully accessible to them, which is why this signal was not noticed respectively was noticed incorrectly.</t>
  </si>
  <si>
    <t>DK-10619</t>
  </si>
  <si>
    <t>Accident to persons caused by RS in motion, 9/9/2024, Sakskøbing Station</t>
  </si>
  <si>
    <t>A person fell into the gap between the train and platform</t>
  </si>
  <si>
    <t>Sakskøbing Station</t>
  </si>
  <si>
    <t>The direct cause of the accident was that the passenger was in contact with the train as it departed, and thereby fell between the train and the platform.</t>
  </si>
  <si>
    <t>The railway company’s procedures, using the images from the internal camera surveillance, did not allow the possibility for detecting a danger, which was not withing the cameras viewing angle. The railway company’s risk profile did not include this risk.</t>
  </si>
  <si>
    <t>CZ-10620</t>
  </si>
  <si>
    <t>Collision of the freight train No. 53051 with the freight train No. 61020
at Praha-Malešice station</t>
  </si>
  <si>
    <t>Unauthorized movement (SPAD) of the freight train No. 53051 behind
the main (departure) signal device S1, entry to the train route and
collision with the freight train No. 61020 and consequent derailment of
the both trains.</t>
  </si>
  <si>
    <t>GJW Praha, spol. s r.o.;
ČD Cargo, a. s.</t>
  </si>
  <si>
    <t>Total damage CZK 8 776 026,- (EUR 356 604,-)</t>
  </si>
  <si>
    <r>
      <t>Causal factor:</t>
    </r>
    <r>
      <rPr>
        <sz val="10"/>
        <color rgb="FF000000"/>
        <rFont val="Arial"/>
        <family val="2"/>
        <charset val="1"/>
      </rPr>
      <t xml:space="preserve">
• failure to respect the signal „Stop” of the main (departure) signal device S1 at Praha-Malešice station due to:
- the train driver of the freight train No. 53051 followed signal „Continue” of the
main (departure) signal device S2 at Praha-Malešice station which was not
intended for this train;
- the head guard of the freight train No. 53051 did not observe the track and
signals and he did not alert the train driver of the need to stop the train.</t>
    </r>
  </si>
  <si>
    <t>RO-10621</t>
  </si>
  <si>
    <t>Train derailment, 4/11/2024, Ploiești Est</t>
  </si>
  <si>
    <t>Three wagons (3rd, 4th and 5th) from the composition of the freight train no.58496003 derailed in Ploiești Est railway station.</t>
  </si>
  <si>
    <t>SC Constantin Grup Rail – Logistic SRL</t>
  </si>
  <si>
    <t xml:space="preserve">Damage to the wagons no.vagonului nr.37804850796-6, 37804850795-8 and 33854850101-8 .
Was damaged switch no.29 and 35 from Ploiești Est railway station. </t>
  </si>
  <si>
    <t>Causal factor
The cumulative effect of the non-conformities existing at wagons no.37804850796-6 and no.37804850795-8 (the third and the fourth in the composition of the freight train no. 58496 003), which caused difficulties in negotiating the curved section of turnout no.29, located on the approach to the railway station Ploiești Est, in the diverging position.</t>
  </si>
  <si>
    <t>Systemic factor
The lack of assessment, at the level of the railway undertaking Constantin Grup Rail – Logistic SRL of the risks associated with the danger represented by the failure of the buffing gear of a freight wagon.</t>
  </si>
  <si>
    <t>RO-10622</t>
  </si>
  <si>
    <t>Train derailment, 5/11/2024, Tâmna - Igiroasa</t>
  </si>
  <si>
    <t>7 wagons (from 19th to 25th) from the composition of the freight train no. 66078004  derailed between Tâmna and Igiroasa railway stations. Of the 7 derailed wagons, 2 wagons overturned.</t>
  </si>
  <si>
    <t>Tâmna - Igiroasa</t>
  </si>
  <si>
    <t>Damage to the wagons no.81537855941-4, 31537855997-7,31537957260-7, 31537965929-7, 31537965475-1,31537957279-7 and 31537965890-1.
The line was damaged for about 1141 meters. The exit signal Y1 from  Igiroasa railway station was damaged.</t>
  </si>
  <si>
    <t>Causal factors
1. The horizontal deformation of the first bogie frame, in the running direction of the train (with wheels 1÷4), of wagon no. 31537855997-7;
2. Exceeding of the maximum value accepted for the total gap between the side bearers on both sides of the second bogie, in the running direction (with wheels 5÷8), of the same wagon.</t>
  </si>
  <si>
    <t>Contributing factors
1. Long service life (45 years) of the bogie frame of the first bogie, in the running direction of the train (with wheels 1÷4), of wagon no. 31537855997-7;
2. Carrying out the technical inspection in transit of the train involved by a single wagon technical examiner.
Systemic factor
Ineffective management of the risk associated to the dangers generated by carrying out the technical inspection by a single wagon technical examiner.</t>
  </si>
  <si>
    <t>DE-10623</t>
  </si>
  <si>
    <t>Train derailment, 31/10/2024, Ludwigshafen-Oggersheim</t>
  </si>
  <si>
    <t>Am 31.10.2024 entgleiste EZK 55240 bei der Einfahrt in den Nf. Ludwigshafen-Oggersheim.</t>
  </si>
  <si>
    <t>Ludwigshafen-Oggersheim</t>
  </si>
  <si>
    <t>Locomotive and infrastructure lightly damaged.</t>
  </si>
  <si>
    <t>Interference with the functionality of operating equipment [F1]; No determination of the correct position of the points [F2]; Requirements for train movement not met [F3].</t>
  </si>
  <si>
    <t>DE-10624</t>
  </si>
  <si>
    <t>Fire in RS, 2/11/2024, Bf. Ahrensfelde</t>
  </si>
  <si>
    <t>RB 61175 (Bf Ahrensfelde – Werneuchen) geriet beim Halt im Bf Ahrensfelde in Brand.</t>
  </si>
  <si>
    <t>Bf. Ahrensfelde</t>
  </si>
  <si>
    <t>NO-10625</t>
  </si>
  <si>
    <t>Derailment of CAF Urbos 100 in intersection between Nygata and Storgata in Oslo</t>
  </si>
  <si>
    <t>On 29 October 2024, tram 414 from Sporveien Trikken AS derailed at the intersection between Nygata and Storgata in Oslo. The tram was supposed to turn left, towards Stortorvet, but did not follow the curve and derailed the track. After the derailment, it continued straight ahead and into a shop.
The driver and four passengers were slightly to moderately injured, but no one in the shop was injured.</t>
  </si>
  <si>
    <t>Oslo, intersection between Nygata and Storgata</t>
  </si>
  <si>
    <t xml:space="preserve">Extencive damage to tram 414. severe damage to building in which it collided. </t>
  </si>
  <si>
    <t>The accident was caused by overspeeding at the switch. The overspeeding was caused by an acute illness in the driver that led to loss of consciousness. At the same time as the driver lost consciousness, the drive lever was placed in the full-thrust position, and the "deadman's grip" was released.</t>
  </si>
  <si>
    <t>HR-10626</t>
  </si>
  <si>
    <t>Serious accident, 30-09-2024, pedestrian crossing "Buzin" (Croatia)</t>
  </si>
  <si>
    <t xml:space="preserve">On 30th September 2024 at 08:41 AM, on the line M502-1 at km 416+242, between stations Zagreb Klara and Velika Gorica, passenger train number 5104 struck a cyclist who was fatally injured at the scene of accident. Train number 5104 was operating on the route Sisak Caprag – Zagreb Main Station. The cyclist approached from the urban side, passing through the staggered protective barrier without dismounting from the bicycle or verifying whether a train was approaching. While crossing the staggered protective barrier, he wore a hood that significantly restricted his field of vision, preventing him from seeing the approaching train coming from the direction of stop Buzin.  </t>
  </si>
  <si>
    <t>Pedestrian crossing "Buzin", Croatia</t>
  </si>
  <si>
    <t>There was no material damage to the railway infrastructure and train.</t>
  </si>
  <si>
    <t>Causal factors of the serious accident are:
- Careless crossing of the railway by the cyclist; failure to confirm whether it was safe to cross,
- The cyclist wore a hood that considerably limited his field of view, causing him to fail to notice the train approaching from the direction of stop Buzin,
- Due to reduced attention and concentration, and significantly restricted visibility, the cyclist was not aware of the dangerous situation posed by the approaching train number 5104.</t>
  </si>
  <si>
    <t>Contributing factors:
- Noise from surrounding road traffic, reducing the ability of pedestrian crossing users to hear the train horn,
- Routine habit — frequent crossing of the pedestrian level crossing (PLC) by the cyclist during periods when no trains run, possibly leading to a false sense of security,
- Use of the PLC at a different time than on previous days, leading to an erroneous assumption that no train would be passing at that time,
- Being late for training resulted in haste, which caused imprudent crossing of the PLC.
Systemic factors:
- The driver of train 5104 activated the train horn once, at 735 metres and 29 seconds before reaching the pedestrian level crossing and activating the emergency brake,
- The level crossing warning sign was installed at a shorter distance (334 metres) than prescribed (500 metres),
- Lack of awareness of pedestrian crossing users regarding the dangers of crossing the track.</t>
  </si>
  <si>
    <t>HU-10627</t>
  </si>
  <si>
    <t>The train started without authorization.</t>
  </si>
  <si>
    <t>Pocsaj-Esztár</t>
  </si>
  <si>
    <t>Switch damage</t>
  </si>
  <si>
    <t>PL-10628</t>
  </si>
  <si>
    <t>Level crossing accident, 3/11/2024, section Spychowo - Pisz, km 76,274 line 219, track 1</t>
  </si>
  <si>
    <t>Riding by the passsenger car on the level crossing while the pasenger train was approaching</t>
  </si>
  <si>
    <t>section Spychowo - Pisz, km 76,274 line 219, track 1</t>
  </si>
  <si>
    <t xml:space="preserve">Demaged passenger car and slightly demaged locomotive SU160-009 </t>
  </si>
  <si>
    <t>Casual factor: The passenger car entering the Cat. D level crossing directly in front of the oncoming passenger train MPS 15102.</t>
  </si>
  <si>
    <t>Contributing factors: 1)
Failure of the road vehicle to stop before the level crossing as directed by the B-20 "Stop" road sign.
2)
Failure of the driver of the road vehicle to take special care when approaching and traversing the said level crossing.</t>
  </si>
  <si>
    <t>BE-10629</t>
  </si>
  <si>
    <t>Operational event, 20/8/2024, Zeebrugge</t>
  </si>
  <si>
    <t>Zeebrugge</t>
  </si>
  <si>
    <t>No damages to infrastructure or rolling stock.</t>
  </si>
  <si>
    <t>RO-10630</t>
  </si>
  <si>
    <t xml:space="preserve">Train derailment, 20/11/2024,  Augustin - Racoș </t>
  </si>
  <si>
    <t xml:space="preserve">Rail crane EDK 250 tf from the composition of the freight train no. 67733520  derailed between Augustin and Racoș railway stations. </t>
  </si>
  <si>
    <t xml:space="preserve"> Augustin - Racoș </t>
  </si>
  <si>
    <t>SC „Rail Force” SRL</t>
  </si>
  <si>
    <t>Damage at first boghie in the running direction of the rail crane EDK 250.
The line was damaged for about497 meters. Two track inductors were destroyed.</t>
  </si>
  <si>
    <t>Causal factor
Accidental longitudinal displacement of the reduction gear pinion used to transmit the motion from the electric motor to axle no.5 for the crane’s own movement, causing it to come into contact with the ring gear of this axle, while running on a track section (within the circular curve) where there was a transverse unevenness exceeding the accepted tolerances, and also portions where the track twist ramp exceeded the maximum value accepted for trains running at V = 65 km/h.</t>
  </si>
  <si>
    <t>Contributing factors
1. Failure to remedy, within the regulated deadlines, the defects recorded following the verification of the track geometry with the TRC (track recording train).
2. Failure to perform measurements/checks on the track superstructure in the areas with defects reported by the TRC, by the personnel with responsibilities in traffic safety.
Systemic factors
1. Provision with unsuitable material and human resources, against the necessary one, for the performance of the corresponding maintenance of the line geometry between the accepted tolerances.
2. Inefficient supervision/monitoring of the activity of the line district by the inspection and control personnel of the section L2 Sighișoara and of the railway county Brașov.</t>
  </si>
  <si>
    <t xml:space="preserve">Final report </t>
  </si>
  <si>
    <t>FI-10631</t>
  </si>
  <si>
    <t>Trains collision with an obstacle, 15/11/2024, Tram line 15 end station, Espoo, Keilaniemi</t>
  </si>
  <si>
    <t>Tram collided with end buffer at Espoo Keilaniemi station. Tram driver and 4 passengers were injured in the collision. Also investigated collision of 2 trams at Helsinki Itäkeskus end station on 15.10.2024. In this accident 1 passenger was injured and material damages were over 1 M €.</t>
  </si>
  <si>
    <t>Tram line 15 end station, Espoo, Keilaniemi</t>
  </si>
  <si>
    <t>Metropolitan Area Transport Ltd</t>
  </si>
  <si>
    <t>In Keilaniemi Tram front end and intermediate couplings damaged. In Itäkeskus both trams severely damaged.</t>
  </si>
  <si>
    <t>Driver incapacitation, fatique</t>
  </si>
  <si>
    <t>Lack of safety devices and driver assisting systems in trams, lack of regulations.</t>
  </si>
  <si>
    <t>DK-10632</t>
  </si>
  <si>
    <t>2024-562, Køge N, Dør sprang op under kørsel (30-11-2024)</t>
  </si>
  <si>
    <t>Door in passenger train opend during driving aprox. 170 kph</t>
  </si>
  <si>
    <t>Køge N</t>
  </si>
  <si>
    <t>Door was not adjusted according to manufacturers instructions</t>
  </si>
  <si>
    <t>Manufactores instructions was not fully implemented in Rus maintenance instructions</t>
  </si>
  <si>
    <t>PL-10633</t>
  </si>
  <si>
    <t>Level crossing accident, 26/11/2024, section Sochaczew - Badnary , km 61,941 line 3, track 1</t>
  </si>
  <si>
    <t>section Sochaczew - Badnary , km 61,941 line 3, track 1</t>
  </si>
  <si>
    <t>Casual factor: The entry of the road vehicle onto the level crossing while the half-barriers were being lowered a signal was being given by the road traffic lights prohibiting entry beyond the lights, and the road vehicle's discontinuation of traversing and leaving the crossing.</t>
  </si>
  <si>
    <t xml:space="preserve">Contributing factors: 1) Stopping and leaving the road vehicle on the crossing in the gauge of track no. 1.
2) Failure of the driver of the road vehicle to take special care when traversing the level crossing.
3) The occurrence of a sudden stress reaction in the road vehicle driver as a result of an unexpected critical situation involving the closure of the lorry in the crossing zone between the closed barriers. 4) Failure to implement 100% of Recommendation No. 2 from the 2018 PKBWK Annual Report, which reads "Infrastructure managers shall eliminate exit barriers in automatic level crossing systems at Category B level crossings where the four half-barrier solution is used, and, where justified by local conditions, shall notify the road manager of the need to put in place safeguards on the approach to a Category B level crossing to prevent road vehicles entering onto the level crossing on a lane that allows bypassing a closed barrier, in particular by means of separation strips or separators. (...)". Systemic factor: The system of crossing warning discs (TOP) in use, positioned at the trackside before level crossings, does not advise train drivers that the crossing zone (the length of the crossing) is occupied. Such a design of the system does not ensure compliance with safety requirements. </t>
  </si>
  <si>
    <t>HU-10634</t>
  </si>
  <si>
    <t>Unauthorized movement</t>
  </si>
  <si>
    <t>The train № 3815 started without authorization from Martonvásár station, passed a signal at danger, and went front of the train № 3542. The two trains stopped 500 metres apart.</t>
  </si>
  <si>
    <t>Martonvásár</t>
  </si>
  <si>
    <t xml:space="preserve">Multiple track </t>
  </si>
  <si>
    <t>CZ-10635</t>
  </si>
  <si>
    <t xml:space="preserve">Unsecured movement, 03-12-24, Hostivice station (Czech Republic) </t>
  </si>
  <si>
    <t>Unsecured movement</t>
  </si>
  <si>
    <t>Unsecured movement of the long distance passenger train No. 1233 to the station track No. 4 occupied by the detached rolling stocks.</t>
  </si>
  <si>
    <t>Hostivice station, the main (entry) signal device S, km 15,456.</t>
  </si>
  <si>
    <t>long distance passenger train</t>
  </si>
  <si>
    <r>
      <t xml:space="preserve">Causal factor:
• </t>
    </r>
    <r>
      <rPr>
        <sz val="10.5"/>
        <color rgb="FF000000"/>
        <rFont val="Arial"/>
        <family val="2"/>
        <charset val="1"/>
      </rPr>
      <t>permission of movement of the long distance passenger train No. 1233 on a calling-on signal from the main (entry) signal device S to the station track No. 4 occupied by the detached rolling stocks at Hostivice station.
Contributing factor:</t>
    </r>
    <r>
      <rPr>
        <sz val="10.5"/>
        <color rgb="FF000000"/>
        <rFont val="Arial"/>
        <family val="2"/>
      </rPr>
      <t xml:space="preserve">
• limited functionality of the station interlocking plant after trailing of the switch No. 24 which made it impossible to fully secure movement of the long distance passenger train No. 1233.</t>
    </r>
  </si>
  <si>
    <t>DE-10636</t>
  </si>
  <si>
    <t>Trains collision, 22/11/2024, Dorsfeld</t>
  </si>
  <si>
    <t>Am 22.11.2024 gegen 01:08 Uhr kollidierte der Zug DGS 42506 (Germersheim – Antwerpen) in km 25,9 in Gleis 2 des Bf Dorsfeld mit einem dort stehenden Arbeitszug.</t>
  </si>
  <si>
    <t>Dorsfeld</t>
  </si>
  <si>
    <t xml:space="preserve">Freight train
</t>
  </si>
  <si>
    <t>Medway; Schweerbau</t>
  </si>
  <si>
    <t>Vehicles and infrastructure heavly damaged.</t>
  </si>
  <si>
    <t>Overview of track occupancy [F1]; Performance of section check by signaller [F2]; Assessment that the track was “free” and provision of report by the rail construction supervisor [F3].</t>
  </si>
  <si>
    <t>Correct safety information about track occupancy [S1];</t>
  </si>
  <si>
    <t>BE-10637</t>
  </si>
  <si>
    <t xml:space="preserve">Railway vehicle movement event, 31/10/2024, Antwerpen-Noord
</t>
  </si>
  <si>
    <t>Derailment of two tank cars during a humping operation, followed by release of dangerous goods</t>
  </si>
  <si>
    <t xml:space="preserve">Damages to rolling stock and infrastructure (tracks and elements of the track brake system).
Environmental damages (soil pollution) are estimated to exceed 2 million euros. </t>
  </si>
  <si>
    <t>PT-10638</t>
  </si>
  <si>
    <t>Level crossing accident, 20/10/2024, Level crossing at km 104,274 of Beira Baixa Line, near Alcains</t>
  </si>
  <si>
    <t>Collision of a passenger train with a road vehicle on a level crossing with a legal status and protection system not compliant with the national legislation.</t>
  </si>
  <si>
    <t>Level crossing at km 104,274 of Beira Baixa Line, near Alcains</t>
  </si>
  <si>
    <t>BG-10639</t>
  </si>
  <si>
    <t>Collision of two employees of the Railway Infrastructure Manager by a Self-propelled railway specialized machine No 99529459017-0 between the stations Krivodol and Boytchinovtsi</t>
  </si>
  <si>
    <t>Collision of two employees of SE NRIC by RSPSM No99529459017-0 between the stations Krivodol and Boytchinovtsi</t>
  </si>
  <si>
    <t>between the stations Krivodol and Boychinovtsi</t>
  </si>
  <si>
    <t>2 fatalities, 1 seriously injured</t>
  </si>
  <si>
    <t xml:space="preserve">Non-provided security for the working group (signal operators) at the work site; Untimely activation of the automatic train brake of the RSPSM </t>
  </si>
  <si>
    <t>Non-provided security for the working group (signal operators) at the work site in a curve with a radius of 400 m.; Untimely activation of the automatic train brake of the RSPSM to reduce the speed of movement after it was established that there was a working group and light track machinery on the railway.</t>
  </si>
  <si>
    <t>DK-10640</t>
  </si>
  <si>
    <t>Passenger trapped in door and pulled under train</t>
  </si>
  <si>
    <t>A passenger was stuck in a door and was pulled under the train as it departed the platform.</t>
  </si>
  <si>
    <t>Østerport Station</t>
  </si>
  <si>
    <t xml:space="preserve">A passenger, after the departure procedure and door closing had begun, inserted one of their forarms between the closing door leaves. 
Due to ligting conditions and distance, the trains conductor was unable to see that the passenger was trapped in the door. </t>
  </si>
  <si>
    <t>The RU established five barriers to reduce the risk of passengers being injured when boarding or deboarding the train. Only two of those barriers were relevant.
One of those, a technical barrier, was ineffective due to the construction of the entry doors. The only remaining barrier was the conductor's visual inspection of the doors.</t>
  </si>
  <si>
    <t>PT-10641</t>
  </si>
  <si>
    <t>Level crossing accident, 3/12/2024, Level crossing at km 7,559 of Minho Line, in Ermesinde</t>
  </si>
  <si>
    <t>Fatal accident to user hit by train at a passive pedestrian level crossing.</t>
  </si>
  <si>
    <t>Level crossing at km 7,559 of Minho Line, in Ermesinde</t>
  </si>
  <si>
    <t xml:space="preserve">Railway </t>
  </si>
  <si>
    <t>BG-10642</t>
  </si>
  <si>
    <t>Significant railway accident: Front collision between two freight trains of BDZ Cargo EOOD and PIMK Rail along the interstation Kremikovtsi-Svetovratchane on 15.01.2025</t>
  </si>
  <si>
    <t xml:space="preserve">Front collision between two freight trains along the interstation </t>
  </si>
  <si>
    <t>along the interstation Kremikovtsi-Svetovratchane</t>
  </si>
  <si>
    <t>BDZ Cargo EOOD, PIMK Rail</t>
  </si>
  <si>
    <t>2 fatalities, 6 seriously injured, material damages caused to 4 locomotives, 2 wagons and to the railway infrastructure</t>
  </si>
  <si>
    <t>complex violations of the regulations governing the train traffic</t>
  </si>
  <si>
    <t xml:space="preserve"> Unregulated departure, Unregulated communication between the train dispatcher and the duty traffic manager, Unregulated verbal agreements between the train master, freight traffic and the duty traffic manager   </t>
  </si>
  <si>
    <t>CZ-10643</t>
  </si>
  <si>
    <t>Unauthorized movement (SPAD) of the shunting operation behind the shunting signal device Se9 with consequent ride to train route for the long distance passenger train No. 668 at Jihlava station</t>
  </si>
  <si>
    <t>Unauthorized movement (SPAD) of the shunting operation behind the shunting signal device Se9 with consequent ride to train route for the long distance passenger train No. 668</t>
  </si>
  <si>
    <t xml:space="preserve"> The shunting operation; the long distance passenger train No. 688</t>
  </si>
  <si>
    <t>CH-10644</t>
  </si>
  <si>
    <t>Flirt-train runaway with derailment at Rivera-Bironico</t>
  </si>
  <si>
    <t>A Flirt six-carriage multiple unit train unrolled at Rivera-Bironico station. At the Mezzovico-Sigirino service station, the runaway train derailed and came to a halt.</t>
  </si>
  <si>
    <t>Rivera-Bironico</t>
  </si>
  <si>
    <t>Tilo</t>
  </si>
  <si>
    <t>SBB-Infrastruktur</t>
  </si>
  <si>
    <t>the vehicle has suffered total damage.The infrastructure was also damaged</t>
  </si>
  <si>
    <t>DK-10645</t>
  </si>
  <si>
    <t>2025-16, Ullerslev, Swap Body overturned on pocket waggon</t>
  </si>
  <si>
    <t>A swap body loded on a pocket waggon overturned during driving between the stations Middelfart and Odense. The incident was noticed by passing train in Ullerslev.</t>
  </si>
  <si>
    <t>Ullerslev</t>
  </si>
  <si>
    <t>A few paint scratches</t>
  </si>
  <si>
    <t>The investigation has shown that swap body CDKA 009 398-8 was not correctly loaded from the departure station</t>
  </si>
  <si>
    <t>The employees who were supposed to carry out inspections were influenced by the number of checkpoints that had to be carried out, as well as possibly a conscious or unconscious incentive to rush the tasks due to weather conditions. Limited lighting and the use of flashlights reduced the possibility of seeing trains and loading units in an overall perspective.
Increased attention to correct loading of trailers with several consecutive inspections of the same conditions, which was introduced after a serious accident in 2019, could lead to reduced attention to swap bodies and less thoroughness in the individual inspections.</t>
  </si>
  <si>
    <t>RO-10646</t>
  </si>
  <si>
    <t>Train derailment, 17/1/2025, Orbeni - Faraoani</t>
  </si>
  <si>
    <t xml:space="preserve">One wagon (20th) from the composition of the freight train no. 67204 016  derailed between Orbeni and Faraoani railway stations. </t>
  </si>
  <si>
    <t>Orbeni - Faraoani</t>
  </si>
  <si>
    <t>SC „Vest Trans Rail” SRL</t>
  </si>
  <si>
    <t>Damage at first boghie in the running direction of the wagon no.31539333345-7.
The line was damaged for about 2115 meters.                                    Two track inductors were destroyed.</t>
  </si>
  <si>
    <r>
      <rPr>
        <sz val="10"/>
        <color rgb="FF000000"/>
        <rFont val="Arial"/>
        <family val="2"/>
        <charset val="238"/>
      </rPr>
      <t>Causal factor</t>
    </r>
    <r>
      <rPr>
        <sz val="10"/>
        <color rgb="FF000000"/>
        <rFont val="Arial"/>
        <family val="2"/>
      </rPr>
      <t xml:space="preserve">
The breakage of the axle journal corresponding to wheel no.7, of axle no.3834176 of wagon no.31539333345-7, breakage which most likely occurred as a consequence of the use, during the manufacturing of this axle, of a procedure – material deposition by welding on the circumference of the axle journals – prohibited by the reference documents.
</t>
    </r>
  </si>
  <si>
    <r>
      <rPr>
        <b/>
        <sz val="10"/>
        <color rgb="FF000000"/>
        <rFont val="Arial"/>
        <family val="2"/>
        <charset val="238"/>
      </rPr>
      <t>Contributing factors</t>
    </r>
    <r>
      <rPr>
        <sz val="10"/>
        <color rgb="FF000000"/>
        <rFont val="Arial"/>
        <family val="2"/>
      </rPr>
      <t xml:space="preserve">
1. When wheelset with axle no.3834176 was introduced for repair, it was not verified whether the axle was part of one of the cast batches for which manufacturing defects had been identified and which were declared rejected between 2004 and 2008;
2. The long period of time (about 16 years) that elapsed between the years when the cast batches of axles with manufacturing defects were reported (2004–2008) and the year when the periodic repair of wagon no.31539333345-7 was carried out (2024).
</t>
    </r>
    <r>
      <rPr>
        <b/>
        <sz val="10"/>
        <color rgb="FF000000"/>
        <rFont val="Arial"/>
        <family val="2"/>
        <charset val="238"/>
      </rPr>
      <t>Systemic factors</t>
    </r>
    <r>
      <rPr>
        <sz val="10"/>
        <color rgb="FF000000"/>
        <rFont val="Arial"/>
        <family val="2"/>
      </rPr>
      <t xml:space="preserve">
1. Ineffective management, by the first owner of the axle assembly involved in the accident – SNTFM “CFR Marfă” SA, of the scrapping (destruction) actions of wheelsets produced from cast batches manufactured in 2003–2004 by SMR SA Balș, which were declared rejected in accordance with the provisions of UIC Leaflet 811-1/87;
2. Inefficient management, by the maintenance provider, of the information regarding the cast batches of axles produced by SMR SA Balș between 2003 and 2004, for which manufacturing defects were identified and which were declared rejected between 2004 and 2008.
</t>
    </r>
  </si>
  <si>
    <t>ES-10647</t>
  </si>
  <si>
    <t>Train derailment, 13/12/2024, León Clasificación (León)</t>
  </si>
  <si>
    <t>National ID 122/2024: runaway and derailment.
A rake of 10 wagons, stationed in track #9 at León Clasificación marshalling yard, begins to drift away. Eight of them are loaded with dangerous goods (1st with liquid argon, 3rd to 9th with sodium hydroxide). The rake drifts for 483 metres, at 2,4 km/h. When the rake reaches the switch #29 (at the end of the track) the first wagon forces the point open and derails. No personal damages nor spills. Yard operators admitted they only had braked one wagon (out of ten in the rake) and had not used drag shoes, because of a shortage of drag shoes at the yard.
The Spanish NIB has considered that this occurrence reveals a wrong practice of yard staff, and this could by a hint of training shortages.</t>
  </si>
  <si>
    <t>León Clasificación (León)</t>
  </si>
  <si>
    <t>One switch point damaged</t>
  </si>
  <si>
    <r>
      <t>Causal factors:</t>
    </r>
    <r>
      <rPr>
        <sz val="10"/>
        <rFont val="Arial"/>
        <family val="2"/>
      </rPr>
      <t xml:space="preserve">
1. The ineffective immobilization of the wagon rake parked on track 9 of the León Classification marshalling yard, which triggered an uncontrolled drift of the material.</t>
    </r>
  </si>
  <si>
    <r>
      <t>Contributing factors:</t>
    </r>
    <r>
      <rPr>
        <sz val="10"/>
        <rFont val="Arial"/>
        <family val="2"/>
      </rPr>
      <t xml:space="preserve">
1. The lack of anti-drift chocks when cutting parked material.
2. The loss of effectiveness of the automatic brake due to air loss in the brake circuit over time. See Recommendation 122/2024-1.
3. The ineffectiveness of the parking brake applied to cutting material by the Traffic Assistant. See Recommendation 122/2024-2.
4. The existence of slopes at the León Classification station.</t>
    </r>
    <r>
      <rPr>
        <b/>
        <sz val="10"/>
        <rFont val="Arial"/>
        <family val="2"/>
      </rPr>
      <t xml:space="preserve">
Systemic factors: </t>
    </r>
    <r>
      <rPr>
        <sz val="10"/>
        <rFont val="Arial"/>
        <family val="2"/>
      </rPr>
      <t xml:space="preserve"> 
1. The lack of availability of anti-drift chocks at marshalling yards, due to repeated thefts and the absence of an effective replacement system. See Recommendation 122/2024-1.
2. The requirement, in operating protocols, to apply only one parking brake in certain cases, without establishing backup measures for possible failures, incorrect application, or damage to the parked material. See Recommendation 122/2024-2.</t>
    </r>
  </si>
  <si>
    <t>NO-10648</t>
  </si>
  <si>
    <t>Fatal accident at Pran level crossing, km. 71,718 Kongsvingerbanen.</t>
  </si>
  <si>
    <t xml:space="preserve">Train 1020 collided with a HGV on an unsecured level crossing. The HGV driver perished in the collision.  </t>
  </si>
  <si>
    <t>Pran level crossing km. 71,718, Kongsvinger line .</t>
  </si>
  <si>
    <t xml:space="preserve">HGV destroyed, damages to front and fourth carriage of train. </t>
  </si>
  <si>
    <t>DE-10649</t>
  </si>
  <si>
    <t>Level crossing accident, 13/12/2024, Marienborn</t>
  </si>
  <si>
    <t>Info to follow</t>
  </si>
  <si>
    <t>Marienborn</t>
  </si>
  <si>
    <t>HR-10650</t>
  </si>
  <si>
    <t>Serious accident, 28-01-2025 (between railway stop Harmica and station Savski Marof) (Croatia)</t>
  </si>
  <si>
    <t xml:space="preserve">On January 28, 2025, at 09:42 a.m., on the line L102 at KM 004+700, between railway stop Harmica and station Savski Marof, train number 8031 struck and fatally injured a worker of infrastructure manager. </t>
  </si>
  <si>
    <t>Between railway stop Harmica and station Savski Marof</t>
  </si>
  <si>
    <t xml:space="preserve">HZ Putnicki prijevoz d.o.o. </t>
  </si>
  <si>
    <t>HZ Infrastruktura d.o.o.</t>
  </si>
  <si>
    <t>There was minor material damage to the railway vehicle.</t>
  </si>
  <si>
    <t>CZ-10651</t>
  </si>
  <si>
    <t>Train derailment, 04-02-25, Ostrava-Bartovice station (Czech Republic)</t>
  </si>
  <si>
    <t>Derailment of the regional passenger train No. 1615 and consequent collision with pylon of the departure signal device L3.</t>
  </si>
  <si>
    <t>Ostrava-Bartovice station, diamond crossing with slips No. 20ab, km
25,243</t>
  </si>
  <si>
    <t>CZK 9 700 300,- (€ 385 391-); Rolling stocks, infrastructure</t>
  </si>
  <si>
    <t>Causal factor:
• movement of the regional passenger train Sp 1615 over diamond crossing with slips No. 20ab at Ostrava-Bartovice station, where check rail of the obtuse crossing was not at prescribed position due to failure to detect fractures of the internal baseplates and due to loosen of screwed connection of baseplates with check rail which were not detected by the set control system of infrastructure manager.
Contributing factor: none.</t>
  </si>
  <si>
    <t>Systemic factor:
• absence of definite procedures for employees with an impact on safety, which would:
◦ to make it possible to find out the actual condition of the baseplates   focusing onthe occurrence of fractures and cracks within checks of baseplates to check rail of obtuse crossing of diamond crossing with slips during operation,
◦ to impose an obligation to determine the actual condition of the baseplates, focusing on the occurrence of fractures and cracks during operation.</t>
  </si>
  <si>
    <t>CZ-10652</t>
  </si>
  <si>
    <t>Collision of the freight train No. 48336 with an obstacle (a tree in a contact line) at Česká Třebová station</t>
  </si>
  <si>
    <t>Collision of the freight train No. 48336 with the obstacle (the tree in the
contact line)</t>
  </si>
  <si>
    <t xml:space="preserve"> Česká Třebová station</t>
  </si>
  <si>
    <t xml:space="preserve"> The freight train No. 48336</t>
  </si>
  <si>
    <t>Total damage CZK 5 283 520,- (EUR 256 483,-)</t>
  </si>
  <si>
    <r>
      <rPr>
        <sz val="10"/>
        <color rgb="FF000000"/>
        <rFont val="Arial"/>
        <family val="2"/>
        <charset val="128"/>
      </rPr>
      <t>Causal factors:
• failure to establish conditions for a movement of rolling stocks by the electrical dispatcher and the movement of the freight train No. 48336 into a section with the defect contact line due to incorrect definition of the defect location by employees of the external legal entity and the infrastructure manager after the extraordinariness (fell of the tree to the contact line during felling by employees of the external legal entity);
• failure to stop of the freight train No. 48336 by the train driver after detecting loss of a power from the contact line.</t>
    </r>
  </si>
  <si>
    <t>CZ-10653</t>
  </si>
  <si>
    <t>Collision of the regional passenger train No. 24836 with an obstacle (broken off part
of a treetop) between Olbramkostel and Šumná stations</t>
  </si>
  <si>
    <t>Collision of the regional passenger train No. 24836 with the obstacle
(broken off part of the treetop) which fell on a track</t>
  </si>
  <si>
    <t>open line between Olbramkostel and Šumná stations</t>
  </si>
  <si>
    <t>regional passenger train</t>
  </si>
  <si>
    <r>
      <t>Total damage CZK 518 642,- (</t>
    </r>
    <r>
      <rPr>
        <sz val="10"/>
        <color rgb="FF000000"/>
        <rFont val="Arial2"/>
      </rPr>
      <t>EUR 20 626,-)</t>
    </r>
  </si>
  <si>
    <r>
      <t>Causal factor:</t>
    </r>
    <r>
      <rPr>
        <sz val="10"/>
        <color rgb="FF000000"/>
        <rFont val="Liberation Sans"/>
      </rPr>
      <t xml:space="preserve">
• disruption of a structure gauge of the line track between Olbramkostel and Šumná
stations by the obstacle – broken off part of the treetop which grew in a railway protective area in an impact distance from the structure gauge as a result of its limited vitality and a defective growth of a skeletal branch when it was not selected to removing within checking activity to ensuring of operability of the line track and it was not removed.
Contributing factor:
• failure of stability of a weakened valley of a tree crown skeletal branch (oak) caused by the load of a thick layer of rime.</t>
    </r>
  </si>
  <si>
    <t>RO-10654</t>
  </si>
  <si>
    <t>Train derailment, 12/2/2025, Drăgănești Olt</t>
  </si>
  <si>
    <t>Hauling locomotive EA 039 of the freight train no.66948 011 derailed in Drăgănești Olt railway station.</t>
  </si>
  <si>
    <t>Drăgănești Olt</t>
  </si>
  <si>
    <t>SC CER FERSPED SA</t>
  </si>
  <si>
    <t xml:space="preserve">Damage to first 4 axles in the running direction from the locomotive EA 039.                                                                                                The line was damaged for about 15 meters.                                                                                </t>
  </si>
  <si>
    <t>Causal factor
The existence, on the active side of the flange of the wheel, on an area of about 250 mm of its circumference, of a burr (sharp edges) and of a roughness greater than 12.5 µm on the wheels of axle no.1 of the LEMA 039 locomotive.</t>
  </si>
  <si>
    <t xml:space="preserve">Contributing factor
Improper geometry of the track in the area of the closure rails of turnout no.12.
Systemic factor
Failure to identify and assess the risks associated with the hazards represented by: “roughness on the active side of the flange of the wheel greater than 12.5 µm after re-profiling operations by turning of the wheels” and “the fact that the locomotive was not properly handed over, the acceptance of the works was done formally by the locomotive staff”.
</t>
  </si>
  <si>
    <t>RO-10655</t>
  </si>
  <si>
    <t>Train derailment, 12/2/2025, Năvodari - Constanța Mărfuri</t>
  </si>
  <si>
    <t>One wagon (20th) from the composition of the freight train no.66294 012 derailed between Năvodari and Constanța Mărfuri railway stations.</t>
  </si>
  <si>
    <t>Năvodari - Constanța Mărfuri</t>
  </si>
  <si>
    <t xml:space="preserve">Damage to the second bogie in the running direction from wagon no.84537716048-4.
The line was damaged for about 150 meters. </t>
  </si>
  <si>
    <r>
      <rPr>
        <sz val="10"/>
        <color rgb="FF000000"/>
        <rFont val="Arial"/>
        <family val="2"/>
        <charset val="238"/>
      </rPr>
      <t>Causal Factor</t>
    </r>
    <r>
      <rPr>
        <sz val="10"/>
        <color rgb="FF000000"/>
        <rFont val="Arial"/>
        <family val="2"/>
      </rPr>
      <t xml:space="preserve">
 the existence, at the site of the railway accident, of a group of consecutive improper sleepers, whose technical condition could no longer ensure the proper fastening of the rails and the maintenance of the track gauge within the tolerances accepted by the regulatory framework, having as an effect the exceeding of the maximum value accepted for the track gauge in operation, thus causing the loss of the load-bearing and guiding capacity of the rails under the dynamic action of the rolling stock.
</t>
    </r>
  </si>
  <si>
    <r>
      <rPr>
        <sz val="10"/>
        <color rgb="FF000000"/>
        <rFont val="Arial"/>
        <family val="2"/>
        <charset val="238"/>
      </rPr>
      <t xml:space="preserve">Systemic Factors </t>
    </r>
    <r>
      <rPr>
        <sz val="10"/>
        <color rgb="FF000000"/>
        <rFont val="Arial"/>
        <family val="2"/>
      </rPr>
      <t xml:space="preserve">
 provision with improper material and human resources, against the necessary ones, for performing proper maintenance of the track and maintaining track geometry within the accepted tolerances; 
 ineffective management of the risks associated with the danger generated by keeping in the track two or more neighbouring improper sleepers.
</t>
    </r>
  </si>
  <si>
    <t>HU-10656</t>
  </si>
  <si>
    <t>The derailed on a switch.</t>
  </si>
  <si>
    <t>MÁV Pályaműködtetési Zrt.</t>
  </si>
  <si>
    <t>Switch, track and significant signalling system damages</t>
  </si>
  <si>
    <t>AT-10657</t>
  </si>
  <si>
    <t>Fire on the rail vehicle (subway)</t>
  </si>
  <si>
    <t>Fire on the rail vehicle between subway station "Taubstummengasse" and subway station "Hauptbahnhof"</t>
  </si>
  <si>
    <t>Between subway station "Taubstummengasse" and subway station "Hauptbahnhof"</t>
  </si>
  <si>
    <t>Wiener Linien GmbH &amp; Co KG (part of the Wiener Stadtwerke GmbH)</t>
  </si>
  <si>
    <t>infrastruktur: appr. 300.000
vehicle: appr. 2.300.000</t>
  </si>
  <si>
    <t>DE-10658</t>
  </si>
  <si>
    <t xml:space="preserve">Level crossing accident, 11/2/2025, Bf Hamburg-Harburg - Hp Hittfeld </t>
  </si>
  <si>
    <t>Am 11.02.2025 gegen 14:15 Uhr kollidierte ICE 613 am Bahnübergang in km 340,3 zwi-schen dem Bf Hamburg-Harburg und dem Hp Hittfeld mit einem mit Schienen beladenen LKW.</t>
  </si>
  <si>
    <t xml:space="preserve">Bf Hamburg-Harburg - Hp Hittfeld </t>
  </si>
  <si>
    <t>RO-10659</t>
  </si>
  <si>
    <t>Train derailment, 17/2/2025, Bicsadu Oltului</t>
  </si>
  <si>
    <t>One coach (1st) from the composition of the pasenger train no.4504 derailed in Bicsadu Oltului railway station.</t>
  </si>
  <si>
    <t>Bicsadu Oltului</t>
  </si>
  <si>
    <t xml:space="preserve">Damage to the coach no.50532076034-9.
The line was slightly damaged for about 624 meters. </t>
  </si>
  <si>
    <r>
      <rPr>
        <sz val="10"/>
        <color rgb="FF000000"/>
        <rFont val="Arial"/>
        <family val="2"/>
        <charset val="238"/>
      </rPr>
      <t>Causal factor</t>
    </r>
    <r>
      <rPr>
        <sz val="10"/>
        <color rgb="FF000000"/>
        <rFont val="Arial"/>
        <family val="2"/>
      </rPr>
      <t xml:space="preserve">
A combination of the following conditions:
 the failure of the horizontal bolts of the connecting fishplates which formed the extreme joint of the turnout, caused by incomplete fastening and the difference of level of the track;
 the entering into the clearance gauge of the outer connecting fishplate and its impact by wheel no.7 on the right-hand side of the first axle of the first bogie, in the running direction of the wagon.
</t>
    </r>
  </si>
  <si>
    <r>
      <rPr>
        <sz val="10"/>
        <color rgb="FF000000"/>
        <rFont val="Arial"/>
        <family val="2"/>
        <charset val="238"/>
      </rPr>
      <t>Contributing factors</t>
    </r>
    <r>
      <rPr>
        <sz val="10"/>
        <color rgb="FF000000"/>
        <rFont val="Arial"/>
        <family val="2"/>
      </rPr>
      <t xml:space="preserve">
1. The existence on the track, in the area where the accident occurred (at the heel of the turnout), of a section where the track twist exceeded the maximum value accepted for train traffic and of a joint formed on wooden and concrete sleepers at the extreme end of the turnout.
2. The performance of the thorough inspection of the turnouts on the running and direct lines in railway stations, by an incomplete team, at time intervals longer than those provided by the codes of practice, caused the decrease of the effectiveness of this activity and made the existing defects of the track geometry not to be identified.
3. The lack of carrying out measurements/checks of the track superstructure and of the turnouts by the personnel with responsibilities in traffic safety.
</t>
    </r>
    <r>
      <rPr>
        <sz val="10"/>
        <color rgb="FF000000"/>
        <rFont val="Arial"/>
        <family val="2"/>
        <charset val="238"/>
      </rPr>
      <t>Systemic factors</t>
    </r>
    <r>
      <rPr>
        <sz val="10"/>
        <color rgb="FF000000"/>
        <rFont val="Arial"/>
        <family val="2"/>
      </rPr>
      <t xml:space="preserve">
1. Provision with unsuitable material and human resources, against the necessary one, for the performance of the corresponding maintenance of the line geometry between the accepted tolerances.
2. Defective (ineffective) supervision/monitoring of the activity of the track district by the personnel with responsibilities of inspection and control within the L6 Gheorgheni Section and the Railway County Brașov.
</t>
    </r>
  </si>
  <si>
    <t>RO-10660</t>
  </si>
  <si>
    <t>Fire in RS, 17/2/2025, Mihăești - Radomirești</t>
  </si>
  <si>
    <t xml:space="preserve">A fire brust out into the coach no.50532083026-6 (6th) who running  in the composition of passenger train no.1823, between Mihăești and Radomirești railway stations. </t>
  </si>
  <si>
    <t>Mihăești - Radomirești</t>
  </si>
  <si>
    <r>
      <t>The bodie of the coach no. 50532083026-6 burned about 80</t>
    </r>
    <r>
      <rPr>
        <sz val="10"/>
        <color rgb="FF000000"/>
        <rFont val="Arial"/>
        <family val="2"/>
        <charset val="238"/>
      </rPr>
      <t>%</t>
    </r>
    <r>
      <rPr>
        <sz val="10"/>
        <color rgb="FF000000"/>
        <rFont val="Arial"/>
        <family val="2"/>
      </rPr>
      <t xml:space="preserve">. </t>
    </r>
  </si>
  <si>
    <r>
      <rPr>
        <sz val="10"/>
        <color rgb="FF000000"/>
        <rFont val="Arial"/>
        <family val="2"/>
        <charset val="238"/>
      </rPr>
      <t>Probable causal factor</t>
    </r>
    <r>
      <rPr>
        <sz val="10"/>
        <color rgb="FF000000"/>
        <rFont val="Arial"/>
        <family val="2"/>
      </rPr>
      <t xml:space="preserve">
An external action that caused the initiation of the fire in the lower part of the toilet compartment, located at the rear right, in the running direction, of passenger wagon no. 50532083026-6 (the opposite end to the handbrake).
</t>
    </r>
  </si>
  <si>
    <r>
      <rPr>
        <sz val="10"/>
        <color rgb="FF000000"/>
        <rFont val="Arial"/>
        <family val="2"/>
        <charset val="238"/>
      </rPr>
      <t>Contributing factor</t>
    </r>
    <r>
      <rPr>
        <sz val="10"/>
        <color rgb="FF000000"/>
        <rFont val="Arial"/>
        <family val="2"/>
      </rPr>
      <t xml:space="preserve">
The spread of the fire was facilitated by the abundant influx of air initially generated by the air currents produced by the running of the train (the WC cabin window being in the half-open position), and subsequently by the compressed air from the pneumatic system for opening the wagon saloon door (following the overheating and damage to the 5 and 10 bar pipes of the pneumatic door operating system).
</t>
    </r>
  </si>
  <si>
    <t>RO-10661</t>
  </si>
  <si>
    <t>Train derailment, 19/2/2025, Mihăești</t>
  </si>
  <si>
    <t>Four wagons (15th, 16th, 17th and 18th) from the composition of freight train no.57306 derailed in Mihăești station and, subsequently, collided with locomotive ES 008 who hauling the freight train no.58572 which is traveling in the opposite direction.</t>
  </si>
  <si>
    <t>Mihăești</t>
  </si>
  <si>
    <t>SC Rail Cargo Carrier România SRL and SC PIMK Rail SRL</t>
  </si>
  <si>
    <t>Damage to the wagons no23884371723-8, 23884371557-0, 23884371951-5 and 23884363960-6 from the composition of the freight train no.57306. Damage to the locomotive ES 008 and the wagon no.33754952004-3from the composition of the freight train no.58572.
The railway superstructure was affected at the Y end of Mihăiești railway station on lines no.III (km 117+900 ÷ km 18+100) and IV (km 117+900 ÷ km 18+000).                                                                                       Four concrete poles supporting the contact line (75, 76, 81 and 83) were affected, and the contact line from the pole no.77 to the pole no.85, ​​respectively from the pole no.74 to the pole no.82 was broken and fell to the ground.</t>
  </si>
  <si>
    <t>AT-10662</t>
  </si>
  <si>
    <t>Level crossing accident, 7/1/2025, Between Willendorf and Grünbach am Schneeberg</t>
  </si>
  <si>
    <t>Collision between train and truck on EK. Traffic lights were not activated.</t>
  </si>
  <si>
    <t>Between Willendorf and Grünbach am Schneeberg</t>
  </si>
  <si>
    <t>ÖBB PV AG</t>
  </si>
  <si>
    <t>ÖBB Infra</t>
  </si>
  <si>
    <t>Train Lok, LKW, Infrastructur</t>
  </si>
  <si>
    <t>RO-10663</t>
  </si>
  <si>
    <t>Train derailment, 25/2/2025, Constanța Mărfuri</t>
  </si>
  <si>
    <t>One wagon (14th) from the composition of the freight train no.66362  derailed in Constanța Mărfuri railway station.</t>
  </si>
  <si>
    <t>Constanța Mărfuri</t>
  </si>
  <si>
    <t xml:space="preserve">Damage to first axle in the running direction from wagon no.89536950190-6. Damage at switch no.9 from Constanța Mărfuri railway station. </t>
  </si>
  <si>
    <t>CZ-10664</t>
  </si>
  <si>
    <t>Derailment of the freight train No. 52690 at Hustopeče nad Bečvou station</t>
  </si>
  <si>
    <t>Derailment and rupture of the freight train No. 52690 with consequent fire</t>
  </si>
  <si>
    <t>Hustopeče nad Bečvou station</t>
  </si>
  <si>
    <t>Ostravská dopravní společnost - Cargo, a.s.</t>
  </si>
  <si>
    <t>Total preliminary damage CZK 225 000 000,- EUR 8 964 143,-</t>
  </si>
  <si>
    <t>HU-10665</t>
  </si>
  <si>
    <t>On the Budapest Airport siding track, two cars (loaded with kerosene) train № 60150 derailed, one of which flipped over on its side. No dangeorous substances were released into the environment.</t>
  </si>
  <si>
    <t>Budapest Airport siding track</t>
  </si>
  <si>
    <t xml:space="preserve">50 m of railway infrastructure, signalling system units, 2 tank wagons </t>
  </si>
  <si>
    <t>CZ-10666</t>
  </si>
  <si>
    <t>Train derailment, 12-03-25, Znojmo station (place of SPAD); ČD, a.s. - Znojmo siding (place of train derailment)</t>
  </si>
  <si>
    <t>Unauthorized movement (SPAD) of the regional passenger train No. 4521 behind the main (departure) signal device and consequent derailment.</t>
  </si>
  <si>
    <t>place of SPAD: Znojmo station, the main (departure) signal device L2, km 100,337;
place of train derailment: ČD, a.s. - Znojmo siding, the derailer Vk101, km 100,526</t>
  </si>
  <si>
    <t>Správa železnic, státní organizace (IM at Znojmo station);
České dráhy, a.s. (IM at siding)</t>
  </si>
  <si>
    <t>CZK 950 000,- (€ 37 985,-); Rolling stock, infrastructure</t>
  </si>
  <si>
    <t>RO-10667</t>
  </si>
  <si>
    <t>Train derailment, 16/3/2025, Tileagd - Oșorhei</t>
  </si>
  <si>
    <t>Tileagd - Oșorhei</t>
  </si>
  <si>
    <t xml:space="preserve">Damage to second bogie in the running direction from wagon no.31533541048-8.
The line was damaged for about 80 meters. </t>
  </si>
  <si>
    <t>HU-10668</t>
  </si>
  <si>
    <t>Level crossing accident, 20/3/2025, Tiszaeszlár</t>
  </si>
  <si>
    <t>Passanger train crashed with car, the train derailed.</t>
  </si>
  <si>
    <t>Tiszaeszlár</t>
  </si>
  <si>
    <t>MÁV Személyszállítási Zrt.</t>
  </si>
  <si>
    <t>The car was significantly damaged, the multiple-unit train derailed and overturned on its side.</t>
  </si>
  <si>
    <t>IT-10669</t>
  </si>
  <si>
    <t>Train derailment, 7/11/2024, Sondrio</t>
  </si>
  <si>
    <t>Derailment of train n. 2813 (TRENORD), Sondrio station.</t>
  </si>
  <si>
    <t>Sondrio</t>
  </si>
  <si>
    <t>CZ-10670</t>
  </si>
  <si>
    <t>Train derailment, 02-04-25, Ostrava hl.n. station (Czech Republic)</t>
  </si>
  <si>
    <t>Derailment of 3 rolling stocks of the express train No. 1004.</t>
  </si>
  <si>
    <t>Ostrava hl.n. station, the switch No. 103 a/b, km 266,795</t>
  </si>
  <si>
    <t>express train</t>
  </si>
  <si>
    <t>CZK 4 000 000,- (€ 160 289,-); Rolling stock, infrastructure</t>
  </si>
  <si>
    <t>CZ-10671</t>
  </si>
  <si>
    <t>Derailment of the regional passenger train No. 14015 between Olomouc-Nová Ulice and Olomouc hl. n. stations</t>
  </si>
  <si>
    <t>Derailment of the regional passenger train No. 14015</t>
  </si>
  <si>
    <r>
      <t xml:space="preserve">open line </t>
    </r>
    <r>
      <rPr>
        <sz val="10"/>
        <color rgb="FF000000"/>
        <rFont val="Arial"/>
        <family val="2"/>
      </rPr>
      <t>between Olomouc-Nová Ulice and Olomouc hl. n. stations</t>
    </r>
  </si>
  <si>
    <t>Total preliminary damage CZK 16 000 000,- (EUR  640 641,-)</t>
  </si>
  <si>
    <t>HR-10672</t>
  </si>
  <si>
    <t>Trains collision near miss, 19-03-2025, between stations Lekenik - Greda (Croatia)</t>
  </si>
  <si>
    <t>Train collision near miss</t>
  </si>
  <si>
    <t>On March 19, 2025, at 08:20 a.m., between stations Lekenik and Greda on the line M502-2,  was trains collision near miss between freight train No. 61015 and passenger train No. 5104. Train number 61015 passed through station Lekenik next to the exit signal C3, which was set for prohibited passing. No one was injured and there was no material damage.</t>
  </si>
  <si>
    <t>Between stations Lekenik-Greda, line M502-2</t>
  </si>
  <si>
    <t xml:space="preserve"> HŽ Cargo d.o.o. and HŽ Putnički prijevoz d.o.o. </t>
  </si>
  <si>
    <t>RO-10673</t>
  </si>
  <si>
    <t>Train derailment, 14/4/2025, Turceni</t>
  </si>
  <si>
    <t>One wagon (9th) from the composition of the freight train no.57106 012  derailed in Turceni railway station.</t>
  </si>
  <si>
    <t xml:space="preserve">Damage to second bogie in the running direction and to main breaking pipe from wagon no.33873902871-4.
The line was damaged for about 20 meters, on the area of switch no.25/33. </t>
  </si>
  <si>
    <t>HR-10674</t>
  </si>
  <si>
    <t>Fire in RS, 19-03-2025, station Lupoglav (Croatia)</t>
  </si>
  <si>
    <t>Station Lupoglav, line R101</t>
  </si>
  <si>
    <t>Regional passengr train</t>
  </si>
  <si>
    <t xml:space="preserve">HŽ Putnički prijevoz d.o.o. </t>
  </si>
  <si>
    <t>Major material damage occurred to the diesel multiple unit</t>
  </si>
  <si>
    <t>DK-10675</t>
  </si>
  <si>
    <t>Accident to persons caused by RS in motion, 22/4/2025, Vordingborg</t>
  </si>
  <si>
    <t>Track worker hit by a train</t>
  </si>
  <si>
    <t>Vordingborg</t>
  </si>
  <si>
    <t>CH-10676</t>
  </si>
  <si>
    <t>Outer shell detached from tank container</t>
  </si>
  <si>
    <t>On a freight train (train 40030) travelling from Melzo Scalo (I) to Chiasso, a detached outer shell was discovered on a tank container loaded onto a freight wagon.</t>
  </si>
  <si>
    <t>Chiasso</t>
  </si>
  <si>
    <t>A box with control buttons was damaged</t>
  </si>
  <si>
    <t>RO-10677</t>
  </si>
  <si>
    <t>Railway vehicle movement event, 4/5/2025, Constanța</t>
  </si>
  <si>
    <t>During of the re-parking shunting operation of the rake train no.1687 004 (composed of 7 coaches and the locomotive LEMA 004), by pushing on line 1 occupied, occurred the violent collision between this rake train and the rake train no.1586 004 (5 coaches without locomotive).</t>
  </si>
  <si>
    <t>Constanța</t>
  </si>
  <si>
    <t xml:space="preserve">Damage to coaches from the composition of the two rake trains and to the locomotive LEMA 004. </t>
  </si>
  <si>
    <t>DE-10678</t>
  </si>
  <si>
    <t>Train derailment, 23/4/2025, Mainz Hbf</t>
  </si>
  <si>
    <t>Freight train derailed while passing Mainz Hbf station</t>
  </si>
  <si>
    <t>Mainz Hbf</t>
  </si>
  <si>
    <t>Second bogie of first waggon derailed; track damages.</t>
  </si>
  <si>
    <t>AT-10679</t>
  </si>
  <si>
    <t>Operational event, 11/3/2025, Bf Ebreichsdorf</t>
  </si>
  <si>
    <t>During the exit from Ebreichsdorf station, the train exceeded the speed limit in the switch area (nearly derailment)</t>
  </si>
  <si>
    <t>Bf Ebreichsdorf</t>
  </si>
  <si>
    <t>There was no direct damage.</t>
  </si>
  <si>
    <t>PL-10680</t>
  </si>
  <si>
    <t>Level crossing accident, 5/5/2025, station Aleksandrów Kujawski , km 90,472 line 18, track 101</t>
  </si>
  <si>
    <t>station Aleksandrów Kujawski , km 90,472 line 18, track 101</t>
  </si>
  <si>
    <t xml:space="preserve">Casual factors: 1. The raising of the barrier booms by the employee who operated them when passenger train ROJ 55575 was entering Aleksandrów Kujawski station.
2. The entry of the van onto the Cat. A level crossing when the traffic lights prohibited entry beyond the S2 traffic signal.
</t>
  </si>
  <si>
    <t xml:space="preserve">Constributing factors: 1. After the operations at the level crossing were completed, the employee operating the crossing proceeded to raise the barrier booms despite having previously acknowledged the entry of train ROJ 55575 and making corresponding entries in the operations logbook (R-142) concerning the entry of train ROJ 55575.
2. The driver of the van joining the traffic to left towards the level crossing, traversing the P4 line which prohibited such a manoeuvre.
3. Failure of the van driver to take special caution when entering and negotiating the level crossing.
4. Inappropriate organisation of the workstation for the operator of the level crossing, preventing proper observation of trains and shunting operations conducted from the direction of Nieszawa Waganiec station.
5. On the access road leading to the public road, there is no signage of the junction or prohibition of entry towards the level crossing. Systemic factor:  Failure of the infrastructure manager, i.e. PKP PLK S.A., to take the appropriate measures indicated in recommendation 3a of Report No. PKBWK/01/2017, despite identification of a risk of an accident on the level crossing due to the lack of linking of the semi-automatic traffic system at the level crossing with the station's system, and despite including that risk in the Hazard Record (Point 5.11.31).
</t>
  </si>
  <si>
    <t>SE-10681</t>
  </si>
  <si>
    <t>Accident to person (track workers)</t>
  </si>
  <si>
    <t xml:space="preserve">Two track workers were hit by a train. </t>
  </si>
  <si>
    <t>Malmö godsbangård</t>
  </si>
  <si>
    <t>Transdev</t>
  </si>
  <si>
    <t>Injuries to persons</t>
  </si>
  <si>
    <t>RO-10682</t>
  </si>
  <si>
    <t>Train derailment, 10/5/2025, Fetesti</t>
  </si>
  <si>
    <t>One wagon (8th) from the composition of the freight train no.66090 009  derailed in Fetesti railway station.</t>
  </si>
  <si>
    <t xml:space="preserve">Damage to first bogie in the running direction from wagon no.81536656415-2.
The line was damaged for about 42 meters, on the area of switches no.74 and no.78. </t>
  </si>
  <si>
    <t>CZ-10683</t>
  </si>
  <si>
    <t>Train derailment, 18-05-25, Žďár nad Sázavou station (Czech Republic)</t>
  </si>
  <si>
    <t>Derailment of the regional passenger train No. 8754.</t>
  </si>
  <si>
    <t>Žďár nad Sázavou station, the switch No. 18, km 86,244</t>
  </si>
  <si>
    <t>CZK 2 250 000,- (€ 90 253,-); Rolling stock, infrastructure</t>
  </si>
  <si>
    <t>Article 20.2 of Directive (EU) 2016/798 –  b), c)</t>
  </si>
  <si>
    <t>HU-10684</t>
  </si>
  <si>
    <t>A freight train derailed.</t>
  </si>
  <si>
    <t>Hegyeshalom - Rajka</t>
  </si>
  <si>
    <t>Track damage in about 100 meters and minor vehicle damages</t>
  </si>
  <si>
    <t>RO-10685</t>
  </si>
  <si>
    <t>Train derailment, 21/5/2025, Leu</t>
  </si>
  <si>
    <t>One wagon (31th) from the composition of the freight train no.66062  derailed in Leu railway station.</t>
  </si>
  <si>
    <t xml:space="preserve">Damage to first bogie in the running direction from wagon no.81536652446-1.
The line was damaged for about 200 meters, on the area of switches no.7 and no.11. </t>
  </si>
  <si>
    <t>RO-10686</t>
  </si>
  <si>
    <t>Railway vehicle movement event, 26/5/2025, Mărășești</t>
  </si>
  <si>
    <t xml:space="preserve">On the shunting moving of the locomotives EA 122 and EA 679  for coupling to the passenger train no.5302 026 occurred the violent collision between the locomotives and the rake of the passenger train (2 coaches without locomotive).                            </t>
  </si>
  <si>
    <t>Mărășești</t>
  </si>
  <si>
    <t xml:space="preserve">Slight damage to the 2 coaches of the rake train no. 5302 026. </t>
  </si>
  <si>
    <t>ES-10687</t>
  </si>
  <si>
    <t>Operational event, 7/2/2025, Las Matas (Madrid)</t>
  </si>
  <si>
    <t>National ID 17/2025: operational event.
Renfe Mercancías train 54147, with 14 wagons and dangerous goods (ethanol), changes its driver in Vicálvaro station. Less than an hour later the locomotive (333.325) runs out of fuel and stops between Pitis and Pinar de las Rozas. Another locomotive (333.367) was dispatched to tow the train to Torrelodones station, as it was blocking commuting traffic. However, this second locomotive also had a low level of fuel (it had not been refilled becouse of the hurry), so it was decided that it would be coupled to the tail of the train and bring it back to Vicálvaro. It was not possible to unblock the brake of the original locomotive (now being towed on its tail) or to supply it with air, so a third locomotive (253.093) was sent to join the useless locomotive on its tail. Once the couplings had been made, the train departed in the direction of Las Matas, with locomotive 333.367 in the lead (driven by the driver who had brought 253.093) and the other locomotives in the tail: 253.093 (with no staff on board) supplying air to 333.325. The brake test would have been done previously (before the coupling of 253.093). Already en route, the driver detected a brake failure on track 1 between Torrelodones and Las Matas. After using the parking brake, he managed to stop the train between Las Matas and Pinar de las Rozas (the rest of the trains that could have been affected were diverted). No damage was caused.
The Spanish NIB begun a preliminary enquiry on 18/03/2025, and decided a full-fledged investigation after preliminary results, on 22/05/2025.</t>
  </si>
  <si>
    <t>Las Matas (Madrid)</t>
  </si>
  <si>
    <t>DK-10688</t>
  </si>
  <si>
    <t>Trains collision, 20/5/2025, København H.</t>
  </si>
  <si>
    <t>Shunting vehicle collided with train</t>
  </si>
  <si>
    <t>København H.</t>
  </si>
  <si>
    <t>Transdev / DSB</t>
  </si>
  <si>
    <t>Dents, Schratched amd broken windows</t>
  </si>
  <si>
    <t>CZ-10689</t>
  </si>
  <si>
    <t>Unsecured movement of the regional passenger train No. 1767 to station track occupied by the train set No. 4192 at Nemotice station</t>
  </si>
  <si>
    <t>Unsecured movement of the regional passenger train No. 1767 to station track occupied by the train set No. 4192</t>
  </si>
  <si>
    <t>Nemotice station</t>
  </si>
  <si>
    <t>CZ-10690</t>
  </si>
  <si>
    <t>Unauthorized movement (SPAD) of the freight train No. 49802 behind the main (departure) signal device S4 at Drahotuše station</t>
  </si>
  <si>
    <t xml:space="preserve">Unauthorized movement (SPAD) of the freight train No. 49802 behind the main (departure) signal device S4 </t>
  </si>
  <si>
    <t>Drahotuše station</t>
  </si>
  <si>
    <t>CZ-10691</t>
  </si>
  <si>
    <t>Unauthorized movement (SPAD), 05-06-25, Letovice station (Czech Republic)</t>
  </si>
  <si>
    <t>Unauthorized movement (SPAD) of the regional passenger train No. 2056 behind the main (entry) signal device and ride to the train route for the long distance passenger train No. 873.</t>
  </si>
  <si>
    <t>Letovice station, the main (entry) signal device 2L, km 202,820</t>
  </si>
  <si>
    <t>regional passenger train;
 long distance passenger train</t>
  </si>
  <si>
    <t>CZK 300 000,- (€ 12 089,-); infrastructure</t>
  </si>
  <si>
    <t>Article 20.2 of Directive (EU) 2016/798 – b), c)</t>
  </si>
  <si>
    <t>RO-10692</t>
  </si>
  <si>
    <t>Train derailment, 7/6/2025, Măldăeni</t>
  </si>
  <si>
    <t>Locomotive and two wagons (1st and 2nd) from the composition of the freight train no.66212 derailed in Măldăieni railway station.</t>
  </si>
  <si>
    <t>Măldăeni</t>
  </si>
  <si>
    <t xml:space="preserve">Damage to locomotive EA 571 and first two wagons from the train composition (no.33537950053-1 and 3837950000-2). Also, from the derailed wagon no. 33537950053-1, the leakage of its contents (gasoline) occurred.
 </t>
  </si>
  <si>
    <t>RO-10693</t>
  </si>
  <si>
    <t>Fire in RS, 30/5/2025, Valea Călugărească</t>
  </si>
  <si>
    <t xml:space="preserve">A fire brust out into hauling locomotive DA 1572 of the freight train no.66340 in Valea Călugărească railway station. </t>
  </si>
  <si>
    <t>Valea Călugărească</t>
  </si>
  <si>
    <t xml:space="preserve">The locomotive DA 1572 was affected (the cables of traction motors).                      </t>
  </si>
  <si>
    <t>SE-10694</t>
  </si>
  <si>
    <t>Tram derailment</t>
  </si>
  <si>
    <t xml:space="preserve">Tram derailment at high speed. Eight persons injured, four seriusly injured. </t>
  </si>
  <si>
    <t>Valand, avenyn, Gothenburg</t>
  </si>
  <si>
    <t>Tramway / light rail</t>
  </si>
  <si>
    <t>Göteborgs spårvägar</t>
  </si>
  <si>
    <t>Göteborgs kommun</t>
  </si>
  <si>
    <t>Tram and persons</t>
  </si>
  <si>
    <t>DK-10695</t>
  </si>
  <si>
    <t>Level crossing accident, 5/7/2025, Level crossing 77 near Kliplev</t>
  </si>
  <si>
    <t>Train collided with a van with a trailer at a level crossing</t>
  </si>
  <si>
    <t>Level crossing 77 near Kliplev</t>
  </si>
  <si>
    <t>Damage to the front of the train and van totally damaged</t>
  </si>
  <si>
    <t>RO-10696</t>
  </si>
  <si>
    <t>Fire in RS, 13/7/2025, Dor Mărunt - Dragoș Vodă</t>
  </si>
  <si>
    <t xml:space="preserve">A fire brust out into hauling locomotive DA 1362 of the freight train no.60198 012 between Dor Mărunt and Dragoș Vodă railway stations. </t>
  </si>
  <si>
    <t>Dor Mărunt - Dragoș Vodă</t>
  </si>
  <si>
    <t>SNTFM ,,CFR Marfă” SA</t>
  </si>
  <si>
    <t xml:space="preserve">The locomotive DA 1362 locomotive DA 1362 was destroyed by fire, to a proportion of about 25%.                      </t>
  </si>
  <si>
    <t>RO-10697</t>
  </si>
  <si>
    <t>Train derailment, 13/7/2025, Bucureștii Noi</t>
  </si>
  <si>
    <t xml:space="preserve">The hauling locomotive LEMA 014 of the freight train no.66528 011  derailed in Bucureștii Noi railway station.  </t>
  </si>
  <si>
    <t xml:space="preserve">Damage to first axle in the running direction from the locomotive LEMA 014.                                                                                                  The line was slightly damaged for about 13 meters.                                                            </t>
  </si>
  <si>
    <t>HU-10698</t>
  </si>
  <si>
    <t>Level crossing accident, 17/7/2025, Zalaegerszeg</t>
  </si>
  <si>
    <t>A freight train crashed with a van. The barrier was not closed.</t>
  </si>
  <si>
    <t>Zalaegerszeg</t>
  </si>
  <si>
    <t>The locomotive and the van were slightly damaged.</t>
  </si>
  <si>
    <t>ES-10699</t>
  </si>
  <si>
    <t>Train derailment, 29/10/2024, Álora (Málaga)</t>
  </si>
  <si>
    <t>National ID 111/2024: derailment.
High speed train 2123 Málaga-Madrid ran over a landslide on track I, on the route between Los Prados and Álora, after exiting Álora tunnel. Its first bogie derailed, and the train stopped some 1500 m after, on a straight section above a viaduct. No personal injuries were caused and passengers were transferred. Minor danages to the train. There was heavy rain and a previous train had reported a "pothole" at the tunnel exit, so a speed restriction had been adopted by signaller (from 300 km/h to 200 km/h). Derailed train complied with that speed limit. Finally, after the occurrence there was a considerable accumulation of earth dragged in front of the tunnel mouth.
After adjourning the decission to investigate, the NIB board finally decided to make an investigation report about this accident, after reconsidering the gathered information and consulting NSA and other stakeholders. The main reason for that is not the derailment or the landslide itself, but the probable safety culture shortage that led involved staff to the decision of facing an unidentified issue on the track by simply limiting speed from 300 to 200 km/h.</t>
  </si>
  <si>
    <t>Álora (Málaga)</t>
  </si>
  <si>
    <t>RO-10700</t>
  </si>
  <si>
    <t>Train derailment, 24/7/2025,  Biled - Dudeștii Noi</t>
  </si>
  <si>
    <t>One wagon (the last one) from the composition of the freight train no.77050  derailed between Biled and Dudeștii Noi railway stations.</t>
  </si>
  <si>
    <t xml:space="preserve"> Biled - Dudeștii Noi</t>
  </si>
  <si>
    <t xml:space="preserve">Damage to first bogie in the running direction from wagon no.33870660030-5.
The line was slightly damaged for about 329 meters. </t>
  </si>
  <si>
    <t>RO-10701</t>
  </si>
  <si>
    <t>Fire in RS, 25/7/2025, Sălcuța</t>
  </si>
  <si>
    <t xml:space="preserve">A fire brust out into hauling locomotive DA 1141 of the freight train no.60555 225  in Sălcuța railway station. </t>
  </si>
  <si>
    <t>Sălcuța</t>
  </si>
  <si>
    <t xml:space="preserve">As a result of this fire on locomotive DA 1141, the following main elements were affected:
- traction engine no. 3;
- air compressor;
- device block and relay box in the control panel.
- battery power cable.             </t>
  </si>
  <si>
    <t>RO-10702</t>
  </si>
  <si>
    <t>Train derailment, 25/7/2025, București Triaj</t>
  </si>
  <si>
    <t xml:space="preserve">The hauling locomotive LEMA 082 of the freight train no.66558 024  derailed in București Triaj railway station.  </t>
  </si>
  <si>
    <t>București Triaj</t>
  </si>
  <si>
    <t xml:space="preserve">Damage to first axle in the running direction from the locomotive LEMA 082.                                                                                                  The line was slightly damaged for about 2 meters.                                                            </t>
  </si>
  <si>
    <t>RO-10703</t>
  </si>
  <si>
    <t>Train derailment, 1/8/2025, Agigea Ecluză</t>
  </si>
  <si>
    <t>3 wagons (from 12th to 14th) from the composition of the freight train no. 57754 030 derailed in Agigea Ecluză railway station. Of the 3 derailed wagons, one overturned.</t>
  </si>
  <si>
    <t>Agigea Ecluză</t>
  </si>
  <si>
    <t>SC TransFeroviar Grup SA</t>
  </si>
  <si>
    <t>Damage to the wagons no.33544975728-5, 33544975883-8 and 33544975900-0.
The line was damaged for about 130 meters including 6 swiches.         The exit signal Y2 from  Agigea Ecluză railway station was damaged. Two poles from catenary line were broken.</t>
  </si>
  <si>
    <t>RO-10704</t>
  </si>
  <si>
    <t>Fire in RS, 3/8/2025, Buda - Plopeni Sat</t>
  </si>
  <si>
    <t xml:space="preserve">A fire brust out into diesel unit nr.3202/3203 who running as passenger train no.10234 003 between Buda and Plopeni Sat railway stations. </t>
  </si>
  <si>
    <t>Buda - Plopeni Sat</t>
  </si>
  <si>
    <t>SC TransFeroviar Călători SRL</t>
  </si>
  <si>
    <t>As a result of this fire the traction engine area of the diesel unit  was affected.</t>
  </si>
  <si>
    <t>RO-10705</t>
  </si>
  <si>
    <t>Train derailment, 4/8/2025, Hârlau - Belcești</t>
  </si>
  <si>
    <t xml:space="preserve">The diesel unit AMX 571 who running as passenger train no.11400 004 derailed between Hârlău and Belcești railway stations.  </t>
  </si>
  <si>
    <t>Hârlau - Belcești</t>
  </si>
  <si>
    <t>SC Regio Calatori SRL</t>
  </si>
  <si>
    <t>SC RC CF Trans SRL</t>
  </si>
  <si>
    <t xml:space="preserve">Damage to the axle no.3 of diesel unit AMX 571.                                                                                                  The line was slightly damaged for about 25 meters.                                                            </t>
  </si>
  <si>
    <t>RO-10706</t>
  </si>
  <si>
    <t>Train derailment, 4/8/2025, București Triaj</t>
  </si>
  <si>
    <t xml:space="preserve">The hauling locomotive LEMA 031 of the freight train no.56538 004  derailed in București Triaj railway station.  </t>
  </si>
  <si>
    <t xml:space="preserve">Damage to first axle in the running direction from the locomotive LEMA 031.                                                                                                  The line was slightly damaged for about 4 meters.                                                            </t>
  </si>
  <si>
    <t>DE-10707</t>
  </si>
  <si>
    <t>Train derailment, 27/7/2025, Riedlingen - Rechtenstein</t>
  </si>
  <si>
    <t xml:space="preserve">Am 27.07.2025 entgleiste RE 3227 auf der Fahrt von Sigmaringen nach Ulm in Höhe der Ortschaft Zell in Folge eines Hangrutsches mit allen Achsen wobei das führende Fahrzeug hangaufwärts abdriftete und an einem Baum zerschellte. </t>
  </si>
  <si>
    <t>Riedlingen - Rechtenstein</t>
  </si>
  <si>
    <t>Regional train (2x DMU) derailed. 1 coach heavily destroyed by collision with trees beside the line. 3 coaches damaged by fold up of train set.</t>
  </si>
  <si>
    <t>DK-10708</t>
  </si>
  <si>
    <t>Accident to persons caused by RS in motion, 27/7/2025, Hillerød</t>
  </si>
  <si>
    <t>A person was hit by a train.</t>
  </si>
  <si>
    <t>Hillerød</t>
  </si>
  <si>
    <t>None reported</t>
  </si>
  <si>
    <t>The person was lying in the track</t>
  </si>
  <si>
    <t>Under the influence of alcohol</t>
  </si>
  <si>
    <t>LV-10709</t>
  </si>
  <si>
    <t>Other, 3/7/2025,  Riga–Jelgava railway section</t>
  </si>
  <si>
    <t>On 3 July 2025, in the Riga–Jelgava railway section, between Olaine and Torņakalns stations, during the movement of a Škoda passenger electric train, an overhead contact wire and train’s pantograph was damaged</t>
  </si>
  <si>
    <t xml:space="preserve"> Riga–Jelgava railway section</t>
  </si>
  <si>
    <t>contact wire, pantograph, mechanical damage to the body on two passenger wagons</t>
  </si>
  <si>
    <t>LV-10710</t>
  </si>
  <si>
    <t>Trains collision, 7/8/2025, Riga Railway Station</t>
  </si>
  <si>
    <t>On August 7, 2025, at 14:10, at Riga Railway Station (switches No. 17 and No. 31), a side collision occurred between Škoda electric train No. 6234 (set 16EV-0020) and VAS “Latvijas dzelzceļš” railway motor trolley WM-15S-12 No. 022.</t>
  </si>
  <si>
    <t>Riga Railway Station</t>
  </si>
  <si>
    <t>to be calculated</t>
  </si>
  <si>
    <t>BG-10711</t>
  </si>
  <si>
    <t>Derailment of direct freight train 80694</t>
  </si>
  <si>
    <t xml:space="preserve">Derailment of direct freight train </t>
  </si>
  <si>
    <t>Lyubenovo-Simeonovgrad interstation</t>
  </si>
  <si>
    <t>Bulmarket</t>
  </si>
  <si>
    <t>railway infrastructure, catenary, rolling stock</t>
  </si>
  <si>
    <t>PL-10712</t>
  </si>
  <si>
    <t>Operational event, 13/8/2025, station Kraków Główny , km -0,082 line 629, track 2</t>
  </si>
  <si>
    <t>Movement of the passsenger regional train operated by POLREGIO onto the station track occupied by another passenger train operated by PKP Intercity. The train 336210 (POLREGIO) was supposed to go as a regional train to Krzeszowice station. After performing all official activities, the driver of the train 336210 declared his readiness to the traffic manager of the Kraków Płaszów station. The route of the tain was planned from Kraków Płaszów on track No 2 of line 629 of the station Kraków Główny.  The train No 336210  drove to Kraków Główny KGB to the Z4 entry semaphore indicating the S1 signal ‘STOP’. The traffic maneger of the Kraków Główny KGB station informed the train driver of the train No 336210 that the entry will take place on a replacement signal on track 2 due to the need to make zeroing of axle counters. After displaying a replacement signal on the Z4 semaphore, while the train No 336210 was entering track No. 2 of the Kraków Główny KGB station, the driver of the train No 336210 realized that his train was entering the track occupied by train No 53171 (PKP INTERCITY) and implemented a sudden braking. The train No 336210 stopped approx. 70 m ahead of the train No 53171.</t>
  </si>
  <si>
    <t>station Kraków Główny , km -0,082 line 629, track 2</t>
  </si>
  <si>
    <t>POLREGIO S.A. (moving train) and PKP Intercity (train stopping at the station)</t>
  </si>
  <si>
    <t>RO-10713</t>
  </si>
  <si>
    <t>Train derailment, 18/8/2025, Bucureștii Noi</t>
  </si>
  <si>
    <t xml:space="preserve">The hauling locomotive LEMA 090 of the freight train no.67336 017 derailed on the track 2C in Bucureștii Noi railway station.  </t>
  </si>
  <si>
    <t>Rail Cargo Carrier România SRL</t>
  </si>
  <si>
    <t xml:space="preserve">The first axle in the running direction of the locomotive LEMA 090 derailed.                                                                                                  The track was slightly damaged for about 15 meters.                                                            </t>
  </si>
  <si>
    <t>RO-10714</t>
  </si>
  <si>
    <t>Train derailment, 19/8/2025, Craiova</t>
  </si>
  <si>
    <t>2 wagons loaded with grains, from the freight train no.67010018 derailed on the exit route from track no. 17 in Craiova railway station.</t>
  </si>
  <si>
    <t xml:space="preserve">Damage at first 3 axles in the running direction from the wagons no.338493450203 and at first axle in the running direction from the wagon no.338793324504.                                                                                                </t>
  </si>
  <si>
    <t>IT-10715</t>
  </si>
  <si>
    <t>Trains collision, 20/8/2025, Trento</t>
  </si>
  <si>
    <t>Collision between a runaway Mercitalia Rail freight train and Trenitalia regional passenger train no. 16666 at Trento Roncafort, on the Bolzano–Trento line, on 20/08/2025.</t>
  </si>
  <si>
    <t>Trento</t>
  </si>
  <si>
    <t>Mercitalia Rail and Trenitalia</t>
  </si>
  <si>
    <t>PL-10716</t>
  </si>
  <si>
    <t>Level crossing accident, 15/8/2025, section Pierzchno - Gądki, km 182,466 line 272, track 1</t>
  </si>
  <si>
    <t>section Pierzchno - Gądki, km 182,466 line 272, track 1</t>
  </si>
  <si>
    <t>Demaged passenger car and slightly demaged electric traction vehicle EN57AL</t>
  </si>
  <si>
    <t>DK-10717</t>
  </si>
  <si>
    <t>Level crossing accident, 15/8/2025, Tinglev - Gråsten</t>
  </si>
  <si>
    <t>Passenger train collided with a truck in a level crossing. Train derailed</t>
  </si>
  <si>
    <t>Tinglev - Gråsten</t>
  </si>
  <si>
    <t>Truck with trailer and half train total loss, Level crossing and tracks needs renewal</t>
  </si>
  <si>
    <t>BE-10718</t>
  </si>
  <si>
    <t>Level crossing accident, 29/7/2025, Verrebroek</t>
  </si>
  <si>
    <t>Lorry struck by a freight train on a level crossing</t>
  </si>
  <si>
    <t>Verrebroek</t>
  </si>
  <si>
    <t>Damages to the infrastructure: sleepers, rails, level crossing and level crossing signaling.
The locomotive of the freight train is heavily damaged.
The lorry, the semi-trailer and the cargo are damaged.
Railway traffic is suspended for several days in both directions. After repair, track B was put back into service on July 31st.  Track A was put back into service after a couple of weeks, when the necessary repairs had been carried out.</t>
  </si>
  <si>
    <t>NO-10719</t>
  </si>
  <si>
    <t>Fatal accident at Gamme level crossing, km. 102,453 Gjøvikbanen.</t>
  </si>
  <si>
    <t xml:space="preserve">Train 17401 collided with a tractor on an unsecured level crossing. The tractor driver perished in the collision.  </t>
  </si>
  <si>
    <t>Gamme level crossing km. 102,453, Gjøvikbanen line</t>
  </si>
  <si>
    <t xml:space="preserve">Tractor destroyed, damages to front of train. </t>
  </si>
  <si>
    <t>RO-10720</t>
  </si>
  <si>
    <t>Fire in RS, 31/8/2025, Palas</t>
  </si>
  <si>
    <t xml:space="preserve">A fire brust out into hauling locomotive EA 922 of the passenger train no.1996 031 in Palas railway station. </t>
  </si>
  <si>
    <t>Palas</t>
  </si>
  <si>
    <t>SNTFC ,,CFR Călători” SA</t>
  </si>
  <si>
    <t xml:space="preserve">As a result of this fire on locomotive EA 922, the following main elements were affected traction engine no.2 and various elements of the installations in this area of ​​the locomotive.             </t>
  </si>
  <si>
    <t>HU-10721</t>
  </si>
  <si>
    <t>SPAD, 17/08/2025, Millér</t>
  </si>
  <si>
    <t>Train № 14767 passed the entrance signal without authorisation and broken through a switch</t>
  </si>
  <si>
    <t>Millér</t>
  </si>
  <si>
    <t>PSP Cargo Group</t>
  </si>
  <si>
    <t>Switch</t>
  </si>
  <si>
    <t>HU-10722</t>
  </si>
  <si>
    <t>Broken Axle, 17/08/2025, Csongrád - Kiskunfélegyháza</t>
  </si>
  <si>
    <t xml:space="preserve">Train № 32619 was stopped by the engine driver, becasue he noticed the broken axle </t>
  </si>
  <si>
    <t>Csongrád - Kiskunfélegyháza</t>
  </si>
  <si>
    <t>Broken driving axle</t>
  </si>
  <si>
    <t>RO-10723</t>
  </si>
  <si>
    <t>Train derailment, 6/9/2025, Jirlău - Făurei</t>
  </si>
  <si>
    <t>One wagon (8th) from the compositon of the freight train no.70490 706 derailed between Jirlău and Făurei railway stations.</t>
  </si>
  <si>
    <t>Jirlău - Făurei</t>
  </si>
  <si>
    <t xml:space="preserve">Damage at first 2 axles in the running direction from the wagon no.31539335637-5.                                                                           The line was damaged for about 2260 meters.                                                                                                                                                           </t>
  </si>
  <si>
    <t>RO-10724</t>
  </si>
  <si>
    <t>Fire in RS, 8/9/2025, Leorda - Botoșani</t>
  </si>
  <si>
    <t xml:space="preserve">A fire brust out into hauling locomotive DHC 190 of the passenger train no.5578 008 between Leorda and Botoșani railway stations. </t>
  </si>
  <si>
    <t>Leorda - Botoșani</t>
  </si>
  <si>
    <t>The electrical cables in the locomotive's engine compartment were affected.</t>
  </si>
  <si>
    <t>CZ-10725</t>
  </si>
  <si>
    <t>Trains collision with an obstacle, 09-09-25, open line (blocked track) between Dolní Lipka and Hanušovice stations (Czech Republic)</t>
  </si>
  <si>
    <t>Collision of a special rolling stock with a cut down tree and consequent injury of an external worker who stood next to a track.</t>
  </si>
  <si>
    <t>open line (blocked track) between Dolní Lipka and Hanušovice stations, km 74,863</t>
  </si>
  <si>
    <t>Special rolling stock</t>
  </si>
  <si>
    <t>HU-10726</t>
  </si>
  <si>
    <t>Train derailment, 12/09/2025, Magyarkút</t>
  </si>
  <si>
    <t>Train № 32222 derailed with 2 motor coaches</t>
  </si>
  <si>
    <t>Magyarkút</t>
  </si>
  <si>
    <t>Máv Személyszállítási Zrt.</t>
  </si>
  <si>
    <t>2 motor coaches, railway tracks</t>
  </si>
  <si>
    <t>HR-10727</t>
  </si>
  <si>
    <t>Collision between special purpose railway vehicles, 11-08-2025, station Oriovac (Croatia)</t>
  </si>
  <si>
    <t>On August 11, 2025, at 07:25 a.m., at station Oriovac on the line M104, a worker was fatally injured in a collision between special purpose railway vehicles. The fatallly injured worker was the Head of Mechanical Regulation for the contractor Pružne građevine d.o.o.</t>
  </si>
  <si>
    <t>Station Oriovac, line M104</t>
  </si>
  <si>
    <t>Pružne građevine d.o.o. - Contractor of works and owner of special purpose railway vehicles</t>
  </si>
  <si>
    <t>Minor material damage occurred.</t>
  </si>
  <si>
    <t>ES-10728</t>
  </si>
  <si>
    <t>Operational event, 22/5/2025, Cortes de Navarra (Navarra)</t>
  </si>
  <si>
    <t>National ID 41/2025: derailment.
Regional train 18079 stops at track #1 of the Cortes station. Dispatcher prepares the route so that long-distance train 00801 can pass the regional train #18079 via track 3, by switching point #6. He also phones the driver of train #18079 for warning him that his exit signal S1/1 is going to be closed, but he mistakes the train number and phones instead to the driver of train #18078 (stopped at a different station, Castejón de Ebro). As the driver of train #18079 has not been effectively warned, he resumes marching, signal S1/1 is suddenly closed and the train pass it and breaks the #6 switch mechanism. The dispatcher stops long distance train at the entrance of the station, and asks the driver of the regional train to check switch #6. The driver says (wrongly) that the switch is OK, so the dispatcher authorizes him to come back. As the switch was actually broken, when coming back, a part of the train followed track #1, and the last bogie followed track #3 (so that the train ended crossed between both tracks, although it didn't derail). The crossed train hits a electrification post and takes it down. No personal damages.
This occurrence was object of a preliminary enquiry before formally opening the investigation, because it was necessary to clarify some aspects of the communications and the type of occurrence.</t>
  </si>
  <si>
    <t>Cortes de Navarra (Navarra)</t>
  </si>
  <si>
    <t>Broken switch mechanism, one electrification post down.</t>
  </si>
  <si>
    <t>CZ-10729</t>
  </si>
  <si>
    <t>Unauthorized movement (SPAD) of the shunting set of cars behind the shunting signal Se31with consequent ride to train route for the oncoming freight train No. 55371 at Všetaty station</t>
  </si>
  <si>
    <t>Unauthorized movement (SPAD) of the shunting set of cars behind the shunting signal Se31, trailing of switch No. 2 points with consequent ride to train route for the oncoming freight train No. 55371</t>
  </si>
  <si>
    <t>Všetaty station</t>
  </si>
  <si>
    <t xml:space="preserve">shunting;  freight train </t>
  </si>
  <si>
    <t>Správa železnic, státní organizace; METRANS Rail s.r.o.</t>
  </si>
  <si>
    <t>DE-10730</t>
  </si>
  <si>
    <t>Zugentgleisung, 19.09.2025, Bf. Emmerich</t>
  </si>
  <si>
    <t>Am 19.09.2025 gegen 08:10 Uhr entgleiste der Güterzug 47744 auf der Fahrt von Duisburg nach Rotterdam auf der Weiche 32W49 im Bf Emmerich.</t>
  </si>
  <si>
    <t>Bf. Emmerich</t>
  </si>
  <si>
    <t>Niederrheinische Verkehrsbetriebe AG</t>
  </si>
  <si>
    <t>Several wagons derailed and damaged. Damages on tracks and switches.</t>
  </si>
  <si>
    <t>DE-10731</t>
  </si>
  <si>
    <t>Bahnübergangsunfall, 26.08.2025, Bf Bremen Burg - Hp Bremen Oslebshausen</t>
  </si>
  <si>
    <t>Am 26.08.2025 gegen 07:29 Uhr prallte der Zug DPN 83205 auf der Fahrt von Bremerhaven-Lehe Pbf nach Twistringen auf dem BÜ in km 131,701 zwischen den Betriebsstellen Bf Bremen-Burg und Hp Bremen Oslebshausen mit einem Personenkraftwagen (Pkw) zusammen.</t>
  </si>
  <si>
    <t>Bf Bremen Burg - Hp Bremen Oslebshausen</t>
  </si>
  <si>
    <t>Nordwestbahn GmbH</t>
  </si>
  <si>
    <t>Car of road user heavily destroyed. Train set with light damages.</t>
  </si>
  <si>
    <t>RO-10732</t>
  </si>
  <si>
    <t>Train derailment, 23/9/2025, Berbești - Popești Vâlcea</t>
  </si>
  <si>
    <t xml:space="preserve">The hauling locomotive DA 1129 of the freight train no.60568 derailed between Berbești and  Popești Vâlcea railway stations.  </t>
  </si>
  <si>
    <t xml:space="preserve">Damage to first bogie in the running direction from the locomotive DA 1129.                                                                                                  The line was damaged for about 30 meters.                                                            </t>
  </si>
  <si>
    <t>CZ-10733</t>
  </si>
  <si>
    <t>Train derailment, 17-09-25, open line between Zádulka junction point and Opatov station (Czech Republic)</t>
  </si>
  <si>
    <t>Broke of the first rolling stock (behind the locomotive) of the freight train No. 54155 and consequent derailment this rolling stock.</t>
  </si>
  <si>
    <t>open line between Zádulka junction point and Opatov station, the line track No. 1, km 239,246</t>
  </si>
  <si>
    <t>NZ Rail CZ s.r.o.</t>
  </si>
  <si>
    <t>CZK 1 200 000,- (€ 49 322,-); Rolling stock, infrastructure</t>
  </si>
  <si>
    <t>DK-10734</t>
  </si>
  <si>
    <t>Level crossing event, 20/8/2025, Odense</t>
  </si>
  <si>
    <t>A light rail vehicle/tram passed a signal at danger/stop, and collided with a city bus.</t>
  </si>
  <si>
    <t>Odense Letbane</t>
  </si>
  <si>
    <t>The city bus was a write-off, the tram was heavily damaged.</t>
  </si>
  <si>
    <t>DK-10735</t>
  </si>
  <si>
    <t>Person hit by train in unguarded level crossing</t>
  </si>
  <si>
    <t>A person was struck by a train at a level crossing.</t>
  </si>
  <si>
    <t>Between Mårup and Snekkersten</t>
  </si>
  <si>
    <t>Minor damages to the train. Passenger sustained a broken shoulder or collar bone.</t>
  </si>
  <si>
    <t>PL-10736</t>
  </si>
  <si>
    <t>Accident to persons caused by RS in motion, 6/10/2025, station Wrocław Nadodrze , km 161,089 line 143, track 209, turnout No 205</t>
  </si>
  <si>
    <t>Riding  onto an employee of the IM during shunting operations</t>
  </si>
  <si>
    <t>station Wrocław Nadodrze , km 161,089 line 143, track 209, turnout No 205</t>
  </si>
  <si>
    <t xml:space="preserve">No material demages </t>
  </si>
  <si>
    <t>RO-10737</t>
  </si>
  <si>
    <t>Level crossing accident, 10/10/2025, Budești - Oltenița</t>
  </si>
  <si>
    <t xml:space="preserve">At the level crossing located at km 76+220, equipped with manual barriers - type B, in the "open" position, the passenger train no. 10291 surprised and hit a car.  </t>
  </si>
  <si>
    <t>Budești - Oltenița</t>
  </si>
  <si>
    <t>SC Transferoviar Călători SRL</t>
  </si>
  <si>
    <t>SC Transferoviar Infrastructură Neinteroperabilă SRL</t>
  </si>
  <si>
    <t xml:space="preserve">Damage at the car with the registration plate no. CL 99 TAD.                                                            </t>
  </si>
  <si>
    <t>SK-10738</t>
  </si>
  <si>
    <t>Trains collision, 13/10/2025, between Jabloňov nad Turňou – Výh. Tunel</t>
  </si>
  <si>
    <t>between Jabloňov nad Turňou – Výh. Tunel</t>
  </si>
  <si>
    <t xml:space="preserve"> - </t>
  </si>
  <si>
    <t>Disregard of the ‘Stop’ aspect displayed by a signal prohibiting movement</t>
  </si>
  <si>
    <t>DK-10739</t>
  </si>
  <si>
    <t>Level crossing accident, 11/10/2025, Glostrup Hovedvejen</t>
  </si>
  <si>
    <t>Cyclist fatally injured by light rail in a level crossing accident</t>
  </si>
  <si>
    <t>Glostrup Hovedvejen</t>
  </si>
  <si>
    <t>Hovedstadens letbane</t>
  </si>
  <si>
    <t>Small dent in light rail vehicle</t>
  </si>
  <si>
    <t>LV-10740</t>
  </si>
  <si>
    <t>Accident to persons caused by RS in motion, 1/10/2025, Zasulauks – Priedaine railway section, railway crossing No. 910</t>
  </si>
  <si>
    <t>accident at railway crossing No. 910 at the Imanta stop on the Zasulauks – Priedaine railway section, where two girls crossed the railway crossing on a scooter, got under an electric train and suffered fatal injuries.</t>
  </si>
  <si>
    <t>Zasulauks – Priedaine railway section, railway crossing No. 910</t>
  </si>
  <si>
    <t>no information at notification time</t>
  </si>
  <si>
    <t>CZ-10741</t>
  </si>
  <si>
    <t>Trains collision, 14-10-25, Mariánské Lázně station (Czech Republic)</t>
  </si>
  <si>
    <t>Runaway of 1 freight rolling stock from Mariánské Lázně station to Planá u Mariánských Lázní station with controlled collision with detached rolling stock</t>
  </si>
  <si>
    <t>Mariánské Lázně station, the station track No. 5, km 424,621</t>
  </si>
  <si>
    <t>Single line</t>
  </si>
  <si>
    <t>Station, Line</t>
  </si>
  <si>
    <t>Rolling stock</t>
  </si>
  <si>
    <t>CZK 750 000,- (€ 30 839,-); Rolling stocks, infrastructure</t>
  </si>
  <si>
    <t>CZ-10742</t>
  </si>
  <si>
    <t>Derailment of the freight train No. 84219 at Kolín station</t>
  </si>
  <si>
    <t>Derailment of three rolling stocks of the freight train No. 84219</t>
  </si>
  <si>
    <t>Total preliminary damage CZK 42 000 000,- (EUR 1 728 751,-)</t>
  </si>
  <si>
    <t>DK-10743</t>
  </si>
  <si>
    <t>Level crossing accident, 26/8/2025, level crossing 103 near Henne Stationsby</t>
  </si>
  <si>
    <t>Train collides with a tractor and wagon</t>
  </si>
  <si>
    <t>level crossing 103 near Henne Stationsby</t>
  </si>
  <si>
    <t>Major material damage to level crossing, train and wagon</t>
  </si>
  <si>
    <t>CZ-10744</t>
  </si>
  <si>
    <t>Unauthorized movement (SPAD) of the shunting set of cars behind the shunting signal device Se28 with consequent ride to train route for the oncoming regional passenger train No. 3370 at Studénka station</t>
  </si>
  <si>
    <t>Unauthorized movement (SPAD) of the shunting set of cars behind the shunting signal device Se28 with consequent ride to train route for the oncoming regional passenger train No. 3370</t>
  </si>
  <si>
    <t>shunting set of cars;  regional passenger train</t>
  </si>
  <si>
    <t>HU-10745</t>
  </si>
  <si>
    <t>Runaway, 26/10/2025, Mátészalka</t>
  </si>
  <si>
    <t>A railcar ran away from the station and entered the open line. While leaving the station, it ran through three incorrectly set points. The railcar came to a stop on the open line after travelling approximately 4.7 kilometres.</t>
  </si>
  <si>
    <t>The railcar ran through three incorrectly set points.</t>
  </si>
  <si>
    <t>DE-10746</t>
  </si>
  <si>
    <t>Train derailment, 19/10/2024, Bergheim (Westf.)</t>
  </si>
  <si>
    <t>Am 19.10.2024 gegen 14:31 Uhr entgleiste der Güterzug DGS 46193 auf dem Weg von Emden Rangierbahnhof nach Bra􀆟slava‐Petrzalka, im Bf Bergheim (Wes􀆞) mit dem letzten Wagen.</t>
  </si>
  <si>
    <t>Bergheim (Westf.)</t>
  </si>
  <si>
    <t>FRACHTbahn Traktion GmbH</t>
  </si>
  <si>
    <t>Damages to freight wagons and infrastructure.</t>
  </si>
  <si>
    <t>CZ-10747</t>
  </si>
  <si>
    <t>Collision of the regional passenger train No. 7913 with a lorry at the level crossing No. P1313 with consequent derailment between Březnice and Bělčice stations</t>
  </si>
  <si>
    <t>Collision of the regional passenger train No. 7913 with a lorry at the level crossing No. P1313 with consequent derailment</t>
  </si>
  <si>
    <t>open line between Březnice and Bělčice stations</t>
  </si>
  <si>
    <t>Total preliminary damage CZK 4 360 000,- (EUR 179 240,-)</t>
  </si>
  <si>
    <t>BG-10748</t>
  </si>
  <si>
    <t>Derailment of international direct freight train (IDFT) No 48131 in Elitseina station</t>
  </si>
  <si>
    <t>Derailment of international direct freight train in station</t>
  </si>
  <si>
    <t>Elitseina station, switch</t>
  </si>
  <si>
    <t>Infrastructure,rolling stock, locomotive, wagons</t>
  </si>
  <si>
    <t>BG-10749</t>
  </si>
  <si>
    <t>Fire in locomotive № 91520044060-9, serviced fast train № 8650 between the stations Stara Zagora – Kaloyanovets</t>
  </si>
  <si>
    <t xml:space="preserve">Fire in locomotive during motion between two stations </t>
  </si>
  <si>
    <t>Interstation</t>
  </si>
  <si>
    <t>BDZ Passenger Services</t>
  </si>
  <si>
    <t>rolling stock, burnt locomotive</t>
  </si>
  <si>
    <t xml:space="preserve">ingress of hot shavings from the locomotive's pads onto the housing of the horizontal under-body shell fan, </t>
  </si>
  <si>
    <t>the most probable direct cause led to the ignition of the cables</t>
  </si>
  <si>
    <t>CZ-10750</t>
  </si>
  <si>
    <t>Train derailment, 02-11-25, Neratovice station (Czech Republic)</t>
  </si>
  <si>
    <t>Derailment of the regional passenger train No. 9529.</t>
  </si>
  <si>
    <t>Neratovice station, the switch No. 26, km 34,492</t>
  </si>
  <si>
    <t>CZK 400 000,- (€ 16 437,-); Rolling stock, infrastructure</t>
  </si>
  <si>
    <t>CZ-10751</t>
  </si>
  <si>
    <t>Train derailment, 26-10-25, Přerov station (Czech Republic)</t>
  </si>
  <si>
    <t>Unauthorized movement (SPAD) of the shunting operation and consequent derailment at a switch.</t>
  </si>
  <si>
    <t>Přerov station, the shunting signal device Se 20, km 83,955; the switch No. 12</t>
  </si>
  <si>
    <t>CZK 2 250 000,- (€ 92 440,-); Rolling stock, infrastructure</t>
  </si>
  <si>
    <t>PT-10752</t>
  </si>
  <si>
    <t>Level crossing accident, 13/9/2025, Private level crossing 91,911 of Douro Line, at Barqueiros</t>
  </si>
  <si>
    <t>Fatal collision with two pedestrians at a private level crossing.</t>
  </si>
  <si>
    <t>Private level crossing 91,911 of Douro Line, at Barqueiros</t>
  </si>
  <si>
    <t>PT-10753</t>
  </si>
  <si>
    <t>Level crossing accident, 18/6/2025, Automatic level crossing 128,787 of Beira Baixa Line, at Alpedrinha</t>
  </si>
  <si>
    <t>Automatic level crossing 128,787 of Beira Baixa Line, at Alpedrinha</t>
  </si>
  <si>
    <t>Damage to rolling stock, level crossing equipment, OHLE and road vehicle.</t>
  </si>
  <si>
    <t>SK-10754</t>
  </si>
  <si>
    <t>Trains collision, 9/11/2025, between Pezinok - Sv. Jur</t>
  </si>
  <si>
    <t>between Pezinok - Sv. Jur</t>
  </si>
  <si>
    <t>RO-10755</t>
  </si>
  <si>
    <t>Train derailment, 6/11/2025, Roșiori Nord - Balaci</t>
  </si>
  <si>
    <t>One wagon (10th) from the compositon of the freight train no.68424 005 derailed between Roșiori Nord and Balaci railway stations.</t>
  </si>
  <si>
    <t>Roșiori Nord - Balaci</t>
  </si>
  <si>
    <t>Constantin Grup Rail Logistic SRL</t>
  </si>
  <si>
    <t xml:space="preserve">Damage at first 2 axles in the running direction from the wagon no.33559338005-8.                                                                           The line was damaged for about 55 meters.                                                                                                                                                           </t>
  </si>
  <si>
    <t>ES-10756</t>
  </si>
  <si>
    <t>Trains collision with an obstacle, 13/10/2025, Barbadillo (Salamanca)</t>
  </si>
  <si>
    <t>National ID 93/2025: collision with obstacle.
A lorry travelling along the A62 motorway (parallel to the railway line) went off the road, invading the railway line at around 3:20 a.m. (according to estimates published in the press - this time is to be confirmed by the investigation). The Traffic Police intervened and contacted railway control centre around 3:45 a.m., to request the interruption of train traffic. However, during this communication a freight train (Captrain train #99162) arrived at the site and collided with the lorry. As a result of the impact, the locomotive and first wagon derailed. The lorry driver was killed.
This event is a collision with one fatality (outside a level crossing), although it's necessary to clarify how exactly the victim died. Received information says that it was caused by a hit in his head due to a fatal falling, after having left the lorry on his own and survived the train collision. Depending on this, this event could be considered a serious accident.</t>
  </si>
  <si>
    <t>Barbadillo (Salamanca)</t>
  </si>
  <si>
    <t>Captrain</t>
  </si>
  <si>
    <t>RO-10757</t>
  </si>
  <si>
    <t>Trains collision, 19/11/2025, Gălăteni - Olteni</t>
  </si>
  <si>
    <t>Freight train no.7323 019 (belonging to Rail Cargo Carrier Romania) exceeded the PRX (distant) signal of the Olteni railway station which ordering ”stop” and then caught up with and slightly bumped freight train no. 57312 018 (belonging also to Rail Cargo Carrier Romania).</t>
  </si>
  <si>
    <t>Gălăteni - Olteni</t>
  </si>
  <si>
    <t>Rail Cargo Carrier Romania SRL</t>
  </si>
  <si>
    <t>CZ-10758</t>
  </si>
  <si>
    <t xml:space="preserve">Collision of the maintenance train S04 with an external worker at Muzeum metro station </t>
  </si>
  <si>
    <t>An accident to a person caused by a rolling stock in motion</t>
  </si>
  <si>
    <t xml:space="preserve">Collision of the maintenance train S04 with an external worker </t>
  </si>
  <si>
    <t>Muzeum station (metro line A)</t>
  </si>
  <si>
    <t>Dopravní podnik hl. m. Prahy, akciová společnost</t>
  </si>
  <si>
    <t>Total preliminary damage CZK/EUR 0,-)</t>
  </si>
  <si>
    <t>PL-10759</t>
  </si>
  <si>
    <t>Broken rails, 16/11/2025, section Sobolew - Życzyn, km 90,550 line 7, track 1</t>
  </si>
  <si>
    <t xml:space="preserve">During the operation of the train No. 13109 from Warszawa Zachodnia to Rzeszów Główny (the carrier PKP INTERCITY S.A.), the driver reported an inequality in the track No 1 to the signaller LCS Dęblin station. The signaller of LCS 1 instructed the driver of train No 12713 (railway operator Koleje Mazowieckie Spółka z o.o.) to check the track. The driver, after stopping the train, found a crushed rail at a length of approx. 1.0 m under the train. Passengers were transported with the help of the Fire Brigade to the stop Mika. Train No 12713 was cancelled between Mika -and Dęblin. The broken rail was a consequence of the act of sabotage (explosion) that took place at 9 p.m. on 15.11.2025. </t>
  </si>
  <si>
    <t>Section Sobolew - Życzyn, km 90,550 line 7, track 1</t>
  </si>
  <si>
    <t xml:space="preserve">Koleje Mazowieckie Sp. z o. o. </t>
  </si>
  <si>
    <t xml:space="preserve">Demage of infrastructure, including rail, railway sleepers and springs. </t>
  </si>
  <si>
    <t>PL-10760</t>
  </si>
  <si>
    <t>Infrastructure event, 16/11/2025, section Zarzeka - Puławy Azoty, km 112,800 line 7, track 1 and km 115,500</t>
  </si>
  <si>
    <t>On 16.11.2025 at 20:15 the driver of train No 83100/1 MPE " GÓRSKI " ( PKP INTERCITY Spółka Akcyjna) of the Świnoujście - Rzeszów Main route,opearting teh locomotive EU 160 -016, reported a damaged traction catenery  in tracks 1 and 2  in the km 112,800 of line No 7 of the Zarzeka - Puławy Azoty route. The train left the catenery with the pantographs lowered to Puławy Azoty . One pantograph on the locomotive was damaged and three outer sied windows were broken in the 18th wagon No. 5051 8478125 -8 (without the injured). The cause of the damage was the train's entry into the lowered traction catenery. The Patrol SOK Dęblin and an employee of the Railway Lines Plant in Lublin, while checking the route after the lowered catenery, revealed in track No. 1 a steel element (sheet) attached with a screw to the right rail track.  Those two events were with high probability the result of the act of sabotage.</t>
  </si>
  <si>
    <t>Section Zarzeka - Puławy Azoty, km 112,800 line 7, track 1 and km 115,500</t>
  </si>
  <si>
    <t>150.000 - 2.000.00 €</t>
  </si>
  <si>
    <t>Demage of infrastructure - traction catenery, demges of rolling stock</t>
  </si>
  <si>
    <t>CZ-10761</t>
  </si>
  <si>
    <t>Trains collision, 20-11-25, Zliv station (Czech Republic)</t>
  </si>
  <si>
    <t>Collision of the long distance passenger train No. 658 with the regional passenger train No. 8053.</t>
  </si>
  <si>
    <t>Zliv station, the main (route) signal device Lc1, km 228,896, place of collision was at km 229,020</t>
  </si>
  <si>
    <t>Single/Double track</t>
  </si>
  <si>
    <t>Long distance passenger train,
regional passenger train</t>
  </si>
  <si>
    <t>CZK 150 010 000,- (€ 6 205 171,-); Rolling stocks, infrastructure</t>
  </si>
  <si>
    <t>DK-10762</t>
  </si>
  <si>
    <t>2025-555. Kildekrog, Person hit by train</t>
  </si>
  <si>
    <t>A person, who was on the tracks near a platform, was hit by a passing train.</t>
  </si>
  <si>
    <t>Kildekrog Trinbræt</t>
  </si>
  <si>
    <t>No reports of damage to the train or infrastructure.</t>
  </si>
  <si>
    <t>IT-10763</t>
  </si>
  <si>
    <t>Level crossing accident, 25/11/2025, Bondeno, Ferrara (FE)</t>
  </si>
  <si>
    <t>Collision between train n. 90226 and a car carrier truck at level crossing km 69+364, at Bondeno, Ferrara-Suzzara line</t>
  </si>
  <si>
    <t>Bondeno, Ferrara (FE)</t>
  </si>
  <si>
    <t>Trenitalia TPER</t>
  </si>
  <si>
    <t>FER - Ferrovie Emilia-Romagna</t>
  </si>
  <si>
    <t xml:space="preserve">Rolling stock destroyed by collision with the truck and several damages to the infrastructure </t>
  </si>
  <si>
    <t>CZ-10764</t>
  </si>
  <si>
    <t>Damage of a contact line and a current collector of a locomotive of freight train No. 52672 at Roudnice nad Labem station.</t>
  </si>
  <si>
    <t>Damage of a contact line and a current collector of a locomotive of freight train No. 52672.</t>
  </si>
  <si>
    <t>Roudnice nad Labem station</t>
  </si>
  <si>
    <t>freight train No. 52672</t>
  </si>
  <si>
    <t>PKP CARGO INTERNATIONAL, a.s.</t>
  </si>
  <si>
    <t>Total preliminary damage CZK 400 000,- (EUR 16 573,-)</t>
  </si>
  <si>
    <t>BE-10765</t>
  </si>
  <si>
    <t>Railway vehicle movement event, 13/10/2025, Witte Molen (Antwerpen Noord)</t>
  </si>
  <si>
    <t>Face to face between two freight trains</t>
  </si>
  <si>
    <t>Witte Molen (Antwerpen Noord)</t>
  </si>
  <si>
    <t>RO-10766</t>
  </si>
  <si>
    <t>Fire in RS, 13/12/2025, Acâș - Tășnad</t>
  </si>
  <si>
    <t xml:space="preserve">A fire brust out into hauling locomotive DA 1092 of the freight train no.60705 413 between Acâș and Tășnad railway stations. </t>
  </si>
  <si>
    <t>Acâș - Tășnad</t>
  </si>
  <si>
    <t>The following were affected on the locomotive involved:
- the wiring in the cable duct,
- the locomotive box on the left side in direction of travel,
- 4 batteries in the niche on the left side,
- the fuel transfer pump and its wiring,
- the argus tubes from the diesel engine,
- the cooling system sleeve.</t>
  </si>
  <si>
    <t>Level crossing accident, 21/12/2025, section Ziębice - Starczów , km 59,536 line 276, track 1</t>
  </si>
  <si>
    <t>The passsenger car drove on the level crossing before  approachig passenger train while the semi-barriers were open resulting in  hitting the car by the train. The occurence has character of the serious accident.</t>
  </si>
  <si>
    <t>section Ziębice - Starczów , km 59,536 line 276, track 1</t>
  </si>
  <si>
    <t>Demaged electric locomotove  and completely demaged road passenger car</t>
  </si>
  <si>
    <t>DE-10768</t>
  </si>
  <si>
    <t>Train derailment, 23.12.2025, Bf Nordstemmen - Bf Elze</t>
  </si>
  <si>
    <t>Am 23.12.2025 gegen 11:39 Uhr entgleiste der Güterzug GAG 47927 auf dem Laufweg von Hamburg-Waltershof Hansaport nach Stahlwerke Linz zwischen dem Bf Nordstemmen und dem Bf Elze in km 27,3 der Strecke mit sieben Wagen.</t>
  </si>
  <si>
    <t>Bf Nordstemmen - Bf. Elze</t>
  </si>
  <si>
    <t>Freight waggon derailed at Nordstemmen during train run. Still hauled along distance of ~5 km. Heavy derailment of waggon set when passing switches at entrance of Elze station.</t>
  </si>
  <si>
    <t>CZ-10769</t>
  </si>
  <si>
    <t>Collision of the regional passenger train No. 18107 with a car at the level crossing No. P1032 between Lenora and Volary  stations</t>
  </si>
  <si>
    <t>Collision of the regional passenger train No. 18107 with a car at the level crossing No. P1032</t>
  </si>
  <si>
    <r>
      <t xml:space="preserve">Open line </t>
    </r>
    <r>
      <rPr>
        <sz val="10"/>
        <color rgb="FF000000"/>
        <rFont val="Arial"/>
        <family val="2"/>
      </rPr>
      <t>between Lenora and Volary  stations</t>
    </r>
  </si>
  <si>
    <t>The regional passenger train No. 18107</t>
  </si>
  <si>
    <t>Total preliminary damage CZK 700 000,- (EUR 28 901,-)</t>
  </si>
  <si>
    <t>DK-10770</t>
  </si>
  <si>
    <t>Other event, 31/12/2025, Frederiksværk Station</t>
  </si>
  <si>
    <t>Person hit by train, not near a platform or crossings</t>
  </si>
  <si>
    <t>Frederiksværk Station</t>
  </si>
  <si>
    <t>No reports of damage to rolling stock or infrastructure</t>
  </si>
  <si>
    <t>DE-10771</t>
  </si>
  <si>
    <t>Train derailment, 31.12.2025, Bf Rosenheim - Hp Pfraundorf</t>
  </si>
  <si>
    <t>Am 31.01.2025 gegen 13:42 Uhr entgleiste der Güterzug DGS 43119 auf der Fahrt von München Ost Rbf nach Kufstein (ÖBB) (Zuglauf weiter nach Verona Quadrante Europa) in Folge eines Radscheibenbruches in km 4,41 mit dem nachlaufenden Drehgestell eines Wagens in der Mitte des Zuges.</t>
  </si>
  <si>
    <t>Bf Rosenheim - Hp Pfraundorf</t>
  </si>
  <si>
    <t>Lokomotion Gesellschaft für Schienentraktion mbH</t>
  </si>
  <si>
    <t>Freight waggon derailed at open line during train run. Still hauled along distance of ~2 km leading to track damages. Road vehicles damaged by ballast stiring up.</t>
  </si>
  <si>
    <t>HU-10772</t>
  </si>
  <si>
    <t>Unauthorised train movement other than SPAD, 25/9/2025, Szabadkígyós</t>
  </si>
  <si>
    <t>Train No. 7540 entered the station with the home signal displaying a stop aspect.
A vehicle was standing in its route, in front of which the train came to a stop at a distance of approximately 150 metres.</t>
  </si>
  <si>
    <t>Szabadkígyós</t>
  </si>
  <si>
    <t>no damage was caused</t>
  </si>
  <si>
    <t>RO-10773</t>
  </si>
  <si>
    <t>Train derailment, 1/1/2026, Laminorului</t>
  </si>
  <si>
    <t>The metro train (TEM) 6020, consisting in the units (REM) no.003, 005 și 133 derailed from first bogie, in the running direction, of the coach A from REM no.003 in the metro station Laminorului.</t>
  </si>
  <si>
    <t>Laminorului</t>
  </si>
  <si>
    <t>The following items were damaged on the subway train
- current collectors on both sides;
- brake discs on the derailed axles;
- anti-skid system transducer;
- ATP-ATO antenna.                                                                                           The track superstructure was slightly affected over a distance of 40 m, including switch no. 8.</t>
  </si>
  <si>
    <t>CZ-10774</t>
  </si>
  <si>
    <t>Derailment of the freight train No. 53705 between Okrouhlice and Havlíčkův Brod stations</t>
  </si>
  <si>
    <t>Derailment of one rolling stock of the freight train No. 53705</t>
  </si>
  <si>
    <t>Open line between Okrouhlice and Havlíčkův Brod stations</t>
  </si>
  <si>
    <r>
      <rPr>
        <sz val="10"/>
        <color rgb="FF000000"/>
        <rFont val="Arial"/>
        <family val="2"/>
      </rPr>
      <t xml:space="preserve">150 000 – 2 000 000 </t>
    </r>
    <r>
      <rPr>
        <sz val="10"/>
        <color rgb="FF000000"/>
        <rFont val="Arial"/>
        <family val="2"/>
        <charset val="1"/>
      </rPr>
      <t>€</t>
    </r>
  </si>
  <si>
    <t>Total preliminary damage CZK 32 500 000,- (EUR 1 338 467,-)</t>
  </si>
  <si>
    <t>ES-10775</t>
  </si>
  <si>
    <t>Trains collision, 15/11/2025, As Neves (Pontevedra)</t>
  </si>
  <si>
    <t>National ID 121/2025: collision with obstacle and derailment.
Freight train Captrain 90871, with 17 wagons loaded with steel coils, departed As Neves station bound to Vigo. After passing exit points, it collided with a fallen section of a concrete retaining wall. The locomotive and the first nine wagons derailed and overturned, the tenth wagon had its first axle derailed and the seven rear wagons remained on the tracks. The driver suffered minor injuries and there was significant damage to the infrastructure and rolling stock. Heavy rain had been recorded in the previous days. 
This event is considered a serious accident after receiving an estimation of rolling stock damages above 3,5 million euros.</t>
  </si>
  <si>
    <t>As Neves (Pontevedra)</t>
  </si>
  <si>
    <t>Extensive damages in rolling stock, infrastructure and cargo. Train driver gets minor injuries.</t>
  </si>
  <si>
    <t>ES-10776</t>
  </si>
  <si>
    <t>Train derailment, 18/1/2026, Adamuz (Córdoba)</t>
  </si>
  <si>
    <t>18/1/2026</t>
  </si>
  <si>
    <t>National ID 8/2026: derailment and collision between trains.
The last three carriages of the high-speed train Iryo 6189, from Málaga to Madrid, derailed at the entrance of Adamuz station, Córdoba (kilometre 318,693 of line 010 Madrid-Seville). The derailed carriages moved sideways, invading track #2, where high-speed train Renfe Alvia 2384, from Madrid to Huelva, was travelling at that moment, in the opposite direction.
Both trains were travelling at speeds of approximately 200 km/h at the time, resulting in a violent collision between the derailed carriages at the rear of the Iryo train and the front of the Alvia train, approximately at the kilometre marker 318,200.
As a result of the collision, the first two carriages of the Alvia train fell onto a 4-metre-high embankment. The derailment and subsequent collision resulted in 45 fatalities, 29 serious injuries and 123 minor injuries.</t>
  </si>
  <si>
    <t>Adamuz (Córdoba)</t>
  </si>
  <si>
    <t>Iryo (ILSA) / Renfe</t>
  </si>
  <si>
    <t xml:space="preserve">Extensive damage in infrastructure and rolling stock (two high-speed passenger trains). Line interrupted for an undefined period of time. Apart from fatalities and serious injuries, up to 123 passengers with minor injuries. </t>
  </si>
  <si>
    <t>ES-10777</t>
  </si>
  <si>
    <t>Trains collision with an obstacle, 20/1/2026, Gelida (Barcelona)</t>
  </si>
  <si>
    <t>20/1/2026</t>
  </si>
  <si>
    <t>Commuting train 77456 (line R4 of Barcelona commuting network), travelling at about 60 km/h, collided with a fallen wall section, at kilometre point 64,200, track #2 (line 240 Sant Vicenç de Calders – L’Hospitalet de Llobregat).
The fallen wall section consisted of a "L" shaped prefabricated concrete piece, and it was part of the retaining wall of the overpass of highway AP-7.
At the time of the collision, the wall section was tilted with an angle of about 45º, invading the railway clearance, so the wall became embedded in the train's cabin. The accident happened in a straight section of the track, but the visibility conditions were night with intense rain.</t>
  </si>
  <si>
    <t>Gelida (Barcelona)</t>
  </si>
  <si>
    <t xml:space="preserve">Besides the fallen wall that caused the collision, minor damage in infrastructure, and serious damage to rolling stock. Apart from the fatality and serious injuries, up to 36 passengers with minor injuries. </t>
  </si>
  <si>
    <t>PL-10778</t>
  </si>
  <si>
    <t>Train derailment, 20/1/2026, section Miechów - Słomniki , km 286,477 line 8, track 1</t>
  </si>
  <si>
    <t xml:space="preserve">The regional train derailed because of broken rail at the distance of approx. 6 m. </t>
  </si>
  <si>
    <t>section Miechów - Słomniki , km 286,477 line 8, track 1</t>
  </si>
  <si>
    <t>Demages of electric traction unit</t>
  </si>
  <si>
    <t>26/1/2026</t>
  </si>
  <si>
    <t>RO-10779</t>
  </si>
  <si>
    <t>SPAD, 23/1/2026, Câmpuri Surduc</t>
  </si>
  <si>
    <t>23/1/2026</t>
  </si>
  <si>
    <t>The passenger train no. 521 023 passed at danger home signal (which had the indication "red - stop without exceeding the signal") from the end ”X” of the Câmpuri Surduc railway station.</t>
  </si>
  <si>
    <t>Câmpuri Surduc</t>
  </si>
  <si>
    <t>29/1/2026</t>
  </si>
  <si>
    <t>BE-10780</t>
  </si>
  <si>
    <t>Trains collision, 4/2/2026, Merelbeke</t>
  </si>
  <si>
    <t>4/2/2026</t>
  </si>
  <si>
    <t>Rear-end collision between two freight trains</t>
  </si>
  <si>
    <t>Merelbeke</t>
  </si>
  <si>
    <t>HSL Belgium &amp; DB Cargo Belgium</t>
  </si>
  <si>
    <t>- DB Cargo Belgium freight train: minor damages to the last wagon.
- HSL Belgium freight train: minor damages to the locomotive with coolant and diesel leakage; impact noticeable to buffers but no damage; some wheels show slight flattening; damage to cargo still unclear.
- No damage to infrastructure</t>
  </si>
  <si>
    <t>CZ-10781</t>
  </si>
  <si>
    <t>Collision of the regional passenger train No. 5519 with a lorry with consequent derailment at the level crossing No. P3144 between Jičín and Libuň stations</t>
  </si>
  <si>
    <t>Collision of the regional passenger train No. 5519 with a lorry at the level crossing No. P3144 with consequent derailment</t>
  </si>
  <si>
    <t>open line between Jičín and Libuň stations</t>
  </si>
  <si>
    <t>The regional passenger train No. 5519</t>
  </si>
  <si>
    <t>Total preliminary damage CZK 3 400 000,- (EUR 140 821,-)</t>
  </si>
  <si>
    <t>EE-10782</t>
  </si>
  <si>
    <t>Level crossing accident, 27/11/2025, Tallinn-Rapla railway line. Between Liiva and Kiisa, crossing Saku-Soo</t>
  </si>
  <si>
    <t>27/11/2025</t>
  </si>
  <si>
    <t xml:space="preserve">There was a collision of regional passanger train with a truck on crossing. The train derailed as aresult of the collision. </t>
  </si>
  <si>
    <t>Tallinn-Rapla railway line. Between Liiva and Kiisa, crossing Saku-Soo</t>
  </si>
  <si>
    <t>Eesti Liinirongid AS</t>
  </si>
  <si>
    <t>NO-10783</t>
  </si>
  <si>
    <t>Derailment at Trondheim station</t>
  </si>
  <si>
    <t>27/1/2026</t>
  </si>
  <si>
    <t>Train 425 derailed at Trondheim station due to a broken rail. There were passengers on board, but no injuries occurred.</t>
  </si>
  <si>
    <t>Trondheim station km. 553,277, Dovrebanen line</t>
  </si>
  <si>
    <t>SJ Nord AS</t>
  </si>
  <si>
    <t xml:space="preserve">Damages to 4 boggies on train and infrastructure  </t>
  </si>
  <si>
    <t>CZ-10784</t>
  </si>
  <si>
    <t>Train derailment, 06-02-26, Malšice operating control point (Czech Republic)</t>
  </si>
  <si>
    <t>Derailment of the regional passenger train No. 28425.</t>
  </si>
  <si>
    <t>Malšice operating control point, the spring switch No. 6sv, km 10,443.</t>
  </si>
  <si>
    <t>CZK 7 000 000,- (€ 288 779,-); Rolling stocks, infrastructure</t>
  </si>
  <si>
    <t>HU-10785</t>
  </si>
  <si>
    <t>11/2/2026</t>
  </si>
  <si>
    <t>The last two empty wagons of train no. 66901 derailed in Ferencváros marshalling yard</t>
  </si>
  <si>
    <t>Ferencváros nyugati rendező</t>
  </si>
  <si>
    <t>Approx 100m of track, wheelsets of two wagons</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</si>
  <si>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</si>
  <si>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</si>
  <si>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</si>
  <si>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</si>
  <si>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</si>
  <si>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</si>
  <si>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</si>
  <si>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</si>
  <si>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</si>
  <si>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</si>
  <si>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</si>
  <si>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</si>
  <si>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</si>
  <si>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</si>
  <si>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</si>
  <si>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</si>
  <si>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</si>
  <si>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</si>
  <si>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</si>
  <si>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</si>
  <si>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</si>
  <si>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</si>
  <si>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</si>
  <si>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</si>
  <si>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</si>
  <si>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</si>
  <si>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</si>
  <si>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</si>
  <si>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</si>
  <si>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</si>
  <si>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</si>
  <si>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</si>
  <si>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</si>
  <si>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</si>
  <si>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</si>
  <si>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</si>
  <si>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</si>
  <si>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</si>
  <si>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</si>
  <si>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</si>
  <si>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</si>
  <si>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</si>
  <si>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</si>
  <si>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</si>
  <si>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</si>
  <si>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</si>
  <si>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</si>
  <si>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</si>
  <si>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</si>
  <si>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</si>
  <si>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</si>
  <si>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</si>
  <si>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</si>
  <si>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</si>
  <si>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</si>
  <si>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</si>
  <si>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</si>
  <si>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</si>
  <si>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</si>
  <si>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</si>
  <si>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</si>
  <si>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</si>
  <si>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</si>
  <si>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</si>
  <si>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</si>
  <si>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</si>
  <si>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</si>
  <si>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</si>
  <si>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</si>
  <si>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</si>
  <si>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</si>
  <si>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</si>
  <si>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</si>
  <si>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</si>
  <si>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</si>
  <si>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</si>
  <si>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</si>
  <si>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</si>
  <si>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</si>
  <si>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</si>
  <si>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</si>
  <si>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</si>
  <si>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</si>
  <si>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</si>
  <si>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</si>
  <si>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</si>
  <si>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</si>
  <si>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</si>
  <si>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</si>
  <si>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</si>
  <si>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</si>
  <si>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</si>
  <si>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</si>
  <si>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</si>
  <si>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</si>
  <si>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</si>
  <si>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</si>
  <si>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</si>
  <si>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</si>
  <si>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</si>
  <si>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</si>
  <si>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</si>
  <si>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</si>
  <si>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</si>
  <si>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</si>
  <si>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</si>
  <si>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</si>
  <si>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</si>
  <si>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</si>
  <si>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</si>
  <si>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</si>
  <si>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</si>
  <si>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</si>
  <si>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</si>
  <si>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</si>
  <si>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</si>
  <si>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</si>
  <si>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</si>
  <si>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</si>
  <si>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</si>
  <si>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</si>
  <si>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</si>
  <si>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</si>
  <si>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</si>
  <si>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</si>
  <si>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</si>
  <si>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</si>
  <si>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</si>
  <si>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</si>
  <si>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</si>
  <si>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</si>
  <si>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</si>
  <si>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</si>
  <si>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</si>
  <si>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</si>
  <si>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</si>
  <si>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</si>
  <si>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</si>
  <si>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</si>
  <si>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</si>
  <si>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</si>
  <si>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</si>
  <si>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</si>
  <si>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</si>
  <si>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</si>
  <si>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</si>
  <si>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</si>
  <si>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</si>
  <si>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</si>
  <si>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</si>
  <si>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</si>
  <si>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</si>
  <si>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</si>
  <si>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</si>
  <si>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</si>
  <si>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</si>
  <si>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</si>
  <si>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</si>
  <si>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</si>
  <si>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</si>
  <si>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</si>
  <si>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</si>
  <si>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</si>
  <si>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</si>
  <si>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</si>
  <si>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</si>
  <si>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</si>
  <si>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</si>
  <si>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</si>
  <si>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</si>
  <si>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</si>
  <si>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</si>
  <si>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</si>
  <si>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</si>
  <si>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</si>
  <si>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</si>
  <si>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</si>
  <si>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</si>
  <si>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</si>
  <si>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</si>
  <si>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</si>
  <si>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</si>
  <si>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</si>
  <si>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</si>
  <si>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</si>
  <si>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</si>
  <si>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</si>
  <si>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</si>
  <si>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</si>
  <si>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</si>
  <si>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</si>
  <si>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</si>
  <si>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</si>
  <si>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</si>
  <si>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</si>
  <si>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</si>
  <si>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</si>
  <si>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</si>
  <si>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</si>
  <si>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</si>
  <si>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</si>
  <si>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</si>
  <si>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</si>
  <si>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</si>
  <si>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</si>
  <si>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</si>
  <si>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</si>
  <si>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</si>
  <si>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</si>
  <si>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</si>
  <si>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</si>
  <si>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</si>
  <si>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</si>
  <si>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</si>
  <si>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</si>
  <si>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</si>
  <si>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</si>
  <si>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</si>
  <si>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</si>
  <si>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</si>
  <si>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</si>
  <si>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</si>
  <si>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</si>
  <si>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</si>
  <si>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</si>
  <si>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</si>
  <si>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</si>
  <si>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</si>
  <si>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</si>
  <si>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</si>
  <si>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</si>
  <si>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</si>
  <si>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</si>
  <si>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</si>
  <si>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</si>
  <si>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</si>
  <si>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</si>
  <si>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</si>
  <si>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</si>
  <si>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</si>
  <si>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</si>
  <si>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</si>
  <si>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</si>
  <si>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</si>
  <si>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</si>
  <si>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</si>
  <si>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</si>
  <si>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</si>
  <si>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</si>
  <si>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</si>
  <si>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</si>
  <si>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</si>
  <si>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</si>
  <si>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</si>
  <si>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</si>
  <si>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</si>
  <si>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</si>
  <si>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</si>
  <si>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</si>
  <si>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</si>
  <si>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</si>
  <si>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</si>
  <si>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</si>
  <si>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</si>
  <si>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</si>
  <si>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</si>
  <si>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</si>
  <si>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</si>
  <si>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</si>
  <si>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</si>
  <si>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</si>
  <si>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</si>
  <si>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</si>
  <si>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</si>
  <si>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</si>
  <si>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</si>
  <si>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</si>
  <si>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</si>
  <si>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</si>
  <si>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</si>
  <si>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</si>
  <si>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</si>
  <si>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</si>
  <si>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</si>
  <si>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</si>
  <si>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</si>
  <si>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</si>
  <si>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</si>
  <si>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</si>
  <si>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</si>
  <si>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</si>
  <si>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</si>
  <si>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</si>
  <si>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</si>
  <si>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</si>
  <si>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</si>
  <si>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</si>
  <si>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</si>
  <si>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</si>
  <si>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</si>
  <si>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</si>
  <si>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</si>
  <si>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</si>
  <si>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</si>
  <si>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</si>
  <si>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</si>
  <si>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</si>
  <si>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</si>
  <si>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</si>
  <si>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</si>
  <si>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</si>
  <si>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</si>
  <si>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</si>
  <si>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</si>
  <si>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</si>
  <si>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</si>
  <si>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</si>
  <si>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</si>
  <si>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</si>
  <si>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</si>
  <si>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</si>
  <si>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</si>
  <si>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</si>
  <si>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</si>
  <si>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</si>
  <si>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</si>
  <si>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</si>
  <si>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</si>
  <si>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</si>
  <si>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</si>
  <si>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</si>
  <si>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</si>
  <si>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</si>
  <si>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</si>
  <si>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</si>
  <si>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</si>
  <si>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</si>
  <si>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</si>
  <si>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</si>
  <si>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</si>
  <si>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</si>
  <si>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</si>
  <si>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</si>
  <si>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</si>
  <si>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</si>
  <si>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</si>
  <si>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</si>
  <si>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</si>
  <si>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</si>
  <si>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</si>
  <si>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</si>
  <si>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</si>
  <si>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</si>
  <si>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</si>
  <si>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</si>
  <si>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</si>
  <si>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</si>
  <si>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</si>
  <si>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</si>
  <si>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</si>
  <si>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</si>
  <si>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</si>
  <si>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</si>
  <si>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</si>
  <si>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</si>
  <si>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</si>
  <si>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</si>
  <si>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</si>
  <si>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</si>
  <si>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</si>
  <si>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</si>
  <si>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</si>
  <si>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</si>
  <si>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</si>
  <si>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</si>
  <si>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</si>
  <si>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</si>
  <si>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</si>
  <si>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</si>
  <si>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</si>
  <si>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</si>
  <si>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</si>
  <si>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</si>
  <si>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</si>
  <si>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</si>
  <si>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</si>
  <si>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</si>
  <si>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</si>
  <si>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</si>
  <si>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</si>
  <si>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</si>
  <si>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</si>
  <si>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</si>
  <si>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</si>
  <si>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</si>
  <si>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</si>
  <si>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</si>
  <si>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</si>
  <si>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</si>
  <si>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</si>
  <si>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</si>
  <si>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</si>
  <si>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</si>
  <si>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</si>
  <si>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</si>
  <si>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</si>
  <si>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</si>
  <si>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</si>
  <si>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</si>
  <si>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</si>
  <si>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</si>
  <si>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</si>
  <si>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</si>
  <si>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</si>
  <si>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</si>
  <si>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</si>
  <si>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</si>
  <si>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</si>
  <si>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</si>
  <si>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</si>
  <si>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</si>
  <si>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</si>
  <si>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</si>
  <si>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</si>
  <si>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</si>
  <si>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</si>
  <si>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</si>
  <si>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</si>
  <si>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</si>
  <si>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</si>
  <si>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</si>
  <si>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</si>
  <si>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</si>
  <si>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</si>
  <si>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</si>
  <si>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</si>
  <si>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</si>
  <si>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</si>
  <si>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</si>
  <si>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</si>
  <si>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</si>
  <si>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</si>
  <si>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</si>
  <si>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</si>
  <si>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</si>
  <si>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</si>
  <si>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</si>
  <si>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</si>
  <si>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</si>
  <si>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</si>
  <si>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</si>
  <si>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</si>
  <si>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</si>
  <si>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</si>
  <si>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</si>
  <si>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</si>
  <si>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</si>
  <si>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</si>
  <si>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</si>
  <si>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</si>
  <si>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</si>
  <si>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</si>
  <si>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</si>
  <si>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</si>
  <si>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</si>
  <si>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</si>
  <si>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</si>
  <si>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</si>
  <si>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</si>
  <si>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</si>
  <si>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</si>
  <si>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</si>
  <si>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</si>
  <si>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</si>
  <si>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</si>
  <si>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</si>
  <si>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</si>
  <si>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</si>
  <si>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</si>
  <si>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</si>
  <si>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</si>
  <si>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</si>
  <si>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</si>
  <si>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</si>
  <si>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</si>
  <si>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</si>
  <si>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</si>
  <si>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</si>
  <si>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</si>
  <si>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</si>
  <si>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</si>
  <si>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</si>
  <si>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</si>
  <si>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</si>
  <si>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</si>
  <si>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</si>
  <si>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</si>
  <si>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</si>
  <si>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</si>
  <si>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</si>
  <si>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</si>
  <si>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</si>
  <si>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</si>
  <si>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</si>
  <si>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</si>
  <si>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</si>
  <si>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</si>
  <si>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</si>
  <si>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</si>
  <si>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</si>
  <si>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</si>
  <si>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</si>
  <si>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</si>
  <si>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</si>
  <si>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</si>
  <si>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</si>
  <si>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</si>
  <si>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</si>
  <si>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</si>
  <si>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</si>
  <si>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</si>
  <si>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</si>
  <si>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</si>
  <si>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</si>
  <si>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</si>
  <si>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</si>
  <si>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</si>
  <si>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</si>
  <si>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</si>
  <si>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</si>
  <si>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</si>
  <si>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</si>
  <si>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</si>
  <si>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</si>
  <si>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</si>
  <si>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</si>
  <si>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</si>
  <si>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</si>
  <si>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</si>
  <si>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</si>
  <si>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</si>
  <si>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</si>
  <si>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</si>
  <si>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</si>
  <si>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</si>
  <si>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</si>
  <si>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</si>
  <si>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</si>
  <si>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</si>
  <si>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</si>
  <si>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</si>
  <si>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</si>
  <si>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</si>
  <si>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</si>
  <si>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</si>
  <si>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</si>
  <si>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</si>
  <si>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</si>
  <si>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</si>
  <si>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</si>
  <si>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</si>
  <si>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</si>
  <si>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</si>
  <si>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</si>
  <si>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</si>
  <si>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</si>
  <si>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</si>
  <si>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</si>
  <si>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</si>
  <si>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</si>
  <si>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</si>
  <si>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</si>
  <si>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</si>
  <si>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</si>
  <si>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</si>
  <si>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</si>
  <si>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</si>
  <si>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</si>
  <si>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</si>
  <si>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</si>
  <si>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</si>
  <si>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</si>
  <si>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</si>
  <si>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</si>
  <si>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</si>
  <si>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</si>
  <si>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</si>
  <si>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</si>
  <si>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</si>
  <si>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</si>
  <si>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</si>
  <si>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</si>
  <si>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</si>
  <si>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</si>
  <si>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</si>
  <si>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</si>
  <si>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</si>
  <si>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</si>
  <si>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</si>
  <si>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</si>
  <si>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</si>
  <si>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</si>
  <si>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</si>
  <si>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</si>
  <si>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</si>
  <si>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</si>
  <si>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</si>
  <si>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</si>
  <si>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</si>
  <si>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</si>
  <si>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</si>
  <si>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</si>
  <si>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</si>
  <si>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</si>
  <si>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</si>
  <si>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</si>
  <si>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</si>
  <si>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</si>
  <si>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</si>
  <si>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</si>
  <si>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</si>
  <si>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</si>
  <si>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</si>
  <si>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</si>
  <si>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</si>
  <si>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</si>
  <si>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</si>
  <si>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</si>
  <si>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</si>
  <si>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</si>
  <si>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</si>
  <si>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</si>
  <si>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</si>
  <si>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</si>
  <si>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</si>
  <si>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</si>
  <si>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</si>
  <si>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</si>
  <si>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</si>
  <si>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</si>
  <si>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</si>
  <si>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</si>
  <si>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</si>
  <si>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</si>
  <si>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</si>
  <si>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</si>
  <si>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</si>
  <si>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</si>
  <si>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</si>
  <si>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</si>
  <si>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</si>
  <si>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</si>
  <si>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</si>
  <si>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</si>
  <si>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</si>
  <si>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</si>
  <si>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</si>
  <si>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</si>
  <si>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</si>
  <si>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</si>
  <si>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</si>
  <si>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</si>
  <si>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</si>
  <si>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</si>
  <si>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</si>
  <si>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</si>
  <si>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</si>
  <si>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</si>
  <si>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</si>
  <si>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</si>
  <si>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</si>
  <si>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</si>
  <si>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</si>
  <si>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</si>
  <si>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</si>
  <si>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</si>
  <si>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</si>
  <si>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</si>
  <si>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</si>
  <si>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</si>
  <si>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</si>
  <si>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</si>
  <si>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</si>
  <si>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</si>
  <si>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</si>
  <si>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</si>
  <si>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</si>
  <si>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</si>
  <si>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</si>
  <si>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</si>
  <si>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</si>
  <si>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</si>
  <si>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</si>
  <si>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</si>
  <si>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</si>
  <si>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</si>
  <si>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</si>
  <si>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</si>
  <si>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</si>
  <si>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</si>
  <si>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</si>
  <si>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</si>
  <si>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</si>
  <si>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</si>
  <si>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</si>
  <si>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</si>
  <si>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</si>
  <si>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</si>
  <si>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</si>
  <si>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</si>
  <si>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</si>
  <si>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</si>
  <si>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</si>
  <si>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</si>
  <si>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</si>
  <si>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</si>
  <si>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</si>
  <si>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</si>
  <si>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</si>
  <si>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</si>
  <si>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</si>
  <si>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</si>
  <si>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</si>
  <si>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</si>
  <si>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</si>
  <si>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</si>
  <si>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</si>
  <si>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</si>
  <si>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</si>
  <si>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</si>
  <si>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</si>
  <si>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</si>
  <si>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</si>
  <si>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</si>
  <si>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</si>
  <si>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</si>
  <si>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</si>
  <si>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</si>
  <si>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</si>
  <si>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</si>
  <si>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</si>
  <si>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</si>
  <si>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</si>
  <si>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</si>
  <si>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</si>
  <si>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</si>
  <si>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</si>
  <si>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</si>
  <si>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</si>
  <si>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</si>
  <si>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</si>
  <si>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</si>
  <si>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</si>
  <si>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</si>
  <si>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</si>
  <si>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</si>
  <si>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</si>
  <si>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</si>
  <si>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</si>
  <si>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</si>
  <si>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</si>
  <si>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</si>
  <si>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</si>
  <si>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</si>
  <si>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</si>
  <si>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</si>
  <si>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</si>
  <si>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</si>
  <si>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</si>
  <si>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</si>
  <si>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</si>
  <si>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</si>
  <si>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</si>
  <si>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</si>
  <si>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</si>
  <si>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</si>
  <si>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</si>
  <si>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</si>
  <si>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</si>
  <si>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</si>
  <si>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</si>
  <si>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</si>
  <si>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</si>
  <si>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</si>
  <si>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</si>
  <si>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</si>
  <si>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</si>
  <si>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</si>
  <si>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</si>
  <si>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</si>
  <si>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</si>
  <si>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</si>
  <si>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</si>
  <si>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</si>
  <si>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</si>
  <si>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</si>
  <si>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</si>
  <si>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</si>
  <si>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</si>
  <si>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</si>
  <si>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</si>
  <si>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</si>
  <si>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</si>
  <si>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</si>
  <si>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</si>
  <si>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</si>
  <si>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</si>
  <si>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</si>
  <si>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</si>
  <si>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</si>
  <si>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</si>
  <si>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</si>
  <si>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</si>
  <si>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</si>
  <si>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</si>
  <si>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</si>
  <si>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</si>
  <si>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</si>
  <si>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</si>
  <si>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</si>
  <si>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</si>
  <si>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</si>
  <si>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</si>
  <si>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</si>
  <si>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</si>
  <si>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</si>
  <si>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</si>
  <si>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</si>
  <si>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</si>
  <si>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</si>
  <si>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</si>
  <si>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</si>
  <si>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</si>
  <si>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</si>
  <si>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</si>
  <si>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</si>
  <si>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</si>
  <si>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</si>
  <si>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</si>
  <si>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</si>
  <si>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</si>
  <si>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</si>
  <si>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</si>
  <si>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</si>
  <si>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</si>
  <si>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</si>
  <si>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</si>
  <si>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</si>
  <si>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</si>
  <si>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</si>
  <si>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</si>
  <si>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</si>
  <si>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</si>
  <si>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</si>
  <si>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</si>
  <si>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</si>
  <si>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</si>
  <si>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</si>
  <si>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</si>
  <si>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</si>
  <si>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</si>
  <si>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</si>
  <si>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</si>
  <si>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</si>
  <si>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</si>
  <si>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</si>
  <si>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</si>
  <si>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</si>
  <si>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</si>
  <si>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</si>
  <si>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</si>
  <si>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</si>
  <si>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</si>
  <si>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</si>
  <si>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</si>
  <si>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</si>
  <si>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</si>
  <si>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</si>
  <si>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</si>
  <si>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</si>
  <si>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</si>
  <si>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</si>
  <si>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</si>
  <si>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</si>
  <si>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</si>
  <si>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</si>
  <si>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</si>
  <si>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</si>
  <si>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</si>
  <si>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</si>
  <si>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</si>
  <si>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</si>
  <si>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</si>
  <si>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</si>
  <si>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</si>
  <si>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</si>
  <si>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</si>
  <si>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</si>
  <si>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</si>
  <si>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</si>
  <si>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</si>
  <si>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</si>
  <si>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</si>
  <si>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</si>
  <si>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</si>
  <si>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</si>
  <si>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</si>
  <si>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</si>
  <si>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</si>
  <si>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</si>
  <si>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</si>
  <si>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</si>
  <si>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</si>
  <si>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</si>
  <si>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</si>
  <si>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</si>
  <si>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</si>
  <si>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</si>
  <si>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</si>
  <si>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</si>
  <si>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</si>
  <si>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</si>
  <si>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</si>
  <si>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</si>
  <si>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</si>
  <si>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</si>
  <si>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</si>
  <si>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</si>
  <si>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</si>
  <si>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</si>
  <si>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</si>
  <si>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</si>
  <si>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</si>
  <si>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</si>
  <si>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</si>
  <si>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</si>
  <si>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</si>
  <si>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</si>
  <si>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</si>
  <si>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</si>
  <si>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</si>
  <si>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</si>
  <si>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</si>
  <si>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</si>
  <si>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</si>
  <si>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</si>
  <si>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</si>
  <si>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</si>
  <si>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</si>
  <si>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</si>
  <si>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</si>
  <si>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</si>
  <si>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</si>
  <si>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</si>
  <si>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</si>
  <si>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</si>
  <si>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</si>
  <si>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</si>
  <si>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</si>
  <si>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</si>
  <si>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</si>
  <si>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</si>
  <si>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</si>
  <si>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</si>
  <si>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</si>
  <si>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</si>
  <si>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</si>
  <si>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</si>
  <si>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</si>
  <si>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</si>
  <si>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</si>
  <si>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</si>
  <si>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</si>
  <si>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</si>
  <si>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</si>
  <si>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</si>
  <si>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</si>
  <si>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</si>
  <si>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</si>
  <si>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</si>
  <si>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</si>
  <si>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</si>
  <si>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</si>
  <si>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</si>
  <si>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</si>
  <si>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</si>
  <si>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</si>
  <si>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</si>
  <si>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</si>
  <si>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</si>
  <si>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</si>
  <si>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</si>
  <si>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</si>
  <si>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</si>
  <si>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</si>
  <si>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</si>
  <si>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</si>
  <si>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</si>
  <si>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</si>
  <si>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</si>
  <si>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</si>
  <si>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</si>
  <si>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</si>
  <si>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</si>
  <si>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</si>
  <si>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</si>
  <si>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</si>
  <si>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</si>
  <si>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</si>
  <si>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</si>
  <si>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</si>
  <si>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</si>
  <si>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</si>
  <si>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</si>
  <si>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</si>
  <si>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</si>
  <si>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</si>
  <si>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</si>
  <si>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</si>
  <si>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</si>
  <si>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</si>
  <si>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</si>
  <si>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</si>
  <si>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</si>
  <si>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</si>
  <si>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</si>
  <si>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</si>
  <si>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</si>
  <si>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</si>
  <si>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</si>
  <si>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</si>
  <si>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</si>
  <si>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</si>
  <si>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</si>
  <si>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</si>
  <si>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</si>
  <si>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</si>
  <si>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</si>
  <si>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</si>
  <si>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</si>
  <si>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</si>
  <si>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</si>
  <si>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</si>
  <si>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</si>
  <si>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</si>
  <si>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</si>
  <si>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</si>
  <si>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</si>
  <si>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</si>
  <si>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</si>
  <si>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</si>
  <si>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</si>
  <si>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</si>
  <si>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</si>
  <si>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</si>
  <si>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</si>
  <si>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</si>
  <si>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</si>
  <si>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</si>
  <si>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</si>
  <si>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</si>
  <si>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</si>
  <si>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</si>
  <si>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</si>
  <si>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</si>
  <si>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</si>
  <si>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</si>
  <si>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</si>
  <si>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</si>
  <si>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</si>
  <si>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</si>
  <si>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</si>
  <si>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</si>
  <si>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</si>
  <si>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</si>
  <si>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</si>
  <si>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</si>
  <si>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</si>
  <si>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</si>
  <si>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</si>
  <si>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</si>
  <si>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</si>
  <si>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</si>
  <si>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</si>
  <si>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</si>
  <si>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</si>
  <si>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</si>
  <si>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</si>
  <si>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</si>
  <si>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</si>
  <si>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</si>
  <si>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</si>
  <si>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</si>
  <si>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</si>
  <si>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</si>
  <si>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</si>
  <si>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</si>
  <si>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</si>
  <si>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</si>
  <si>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</si>
  <si>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</si>
  <si>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</si>
  <si>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</si>
  <si>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</si>
  <si>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</si>
  <si>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</si>
  <si>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</si>
  <si>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</si>
  <si>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</si>
  <si>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</si>
  <si>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</si>
  <si>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</si>
  <si>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</si>
  <si>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</si>
  <si>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</si>
  <si>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</si>
  <si>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</si>
  <si>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</si>
  <si>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</si>
  <si>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</si>
  <si>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</si>
  <si>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</si>
  <si>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</si>
  <si>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</si>
  <si>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</si>
  <si>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</si>
  <si>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</si>
  <si>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</si>
  <si>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</si>
  <si>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</si>
  <si>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</si>
  <si>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</si>
  <si>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</si>
  <si>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</si>
  <si>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</si>
  <si>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</si>
  <si>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</si>
  <si>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</si>
  <si>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</si>
  <si>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</si>
  <si>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</si>
  <si>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</si>
  <si>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</si>
  <si>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</si>
  <si>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</si>
  <si>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</si>
  <si>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</si>
  <si>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</si>
  <si>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</si>
  <si>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</si>
  <si>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</si>
  <si>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</si>
  <si>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</si>
  <si>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</si>
  <si>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</si>
  <si>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</si>
  <si>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</si>
  <si>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</si>
  <si>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</si>
  <si>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</si>
  <si>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</si>
  <si>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</si>
  <si>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</si>
  <si>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</si>
  <si>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</si>
  <si>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</si>
  <si>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</si>
  <si>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</si>
  <si>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</si>
  <si>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</si>
  <si>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</si>
  <si>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</si>
  <si>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</si>
  <si>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</si>
  <si>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</si>
  <si>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</si>
  <si>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</si>
  <si>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</si>
  <si>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</si>
  <si>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</si>
  <si>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</si>
  <si>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</si>
  <si>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</si>
  <si>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</si>
  <si>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</si>
  <si>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</si>
  <si>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</si>
  <si>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</si>
  <si>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</si>
  <si>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</si>
  <si>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</si>
  <si>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</si>
  <si>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</si>
  <si>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</si>
  <si>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</si>
  <si>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</si>
  <si>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</si>
  <si>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</si>
  <si>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</si>
  <si>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</si>
  <si>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</si>
  <si>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</si>
  <si>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</si>
  <si>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</si>
  <si>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</si>
  <si>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</si>
  <si>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</si>
  <si>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</si>
  <si>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</si>
  <si>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</si>
  <si>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</si>
  <si>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</si>
  <si>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</si>
  <si>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</si>
  <si>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</si>
  <si>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</si>
  <si>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</si>
  <si>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</si>
  <si>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</si>
  <si>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</si>
  <si>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</si>
  <si>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</si>
  <si>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</si>
  <si>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</si>
  <si>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</si>
  <si>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</si>
  <si>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</si>
  <si>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</si>
  <si>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</si>
  <si>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</si>
  <si>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</si>
  <si>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</si>
  <si>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</si>
  <si>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</si>
  <si>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</si>
  <si>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</si>
  <si>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</si>
  <si>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</si>
  <si>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</si>
  <si>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</si>
  <si>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</si>
  <si>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</si>
  <si>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</si>
  <si>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</si>
  <si>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</si>
  <si>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</si>
  <si>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</si>
  <si>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</si>
  <si>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</si>
  <si>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</si>
  <si>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</si>
  <si>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</si>
  <si>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</si>
  <si>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</si>
  <si>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</si>
  <si>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</si>
  <si>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</si>
  <si>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</si>
  <si>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</si>
  <si>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</si>
  <si>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</si>
  <si>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</si>
  <si>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</si>
  <si>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</si>
  <si>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</si>
  <si>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</si>
  <si>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</si>
  <si>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</si>
  <si>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</si>
  <si>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</si>
  <si>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</si>
  <si>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</si>
  <si>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</si>
  <si>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</si>
  <si>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</si>
  <si>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</si>
  <si>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</si>
  <si>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</si>
  <si>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</si>
  <si>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</si>
  <si>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</si>
  <si>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</si>
  <si>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</si>
  <si>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</si>
  <si>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</si>
  <si>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</si>
  <si>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</si>
  <si>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</si>
  <si>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</si>
  <si>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</si>
  <si>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</si>
  <si>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</si>
  <si>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</si>
  <si>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</si>
  <si>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</si>
  <si>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</si>
  <si>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</si>
  <si>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</si>
  <si>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</si>
  <si>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</si>
  <si>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</si>
  <si>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</si>
  <si>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</si>
  <si>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</si>
  <si>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</si>
  <si>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</si>
  <si>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</si>
  <si>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</si>
  <si>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</si>
  <si>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</si>
  <si>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</si>
  <si>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</si>
  <si>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</si>
  <si>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</si>
  <si>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</si>
  <si>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</si>
  <si>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</si>
  <si>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</si>
  <si>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</si>
  <si>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</si>
  <si>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</si>
  <si>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</si>
  <si>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</si>
  <si>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</si>
  <si>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</si>
  <si>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</si>
  <si>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</si>
  <si>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</si>
  <si>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</si>
  <si>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</si>
  <si>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</si>
  <si>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</si>
  <si>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</si>
  <si>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</si>
  <si>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</si>
  <si>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</si>
  <si>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</si>
  <si>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</si>
  <si>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</si>
  <si>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</si>
  <si>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</si>
  <si>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</si>
  <si>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</si>
  <si>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</si>
  <si>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</si>
  <si>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</si>
  <si>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</si>
  <si>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</si>
  <si>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</si>
  <si>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</si>
  <si>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</si>
  <si>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</si>
  <si>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</si>
  <si>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</si>
  <si>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</si>
  <si>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</si>
  <si>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</si>
  <si>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</si>
  <si>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</si>
  <si>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</si>
  <si>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</si>
  <si>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</si>
  <si>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</si>
  <si>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</si>
  <si>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</si>
  <si>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</si>
  <si>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</si>
  <si>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</si>
  <si>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</si>
  <si>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</si>
  <si>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</si>
  <si>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</si>
  <si>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</si>
  <si>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</si>
  <si>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</si>
  <si>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</si>
  <si>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</si>
  <si>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</si>
  <si>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</si>
  <si>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</si>
  <si>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</si>
  <si>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</si>
  <si>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</si>
  <si>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</si>
  <si>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</si>
  <si>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</si>
  <si>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</si>
  <si>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</si>
  <si>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</si>
  <si>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</si>
  <si>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</si>
  <si>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</si>
  <si>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</si>
  <si>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</si>
  <si>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</si>
  <si>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</si>
  <si>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</si>
  <si>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</si>
  <si>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</si>
  <si>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</si>
  <si>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</si>
  <si>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</si>
  <si>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</si>
  <si>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</si>
  <si>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</si>
  <si>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</si>
  <si>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</si>
  <si>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</si>
  <si>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</si>
  <si>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</si>
  <si>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</si>
  <si>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</si>
  <si>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</si>
  <si>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</si>
  <si>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</si>
  <si>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</si>
  <si>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</si>
  <si>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</si>
  <si>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</si>
  <si>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</si>
  <si>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</si>
  <si>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</si>
  <si>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</si>
  <si>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</si>
  <si>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</si>
  <si>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</si>
  <si>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</si>
  <si>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</si>
  <si>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</si>
  <si>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</si>
  <si>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</si>
  <si>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</si>
  <si>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</si>
  <si>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</si>
  <si>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</si>
  <si>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</si>
  <si>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</si>
  <si>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</si>
  <si>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</si>
  <si>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</si>
  <si>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</si>
  <si>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</si>
  <si>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</si>
  <si>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</si>
  <si>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</si>
  <si>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</si>
  <si>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</si>
  <si>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</si>
  <si>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</si>
  <si>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</si>
  <si>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</si>
  <si>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</si>
  <si>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</si>
  <si>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</si>
  <si>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</si>
  <si>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</si>
  <si>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</si>
  <si>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</si>
  <si>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</si>
  <si>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</si>
  <si>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</si>
  <si>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</si>
  <si>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</si>
  <si>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</si>
  <si>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</si>
  <si>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</si>
  <si>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</si>
  <si>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</si>
  <si>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</si>
  <si>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</si>
  <si>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</si>
  <si>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</si>
  <si>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</si>
  <si>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</si>
  <si>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</si>
  <si>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</si>
  <si>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</si>
  <si>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</si>
  <si>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</si>
  <si>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</si>
  <si>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</si>
  <si>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</si>
  <si>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</si>
  <si>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</si>
  <si>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</si>
  <si>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</si>
  <si>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</si>
  <si>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</si>
  <si>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</si>
  <si>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</si>
  <si>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</si>
  <si>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</si>
  <si>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</si>
  <si>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</si>
  <si>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</si>
  <si>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</si>
  <si>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</si>
  <si>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</si>
  <si>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</si>
  <si>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</si>
  <si>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</si>
  <si>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</si>
  <si>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</si>
  <si>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</si>
  <si>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</si>
  <si>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</si>
  <si>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</si>
  <si>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</si>
  <si>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</si>
  <si>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</si>
  <si>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</si>
  <si>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</si>
  <si>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</si>
  <si>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</si>
  <si>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</si>
  <si>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</si>
  <si>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</si>
  <si>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</si>
  <si>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</si>
  <si>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</si>
  <si>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</si>
  <si>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</si>
  <si>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</si>
  <si>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</si>
  <si>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</si>
  <si>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</si>
  <si>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</si>
  <si>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</si>
  <si>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</si>
  <si>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</si>
  <si>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</si>
  <si>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</si>
  <si>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</si>
  <si>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</si>
  <si>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</si>
  <si>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</si>
  <si>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</si>
  <si>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</si>
  <si>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</si>
  <si>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</si>
  <si>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</si>
  <si>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</si>
  <si>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</si>
  <si>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</si>
  <si>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</si>
  <si>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</si>
  <si>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</si>
  <si>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</si>
  <si>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</si>
  <si>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</si>
  <si>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</si>
  <si>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</si>
  <si>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</si>
  <si>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</si>
  <si>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</si>
  <si>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</si>
  <si>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</si>
  <si>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</si>
  <si>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</si>
  <si>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</si>
  <si>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</si>
  <si>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</si>
  <si>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</si>
  <si>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</si>
  <si>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</si>
  <si>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</si>
  <si>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</si>
  <si>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</si>
  <si>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</si>
  <si>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</si>
  <si>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</si>
  <si>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</si>
  <si>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</si>
  <si>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</si>
  <si>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</si>
  <si>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</si>
  <si>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</si>
  <si>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</si>
  <si>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</si>
  <si>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</si>
  <si>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</si>
  <si>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</si>
  <si>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</si>
  <si>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</si>
  <si>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</si>
  <si>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</si>
  <si>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</si>
  <si>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</si>
  <si>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</si>
  <si>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</si>
  <si>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</si>
  <si>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</si>
  <si>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</si>
  <si>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</si>
  <si>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</si>
  <si>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</si>
  <si>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</si>
  <si>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</si>
  <si>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</si>
  <si>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</si>
  <si>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</si>
  <si>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</si>
  <si>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</si>
  <si>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</si>
  <si>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</si>
  <si>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</si>
  <si>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</si>
  <si>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</si>
  <si>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</si>
  <si>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</si>
  <si>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</si>
  <si>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</si>
  <si>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</si>
  <si>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</si>
  <si>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</si>
  <si>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</si>
  <si>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</si>
  <si>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</si>
  <si>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</si>
  <si>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</si>
  <si>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</si>
  <si>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</si>
  <si>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</si>
  <si>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</si>
  <si>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</si>
  <si>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</si>
  <si>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</si>
  <si>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</si>
  <si>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</si>
  <si>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</si>
  <si>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</si>
  <si>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</si>
  <si>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</si>
  <si>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</si>
  <si>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</si>
  <si>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</si>
  <si>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</si>
  <si>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</si>
  <si>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</si>
  <si>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</si>
  <si>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</si>
  <si>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</si>
  <si>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</si>
  <si>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</si>
  <si>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</si>
  <si>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</si>
  <si>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</si>
  <si>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</si>
  <si>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</si>
  <si>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</si>
  <si>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</si>
  <si>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</si>
  <si>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</si>
  <si>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</si>
  <si>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</si>
  <si>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</si>
  <si>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</si>
  <si>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</si>
  <si>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</si>
  <si>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</si>
  <si>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</si>
  <si>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</si>
  <si>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</si>
  <si>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</si>
  <si>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</si>
  <si>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</si>
  <si>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</si>
  <si>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</si>
  <si>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</si>
  <si>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</si>
  <si>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</si>
  <si>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</si>
  <si>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</si>
  <si>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</si>
  <si>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</si>
  <si>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</si>
  <si>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</si>
  <si>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</si>
  <si>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</si>
  <si>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</si>
  <si>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</si>
  <si>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</si>
  <si>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</si>
  <si>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</si>
  <si>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</si>
  <si>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</si>
  <si>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</si>
  <si>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</si>
  <si>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</si>
  <si>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</si>
  <si>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</si>
  <si>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</si>
  <si>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</si>
  <si>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</si>
  <si>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</si>
  <si>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</si>
  <si>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</si>
  <si>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</si>
  <si>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</si>
  <si>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</si>
  <si>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</si>
  <si>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</si>
  <si>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</si>
  <si>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</si>
  <si>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</si>
  <si>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</si>
  <si>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</si>
  <si>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</si>
  <si>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</si>
  <si>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</si>
  <si>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</si>
  <si>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</si>
  <si>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</si>
  <si>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</si>
  <si>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</si>
  <si>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</si>
  <si>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</si>
  <si>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</si>
  <si>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</si>
  <si>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</si>
  <si>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</si>
  <si>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</si>
  <si>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</si>
  <si>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</si>
  <si>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</si>
  <si>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</si>
  <si>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</si>
  <si>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</si>
  <si>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</si>
  <si>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</si>
  <si>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</si>
  <si>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</si>
  <si>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</si>
  <si>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</si>
  <si>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</si>
  <si>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</si>
  <si>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</si>
  <si>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</si>
  <si>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</si>
  <si>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</si>
  <si>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</si>
  <si>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</si>
  <si>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</si>
  <si>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</si>
  <si>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</si>
  <si>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</si>
  <si>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</si>
  <si>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</si>
  <si>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</si>
  <si>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</si>
  <si>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</si>
  <si>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</si>
  <si>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</si>
  <si>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</si>
  <si>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</si>
  <si>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</si>
  <si>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</si>
  <si>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</si>
  <si>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</si>
  <si>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</si>
  <si>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</si>
  <si>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</si>
  <si>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</si>
  <si>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</si>
  <si>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</si>
  <si>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</si>
  <si>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</si>
  <si>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</si>
  <si>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</si>
  <si>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</si>
  <si>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</si>
  <si>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</si>
  <si>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</si>
  <si>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</si>
  <si>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</si>
  <si>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</si>
  <si>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</si>
  <si>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</si>
  <si>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</si>
  <si>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</si>
  <si>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</si>
  <si>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</si>
  <si>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</si>
  <si>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</si>
  <si>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</si>
  <si>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</si>
  <si>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</si>
  <si>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</si>
  <si>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</si>
  <si>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</si>
  <si>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</si>
  <si>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</si>
  <si>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</si>
  <si>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</si>
  <si>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</si>
  <si>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</si>
  <si>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</si>
  <si>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</si>
  <si>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</si>
  <si>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</si>
  <si>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</si>
  <si>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</si>
  <si>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</si>
  <si>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</si>
  <si>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</si>
  <si>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</si>
  <si>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</si>
  <si>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</si>
  <si>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</si>
  <si>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</si>
  <si>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</si>
  <si>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</si>
  <si>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</si>
  <si>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</si>
  <si>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</si>
  <si>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</si>
  <si>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</si>
  <si>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</si>
  <si>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</si>
  <si>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</si>
  <si>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</si>
  <si>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</si>
  <si>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</si>
  <si>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</si>
  <si>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</si>
  <si>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</si>
  <si>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</si>
  <si>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</si>
  <si>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</si>
  <si>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</si>
  <si>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</si>
  <si>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</si>
  <si>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</si>
  <si>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</si>
  <si>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</si>
  <si>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</si>
  <si>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</si>
  <si>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</si>
  <si>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</si>
  <si>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</si>
  <si>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</si>
  <si>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</si>
  <si>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</si>
  <si>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</si>
  <si>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</si>
  <si>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</si>
  <si>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</si>
  <si>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</si>
  <si>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</si>
  <si>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</si>
  <si>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</si>
  <si>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</si>
  <si>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</si>
  <si>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</si>
  <si>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</si>
  <si>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</si>
  <si>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</si>
  <si>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</si>
  <si>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</si>
  <si>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</si>
  <si>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</si>
  <si>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</si>
  <si>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</si>
  <si>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</si>
  <si>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</si>
  <si>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</si>
  <si>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</si>
  <si>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</si>
  <si>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</si>
  <si>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</si>
  <si>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</si>
  <si>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</si>
  <si>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</si>
  <si>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</si>
  <si>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</si>
  <si>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</si>
  <si>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</si>
  <si>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</si>
  <si>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</si>
  <si>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</si>
  <si>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</si>
  <si>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</si>
  <si>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</si>
  <si>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</si>
  <si>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</si>
  <si>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</si>
  <si>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</si>
  <si>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</si>
  <si>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</si>
  <si>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</si>
  <si>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</si>
  <si>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</si>
  <si>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</si>
  <si>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</si>
  <si>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</si>
  <si>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</si>
  <si>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</si>
  <si>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</si>
  <si>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</si>
  <si>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</si>
  <si>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</si>
  <si>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</si>
  <si>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</si>
  <si>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</si>
  <si>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</si>
  <si>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</si>
  <si>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</si>
  <si>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</si>
  <si>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</si>
  <si>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</si>
  <si>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</si>
  <si>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</si>
  <si>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</si>
  <si>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</si>
  <si>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</si>
  <si>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</si>
  <si>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</si>
  <si>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</si>
  <si>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</si>
  <si>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</si>
  <si>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</si>
  <si>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</si>
  <si>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</si>
  <si>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</si>
  <si>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</si>
  <si>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</si>
  <si>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</si>
  <si>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</si>
  <si>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</si>
  <si>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</si>
  <si>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</si>
  <si>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</si>
  <si>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</si>
  <si>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</si>
  <si>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</si>
  <si>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</si>
  <si>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</si>
  <si>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</si>
  <si>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</si>
  <si>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</si>
  <si>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</si>
  <si>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</si>
  <si>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</si>
  <si>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</si>
  <si>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</si>
  <si>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</si>
  <si>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</si>
  <si>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</si>
  <si>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</si>
  <si>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</si>
  <si>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</si>
  <si>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</si>
  <si>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</si>
  <si>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</si>
  <si>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</si>
  <si>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</si>
  <si>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</si>
  <si>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</si>
  <si>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</si>
  <si>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</si>
  <si>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</si>
  <si>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</si>
  <si>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</si>
  <si>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</si>
  <si>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</si>
  <si>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</si>
  <si>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</si>
  <si>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</si>
  <si>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</si>
  <si>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</si>
  <si>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</si>
  <si>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</si>
  <si>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</si>
  <si>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</si>
  <si>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</si>
  <si>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</si>
  <si>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</si>
  <si>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</si>
  <si>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</si>
  <si>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</si>
  <si>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</si>
  <si>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</si>
  <si>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</si>
  <si>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</si>
  <si>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</si>
  <si>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</si>
  <si>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</si>
  <si>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</si>
  <si>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</si>
  <si>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</si>
  <si>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</si>
  <si>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</si>
  <si>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</si>
  <si>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</si>
  <si>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</si>
  <si>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</si>
  <si>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</si>
  <si>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</si>
  <si>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</si>
  <si>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</si>
  <si>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</si>
  <si>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</si>
  <si>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</si>
  <si>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</si>
  <si>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</si>
  <si>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</si>
  <si>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</si>
  <si>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</si>
  <si>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</si>
  <si>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</si>
  <si>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</si>
  <si>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</si>
  <si>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</si>
  <si>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</si>
  <si>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</si>
  <si>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</si>
  <si>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</si>
  <si>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</si>
  <si>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</si>
  <si>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</si>
  <si>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</si>
  <si>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</si>
  <si>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</si>
  <si>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</si>
  <si>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</si>
  <si>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</si>
  <si>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</si>
  <si>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</si>
  <si>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</si>
  <si>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</si>
  <si>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</si>
  <si>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</si>
  <si>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</si>
  <si>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</si>
  <si>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</si>
  <si>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</si>
  <si>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</si>
  <si>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</si>
  <si>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</si>
  <si>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</si>
  <si>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</si>
  <si>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</si>
  <si>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</si>
  <si>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</si>
  <si>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</si>
  <si>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</si>
  <si>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</si>
  <si>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</si>
  <si>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</si>
  <si>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</si>
  <si>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</si>
  <si>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</si>
  <si>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</si>
  <si>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</si>
  <si>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</si>
  <si>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</si>
  <si>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</si>
  <si>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</si>
  <si>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</si>
  <si>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</si>
  <si>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</si>
  <si>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</si>
  <si>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</si>
  <si>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</si>
  <si>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</si>
  <si>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</si>
  <si>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</si>
  <si>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</si>
  <si>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</si>
  <si>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</si>
  <si>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</si>
  <si>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</si>
  <si>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</si>
  <si>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</si>
  <si>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</si>
  <si>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</si>
  <si>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</si>
  <si>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</si>
  <si>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</si>
  <si>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</si>
  <si>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</si>
  <si>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</si>
  <si>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</si>
  <si>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</si>
  <si>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</si>
  <si>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</si>
  <si>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</si>
  <si>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</si>
  <si>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</si>
  <si>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</si>
  <si>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</si>
  <si>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</si>
  <si>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</si>
  <si>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</si>
  <si>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</si>
  <si>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</si>
  <si>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</si>
  <si>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</si>
  <si>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</si>
  <si>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</si>
  <si>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</si>
  <si>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</si>
  <si>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</si>
  <si>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</si>
  <si>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</si>
  <si>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</si>
  <si>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</si>
  <si>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</si>
  <si>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</si>
  <si>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</si>
  <si>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</si>
  <si>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</si>
  <si>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</si>
  <si>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</si>
  <si>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</si>
  <si>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</si>
  <si>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</si>
  <si>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</si>
  <si>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</si>
  <si>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</si>
  <si>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</si>
  <si>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</si>
  <si>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</si>
  <si>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</si>
  <si>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</si>
  <si>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</si>
  <si>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</si>
  <si>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</si>
  <si>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</si>
  <si>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</si>
  <si>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</si>
  <si>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</si>
  <si>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</si>
  <si>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</si>
  <si>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</si>
  <si>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</si>
  <si>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</si>
  <si>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</si>
  <si>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</si>
  <si>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</si>
  <si>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</si>
  <si>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</si>
  <si>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</si>
  <si>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</si>
  <si>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</si>
  <si>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</si>
  <si>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</si>
  <si>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</si>
  <si>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</si>
  <si>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</si>
  <si>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</si>
  <si>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</si>
  <si>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</si>
  <si>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</si>
  <si>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</si>
  <si>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</si>
  <si>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</si>
  <si>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</si>
  <si>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</si>
  <si>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</si>
  <si>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</si>
  <si>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</si>
  <si>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</si>
  <si>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</si>
  <si>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</si>
  <si>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</si>
  <si>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</si>
  <si>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</si>
  <si>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</si>
  <si>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</si>
  <si>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</si>
  <si>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</si>
  <si>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</si>
  <si>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</si>
  <si>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</si>
  <si>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</si>
  <si>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</si>
  <si>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</si>
  <si>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</si>
  <si>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</si>
  <si>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</si>
  <si>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</si>
  <si>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</si>
  <si>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</si>
  <si>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</si>
  <si>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</si>
  <si>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</si>
  <si>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</si>
  <si>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</si>
  <si>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</si>
  <si>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</si>
  <si>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</si>
  <si>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</si>
  <si>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</si>
  <si>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</si>
  <si>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</si>
  <si>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</si>
  <si>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</si>
  <si>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</si>
  <si>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</si>
  <si>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</si>
  <si>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</si>
  <si>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</si>
  <si>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</si>
  <si>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</si>
  <si>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</si>
  <si>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</si>
  <si>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</si>
  <si>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</si>
  <si>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</si>
  <si>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</si>
  <si>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</si>
  <si>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</si>
  <si>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</si>
  <si>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</si>
  <si>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</si>
  <si>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</si>
  <si>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</si>
  <si>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</si>
  <si>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</si>
  <si>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</si>
  <si>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</si>
  <si>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</si>
  <si>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</si>
  <si>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</si>
  <si>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</si>
  <si>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</si>
  <si>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</si>
  <si>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</si>
  <si>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</si>
  <si>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</si>
  <si>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</si>
  <si>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</si>
  <si>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</si>
  <si>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</si>
  <si>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</si>
  <si>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</si>
  <si>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</si>
  <si>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</si>
  <si>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</si>
  <si>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</si>
  <si>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</si>
  <si>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</si>
  <si>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</si>
  <si>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</si>
  <si>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</si>
  <si>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</si>
  <si>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</si>
  <si>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</si>
  <si>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</si>
  <si>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</si>
  <si>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</si>
  <si>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</si>
  <si>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</si>
  <si>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</si>
  <si>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</si>
  <si>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</si>
  <si>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</si>
  <si>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</si>
  <si>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</si>
  <si>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</si>
  <si>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</si>
  <si>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</si>
  <si>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</si>
  <si>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</si>
  <si>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</si>
  <si>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</si>
  <si>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</si>
  <si>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</si>
  <si>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</si>
  <si>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</si>
  <si>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</si>
  <si>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</si>
  <si>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</si>
  <si>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</si>
  <si>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</si>
  <si>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</si>
  <si>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</si>
  <si>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</si>
  <si>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</si>
  <si>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</si>
  <si>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</si>
  <si>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</si>
  <si>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</si>
  <si>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</si>
  <si>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</si>
  <si>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</si>
  <si>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</si>
  <si>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</si>
  <si>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</si>
  <si>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</si>
  <si>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</si>
  <si>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</si>
  <si>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</si>
  <si>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</si>
  <si>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</si>
  <si>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</si>
  <si>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</si>
  <si>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</si>
  <si>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</si>
  <si>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</si>
  <si>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</si>
  <si>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</si>
  <si>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</si>
  <si>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</si>
  <si>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</si>
  <si>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</si>
  <si>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</si>
  <si>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</si>
  <si>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</si>
  <si>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</si>
  <si>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</si>
  <si>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</si>
  <si>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</si>
  <si>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</si>
  <si>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</si>
  <si>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</si>
  <si>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</si>
  <si>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</si>
  <si>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</si>
  <si>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</si>
  <si>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</si>
  <si>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</si>
  <si>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</si>
  <si>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</si>
  <si>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</si>
  <si>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</si>
  <si>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</si>
  <si>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</si>
  <si>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</si>
  <si>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</si>
  <si>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</si>
  <si>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</si>
  <si>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</si>
  <si>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</si>
  <si>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</si>
  <si>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</si>
  <si>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</si>
  <si>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</si>
  <si>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</si>
  <si>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</si>
  <si>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</si>
  <si>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</si>
  <si>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</si>
  <si>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</si>
  <si>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</si>
  <si>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</si>
  <si>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</si>
  <si>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</si>
  <si>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</si>
  <si>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</si>
  <si>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</si>
  <si>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</si>
  <si>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</si>
  <si>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</si>
  <si>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</si>
  <si>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</si>
  <si>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</si>
  <si>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</si>
  <si>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</si>
  <si>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</si>
  <si>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</si>
  <si>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</si>
  <si>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</si>
  <si>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</si>
  <si>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</si>
  <si>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</si>
  <si>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</si>
  <si>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</si>
  <si>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</si>
  <si>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</si>
  <si>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</si>
  <si>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</si>
  <si>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</si>
  <si>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</si>
  <si>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</si>
  <si>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</si>
  <si>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</si>
  <si>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</si>
  <si>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</si>
  <si>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</si>
  <si>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</si>
  <si>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</si>
  <si>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</si>
  <si>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</si>
  <si>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</si>
  <si>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</si>
  <si>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</si>
  <si>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</si>
  <si>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</si>
  <si>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</si>
  <si>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</si>
  <si>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</si>
  <si>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</si>
  <si>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</si>
  <si>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</si>
  <si>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</si>
  <si>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</si>
  <si>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</si>
  <si>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</si>
  <si>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</si>
  <si>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</si>
  <si>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</si>
  <si>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</si>
  <si>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</si>
  <si>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</si>
  <si>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</si>
  <si>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</si>
  <si>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</si>
  <si>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</si>
  <si>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</si>
  <si>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</si>
  <si>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</si>
  <si>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</si>
  <si>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</si>
  <si>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</si>
  <si>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</si>
  <si>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</si>
  <si>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</si>
  <si>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</si>
  <si>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</si>
  <si>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</si>
  <si>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</si>
  <si>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</si>
  <si>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</si>
  <si>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</si>
  <si>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</si>
  <si>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</si>
  <si>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</si>
  <si>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</si>
  <si>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</si>
  <si>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</si>
  <si>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</si>
  <si>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</si>
  <si>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</si>
  <si>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</si>
  <si>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</si>
  <si>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</si>
  <si>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</si>
  <si>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</si>
  <si>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</si>
  <si>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</si>
  <si>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</si>
  <si>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</si>
  <si>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</si>
  <si>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</si>
  <si>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</si>
  <si>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</si>
  <si>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</si>
  <si>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</si>
  <si>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</si>
  <si>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</si>
  <si>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</si>
  <si>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</si>
  <si>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</si>
  <si>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</si>
  <si>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</si>
  <si>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</si>
  <si>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</si>
  <si>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</si>
  <si>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</si>
  <si>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</si>
  <si>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</si>
  <si>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</si>
  <si>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</si>
  <si>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</si>
  <si>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</si>
  <si>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</si>
  <si>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</si>
  <si>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</si>
  <si>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</si>
  <si>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</si>
  <si>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</si>
  <si>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</si>
  <si>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</si>
  <si>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</si>
  <si>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</si>
  <si>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</si>
  <si>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</si>
  <si>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</si>
  <si>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</si>
  <si>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</si>
  <si>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</si>
  <si>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</si>
  <si>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</si>
  <si>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</si>
  <si>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</si>
  <si>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</si>
  <si>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</si>
  <si>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</si>
  <si>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</si>
  <si>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</si>
  <si>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</si>
  <si>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</si>
  <si>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</si>
  <si>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</si>
  <si>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</si>
  <si>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</si>
  <si>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</si>
  <si>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</si>
  <si>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</si>
  <si>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</si>
  <si>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</si>
  <si>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</si>
  <si>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</si>
  <si>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</si>
  <si>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</si>
  <si>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</si>
  <si>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</si>
  <si>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</si>
  <si>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</si>
  <si>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</si>
  <si>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</si>
  <si>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</si>
  <si>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</si>
  <si>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</si>
  <si>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</si>
  <si>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</si>
  <si>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</si>
  <si>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</si>
  <si>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</si>
  <si>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</si>
  <si>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</si>
  <si>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</si>
  <si>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</si>
  <si>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</si>
  <si>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</si>
  <si>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</si>
  <si>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</si>
  <si>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</si>
  <si>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</si>
  <si>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</si>
  <si>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</si>
  <si>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</si>
  <si>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</si>
  <si>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</si>
  <si>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</si>
  <si>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</si>
  <si>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</si>
  <si>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</si>
  <si>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</si>
  <si>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</si>
  <si>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</si>
  <si>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</si>
  <si>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</si>
  <si>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</si>
  <si>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</si>
  <si>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</si>
  <si>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</si>
  <si>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</si>
  <si>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</si>
  <si>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</si>
  <si>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</si>
  <si>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</si>
  <si>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</si>
  <si>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</si>
  <si>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</si>
  <si>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</si>
  <si>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</si>
  <si>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</si>
  <si>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</si>
  <si>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</si>
  <si>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</si>
  <si>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</si>
  <si>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</si>
  <si>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</si>
  <si>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</si>
  <si>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</si>
  <si>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</si>
  <si>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</si>
  <si>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</si>
  <si>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</si>
  <si>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</si>
  <si>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</si>
  <si>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</si>
  <si>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</si>
  <si>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</si>
  <si>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</si>
  <si>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</si>
  <si>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</si>
  <si>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</si>
  <si>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</si>
  <si>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</si>
  <si>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</si>
  <si>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</si>
  <si>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</si>
  <si>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</si>
  <si>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</si>
  <si>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</si>
  <si>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</si>
  <si>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</si>
  <si>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</si>
  <si>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</si>
  <si>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</si>
  <si>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</si>
  <si>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</si>
  <si>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</si>
  <si>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</si>
  <si>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</si>
  <si>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</si>
  <si>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</si>
  <si>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</si>
  <si>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</si>
  <si>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</si>
  <si>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</si>
  <si>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</si>
  <si>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</si>
  <si>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</si>
  <si>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</si>
  <si>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</si>
  <si>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</si>
  <si>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</si>
  <si>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</si>
  <si>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</si>
  <si>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</si>
  <si>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</si>
  <si>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</si>
  <si>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</si>
  <si>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</si>
  <si>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</si>
  <si>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</si>
  <si>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</si>
  <si>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</si>
  <si>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</si>
  <si>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</si>
  <si>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</si>
  <si>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</si>
  <si>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</si>
  <si>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</si>
  <si>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</si>
  <si>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</si>
  <si>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</si>
  <si>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</si>
  <si>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</si>
  <si>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</si>
  <si>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</si>
  <si>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</si>
  <si>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</si>
  <si>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</si>
  <si>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</si>
  <si>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</si>
  <si>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</si>
  <si>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</si>
  <si>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</si>
  <si>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</si>
  <si>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</si>
  <si>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</si>
  <si>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</si>
  <si>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</si>
  <si>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</si>
  <si>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</si>
  <si>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</si>
  <si>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</si>
  <si>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</si>
  <si>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</si>
  <si>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</si>
  <si>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</si>
  <si>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</si>
  <si>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</si>
  <si>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</si>
  <si>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</si>
  <si>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</si>
  <si>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</si>
  <si>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</si>
  <si>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</si>
  <si>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</si>
  <si>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</si>
  <si>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</si>
  <si>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</si>
  <si>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</si>
  <si>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</si>
  <si>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</si>
  <si>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</si>
  <si>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</si>
  <si>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</si>
  <si>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</si>
  <si>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</si>
  <si>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</si>
  <si>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</si>
  <si>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</si>
  <si>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</si>
  <si>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</si>
  <si>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</si>
  <si>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</si>
  <si>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</si>
  <si>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</si>
  <si>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</si>
  <si>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</si>
  <si>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</si>
  <si>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</si>
  <si>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</si>
  <si>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</si>
  <si>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</si>
  <si>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</si>
  <si>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</si>
  <si>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</si>
  <si>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</si>
  <si>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</si>
  <si>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</si>
  <si>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</si>
  <si>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</si>
  <si>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</si>
  <si>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</si>
  <si>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</si>
  <si>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</si>
  <si>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</si>
  <si>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</si>
  <si>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</si>
  <si>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</si>
  <si>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</si>
  <si>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</si>
  <si>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</si>
  <si>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</si>
  <si>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</si>
  <si>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</si>
  <si>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</si>
  <si>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</si>
  <si>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</si>
  <si>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</si>
  <si>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</si>
  <si>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</si>
  <si>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</si>
  <si>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</si>
  <si>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</si>
  <si>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</si>
  <si>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</si>
  <si>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</si>
  <si>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</si>
  <si>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</si>
  <si>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</si>
  <si>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</si>
  <si>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</si>
  <si>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</si>
  <si>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</si>
  <si>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</si>
  <si>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</si>
  <si>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</si>
  <si>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</si>
  <si>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</si>
  <si>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</si>
  <si>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</si>
  <si>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</si>
  <si>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</si>
  <si>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</si>
  <si>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</si>
  <si>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</si>
  <si>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</si>
  <si>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</si>
  <si>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</si>
  <si>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</si>
  <si>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</si>
  <si>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</si>
  <si>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</si>
  <si>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</si>
  <si>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</si>
  <si>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</si>
  <si>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</si>
  <si>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</si>
  <si>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</si>
  <si>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</si>
  <si>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</si>
  <si>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</si>
  <si>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</si>
  <si>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</si>
  <si>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</si>
  <si>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</si>
  <si>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</si>
  <si>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</si>
  <si>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</si>
  <si>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</si>
  <si>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</si>
  <si>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</si>
  <si>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</si>
  <si>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</si>
  <si>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</si>
  <si>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</si>
  <si>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</si>
  <si>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</si>
  <si>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</si>
  <si>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</si>
  <si>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</si>
  <si>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</si>
  <si>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</si>
  <si>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</si>
  <si>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</si>
  <si>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</si>
  <si>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</si>
  <si>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</si>
  <si>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</si>
  <si>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</si>
  <si>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</si>
  <si>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</si>
  <si>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</si>
  <si>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</si>
  <si>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</si>
  <si>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</si>
  <si>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</si>
  <si>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</si>
  <si>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</si>
  <si>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</si>
  <si>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</si>
  <si>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</si>
  <si>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</si>
  <si>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</si>
  <si>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</si>
  <si>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</si>
  <si>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</si>
  <si>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</si>
  <si>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</si>
  <si>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</si>
  <si>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</si>
  <si>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</si>
  <si>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</si>
  <si>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</si>
  <si>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</si>
  <si>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</si>
  <si>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</si>
  <si>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</si>
  <si>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</si>
  <si>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</si>
  <si>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</si>
  <si>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</si>
  <si>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</si>
  <si>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</si>
  <si>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</si>
  <si>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</si>
  <si>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</si>
  <si>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</si>
  <si>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</si>
  <si>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</si>
  <si>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</si>
  <si>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</si>
  <si>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</si>
  <si>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</si>
  <si>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</si>
  <si>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</si>
  <si>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</si>
  <si>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</si>
  <si>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</si>
  <si>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</si>
  <si>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</si>
  <si>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</si>
  <si>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</si>
  <si>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</si>
  <si>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</si>
  <si>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</si>
  <si>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</si>
  <si>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</si>
  <si>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</si>
  <si>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</si>
  <si>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</si>
  <si>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</si>
  <si>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</si>
  <si>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</si>
  <si>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</si>
  <si>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</si>
  <si>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</si>
  <si>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</si>
  <si>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</si>
  <si>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</si>
  <si>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</si>
  <si>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</si>
  <si>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</si>
  <si>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</si>
  <si>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</si>
  <si>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</si>
  <si>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</si>
  <si>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</si>
  <si>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</si>
  <si>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</si>
  <si>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</si>
  <si>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</si>
  <si>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</si>
  <si>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</si>
  <si>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</si>
  <si>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</si>
  <si>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</si>
  <si>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</si>
  <si>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</si>
  <si>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</si>
  <si>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</si>
  <si>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</si>
  <si>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</si>
  <si>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</si>
  <si>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</si>
  <si>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</si>
  <si>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</si>
  <si>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</si>
  <si>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</si>
  <si>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</si>
  <si>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</si>
  <si>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</si>
  <si>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</si>
  <si>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</si>
  <si>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</si>
  <si>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</si>
  <si>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</si>
  <si>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</si>
  <si>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</si>
  <si>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</si>
  <si>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</si>
  <si>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</si>
  <si>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</si>
  <si>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</si>
  <si>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</si>
  <si>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</si>
  <si>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</si>
  <si>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</si>
  <si>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</si>
  <si>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</si>
  <si>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</si>
  <si>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</si>
  <si>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</si>
  <si>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</si>
  <si>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</si>
  <si>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</si>
  <si>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</si>
  <si>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</si>
  <si>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</si>
  <si>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</si>
  <si>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</si>
  <si>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</si>
  <si>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</si>
  <si>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</si>
  <si>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</si>
  <si>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</si>
  <si>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</si>
  <si>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</si>
  <si>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</si>
  <si>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</si>
  <si>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</si>
  <si>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</si>
  <si>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</si>
  <si>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</si>
  <si>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</si>
  <si>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</si>
  <si>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</si>
  <si>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</si>
  <si>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</si>
  <si>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</si>
  <si>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</si>
  <si>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</si>
  <si>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</si>
  <si>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</si>
  <si>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</si>
  <si>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</si>
  <si>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</si>
  <si>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</si>
  <si>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</si>
  <si>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</si>
  <si>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</si>
  <si>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</si>
  <si>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</si>
  <si>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</si>
  <si>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</si>
  <si>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</si>
  <si>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</si>
  <si>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</si>
  <si>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</si>
  <si>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</si>
  <si>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</si>
  <si>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</si>
  <si>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</si>
  <si>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</si>
  <si>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</si>
  <si>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</si>
  <si>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</si>
  <si>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</si>
  <si>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</si>
  <si>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</si>
  <si>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</si>
  <si>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</si>
  <si>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</si>
  <si>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</si>
  <si>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</si>
  <si>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</si>
  <si>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</si>
  <si>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</si>
  <si>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</si>
  <si>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</si>
  <si>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</si>
  <si>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</si>
  <si>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</si>
  <si>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</si>
  <si>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</si>
  <si>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</si>
  <si>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</si>
  <si>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</si>
  <si>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</si>
  <si>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</si>
  <si>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</si>
  <si>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</si>
  <si>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</si>
  <si>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</si>
  <si>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</si>
  <si>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</si>
  <si>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</si>
  <si>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</si>
  <si>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</si>
  <si>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</si>
  <si>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</si>
  <si>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</si>
  <si>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</si>
  <si>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</si>
  <si>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</si>
  <si>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</si>
  <si>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</si>
  <si>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</si>
  <si>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</si>
  <si>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</si>
  <si>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</si>
  <si>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</si>
  <si>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</si>
  <si>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</si>
  <si>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</si>
  <si>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</si>
  <si>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</si>
  <si>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</si>
  <si>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</si>
  <si>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</si>
  <si>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</si>
  <si>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</si>
  <si>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</si>
  <si>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</si>
  <si>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</si>
  <si>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</si>
  <si>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</si>
  <si>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</si>
  <si>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</si>
  <si>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</si>
  <si>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</si>
  <si>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</si>
  <si>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</si>
  <si>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</si>
  <si>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</si>
  <si>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</si>
  <si>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</si>
  <si>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</si>
  <si>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</si>
  <si>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</si>
  <si>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</si>
  <si>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</si>
  <si>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</si>
  <si>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</si>
  <si>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</si>
  <si>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</si>
  <si>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</si>
  <si>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</si>
  <si>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</si>
  <si>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</si>
  <si>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</si>
  <si>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</si>
  <si>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</si>
  <si>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</si>
  <si>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</si>
  <si>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</si>
  <si>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</si>
  <si>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</si>
  <si>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</si>
  <si>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</si>
  <si>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</si>
  <si>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</si>
  <si>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</si>
  <si>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</si>
  <si>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</si>
  <si>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</si>
  <si>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</si>
  <si>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</si>
  <si>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</si>
  <si>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</si>
  <si>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</si>
  <si>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</si>
  <si>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</si>
  <si>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</si>
  <si>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</si>
  <si>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</si>
  <si>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</si>
  <si>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</si>
  <si>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</si>
  <si>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</si>
  <si>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</si>
  <si>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</si>
  <si>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</si>
  <si>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</si>
  <si>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</si>
  <si>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</si>
  <si>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</si>
  <si>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</si>
  <si>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</si>
  <si>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</si>
  <si>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</si>
  <si>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</si>
  <si>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</si>
  <si>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</si>
  <si>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</si>
  <si>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</si>
  <si>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</si>
  <si>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</si>
  <si>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</si>
  <si>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</si>
  <si>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</si>
  <si>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</si>
  <si>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</si>
  <si>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</si>
  <si>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</si>
  <si>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</si>
  <si>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</si>
  <si>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</si>
  <si>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</si>
  <si>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</si>
  <si>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</si>
  <si>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</si>
  <si>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</si>
  <si>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</si>
  <si>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</si>
  <si>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</si>
  <si>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</si>
  <si>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</si>
  <si>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</si>
  <si>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</si>
  <si>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</si>
  <si>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</si>
  <si>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</si>
  <si>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</si>
  <si>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</si>
  <si>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</si>
  <si>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</si>
  <si>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</si>
  <si>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</si>
  <si>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</si>
  <si>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</si>
  <si>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</si>
  <si>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</si>
  <si>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</si>
  <si>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</si>
  <si>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</si>
  <si>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</si>
  <si>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</si>
  <si>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</si>
  <si>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</si>
  <si>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</si>
  <si>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</si>
  <si>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</si>
  <si>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</si>
  <si>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</si>
  <si>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</si>
  <si>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</si>
  <si>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</si>
  <si>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</si>
  <si>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</si>
  <si>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</si>
  <si>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</si>
  <si>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</si>
  <si>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</si>
  <si>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</si>
  <si>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</si>
  <si>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</si>
  <si>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</si>
  <si>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</si>
  <si>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</si>
  <si>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</si>
  <si>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</si>
  <si>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</si>
  <si>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</si>
  <si>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</si>
  <si>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</si>
  <si>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</si>
  <si>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</si>
  <si>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</si>
  <si>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</si>
  <si>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</si>
  <si>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</si>
  <si>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</si>
  <si>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</si>
  <si>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</si>
  <si>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</si>
  <si>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</si>
  <si>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</si>
  <si>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</si>
  <si>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</si>
  <si>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</si>
  <si>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</si>
  <si>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</si>
  <si>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</si>
  <si>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</si>
  <si>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</si>
  <si>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</si>
  <si>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</si>
  <si>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</si>
  <si>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</si>
  <si>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</si>
  <si>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</si>
  <si>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</si>
  <si>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</si>
  <si>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</si>
  <si>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</si>
  <si>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</si>
  <si>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</si>
  <si>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</si>
  <si>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</si>
  <si>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</si>
  <si>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</si>
  <si>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</si>
  <si>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</si>
  <si>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</si>
  <si>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</si>
  <si>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</si>
  <si>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</si>
  <si>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</si>
  <si>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</si>
  <si>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</si>
  <si>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</si>
  <si>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</si>
  <si>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</si>
  <si>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</si>
  <si>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</si>
  <si>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</si>
  <si>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</si>
  <si>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</si>
  <si>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</si>
  <si>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</si>
  <si>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</si>
  <si>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</si>
  <si>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</si>
  <si>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</si>
  <si>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</si>
  <si>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</si>
  <si>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</si>
  <si>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</si>
  <si>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</si>
  <si>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</si>
  <si>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</si>
  <si>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</si>
  <si>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</si>
  <si>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</si>
  <si>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</si>
  <si>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</si>
  <si>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</si>
  <si>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</si>
  <si>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</si>
  <si>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</si>
  <si>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</si>
  <si>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</si>
  <si>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</si>
  <si>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</si>
  <si>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</si>
  <si>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</si>
  <si>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</si>
  <si>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</si>
  <si>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</si>
  <si>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</si>
  <si>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</si>
  <si>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</si>
  <si>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</si>
  <si>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</si>
  <si>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</si>
  <si>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</si>
  <si>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</si>
  <si>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</si>
  <si>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</si>
  <si>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</si>
  <si>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</si>
  <si>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</si>
  <si>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</si>
  <si>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</si>
  <si>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</si>
  <si>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</si>
  <si>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</si>
  <si>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</si>
  <si>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</si>
  <si>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</si>
  <si>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</si>
  <si>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</si>
  <si>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</si>
  <si>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</si>
  <si>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</si>
  <si>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</si>
  <si>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</si>
  <si>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</si>
  <si>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</si>
  <si>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</si>
  <si>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</si>
  <si>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</si>
  <si>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</si>
  <si>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</si>
  <si>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</si>
  <si>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</si>
  <si>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</si>
  <si>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</si>
  <si>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</si>
  <si>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</si>
  <si>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</si>
  <si>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</si>
  <si>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</si>
  <si>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</si>
  <si>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</si>
  <si>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</si>
  <si>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</si>
  <si>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</si>
  <si>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</si>
  <si>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</si>
  <si>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</si>
  <si>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</si>
  <si>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</si>
  <si>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</si>
  <si>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</si>
  <si>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</si>
  <si>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</si>
  <si>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</si>
  <si>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</si>
  <si>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</si>
  <si>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</si>
  <si>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</si>
  <si>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</si>
  <si>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</si>
  <si>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</si>
  <si>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</si>
  <si>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</si>
  <si>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</si>
  <si>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</si>
  <si>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</si>
  <si>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</si>
  <si>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</si>
  <si>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</si>
  <si>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</si>
  <si>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</si>
  <si>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</si>
  <si>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</si>
  <si>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</si>
  <si>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</si>
  <si>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</si>
  <si>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</si>
  <si>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</si>
  <si>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</si>
  <si>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</si>
  <si>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</si>
  <si>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</si>
  <si>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</si>
  <si>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</si>
  <si>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</si>
  <si>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</si>
  <si>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</si>
  <si>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</si>
  <si>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</si>
  <si>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</si>
  <si>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</si>
  <si>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</si>
  <si>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</si>
  <si>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</si>
  <si>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</si>
  <si>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</si>
  <si>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</si>
  <si>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</si>
  <si>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</si>
  <si>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</si>
  <si>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</si>
  <si>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</si>
  <si>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</si>
  <si>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</si>
  <si>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</si>
  <si>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</si>
  <si>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</si>
  <si>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</si>
  <si>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</si>
  <si>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</si>
  <si>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</si>
  <si>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</si>
  <si>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</si>
  <si>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</si>
  <si>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</si>
  <si>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</si>
  <si>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</si>
  <si>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</si>
  <si>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</si>
  <si>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</si>
  <si>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</si>
  <si>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</si>
  <si>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</si>
  <si>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</si>
  <si>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</si>
  <si>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</si>
  <si>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</si>
  <si>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</si>
  <si>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</si>
  <si>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</si>
  <si>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</si>
  <si>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</si>
  <si>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</si>
  <si>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</si>
  <si>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</si>
  <si>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</si>
  <si>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</si>
  <si>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</si>
  <si>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</si>
  <si>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</si>
  <si>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</si>
  <si>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</si>
  <si>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</si>
  <si>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</si>
  <si>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</si>
  <si>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</si>
  <si>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</si>
  <si>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</si>
  <si>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</si>
  <si>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</si>
  <si>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</si>
  <si>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</si>
  <si>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</si>
  <si>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</si>
  <si>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</si>
  <si>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</si>
  <si>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</si>
  <si>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</si>
  <si>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</si>
  <si>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</si>
  <si>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</si>
  <si>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</si>
  <si>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</si>
  <si>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</si>
  <si>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</si>
  <si>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</si>
  <si>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</si>
  <si>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</si>
  <si>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</si>
  <si>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</si>
  <si>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</si>
  <si>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</si>
  <si>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</si>
  <si>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</si>
  <si>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</si>
  <si>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</si>
  <si>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</si>
  <si>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</si>
  <si>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</si>
  <si>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</si>
  <si>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</si>
  <si>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</si>
  <si>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</si>
  <si>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</si>
  <si>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</si>
  <si>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</si>
  <si>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</si>
  <si>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</si>
  <si>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</si>
  <si>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</si>
  <si>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</si>
  <si>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</si>
  <si>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</si>
  <si>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</si>
  <si>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</si>
  <si>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</si>
  <si>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</si>
  <si>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</si>
  <si>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</si>
  <si>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</si>
  <si>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</si>
  <si>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</si>
  <si>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</si>
  <si>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</si>
  <si>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</si>
  <si>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</si>
  <si>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</si>
  <si>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</si>
  <si>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</si>
  <si>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</si>
  <si>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</si>
  <si>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</si>
  <si>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</si>
  <si>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</si>
  <si>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</si>
  <si>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</si>
  <si>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</si>
  <si>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</si>
  <si>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</si>
  <si>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</si>
  <si>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</si>
  <si>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</si>
  <si>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</si>
  <si>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</si>
  <si>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</si>
  <si>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</si>
  <si>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</si>
  <si>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</si>
  <si>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</si>
  <si>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</si>
  <si>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</si>
  <si>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</si>
  <si>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</si>
  <si>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</si>
  <si>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</si>
  <si>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</si>
  <si>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</si>
  <si>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</si>
  <si>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</si>
  <si>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</si>
  <si>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</si>
  <si>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</si>
  <si>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</si>
  <si>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</si>
  <si>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</si>
  <si>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</si>
  <si>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</si>
  <si>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</si>
  <si>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</si>
  <si>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</si>
  <si>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</si>
  <si>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</si>
  <si>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</si>
  <si>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</si>
  <si>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</si>
  <si>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</si>
  <si>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</si>
  <si>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</si>
  <si>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</si>
  <si>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</si>
  <si>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</si>
  <si>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</si>
  <si>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</si>
  <si>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</si>
  <si>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</si>
  <si>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</si>
  <si>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</si>
  <si>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</si>
  <si>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</si>
  <si>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</si>
  <si>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</si>
  <si>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</si>
  <si>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</si>
  <si>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</si>
  <si>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</si>
  <si>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</si>
  <si>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</si>
  <si>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</si>
  <si>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</si>
  <si>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</si>
  <si>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</si>
  <si>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</si>
  <si>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</si>
  <si>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</si>
  <si>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</si>
  <si>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</si>
  <si>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</si>
  <si>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</si>
  <si>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</si>
  <si>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</si>
  <si>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</si>
  <si>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</si>
  <si>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</si>
  <si>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</si>
  <si>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</si>
  <si>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</si>
  <si>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</si>
  <si>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</si>
  <si>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</si>
  <si>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</si>
  <si>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</si>
  <si>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</si>
  <si>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</si>
  <si>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</si>
  <si>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</si>
  <si>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</si>
  <si>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</si>
  <si>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</si>
  <si>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</si>
  <si>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</si>
  <si>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</si>
  <si>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</si>
  <si>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</si>
  <si>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</si>
  <si>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</si>
  <si>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</si>
  <si>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</si>
  <si>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</si>
  <si>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</si>
  <si>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</si>
  <si>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</si>
  <si>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</si>
  <si>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</si>
  <si>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</si>
  <si>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</si>
  <si>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</si>
  <si>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</si>
  <si>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</si>
  <si>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</si>
  <si>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</si>
  <si>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</si>
  <si>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</si>
  <si>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</si>
  <si>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</si>
  <si>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</si>
  <si>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</si>
  <si>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</si>
  <si>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</si>
  <si>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</si>
  <si>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</si>
  <si>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</si>
  <si>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</si>
  <si>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</si>
  <si>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</si>
  <si>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</si>
  <si>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</si>
  <si>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</si>
  <si>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</si>
  <si>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</si>
  <si>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</si>
  <si>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</si>
  <si>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</si>
  <si>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</si>
  <si>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</si>
  <si>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</si>
  <si>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</si>
  <si>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</si>
  <si>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</si>
  <si>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</si>
  <si>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</si>
  <si>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</si>
  <si>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</si>
  <si>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</si>
  <si>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</si>
  <si>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</si>
  <si>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</si>
  <si>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</si>
  <si>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</si>
  <si>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</si>
  <si>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</si>
  <si>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</si>
  <si>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</si>
  <si>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</si>
  <si>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</si>
  <si>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</si>
  <si>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</si>
  <si>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</si>
  <si>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</si>
  <si>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</si>
  <si>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</si>
  <si>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</si>
  <si>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</si>
  <si>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</si>
  <si>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</si>
  <si>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</si>
  <si>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</si>
  <si>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</si>
  <si>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</si>
  <si>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</si>
  <si>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</si>
  <si>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</si>
  <si>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</si>
  <si>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</si>
  <si>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</si>
  <si>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</si>
  <si>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</si>
  <si>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</si>
  <si>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</si>
  <si>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</si>
  <si>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</si>
  <si>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</si>
  <si>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</si>
  <si>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</si>
  <si>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</si>
  <si>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</si>
  <si>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</si>
  <si>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</si>
  <si>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</si>
  <si>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</si>
  <si>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</si>
  <si>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</si>
  <si>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</si>
  <si>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</si>
  <si>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</si>
  <si>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</si>
  <si>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</si>
  <si>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</si>
  <si>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</si>
  <si>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</si>
  <si>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</si>
  <si>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</si>
  <si>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</si>
  <si>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</si>
  <si>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</si>
  <si>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</si>
  <si>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</si>
  <si>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</si>
  <si>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</si>
  <si>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</si>
  <si>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</si>
  <si>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</si>
  <si>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</si>
  <si>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</si>
  <si>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</si>
  <si>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</si>
  <si>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</si>
  <si>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</si>
  <si>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</si>
  <si>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</si>
  <si>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</si>
  <si>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</si>
  <si>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</si>
  <si>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</si>
  <si>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</si>
  <si>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</si>
  <si>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</si>
  <si>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</si>
  <si>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</si>
  <si>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</si>
  <si>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</si>
  <si>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</si>
  <si>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</si>
  <si>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</si>
  <si>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</si>
  <si>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</si>
  <si>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</si>
  <si>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</si>
  <si>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</si>
  <si>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</si>
  <si>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</si>
  <si>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</si>
  <si>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</si>
  <si>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</si>
  <si>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</si>
  <si>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</si>
  <si>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</si>
  <si>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</si>
  <si>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</si>
  <si>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</si>
  <si>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</si>
  <si>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</si>
  <si>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</si>
  <si>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</si>
  <si>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</si>
  <si>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</si>
  <si>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</si>
  <si>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</si>
  <si>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</si>
  <si>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</si>
  <si>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</si>
  <si>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</si>
  <si>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</si>
  <si>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</si>
  <si>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</si>
  <si>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</si>
  <si>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</si>
  <si>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</si>
  <si>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</si>
  <si>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</si>
  <si>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</si>
  <si>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</si>
  <si>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</si>
  <si>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</si>
  <si>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</si>
  <si>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</si>
  <si>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</si>
  <si>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</si>
  <si>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</si>
  <si>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</si>
  <si>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</si>
  <si>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</si>
  <si>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</si>
  <si>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</si>
  <si>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</si>
  <si>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</si>
  <si>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</si>
  <si>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</si>
  <si>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</si>
  <si>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</si>
  <si>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</si>
  <si>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</si>
  <si>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</si>
  <si>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</si>
  <si>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</si>
  <si>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</si>
  <si>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</si>
  <si>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</si>
  <si>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</si>
  <si>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</si>
  <si>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</si>
  <si>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</si>
  <si>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</si>
  <si>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</si>
  <si>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</si>
  <si>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</si>
  <si>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</si>
  <si>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</si>
  <si>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</si>
  <si>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</si>
  <si>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</si>
  <si>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</si>
  <si>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</si>
  <si>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</si>
  <si>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</si>
  <si>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</si>
  <si>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</si>
  <si>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</si>
  <si>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</si>
  <si>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</si>
  <si>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</si>
  <si>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</si>
  <si>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</si>
  <si>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</si>
  <si>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</si>
  <si>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</si>
  <si>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</si>
  <si>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</si>
  <si>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</si>
  <si>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</si>
  <si>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</si>
  <si>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</si>
  <si>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</si>
  <si>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</si>
  <si>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</si>
  <si>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</si>
  <si>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</si>
  <si>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</si>
  <si>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</si>
  <si>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</si>
  <si>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</si>
  <si>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</si>
  <si>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</si>
  <si>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</si>
  <si>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</si>
  <si>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</si>
  <si>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</si>
  <si>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</si>
  <si>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</si>
  <si>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</si>
  <si>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</si>
  <si>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</si>
  <si>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</si>
  <si>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</si>
  <si>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</si>
  <si>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</si>
  <si>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</si>
  <si>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</si>
  <si>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</si>
  <si>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</si>
  <si>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</si>
  <si>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</si>
  <si>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</si>
  <si>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</si>
  <si>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</si>
  <si>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</si>
  <si>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</si>
  <si>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</si>
  <si>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</si>
  <si>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</si>
  <si>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</si>
  <si>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</si>
  <si>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</si>
  <si>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</si>
  <si>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</si>
  <si>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</si>
  <si>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</si>
  <si>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</si>
  <si>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</si>
  <si>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</si>
  <si>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</si>
  <si>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</si>
  <si>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</si>
  <si>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</si>
  <si>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</si>
  <si>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</si>
  <si>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</si>
  <si>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</si>
  <si>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</si>
  <si>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</si>
  <si>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</si>
  <si>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</si>
  <si>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</si>
  <si>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</si>
  <si>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</si>
  <si>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</si>
  <si>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</si>
  <si>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</si>
  <si>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</si>
  <si>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</si>
  <si>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</si>
  <si>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</si>
  <si>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</si>
  <si>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</si>
  <si>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</si>
  <si>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</si>
  <si>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</si>
  <si>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</si>
  <si>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</si>
  <si>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</si>
  <si>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</si>
  <si>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</si>
  <si>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</si>
  <si>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</si>
  <si>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</si>
  <si>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</si>
  <si>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</si>
  <si>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</si>
  <si>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</si>
  <si>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</si>
  <si>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</si>
  <si>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</si>
  <si>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</si>
  <si>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</si>
  <si>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</si>
  <si>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</si>
  <si>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</si>
  <si>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</si>
  <si>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</si>
  <si>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</si>
  <si>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</si>
  <si>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</si>
  <si>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</si>
  <si>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</si>
  <si>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</si>
  <si>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</si>
  <si>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</si>
  <si>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</si>
  <si>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</si>
  <si>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</si>
  <si>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</si>
  <si>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</si>
  <si>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</si>
  <si>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</si>
  <si>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</si>
  <si>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</si>
  <si>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</si>
  <si>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</si>
  <si>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</si>
  <si>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</si>
  <si>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</si>
  <si>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</si>
  <si>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</si>
  <si>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</si>
  <si>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</si>
  <si>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</si>
  <si>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</si>
  <si>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</si>
  <si>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</si>
  <si>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</si>
  <si>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</si>
  <si>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</si>
  <si>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</si>
  <si>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</si>
  <si>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</si>
  <si>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</si>
  <si>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</si>
  <si>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</si>
  <si>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</si>
  <si>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</si>
  <si>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</si>
  <si>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</si>
  <si>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</si>
  <si>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</si>
  <si>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</si>
  <si>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</si>
  <si>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</si>
  <si>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</si>
  <si>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</si>
  <si>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</si>
  <si>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</si>
  <si>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</si>
  <si>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</si>
  <si>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</si>
  <si>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</si>
  <si>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</si>
  <si>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</si>
  <si>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</si>
  <si>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</si>
  <si>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</si>
  <si>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</si>
  <si>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</si>
  <si>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</si>
  <si>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</si>
  <si>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</si>
  <si>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</si>
  <si>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</si>
  <si>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</si>
  <si>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</si>
  <si>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</si>
  <si>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</si>
  <si>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</si>
  <si>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</si>
  <si>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</si>
  <si>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</si>
  <si>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</si>
  <si>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</si>
  <si>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</si>
  <si>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</si>
  <si>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</si>
  <si>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</si>
  <si>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</si>
  <si>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</si>
  <si>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</si>
  <si>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</si>
  <si>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</si>
  <si>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</si>
  <si>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</si>
  <si>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</si>
  <si>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</si>
  <si>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</si>
  <si>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</si>
  <si>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</si>
  <si>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</si>
  <si>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</si>
  <si>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</si>
  <si>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</si>
  <si>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</si>
  <si>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</si>
  <si>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</si>
  <si>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</si>
  <si>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</si>
  <si>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</si>
  <si>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</si>
  <si>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</si>
  <si>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</si>
  <si>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</si>
  <si>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</si>
  <si>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</si>
  <si>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</si>
  <si>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</si>
  <si>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</si>
  <si>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</si>
  <si>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</si>
  <si>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</si>
  <si>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</si>
  <si>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</si>
  <si>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</si>
  <si>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</si>
  <si>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</si>
  <si>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</si>
  <si>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</si>
  <si>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</si>
  <si>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</si>
  <si>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</si>
  <si>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</si>
  <si>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</si>
  <si>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</si>
  <si>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</si>
  <si>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</si>
  <si>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</si>
  <si>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</si>
  <si>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</si>
  <si>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</si>
  <si>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</si>
  <si>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</si>
  <si>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</si>
  <si>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</si>
  <si>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</si>
  <si>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</si>
  <si>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</si>
  <si>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</si>
  <si>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</si>
  <si>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</si>
  <si>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</si>
  <si>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</si>
  <si>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</si>
  <si>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</si>
  <si>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</si>
  <si>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</si>
  <si>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</si>
  <si>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</si>
  <si>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</si>
  <si>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</si>
  <si>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</si>
  <si>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</si>
  <si>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</si>
  <si>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</si>
  <si>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</si>
  <si>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</si>
  <si>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</si>
  <si>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</si>
  <si>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</si>
  <si>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</si>
  <si>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</si>
  <si>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</si>
  <si>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</si>
  <si>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</si>
  <si>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</si>
  <si>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</si>
  <si>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</si>
  <si>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</si>
  <si>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</si>
  <si>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</si>
  <si>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</si>
  <si>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</si>
  <si>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</si>
  <si>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</si>
  <si>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</si>
  <si>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</si>
  <si>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</si>
  <si>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</si>
  <si>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</si>
  <si>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</si>
  <si>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</si>
  <si>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</si>
  <si>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</si>
  <si>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</si>
  <si>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</si>
  <si>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</si>
  <si>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</si>
  <si>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</si>
  <si>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</si>
  <si>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</si>
  <si>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</si>
  <si>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</si>
  <si>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</si>
  <si>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</si>
  <si>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</si>
  <si>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</si>
  <si>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</si>
  <si>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</si>
  <si>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</si>
  <si>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</si>
  <si>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</si>
  <si>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</si>
  <si>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</si>
  <si>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</si>
  <si>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</si>
  <si>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</si>
  <si>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</si>
  <si>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</si>
  <si>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</si>
  <si>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</si>
  <si>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</si>
  <si>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</si>
  <si>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</si>
  <si>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</si>
  <si>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</si>
  <si>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</si>
  <si>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</si>
  <si>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</si>
  <si>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</si>
  <si>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</si>
  <si>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</si>
  <si>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</si>
  <si>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</si>
  <si>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</si>
  <si>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</si>
  <si>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</si>
  <si>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</si>
  <si>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</si>
  <si>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</si>
  <si>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</si>
  <si>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</si>
  <si>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</si>
  <si>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</si>
  <si>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</si>
  <si>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</si>
  <si>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</si>
  <si>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</si>
  <si>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</si>
  <si>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</si>
  <si>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</si>
  <si>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</si>
  <si>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</si>
  <si>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</si>
  <si>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</si>
  <si>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</si>
  <si>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</si>
  <si>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</si>
  <si>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</si>
  <si>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</si>
  <si>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</si>
  <si>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</si>
  <si>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</si>
  <si>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</si>
  <si>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</si>
  <si>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</si>
  <si>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</si>
  <si>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</si>
  <si>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</si>
  <si>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</si>
  <si>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</si>
  <si>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</si>
  <si>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</si>
  <si>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</si>
  <si>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</si>
  <si>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</si>
  <si>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</si>
  <si>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</si>
  <si>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</si>
  <si>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</si>
  <si>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</si>
  <si>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</si>
  <si>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</si>
  <si>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</si>
  <si>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</si>
  <si>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</si>
  <si>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</si>
  <si>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</si>
  <si>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</si>
  <si>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</si>
  <si>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</si>
  <si>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</si>
  <si>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</si>
  <si>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</si>
  <si>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</si>
  <si>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</si>
  <si>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</si>
  <si>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</si>
  <si>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</si>
  <si>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</si>
  <si>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</si>
  <si>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</si>
  <si>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</si>
  <si>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</si>
  <si>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</si>
  <si>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</si>
  <si>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</si>
  <si>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</si>
  <si>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</si>
  <si>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</si>
  <si>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</si>
  <si>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</si>
  <si>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</si>
  <si>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</si>
  <si>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</si>
  <si>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</si>
  <si>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</si>
  <si>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</si>
  <si>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</si>
  <si>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</si>
  <si>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</si>
  <si>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</si>
  <si>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</si>
  <si>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</si>
  <si>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</si>
  <si>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</si>
  <si>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</si>
  <si>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</si>
  <si>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</si>
  <si>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</si>
  <si>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</si>
  <si>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</si>
  <si>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</si>
  <si>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</si>
  <si>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</si>
  <si>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</si>
  <si>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</si>
  <si>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</si>
  <si>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</si>
  <si>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</si>
  <si>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</si>
  <si>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</si>
  <si>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</si>
  <si>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</si>
  <si>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</si>
  <si>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</si>
  <si>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</si>
  <si>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</si>
  <si>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</si>
  <si>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</si>
  <si>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</si>
  <si>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</si>
  <si>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</si>
  <si>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</si>
  <si>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</si>
  <si>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</si>
  <si>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</si>
  <si>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</si>
  <si>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</si>
  <si>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</si>
  <si>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</si>
  <si>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</si>
  <si>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</si>
  <si>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</si>
  <si>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</si>
  <si>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</si>
  <si>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</si>
  <si>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</si>
  <si>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</si>
  <si>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</si>
  <si>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</si>
  <si>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</si>
  <si>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</si>
  <si>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</si>
  <si>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</si>
  <si>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</si>
  <si>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</si>
  <si>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</si>
  <si>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</si>
  <si>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</si>
  <si>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</si>
  <si>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</si>
  <si>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</si>
  <si>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</si>
  <si>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</si>
  <si>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</si>
  <si>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</si>
  <si>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</si>
  <si>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</si>
  <si>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</si>
  <si>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</si>
  <si>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</si>
  <si>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</si>
  <si>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</si>
  <si>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</si>
  <si>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</si>
  <si>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</si>
  <si>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</si>
  <si>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</si>
  <si>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</si>
  <si>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</si>
  <si>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</si>
  <si>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</si>
  <si>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</si>
  <si>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</si>
  <si>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</si>
  <si>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</si>
  <si>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</si>
  <si>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</si>
  <si>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</si>
  <si>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</si>
  <si>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</si>
  <si>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</si>
  <si>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</si>
  <si>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</si>
  <si>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</si>
  <si>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</si>
  <si>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</si>
  <si>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</si>
  <si>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</si>
  <si>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</si>
  <si>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</si>
  <si>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</si>
  <si>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</si>
  <si>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</si>
  <si>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</si>
  <si>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</si>
  <si>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</si>
  <si>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</si>
  <si>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</si>
  <si>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</si>
  <si>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</si>
  <si>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</si>
  <si>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</si>
  <si>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</si>
  <si>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</si>
  <si>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</si>
  <si>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</si>
  <si>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</si>
  <si>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</si>
  <si>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</si>
  <si>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</si>
  <si>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</si>
  <si>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</si>
  <si>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</si>
  <si>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</si>
  <si>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</si>
  <si>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</si>
  <si>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</si>
  <si>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</si>
  <si>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</si>
  <si>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</si>
  <si>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</si>
  <si>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</si>
  <si>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</si>
  <si>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</si>
  <si>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</si>
  <si>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</si>
  <si>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</si>
  <si>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</si>
  <si>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</si>
  <si>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</si>
  <si>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</si>
  <si>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</si>
  <si>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</si>
  <si>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</si>
  <si>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</si>
  <si>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</si>
  <si>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</si>
  <si>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</si>
  <si>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</si>
  <si>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</si>
  <si>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</si>
  <si>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</si>
  <si>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</si>
  <si>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</si>
  <si>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</si>
  <si>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</si>
  <si>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</si>
  <si>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</si>
  <si>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</si>
  <si>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</si>
  <si>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</si>
  <si>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</si>
  <si>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</si>
  <si>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</si>
  <si>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</si>
  <si>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</si>
  <si>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</si>
  <si>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</si>
  <si>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</si>
  <si>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</si>
  <si>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</si>
  <si>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</si>
  <si>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</si>
  <si>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</si>
  <si>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</si>
  <si>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</si>
  <si>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</si>
  <si>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</si>
  <si>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</si>
  <si>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</si>
  <si>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</si>
  <si>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</si>
  <si>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</si>
  <si>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</si>
  <si>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</si>
  <si>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</si>
  <si>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</si>
  <si>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</si>
  <si>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</si>
  <si>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</si>
  <si>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</si>
  <si>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</si>
  <si>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</si>
  <si>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</si>
  <si>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</si>
  <si>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</si>
  <si>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</si>
  <si>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</si>
  <si>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</si>
  <si>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</si>
  <si>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</si>
  <si>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</si>
  <si>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</si>
  <si>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</si>
  <si>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</si>
  <si>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</si>
  <si>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</si>
  <si>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</si>
  <si>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</si>
  <si>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</si>
  <si>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</si>
  <si>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</si>
  <si>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</si>
  <si>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</si>
  <si>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</si>
  <si>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</si>
  <si>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</si>
  <si>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</si>
  <si>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</si>
  <si>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</si>
  <si>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</si>
  <si>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</si>
  <si>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</si>
  <si>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</si>
  <si>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</si>
  <si>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</si>
  <si>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</si>
  <si>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</si>
  <si>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</si>
  <si>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</si>
  <si>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</si>
  <si>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</si>
  <si>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</si>
  <si>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</si>
  <si>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</si>
  <si>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</si>
  <si>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</si>
  <si>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</si>
  <si>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</si>
  <si>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</si>
  <si>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</si>
  <si>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</si>
  <si>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</si>
  <si>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</si>
  <si>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</si>
  <si>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</si>
  <si>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</si>
  <si>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</si>
  <si>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</si>
  <si>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</si>
  <si>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</si>
  <si>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</si>
  <si>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</si>
  <si>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</si>
  <si>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</si>
  <si>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</si>
  <si>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</si>
  <si>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</si>
  <si>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</si>
  <si>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</si>
  <si>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</si>
  <si>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</si>
  <si>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</si>
  <si>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</si>
  <si>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</si>
  <si>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</si>
  <si>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</si>
  <si>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</si>
  <si>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</si>
  <si>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</si>
  <si>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</si>
  <si>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</si>
  <si>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</si>
  <si>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</si>
  <si>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</si>
  <si>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</si>
  <si>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</si>
  <si>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</si>
  <si>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</si>
  <si>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</si>
  <si>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</si>
  <si>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</si>
  <si>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</si>
  <si>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</si>
  <si>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</si>
  <si>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</si>
  <si>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</si>
  <si>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</si>
  <si>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</si>
  <si>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</si>
  <si>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</si>
  <si>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</si>
  <si>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</si>
  <si>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</si>
  <si>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</si>
  <si>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</si>
  <si>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</si>
  <si>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</si>
  <si>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</si>
  <si>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</si>
  <si>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</si>
  <si>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</si>
  <si>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</si>
  <si>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</si>
  <si>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</si>
  <si>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</si>
  <si>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</si>
  <si>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</si>
  <si>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</si>
  <si>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</si>
  <si>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</si>
  <si>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</si>
  <si>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</si>
  <si>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</si>
  <si>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</si>
  <si>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</si>
  <si>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</si>
  <si>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</si>
  <si>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</si>
  <si>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</si>
  <si>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</si>
  <si>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</si>
  <si>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</si>
  <si>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</si>
  <si>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</si>
  <si>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</si>
  <si>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</si>
  <si>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</si>
  <si>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</si>
  <si>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</si>
  <si>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</si>
  <si>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</si>
  <si>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</si>
  <si>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</si>
  <si>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</si>
  <si>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</si>
  <si>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</si>
  <si>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</si>
  <si>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</si>
  <si>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</si>
  <si>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</si>
  <si>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</si>
  <si>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</si>
  <si>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</si>
  <si>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</si>
  <si>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</si>
  <si>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</si>
  <si>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</si>
  <si>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</si>
  <si>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</si>
  <si>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</si>
  <si>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</si>
  <si>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</si>
  <si>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</si>
  <si>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</si>
  <si>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</si>
  <si>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</si>
  <si>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</si>
  <si>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</si>
  <si>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</si>
  <si>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</si>
  <si>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</si>
  <si>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</si>
  <si>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</si>
  <si>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</si>
  <si>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</si>
  <si>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</si>
  <si>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</si>
  <si>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</si>
  <si>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</si>
  <si>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</si>
  <si>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</si>
  <si>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</si>
  <si>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</si>
  <si>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</si>
  <si>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</si>
  <si>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</si>
  <si>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</si>
  <si>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</si>
  <si>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</si>
  <si>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</si>
  <si>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</si>
  <si>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</si>
  <si>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</si>
  <si>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</si>
  <si>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</si>
  <si>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</si>
  <si>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</si>
  <si>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</si>
  <si>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</si>
  <si>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</si>
  <si>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</si>
  <si>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</si>
  <si>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</si>
  <si>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</si>
  <si>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</si>
  <si>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</si>
  <si>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</si>
  <si>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</si>
  <si>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</si>
  <si>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</si>
  <si>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</si>
  <si>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</si>
  <si>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</si>
  <si>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</si>
  <si>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</si>
  <si>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</si>
  <si>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</si>
  <si>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</si>
  <si>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</si>
  <si>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</si>
  <si>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</si>
  <si>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</si>
  <si>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</si>
  <si>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</si>
  <si>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</si>
  <si>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</si>
  <si>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</si>
  <si>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</si>
  <si>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</si>
  <si>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</si>
  <si>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</si>
  <si>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</si>
  <si>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</si>
  <si>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</si>
  <si>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</si>
  <si>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</si>
  <si>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</si>
  <si>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</si>
  <si>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</si>
  <si>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</si>
  <si>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</si>
  <si>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</si>
  <si>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</si>
  <si>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</si>
  <si>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</si>
  <si>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</si>
  <si>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</si>
  <si>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</si>
  <si>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</si>
  <si>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</si>
  <si>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</si>
  <si>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</si>
  <si>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</si>
  <si>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</si>
  <si>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</si>
  <si>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</si>
  <si>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</si>
  <si>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</si>
  <si>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</si>
  <si>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</si>
  <si>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</si>
  <si>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</si>
  <si>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</si>
  <si>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</si>
  <si>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</si>
  <si>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</si>
  <si>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</si>
  <si>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</si>
  <si>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</si>
  <si>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</si>
  <si>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</si>
  <si>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</si>
  <si>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</si>
  <si>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</si>
  <si>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</si>
  <si>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</si>
  <si>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</si>
  <si>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</si>
  <si>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</si>
  <si>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</si>
  <si>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</si>
  <si>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</si>
  <si>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</si>
  <si>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</si>
  <si>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</si>
  <si>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</si>
  <si>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</si>
  <si>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</si>
  <si>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</si>
  <si>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</si>
  <si>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</si>
  <si>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</si>
  <si>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</si>
  <si>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</si>
  <si>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</si>
  <si>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</si>
  <si>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</si>
  <si>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</si>
  <si>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</si>
  <si>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</si>
  <si>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</si>
  <si>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</si>
  <si>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</si>
  <si>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</si>
  <si>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</si>
  <si>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</si>
  <si>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</si>
  <si>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</si>
  <si>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</si>
  <si>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</si>
  <si>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</si>
  <si>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</si>
  <si>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</si>
  <si>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</si>
  <si>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</si>
  <si>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</si>
  <si>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</si>
  <si>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</si>
  <si>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</si>
  <si>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</si>
  <si>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</si>
  <si>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</si>
  <si>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</si>
  <si>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</si>
  <si>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</si>
  <si>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</si>
  <si>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</si>
  <si>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</si>
  <si>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</si>
  <si>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</si>
  <si>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</si>
  <si>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</si>
  <si>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</si>
  <si>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</si>
  <si>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</si>
  <si>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</si>
  <si>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</si>
  <si>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</si>
  <si>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</si>
  <si>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</si>
  <si>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</si>
  <si>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</si>
  <si>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</si>
  <si>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</si>
  <si>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</si>
  <si>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</si>
  <si>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</si>
  <si>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</si>
  <si>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</si>
  <si>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</si>
  <si>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</si>
  <si>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</si>
  <si>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</si>
  <si>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</si>
  <si>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</si>
  <si>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</si>
  <si>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</si>
  <si>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</si>
  <si>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</si>
  <si>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</si>
  <si>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</si>
  <si>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</si>
  <si>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</si>
  <si>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</si>
  <si>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</si>
  <si>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</si>
  <si>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</si>
  <si>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</si>
  <si>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</si>
  <si>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</si>
  <si>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</si>
  <si>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</si>
  <si>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</si>
  <si>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</si>
  <si>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</si>
  <si>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</si>
  <si>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</si>
  <si>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</si>
  <si>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</si>
  <si>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</si>
  <si>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</si>
  <si>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</si>
  <si>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</si>
  <si>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</si>
  <si>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</si>
  <si>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</si>
  <si>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</si>
  <si>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</si>
  <si>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</si>
  <si>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</si>
  <si>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</si>
  <si>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</si>
  <si>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</si>
  <si>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</si>
  <si>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</si>
  <si>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</si>
  <si>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</si>
  <si>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</si>
  <si>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</si>
  <si>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</si>
  <si>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</si>
  <si>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</si>
  <si>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</si>
  <si>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</si>
  <si>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</si>
  <si>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</si>
  <si>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</si>
  <si>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</si>
  <si>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</si>
  <si>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</si>
  <si>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</si>
  <si>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</si>
  <si>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</si>
  <si>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</si>
  <si>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</si>
  <si>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</si>
  <si>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</si>
  <si>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</si>
  <si>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</si>
  <si>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</si>
  <si>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</si>
  <si>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</si>
  <si>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</si>
  <si>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</si>
  <si>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</si>
  <si>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</si>
  <si>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</si>
  <si>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</si>
  <si>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</si>
  <si>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</si>
  <si>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</si>
  <si>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</si>
  <si>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</si>
  <si>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</si>
  <si>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</si>
  <si>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</si>
  <si>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</si>
  <si>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</si>
  <si>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</si>
  <si>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</si>
  <si>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</si>
  <si>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</si>
  <si>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</si>
  <si>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</si>
  <si>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</si>
  <si>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</si>
  <si>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</si>
  <si>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</si>
  <si>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</si>
  <si>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</si>
  <si>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</si>
  <si>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</si>
  <si>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</si>
  <si>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</si>
  <si>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</si>
  <si>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</si>
  <si>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</si>
  <si>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</si>
  <si>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</si>
  <si>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</si>
  <si>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</si>
  <si>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</si>
  <si>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</si>
  <si>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</si>
  <si>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</si>
  <si>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</si>
  <si>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</si>
  <si>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</si>
  <si>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</si>
  <si>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</si>
  <si>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</si>
  <si>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</si>
  <si>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</si>
  <si>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</si>
  <si>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</si>
  <si>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</si>
  <si>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</si>
  <si>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</si>
  <si>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</si>
  <si>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</si>
  <si>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</si>
  <si>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</si>
  <si>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</si>
  <si>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</si>
  <si>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</si>
  <si>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</si>
  <si>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</si>
  <si>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</si>
  <si>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</si>
  <si>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</si>
  <si>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</si>
  <si>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</si>
  <si>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</si>
  <si>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</si>
  <si>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</si>
  <si>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</si>
  <si>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</si>
  <si>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</si>
  <si>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</si>
  <si>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</si>
  <si>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</si>
  <si>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</si>
  <si>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</si>
  <si>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</si>
  <si>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</si>
  <si>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</si>
  <si>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</si>
  <si>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</si>
  <si>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</si>
  <si>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</si>
  <si>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</si>
  <si>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</si>
  <si>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</si>
  <si>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</si>
  <si>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</si>
  <si>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</si>
  <si>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</si>
  <si>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</si>
  <si>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</si>
  <si>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</si>
  <si>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</si>
  <si>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</si>
  <si>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</si>
  <si>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</si>
  <si>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</si>
  <si>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</si>
  <si>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</si>
  <si>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</si>
  <si>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</si>
  <si>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</si>
  <si>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</si>
  <si>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</si>
  <si>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</si>
  <si>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</si>
  <si>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</si>
  <si>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</si>
  <si>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</si>
  <si>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</si>
  <si>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</si>
  <si>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</si>
  <si>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</si>
  <si>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</si>
  <si>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</si>
  <si>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</si>
  <si>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</si>
  <si>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</si>
  <si>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</si>
  <si>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</si>
  <si>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</si>
  <si>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</si>
  <si>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</si>
  <si>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</si>
  <si>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</si>
  <si>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</si>
  <si>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</si>
  <si>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</si>
  <si>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</si>
  <si>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</si>
  <si>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</si>
  <si>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</si>
  <si>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</si>
  <si>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</si>
  <si>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</si>
  <si>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</si>
  <si>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</si>
  <si>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</si>
  <si>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</si>
  <si>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</si>
  <si>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</si>
  <si>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</si>
  <si>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</si>
  <si>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</si>
  <si>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</si>
  <si>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</si>
  <si>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</si>
  <si>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</si>
  <si>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</si>
  <si>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</si>
  <si>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</si>
  <si>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</si>
  <si>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</si>
  <si>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</si>
  <si>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</si>
  <si>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</si>
  <si>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</si>
  <si>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</si>
  <si>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</si>
  <si>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</si>
  <si>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</si>
  <si>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</si>
  <si>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</si>
  <si>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</si>
  <si>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</si>
  <si>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</si>
  <si>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</si>
  <si>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</si>
  <si>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</si>
  <si>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</si>
  <si>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</si>
  <si>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</si>
  <si>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</si>
  <si>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</si>
  <si>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</si>
  <si>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</si>
  <si>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</si>
  <si>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</si>
  <si>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</si>
  <si>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</si>
  <si>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</si>
  <si>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</si>
  <si>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</si>
  <si>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</si>
  <si>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</si>
  <si>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</si>
  <si>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</si>
  <si>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</si>
  <si>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</si>
  <si>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</si>
  <si>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</si>
  <si>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</si>
  <si>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</si>
  <si>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</si>
  <si>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</si>
  <si>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</si>
  <si>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</si>
  <si>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</si>
  <si>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</si>
  <si>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</si>
  <si>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</si>
  <si>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</si>
  <si>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</si>
  <si>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</si>
  <si>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</si>
  <si>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</si>
  <si>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</si>
  <si>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</si>
  <si>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</si>
  <si>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</si>
  <si>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</si>
  <si>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</si>
  <si>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</si>
  <si>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</si>
  <si>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</si>
  <si>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</si>
  <si>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</si>
  <si>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</si>
  <si>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</si>
  <si>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</si>
  <si>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</si>
  <si>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</si>
  <si>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</si>
  <si>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</si>
  <si>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</si>
  <si>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</si>
  <si>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</si>
  <si>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</si>
  <si>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</si>
  <si>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</si>
  <si>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</si>
  <si>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</si>
  <si>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</si>
  <si>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</si>
  <si>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</si>
  <si>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</si>
  <si>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</si>
  <si>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</si>
  <si>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</si>
  <si>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</si>
  <si>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</si>
  <si>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</si>
  <si>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</si>
  <si>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</si>
  <si>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</si>
  <si>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</si>
  <si>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</si>
  <si>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</si>
  <si>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</si>
  <si>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</si>
  <si>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</si>
  <si>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</si>
  <si>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</si>
  <si>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</si>
  <si>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</si>
  <si>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</si>
  <si>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</si>
  <si>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</si>
  <si>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</si>
  <si>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</si>
  <si>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</si>
  <si>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</si>
  <si>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</si>
  <si>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</si>
  <si>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</si>
  <si>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</si>
  <si>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</si>
  <si>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</si>
  <si>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</si>
  <si>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</si>
  <si>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</si>
  <si>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</si>
  <si>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</si>
  <si>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</si>
  <si>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</si>
  <si>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</si>
  <si>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</si>
  <si>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</si>
  <si>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</si>
  <si>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</si>
  <si>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</si>
  <si>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</si>
  <si>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</si>
  <si>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</si>
  <si>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</si>
  <si>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</si>
  <si>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</si>
  <si>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</si>
  <si>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</si>
  <si>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</si>
  <si>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</si>
  <si>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</si>
  <si>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</si>
  <si>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</si>
  <si>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</si>
  <si>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</si>
  <si>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</si>
  <si>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</si>
  <si>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</si>
  <si>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</si>
  <si>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</si>
  <si>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</si>
  <si>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</si>
  <si>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</si>
  <si>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</si>
  <si>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</si>
  <si>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</si>
  <si>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</si>
  <si>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</si>
  <si>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</si>
  <si>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</si>
  <si>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</si>
  <si>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</si>
  <si>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</si>
  <si>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</si>
  <si>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</si>
  <si>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</si>
  <si>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</si>
  <si>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</si>
  <si>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</si>
  <si>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</si>
  <si>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</si>
  <si>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</si>
  <si>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</si>
  <si>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</si>
  <si>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</si>
  <si>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</si>
  <si>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</si>
  <si>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</si>
  <si>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</si>
  <si>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</si>
  <si>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</si>
  <si>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</si>
  <si>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</si>
  <si>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</si>
  <si>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</si>
  <si>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</si>
  <si>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</si>
  <si>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</si>
  <si>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</si>
  <si>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</si>
  <si>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</si>
  <si>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</si>
  <si>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</si>
  <si>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</si>
  <si>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</si>
  <si>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</si>
  <si>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</si>
  <si>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</si>
  <si>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</si>
  <si>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</si>
  <si>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</si>
  <si>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</si>
  <si>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</si>
  <si>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</si>
  <si>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</si>
  <si>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</si>
  <si>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</si>
  <si>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</si>
  <si>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</si>
  <si>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</si>
  <si>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</si>
  <si>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</si>
  <si>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</si>
  <si>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</si>
  <si>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</si>
  <si>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</si>
  <si>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</si>
  <si>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</si>
  <si>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</si>
  <si>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</si>
  <si>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</si>
  <si>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</si>
  <si>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</si>
  <si>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</si>
  <si>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</si>
  <si>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</si>
  <si>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</si>
  <si>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</si>
  <si>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</si>
  <si>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</si>
  <si>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</si>
  <si>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</si>
  <si>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</si>
  <si>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</si>
  <si>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</si>
  <si>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</si>
  <si>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</si>
  <si>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</si>
  <si>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</si>
  <si>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</si>
  <si>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</si>
  <si>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</si>
  <si>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</si>
  <si>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</si>
  <si>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</si>
  <si>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</si>
  <si>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</si>
  <si>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</si>
  <si>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</si>
  <si>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</si>
  <si>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</si>
  <si>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</si>
  <si>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</si>
  <si>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</si>
  <si>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</si>
  <si>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</si>
  <si>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</si>
  <si>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</si>
  <si>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</si>
  <si>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</si>
  <si>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</si>
  <si>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</si>
  <si>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</si>
  <si>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</si>
  <si>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</si>
  <si>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</si>
  <si>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</si>
  <si>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</si>
  <si>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</si>
  <si>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</si>
  <si>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</si>
  <si>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</si>
  <si>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</si>
  <si>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</si>
  <si>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</si>
  <si>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</si>
  <si>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</si>
  <si>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</si>
  <si>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</si>
  <si>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</si>
  <si>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</si>
  <si>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</si>
  <si>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</si>
  <si>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</si>
  <si>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</si>
  <si>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</si>
  <si>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</si>
  <si>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</si>
  <si>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</si>
  <si>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</si>
  <si>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</si>
  <si>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</si>
  <si>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</si>
  <si>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</si>
  <si>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</si>
  <si>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</si>
  <si>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</si>
  <si>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</si>
  <si>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</si>
  <si>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</si>
  <si>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</si>
  <si>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</si>
  <si>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</si>
  <si>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</si>
  <si>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</si>
  <si>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</si>
  <si>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</si>
  <si>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</si>
  <si>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</si>
  <si>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</si>
  <si>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</si>
  <si>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</si>
  <si>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</si>
  <si>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</si>
  <si>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</si>
  <si>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</si>
  <si>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</si>
  <si>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</si>
  <si>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</si>
  <si>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</si>
  <si>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</si>
  <si>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</si>
  <si>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</si>
  <si>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</si>
  <si>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</si>
  <si>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</si>
  <si>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</si>
  <si>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</si>
  <si>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</si>
  <si>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</si>
  <si>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</si>
  <si>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</si>
  <si>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</si>
  <si>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</si>
  <si>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</si>
  <si>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</si>
  <si>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</si>
  <si>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</si>
  <si>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</si>
  <si>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</si>
  <si>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</si>
  <si>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</si>
  <si>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</si>
  <si>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</si>
  <si>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</si>
  <si>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</si>
  <si>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</si>
  <si>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</si>
  <si>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</si>
  <si>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</si>
  <si>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</si>
  <si>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</si>
  <si>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</si>
  <si>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</si>
  <si>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</si>
  <si>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</si>
  <si>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</si>
  <si>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</si>
  <si>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</si>
  <si>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</si>
  <si>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</si>
  <si>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</si>
  <si>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</si>
  <si>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</si>
  <si>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</si>
  <si>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</si>
  <si>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</si>
  <si>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</si>
  <si>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</si>
  <si>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</si>
  <si>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</si>
  <si>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</si>
  <si>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</si>
  <si>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</si>
  <si>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</si>
  <si>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</si>
  <si>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</si>
  <si>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</si>
  <si>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</si>
  <si>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</si>
  <si>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</si>
  <si>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</si>
  <si>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</si>
  <si>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</si>
  <si>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</si>
  <si>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</si>
  <si>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</si>
  <si>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</si>
  <si>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</si>
  <si>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</si>
  <si>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</si>
  <si>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</si>
  <si>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</si>
  <si>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</si>
  <si>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</si>
  <si>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</si>
  <si>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</si>
  <si>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</si>
  <si>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</si>
  <si>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</si>
  <si>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</si>
  <si>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</si>
  <si>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</si>
  <si>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</si>
  <si>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</si>
  <si>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</si>
  <si>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</si>
  <si>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</si>
  <si>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</si>
  <si>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</si>
  <si>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</si>
  <si>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</si>
  <si>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</si>
  <si>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</si>
  <si>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</si>
  <si>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</si>
  <si>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</si>
  <si>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</si>
  <si>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</si>
  <si>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</si>
  <si>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</si>
  <si>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</si>
  <si>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</si>
  <si>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</si>
  <si>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</si>
  <si>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</si>
  <si>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</si>
  <si>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</si>
  <si>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</si>
  <si>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</si>
  <si>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</si>
  <si>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</si>
  <si>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</si>
  <si>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</si>
  <si>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</si>
  <si>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</si>
  <si>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</si>
  <si>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</si>
  <si>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</si>
  <si>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</si>
  <si>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</si>
  <si>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</si>
  <si>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</si>
  <si>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</si>
  <si>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</si>
  <si>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</si>
  <si>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</si>
  <si>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</si>
  <si>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</si>
  <si>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</si>
  <si>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</si>
  <si>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</si>
  <si>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</si>
  <si>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</si>
  <si>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</si>
  <si>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</si>
  <si>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</si>
  <si>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</si>
  <si>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</si>
  <si>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</si>
  <si>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</si>
  <si>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</si>
  <si>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</si>
  <si>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</si>
  <si>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</si>
  <si>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</si>
  <si>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</si>
  <si>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</si>
  <si>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</si>
  <si>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</si>
  <si>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</si>
  <si>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</si>
  <si>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</si>
  <si>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</si>
  <si>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</si>
  <si>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</si>
  <si>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</si>
  <si>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</si>
  <si>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</si>
  <si>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</si>
  <si>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</si>
  <si>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</si>
  <si>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</si>
  <si>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</si>
  <si>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</si>
  <si>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</si>
  <si>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</si>
  <si>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</si>
  <si>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</si>
  <si>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</si>
  <si>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</si>
  <si>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</si>
  <si>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</si>
  <si>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</si>
  <si>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</si>
  <si>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</si>
  <si>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</si>
  <si>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</si>
  <si>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</si>
  <si>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</si>
  <si>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</si>
  <si>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</si>
  <si>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</si>
  <si>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</si>
  <si>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</si>
  <si>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</si>
  <si>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</si>
  <si>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</si>
  <si>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</si>
  <si>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</si>
  <si>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</si>
  <si>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</si>
  <si>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</si>
  <si>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</si>
  <si>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</si>
  <si>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</si>
  <si>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</si>
  <si>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</si>
  <si>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</si>
  <si>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</si>
  <si>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</si>
  <si>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</si>
  <si>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</si>
  <si>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</si>
  <si>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</si>
  <si>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</si>
  <si>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</si>
  <si>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</si>
  <si>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</si>
  <si>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</si>
  <si>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</si>
  <si>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</si>
  <si>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</si>
  <si>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</si>
  <si>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</si>
  <si>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</si>
  <si>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</si>
  <si>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</si>
  <si>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</si>
  <si>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</si>
  <si>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</si>
  <si>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</si>
  <si>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</si>
  <si>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</si>
  <si>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</si>
  <si>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</si>
  <si>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</si>
  <si>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</si>
  <si>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</si>
  <si>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</si>
  <si>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</si>
  <si>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</si>
  <si>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</si>
  <si>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</si>
  <si>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</si>
  <si>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</si>
  <si>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</si>
  <si>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</si>
  <si>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</si>
  <si>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</si>
  <si>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</si>
  <si>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</si>
  <si>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</si>
  <si>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</si>
  <si>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</si>
  <si>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</si>
  <si>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</si>
  <si>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</si>
  <si>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</si>
  <si>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</si>
  <si>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</si>
  <si>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</si>
  <si>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</si>
  <si>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</si>
  <si>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</si>
  <si>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</si>
  <si>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</si>
  <si>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</si>
  <si>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</si>
  <si>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</si>
  <si>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</si>
  <si>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</si>
  <si>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</si>
  <si>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</si>
  <si>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</si>
  <si>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</si>
  <si>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</si>
  <si>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</si>
  <si>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</si>
  <si>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</si>
  <si>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</si>
  <si>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</si>
  <si>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</si>
  <si>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</si>
  <si>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</si>
  <si>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</si>
  <si>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</si>
  <si>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</si>
  <si>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</si>
  <si>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</si>
  <si>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</si>
  <si>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</si>
  <si>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</si>
  <si>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</si>
  <si>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</si>
  <si>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</si>
  <si>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</si>
  <si>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</si>
  <si>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</si>
  <si>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</si>
  <si>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</si>
  <si>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</si>
  <si>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</si>
  <si>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</si>
  <si>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</si>
  <si>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</si>
  <si>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</si>
  <si>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</si>
  <si>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</si>
  <si>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</si>
  <si>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</si>
  <si>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</si>
  <si>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</si>
  <si>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</si>
  <si>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</si>
  <si>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</si>
  <si>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</si>
  <si>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</si>
  <si>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</si>
  <si>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</si>
  <si>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</si>
  <si>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</si>
  <si>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</si>
  <si>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</si>
  <si>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</si>
  <si>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</si>
  <si>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</si>
  <si>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</si>
  <si>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</si>
  <si>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</si>
  <si>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</si>
  <si>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</si>
  <si>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</si>
  <si>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</si>
  <si>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</si>
  <si>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</si>
  <si>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</si>
  <si>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</si>
  <si>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</si>
  <si>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</si>
  <si>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</si>
  <si>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</si>
  <si>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</si>
  <si>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</si>
  <si>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</si>
  <si>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</si>
  <si>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</si>
  <si>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</si>
  <si>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</si>
  <si>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</si>
  <si>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</si>
  <si>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</si>
  <si>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</si>
  <si>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</si>
  <si>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</si>
  <si>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</si>
  <si>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</si>
  <si>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</si>
  <si>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</si>
  <si>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</si>
  <si>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</si>
  <si>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</si>
  <si>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</si>
  <si>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</si>
  <si>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</si>
  <si>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</si>
  <si>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</si>
  <si>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</si>
  <si>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</si>
  <si>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</si>
  <si>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</si>
  <si>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</si>
  <si>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</si>
  <si>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</si>
  <si>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</si>
  <si>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</si>
  <si>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</si>
  <si>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</si>
  <si>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</si>
  <si>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</si>
  <si>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</si>
  <si>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</si>
  <si>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</si>
  <si>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</si>
  <si>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</si>
  <si>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</si>
  <si>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</si>
  <si>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</si>
  <si>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</si>
  <si>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</si>
  <si>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</si>
  <si>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</si>
  <si>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</si>
  <si>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</si>
  <si>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</si>
  <si>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</si>
  <si>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</si>
  <si>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</si>
  <si>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</si>
  <si>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</si>
  <si>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</si>
  <si>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</si>
  <si>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</si>
  <si>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</si>
  <si>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</si>
  <si>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</si>
  <si>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</si>
  <si>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</si>
  <si>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</si>
  <si>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</si>
  <si>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</si>
  <si>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</si>
  <si>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</si>
  <si>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</si>
  <si>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</si>
  <si>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</si>
  <si>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</si>
  <si>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</si>
  <si>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</si>
  <si>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</si>
  <si>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</si>
  <si>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</si>
  <si>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</si>
  <si>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</si>
  <si>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</si>
  <si>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</si>
  <si>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</si>
  <si>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</si>
  <si>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</si>
  <si>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</si>
  <si>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</si>
  <si>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</si>
  <si>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</si>
  <si>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</si>
  <si>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</si>
  <si>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</si>
  <si>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</si>
  <si>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</si>
  <si>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</si>
  <si>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</si>
  <si>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</si>
  <si>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</si>
  <si>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</si>
  <si>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</si>
  <si>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</si>
  <si>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</si>
  <si>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</si>
  <si>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</si>
  <si>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</si>
  <si>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</si>
  <si>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</si>
  <si>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</si>
  <si>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</si>
  <si>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</si>
  <si>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</si>
  <si>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</si>
  <si>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</si>
  <si>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</si>
  <si>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</si>
  <si>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</si>
  <si>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</si>
  <si>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</si>
  <si>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</si>
  <si>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</si>
  <si>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</si>
  <si>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</si>
  <si>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</si>
  <si>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</si>
  <si>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</si>
  <si>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</si>
  <si>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</si>
  <si>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</si>
  <si>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</si>
  <si>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</si>
  <si>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</si>
  <si>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</si>
  <si>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</si>
  <si>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</si>
  <si>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</si>
  <si>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</si>
  <si>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</si>
  <si>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</si>
  <si>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</si>
  <si>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</si>
  <si>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</si>
  <si>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</si>
  <si>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</si>
  <si>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</si>
  <si>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</si>
  <si>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</si>
  <si>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</si>
  <si>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</si>
  <si>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</si>
  <si>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</si>
  <si>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</si>
  <si>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</si>
  <si>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</si>
  <si>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</si>
  <si>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</si>
  <si>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</si>
  <si>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</si>
  <si>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</si>
  <si>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</si>
  <si>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</si>
  <si>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</si>
  <si>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</si>
  <si>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</si>
  <si>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</si>
  <si>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</si>
  <si>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</si>
  <si>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</si>
  <si>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</si>
  <si>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</si>
  <si>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</si>
  <si>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</si>
  <si>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</si>
  <si>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</si>
  <si>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</si>
  <si>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</si>
  <si>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</si>
  <si>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</si>
  <si>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</si>
  <si>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</si>
  <si>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</si>
  <si>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</si>
  <si>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</si>
  <si>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</si>
  <si>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</si>
  <si>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</si>
  <si>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</si>
  <si>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</si>
  <si>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</si>
  <si>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</si>
  <si>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</si>
  <si>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</si>
  <si>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</si>
  <si>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</si>
  <si>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</si>
  <si>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</si>
  <si>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</si>
  <si>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</si>
  <si>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</si>
  <si>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</si>
  <si>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</si>
  <si>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</si>
  <si>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</si>
  <si>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</si>
  <si>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</si>
  <si>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</si>
  <si>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</si>
  <si>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</si>
  <si>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</si>
  <si>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</si>
  <si>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</si>
  <si>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</si>
  <si>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</si>
  <si>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</si>
  <si>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</si>
  <si>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</si>
  <si>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</si>
  <si>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</si>
  <si>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</si>
  <si>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</si>
  <si>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</si>
  <si>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</si>
  <si>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</si>
  <si>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</si>
  <si>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</si>
  <si>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</si>
  <si>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</si>
  <si>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</si>
  <si>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</si>
  <si>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</si>
  <si>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</si>
  <si>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</si>
  <si>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</si>
  <si>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</si>
  <si>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</si>
  <si>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</si>
  <si>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</si>
  <si>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</si>
  <si>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</si>
  <si>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</si>
  <si>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</si>
  <si>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</si>
  <si>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</si>
  <si>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</si>
  <si>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</si>
  <si>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</si>
  <si>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</si>
  <si>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</si>
  <si>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</si>
  <si>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</si>
  <si>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</si>
  <si>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</si>
  <si>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</si>
  <si>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</si>
  <si>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</si>
  <si>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</si>
  <si>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</si>
  <si>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</si>
  <si>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</si>
  <si>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</si>
  <si>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</si>
  <si>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</si>
  <si>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</si>
  <si>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</si>
  <si>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</si>
  <si>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</si>
  <si>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</si>
  <si>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</si>
  <si>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</si>
  <si>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</si>
  <si>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</si>
  <si>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</si>
  <si>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</si>
  <si>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</si>
  <si>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</si>
  <si>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</si>
  <si>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</si>
  <si>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</si>
  <si>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</si>
  <si>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</si>
  <si>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</si>
  <si>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</si>
  <si>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</si>
  <si>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</si>
  <si>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</si>
  <si>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</si>
  <si>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</si>
  <si>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</si>
  <si>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</si>
  <si>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</si>
  <si>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</si>
  <si>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</si>
  <si>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</si>
  <si>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</si>
  <si>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</si>
  <si>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</si>
  <si>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</si>
  <si>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</si>
  <si>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</si>
  <si>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</si>
  <si>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</si>
  <si>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</si>
  <si>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</si>
  <si>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</si>
  <si>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</si>
  <si>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</si>
  <si>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</si>
  <si>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</si>
  <si>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</si>
  <si>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</si>
  <si>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</si>
  <si>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</si>
  <si>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</si>
  <si>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</si>
  <si>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</si>
  <si>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</si>
  <si>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</si>
  <si>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</si>
  <si>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</si>
  <si>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</si>
  <si>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</si>
  <si>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</si>
  <si>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</si>
  <si>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</si>
  <si>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</si>
  <si>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</si>
  <si>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</si>
  <si>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</si>
  <si>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</si>
  <si>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</si>
  <si>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</si>
  <si>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</si>
  <si>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</si>
  <si>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</si>
  <si>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</si>
  <si>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</si>
  <si>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</si>
  <si>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</si>
  <si>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</si>
  <si>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</si>
  <si>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</si>
  <si>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</si>
  <si>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</si>
  <si>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</si>
  <si>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</si>
  <si>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</si>
  <si>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</si>
  <si>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</si>
  <si>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</si>
  <si>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</si>
  <si>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</si>
  <si>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</si>
  <si>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</si>
  <si>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</si>
  <si>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</si>
  <si>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</si>
  <si>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</si>
  <si>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</si>
  <si>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</si>
  <si>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</si>
  <si>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</si>
  <si>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</si>
  <si>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</si>
  <si>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</si>
  <si>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</si>
  <si>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</si>
  <si>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</si>
  <si>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</si>
  <si>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</si>
  <si>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</si>
  <si>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</si>
  <si>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</si>
  <si>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</si>
  <si>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</si>
  <si>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</si>
  <si>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</si>
  <si>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</si>
  <si>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</si>
  <si>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</si>
  <si>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</si>
  <si>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</si>
  <si>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</si>
  <si>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</si>
  <si>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</si>
  <si>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</si>
  <si>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</si>
  <si>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</si>
  <si>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</si>
  <si>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</si>
  <si>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</si>
  <si>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</si>
  <si>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</si>
  <si>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</si>
  <si>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</si>
  <si>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</si>
  <si>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</si>
  <si>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</si>
  <si>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</si>
  <si>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</si>
  <si>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</si>
  <si>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</si>
  <si>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</si>
  <si>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</si>
  <si>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</si>
  <si>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</si>
  <si>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</si>
  <si>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</si>
  <si>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</si>
  <si>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</si>
  <si>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</si>
  <si>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</si>
  <si>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</si>
  <si>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</si>
  <si>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</si>
  <si>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</si>
  <si>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</si>
  <si>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</si>
  <si>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</si>
  <si>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</si>
  <si>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</si>
  <si>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</si>
  <si>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</si>
  <si>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</si>
  <si>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</si>
  <si>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</si>
  <si>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</si>
  <si>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</si>
  <si>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</si>
  <si>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</si>
  <si>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</si>
  <si>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</si>
  <si>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</si>
  <si>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</si>
  <si>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</si>
  <si>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</si>
  <si>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</si>
  <si>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</si>
  <si>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</si>
  <si>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</si>
  <si>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</si>
  <si>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</si>
  <si>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</si>
  <si>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</si>
  <si>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</si>
  <si>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</si>
  <si>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</si>
  <si>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</si>
  <si>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</si>
  <si>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</si>
  <si>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</si>
  <si>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</si>
  <si>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</si>
  <si>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</si>
  <si>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</si>
  <si>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</si>
  <si>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</si>
  <si>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</si>
  <si>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</si>
  <si>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</si>
  <si>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</si>
  <si>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</si>
  <si>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</si>
  <si>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</si>
  <si>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</si>
  <si>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</si>
  <si>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</si>
  <si>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</si>
  <si>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</si>
  <si>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</si>
  <si>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</si>
  <si>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</si>
  <si>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</si>
  <si>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</si>
  <si>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</si>
  <si>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</si>
  <si>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</si>
  <si>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</si>
  <si>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</si>
  <si>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</si>
  <si>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</si>
  <si>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</si>
  <si>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</si>
  <si>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</si>
  <si>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</si>
  <si>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</si>
  <si>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</si>
  <si>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</si>
  <si>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</si>
  <si>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</si>
  <si>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</si>
  <si>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</si>
  <si>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</si>
  <si>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</si>
  <si>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</si>
  <si>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</si>
  <si>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</si>
  <si>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</si>
  <si>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</si>
  <si>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</si>
  <si>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</si>
  <si>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</si>
  <si>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</si>
  <si>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</si>
  <si>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</si>
  <si>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</si>
  <si>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</si>
  <si>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</si>
  <si>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</si>
  <si>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</si>
  <si>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</si>
  <si>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</si>
  <si>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</si>
  <si>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</si>
  <si>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</si>
  <si>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</si>
  <si>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</si>
  <si>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</si>
  <si>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</si>
  <si>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</si>
  <si>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</si>
  <si>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</si>
  <si>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</si>
  <si>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</si>
  <si>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</si>
  <si>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</si>
  <si>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</si>
  <si>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</si>
  <si>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</si>
  <si>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</si>
  <si>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</si>
  <si>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</si>
  <si>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</si>
  <si>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</si>
  <si>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</si>
  <si>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</si>
  <si>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</si>
  <si>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</si>
  <si>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</si>
  <si>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</si>
  <si>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</si>
  <si>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</si>
  <si>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</si>
  <si>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</si>
  <si>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</si>
  <si>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</si>
  <si>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</si>
  <si>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</si>
  <si>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</si>
  <si>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</si>
  <si>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</si>
  <si>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</si>
  <si>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</si>
  <si>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</si>
  <si>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</si>
  <si>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</si>
  <si>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</si>
  <si>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</si>
  <si>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</si>
  <si>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</si>
  <si>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</si>
  <si>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</si>
  <si>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</si>
  <si>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</si>
  <si>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</si>
  <si>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</si>
  <si>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</si>
  <si>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</si>
  <si>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</si>
  <si>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</si>
  <si>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</si>
  <si>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</si>
  <si>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</si>
  <si>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</si>
  <si>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</si>
  <si>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</si>
  <si>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</si>
  <si>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</si>
  <si>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</si>
  <si>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</si>
  <si>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</si>
  <si>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</si>
  <si>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</si>
  <si>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</si>
  <si>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</si>
  <si>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</si>
  <si>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</si>
  <si>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</si>
  <si>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</si>
  <si>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</si>
  <si>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</si>
  <si>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</si>
  <si>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</si>
  <si>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</si>
  <si>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</si>
  <si>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</si>
  <si>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</si>
  <si>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</si>
  <si>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</si>
  <si>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</si>
  <si>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</si>
  <si>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</si>
  <si>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</si>
  <si>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</si>
  <si>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</si>
  <si>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</si>
  <si>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</si>
  <si>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</si>
  <si>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</si>
  <si>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</si>
  <si>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</si>
  <si>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</si>
  <si>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</si>
  <si>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</si>
  <si>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</si>
  <si>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</si>
  <si>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</si>
  <si>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</si>
  <si>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</si>
  <si>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</si>
  <si>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</si>
  <si>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</si>
  <si>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</si>
  <si>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</si>
  <si>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</si>
  <si>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</si>
  <si>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</si>
  <si>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</si>
  <si>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</si>
  <si>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</si>
  <si>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</si>
  <si>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</si>
  <si>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</si>
  <si>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</si>
  <si>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</si>
  <si>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</si>
  <si>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</si>
  <si>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</si>
  <si>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</si>
  <si>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</si>
  <si>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</si>
  <si>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</si>
  <si>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</si>
  <si>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</si>
  <si>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</si>
  <si>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</si>
  <si>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</si>
  <si>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</si>
  <si>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</si>
  <si>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</si>
  <si>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</si>
  <si>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</si>
  <si>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</si>
  <si>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</si>
  <si>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</si>
  <si>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</si>
  <si>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</si>
  <si>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</si>
  <si>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</si>
  <si>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</si>
  <si>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</si>
  <si>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</si>
  <si>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</si>
  <si>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</si>
  <si>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</si>
  <si>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</si>
  <si>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</si>
  <si>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</si>
  <si>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</si>
  <si>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</si>
  <si>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</si>
  <si>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</si>
  <si>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</si>
  <si>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</si>
  <si>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</si>
  <si>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</si>
  <si>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</si>
  <si>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</si>
  <si>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</si>
  <si>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</si>
  <si>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</si>
  <si>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</si>
  <si>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</si>
  <si>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</si>
  <si>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</si>
  <si>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</si>
  <si>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</si>
  <si>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</si>
  <si>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</si>
  <si>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</si>
  <si>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</si>
  <si>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</si>
  <si>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</si>
  <si>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</si>
  <si>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</si>
  <si>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</si>
  <si>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</si>
  <si>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</si>
  <si>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</si>
  <si>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</si>
  <si>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</si>
  <si>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</si>
  <si>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</si>
  <si>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</si>
  <si>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</si>
  <si>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</si>
  <si>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</si>
  <si>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</si>
  <si>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</si>
  <si>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</si>
  <si>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</si>
  <si>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</si>
  <si>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</si>
  <si>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</si>
  <si>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</si>
  <si>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</si>
  <si>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</si>
  <si>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</si>
  <si>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</si>
  <si>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</si>
  <si>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</si>
  <si>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</si>
  <si>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</si>
  <si>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</si>
  <si>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</si>
  <si>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</si>
  <si>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</si>
  <si>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</si>
  <si>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</si>
  <si>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</si>
  <si>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</si>
  <si>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</si>
  <si>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</si>
  <si>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</si>
  <si>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</si>
  <si>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</si>
  <si>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</si>
  <si>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</si>
  <si>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</si>
  <si>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</si>
  <si>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</si>
  <si>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</si>
  <si>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</si>
  <si>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</si>
  <si>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</si>
  <si>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</si>
  <si>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</si>
  <si>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</si>
  <si>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</si>
  <si>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</si>
  <si>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</si>
  <si>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</si>
  <si>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</si>
  <si>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</si>
  <si>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</si>
  <si>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</si>
  <si>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</si>
  <si>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</si>
  <si>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</si>
  <si>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</si>
  <si>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</si>
  <si>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</si>
  <si>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</si>
  <si>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</si>
  <si>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</si>
  <si>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</si>
  <si>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</si>
  <si>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</si>
  <si>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</si>
  <si>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</si>
  <si>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</si>
  <si>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</si>
  <si>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</si>
  <si>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</si>
  <si>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</si>
  <si>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</si>
  <si>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</si>
  <si>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</si>
  <si>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</si>
  <si>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</si>
  <si>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</si>
  <si>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</si>
  <si>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</si>
  <si>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</si>
  <si>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</si>
  <si>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</si>
  <si>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</si>
  <si>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</si>
  <si>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</si>
  <si>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</si>
  <si>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</si>
  <si>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</si>
  <si>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</si>
  <si>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</si>
  <si>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</si>
  <si>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</si>
  <si>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</si>
  <si>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</si>
  <si>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</si>
  <si>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</si>
  <si>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</si>
  <si>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</si>
  <si>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</si>
  <si>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</si>
  <si>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</si>
  <si>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</si>
  <si>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</si>
  <si>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</si>
  <si>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</si>
  <si>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</si>
  <si>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</si>
  <si>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</si>
  <si>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</si>
  <si>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</si>
  <si>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</si>
  <si>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</si>
  <si>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</si>
  <si>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</si>
  <si>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</si>
  <si>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</si>
  <si>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</si>
  <si>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</si>
  <si>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</si>
  <si>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</si>
  <si>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</si>
  <si>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</si>
  <si>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</si>
  <si>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</si>
  <si>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</si>
  <si>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</si>
  <si>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</si>
  <si>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</si>
  <si>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</si>
  <si>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</si>
  <si>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</si>
  <si>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</si>
  <si>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</si>
  <si>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</si>
  <si>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</si>
  <si>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</si>
  <si>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</si>
  <si>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</si>
  <si>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</si>
  <si>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</si>
  <si>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</si>
  <si>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</si>
  <si>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</si>
  <si>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</si>
  <si>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</si>
  <si>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</si>
  <si>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</si>
  <si>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</si>
  <si>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</si>
  <si>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</si>
  <si>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</si>
  <si>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</si>
  <si>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</si>
  <si>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</si>
  <si>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</si>
  <si>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</si>
  <si>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</si>
  <si>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</si>
  <si>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</si>
  <si>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</si>
  <si>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</si>
  <si>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</si>
  <si>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</si>
  <si>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</si>
  <si>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</si>
  <si>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</si>
  <si>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</si>
  <si>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</si>
  <si>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</si>
  <si>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</si>
  <si>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</si>
  <si>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</si>
  <si>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</si>
  <si>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</si>
  <si>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</si>
  <si>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</si>
  <si>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</si>
  <si>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</si>
  <si>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</si>
  <si>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</si>
  <si>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</si>
  <si>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</si>
  <si>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</si>
  <si>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</si>
  <si>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</si>
  <si>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</si>
  <si>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</si>
  <si>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</si>
  <si>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</si>
  <si>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</si>
  <si>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</si>
  <si>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</si>
  <si>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</si>
  <si>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</si>
  <si>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</si>
  <si>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</si>
  <si>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</si>
  <si>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</si>
  <si>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</si>
  <si>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</si>
  <si>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</si>
  <si>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</si>
  <si>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</si>
  <si>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</si>
  <si>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</si>
  <si>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</si>
  <si>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</si>
  <si>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</si>
  <si>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</si>
  <si>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</si>
  <si>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</si>
  <si>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</si>
  <si>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</si>
  <si>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</si>
  <si>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</si>
  <si>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</si>
  <si>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</si>
  <si>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</si>
  <si>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</si>
  <si>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</si>
  <si>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</si>
  <si>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</si>
  <si>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</si>
  <si>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</si>
  <si>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</si>
  <si>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</si>
  <si>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</si>
  <si>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</si>
  <si>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</si>
  <si>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</si>
  <si>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</si>
  <si>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</si>
  <si>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</si>
  <si>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</si>
  <si>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</si>
  <si>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</si>
  <si>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</si>
  <si>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</si>
  <si>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</si>
  <si>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</si>
  <si>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</si>
  <si>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</si>
  <si>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</si>
  <si>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</si>
  <si>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</si>
  <si>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</si>
  <si>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</si>
  <si>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</si>
  <si>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</si>
  <si>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</si>
  <si>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</si>
  <si>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</si>
  <si>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</si>
  <si>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</si>
  <si>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</si>
  <si>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</si>
  <si>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</si>
  <si>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</si>
  <si>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</si>
  <si>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</si>
  <si>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</si>
  <si>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</si>
  <si>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</si>
  <si>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</si>
  <si>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</si>
  <si>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</si>
  <si>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</si>
  <si>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</si>
  <si>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</si>
  <si>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</si>
  <si>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</si>
  <si>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</si>
  <si>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</si>
  <si>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</si>
  <si>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</si>
  <si>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</si>
  <si>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</si>
  <si>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</si>
  <si>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</si>
  <si>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</si>
  <si>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</si>
  <si>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</si>
  <si>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</si>
  <si>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</si>
  <si>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</si>
  <si>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</si>
  <si>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</si>
  <si>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</si>
  <si>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</si>
  <si>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</si>
  <si>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</si>
  <si>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</si>
  <si>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</si>
  <si>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</si>
  <si>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</si>
  <si>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</si>
  <si>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</si>
  <si>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</si>
  <si>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</si>
  <si>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</si>
  <si>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</si>
  <si>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</si>
  <si>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</si>
  <si>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</si>
  <si>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</si>
  <si>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</si>
  <si>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</si>
  <si>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</si>
  <si>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</si>
  <si>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</si>
  <si>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</si>
  <si>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</si>
  <si>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</si>
  <si>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</si>
  <si>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</si>
  <si>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</si>
  <si>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</si>
  <si>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</si>
  <si>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</si>
  <si>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</si>
  <si>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</si>
  <si>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</si>
  <si>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</si>
  <si>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</si>
  <si>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</si>
  <si>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</si>
  <si>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</si>
  <si>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</si>
  <si>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</si>
  <si>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</si>
  <si>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</si>
  <si>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</si>
  <si>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</si>
  <si>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</si>
  <si>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</si>
  <si>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</si>
  <si>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</si>
  <si>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</si>
  <si>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</si>
  <si>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</si>
  <si>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</si>
  <si>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</si>
  <si>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</si>
  <si>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</si>
  <si>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</si>
  <si>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</si>
  <si>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</si>
  <si>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</si>
  <si>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</si>
  <si>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</si>
  <si>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</si>
  <si>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</si>
  <si>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</si>
  <si>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</si>
  <si>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</si>
  <si>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</si>
  <si>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</si>
  <si>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</si>
  <si>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</si>
  <si>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</si>
  <si>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</si>
  <si>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</si>
  <si>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</si>
  <si>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</si>
  <si>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</si>
  <si>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</si>
  <si>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</si>
  <si>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</si>
  <si>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</si>
  <si>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</si>
  <si>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</si>
  <si>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</si>
  <si>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</si>
  <si>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</si>
  <si>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</si>
  <si>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</si>
  <si>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</si>
  <si>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</si>
  <si>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</si>
  <si>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</si>
  <si>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</si>
  <si>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</si>
  <si>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</si>
  <si>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</si>
  <si>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</si>
  <si>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</si>
  <si>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</si>
  <si>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</si>
  <si>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</si>
  <si>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</si>
  <si>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</si>
  <si>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</si>
  <si>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</si>
  <si>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</si>
  <si>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</si>
  <si>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</si>
  <si>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</si>
  <si>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</si>
  <si>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</si>
  <si>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</si>
  <si>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</si>
  <si>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</si>
  <si>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</si>
  <si>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</si>
  <si>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</si>
  <si>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</si>
  <si>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</si>
  <si>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</si>
  <si>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</si>
  <si>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</si>
  <si>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</si>
  <si>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</si>
  <si>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</si>
  <si>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</si>
  <si>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</si>
  <si>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</si>
  <si>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</si>
  <si>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</si>
  <si>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</si>
  <si>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</si>
  <si>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</si>
  <si>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</si>
  <si>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</si>
  <si>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</si>
  <si>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</si>
  <si>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</si>
  <si>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</si>
  <si>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</si>
  <si>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</si>
  <si>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</si>
  <si>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</si>
  <si>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</si>
  <si>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</si>
  <si>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</si>
  <si>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</si>
  <si>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</si>
  <si>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</si>
  <si>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</si>
  <si>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</si>
  <si>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</si>
  <si>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</si>
  <si>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</si>
  <si>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</si>
  <si>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</si>
  <si>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</si>
  <si>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</si>
  <si>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</si>
  <si>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</si>
  <si>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</si>
  <si>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</si>
  <si>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</si>
  <si>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</si>
  <si>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</si>
  <si>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</si>
  <si>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</si>
  <si>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</si>
  <si>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</si>
  <si>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</si>
  <si>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</si>
  <si>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</si>
  <si>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</si>
  <si>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</si>
  <si>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</si>
  <si>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</si>
  <si>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</si>
  <si>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</si>
  <si>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</si>
  <si>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</si>
  <si>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</si>
  <si>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</si>
  <si>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</si>
  <si>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</si>
  <si>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</si>
  <si>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</si>
  <si>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</si>
  <si>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</si>
  <si>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</si>
  <si>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</si>
  <si>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</si>
  <si>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</si>
  <si>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</si>
  <si>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</si>
  <si>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</si>
  <si>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</si>
  <si>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</si>
  <si>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</si>
  <si>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</si>
  <si>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</si>
  <si>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</si>
  <si>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</si>
  <si>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</si>
  <si>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</si>
  <si>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</si>
  <si>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</si>
  <si>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</si>
  <si>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</si>
  <si>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</si>
  <si>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</si>
  <si>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</si>
  <si>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</si>
  <si>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</si>
  <si>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</si>
  <si>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</si>
  <si>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</si>
  <si>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</si>
  <si>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</si>
  <si>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</si>
  <si>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</si>
  <si>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</si>
  <si>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</si>
  <si>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</si>
  <si>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</si>
  <si>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</si>
  <si>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</si>
  <si>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</si>
  <si>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</si>
  <si>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</si>
  <si>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</si>
  <si>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</si>
  <si>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</si>
  <si>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</si>
  <si>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</si>
  <si>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</si>
  <si>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</si>
  <si>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</si>
  <si>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</si>
  <si>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</si>
  <si>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</si>
  <si>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</si>
  <si>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</si>
  <si>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</si>
  <si>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</si>
  <si>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</si>
  <si>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</si>
  <si>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</si>
  <si>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</si>
  <si>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</si>
  <si>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</si>
  <si>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</si>
  <si>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</si>
  <si>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</si>
  <si>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</si>
  <si>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</si>
  <si>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</si>
  <si>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</si>
  <si>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</si>
  <si>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</si>
  <si>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</si>
  <si>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</si>
  <si>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</si>
  <si>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</si>
  <si>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</si>
  <si>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</si>
  <si>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</si>
  <si>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</si>
  <si>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</si>
  <si>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</si>
  <si>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</si>
  <si>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</si>
  <si>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</si>
  <si>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</si>
  <si>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</si>
  <si>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</si>
  <si>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</si>
  <si>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</si>
  <si>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</si>
  <si>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</si>
  <si>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</si>
  <si>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</si>
  <si>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</si>
  <si>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</si>
  <si>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</si>
  <si>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</si>
  <si>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</si>
  <si>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</si>
  <si>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</si>
  <si>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</si>
  <si>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</si>
  <si>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</si>
  <si>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</si>
  <si>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</si>
  <si>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</si>
  <si>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</si>
  <si>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</si>
  <si>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</si>
  <si>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</si>
  <si>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</si>
  <si>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</si>
  <si>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</si>
  <si>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</si>
  <si>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</si>
  <si>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</si>
  <si>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</si>
  <si>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</si>
  <si>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</si>
  <si>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</si>
  <si>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</si>
  <si>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</si>
  <si>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</si>
  <si>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</si>
  <si>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</si>
  <si>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</si>
  <si>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</si>
  <si>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</si>
  <si>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</si>
  <si>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</si>
  <si>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</si>
  <si>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</si>
  <si>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</si>
  <si>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</si>
  <si>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</si>
  <si>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</si>
  <si>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</si>
  <si>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</si>
  <si>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</si>
  <si>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</si>
  <si>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</si>
  <si>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</si>
  <si>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</si>
  <si>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</si>
  <si>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</si>
  <si>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</si>
  <si>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</si>
  <si>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</si>
  <si>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</si>
  <si>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</si>
  <si>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</si>
  <si>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</si>
  <si>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</si>
  <si>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</si>
  <si>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</si>
  <si>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</si>
  <si>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</si>
  <si>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</si>
  <si>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</si>
  <si>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</si>
  <si>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</si>
  <si>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</si>
  <si>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</si>
  <si>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</si>
  <si>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</si>
  <si>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</si>
  <si>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</si>
  <si>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</si>
  <si>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</si>
  <si>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</si>
  <si>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</si>
  <si>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</si>
  <si>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</si>
  <si>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</si>
  <si>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</si>
  <si>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</si>
  <si>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</si>
  <si>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</si>
  <si>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</si>
  <si>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</si>
  <si>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</si>
  <si>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</si>
  <si>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</si>
  <si>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</si>
  <si>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</si>
  <si>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</si>
  <si>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</si>
  <si>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</si>
  <si>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</si>
  <si>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</si>
  <si>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</si>
  <si>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</si>
  <si>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</si>
  <si>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</si>
  <si>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</si>
  <si>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</si>
  <si>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</si>
  <si>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</si>
  <si>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</si>
  <si>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</si>
  <si>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</si>
  <si>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</si>
  <si>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</si>
  <si>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</si>
  <si>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</si>
  <si>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</si>
  <si>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</si>
  <si>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</si>
  <si>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</si>
  <si>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</si>
  <si>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</si>
  <si>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</si>
  <si>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</si>
  <si>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</si>
  <si>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</si>
  <si>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</si>
  <si>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</si>
  <si>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</si>
  <si>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</si>
  <si>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</si>
  <si>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</si>
  <si>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</si>
  <si>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</si>
  <si>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</si>
  <si>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</si>
  <si>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</si>
  <si>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</si>
  <si>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</si>
  <si>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</si>
  <si>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</si>
  <si>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</si>
  <si>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</si>
  <si>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</si>
  <si>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</si>
  <si>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</si>
  <si>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</si>
  <si>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</si>
  <si>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</si>
  <si>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</si>
  <si>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</si>
  <si>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</si>
  <si>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</si>
  <si>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</si>
  <si>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</si>
  <si>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</si>
  <si>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</si>
  <si>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</si>
  <si>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</si>
  <si>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</si>
  <si>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</si>
  <si>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</si>
  <si>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</si>
  <si>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</si>
  <si>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</si>
  <si>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</si>
  <si>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</si>
  <si>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</si>
  <si>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</si>
  <si>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</si>
  <si>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</si>
  <si>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</si>
  <si>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</si>
  <si>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</si>
  <si>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</si>
  <si>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</si>
  <si>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</si>
  <si>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</si>
  <si>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</si>
  <si>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</si>
  <si>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</si>
  <si>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</si>
  <si>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</si>
  <si>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</si>
  <si>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</si>
  <si>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</si>
  <si>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</si>
  <si>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</si>
  <si>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</si>
  <si>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</si>
  <si>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</si>
  <si>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</si>
  <si>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</si>
  <si>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</si>
  <si>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</si>
  <si>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</si>
  <si>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</si>
  <si>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</si>
  <si>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</si>
  <si>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</si>
  <si>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</si>
  <si>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</si>
  <si>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</si>
  <si>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</si>
  <si>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</si>
  <si>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</si>
  <si>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</si>
  <si>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</si>
  <si>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</si>
  <si>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</si>
  <si>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</si>
  <si>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</si>
  <si>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</si>
  <si>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</si>
  <si>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</si>
  <si>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</si>
  <si>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</si>
  <si>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</si>
  <si>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</si>
  <si>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</si>
  <si>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</si>
  <si>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</si>
  <si>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</si>
  <si>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</si>
  <si>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</si>
  <si>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</si>
  <si>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</si>
  <si>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</si>
  <si>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</si>
  <si>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</si>
  <si>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</si>
  <si>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</si>
  <si>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</si>
  <si>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</si>
  <si>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</si>
  <si>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</si>
  <si>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</si>
  <si>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</si>
  <si>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</si>
  <si>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</si>
  <si>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</si>
  <si>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</si>
  <si>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</si>
  <si>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</si>
  <si>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</si>
  <si>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</si>
  <si>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</si>
  <si>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</si>
  <si>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</si>
  <si>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</si>
  <si>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</si>
  <si>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</si>
  <si>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</si>
  <si>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</si>
  <si>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</si>
  <si>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</si>
  <si>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</si>
  <si>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</si>
  <si>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</si>
  <si>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</si>
  <si>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</si>
  <si>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</si>
  <si>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</si>
  <si>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</si>
  <si>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</si>
  <si>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</si>
  <si>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</si>
  <si>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</si>
  <si>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</si>
  <si>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</si>
  <si>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</si>
  <si>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</si>
  <si>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</si>
  <si>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</si>
  <si>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</si>
  <si>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</si>
  <si>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</si>
  <si>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</si>
  <si>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</si>
  <si>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</si>
  <si>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</si>
  <si>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</si>
  <si>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</si>
  <si>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</si>
  <si>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</si>
  <si>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</si>
  <si>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</si>
  <si>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</si>
  <si>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</si>
  <si>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</si>
  <si>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</si>
  <si>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</si>
  <si>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</si>
  <si>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</si>
  <si>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</si>
  <si>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</si>
  <si>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</si>
  <si>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</si>
  <si>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</si>
  <si>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</si>
  <si>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</si>
  <si>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</si>
  <si>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</si>
  <si>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</si>
  <si>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</si>
  <si>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</si>
  <si>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</si>
  <si>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</si>
  <si>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</si>
  <si>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</si>
  <si>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</si>
  <si>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</si>
  <si>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</si>
  <si>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</si>
  <si>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</si>
  <si>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</si>
  <si>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</si>
  <si>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</si>
  <si>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</si>
  <si>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</si>
  <si>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</si>
  <si>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</si>
  <si>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</si>
  <si>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</si>
  <si>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</si>
  <si>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</si>
  <si>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</si>
  <si>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</si>
  <si>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</si>
  <si>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</si>
  <si>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</si>
  <si>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</si>
  <si>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</si>
  <si>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</si>
  <si>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</si>
  <si>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</si>
  <si>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</si>
  <si>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</si>
  <si>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</si>
  <si>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</si>
  <si>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</si>
  <si>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</si>
  <si>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</si>
  <si>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</si>
  <si>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</si>
  <si>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</si>
  <si>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</si>
  <si>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</si>
  <si>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</si>
  <si>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</si>
  <si>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</si>
  <si>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</si>
  <si>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</si>
  <si>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</si>
  <si>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</si>
  <si>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</si>
  <si>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</si>
  <si>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</si>
  <si>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</si>
  <si>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</si>
  <si>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</si>
  <si>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</si>
  <si>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</si>
  <si>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</si>
  <si>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</si>
  <si>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</si>
  <si>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</si>
  <si>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</si>
  <si>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</si>
  <si>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</si>
  <si>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</si>
  <si>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</si>
  <si>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</si>
  <si>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</si>
  <si>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</si>
  <si>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</si>
  <si>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</si>
  <si>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</si>
  <si>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</si>
  <si>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</si>
  <si>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</si>
  <si>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</si>
  <si>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</si>
  <si>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</si>
  <si>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</si>
  <si>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</si>
  <si>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</si>
  <si>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</si>
  <si>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</si>
  <si>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</si>
  <si>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</si>
  <si>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</si>
  <si>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</si>
  <si>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</si>
  <si>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</si>
  <si>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</si>
  <si>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</si>
  <si>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</si>
  <si>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</si>
  <si>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</si>
  <si>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</si>
  <si>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</si>
  <si>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</si>
  <si>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</si>
  <si>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</si>
  <si>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</si>
  <si>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</si>
  <si>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</si>
  <si>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</si>
  <si>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</si>
  <si>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</si>
  <si>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</si>
  <si>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</si>
  <si>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</si>
  <si>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</si>
  <si>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</si>
  <si>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</si>
  <si>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</si>
  <si>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</si>
  <si>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</si>
  <si>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</si>
  <si>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</si>
  <si>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</si>
  <si>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</si>
  <si>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</si>
  <si>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</si>
  <si>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</si>
  <si>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</si>
  <si>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</si>
  <si>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</si>
  <si>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</si>
  <si>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</si>
  <si>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</si>
  <si>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</si>
  <si>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</si>
  <si>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</si>
  <si>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</si>
  <si>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</si>
  <si>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</si>
  <si>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</si>
  <si>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</si>
  <si>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</si>
  <si>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</si>
  <si>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</si>
  <si>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</si>
  <si>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</si>
  <si>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</si>
  <si>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</si>
  <si>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</si>
  <si>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</si>
  <si>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</si>
  <si>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</si>
  <si>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</si>
  <si>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</si>
  <si>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</si>
  <si>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</si>
  <si>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</si>
  <si>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</si>
  <si>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</si>
  <si>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</si>
  <si>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</si>
  <si>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</si>
  <si>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</si>
  <si>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</si>
  <si>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</si>
  <si>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</si>
  <si>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</si>
  <si>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</si>
  <si>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</si>
  <si>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</si>
  <si>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</si>
  <si>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</si>
  <si>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</si>
  <si>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</si>
  <si>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</si>
  <si>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</si>
  <si>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</si>
  <si>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</si>
  <si>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</si>
  <si>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</si>
  <si>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</si>
  <si>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</si>
  <si>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</si>
  <si>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</si>
  <si>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</si>
  <si>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</si>
  <si>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</si>
  <si>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</si>
  <si>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</si>
  <si>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</si>
  <si>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</si>
  <si>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</si>
  <si>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</si>
  <si>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</si>
  <si>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</si>
  <si>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</si>
  <si>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</si>
  <si>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</si>
  <si>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</si>
  <si>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</si>
  <si>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</si>
  <si>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</si>
  <si>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</si>
  <si>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</si>
  <si>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</si>
  <si>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</si>
  <si>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</si>
  <si>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</si>
  <si>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</si>
  <si>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</si>
  <si>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</si>
  <si>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</si>
  <si>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</si>
  <si>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</si>
  <si>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</si>
  <si>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</si>
  <si>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</si>
  <si>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</si>
  <si>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</si>
  <si>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</si>
  <si>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</si>
  <si>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</si>
  <si>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</si>
  <si>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</si>
  <si>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</si>
  <si>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</si>
  <si>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</si>
  <si>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</si>
  <si>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</si>
  <si>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</si>
  <si>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</si>
  <si>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</si>
  <si>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</si>
  <si>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</si>
  <si>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</si>
  <si>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</si>
  <si>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</si>
  <si>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</si>
  <si>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</si>
  <si>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</si>
  <si>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</si>
  <si>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</si>
  <si>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</si>
  <si>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</si>
  <si>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</si>
  <si>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</si>
  <si>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</si>
  <si>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</si>
  <si>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</si>
  <si>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</si>
  <si>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</si>
  <si>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</si>
  <si>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</si>
  <si>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</si>
  <si>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</si>
  <si>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</si>
  <si>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</si>
  <si>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</si>
  <si>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</si>
  <si>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</si>
  <si>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</si>
  <si>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</si>
  <si>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</si>
  <si>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</si>
  <si>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</si>
  <si>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</si>
  <si>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</si>
  <si>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</si>
  <si>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</si>
  <si>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</si>
  <si>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</si>
  <si>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</si>
  <si>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</si>
  <si>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</si>
  <si>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</si>
  <si>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</si>
  <si>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</si>
  <si>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</si>
  <si>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</si>
  <si>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</si>
  <si>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</si>
  <si>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</si>
  <si>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</si>
  <si>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</si>
  <si>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</si>
  <si>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</si>
  <si>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</si>
  <si>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</si>
  <si>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</si>
  <si>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</si>
  <si>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</si>
  <si>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</si>
  <si>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</si>
  <si>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</si>
  <si>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</si>
  <si>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</si>
  <si>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</si>
  <si>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</si>
  <si>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</si>
  <si>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</si>
  <si>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</si>
  <si>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</si>
  <si>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</si>
  <si>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</si>
  <si>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</si>
  <si>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</si>
  <si>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</si>
  <si>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</si>
  <si>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</si>
  <si>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</si>
  <si>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</si>
  <si>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</si>
  <si>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</si>
  <si>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</si>
  <si>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</si>
  <si>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</si>
  <si>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</si>
  <si>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</si>
  <si>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</si>
  <si>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</si>
  <si>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</si>
  <si>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</si>
  <si>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</si>
  <si>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</si>
  <si>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</si>
  <si>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</si>
  <si>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</si>
  <si>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</si>
  <si>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</si>
  <si>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</si>
  <si>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</si>
  <si>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</si>
  <si>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</si>
  <si>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</si>
  <si>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</si>
  <si>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</si>
  <si>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</si>
  <si>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</si>
  <si>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</si>
  <si>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</si>
  <si>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</si>
  <si>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</si>
  <si>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</si>
  <si>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</si>
  <si>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</si>
  <si>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</si>
  <si>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</si>
  <si>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</si>
  <si>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</si>
  <si>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</si>
  <si>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</si>
  <si>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</si>
  <si>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</si>
  <si>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</si>
  <si>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</si>
  <si>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</si>
  <si>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</si>
  <si>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</si>
  <si>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</si>
  <si>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</si>
  <si>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</si>
  <si>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</si>
  <si>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</si>
  <si>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</si>
  <si>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</si>
  <si>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</si>
  <si>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</si>
  <si>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</si>
  <si>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</si>
  <si>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</si>
  <si>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</si>
  <si>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</si>
  <si>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</si>
  <si>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</si>
  <si>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</si>
  <si>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</si>
  <si>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</si>
  <si>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</si>
  <si>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</si>
  <si>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</si>
  <si>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</si>
  <si>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</si>
  <si>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</si>
  <si>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</si>
  <si>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</si>
  <si>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</si>
  <si>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</si>
  <si>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</si>
  <si>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</si>
  <si>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</si>
  <si>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</si>
  <si>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</si>
  <si>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</si>
  <si>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</si>
  <si>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</si>
  <si>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</si>
  <si>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</si>
  <si>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</si>
  <si>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</si>
  <si>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</si>
  <si>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</si>
  <si>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</si>
  <si>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</si>
  <si>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</si>
  <si>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</si>
  <si>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</si>
  <si>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</si>
  <si>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</si>
  <si>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</si>
  <si>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</si>
  <si>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</si>
  <si>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</si>
  <si>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</si>
  <si>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</si>
  <si>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</si>
  <si>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</si>
  <si>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</si>
  <si>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</si>
  <si>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</si>
  <si>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</si>
  <si>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</si>
  <si>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</si>
  <si>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</si>
  <si>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</si>
  <si>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</si>
  <si>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</si>
  <si>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</si>
  <si>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</si>
  <si>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</si>
  <si>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</si>
  <si>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</si>
  <si>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</si>
  <si>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</si>
  <si>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</si>
  <si>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</si>
  <si>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</si>
  <si>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</si>
  <si>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</si>
  <si>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</si>
  <si>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</si>
  <si>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</si>
  <si>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</si>
  <si>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</si>
  <si>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</si>
  <si>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</si>
  <si>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</si>
  <si>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</si>
  <si>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</si>
  <si>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</si>
  <si>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</si>
  <si>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</si>
  <si>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</si>
  <si>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</si>
  <si>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</si>
  <si>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</si>
  <si>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</si>
  <si>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</si>
  <si>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</si>
  <si>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</si>
  <si>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</si>
  <si>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</si>
  <si>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</si>
  <si>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</si>
  <si>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</si>
  <si>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</si>
  <si>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</si>
  <si>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</si>
  <si>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</si>
  <si>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</si>
  <si>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</si>
  <si>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</si>
  <si>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</si>
  <si>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</si>
  <si>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</si>
  <si>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</si>
  <si>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</si>
  <si>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</si>
  <si>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</si>
  <si>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</si>
  <si>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</si>
  <si>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</si>
  <si>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</si>
  <si>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</si>
  <si>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</si>
  <si>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</si>
  <si>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</si>
  <si>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</si>
  <si>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</si>
  <si>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</si>
  <si>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</si>
  <si>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</si>
  <si>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</si>
  <si>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</si>
  <si>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</si>
  <si>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</si>
  <si>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</si>
  <si>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</si>
  <si>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</si>
  <si>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</si>
  <si>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</si>
  <si>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</si>
  <si>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</si>
  <si>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</si>
  <si>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</si>
  <si>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</si>
  <si>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</si>
  <si>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</si>
  <si>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</si>
  <si>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</si>
  <si>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</si>
  <si>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</si>
  <si>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</si>
  <si>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</si>
  <si>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</si>
  <si>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</si>
  <si>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</si>
  <si>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</si>
  <si>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</si>
  <si>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</si>
  <si>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</si>
  <si>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</si>
  <si>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</si>
  <si>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</si>
  <si>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</si>
  <si>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</si>
  <si>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</si>
  <si>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</si>
  <si>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</si>
  <si>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</si>
  <si>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</si>
  <si>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</si>
  <si>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</si>
  <si>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</si>
  <si>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</si>
  <si>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</si>
  <si>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</si>
  <si>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</si>
  <si>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</si>
  <si>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</si>
  <si>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</si>
  <si>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</si>
  <si>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</si>
  <si>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</si>
  <si>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</si>
  <si>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</si>
  <si>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</si>
  <si>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</si>
  <si>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</si>
  <si>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</si>
  <si>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</si>
  <si>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</si>
  <si>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</si>
  <si>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</si>
  <si>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</si>
  <si>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</si>
  <si>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</si>
  <si>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</si>
  <si>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</si>
  <si>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</si>
  <si>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</si>
  <si>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</si>
  <si>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</si>
  <si>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</si>
  <si>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</si>
  <si>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</si>
  <si>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</si>
  <si>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</si>
  <si>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</si>
  <si>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</si>
  <si>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</si>
  <si>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</si>
  <si>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</si>
  <si>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</si>
  <si>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</si>
  <si>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</si>
  <si>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</si>
  <si>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</si>
  <si>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</si>
  <si>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</si>
  <si>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</si>
  <si>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</si>
  <si>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</si>
  <si>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</si>
  <si>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</si>
  <si>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</si>
  <si>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</si>
  <si>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</si>
  <si>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</si>
  <si>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</si>
  <si>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</si>
  <si>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</si>
  <si>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</si>
  <si>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</si>
  <si>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</si>
  <si>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</si>
  <si>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</si>
  <si>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</si>
  <si>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</si>
  <si>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</si>
  <si>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</si>
  <si>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</si>
  <si>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</si>
  <si>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</si>
  <si>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</si>
  <si>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</si>
  <si>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</si>
  <si>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</si>
  <si>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</si>
  <si>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</si>
  <si>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</si>
  <si>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</si>
  <si>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</si>
  <si>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</si>
  <si>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</si>
  <si>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</si>
  <si>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</si>
  <si>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</si>
  <si>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</si>
  <si>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</si>
  <si>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</si>
  <si>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</si>
  <si>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</si>
  <si>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</si>
  <si>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</si>
  <si>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</si>
  <si>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</si>
  <si>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</si>
  <si>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</si>
  <si>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</si>
  <si>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</si>
  <si>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</si>
  <si>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</si>
  <si>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</si>
  <si>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</si>
  <si>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</si>
  <si>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</si>
  <si>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</si>
  <si>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</si>
  <si>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</si>
  <si>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</si>
  <si>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</si>
  <si>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</si>
  <si>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</si>
  <si>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</si>
  <si>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</si>
  <si>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</si>
  <si>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</si>
  <si>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</si>
  <si>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</si>
  <si>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</si>
  <si>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</si>
  <si>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</si>
  <si>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</si>
  <si>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</si>
  <si>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</si>
  <si>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</si>
  <si>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</si>
  <si>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</si>
  <si>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</si>
  <si>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</si>
  <si>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</si>
  <si>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</si>
  <si>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</si>
  <si>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</si>
  <si>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</si>
  <si>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</si>
  <si>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</si>
  <si>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</si>
  <si>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</si>
  <si>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</si>
  <si>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</si>
  <si>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</si>
  <si>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</si>
  <si>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</si>
  <si>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</si>
  <si>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</si>
  <si>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</si>
  <si>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</si>
  <si>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</si>
  <si>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</si>
  <si>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</si>
  <si>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</si>
  <si>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</si>
  <si>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</si>
  <si>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</si>
  <si>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</si>
  <si>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</si>
  <si>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</si>
  <si>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</si>
  <si>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</si>
  <si>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</si>
  <si>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</si>
  <si>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</si>
  <si>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</si>
  <si>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</si>
  <si>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</si>
  <si>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</si>
  <si>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</si>
  <si>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</si>
  <si>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</si>
  <si>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</si>
  <si>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</si>
  <si>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</si>
  <si>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</si>
  <si>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</si>
  <si>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</si>
  <si>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</si>
  <si>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</si>
  <si>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</si>
  <si>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</si>
  <si>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</si>
  <si>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</si>
  <si>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Safety recommendation No 167</t>
  </si>
  <si>
    <t>This report does not contain any safety recommendations or safety advice.
However, reference is made in this report to Safety Recommendation 167 issued
in the interim report reg. no 2020101901.
Safety deficit
On 19 October 2020, a technical inspector at Basel SBB RB marshalling yard heard a hissing sound from a tank wagon and noticed steam escaping from an almost imperceptible hole. He complained of feeling unwell and was taken to hospital for a check-up. On 6 July 2021 in Lüsslingen, a driver noticed some blue smoke during a shunting movement. Upon inspection, he found that smoke and liquid were escaping from a small hole near the access opening of a tank wagon filled with hydrochloric acid.
Within the space of nine months, two identical Zacns tank wagons in Switzerland experienced a leakage of hydrochloric acid, one at Basel SBB freight station and the other at Lüsslingen.
The preliminary findings of the investigations indicate that the protective lining of the Zacns series N-310-02 tank wagon does not always provide an appropriate barrier between the steel shell and its hazardous contents, leaving the steel shell subject to damage by corrosion. The leakage of hazardous substances from a tank wagon poses a considerable risk to employees, passengers and the general public as well as to the environment.
Safety recommendation No 167
In accordance with Article 26 paragraph 2 of Directive (EU) 2016/798 of the European Parliament and of the Council of 11 May 2016 on railway safety, the STSB recommends that the Federal Office of Transport (FOT) forward the following safety recommendation to the national safety authority of the member state in which the wagons are registered (NSA-NL) and to the national safety authority of the member state in which the responsible ECM is based (NSA-FR): 
The STSB recommends that all Zacns series N-310-02 tank wagons with the HAW-H94 protective lining be removed from service and that the protective lining be inspected by an independent body. At the same time and in consideration of the inspection results, the STSB recommends clarifying whether other tank wagons with comparable protective linings may be affected and, if so, that appropriate measures be taken.</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</si>
  <si>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</si>
  <si>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</si>
  <si>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</si>
  <si>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</si>
  <si>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</si>
  <si>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</si>
  <si>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</si>
  <si>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</si>
  <si>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</si>
  <si>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</si>
  <si>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</si>
  <si>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</si>
  <si>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</si>
  <si>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</si>
  <si>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</si>
  <si>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</si>
  <si>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</si>
  <si>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</si>
  <si>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</si>
  <si>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</si>
  <si>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</si>
  <si>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</si>
  <si>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</si>
  <si>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</si>
  <si>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</si>
  <si>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</si>
  <si>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</si>
  <si>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</si>
  <si>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</si>
  <si>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</si>
  <si>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</si>
  <si>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</si>
  <si>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</si>
  <si>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</si>
  <si>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</si>
  <si>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</si>
  <si>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</si>
  <si>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</si>
  <si>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</si>
  <si>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</si>
  <si>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</si>
  <si>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</si>
  <si>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</si>
  <si>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</si>
  <si>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</si>
  <si>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</si>
  <si>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</si>
  <si>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</si>
  <si>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</si>
  <si>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</si>
  <si>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</si>
  <si>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</si>
  <si>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</si>
  <si>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</si>
  <si>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</si>
  <si>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</si>
  <si>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</si>
  <si>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</si>
  <si>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</si>
  <si>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</si>
  <si>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</si>
  <si>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</si>
  <si>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</si>
  <si>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</si>
  <si>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</si>
  <si>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</si>
  <si>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</si>
  <si>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</si>
  <si>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</si>
  <si>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</si>
  <si>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</si>
  <si>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</si>
  <si>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</si>
  <si>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</si>
  <si>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</si>
  <si>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</si>
  <si>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</si>
  <si>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</si>
  <si>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</si>
  <si>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</si>
  <si>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</si>
  <si>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</si>
  <si>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</si>
  <si>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</si>
  <si>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</si>
  <si>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</si>
  <si>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</si>
  <si>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</si>
  <si>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</si>
  <si>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</si>
  <si>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</si>
  <si>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</si>
  <si>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</si>
  <si>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</si>
  <si>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</si>
  <si>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</si>
  <si>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</si>
  <si>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</si>
  <si>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</si>
  <si>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</si>
  <si>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</si>
  <si>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</si>
  <si>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</si>
  <si>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</si>
  <si>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</si>
  <si>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</si>
  <si>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</si>
  <si>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</si>
  <si>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</si>
  <si>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</si>
  <si>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</si>
  <si>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</si>
  <si>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</si>
  <si>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</si>
  <si>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</si>
  <si>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</si>
  <si>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</si>
  <si>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</si>
  <si>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</si>
  <si>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</si>
  <si>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</si>
  <si>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</si>
  <si>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</si>
  <si>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</si>
  <si>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</si>
  <si>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</si>
  <si>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</si>
  <si>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</si>
  <si>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</si>
  <si>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</si>
  <si>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</si>
  <si>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</si>
  <si>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</si>
  <si>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</si>
  <si>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</si>
  <si>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</si>
  <si>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</si>
  <si>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</si>
  <si>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</si>
  <si>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</si>
  <si>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</si>
  <si>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</si>
  <si>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</si>
  <si>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</si>
  <si>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</si>
  <si>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</si>
  <si>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</si>
  <si>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</si>
  <si>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</si>
  <si>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</si>
  <si>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</si>
  <si>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</si>
  <si>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</si>
  <si>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</si>
  <si>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</si>
  <si>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</si>
  <si>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</si>
  <si>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</si>
  <si>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</si>
  <si>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</si>
  <si>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</si>
  <si>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</si>
  <si>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</si>
  <si>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</si>
  <si>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</si>
  <si>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</si>
  <si>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</si>
  <si>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</si>
  <si>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</si>
  <si>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</si>
  <si>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</si>
  <si>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</si>
  <si>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</si>
  <si>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</si>
  <si>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</si>
  <si>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</si>
  <si>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</si>
  <si>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</si>
  <si>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</si>
  <si>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</si>
  <si>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</si>
  <si>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</si>
  <si>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</si>
  <si>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</si>
  <si>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</si>
  <si>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</si>
  <si>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</si>
  <si>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</si>
  <si>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</si>
  <si>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</si>
  <si>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</si>
  <si>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</si>
  <si>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</si>
  <si>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</si>
  <si>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</si>
  <si>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</si>
  <si>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</si>
  <si>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</si>
  <si>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</si>
  <si>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</si>
  <si>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</si>
  <si>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</si>
  <si>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</si>
  <si>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</si>
  <si>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</si>
  <si>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</si>
  <si>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</si>
  <si>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</si>
  <si>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</si>
  <si>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</si>
  <si>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</si>
  <si>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</si>
  <si>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</si>
  <si>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</si>
  <si>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</si>
  <si>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</si>
  <si>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</si>
  <si>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</si>
  <si>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</si>
  <si>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</si>
  <si>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</si>
  <si>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</si>
  <si>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</si>
  <si>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</si>
  <si>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</si>
  <si>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</si>
  <si>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</si>
  <si>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</si>
  <si>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</si>
  <si>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</si>
  <si>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</si>
  <si>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</si>
  <si>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</si>
  <si>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</si>
  <si>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</si>
  <si>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</si>
  <si>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</si>
  <si>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</si>
  <si>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</si>
  <si>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</si>
  <si>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</si>
  <si>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</si>
  <si>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</si>
  <si>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</si>
  <si>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</si>
  <si>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</si>
  <si>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</si>
  <si>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</si>
  <si>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</si>
  <si>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</si>
  <si>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</si>
  <si>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</si>
  <si>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</si>
  <si>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</si>
  <si>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</si>
  <si>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</si>
  <si>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</si>
  <si>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</si>
  <si>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</si>
  <si>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</si>
  <si>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</si>
  <si>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</si>
  <si>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</si>
  <si>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</si>
  <si>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</si>
  <si>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</si>
  <si>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</si>
  <si>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</si>
  <si>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</si>
  <si>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</si>
  <si>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</si>
  <si>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</si>
  <si>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</si>
  <si>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</si>
  <si>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</si>
  <si>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</si>
  <si>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</si>
  <si>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</si>
  <si>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</si>
  <si>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</si>
  <si>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</si>
  <si>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</si>
  <si>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</si>
  <si>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</si>
  <si>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</si>
  <si>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</si>
  <si>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</si>
  <si>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</si>
  <si>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</si>
  <si>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</si>
  <si>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</si>
  <si>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</si>
  <si>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</si>
  <si>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</si>
  <si>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</si>
  <si>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</si>
  <si>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</si>
  <si>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</si>
  <si>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</si>
  <si>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</si>
  <si>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</si>
  <si>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</si>
  <si>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</si>
  <si>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</si>
  <si>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</si>
  <si>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</si>
  <si>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</si>
  <si>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</si>
  <si>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</si>
  <si>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</si>
  <si>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</si>
  <si>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</si>
  <si>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</si>
  <si>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</si>
  <si>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</si>
  <si>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</si>
  <si>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</si>
  <si>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</si>
  <si>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</si>
  <si>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</si>
  <si>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</si>
  <si>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</si>
  <si>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</si>
  <si>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</si>
  <si>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</si>
  <si>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</si>
  <si>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</si>
  <si>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</si>
  <si>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</si>
  <si>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</si>
  <si>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</si>
  <si>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</si>
  <si>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</si>
  <si>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</si>
  <si>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</si>
  <si>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</si>
  <si>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</si>
  <si>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</si>
  <si>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</si>
  <si>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</si>
  <si>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</si>
  <si>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</si>
  <si>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</si>
  <si>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</si>
  <si>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</si>
  <si>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</si>
  <si>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</si>
  <si>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</si>
  <si>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</si>
  <si>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</si>
  <si>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</si>
  <si>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</si>
  <si>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</si>
  <si>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</si>
  <si>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</si>
  <si>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</si>
  <si>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</si>
  <si>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</si>
  <si>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</si>
  <si>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</si>
  <si>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</si>
  <si>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</si>
  <si>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</si>
  <si>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</si>
  <si>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</si>
  <si>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</si>
  <si>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</si>
  <si>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</si>
  <si>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</si>
  <si>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</si>
  <si>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</si>
  <si>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</si>
  <si>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</si>
  <si>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</si>
  <si>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</si>
  <si>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</si>
  <si>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</si>
  <si>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</si>
  <si>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</si>
  <si>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</si>
  <si>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</si>
  <si>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</si>
  <si>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</si>
  <si>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</si>
  <si>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</si>
  <si>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</si>
  <si>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</si>
  <si>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</si>
  <si>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</si>
  <si>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</si>
  <si>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</si>
  <si>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</si>
  <si>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</si>
  <si>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</si>
  <si>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</si>
  <si>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</si>
  <si>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</si>
  <si>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</si>
  <si>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</si>
  <si>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</si>
  <si>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</si>
  <si>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</si>
  <si>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</si>
  <si>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</si>
  <si>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</si>
  <si>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</si>
  <si>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</si>
  <si>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</si>
  <si>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</si>
  <si>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</si>
  <si>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</si>
  <si>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</si>
  <si>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</si>
  <si>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</si>
  <si>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</si>
  <si>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</si>
  <si>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</si>
  <si>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</si>
  <si>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</si>
  <si>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</si>
  <si>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</si>
  <si>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</si>
  <si>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</si>
  <si>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</si>
  <si>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</si>
  <si>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</si>
  <si>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</si>
  <si>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</si>
  <si>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</si>
  <si>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</si>
  <si>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</si>
  <si>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</si>
  <si>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</si>
  <si>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</si>
  <si>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</si>
  <si>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</si>
  <si>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</si>
  <si>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</si>
  <si>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</si>
  <si>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</si>
  <si>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</si>
  <si>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</si>
  <si>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</si>
  <si>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</si>
  <si>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</si>
  <si>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</si>
  <si>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</si>
  <si>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</si>
  <si>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</si>
  <si>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</si>
  <si>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</si>
  <si>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</si>
  <si>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</si>
  <si>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</si>
  <si>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</si>
  <si>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</si>
  <si>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</si>
  <si>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</si>
  <si>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</si>
  <si>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</si>
  <si>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</si>
  <si>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</si>
  <si>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</si>
  <si>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</si>
  <si>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</si>
  <si>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</si>
  <si>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</si>
  <si>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</si>
  <si>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</si>
  <si>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</si>
  <si>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</si>
  <si>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</si>
  <si>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</si>
  <si>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</si>
  <si>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</si>
  <si>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</si>
  <si>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</si>
  <si>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</si>
  <si>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</si>
  <si>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</si>
  <si>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</si>
  <si>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</si>
  <si>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</si>
  <si>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</si>
  <si>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</si>
  <si>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</si>
  <si>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</si>
  <si>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</si>
  <si>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</si>
  <si>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</si>
  <si>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</si>
  <si>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</si>
  <si>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</si>
  <si>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</si>
  <si>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</si>
  <si>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</si>
  <si>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</si>
  <si>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</si>
  <si>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</si>
  <si>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</si>
  <si>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</si>
  <si>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</si>
  <si>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</si>
  <si>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</si>
  <si>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</si>
  <si>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</si>
  <si>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</si>
  <si>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</si>
  <si>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</si>
  <si>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</si>
  <si>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</si>
  <si>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</si>
  <si>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</si>
  <si>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</si>
  <si>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</si>
  <si>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</si>
  <si>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</si>
  <si>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</si>
  <si>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</si>
  <si>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</si>
  <si>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</si>
  <si>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</si>
  <si>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</si>
  <si>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</si>
  <si>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</si>
  <si>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</si>
  <si>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</si>
  <si>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</si>
  <si>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</si>
  <si>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</si>
  <si>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</si>
  <si>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</si>
  <si>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</si>
  <si>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</si>
  <si>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</si>
  <si>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</si>
  <si>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</si>
  <si>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</si>
  <si>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</si>
  <si>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</si>
  <si>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</si>
  <si>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</si>
  <si>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</si>
  <si>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</si>
  <si>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</si>
  <si>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</si>
  <si>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</si>
  <si>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</si>
  <si>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</si>
  <si>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</si>
  <si>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</si>
  <si>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</si>
  <si>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</si>
  <si>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</si>
  <si>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</si>
  <si>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</si>
  <si>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</si>
  <si>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</si>
  <si>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</si>
  <si>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</si>
  <si>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</si>
  <si>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</si>
  <si>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</si>
  <si>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</si>
  <si>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</si>
  <si>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</si>
  <si>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</si>
  <si>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</si>
  <si>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</si>
  <si>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</si>
  <si>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</si>
  <si>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</si>
  <si>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</si>
  <si>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</si>
  <si>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</si>
  <si>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</si>
  <si>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</si>
  <si>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</si>
  <si>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</si>
  <si>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</si>
  <si>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</si>
  <si>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</si>
  <si>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</si>
  <si>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</si>
  <si>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</si>
  <si>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</si>
  <si>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</si>
  <si>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</si>
  <si>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</si>
  <si>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</si>
  <si>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</si>
  <si>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</si>
  <si>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</si>
  <si>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</si>
  <si>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</si>
  <si>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</si>
  <si>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</si>
  <si>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</si>
  <si>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</si>
  <si>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</si>
  <si>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</si>
  <si>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</si>
  <si>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</si>
  <si>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</si>
  <si>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</si>
  <si>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</si>
  <si>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</si>
  <si>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</si>
  <si>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</si>
  <si>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</si>
  <si>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</si>
  <si>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</si>
  <si>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</si>
  <si>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</si>
  <si>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</si>
  <si>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</si>
  <si>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</si>
  <si>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</si>
  <si>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</si>
  <si>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</si>
  <si>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</si>
  <si>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</si>
  <si>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</si>
  <si>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</si>
  <si>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</si>
  <si>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</si>
  <si>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</si>
  <si>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</si>
  <si>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</si>
  <si>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</si>
  <si>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</si>
  <si>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</si>
  <si>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</si>
  <si>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</si>
  <si>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</si>
  <si>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</si>
  <si>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</si>
  <si>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</si>
  <si>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</si>
  <si>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</si>
  <si>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</si>
  <si>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</si>
  <si>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</si>
  <si>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</si>
  <si>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</si>
  <si>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</si>
  <si>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</si>
  <si>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</si>
  <si>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</si>
  <si>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</si>
  <si>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</si>
  <si>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</si>
  <si>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</si>
  <si>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</si>
  <si>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</si>
  <si>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</si>
  <si>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</si>
  <si>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</si>
  <si>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</si>
  <si>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</si>
  <si>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</si>
  <si>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</si>
  <si>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</si>
  <si>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</si>
  <si>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</si>
  <si>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</si>
  <si>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</si>
  <si>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</si>
  <si>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</si>
  <si>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</si>
  <si>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</si>
  <si>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</si>
  <si>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</si>
  <si>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</si>
  <si>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</si>
  <si>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</si>
  <si>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</si>
  <si>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</si>
  <si>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</si>
  <si>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</si>
  <si>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</si>
  <si>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</si>
  <si>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</si>
  <si>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</si>
  <si>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</si>
  <si>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</si>
  <si>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</si>
  <si>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</si>
  <si>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</si>
  <si>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</si>
  <si>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</si>
  <si>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</si>
  <si>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</si>
  <si>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</si>
  <si>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</si>
  <si>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</si>
  <si>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</si>
  <si>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</si>
  <si>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</si>
  <si>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</si>
  <si>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</si>
  <si>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</si>
  <si>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</si>
  <si>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</si>
  <si>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</si>
  <si>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</si>
  <si>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</si>
  <si>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</si>
  <si>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</si>
  <si>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</si>
  <si>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</si>
  <si>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</si>
  <si>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</si>
  <si>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</si>
  <si>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</si>
  <si>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</si>
  <si>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</si>
  <si>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</si>
  <si>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</si>
  <si>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</si>
  <si>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</si>
  <si>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</si>
  <si>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</si>
  <si>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</si>
  <si>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</si>
  <si>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</si>
  <si>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</si>
  <si>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</si>
  <si>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</si>
  <si>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</si>
  <si>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</si>
  <si>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</si>
  <si>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</si>
  <si>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</si>
  <si>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</si>
  <si>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</si>
  <si>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</si>
  <si>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</si>
  <si>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</si>
  <si>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</si>
  <si>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</si>
  <si>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</si>
  <si>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</si>
  <si>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</si>
  <si>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</si>
  <si>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</si>
  <si>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</si>
  <si>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</si>
  <si>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</si>
  <si>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</si>
  <si>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</si>
  <si>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</si>
  <si>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</si>
  <si>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</si>
  <si>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</si>
  <si>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</si>
  <si>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</si>
  <si>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</si>
  <si>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</si>
  <si>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</si>
  <si>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</si>
  <si>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</si>
  <si>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</si>
  <si>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</si>
  <si>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</si>
  <si>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</si>
  <si>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</si>
  <si>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</si>
  <si>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</si>
  <si>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</si>
  <si>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</si>
  <si>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</si>
  <si>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</si>
  <si>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</si>
  <si>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</si>
  <si>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</si>
  <si>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</si>
  <si>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</si>
  <si>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</si>
  <si>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</si>
  <si>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</si>
  <si>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</si>
  <si>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</si>
  <si>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</si>
  <si>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</si>
  <si>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</si>
  <si>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</si>
  <si>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</si>
  <si>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</si>
  <si>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</si>
  <si>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</si>
  <si>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</si>
  <si>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</si>
  <si>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</si>
  <si>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</si>
  <si>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</si>
  <si>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</si>
  <si>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</si>
  <si>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</si>
  <si>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</si>
  <si>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</si>
  <si>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</si>
  <si>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</si>
  <si>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</si>
  <si>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</si>
  <si>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</si>
  <si>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</si>
  <si>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</si>
  <si>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</si>
  <si>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</si>
  <si>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</si>
  <si>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</si>
  <si>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</si>
  <si>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</si>
  <si>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</si>
  <si>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</si>
  <si>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</si>
  <si>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</si>
  <si>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</si>
  <si>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</si>
  <si>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</si>
  <si>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</si>
  <si>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</si>
  <si>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</si>
  <si>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</si>
  <si>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</si>
  <si>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</si>
  <si>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</si>
  <si>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</si>
  <si>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</si>
  <si>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</si>
  <si>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</si>
  <si>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</si>
  <si>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</si>
  <si>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</si>
  <si>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</si>
  <si>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</si>
  <si>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</si>
  <si>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</si>
  <si>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</si>
  <si>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</si>
  <si>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</si>
  <si>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</si>
  <si>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</si>
  <si>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</si>
  <si>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</si>
  <si>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</si>
  <si>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</si>
  <si>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</si>
  <si>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</si>
  <si>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</si>
  <si>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</si>
  <si>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</si>
  <si>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</si>
  <si>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</si>
  <si>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</si>
  <si>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</si>
  <si>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</si>
  <si>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</si>
  <si>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</si>
  <si>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</si>
  <si>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</si>
  <si>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</si>
  <si>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</si>
  <si>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</si>
  <si>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</si>
  <si>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</si>
  <si>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</si>
  <si>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</si>
  <si>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</si>
  <si>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</si>
  <si>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</si>
  <si>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</si>
  <si>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</si>
  <si>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</si>
  <si>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</si>
  <si>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</si>
  <si>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</si>
  <si>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</si>
  <si>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</si>
  <si>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</si>
  <si>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</si>
  <si>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</si>
  <si>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</si>
  <si>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</si>
  <si>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</si>
  <si>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</si>
  <si>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</si>
  <si>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</si>
  <si>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</si>
  <si>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</si>
  <si>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</si>
  <si>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</si>
  <si>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</si>
  <si>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</si>
  <si>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</si>
  <si>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</si>
  <si>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</si>
  <si>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</si>
  <si>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</si>
  <si>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</si>
  <si>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</si>
  <si>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</si>
  <si>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</si>
  <si>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</si>
  <si>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</si>
  <si>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</si>
  <si>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</si>
  <si>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</si>
  <si>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</si>
  <si>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</si>
  <si>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</si>
  <si>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</si>
  <si>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</si>
  <si>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</si>
  <si>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</si>
  <si>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</si>
  <si>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</si>
  <si>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</si>
  <si>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</si>
  <si>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</si>
  <si>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</si>
  <si>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</si>
  <si>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</si>
  <si>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</si>
  <si>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</si>
  <si>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</si>
  <si>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</si>
  <si>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</si>
  <si>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</si>
  <si>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</si>
  <si>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</si>
  <si>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</si>
  <si>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</si>
  <si>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</si>
  <si>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</si>
  <si>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</si>
  <si>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</si>
  <si>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</si>
  <si>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</si>
  <si>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</si>
  <si>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</si>
  <si>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</si>
  <si>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</si>
  <si>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</si>
  <si>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</si>
  <si>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</si>
  <si>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</si>
  <si>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</si>
  <si>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</si>
  <si>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</si>
  <si>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</si>
  <si>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</si>
  <si>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</si>
  <si>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</si>
  <si>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</si>
  <si>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</si>
  <si>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</si>
  <si>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</si>
  <si>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</si>
  <si>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</si>
  <si>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</si>
  <si>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</si>
  <si>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</si>
  <si>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</si>
  <si>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</si>
  <si>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</si>
  <si>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</si>
  <si>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</si>
  <si>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</si>
  <si>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</si>
  <si>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</si>
  <si>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</si>
  <si>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</si>
  <si>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</si>
  <si>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</si>
  <si>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</si>
  <si>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</si>
  <si>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</si>
  <si>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</si>
  <si>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</si>
  <si>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</si>
  <si>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</si>
  <si>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</si>
  <si>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</si>
  <si>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</si>
  <si>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</si>
  <si>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</si>
  <si>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</si>
  <si>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</si>
  <si>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</si>
  <si>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</si>
  <si>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</si>
  <si>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</si>
  <si>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</si>
  <si>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</si>
  <si>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</si>
  <si>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</si>
  <si>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</si>
  <si>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</si>
  <si>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</si>
  <si>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</si>
  <si>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</si>
  <si>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</si>
  <si>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</si>
  <si>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</si>
  <si>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</si>
  <si>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</si>
  <si>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</si>
  <si>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</si>
  <si>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</si>
  <si>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</si>
  <si>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</si>
  <si>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</si>
  <si>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</si>
  <si>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</si>
  <si>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</si>
  <si>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</si>
  <si>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</si>
  <si>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</si>
  <si>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</si>
  <si>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</si>
  <si>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</si>
  <si>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</si>
  <si>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</si>
  <si>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</si>
  <si>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</si>
  <si>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</si>
  <si>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</si>
  <si>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</si>
  <si>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</si>
  <si>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</si>
  <si>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</si>
  <si>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</si>
  <si>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</si>
  <si>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</si>
  <si>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</si>
  <si>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</si>
  <si>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</si>
  <si>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</si>
  <si>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</si>
  <si>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</si>
  <si>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</si>
  <si>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</si>
  <si>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</si>
  <si>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</si>
  <si>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</si>
  <si>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</si>
  <si>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</si>
  <si>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</si>
  <si>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</si>
  <si>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</si>
  <si>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</si>
  <si>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</si>
  <si>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</si>
  <si>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</si>
  <si>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</si>
  <si>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</si>
  <si>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</si>
  <si>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</si>
  <si>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</si>
  <si>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</si>
  <si>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</si>
  <si>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</si>
  <si>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</si>
  <si>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</si>
  <si>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</si>
  <si>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</si>
  <si>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</si>
  <si>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</si>
  <si>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</si>
  <si>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</si>
  <si>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</si>
  <si>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</si>
  <si>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</si>
  <si>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</si>
  <si>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</si>
  <si>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</si>
  <si>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</si>
  <si>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</si>
  <si>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</si>
  <si>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</si>
  <si>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</si>
  <si>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</si>
  <si>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</si>
  <si>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</si>
  <si>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</si>
  <si>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</si>
  <si>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</si>
  <si>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</si>
  <si>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</si>
  <si>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</si>
  <si>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</si>
  <si>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</si>
  <si>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</si>
  <si>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</si>
  <si>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</si>
  <si>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</si>
  <si>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</si>
  <si>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</si>
  <si>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</si>
  <si>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</si>
  <si>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</si>
  <si>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</si>
  <si>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</si>
  <si>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</si>
  <si>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</si>
  <si>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</si>
  <si>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</si>
  <si>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</si>
  <si>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</si>
  <si>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</si>
  <si>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</si>
  <si>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</si>
  <si>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</si>
  <si>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</si>
  <si>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</si>
  <si>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</si>
  <si>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</si>
  <si>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</si>
  <si>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</si>
  <si>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</si>
  <si>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</si>
  <si>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</si>
  <si>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</si>
  <si>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</si>
  <si>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</si>
  <si>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</si>
  <si>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</si>
  <si>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</si>
  <si>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</si>
  <si>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</si>
  <si>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</si>
  <si>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</si>
  <si>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</si>
  <si>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</si>
  <si>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</si>
  <si>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</si>
  <si>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</si>
  <si>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</si>
  <si>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</si>
  <si>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</si>
  <si>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</si>
  <si>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</si>
  <si>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</si>
  <si>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</si>
  <si>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</si>
  <si>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</si>
  <si>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</si>
  <si>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</si>
  <si>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</si>
  <si>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</si>
  <si>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</si>
  <si>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</si>
  <si>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</si>
  <si>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</si>
  <si>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</si>
  <si>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</si>
  <si>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</si>
  <si>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</si>
  <si>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</si>
  <si>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</si>
  <si>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</si>
  <si>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</si>
  <si>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</si>
  <si>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</si>
  <si>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</si>
  <si>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</si>
  <si>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</si>
  <si>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</si>
  <si>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</si>
  <si>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</si>
  <si>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</si>
  <si>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</si>
  <si>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</si>
  <si>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</si>
  <si>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</si>
  <si>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</si>
  <si>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</si>
  <si>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</si>
  <si>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</si>
  <si>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</si>
  <si>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</si>
  <si>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</si>
  <si>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</si>
  <si>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</si>
  <si>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</si>
  <si>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</si>
  <si>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</si>
  <si>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</si>
  <si>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</si>
  <si>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</si>
  <si>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</si>
  <si>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</si>
  <si>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</si>
  <si>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</si>
  <si>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</si>
  <si>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</si>
  <si>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</si>
  <si>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</si>
  <si>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</si>
  <si>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</si>
  <si>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</si>
  <si>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</si>
  <si>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</si>
  <si>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</si>
  <si>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</si>
  <si>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</si>
  <si>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</si>
  <si>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</si>
  <si>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</si>
  <si>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</si>
  <si>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</si>
  <si>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</si>
  <si>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</si>
  <si>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</si>
  <si>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</si>
  <si>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</si>
  <si>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</si>
  <si>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</si>
  <si>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</si>
  <si>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</si>
  <si>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</si>
  <si>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</si>
  <si>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</si>
  <si>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</si>
  <si>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</si>
  <si>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</si>
  <si>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</si>
  <si>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</si>
  <si>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</si>
  <si>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</si>
  <si>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</si>
  <si>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</si>
  <si>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</si>
  <si>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</si>
  <si>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</si>
  <si>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</si>
  <si>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</si>
  <si>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</si>
  <si>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</si>
  <si>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</si>
  <si>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</si>
  <si>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</si>
  <si>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</si>
  <si>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</si>
  <si>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</si>
  <si>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</si>
  <si>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</si>
  <si>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</si>
  <si>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</si>
  <si>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</si>
  <si>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</si>
  <si>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</si>
  <si>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</si>
  <si>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</si>
  <si>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</si>
  <si>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</si>
  <si>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</si>
  <si>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</si>
  <si>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</si>
  <si>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</si>
  <si>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</si>
  <si>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</si>
  <si>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</si>
  <si>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</si>
  <si>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</si>
  <si>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</si>
  <si>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</si>
  <si>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</si>
  <si>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</si>
  <si>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</si>
  <si>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</si>
  <si>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</si>
  <si>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</si>
  <si>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</si>
  <si>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</si>
  <si>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</si>
  <si>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</si>
  <si>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</si>
  <si>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</si>
  <si>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</si>
  <si>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</si>
  <si>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</si>
  <si>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</si>
  <si>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</si>
  <si>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</si>
  <si>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</si>
  <si>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</si>
  <si>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</si>
  <si>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</si>
  <si>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</si>
  <si>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</si>
  <si>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</si>
  <si>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</si>
  <si>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</si>
  <si>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</si>
  <si>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</si>
  <si>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</si>
  <si>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</si>
  <si>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</si>
  <si>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</si>
  <si>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</si>
  <si>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</si>
  <si>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</si>
  <si>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</si>
  <si>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</si>
  <si>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</si>
  <si>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</si>
  <si>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</si>
  <si>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</si>
  <si>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</si>
  <si>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</si>
  <si>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</si>
  <si>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</si>
  <si>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</si>
  <si>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</si>
  <si>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</si>
  <si>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</si>
  <si>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</si>
  <si>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</si>
  <si>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</si>
  <si>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</si>
  <si>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</si>
  <si>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</si>
  <si>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</si>
  <si>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</si>
  <si>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</si>
  <si>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</si>
  <si>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</si>
  <si>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</si>
  <si>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</si>
  <si>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</si>
  <si>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</si>
  <si>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</si>
  <si>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</si>
  <si>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</si>
  <si>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</si>
  <si>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</si>
  <si>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</si>
  <si>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</si>
  <si>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</si>
  <si>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</si>
  <si>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</si>
  <si>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</si>
  <si>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</si>
  <si>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</si>
  <si>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</si>
  <si>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</si>
  <si>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</si>
  <si>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</si>
  <si>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</si>
  <si>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</si>
  <si>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</si>
  <si>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</si>
  <si>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</si>
  <si>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</si>
  <si>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</si>
  <si>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</si>
  <si>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</si>
  <si>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</si>
  <si>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</si>
  <si>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</si>
  <si>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</si>
  <si>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</si>
  <si>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</si>
  <si>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</si>
  <si>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</si>
  <si>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</si>
  <si>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</si>
  <si>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</si>
  <si>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</si>
  <si>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</si>
  <si>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</si>
  <si>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</si>
  <si>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</si>
  <si>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</si>
  <si>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</si>
  <si>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</si>
  <si>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</si>
  <si>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</si>
  <si>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</si>
  <si>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</si>
  <si>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</si>
  <si>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</si>
  <si>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</si>
  <si>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</si>
  <si>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</si>
  <si>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</si>
  <si>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</si>
  <si>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</si>
  <si>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</si>
  <si>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</si>
  <si>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</si>
  <si>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</si>
  <si>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</si>
  <si>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</si>
  <si>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</si>
  <si>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</si>
  <si>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</si>
  <si>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</si>
  <si>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</si>
  <si>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</si>
  <si>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</si>
  <si>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</si>
  <si>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</si>
  <si>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</si>
  <si>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</si>
  <si>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</si>
  <si>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</si>
  <si>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</si>
  <si>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</si>
  <si>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</si>
  <si>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</si>
  <si>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</si>
  <si>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</si>
  <si>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</si>
  <si>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</si>
  <si>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</si>
  <si>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</si>
  <si>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</si>
  <si>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</si>
  <si>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</si>
  <si>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</si>
  <si>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</si>
  <si>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</si>
  <si>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</si>
  <si>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</si>
  <si>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</si>
  <si>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</si>
  <si>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</si>
  <si>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</si>
  <si>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</si>
  <si>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</si>
  <si>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</si>
  <si>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</si>
  <si>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</si>
  <si>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</si>
  <si>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</si>
  <si>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</si>
  <si>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</si>
  <si>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</si>
  <si>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</si>
  <si>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</si>
  <si>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</si>
  <si>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</si>
  <si>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</si>
  <si>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</si>
  <si>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</si>
  <si>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</si>
  <si>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</si>
  <si>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</si>
  <si>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</si>
  <si>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</si>
  <si>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</si>
  <si>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</si>
  <si>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</si>
  <si>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</si>
  <si>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</si>
  <si>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</si>
  <si>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</si>
  <si>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</si>
  <si>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</si>
  <si>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</si>
  <si>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</si>
  <si>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</si>
  <si>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</si>
  <si>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</si>
  <si>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</si>
  <si>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</si>
  <si>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</si>
  <si>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</si>
  <si>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</si>
  <si>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</si>
  <si>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</si>
  <si>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</si>
  <si>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</si>
  <si>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</si>
  <si>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</si>
  <si>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</si>
  <si>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</si>
  <si>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</si>
  <si>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</si>
  <si>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</si>
  <si>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</si>
  <si>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</si>
  <si>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</si>
  <si>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</si>
  <si>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</si>
  <si>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</si>
  <si>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</si>
  <si>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</si>
  <si>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</si>
  <si>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</si>
  <si>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</si>
  <si>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</si>
  <si>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</si>
  <si>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</si>
  <si>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</si>
  <si>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</si>
  <si>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</si>
  <si>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</si>
  <si>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</si>
  <si>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</si>
  <si>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</si>
  <si>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</si>
  <si>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</si>
  <si>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</si>
  <si>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</si>
  <si>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</si>
  <si>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</si>
  <si>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</si>
  <si>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</si>
  <si>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</si>
  <si>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</si>
  <si>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</si>
  <si>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</si>
  <si>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</si>
  <si>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</si>
  <si>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</si>
  <si>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</si>
  <si>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</si>
  <si>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</si>
  <si>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</si>
  <si>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</si>
  <si>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</si>
  <si>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</si>
  <si>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</si>
  <si>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</si>
  <si>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</si>
  <si>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</si>
  <si>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</si>
  <si>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</si>
  <si>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</si>
  <si>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</si>
  <si>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</si>
  <si>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</si>
  <si>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</si>
  <si>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</si>
  <si>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</si>
  <si>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</si>
  <si>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</si>
  <si>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</si>
  <si>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</si>
  <si>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</si>
  <si>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</si>
  <si>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</si>
  <si>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</si>
  <si>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</si>
  <si>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</si>
  <si>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</si>
  <si>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</si>
  <si>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</si>
  <si>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</si>
  <si>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</si>
  <si>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</si>
  <si>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</si>
  <si>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</si>
  <si>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</si>
  <si>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</si>
  <si>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</si>
  <si>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</si>
  <si>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</si>
  <si>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</si>
  <si>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</si>
  <si>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</si>
  <si>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</si>
  <si>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</si>
  <si>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</si>
  <si>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</si>
  <si>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</si>
  <si>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</si>
  <si>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</si>
  <si>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</si>
  <si>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</si>
  <si>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</si>
  <si>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</si>
  <si>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</si>
  <si>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</si>
  <si>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</si>
  <si>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</si>
  <si>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</si>
  <si>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</si>
  <si>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</si>
  <si>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</si>
  <si>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</si>
  <si>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</si>
  <si>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</si>
  <si>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</si>
  <si>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</si>
  <si>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</si>
  <si>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</si>
  <si>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</si>
  <si>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</si>
  <si>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</si>
  <si>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</si>
  <si>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</si>
  <si>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</si>
  <si>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</si>
  <si>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</si>
  <si>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</si>
  <si>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</si>
  <si>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</si>
  <si>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</si>
  <si>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</si>
  <si>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</si>
  <si>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</si>
  <si>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</si>
  <si>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</si>
  <si>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</si>
  <si>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</si>
  <si>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</si>
  <si>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</si>
  <si>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</si>
  <si>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</si>
  <si>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</si>
  <si>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</si>
  <si>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</si>
  <si>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</si>
  <si>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</si>
  <si>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</si>
  <si>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</si>
  <si>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</si>
  <si>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</si>
  <si>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</si>
  <si>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</si>
  <si>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</si>
  <si>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</si>
  <si>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</si>
  <si>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</si>
  <si>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</si>
  <si>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</si>
  <si>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</si>
  <si>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</si>
  <si>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</si>
  <si>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</si>
  <si>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</si>
  <si>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</si>
  <si>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</si>
  <si>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</si>
  <si>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</si>
  <si>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</si>
  <si>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</si>
  <si>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</si>
  <si>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</si>
  <si>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</si>
  <si>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</si>
  <si>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</si>
  <si>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</si>
  <si>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</si>
  <si>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</si>
  <si>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</si>
  <si>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</si>
  <si>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</si>
  <si>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</si>
  <si>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</si>
  <si>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</si>
  <si>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</si>
  <si>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</si>
  <si>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</si>
  <si>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</si>
  <si>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</si>
  <si>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</si>
  <si>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</si>
  <si>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</si>
  <si>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</si>
  <si>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</si>
  <si>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</si>
  <si>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</si>
  <si>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</si>
  <si>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</si>
  <si>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</si>
  <si>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</si>
  <si>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</si>
  <si>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</si>
  <si>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</si>
  <si>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</si>
  <si>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</si>
  <si>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</si>
  <si>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</si>
  <si>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</si>
  <si>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</si>
  <si>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</si>
  <si>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</si>
  <si>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</si>
  <si>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</si>
  <si>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</si>
  <si>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</si>
  <si>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</si>
  <si>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</si>
  <si>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</si>
  <si>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</si>
  <si>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</si>
  <si>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</si>
  <si>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</si>
  <si>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</si>
  <si>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</si>
  <si>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</si>
  <si>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</si>
  <si>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</si>
  <si>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</si>
  <si>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</si>
  <si>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</si>
  <si>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</si>
  <si>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</si>
  <si>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</si>
  <si>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</si>
  <si>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</si>
  <si>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</si>
  <si>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</si>
  <si>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</si>
  <si>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</si>
  <si>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</si>
  <si>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</si>
  <si>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</si>
  <si>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</si>
  <si>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</si>
  <si>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</si>
  <si>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</si>
  <si>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</si>
  <si>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</si>
  <si>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</si>
  <si>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</si>
  <si>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</si>
  <si>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</si>
  <si>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</si>
  <si>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</si>
  <si>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</si>
  <si>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</si>
  <si>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</si>
  <si>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</si>
  <si>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</si>
  <si>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</si>
  <si>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</si>
  <si>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</si>
  <si>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</si>
  <si>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</si>
  <si>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</si>
  <si>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</si>
  <si>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</si>
  <si>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</si>
  <si>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</si>
  <si>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</si>
  <si>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</si>
  <si>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</si>
  <si>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</si>
  <si>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</si>
  <si>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</si>
  <si>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</si>
  <si>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</si>
  <si>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</si>
  <si>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</si>
  <si>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</si>
  <si>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</si>
  <si>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</si>
  <si>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</si>
  <si>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</si>
  <si>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</si>
  <si>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</si>
  <si>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</si>
  <si>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</si>
  <si>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</si>
  <si>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</si>
  <si>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</si>
  <si>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</si>
  <si>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</si>
  <si>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</si>
  <si>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</si>
  <si>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</si>
  <si>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</si>
  <si>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</si>
  <si>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</si>
  <si>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</si>
  <si>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</si>
  <si>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</si>
  <si>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</si>
  <si>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</si>
  <si>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</si>
  <si>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</si>
  <si>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</si>
  <si>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</si>
  <si>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</si>
  <si>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</si>
  <si>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</si>
  <si>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</si>
  <si>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</si>
  <si>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</si>
  <si>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</si>
  <si>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</si>
  <si>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</si>
  <si>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</si>
  <si>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</si>
  <si>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</si>
  <si>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</si>
  <si>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</si>
  <si>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</si>
  <si>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</si>
  <si>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</si>
  <si>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</si>
  <si>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</si>
  <si>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</si>
  <si>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</si>
  <si>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</si>
  <si>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</si>
  <si>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</si>
  <si>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</si>
  <si>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</si>
  <si>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</si>
  <si>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</si>
  <si>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</si>
  <si>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</si>
  <si>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</si>
  <si>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</si>
  <si>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</si>
  <si>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</si>
  <si>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</si>
  <si>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</si>
  <si>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</si>
  <si>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</si>
  <si>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</si>
  <si>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</si>
  <si>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</si>
  <si>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</si>
  <si>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</si>
  <si>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</si>
  <si>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</si>
  <si>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</si>
  <si>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</si>
  <si>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</si>
  <si>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</si>
  <si>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</si>
  <si>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</si>
  <si>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</si>
  <si>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</si>
  <si>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</si>
  <si>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</si>
  <si>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</si>
  <si>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</si>
  <si>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</si>
  <si>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</si>
  <si>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</si>
  <si>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</si>
  <si>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</si>
  <si>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</si>
  <si>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</si>
  <si>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</si>
  <si>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</si>
  <si>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</si>
  <si>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</si>
  <si>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</si>
  <si>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</si>
  <si>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</si>
  <si>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</si>
  <si>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</si>
  <si>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</si>
  <si>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</si>
  <si>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</si>
  <si>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</si>
  <si>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</si>
  <si>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</si>
  <si>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</si>
  <si>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</si>
  <si>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</si>
  <si>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</si>
  <si>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</si>
  <si>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</si>
  <si>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</si>
  <si>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</si>
  <si>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</si>
  <si>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</si>
  <si>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</si>
  <si>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</si>
  <si>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</si>
  <si>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</si>
  <si>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</si>
  <si>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</si>
  <si>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</si>
  <si>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</si>
  <si>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</si>
  <si>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</si>
  <si>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</si>
  <si>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</si>
  <si>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</si>
  <si>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</si>
  <si>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</si>
  <si>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</si>
  <si>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</si>
  <si>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</si>
  <si>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</si>
  <si>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</si>
  <si>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</si>
  <si>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</si>
  <si>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</si>
  <si>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</si>
  <si>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</si>
  <si>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</si>
  <si>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</si>
  <si>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</si>
  <si>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</si>
  <si>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</si>
  <si>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</si>
  <si>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</si>
  <si>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</si>
  <si>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</si>
  <si>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</si>
  <si>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</si>
  <si>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</si>
  <si>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</si>
  <si>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</si>
  <si>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</si>
  <si>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</si>
  <si>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</si>
  <si>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</si>
  <si>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</si>
  <si>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</si>
  <si>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</si>
  <si>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</si>
  <si>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</si>
  <si>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</si>
  <si>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</si>
  <si>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</si>
  <si>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</si>
  <si>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</si>
  <si>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</si>
  <si>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</si>
  <si>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</si>
  <si>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</si>
  <si>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</si>
  <si>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</si>
  <si>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</si>
  <si>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</si>
  <si>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</si>
  <si>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</si>
  <si>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</si>
  <si>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</si>
  <si>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</si>
  <si>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</si>
  <si>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</si>
  <si>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</si>
  <si>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</si>
  <si>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</si>
  <si>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</si>
  <si>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</si>
  <si>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</si>
  <si>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</si>
  <si>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</si>
  <si>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</si>
  <si>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</si>
  <si>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</si>
  <si>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</si>
  <si>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</si>
  <si>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</si>
  <si>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</si>
  <si>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</si>
  <si>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</si>
  <si>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</si>
  <si>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</si>
  <si>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</si>
  <si>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</si>
  <si>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</si>
  <si>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</si>
  <si>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</si>
  <si>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</si>
  <si>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</si>
  <si>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</si>
  <si>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</si>
  <si>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</si>
  <si>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</si>
  <si>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</si>
  <si>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</si>
  <si>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</si>
  <si>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</si>
  <si>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</si>
  <si>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</si>
  <si>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</si>
  <si>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</si>
  <si>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</si>
  <si>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</si>
  <si>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</si>
  <si>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</si>
  <si>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</si>
  <si>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</si>
  <si>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</si>
  <si>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</si>
  <si>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</si>
  <si>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</si>
  <si>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</si>
  <si>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</si>
  <si>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</si>
  <si>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</si>
  <si>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</si>
  <si>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</si>
  <si>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</si>
  <si>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</si>
  <si>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</si>
  <si>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</si>
  <si>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</si>
  <si>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</si>
  <si>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</si>
  <si>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</si>
  <si>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</si>
  <si>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</si>
  <si>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</si>
  <si>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</si>
  <si>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</si>
  <si>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</si>
  <si>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</si>
  <si>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</si>
  <si>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</si>
  <si>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</si>
  <si>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</si>
  <si>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</si>
  <si>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</si>
  <si>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</si>
  <si>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</si>
  <si>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</si>
  <si>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</si>
  <si>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</si>
  <si>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</si>
  <si>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</si>
  <si>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</si>
  <si>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</si>
  <si>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</si>
  <si>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</si>
  <si>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</si>
  <si>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</si>
  <si>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</si>
  <si>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</si>
  <si>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</si>
  <si>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</si>
  <si>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</si>
  <si>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</si>
  <si>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</si>
  <si>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</si>
  <si>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</si>
  <si>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</si>
  <si>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</si>
  <si>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</si>
  <si>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</si>
  <si>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</si>
  <si>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</si>
  <si>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</si>
  <si>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</si>
  <si>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</si>
  <si>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</si>
  <si>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</si>
  <si>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</si>
  <si>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</si>
  <si>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</si>
  <si>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</si>
  <si>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</si>
  <si>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</si>
  <si>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</si>
  <si>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</si>
  <si>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</si>
  <si>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</si>
  <si>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</si>
  <si>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</si>
  <si>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</si>
  <si>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</si>
  <si>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</si>
  <si>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</si>
  <si>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</si>
  <si>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</si>
  <si>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</si>
  <si>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</si>
  <si>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</si>
  <si>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</si>
  <si>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</si>
  <si>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</si>
  <si>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</si>
  <si>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</si>
  <si>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</si>
  <si>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</si>
  <si>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</si>
  <si>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</si>
  <si>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</si>
  <si>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</si>
  <si>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</si>
  <si>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</si>
  <si>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</si>
  <si>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</si>
  <si>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</si>
  <si>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</si>
  <si>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</si>
  <si>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</si>
  <si>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</si>
  <si>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</si>
  <si>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</si>
  <si>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</si>
  <si>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</si>
  <si>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</si>
  <si>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</si>
  <si>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</si>
  <si>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</si>
  <si>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</si>
  <si>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</si>
  <si>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</si>
  <si>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</si>
  <si>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</si>
  <si>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</si>
  <si>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</si>
  <si>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</si>
  <si>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</si>
  <si>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</si>
  <si>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</si>
  <si>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</si>
  <si>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</si>
  <si>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</si>
  <si>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</si>
  <si>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</si>
  <si>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</si>
  <si>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</si>
  <si>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</si>
  <si>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</si>
  <si>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</si>
  <si>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</si>
  <si>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</si>
  <si>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</si>
  <si>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</si>
  <si>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</si>
  <si>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</si>
  <si>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</si>
  <si>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</si>
  <si>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</si>
  <si>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</si>
  <si>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</si>
  <si>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</si>
  <si>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</si>
  <si>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</si>
  <si>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</si>
  <si>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</si>
  <si>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</si>
  <si>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</si>
  <si>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</si>
  <si>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</si>
  <si>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</si>
  <si>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</si>
  <si>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</si>
  <si>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</si>
  <si>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</si>
  <si>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</si>
  <si>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</si>
  <si>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</si>
  <si>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</si>
  <si>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</si>
  <si>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</si>
  <si>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</si>
  <si>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</si>
  <si>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</si>
  <si>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</si>
  <si>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</si>
  <si>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</si>
  <si>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</si>
  <si>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</si>
  <si>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</si>
  <si>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</si>
  <si>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</si>
  <si>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</si>
  <si>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</si>
  <si>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</si>
  <si>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</si>
  <si>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</si>
  <si>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</si>
  <si>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</si>
  <si>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</si>
  <si>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</si>
  <si>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</si>
  <si>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</si>
  <si>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</si>
  <si>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</si>
  <si>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</si>
  <si>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</si>
  <si>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</si>
  <si>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</si>
  <si>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</si>
  <si>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</si>
  <si>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</si>
  <si>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</si>
  <si>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</si>
  <si>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</si>
  <si>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</si>
  <si>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</si>
  <si>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</si>
  <si>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</si>
  <si>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</si>
  <si>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</si>
  <si>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</si>
  <si>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</si>
  <si>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</si>
  <si>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</si>
  <si>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</si>
  <si>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</si>
  <si>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</si>
  <si>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</si>
  <si>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</si>
  <si>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</si>
  <si>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</si>
  <si>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</si>
  <si>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</si>
  <si>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</si>
  <si>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</si>
  <si>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</si>
  <si>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</si>
  <si>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</si>
  <si>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</si>
  <si>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</si>
  <si>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</si>
  <si>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</si>
  <si>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</si>
  <si>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</si>
  <si>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</si>
  <si>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</si>
  <si>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</si>
  <si>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</si>
  <si>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</si>
  <si>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</si>
  <si>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</si>
  <si>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</si>
  <si>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</si>
  <si>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</si>
  <si>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</si>
  <si>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</si>
  <si>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</si>
  <si>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</si>
  <si>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</si>
  <si>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</si>
  <si>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</si>
  <si>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</si>
  <si>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</si>
  <si>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</si>
  <si>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</si>
  <si>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</si>
  <si>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</si>
  <si>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</si>
  <si>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</si>
  <si>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</si>
  <si>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</si>
  <si>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</si>
  <si>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</si>
  <si>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</si>
  <si>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</si>
  <si>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</si>
  <si>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</si>
  <si>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</si>
  <si>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</si>
  <si>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</si>
  <si>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</si>
  <si>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</si>
  <si>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</si>
  <si>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</si>
  <si>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</si>
  <si>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</si>
  <si>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</si>
  <si>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</si>
  <si>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</si>
  <si>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</si>
  <si>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</si>
  <si>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</si>
  <si>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</si>
  <si>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</si>
  <si>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</si>
  <si>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</si>
  <si>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</si>
  <si>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</si>
  <si>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</si>
  <si>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</si>
  <si>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</si>
  <si>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</si>
  <si>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</si>
  <si>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</si>
  <si>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</si>
  <si>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</si>
  <si>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</si>
  <si>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</si>
  <si>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</si>
  <si>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</si>
  <si>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</si>
  <si>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</si>
  <si>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</si>
  <si>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</si>
  <si>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</si>
  <si>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</si>
  <si>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</si>
  <si>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</si>
  <si>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</si>
  <si>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</si>
  <si>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</si>
  <si>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</si>
  <si>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</si>
  <si>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</si>
  <si>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</si>
  <si>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</si>
  <si>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</si>
  <si>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</si>
  <si>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</si>
  <si>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</si>
  <si>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</si>
  <si>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</si>
  <si>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</si>
  <si>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</si>
  <si>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</si>
  <si>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</si>
  <si>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</si>
  <si>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</si>
  <si>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</si>
  <si>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</si>
  <si>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</si>
  <si>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</si>
  <si>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</si>
  <si>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</si>
  <si>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</si>
  <si>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</si>
  <si>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</si>
  <si>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</si>
  <si>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</si>
  <si>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</si>
  <si>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</si>
  <si>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</si>
  <si>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</si>
  <si>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</si>
  <si>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</si>
  <si>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</si>
  <si>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</si>
  <si>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</si>
  <si>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</si>
  <si>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</si>
  <si>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</si>
  <si>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</si>
  <si>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</si>
  <si>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</si>
  <si>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</si>
  <si>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</si>
  <si>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</si>
  <si>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</si>
  <si>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</si>
  <si>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</si>
  <si>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</si>
  <si>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</si>
  <si>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</si>
  <si>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</si>
  <si>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</si>
  <si>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</si>
  <si>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</si>
  <si>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</si>
  <si>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</si>
  <si>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</si>
  <si>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</si>
  <si>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</si>
  <si>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</si>
  <si>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</si>
  <si>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</si>
  <si>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</si>
  <si>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</si>
  <si>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</si>
  <si>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</si>
  <si>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</si>
  <si>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</si>
  <si>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</si>
  <si>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</si>
  <si>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</si>
  <si>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</si>
  <si>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</si>
  <si>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</si>
  <si>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</si>
  <si>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</si>
  <si>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</si>
  <si>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</si>
  <si>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</si>
  <si>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</si>
  <si>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</si>
  <si>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</si>
  <si>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</si>
  <si>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</si>
  <si>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</si>
  <si>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</si>
  <si>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</si>
  <si>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</si>
  <si>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</si>
  <si>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</si>
  <si>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</si>
  <si>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</si>
  <si>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</si>
  <si>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</si>
  <si>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</si>
  <si>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</si>
  <si>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</si>
  <si>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</si>
  <si>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</si>
  <si>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</si>
  <si>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</si>
  <si>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</si>
  <si>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</si>
  <si>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</si>
  <si>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</si>
  <si>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</si>
  <si>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</si>
  <si>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</si>
  <si>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</si>
  <si>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</si>
  <si>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</si>
  <si>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</si>
  <si>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</si>
  <si>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</si>
  <si>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</si>
  <si>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</si>
  <si>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</si>
  <si>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</si>
  <si>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</si>
  <si>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</si>
  <si>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</si>
  <si>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</si>
  <si>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</si>
  <si>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</si>
  <si>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</si>
  <si>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</si>
  <si>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</si>
  <si>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</si>
  <si>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</si>
  <si>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</si>
  <si>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</si>
  <si>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</si>
  <si>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</si>
  <si>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</si>
  <si>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</si>
  <si>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</si>
  <si>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</si>
  <si>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</si>
  <si>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</si>
  <si>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</si>
  <si>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</si>
  <si>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</si>
  <si>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</si>
  <si>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</si>
  <si>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</si>
  <si>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</si>
  <si>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</si>
  <si>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</si>
  <si>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</si>
  <si>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</si>
  <si>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</si>
  <si>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</si>
  <si>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</si>
  <si>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</si>
  <si>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</si>
  <si>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</si>
  <si>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</si>
  <si>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</si>
  <si>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</si>
  <si>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</si>
  <si>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</si>
  <si>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</si>
  <si>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</si>
  <si>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</si>
  <si>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</si>
  <si>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</si>
  <si>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</si>
  <si>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</si>
  <si>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</si>
  <si>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</si>
  <si>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</si>
  <si>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</si>
  <si>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</si>
  <si>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</si>
  <si>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</si>
  <si>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</si>
  <si>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</si>
  <si>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</si>
  <si>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</si>
  <si>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</si>
  <si>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</si>
  <si>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</si>
  <si>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</si>
  <si>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</si>
  <si>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</si>
  <si>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</si>
  <si>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</si>
  <si>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</si>
  <si>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</si>
  <si>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</si>
  <si>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</si>
  <si>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</si>
  <si>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</si>
  <si>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</si>
  <si>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</si>
  <si>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</si>
  <si>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</si>
  <si>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</si>
  <si>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</si>
  <si>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</si>
  <si>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</si>
  <si>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</si>
  <si>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</si>
  <si>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</si>
  <si>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</si>
  <si>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</si>
  <si>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</si>
  <si>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</si>
  <si>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</si>
  <si>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</si>
  <si>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</si>
  <si>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</si>
  <si>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</si>
  <si>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</si>
  <si>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</si>
  <si>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</si>
  <si>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</si>
  <si>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</si>
  <si>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</si>
  <si>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</si>
  <si>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</si>
  <si>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</si>
  <si>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</si>
  <si>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</si>
  <si>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</si>
  <si>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</si>
  <si>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</si>
  <si>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</si>
  <si>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</si>
  <si>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</si>
  <si>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</si>
  <si>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</si>
  <si>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</si>
  <si>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</si>
  <si>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</si>
  <si>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</si>
  <si>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</si>
  <si>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</si>
  <si>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</si>
  <si>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</si>
  <si>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</si>
  <si>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</si>
  <si>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</si>
  <si>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</si>
  <si>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</si>
  <si>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</si>
  <si>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</si>
  <si>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</si>
  <si>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</si>
  <si>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</si>
  <si>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</si>
  <si>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</si>
  <si>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</si>
  <si>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</si>
  <si>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</si>
  <si>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</si>
  <si>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</si>
  <si>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</si>
  <si>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</si>
  <si>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</si>
  <si>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</si>
  <si>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</si>
  <si>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</si>
  <si>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</si>
  <si>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</si>
  <si>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</si>
  <si>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</si>
  <si>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</si>
  <si>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</si>
  <si>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</si>
  <si>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</si>
  <si>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</si>
  <si>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</si>
  <si>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</si>
  <si>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</si>
  <si>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</si>
  <si>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</si>
  <si>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</si>
  <si>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</si>
  <si>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</si>
  <si>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</si>
  <si>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</si>
  <si>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</si>
  <si>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</si>
  <si>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</si>
  <si>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</si>
  <si>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</si>
  <si>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</si>
  <si>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</si>
  <si>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</si>
  <si>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</si>
  <si>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</si>
  <si>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</si>
  <si>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</si>
  <si>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</si>
  <si>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</si>
  <si>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</si>
  <si>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</si>
  <si>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</si>
  <si>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</si>
  <si>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</si>
  <si>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</si>
  <si>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</si>
  <si>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</si>
  <si>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</si>
  <si>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</si>
  <si>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</si>
  <si>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</si>
  <si>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</si>
  <si>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</si>
  <si>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</si>
  <si>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</si>
  <si>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</si>
  <si>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</si>
  <si>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</si>
  <si>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</si>
  <si>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</si>
  <si>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</si>
  <si>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</si>
  <si>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</si>
  <si>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</si>
  <si>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</si>
  <si>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</si>
  <si>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</si>
  <si>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</si>
  <si>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</si>
  <si>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</si>
  <si>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</si>
  <si>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</si>
  <si>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</si>
  <si>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</si>
  <si>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</si>
  <si>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</si>
  <si>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</si>
  <si>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</si>
  <si>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</si>
  <si>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</si>
  <si>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</si>
  <si>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</si>
  <si>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</si>
  <si>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</si>
  <si>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</si>
  <si>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</si>
  <si>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</si>
  <si>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</si>
  <si>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</si>
  <si>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</si>
  <si>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</si>
  <si>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</si>
  <si>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</si>
  <si>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</si>
  <si>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</si>
  <si>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</si>
  <si>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</si>
  <si>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</si>
  <si>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</si>
  <si>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</si>
  <si>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</si>
  <si>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</si>
  <si>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</si>
  <si>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</si>
  <si>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</si>
  <si>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</si>
  <si>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</si>
  <si>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</si>
  <si>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</si>
  <si>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</si>
  <si>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</si>
  <si>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</si>
  <si>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</si>
  <si>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</si>
  <si>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</si>
  <si>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</si>
  <si>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</si>
  <si>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</si>
  <si>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</si>
  <si>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</si>
  <si>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</si>
  <si>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</si>
  <si>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</si>
  <si>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</si>
  <si>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</si>
  <si>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</si>
  <si>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</si>
  <si>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</si>
  <si>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</si>
  <si>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</si>
  <si>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</si>
  <si>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</si>
  <si>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</si>
  <si>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</si>
  <si>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</si>
  <si>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</si>
  <si>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</si>
  <si>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</si>
  <si>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</si>
  <si>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</si>
  <si>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</si>
  <si>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</si>
  <si>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</si>
  <si>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</si>
  <si>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</si>
  <si>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</si>
  <si>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</si>
  <si>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</si>
  <si>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</si>
  <si>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</si>
  <si>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</si>
  <si>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</si>
  <si>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</si>
  <si>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</si>
  <si>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</si>
  <si>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</si>
  <si>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</si>
  <si>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</si>
  <si>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</si>
  <si>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</si>
  <si>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</si>
  <si>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</si>
  <si>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</si>
  <si>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</si>
  <si>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</si>
  <si>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</si>
  <si>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</si>
  <si>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</si>
  <si>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</si>
  <si>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</si>
  <si>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</si>
  <si>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</si>
  <si>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</si>
  <si>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</si>
  <si>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</si>
  <si>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</si>
  <si>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</si>
  <si>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</si>
  <si>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</si>
  <si>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</si>
  <si>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</si>
  <si>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</si>
  <si>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</si>
  <si>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</si>
  <si>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</si>
  <si>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</si>
  <si>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</si>
  <si>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</si>
  <si>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</si>
  <si>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</si>
  <si>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</si>
  <si>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</si>
  <si>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</si>
  <si>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</si>
  <si>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</si>
  <si>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</si>
  <si>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</si>
  <si>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</si>
  <si>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</si>
  <si>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</si>
  <si>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</si>
  <si>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</si>
  <si>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</si>
  <si>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</si>
  <si>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</si>
  <si>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</si>
  <si>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</si>
  <si>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</si>
  <si>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</si>
  <si>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</si>
  <si>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</si>
  <si>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</si>
  <si>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</si>
  <si>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</si>
  <si>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</si>
  <si>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</si>
  <si>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</si>
  <si>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</si>
  <si>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</si>
  <si>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</si>
  <si>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</si>
  <si>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</si>
  <si>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</si>
  <si>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</si>
  <si>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</si>
  <si>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</si>
  <si>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</si>
  <si>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</si>
  <si>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</si>
  <si>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</si>
  <si>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</si>
  <si>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</si>
  <si>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</si>
  <si>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</si>
  <si>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</si>
  <si>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</si>
  <si>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</si>
  <si>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</si>
  <si>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</si>
  <si>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</si>
  <si>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</si>
  <si>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</si>
  <si>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</si>
  <si>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</si>
  <si>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</si>
  <si>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</si>
  <si>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</si>
  <si>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</si>
  <si>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</si>
  <si>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</si>
  <si>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</si>
  <si>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</si>
  <si>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</si>
  <si>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</si>
  <si>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</si>
  <si>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</si>
  <si>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</si>
  <si>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</si>
  <si>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</si>
  <si>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</si>
  <si>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</si>
  <si>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</si>
  <si>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</si>
  <si>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</si>
  <si>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</si>
  <si>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</si>
  <si>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</si>
  <si>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</si>
  <si>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</si>
  <si>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</si>
  <si>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</si>
  <si>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</si>
  <si>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</si>
  <si>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</si>
  <si>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</si>
  <si>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</si>
  <si>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</si>
  <si>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</si>
  <si>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</si>
  <si>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</si>
  <si>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</si>
  <si>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</si>
  <si>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</si>
  <si>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</si>
  <si>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</si>
  <si>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</si>
  <si>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</si>
  <si>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</si>
  <si>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</si>
  <si>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</si>
  <si>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</si>
  <si>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</si>
  <si>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</si>
  <si>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</si>
  <si>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</si>
  <si>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</si>
  <si>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</si>
  <si>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</si>
  <si>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</si>
  <si>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</si>
  <si>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</si>
  <si>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</si>
  <si>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</si>
  <si>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</si>
  <si>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</si>
  <si>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</si>
  <si>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</si>
  <si>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</si>
  <si>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</si>
  <si>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</si>
  <si>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</si>
  <si>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</si>
  <si>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</si>
  <si>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</si>
  <si>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</si>
  <si>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</si>
  <si>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</si>
  <si>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</si>
  <si>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</si>
  <si>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</si>
  <si>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</si>
  <si>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</si>
  <si>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</si>
  <si>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</si>
  <si>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</si>
  <si>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</si>
  <si>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</si>
  <si>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</si>
  <si>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</si>
  <si>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</si>
  <si>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</si>
  <si>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</si>
  <si>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</si>
  <si>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</si>
  <si>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</si>
  <si>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</si>
  <si>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</si>
  <si>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</si>
  <si>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</si>
  <si>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</si>
  <si>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</si>
  <si>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</si>
  <si>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</si>
  <si>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</si>
  <si>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</si>
  <si>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</si>
  <si>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</si>
  <si>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</si>
  <si>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</si>
  <si>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</si>
  <si>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</si>
  <si>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</si>
  <si>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</si>
  <si>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</si>
  <si>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</si>
  <si>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</si>
  <si>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</si>
  <si>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</si>
  <si>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</si>
  <si>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</si>
  <si>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</si>
  <si>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</si>
  <si>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</si>
  <si>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</si>
  <si>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</si>
  <si>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</si>
  <si>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</si>
  <si>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</si>
  <si>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</si>
  <si>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</si>
  <si>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</si>
  <si>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</si>
  <si>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</si>
  <si>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</si>
  <si>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</si>
  <si>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</si>
  <si>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</si>
  <si>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</si>
  <si>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</si>
  <si>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</si>
  <si>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</si>
  <si>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</si>
  <si>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</si>
  <si>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</si>
  <si>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</si>
  <si>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</si>
  <si>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</si>
  <si>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</si>
  <si>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</si>
  <si>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</si>
  <si>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</si>
  <si>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</si>
  <si>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</si>
  <si>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</si>
  <si>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</si>
  <si>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</si>
  <si>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</si>
  <si>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</si>
  <si>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</si>
  <si>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</si>
  <si>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</si>
  <si>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</si>
  <si>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</si>
  <si>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</si>
  <si>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</si>
  <si>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</si>
  <si>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</si>
  <si>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</si>
  <si>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</si>
  <si>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</si>
  <si>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</si>
  <si>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</si>
  <si>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</si>
  <si>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</si>
  <si>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</si>
  <si>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</si>
  <si>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</si>
  <si>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</si>
  <si>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</si>
  <si>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</si>
  <si>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</si>
  <si>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</si>
  <si>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</si>
  <si>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</si>
  <si>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</si>
  <si>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</si>
  <si>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</si>
  <si>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</si>
  <si>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</si>
  <si>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</si>
  <si>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</si>
  <si>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</si>
  <si>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</si>
  <si>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</si>
  <si>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</si>
  <si>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</si>
  <si>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</si>
  <si>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</si>
  <si>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</si>
  <si>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</si>
  <si>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</si>
  <si>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</si>
  <si>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</si>
  <si>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</si>
  <si>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</si>
  <si>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</si>
  <si>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</si>
  <si>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</si>
  <si>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</si>
  <si>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</si>
  <si>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</si>
  <si>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</si>
  <si>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</si>
  <si>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</si>
  <si>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</si>
  <si>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</si>
  <si>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</si>
  <si>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</si>
  <si>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</si>
  <si>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</si>
  <si>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</si>
  <si>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</si>
  <si>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</si>
  <si>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</si>
  <si>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</si>
  <si>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</si>
  <si>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</si>
  <si>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</si>
  <si>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</si>
  <si>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</si>
  <si>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</si>
  <si>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</si>
  <si>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</si>
  <si>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</si>
  <si>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</si>
  <si>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</si>
  <si>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</si>
  <si>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</si>
  <si>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</si>
  <si>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</si>
  <si>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</si>
  <si>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</si>
  <si>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</si>
  <si>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</si>
  <si>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</si>
  <si>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</si>
  <si>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</si>
  <si>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</si>
  <si>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</si>
  <si>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</si>
  <si>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</si>
  <si>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</si>
  <si>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</si>
  <si>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</si>
  <si>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</si>
  <si>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</si>
  <si>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</si>
  <si>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</si>
  <si>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</si>
  <si>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</si>
  <si>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</si>
  <si>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</si>
  <si>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</si>
  <si>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</si>
  <si>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</si>
  <si>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</si>
  <si>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</si>
  <si>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</si>
  <si>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</si>
  <si>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</si>
  <si>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</si>
  <si>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</si>
  <si>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</si>
  <si>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</si>
  <si>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</si>
  <si>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</si>
  <si>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</si>
  <si>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</si>
  <si>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</si>
  <si>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</si>
  <si>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</si>
  <si>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</si>
  <si>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</si>
  <si>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</si>
  <si>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</si>
  <si>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</si>
  <si>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</si>
  <si>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</si>
  <si>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</si>
  <si>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</si>
  <si>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</si>
  <si>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</si>
  <si>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</si>
  <si>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</si>
  <si>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</si>
  <si>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</si>
  <si>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</si>
  <si>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</si>
  <si>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</si>
  <si>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</si>
  <si>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</si>
  <si>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</si>
  <si>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</si>
  <si>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</si>
  <si>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</si>
  <si>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</si>
  <si>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</si>
  <si>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</si>
  <si>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</si>
  <si>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</si>
  <si>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</si>
  <si>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</si>
  <si>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</si>
  <si>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</si>
  <si>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</si>
  <si>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</si>
  <si>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</si>
  <si>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</si>
  <si>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</si>
  <si>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</si>
  <si>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</si>
  <si>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</si>
  <si>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</si>
  <si>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</si>
  <si>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</si>
  <si>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</si>
  <si>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</si>
  <si>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</si>
  <si>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</si>
  <si>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</si>
  <si>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</si>
  <si>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</si>
  <si>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</si>
  <si>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</si>
  <si>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</si>
  <si>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</si>
  <si>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</si>
  <si>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</si>
  <si>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</si>
  <si>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</si>
  <si>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</si>
  <si>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</si>
  <si>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</si>
  <si>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</si>
  <si>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</si>
  <si>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</si>
  <si>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</si>
  <si>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</si>
  <si>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</si>
  <si>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</si>
  <si>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</si>
  <si>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</si>
  <si>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</si>
  <si>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</si>
  <si>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</si>
  <si>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</si>
  <si>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</si>
  <si>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</si>
  <si>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</si>
  <si>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</si>
  <si>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</si>
  <si>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</si>
  <si>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</si>
  <si>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</si>
  <si>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</si>
  <si>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</si>
  <si>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</si>
  <si>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</si>
  <si>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</si>
  <si>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</si>
  <si>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</si>
  <si>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</si>
  <si>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</si>
  <si>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</si>
  <si>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</si>
  <si>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</si>
  <si>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</si>
  <si>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</si>
  <si>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</si>
  <si>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</si>
  <si>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</si>
  <si>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</si>
  <si>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</si>
  <si>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</si>
  <si>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</si>
  <si>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</si>
  <si>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</si>
  <si>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</si>
  <si>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</si>
  <si>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</si>
  <si>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</si>
  <si>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</si>
  <si>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</si>
  <si>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</si>
  <si>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</si>
  <si>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</si>
  <si>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</si>
  <si>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</si>
  <si>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</si>
  <si>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</si>
  <si>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</si>
  <si>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</si>
  <si>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</si>
  <si>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</si>
  <si>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</si>
  <si>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</si>
  <si>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</si>
  <si>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</si>
  <si>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</si>
  <si>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</si>
  <si>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</si>
  <si>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</si>
  <si>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</si>
  <si>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</si>
  <si>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</si>
  <si>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</si>
  <si>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</si>
  <si>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</si>
  <si>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</si>
  <si>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</si>
  <si>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</si>
  <si>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</si>
  <si>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</si>
  <si>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</si>
  <si>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</si>
  <si>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</si>
  <si>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</si>
  <si>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</si>
  <si>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</si>
  <si>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</si>
  <si>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</si>
  <si>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</si>
  <si>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</si>
  <si>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</si>
  <si>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</si>
  <si>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</si>
  <si>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</si>
  <si>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</si>
  <si>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</si>
  <si>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</si>
  <si>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</si>
  <si>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</si>
  <si>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</si>
  <si>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</si>
  <si>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</si>
  <si>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</si>
  <si>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</si>
  <si>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</si>
  <si>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</si>
  <si>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</si>
  <si>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</si>
  <si>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</si>
  <si>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</si>
  <si>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</si>
  <si>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</si>
  <si>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</si>
  <si>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</si>
  <si>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</si>
  <si>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</si>
  <si>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</si>
  <si>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</si>
  <si>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</si>
  <si>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</si>
  <si>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</si>
  <si>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</si>
  <si>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</si>
  <si>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</si>
  <si>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</si>
  <si>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</si>
  <si>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</si>
  <si>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</si>
  <si>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</si>
  <si>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</si>
  <si>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</si>
  <si>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</si>
  <si>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</si>
  <si>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</si>
  <si>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</si>
  <si>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</si>
  <si>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</si>
  <si>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</si>
  <si>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</si>
  <si>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</si>
  <si>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</si>
  <si>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</si>
  <si>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</si>
  <si>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</si>
  <si>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</si>
  <si>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</si>
  <si>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</si>
  <si>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</si>
  <si>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</si>
  <si>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</si>
  <si>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</si>
  <si>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</si>
  <si>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</si>
  <si>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</si>
  <si>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</si>
  <si>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</si>
  <si>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</si>
  <si>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</si>
  <si>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</si>
  <si>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</si>
  <si>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</si>
  <si>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</si>
  <si>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</si>
  <si>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</si>
  <si>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</si>
  <si>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</si>
  <si>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</si>
  <si>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</si>
  <si>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</si>
  <si>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</si>
  <si>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</si>
  <si>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</si>
  <si>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</si>
  <si>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</si>
  <si>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</si>
  <si>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</si>
  <si>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</si>
  <si>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</si>
  <si>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</si>
  <si>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</si>
  <si>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</si>
  <si>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</si>
  <si>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</si>
  <si>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</si>
  <si>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</si>
  <si>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</si>
  <si>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</si>
  <si>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</si>
  <si>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</si>
  <si>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</si>
  <si>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</si>
  <si>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</si>
  <si>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</si>
  <si>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</si>
  <si>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</si>
  <si>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</si>
  <si>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</si>
  <si>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</si>
  <si>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</si>
  <si>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</si>
  <si>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</si>
  <si>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</si>
  <si>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</si>
  <si>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</si>
  <si>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</si>
  <si>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</si>
  <si>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</si>
  <si>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</si>
  <si>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</si>
  <si>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</si>
  <si>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</si>
  <si>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</si>
  <si>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</si>
  <si>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</si>
  <si>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</si>
  <si>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</si>
  <si>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</si>
  <si>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</si>
  <si>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</si>
  <si>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</si>
  <si>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</si>
  <si>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</si>
  <si>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</si>
  <si>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</si>
  <si>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</si>
  <si>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</si>
  <si>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</si>
  <si>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</si>
  <si>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</si>
  <si>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</si>
  <si>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</si>
  <si>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</si>
  <si>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</si>
  <si>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</si>
  <si>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</si>
  <si>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</si>
  <si>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</si>
  <si>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</si>
  <si>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</si>
  <si>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</si>
  <si>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</si>
  <si>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</si>
  <si>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</si>
  <si>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</si>
  <si>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</si>
  <si>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</si>
  <si>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</si>
  <si>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</si>
  <si>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</si>
  <si>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</si>
  <si>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</si>
  <si>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</si>
  <si>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</si>
  <si>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</si>
  <si>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</si>
  <si>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</si>
  <si>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</si>
  <si>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</si>
  <si>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</si>
  <si>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</si>
  <si>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</si>
  <si>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</si>
  <si>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</si>
  <si>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</si>
  <si>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</si>
  <si>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</si>
  <si>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</si>
  <si>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</si>
  <si>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</si>
  <si>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</si>
  <si>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</si>
  <si>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</si>
  <si>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</si>
  <si>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</si>
  <si>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</si>
  <si>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</si>
  <si>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</si>
  <si>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</si>
  <si>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</si>
  <si>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</si>
  <si>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</si>
  <si>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</si>
  <si>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</si>
  <si>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</si>
  <si>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</si>
  <si>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</si>
  <si>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</si>
  <si>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</si>
  <si>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</si>
  <si>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</si>
  <si>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</si>
  <si>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</si>
  <si>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</si>
  <si>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</si>
  <si>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</si>
  <si>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</si>
  <si>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</si>
  <si>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</si>
  <si>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</si>
  <si>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</si>
  <si>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</si>
  <si>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</si>
  <si>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</si>
  <si>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</si>
  <si>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</si>
  <si>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</si>
  <si>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</si>
  <si>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</si>
  <si>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</si>
  <si>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</si>
  <si>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</si>
  <si>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</si>
  <si>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</si>
  <si>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</si>
  <si>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</si>
  <si>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</si>
  <si>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</si>
  <si>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</si>
  <si>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</si>
  <si>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</si>
  <si>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</si>
  <si>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</si>
  <si>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</si>
  <si>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</si>
  <si>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</si>
  <si>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</si>
  <si>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</si>
  <si>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</si>
  <si>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</si>
  <si>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</si>
  <si>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</si>
  <si>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</si>
  <si>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</si>
  <si>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</si>
  <si>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</si>
  <si>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</si>
  <si>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</si>
  <si>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</si>
  <si>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</si>
  <si>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</si>
  <si>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</si>
  <si>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</si>
  <si>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</si>
  <si>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</si>
  <si>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</si>
  <si>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</si>
  <si>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</si>
  <si>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</si>
  <si>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</si>
  <si>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</si>
  <si>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</si>
  <si>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</si>
  <si>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</si>
  <si>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</si>
  <si>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</si>
  <si>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</si>
  <si>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</si>
  <si>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</si>
  <si>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</si>
  <si>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</si>
  <si>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</si>
  <si>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</si>
  <si>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</si>
  <si>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</si>
  <si>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</si>
  <si>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</si>
  <si>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</si>
  <si>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</si>
  <si>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</si>
  <si>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</si>
  <si>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</si>
  <si>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</si>
  <si>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</si>
  <si>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</si>
  <si>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</si>
  <si>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</si>
  <si>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</si>
  <si>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</si>
  <si>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</si>
  <si>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</si>
  <si>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</si>
  <si>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</si>
  <si>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</si>
  <si>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</si>
  <si>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</si>
  <si>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</si>
  <si>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</si>
  <si>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</si>
  <si>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</si>
  <si>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</si>
  <si>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</si>
  <si>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</si>
  <si>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</si>
  <si>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</si>
  <si>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</si>
  <si>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</si>
  <si>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</si>
  <si>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</si>
  <si>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</si>
  <si>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</si>
  <si>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</si>
  <si>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</si>
  <si>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</si>
  <si>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</si>
  <si>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</si>
  <si>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</si>
  <si>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</si>
  <si>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</si>
  <si>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</si>
  <si>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</si>
  <si>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</si>
  <si>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</si>
  <si>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</si>
  <si>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</si>
  <si>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</si>
  <si>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</si>
  <si>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</si>
  <si>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</si>
  <si>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</si>
  <si>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</si>
  <si>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</si>
  <si>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</si>
  <si>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</si>
  <si>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</si>
  <si>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</si>
  <si>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</si>
  <si>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</si>
  <si>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</si>
  <si>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</si>
  <si>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</si>
  <si>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</si>
  <si>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</si>
  <si>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</si>
  <si>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</si>
  <si>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</si>
  <si>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</si>
  <si>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</si>
  <si>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</si>
  <si>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</si>
  <si>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</si>
  <si>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</si>
  <si>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</si>
  <si>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</si>
  <si>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</si>
  <si>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</si>
  <si>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</si>
  <si>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</si>
  <si>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</si>
  <si>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</si>
  <si>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</si>
  <si>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</si>
  <si>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</si>
  <si>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</si>
  <si>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</si>
  <si>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</si>
  <si>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</si>
  <si>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</si>
  <si>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</si>
  <si>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</si>
  <si>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</si>
  <si>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</si>
  <si>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</si>
  <si>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</si>
  <si>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</si>
  <si>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</si>
  <si>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</si>
  <si>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</si>
  <si>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</si>
  <si>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</si>
  <si>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</si>
  <si>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</si>
  <si>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</si>
  <si>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</si>
  <si>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</si>
  <si>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</si>
  <si>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</si>
  <si>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</si>
  <si>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</si>
  <si>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</si>
  <si>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</si>
  <si>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</si>
  <si>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</si>
  <si>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</si>
  <si>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</si>
  <si>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</si>
  <si>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</si>
  <si>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</si>
  <si>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</si>
  <si>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</si>
  <si>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</si>
  <si>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</si>
  <si>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</si>
  <si>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</si>
  <si>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</si>
  <si>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</si>
  <si>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</si>
  <si>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</si>
  <si>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</si>
  <si>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</si>
  <si>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</si>
  <si>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</si>
  <si>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</si>
  <si>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</si>
  <si>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</si>
  <si>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</si>
  <si>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</si>
  <si>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</si>
  <si>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</si>
  <si>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</si>
  <si>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</si>
  <si>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</si>
  <si>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</si>
  <si>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</si>
  <si>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</si>
  <si>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</si>
  <si>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</si>
  <si>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</si>
  <si>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</si>
  <si>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</si>
  <si>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</si>
  <si>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</si>
  <si>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</si>
  <si>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</si>
  <si>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</si>
  <si>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</si>
  <si>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</si>
  <si>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</si>
  <si>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</si>
  <si>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</si>
  <si>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</si>
  <si>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</si>
  <si>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</si>
  <si>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</si>
  <si>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</si>
  <si>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</si>
  <si>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</si>
  <si>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</si>
  <si>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</si>
  <si>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</si>
  <si>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</si>
  <si>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</si>
  <si>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</si>
  <si>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</si>
  <si>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</si>
  <si>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</si>
  <si>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</si>
  <si>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</si>
  <si>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</si>
  <si>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</si>
  <si>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</si>
  <si>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</si>
  <si>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</si>
  <si>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</si>
  <si>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</si>
  <si>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</si>
  <si>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</si>
  <si>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</si>
  <si>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</si>
  <si>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</si>
  <si>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</si>
  <si>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</si>
  <si>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</si>
  <si>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</si>
  <si>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</si>
  <si>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</si>
  <si>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</si>
  <si>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</si>
  <si>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</si>
  <si>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</si>
  <si>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</si>
  <si>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</si>
  <si>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</si>
  <si>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</si>
  <si>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</si>
  <si>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</si>
  <si>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</si>
  <si>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</si>
  <si>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</si>
  <si>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</si>
  <si>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</si>
  <si>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</si>
  <si>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</si>
  <si>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</si>
  <si>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</si>
  <si>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</si>
  <si>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</si>
  <si>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</si>
  <si>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</si>
  <si>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</si>
  <si>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</si>
  <si>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</si>
  <si>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</si>
  <si>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</si>
  <si>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</si>
  <si>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</si>
  <si>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</si>
  <si>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</si>
  <si>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</si>
  <si>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</si>
  <si>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</si>
  <si>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</si>
  <si>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</si>
  <si>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</si>
  <si>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</si>
  <si>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</si>
  <si>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</si>
  <si>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</si>
  <si>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</si>
  <si>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</si>
  <si>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</si>
  <si>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</si>
  <si>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</si>
  <si>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</si>
  <si>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</si>
  <si>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</si>
  <si>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</si>
  <si>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</si>
  <si>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</si>
  <si>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</si>
  <si>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</si>
  <si>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</si>
  <si>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</si>
  <si>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</si>
  <si>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</si>
  <si>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</si>
  <si>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</si>
  <si>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</si>
  <si>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</si>
  <si>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</si>
  <si>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</si>
  <si>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</si>
  <si>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</si>
  <si>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</si>
  <si>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</si>
  <si>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</si>
  <si>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</si>
  <si>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</si>
  <si>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</si>
  <si>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</si>
  <si>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</si>
  <si>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</si>
  <si>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</si>
  <si>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</si>
  <si>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</si>
  <si>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</si>
  <si>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</si>
  <si>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</si>
  <si>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</si>
  <si>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</si>
  <si>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</si>
  <si>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</si>
  <si>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</si>
  <si>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</si>
  <si>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</si>
  <si>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</si>
  <si>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</si>
  <si>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</si>
  <si>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</si>
  <si>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</si>
  <si>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</si>
  <si>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</si>
  <si>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</si>
  <si>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</si>
  <si>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</si>
  <si>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</si>
  <si>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</si>
  <si>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</si>
  <si>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</si>
  <si>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</si>
  <si>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</si>
  <si>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</si>
  <si>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</si>
  <si>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</si>
  <si>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</si>
  <si>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</si>
  <si>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</si>
  <si>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</si>
  <si>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</si>
  <si>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</si>
  <si>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</si>
  <si>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</si>
  <si>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</si>
  <si>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</si>
  <si>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</si>
  <si>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</si>
  <si>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</si>
  <si>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</si>
  <si>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</si>
  <si>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</si>
  <si>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</si>
  <si>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</si>
  <si>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</si>
  <si>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</si>
  <si>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</si>
  <si>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</si>
  <si>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</si>
  <si>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</si>
  <si>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</si>
  <si>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</si>
  <si>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</si>
  <si>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</si>
  <si>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</si>
  <si>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</si>
  <si>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</si>
  <si>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</si>
  <si>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</si>
  <si>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</si>
  <si>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</si>
  <si>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</si>
  <si>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</si>
  <si>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</si>
  <si>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</si>
  <si>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</si>
  <si>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</si>
  <si>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</si>
  <si>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</si>
  <si>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</si>
  <si>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</si>
  <si>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</si>
  <si>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</si>
  <si>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</si>
  <si>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</si>
  <si>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</si>
  <si>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</si>
  <si>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</si>
  <si>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</si>
  <si>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</si>
  <si>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</si>
  <si>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</si>
  <si>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</si>
  <si>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</si>
  <si>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</si>
  <si>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</si>
  <si>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</si>
  <si>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</si>
  <si>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</si>
  <si>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</si>
  <si>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</si>
  <si>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</si>
  <si>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</si>
  <si>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</si>
  <si>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</si>
  <si>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</si>
  <si>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</si>
  <si>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</si>
  <si>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</si>
  <si>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</si>
  <si>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</si>
  <si>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</si>
  <si>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</si>
  <si>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</si>
  <si>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</si>
  <si>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</si>
  <si>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</si>
  <si>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</si>
  <si>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</si>
  <si>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</si>
  <si>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</si>
  <si>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</si>
  <si>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</si>
  <si>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</si>
  <si>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</si>
  <si>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</si>
  <si>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</si>
  <si>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</si>
  <si>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</si>
  <si>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</si>
  <si>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</si>
  <si>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</si>
  <si>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</si>
  <si>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</si>
  <si>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</si>
  <si>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</si>
  <si>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</si>
  <si>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</si>
  <si>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</si>
  <si>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</si>
  <si>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</si>
  <si>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</si>
  <si>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</si>
  <si>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</si>
  <si>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</si>
  <si>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</si>
  <si>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</si>
  <si>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</si>
  <si>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</si>
  <si>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</si>
  <si>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</si>
  <si>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</si>
  <si>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</si>
  <si>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</si>
  <si>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</si>
  <si>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</si>
  <si>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</si>
  <si>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</si>
  <si>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</si>
  <si>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</si>
  <si>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</si>
  <si>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</si>
  <si>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</si>
  <si>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</si>
  <si>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</si>
  <si>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</si>
  <si>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</si>
  <si>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</si>
  <si>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</si>
  <si>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</si>
  <si>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</si>
  <si>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</si>
  <si>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</si>
  <si>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</si>
  <si>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</si>
  <si>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</si>
  <si>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</si>
  <si>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</si>
  <si>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</si>
  <si>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</si>
  <si>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</si>
  <si>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</si>
  <si>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</si>
  <si>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</si>
  <si>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</si>
  <si>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</si>
  <si>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</si>
  <si>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</si>
  <si>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</si>
  <si>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</si>
  <si>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</si>
  <si>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</si>
  <si>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</si>
  <si>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</si>
  <si>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</si>
  <si>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</si>
  <si>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</si>
  <si>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</si>
  <si>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</si>
  <si>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</si>
  <si>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</si>
  <si>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</si>
  <si>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</si>
  <si>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</si>
  <si>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</si>
  <si>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</si>
  <si>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</si>
  <si>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</si>
  <si>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</si>
  <si>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</si>
  <si>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</si>
  <si>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</si>
  <si>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</si>
  <si>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</si>
  <si>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</si>
  <si>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</si>
  <si>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</si>
  <si>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</si>
  <si>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</si>
  <si>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</si>
  <si>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</si>
  <si>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</si>
  <si>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</si>
  <si>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</si>
  <si>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</si>
  <si>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</si>
  <si>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</si>
  <si>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</si>
  <si>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</si>
  <si>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</si>
  <si>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</si>
  <si>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</si>
  <si>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</si>
  <si>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</si>
  <si>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</si>
  <si>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</si>
  <si>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</si>
  <si>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</si>
  <si>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</si>
  <si>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</si>
  <si>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</si>
  <si>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</si>
  <si>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</si>
  <si>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</si>
  <si>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</si>
  <si>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</si>
  <si>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</si>
  <si>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</si>
  <si>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</si>
  <si>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</si>
  <si>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</si>
  <si>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</si>
  <si>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</si>
  <si>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</si>
  <si>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</si>
  <si>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</si>
  <si>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</si>
  <si>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</si>
  <si>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</si>
  <si>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</si>
  <si>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</si>
  <si>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</si>
  <si>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</si>
  <si>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</si>
  <si>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</si>
  <si>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</si>
  <si>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</si>
  <si>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</si>
  <si>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</si>
  <si>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</si>
  <si>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</si>
  <si>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</si>
  <si>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</si>
  <si>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</si>
  <si>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</si>
  <si>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</si>
  <si>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</si>
  <si>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</si>
  <si>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</si>
  <si>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</si>
  <si>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</si>
  <si>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</si>
  <si>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</si>
  <si>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</si>
  <si>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</si>
  <si>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</si>
  <si>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</si>
  <si>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</si>
  <si>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</si>
  <si>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</si>
  <si>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</si>
  <si>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</si>
  <si>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</si>
  <si>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</si>
  <si>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</si>
  <si>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</si>
  <si>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</si>
  <si>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</si>
  <si>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</si>
  <si>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</si>
  <si>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</si>
  <si>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</si>
  <si>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</si>
  <si>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</si>
  <si>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</si>
  <si>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</si>
  <si>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</si>
  <si>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</si>
  <si>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</si>
  <si>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</si>
  <si>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</si>
  <si>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</si>
  <si>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</si>
  <si>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</si>
  <si>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</si>
  <si>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</si>
  <si>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</si>
  <si>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</si>
  <si>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</si>
  <si>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</si>
  <si>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</si>
  <si>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</si>
  <si>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</si>
  <si>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</si>
  <si>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</si>
  <si>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</si>
  <si>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</si>
  <si>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</si>
  <si>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</si>
  <si>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</si>
  <si>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</si>
  <si>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</si>
  <si>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</si>
  <si>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</si>
  <si>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</si>
  <si>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</si>
  <si>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</si>
  <si>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</si>
  <si>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</si>
  <si>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</si>
  <si>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</si>
  <si>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</si>
  <si>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</si>
  <si>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</si>
  <si>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</si>
  <si>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</si>
  <si>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</si>
  <si>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</si>
  <si>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</si>
  <si>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</si>
  <si>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</si>
  <si>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</si>
  <si>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</si>
  <si>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</si>
  <si>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</si>
  <si>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</si>
  <si>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</si>
  <si>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</si>
  <si>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</si>
  <si>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</si>
  <si>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</si>
  <si>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</si>
  <si>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</si>
  <si>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</si>
  <si>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</si>
  <si>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</si>
  <si>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</si>
  <si>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</si>
  <si>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</si>
  <si>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</si>
  <si>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</si>
  <si>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</si>
  <si>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</si>
  <si>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</si>
  <si>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</si>
  <si>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</si>
  <si>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</si>
  <si>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</si>
  <si>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</si>
  <si>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</si>
  <si>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</si>
  <si>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</si>
  <si>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</si>
  <si>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</si>
  <si>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</si>
  <si>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</si>
  <si>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</si>
  <si>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</si>
  <si>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</si>
  <si>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</si>
  <si>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</si>
  <si>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</si>
  <si>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</si>
  <si>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</si>
  <si>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</si>
  <si>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</si>
  <si>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</si>
  <si>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</si>
  <si>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</si>
  <si>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</si>
  <si>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</si>
  <si>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</si>
  <si>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</si>
  <si>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</si>
  <si>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</si>
  <si>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</si>
  <si>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</si>
  <si>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</si>
  <si>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</si>
  <si>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</si>
  <si>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</si>
  <si>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</si>
  <si>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</si>
  <si>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</si>
  <si>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</si>
  <si>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</si>
  <si>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</si>
  <si>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</si>
  <si>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</si>
  <si>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</si>
  <si>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</si>
  <si>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</si>
  <si>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</si>
  <si>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</si>
  <si>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</si>
  <si>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</si>
  <si>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</si>
  <si>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</si>
  <si>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</si>
  <si>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</si>
  <si>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</si>
  <si>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</si>
  <si>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</si>
  <si>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</si>
  <si>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</si>
  <si>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</si>
  <si>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</si>
  <si>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</si>
  <si>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</si>
  <si>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</si>
  <si>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</si>
  <si>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</si>
  <si>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</si>
  <si>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</si>
  <si>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</si>
  <si>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</si>
  <si>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</si>
  <si>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</si>
  <si>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</si>
  <si>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</si>
  <si>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</si>
  <si>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</si>
  <si>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</si>
  <si>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</si>
  <si>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</si>
  <si>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</si>
  <si>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</si>
  <si>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</si>
  <si>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</si>
  <si>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</si>
  <si>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</si>
  <si>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</si>
  <si>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</si>
  <si>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</si>
  <si>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</si>
  <si>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</si>
  <si>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</si>
  <si>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</si>
  <si>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</si>
  <si>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</si>
  <si>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</si>
  <si>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</si>
  <si>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</si>
  <si>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</si>
  <si>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</si>
  <si>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</si>
  <si>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</si>
  <si>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</si>
  <si>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</si>
  <si>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</si>
  <si>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</si>
  <si>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</si>
  <si>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</si>
  <si>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</si>
  <si>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</si>
  <si>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</si>
  <si>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</si>
  <si>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</si>
  <si>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</si>
  <si>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</si>
  <si>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</si>
  <si>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</si>
  <si>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</si>
  <si>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</si>
  <si>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</si>
  <si>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</si>
  <si>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</si>
  <si>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</si>
  <si>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</si>
  <si>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</si>
  <si>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</si>
  <si>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</si>
  <si>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</si>
  <si>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</si>
  <si>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</si>
  <si>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</si>
  <si>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</si>
  <si>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</si>
  <si>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</si>
  <si>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</si>
  <si>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</si>
  <si>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</si>
  <si>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</si>
  <si>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</si>
  <si>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</si>
  <si>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</si>
  <si>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</si>
  <si>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</si>
  <si>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</si>
  <si>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</si>
  <si>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</si>
  <si>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</si>
  <si>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</si>
  <si>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</si>
  <si>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</si>
  <si>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</si>
  <si>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</si>
  <si>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</si>
  <si>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</si>
  <si>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</si>
  <si>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</si>
  <si>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</si>
  <si>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</si>
  <si>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</si>
  <si>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</si>
  <si>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</si>
  <si>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</si>
  <si>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</si>
  <si>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</si>
  <si>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</si>
  <si>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</si>
  <si>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</si>
  <si>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</si>
  <si>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</si>
  <si>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</si>
  <si>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</si>
  <si>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</si>
  <si>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</si>
  <si>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</si>
  <si>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</si>
  <si>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</si>
  <si>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</si>
  <si>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</si>
  <si>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</si>
  <si>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</si>
  <si>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</si>
  <si>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</si>
  <si>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</si>
  <si>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</si>
  <si>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</si>
  <si>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</si>
  <si>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</si>
  <si>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</si>
  <si>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</si>
  <si>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</si>
  <si>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</si>
  <si>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</si>
  <si>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</si>
  <si>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</si>
  <si>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</si>
  <si>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</si>
  <si>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</si>
  <si>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</si>
  <si>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</si>
  <si>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</si>
  <si>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</si>
  <si>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</si>
  <si>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</si>
  <si>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</si>
  <si>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</si>
  <si>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</si>
  <si>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</si>
  <si>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</si>
  <si>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</si>
  <si>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</si>
  <si>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</si>
  <si>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</si>
  <si>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</si>
  <si>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</si>
  <si>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</si>
  <si>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</si>
  <si>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</si>
  <si>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</si>
  <si>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</si>
  <si>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</si>
  <si>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</si>
  <si>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</si>
  <si>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</si>
  <si>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</si>
  <si>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</si>
  <si>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</si>
  <si>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</si>
  <si>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</si>
  <si>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</si>
  <si>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</si>
  <si>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</si>
  <si>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</si>
  <si>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</si>
  <si>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</si>
  <si>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</si>
  <si>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</si>
  <si>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</si>
  <si>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</si>
  <si>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</si>
  <si>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</si>
  <si>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</si>
  <si>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</si>
  <si>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</si>
  <si>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</si>
  <si>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</si>
  <si>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</si>
  <si>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</si>
  <si>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</si>
  <si>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</si>
  <si>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</si>
  <si>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</si>
  <si>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</si>
  <si>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</si>
  <si>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</si>
  <si>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</si>
  <si>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</si>
  <si>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</si>
  <si>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</si>
  <si>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</si>
  <si>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</si>
  <si>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</si>
  <si>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</si>
  <si>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</si>
  <si>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</si>
  <si>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</si>
  <si>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</si>
  <si>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</si>
  <si>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</si>
  <si>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</si>
  <si>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</si>
  <si>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</si>
  <si>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</si>
  <si>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</si>
  <si>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</si>
  <si>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</si>
  <si>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</si>
  <si>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</si>
  <si>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</si>
  <si>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</si>
  <si>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</si>
  <si>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</si>
  <si>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</si>
  <si>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</si>
  <si>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</si>
  <si>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</si>
  <si>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</si>
  <si>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</si>
  <si>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</si>
  <si>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</si>
  <si>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</si>
  <si>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</si>
  <si>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</si>
  <si>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</si>
  <si>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</si>
  <si>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</si>
  <si>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</si>
  <si>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</si>
  <si>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</si>
  <si>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</si>
  <si>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</si>
  <si>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</si>
  <si>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</si>
  <si>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</si>
  <si>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</si>
  <si>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</si>
  <si>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</si>
  <si>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</si>
  <si>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</si>
  <si>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</si>
  <si>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</si>
  <si>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</si>
  <si>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</si>
  <si>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</si>
  <si>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</si>
  <si>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</si>
  <si>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</si>
  <si>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</si>
  <si>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</si>
  <si>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</si>
  <si>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</si>
  <si>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</si>
  <si>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</si>
  <si>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</si>
  <si>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</si>
  <si>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</si>
  <si>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</si>
  <si>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</si>
  <si>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</si>
  <si>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</si>
  <si>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</si>
  <si>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</si>
  <si>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</si>
  <si>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</si>
  <si>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</si>
  <si>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</si>
  <si>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</si>
  <si>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</si>
  <si>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</si>
  <si>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</si>
  <si>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</si>
  <si>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</si>
  <si>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</si>
  <si>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</si>
  <si>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</si>
  <si>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</si>
  <si>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</si>
  <si>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</si>
  <si>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</si>
  <si>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</si>
  <si>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</si>
  <si>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</si>
  <si>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</si>
  <si>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</si>
  <si>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</si>
  <si>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</si>
  <si>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</si>
  <si>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</si>
  <si>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</si>
  <si>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</si>
  <si>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</si>
  <si>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</si>
  <si>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</si>
  <si>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</si>
  <si>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</si>
  <si>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</si>
  <si>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</si>
  <si>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</si>
  <si>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</si>
  <si>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</si>
  <si>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</si>
  <si>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</si>
  <si>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</si>
  <si>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</si>
  <si>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</si>
  <si>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</si>
  <si>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</si>
  <si>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</si>
  <si>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</si>
  <si>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</si>
  <si>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</si>
  <si>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</si>
  <si>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</si>
  <si>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</si>
  <si>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</si>
  <si>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</si>
  <si>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</si>
  <si>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</si>
  <si>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</si>
  <si>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</si>
  <si>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</si>
  <si>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</si>
  <si>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</si>
  <si>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</si>
  <si>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</si>
  <si>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</si>
  <si>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</si>
  <si>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</si>
  <si>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</si>
  <si>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</si>
  <si>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</si>
  <si>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</si>
  <si>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</si>
  <si>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</si>
  <si>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</si>
  <si>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</si>
  <si>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</si>
  <si>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</si>
  <si>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</si>
  <si>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</si>
  <si>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</si>
  <si>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</si>
  <si>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</si>
  <si>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</si>
  <si>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</si>
  <si>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</si>
  <si>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</si>
  <si>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</si>
  <si>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</si>
  <si>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</si>
  <si>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</si>
  <si>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</si>
  <si>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</si>
  <si>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</si>
  <si>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</si>
  <si>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</si>
  <si>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</si>
  <si>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</si>
  <si>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</si>
  <si>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</si>
  <si>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</si>
  <si>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</si>
  <si>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</si>
  <si>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</si>
  <si>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</si>
  <si>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</si>
  <si>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</si>
  <si>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</si>
  <si>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</si>
  <si>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</si>
  <si>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</si>
  <si>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</si>
  <si>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</si>
  <si>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</si>
  <si>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</si>
  <si>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</si>
  <si>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</si>
  <si>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</si>
  <si>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</si>
  <si>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</si>
  <si>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</si>
  <si>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</si>
  <si>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</si>
  <si>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</si>
  <si>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</si>
  <si>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</si>
  <si>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</si>
  <si>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</si>
  <si>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</si>
  <si>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</si>
  <si>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</si>
  <si>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</si>
  <si>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</si>
  <si>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</si>
  <si>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</si>
  <si>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</si>
  <si>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</si>
  <si>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</si>
  <si>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</si>
  <si>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</si>
  <si>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</si>
  <si>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</si>
  <si>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</si>
  <si>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</si>
  <si>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</si>
  <si>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</si>
  <si>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</si>
  <si>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</si>
  <si>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</si>
  <si>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</si>
  <si>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</si>
  <si>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</si>
  <si>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</si>
  <si>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</si>
  <si>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</si>
  <si>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</si>
  <si>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</si>
  <si>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</si>
  <si>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</si>
  <si>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</si>
  <si>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</si>
  <si>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</si>
  <si>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</si>
  <si>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</si>
  <si>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</si>
  <si>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</si>
  <si>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</si>
  <si>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</si>
  <si>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</si>
  <si>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</si>
  <si>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</si>
  <si>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</si>
  <si>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</si>
  <si>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</si>
  <si>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</si>
  <si>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</si>
  <si>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</si>
  <si>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</si>
  <si>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</si>
  <si>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</si>
  <si>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</si>
  <si>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</si>
  <si>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</si>
  <si>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</si>
  <si>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</si>
  <si>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</si>
  <si>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</si>
  <si>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</si>
  <si>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</si>
  <si>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</si>
  <si>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</si>
  <si>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</si>
  <si>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</si>
  <si>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</si>
  <si>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</si>
  <si>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</si>
  <si>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</si>
  <si>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</si>
  <si>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</si>
  <si>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</si>
  <si>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</si>
  <si>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</si>
  <si>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</si>
  <si>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</si>
  <si>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</si>
  <si>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</si>
  <si>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</si>
  <si>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</si>
  <si>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</si>
  <si>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</si>
  <si>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</si>
  <si>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</si>
  <si>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</si>
  <si>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</si>
  <si>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</si>
  <si>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</si>
  <si>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</si>
  <si>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</si>
  <si>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</si>
  <si>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</si>
  <si>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</si>
  <si>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</si>
  <si>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</si>
  <si>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</si>
  <si>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</si>
  <si>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</si>
  <si>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</si>
  <si>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</si>
  <si>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</si>
  <si>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</si>
  <si>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</si>
  <si>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</si>
  <si>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</si>
  <si>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</si>
  <si>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</si>
  <si>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</si>
  <si>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</si>
  <si>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</si>
  <si>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</si>
  <si>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</si>
  <si>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</si>
  <si>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</si>
  <si>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</si>
  <si>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</si>
  <si>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</si>
  <si>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</si>
  <si>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</si>
  <si>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</si>
  <si>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</si>
  <si>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</si>
  <si>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</si>
  <si>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</si>
  <si>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</si>
  <si>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</si>
  <si>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</si>
  <si>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</si>
  <si>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</si>
  <si>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</si>
  <si>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</si>
  <si>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</si>
  <si>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</si>
  <si>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</si>
  <si>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</si>
  <si>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</si>
  <si>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</si>
  <si>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</si>
  <si>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</si>
  <si>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</si>
  <si>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</si>
  <si>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</si>
  <si>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</si>
  <si>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</si>
  <si>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</si>
  <si>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</si>
  <si>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</si>
  <si>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</si>
  <si>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</si>
  <si>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</si>
  <si>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</si>
  <si>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</si>
  <si>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</si>
  <si>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</si>
  <si>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</si>
  <si>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</si>
  <si>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</si>
  <si>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</si>
  <si>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</si>
  <si>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</si>
  <si>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</si>
  <si>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</si>
  <si>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</si>
  <si>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</si>
  <si>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</si>
  <si>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</si>
  <si>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</si>
  <si>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</si>
  <si>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</si>
  <si>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</si>
  <si>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</si>
  <si>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</si>
  <si>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</si>
  <si>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</si>
  <si>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</si>
  <si>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</si>
  <si>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</si>
  <si>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</si>
  <si>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</si>
  <si>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</si>
  <si>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</si>
  <si>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</si>
  <si>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</si>
  <si>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</si>
  <si>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</si>
  <si>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</si>
  <si>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</si>
  <si>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</si>
  <si>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</si>
  <si>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</si>
  <si>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</si>
  <si>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</si>
  <si>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</si>
  <si>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</si>
  <si>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</si>
  <si>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</si>
  <si>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</si>
  <si>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</si>
  <si>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</si>
  <si>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</si>
  <si>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</si>
  <si>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</si>
  <si>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</si>
  <si>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</si>
  <si>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</si>
  <si>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</si>
  <si>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</si>
  <si>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</si>
  <si>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</si>
  <si>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</si>
  <si>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</si>
  <si>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</si>
  <si>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</si>
  <si>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</si>
  <si>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</si>
  <si>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</si>
  <si>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</si>
  <si>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</si>
  <si>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</si>
  <si>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</si>
  <si>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</si>
  <si>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</si>
  <si>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</si>
  <si>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</si>
  <si>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</si>
  <si>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</si>
  <si>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</si>
  <si>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</si>
  <si>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</si>
  <si>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</si>
  <si>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</si>
  <si>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</si>
  <si>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</si>
  <si>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</si>
  <si>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</si>
  <si>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</si>
  <si>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</si>
  <si>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</si>
  <si>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</si>
  <si>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</si>
  <si>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</si>
  <si>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</si>
  <si>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</si>
  <si>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</si>
  <si>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</si>
  <si>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</si>
  <si>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</si>
  <si>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</si>
  <si>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</si>
  <si>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</si>
  <si>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</si>
  <si>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</si>
  <si>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</si>
  <si>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</si>
  <si>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</si>
  <si>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</si>
  <si>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</si>
  <si>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</si>
  <si>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</si>
  <si>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</si>
  <si>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</si>
  <si>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</si>
  <si>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</si>
  <si>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</si>
  <si>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</si>
  <si>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</si>
  <si>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</si>
  <si>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</si>
  <si>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</si>
  <si>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</si>
  <si>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</si>
  <si>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</si>
  <si>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</si>
  <si>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</si>
  <si>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</si>
  <si>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</si>
  <si>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</si>
  <si>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</si>
  <si>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</si>
  <si>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</si>
  <si>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</si>
  <si>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</si>
  <si>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</si>
  <si>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</si>
  <si>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</si>
  <si>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</si>
  <si>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</si>
  <si>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</si>
  <si>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</si>
  <si>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</si>
  <si>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</si>
  <si>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</si>
  <si>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</si>
  <si>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</si>
  <si>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</si>
  <si>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</si>
  <si>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</si>
  <si>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</si>
  <si>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</si>
  <si>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</si>
  <si>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</si>
  <si>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</si>
  <si>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</si>
  <si>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</si>
  <si>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</si>
  <si>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</si>
  <si>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</si>
  <si>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</si>
  <si>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</si>
  <si>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</si>
  <si>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</si>
  <si>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</si>
  <si>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</si>
  <si>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</si>
  <si>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</si>
  <si>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</si>
  <si>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</si>
  <si>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</si>
  <si>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</si>
  <si>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</si>
  <si>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</si>
  <si>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</si>
  <si>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</si>
  <si>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</si>
  <si>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</si>
  <si>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</si>
  <si>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</si>
  <si>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</si>
  <si>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</si>
  <si>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</si>
  <si>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</si>
  <si>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</si>
  <si>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</si>
  <si>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</si>
  <si>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</si>
  <si>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</si>
  <si>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</si>
  <si>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</si>
  <si>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</si>
  <si>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</si>
  <si>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</si>
  <si>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</si>
  <si>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</si>
  <si>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</si>
  <si>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</si>
  <si>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</si>
  <si>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</si>
  <si>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</si>
  <si>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</si>
  <si>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</si>
  <si>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</si>
  <si>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</si>
  <si>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</si>
  <si>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</si>
  <si>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</si>
  <si>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</si>
  <si>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</si>
  <si>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</si>
  <si>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</si>
  <si>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</si>
  <si>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</si>
  <si>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</si>
  <si>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</si>
  <si>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</si>
  <si>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</si>
  <si>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</si>
  <si>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</si>
  <si>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</si>
  <si>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</si>
  <si>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</si>
  <si>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</si>
  <si>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</si>
  <si>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</si>
  <si>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</si>
  <si>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</si>
  <si>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</si>
  <si>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</si>
  <si>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</si>
  <si>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</si>
  <si>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</si>
  <si>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</si>
  <si>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</si>
  <si>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</si>
  <si>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</si>
  <si>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</si>
  <si>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</si>
  <si>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</si>
  <si>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</si>
  <si>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</si>
  <si>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</si>
  <si>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</si>
  <si>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</si>
  <si>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</si>
  <si>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</si>
  <si>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</si>
  <si>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</si>
  <si>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</si>
  <si>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</si>
  <si>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</si>
  <si>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</si>
  <si>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</si>
  <si>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</si>
  <si>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</si>
  <si>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</si>
  <si>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</si>
  <si>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</si>
  <si>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</si>
  <si>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</si>
  <si>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</si>
  <si>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</si>
  <si>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</si>
  <si>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</si>
  <si>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</si>
  <si>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</si>
  <si>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</si>
  <si>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</si>
  <si>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</si>
  <si>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</si>
  <si>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</si>
  <si>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</si>
  <si>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</si>
  <si>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</si>
  <si>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</si>
  <si>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</si>
  <si>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</si>
  <si>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</si>
  <si>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</si>
  <si>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</si>
  <si>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</si>
  <si>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</si>
  <si>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</si>
  <si>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</si>
  <si>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</si>
  <si>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</si>
  <si>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</si>
  <si>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</si>
  <si>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</si>
  <si>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</si>
  <si>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</si>
  <si>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</si>
  <si>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</si>
  <si>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</si>
  <si>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</si>
  <si>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</si>
  <si>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</si>
  <si>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</si>
  <si>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</si>
  <si>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</si>
  <si>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</si>
  <si>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</si>
  <si>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</si>
  <si>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</si>
  <si>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</si>
  <si>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</si>
  <si>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</si>
  <si>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</si>
  <si>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</si>
  <si>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</si>
  <si>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</si>
  <si>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</si>
  <si>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</si>
  <si>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</si>
  <si>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</si>
  <si>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</si>
  <si>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</si>
  <si>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</si>
  <si>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</si>
  <si>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</si>
  <si>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</si>
  <si>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</si>
  <si>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</si>
  <si>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</si>
  <si>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</si>
  <si>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</si>
  <si>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</si>
  <si>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</si>
  <si>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</si>
  <si>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</si>
  <si>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</si>
  <si>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</si>
  <si>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</si>
  <si>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</si>
  <si>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</si>
  <si>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</si>
  <si>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</si>
  <si>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</si>
  <si>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</si>
  <si>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</si>
  <si>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</si>
  <si>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</si>
  <si>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</si>
  <si>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</si>
  <si>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</si>
  <si>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</si>
  <si>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</si>
  <si>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</si>
  <si>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</si>
  <si>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</si>
  <si>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</si>
  <si>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</si>
  <si>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</si>
  <si>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</si>
  <si>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</si>
  <si>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</si>
  <si>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</si>
  <si>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</si>
  <si>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</si>
  <si>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</si>
  <si>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</si>
  <si>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</si>
  <si>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</si>
  <si>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</si>
  <si>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</si>
  <si>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</si>
  <si>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</si>
  <si>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</si>
  <si>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</si>
  <si>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</si>
  <si>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</si>
  <si>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</si>
  <si>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</si>
  <si>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</si>
  <si>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</si>
  <si>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</si>
  <si>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</si>
  <si>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</si>
  <si>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</si>
  <si>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</si>
  <si>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</si>
  <si>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</si>
  <si>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</si>
  <si>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</si>
  <si>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</si>
  <si>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</si>
  <si>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</si>
  <si>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</si>
  <si>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</si>
  <si>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</si>
  <si>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</si>
  <si>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</si>
  <si>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</si>
  <si>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</si>
  <si>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</si>
  <si>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</si>
  <si>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</si>
  <si>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</si>
  <si>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</si>
  <si>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</si>
  <si>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</si>
  <si>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</si>
  <si>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</si>
  <si>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</si>
  <si>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</si>
  <si>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</si>
  <si>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</si>
  <si>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</si>
  <si>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</si>
  <si>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</si>
  <si>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</si>
  <si>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</si>
  <si>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</si>
  <si>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</si>
  <si>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</si>
  <si>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</si>
  <si>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</si>
  <si>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</si>
  <si>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</si>
  <si>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</si>
  <si>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</si>
  <si>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</si>
  <si>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</si>
  <si>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</si>
  <si>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</si>
  <si>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</si>
  <si>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</si>
  <si>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</si>
  <si>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</si>
  <si>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</si>
  <si>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</si>
  <si>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</si>
  <si>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</si>
  <si>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</si>
  <si>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</si>
  <si>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</si>
  <si>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</si>
  <si>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</si>
  <si>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</si>
  <si>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</si>
  <si>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</si>
  <si>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</si>
  <si>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</si>
  <si>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</si>
  <si>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</si>
  <si>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</si>
  <si>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</si>
  <si>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</si>
  <si>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</si>
  <si>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</si>
  <si>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</si>
  <si>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</si>
  <si>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</si>
  <si>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</si>
  <si>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</si>
  <si>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</si>
  <si>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</si>
  <si>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</si>
  <si>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</si>
  <si>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</si>
  <si>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</si>
  <si>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</si>
  <si>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</si>
  <si>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</si>
  <si>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</si>
  <si>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</si>
  <si>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</si>
  <si>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</si>
  <si>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</si>
  <si>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</si>
  <si>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</si>
  <si>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</si>
  <si>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</si>
  <si>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</si>
  <si>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</si>
  <si>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</si>
  <si>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</si>
  <si>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</si>
  <si>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</si>
  <si>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</si>
  <si>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</si>
  <si>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</si>
  <si>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</si>
  <si>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</si>
  <si>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</si>
  <si>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</si>
  <si>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</si>
  <si>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</si>
  <si>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</si>
  <si>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</si>
  <si>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</si>
  <si>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</si>
  <si>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</si>
  <si>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</si>
  <si>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</si>
  <si>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</si>
  <si>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</si>
  <si>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</si>
  <si>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</si>
  <si>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</si>
  <si>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</si>
  <si>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</si>
  <si>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</si>
  <si>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</si>
  <si>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</si>
  <si>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</si>
  <si>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</si>
  <si>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</si>
  <si>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</si>
  <si>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</si>
  <si>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</si>
  <si>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</si>
  <si>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</si>
  <si>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</si>
  <si>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</si>
  <si>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</si>
  <si>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</si>
  <si>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</si>
  <si>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</si>
  <si>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</si>
  <si>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</si>
  <si>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</si>
  <si>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</si>
  <si>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</si>
  <si>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</si>
  <si>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</si>
  <si>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</si>
  <si>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</si>
  <si>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</si>
  <si>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</si>
  <si>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</si>
  <si>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</si>
  <si>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</si>
  <si>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</si>
  <si>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</si>
  <si>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</si>
  <si>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</si>
  <si>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</si>
  <si>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</si>
  <si>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</si>
  <si>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</si>
  <si>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</si>
  <si>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</si>
  <si>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</si>
  <si>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</si>
  <si>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</si>
  <si>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</si>
  <si>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</si>
  <si>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</si>
  <si>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</si>
  <si>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</si>
  <si>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</si>
  <si>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</si>
  <si>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</si>
  <si>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</si>
  <si>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</si>
  <si>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</si>
  <si>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</si>
  <si>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</si>
  <si>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</si>
  <si>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</si>
  <si>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</si>
  <si>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</si>
  <si>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</si>
  <si>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</si>
  <si>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</si>
  <si>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</si>
  <si>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</si>
  <si>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</si>
  <si>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</si>
  <si>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</si>
  <si>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</si>
  <si>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</si>
  <si>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</si>
  <si>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</si>
  <si>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</si>
  <si>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</si>
  <si>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</si>
  <si>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</si>
  <si>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</si>
  <si>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</si>
  <si>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</si>
  <si>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</si>
  <si>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</si>
  <si>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</si>
  <si>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</si>
  <si>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</si>
  <si>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</si>
  <si>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</si>
  <si>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</si>
  <si>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</si>
  <si>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</si>
  <si>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</si>
  <si>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</si>
  <si>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</si>
  <si>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</si>
  <si>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</si>
  <si>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</si>
  <si>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</si>
  <si>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</si>
  <si>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</si>
  <si>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</si>
  <si>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</si>
  <si>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</si>
  <si>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</si>
  <si>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</si>
  <si>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</si>
  <si>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</si>
  <si>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</si>
  <si>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</si>
  <si>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</si>
  <si>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</si>
  <si>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</si>
  <si>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</si>
  <si>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</si>
  <si>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</si>
  <si>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</si>
  <si>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</si>
  <si>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</si>
  <si>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</si>
  <si>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</si>
  <si>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</si>
  <si>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</si>
  <si>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</si>
  <si>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</si>
  <si>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</si>
  <si>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</si>
  <si>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</si>
  <si>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</si>
  <si>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</si>
  <si>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</si>
  <si>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</si>
  <si>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</si>
  <si>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</si>
  <si>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</si>
  <si>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</si>
  <si>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</si>
  <si>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</si>
  <si>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</si>
  <si>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</si>
  <si>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</si>
  <si>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</si>
  <si>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</si>
  <si>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</si>
  <si>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</si>
  <si>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</si>
  <si>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</si>
  <si>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</si>
  <si>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</si>
  <si>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</si>
  <si>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</si>
  <si>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</si>
  <si>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</si>
  <si>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</si>
  <si>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</si>
  <si>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</si>
  <si>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</si>
  <si>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</si>
  <si>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</si>
  <si>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</si>
  <si>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</si>
  <si>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</si>
  <si>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</si>
  <si>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</si>
  <si>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</si>
  <si>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</si>
  <si>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</si>
  <si>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</si>
  <si>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</si>
  <si>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</si>
  <si>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</si>
  <si>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</si>
  <si>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</si>
  <si>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</si>
  <si>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</si>
  <si>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</si>
  <si>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</si>
  <si>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</si>
  <si>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</si>
  <si>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</si>
  <si>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</si>
  <si>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</si>
  <si>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</si>
  <si>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</si>
  <si>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</si>
  <si>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</si>
  <si>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</si>
  <si>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</si>
  <si>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</si>
  <si>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</si>
  <si>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</si>
  <si>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</si>
  <si>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</si>
  <si>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</si>
  <si>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</si>
  <si>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</si>
  <si>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</si>
  <si>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</si>
  <si>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</si>
  <si>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</si>
  <si>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</si>
  <si>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</si>
  <si>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</si>
  <si>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</si>
  <si>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</si>
  <si>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</si>
  <si>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</si>
  <si>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</si>
  <si>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</si>
  <si>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</si>
  <si>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</si>
  <si>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</si>
  <si>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</si>
  <si>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</si>
  <si>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</si>
  <si>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</si>
  <si>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</si>
  <si>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</si>
  <si>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</si>
  <si>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</si>
  <si>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</si>
  <si>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</si>
  <si>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</si>
  <si>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</si>
  <si>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</si>
  <si>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</si>
  <si>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</si>
  <si>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</si>
  <si>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</si>
  <si>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</si>
  <si>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</si>
  <si>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</si>
  <si>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</si>
  <si>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</si>
  <si>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</si>
  <si>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</si>
  <si>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</si>
  <si>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</si>
  <si>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</si>
  <si>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</si>
  <si>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</si>
  <si>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</si>
  <si>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</si>
  <si>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</si>
  <si>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</si>
  <si>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</si>
  <si>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</si>
  <si>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</si>
  <si>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</si>
  <si>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</si>
  <si>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</si>
  <si>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</si>
  <si>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</si>
  <si>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</si>
  <si>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</si>
  <si>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</si>
  <si>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</si>
  <si>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</si>
  <si>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</si>
  <si>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</si>
  <si>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</si>
  <si>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</si>
  <si>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</si>
  <si>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</si>
  <si>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</si>
  <si>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</si>
  <si>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</si>
  <si>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</si>
  <si>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</si>
  <si>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</si>
  <si>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</si>
  <si>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</si>
  <si>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</si>
  <si>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</si>
  <si>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</si>
  <si>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</si>
  <si>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</si>
  <si>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</si>
  <si>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</si>
  <si>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</si>
  <si>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</si>
  <si>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</si>
  <si>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</si>
  <si>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</si>
  <si>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</si>
  <si>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</si>
  <si>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</si>
  <si>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</si>
  <si>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</si>
  <si>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</si>
  <si>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</si>
  <si>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</si>
  <si>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</si>
  <si>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</si>
  <si>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</si>
  <si>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</si>
  <si>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</si>
  <si>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</si>
  <si>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</si>
  <si>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</si>
  <si>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</si>
  <si>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</si>
  <si>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</si>
  <si>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</si>
  <si>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</si>
  <si>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</si>
  <si>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</si>
  <si>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</si>
  <si>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</si>
  <si>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</si>
  <si>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</si>
  <si>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</si>
  <si>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</si>
  <si>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</si>
  <si>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</si>
  <si>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</si>
  <si>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</si>
  <si>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</si>
  <si>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</si>
  <si>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</si>
  <si>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</si>
  <si>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</si>
  <si>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</si>
  <si>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</si>
  <si>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</si>
  <si>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</si>
  <si>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</si>
  <si>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</si>
  <si>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</si>
  <si>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</si>
  <si>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</si>
  <si>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</si>
  <si>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</si>
  <si>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</si>
  <si>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</si>
  <si>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</si>
  <si>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</si>
  <si>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</si>
  <si>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</si>
  <si>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</si>
  <si>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</si>
  <si>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</si>
  <si>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</si>
  <si>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</si>
  <si>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</si>
  <si>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</si>
  <si>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</si>
  <si>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</si>
  <si>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</si>
  <si>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</si>
  <si>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</si>
  <si>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</si>
  <si>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</si>
  <si>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</si>
  <si>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</si>
  <si>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</si>
  <si>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</si>
  <si>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</si>
  <si>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</si>
  <si>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</si>
  <si>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</si>
  <si>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</si>
  <si>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</si>
  <si>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</si>
  <si>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</si>
  <si>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</si>
  <si>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</si>
  <si>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</si>
  <si>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</si>
  <si>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</si>
  <si>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</si>
  <si>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</si>
  <si>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</si>
  <si>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</si>
  <si>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</si>
  <si>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</si>
  <si>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</si>
  <si>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</si>
  <si>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</si>
  <si>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</si>
  <si>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</si>
  <si>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</si>
  <si>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</si>
  <si>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</si>
  <si>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</si>
  <si>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</si>
  <si>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</si>
  <si>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</si>
  <si>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</si>
  <si>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</si>
  <si>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</si>
  <si>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</si>
  <si>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</si>
  <si>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</si>
  <si>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</si>
  <si>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</si>
  <si>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</si>
  <si>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</si>
  <si>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</si>
  <si>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</si>
  <si>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</si>
  <si>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</si>
  <si>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</si>
  <si>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</si>
  <si>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</si>
  <si>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</si>
  <si>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</si>
  <si>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</si>
  <si>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</si>
  <si>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</si>
  <si>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</si>
  <si>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</si>
  <si>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</si>
  <si>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</si>
  <si>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</si>
  <si>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</si>
  <si>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</si>
  <si>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</si>
  <si>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</si>
  <si>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</si>
  <si>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</si>
  <si>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</si>
  <si>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</si>
  <si>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</si>
  <si>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</si>
  <si>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</si>
  <si>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</si>
  <si>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</si>
  <si>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</si>
  <si>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</si>
  <si>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</si>
  <si>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</si>
  <si>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</si>
  <si>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</si>
  <si>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</si>
  <si>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</si>
  <si>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</si>
  <si>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</si>
  <si>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</si>
  <si>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</si>
  <si>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</si>
  <si>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</si>
  <si>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</si>
  <si>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</si>
  <si>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</si>
  <si>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</si>
  <si>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</si>
  <si>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</si>
  <si>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</si>
  <si>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</si>
  <si>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</si>
  <si>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</si>
  <si>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</si>
  <si>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</si>
  <si>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</si>
  <si>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</si>
  <si>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</si>
  <si>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</si>
  <si>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</si>
  <si>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</si>
  <si>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</si>
  <si>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</si>
  <si>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</si>
  <si>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</si>
  <si>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</si>
  <si>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</si>
  <si>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</si>
  <si>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</si>
  <si>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</si>
  <si>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</si>
  <si>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</si>
  <si>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</si>
  <si>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</si>
  <si>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</si>
  <si>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</si>
  <si>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</si>
  <si>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</si>
  <si>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</si>
  <si>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</si>
  <si>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</si>
  <si>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</si>
  <si>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</si>
  <si>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</si>
  <si>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</si>
  <si>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</si>
  <si>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</si>
  <si>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</si>
  <si>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</si>
  <si>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</si>
  <si>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</si>
  <si>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</si>
  <si>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</si>
  <si>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</si>
  <si>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</si>
  <si>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</si>
  <si>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</si>
  <si>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</si>
  <si>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</si>
  <si>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</si>
  <si>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</si>
  <si>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</si>
  <si>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</si>
  <si>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</si>
  <si>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</si>
  <si>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</si>
  <si>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</si>
  <si>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</si>
  <si>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</si>
  <si>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</si>
  <si>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</si>
  <si>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</si>
  <si>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</si>
  <si>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</si>
  <si>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</si>
  <si>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</si>
  <si>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</si>
  <si>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</si>
  <si>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</si>
  <si>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</si>
  <si>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</si>
  <si>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</si>
  <si>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</si>
  <si>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</si>
  <si>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</si>
  <si>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</si>
  <si>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</si>
  <si>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</si>
  <si>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</si>
  <si>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</si>
  <si>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</si>
  <si>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</si>
  <si>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</si>
  <si>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</si>
  <si>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</si>
  <si>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</si>
  <si>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</si>
  <si>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</si>
  <si>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</si>
  <si>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</si>
  <si>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</si>
  <si>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</si>
  <si>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</si>
  <si>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</si>
  <si>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</si>
  <si>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</si>
  <si>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</si>
  <si>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</si>
  <si>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</si>
  <si>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</si>
  <si>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</si>
  <si>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</si>
  <si>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</si>
  <si>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</si>
  <si>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</si>
  <si>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</si>
  <si>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</si>
  <si>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</si>
  <si>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</si>
  <si>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</si>
  <si>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</si>
  <si>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</si>
  <si>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</si>
  <si>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</si>
  <si>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</si>
  <si>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</si>
  <si>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</si>
  <si>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</si>
  <si>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</si>
  <si>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</si>
  <si>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</si>
  <si>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</si>
  <si>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</si>
  <si>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</si>
  <si>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</si>
  <si>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</si>
  <si>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</si>
  <si>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</si>
  <si>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</si>
  <si>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</si>
  <si>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</si>
  <si>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</si>
  <si>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</si>
  <si>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</si>
  <si>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</si>
  <si>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</si>
  <si>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</si>
  <si>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</si>
  <si>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</si>
  <si>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</si>
  <si>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</si>
  <si>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</si>
  <si>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</si>
  <si>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</si>
  <si>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</si>
  <si>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</si>
  <si>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</si>
  <si>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</si>
  <si>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</si>
  <si>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</si>
  <si>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</si>
  <si>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</si>
  <si>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</si>
  <si>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</si>
  <si>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</si>
  <si>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</si>
  <si>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</si>
  <si>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</si>
  <si>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</si>
  <si>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</si>
  <si>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</si>
  <si>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</si>
  <si>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</si>
  <si>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</si>
  <si>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</si>
  <si>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</si>
  <si>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</si>
  <si>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</si>
  <si>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</si>
  <si>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</si>
  <si>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</si>
  <si>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</si>
  <si>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</si>
  <si>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</si>
  <si>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</si>
  <si>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</si>
  <si>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</si>
  <si>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</si>
  <si>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</si>
  <si>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</si>
  <si>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</si>
  <si>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</si>
  <si>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</si>
  <si>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</si>
  <si>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</si>
  <si>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</si>
  <si>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</si>
  <si>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</si>
  <si>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</si>
  <si>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</si>
  <si>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</si>
  <si>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</si>
  <si>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</si>
  <si>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</si>
  <si>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</si>
  <si>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</si>
  <si>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</si>
  <si>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</si>
  <si>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</si>
  <si>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</si>
  <si>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</si>
  <si>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</si>
  <si>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</si>
  <si>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</si>
  <si>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</si>
  <si>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</si>
  <si>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</si>
  <si>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</si>
  <si>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</si>
  <si>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</si>
  <si>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</si>
  <si>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</si>
  <si>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</si>
  <si>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</si>
  <si>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</si>
  <si>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</si>
  <si>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</si>
  <si>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</si>
  <si>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</si>
  <si>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</si>
  <si>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</si>
  <si>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</si>
  <si>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</si>
  <si>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</si>
  <si>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</si>
  <si>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</si>
  <si>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</si>
  <si>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</si>
  <si>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</si>
  <si>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</si>
  <si>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</si>
  <si>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</si>
  <si>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</si>
  <si>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</si>
  <si>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</si>
  <si>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</si>
  <si>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</si>
  <si>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</si>
  <si>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</si>
  <si>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</si>
  <si>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</si>
  <si>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</si>
  <si>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</si>
  <si>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</si>
  <si>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</si>
  <si>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</si>
  <si>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</si>
  <si>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</si>
  <si>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</si>
  <si>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</si>
  <si>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</si>
  <si>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</si>
  <si>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</si>
  <si>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</si>
  <si>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</si>
  <si>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</si>
  <si>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</si>
  <si>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</si>
  <si>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</si>
  <si>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</si>
  <si>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</si>
  <si>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</si>
  <si>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</si>
  <si>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</si>
  <si>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</si>
  <si>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</si>
  <si>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</si>
  <si>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</si>
  <si>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</si>
  <si>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</si>
  <si>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</si>
  <si>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</si>
  <si>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</si>
  <si>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</si>
  <si>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</si>
  <si>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</si>
  <si>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</si>
  <si>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</si>
  <si>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</si>
  <si>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</si>
  <si>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</si>
  <si>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</si>
  <si>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</si>
  <si>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</si>
  <si>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</si>
  <si>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</si>
  <si>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</si>
  <si>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</si>
  <si>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</si>
  <si>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</si>
  <si>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</si>
  <si>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</si>
  <si>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</si>
  <si>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</si>
  <si>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</si>
  <si>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</si>
  <si>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</si>
  <si>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</si>
  <si>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</si>
  <si>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</si>
  <si>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</si>
  <si>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</si>
  <si>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</si>
  <si>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</si>
  <si>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</si>
  <si>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</si>
  <si>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</si>
  <si>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</si>
  <si>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</si>
  <si>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</si>
  <si>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</si>
  <si>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</si>
  <si>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</si>
  <si>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</si>
  <si>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</si>
  <si>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</si>
  <si>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</si>
  <si>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</si>
  <si>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</si>
  <si>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</si>
  <si>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</si>
  <si>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</si>
  <si>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</si>
  <si>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</si>
  <si>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</si>
  <si>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</si>
  <si>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</si>
  <si>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</si>
  <si>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</si>
  <si>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</si>
  <si>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</si>
  <si>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</si>
  <si>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</si>
  <si>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</si>
  <si>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</si>
  <si>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</si>
  <si>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</si>
  <si>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</si>
  <si>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</si>
  <si>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</si>
  <si>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</si>
  <si>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</si>
  <si>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</si>
  <si>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</si>
  <si>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</si>
  <si>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</si>
  <si>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</si>
  <si>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</si>
  <si>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</si>
  <si>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</si>
  <si>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</si>
  <si>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</si>
  <si>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</si>
  <si>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</si>
  <si>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</si>
  <si>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</si>
  <si>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</si>
  <si>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</si>
  <si>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</si>
  <si>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</si>
  <si>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</si>
  <si>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</si>
  <si>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</si>
  <si>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</si>
  <si>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</si>
  <si>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</si>
  <si>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</si>
  <si>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</si>
  <si>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</si>
  <si>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</si>
  <si>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</si>
  <si>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</si>
  <si>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</si>
  <si>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</si>
  <si>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</si>
  <si>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</si>
  <si>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</si>
  <si>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</si>
  <si>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</si>
  <si>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</si>
  <si>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</si>
  <si>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</si>
  <si>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</si>
  <si>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</si>
  <si>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</si>
  <si>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</si>
  <si>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</si>
  <si>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</si>
  <si>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</si>
  <si>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</si>
  <si>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</si>
  <si>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</si>
  <si>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</si>
  <si>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</si>
  <si>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</si>
  <si>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</si>
  <si>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</si>
  <si>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</si>
  <si>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</si>
  <si>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</si>
  <si>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</si>
  <si>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</si>
  <si>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</si>
  <si>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</si>
  <si>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</si>
  <si>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</si>
  <si>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</si>
  <si>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</si>
  <si>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</si>
  <si>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</si>
  <si>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</si>
  <si>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</si>
  <si>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</si>
  <si>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</si>
  <si>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</si>
  <si>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</si>
  <si>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</si>
  <si>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</si>
  <si>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</si>
  <si>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</si>
  <si>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</si>
  <si>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</si>
  <si>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</si>
  <si>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</si>
  <si>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</si>
  <si>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</si>
  <si>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</si>
  <si>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</si>
  <si>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</si>
  <si>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</si>
  <si>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</si>
  <si>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</si>
  <si>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</si>
  <si>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</si>
  <si>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</si>
  <si>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</si>
  <si>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</si>
  <si>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</si>
  <si>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</si>
  <si>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</si>
  <si>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</si>
  <si>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</si>
  <si>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</si>
  <si>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</si>
  <si>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</si>
  <si>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</si>
  <si>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</si>
  <si>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</si>
  <si>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</si>
  <si>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</si>
  <si>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</si>
  <si>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</si>
  <si>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</si>
  <si>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</si>
  <si>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</si>
  <si>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</si>
  <si>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</si>
  <si>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</si>
  <si>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</si>
  <si>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</si>
  <si>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</si>
  <si>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</si>
  <si>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</si>
  <si>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</si>
  <si>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</si>
  <si>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</si>
  <si>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</si>
  <si>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</si>
  <si>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</si>
  <si>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</si>
  <si>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</si>
  <si>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</si>
  <si>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</si>
  <si>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</si>
  <si>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</si>
  <si>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</si>
  <si>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</si>
  <si>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</si>
  <si>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</si>
  <si>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</si>
  <si>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</si>
  <si>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</si>
  <si>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</si>
  <si>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</si>
  <si>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</si>
  <si>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</si>
  <si>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</si>
  <si>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</si>
  <si>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</si>
  <si>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</si>
  <si>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</si>
  <si>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</si>
  <si>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</si>
  <si>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</si>
  <si>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</si>
  <si>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</si>
  <si>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</si>
  <si>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</si>
  <si>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</si>
  <si>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</si>
  <si>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</si>
  <si>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</si>
  <si>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</si>
  <si>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</si>
  <si>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</si>
  <si>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</si>
  <si>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</si>
  <si>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</si>
  <si>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</si>
  <si>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</si>
  <si>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</si>
  <si>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</si>
  <si>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</si>
  <si>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</si>
  <si>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</si>
  <si>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</si>
  <si>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</si>
  <si>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</si>
  <si>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</si>
  <si>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</si>
  <si>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</si>
  <si>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</si>
  <si>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</si>
  <si>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</si>
  <si>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</si>
  <si>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</si>
  <si>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</si>
  <si>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</si>
  <si>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</si>
  <si>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</si>
  <si>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</si>
  <si>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</si>
  <si>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</si>
  <si>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</si>
  <si>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</si>
  <si>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</si>
  <si>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</si>
  <si>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</si>
  <si>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</si>
  <si>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</si>
  <si>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</si>
  <si>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</si>
  <si>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</si>
  <si>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</si>
  <si>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</si>
  <si>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</si>
  <si>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</si>
  <si>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</si>
  <si>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</si>
  <si>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</si>
  <si>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</si>
  <si>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</si>
  <si>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</si>
  <si>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</si>
  <si>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</si>
  <si>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</si>
  <si>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</si>
  <si>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</si>
  <si>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</si>
  <si>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</si>
  <si>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</si>
  <si>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</si>
  <si>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</si>
  <si>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</si>
  <si>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</si>
  <si>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</si>
  <si>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</si>
  <si>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</si>
  <si>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</si>
  <si>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</si>
  <si>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</si>
  <si>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</si>
  <si>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</si>
  <si>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</si>
  <si>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</si>
  <si>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</si>
  <si>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</si>
  <si>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</si>
  <si>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</si>
  <si>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</si>
  <si>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</si>
  <si>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</si>
  <si>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</si>
  <si>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</si>
  <si>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</si>
  <si>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</si>
  <si>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</si>
  <si>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</si>
  <si>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</si>
  <si>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</si>
  <si>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</si>
  <si>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</si>
  <si>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</si>
  <si>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</si>
  <si>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</si>
  <si>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</si>
  <si>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</si>
  <si>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</si>
  <si>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</si>
  <si>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</si>
  <si>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</si>
  <si>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</si>
  <si>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</si>
  <si>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</si>
  <si>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</si>
  <si>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</si>
  <si>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</si>
  <si>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</si>
  <si>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</si>
  <si>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</si>
  <si>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</si>
  <si>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</si>
  <si>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</si>
  <si>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</si>
  <si>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</si>
  <si>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</si>
  <si>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</si>
  <si>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</si>
  <si>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</si>
  <si>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</si>
  <si>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</si>
  <si>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</si>
  <si>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</si>
  <si>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</si>
  <si>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</si>
  <si>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</si>
  <si>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</si>
  <si>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</si>
  <si>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</si>
  <si>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</si>
  <si>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</si>
  <si>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</si>
  <si>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</si>
  <si>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</si>
  <si>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</si>
  <si>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</si>
  <si>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</si>
  <si>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</si>
  <si>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</si>
  <si>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</si>
  <si>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</si>
  <si>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</si>
  <si>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</si>
  <si>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</si>
  <si>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</si>
  <si>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</si>
  <si>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</si>
  <si>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</si>
  <si>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</si>
  <si>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</si>
  <si>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</si>
  <si>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</si>
  <si>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</si>
  <si>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</si>
  <si>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</si>
  <si>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</si>
  <si>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</si>
  <si>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</si>
  <si>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</si>
  <si>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</si>
  <si>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</si>
  <si>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</si>
  <si>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</si>
  <si>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</si>
  <si>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</si>
  <si>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</si>
  <si>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</si>
  <si>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</si>
  <si>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</si>
  <si>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</si>
  <si>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</si>
  <si>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</si>
  <si>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</si>
  <si>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</si>
  <si>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</si>
  <si>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</si>
  <si>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</si>
  <si>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</si>
  <si>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</si>
  <si>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</si>
  <si>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</si>
  <si>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</si>
  <si>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</si>
  <si>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</si>
  <si>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</si>
  <si>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</si>
  <si>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</si>
  <si>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</si>
  <si>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</si>
  <si>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</si>
  <si>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</si>
  <si>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</si>
  <si>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</si>
  <si>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</si>
  <si>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</si>
  <si>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</si>
  <si>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</si>
  <si>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</si>
  <si>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</si>
  <si>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</si>
  <si>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</si>
  <si>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</si>
  <si>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</si>
  <si>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</si>
  <si>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</si>
  <si>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</si>
  <si>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</si>
  <si>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</si>
  <si>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</si>
  <si>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</si>
  <si>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</si>
  <si>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</si>
  <si>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</si>
  <si>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</si>
  <si>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</si>
  <si>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</si>
  <si>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</si>
  <si>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</si>
  <si>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</si>
  <si>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</si>
  <si>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</si>
  <si>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</si>
  <si>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</si>
  <si>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</si>
  <si>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</si>
  <si>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</si>
  <si>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</si>
  <si>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</si>
  <si>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</si>
  <si>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</si>
  <si>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</si>
  <si>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</si>
  <si>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</si>
  <si>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</si>
  <si>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</si>
  <si>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</si>
  <si>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</si>
  <si>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</si>
  <si>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</si>
  <si>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</si>
  <si>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</si>
  <si>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</si>
  <si>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</si>
  <si>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</si>
  <si>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</si>
  <si>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</si>
  <si>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</si>
  <si>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</si>
  <si>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</si>
  <si>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</si>
  <si>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</si>
  <si>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</si>
  <si>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</si>
  <si>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</si>
  <si>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</si>
  <si>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</si>
  <si>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</si>
  <si>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</si>
  <si>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</si>
  <si>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</si>
  <si>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</si>
  <si>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</si>
  <si>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</si>
  <si>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</si>
  <si>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</si>
  <si>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</si>
  <si>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</si>
  <si>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</si>
  <si>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</si>
  <si>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</si>
  <si>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</si>
  <si>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</si>
  <si>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</si>
  <si>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</si>
  <si>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</si>
  <si>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</si>
  <si>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</si>
  <si>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</si>
  <si>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</si>
  <si>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</si>
  <si>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</si>
  <si>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</si>
  <si>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</si>
  <si>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</si>
  <si>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</si>
  <si>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</si>
  <si>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</si>
  <si>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</si>
  <si>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</si>
  <si>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</si>
  <si>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</si>
  <si>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</si>
  <si>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</si>
  <si>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</si>
  <si>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</si>
  <si>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</si>
  <si>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</si>
  <si>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</si>
  <si>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</si>
  <si>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</si>
  <si>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</si>
  <si>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</si>
  <si>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</si>
  <si>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</si>
  <si>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</si>
  <si>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</si>
  <si>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</si>
  <si>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</si>
  <si>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</si>
  <si>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</si>
  <si>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</si>
  <si>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</si>
  <si>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</si>
  <si>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</si>
  <si>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</si>
  <si>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</si>
  <si>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</si>
  <si>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</si>
  <si>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</si>
  <si>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</si>
  <si>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</si>
  <si>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</si>
  <si>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</si>
  <si>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</si>
  <si>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</si>
  <si>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</si>
  <si>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</si>
  <si>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</si>
  <si>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</si>
  <si>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</si>
  <si>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</si>
  <si>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</si>
  <si>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</si>
  <si>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</si>
  <si>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</si>
  <si>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</si>
  <si>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</si>
  <si>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</si>
  <si>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</si>
  <si>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</si>
  <si>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</si>
  <si>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</si>
  <si>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</si>
  <si>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</si>
  <si>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</si>
  <si>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</si>
  <si>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</si>
  <si>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</si>
  <si>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</si>
  <si>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</si>
  <si>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</si>
  <si>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</si>
  <si>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</si>
  <si>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</si>
  <si>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</si>
  <si>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</si>
  <si>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</si>
  <si>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</si>
  <si>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</si>
  <si>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</si>
  <si>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</si>
  <si>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</si>
  <si>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</si>
  <si>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</si>
  <si>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</si>
  <si>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</si>
  <si>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</si>
  <si>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</si>
  <si>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</si>
  <si>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</si>
  <si>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</si>
  <si>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</si>
  <si>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</si>
  <si>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</si>
  <si>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</si>
  <si>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</si>
  <si>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</si>
  <si>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</si>
  <si>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</si>
  <si>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</si>
  <si>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</si>
  <si>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</si>
  <si>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</si>
  <si>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</si>
  <si>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</si>
  <si>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</si>
  <si>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</si>
  <si>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</si>
  <si>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</si>
  <si>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</si>
  <si>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</si>
  <si>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</si>
  <si>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</si>
  <si>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</si>
  <si>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</si>
  <si>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</si>
  <si>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</si>
  <si>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</si>
  <si>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</si>
  <si>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</si>
  <si>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</si>
  <si>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</si>
  <si>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</si>
  <si>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</si>
  <si>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</si>
  <si>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</si>
  <si>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</si>
  <si>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</si>
  <si>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</si>
  <si>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</si>
  <si>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</si>
  <si>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</si>
  <si>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</si>
  <si>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</si>
  <si>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</si>
  <si>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</si>
  <si>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</si>
  <si>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</si>
  <si>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</si>
  <si>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</si>
  <si>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</si>
  <si>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</si>
  <si>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</si>
  <si>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</si>
  <si>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</si>
  <si>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</si>
  <si>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</si>
  <si>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</si>
  <si>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</si>
  <si>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</si>
  <si>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</si>
  <si>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</si>
  <si>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</si>
  <si>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</si>
  <si>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</si>
  <si>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</si>
  <si>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</si>
  <si>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</si>
  <si>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</si>
  <si>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</si>
  <si>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</si>
  <si>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</si>
  <si>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</si>
  <si>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</si>
  <si>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</si>
  <si>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</si>
  <si>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</si>
  <si>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</si>
  <si>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</si>
  <si>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</si>
  <si>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</si>
  <si>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</si>
  <si>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</si>
  <si>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</si>
  <si>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</si>
  <si>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</si>
  <si>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</si>
  <si>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</si>
  <si>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</si>
  <si>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</si>
  <si>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</si>
  <si>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</si>
  <si>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</si>
  <si>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</si>
  <si>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</si>
  <si>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</si>
  <si>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</si>
  <si>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</si>
  <si>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</si>
  <si>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</si>
  <si>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</si>
  <si>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</si>
  <si>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</si>
  <si>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</si>
  <si>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</si>
  <si>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</si>
  <si>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</si>
  <si>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</si>
  <si>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</si>
  <si>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</si>
  <si>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</si>
  <si>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</si>
  <si>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</si>
  <si>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</si>
  <si>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</si>
  <si>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</si>
  <si>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</si>
  <si>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</si>
  <si>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</si>
  <si>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</si>
  <si>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</si>
  <si>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</si>
  <si>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</si>
  <si>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</si>
  <si>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</si>
  <si>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</si>
  <si>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</si>
  <si>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</si>
  <si>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</si>
  <si>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</si>
  <si>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</si>
  <si>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</si>
  <si>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</si>
  <si>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</si>
  <si>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</si>
  <si>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</si>
  <si>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</si>
  <si>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</si>
  <si>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</si>
  <si>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</si>
  <si>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</si>
  <si>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</si>
  <si>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</si>
  <si>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</si>
  <si>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</si>
  <si>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</si>
  <si>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</si>
  <si>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</si>
  <si>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</si>
  <si>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</si>
  <si>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</si>
  <si>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</si>
  <si>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</si>
  <si>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</si>
  <si>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</si>
  <si>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</si>
  <si>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</si>
  <si>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</si>
  <si>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</si>
  <si>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</si>
  <si>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</si>
  <si>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</si>
  <si>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</si>
  <si>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</si>
  <si>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</si>
  <si>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</si>
  <si>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</si>
  <si>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</si>
  <si>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</si>
  <si>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</si>
  <si>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</si>
  <si>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</si>
  <si>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</si>
  <si>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</si>
  <si>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</si>
  <si>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</si>
  <si>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</si>
  <si>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</si>
  <si>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</si>
  <si>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</si>
  <si>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</si>
  <si>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</si>
  <si>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</si>
  <si>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</si>
  <si>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</si>
  <si>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</si>
  <si>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</si>
  <si>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</si>
  <si>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</si>
  <si>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</si>
  <si>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</si>
  <si>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</si>
  <si>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</si>
  <si>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</si>
  <si>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</si>
  <si>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</si>
  <si>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</si>
  <si>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</si>
  <si>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</si>
  <si>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</si>
  <si>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</si>
  <si>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</si>
  <si>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</si>
  <si>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</si>
  <si>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</si>
  <si>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</si>
  <si>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</si>
  <si>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</si>
  <si>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</si>
  <si>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</si>
  <si>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</si>
  <si>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</si>
  <si>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</si>
  <si>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</si>
  <si>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</si>
  <si>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</si>
  <si>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</si>
  <si>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</si>
  <si>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</si>
  <si>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</si>
  <si>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</si>
  <si>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</si>
  <si>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</si>
  <si>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</si>
  <si>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</si>
  <si>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</si>
  <si>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</si>
  <si>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</si>
  <si>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</si>
  <si>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</si>
  <si>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</si>
  <si>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</si>
  <si>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</si>
  <si>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</si>
  <si>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</si>
  <si>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</si>
  <si>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</si>
  <si>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</si>
  <si>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</si>
  <si>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</si>
  <si>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</si>
  <si>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</si>
  <si>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</si>
  <si>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</si>
  <si>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</si>
  <si>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</si>
  <si>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</si>
  <si>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</si>
  <si>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</si>
  <si>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</si>
  <si>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</si>
  <si>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</si>
  <si>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</si>
  <si>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</si>
  <si>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</si>
  <si>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</si>
  <si>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</si>
  <si>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</si>
  <si>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</si>
  <si>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</si>
  <si>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</si>
  <si>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</si>
  <si>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</si>
  <si>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</si>
  <si>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</si>
  <si>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</si>
  <si>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</si>
  <si>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</si>
  <si>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</si>
  <si>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</si>
  <si>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</si>
  <si>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</si>
  <si>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</si>
  <si>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</si>
  <si>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</si>
  <si>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</si>
  <si>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</si>
  <si>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</si>
  <si>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</si>
  <si>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</si>
  <si>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</si>
  <si>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</si>
  <si>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</si>
  <si>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</si>
  <si>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</si>
  <si>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</si>
  <si>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</si>
  <si>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</si>
  <si>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</si>
  <si>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</si>
  <si>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</si>
  <si>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</si>
  <si>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</si>
  <si>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</si>
  <si>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</si>
  <si>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</si>
  <si>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</si>
  <si>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</si>
  <si>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</si>
  <si>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</si>
  <si>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</si>
  <si>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</si>
  <si>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</si>
  <si>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</si>
  <si>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</si>
  <si>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</si>
  <si>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</si>
  <si>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</si>
  <si>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</si>
  <si>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</si>
  <si>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</si>
  <si>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</si>
  <si>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</si>
  <si>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</si>
  <si>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</si>
  <si>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</si>
  <si>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</si>
  <si>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</si>
  <si>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</si>
  <si>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</si>
  <si>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</si>
  <si>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</si>
  <si>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</si>
  <si>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</si>
  <si>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</si>
  <si>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</si>
  <si>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</si>
  <si>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</si>
  <si>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</si>
  <si>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</si>
  <si>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</si>
  <si>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</si>
  <si>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</si>
  <si>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</si>
  <si>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</si>
  <si>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</si>
  <si>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</si>
  <si>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</si>
  <si>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</si>
  <si>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</si>
  <si>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</si>
  <si>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</si>
  <si>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</si>
  <si>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</si>
  <si>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</si>
  <si>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</si>
  <si>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</si>
  <si>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</si>
  <si>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</si>
  <si>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</si>
  <si>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</si>
  <si>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</si>
  <si>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</si>
  <si>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</si>
  <si>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</si>
  <si>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</si>
  <si>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</si>
  <si>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</si>
  <si>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</si>
  <si>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</si>
  <si>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</si>
  <si>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</si>
  <si>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</si>
  <si>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</si>
  <si>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</si>
  <si>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</si>
  <si>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</si>
  <si>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</si>
  <si>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</si>
  <si>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</si>
  <si>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</si>
  <si>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</si>
  <si>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</si>
  <si>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</si>
  <si>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</si>
  <si>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</si>
  <si>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</si>
  <si>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</si>
  <si>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</si>
  <si>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</si>
  <si>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</si>
  <si>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</si>
  <si>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</si>
  <si>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</si>
  <si>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</si>
  <si>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</si>
  <si>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</si>
  <si>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</si>
  <si>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</si>
  <si>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</si>
  <si>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</si>
  <si>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</si>
  <si>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</si>
  <si>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</si>
  <si>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</si>
  <si>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</si>
  <si>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</si>
  <si>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</si>
  <si>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</si>
  <si>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</si>
  <si>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</si>
  <si>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</si>
  <si>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</si>
  <si>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</si>
  <si>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</si>
  <si>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</si>
  <si>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</si>
  <si>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</si>
  <si>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</si>
  <si>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</si>
  <si>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</si>
  <si>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</si>
  <si>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</si>
  <si>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</si>
  <si>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</si>
  <si>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</si>
  <si>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</si>
  <si>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</si>
  <si>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</si>
  <si>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</si>
  <si>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</si>
  <si>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</si>
  <si>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</si>
  <si>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</si>
  <si>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</si>
  <si>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</si>
  <si>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</si>
  <si>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</si>
  <si>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</si>
  <si>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</si>
  <si>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</si>
  <si>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</si>
  <si>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</si>
  <si>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</si>
  <si>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</si>
  <si>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</si>
  <si>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</si>
  <si>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</si>
  <si>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</si>
  <si>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</si>
  <si>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</si>
  <si>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</si>
  <si>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</si>
  <si>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</si>
  <si>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</si>
  <si>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</si>
  <si>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</si>
  <si>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</si>
  <si>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</si>
  <si>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</si>
  <si>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</si>
  <si>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</si>
  <si>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</si>
  <si>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</si>
  <si>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</si>
  <si>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</si>
  <si>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</si>
  <si>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</si>
  <si>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</si>
  <si>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</si>
  <si>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</si>
  <si>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</si>
  <si>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</si>
  <si>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</si>
  <si>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</si>
  <si>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</si>
  <si>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</si>
  <si>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</si>
  <si>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</si>
  <si>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</si>
  <si>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</si>
  <si>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</si>
  <si>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</si>
  <si>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</si>
  <si>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</si>
  <si>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</si>
  <si>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</si>
  <si>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</si>
  <si>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</si>
  <si>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</si>
  <si>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</si>
  <si>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</si>
  <si>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</si>
  <si>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</si>
  <si>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</si>
  <si>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</si>
  <si>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</si>
  <si>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</si>
  <si>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</si>
  <si>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</si>
  <si>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</si>
  <si>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</si>
  <si>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</si>
  <si>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</si>
  <si>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</si>
  <si>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</si>
  <si>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</si>
  <si>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</si>
  <si>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</si>
  <si>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</si>
  <si>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</si>
  <si>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</si>
  <si>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</si>
  <si>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</si>
  <si>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</si>
  <si>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</si>
  <si>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</si>
  <si>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</si>
  <si>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</si>
  <si>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</si>
  <si>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</si>
  <si>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</si>
  <si>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</si>
  <si>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</si>
  <si>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</si>
  <si>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</si>
  <si>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</si>
  <si>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</si>
  <si>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</si>
  <si>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</si>
  <si>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</si>
  <si>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</si>
  <si>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</si>
  <si>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</si>
  <si>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</si>
  <si>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</si>
  <si>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</si>
  <si>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</si>
  <si>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</si>
  <si>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</si>
  <si>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</si>
  <si>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</si>
  <si>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</si>
  <si>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</si>
  <si>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</si>
  <si>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</si>
  <si>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</si>
  <si>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</si>
  <si>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</si>
  <si>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</si>
  <si>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</si>
  <si>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</si>
  <si>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</si>
  <si>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</si>
  <si>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</si>
  <si>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</si>
  <si>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</si>
  <si>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</si>
  <si>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</si>
  <si>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</si>
  <si>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</si>
  <si>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</si>
  <si>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</si>
  <si>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</si>
  <si>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</si>
  <si>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</si>
  <si>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</si>
  <si>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</si>
  <si>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</si>
  <si>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</si>
  <si>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</si>
  <si>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</si>
  <si>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</si>
  <si>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</si>
  <si>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</si>
  <si>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</si>
  <si>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</si>
  <si>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</si>
  <si>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</si>
  <si>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</si>
  <si>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</si>
  <si>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</si>
  <si>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</si>
  <si>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</si>
  <si>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</si>
  <si>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</si>
  <si>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</si>
  <si>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</si>
  <si>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</si>
  <si>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</si>
  <si>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</si>
  <si>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</si>
  <si>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</si>
  <si>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</si>
  <si>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</si>
  <si>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</si>
  <si>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</si>
  <si>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</si>
  <si>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</si>
  <si>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</si>
  <si>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</si>
  <si>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</si>
  <si>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</si>
  <si>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</si>
  <si>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</si>
  <si>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</si>
  <si>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</si>
  <si>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</si>
  <si>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</si>
  <si>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</si>
  <si>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</si>
  <si>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</si>
  <si>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</si>
  <si>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</si>
  <si>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</si>
  <si>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</si>
  <si>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</si>
  <si>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</si>
  <si>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</si>
  <si>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</si>
  <si>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</si>
  <si>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</si>
  <si>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</si>
  <si>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</si>
  <si>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</si>
  <si>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</si>
  <si>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</si>
  <si>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</si>
  <si>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</si>
  <si>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</si>
  <si>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</si>
  <si>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</si>
  <si>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</si>
  <si>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</si>
  <si>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</si>
  <si>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</si>
  <si>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</si>
  <si>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</si>
  <si>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</si>
  <si>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</si>
  <si>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</si>
  <si>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</si>
  <si>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</si>
  <si>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</si>
  <si>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</si>
  <si>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</si>
  <si>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</si>
  <si>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</si>
  <si>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</si>
  <si>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</si>
  <si>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</si>
  <si>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</si>
  <si>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</si>
  <si>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</si>
  <si>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</si>
  <si>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</si>
  <si>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</si>
  <si>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</si>
  <si>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</si>
  <si>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</si>
  <si>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</si>
  <si>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</si>
  <si>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</si>
  <si>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</si>
  <si>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</si>
  <si>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</si>
  <si>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</si>
  <si>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</si>
  <si>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</si>
  <si>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</si>
  <si>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</si>
  <si>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</si>
  <si>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</si>
  <si>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</si>
  <si>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</si>
  <si>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</si>
  <si>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</si>
  <si>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</si>
  <si>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</si>
  <si>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</si>
  <si>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</si>
  <si>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</si>
  <si>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</si>
  <si>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</si>
  <si>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</si>
  <si>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</si>
  <si>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</si>
  <si>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</si>
  <si>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</si>
  <si>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</si>
  <si>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</si>
  <si>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</si>
  <si>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</si>
  <si>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</si>
  <si>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</si>
  <si>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</si>
  <si>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</si>
  <si>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</si>
  <si>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</si>
  <si>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</si>
  <si>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</si>
  <si>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</si>
  <si>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</si>
  <si>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</si>
  <si>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</si>
  <si>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</si>
  <si>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</si>
  <si>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</si>
  <si>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</si>
  <si>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</si>
  <si>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</si>
  <si>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</si>
  <si>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</si>
  <si>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</si>
  <si>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</si>
  <si>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</si>
  <si>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</si>
  <si>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</si>
  <si>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</si>
  <si>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</si>
  <si>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</si>
  <si>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</si>
  <si>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</si>
  <si>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</si>
  <si>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</si>
  <si>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</si>
  <si>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</si>
  <si>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</si>
  <si>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</si>
  <si>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</si>
  <si>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</si>
  <si>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</si>
  <si>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</si>
  <si>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</si>
  <si>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</si>
  <si>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</si>
  <si>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</si>
  <si>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</si>
  <si>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</si>
  <si>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</si>
  <si>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</si>
  <si>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</si>
  <si>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</si>
  <si>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</si>
  <si>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</si>
  <si>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</si>
  <si>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</si>
  <si>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</si>
  <si>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</si>
  <si>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</si>
  <si>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</si>
  <si>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</si>
  <si>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</si>
  <si>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</si>
  <si>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</si>
  <si>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</si>
  <si>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</si>
  <si>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</si>
  <si>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</si>
  <si>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</si>
  <si>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</si>
  <si>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</si>
  <si>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</si>
  <si>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</si>
  <si>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</si>
  <si>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</si>
  <si>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</si>
  <si>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</si>
  <si>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</si>
  <si>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</si>
  <si>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</si>
  <si>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</si>
  <si>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</si>
  <si>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</si>
  <si>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</si>
  <si>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</si>
  <si>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</si>
  <si>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</si>
  <si>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</si>
  <si>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</si>
  <si>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</si>
  <si>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</si>
  <si>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</si>
  <si>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</si>
  <si>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</si>
  <si>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</si>
  <si>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</si>
  <si>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</si>
  <si>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</si>
  <si>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</si>
  <si>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</si>
  <si>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</si>
  <si>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</si>
  <si>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</si>
  <si>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</si>
  <si>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</si>
  <si>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</si>
  <si>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</si>
  <si>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</si>
  <si>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</si>
  <si>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</si>
  <si>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</si>
  <si>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</si>
  <si>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</si>
  <si>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</si>
  <si>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</si>
  <si>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</si>
  <si>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</si>
  <si>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</si>
  <si>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</si>
  <si>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</si>
  <si>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</si>
  <si>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</si>
  <si>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</si>
  <si>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</si>
  <si>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</si>
  <si>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</si>
  <si>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</si>
  <si>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</si>
  <si>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</si>
  <si>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</si>
  <si>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</si>
  <si>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</si>
  <si>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</si>
  <si>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</si>
  <si>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</si>
  <si>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</si>
  <si>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</si>
  <si>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</si>
  <si>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</si>
  <si>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</si>
  <si>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</si>
  <si>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</si>
  <si>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</si>
  <si>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</si>
  <si>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</si>
  <si>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</si>
  <si>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</si>
  <si>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</si>
  <si>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</si>
  <si>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</si>
  <si>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</si>
  <si>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</si>
  <si>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</si>
  <si>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</si>
  <si>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</si>
  <si>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</si>
  <si>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</si>
  <si>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</si>
  <si>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</si>
  <si>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</si>
  <si>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</si>
  <si>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</si>
  <si>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</si>
  <si>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</si>
  <si>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</si>
  <si>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</si>
  <si>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</si>
  <si>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</si>
  <si>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</si>
  <si>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</si>
  <si>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</si>
  <si>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</si>
  <si>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</si>
  <si>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</si>
  <si>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</si>
  <si>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</si>
  <si>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</si>
  <si>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</si>
  <si>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</si>
  <si>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</si>
  <si>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</si>
  <si>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</si>
  <si>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</si>
  <si>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</si>
  <si>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</si>
  <si>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</si>
  <si>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</si>
  <si>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</si>
  <si>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</si>
  <si>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</si>
  <si>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</si>
  <si>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</si>
  <si>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</si>
  <si>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</si>
  <si>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</si>
  <si>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</si>
  <si>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</si>
  <si>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</si>
  <si>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</si>
  <si>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</si>
  <si>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</si>
  <si>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</si>
  <si>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</si>
  <si>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</si>
  <si>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</si>
  <si>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</si>
  <si>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</si>
  <si>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</si>
  <si>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</si>
  <si>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</si>
  <si>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</si>
  <si>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</si>
  <si>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</si>
  <si>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</si>
  <si>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</si>
  <si>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</si>
  <si>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</si>
  <si>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</si>
  <si>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</si>
  <si>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</si>
  <si>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</si>
  <si>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</si>
  <si>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</si>
  <si>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</si>
  <si>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</si>
  <si>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</si>
  <si>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</si>
  <si>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</si>
  <si>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</si>
  <si>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</si>
  <si>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</si>
  <si>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</si>
  <si>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</si>
  <si>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</si>
  <si>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</si>
  <si>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</si>
  <si>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</si>
  <si>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</si>
  <si>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</si>
  <si>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</si>
  <si>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</si>
  <si>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</si>
  <si>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</si>
  <si>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</si>
  <si>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</si>
  <si>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</si>
  <si>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</si>
  <si>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</si>
  <si>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</si>
  <si>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</si>
  <si>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</si>
  <si>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</si>
  <si>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</si>
  <si>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</si>
  <si>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</si>
  <si>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</si>
  <si>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</si>
  <si>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</si>
  <si>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</si>
  <si>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</si>
  <si>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</si>
  <si>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</si>
  <si>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</si>
  <si>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</si>
  <si>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</si>
  <si>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</si>
  <si>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</si>
  <si>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</si>
  <si>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</si>
  <si>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</si>
  <si>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</si>
  <si>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</si>
  <si>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</si>
  <si>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</si>
  <si>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</si>
  <si>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</si>
  <si>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</si>
  <si>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</si>
  <si>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</si>
  <si>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</si>
  <si>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</si>
  <si>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</si>
  <si>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</si>
  <si>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</si>
  <si>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</si>
  <si>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</si>
  <si>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</si>
  <si>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</si>
  <si>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</si>
  <si>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</si>
  <si>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</si>
  <si>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</si>
  <si>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</si>
  <si>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</si>
  <si>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</si>
  <si>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</si>
  <si>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</si>
  <si>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</si>
  <si>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</si>
  <si>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</si>
  <si>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</si>
  <si>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</si>
  <si>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</si>
  <si>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</si>
  <si>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</si>
  <si>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</si>
  <si>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</si>
  <si>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</si>
  <si>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</si>
  <si>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</si>
  <si>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</si>
  <si>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</si>
  <si>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</si>
  <si>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</si>
  <si>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</si>
  <si>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</si>
  <si>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</si>
  <si>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</si>
  <si>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</si>
  <si>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</si>
  <si>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</si>
  <si>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</si>
  <si>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</si>
  <si>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</si>
  <si>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</si>
  <si>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</si>
  <si>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</si>
  <si>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</si>
  <si>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</si>
  <si>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</si>
  <si>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</si>
  <si>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</si>
  <si>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</si>
  <si>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</si>
  <si>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</si>
  <si>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</si>
  <si>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</si>
  <si>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</si>
  <si>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</si>
  <si>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</si>
  <si>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</si>
  <si>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</si>
  <si>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</si>
  <si>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</si>
  <si>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</si>
  <si>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</si>
  <si>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</si>
  <si>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</si>
  <si>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</si>
  <si>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</si>
  <si>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</si>
  <si>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</si>
  <si>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</si>
  <si>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</si>
  <si>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</si>
  <si>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</si>
  <si>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</si>
  <si>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</si>
  <si>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</si>
  <si>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</si>
  <si>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</si>
  <si>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</si>
  <si>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</si>
  <si>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</si>
  <si>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</si>
  <si>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</si>
  <si>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</si>
  <si>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</si>
  <si>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</si>
  <si>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</si>
  <si>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</si>
  <si>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</si>
  <si>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</si>
  <si>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</si>
  <si>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</si>
  <si>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</si>
  <si>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</si>
  <si>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</si>
  <si>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</si>
  <si>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</si>
  <si>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</si>
  <si>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</si>
  <si>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</si>
  <si>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</si>
  <si>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</si>
  <si>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</si>
  <si>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</si>
  <si>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</si>
  <si>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</si>
  <si>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</si>
  <si>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</si>
  <si>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</si>
  <si>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</si>
  <si>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</si>
  <si>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</si>
  <si>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</si>
  <si>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</si>
  <si>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</si>
  <si>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</si>
  <si>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</si>
  <si>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</si>
  <si>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</si>
  <si>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</si>
  <si>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</si>
  <si>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</si>
  <si>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</si>
  <si>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</si>
  <si>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</si>
  <si>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</si>
  <si>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</si>
  <si>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</si>
  <si>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</si>
  <si>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</si>
  <si>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</si>
  <si>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</si>
  <si>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</si>
  <si>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</si>
  <si>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</si>
  <si>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</si>
  <si>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</si>
  <si>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</si>
  <si>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</si>
  <si>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</si>
  <si>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</si>
  <si>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</si>
  <si>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</si>
  <si>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</si>
  <si>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</si>
  <si>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</si>
  <si>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</si>
  <si>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</si>
  <si>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</si>
  <si>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</si>
  <si>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</si>
  <si>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</si>
  <si>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</si>
  <si>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</si>
  <si>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</si>
  <si>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</si>
  <si>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</si>
  <si>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</si>
  <si>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</si>
  <si>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</si>
  <si>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</si>
  <si>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</si>
  <si>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</si>
  <si>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</si>
  <si>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</si>
  <si>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</si>
  <si>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</si>
  <si>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</si>
  <si>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</si>
  <si>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</si>
  <si>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</si>
  <si>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</si>
  <si>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</si>
  <si>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</si>
  <si>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</si>
  <si>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</si>
  <si>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</si>
  <si>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</si>
  <si>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</si>
  <si>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</si>
  <si>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</si>
  <si>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</si>
  <si>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</si>
  <si>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</si>
  <si>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</si>
  <si>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</si>
  <si>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</si>
  <si>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</si>
  <si>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</si>
  <si>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</si>
  <si>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</si>
  <si>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</si>
  <si>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</si>
  <si>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</si>
  <si>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</si>
  <si>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</si>
  <si>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</si>
  <si>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</si>
  <si>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</si>
  <si>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</si>
  <si>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</si>
  <si>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</si>
  <si>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</si>
  <si>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</si>
  <si>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</si>
  <si>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</si>
  <si>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</si>
  <si>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</si>
  <si>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</si>
  <si>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</si>
  <si>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</si>
  <si>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</si>
  <si>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</si>
  <si>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</si>
  <si>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</si>
  <si>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</si>
  <si>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</si>
  <si>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</si>
  <si>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</si>
  <si>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</si>
  <si>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</si>
  <si>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</si>
  <si>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</si>
  <si>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</si>
  <si>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</si>
  <si>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</si>
  <si>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</si>
  <si>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</si>
  <si>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</si>
  <si>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</si>
  <si>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</si>
  <si>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</si>
  <si>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</si>
  <si>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</si>
  <si>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</si>
  <si>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</si>
  <si>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</si>
  <si>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</si>
  <si>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</si>
  <si>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</si>
  <si>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</si>
  <si>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</si>
  <si>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</si>
  <si>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</si>
  <si>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</si>
  <si>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</si>
  <si>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</si>
  <si>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</si>
  <si>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</si>
  <si>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</si>
  <si>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</si>
  <si>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</si>
  <si>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</si>
  <si>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</si>
  <si>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</si>
  <si>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</si>
  <si>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</si>
  <si>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</si>
  <si>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</si>
  <si>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</si>
  <si>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</si>
  <si>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</si>
  <si>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</si>
  <si>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</si>
  <si>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</si>
  <si>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</si>
  <si>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</si>
  <si>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</si>
  <si>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</si>
  <si>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</si>
  <si>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</si>
  <si>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</si>
  <si>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</si>
  <si>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</si>
  <si>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</si>
  <si>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</si>
  <si>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</si>
  <si>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</si>
  <si>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</si>
  <si>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</si>
  <si>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</si>
  <si>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</si>
  <si>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</si>
  <si>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</si>
  <si>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</si>
  <si>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</si>
  <si>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</si>
  <si>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</si>
  <si>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</si>
  <si>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</si>
  <si>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</si>
  <si>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</si>
  <si>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</si>
  <si>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</si>
  <si>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</si>
  <si>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</si>
  <si>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</si>
  <si>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</si>
  <si>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</si>
  <si>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</si>
  <si>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</si>
  <si>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</si>
  <si>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</si>
  <si>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</si>
  <si>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</si>
  <si>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</si>
  <si>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</si>
  <si>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</si>
  <si>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</si>
  <si>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</si>
  <si>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</si>
  <si>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</si>
  <si>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</si>
  <si>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</si>
  <si>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</si>
  <si>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</si>
  <si>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</si>
  <si>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</si>
  <si>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</si>
  <si>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</si>
  <si>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</si>
  <si>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</si>
  <si>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</si>
  <si>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</si>
  <si>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</si>
  <si>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</si>
  <si>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</si>
  <si>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</si>
  <si>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</si>
  <si>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</si>
  <si>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</si>
  <si>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</si>
  <si>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</si>
  <si>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</si>
  <si>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</si>
  <si>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</si>
  <si>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</si>
  <si>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</si>
  <si>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</si>
  <si>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</si>
  <si>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</si>
  <si>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</si>
  <si>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</si>
  <si>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</si>
  <si>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</si>
  <si>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</si>
  <si>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</si>
  <si>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</si>
  <si>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</si>
  <si>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</si>
  <si>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</si>
  <si>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</si>
  <si>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</si>
  <si>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</si>
  <si>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</si>
  <si>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</si>
  <si>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</si>
  <si>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</si>
  <si>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</si>
  <si>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</si>
  <si>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</si>
  <si>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</si>
  <si>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</si>
  <si>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</si>
  <si>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</si>
  <si>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</si>
  <si>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</si>
  <si>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</si>
  <si>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</si>
  <si>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</si>
  <si>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</si>
  <si>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</si>
  <si>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</si>
  <si>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</si>
  <si>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</si>
  <si>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</si>
  <si>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</si>
  <si>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</si>
  <si>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</si>
  <si>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</si>
  <si>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</si>
  <si>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</si>
  <si>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</si>
  <si>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</si>
  <si>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</si>
  <si>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</si>
  <si>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</si>
  <si>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</si>
  <si>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</si>
  <si>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</si>
  <si>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</si>
  <si>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</si>
  <si>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</si>
  <si>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</si>
  <si>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</si>
  <si>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</si>
  <si>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</si>
  <si>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</si>
  <si>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</si>
  <si>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</si>
  <si>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</si>
  <si>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</si>
  <si>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</si>
  <si>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</si>
  <si>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</si>
  <si>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</si>
  <si>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</si>
  <si>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</si>
  <si>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</si>
  <si>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</si>
  <si>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</si>
  <si>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</si>
  <si>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</si>
  <si>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</si>
  <si>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</si>
  <si>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</si>
  <si>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</si>
  <si>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</si>
  <si>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</si>
  <si>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</si>
  <si>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</si>
  <si>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</si>
  <si>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</si>
  <si>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</si>
  <si>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</si>
  <si>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</si>
  <si>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</si>
  <si>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</si>
  <si>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</si>
  <si>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</si>
  <si>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</si>
  <si>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</si>
  <si>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</si>
  <si>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</si>
  <si>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</si>
  <si>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</si>
  <si>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</si>
  <si>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</si>
  <si>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</si>
  <si>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</si>
  <si>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</si>
  <si>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</si>
  <si>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</si>
  <si>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</si>
  <si>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</si>
  <si>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</si>
  <si>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</si>
  <si>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</si>
  <si>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</si>
  <si>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</si>
  <si>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</si>
  <si>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</si>
  <si>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</si>
  <si>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</si>
  <si>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</si>
  <si>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</si>
  <si>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</si>
  <si>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</si>
  <si>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</si>
  <si>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</si>
  <si>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</si>
  <si>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</si>
  <si>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</si>
  <si>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</si>
  <si>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</si>
  <si>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</si>
  <si>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</si>
  <si>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</si>
  <si>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</si>
  <si>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</si>
  <si>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</si>
  <si>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</si>
  <si>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</si>
  <si>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</si>
  <si>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</si>
  <si>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</si>
  <si>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</si>
  <si>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</si>
  <si>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</si>
  <si>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</si>
  <si>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</si>
  <si>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</si>
  <si>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</si>
  <si>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</si>
  <si>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</si>
  <si>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</si>
  <si>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</si>
  <si>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</si>
  <si>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</si>
  <si>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</si>
  <si>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</si>
  <si>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</si>
  <si>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</si>
  <si>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</si>
  <si>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</si>
  <si>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</si>
  <si>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</si>
  <si>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</si>
  <si>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</si>
  <si>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</si>
  <si>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</si>
  <si>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</si>
  <si>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</si>
  <si>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</si>
  <si>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</si>
  <si>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</si>
  <si>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</si>
  <si>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</si>
  <si>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</si>
  <si>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</si>
  <si>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</si>
  <si>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</si>
  <si>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</si>
  <si>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</si>
  <si>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</si>
  <si>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</si>
  <si>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</si>
  <si>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</si>
  <si>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</si>
  <si>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</si>
  <si>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</si>
  <si>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</si>
  <si>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</si>
  <si>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</si>
  <si>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</si>
  <si>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</si>
  <si>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</si>
  <si>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</si>
  <si>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</si>
  <si>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</si>
  <si>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</si>
  <si>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</si>
  <si>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</si>
  <si>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</si>
  <si>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</si>
  <si>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</si>
  <si>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</si>
  <si>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</si>
  <si>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</si>
  <si>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</si>
  <si>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</si>
  <si>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</si>
  <si>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</si>
  <si>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</si>
  <si>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</si>
  <si>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</si>
  <si>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</si>
  <si>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</si>
  <si>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</si>
  <si>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</si>
  <si>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</si>
  <si>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</si>
  <si>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</si>
  <si>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</si>
  <si>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</si>
  <si>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</si>
  <si>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</si>
  <si>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</si>
  <si>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</si>
  <si>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</si>
  <si>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</si>
  <si>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</si>
  <si>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</si>
  <si>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</si>
  <si>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</si>
  <si>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</si>
  <si>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</si>
  <si>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</si>
  <si>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</si>
  <si>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</si>
  <si>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</si>
  <si>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</si>
  <si>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</si>
  <si>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</si>
  <si>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</si>
  <si>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</si>
  <si>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</si>
  <si>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</si>
  <si>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</si>
  <si>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</si>
  <si>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</si>
  <si>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</si>
  <si>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</si>
  <si>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</si>
  <si>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</si>
  <si>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</si>
  <si>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</si>
  <si>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</si>
  <si>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</si>
  <si>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</si>
  <si>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</si>
  <si>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</si>
  <si>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</si>
  <si>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</si>
  <si>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</si>
  <si>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</si>
  <si>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</si>
  <si>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</si>
  <si>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</si>
  <si>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</si>
  <si>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</si>
  <si>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</si>
  <si>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</si>
  <si>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</si>
  <si>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</si>
  <si>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</si>
  <si>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</si>
  <si>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</si>
  <si>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</si>
  <si>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</si>
  <si>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</si>
  <si>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</si>
  <si>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</si>
  <si>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</si>
  <si>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</si>
  <si>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</si>
  <si>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</si>
  <si>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</si>
  <si>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</si>
  <si>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</si>
  <si>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</si>
  <si>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</si>
  <si>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</si>
  <si>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</si>
  <si>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</si>
  <si>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</si>
  <si>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</si>
  <si>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</si>
  <si>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</si>
  <si>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</si>
  <si>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</si>
  <si>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</si>
  <si>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</si>
  <si>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</si>
  <si>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</si>
  <si>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</si>
  <si>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</si>
  <si>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</si>
  <si>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</si>
  <si>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</si>
  <si>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</si>
  <si>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</si>
  <si>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</si>
  <si>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</si>
  <si>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</si>
  <si>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</si>
  <si>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</si>
  <si>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</si>
  <si>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</si>
  <si>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</si>
  <si>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</si>
  <si>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</si>
  <si>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</si>
  <si>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</si>
  <si>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</si>
  <si>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</si>
  <si>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</si>
  <si>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</si>
  <si>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</si>
  <si>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</si>
  <si>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</si>
  <si>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</si>
  <si>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</si>
  <si>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</si>
  <si>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</si>
  <si>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</si>
  <si>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</si>
  <si>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</si>
  <si>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</si>
  <si>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</si>
  <si>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</si>
  <si>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</si>
  <si>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</si>
  <si>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</si>
  <si>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</si>
  <si>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</si>
  <si>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</si>
  <si>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</si>
  <si>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</si>
  <si>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</si>
  <si>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</si>
  <si>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</si>
  <si>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</si>
  <si>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</si>
  <si>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</si>
  <si>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</si>
  <si>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</si>
  <si>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</si>
  <si>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</si>
  <si>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</si>
  <si>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</si>
  <si>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</si>
  <si>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</si>
  <si>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</si>
  <si>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</si>
  <si>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</si>
  <si>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</si>
  <si>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</si>
  <si>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</si>
  <si>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</si>
  <si>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</si>
  <si>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</si>
  <si>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</si>
  <si>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</si>
  <si>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</si>
  <si>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</si>
  <si>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</si>
  <si>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</si>
  <si>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</si>
  <si>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</si>
  <si>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</si>
  <si>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</si>
  <si>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</si>
  <si>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</si>
  <si>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</si>
  <si>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</si>
  <si>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</si>
  <si>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</si>
  <si>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</si>
  <si>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</si>
  <si>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</si>
  <si>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</si>
  <si>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</si>
  <si>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</si>
  <si>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</si>
  <si>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</si>
  <si>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</si>
  <si>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</si>
  <si>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</si>
  <si>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</si>
  <si>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</si>
  <si>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</si>
  <si>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</si>
  <si>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</si>
  <si>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</si>
  <si>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</si>
  <si>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</si>
  <si>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</si>
  <si>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</si>
  <si>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</si>
  <si>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</si>
  <si>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</si>
  <si>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</si>
  <si>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</si>
  <si>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</si>
  <si>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</si>
  <si>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</si>
  <si>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</si>
  <si>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</si>
  <si>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</si>
  <si>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</si>
  <si>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</si>
  <si>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</si>
  <si>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</si>
  <si>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</si>
  <si>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</si>
  <si>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</si>
  <si>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</si>
  <si>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</si>
  <si>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</si>
  <si>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</si>
  <si>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</si>
  <si>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</si>
  <si>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</si>
  <si>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</si>
  <si>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</si>
  <si>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</si>
  <si>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</si>
  <si>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</si>
  <si>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</si>
  <si>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</si>
  <si>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</si>
  <si>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</si>
  <si>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</si>
  <si>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</si>
  <si>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</si>
  <si>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</si>
  <si>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</si>
  <si>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</si>
  <si>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</si>
  <si>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</si>
  <si>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</si>
  <si>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</si>
  <si>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</si>
  <si>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</si>
  <si>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</si>
  <si>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</si>
  <si>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</si>
  <si>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</si>
  <si>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</si>
  <si>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</si>
  <si>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</si>
  <si>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</si>
  <si>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</si>
  <si>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</si>
  <si>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</si>
  <si>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</si>
  <si>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</si>
  <si>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</si>
  <si>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</si>
  <si>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</si>
  <si>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</si>
  <si>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</si>
  <si>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</si>
  <si>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</si>
  <si>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</si>
  <si>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</si>
  <si>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</si>
  <si>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</si>
  <si>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</si>
  <si>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</si>
  <si>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</si>
  <si>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</si>
  <si>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</si>
  <si>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</si>
  <si>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</si>
  <si>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</si>
  <si>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</si>
  <si>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</si>
  <si>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</si>
  <si>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</si>
  <si>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</si>
  <si>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</si>
  <si>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</si>
  <si>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</si>
  <si>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</si>
  <si>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</si>
  <si>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</si>
  <si>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</si>
  <si>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</si>
  <si>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</si>
  <si>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</si>
  <si>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</si>
  <si>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</si>
  <si>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</si>
  <si>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</si>
  <si>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</si>
  <si>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</si>
  <si>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</si>
  <si>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</si>
  <si>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</si>
  <si>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</si>
  <si>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</si>
  <si>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</si>
  <si>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</si>
  <si>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</si>
  <si>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</si>
  <si>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</si>
  <si>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</si>
  <si>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</si>
  <si>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</si>
  <si>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</si>
  <si>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</si>
  <si>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</si>
  <si>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</si>
  <si>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</si>
  <si>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</si>
  <si>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</si>
  <si>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</si>
  <si>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</si>
  <si>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</si>
  <si>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</si>
  <si>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</si>
  <si>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</si>
  <si>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</si>
  <si>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</si>
  <si>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</si>
  <si>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</si>
  <si>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</si>
  <si>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</si>
  <si>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</si>
  <si>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</si>
  <si>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</si>
  <si>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</si>
  <si>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</si>
  <si>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</si>
  <si>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</si>
  <si>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</si>
  <si>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</si>
  <si>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</si>
  <si>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</si>
  <si>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</si>
  <si>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</si>
  <si>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</si>
  <si>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</si>
  <si>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</si>
  <si>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</si>
  <si>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</si>
  <si>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</si>
  <si>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</si>
  <si>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</si>
  <si>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</si>
  <si>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</si>
  <si>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</si>
  <si>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</si>
  <si>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</si>
  <si>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</si>
  <si>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</si>
  <si>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</si>
  <si>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</si>
  <si>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</si>
  <si>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</si>
  <si>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</si>
  <si>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</si>
  <si>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</si>
  <si>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</si>
  <si>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</si>
  <si>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</si>
  <si>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</si>
  <si>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</si>
  <si>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</si>
  <si>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</si>
  <si>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</si>
  <si>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</si>
  <si>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</si>
  <si>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</si>
  <si>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</si>
  <si>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</si>
  <si>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</si>
  <si>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</si>
  <si>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</si>
  <si>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</si>
  <si>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</si>
  <si>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</si>
  <si>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</si>
  <si>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</si>
  <si>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</si>
  <si>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</si>
  <si>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</si>
  <si>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</si>
  <si>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</si>
  <si>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</si>
  <si>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</si>
  <si>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</si>
  <si>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</si>
  <si>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</si>
  <si>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</si>
  <si>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</si>
  <si>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</si>
  <si>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</si>
  <si>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</si>
  <si>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</si>
  <si>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</si>
  <si>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</si>
  <si>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</si>
  <si>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</si>
  <si>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</si>
  <si>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</si>
  <si>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</si>
  <si>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</si>
  <si>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</si>
  <si>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</si>
  <si>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</si>
  <si>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</si>
  <si>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</si>
  <si>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</si>
  <si>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</si>
  <si>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</si>
  <si>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</si>
  <si>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</si>
  <si>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</si>
  <si>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</si>
  <si>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</si>
  <si>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</si>
  <si>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</si>
  <si>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</si>
  <si>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</si>
  <si>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</si>
  <si>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</si>
  <si>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</si>
  <si>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</si>
  <si>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</si>
  <si>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</si>
  <si>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</si>
  <si>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</si>
  <si>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</si>
  <si>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</si>
  <si>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</si>
  <si>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</si>
  <si>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</si>
  <si>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</si>
  <si>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</si>
  <si>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</si>
  <si>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</si>
  <si>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</si>
  <si>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</si>
  <si>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</si>
  <si>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</si>
  <si>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</si>
  <si>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</si>
  <si>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</si>
  <si>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</si>
  <si>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</si>
  <si>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</si>
  <si>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</si>
  <si>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</si>
  <si>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</si>
  <si>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</si>
  <si>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</si>
  <si>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</si>
  <si>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</si>
  <si>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</si>
  <si>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</si>
  <si>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</si>
  <si>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</si>
  <si>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</si>
  <si>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</si>
  <si>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</si>
  <si>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</si>
  <si>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</si>
  <si>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</si>
  <si>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</si>
  <si>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</si>
  <si>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</si>
  <si>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</si>
  <si>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</si>
  <si>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</si>
  <si>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</si>
  <si>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</si>
  <si>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</si>
  <si>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</si>
  <si>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</si>
  <si>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</si>
  <si>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</si>
  <si>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</si>
  <si>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</si>
  <si>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</si>
  <si>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</si>
  <si>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</si>
  <si>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</si>
  <si>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</si>
  <si>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</si>
  <si>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</si>
  <si>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</si>
  <si>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</si>
  <si>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</si>
  <si>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</si>
  <si>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</si>
  <si>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</si>
  <si>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</si>
  <si>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</si>
  <si>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</si>
  <si>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</si>
  <si>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</si>
  <si>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</si>
  <si>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</si>
  <si>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</si>
  <si>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</si>
  <si>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</si>
  <si>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</si>
  <si>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</si>
  <si>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</si>
  <si>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</si>
  <si>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</si>
  <si>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</si>
  <si>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</si>
  <si>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</si>
  <si>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</si>
  <si>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</si>
  <si>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</si>
  <si>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</si>
  <si>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</si>
  <si>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</si>
  <si>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</si>
  <si>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</si>
  <si>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</si>
  <si>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</si>
  <si>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</si>
  <si>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</si>
  <si>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</si>
  <si>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</si>
  <si>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</si>
  <si>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</si>
  <si>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</si>
  <si>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</si>
  <si>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</si>
  <si>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</si>
  <si>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</si>
  <si>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</si>
  <si>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</si>
  <si>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</si>
  <si>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</si>
  <si>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</si>
  <si>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</si>
  <si>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</si>
  <si>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</si>
  <si>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</si>
  <si>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</si>
  <si>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</si>
  <si>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</si>
  <si>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</si>
  <si>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</si>
  <si>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</si>
  <si>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</si>
  <si>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</si>
  <si>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</si>
  <si>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</si>
  <si>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</si>
  <si>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</si>
  <si>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</si>
  <si>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</si>
  <si>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</si>
  <si>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</si>
  <si>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</si>
  <si>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</si>
  <si>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</si>
  <si>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</si>
  <si>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</si>
  <si>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</si>
  <si>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</si>
  <si>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</si>
  <si>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</si>
  <si>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</si>
  <si>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</si>
  <si>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</si>
  <si>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</si>
  <si>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</si>
  <si>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</si>
  <si>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</si>
  <si>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</si>
  <si>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</si>
  <si>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</si>
  <si>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</si>
  <si>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</si>
  <si>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</si>
  <si>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</si>
  <si>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</si>
  <si>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</si>
  <si>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</si>
  <si>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</si>
  <si>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</si>
  <si>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</si>
  <si>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</si>
  <si>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</si>
  <si>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</si>
  <si>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</si>
  <si>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</si>
  <si>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</si>
  <si>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</si>
  <si>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</si>
  <si>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</si>
  <si>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</si>
  <si>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</si>
  <si>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</si>
  <si>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</si>
  <si>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</si>
  <si>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</si>
  <si>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</si>
  <si>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</si>
  <si>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</si>
  <si>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</si>
  <si>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</si>
  <si>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</si>
  <si>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</si>
  <si>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</si>
  <si>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</si>
  <si>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</si>
  <si>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</si>
  <si>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</si>
  <si>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</si>
  <si>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</si>
  <si>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</si>
  <si>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</si>
  <si>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</si>
  <si>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</si>
  <si>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</si>
  <si>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</si>
  <si>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</si>
  <si>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</si>
  <si>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</si>
  <si>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</si>
  <si>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</si>
  <si>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</si>
  <si>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</si>
  <si>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</si>
  <si>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</si>
  <si>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</si>
  <si>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</si>
  <si>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</si>
  <si>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</si>
  <si>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</si>
  <si>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</si>
  <si>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</si>
  <si>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</si>
  <si>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</si>
  <si>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</si>
  <si>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</si>
  <si>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</si>
  <si>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</si>
  <si>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</si>
  <si>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</si>
  <si>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</si>
  <si>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</si>
  <si>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</si>
  <si>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</si>
  <si>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</si>
  <si>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</si>
  <si>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</si>
  <si>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</si>
  <si>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</si>
  <si>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</si>
  <si>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</si>
  <si>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</si>
  <si>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</si>
  <si>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</si>
  <si>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</si>
  <si>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</si>
  <si>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</si>
  <si>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</si>
  <si>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</si>
  <si>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</si>
  <si>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</si>
  <si>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</si>
  <si>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</si>
  <si>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</si>
  <si>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</si>
  <si>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</si>
  <si>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</si>
  <si>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</si>
  <si>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</si>
  <si>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</si>
  <si>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</si>
  <si>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</si>
  <si>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</si>
  <si>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</si>
  <si>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</si>
  <si>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</si>
  <si>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</si>
  <si>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</si>
  <si>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</si>
  <si>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</si>
  <si>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</si>
  <si>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</si>
  <si>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</si>
  <si>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</si>
  <si>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</si>
  <si>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</si>
  <si>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</si>
  <si>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</si>
  <si>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</si>
  <si>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</si>
  <si>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</si>
  <si>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</si>
  <si>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</si>
  <si>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</si>
  <si>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</si>
  <si>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</si>
  <si>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</si>
  <si>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</si>
  <si>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</si>
  <si>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</si>
  <si>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</si>
  <si>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</si>
  <si>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</si>
  <si>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</si>
  <si>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</si>
  <si>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</si>
  <si>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</si>
  <si>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</si>
  <si>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</si>
  <si>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</si>
  <si>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</si>
  <si>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</si>
  <si>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</si>
  <si>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</si>
  <si>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</si>
  <si>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</si>
  <si>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</si>
  <si>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</si>
  <si>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</si>
  <si>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</si>
  <si>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</si>
  <si>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</si>
  <si>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</si>
  <si>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</si>
  <si>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</si>
  <si>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</si>
  <si>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</si>
  <si>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</si>
  <si>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</si>
  <si>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</si>
  <si>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</si>
  <si>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</si>
  <si>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</si>
  <si>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</si>
  <si>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</si>
  <si>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</si>
  <si>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</si>
  <si>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</si>
  <si>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</si>
  <si>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</si>
  <si>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</si>
  <si>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</si>
  <si>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</si>
  <si>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</si>
  <si>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</si>
  <si>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</si>
  <si>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</si>
  <si>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</si>
  <si>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</si>
  <si>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</si>
  <si>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</si>
  <si>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</si>
  <si>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</si>
  <si>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</si>
  <si>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</si>
  <si>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</si>
  <si>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</si>
  <si>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</si>
  <si>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</si>
  <si>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</si>
  <si>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</si>
  <si>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</si>
  <si>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</si>
  <si>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</si>
  <si>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</si>
  <si>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</si>
  <si>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</si>
  <si>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</si>
  <si>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</si>
  <si>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</si>
  <si>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</si>
  <si>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</si>
  <si>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</si>
  <si>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</si>
  <si>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</si>
  <si>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</si>
  <si>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</si>
  <si>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</si>
  <si>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</si>
  <si>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</si>
  <si>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</si>
  <si>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</si>
  <si>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</si>
  <si>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</si>
  <si>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</si>
  <si>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</si>
  <si>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</si>
  <si>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</si>
  <si>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</si>
  <si>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</si>
  <si>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</si>
  <si>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</si>
  <si>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</si>
  <si>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</si>
  <si>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</si>
  <si>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</si>
  <si>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</si>
  <si>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</si>
  <si>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</si>
  <si>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</si>
  <si>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</si>
  <si>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</si>
  <si>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</si>
  <si>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</si>
  <si>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</si>
  <si>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</si>
  <si>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</si>
  <si>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</si>
  <si>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</si>
  <si>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</si>
  <si>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</si>
  <si>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</si>
  <si>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</si>
  <si>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</si>
  <si>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</si>
  <si>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</si>
  <si>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</si>
  <si>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</si>
  <si>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</si>
  <si>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</si>
  <si>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</si>
  <si>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</si>
  <si>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</si>
  <si>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</si>
  <si>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</si>
  <si>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</si>
  <si>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</si>
  <si>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</si>
  <si>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</si>
  <si>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</si>
  <si>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</si>
  <si>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</si>
  <si>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</si>
  <si>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</si>
  <si>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</si>
  <si>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</si>
  <si>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</si>
  <si>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</si>
  <si>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</si>
  <si>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</si>
  <si>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</si>
  <si>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</si>
  <si>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</si>
  <si>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</si>
  <si>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</si>
  <si>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</si>
  <si>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</si>
  <si>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</si>
  <si>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</si>
  <si>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</si>
  <si>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</si>
  <si>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</si>
  <si>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</si>
  <si>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</si>
  <si>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</si>
  <si>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</si>
  <si>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</si>
  <si>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</si>
  <si>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</si>
  <si>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</si>
  <si>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</si>
  <si>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</si>
  <si>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</si>
  <si>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</si>
  <si>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</si>
  <si>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</si>
  <si>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</si>
  <si>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</si>
  <si>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</si>
  <si>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</si>
  <si>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</si>
  <si>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</si>
  <si>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</si>
  <si>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</si>
  <si>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</si>
  <si>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</si>
  <si>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</si>
  <si>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</si>
  <si>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</si>
  <si>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</si>
  <si>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</si>
  <si>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</si>
  <si>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</si>
  <si>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</si>
  <si>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</si>
  <si>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</si>
  <si>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</si>
  <si>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</si>
  <si>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</si>
  <si>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</si>
  <si>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</si>
  <si>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</si>
  <si>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</si>
  <si>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</si>
  <si>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</si>
  <si>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</si>
  <si>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</si>
  <si>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</si>
  <si>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</si>
  <si>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</si>
  <si>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</si>
  <si>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</si>
  <si>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</si>
  <si>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</si>
  <si>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</si>
  <si>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</si>
  <si>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</si>
  <si>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</si>
  <si>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</si>
  <si>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</si>
  <si>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</si>
  <si>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</si>
  <si>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</si>
  <si>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</si>
  <si>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</si>
  <si>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</si>
  <si>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</si>
  <si>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</si>
  <si>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</si>
  <si>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</si>
  <si>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</si>
  <si>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</si>
  <si>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</si>
  <si>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</si>
  <si>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</si>
  <si>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</si>
  <si>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</si>
  <si>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</si>
  <si>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</si>
  <si>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</si>
  <si>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</si>
  <si>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</si>
  <si>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</si>
  <si>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</si>
  <si>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</si>
  <si>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</si>
  <si>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</si>
  <si>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</si>
  <si>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</si>
  <si>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</si>
  <si>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</si>
  <si>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</si>
  <si>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</si>
  <si>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</si>
  <si>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</si>
  <si>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</si>
  <si>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</si>
  <si>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</si>
  <si>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</si>
  <si>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</si>
  <si>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</si>
  <si>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</si>
  <si>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</si>
  <si>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</si>
  <si>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</si>
  <si>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</si>
  <si>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</si>
  <si>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</si>
  <si>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</si>
  <si>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</si>
  <si>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</si>
  <si>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</si>
  <si>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</si>
  <si>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</si>
  <si>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</si>
  <si>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</si>
  <si>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</si>
  <si>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</si>
  <si>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</si>
  <si>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</si>
  <si>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</si>
  <si>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</si>
  <si>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</si>
  <si>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</si>
  <si>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</si>
  <si>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</si>
  <si>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</si>
  <si>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</si>
  <si>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</si>
  <si>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</si>
  <si>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</si>
  <si>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</si>
  <si>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</si>
  <si>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</si>
  <si>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</si>
  <si>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</si>
  <si>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</si>
  <si>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</si>
  <si>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</si>
  <si>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</si>
  <si>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</si>
  <si>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</si>
  <si>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</si>
  <si>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</si>
  <si>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</si>
  <si>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</si>
  <si>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</si>
  <si>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</si>
  <si>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</si>
  <si>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</si>
  <si>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</si>
  <si>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</si>
  <si>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</si>
  <si>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</si>
  <si>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</si>
  <si>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</si>
  <si>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</si>
  <si>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</si>
  <si>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</si>
  <si>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</si>
  <si>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</si>
  <si>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</si>
  <si>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</si>
  <si>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</si>
  <si>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</si>
  <si>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</si>
  <si>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</si>
  <si>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</si>
  <si>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</si>
  <si>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</si>
  <si>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</si>
  <si>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</si>
  <si>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</si>
  <si>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</si>
  <si>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</si>
  <si>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</si>
  <si>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</si>
  <si>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</si>
  <si>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</si>
  <si>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</si>
  <si>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</si>
  <si>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</si>
  <si>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</si>
  <si>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</si>
  <si>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</si>
  <si>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</si>
  <si>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</si>
  <si>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</si>
  <si>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</si>
  <si>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</si>
  <si>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</si>
  <si>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</si>
  <si>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</si>
  <si>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</si>
  <si>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</si>
  <si>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</si>
  <si>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</si>
  <si>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</si>
  <si>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</si>
  <si>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</si>
  <si>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</si>
  <si>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</si>
  <si>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</si>
  <si>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</si>
  <si>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</si>
  <si>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</si>
  <si>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</si>
  <si>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</si>
  <si>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</si>
  <si>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</si>
  <si>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</si>
  <si>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</si>
  <si>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</si>
  <si>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</si>
  <si>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</si>
  <si>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</si>
  <si>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</si>
  <si>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</si>
  <si>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</si>
  <si>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</si>
  <si>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</si>
  <si>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</si>
  <si>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</si>
  <si>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</si>
  <si>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</si>
  <si>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</si>
  <si>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</si>
  <si>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</si>
  <si>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</si>
  <si>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</si>
  <si>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</si>
  <si>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</si>
  <si>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</si>
  <si>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</si>
  <si>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</si>
  <si>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</si>
  <si>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</si>
  <si>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</si>
  <si>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</si>
  <si>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</si>
  <si>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</si>
  <si>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</si>
  <si>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</si>
  <si>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</si>
  <si>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</si>
  <si>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</si>
  <si>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</si>
  <si>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</si>
  <si>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</si>
  <si>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</si>
  <si>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</si>
  <si>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</si>
  <si>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</si>
  <si>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</si>
  <si>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</si>
  <si>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</si>
  <si>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</si>
  <si>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</si>
  <si>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</si>
  <si>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</si>
  <si>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</si>
  <si>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</si>
  <si>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</si>
  <si>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</si>
  <si>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</si>
  <si>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</si>
  <si>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</si>
  <si>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</si>
  <si>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</si>
  <si>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</si>
  <si>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</si>
  <si>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</si>
  <si>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</si>
  <si>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</si>
  <si>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</si>
  <si>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</si>
  <si>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</si>
  <si>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</si>
  <si>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</si>
  <si>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</si>
  <si>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</si>
  <si>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</si>
  <si>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</si>
  <si>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</si>
  <si>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</si>
  <si>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</si>
  <si>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</si>
  <si>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</si>
  <si>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</si>
  <si>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</si>
  <si>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</si>
  <si>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</si>
  <si>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</si>
  <si>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</si>
  <si>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</si>
  <si>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</si>
  <si>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</si>
  <si>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</si>
  <si>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</si>
  <si>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</si>
  <si>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</si>
  <si>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</si>
  <si>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</si>
  <si>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</si>
  <si>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</si>
  <si>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</si>
  <si>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</si>
  <si>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</si>
  <si>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</si>
  <si>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</si>
  <si>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</si>
  <si>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</si>
  <si>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</si>
  <si>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</si>
  <si>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</si>
  <si>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</si>
  <si>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</si>
  <si>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</si>
  <si>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</si>
  <si>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</si>
  <si>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</si>
  <si>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</si>
  <si>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</si>
  <si>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</si>
  <si>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</si>
  <si>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</si>
  <si>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</si>
  <si>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</si>
  <si>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</si>
  <si>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</si>
  <si>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</si>
  <si>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</si>
  <si>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</si>
  <si>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</si>
  <si>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</si>
  <si>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</si>
  <si>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</si>
  <si>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</si>
  <si>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</si>
  <si>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</si>
  <si>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</si>
  <si>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</si>
  <si>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</si>
  <si>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</si>
  <si>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</si>
  <si>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</si>
  <si>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</si>
  <si>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</si>
  <si>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</si>
  <si>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</si>
  <si>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</si>
  <si>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</si>
  <si>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</si>
  <si>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</si>
  <si>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</si>
  <si>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</si>
  <si>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</si>
  <si>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</si>
  <si>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</si>
  <si>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</si>
  <si>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</si>
  <si>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</si>
  <si>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</si>
  <si>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</si>
  <si>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</si>
  <si>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</si>
  <si>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</si>
  <si>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</si>
  <si>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</si>
  <si>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</si>
  <si>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</si>
  <si>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</si>
  <si>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</si>
  <si>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</si>
  <si>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</si>
  <si>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</si>
  <si>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</si>
  <si>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</si>
  <si>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</si>
  <si>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</si>
  <si>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</si>
  <si>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</si>
  <si>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</si>
  <si>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</si>
  <si>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</si>
  <si>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</si>
  <si>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</si>
  <si>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</si>
  <si>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</si>
  <si>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</si>
  <si>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</si>
  <si>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</si>
  <si>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</si>
  <si>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</si>
  <si>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</si>
  <si>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</si>
  <si>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</si>
  <si>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</si>
  <si>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</si>
  <si>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</si>
  <si>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</si>
  <si>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</si>
  <si>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</si>
  <si>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</si>
  <si>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</si>
  <si>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</si>
  <si>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</si>
  <si>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</si>
  <si>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</si>
  <si>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</si>
  <si>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</si>
  <si>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</si>
  <si>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</si>
  <si>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</si>
  <si>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</si>
  <si>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</si>
  <si>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</si>
  <si>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</si>
  <si>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</si>
  <si>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</si>
  <si>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</si>
  <si>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</si>
  <si>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</si>
  <si>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</si>
  <si>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</si>
  <si>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</si>
  <si>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</si>
  <si>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</si>
  <si>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</si>
  <si>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</si>
  <si>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</si>
  <si>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</si>
  <si>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</si>
  <si>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</si>
  <si>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</si>
  <si>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</si>
  <si>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</si>
  <si>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</si>
  <si>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</si>
  <si>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</si>
  <si>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</si>
  <si>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</si>
  <si>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</si>
  <si>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</si>
  <si>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</si>
  <si>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</si>
  <si>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</si>
  <si>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</si>
  <si>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</si>
  <si>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</si>
  <si>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</si>
  <si>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</si>
  <si>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</si>
  <si>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</si>
  <si>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</si>
  <si>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</si>
  <si>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</si>
  <si>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</si>
  <si>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</si>
  <si>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</si>
  <si>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</si>
  <si>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</si>
  <si>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</si>
  <si>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</si>
  <si>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</si>
  <si>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</si>
  <si>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</si>
  <si>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</si>
  <si>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</si>
  <si>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</si>
  <si>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</si>
  <si>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</si>
  <si>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</si>
  <si>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</si>
  <si>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</si>
  <si>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</si>
  <si>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</si>
  <si>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</si>
  <si>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</si>
  <si>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</si>
  <si>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</si>
  <si>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</si>
  <si>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</si>
  <si>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</si>
  <si>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</si>
  <si>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</si>
  <si>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</si>
  <si>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</si>
  <si>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</si>
  <si>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</si>
  <si>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</si>
  <si>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</si>
  <si>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</si>
  <si>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</si>
  <si>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</si>
  <si>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</si>
  <si>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</si>
  <si>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</si>
  <si>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</si>
  <si>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</si>
  <si>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</si>
  <si>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</si>
  <si>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</si>
  <si>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</si>
  <si>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</si>
  <si>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</si>
  <si>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</si>
  <si>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</si>
  <si>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</si>
  <si>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</si>
  <si>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</si>
  <si>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</si>
  <si>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</si>
  <si>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</si>
  <si>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</si>
  <si>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</si>
  <si>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</si>
  <si>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</si>
  <si>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</si>
  <si>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</si>
  <si>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</si>
  <si>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</si>
  <si>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</si>
  <si>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</si>
  <si>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</si>
  <si>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</si>
  <si>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</si>
  <si>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</si>
  <si>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</si>
  <si>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</si>
  <si>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</si>
  <si>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</si>
  <si>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</si>
  <si>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</si>
  <si>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</si>
  <si>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</si>
  <si>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</si>
  <si>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</si>
  <si>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</si>
  <si>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</si>
  <si>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</si>
  <si>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</si>
  <si>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</si>
  <si>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</si>
  <si>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</si>
  <si>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</si>
  <si>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</si>
  <si>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</si>
  <si>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</si>
  <si>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</si>
  <si>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</si>
  <si>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</si>
  <si>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</si>
  <si>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</si>
  <si>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</si>
  <si>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</si>
  <si>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</si>
  <si>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</si>
  <si>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</si>
  <si>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</si>
  <si>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</si>
  <si>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</si>
  <si>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</si>
  <si>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</si>
  <si>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</si>
  <si>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</si>
  <si>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</si>
  <si>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</si>
  <si>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</si>
  <si>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</si>
  <si>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</si>
  <si>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</si>
  <si>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</si>
  <si>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</si>
  <si>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</si>
  <si>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</si>
  <si>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</si>
  <si>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</si>
  <si>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</si>
  <si>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</si>
  <si>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</si>
  <si>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</si>
  <si>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</si>
  <si>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</si>
  <si>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</si>
  <si>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</si>
  <si>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</si>
  <si>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</si>
  <si>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</si>
  <si>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</si>
  <si>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</si>
  <si>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</si>
  <si>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</si>
  <si>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</si>
  <si>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</si>
  <si>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</si>
  <si>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</si>
  <si>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</si>
  <si>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</si>
  <si>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</si>
  <si>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</si>
  <si>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</si>
  <si>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</si>
  <si>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</si>
  <si>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</si>
  <si>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</si>
  <si>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</si>
  <si>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</si>
  <si>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</si>
  <si>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</si>
  <si>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</si>
  <si>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</si>
  <si>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</si>
  <si>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</si>
  <si>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</si>
  <si>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</si>
  <si>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</si>
  <si>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</si>
  <si>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</si>
  <si>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</si>
  <si>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</si>
  <si>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</si>
  <si>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</si>
  <si>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</si>
  <si>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</si>
  <si>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</si>
  <si>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</si>
  <si>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</si>
  <si>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</si>
  <si>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</si>
  <si>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</si>
  <si>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</si>
  <si>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</si>
  <si>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</si>
  <si>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</si>
  <si>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</si>
  <si>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</si>
  <si>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</si>
  <si>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</si>
  <si>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</si>
  <si>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</si>
  <si>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</si>
  <si>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</si>
  <si>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</si>
  <si>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</si>
  <si>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</si>
  <si>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</si>
  <si>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</si>
  <si>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</si>
  <si>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</si>
  <si>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</si>
  <si>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</si>
  <si>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</si>
  <si>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</si>
  <si>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</si>
  <si>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</si>
  <si>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</si>
  <si>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</si>
  <si>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</si>
  <si>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</si>
  <si>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</si>
  <si>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</si>
  <si>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</si>
  <si>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</si>
  <si>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</si>
  <si>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</si>
  <si>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</si>
  <si>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</si>
  <si>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</si>
  <si>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</si>
  <si>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</si>
  <si>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</si>
  <si>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</si>
  <si>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</si>
  <si>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</si>
  <si>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</si>
  <si>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</si>
  <si>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</si>
  <si>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</si>
  <si>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</si>
  <si>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</si>
  <si>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</si>
  <si>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</si>
  <si>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</si>
  <si>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</si>
  <si>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</si>
  <si>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</si>
  <si>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</si>
  <si>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</si>
  <si>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</si>
  <si>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</si>
  <si>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</si>
  <si>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</si>
  <si>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</si>
  <si>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</si>
  <si>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</si>
  <si>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</si>
  <si>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</si>
  <si>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</si>
  <si>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</si>
  <si>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</si>
  <si>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</si>
  <si>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</si>
  <si>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</si>
  <si>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</si>
  <si>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</si>
  <si>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</si>
  <si>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</si>
  <si>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</si>
  <si>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</si>
  <si>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</si>
  <si>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</si>
  <si>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</si>
  <si>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</si>
  <si>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</si>
  <si>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</si>
  <si>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</si>
  <si>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</si>
  <si>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</si>
  <si>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</si>
  <si>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</si>
  <si>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</si>
  <si>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</si>
  <si>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</si>
  <si>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</si>
  <si>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</si>
  <si>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</si>
  <si>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</si>
  <si>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</si>
  <si>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</si>
  <si>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</si>
  <si>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</si>
  <si>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</si>
  <si>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</si>
  <si>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</si>
  <si>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</si>
  <si>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</si>
  <si>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</si>
  <si>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</si>
  <si>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</si>
  <si>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</si>
  <si>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</si>
  <si>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</si>
  <si>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</si>
  <si>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</si>
  <si>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</si>
  <si>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</si>
  <si>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</si>
  <si>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</si>
  <si>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</si>
  <si>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</si>
  <si>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</si>
  <si>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</si>
  <si>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</si>
  <si>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</si>
  <si>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</si>
  <si>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</si>
  <si>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</si>
  <si>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</si>
  <si>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</si>
  <si>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</si>
  <si>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</si>
  <si>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</si>
  <si>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</si>
  <si>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</si>
  <si>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</si>
  <si>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</si>
  <si>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</si>
  <si>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</si>
  <si>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</si>
  <si>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</si>
  <si>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</si>
  <si>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</si>
  <si>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</si>
  <si>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</si>
  <si>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</si>
  <si>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</si>
  <si>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</si>
  <si>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</si>
  <si>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</si>
  <si>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</si>
  <si>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</si>
  <si>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</si>
  <si>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</si>
  <si>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</si>
  <si>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</si>
  <si>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</si>
  <si>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</si>
  <si>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</si>
  <si>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</si>
  <si>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</si>
  <si>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</si>
  <si>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</si>
  <si>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</si>
  <si>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</si>
  <si>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</si>
  <si>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</si>
  <si>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</si>
  <si>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</si>
  <si>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</si>
  <si>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</si>
  <si>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</si>
  <si>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</si>
  <si>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</si>
  <si>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</si>
  <si>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</si>
  <si>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</si>
  <si>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</si>
  <si>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</si>
  <si>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</si>
  <si>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</si>
  <si>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</si>
  <si>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</si>
  <si>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</si>
  <si>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</si>
  <si>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</si>
  <si>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</si>
  <si>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</si>
  <si>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</si>
  <si>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</si>
  <si>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</si>
  <si>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</si>
  <si>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</si>
  <si>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</si>
  <si>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</si>
  <si>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</si>
  <si>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</si>
  <si>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</si>
  <si>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</si>
  <si>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</si>
  <si>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</si>
  <si>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</si>
  <si>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</si>
  <si>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</si>
  <si>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</si>
  <si>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</si>
  <si>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</si>
  <si>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</si>
  <si>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</si>
  <si>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</si>
  <si>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</si>
  <si>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</si>
  <si>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</si>
  <si>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</si>
  <si>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</si>
  <si>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</si>
  <si>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</si>
  <si>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</si>
  <si>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</si>
  <si>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</si>
  <si>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</si>
  <si>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</si>
  <si>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</si>
  <si>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</si>
  <si>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</si>
  <si>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</si>
  <si>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</si>
  <si>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</si>
  <si>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</si>
  <si>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</si>
  <si>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</si>
  <si>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</si>
  <si>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</si>
  <si>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</si>
  <si>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</si>
  <si>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</si>
  <si>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</si>
  <si>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</si>
  <si>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</si>
  <si>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</si>
  <si>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</si>
  <si>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</si>
  <si>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</si>
  <si>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</si>
  <si>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</si>
  <si>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</si>
  <si>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</si>
  <si>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</si>
  <si>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</si>
  <si>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</si>
  <si>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</si>
  <si>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</si>
  <si>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</si>
  <si>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</si>
  <si>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</si>
  <si>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</si>
  <si>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</si>
  <si>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</si>
  <si>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</si>
  <si>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</si>
  <si>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</si>
  <si>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</si>
  <si>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</si>
  <si>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</si>
  <si>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</si>
  <si>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</si>
  <si>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</si>
  <si>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</si>
  <si>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</si>
  <si>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</si>
  <si>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</si>
  <si>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</si>
  <si>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</si>
  <si>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</si>
  <si>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</si>
  <si>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</si>
  <si>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</si>
  <si>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</si>
  <si>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</si>
  <si>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</si>
  <si>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</si>
  <si>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</si>
  <si>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</si>
  <si>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</si>
  <si>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</si>
  <si>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</si>
  <si>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</si>
  <si>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</si>
  <si>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</si>
  <si>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</si>
  <si>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</si>
  <si>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</si>
  <si>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</si>
  <si>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</si>
  <si>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</si>
  <si>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</si>
  <si>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</si>
  <si>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</si>
  <si>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</si>
  <si>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</si>
  <si>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</si>
  <si>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</si>
  <si>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</si>
  <si>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</si>
  <si>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</si>
  <si>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</si>
  <si>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</si>
  <si>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</si>
  <si>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</si>
  <si>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</si>
  <si>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</si>
  <si>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</si>
  <si>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</si>
  <si>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</si>
  <si>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</si>
  <si>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</si>
  <si>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</si>
  <si>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</si>
  <si>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</si>
  <si>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</si>
  <si>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</si>
  <si>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</si>
  <si>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</si>
  <si>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</si>
  <si>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</si>
  <si>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</si>
  <si>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</si>
  <si>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</si>
  <si>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</si>
  <si>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</si>
  <si>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</si>
  <si>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</si>
  <si>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</si>
  <si>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</si>
  <si>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</si>
  <si>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</si>
  <si>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</si>
  <si>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</si>
  <si>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</si>
  <si>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</si>
  <si>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</si>
  <si>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</si>
  <si>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</si>
  <si>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</si>
  <si>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</si>
  <si>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</si>
  <si>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</si>
  <si>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</si>
  <si>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</si>
  <si>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</si>
  <si>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</si>
  <si>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</si>
  <si>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</si>
  <si>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</si>
  <si>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</si>
  <si>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</si>
  <si>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</si>
  <si>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</si>
  <si>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</si>
  <si>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</si>
  <si>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</si>
  <si>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</si>
  <si>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</si>
  <si>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</si>
  <si>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</si>
  <si>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</si>
  <si>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</si>
  <si>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</si>
  <si>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</si>
  <si>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</si>
  <si>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</si>
  <si>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</si>
  <si>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</si>
  <si>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</si>
  <si>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</si>
  <si>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</si>
  <si>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</si>
  <si>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</si>
  <si>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</si>
  <si>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</si>
  <si>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</si>
  <si>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</si>
  <si>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</si>
  <si>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</si>
  <si>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</si>
  <si>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</si>
  <si>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</si>
  <si>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</si>
  <si>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</si>
  <si>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</si>
  <si>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</si>
  <si>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</si>
  <si>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</si>
  <si>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</si>
  <si>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</si>
  <si>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</si>
  <si>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</si>
  <si>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</si>
  <si>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</si>
  <si>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</si>
  <si>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</si>
  <si>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</si>
  <si>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</si>
  <si>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</si>
  <si>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</si>
  <si>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</si>
  <si>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</si>
  <si>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</si>
  <si>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</si>
  <si>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</si>
  <si>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</si>
  <si>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</si>
  <si>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</si>
  <si>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</si>
  <si>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</si>
  <si>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</si>
  <si>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</si>
  <si>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</si>
  <si>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</si>
  <si>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</si>
  <si>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</si>
  <si>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</si>
  <si>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</si>
  <si>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</si>
  <si>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</si>
  <si>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</si>
  <si>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</si>
  <si>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</si>
  <si>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</si>
  <si>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</si>
  <si>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</si>
  <si>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</si>
  <si>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</si>
  <si>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</si>
  <si>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</si>
  <si>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</si>
  <si>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</si>
  <si>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</si>
  <si>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</si>
  <si>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</si>
  <si>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</si>
  <si>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</si>
  <si>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</si>
  <si>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</si>
  <si>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</si>
  <si>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</si>
  <si>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</si>
  <si>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</si>
  <si>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</si>
  <si>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</si>
  <si>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</si>
  <si>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</si>
  <si>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</si>
  <si>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</si>
  <si>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</si>
  <si>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</si>
  <si>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</si>
  <si>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</si>
  <si>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</si>
  <si>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</si>
  <si>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</si>
  <si>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</si>
  <si>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</si>
  <si>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</si>
  <si>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</si>
  <si>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</si>
  <si>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</si>
  <si>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</si>
  <si>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</si>
  <si>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</si>
  <si>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</si>
  <si>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</si>
  <si>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</si>
  <si>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</si>
  <si>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</si>
  <si>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</si>
  <si>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</si>
  <si>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</si>
  <si>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</si>
  <si>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</si>
  <si>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</si>
  <si>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</si>
  <si>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</si>
  <si>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</si>
  <si>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</si>
  <si>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</si>
  <si>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</si>
  <si>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</si>
  <si>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</si>
  <si>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</si>
  <si>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</si>
  <si>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</si>
  <si>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</si>
  <si>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</si>
  <si>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</si>
  <si>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</si>
  <si>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</si>
  <si>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</si>
  <si>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</si>
  <si>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</si>
  <si>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</si>
  <si>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</si>
  <si>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</si>
  <si>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</si>
  <si>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</si>
  <si>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</si>
  <si>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</si>
  <si>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</si>
  <si>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</si>
  <si>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</si>
  <si>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</si>
  <si>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</si>
  <si>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</si>
  <si>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</si>
  <si>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</si>
  <si>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</si>
  <si>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</si>
  <si>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</si>
  <si>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</si>
  <si>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</si>
  <si>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</si>
  <si>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</si>
  <si>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</si>
  <si>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</si>
  <si>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</si>
  <si>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</si>
  <si>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</si>
  <si>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</si>
  <si>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</si>
  <si>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</si>
  <si>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</si>
  <si>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</si>
  <si>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</si>
  <si>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</si>
  <si>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</si>
  <si>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</si>
  <si>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</si>
  <si>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</si>
  <si>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</si>
  <si>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</si>
  <si>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</si>
  <si>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</si>
  <si>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</si>
  <si>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</si>
  <si>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</si>
  <si>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</si>
  <si>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</si>
  <si>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</si>
  <si>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</si>
  <si>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</si>
  <si>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</si>
  <si>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</si>
  <si>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</si>
  <si>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</si>
  <si>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</si>
  <si>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</si>
  <si>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</si>
  <si>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</si>
  <si>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</si>
  <si>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</si>
  <si>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</si>
  <si>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</si>
  <si>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</si>
  <si>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</si>
  <si>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</si>
  <si>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</si>
  <si>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</si>
  <si>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</si>
  <si>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</si>
  <si>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</si>
  <si>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</si>
  <si>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</si>
  <si>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</si>
  <si>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</si>
  <si>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</si>
  <si>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</si>
  <si>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</si>
  <si>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</si>
  <si>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</si>
  <si>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</si>
  <si>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</si>
  <si>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</si>
  <si>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</si>
  <si>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</si>
  <si>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</si>
  <si>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</si>
  <si>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</si>
  <si>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</si>
  <si>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</si>
  <si>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</si>
  <si>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</si>
  <si>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</si>
  <si>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</si>
  <si>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</si>
  <si>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</si>
  <si>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</si>
  <si>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</si>
  <si>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</si>
  <si>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</si>
  <si>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</si>
  <si>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</si>
  <si>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</si>
  <si>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</si>
  <si>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</si>
  <si>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</si>
  <si>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</si>
  <si>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</si>
  <si>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</si>
  <si>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</si>
  <si>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</si>
  <si>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</si>
  <si>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</si>
  <si>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</si>
  <si>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</si>
  <si>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</si>
  <si>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</si>
  <si>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</si>
  <si>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</si>
  <si>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</si>
  <si>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</si>
  <si>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</si>
  <si>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</si>
  <si>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</si>
  <si>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</si>
  <si>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</si>
  <si>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</si>
  <si>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</si>
  <si>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</si>
  <si>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</si>
  <si>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</si>
  <si>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</si>
  <si>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</si>
  <si>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</si>
  <si>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</si>
  <si>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</si>
  <si>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</si>
  <si>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</si>
  <si>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</si>
  <si>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</si>
  <si>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</si>
  <si>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</si>
  <si>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</si>
  <si>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</si>
  <si>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</si>
  <si>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</si>
  <si>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</si>
  <si>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</si>
  <si>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</si>
  <si>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</si>
  <si>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</si>
  <si>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</si>
  <si>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</si>
  <si>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</si>
  <si>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</si>
  <si>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</si>
  <si>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</si>
  <si>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</si>
  <si>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</si>
  <si>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</si>
  <si>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</si>
  <si>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</si>
  <si>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</si>
  <si>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</si>
  <si>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</si>
  <si>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</si>
  <si>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</si>
  <si>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</si>
  <si>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</si>
  <si>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</si>
  <si>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</si>
  <si>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</si>
  <si>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</si>
  <si>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</si>
  <si>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</si>
  <si>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</si>
  <si>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</si>
  <si>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</si>
  <si>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</si>
  <si>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</si>
  <si>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</si>
  <si>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</si>
  <si>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</si>
  <si>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</si>
  <si>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</si>
  <si>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</si>
  <si>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</si>
  <si>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</si>
  <si>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</si>
  <si>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</si>
  <si>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</si>
  <si>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</si>
  <si>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</si>
  <si>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</si>
  <si>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</si>
  <si>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</si>
  <si>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</si>
  <si>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</si>
  <si>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</si>
  <si>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</si>
  <si>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</si>
  <si>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</si>
  <si>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</si>
  <si>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</si>
  <si>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</si>
  <si>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</si>
  <si>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</si>
  <si>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</si>
  <si>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</si>
  <si>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</si>
  <si>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</si>
  <si>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</si>
  <si>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</si>
  <si>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</si>
  <si>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</si>
  <si>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</si>
  <si>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</si>
  <si>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</si>
  <si>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</si>
  <si>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</si>
  <si>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</si>
  <si>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</si>
  <si>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</si>
  <si>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</si>
  <si>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</si>
  <si>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</si>
  <si>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</si>
  <si>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</si>
  <si>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</si>
  <si>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</si>
  <si>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</si>
  <si>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</si>
  <si>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</si>
  <si>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</si>
  <si>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</si>
  <si>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</si>
  <si>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</si>
  <si>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</si>
  <si>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</si>
  <si>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</si>
  <si>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</si>
  <si>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</si>
  <si>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</si>
  <si>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</si>
  <si>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</si>
  <si>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</si>
  <si>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</si>
  <si>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</si>
  <si>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</si>
  <si>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</si>
  <si>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</si>
  <si>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</si>
  <si>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</si>
  <si>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</si>
  <si>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</si>
  <si>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</si>
  <si>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</si>
  <si>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</si>
  <si>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</si>
  <si>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</si>
  <si>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</si>
  <si>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</si>
  <si>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</si>
  <si>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</si>
  <si>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</si>
  <si>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</si>
  <si>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</si>
  <si>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</si>
  <si>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</si>
  <si>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</si>
  <si>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</si>
  <si>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</si>
  <si>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</si>
  <si>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</si>
  <si>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</si>
  <si>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</si>
  <si>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</si>
  <si>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</si>
  <si>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</si>
  <si>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</si>
  <si>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</si>
  <si>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</si>
  <si>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</si>
  <si>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</si>
  <si>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</si>
  <si>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</si>
  <si>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</si>
  <si>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</si>
  <si>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</si>
  <si>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</si>
  <si>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</si>
  <si>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</si>
  <si>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</si>
  <si>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</si>
  <si>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</si>
  <si>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</si>
  <si>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</si>
  <si>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</si>
  <si>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</si>
  <si>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</si>
  <si>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</si>
  <si>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</si>
  <si>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</si>
  <si>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</si>
  <si>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</si>
  <si>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</si>
  <si>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</si>
  <si>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</si>
  <si>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</si>
  <si>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</si>
  <si>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</si>
  <si>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</si>
  <si>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</si>
  <si>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</si>
  <si>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</si>
  <si>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</si>
  <si>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</si>
  <si>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</si>
  <si>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</si>
  <si>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</si>
  <si>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</si>
  <si>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</si>
  <si>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</si>
  <si>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</si>
  <si>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</si>
  <si>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</si>
  <si>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</si>
  <si>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</si>
  <si>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</si>
  <si>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</si>
  <si>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</si>
  <si>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</si>
  <si>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</si>
  <si>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</si>
  <si>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</si>
  <si>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</si>
  <si>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</si>
  <si>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</si>
  <si>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</si>
  <si>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</si>
  <si>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</si>
  <si>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</si>
  <si>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</si>
  <si>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</si>
  <si>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</si>
  <si>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</si>
  <si>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</si>
  <si>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</si>
  <si>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</si>
  <si>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</si>
  <si>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</si>
  <si>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</si>
  <si>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</si>
  <si>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</si>
  <si>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</si>
  <si>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</si>
  <si>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</si>
  <si>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</si>
  <si>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</si>
  <si>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</si>
  <si>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</si>
  <si>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</si>
  <si>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</si>
  <si>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</si>
  <si>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</si>
  <si>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</si>
  <si>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</si>
  <si>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</si>
  <si>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</si>
  <si>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</si>
  <si>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</si>
  <si>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</si>
  <si>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</si>
  <si>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</si>
  <si>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</si>
  <si>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</si>
  <si>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</si>
  <si>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</si>
  <si>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</si>
  <si>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</si>
  <si>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</si>
  <si>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</si>
  <si>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</si>
  <si>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</si>
  <si>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</si>
  <si>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</si>
  <si>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</si>
  <si>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</si>
  <si>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</si>
  <si>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</si>
  <si>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</si>
  <si>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</si>
  <si>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</si>
  <si>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</si>
  <si>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</si>
  <si>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</si>
  <si>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</si>
  <si>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</si>
  <si>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</si>
  <si>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</si>
  <si>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</si>
  <si>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</si>
  <si>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</si>
  <si>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</si>
  <si>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</si>
  <si>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</si>
  <si>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</si>
  <si>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</si>
  <si>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</si>
  <si>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</si>
  <si>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</si>
  <si>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</si>
  <si>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</si>
  <si>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</si>
  <si>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</si>
  <si>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</si>
  <si>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</si>
  <si>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</si>
  <si>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</si>
  <si>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</si>
  <si>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</si>
  <si>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</si>
  <si>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</si>
  <si>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</si>
  <si>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</si>
  <si>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</si>
  <si>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</si>
  <si>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</si>
  <si>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</si>
  <si>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</si>
  <si>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</si>
  <si>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</si>
  <si>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</si>
  <si>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</si>
  <si>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</si>
  <si>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</si>
  <si>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</si>
  <si>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</si>
  <si>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</si>
  <si>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</si>
  <si>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</si>
  <si>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</si>
  <si>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</si>
  <si>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</si>
  <si>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</si>
  <si>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</si>
  <si>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</si>
  <si>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</si>
  <si>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</si>
  <si>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</si>
  <si>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</si>
  <si>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</si>
  <si>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</si>
  <si>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</si>
  <si>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</si>
  <si>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</si>
  <si>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</si>
  <si>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</si>
  <si>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</si>
  <si>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</si>
  <si>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</si>
  <si>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</si>
  <si>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</si>
  <si>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</si>
  <si>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</si>
  <si>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</si>
  <si>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</si>
  <si>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</si>
  <si>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</si>
  <si>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</si>
  <si>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</si>
  <si>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</si>
  <si>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</si>
  <si>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</si>
  <si>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</si>
  <si>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</si>
  <si>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</si>
  <si>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</si>
  <si>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</si>
  <si>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</si>
  <si>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</si>
  <si>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</si>
  <si>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</si>
  <si>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</si>
  <si>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</si>
  <si>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</si>
  <si>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</si>
  <si>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</si>
  <si>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</si>
  <si>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</si>
  <si>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</si>
  <si>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</si>
  <si>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</si>
  <si>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</si>
  <si>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</si>
  <si>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</si>
  <si>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</si>
  <si>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</si>
  <si>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</si>
  <si>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</si>
  <si>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</si>
  <si>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</si>
  <si>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</si>
  <si>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</si>
  <si>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</si>
  <si>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</si>
  <si>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</si>
  <si>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</si>
  <si>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</si>
  <si>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</si>
  <si>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</si>
  <si>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</si>
  <si>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</si>
  <si>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</si>
  <si>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</si>
  <si>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</si>
  <si>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</si>
  <si>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</si>
  <si>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</si>
  <si>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</si>
  <si>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</si>
  <si>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</si>
  <si>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</si>
  <si>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</si>
  <si>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</si>
  <si>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</si>
  <si>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</si>
  <si>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</si>
  <si>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</si>
  <si>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</si>
  <si>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</si>
  <si>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</si>
  <si>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</si>
  <si>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</si>
  <si>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</si>
  <si>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</si>
  <si>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</si>
  <si>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</si>
  <si>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</si>
  <si>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</si>
  <si>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</si>
  <si>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</si>
  <si>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</si>
  <si>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</si>
  <si>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</si>
  <si>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</si>
  <si>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</si>
  <si>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</si>
  <si>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</si>
  <si>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</si>
  <si>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</si>
  <si>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</si>
  <si>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</si>
  <si>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</si>
  <si>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</si>
  <si>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</si>
  <si>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</si>
  <si>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</si>
  <si>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</si>
  <si>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</si>
  <si>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</si>
  <si>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</si>
  <si>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</si>
  <si>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</si>
  <si>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</si>
  <si>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</si>
  <si>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</si>
  <si>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</si>
  <si>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</si>
  <si>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</si>
  <si>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</si>
  <si>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</si>
  <si>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</si>
  <si>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</si>
  <si>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</si>
  <si>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</si>
  <si>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</si>
  <si>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</si>
  <si>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</si>
  <si>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</si>
  <si>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</si>
  <si>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</si>
  <si>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</si>
  <si>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</si>
  <si>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</si>
  <si>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</si>
  <si>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</si>
  <si>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</si>
  <si>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</si>
  <si>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</si>
  <si>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</si>
  <si>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</si>
  <si>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</si>
  <si>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</si>
  <si>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</si>
  <si>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</si>
  <si>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</si>
  <si>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</si>
  <si>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</si>
  <si>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</si>
  <si>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</si>
  <si>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</si>
  <si>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</si>
  <si>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</si>
  <si>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</si>
  <si>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</si>
  <si>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</si>
  <si>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</si>
  <si>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</si>
  <si>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</si>
  <si>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</si>
  <si>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</si>
  <si>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</si>
  <si>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</si>
  <si>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</si>
  <si>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</si>
  <si>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</si>
  <si>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</si>
  <si>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</si>
  <si>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</si>
  <si>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</si>
  <si>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</si>
  <si>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</si>
  <si>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</si>
  <si>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</si>
  <si>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</si>
  <si>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</si>
  <si>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</si>
  <si>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</si>
  <si>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</si>
  <si>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</si>
  <si>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</si>
  <si>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</si>
  <si>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</si>
  <si>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</si>
  <si>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</si>
  <si>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</si>
  <si>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</si>
  <si>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</si>
  <si>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</si>
  <si>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</si>
  <si>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</si>
  <si>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</si>
  <si>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</si>
  <si>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</si>
  <si>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</si>
  <si>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</si>
  <si>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</si>
  <si>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</si>
  <si>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</si>
  <si>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</si>
  <si>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</si>
  <si>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</si>
  <si>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</si>
  <si>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</si>
  <si>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</si>
  <si>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</si>
  <si>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</si>
  <si>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</si>
  <si>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</si>
  <si>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</si>
  <si>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</si>
  <si>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</si>
  <si>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</si>
  <si>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</si>
  <si>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</si>
  <si>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</si>
  <si>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</si>
  <si>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</si>
  <si>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</si>
  <si>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</si>
  <si>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</si>
  <si>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</si>
  <si>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</si>
  <si>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</si>
  <si>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</si>
  <si>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</si>
  <si>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</si>
  <si>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</si>
  <si>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</si>
  <si>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</si>
  <si>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</si>
  <si>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</si>
  <si>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</si>
  <si>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</si>
  <si>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</si>
  <si>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</si>
  <si>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</si>
  <si>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</si>
  <si>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</si>
  <si>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</si>
  <si>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</si>
  <si>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</si>
  <si>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</si>
  <si>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</si>
  <si>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</si>
  <si>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</si>
  <si>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</si>
  <si>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</si>
  <si>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</si>
  <si>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</si>
  <si>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</si>
  <si>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</si>
  <si>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</si>
  <si>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</si>
  <si>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</si>
  <si>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</si>
  <si>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</si>
  <si>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</si>
  <si>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</si>
  <si>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</si>
  <si>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</si>
  <si>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</si>
  <si>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</si>
  <si>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</si>
  <si>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</si>
  <si>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</si>
  <si>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</si>
  <si>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</si>
  <si>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</si>
  <si>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</si>
  <si>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</si>
  <si>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</si>
  <si>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</si>
  <si>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</si>
  <si>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</si>
  <si>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</si>
  <si>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</si>
  <si>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</si>
  <si>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</si>
  <si>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</si>
  <si>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</si>
  <si>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</si>
  <si>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</si>
  <si>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</si>
  <si>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</si>
  <si>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</si>
  <si>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</si>
  <si>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</si>
  <si>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</si>
  <si>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</si>
  <si>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</si>
  <si>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</si>
  <si>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</si>
  <si>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</si>
  <si>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</si>
  <si>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</si>
  <si>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</si>
  <si>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</si>
  <si>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</si>
  <si>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</si>
  <si>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</si>
  <si>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</si>
  <si>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</si>
  <si>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</si>
  <si>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</si>
  <si>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</si>
  <si>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</si>
  <si>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</si>
  <si>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</si>
  <si>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</si>
  <si>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</si>
  <si>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</si>
  <si>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</si>
  <si>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</si>
  <si>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</si>
  <si>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</si>
  <si>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</si>
  <si>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</si>
  <si>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</si>
  <si>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</si>
  <si>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</si>
  <si>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</si>
  <si>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</si>
  <si>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</si>
  <si>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</si>
  <si>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</si>
  <si>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</si>
  <si>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</si>
  <si>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</si>
  <si>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</si>
  <si>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</si>
  <si>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</si>
  <si>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</si>
  <si>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</si>
  <si>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</si>
  <si>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</si>
  <si>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</si>
  <si>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</si>
  <si>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</si>
  <si>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</si>
  <si>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</si>
  <si>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</si>
  <si>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</si>
  <si>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</si>
  <si>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</si>
  <si>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</si>
  <si>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</si>
  <si>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</si>
  <si>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</si>
  <si>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</si>
  <si>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</si>
  <si>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</si>
  <si>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</si>
  <si>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</si>
  <si>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</si>
  <si>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</si>
  <si>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</si>
  <si>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</si>
  <si>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</si>
  <si>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</si>
  <si>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</si>
  <si>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</si>
  <si>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</si>
  <si>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</si>
  <si>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</si>
  <si>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</si>
  <si>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</si>
  <si>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</si>
  <si>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</si>
  <si>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</si>
  <si>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</si>
  <si>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</si>
  <si>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</si>
  <si>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</si>
  <si>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</si>
  <si>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</si>
  <si>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</si>
  <si>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</si>
  <si>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</si>
  <si>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</si>
  <si>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</si>
  <si>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</si>
  <si>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</si>
  <si>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</si>
  <si>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</si>
  <si>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</si>
  <si>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</si>
  <si>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</si>
  <si>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</si>
  <si>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</si>
  <si>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</si>
  <si>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</si>
  <si>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</si>
  <si>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</si>
  <si>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</si>
  <si>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</si>
  <si>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</si>
  <si>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</si>
  <si>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</si>
  <si>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</si>
  <si>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</si>
  <si>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</si>
  <si>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</si>
  <si>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</si>
  <si>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</si>
  <si>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</si>
  <si>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</si>
  <si>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</si>
  <si>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</si>
  <si>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</si>
  <si>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</si>
  <si>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</si>
  <si>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</si>
  <si>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</si>
  <si>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</si>
  <si>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</si>
  <si>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</si>
  <si>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</si>
  <si>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</si>
  <si>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</si>
  <si>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</si>
  <si>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</si>
  <si>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</si>
  <si>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</si>
  <si>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</si>
  <si>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</si>
  <si>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</si>
  <si>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</si>
  <si>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</si>
  <si>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</si>
  <si>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</si>
  <si>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</si>
  <si>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</si>
  <si>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</si>
  <si>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</si>
  <si>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</si>
  <si>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</si>
  <si>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</si>
  <si>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</si>
  <si>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</si>
  <si>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</si>
  <si>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</si>
  <si>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</si>
  <si>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</si>
  <si>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</si>
  <si>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</si>
  <si>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</si>
  <si>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</si>
  <si>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</si>
  <si>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</si>
  <si>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</si>
  <si>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</si>
  <si>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</si>
  <si>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</si>
  <si>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</si>
  <si>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</si>
  <si>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</si>
  <si>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</si>
  <si>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</si>
  <si>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</si>
  <si>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</si>
  <si>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</si>
  <si>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</si>
  <si>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</si>
  <si>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</si>
  <si>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</si>
  <si>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</si>
  <si>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</si>
  <si>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</si>
  <si>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</si>
  <si>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</si>
  <si>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</si>
  <si>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</si>
  <si>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</si>
  <si>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</si>
  <si>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</si>
  <si>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</si>
  <si>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</si>
  <si>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</si>
  <si>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</si>
  <si>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</si>
  <si>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</si>
  <si>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</si>
  <si>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</si>
  <si>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</si>
  <si>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</si>
  <si>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</si>
  <si>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</si>
  <si>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</si>
  <si>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</si>
  <si>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</si>
  <si>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</si>
  <si>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</si>
  <si>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</si>
  <si>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</si>
  <si>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</si>
  <si>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</si>
  <si>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</si>
  <si>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</si>
  <si>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</si>
  <si>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</si>
  <si>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</si>
  <si>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</si>
  <si>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</si>
  <si>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</si>
  <si>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</si>
  <si>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</si>
  <si>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</si>
  <si>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</si>
  <si>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</si>
  <si>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</si>
  <si>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</si>
  <si>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</si>
  <si>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</si>
  <si>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</si>
  <si>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</si>
  <si>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</si>
  <si>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</si>
  <si>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</si>
  <si>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</si>
  <si>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</si>
  <si>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</si>
  <si>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</si>
  <si>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</si>
  <si>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</si>
  <si>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</si>
  <si>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</si>
  <si>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</si>
  <si>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</si>
  <si>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</si>
  <si>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</si>
  <si>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</si>
  <si>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</si>
  <si>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</si>
  <si>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</si>
  <si>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</si>
  <si>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</si>
  <si>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</si>
  <si>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</si>
  <si>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</si>
  <si>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</si>
  <si>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</si>
  <si>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</si>
  <si>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</si>
  <si>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</si>
  <si>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</si>
  <si>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</si>
  <si>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</si>
  <si>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</si>
  <si>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</si>
  <si>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</si>
  <si>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</si>
  <si>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</si>
  <si>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</si>
  <si>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</si>
  <si>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</si>
  <si>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</si>
  <si>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</si>
  <si>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</si>
  <si>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</si>
  <si>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</si>
  <si>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</si>
  <si>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</si>
  <si>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</si>
  <si>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</si>
  <si>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</si>
  <si>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</si>
  <si>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</si>
  <si>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</si>
  <si>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</si>
  <si>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</si>
  <si>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</si>
  <si>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</si>
  <si>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</si>
  <si>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</si>
  <si>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</si>
  <si>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</si>
  <si>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</si>
  <si>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</si>
  <si>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</si>
  <si>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</si>
  <si>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</si>
  <si>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</si>
  <si>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</si>
  <si>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</si>
  <si>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</si>
  <si>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</si>
  <si>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</si>
  <si>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</si>
  <si>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</si>
  <si>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</si>
  <si>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</si>
  <si>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</si>
  <si>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</si>
  <si>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</si>
  <si>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</si>
  <si>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</si>
  <si>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</si>
  <si>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</si>
  <si>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</si>
  <si>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</si>
  <si>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</si>
  <si>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</si>
  <si>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</si>
  <si>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</si>
  <si>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</si>
  <si>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</si>
  <si>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</si>
  <si>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</si>
  <si>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</si>
  <si>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</si>
  <si>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</si>
  <si>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</si>
  <si>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</si>
  <si>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</si>
  <si>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</si>
  <si>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</si>
  <si>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</si>
  <si>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</si>
  <si>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</si>
  <si>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</si>
  <si>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</si>
  <si>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</si>
  <si>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</si>
  <si>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</si>
  <si>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</si>
  <si>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</si>
  <si>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</si>
  <si>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</si>
  <si>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</si>
  <si>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</si>
  <si>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</si>
  <si>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</si>
  <si>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</si>
  <si>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</si>
  <si>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</si>
  <si>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</si>
  <si>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</si>
  <si>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</si>
  <si>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</si>
  <si>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</si>
  <si>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</si>
  <si>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</si>
  <si>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</si>
  <si>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</si>
  <si>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</si>
  <si>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</si>
  <si>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</si>
  <si>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</si>
  <si>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</si>
  <si>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</si>
  <si>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</si>
  <si>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</si>
  <si>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</si>
  <si>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</si>
  <si>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</si>
  <si>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</si>
  <si>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</si>
  <si>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</si>
  <si>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</si>
  <si>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</si>
  <si>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</si>
  <si>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</si>
  <si>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</si>
  <si>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</si>
  <si>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</si>
  <si>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</si>
  <si>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</si>
  <si>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</si>
  <si>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</si>
  <si>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</si>
  <si>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</si>
  <si>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</si>
  <si>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</si>
  <si>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</si>
  <si>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</si>
  <si>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</si>
  <si>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</si>
  <si>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</si>
  <si>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</si>
  <si>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</si>
  <si>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</si>
  <si>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</si>
  <si>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</si>
  <si>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</si>
  <si>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</si>
  <si>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</si>
  <si>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</si>
  <si>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</si>
  <si>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</si>
  <si>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</si>
  <si>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</si>
  <si>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</si>
  <si>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</si>
  <si>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</si>
  <si>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</si>
  <si>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</si>
  <si>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</si>
  <si>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</si>
  <si>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</si>
  <si>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</si>
  <si>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</si>
  <si>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</si>
  <si>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</si>
  <si>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</si>
  <si>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</si>
  <si>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</si>
  <si>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</si>
  <si>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</si>
  <si>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</si>
  <si>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</si>
  <si>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</si>
  <si>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</si>
  <si>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</si>
  <si>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</si>
  <si>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</si>
  <si>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</si>
  <si>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</si>
  <si>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</si>
  <si>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</si>
  <si>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</si>
  <si>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</si>
  <si>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</si>
  <si>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</si>
  <si>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</si>
  <si>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</si>
  <si>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</si>
  <si>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</si>
  <si>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</si>
  <si>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</si>
  <si>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</si>
  <si>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</si>
  <si>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</si>
  <si>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</si>
  <si>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</si>
  <si>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</si>
  <si>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</si>
  <si>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</si>
  <si>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</si>
  <si>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</si>
  <si>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</si>
  <si>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</si>
  <si>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</si>
  <si>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</si>
  <si>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</si>
  <si>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</si>
  <si>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</si>
  <si>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</si>
  <si>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</si>
  <si>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</si>
  <si>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</si>
  <si>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</si>
  <si>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</si>
  <si>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</si>
  <si>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</si>
  <si>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</si>
  <si>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</si>
  <si>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</si>
  <si>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</si>
  <si>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</si>
  <si>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</si>
  <si>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</si>
  <si>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</si>
  <si>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</si>
  <si>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</si>
  <si>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</si>
  <si>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</si>
  <si>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</si>
  <si>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</si>
  <si>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</si>
  <si>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</si>
  <si>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</si>
  <si>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</si>
  <si>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</si>
  <si>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</si>
  <si>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</si>
  <si>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</si>
  <si>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</si>
  <si>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</si>
  <si>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</si>
  <si>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</si>
  <si>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</si>
  <si>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</si>
  <si>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</si>
  <si>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</si>
  <si>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</si>
  <si>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</si>
  <si>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</si>
  <si>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</si>
  <si>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</si>
  <si>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</si>
  <si>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</si>
  <si>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</si>
  <si>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</si>
  <si>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</si>
  <si>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</si>
  <si>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</si>
  <si>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</si>
  <si>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</si>
  <si>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</si>
  <si>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</si>
  <si>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</si>
  <si>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</si>
  <si>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</si>
  <si>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</si>
  <si>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</si>
  <si>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</si>
  <si>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</si>
  <si>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</si>
  <si>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</si>
  <si>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</si>
  <si>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</si>
  <si>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</si>
  <si>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</si>
  <si>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</si>
  <si>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</si>
  <si>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</si>
  <si>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</si>
  <si>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</si>
  <si>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</si>
  <si>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</si>
  <si>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</si>
  <si>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</si>
  <si>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</si>
  <si>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</si>
  <si>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</si>
  <si>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</si>
  <si>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</si>
  <si>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</si>
  <si>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</si>
  <si>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</si>
  <si>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</si>
  <si>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</si>
  <si>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</si>
  <si>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</si>
  <si>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</si>
  <si>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</si>
  <si>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</si>
  <si>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</si>
  <si>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</si>
  <si>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</si>
  <si>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</si>
  <si>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</si>
  <si>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</si>
  <si>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</si>
  <si>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</si>
  <si>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</si>
  <si>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</si>
  <si>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</si>
  <si>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</si>
  <si>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</si>
  <si>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</si>
  <si>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</si>
  <si>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</si>
  <si>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</si>
  <si>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</si>
  <si>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</si>
  <si>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</si>
  <si>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</si>
  <si>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</si>
  <si>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</si>
  <si>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</si>
  <si>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</si>
  <si>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</si>
  <si>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</si>
  <si>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</si>
  <si>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</si>
  <si>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</si>
  <si>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</si>
  <si>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</si>
  <si>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</si>
  <si>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</si>
  <si>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</si>
  <si>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</si>
  <si>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</si>
  <si>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</si>
  <si>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</si>
  <si>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</si>
  <si>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</si>
  <si>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</si>
  <si>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</si>
  <si>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</si>
  <si>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</si>
  <si>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</si>
  <si>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</si>
  <si>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</si>
  <si>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</si>
  <si>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</si>
  <si>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</si>
  <si>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</si>
  <si>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</si>
  <si>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</si>
  <si>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</si>
  <si>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</si>
  <si>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</si>
  <si>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</si>
  <si>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</si>
  <si>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</si>
  <si>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</si>
  <si>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</si>
  <si>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</si>
  <si>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</si>
  <si>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</si>
  <si>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</si>
  <si>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</si>
  <si>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</si>
  <si>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</si>
  <si>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</si>
  <si>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</si>
  <si>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</si>
  <si>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</si>
  <si>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</si>
  <si>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</si>
  <si>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</si>
  <si>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</si>
  <si>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</si>
  <si>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</si>
  <si>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</si>
  <si>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</si>
  <si>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</si>
  <si>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</si>
  <si>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</si>
  <si>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</si>
  <si>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</si>
  <si>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</si>
  <si>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</si>
  <si>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</si>
  <si>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</si>
  <si>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</si>
  <si>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</si>
  <si>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</si>
  <si>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</si>
  <si>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</si>
  <si>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</si>
  <si>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</si>
  <si>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</si>
  <si>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</si>
  <si>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</si>
  <si>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</si>
  <si>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</si>
  <si>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</si>
  <si>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</si>
  <si>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</si>
  <si>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</si>
  <si>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</si>
  <si>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</si>
  <si>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</si>
  <si>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</si>
  <si>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</si>
  <si>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</si>
  <si>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</si>
  <si>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</si>
  <si>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</si>
  <si>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</si>
  <si>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</si>
  <si>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</si>
  <si>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</si>
  <si>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</si>
  <si>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</si>
  <si>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</si>
  <si>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</si>
  <si>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</si>
  <si>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</si>
  <si>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</si>
  <si>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</si>
  <si>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</si>
  <si>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</si>
  <si>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</si>
  <si>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</si>
  <si>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</si>
  <si>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</si>
  <si>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</si>
  <si>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</si>
  <si>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</si>
  <si>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</si>
  <si>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</si>
  <si>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</si>
  <si>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</si>
  <si>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</si>
  <si>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</si>
  <si>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</si>
  <si>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</si>
  <si>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</si>
  <si>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</si>
  <si>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</si>
  <si>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</si>
  <si>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</si>
  <si>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</si>
  <si>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</si>
  <si>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</si>
  <si>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</si>
  <si>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</si>
  <si>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</si>
  <si>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</si>
  <si>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</si>
  <si>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</si>
  <si>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</si>
  <si>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</si>
  <si>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</si>
  <si>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</si>
  <si>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</si>
  <si>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</si>
  <si>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</si>
  <si>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</si>
  <si>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</si>
  <si>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</si>
  <si>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</si>
  <si>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</si>
  <si>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</si>
  <si>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</si>
  <si>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</si>
  <si>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</si>
  <si>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</si>
  <si>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</si>
  <si>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</si>
  <si>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</si>
  <si>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</si>
  <si>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</si>
  <si>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</si>
  <si>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</si>
  <si>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</si>
  <si>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</si>
  <si>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</si>
  <si>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</si>
  <si>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</si>
  <si>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</si>
  <si>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</si>
  <si>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</si>
  <si>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</si>
  <si>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</si>
  <si>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</si>
  <si>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</si>
  <si>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</si>
  <si>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</si>
  <si>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</si>
  <si>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</si>
  <si>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</si>
  <si>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</si>
  <si>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</si>
  <si>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</si>
  <si>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</si>
  <si>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</si>
  <si>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</si>
  <si>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</si>
  <si>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</si>
  <si>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</si>
  <si>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</si>
  <si>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</si>
  <si>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</si>
  <si>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</si>
  <si>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</si>
  <si>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</si>
  <si>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</si>
  <si>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</si>
  <si>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</si>
  <si>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</si>
  <si>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</si>
  <si>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</si>
  <si>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</si>
  <si>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</si>
  <si>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</si>
  <si>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</si>
  <si>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</si>
  <si>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</si>
  <si>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</si>
  <si>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</si>
  <si>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</si>
  <si>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</si>
  <si>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</si>
  <si>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</si>
  <si>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</si>
  <si>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</si>
  <si>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</si>
  <si>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</si>
  <si>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</si>
  <si>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</si>
  <si>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</si>
  <si>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</si>
  <si>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</si>
  <si>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</si>
  <si>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</si>
  <si>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</si>
  <si>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</si>
  <si>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</si>
  <si>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</si>
  <si>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</si>
  <si>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</si>
  <si>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</si>
  <si>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</si>
  <si>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</si>
  <si>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</si>
  <si>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</si>
  <si>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</si>
  <si>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</si>
  <si>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</si>
  <si>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</si>
  <si>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</si>
  <si>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</si>
  <si>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</si>
  <si>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</si>
  <si>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</si>
  <si>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</si>
  <si>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</si>
  <si>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</si>
  <si>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</si>
  <si>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</si>
  <si>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</si>
  <si>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</si>
  <si>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</si>
  <si>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</si>
  <si>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</si>
  <si>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</si>
  <si>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</si>
  <si>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</si>
  <si>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</si>
  <si>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</si>
  <si>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</si>
  <si>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</si>
  <si>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</si>
  <si>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</si>
  <si>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</si>
  <si>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</si>
  <si>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</si>
  <si>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</si>
  <si>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</si>
  <si>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</si>
  <si>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</si>
  <si>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</si>
  <si>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</si>
  <si>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</si>
  <si>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</si>
  <si>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</si>
  <si>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</si>
  <si>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</si>
  <si>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</si>
  <si>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</si>
  <si>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</si>
  <si>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</si>
  <si>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</si>
  <si>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</si>
  <si>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</si>
  <si>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</si>
  <si>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</si>
  <si>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</si>
  <si>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</si>
  <si>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</si>
  <si>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</si>
  <si>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</si>
  <si>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</si>
  <si>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</si>
  <si>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</si>
  <si>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</si>
  <si>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</si>
  <si>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</si>
  <si>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</si>
  <si>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</si>
  <si>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</si>
  <si>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</si>
  <si>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</si>
  <si>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</si>
  <si>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</si>
  <si>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</si>
  <si>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</si>
  <si>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</si>
  <si>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</si>
  <si>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</si>
  <si>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</si>
  <si>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</si>
  <si>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</si>
  <si>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</si>
  <si>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</si>
  <si>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</si>
  <si>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</si>
  <si>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</si>
  <si>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</si>
  <si>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</si>
  <si>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</si>
  <si>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</si>
  <si>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</si>
  <si>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</si>
  <si>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</si>
  <si>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</si>
  <si>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</si>
  <si>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</si>
  <si>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</si>
  <si>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</si>
  <si>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</si>
  <si>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</si>
  <si>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</si>
  <si>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</si>
  <si>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</si>
  <si>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</si>
  <si>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</si>
  <si>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</si>
  <si>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</si>
  <si>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</si>
  <si>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</si>
  <si>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</si>
  <si>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</si>
  <si>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</si>
  <si>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</si>
  <si>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</si>
  <si>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</si>
  <si>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</si>
  <si>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</si>
  <si>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</si>
  <si>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</si>
  <si>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</si>
  <si>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</si>
  <si>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</si>
  <si>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</si>
  <si>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</si>
  <si>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</si>
  <si>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</si>
  <si>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</si>
  <si>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</si>
  <si>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</si>
  <si>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</si>
  <si>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</si>
  <si>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</si>
  <si>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</si>
  <si>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</si>
  <si>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</si>
  <si>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</si>
  <si>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</si>
  <si>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</si>
  <si>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</si>
  <si>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</si>
  <si>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</si>
  <si>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</si>
  <si>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</si>
  <si>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</si>
  <si>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</si>
  <si>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</si>
  <si>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</si>
  <si>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</si>
  <si>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</si>
  <si>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</si>
  <si>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</si>
  <si>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</si>
  <si>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</si>
  <si>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</si>
  <si>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</si>
  <si>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</si>
  <si>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</si>
  <si>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</si>
  <si>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</si>
  <si>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</si>
  <si>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</si>
  <si>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</si>
  <si>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</si>
  <si>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</si>
  <si>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</si>
  <si>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</si>
  <si>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</si>
  <si>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</si>
  <si>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</si>
  <si>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</si>
  <si>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</si>
  <si>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</si>
  <si>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</si>
  <si>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</si>
  <si>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</si>
  <si>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</si>
  <si>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</si>
  <si>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</si>
  <si>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</si>
  <si>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</si>
  <si>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</si>
  <si>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</si>
  <si>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</si>
  <si>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</si>
  <si>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</si>
  <si>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</si>
  <si>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</si>
  <si>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</si>
  <si>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</si>
  <si>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</si>
  <si>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</si>
  <si>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</si>
  <si>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</si>
  <si>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</si>
  <si>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</si>
  <si>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</si>
  <si>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</si>
  <si>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</si>
  <si>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</si>
  <si>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</si>
  <si>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</si>
  <si>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</si>
  <si>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</si>
  <si>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</si>
  <si>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</si>
  <si>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</si>
  <si>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</si>
  <si>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</si>
  <si>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</si>
  <si>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</si>
  <si>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</si>
  <si>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</si>
  <si>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</si>
  <si>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</si>
  <si>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</si>
  <si>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</si>
  <si>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</si>
  <si>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</si>
  <si>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</si>
  <si>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</si>
  <si>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</si>
  <si>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</si>
  <si>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</si>
  <si>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</si>
  <si>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</si>
  <si>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</si>
  <si>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</si>
  <si>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</si>
  <si>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</si>
  <si>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</si>
  <si>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</si>
  <si>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</si>
  <si>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</si>
  <si>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</si>
  <si>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</si>
  <si>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</si>
  <si>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</si>
  <si>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</si>
  <si>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</si>
  <si>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</si>
  <si>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</si>
  <si>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</si>
  <si>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</si>
  <si>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</si>
  <si>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</si>
  <si>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</si>
  <si>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</si>
  <si>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</si>
  <si>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</si>
  <si>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</si>
  <si>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</si>
  <si>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</si>
  <si>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</si>
  <si>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</si>
  <si>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</si>
  <si>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</si>
  <si>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</si>
  <si>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</si>
  <si>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</si>
  <si>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</si>
  <si>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</si>
  <si>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</si>
  <si>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</si>
  <si>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</si>
  <si>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</si>
  <si>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</si>
  <si>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</si>
  <si>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</si>
  <si>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</si>
  <si>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</si>
  <si>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</si>
  <si>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</si>
  <si>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</si>
  <si>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</si>
  <si>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</si>
  <si>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</si>
  <si>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</si>
  <si>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</si>
  <si>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</si>
  <si>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</si>
  <si>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</si>
  <si>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</si>
  <si>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</si>
  <si>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</si>
  <si>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</si>
  <si>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</si>
  <si>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</si>
  <si>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</si>
  <si>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</si>
  <si>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</si>
  <si>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</si>
  <si>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</si>
  <si>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</si>
  <si>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</si>
  <si>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</si>
  <si>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</si>
  <si>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</si>
  <si>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</si>
  <si>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</si>
  <si>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</si>
  <si>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</si>
  <si>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</si>
  <si>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</si>
  <si>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</si>
  <si>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</si>
  <si>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</si>
  <si>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</si>
  <si>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</si>
  <si>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</si>
  <si>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</si>
  <si>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</si>
  <si>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</si>
  <si>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</si>
  <si>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</si>
  <si>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</si>
  <si>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</si>
  <si>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</si>
  <si>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</si>
  <si>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</si>
  <si>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</si>
  <si>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</si>
  <si>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</si>
  <si>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</si>
  <si>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</si>
  <si>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</si>
  <si>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</si>
  <si>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</si>
  <si>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</si>
  <si>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</si>
  <si>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</si>
  <si>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</si>
  <si>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</si>
  <si>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</si>
  <si>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</si>
  <si>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</si>
  <si>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</si>
  <si>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</si>
  <si>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</si>
  <si>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</si>
  <si>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</si>
  <si>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</si>
  <si>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</si>
  <si>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</si>
  <si>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</si>
  <si>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</si>
  <si>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</si>
  <si>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</si>
  <si>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</si>
  <si>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</si>
  <si>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</si>
  <si>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</si>
  <si>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</si>
  <si>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</si>
  <si>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</si>
  <si>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</si>
  <si>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</si>
  <si>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</si>
  <si>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</si>
  <si>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</si>
  <si>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</si>
  <si>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</si>
  <si>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</si>
  <si>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</si>
  <si>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</si>
  <si>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</si>
  <si>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</si>
  <si>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</si>
  <si>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</si>
  <si>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</si>
  <si>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</si>
  <si>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</si>
  <si>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</si>
  <si>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</si>
  <si>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</si>
  <si>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</si>
  <si>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</si>
  <si>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</si>
  <si>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</si>
  <si>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</si>
  <si>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</si>
  <si>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</si>
  <si>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</si>
  <si>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</si>
  <si>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</si>
  <si>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</si>
  <si>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</si>
  <si>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</si>
  <si>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</si>
  <si>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</si>
  <si>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</si>
  <si>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</si>
  <si>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</si>
  <si>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</si>
  <si>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</si>
  <si>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</si>
  <si>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</si>
  <si>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</si>
  <si>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</si>
  <si>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</si>
  <si>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</si>
  <si>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</si>
  <si>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</si>
  <si>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</si>
  <si>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</si>
  <si>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</si>
  <si>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</si>
  <si>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</si>
  <si>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</si>
  <si>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</si>
  <si>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</si>
  <si>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</si>
  <si>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</si>
  <si>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</si>
  <si>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</si>
  <si>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</si>
  <si>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</si>
  <si>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</si>
  <si>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</si>
  <si>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</si>
  <si>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</si>
  <si>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</si>
  <si>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</si>
  <si>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</si>
  <si>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</si>
  <si>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</si>
  <si>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</si>
  <si>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</si>
  <si>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</si>
  <si>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</si>
  <si>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</si>
  <si>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</si>
  <si>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</si>
  <si>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</si>
  <si>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</si>
  <si>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</si>
  <si>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</si>
  <si>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</si>
  <si>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</si>
  <si>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</si>
  <si>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</si>
  <si>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</si>
  <si>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</si>
  <si>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</si>
  <si>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</si>
  <si>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</si>
  <si>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</si>
  <si>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</si>
  <si>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</si>
  <si>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2011-465-05-01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</si>
  <si>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</si>
  <si>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</si>
  <si>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2011-465-05-02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</si>
  <si>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</si>
  <si>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</si>
  <si>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</si>
  <si>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</si>
  <si>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</si>
  <si>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2011-425-05-01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</si>
  <si>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</si>
  <si>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</si>
  <si>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2011-376-05-01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</si>
  <si>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</si>
  <si>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</si>
  <si>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</si>
  <si>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</si>
  <si>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</si>
  <si>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</si>
  <si>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</si>
  <si>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</si>
  <si>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2011-213-5-01</t>
  </si>
  <si>
    <t>Transportation Safety Bureau recommends the Inspectorate of Transport of the Government Office for Szabolcs-Szatmár-Bereg County to examine the design of the level crossing and take the necessary measures according to the findings.</t>
  </si>
  <si>
    <t>HU-1177/1</t>
  </si>
  <si>
    <t>2011-211-05-01A</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</si>
  <si>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</si>
  <si>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</si>
  <si>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2011-211-05-02A</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</si>
  <si>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</si>
  <si>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</si>
  <si>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2011-211-05-03A</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</si>
  <si>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</si>
  <si>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</si>
  <si>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2011-211-05-04A</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</si>
  <si>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</si>
  <si>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</si>
  <si>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2011-211-05-05A</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</si>
  <si>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</si>
  <si>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</si>
  <si>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2011-211-05-06A</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</si>
  <si>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</si>
  <si>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</si>
  <si>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</si>
  <si>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</si>
  <si>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</si>
  <si>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</si>
  <si>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</si>
  <si>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</si>
  <si>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</si>
  <si>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</si>
  <si>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</si>
  <si>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</si>
  <si>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</si>
  <si>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</si>
  <si>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</si>
  <si>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</si>
  <si>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</si>
  <si>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BA2011-425-5-01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</si>
  <si>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</si>
  <si>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</si>
  <si>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</si>
  <si>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</si>
  <si>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</si>
  <si>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</si>
  <si>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</si>
  <si>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</si>
  <si>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</si>
  <si>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</si>
  <si>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</si>
  <si>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</si>
  <si>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</si>
  <si>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</si>
  <si>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</si>
  <si>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</si>
  <si>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</si>
  <si>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</si>
  <si>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</si>
  <si>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</si>
  <si>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</si>
  <si>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</si>
  <si>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</si>
  <si>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</si>
  <si>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</si>
  <si>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</si>
  <si>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</si>
  <si>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</si>
  <si>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</si>
  <si>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</si>
  <si>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</si>
  <si>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</si>
  <si>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</si>
  <si>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</si>
  <si>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</si>
  <si>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</si>
  <si>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</si>
  <si>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</si>
  <si>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</si>
  <si>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</si>
  <si>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</si>
  <si>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</si>
  <si>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</si>
  <si>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</si>
  <si>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</si>
  <si>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</si>
  <si>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</si>
  <si>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</si>
  <si>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</si>
  <si>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</si>
  <si>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</si>
  <si>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</si>
  <si>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</si>
  <si>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</si>
  <si>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</si>
  <si>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</si>
  <si>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</si>
  <si>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</si>
  <si>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</si>
  <si>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</si>
  <si>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</si>
  <si>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</si>
  <si>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</si>
  <si>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</si>
  <si>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</si>
  <si>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</si>
  <si>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</si>
  <si>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</si>
  <si>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2011-011-05-01A</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</si>
  <si>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</si>
  <si>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</si>
  <si>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</si>
  <si>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</si>
  <si>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</si>
  <si>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</si>
  <si>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</si>
  <si>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 xml:space="preserve"> BA2013-367-5-01A</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</si>
  <si>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</si>
  <si>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</si>
  <si>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</si>
  <si>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</si>
  <si>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</si>
  <si>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</si>
  <si>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</si>
  <si>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</si>
  <si>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</si>
  <si>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</si>
  <si>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</si>
  <si>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</si>
  <si>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</si>
  <si>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</si>
  <si>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</si>
  <si>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</si>
  <si>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</si>
  <si>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</si>
  <si>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</si>
  <si>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BA2012-475-5-01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</si>
  <si>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</si>
  <si>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</si>
  <si>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</si>
  <si>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</si>
  <si>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</si>
  <si>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</si>
  <si>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</si>
  <si>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</si>
  <si>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</si>
  <si>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</si>
  <si>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</si>
  <si>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</si>
  <si>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</si>
  <si>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</si>
  <si>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</si>
  <si>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</si>
  <si>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</si>
  <si>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</si>
  <si>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</si>
  <si>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</si>
  <si>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</si>
  <si>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</si>
  <si>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</si>
  <si>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</si>
  <si>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</si>
  <si>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</si>
  <si>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</si>
  <si>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</si>
  <si>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</si>
  <si>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</si>
  <si>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</si>
  <si>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</si>
  <si>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</si>
  <si>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</si>
  <si>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</si>
  <si>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</si>
  <si>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</si>
  <si>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</si>
  <si>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</si>
  <si>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</si>
  <si>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</si>
  <si>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</si>
  <si>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</si>
  <si>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</si>
  <si>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</si>
  <si>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</si>
  <si>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</si>
  <si>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</si>
  <si>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</si>
  <si>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</si>
  <si>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</si>
  <si>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</si>
  <si>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</si>
  <si>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</si>
  <si>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</si>
  <si>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</si>
  <si>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</si>
  <si>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</si>
  <si>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</si>
  <si>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</si>
  <si>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</si>
  <si>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</si>
  <si>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</si>
  <si>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</si>
  <si>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</si>
  <si>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</si>
  <si>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</si>
  <si>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</si>
  <si>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</si>
  <si>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</si>
  <si>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</si>
  <si>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</si>
  <si>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</si>
  <si>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</si>
  <si>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</si>
  <si>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</si>
  <si>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</si>
  <si>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</si>
  <si>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</si>
  <si>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</si>
  <si>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</si>
  <si>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</si>
  <si>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</si>
  <si>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</si>
  <si>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</si>
  <si>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</si>
  <si>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</si>
  <si>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</si>
  <si>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</si>
  <si>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</si>
  <si>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</si>
  <si>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</si>
  <si>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</si>
  <si>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</si>
  <si>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</si>
  <si>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</si>
  <si>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</si>
  <si>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</si>
  <si>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</si>
  <si>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</si>
  <si>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</si>
  <si>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</si>
  <si>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</si>
  <si>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</si>
  <si>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</si>
  <si>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</si>
  <si>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</si>
  <si>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</si>
  <si>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</si>
  <si>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</si>
  <si>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</si>
  <si>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</si>
  <si>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</si>
  <si>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</si>
  <si>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</si>
  <si>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</si>
  <si>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</si>
  <si>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2016-0490-5-01A</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</si>
  <si>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</si>
  <si>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</si>
  <si>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</si>
  <si>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</si>
  <si>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</si>
  <si>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</si>
  <si>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</si>
  <si>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</si>
  <si>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</si>
  <si>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</si>
  <si>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</si>
  <si>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</si>
  <si>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</si>
  <si>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</si>
  <si>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</si>
  <si>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</si>
  <si>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</si>
  <si>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</si>
  <si>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</si>
  <si>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</si>
  <si>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</si>
  <si>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</si>
  <si>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</si>
  <si>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</si>
  <si>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</si>
  <si>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</si>
  <si>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</si>
  <si>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</si>
  <si>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</si>
  <si>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</si>
  <si>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</si>
  <si>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</si>
  <si>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</si>
  <si>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</si>
  <si>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</si>
  <si>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</si>
  <si>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</si>
  <si>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</si>
  <si>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</si>
  <si>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</si>
  <si>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</si>
  <si>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</si>
  <si>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</si>
  <si>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</si>
  <si>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</si>
  <si>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</si>
  <si>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</si>
  <si>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</si>
  <si>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</si>
  <si>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</si>
  <si>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</si>
  <si>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</si>
  <si>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</si>
  <si>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</si>
  <si>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</si>
  <si>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</si>
  <si>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</si>
  <si>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</si>
  <si>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</si>
  <si>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</si>
  <si>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</si>
  <si>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</si>
  <si>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</si>
  <si>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</si>
  <si>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</si>
  <si>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</si>
  <si>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</si>
  <si>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</si>
  <si>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</si>
  <si>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</si>
  <si>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</si>
  <si>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</si>
  <si>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</si>
  <si>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</si>
  <si>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</si>
  <si>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</si>
  <si>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</si>
  <si>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</si>
  <si>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</si>
  <si>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</si>
  <si>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</si>
  <si>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</si>
  <si>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</si>
  <si>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</si>
  <si>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</si>
  <si>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</si>
  <si>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</si>
  <si>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</si>
  <si>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</si>
  <si>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</si>
  <si>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</si>
  <si>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</si>
  <si>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</si>
  <si>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</si>
  <si>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</si>
  <si>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</si>
  <si>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</si>
  <si>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</si>
  <si>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</si>
  <si>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</si>
  <si>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</si>
  <si>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</si>
  <si>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</si>
  <si>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</si>
  <si>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</si>
  <si>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</si>
  <si>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</si>
  <si>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</si>
  <si>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</si>
  <si>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</si>
  <si>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</si>
  <si>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</si>
  <si>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</si>
  <si>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</si>
  <si>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</si>
  <si>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</si>
  <si>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</si>
  <si>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</si>
  <si>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</si>
  <si>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</si>
  <si>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</si>
  <si>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</si>
  <si>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</si>
  <si>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</si>
  <si>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</si>
  <si>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</si>
  <si>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</si>
  <si>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</si>
  <si>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</si>
  <si>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</si>
  <si>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</si>
  <si>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</si>
  <si>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</si>
  <si>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</si>
  <si>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</si>
  <si>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</si>
  <si>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</si>
  <si>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</si>
  <si>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</si>
  <si>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</si>
  <si>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</si>
  <si>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</si>
  <si>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</si>
  <si>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</si>
  <si>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</si>
  <si>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</si>
  <si>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</si>
  <si>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</si>
  <si>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</si>
  <si>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</si>
  <si>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</si>
  <si>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</si>
  <si>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</si>
  <si>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</si>
  <si>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</si>
  <si>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</si>
  <si>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</si>
  <si>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</si>
  <si>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</si>
  <si>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</si>
  <si>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</si>
  <si>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</si>
  <si>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</si>
  <si>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</si>
  <si>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</si>
  <si>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</si>
  <si>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</si>
  <si>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</si>
  <si>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</si>
  <si>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</si>
  <si>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</si>
  <si>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</si>
  <si>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</si>
  <si>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</si>
  <si>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</si>
  <si>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</si>
  <si>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</si>
  <si>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</si>
  <si>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</si>
  <si>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</si>
  <si>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</si>
  <si>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</si>
  <si>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</si>
  <si>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</si>
  <si>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</si>
  <si>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</si>
  <si>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</si>
  <si>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</si>
  <si>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</si>
  <si>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</si>
  <si>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</si>
  <si>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</si>
  <si>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</si>
  <si>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</si>
  <si>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BA2020-0050-5-01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</si>
  <si>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</si>
  <si>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</si>
  <si>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</si>
  <si>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</si>
  <si>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</si>
  <si>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</si>
  <si>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</si>
  <si>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</si>
  <si>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</si>
  <si>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</si>
  <si>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</si>
  <si>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</si>
  <si>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</si>
  <si>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</si>
  <si>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</si>
  <si>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</si>
  <si>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</si>
  <si>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</si>
  <si>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</si>
  <si>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</si>
  <si>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</si>
  <si>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</si>
  <si>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</si>
  <si>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</si>
  <si>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</si>
  <si>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</si>
  <si>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</si>
  <si>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</si>
  <si>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</si>
  <si>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</si>
  <si>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BA2020-1058-5-01</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</si>
  <si>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</si>
  <si>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</si>
  <si>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</si>
  <si>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</si>
  <si>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</si>
  <si>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</si>
  <si>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</si>
  <si>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</si>
  <si>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</si>
  <si>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</si>
  <si>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</si>
  <si>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</si>
  <si>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</si>
  <si>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</si>
  <si>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</si>
  <si>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</si>
  <si>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</si>
  <si>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</si>
  <si>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</si>
  <si>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</si>
  <si>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</si>
  <si>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</si>
  <si>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</si>
  <si>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</si>
  <si>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</si>
  <si>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</si>
  <si>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</si>
  <si>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</si>
  <si>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</si>
  <si>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</si>
  <si>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</si>
  <si>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</si>
  <si>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</si>
  <si>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</si>
  <si>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</si>
  <si>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</si>
  <si>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</si>
  <si>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</si>
  <si>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</si>
  <si>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</si>
  <si>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</si>
  <si>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</si>
  <si>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</si>
  <si>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</si>
  <si>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</si>
  <si>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</si>
  <si>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</si>
  <si>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</si>
  <si>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</si>
  <si>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</si>
  <si>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</si>
  <si>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</si>
  <si>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</si>
  <si>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</si>
  <si>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</si>
  <si>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</si>
  <si>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</si>
  <si>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</si>
  <si>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</si>
  <si>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</si>
  <si>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</si>
  <si>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</si>
  <si>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</si>
  <si>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</si>
  <si>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</si>
  <si>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</si>
  <si>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</si>
  <si>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</si>
  <si>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</si>
  <si>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</si>
  <si>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</si>
  <si>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</si>
  <si>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</si>
  <si>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</si>
  <si>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</si>
  <si>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</si>
  <si>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</si>
  <si>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</si>
  <si>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</si>
  <si>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</si>
  <si>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</si>
  <si>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</si>
  <si>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</si>
  <si>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</si>
  <si>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</si>
  <si>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</si>
  <si>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</si>
  <si>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</si>
  <si>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</si>
  <si>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</si>
  <si>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</si>
  <si>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</si>
  <si>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</si>
  <si>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</si>
  <si>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</si>
  <si>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</si>
  <si>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</si>
  <si>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</si>
  <si>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</si>
  <si>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</si>
  <si>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</si>
  <si>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</si>
  <si>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</si>
  <si>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</si>
  <si>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</si>
  <si>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</si>
  <si>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</si>
  <si>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</si>
  <si>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</si>
  <si>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</si>
  <si>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</si>
  <si>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</si>
  <si>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</si>
  <si>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</si>
  <si>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</si>
  <si>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</si>
  <si>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</si>
  <si>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</si>
  <si>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</si>
  <si>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</si>
  <si>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</si>
  <si>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</si>
  <si>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</si>
  <si>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</si>
  <si>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</si>
  <si>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</si>
  <si>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</si>
  <si>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</si>
  <si>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</si>
  <si>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</si>
  <si>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</si>
  <si>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</si>
  <si>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</si>
  <si>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</si>
  <si>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</si>
  <si>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</si>
  <si>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</si>
  <si>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</si>
  <si>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</si>
  <si>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</si>
  <si>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</si>
  <si>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</si>
  <si>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</si>
  <si>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</si>
  <si>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</si>
  <si>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</si>
  <si>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</si>
  <si>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</si>
  <si>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</si>
  <si>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</si>
  <si>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</si>
  <si>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</si>
  <si>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</si>
  <si>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</si>
  <si>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</si>
  <si>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</si>
  <si>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</si>
  <si>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</si>
  <si>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</si>
  <si>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</si>
  <si>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</si>
  <si>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</si>
  <si>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</si>
  <si>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</si>
  <si>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</si>
  <si>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</si>
  <si>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</si>
  <si>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</si>
  <si>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</si>
  <si>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</si>
  <si>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</si>
  <si>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</si>
  <si>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</si>
  <si>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</si>
  <si>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</si>
  <si>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</si>
  <si>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</si>
  <si>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</si>
  <si>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</si>
  <si>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</si>
  <si>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</si>
  <si>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</si>
  <si>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</si>
  <si>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</si>
  <si>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</si>
  <si>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</si>
  <si>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</si>
  <si>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</si>
  <si>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</si>
  <si>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</si>
  <si>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</si>
  <si>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</si>
  <si>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</si>
  <si>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</si>
  <si>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</si>
  <si>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</si>
  <si>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</si>
  <si>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</si>
  <si>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</si>
  <si>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</si>
  <si>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</si>
  <si>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</si>
  <si>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German and English</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</si>
  <si>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</si>
  <si>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</si>
  <si>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</si>
  <si>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</si>
  <si>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</si>
  <si>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</si>
  <si>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</si>
  <si>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</si>
  <si>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</si>
  <si>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</si>
  <si>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</si>
  <si>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</si>
  <si>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</si>
  <si>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</si>
  <si>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</si>
  <si>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</si>
  <si>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</si>
  <si>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</si>
  <si>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</si>
  <si>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</si>
  <si>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</si>
  <si>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</si>
  <si>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</si>
  <si>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</si>
  <si>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</si>
  <si>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</si>
  <si>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</si>
  <si>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</si>
  <si>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</si>
  <si>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</si>
  <si>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</si>
  <si>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</si>
  <si>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</si>
  <si>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</si>
  <si>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</si>
  <si>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</si>
  <si>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</si>
  <si>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</si>
  <si>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59/2021-2: identify and act on similar level crossings</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</si>
  <si>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</si>
  <si>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AIN/06-SR-02/2022</t>
  </si>
  <si>
    <t>The Infrastructure Manager should ensure that the execution plan is prepared in accordance with the Regulations on safety at work on temporary construction sites Annex IV („Official Gazette“, No. 48/18), and apply the relevant provisions in their telegrams.</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</si>
  <si>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</si>
  <si>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</si>
  <si>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</si>
  <si>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</si>
  <si>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</si>
  <si>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</si>
  <si>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</si>
  <si>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</si>
  <si>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</si>
  <si>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</si>
  <si>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</si>
  <si>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</si>
  <si>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</si>
  <si>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</si>
  <si>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</si>
  <si>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</si>
  <si>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</si>
  <si>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</si>
  <si>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</si>
  <si>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</si>
  <si>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</si>
  <si>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</si>
  <si>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</si>
  <si>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</si>
  <si>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</si>
  <si>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</si>
  <si>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</si>
  <si>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</si>
  <si>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</si>
  <si>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</si>
  <si>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</si>
  <si>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</si>
  <si>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</si>
  <si>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</si>
  <si>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</si>
  <si>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</si>
  <si>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</si>
  <si>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</si>
  <si>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</si>
  <si>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</si>
  <si>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</si>
  <si>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</si>
  <si>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</si>
  <si>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RJ 2022:02 R1</t>
  </si>
  <si>
    <t>The Swedish Transport Administration is recommended to:
• Continue the development work it is doing to enable crack formation in 
rail to be identified at an earlier stage.</t>
  </si>
  <si>
    <t>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</si>
  <si>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</si>
  <si>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RJ 2022:02 R3</t>
  </si>
  <si>
    <t>The Swedish Transport Agency is recommended to:
• Within the scope of its supervision, follow up the action taken by the 
Swedish Transport Administration as a result of recommendation 
RJ 2022:02 R1 and RJ 2022:02 R2.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</si>
  <si>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</si>
  <si>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</si>
  <si>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</si>
  <si>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</si>
  <si>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</si>
  <si>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</si>
  <si>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</si>
  <si>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</si>
  <si>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</si>
  <si>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</si>
  <si>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</si>
  <si>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</si>
  <si>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</si>
  <si>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</si>
  <si>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</si>
  <si>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</si>
  <si>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</si>
  <si>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RJ 2022: 03 R2</t>
  </si>
  <si>
    <t>The Swedish Transport Administration is recommended to:
• review rules and support to ensure fact-finding in the event of incidents involving traffic safety.</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</si>
  <si>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</si>
  <si>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</si>
  <si>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</si>
  <si>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</si>
  <si>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</si>
  <si>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</si>
  <si>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</si>
  <si>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</si>
  <si>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</si>
  <si>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</si>
  <si>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</si>
  <si>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</si>
  <si>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</si>
  <si>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</si>
  <si>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</si>
  <si>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</si>
  <si>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</si>
  <si>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</si>
  <si>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</si>
  <si>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</si>
  <si>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04/2022</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</si>
  <si>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</si>
  <si>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</si>
  <si>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</si>
  <si>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</si>
  <si>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</si>
  <si>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</si>
  <si>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</si>
  <si>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</si>
  <si>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</si>
  <si>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</si>
  <si>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</si>
  <si>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</si>
  <si>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</si>
  <si>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</si>
  <si>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</si>
  <si>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</si>
  <si>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</si>
  <si>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</si>
  <si>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</si>
  <si>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</si>
  <si>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</si>
  <si>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</si>
  <si>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</si>
  <si>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</si>
  <si>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</si>
  <si>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</si>
  <si>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</si>
  <si>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</si>
  <si>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</si>
  <si>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</si>
  <si>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</si>
  <si>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</si>
  <si>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</si>
  <si>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</si>
  <si>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</si>
  <si>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</si>
  <si>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</si>
  <si>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</si>
  <si>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</si>
  <si>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</si>
  <si>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</si>
  <si>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</si>
  <si>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</si>
  <si>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</si>
  <si>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</si>
  <si>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Safety Recommendation No. 2022/01: Training of RU staff on the procedures applicable in case of malfunction in the automatic brakes of wagons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</si>
  <si>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</si>
  <si>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2022/02: Reinforcement of the RU sms regarding the control and monitoring of the applied procedures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</si>
  <si>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</si>
  <si>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</si>
  <si>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</si>
  <si>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</si>
  <si>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no.392-1</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</si>
  <si>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</si>
  <si>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</si>
  <si>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</si>
  <si>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</si>
  <si>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</si>
  <si>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</si>
  <si>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</si>
  <si>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</si>
  <si>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</si>
  <si>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</si>
  <si>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</si>
  <si>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</si>
  <si>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</si>
  <si>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</si>
  <si>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A-2016/006</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</si>
  <si>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</si>
  <si>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A-2016/019</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</si>
  <si>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</si>
  <si>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A-2016/020</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</si>
  <si>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</si>
  <si>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R1 - Training in safety communications</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</si>
  <si>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</si>
  <si>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</si>
  <si>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</si>
  <si>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</si>
  <si>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</si>
  <si>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</si>
  <si>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</si>
  <si>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</si>
  <si>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</si>
  <si>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</si>
  <si>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</si>
  <si>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</si>
  <si>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</si>
  <si>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</si>
  <si>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</si>
  <si>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</si>
  <si>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</si>
  <si>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</si>
  <si>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</si>
  <si>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</si>
  <si>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</si>
  <si>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</si>
  <si>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</si>
  <si>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</si>
  <si>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</si>
  <si>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</si>
  <si>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</si>
  <si>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</si>
  <si>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</si>
  <si>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</si>
  <si>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</si>
  <si>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</si>
  <si>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</si>
  <si>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</si>
  <si>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</si>
  <si>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</si>
  <si>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</si>
  <si>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</si>
  <si>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</si>
  <si>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</si>
  <si>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</si>
  <si>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</si>
  <si>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</si>
  <si>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</si>
  <si>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</si>
  <si>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</si>
  <si>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</si>
  <si>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</si>
  <si>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</si>
  <si>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</si>
  <si>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</si>
  <si>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</si>
  <si>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</si>
  <si>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</si>
  <si>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SR 2022/04: Implementation on level crossing 128,209 (Linha do Alentejo) of adequate safety measures, compliant with the national rules</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</si>
  <si>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</si>
  <si>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</si>
  <si>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</si>
  <si>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</si>
  <si>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IM-related recomendations</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</si>
  <si>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</si>
  <si>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</si>
  <si>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</si>
  <si>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</si>
  <si>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</si>
  <si>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</si>
  <si>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</si>
  <si>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</si>
  <si>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</si>
  <si>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</si>
  <si>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</si>
  <si>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</si>
  <si>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</si>
  <si>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</si>
  <si>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</si>
  <si>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05/2022</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</si>
  <si>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</si>
  <si>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06/2022</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</si>
  <si>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</si>
  <si>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07/2022</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</si>
  <si>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</si>
  <si>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08/2022</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</si>
  <si>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</si>
  <si>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</si>
  <si>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</si>
  <si>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</si>
  <si>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</si>
  <si>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</si>
  <si>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</si>
  <si>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</si>
  <si>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</si>
  <si>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BA2022-0381-5-01</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</si>
  <si>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</si>
  <si>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</si>
  <si>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</si>
  <si>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</si>
  <si>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</si>
  <si>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AIN/06-SR-13/2022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</si>
  <si>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</si>
  <si>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</si>
  <si>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</si>
  <si>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</si>
  <si>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</si>
  <si>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1.) Recommendation addressed to IM and RU</t>
  </si>
  <si>
    <t xml:space="preserve">During 4Q 2022, the infrastructure manager and the carrier will carry out an increased control of the speech discipline of operational employees.
</t>
  </si>
  <si>
    <t>2) Recommendation addressed to RU</t>
  </si>
  <si>
    <t>During 4Q 2022, the carrier will carry out an increased control of speed compliance by train drivers valid during the shift</t>
  </si>
  <si>
    <t>Lfd. Nr.: 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</si>
  <si>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</si>
  <si>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</si>
  <si>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</si>
  <si>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</si>
  <si>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</si>
  <si>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R1 - The renewal deficit of old reused rails</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</si>
  <si>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</si>
  <si>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</si>
  <si>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</si>
  <si>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</si>
  <si>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</si>
  <si>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</si>
  <si>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</si>
  <si>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</si>
  <si>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</si>
  <si>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</si>
  <si>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</si>
  <si>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Acquaint the interested personnel with the contents of the Final report</t>
  </si>
  <si>
    <t>• Recommendation 1 proposes that SE NRIC and "Rail Cargo Carrier - Bulgaria" EOOD shall acquaint the interested personnel with the contents of the Final report.</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</si>
  <si>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</si>
  <si>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</si>
  <si>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</si>
  <si>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</si>
  <si>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Planning and performance of repairs of the rail track in the interstation Kremikovtsi - Yana</t>
  </si>
  <si>
    <t>• Recommendation 4, suggests that SE NRIC plan and carry out repairs of the rail track in the interstation Kremikovtsi - Yana, guaranteeing the traffic safety.</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</si>
  <si>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</si>
  <si>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</si>
  <si>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</si>
  <si>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</si>
  <si>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</si>
  <si>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</si>
  <si>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</si>
  <si>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</si>
  <si>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</si>
  <si>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</si>
  <si>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</si>
  <si>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</si>
  <si>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</si>
  <si>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</si>
  <si>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</si>
  <si>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</si>
  <si>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</si>
  <si>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</si>
  <si>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</si>
  <si>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</si>
  <si>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</si>
  <si>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</si>
  <si>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</si>
  <si>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</si>
  <si>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</si>
  <si>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</si>
  <si>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</si>
  <si>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</si>
  <si>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</si>
  <si>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</si>
  <si>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</si>
  <si>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</si>
  <si>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</si>
  <si>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BA2021-1166-5-01A</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</si>
  <si>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</si>
  <si>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</si>
  <si>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</si>
  <si>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</si>
  <si>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</si>
  <si>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</si>
  <si>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</si>
  <si>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</si>
  <si>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</si>
  <si>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</si>
  <si>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</si>
  <si>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</si>
  <si>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</si>
  <si>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</si>
  <si>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</si>
  <si>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</si>
  <si>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</si>
  <si>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</si>
  <si>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</si>
  <si>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</si>
  <si>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</si>
  <si>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</si>
  <si>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</si>
  <si>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</si>
  <si>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</si>
  <si>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</si>
  <si>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</si>
  <si>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</si>
  <si>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</si>
  <si>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</si>
  <si>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</si>
  <si>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</si>
  <si>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</si>
  <si>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</si>
  <si>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</si>
  <si>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</si>
  <si>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</si>
  <si>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</si>
  <si>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</si>
  <si>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</si>
  <si>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</si>
  <si>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</si>
  <si>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</si>
  <si>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SHK 2023:04 R2</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</si>
  <si>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</si>
  <si>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R3</t>
  </si>
  <si>
    <t>The Swedish Transport Administration is recommended to:
• Investigate more closely which factors can contribute to increased tensile stress in the rail and how such factors can be identified.</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</si>
  <si>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</si>
  <si>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</si>
  <si>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</si>
  <si>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</si>
  <si>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</si>
  <si>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</si>
  <si>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</si>
  <si>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R1 - Operations in the workshop</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</si>
  <si>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</si>
  <si>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</si>
  <si>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</si>
  <si>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</si>
  <si>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</si>
  <si>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Recommendation to RU</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</si>
  <si>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</si>
  <si>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</si>
  <si>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</si>
  <si>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</si>
  <si>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</si>
  <si>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</si>
  <si>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</si>
  <si>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</si>
  <si>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R1 - Remove of the pedestrian level crossing</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</si>
  <si>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</si>
  <si>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</si>
  <si>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</si>
  <si>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Internal acceptance process</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</si>
  <si>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</si>
  <si>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</si>
  <si>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</si>
  <si>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</si>
  <si>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</si>
  <si>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</si>
  <si>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</si>
  <si>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</si>
  <si>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</si>
  <si>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</si>
  <si>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</si>
  <si>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</si>
  <si>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</si>
  <si>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</si>
  <si>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</si>
  <si>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</si>
  <si>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</si>
  <si>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Recommendation no. IT-6349-1</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</si>
  <si>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</si>
  <si>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</si>
  <si>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</si>
  <si>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</si>
  <si>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</si>
  <si>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</si>
  <si>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</si>
  <si>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</si>
  <si>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</si>
  <si>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</si>
  <si>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</si>
  <si>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Recommendation no. IT-10072-1</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</si>
  <si>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</si>
  <si>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</si>
  <si>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</si>
  <si>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</si>
  <si>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</si>
  <si>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</si>
  <si>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</si>
  <si>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</si>
  <si>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</si>
  <si>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</si>
  <si>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</si>
  <si>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</si>
  <si>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</si>
  <si>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Recommendation no. IT-10168-1</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</si>
  <si>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</si>
  <si>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</si>
  <si>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</si>
  <si>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</si>
  <si>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</si>
  <si>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</si>
  <si>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</si>
  <si>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</si>
  <si>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</si>
  <si>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</si>
  <si>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</si>
  <si>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</si>
  <si>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</si>
  <si>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</si>
  <si>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</si>
  <si>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</si>
  <si>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</si>
  <si>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BA2020-0169-5-01</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</si>
  <si>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</si>
  <si>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</si>
  <si>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</si>
  <si>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BA2020-1179-5-01</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</si>
  <si>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</si>
  <si>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BA2021-0132-5-01</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</si>
  <si>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</si>
  <si>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BA2021-1302-5-01</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</si>
  <si>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</si>
  <si>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BA2020-0945-5-01</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</si>
  <si>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</si>
  <si>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</si>
  <si>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</si>
  <si>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70/2022-1: traffic agents assertive skills and authority</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</si>
  <si>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</si>
  <si>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</si>
  <si>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</si>
  <si>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</si>
  <si>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</si>
  <si>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</si>
  <si>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</si>
  <si>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</si>
  <si>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</si>
  <si>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</si>
  <si>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</si>
  <si>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</si>
  <si>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</si>
  <si>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2023002-02</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</si>
  <si>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</si>
  <si>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2023002-03</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</si>
  <si>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</si>
  <si>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2023002-04</t>
  </si>
  <si>
    <t>2023002-04 – IÉ-IM should introduce processes to ensure that information submitted to the RAIU is correct and submitted within the requested timeframes</t>
  </si>
  <si>
    <t>2023002-05</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</si>
  <si>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</si>
  <si>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</si>
  <si>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</si>
  <si>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</si>
  <si>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</si>
  <si>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</si>
  <si>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</si>
  <si>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t>
  </si>
  <si>
    <t>2023001-02 – The Head of Health &amp; Safety IÉ-RU should arrange for the development of a briefing for DTEs on analysis of driving trends by use of the OTDR.</t>
  </si>
  <si>
    <t>2023001-03</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</si>
  <si>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</si>
  <si>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t>
  </si>
  <si>
    <t>2023001-04 – IÉ-RU CME should consider retrofitting all EMU fleets with a Remote Diagnostic System, whereby a rule can be introduced so that DTEs are immediately notified of ATP penalty brake applications</t>
  </si>
  <si>
    <t>2023001-05</t>
  </si>
  <si>
    <t>2023001-05 – Iarnród Éireann Infrastructure Manager (IÉ-IM) Chief Civil Engineer (CCE) should consider, based on a risk-based approach, the introduction of Traction Gel Applicators (TGAs) at more locations</t>
  </si>
  <si>
    <t>2023001-06</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</si>
  <si>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</si>
  <si>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</si>
  <si>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2023001-07 – IÉ-IM SET should put systems in place to ensure that the train simulator staff are provided with updated signal layout schematics as and when required e.g. altered signal positions.</t>
  </si>
  <si>
    <t>2023001-08</t>
  </si>
  <si>
    <t>2023001-08 – IÉ-RU CME should update its commissioning documents, to ensure that maintenance tasks commence after installation.</t>
  </si>
  <si>
    <t>2023001-09</t>
  </si>
  <si>
    <t>2023001-09 – IÉ-RU CME should review the 8500 EMU sanding improvement plan (2016) against current standards with a view to updating and implementing the sanding improvements to current standards.</t>
  </si>
  <si>
    <t>2023001-10</t>
  </si>
  <si>
    <t>2023001-10 – IÉ-RU Ops should update the OTDR Download Assessment Form for DART drivers with only tasks pertinent to DART drivers; allowing DTEs to carry out comprehensive assessments of the DART drivers’ driving techniques.</t>
  </si>
  <si>
    <t>2023001-11</t>
  </si>
  <si>
    <t>2023001-11 – IÉ-RU Ops should update its competency assessment processes to ensure that the assessments carried out, are the most beneficial, in terms of identifying driver discrepancies.</t>
  </si>
  <si>
    <t>2023001-12</t>
  </si>
  <si>
    <t>2023001-12 – IÉ-RU Ops should brief all drivers on the importance of making an open call in an emergency situation rather that calling the Signalmen direct.</t>
  </si>
  <si>
    <t>no.420-1</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</si>
  <si>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</si>
  <si>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no.422-1</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</si>
  <si>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</si>
  <si>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</si>
  <si>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</si>
  <si>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</si>
  <si>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</si>
  <si>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</si>
  <si>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</si>
  <si>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</si>
  <si>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</si>
  <si>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AIN/06-SR-01/2023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</si>
  <si>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</si>
  <si>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</si>
  <si>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</si>
  <si>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</si>
  <si>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</si>
  <si>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</si>
  <si>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</si>
  <si>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</si>
  <si>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</si>
  <si>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</si>
  <si>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</si>
  <si>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</si>
  <si>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</si>
  <si>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</si>
  <si>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</si>
  <si>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</si>
  <si>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</si>
  <si>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</si>
  <si>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48/2022-1: brake tests for short trains and single locomotives</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</si>
  <si>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</si>
  <si>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</si>
  <si>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</si>
  <si>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 xml:space="preserve">DK-2023 R 1 af d. 27-04-2023. </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</si>
  <si>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</si>
  <si>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Recommendation no. IT-10167-1</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</si>
  <si>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</si>
  <si>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</si>
  <si>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</si>
  <si>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</si>
  <si>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</si>
  <si>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</si>
  <si>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</si>
  <si>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</si>
  <si>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</si>
  <si>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</si>
  <si>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</si>
  <si>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IT-10073-01</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</si>
  <si>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</si>
  <si>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</si>
  <si>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</si>
  <si>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</si>
  <si>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</si>
  <si>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</si>
  <si>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</si>
  <si>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</si>
  <si>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</si>
  <si>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</si>
  <si>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</si>
  <si>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</si>
  <si>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</si>
  <si>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</si>
  <si>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</si>
  <si>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Familiarize the interested personnel with the contents of the report</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</si>
  <si>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</si>
  <si>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</si>
  <si>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</si>
  <si>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</si>
  <si>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</si>
  <si>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</si>
  <si>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</si>
  <si>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</si>
  <si>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</si>
  <si>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</si>
  <si>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</si>
  <si>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</si>
  <si>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</si>
  <si>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</si>
  <si>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</si>
  <si>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</si>
  <si>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</si>
  <si>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</si>
  <si>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46/2022-1: "return to work" procedures</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</si>
  <si>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</si>
  <si>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</si>
  <si>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</si>
  <si>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</si>
  <si>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</si>
  <si>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</si>
  <si>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</si>
  <si>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</si>
  <si>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</si>
  <si>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</si>
  <si>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</si>
  <si>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</si>
  <si>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</si>
  <si>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</si>
  <si>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</si>
  <si>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AIN/06-SR-09/2023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</si>
  <si>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</si>
  <si>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</si>
  <si>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</si>
  <si>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no.428-1</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</si>
  <si>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</si>
  <si>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</si>
  <si>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</si>
  <si>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</si>
  <si>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</si>
  <si>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</si>
  <si>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</si>
  <si>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</si>
  <si>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</si>
  <si>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</si>
  <si>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</si>
  <si>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</si>
  <si>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</si>
  <si>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</si>
  <si>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</si>
  <si>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</si>
  <si>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</si>
  <si>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</si>
  <si>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</si>
  <si>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</si>
  <si>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</si>
  <si>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</si>
  <si>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</si>
  <si>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</si>
  <si>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</si>
  <si>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</si>
  <si>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</si>
  <si>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</si>
  <si>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</si>
  <si>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</si>
  <si>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</si>
  <si>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</si>
  <si>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</si>
  <si>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</si>
  <si>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</si>
  <si>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</si>
  <si>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</si>
  <si>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</si>
  <si>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</si>
  <si>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</si>
  <si>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</si>
  <si>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</si>
  <si>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</si>
  <si>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</si>
  <si>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</si>
  <si>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</si>
  <si>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</si>
  <si>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</si>
  <si>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</si>
  <si>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</si>
  <si>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</si>
  <si>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</si>
  <si>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</si>
  <si>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</si>
  <si>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The Investigation Unit recommends the NSA to ensure that all parties concerned work together to verify the effectiveness of the measures already taken, to evaluate the remaining risks and to take measures in order to mitigate the risks identified.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</si>
  <si>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</si>
  <si>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</si>
  <si>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</si>
  <si>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</si>
  <si>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</si>
  <si>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</si>
  <si>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</si>
  <si>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</si>
  <si>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</si>
  <si>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</si>
  <si>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</si>
  <si>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</si>
  <si>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</si>
  <si>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</si>
  <si>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</si>
  <si>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</si>
  <si>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</si>
  <si>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</si>
  <si>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</si>
  <si>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</si>
  <si>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</si>
  <si>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</si>
  <si>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</si>
  <si>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</si>
  <si>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</si>
  <si>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</si>
  <si>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</si>
  <si>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</si>
  <si>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</si>
  <si>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</si>
  <si>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</si>
  <si>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DK-2023 R 2 af 22-08-2023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</si>
  <si>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</si>
  <si>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</si>
  <si>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DK-2023 R 3 af 22-08-2023</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</si>
  <si>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</si>
  <si>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</si>
  <si>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</si>
  <si>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</si>
  <si>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</si>
  <si>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</si>
  <si>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</si>
  <si>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</si>
  <si>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</si>
  <si>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no. 438-1</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</si>
  <si>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</si>
  <si>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</si>
  <si>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</si>
  <si>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</si>
  <si>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</si>
  <si>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</si>
  <si>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</si>
  <si>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</si>
  <si>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</si>
  <si>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</si>
  <si>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</si>
  <si>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</si>
  <si>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</si>
  <si>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</si>
  <si>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</si>
  <si>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</si>
  <si>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</si>
  <si>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</si>
  <si>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</si>
  <si>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</si>
  <si>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</si>
  <si>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</si>
  <si>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</si>
  <si>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</si>
  <si>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</si>
  <si>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</si>
  <si>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</si>
  <si>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</si>
  <si>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</si>
  <si>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</si>
  <si>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</si>
  <si>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</si>
  <si>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</si>
  <si>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</si>
  <si>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</si>
  <si>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</si>
  <si>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</si>
  <si>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</si>
  <si>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</si>
  <si>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</si>
  <si>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</si>
  <si>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</si>
  <si>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</si>
  <si>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</si>
  <si>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</si>
  <si>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</si>
  <si>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</si>
  <si>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</si>
  <si>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</si>
  <si>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</si>
  <si>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</si>
  <si>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</si>
  <si>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</si>
  <si>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</si>
  <si>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</si>
  <si>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</si>
  <si>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</si>
  <si>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</si>
  <si>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</si>
  <si>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</si>
  <si>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</si>
  <si>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</si>
  <si>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</si>
  <si>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</si>
  <si>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</si>
  <si>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</si>
  <si>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</si>
  <si>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</si>
  <si>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</si>
  <si>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</si>
  <si>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</si>
  <si>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</si>
  <si>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</si>
  <si>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</si>
  <si>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</si>
  <si>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</si>
  <si>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</si>
  <si>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</si>
  <si>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</si>
  <si>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</si>
  <si>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</si>
  <si>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</si>
  <si>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</si>
  <si>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</si>
  <si>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</si>
  <si>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</si>
  <si>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</si>
  <si>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</si>
  <si>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</si>
  <si>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</si>
  <si>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</si>
  <si>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</si>
  <si>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Recommendation no. IT-10253-01</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</si>
  <si>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</si>
  <si>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</si>
  <si>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</si>
  <si>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</si>
  <si>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</si>
  <si>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</si>
  <si>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</si>
  <si>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</si>
  <si>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</si>
  <si>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</si>
  <si>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</si>
  <si>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</si>
  <si>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</si>
  <si>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</si>
  <si>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</si>
  <si>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</si>
  <si>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</si>
  <si>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</si>
  <si>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</si>
  <si>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</si>
  <si>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AIN/06-SR12/2023</t>
  </si>
  <si>
    <t xml:space="preserve">The infrastructure manager should further develop the technological process of the Škrljevo station for the cases of disassembling freight trains with the final destination at the Šoići station. </t>
  </si>
  <si>
    <t>AIN/06-SR-13/2023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</si>
  <si>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</si>
  <si>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</si>
  <si>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</si>
  <si>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</si>
  <si>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</si>
  <si>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no.445-1</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</si>
  <si>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</si>
  <si>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no.446-1</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</si>
  <si>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</si>
  <si>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</si>
  <si>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</si>
  <si>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</si>
  <si>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</si>
  <si>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01/2023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</si>
  <si>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</si>
  <si>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</si>
  <si>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</si>
  <si>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</si>
  <si>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</si>
  <si>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04/2023</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</si>
  <si>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</si>
  <si>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</si>
  <si>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</si>
  <si>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Changes of legislation</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</si>
  <si>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</si>
  <si>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</si>
  <si>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</si>
  <si>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</si>
  <si>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</si>
  <si>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</si>
  <si>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</si>
  <si>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</si>
  <si>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Recommendation A-2023_001 - Train to standstill before reaching the danger point</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</si>
  <si>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</si>
  <si>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Recommendation A-2023_002 - Obligation to inform the locomotive (train) driver</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</si>
  <si>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</si>
  <si>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</si>
  <si>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</si>
  <si>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</si>
  <si>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</si>
  <si>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</si>
  <si>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</si>
  <si>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</si>
  <si>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</si>
  <si>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</si>
  <si>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</si>
  <si>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</si>
  <si>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</si>
  <si>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</si>
  <si>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</si>
  <si>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</si>
  <si>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05/2020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</si>
  <si>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</si>
  <si>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no.449-1</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</si>
  <si>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</si>
  <si>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ECM to strengthen supervision of the process of repairs</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</si>
  <si>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</si>
  <si>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</si>
  <si>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</si>
  <si>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</si>
  <si>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</si>
  <si>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</si>
  <si>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</si>
  <si>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</si>
  <si>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</si>
  <si>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</si>
  <si>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</si>
  <si>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</si>
  <si>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</si>
  <si>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Implement temporary reccommendations issued by NIB during the investigation</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</si>
  <si>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</si>
  <si>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</si>
  <si>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</si>
  <si>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</si>
  <si>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</si>
  <si>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no.448-1</t>
  </si>
  <si>
    <t xml:space="preserve">The investigation revealed that the motor coach no.1416 was in the normal running time and at this type of multiple units provided with metalastic springs there were no more investigations of derailments caused by this type of suspension, from which be learned lessons.
At the carrying bogie of the motorised coach no.1416, the investigation commission identified that the metalastic springs used, there were not stipulated controls, adjustments or replacements during the planned repairs.
Development of advanced wears of the metalastic springs, that can generate derailments, led to the conclusions that the periodical control of these springs may be required, considering that these are safety critical parts.
Considering the findings and conclusions of the investigation above mentioned, for the improvement of railway safety and prevention of similar events, AGIFER issues next safety recommendation:
Safety recommendation no.448/1
Romanian Railway Safety Authority - ASFR shall ask the railway undertaking SNTFC ”CFR Călători” SA to assess the danger represented by the lack, within the technical specifications for the planned inspections, of some provisions for the control and maintenance of metalastic springs from the carrying bogie of the motorised coach, part of the multiple unit type ADH and to establish effective measures for keeping under control the risks generated by it.
</t>
  </si>
  <si>
    <t>Recommendation 1, proposes that SE NRIC and "BDZ-Passenger Services" EOOD familiarize the interested personnel with the contents of the report;</t>
  </si>
  <si>
    <t>BDZ PS EOOD undertakes the replacement of electrolytic capacitors</t>
  </si>
  <si>
    <t>Recommendation 2 proposes that BDZ PS EOOD undertakes the replacement of electrolytic capacitors of the R-C groups with dry type capacitors of locomotive series 44 and 45</t>
  </si>
  <si>
    <t>BDZ PS EOOD installs technical means (thermostats)</t>
  </si>
  <si>
    <t>Recommendation 3 proposes that BDZ PS EOOD installs technical means (thermostats) for temperature control of rectifier groups 020 and 022 of locomotive series 44 and 45</t>
  </si>
  <si>
    <t>BDZ PS EOOD restores the power supply to the electronic unit</t>
  </si>
  <si>
    <t>Recommendation 4 that BDZ PS EOOD restores the power supply to the electronic unit for controlling the auxiliary machines Y2 from its own transformer 222, in accordance with the design schemes of the manufacturing plant for series 44 and 45</t>
  </si>
  <si>
    <t>BDZ PS EOOD organizes and carries out renovation (overhaul)</t>
  </si>
  <si>
    <t>Recommendation 5 proposes that BDZ PS EOOD organizes and carries out renovation (overhaul) of the locomotives of series 44 and 45, which are due for overhaul.</t>
  </si>
  <si>
    <t>DK-2024 R1</t>
  </si>
  <si>
    <t xml:space="preserve">Banedanmark's (Infrastructure manager) approval of the HDD in question was given on the basis of the risk management of the HDD that was described in the document "Sikkerhedspakke LED version 3.0". Banedanmark did in the risk management - and thus in the approval of the HDD, not
• take the co-interfering over all track project Roskilde - Ringsted into consideration as a prerequisite for the risk assessment.
• state the danger of vertical irregularity, as a result of blow-up, as a measurable quantity (quantification) that could be compared directly with the limit values in the regulation BN1-38-6, section 11.3.2, with which sufficient traffic restrictions could be introduced.
• acknowledge that visual monitoring of the tracks in practice did not ensure that track irregularities could be identified and reported in time for traffic restrictions to be implemented, so that the risk caused by track irregularity was mitigated.
DK-2024 R1
AIB Denmark recommends that the Danish Transport Authority ensures that Banedanmark, through risk management of the activity Horizontal Directional Drilling, while taking human factors into account, introduces sufficient and effective proactive and/or reactive barriers to reduce the risk posed by track irregularities to an acceptable level.
</t>
  </si>
  <si>
    <t>Addressed to the Czech National Safety Authority (NSA):
• within the framework of own activity as a national safety authority:
- to adopt of measures to ensure the comply and feasibility of established technological procedures during mutual interaction on a common interface during the operation of sidings with a focus on their mutual compatibility at infrastructure managers and railway undertakings.</t>
  </si>
  <si>
    <t>no.451-1</t>
  </si>
  <si>
    <t xml:space="preserve">Preamble safety recommendation no.451/1
Along the investigation, it was found that the assembling on the track bed of the check rail from the bridge at km 262+858 was unsuitable, both before the accident and after the performance of the repairs after the accident. It was also found that in the railway county Brașov, there are still such situations where the check rails of the bridges did not play their part for which they were assembled.
Safety recommendations no.451/1
Romanian Railway Safety Authority – ASFR shall ask CNCF ”CFR” SA to make an action plan for reducing the risks of improper assembling of the check rails on the bridges from whole managed infrastructure (see the provisions of art.28, point 14 from the Instruction no.314/1989 of norms and tolerances for the track construction and maintenance-lines with normal gauge).
</t>
  </si>
  <si>
    <t>no.451-2</t>
  </si>
  <si>
    <t xml:space="preserve">Preamble of safety recommendation no.451/2
Annex II RIV was replaced by Trends/guides/rules of loading worked out by UIC. Agency for European Railways – ERA considers these norms as being „Acceptable Means of Conformity” that guarantee that the freight loaded on the wagon is secured and rested in a such condition along the journey to the client. These are updated and completed from time to time. 
Safety recommendation no.451/2
Romanian Railway Safety Authority – ASFR shall ask the railway undertaking SNTFM ”CFR Marfă” SA to work out some provisions/ procedures for ensuring permanently that the practice codes used for loading and checking the loading way of the wagons are updated from time to time, in order to ensure that the transport operations are performed in safety conditions.
We underline that, although the safety recommendation aims the activity of railway undertaking SNTFM (it being analysed along the investigation of the railway accident), it is not restricting, it could be extended at other railway undertakings at which ASFR finds similar gaps along the surveillances.
</t>
  </si>
  <si>
    <t>Safety recommendation Rail no 2024/03T</t>
  </si>
  <si>
    <t>On Sunday 12 March 2023 LKAB Malmtrafik AB derailed with an ore train in track 4 at Narvik station at the Ofoten line. The railway is of great importance for the region’s mining industry, for passenger and freight traffic between Norway and Sweden, and is very important from a societal safety and emergency preparedness perspective. In the derailment area, for a long time there had been demanding ground conditions that could be linked to known track faults, that increased the risk of derailment. A major reconstruction project at the station in 2023–2025 was expected to repair the track faults permanently, but the project was halted indefinitely by Bane NOR SF in February 2024.
The Norwegian Safety Investigation Authority recommends that the Norwegian Railway Authority ask Bane NOR SF to assess the safety consequences of stopping work and promoting any compensatory measures.</t>
  </si>
  <si>
    <t>no.450-1</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</si>
  <si>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no.450/1
Along the investigation it was found, as it is mentioned at point 4.d. ”Feedback and control mechanisms......”, that the railway undertaking SNTFC identified and assessed a part of dangers developed in case of this accident. Considering the seriousness of damages resulted from the accident and frequency change, the basic elements on which the risk is established and implicitly the measures for its monitoring are disposed, AGIFER considers timely to issue the next safety recommendation:
Safety recommendation no.450/1
SNTFC re-assessment of the risks associated to the next dangers and taken of some effective measures for keeping them under control: 
- passing by the signals, that command stop;
- delayed application of train brake;
- locomotive crew fatigue or lack of attention;
- non-compliance with the maximum running speeds stipulated by the working timetable, sheets for the notification of speed restrictions or running order, by the locomotive crew.
</t>
  </si>
  <si>
    <t>no.450-2</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</si>
  <si>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no.450/2
Along the investigation, it was found, as it is mentioned at point 4.d. ”Feedback and control mechanisms......”, that the railway undertaking SNTFC did not identify and assess some dangers that developed in case of this accident, because of it AGIFER considers timely to issue the next safety recommendation:
Safety recommendation no.450/2
SNTFC re-assessment of the risks associated to the next dangers and taken of some effective measures for keeping them under control: 
- unjustified/non-instruction pushing of button „Commanded passing the signal in stop position” at the running by the signals ordering stop.
</t>
  </si>
  <si>
    <t>BA2022-1166-5-01</t>
  </si>
  <si>
    <t>The TSB recommends that the competent vehicle maintenance service of BKV Zrt. investigate the possibility of installing a treadplate to protect the engine wiring during maintenance in the tunnel ducts of MillFAV vehicles.</t>
  </si>
  <si>
    <t>BA2022-1166-5-02</t>
  </si>
  <si>
    <t>The TSB recommends that the competent infrastructure management service of BKV Zrt. to consider investigating ways of providing platform guards with a continuous overview of events at the stations under their supervision.</t>
  </si>
  <si>
    <t xml:space="preserve">Safety Recommendation 2024002-01 </t>
  </si>
  <si>
    <t>IÉ-IM CCE to update CCE-TMS-323, to include a more robust guidance for welders, in relation to recognising when there may be issues with the Rail Tensors; and what actions are to be taken when difficulties arise with the Rail Tensors</t>
  </si>
  <si>
    <t xml:space="preserve">Safety Recommendation 2024002-02 </t>
  </si>
  <si>
    <t>IÉ-IM CCE should review the current suite of documents related to welding to ensure consistency across the relevant documents</t>
  </si>
  <si>
    <t xml:space="preserve">Safety Recommendation 2024002-03 </t>
  </si>
  <si>
    <t>IÉ-IM CCE should develop systems for the management and certification of rail stressing equipment (including contractor’s rail stressing equipment), to ensure equipment is regularly serviced and recalibrated at a nominated frequency. These updated requirements should be reflected in the relevant documents</t>
  </si>
  <si>
    <t xml:space="preserve">Safety Recommendation 2024002-04 </t>
  </si>
  <si>
    <t>IÉ-IM CCE should review and update the CWR Record Sheet to include sections for recording the serial number and calibration/ recalibration date of the Rail Tensors being used, the pressure gauge readings and the frequency of these checks on the pressure gauges. On completion, ensure staff are briefed on the changes, and changes should be incorporated into future training programmes for a Person in Charge of Stressing</t>
  </si>
  <si>
    <t xml:space="preserve">Safety Recommendation 2024002-05 </t>
  </si>
  <si>
    <t>IÉ-IM CCE should update CCE-TMS-323 to include guidance for the Person in Charge of Stressing, in relation to actions to be taken when difficulties are encountered with Thermit SoW-5 (including when Thermit SoW-5 can continue, be restarted or must be abandoned; and, who is responsible for this decision, the Person in Charge of Stressing or their Supervisor). On completion of the update, Persons in Charge of Stressing should be briefed and the training programme for the role revised with the new guidance</t>
  </si>
  <si>
    <t>no.453-1</t>
  </si>
  <si>
    <t xml:space="preserve">Considering the causal, contributing and systemic factors identified along the investigation, in order to prevent the  occurrence of some similar accidents/incidents in the future, in accordance with the provisions of article 26, paragraph (2) from the Emergency Government Decision no.73/2019 on railway safety, the investigation commission considers timely to issue the next safety recommendations, addressed to Romanian Railway Safety Authority - ASFR, that, upon its limits of competences, takes the necessary measures in order to ensure that the safety recommendations issued by AGIFER are taken into account and, if case, they are followed. In accordance with the provisions of article 26, paragraph (3) from the Emergency Government Decision no.73/2019 ASFR shall periodically notify AGIFER, at 6 months at least, about the measures taken or planned consequently the recommendations issued.
Preamble of safety recommendation no.453/1
Along the investigation, it was found that the event happened following the fall of a part (buffing gear) from the wagon no.81536653796-8 of freight train no.60566, that was hit afterwards by the locomotive DA 1129, the train banking locomotive. Considering the findings and conclusions of the investigation commission before mentioned, for the improvement of the railway safety and prevention of similar events, AGIFER considers timely to issue the next safety recommendation:
Safety recommendation no.453/1
The railway undertaking SNTFM „CFR Marfă” SA shall assess the risks associated to the danger represented by the fall, during the running, a part of the train wagon and shall dispose effective safety measures for keeping them under control.
</t>
  </si>
  <si>
    <t>BA2022-0682-5-01</t>
  </si>
  <si>
    <t>The TSB recommends MÁV-START Zrt. to modify the maintenance requirements for those wagon types where the main air supply pipe space and the main air reservoir pipe space are not completely independent of each other, in order to detect possible pressure equalisation between these air spaces during the inspections.</t>
  </si>
  <si>
    <t>Safety recommendation Bane nr. 2024/04T</t>
  </si>
  <si>
    <t>On 28 March 2023, an accident with injuries occurred on Bergen light rail´s line 2, when light rail vehicle 228 hit the buffer stop at Fyllingsdalen terminal. The investigation has not demonstrated a clear causal link between the lack of training in the use of the Variobahn light rail vehicles and the specific accident. However, a systemic safety problem has been uncovered in the organization in terms of a mismatch between the scope of the training curriculum and the time available for students learning. This may have contributed to misunderstandings about the vehicles functionality while driving in conditions with low adhesion.
The Norwegian Safety Investigation Authority recommends the Norwegian Railway Authority to ask Tide Buss og Bane AS to evaluate the training system, and if necessary, make changes, to ensure that future students reach the set learning goals.</t>
  </si>
  <si>
    <t>DK-2024 R 2</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</si>
  <si>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identificerer områder, hvor VTG-MI indeholder skærpede krav ift. VPI-EMG, og at VTG gennemfører aktiviteter som sikrer, at VPI certificerede vedligeholdelsesleverandører lever op til kravene i VTG-MI for disse områder.</t>
  </si>
  <si>
    <t>DK-2024 R 3</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</si>
  <si>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gennemfører monitorering af vedligeholdelsesleverancer fra VPI certificerede vedligeholdelsesleverandører, i tilfælde hvor VTG-MI indeholder skærpede krav til udførelse eller tolerancer ift., hvad der er beskrevet i VPI-EMG.</t>
  </si>
  <si>
    <t>Addressed to the Czech National Safety Authority (NSA):
• to ensure that all on-board radio stations uses on the national and regional railways send the confirmation code 1612 and it was possible effectively and provable perform check of success emergency calls in GSM-R network within control activity.</t>
  </si>
  <si>
    <t>BA2022-0048-5-01</t>
  </si>
  <si>
    <t>The TSB recommends that the Deputy State Secretariat for Transport Strategy, Ministry of Transport, as the technical preparatory body for transport legislation, to consider proposing an amendment to Government Decree 203/2009 (IX.18.) on the health requirements and medical evaluation procedure for workers performing railway transport safety-related tasks, so that psychological examinations are included in the periodic medical evaluations of railway vehicle drivers (locomotive drivers) at a specified frequency.</t>
  </si>
  <si>
    <t>BA2022-0960-5-01A</t>
  </si>
  <si>
    <t>The TSB recommends to the Road Department of the Transport, Technical Licensing and Consumer Protection Department of Bács-Kiskun County Government Office that in accordance with the provisions of the Government Decree 382/2016 (XII. 2.) on the designation of the bodies performing official tasks related to traffic administration,  consider ordering the road operator to review the traffic regulations at the level crossings concerned and to make the necessary changes to eliminate the situation that is detrimental or dangerous to traffic safety, pursuant to Section 34(2) of Act I of 1988 on Road Traffic; and  order the felling of trees or other vegetation in the area of the sight triangle of level crossings in accordance with Chapter VIII, point 26.4(d) of the Technical Regulation on Traffic Regulation, issued as an annex to KM Decree 20/1984 (XII. 21.) on the regulation of traffic on roads and the installation of road signs.</t>
  </si>
  <si>
    <t>Enforce the rules of admission of workers</t>
  </si>
  <si>
    <t>PKP PLK S.A. shall enforce the rules of admission of workers with required authorisations and permits to works and supervision.</t>
  </si>
  <si>
    <t>Enforce the rules of admission of outsourced company workers</t>
  </si>
  <si>
    <t>Enforce the rules of admission of outsourced company workers with access cards to perform work on the managed infrastructure.</t>
  </si>
  <si>
    <t xml:space="preserve">Standardise the work of contract managers and supervision inspectors </t>
  </si>
  <si>
    <t>PKP PLK S.A. shall standardise the work of contract managers and supervision inspectors on line investments in terms of the ability to fulfil tasks arising under the provisions of the Construction Law and internal procedures, and shall take appropriate actions based on the said standardisation.</t>
  </si>
  <si>
    <t>Recommendation no. IT-10368-1</t>
  </si>
  <si>
    <t>It's recommended to the National Agency for the Safety of Railways and Road and Highway Infrastructure to ensure that the "Ente Autonomo Volturno", as a Railway Undertaking, has procedures in place that guarantee an adequate level of reliability, traceability and monitoring of the training  and maintenance of the skills of drivers and train managers, and verify their effectiveness.</t>
  </si>
  <si>
    <t>Recommendation no. IT-10368-2</t>
  </si>
  <si>
    <t>It's recommended to the National Agency for the Safety of Railways and Road and Highway Infrastructure to ensure that the "Ente Autonomo Volturno", as Infrastructure Manager, adopt effective procedures to monitor the maintenance status of the works of art, in particular by ensuring in tunnels conditions of practicability and lighting levels suitable for the safe conduct also of activities resulting from degraded infrastructure conditions or the occurrence of emergency online. 
Let the Agency evaluate whether to extend the recommendation to other Infrastructure Managers.</t>
  </si>
  <si>
    <t>Recommendation no. IT-10368-3</t>
  </si>
  <si>
    <t>It's recommended to the National Agency for the Safety of Railways and Road and Highway Infrastructure to ensure that the "Ente Autonomo Volturno", as a Railway Undertaking, prepares, if not already done and compatibly with the available resources, a programme of technological adaptation or replacement of rolling stock in use in order to increase operational safety standards.</t>
  </si>
  <si>
    <t>Recommendation no. IT-10368-4</t>
  </si>
  <si>
    <t>It's recommended to the National Agency for the Safety of Railways and Road and Highway Infrastructure to ensure that the "Ente Autonomo Volturno" quickly guarantees coverage of the GSM-R mobile phone signal within the tunnels of the Vesuvian lines.
Let the Agency evaluate whether to extend the recommendation to other Infrastructure Managers.</t>
  </si>
  <si>
    <t>Recommendation no. IT-10368-5*</t>
  </si>
  <si>
    <t>It's recommended to the National Agency for Safety of Railways and Road and Highway Infrastructure to ensure that the Railway Undertaking and Infrastructure Manager "Ente Autonomo Volturno" proceed quickly to a reworking of its regulations inspired by the principles of clarity, precision, uniformity, simplicity and completeness.*
[*The text corresponds to that of Recommendation no. IT-10335-03 issued at the end of the final investigation report on the derailment of train no. 4132 of EAV at the Pompei Santuario station, which occurred on 07/11/2022]</t>
  </si>
  <si>
    <t>Recommendation no. IT-10368-6</t>
  </si>
  <si>
    <t>It's recommended to the National Agency for the Safety of Railways and Road and Highway Infrastructure to ensure that the "Ente Autonomo Volturno", evaluate the possibility and feasibility of equipping the Vesuvian lines of SCMT (Sistema Controllo Marcia Treno) in order to increase the operating safety standards guaranteed by the current ATP (Automatic Train Protection) system.</t>
  </si>
  <si>
    <t>no.454-1</t>
  </si>
  <si>
    <t xml:space="preserve">Preamble of safety recommendation no.454/1
During the investigation it was found, as it is mentioned at point ”4.d. Feedback and control mechanisms, including the management of risks and safety, as well as the monitoring processes”, that the railway infrastructure manager SC RC-CF Trans SRL Brașov identified and assessed the dangers developed in case of this accident, because of it AGIFER considers timely to issue the next safety recommendation:
Safety recommendation no.454/1
Re-assessment by the railway infrastructure manager SC RC-CF Trans SRL Brașov the risks associated and the establishment of some effective measures for keeping under control the next dangers: 
- non-provision with the material and human resources, necessary for the performance of railway infrastructure maintenance;
- exceeding of maximum value accepted for the track gauges;
- keeping within the track the improper wooden sleepers. 
</t>
  </si>
  <si>
    <t>11/2023-1: study procedure for gauge change in degraded conditions</t>
  </si>
  <si>
    <t>To study the operation of gauge change in degraded situations, in order that the risks derived from such a move are evaluated, especially when it is necessary to travel at a speed of more than 5 km/h. To establish procedures to mitigate these risks and include them in the corresponding documents.
Addressee: AESF (NSA Spain)
Final implementers: CAF (RS manufacturer), Renfe (RU)</t>
  </si>
  <si>
    <t>11/2023-2: update driving manual of involved RS</t>
  </si>
  <si>
    <t>To update the Driving Manual of the train S 120.050 series and similar, in order that the steps to be followed in gauge change procedures are accurately and in detail reflected, especially in degraded situations, as well as the assumptions in which pantographs should be cancelled.
Addressee: AESF (NSA Spain)
Final implementers: CAF (RS manufacturer), Renfe (RU)</t>
  </si>
  <si>
    <t>11/2023-3: additional checking of pantographs after gauge change in degraded conditions</t>
  </si>
  <si>
    <t>To establish additional procedures for checking the pantograph area when, due to any reason, a gauge change has been carried out in a degraded situation. In this procedure, communication of such an event by the actors involved in the gauge change move must be considered.
Addressee: AESF (NSA Spain)
Final implementers: Actren (ECM), Renfe (RU)</t>
  </si>
  <si>
    <t>11/2023-4: fault detection mechanisms in lightning rods</t>
  </si>
  <si>
    <t>To study the possibility of establishing fault detection mechanisms in lightning rods, as well as advancing the improvement of diagnostic tools like Lead Mind.
Addressee: AESF (NSA Spain)
Final implementers: Actren (ECM), CAF (RS manufacturer)</t>
  </si>
  <si>
    <t>11/2023-5: limit reattachments when successive and repeated power cuts occur</t>
  </si>
  <si>
    <t>To establish procedures that limit reattachments by telecontrol centres in situations where successive and repeated power cuts occur.
Addressee: AESF (NSA Spain)
Final implementers: Adif (IM)</t>
  </si>
  <si>
    <t>11/2023-6: real-time information on traffic for power telecontrol centres</t>
  </si>
  <si>
    <t>To study the possibility for telecontrol centres staff to have real-time information about existing traffic in a track section.
Addressee: AESF (NSA Spain)
Final implementers: Adif (IM)</t>
  </si>
  <si>
    <t>11/2023-7: distinction between high consumption and non-frank short circuits</t>
  </si>
  <si>
    <t>To promote a study to analyse the possibility of implementing technical measures in substations to allow to discriminate between high consumption and non-frank short circuits.
Addressee: AESF (NSA Spain)
Final implementers: Adif (IM)</t>
  </si>
  <si>
    <t>no.455-1</t>
  </si>
  <si>
    <t xml:space="preserve">Preamble safety recommendation no.455/1
During the investigation there was found that the railway undertaking SC United Railways SRL identified and assessed the risks associated to the dangers mentioned into chapter „4.d. Mechanisms of feedback and control, including the management of risks and safety, as well as monitoring processes”, but it did not take measures for keeping them under control.
Safety recommendation no.455/1
The railway freight undertaking SC United Railways SRL shall re-assess the risks associated and establish effective measures for keeping under control the next dangers: 
- exceeding of the maximum duty accepted for the locomotive;
- fatigue generated by the exceeding of the maximum duty accepted for the locomotive;
- passing in stop position the signals/indicators that are on stop position;
- performance the duty under the influence of alcohol, narcotics, drugs and/or substances that can reduce the working capacity;
- not-tracking and non-compliance with the positions of fixed and mobile signals and of the indicators that display stop for the driver;
- non-compliance with the maximum speeds accepted.
</t>
  </si>
  <si>
    <t>no.455-2</t>
  </si>
  <si>
    <t xml:space="preserve">Preamble of safety recommendation no.455/2
During the investigation, there was found that the railway undertaking SC United Railways SRL did not identify and implicitly assess the risks associated to the dangers mentioned into chapter„4.d. Mechanisms of feedback and control, including the management of risks and safety, as well as monitoring processes”.
Safety recommendation no.455/2
The railway freight undertaking SC United Railways SRL shall assess the risks associated and establish effective measures for keeping under control the next dangers: 
- not-taking of braking measures by the locomotives crew in accordance with the situation imposed by the regulations in force;
- non-instructional operation of the safety and vigilance installations, as well as of the installations for the automatic control of trains speed, providing the locomotive;
missing of the train manager into the driving cab of the locomotive DA1692, during the trains running, in accordance with the regulations in force.
</t>
  </si>
  <si>
    <t>Aan de staatssecretaris van Infrastructuur en Waterstaat
1. Zorg ervoor dat in het opdrachtgeverschap aan ProRail als infrastructuurbeheerder 
naast beschikbaarheid en veilige berijdbaarheid ook andere waarden, zoals veilig 
werken en veilig rijden langs werkzaamheden, worden belegd. Neem daarnaast de 
barrières voor ProRail weg om enerzijds innovaties ten aanzien van veilig werken aan 
het spoor in de sector te ontwikkelen en door te voeren en anderzijds een voor_x0002_ziening te creëren voor het registreren, analyseren en delen van informatie over 
(bijna-)ongevallen (zie aanbeveling 2)</t>
  </si>
  <si>
    <t>Aan ProRail
2. Zet een voorziening op waarin informatie over (bijna-)ongevallen op het spoor wordt 
geregistreerd en benut. Verplicht alle bij het spoor betrokken partijen, inclusief 
spoorwegondernemingen, om hun incidenten toe te voegen. Richt deze op het 
brede veiligheidsdomein (dus inclusief arbeidsveiligheid en spoorwegveiligheid). 
Zorg ervoor dat alle relevante partijen gezamenlijk leren van (bijna-)ongevallen en 
lessen breed met elkaar delen.</t>
  </si>
  <si>
    <t>Aan ProRail
3. Benut de op te richten voorziening (zie aanbeveling 2) om op basis van risicoanalyses 
gericht te werken aan veiligheid. Houd zelf regie op de veiligheid van werkzaam_x0002_heden en rijden van spoorverkeer in alle fases van de onderhoudswerkzaamheden, 
van strategie en innovatie tot uitvoering. Gebruik naast het stellen van regels vooral 
het vakmanschap in de sector om situationele afwegingen te maken.</t>
  </si>
  <si>
    <t>Aan ProRail
4. Bevorder de veiligheid van werkenden aan het spoor. Als het niet lukt om alle sporen 
buiten dienst te nemen, zorg dan in ieder geval voor het volgende:
a. een robuuste (fysieke) afscherming van de werkplek.
b. een werklocatie die veilig bereikbaar is. Stop met het gebruik van 
eilandbuitendienststellingen en tijdelijke oversteekperiodes naar werklocaties en 
railinzetplaatsen.
c. een voorziening zodat werkenden aan het spoor ter plaatse kunnen zien of 
sporen al dan niet buiten dienst zijn. Introduceer hiertoe hulpmiddelen 
aanvullend aan de mondelinge communicatie. 
d. mondelinge veiligheidscommunicatie die wordt vastgelegd ter bevordering van 
het leren van (bijna-)ongevallen.</t>
  </si>
  <si>
    <t>Aan ProRail
5. Dring de negatieve gevolgen van nachtarbeid en overmatig werken voor veiligheid 
en gezondheid terug zonder dat dit leidt tot een toename van veiligheidsrisico’s. Zie 
erop toe dat railAlert en de onderhoudsaannemers maatregelen nemen om de 
risico’s van nachtwerken te verminderen. Zorg er daarbij voor dat bij werkzaamheden 
aan het spoor de arbeidstijden van zzp’ers minimaal voldoen aan de 
Arbeidstijdenwet</t>
  </si>
  <si>
    <t>BA2022-1184-5-01</t>
  </si>
  <si>
    <t>TSB recommends that MÁV Zrt. develop and implement an enforceable concept for the elimination of substructure defects on its network.</t>
  </si>
  <si>
    <t>A-2024/002</t>
  </si>
  <si>
    <t>The operator should check whether it makes sense and is technically feasible to install signal-based velocity test &amp; control equipment for points no. 2 and no. 1 at Münchendorf station (but not for the upstream main signals) or whether there are alternative solutions serving the same purpose. If so, such velocity test &amp; control equipment (or alternative solution) should be implemented. The underlying rules and standards should be amended to provide a basis for these implementations.
Reason:
As the incident under investigation revealed, the presence of an operative “intermittent automatic train control system” (IATC) failed to prevent a very severe derailment because there was still a possibility of accelerating the train after the 1000 Hz speed monitoring section across about 1,200 m length of track without any technical means of monitoring. While implementing the recommended measure may not completely rule out the possibility of trains passing the point section at excessive speed, the train might still be slow enough to massively reduce the chances of derailment.
The efforts of installing velocity test &amp; control equipment and possibly amending the rules and standards would seem justifiable in relation to the increased level of safety not only at Münchendorf station but later also of the entire railway network.</t>
  </si>
  <si>
    <t>A-2024/003</t>
  </si>
  <si>
    <t>The operator should revise the rules of standardised communication between the signalling control centre and the train drivers, which are currently part of the SOP on deviation management but not considered a piece of safety-related literature by the infrastructure operator. The revised version should focus more on the safety-related aspects of communication by integrating such safety-related aspects in the objectives defined for all standardised communications and by having training courses put more weight on how important excellent communication is when it comes to avoiding accidents.
Reason:
As the incident under investigation revealed, the signalling control centre and the train driver did not communicate despite the diversion (change of track), although the SOP of deviation management contains a provision to that effect. In the course of its safety investigation, the SUB discovered that this provision is not duly considered as safety-related and is therefore not consistently observed, not least since deviation management is not primarily safety-oriented. The operating manual does not make communication a mandatory obligation when changing the entry or exit route. Had the train driver been aware of the oncoming track change, he/she might not have expected exit signal “H1” to show “Free”.
Since it will only take organisational measures to put this safety recommendation into practice, the efforts seem justifiable in relation to the increased level of safety.</t>
  </si>
  <si>
    <t>A-2024/004</t>
  </si>
  <si>
    <t>Station planners are recommended to focus on future infrastructural designs in order to prevent situations like that of the incident under investigation. Such focus predominantly refers to the fact that, to obey the regular speed limit along local point sections, a train may have to slow down excessively from the maximum on-route speed (i.e. by 100 km/h in this case) plus to the fact that the train is under IATC control for a long part of the track (more than 1,200 m) but not monitored by technical means, such that it can enter the switch section at massively excessive speed.
It would make sense to change the relation between the main track and the point such that the maximum speed on the main track does not have to be drastically reduced when switching to the diversion and back to the straight track.
Reason:
There is no rule as to how points are to reflect the relation of top speeds along the main and the diversion tracks. An adequate relation of speeds on the main track and the switch to the diversion track might prevent excessive speed reduction (by 100 km/h in this case).
Since it will primarily take organisational measures to put this safety recommendation into practice, the efforts seem justifiable in relation to the increased level of safety. Installing a point supporting, say, 100 km/h instead of the 60 km/h as in this case will increase the costs of installation by about 58%. On the other hand, a higher-quality point will reduce the probability of derailment caused by excessive speed. The SUB therefore thinks that higher costs of installation are justified.</t>
  </si>
  <si>
    <t>A-2024/005</t>
  </si>
  <si>
    <t>We recommend preparing measures that will allow the traffic managers on duty to recognise red lights earlier as this will be a preventive means against the future risks of recognising a red light too late, “red light” referring to track sections equipped with axle counters that will retain the red light even after the train has passed.
Reason:
As the investigation revealed, the red light that occurred in the incident was not recognised immediately, which proved to be a causal factor of the accident.
The scope of the traffic managers’ responsibilities at the signalling control centres has grown too much to be able to continuously supervise the entire scope. Therefore, we may not expect a red light to be recognised immediately, unless it is supported by an acoustic or optical signal.
The efforts of putting this safety recommendation into practice seem justifiable in relation to the increased level of safety.</t>
  </si>
  <si>
    <t>no. 456-1</t>
  </si>
  <si>
    <t xml:space="preserve">Preamble of safety recommendations no.456/1
Along the investigation it was found that SC Grup Feroviar Român SA performed a non-elaborated identification of risks associated to the railway operations for the risk category „railway transport”. The investigation commission considers necessary to issue the next safety recommendation:
Safety recommendation no.456/1
Re-assessment by SC Grup Feroviar Român SA the risks associated to its own railway operations and the establishment of effective measures for keeping under control the dangers ”inobservance of the provisions for the maximum accepted continuous duty for the locomotive”, ”wrong understanding by the driver of the positions of the fixed and mobile signals that are on STOP” and „fatigue/low attention following the exceeding by the driver of the maximum accepted continuous duty for the locomotive”.
</t>
  </si>
  <si>
    <t>no. 456-2</t>
  </si>
  <si>
    <t xml:space="preserve">Preamble of safety recommendation no.456/2
During the investigation, there were found some deficiencies in the activity of SC Grup Feroviar Român SA, regarding:
 monitoring of maximum accepted continuous duty;
 lessons learn from the accidents and incidents, respectively drafting of investigation reports following the incidents consisting in exceeding of maximum accepted continuous duty;
 monitoring of the activity doing train mannings by traction instructors.
Safety recommendation no.456/2
Re-assessment by SC Grup Feroviar Român SA of the mentioned activities and taking of measures considered necessary in order to improve the activity. 
</t>
  </si>
  <si>
    <t>no. 456-3</t>
  </si>
  <si>
    <t xml:space="preserve">Preamble of safety recommendation no.456/3
Along the investigation, there were found some deficiencies in the activity of CNCF „CFR” SA – railway county Brașov, regarding:
 monitoring of the activity of the movements inspectors from the railway stations provided with electronic signal box;
 identification of the risks associated to the own railway operations for the activity „Management of railway traffic”, regarding the lack of notification about an accident or incident.
Safety recommendation no.456/3
Re-assessment by CNCF „CFR” SA of the mentioned activities mentioned and of the identification of the associated them.
</t>
  </si>
  <si>
    <t>Addressed to the Czech Ministry of Transport in cooperation with Czech National Safety
Authority (NSA) to specify by contents of legal regulation:
• minimum range and way of perform familiarization with line conditions at railway lines and stations where train driver will be drive rolling stocks, e.g. determination of minimum numbers of travel on specified railway line or its part both directions during the day and at night;
• requirements on records and archiving documentations which prove real execution component parts of familiarization with line conditions at railway lines and stations where train driver will be drive rolling stocks,
So that was completely satisfy of requirement certainty, including legal assurance, and recipients this legal duty it was not hamper in practice in its consistent application for application duty from Article 35(1) of Decree No 173/1995 Coll., so that train drivers were demonstrably familiarization with line conditions at railway lines and stations where train drivers will be drive rolling stocks.</t>
  </si>
  <si>
    <t>Train to standstill before reaching the danger point</t>
  </si>
  <si>
    <t xml:space="preserve">It is recommended that the organisations con-cerned be asked review current practice with regard to driver replacement and to adapt the provisions in their SMS and their regulations in accordance with the result of the review. 
The present study has shown that a review of current practice, particularly with regard to the time set for the driver transfer, as well as any adjustments to the regulations can make a con-tribution to safety in rail traffic. From a safety point of view, it is essential that practice and regulations are consistent. The implementation of the measure is purely organizational, so that the effort is proportionate to the benefits of increasing security.
</t>
  </si>
  <si>
    <t>Addressed to the Municipal Authority of Znojmo as the Road Administration Office in the
field of roads III. class:
• to add traffic signing on the road III. class No. 3975 , which attentions drivers who turns left about ride to the level crossing No. P7118, i.e. put here at least vertical traffic signing A 31c „Signal board (80 m)” and A29 „Level crossing with barriers” in accordance with the technical conditions of TP 169 Principles for marking traffic situations on roads and TP 65 Principles for road markings on roads.</t>
  </si>
  <si>
    <t>AIN/06-SR-01/2024</t>
  </si>
  <si>
    <t>The railway undertaking, RCCC, during the practical training of train drivers, should pay more attention to the part about braking procedures, ensuring against self-starting of trains and performing braking tests, especially on tracks with greater slopes in order to avoid in the future similar incidents.</t>
  </si>
  <si>
    <t>Upgrading of technological safety systems</t>
  </si>
  <si>
    <t>The Finnish Transport Infrastructure Agency and Fintraffic Railway Ltd join forces to improve the safety of reversing and other degraded operations by putting into place an array of technological systems to safeguard against an accident in the event of human error. [2024-S27]</t>
  </si>
  <si>
    <t>Updating of the guidelines for reversing and the associated checklist</t>
  </si>
  <si>
    <t>The Finnish Transport Infrastructure Agency update the sections of the Rail Transport and Shunting Safety Guidelines that deal with reversing and standardised communications so that trains can only be reversed into locations that the train driver is able to see from the cab. The existing checklist for the safe coordination and execution of reversing manoeuvres should also be updated and incorporated into the Finnish Transport Infrastructure Agency’s rail transport operation guidelines.  [2024-S28]</t>
  </si>
  <si>
    <t>Improving of the Finnish Transport Infrastructure Agency’s guidance drafting procedures</t>
  </si>
  <si>
    <t>The Finnish Transport Infrastructure Agency improve its guidance drafting procedures so as to better recognise the effect of guidelines on safety and to systematically analyse and document the risks involved in introducing new guidelines also in respect of rail transport operation. [2024-S29]</t>
  </si>
  <si>
    <t>Managing and improving of railway safety across the whole system</t>
  </si>
  <si>
    <t>The Finnish Transport and Communications Agency ensure not only compliance with the applicable rail transport operation guidelines but also the effectiveness of operators’ self-monitoring procedures in practice. The Finnish Transport and Communications Agency should also take a more active role in managing and improving railway safety across the whole system. [2024-S30]</t>
  </si>
  <si>
    <t>Familiarize the interested personnel with the content of this report</t>
  </si>
  <si>
    <t>With recommendation 1, it is proposed that SE NRIC and CTVB JSC familiarize the interested personnel with the content of this report</t>
  </si>
  <si>
    <t>SE NRIC's occupational safety and health authorities to undertake systematic inspections</t>
  </si>
  <si>
    <t>With recommendation 2, it is proposed to the SE NRIC that the occupational safety and health authorities undertake systematic inspections regarding the quality of the types of briefings conducted (including daily ones) by direct supervisors and the entries in the briefing books;</t>
  </si>
  <si>
    <t>SE NRIC's occupational safety and health authorities to organize and conduct trainings</t>
  </si>
  <si>
    <t>With recommendation 3, it is proposed to the SE NRIC that the occupational safety and health authorities organize and conduct trainings for the direct supervisors conducting the types of staff briefings in the railway sections, paying attention to the risk assessment and accompanying hazards in the types of works on the rail track</t>
  </si>
  <si>
    <t xml:space="preserve">SE NRIC to conduct systematically trainings </t>
  </si>
  <si>
    <t>With recommendation 4, it is proposed that SE NRIC systematically conduct trainings for personnel working with mechanized equipment and machines for which legal capacity is required</t>
  </si>
  <si>
    <t>CTVB JSC to supplement the texts regarding safety and control over the implementation of the provisions</t>
  </si>
  <si>
    <t>With recommendation 5, it is proposed that CTVB JSC supplement the texts regarding safety and control over the implementation of the provisions in the "Instructions for the work of locomotive drivers and assistant drivers when performing train and shunting activities" and in "Management of "Movement" of " Cargo Trans Wagon Bulgaria JSC, part of the Safety Management System</t>
  </si>
  <si>
    <t>CTVB JSC correct and supplement the texts in the book for daily instruction</t>
  </si>
  <si>
    <t>With recommendation 6, it is proposed that CTVB JSC correct and supplement the texts in the book for daily instruction regarding the safety of shunting trains in the interstation IP 4 - Iliyantsi</t>
  </si>
  <si>
    <t>Addressed to the Czech National Safety Authority (NSA):
• to adopt own measure that will ensure effective and consistent control activity over the fulfillment and observance of obligations determine to individual employees, especially in connection with ensuring the safety and health protection of employees in an operated traffic route at infrastructure manager SŽ and other infrastructure managers of national and regional railways.</t>
  </si>
  <si>
    <t>43/2023-1: availability and validation of data prior to software generation</t>
  </si>
  <si>
    <t>To implement tools to ensure the availability of operating data prior to software generation and, in the case of setting hypotheses, to design methods to monitor and validate them.
Addressee: AESF (NSA Spain)
Final implementer: Alstom (software developer)</t>
  </si>
  <si>
    <t>43/2023-2: double-checking of test campaigns</t>
  </si>
  <si>
    <t>To establish double-checking procedures by the Safety team on the test campaigns designed by V&amp;V, and especially on the errors detected by the former ones, in order to confirm their management and solution.
Addressee: AESF (NSA Spain)
Final implementer: Alstom (software developer)</t>
  </si>
  <si>
    <t>43/2023-3: specific tools for analysing boundaries</t>
  </si>
  <si>
    <t>To include in Alstom's procedures specific tools that analyse existing and new boundaries to be created, as well as their scope and, if applicable, the necessary tests for their correct implementation.
Addressee: AESF (NSA Spain)
Final implementer: Alstom (software developer)</t>
  </si>
  <si>
    <t>43/2023-4: specific tools for analysing boundaries (IM)</t>
  </si>
  <si>
    <t>To include in ADIF's SMS specific tools to analyse existing and new boundaries, as well as their scope and, if applicable, the necessary tests for their correct implementation.
Addressee: AESF (NSA Spain)
Final implementer: Adif (IM)</t>
  </si>
  <si>
    <t>43/2023-5: improve performance and registration of factory test protocols</t>
  </si>
  <si>
    <t>To develop technological tools that allow greater agility both in the registration and in the performance of the tests detailed in IT-205-002-001 "Performance of Factory Tests", as well as the improvement of these protocols, to ensure strict compliance with them.
Addressee: AESF (NSA Spain)
Final implementer: Adif (IM)</t>
  </si>
  <si>
    <t>Recommendation to IM</t>
  </si>
  <si>
    <t>Due to previous high wear, maintenance and damage outcome in switch 106, follow up on wear, maintenance and other relevant indications to proactively identify any deficiencies in order to ensure safe operation of the new switch. In the event of any ambiguities regarding inspection and maintenance, A-Train should contact the manufacturer for an assessment of whether and, if so, how instructions and routines can be improved.</t>
  </si>
  <si>
    <t>Recommendation to manufacturer</t>
  </si>
  <si>
    <t>Investigate whether welding joints in newly manufactured drive connection plates should be dimensioned for dynamic loads in order to minimize the risk of fatigue cracks and breakage.</t>
  </si>
  <si>
    <t>Follow up on rules and procedures to ensure that welding works meet requirements and standards.</t>
  </si>
  <si>
    <t>Recommendation to the Swedish Transport Administration</t>
  </si>
  <si>
    <t>Examine drive connection plates with volumetric testing in order to ensure that the welding joints meet set requirements and to detect any hidden defects in load-bearing weldings.</t>
  </si>
  <si>
    <t>Review governing documents in order to ensure that welding joints in drive connection plates at movable crossings in the Swedish Transport Administration's infrastructure are inspected to the required extent to minimize the risks of fatigue cracks and breakage.</t>
  </si>
  <si>
    <t>In consultation with SOS Alarm Sverige AB, work out a way to quickly position a railway accident. The work should focus on the ability of the Swedish Transport Administration to, in connection with the first information about the accident, develop and convey a position to which SOS Alarm and rescue resources can relate.</t>
  </si>
  <si>
    <t>01/24</t>
  </si>
  <si>
    <t>Es wird empfohlen, zur Reduzierung der in Verordnung (EU) 2018/762 Anhang II Punkt 4.6.1 b) genannten Risiken aus menschlichen Fehlhandlungen, in elektromechanischen Stellwerken mindestens die Weichen in Hauptgleisen mit einer Weichenhebelsperre auszurüsten.</t>
  </si>
  <si>
    <t>Addressed to the Czech National Safety Authority (NSA):
• to ensure that all infrastructure managers of national and regional railways adjust the technological procedures related to the adoption of measures in the event of a worsened weather situation, so that the station dispatcher has the obligation to consult the weather situation and the possible adoption of measures minimum with the station dispatcher in the nearest other operating point, where it is possible to issue the relevant order, and it was so ensured that measures for the movement of rolling stocks through the track section in both directions will be uniform and on the basis of all available information relevant for the entire section.</t>
  </si>
  <si>
    <t>AIN/06-SR-02/2024</t>
  </si>
  <si>
    <t>The infrastructure manager, HŽI, should improve its own safety management system by increasing the estimated hourly rate in the implementation plans of regular training on the subject of prescribed processes when performing works on technical infrastructure subsystems and regulating traffic.</t>
  </si>
  <si>
    <t>Addressed to the Czech National Safety Authority (NSA):
• as part of own activity as a National Safety Authority, to adopt measures that will ensure at the IM Správa železnic, státní organizace:
◦ to complex revision, addition and appropriate modification of technological procedures related to automatic warning system, which are of unquestionable safety importance (for example in the area of running at sight etc.);
◦ to adjust the position of the main (departure) signal devices L2, L4, L6, L8 and L10 of Dluhonice overtaking station, which are located on the signal bridge, by moving them to the right in relation  to the axis of the station track (from the point of view of the movement of rolling stocks to Brodek u Přerova station) after assessing all relevant possibillities and circumstances.</t>
  </si>
  <si>
    <t>no.457-1</t>
  </si>
  <si>
    <t xml:space="preserve">Preamble of recommendation no.457/1
During the investigation one found out the existence of an old crack at the intermediary centre axle broken, that crack could not have been identified at the visual inspection stipulated to be done within the current repairs at the track vehicle. Also, from the checking of the documentation for the track vehicle maintenance resulted that, it does not stipulate non-destructive controls at the safety critical parts of the track vehicle, as it is in the case of intermediary centre axles. 
Safety recommendation no.457/1
CNCF ”CFR” SA shall revise the documentation for the maintenance of the track vehicle Colmar, that is to introduce some provisions that impose the periodic performance of ultrasonic non-destructive controls (CUS) at the intermediary centre axles (planet ones).
</t>
  </si>
  <si>
    <t>no.457-2</t>
  </si>
  <si>
    <t xml:space="preserve">Preamble of recommendation no.457/2
During the investigation one found that, into the actions for the risks management, CNCF ”CFR” SA did not identify and assess the risks generated by the failure in operation of the safety critical parts from the track vehicles used for the line maintenance, as it is the case of the intermediary centre axle (planet ones).
Safety recommendation no.457/2
CNCF ”CFR” SA shall assess the risks associated to the dangers generated by the identification in operation the safety critical parts at the track vehicles used for the line maintenance.
</t>
  </si>
  <si>
    <t>no.459-1</t>
  </si>
  <si>
    <t xml:space="preserve">Preamble of safety recommendation no.459/1
During the investigation, one found that the derailment was caused by the improper technical condition of the track superstructure, following the lack of schedule and repairs performance. The investigation commission considers necessary to issue the next safety recommendation:
Safety recommendation no.459/1
SC Liberty Steel Galați SA, like owner, together with SC Euroconstruct SA, like ”economic agent authorized by Romanian Railway Authority-AFER”, provider of ”line maintenance and repairs”, shall take all the necessary measures in order to assure safety and security conditions for performance transports on the lines and switches got.
</t>
  </si>
  <si>
    <t>no.459-2</t>
  </si>
  <si>
    <t xml:space="preserve">Preamble of safety recommendation no.459/2
During the investigation, one found that the owner of the industrial branch SC Liberty SA Galați did not work out and submit, for signing, to the infrastructure administrator CNCF, the contract for the operation of the industrial branch (although the legislation in force stipulates it).
Safety recommendation no.459/2
The owner of the industrial branch SC Liberty SA Galați shall take the measures for working out and submitting, for signing, to CNCF the contract for operation the industrial branch.
</t>
  </si>
  <si>
    <t>DK-2024 R 4 af 13-08-2024.</t>
  </si>
  <si>
    <t>Ved kørsel på cykel fra Tueager kan oversigtsforholdene, kombineret med bl.a. forskydningsbommenes fysiske opbygning, risikere at medføre, at en cyklist først umiddelbart inden passage af sporet bliver opmærksom på et evt. kommende letbanetog. Endvidere har overgangen ved Tueager været overrepræsenteret vedrørende ulykker eller hændelser ift. sammenlignelige overgange på Aarhus Letbanes infrastruktur. 
When cycling from Tueager, the overview conditions, combined with i.e. the physical structure of
the half barriers, risk causing a cyclist to only become aware of a possible upcoming light rail
shortly before entering the level crossing. Furthermore, the level crossing at Tueager has been
overrepresented in terms of accidents or incidents compared to comparable level crossings on
Aarhus Light Rail's infrastructure.
DK-2024 R 4 of 13-08-2024.
The Accident Investigation Board recommends that the Danish Transport Agency ensures that
Aarhus Light Rail carries out a risk assessment of whether the safety conditions for cyclists coming
from Tueager are sufficient in relation to the actual use of the crossing.</t>
  </si>
  <si>
    <t>The Investigation Unit recommends the NSA to ensure that the Infrastructure Manager takes the necessary steps to make sure that the quality and clarity of the information provided in case of emergency limits the risk of misunderstanding.</t>
  </si>
  <si>
    <t>Recommendation Nr. 2</t>
  </si>
  <si>
    <t>The Investigation Unit recommends the NSA to ensure that the Infrastructure Manager takes the necessary steps to make sure that the monitoring of vegetation in the vicinity of tracks complies with legal and regulatory requirements.</t>
  </si>
  <si>
    <t>Recommendation Nr. 3</t>
  </si>
  <si>
    <t>The Investigation Unit recommends that the professional federations representing tree trimmers and other park and garden maintenance professionals make sure that the risks associated with the presence of railway infrastructure elements in the vicinity of trees on which their members have to work are known, and that their members are informed of these risks and the necessary contacts.</t>
  </si>
  <si>
    <t>Recommendation no. IT-10351-1</t>
  </si>
  <si>
    <t>It's recommended to the National Agency for the Safety of Railways and Road and Highway Infrastructure to ensure that the Infrastructure Manager "Ferrovienord" considers the possibility of reviewing the structure of the paper form used to fill in the "Visit Report to the track on walk" (e.g. carried out every six months), entering differentiated time intervals (e.g. bimonthly or quarterly) within which to take action, to be evaluated according to the criticality detected by the operator, in addition to the currently available option, "action to be planned", which does not provide any indication about it. Within such differentiated time intervals, defined case by case, the Infrastructure Manager will identify and take any mitigation measures, e.g. managerial and/or infrastructural, to ensure the traffic safety.</t>
  </si>
  <si>
    <t>Recommendation no. IT-10351-2</t>
  </si>
  <si>
    <t>It's recommended to the National Agency for the Safety of Railways and Road and Highway Infrastructure to ensure that the Infrastructure Manager "Ferrovienord" monitors and verifies the completeness of the information, inserted by the person in charge, in the form used for the "Visit Report to the track on walk" regarding any Actions, Work orders or notices to be issued to follow up on critical issues identified by operators.
Consider extending the recommendation to other types of inspection and/or maintenance, including possible different reporting modalities.</t>
  </si>
  <si>
    <t>Recommendation no. IT-10351-3</t>
  </si>
  <si>
    <t>It's recommended to the National Agency for the Safety of Railways and Road and Highway Infrastructure to ensure that the Infrastructure Manager "Ferrovienord" considers the possibility of organising and carrying out the inspections of the track on walk by an operator using computer tools rather than filling in paper forms.
For example, the use of web applications via tablets or other portable devices would allow geolocation information with a higher level of detail and add, where necessary, multimedia objects such as images or videos related to the situation encountered that would allow the person in charge to acquire a greater awareness about the status of the intervention to be performed by better defining of the scheduling time.
The Agency should consider whether to extend the recommendation to other Infrastructure Managers.</t>
  </si>
  <si>
    <t>no.460-1</t>
  </si>
  <si>
    <t xml:space="preserve">Preamble Safety Recommendation 460/1
The investigation commission found that Regio Călători's SMS procedures lacked explicit provisions transferring to its own staff both responsibilities for records management and responsibilities for verifying the conditions to be fulfilled by the diesel multiple unit for authorization/certification/approval "from design to disposal". It also emerged in the course of the investigation that Regio Călători did not keep records and did not manage the information according to which the design of the 24V power supply system had been carried out by a firm which had not followed the technical approval procedures laid down in the regulations in force.
Safety recommendation 460/1
The railway undertaking SC Regio Călători SRL to assess the dangers posed by the lack of records management and failure to carry out the prescribed authorizations/ certifications/ approvals for diesel multiple units ”from design to disposal”.
</t>
  </si>
  <si>
    <t>no.460-2</t>
  </si>
  <si>
    <t xml:space="preserve">Preamble safety recommendation 460/2
During the investigation it emerged that the owner Regio Călători had taken over the mileage norms that were adopted by the former owner REGIOTRANS, without a risk analysis being carried out on compliance with the requirements of NF 67-006:2011 on the compatibility between the interval between planned repairs and the level of reliability of the rail vehicle, given that the Poyaud engine was replaced by a Tedom engine which also required a new type of electrical installations.
Safety recommendation 460/2
The railway undertaking SC Regio Călători SRL to carry out a risk analysis on the compatibility between the planned repair interval and the reliability level of the diesel multiple unit AMX 525.
</t>
  </si>
  <si>
    <t>DK-2024 R 5 af d. 05-09-2024</t>
  </si>
  <si>
    <t>Havarikommissionen anbefaler, at Trafikstyrelsen sikrer, at Banedanmark indfører tiltag, som sikrer at reglerne om kortvarige sporspærringer indeholder de begrænsende faktorer, som blev kommunikeret i SR-information EKSTRA nr. 4 af december 2011. Herunder at brugen af kortvarige sporspærringer ikke medfører dårligere planlægning af infrastrukturarbejder i forhold til infrastrukturarbejde udført i planlagte sporspærringer, samt at interne og eksterne medarbejdere med ansvar i forbindelse med kortvarige sporspærringer har tilstrækkelig bevidsthed om vigtigheden af at operere i overensstemmelse med sikkerhedsledelsessystemet til, at disse regler efterleves.</t>
  </si>
  <si>
    <t>DK-2024 R 6 af d. 05-09-2024</t>
  </si>
  <si>
    <t>Havarikommissionen anbefaler, at Trafikstyrelsen sikrer, at Banedanmark gennemgår regler og retningslinjer for jernbanesikkerhedsplaner, herunder Banedanmarks kontrol af disse planer, så det sikres at disse fungerer som effektive barrierer for de relevante farer, herunder at Banedanmark sikrer, at jernbanesikkerhedsplaner, der anvendes, overholder reglerne og retningslinjerne.</t>
  </si>
  <si>
    <t>Incorporate train driver improvement programme</t>
  </si>
  <si>
    <t xml:space="preserve">Certified railway carriers shall incorporate a train driver improvement programme in their safety management systems. Addressed to train drivers who have less than 5 years of work experience, the programme shall include at least:
a. obligatory supervised instruction rides with all employee who are starting their careers as train drivers, at a rate of at least one ride per month for a period of one year, applicable to each train driver from the moment they obtain their train driver's certificate,
b. ad hoc training, including an increased number of hours of simulator training,
c. special assistance to that group of employees in terms of behavioural processes such as maintaining concentration, selecting stimuli, dividing attention, and the ability to work under pressure and under stress.
</t>
  </si>
  <si>
    <t>Mobile phones use by train drivers</t>
  </si>
  <si>
    <t>Licensed railway carriers shall include in their preparatory courses, training and periodic instruction for train drivers topics related to the rules on the use of mobile phones and other mobile devices while driving and shunting, as recommended by the Chairman of PKBWK (Report no. PKBWK/1/2012 Recommendation No. 3).</t>
  </si>
  <si>
    <t>Maintenance aspects in management systems</t>
  </si>
  <si>
    <t xml:space="preserve">Certified railway carriers and entities in charge of maintenance shall identify within their management systems the hazard of recurrence of the causes of failure for a given vehicle type, and shall carry out a risk assessment for that risk. If the hazard is identified, they will continue to:
a. apply corrective measures to eliminate the safety hazard,
b. report recurrent failures of vehicles of a given type to the rolling stock manufacturer so that the latter could verify the failure rate in relation to other vehicles of the type, monitor the performance of potentially defective components and take actions to ensure the safe operation of these vehicles, e.g. by repairing/replacing the defective component in all vehicles of the type.
</t>
  </si>
  <si>
    <t>Installing repeating signal</t>
  </si>
  <si>
    <t>PKP PLK S.A. IZ Łódź shall install repeater signals ahead of the intermediate signal J11/2/3/m to provide clear and uninterrupted visibility of the aspects shown by that signal.</t>
  </si>
  <si>
    <t xml:space="preserve">PKP PLK S.A. shall cover the following topics in their periodic and ad hoc instructions for personnel directly involved in the operation of railway traffic:
a. a good practice for their signal box personnel to send an additional notification by radio to the drivers of railway vehicles concerning changes in the traffic organisation applicable to a given train within a station, in particular concerning an unscheduled stop at a station or en route to let other trains pass as recommended by the Chairman of PKBWK in relevant Reports (No. PKBWK/03/2018 and No. PKBWK/02/2022).
b. formulation of radiotelegrams in accordance with Instruction Ir-5 (R-12).
</t>
  </si>
  <si>
    <t>Instal intermediate signal</t>
  </si>
  <si>
    <t>In order to ensure safe organisation of traffic for trains terminating on track 51 at Poznań Główny station, PKP PLK S.A. IZ Poznań shall install an intermediate signal instead of the Tm60 shield to change the location of the route place.</t>
  </si>
  <si>
    <t>Amandement of Technical Regulation of Poznań Główny station</t>
  </si>
  <si>
    <t>Until the implementation of Recommendation 1, PKP PLK S.A. IZ Poznań shall specify - in Section 22. Other provisions not covered in the preceding provisions in Paragraph 12 of Technical Regulations of Poznań station - detailed rules of conduct in the event of the need to use the special command "ZW" deviating from the provisions contained in §46(4) and (8) of  Instruction Ir-1 and in §13(4) and §14(4) of Instruction Ie-20.</t>
  </si>
  <si>
    <t>Computer system update</t>
  </si>
  <si>
    <t>PKP PLK S.A., together with the system supplier, shall adapt the computer system at Poznań Główny station - special command "ZW",  specifying the required time delay in accordance with applicable Technical Standards for Rail Traffic Control Devices  and Operator Manual for Poznań Railway Node E-20.</t>
  </si>
  <si>
    <t>Update road plan</t>
  </si>
  <si>
    <t>PKP PLK S.A. IZ Poznań shall bring the road plan into line with the actual situation - (the location of indicator W4 at track 51).</t>
  </si>
  <si>
    <t>Computer systems upgrade</t>
  </si>
  <si>
    <t>Authorised railway infrastructure managers and infrastructure managers operating under a safety certificate and exempt from the requirement to obtain a safety authorisation shall verify, at posts equipped with computer rail traffic control equipment, the advisability of using the special order to release a route on an ad hoc basis (e.g. ZW; PZA; ...)  with regard to compliance with the rules on the safety of operation of rail traffic</t>
  </si>
  <si>
    <t>Install recording devices in traction vehicles</t>
  </si>
  <si>
    <t>PKP CARGO S.A. shall implement order no. DBK-550/R-03/KB/12 of the President of the Rail Transport Office of 30 May 2012 addressed to railway carriers on the obligation to install recording devices - digital cameras or video recorders in newly built and operating railway vehicles.</t>
  </si>
  <si>
    <t>Hazard Record change</t>
  </si>
  <si>
    <t>PKP PLK S.A. shall supplement the Hazard Record by adding another hazard: "Clauses on traffic organisation in the Technical Regulations of the traffic service station incompatible with applicable regulations".</t>
  </si>
  <si>
    <t>Recity irregularities</t>
  </si>
  <si>
    <t>PKP PLK S.A. IZ Poznań shall take actions to rectify the irregularities referred to in Point 3.4 of Chapter IV, i.e. to improve the ergonomics of the workstations of signallers at the CTC signal box of Poznań Główny station.</t>
  </si>
  <si>
    <t>Hazard Record</t>
  </si>
  <si>
    <t>Authorised infrastructure managers shall include in the Hazard Record the hazard associated with inappropriate ergonomics of signaller duty stations. In addition, they shall verify the ergonomics of signaller duty stations where several duty stations are located in close proximity  in the same room; and if any irregularities are detected, they shall take actions to improve the working conditions of signallers.</t>
  </si>
  <si>
    <t xml:space="preserve">Addressed to the Czech Ministry of Agriculture:
• as the central authority for forest management, to ensure the adjustment of the relevant legal regulation [Act No. 289/1995 Coll., about forests and about the amendment of certain laws (Forest Act), as amended] so that the parts of the forests located in the railway protective area will be included in category „special purpose forests”, i.e. forests, where public interest (safe railway operating) requires different way of management. This integration will enable owners of forests
management, that it will be grow only trees which will not fall-down to structure gauge of railway.
</t>
  </si>
  <si>
    <t xml:space="preserve">Addressed to the Czech National Safety Authority (NSA):
• until the time of implementation of the above safety recommendation to enter into negotiations with Czech Ministry of Agriculture as central organ of administration of forests, municipal authorities with extended province and regional authorities, that from own impulse part of forest vegetation which are locate in railway protective area integrate to category „forest of special purpose“, i.e. forests, where public interest (safe railway operating) requires different way of management. This integration will enable owners of forests management, that it will be grow only trees which will not fall-down to structure gauge of railway.
</t>
  </si>
  <si>
    <t>Addressed to the Czech National Safety Authority (NSA):
• request a notification of a national requirement by the European  Commission for an optical (light) and sound indication notifying that blinding is on and its inclusion in  the TSI, specifically:
   ◦ at relevant locomotives and driving trailers (where it is technically      and  economically possible), to require an optical (light) and              sound indication warning that blinding is on:
         ▪ if the blinding time is longer than 5 seconds, or
         ▪ if blinding is carried out during braking at a speed is lower                 than 20 km.h-1 , in accordance with the requirement to                       prohibit blinding except for emergency braking (in                              accordance with Annex  No. 3, Part II, Point 18, Paragraph 2             letter  d) Decree No. 173/1995 Coll.);
   ◦ for all other rolling stocks, require at least a simplified version of        optical (light) and sound indication warning that blinding is on            always (without advanced conditions), at least for pedal-                    activated blinding;
• to demand obligatory inspections of condition of regulation screw  and bearing surface of regulation screw of blinding equipment of  locomotives, alternatively introduction cyclic substitution this components;
• consider implementation a memory aid for the area (e.g. part of station head, station approach limit, shunting perimeter) where shunting is allowed into the input computer of the unified control place, in which case the aid would be introduced voluntarily, alternatively obligatory, and canceled based on knowledge of the progress of the shunting, notification of the end of the shunting or notification of release tracks intended for the movement of trains, at infrastructure managers of national and regional railways;
• to prohibit or make impossible the creation of train routes by means of the automatic creation of train routes during shunting in areas (shunting perimeters) where are used track circuits to determine the clearance of track sections and to include this obligation in the internal regulations of the relevant infrastructure managers;
• ensure to return duty of announcement about finish shunting by employee who manage shunting without shunting gang, to internal regulation SŽ D1 as soon as possible.</t>
  </si>
  <si>
    <t>Addressed to the Czech National Safety Authority (NSA):
• to take own measure to ensure addition of the level crossing No. P7519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</si>
  <si>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Familiarize the interested personnel with the content of this report.</t>
  </si>
  <si>
    <t>Recommendation 1, proposes that SE NRIC and "DB Cargo Bulgaria" EOOD familiarize the interested personnel with the content of this report.</t>
  </si>
  <si>
    <t>when accepting rolling stock at the border stations to increase the quality and control</t>
  </si>
  <si>
    <t>Recommendation 2, proposes that "DB Cargo Bulgaria" EOOD, when accepting rolling stock at the border stations, which will be served by the railway company, to increase the quality and control when performing technical inspections.</t>
  </si>
  <si>
    <t>SE NRIC to analyse the data provided by the licensed independent body "TINSA" Ltd.</t>
  </si>
  <si>
    <t>Recommendation 3, it is proposes that SE NRIC analyses the data provided by the licensed independent body "TINSA" Ltd., measured with the Track Measuring Laboratory EM-120 on 14.11.2023 at the Lyubenovo transfer station - Radnevo interstation and take measures to remove the vertical deformations of the rails in the joints exceeding the requirements of class "C" for speed ≤ 60 km/h.</t>
  </si>
  <si>
    <t>SE NRIC to harmonize the differences in the parameters for permissible deviations</t>
  </si>
  <si>
    <t>Recommendation 4, proposes that SE NRIC harmonizes the differences in the parameters for permissible deviations in the level of the instructions between the "Instruction for the construction and maintenance of the superstructure of the rail track and railway switches" and the "Temporary instruction for the evaluation of the rail track with the Track measuring laboratory" EM-120 Plasser &amp; Theurer" at different speeds.</t>
  </si>
  <si>
    <t>SE NRIC to increase the control to the "Transportation Safety" service</t>
  </si>
  <si>
    <t>Recommendation 5 proposes that SE NRIC increases the control to the "Transportation Safety" service (Chief Inspector of the RITS) regarding the quality when preparing the reports under Appendix 7, as well as the precise, complete and accurate completion of the finding protocols according to the presented samples in Ordinance No. 59.</t>
  </si>
  <si>
    <t>no.463-1</t>
  </si>
  <si>
    <t xml:space="preserve">Preamble Recommendation 463/1
During the accident investigation, it was found that the breakage of the main leaf of the laminated suspension spring was caused by fatigue, as there were old cracks (80% of the cross-section of the main leaf of the spring) in the area of the spring eye, which are impossible to detect during the train inspections, as the area is covered by the suspension coupler parts (suspension ring support, suspension ring and split pin). 
Such cracks could have been identified if RU GFR, as ECM (the entity responsible for maintenance) of the wagon involved, had effectively managed the information on laminated suspension spring (a safety-critical component) resulting from the periodic overhauls (PO).
Safety recommendation 463/1
SC GRUP FEROVIAR ROMÂNAR SA, as Entity Responsible for Maintenance, will review the management of information on laminated suspension spring (safety-critical component) resulting from the periodic overhauls (PO) carried out on the wagons for which it is responsible and will take the necessary measures for the efficient management of this information.
</t>
  </si>
  <si>
    <t>no.467-1</t>
  </si>
  <si>
    <t xml:space="preserve">Preamble Safety Recommendation 467/1
Upon completion of the investigation of the railway event of a similar nature that took place in the railway county Timisoara, presented in Chap.- 4.e ”Previous accidents or incidents of a similar nature”, for the similar accident occurred on 11.06.2020 , between railway stations  Baru Mare  and Crivadia,  I track, at km 54+370 , in  the running of freight train no.30536 (got by the railway undertaking DB CARGO ROMÂNIA SRL ), due to the derailment of the second axle in the  running direction of wagon no.2180247015-8, the 15th wagon, the following safety recommendation was issued: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By paper no.2330/42/27.04.2022, ASFR communicated the status of the implementation of the measures taken by the public railway infrastructure administrator CNCF „CFR” SA,  as a consequence of the safety recommendations issued by AGIFER, on the occasion of the completion of the actions investigated in 2021. Thus, for the railway accident occurred on 11.06.2020, the following measures taken or planned to be taken were communicated: The Lines Division following the reassessment of the risks associated with the danger generated by the maintaining in service of unsuitable wooden sleepers on the areas of the railway track located in curves, has established the following safety measures: Carry out the necessary steps to secure material, financial and human resources, Carry out track maintenance with respect to the technological process when replacing wooden sleepers on the curves, rectify the gauge and maintain it within the permitted tolerances, Monitor all areas of the railway track in curves on wooden sleepers, respectively carrying out measurements (track gauge, level, track deflection), in compliance with the deadlines established in I 305/1997, Programs of measurements of the railway lines  with track measuring trolley, testing and recording car and track recording coach  were prepared, the results of these measurements were interpreted, analysed and programs were prepared to remedy these defects. The provision of material resources, respectively rail and normal wooden sleepers were carried out by supplying new type 49 heat-treated rail type, 23 pieces of 30 m for the outer track curve km 53+835 / 54+530, replaced between February and May 2021. On the inner rail the rail was replaced with SB rail and the rail joints were returned to the rail square during the same period. The wooden sleepers were replaced by SC Antrepriza de Construcții Căi Ferate SA through contract no.352/30.07.2021 concluded by the Railways County Timișoara. The wooden sleepers were replaced between August and December 2021, on the curve at km 53+835 / 54+530, 1236 pieces of new sleepers were replaced in a row, including new small track material (rubber rail clip, polyethylene plates and B2 coach screw). 
Human resources were ensured by hiring staff at District no.5 and by seconding other workers from Simeria Section L9 in order to carry out track replacement works. 
Control measures: Overhauls according to I 305/1997 are carried out according to sheets no.2, 3, 4, 9, 10, 11, 12 on the basis of annual and monthly schedules drawn up and approved by the management of the Lines Division, finalized with findings notes brought to the attention of the districts. Track measuring trolley - measurement program has been prepared for 2021.
Considering that the safety recommendation was implemented mainly for the area where the railway accident occurred on 11.06.2020, between  railway stations Baru Mare and Crivadia and not for the entire railway network managed by CNCF ”CFR” SA, has determined that the implementation of the safety recommendation did not achieve the objective for which it was issued, and deficiencies are still being found in maintaining in operation the inadequate wooden sleepers on the railway areas in curves, which is why AGIFER considers it appropriate to issue a new safety recommendation:
Safety recommendation 467/1
The public railway infrastructure administrator CNCF ”CFR” SA, will reassess the risks associated to the danger generated by the keeping in operation improper wooden sleepers within the curves and it establishes viable safety measures for keeping under control these risks.
</t>
  </si>
  <si>
    <t>Safety recommendation Rail No 2024/06T</t>
  </si>
  <si>
    <t>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There are no technical support systems that a PSSS can use to prevent such situations.
The Norwegian Safety Investigation Authority recommends that the Norwegian Railway Authority ask Bane NOR SF to look into possible technical barriers that can strengthen safety in connection with track work, to avoid an oversight leading to a section being declared clear for trains when personnel, equipment or rolling stock remain on the track.</t>
  </si>
  <si>
    <t>Safety recommendation Rail No 2024/07T</t>
  </si>
  <si>
    <t xml:space="preserve">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 conditions for track work are influenced by a number of parties and interests, but no one has overall responsibility for safety. The unpredictability of track work and the inadequacy of systems to coordinate the various parties involved entail a poor starting point for planning and performing the work in a safe manner.
The Norwegian Safety Investigation Authority recommends that the Norwegian Railway Authority ask Bane NOR SF to establish overall process responsibility for work on and around tracks.
</t>
  </si>
  <si>
    <t>SHK 2024:14 R1</t>
  </si>
  <si>
    <t>The Swedish Transport Agency is recommended to Carry out supervision aimed at how the Swedish Transport Administration promotes a positive safety culture against the background of the investigation into the Swedish Transport Administration’s safety culture that the Swedish Transport Agency carried out in 2015–2017. (SHK 2024:14 R1)</t>
  </si>
  <si>
    <t>SHK 2024:14 R2</t>
  </si>
  <si>
    <t>The Swedish Transport Administration is recommended to take measures to strengthen preparedness for large amounts of precipitation by: Ensure that the safety inspection or other control covers the objects that have an impact on embankment and embankment drainage. (SHK 2024:14 R2)</t>
  </si>
  <si>
    <t>SHK 2024:14 R3</t>
  </si>
  <si>
    <t>The Swedish Transport Administration is recommended to take measures to strengthen preparedness for large amounts of precipitation by ensure that established documents and procedures in the organization are
implemented and follow up that those routines and checklists are followed.
(SHK 2024:14 R3)</t>
  </si>
  <si>
    <t>SHK 2024:14 R4</t>
  </si>
  <si>
    <t>The Swedish Transport Administration is recommended to take measures to strengthen preparedness for large amounts of precipitation by create better basis and support for the functions that are to identify and assess
risks and problem areas. (SHK 2024:14 R4)</t>
  </si>
  <si>
    <t>SHK 2024:14 R5</t>
  </si>
  <si>
    <t>The Swedish Transport Administration is recommended to take measures to strengthen preparedness for large amounts of precipitation by in collaboration with the railway companies, develop assessment support and
criteria for train drivers and train dispatchers when reporting and assessing acute
faults or risks of faults on the track. The work should include identifying and
clarifying what information a train driver must convey to the train dispatcher
when reporting. (SHK 2024:14 R5)</t>
  </si>
  <si>
    <t>SHK 2024:14 R6</t>
  </si>
  <si>
    <t>The Swedish Transport Administration is recommended to take measures to strengthen preparedness for large amounts of precipitation by investigate the need for and the possibilities for increased information about
forest fellings affecting infrastructure, or other changes in land use with an
impact on surface runoff next to the railway network and, if appropriate,
introduce a routine for this. (SHK 2024:14 R6)</t>
  </si>
  <si>
    <t>SHK 2024:14 R7</t>
  </si>
  <si>
    <t>The Swedish Transport Administration is recommended to in consultation with SOS Alarm Sverige AB and the railway companies work out a
way to be able to position a railway accident without delay. (SHK 2024:14 R7)</t>
  </si>
  <si>
    <t>Addressed to the Czech National Safety Authority (NSA):
• to initiate a meeting between the NSA, Municipality of Pelhřimov, Road and Motorway directorate and IM for the purpose to eliminate the identified risk which follow from configuration the level crossing No. P6353 and adjacent crossroad.</t>
  </si>
  <si>
    <t>Recommendation 1, proposes that SE NRIC and BDZ PP EOOD familiarize the interested personnel with the contents of this report</t>
  </si>
  <si>
    <t>The requirements of "Technical norms for the planning, construction and repair of a non-maintained railway track" shall be observed both by the contractors of the repairs and by investors side</t>
  </si>
  <si>
    <t>Recommendation 2, suggests to the SE NRIC that, when carrying out repair activities in the areas with a non-maintained railway track, the requirements of "Technical norms for the planning, construction and repair of a non-maintained railway track" shall be observed both by the contractors of the repairs and by investors side</t>
  </si>
  <si>
    <t>no.464-1</t>
  </si>
  <si>
    <t xml:space="preserve">Preamble Safety Recommendation 464/1
Upon completion of the investigation of the railway event of a similar nature that took place in the railway county Craiova, presented in Chap. 4.e ,"Previous accidents or incidents of a similar nature", for the similar accident that occurred on 13.04.2022 in railway station Drăgotești,  II track,  at km 40+830, by derailment of all axles of locomotive ED 050 hauling freight train no. 64208 (got by the railway undertaking SNTFM "CFR Marfă" SA), the following safety recommendation was issued: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By act no.2010/14/05.03.2024, ASFR communicated the status of the implementation of the measures taken by the public railway infrastructure administrator CNCF „CFR” SA, as a consequence of the safety recommendations issued by AGIFER, on the occasion of the completion of the actions investigated in 2023. Thus, for the railway accident that occurred on 13.04.2022, the following measures were communicated: In order to ensure a sufficient number of employees at the level of the line sections to perform proper maintenance of the line and keeping the track geometry between the tolerances accepted, the Human Resources Office and the Lines Directorate were requested to hire staff with no. 22/1/422/06.10.2022.
Considering that in the Risk Register of Railway County Craiova - part of the public infrastructure manager - Lines Division (act no.22/3/11/11/04/04.01.2023) the risks generated by the failure to ensure, at the level of the line sections, a sufficient number of employees to perform proper maintenance of the line and keeping of track geometry between the tolerances accepted have not been evaluated, has determined that the implementation of the safety recommendation does not achieve the objective for which it was issued, and deficiencies are still being found in ensuring a sufficient number of employees, which is why AGIFER considers it appropriate to issue a new safety recommendation:
Safety recommendation 464/1
The public railway infrastructure administrator CNCF "CFR" SA, will reassess the risks associated to the danger generated by the failure to ensure, at the level of line sections, an enough number of employees for the performance of proper maintenance of the line and keeping of track geometry between the tolerances accepted and will establishes measures for keeping these risks under control.
</t>
  </si>
  <si>
    <t>The Investigation Unit recommends the NSA to verify the measures taken and controls implemented with regard to the use of private multimedia devices within railway undertakings.</t>
  </si>
  <si>
    <t>The Investigation Unit recommends the NSA to verify the measures taken and controls implemented with regard to the use of GSM-R within railway undertakings.</t>
  </si>
  <si>
    <t>no.466-1</t>
  </si>
  <si>
    <t xml:space="preserve">Preamble Safety Recommendation 466/1
During the investigation, it was found that the metal bridge at km 28+465 was equipped with check rail on the inside of the railway, but they were not extended on the track bed at the ends of the bridge, contrary to the provisions of art. 28 point 14 of the Instruction on Norms and Tolerances for the Construction and Maintenance of Normal Gauge Tracks - No 314/1989: " check rail shall be installed on all bridges with unballasted track in alignment with a length of more than 10 m or in curves with a length of more than 5 m . The bridge check rail shall also extend on track bed at the ends of the bridge. The check rail shall be fitted inside the railway", which is why AGIFER considers it appropriate to issue the following safety recommendation:
Safety recommendation 466/1
The public railway infrastructure administrator CNCF "CFR" SA, will reassess the risks associated to the danger generated by: 
- the lack of check rail inside the railway on the track bed sections at the ends of bridges longer than 10 m in length located in alignment and bridges longer than 5 m in length located in curves;
- keeping improper wooden sleepers in the track on the track bed at the ends of the bridges along the length where the check rail is installed inside the track.
</t>
  </si>
  <si>
    <t>Safety recommendation Bane nr. 2024/05T</t>
  </si>
  <si>
    <t>On 16 October 2023 at 20:57, Vy Gjøvikbanen AS’s train 251 derailed at Åneby station on the Gjøvik Line. Prior to the derailment, a switch had been replaced, but the works were not completed. Temporary rail joints had been fitted on the tracks, and regular traffic had
resumed. The accident occurred when two of the temporary rail joints, which were holding the tracks together, gave way. Incorrect installation and inadequate follow-up of the temporary rail joints contributed to the derailment.
The Norwegian Safety Investigation Authority recommends the Norwegian Railway Authority to ask Bane NOR SF to establish processes that clarify responsibilities, and ensure control
and follow-up of temporary rail joints on operational railways.</t>
  </si>
  <si>
    <t>no.468-1</t>
  </si>
  <si>
    <t xml:space="preserve">Preamble Safety Recommendation 468/1 
During the investigation it was found that the technical operating staff of the wagon branch, following the additional work carried out on this type of wagons, does not have access and cannot check the total allowances in the side bearers, in accordance with the Instructions on the technical inspection and maintenance of wagons in service no.250.
The Investigation Commission considers it necessary to issue the following safety recommendation:
Safety Recommendation 468/1
The economic operators SC ROLLING STOCK COMPANY SA and SC Grup Feroviar Român SA, will assesses the risks associated to the danger generated by the operation of wagons on which additional works have been carried out to extend the fixed down-grade, by installing a metal plate with the dimensions of 3200 mm x 240 mm, in the area of the wagon bogies, establishing concrete measures to keep them under control.
</t>
  </si>
  <si>
    <t>• Recommendation 1, proposes that SE NRIC and BDZ PP EOOD familiarize the interested personnel with the contents of this report</t>
  </si>
  <si>
    <t>Undertake systematic inspections regarding the quality of the briefings</t>
  </si>
  <si>
    <t>• Recommendation 2 proposes that the SE NRIC "Occupational Health and Safety Inspection" undertake systematic inspections regarding the quality of the briefings conducted by the managers and the entries in the briefing books</t>
  </si>
  <si>
    <t>Organize and conduct trainings for managers</t>
  </si>
  <si>
    <t>• Recommendation 3 proposes that the State Health and Safety Inspection at Work organize and conduct trainings for managers conducting personnel briefings, paying particular attention to the accompanying dangers in the types of works on the rail track (manual and mechanized)</t>
  </si>
  <si>
    <t xml:space="preserve">Inspections in the divisions regarding analysing and supplementing the risk assessment </t>
  </si>
  <si>
    <t>• Recommendation 4 proposes that the SE NRIC "Inspection of health and safety at work" carry out inspections in the divisions regarding analysing and supplementing the risk assessment in connection with the issued alarm bulletin of 19.06.2024</t>
  </si>
  <si>
    <t>Prepare and approve technology for carrying out the relevant type of repair</t>
  </si>
  <si>
    <t>• Recommendation 5 proposes to the SE NRIC, for sites performed in an economic manner by the relevant divisions, to prepare and approve technology for carrying out the relevant type of repair</t>
  </si>
  <si>
    <t>The locomotive staff to be alert and ready for a quick stop</t>
  </si>
  <si>
    <t>• Recommendation 6, proposes to BDZ PP EOOD that the locomotive staff, managing traction rolling stock when crossing sections with single and double rail track lines, on which repair works are carried out on the railway infrastructure, be alert, ready for a quick stop</t>
  </si>
  <si>
    <t>Inspection and maintenance procedures for the heel of the switch</t>
  </si>
  <si>
    <t>The Finnish Transport Infrastructure Agency ensure the uniformity of the guidelines and improve their accessibility, unambiguously define the method of measuring the maintenance needs of the heel of the switch, and specify accurate wear profiles for the heels of the switch. [2024-S33]</t>
  </si>
  <si>
    <t>Train derailment, 30/11/2023, Tampere station, switch V171, Tampere - Seinäjoki section of line (line number 1303, km 188+44)</t>
  </si>
  <si>
    <t>Consideration of renewal and investment projects in track maintenance</t>
  </si>
  <si>
    <t>The Finnish Transport Infrastructure Agency examine the track maintenance process so that the impacts of delays in renovation projects on maintenance are taken into account in more detail when planning maintenance. [2024-S34]</t>
  </si>
  <si>
    <t>Monitoring the wear of the wheel profiles on rolling stock</t>
  </si>
  <si>
    <t>Railway operators and rolling stock maintenance operators draw up instructions for inspecting the shape of the wheel flange and include a guided inspection as part of the maintenance of wheelsets. In addition, a procedure must be introduced for monitoring the wear of rolling stock wheelsets to identify and anticipate wear on the wheels between maintenance. [2024-S35]</t>
  </si>
  <si>
    <t>Cooperation in clearance activities</t>
  </si>
  <si>
    <t>Infrastructure managers, railway and clearing operators and rolling stock maintenance operators agree on cooperation practices in relation to clearing to ensure smooth clearing operations. In addition, the stakeholders proactively examine the tools and resources available and agree on their use and related communication in clearing situations.. [2024-S36]</t>
  </si>
  <si>
    <t>Taking rolling stock features into account when defining the interoperability thresholds for track and rolling stock</t>
  </si>
  <si>
    <t>Infrastructure managers and railway operators using six-axle locomotives jointly define safety margins for the wear of the track and the wheelsets of rolling stock that ensure safe operation, taking into account the combined effect of different factors. [2024-S37]</t>
  </si>
  <si>
    <t>Ieteikums 2024-1</t>
  </si>
  <si>
    <t>Valsts a/s “Latvijas dzelzceļš” jāizstrādā kārtība, kas pilnībā izslēdz signālista iesaisti
jebkādos citos papildus darbos, lai nodrošinātu viņa nepārtrauktu koncentrēšanos uz tiešajiem
pienākumiem.
Pamatojums: Signālistam ir būtiska loma dzelzceļa satiksmes drošības nodrošināšanā, jo
viņa pienākumi ietver vilcienu kustības organizāciju un kontroles pasākumus, kas prasa augstu
koncentrēšanās līmeni un pastāvīgu uzmanību. Iesaistīšanās citos darbos var novērst signālista
uzmanību un palielināt kļūdu iespējamību, kas var novest pie negadījumiem.</t>
  </si>
  <si>
    <t>Latvian</t>
  </si>
  <si>
    <t>Ieteikums 2024-2</t>
  </si>
  <si>
    <t>“Lai samazinātu iespējamus negadījumus un nodrošinātu drošu darba vidi, Valsts a/s
“Latvijas dzelzceļš” izvērtēt darba aizsardzības instrukcijā dotā drošības attāluma, strādājot ar lapu
pūtēju (5m), pamatotību no signālista pienākumu pildīšanas viedokļa un precizēt instrukcijas
prasības citām personām atbilstoši ražotāja rokasgrāmatā norādītajam (15m).
Pamatojums: Lapu pūtēju darbības laikā radītais augstais troksnis un putekļi var gan
apgrūtināt signālista pienākumu pildīšanu, gan negatīvi ietekmēt darba vidi un apkārtējos, tādēļ
ir svarīgi ievērot visus drošības pasākumus.”</t>
  </si>
  <si>
    <t>Ieteikums 2024-3</t>
  </si>
  <si>
    <t>A/S “Pasažieru vilciens” apsvērt iespēju aprīkot visus īpašumā esošos elektrovilcienus un
dīzeļvilcienus ar videoreģistratoriem, kas vērsti uz sliežu ceļu, balstoties uz citu valstu pieredzi.
Pamatojums: Videoreģistratori, kas vērsti uz sliežu ceļu, var būtiski veicināt dzelzceļa
drošību un palīdzēt negadījumu izmeklēšanā. Daudzās Eiropas valstīs šādas ierīces ir obligātas,
jo tās nodrošina vizuālus pierādījumus un datu ierakstus par jebkādiem neparedzētiem vai
bīstamiem gadījumiem uz sliežu ceļa. Šāda pieeja uzlabo gan drošības pārraudzību, gan ļauj
efektīvāk analizēt un novērst riskus nākotnē, balstoties uz objektīviem ierakstiem.</t>
  </si>
  <si>
    <t>no.469-1</t>
  </si>
  <si>
    <t>SNTFM "CFR Marfă" SA will reanalyse the way of monitoring the activity carried out by contractors/partners, in order to ensure that the maintenance processes carried out by them are performed in accordance with the regulations in force and can control the risk of accidents/damages.</t>
  </si>
  <si>
    <t>BA2023-0812-5-01</t>
  </si>
  <si>
    <t>TSB recommends MÁV Zrt. to consider introducing a measurement procedure on the Széchenyi-Hegy Children’s Railway line which is also suitable for detecting track geometry errors caused by spots of excessive vertical rail displacements.</t>
  </si>
  <si>
    <t>Train derailment, 14/8/2023, Jánoshegy</t>
  </si>
  <si>
    <t>BA2023-0812-5-02</t>
  </si>
  <si>
    <t>TSB recommends MÁV Zrt. to consider making the track maintenance organisation capable of efficiently carrying out the maintenance tasks of the Széchenyi-Hegy Children’s Railway.</t>
  </si>
  <si>
    <t>A-2024/006</t>
  </si>
  <si>
    <t xml:space="preserve">A-2024/006: Assuming trains are to k the right, check the practical benefits of moving axle counting point “ZPm12 3/4, m22 1/2” closer to block signal “Bm12”.
Reason: acording to “Safety-lated site plan 131.140/L, electronic signal box Leobersdorf”, axle counting point ZPm12 3/4, m22 1/2” is located as far as 559 m after block signal “Bm12”. [28]Moving axle counting point “ZPm12 3/4, m22 1/2” closer to “Bm12” would automatically and earlier set signal “Bm12” to “STOP" for trains driving on the standard track.
</t>
  </si>
  <si>
    <t>Kollision Z 2371 mit entrollter Wagengruppe nahe Hst Kottingbrunn
am 05. Dezember 2020
am 05. Dezember 2020
Kollision Z 2371 mit entrollter Wagengruppe nahe Hst Kottingbrunn
am 05. Dezember 2020</t>
  </si>
  <si>
    <t>A-2024/007</t>
  </si>
  <si>
    <t>A-2024/007: In order to minimise the risk of future runaway events, the measures contained in the SMS traffic between the railway companies involved should be evaluated and taken. These measures predominantly concern the securing of rolling stock at standstill with particular regard to rail traffic authority instruction “Sicherung stillstehender Schienenfahrzeuge” (Securing rolling stock at standstill) of 23.06.2017 (GZ.BMVIT-224.150/001-IV/SCH5/2017), published on the BMK’s homepage. the railcars concerned are parked within a track section effectively secured against runaway events by permanent means of flank protection. Assuming these provisions had been met, the accident under investigation is likely to not have taken place. For this reason, the SUB recommends the evaluation of how best to implement the measures contained in the above rail traffic authority instruction within the context of European regulations (Regulations (EU) no. 2018/762, 1158/2010, 1169/2010).</t>
  </si>
  <si>
    <t xml:space="preserve"> A-2024/008</t>
  </si>
  <si>
    <t>A-2024/008: As a result of the event, the risk of unauthorised persons removing any or all securing devices should be re-evaluated and, if considered necessary, preventive measures should be taken with reference to the following regulations: Regulation (EU) 2018/762; Annexes I and II, section 3. Planning 3.1.1.1 a) e); Regulation (EU) 1158/2010, Annex II A.4 Implementing Regulation (EU) 402/2013 Common safety method (CSM) for risk evaluation and assessment. Reason: Since runaway events like the one under investigation may cause serious accidents possibly involving seriously injured or even killed persons if the ambient conditions slightly differ, the general aim of improving rail traffic safety suggests that the risk of runaway events due to unauthorised persons removing any securing devices should be re-evaluated.</t>
  </si>
  <si>
    <r>
      <t>Addressed to the Czech National Safety Authority (NSA):
•</t>
    </r>
    <r>
      <rPr>
        <sz val="10"/>
        <color rgb="FF000000"/>
        <rFont val="Arial"/>
        <family val="2"/>
        <charset val="1"/>
      </rPr>
      <t xml:space="preserve"> to ensure that infrastructure managers in all cases where is distantly available information about (un)achievement of preferential end position of spring switches on lines with a simplified train operation, determine to train dispatcher for a controlled line professional competence for interpretation of indication element and impose obligation to him to control achievement of this position and notify train driver in case unachievement this position by written order before permission for ride;
• to ensure that infrastructure managers in maximum posible amount expand equipment which enable distant accessibility of information about (un)achievement of preferential end position of spring switch on lines with a simplified train operation.</t>
    </r>
  </si>
  <si>
    <t>no.472-1</t>
  </si>
  <si>
    <t xml:space="preserve">Preamble Safety Recommendation 472/1
Considering the causal, contributory and systemic factors identified during the investigation, in order to prevent similar accidents or incidents from occurring in the future, in accordance with the provisions of Article 26, paragraph (2) of Emergency Government Ordonnance no.73/2019 on railway safety, the investigation commission deems it appropriate to issue the following safety recommendations addressed to the ASFR, which, within the limits of its competences, shall take the necessary measures to ensure that the safety recommendations issued by AGIFER are taken into account and, where appropriate, followed. In accordance with the provisions of Article 26, paragraph (3) of Emergency Government Ordonnance   73/2019, ASFR shall report periodically, at least once every 6 months, to AGIFER on the measures taken or planned as a consequence of the recommendations issued.
Taking into account the causal and contributing factors identified, as well as the findings of the investigation commission, it can be stated that SNTFM „CFR Marfă” SA did not contribute to the occurrence of this rail accident. The non-uniform loading of the wagons, which resulted in exceeding the maximum permissible value of the load ratio between two wheels of the same axle, caused uneven unloading of the load on the two wheels and may have favoured the climbing of the head of rail.
The documents made available to the investigation commission showed that SNTFM „CFR Marfă” SA did not identify the possibility that the risk of an accident on the CFR network could be generated by the improper loading of sealed wagons by the loader, an irregularity that cannot be found at the delivery-receipt of the wagons (the wagons being with the doors closed and sealed when they are delivered-received). For improving rail safety and preventing rail accidents, AGIFER considers it appropriate to make the following safety recommendations to Romanian Railway Safety Authority:
Safety Recommendation 472/1
The railway operator SNTFM „CFR Marfă” SA to assess the risks associated with the dangers generated by the admission into circulation of a non-uniformly loaded wagon, for the situations in which the irregularity cannot be detected during the handover of the wagons and to establish concrete measures to control these risks.
</t>
  </si>
  <si>
    <t>Recommendation no. IT-10446-01</t>
  </si>
  <si>
    <t>It is recommended that the Italian National Safety Agency ensure that Infrastructure Managers arrange for communications between Movement Directors (MD) and Interruption Holders (IH) to concern only information related to interruptions (start time and duration), and that MDs desist from providing IHs with unnecessary additional information which might form the basis for misunderstanding (in the case of Brandizzo, this could have been the train times).</t>
  </si>
  <si>
    <t>Fatal accident involving 5 workers by train no.14950 in Brandizzo (Turin), Turin - Milan line.</t>
  </si>
  <si>
    <t>Recommendation no. IT-10446-02</t>
  </si>
  <si>
    <t>It is recommended that the Italian National Safety Agency ensure that Infrastructure Managers consider adopting fixed maintenance time slots with a guaranteed minimum duration during which there is no train traffic: time intervals during which, on a daily basis, no railway vehicles are scheduled to pass and in which any "on condition" activities can be safely carried out.</t>
  </si>
  <si>
    <t>Recommendation no. IT-10446-03</t>
  </si>
  <si>
    <t>It is recommended that the Italian National Safety Agency ensure that Infrastructure Managers evaluate the identification and adoption of an operational coordination figure, working either in person or remotely, with the following duties and responsibilities:
• be aware of the necessary information regarding the status of train traffic;
• be fully aware of the methods and times necessary for the correct execution of planned maintenance activities;
• having, according to the organizational chart, appropriate hierarchical authority and decision-making power for the management of train traffic interruptions.</t>
  </si>
  <si>
    <t>Recommendation no. IT-10446-04</t>
  </si>
  <si>
    <t>It is recommended that the Italian National Safety Agency ensure that Infrastructure Managers evaluate the definition and adoption, within the Organization, of a work schedule which establishes non-derogable or conditionally derogable minimum times, at least for "on condition" maintenance activities. This, in order to integrate such information into the traffic interruption request procedure, thereby allowing the operational coordination figure indicated in recommendation IT-10446-03 to immediately and easily assess the adequacy of the traffic interruption duration and any need to amend the work schedule or train times.</t>
  </si>
  <si>
    <t>Recommendation no. IT-10446-05</t>
  </si>
  <si>
    <t>It is recommended that the Italian National Safety Agency ensure that Infrastructure Managers implement maintenance based on a preventive and predictive approach given its resources and possibilities, in order to adopt the appropriate adjustments to the Infrastructure (particularly, but not exclusively for the track, for example, by replacing an entire section of rail containing multiple defects to prevent the need for multiple and closely spaced targeted interventions in the same section). This, with the aim of optimizing maintenance requirements (and the related personnel requirements) attributable to operational wear and tear.</t>
  </si>
  <si>
    <t>Recommendation no. IT-10446-06</t>
  </si>
  <si>
    <t>It is recommended that the National Agenc,y for Railway and Road and Highway Infrastructure Safety ensure that all organizations involved in maintenance activities encourage voluntary reporting, also directly to the Infrastructure Manager or DiGIFeMa, regarding anomalous situations with a potential impact on railway safety through the adoption of "just culture" principles, and the training of staff on the importance of the human factor.</t>
  </si>
  <si>
    <t>Recommendation no. IT-10446-07</t>
  </si>
  <si>
    <t>It is recommended that the Italian National Safety Agency ensure that  pending validation of a potential defect, the Infrastructure Managers immediately implement precautionary measures following the observation  and detection of such defect.</t>
  </si>
  <si>
    <t>AIN/06-SR-03/2024</t>
  </si>
  <si>
    <t xml:space="preserve">The Railway Undertaking HZPP should update the risk when the train speed prescribed in the electronic timetable book is exceeded by applying all its own procedures and methods, and implement an additional safety measure for risk management in cases when the driver does not comply with the speed prescribed in the timetable book or other document for the section of the track on which the train is moving. </t>
  </si>
  <si>
    <t xml:space="preserve">HR-10541 </t>
  </si>
  <si>
    <t>AIN/06-SR-04/2024</t>
  </si>
  <si>
    <t>The Infrastructure Manager should, in accordance with Minutes No. 1325/24 HŽI, within two years from the issuance of the recommendation, install auto stop device balises on the control signals at the automatic LC's secured by the type device "Iskra KS" with control signals, in order to prevent the possibility of the train passing by the control signal when it signals that the device for securing the LC is faulty. On devices for securing LC's of the type "Iskra KS" where it is not possible to install auto stop device balises, it is necessary to install an event recorder within two years of the issued recommendation.</t>
  </si>
  <si>
    <t>AIN/06-SR-05/2024</t>
  </si>
  <si>
    <t>The company "Hidrostres" d.o.o., as a contractor, should complemented existing Risk Assessment from occupational safety by introducing safety measures to reduce the level of danger of a train strucking workers in order to achieve safe work performance and worker behavior when temporary construction sites are located within the railway belt.</t>
  </si>
  <si>
    <t>Familiarize the interested personnel</t>
  </si>
  <si>
    <t>Bulgarian</t>
  </si>
  <si>
    <t>Re-equip the personnel with mobile terminals for using the existing GSM-R radio connection</t>
  </si>
  <si>
    <t>• Recommendation 2 proposes that the personnel involved in ensuring train movement and shunting work of the SE NRIC, as well as the personnel involved in performing shunting work of BDZ PP EOOD, performing their duties at Sofia Station, be re-equipped with mobile terminals for using the existing GSM-R radio connection in order to carry out a permanent objective recording of the conversations</t>
  </si>
  <si>
    <t>Attention to be paid to strict compliance with the Instruction regulating the organization of movement and shunting work</t>
  </si>
  <si>
    <t>• Recommendation 3 proposes that, until the introduction of the route-computer interlocking at Sofia Station into regular operation, in the daily briefings conducted for the personnel of both enterprises, attention be paid to strict compliance with the Instruction regulating the organization of movement and shunting work, as well as to performing tests of the train brakes of departing trains in order to improve and refresh the knowledge of the personnel</t>
  </si>
  <si>
    <t>Turn on and seal the devices for monitoring the vigilance of the shunting locomotives</t>
  </si>
  <si>
    <t>• Recommendation 4 proposes that BDZ PP EOOD, until the introduction of the route-computer interlocking at Sofia Station into regular operation, turn on and seal the devices for monitoring the vigilance of the shunting locomotives</t>
  </si>
  <si>
    <t xml:space="preserve">Change the shunting arrangements and plans </t>
  </si>
  <si>
    <t>• Recommendation 5 proposes that, in order to achieve higher efficiency in shunting work, SE NRIC and BDZ PP EOOD change the shunting arrangements and plans with a view to the simultaneous movement and composition of several trains departing from the same track according to Plan Rev.Ⅱ-24 at Sofia Station.</t>
  </si>
  <si>
    <t xml:space="preserve">Recommendation do IM </t>
  </si>
  <si>
    <t>1) incorporate a warning about the behavior of the level crossing protection device</t>
  </si>
  <si>
    <t>2) introduce mandatory use of the Warning Label about the failure and shutdown of the level crossing protection device,</t>
  </si>
  <si>
    <t>3) start the process of changing the relevant technical standards,</t>
  </si>
  <si>
    <t>4) After changing the relevant technical standards, replace the crossing protection equipment of the affected stations during the next reconstructions or modernizations</t>
  </si>
  <si>
    <t>Safe cooperation at timber loading sites</t>
  </si>
  <si>
    <t>The Finnish Transport Infrastructure Agency should, in its capacity as the owner of the timber loading sites, assume responsibility for developing the overall safety of the sites, especially the coordination of operators’ work practices and definition of communication practices. [2024-S38]</t>
  </si>
  <si>
    <t xml:space="preserve">R2024-01 Level crossing accident at Kurkimäki timber loading site on 6 February 2024 resulting in the death of the shunting foreman </t>
  </si>
  <si>
    <t xml:space="preserve">Planning of timber loading sites and the level crossing requirements for them </t>
  </si>
  <si>
    <t>The Finnish Transport Infrastructure Agency should update the planning guidelines for timber loading sites so that the sites can be planned without level crossings. If level crossings are needed at the sites, safety requirements that are independent of the site classification should be specified for them. [2024-S39]</t>
  </si>
  <si>
    <t>no.476-1</t>
  </si>
  <si>
    <r>
      <t>Preamble Safety Recommendation 476/1
Along the investigation, it was found that the sleepers in the derailment area allowed, under the dynamic load of the rolling stock in circulation, the rails to move radially on the curve in the direction of the gauge increase, favouring the exceeding of the tolerances allowed in operation. It should be noted that in the derailment area, it was impossible to monitor the condition of the fastenings and sleepers during the periodical overhaul of the line, as the area was covered with coal from transportation activities.
 The investigation commission found that the infrastructure manager had identified the risk of ”Derailments of railway vehicles from trains in service”, but the action to assess this risk had not been properly carried out.</t>
    </r>
    <r>
      <rPr>
        <sz val="10"/>
        <color rgb="FF000000"/>
        <rFont val="Arial"/>
        <family val="2"/>
        <charset val="238"/>
      </rPr>
      <t xml:space="preserve">
Safety Recommendation 476/1
CNCF "CFR" SA - railway county Craiova shall reassess the risk identification method and will draw up ”The Rail Safety Hazard Record" in compliance with the Risk Management System Procedure - PS code 0 - 6.1, edition 3.</t>
    </r>
  </si>
  <si>
    <t>no.475-1</t>
  </si>
  <si>
    <r>
      <t>Preamble Recommendation 475/1
During the accident investigation, it was found the existence within the track, at the accident site, of an area in which the track twist ramp exceeded the maximum permissible value, as well as the exceeding of the permissible tolerances at the crossing level and exceeding the gauge variation between the points before the point of derailment were critical factors that influenced the occurrence of the accident.
In addition, from the analysis of the risk management and safety management activity (presented in chapter 4.d.2), it emerged that the public railway infrastructure manager CNCF "CFR" SA has procedures in place and has identified and analysed the risks and established that their control is to be achieved by applying the provisions of codes of practice. However, CNCF ”CFR” SA has not provided the necessary conditions for the application of these provisions, which denotes ineffective management of these risks associated with the danger of exceeding the permitted tolerances of the track geometry.</t>
    </r>
    <r>
      <rPr>
        <sz val="10"/>
        <color rgb="FF000000"/>
        <rFont val="Arial"/>
        <family val="2"/>
        <charset val="238"/>
      </rPr>
      <t xml:space="preserve">
Safety Recommendation 475/1
CNCF "CFR" SA, as the manager of the public railway infrastructure, shall reanalyse the management of the risks associated with the danger of exceeding the admitted tolerances of the track geometry and will take the necessary measures for their effective management.</t>
    </r>
  </si>
  <si>
    <t>01/2025</t>
  </si>
  <si>
    <t>Es wird empfohlen, gem. Delegierter Verordnung (EU) 2018/762, Anhang I, Kapitel 3.1.1 Sicherheitsmaßnahmen zu entwickeln, damit unabhängig vom begrenzten Sich􀆞eld am gewohnten Arbeitsplatz des Tf ein durch Signal gebotener Haltbegriff gesehen und beachtet wird.</t>
  </si>
  <si>
    <t>Trains collision, 16/2/2020, Würzburg Hbf</t>
  </si>
  <si>
    <t>no.477-1</t>
  </si>
  <si>
    <r>
      <t>Preamble Recommendation 477/1
Following the investigation carried out by Romanian Railway Investigation Agency - AGIFER for the railway accident of similar nature presented in Chap.4.e, an accident that occurred within the railway county Craiova, on 17th February 2020, between the railway stations Fărcașele and Drăgănești Olt, by derailment of 13 wagons of the freight train no.34372 (got by the railway undertaking SC Constantin Grup SRL), the following safety recommendation was issued:
”Romanian Railway Safety Authority - ASFR shall take care that the public railway infrastructure administrator will assess the risk associated to the danger of failure to carry out on time the capital repair works imposed by the codes of practice and will establish the measures for keeping it under control."
By Act no. 2330/40/27.04.2022, ASFR communicated the status of the implementation of the measures taken by CNCF ”CFR” SA as a consequence of the safety recommendations issued by AGIFER, on the occasion of the completion of the investigation actions in 2021. Thus, the following measures taken were communicated:
Keeping under control the safety risks caused by failure to carry out capital repair works on time requires the following measures:
a) restricting traffic speeds on areas with track gauge, level and directional defects, in accordance with safety rules;
b) limiting the maximum running speeds of trains, with the inclusion of additional running times in the timetables.
Although these measures, taken by SRCF Craiova, have an influence on the impact, they are not such as to reduce the likelihood of accidents. At the same time, the checks carried out, revealed that in the Risk Register of SRCF Craiova - Lines Division (act no.22/3/11/04.01.2023) the risks associated with the danger generated by the failure to carry out on time the overhaul works on the infrastructure imposed by the codes of practice were not assessed. In view of the above, AGIFER considers it appropriate to revert to the safety recommendation issued during the investigation of the accident that occurred on 17.02.2020 and to re-issue the same safety recommendation:</t>
    </r>
    <r>
      <rPr>
        <sz val="10"/>
        <color rgb="FF000000"/>
        <rFont val="Arial"/>
        <family val="2"/>
        <charset val="238"/>
      </rPr>
      <t xml:space="preserve">
Safety Recommendation 477/1
The public railway infrastructure manager will assess the risk associated to the danger of failure to perform, on time, the infrastructure overhaul works, imposed by the practice codes and will establish the measures for keeping it under control.</t>
    </r>
  </si>
  <si>
    <t>no.477-2</t>
  </si>
  <si>
    <r>
      <t>Preamble Recommendation 477/2
Following the analysis of the Risk Register - 2024 drawn up by the Lines Division – Craiova railway county for the lines branch, investigation commission found out that no analysis was carried out on the risk assessment associated with the danger generated by the failure to ensure the material and human resources to perform proper maintenance of the line and maintain the track geometry within the tolerances allowed.
In the light of the findings and conclusions of the investigation commission above-mentioned, AGIFER issues the following safety recommendation in order to prevent accidents that could occur in conditions similar to those presented in this report:</t>
    </r>
    <r>
      <rPr>
        <sz val="10"/>
        <color rgb="FF000000"/>
        <rFont val="Arial"/>
        <family val="2"/>
        <charset val="238"/>
      </rPr>
      <t xml:space="preserve">
Safety Recommendation 477/2
The public rail infrastructure manager will assess the risk associated to the danger generated by the insufficient material and human resources and will establish viable safety measures for keeping these risks under control.</t>
    </r>
  </si>
  <si>
    <t xml:space="preserve">BDZ PP EOOD undertake the replacement of electrolytic capacitors of the R-C groups </t>
  </si>
  <si>
    <t>• Recommendation 2 proposes that BDZ PP EOOD undertake the replacement of electrolytic capacitors of the R-C groups with dry-type capacitors of locomotives series 44 and 45</t>
  </si>
  <si>
    <t>BDZ PP EOOD to install technical means</t>
  </si>
  <si>
    <t>• Recommendation 3 proposes that BDZ PP EOOD install technical means (thermostats) for temperature control of rectifier groups 020 and 022 of locomotives series 44 and 45</t>
  </si>
  <si>
    <t>BDZ PP EOOD to restore the power supply of the electronic control unit of the auxiliary machines Y2 from its own transformer 222</t>
  </si>
  <si>
    <t>• Recommendation 4 proposes that BDZ PP EOOD restore the power supply of the electronic control unit of the auxiliary machines Y2 from its own transformer 222, in accordance with the design schemes of the manufacturing plant for series 44 and 45</t>
  </si>
  <si>
    <t>BDZ PP EOOD to organize and carry out major repairs of the locomotives of series 44 and 45</t>
  </si>
  <si>
    <t>• Recommendation 5 proposes that BDZ PP EOOD organize and carry out major repairs of the locomotives of series 44 and 45, which have expired operational resources and are needed in operation</t>
  </si>
  <si>
    <t xml:space="preserve">BDZ PP EOOD to increase control and accountability </t>
  </si>
  <si>
    <t>• Recommendation 6 proposes that BDZ PP EOOD increase control and accountability for the implementation of planned and necessary repairs.</t>
  </si>
  <si>
    <t>Recommendation R1 to SNCF Réseau</t>
  </si>
  <si>
    <t xml:space="preserve">Identify areas at risk of fire, on lines other than the HSL, where rapid passage of heavy emergency vehicles on either side of the tracks would be necessary but is not possible. If necessary, study the possibility of these vehicles crossing the tracks using temporary and rapid solutions, without damaging the tracks. These studies could be carried out with the central organisation of the fire brigade and other local authorities (SDIS). In the Montagnette area, study the possibility of installing a railway crossing to facilitate firefighting. A solution, such as a rerailment platform in place of an old level crossing that has been removed, which could be used by the fire brigade level crossing that has been removed, which could be used by the fire brigade alone or by SNCF Infra-manager services, subject to appropriate safety measures, could be studied in collaboration with the SDIS and local authorities. Invitation to other non-HSL Ims :
Identify areas at risk of fire, on lines other than the HSL, where rapid passage of heavy
emergency vehicles on either side of the tracks would be necessary but is not possible.
If necessary, study the possibility of these vehicles crossing the tracks using temporary
and quick solutions, without damaging the tracks. These studies could be carried out
with the SDIS and local authorities.
</t>
  </si>
  <si>
    <t>Recommandation R2 to SNCF Réseau</t>
  </si>
  <si>
    <t>Recommandation R2 to SNCF Réseau :
Replace the remaining 3rd generation DBCs with 4th generation of HBD/BAD, in
accordance with the SNCF Réseau product commission decision of 08 October
2024.
➢ Study the possibility of reducing the distance between HBD/BAD in fire-sensitive
areas crossed by freight trains Study the possibility of lowering HBD detection
thresholds in these same areas and ensuring that information are chained
between HBD/HBD.
➢ Implement the conclusions and recommendations of the JNS final report
"Consequences of unintended brake applications with LL brake blocks".</t>
  </si>
  <si>
    <t>Recommendation R3 to the Economic Performance Division of the Ministry of Agriculture and the Environment</t>
  </si>
  <si>
    <t>Recommendation R3 to the Economic Performance Division of the Ministry of
Agriculture and the Environment :
Ensure, if necessary, in relation with the ministries concerned, that the law of July
2023 is properly applied and in particular the interministerial order of 29 March 2024
issued in application of Article L.131-10 of the Forestry Code, which allows
prefectoral orders relating to DLOs to be brought into compliance, in line with
public policies, so that SNCF Réseau can carry out its DLO missions under the best
conditions, in particular for fire-sensitive areas.</t>
  </si>
  <si>
    <t>Recommendation R4</t>
  </si>
  <si>
    <t>Recommendation R4 to the railway undertakings “Fret SNCF” (now “HEXAFRET”)
and to EPSF for all other Fret railway undertakings with a CSU and Infrastructure
Managers convoys running on lines subject to amended Decree No. 2019-525 on
the safety and interoperability of the rail system (SI Decree) :
➢ Reinforce drivers' supervision of their trains and other traffic,
➢ Inform drivers of the potential consequences of locking their brakes with LL
shoes. ➢ Modifying the conditions for applying an overload :
- Systematically carry out the overload before the brake tests and always wait for it
to be eliminated before starting on the line;
- To be generalised in certain train departure conditions (prolonged stop, major
immobilisation, major winter/summer temperature variations) and always wait for
its elimination. Implement the conclusions and recommendations of the JNS final
report "Consequences of unintended brake applications with LL blocks".</t>
  </si>
  <si>
    <t>Recommendation R5</t>
  </si>
  <si>
    <t>Recommendation R5 to the railway undertakings “Fret SNCF” (now “HEXAFRET”)
and to EPSF for all other Fret railway undertakings with a CSU and IM convoys
running on lines subject to amended Decree No. 2019-525 on the safety and
interoperability of the rail system (SI Decree) :
➢ Study the benefits and possibility of modifying the overload to a value greater
than 5.4 bar. Proposals may be shared within Working Groups led by EPSF._x000D_</t>
  </si>
  <si>
    <t>Recommendation R6</t>
  </si>
  <si>
    <t>Recommendation R6 to the railway undertakings “Fret SNCF” (now “HEXAFRET”)
and to EPSF for all other Fret railway undertakings with a CSU and IM convoys
running on lines subject to the amended decree no. 2019-525 on the safety and
interoperability of the rail system (SI decree) :
➢ In addition to the work carried out as part of the JNS "Consequences of
unintended brake applications with LL blocks", study experiments aimed at
improving the detection of braking system anomalies :
- At the outset: for example, a system to assist and monitor the correct performance
of brake tests in order to detect anomalies;
- Online, taking into account the potential consequences linked to the thermal
capacities of LL soles (e.g. temperature and pressure sensors, etc.).
➢ Proposals may be shared within Working Groups led by EPSF.</t>
  </si>
  <si>
    <t>Introduce improving measures</t>
  </si>
  <si>
    <t>In view of the accidents that have occurred and the significant risk of further occurrences at the crossing, the infrastructure operator PKP PLK S.A., together with the road operator, the Head of Budzyń Municipality, will agree to implement one of the following measures to improve safety at the crossing:
1) reconfiguring a section of the road leading to the railway line so that the angle of intersection with the railway line is close to 90o without changing the current category of the crossing, or
2) increasing the category of the crossing, or
3) removing the crossing.</t>
  </si>
  <si>
    <t>Speed limit at the level crossing</t>
  </si>
  <si>
    <t>Until one of the measures specified in recommendation 1 is implemented, due to the safety risk at the crossing, the railway infrastructure operator PKP PLK S.A. will introduce permanent speed limits of 20 km/h for the train front at the level crossing of category D at kilometre 56.055 of railway line 354, Poznań Główny POD-Piła Głowna, in both directions.</t>
  </si>
  <si>
    <t>Changes in the national legislation</t>
  </si>
  <si>
    <t>The Minister of Infrastructure will analyse the Regulation of the Minister of Infrastructure and Development of 20 October 2015 on the technical conditions to be met by crossings of railway lines and sidings with roads, and on their positioning (Journal of Laws of 2015, item 1744, as amended) to determine if it is necessary to add specific requirements to check the visibility of the train front
from the road and account for conditions similar to those experienced by road users (e.g., drivers of various road vehicles. See the reasons described in Chapter IV, section 3.4, of this Report).</t>
  </si>
  <si>
    <t>Check of forward-facing recording systems</t>
  </si>
  <si>
    <t>Railway undertakings operating powered railway vehicles will check the installed forward-facing video recording systems to determine if the recorded footage is correct and uninterrupted. For systems with delayed video recording, the undertakings will modify the power supply systems to ensure the recording process continues even if external power is lost.</t>
  </si>
  <si>
    <t>Verification of the risk assessment results</t>
  </si>
  <si>
    <t xml:space="preserve">PKP PLK S.A. will verify the results of the risk assessments of occurrences at level crossings of cat. D for which the intersection angle is smaller than 60o (conducted in accordance with Section 4.2, Recommendation No. 7, in the PKBWK 2020 Annual Report), and will take appropriate action. </t>
  </si>
  <si>
    <t>Recommendation no. IT-10481-01</t>
  </si>
  <si>
    <t>It is recommended that the National Agency for Railway and Road and Highway Infrastructure Safety urge Rete Ferroviaria Italiana and the Municipality of Corigliano-Rossano to eliminate the Level Crossing (LC) km 128+123 of the Metaponto–Reggio Calabria line, regardless of the construction of the planned overpass. In the event, not recommended, that the LC is intended to be reopened, pending the completion of the overpass, it is suggested that some mitigating actions be adopted by the involved entities, each within their respective competencies:
• verify the actual passability of the LC by heavy vehicles, considering the geometric-functional characteristics for the curve entry of such vehicles;
• remove the walls on the right side, entering the LC from Senofane Street, located before and after the tracks. The demolition of the aforementioned walls should, pending verification, meet the geometric-functional characteristics for the entry of vehicles longer than 16 m into the curve. Such demolition would also allow for the expansion of the LC parking areas or shelters, which are currently unable to fully accommodate a truck longer than 11 m;
• in the absence of the demolition of the aforementioned walls, prohibit the crossing of the LC by vehicles exceeding a length of 11 m;
• complete the vertical and horizontal signage required by the Highway Code;
• accelerate the process of preparing PAI-PL type devices (Integrated Automatic Protection Level Crossing) for obstacle detection in the area demarcated by the barriers;
• prescribe the train's transit with sighting while equipping with PAI-PL.</t>
  </si>
  <si>
    <t>Collision between train n. 5677 and truck at level crossing km 128+123, at Thurio, Metaponto - Reggio Calabria line</t>
  </si>
  <si>
    <t>Recommendation no. IT-10481-02</t>
  </si>
  <si>
    <t>It is recommended that the National Agency for Railway and Road and Highway Infrastructure Safety urge Infrastructure Managers to ensure that in all Level Crossings (LC) where, as in the case of Thurio, all the conditions mentioned in point 4.24 of the Railway Traffic Regulation (RCF) are simultaneously present (crossing with barriers at a considerable distance from each other, heavy traffic, and difficult and winding road layout) but not yet equipped with devices or systems that allow for verifying the freedom of the crossing, such as PAI-PL, further and appropriate mitigation measures are identified and adopted, considering, among other things, those provided in point 15.2 of the RCF (driving by sight).</t>
  </si>
  <si>
    <t>Recommendation no. IT-10481-03</t>
  </si>
  <si>
    <t>It is recommended that the National Agency for Railway and Road and Highway Infrastructure Safety promote the adoption, even on an experimental basis, by Infrastructure Managers of alert systems that allow road users to report dangerous situations at level crossings. For example, the establishment of a national toll-free number that, upon use, automatically generates an emergency call to the trains operating in the area based on suitable georeferencing functions of the telephone device used.</t>
  </si>
  <si>
    <t>Recommendation no. IT-10481-04</t>
  </si>
  <si>
    <t>It is recommended that the National Agency for Railway and Road and Highway Infrastructure Safety encourage manufacturers, railway companies, and infrastructure managers to experiment with onboard and ground sensor systems for the timely detection of obstacles on the train's path.</t>
  </si>
  <si>
    <t>02_25</t>
  </si>
  <si>
    <t>It is recommended that the railway infrastructure company should examine and, if necessary, improve the planning and opera􀆟onal rules for railway crossings in rela􀆟on to sufficient risk control as per Regula􀆟on (EU) 2018/762, Annex II, criterion 3.1.1 a), including with effect for exis􀆟ng railway crossings.</t>
  </si>
  <si>
    <t>train collision Bf München Nord Rbf 230520</t>
  </si>
  <si>
    <t>03_25</t>
  </si>
  <si>
    <t>It is recommended that the effectiveness of concepts for monitoring commissioned contractors in accordance with Regula􀆟on (EU) 2018/762, Annex II, criterion 5.3.3. a) and 6.1.1. a) should be examined in order to ensure that their workers know about rules affecting railway safety, independently from occupational health and safety rules.</t>
  </si>
  <si>
    <t>04_25</t>
  </si>
  <si>
    <t>In order to reinforce the risk-oriented approach in all phases of competence management, it is recommended that the procedures for maintaining and updating safety-related knowledge and skills should be inspected in a workplace-specific manner and improved if necessary. This must include the activities of employees with safety-related roles and managerial tasks at all relevant levels (Regulation (EU) 2018/762, Annex II, points 4.2.1 and 6.1.1 a)).</t>
  </si>
  <si>
    <t>trains collision Leiferde 11172022</t>
  </si>
  <si>
    <t>05_25</t>
  </si>
  <si>
    <t>It is recommended that obligatory statutory communication channels and reporting paths in the management systems of the infrastructure manager, railway undertaking and ECM should be developed/improved with the aim of all parties involved jointly reducing the frequency of continuous ATC system transmission failures.
(Relating to railway undertaking: Regulation (EU) 2018/762, Annex I, point 4.4.1;
infrastructure manager: Regulation (EU) 2018/762, Annex II, point 4.4.1;
ECM: Regulation (EU) 2019/779, Annex II, point 7.1)</t>
  </si>
  <si>
    <t>The Swedish Transport Administration (Trafikverket) is recommended to:
Review the guidelines and routines for the construction and maintenance of snow galleries in order to protect the track against severe snowdrift formations (see section 4.2). (SHK 2025:01 R1)</t>
  </si>
  <si>
    <t>The Swedish Transport Administration (Trafikverket) is recommended to cooperate with the railway undertakings that operate Malmbanan, to:
Continue to assess how routines can be developed and measures taken with the aim of reducing the risk of train derailment in connection with low axle load and severe snowdrift formations (see section 4.3). (SHK 2025:01 R2)</t>
  </si>
  <si>
    <t>no.452-1</t>
  </si>
  <si>
    <r>
      <t>Preamble Recommendation 452/1
Whereas during the investigation, deficiencies were found in the operation of the SAGMA equipment, which is a critical rail product classified since 2017 as risk class 1A - rail products whose improper operation or defects caused a loss of safety and security of transportation, Romanian Railway Investigation Agency (AGIFER) considers it appropriate to issue the following safety recommendation:</t>
    </r>
    <r>
      <rPr>
        <sz val="10"/>
        <color rgb="FF000000"/>
        <rFont val="Arial"/>
        <family val="2"/>
        <charset val="238"/>
      </rPr>
      <t xml:space="preserve">
Safety recommendation 452/1
Romanian Railway Safety Authority (ASFR) will request that all railway undertakings identify whether there are locomotives in their engine stock equipped with SAGMA-type graduator's actuation equipment produced by SC INDA SRL and to order the assessment or reassessment of the dangers generated by the use of this equipment. The necessary measures shall be taken accordingly to keep these dangers under control.</t>
    </r>
  </si>
  <si>
    <t>Rail vehicle movement event, 25/3/2023, Galați</t>
  </si>
  <si>
    <t>no.452-2</t>
  </si>
  <si>
    <r>
      <t>Preamble Recommendation 452/2
Whereas, during the investigation, shortcomings were found in the SNTFC "CFR Călători" SA regarding the identification, assessment and control of hazards in locomotive operation, Romanian Railway Investigation Agency (AGIFER) considers it appropriate to issue the following safety recommendations:</t>
    </r>
    <r>
      <rPr>
        <sz val="10"/>
        <color rgb="FF000000"/>
        <rFont val="Arial"/>
        <family val="2"/>
        <charset val="238"/>
      </rPr>
      <t xml:space="preserve">
Safety recommendation 452/2
SNTFC "CFR Călători" SA will reassess the hazard represented by "non-compliance with the obligations and responsibilities of the personnel responsible for traffic safety" and will evaluate the hazard represented by "improper functioning/defective equipment for operating the graduator of electric locomotives, particularly those equipped with SAGMA type equipment", respectively will take measures accordingly to control these hazards.</t>
    </r>
  </si>
  <si>
    <t>no.480-1</t>
  </si>
  <si>
    <r>
      <t>Preamble safety recommendation no.480/1
Due to the malfunction of train 42 upon departure from metro station Dristor 1 train 04 with passengers, and operating under the ATP system between metro stations Mihai Bravu and Dristor 1, on track I behind train 42, was stopped by the ATP-ATO system in the tunnel, near metro station Dristor 1.
The traffic control staff ordered the withdrawal of train 04 from the tunnel at metro station Mihai Bravu on line 2.
The driver of train 04 changed the driving position, switched to DEP (shunting) mode and, after receiving the instruction from the traffic shift head, isolated the ATP system of the train to allow for its quick withdrawal from the tunnel. The train then proceeded to line 2 at metro station Mihai Bravu.
After arriving at the metro station Mihai Bravu, the driver of train 04 requested via the radio communication system to restore the ATP system, but received no response regarding its reactivation so, train 04 remained with the ATP system disconnected.
It should be noted that, when the ATP system is switched off, there is no technical barrier to automatically stop the train if it passes a stop signal.
In light of the above, the investigation commission analysed the existing regulations regarding the operation of TEM (electric train set) with the ATP system deactivated and found that the disconnection of the ATP system and running over certain distances is only permitted in cases of track circuit failures or onboard ATP system malfunctions.</t>
    </r>
    <r>
      <rPr>
        <sz val="10"/>
        <color rgb="FF000000"/>
        <rFont val="Arial"/>
        <family val="2"/>
        <charset val="238"/>
      </rPr>
      <t xml:space="preserve">
Safety recommendation 480/1
SC TMB ”METROREX” SA shall carry out a risk analysis to assess the risks associated with operating trains with the onboard ATP system disconnected in cases where the technical condition of the track circuits and ATP system is functional. Additionally, it shall establish concrete measures to control these risks.</t>
    </r>
  </si>
  <si>
    <t>no.480-2</t>
  </si>
  <si>
    <r>
      <t>Preamble safety recommendation 480/2
The investigation revealed that the accident was caused by errors resulting from communication failures, both due to insufficient awareness among operational staff of the importance of adhering to communication protocols and the lack of detailed regulations, procedures, and guidelines regarding safety communication and communication protocols within the own railway's safety system (SPSC).</t>
    </r>
    <r>
      <rPr>
        <sz val="10"/>
        <color rgb="FF000000"/>
        <rFont val="Arial"/>
        <family val="2"/>
        <charset val="238"/>
      </rPr>
      <t xml:space="preserve">
Safety recommendation 480/2
SC TMB ”METROREX" SA will carry out a risk analysis of errors in the safety communication process, and based on the results obtained, will develop procedures/guidelines to ensure that the safety communication process is sufficiently detailed and efficient (including pre-established communication protocols and a hierarchy of communication roles).  Additionally, it will ensure that personnel transmitting and receiving orders via telephone and radio communication systems are aware of the importance of adhering to these protocols.</t>
    </r>
  </si>
  <si>
    <t>no.480-3</t>
  </si>
  <si>
    <r>
      <t>Preamble safety recommendation 480/3
The quality of communication via the radio system depends on the quality of the equipment used. The investigation showed that, in the case of this accident, immediately after the breakdown of train 42, multiple simultaneous communication occurred on a single channel, between traffic shift head and the drivers of the trains in running, between the traffic shift head and the rescue team, between the traction operator and the drivers of train 42. Both recordings and staff testimonies, indicated that when multiple communications occur simultaneously on the same channel, the risk of misinterpretation is significantly high.</t>
    </r>
    <r>
      <rPr>
        <sz val="10"/>
        <color rgb="FF000000"/>
        <rFont val="Arial"/>
        <family val="2"/>
        <charset val="238"/>
      </rPr>
      <t xml:space="preserve">
Safety recommendation 480/3
SC TMB ”METROREX" SA will  assess the possibility of equipping with radiocommunication equipment to ensure a higher quality communication and the possibility of providing multiple communication channels  for different types of communication.</t>
    </r>
  </si>
  <si>
    <r>
      <t>Addressed to the Czech National Safety Authority (NSA):</t>
    </r>
    <r>
      <rPr>
        <sz val="10"/>
        <color rgb="FF000000"/>
        <rFont val="Liberation Sans"/>
      </rPr>
      <t xml:space="preserve">
• as part of its activities as a national safety authority to accept a measure which ensures that for train drivers at railways (with exception of metro) will be determine obligation to give the warning signal „Attention“ not only in situation when he notices a person in the structure gauge of track where he is driving or will drive but also in situation when he notices a person in immediate nearness of track where he is driving or will drive [it does not relate a person who is situated in distance more than 2.5 metres from track centre-line on platform (in safe area which is marked by yellow line].</t>
    </r>
  </si>
  <si>
    <t>no.481-1</t>
  </si>
  <si>
    <r>
      <t>Preamble safety recommendation No. 481/1
During the investigation, it was established that the event occurred as a result of the fall of a subassembly (brake beam) from wagon no. 81536653508-7, part of freight train no.65094, which was subsequently struck by wheel no.2 of the same wagon. Considering the findings and conclusions of the aforementioned investigation commission, Romanian Railway Investigation Agency - AGIFER considers it appropriate to issue the following safety recommendation to Romanian Railway Safety Authority - ASFR:</t>
    </r>
    <r>
      <rPr>
        <sz val="10"/>
        <color rgb="FF000000"/>
        <rFont val="Arial"/>
        <family val="2"/>
        <charset val="238"/>
      </rPr>
      <t xml:space="preserve">
Safety recommendation No. 481/1
The railway undertaking SNTFM ”CFR Marfă” SA should reassess the risks associated with the danger posed by the fall of a subassembly from a wagon during train operation and implement effective safety measures to control these risks.</t>
    </r>
  </si>
  <si>
    <t xml:space="preserve">2025-RL01-01, 2025-RL01-02, 2025-RL01-03, 2025-RL01-04, 2025-RL01-05, 2025-RL01-06, 2025-RL01-07, 2025-RL01-08, 2025-RL01-09, 2025-RL01-10, 2025-RL01-11, 2025-RL01-12, 2025-RL01-13, 2025-RL01-14, 2025-RL01-15, 2025-RL01-16, 2025-RL01-17  </t>
  </si>
  <si>
    <t>See accident investigation final report (Section 6.1 pages 130-139). Report available from this link: https://www.era.europa.eu/sites/default/files/2025-03/eodasaam_accident_investigation_tempi-final.pdf</t>
  </si>
  <si>
    <t>no.482-1</t>
  </si>
  <si>
    <r>
      <t>Preamble - Safety Recommendation No 482 /1
During the investigation, it was found that the railway undertaking Grup Feroviar Român SA did not identify the responsibilities of the driver and driver’s assistant in relation to the risks posed by the hazard of abnormally heated axle boxes and did not provide training for these roles in this area.</t>
    </r>
    <r>
      <rPr>
        <sz val="10"/>
        <color rgb="FF000000"/>
        <rFont val="Arial"/>
        <family val="2"/>
        <charset val="238"/>
      </rPr>
      <t xml:space="preserve">
Safety Recommendation No. 482/1
The railway undertaking Grup Feroviar Român SA shall carry out an analysis to determine the necessary measures for improving the competence`s maintain/upgrading program for driver and driver’s assistant role, ensuring that operating staff possess the required skills to detect and recognize the hazard of an abnormally heated axle box.</t>
    </r>
  </si>
  <si>
    <t>Recommandation R1 à l’attention de OSLO :
Mettre en cohérence les procédures opérationnelles avec celles de SNCF R.
Finaliser les procédures partiellement décrites et actualiser ce qui doit l’être.
Agir pour favoriser le respect des procédures, définir une stratégie de traitement
des situations d’urgence et en tester l’efficacité régulièrement.</t>
  </si>
  <si>
    <t>Recommandation R2 à l’attention de SNCF V :
Définir précisément le cadre d’intervention, les compétences et les limites
géographiques de l’engagement des astreintes de SNCF V. Veiller à ce que ses
filiales s’organisent en conséquence et en cohérence avec ce cadre.</t>
  </si>
  <si>
    <t>Recommandation R3 à l’attention de SNCF R :
Mettre en place un système de contrôle qualité sécurité capable de détecter des
situations d’immixtion ou de non-respect des prérogatives des agents en charge de
la sécurité des circulations lors des interventions des gestionnaires de crise
territoriaux et nationaux.
Associer à la démarche de contrôle un retour d’expérience systématique pour toute
situation dont le traitement aura été différent des règles établies.</t>
  </si>
  <si>
    <t>Recommandation R4 à l’attention de SNCF R :
Veiller à l’application du document DC 4380 pour garantir que les informations
circulant entre les gestionnaires de crise et les intervenants présents sur les lieux,
transitent systématiquement par le régulateur pour une situation ayant lieu en
pleine ligne ou par l’AC pour un événement situé dans les limites territoriales de la
gare.
Pour gérer la détresse d’un train de voyageurs ayant demandé le secours en tenant
compte de l’instabilité de la situation, créer une fiche dans le document DC 1503
imposant la mise en place de marche prudente pour toute circulation dépassant ou
croisant le train en détresse.
Intégrer dans le document DC 2611 ou créer un document traitant des règles
d’intervention des forces de police ou de gendarmerie.</t>
  </si>
  <si>
    <t>Recommandation R5 à l’attention du groupe SNCF :
Réaliser un retour d’expérience sur l’événement pour expliciter et promouvoir cette
règle pour l’ensemble des agents du groupe quel que soit leur grade.</t>
  </si>
  <si>
    <t>Recommandation R6 à l’attention de SNCF R et de la Direction Générale de la
Sécurité Civile et de la Gestion de Crise :
Réaliser un retour d’expérience sur l’événement pour rappeler les règles à
respecter rigoureusement pour toute intervention en milieu ferroviaire.
Cette démarche impliquera nécessairement la Direction Générale de la Police
Nationale, la Direction Générale de Gendarmerie, les Commandements des
Bataillons des Sapeurs Pompiers de Paris et des Marins-Pompiers de Marseille, et
l’Association des maires de France pour les Policiers Municipaux.</t>
  </si>
  <si>
    <t>På Odsherredsbanen var der identificeret flere igangsætninger uden kørtilladelse. Denne enkeltsporede strækning havde ikke et togkontrolanlæg, der kunne standse tog, som var igangsat uden kørtilladelse. Strækningen havde derfor større risiko for kollision end tilsvarende strækninger med togkontrolanlæg. Jernbanevirksomhedens opstillede barrierer til hindring af igangsætning uden kørtilladelse var ikke tilstrækkelige og sås ikke at tage højde for de faktorer, som efter Havarikommissionens vurdering påvirkede lokomotivføreren i forbindelse med togets afgang fra Nr. Asmindrup Station.</t>
  </si>
  <si>
    <t>DK-2025 R 1 af d. 27-03-2025. Havarikommissionen anbefaler, at Trafikstyrelsen sikrer, at Lokaltog foretager en analyse, der klarlægger, hvilke menneskelige faktorer der kan udgøre årsager til igangsættelse uden kørtilladelse i forbindelse med krydsninger på stationer uden togkontrolanlæg, samt under hensyntagen til de klarlagte menneskelige faktorer og deres sandsynlighed for at forårsage igangsættelse uden kørtilladelse sikrer, at barrierer til opnåelse af et acceptabelt sikkerhedsniveau er opstillet og fungerer effektivt.</t>
  </si>
  <si>
    <t>Radio-stop signal</t>
  </si>
  <si>
    <t>Authorised infrastructure operators, users of sidings and other entities exempted from the obligation to have a safety authorisation, with computerised signalling equipment and Remote Radio Control Systems, shall take measures to ensure that the RADIO-STOP function can be immediately initiated by the traffic operators in case of a risk to train traffic safety by means of a dedicated and readily accessible button for each base transceiver station.</t>
  </si>
  <si>
    <t>Train's collision</t>
  </si>
  <si>
    <t>Changes within railway traffic organisation</t>
  </si>
  <si>
    <t>2) The infrastructure operator PKP Polskie Linie Kolejowe S.A. will change the organisation of railway traffic within the Gdynia Główna station by:
1. preventing transmitting the signal from displaying the Ms2 aspect “Shunting permitted” for shunting runs from shunt signal Tm37 to Tm30 during train runs from station tracks 1, 2, 3, 4 and 5 towards mainline tracks No.: 1Ch, 2Ch, 301 and 302. During the above-mentioned train runs, track and switch sections Jt15a, iz80, iz73, iz70 should be free of rolling stock;
or
2. introducing stipulations in the Technical Regulations of Gdynia Główna Station stating that before carrying out a train, run the traffic controller is obliged to: interrupt any shunting operations that create the risk of a vehicle entering the path of a passing train, ensure that the operations have been successfully interrupted and have this fact acknowledged by the driver performing the shunting run (Instruction Ir-1 §12(2)).</t>
  </si>
  <si>
    <t>Ensure corect data reording</t>
  </si>
  <si>
    <t>The carrier POLREGIO S.A. will ensure that the running data of powered rail vehicles are correctly recorded in accordance with the real state.</t>
  </si>
  <si>
    <t>Periodic inspection of the on-board recorders</t>
  </si>
  <si>
    <t>Railway carriers shall include in their internal rules the need to carry out periodic inspections of the on-board recorders of rail vehicles to the extent and within the periods of time recommended by the manufacturers of the recorders and covering, in particular, the correct recording of the actual operating state of the vehicle. Inspections should be carried out by the recorder manufacturers or entities authorised by the manufacturers.</t>
  </si>
  <si>
    <t>Improve fuel scheduling</t>
  </si>
  <si>
    <t>The carrier POLREGIO S.A. and the railway infrastructure operator PKP PLK S.A. Maintenance-of-Way Department in Gdynia shall ensure the implementation of provisions included in in the notes (column 20) in the timetable of PR Gdynia trainsets connected with refuelling run. Unscheduled refuelling of powered rail vehicles may only take place in justified emergencies</t>
  </si>
  <si>
    <t>Elimination of irregularities found by Examination Team</t>
  </si>
  <si>
    <t>Infrastructure operator PKP Polskie Linie Kolejowe S.A. will undertake actions aimed at the elimination of irregularities found by the Investigation Team in the course of the investigation, and included in section V.3(6–10).</t>
  </si>
  <si>
    <t>Addressed to the Czech National Safety Authority (NSA):
• to ensure that infrastructure managers of the railway, with the exception of special railway, to take its own measure forcing at increasing safety at multi-track level crossings with level crossing safety installation that is partially (for one of the tracks) not in operation, either by placing traffic signs informing about the possible movement of rolling stocks even when the level crossing is open or traffic signs reminding priority for rolling stocks over road traffic or obligation to guard the level crossing when movement on a track where the level crossing safety installation is not in operation;
• to ensure that traffic signs, according to previous point of the safety recommendation at the IMs, in cooperation with road administrative authorities, will be used uniformly in the Czech Republic (type, inscription, location).</t>
  </si>
  <si>
    <t>Recommendation IT-10399-1</t>
  </si>
  <si>
    <t>It is recommended that the National Agency for Railway Safety and Road and Highway Infrastructure work to ensure that Rete Ferroviaria Italiana and other infrastructure managers evaluate the effectiveness of the procedures adopted for the parking of work vehicles on the infrastructure they manage and for monitoring the maintenance of the parking for the necessary duration to identify any modifications to their system.</t>
  </si>
  <si>
    <t>Recommendation IT-10399-2</t>
  </si>
  <si>
    <t>It is recommended that the National Agency for Railway Safety and Road and Highway Infrastructure take action so that Rete Ferroviaria Italiana and other infrastructure managers promote the development of technological devices that automatically respond to unauthorized movement of a previously stationary train:
- Inform the staff;
- Command the activation of traffic inhibition devices at the roadside level crossings that may be affected;
- Set the signals to stop trains from proceeding on the tracks adjacent to the construction area in both directions;
to minimize the risks posed to the running tracks, passenger platforms, and level crossings that may be affected by the unauthorized movement.</t>
  </si>
  <si>
    <t>Recommendation IT-10399-3</t>
  </si>
  <si>
    <t>It is recommended that the National Agency for Railway Safety and Road and Highway Infrastructure work to ensure that Rete Ferroviaria Italiana and other infrastructure managers verify the effectiveness of their monitoring system with regard to:
- proper execution of tasks performed by personnel, both internal and from contracting companies, who are authorized to operate and escort work vehicles;
- Training for personnel from the contracting companies.</t>
  </si>
  <si>
    <r>
      <t>Addressed to the Czech National Safety Authority (NSA):</t>
    </r>
    <r>
      <rPr>
        <sz val="10"/>
        <color rgb="FF000000"/>
        <rFont val="Arial"/>
        <family val="2"/>
        <charset val="1"/>
      </rPr>
      <t xml:space="preserve">
• as part of its activities as National Safety Authority to adopt own measure to ensure at IMs of railway tracks national and regional continue to realize and deepen a system of practical training for train dispatchers, when it is create crisis situations requiring an appropriate reaction to immediate threat of safe operation of railway transport in order to avert an occurrence or reduce their consequences without unnecessary delay.</t>
    </r>
  </si>
  <si>
    <t>no.485-1</t>
  </si>
  <si>
    <r>
      <t>Preamble to Recommendation 485/1
As deficiencies were identified during the investigation regarding the monitoring process of the measures established to control the risks associated with the hazard of "non-compliance with the periodic overhaul and repair for rolling stock", AGIFER considers it appropriate to issue the following safety recommendation:</t>
    </r>
    <r>
      <rPr>
        <sz val="10"/>
        <color rgb="FF000000"/>
        <rFont val="Arial"/>
        <family val="2"/>
        <charset val="238"/>
      </rPr>
      <t xml:space="preserve">
Safety recommendation 485/1
The railway undertaking Grup Feroviar Român SA shall reassess the risk associated with the hazard generated by the "non-compliance with the periodic overhaul and repair for rolling stock" as required by the codes of practice, and shall establish specific measures to reduce the likelihood of this hazard occurring.</t>
    </r>
  </si>
  <si>
    <t>no.485-2</t>
  </si>
  <si>
    <r>
      <t>Preamble to Recommendation 485/2
Since during the investigation, deficiencies were found regarding the monitoring process carried out by Grup Feroviar Feroviar Român SA of the locomotive maintenance activities performed by Logistică Feroviară SRL, presented in section 4.d. "Feedback and control mechanisms, including risk management, safety management and monitoring processes", in order to control the risks associated with the hazard  of "insufficient monitoring of the maintenance function processes by the contractor", AGIFER considers it appropriate to issue the following safety recommendation:</t>
    </r>
    <r>
      <rPr>
        <sz val="10"/>
        <color rgb="FF000000"/>
        <rFont val="Arial"/>
        <family val="2"/>
        <charset val="238"/>
      </rPr>
      <t xml:space="preserve">
Safety recommendation 485/2
The railway undertaking Grup Feroviar Român SA shall reassess the risk associated with the hazard generated by "insufficient monitoring of the maintenance function processes by the contractor" and shall establish specific measures to reduce the likelihood of this hazard occurring.</t>
    </r>
  </si>
  <si>
    <t>no.484-1</t>
  </si>
  <si>
    <r>
      <t>Preamble Recommendation no. 484/1
The outbreak of the fire on locomotive DA1544 occurred while the locomotive was being operated with oil, diesel fuel, and/or water leaks, which increased the likelihood of a short circuit, followed by the ignition of these residues and the rapid spread of the fire.
Taking into account the fact that, during the investigation,  it was found that the railway undertaking SC Grup Feroviar Român SA has identified the hazard represented by ”the operation of locomotives with oil, diesel fuel, and/or water leaks, as well as an improper  state of cleanliness in the area of the traction motor connection boxes”, but the measures taken did not result in effective control of this risk, the investigation commission, in order to prevent accidents that could occur under similar circumstances to those described in this report, issues the following safety recommendation:</t>
    </r>
    <r>
      <rPr>
        <sz val="10"/>
        <color rgb="FF000000"/>
        <rFont val="Arial"/>
        <family val="2"/>
        <charset val="238"/>
      </rPr>
      <t xml:space="preserve">
Safety recommendation no. 484/1
Reassessment by the railway undertaking SC Grup Feroviar Român SA of the risk represented by ”the operation of locomotives with oil, diesel fuel, and/or water leaks, as well as an improper state of cleanliness in the area of the traction motor connection boxes”, and the establishment of effective measures to keep this risk under control.</t>
    </r>
  </si>
  <si>
    <t>Fire in RS, 21/4/2024, Sântana - Utvinușu Nou</t>
  </si>
  <si>
    <t>no.484-2</t>
  </si>
  <si>
    <r>
      <t>Preamble Recommendation no. 484/2
The outbreak of the fire on locomotive DA1544 occurred when the was being operated after the maximum time interval for performing periodic overhauls had been exceeded.
Taking into account the fact that, during the investigation it was found that the railway undertaking SC Grup Feroviar Român SA has identified the hazard represented by "failure to comply with the time periods for carrying out periodic  repairs/overhauls", but the measures taken have not resulted in keeping this risk under control, in order to prevent accidents that could occur under similar circumstances to those described in this report, the investigation commission  issues the following safety recommendation:</t>
    </r>
    <r>
      <rPr>
        <sz val="10"/>
        <color rgb="FF000000"/>
        <rFont val="Arial"/>
        <family val="2"/>
        <charset val="238"/>
      </rPr>
      <t xml:space="preserve">
Safety recommendation no. 484/2
Reassessment by the railway undertaking SC Grup Feroviar Român SA of the risk represented by “failure to comply with the time periods for carrying out periodic repairs/overhauls”, and the establishment of effective measures to control this risk associated with its railway operations.</t>
    </r>
  </si>
  <si>
    <t>no.484-3</t>
  </si>
  <si>
    <r>
      <t>Preamble Safety Recommendation no. 484/3
The outbreak of the fire on locomotive DA1544 occurred while the locomotive was being operated in an improper state of cleanliness in the area of the connection box of traction motor no.4, thus increasing the probability of a short-circuit followed by a fire.
Taking into account the fact that during the investigation, it was found that the railway undertaking SC Grup Feroviar Român SA had not identified the hazard represented by “operating locomotives in an improper state of cleanliness in the area of the connection boxes of the locomotive traction motors” and that the necessary measures to control this risk had not been taken, in order to prevent accidents that could occur under similar conditions to those described in this report, the investigation commission issues the following safety recommendation:</t>
    </r>
    <r>
      <rPr>
        <sz val="10"/>
        <color rgb="FF000000"/>
        <rFont val="Arial"/>
        <family val="2"/>
        <charset val="238"/>
      </rPr>
      <t xml:space="preserve">
Safety Recommendation no. 484/3
Assessment by the railway undertaking SC Grup Feroviar Român SA of the risks associated with its railway operations and the establishment of effective measures to control the risk represented by “operating locomotives in an improper state of cleanliness in the area of the connection boxes of the traction motors”.</t>
    </r>
  </si>
  <si>
    <t>BA2022-0345-5-01</t>
  </si>
  <si>
    <t>The TSB recommends that the basic training of railway staff should include the teaching of non-technical skills, with appropriate additions to the training programmes.</t>
  </si>
  <si>
    <t>BA2022-0345-5-02</t>
  </si>
  <si>
    <t>TSB recommends that
- the actors in the training system clarify the place of supervised work in the training system, in particular the identity of the organisation providing it, and
- develop appropriate training rules that are enforceable and respected in practice.</t>
  </si>
  <si>
    <t>BA2022-0345-5-03</t>
  </si>
  <si>
    <t>The TSB recommends that the regulation(s) on rail staff training should include the provision of non-technical training for staff.</t>
  </si>
  <si>
    <t>DK.2025 R 2 af d. 14-05-2025</t>
  </si>
  <si>
    <t>Havarikommissionen anbefaler, at Trafikstyrelsen sikrer, at Banedanmark indfører tiltag, som forhindrer påkørsel af en afløbssko ved rangering fra Høje Taastrup spor 0 mod Kombiterminalen.</t>
  </si>
  <si>
    <t>2024-274, Høje Taastrup, Rangertræk kollision mod afløbssko (15-05-2024)</t>
  </si>
  <si>
    <r>
      <t>Addressed to the Czech National Safety Authority (NSA):</t>
    </r>
    <r>
      <rPr>
        <sz val="10"/>
        <color rgb="FF000000"/>
        <rFont val="Liberation Sans"/>
      </rPr>
      <t xml:space="preserve">
• to take own measure to ensure addition of the level crossing No. P2819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r>
  </si>
  <si>
    <t>Wheelsets with LL brake blocks, minimum diameter in operation</t>
  </si>
  <si>
    <r>
      <t>Safety deficit:</t>
    </r>
    <r>
      <rPr>
        <sz val="10"/>
        <color rgb="FF000000"/>
        <rFont val="Arial"/>
        <family val="2"/>
      </rPr>
      <t xml:space="preserve"> The document published by the JNS Broken Wheels task force on 28 July 2017 mentions that cracks of thermal origin may initiate in the rim of wheel type BA 004 in some applications. The task force defined short- and long-term measures to limit risks during operation and maintenance of the wheelsets, and proposed amend-ments to standards and regulations. One such risk control measure was to set the minimum diameter at 880mm for wheelset types BA 314 and BA 004. In its final report of 11 July 2024, the JNS Task Force ‘Accident Gotthard base tunnel – broken wheels’ concludes that: Wheelset type BA 390 is comparable to wheelset type BA 004. Four additional wheelset types (Db004-sa, Ri 025, R32, BA 304) were also identified as compara-ble. The risk control measures (minimum wheel diameter 880mm), which were published in the first JNS Broken Wheels on 28 July 2017, also apply to these wheelset types. In an analysis of 74 cases of different wheelset types (Broken wheel – visual crack detection or cracks found in Non-Destructive Testing) showed that ten cases were registered involving a broken wheel disc or cracks in wheels detected during a visual inspection. In all of these ten cases, the wheelsets had a wheel diameter equal to or less than 880mm. The broken wheel that is the subject of this report had a wheel diameter of 862mm after the last reprofiling. </t>
    </r>
    <r>
      <rPr>
        <b/>
        <sz val="10"/>
        <color rgb="FF000000"/>
        <rFont val="Arial"/>
        <family val="2"/>
      </rPr>
      <t xml:space="preserve">Safety recommendation No 205: </t>
    </r>
    <r>
      <rPr>
        <sz val="10"/>
        <color rgb="FF000000"/>
        <rFont val="Arial"/>
        <family val="2"/>
      </rPr>
      <t>The STSB recommends that the European Union Agency for Railways (ERA) re-quire ECMs to extend the risk mitigation measures proposed by the JNS Task Force to all types of wheelsets braked with composite brake blocks</t>
    </r>
    <r>
      <rPr>
        <b/>
        <sz val="10"/>
        <color rgb="FF000000"/>
        <rFont val="Arial"/>
        <family val="2"/>
      </rPr>
      <t>.</t>
    </r>
  </si>
  <si>
    <t>Train derailment Gottard base tunnel, Faido (TI)</t>
  </si>
  <si>
    <t>Ultrasonic wheel disc testing, VPI specific requirements</t>
  </si>
  <si>
    <r>
      <t>Safety deficit:</t>
    </r>
    <r>
      <rPr>
        <sz val="10"/>
        <color rgb="FF000000"/>
        <rFont val="Arial"/>
        <family val="2"/>
      </rPr>
      <t xml:space="preserve"> VPI specific requirements for the maintenance of wheelsets currently include the following criteria: At latest when the maximum mileage of a wheelset has been met (in this case 660,000km), or when its maximum installation period has been reached (in this case 8 years, whatever comes first), the wheelsets must be withdrawn and sent for wheelset maintenance. Since the last IS2 maintenance step, the wheelset with the fractured wheel disc had travelled approx. 173,000km. The cracked wheel disc showed no signs of overheating or peeling paint. Nevertheless, as the results of the metallurgical test-ing show, the residual tensile stresses present on the tread are likely to have sig-nificantly contributed to the expansion of existing cracks or caused cracks in the first place. Cracks expand when tensile stresses due to cyclic loading are present in the area of the crack. The considerable residual stresses present on the tread are believed to have contributed significantly to the formation of cracks. A compar-ative investigation of the residual stresses using ultrasonic testing (this method only provides a local mean value of the residual stress in the wheel rim) and using X-ray diffraction testing showed that the ultrasonic measurements carried out during maintenance only provide a limited indication of the residual stresses di-rectly on the tread. The area on the tread responsible for crack initiation can there-fore not be adequately identified. The VPI-04 guideline stipulates that ultrasonic testing of the wheel rims or ultra-sonic measurements of residual stresses must always be carried out during wheel-set maintenance (IS1 and IS2 levels). IS1 and IS2 maintenance can only be carried out on a wheelset off the train. This practice, developed and established over many years, was introduced when freight wagons still had cast iron brake blocks. Nowa-days there are different operating requirements for freight wagons. Freight trains travel at higher speeds. Cast iron brake blocks have been replaced by composite brake blocks. Maintenance specifications were not adapted when LL brake blocks were introduced. As a result, wheelset inspections conducted in accordance with current maintenance specifications are not able to detect the above-mentioned risk of critical cracking due to excessive residual stresses on the wheel disc surface at an early stage. </t>
    </r>
    <r>
      <rPr>
        <b/>
        <sz val="10"/>
        <color rgb="FF000000"/>
        <rFont val="Arial"/>
        <family val="2"/>
      </rPr>
      <t>Safety recommendation No 206</t>
    </r>
    <r>
      <rPr>
        <sz val="10"/>
        <color rgb="FF000000"/>
        <rFont val="Arial"/>
        <family val="2"/>
      </rPr>
      <t xml:space="preserve"> The STSB recommends that the European Union Agency for Railways (ERA) re-quire ECMs to adapt the interval and methodology criteria for maintenance speci-fications for wheelsets braked with composite brake blocks.</t>
    </r>
  </si>
  <si>
    <t>Influence of composite brake blocks on the thermal stresses of wheels</t>
  </si>
  <si>
    <r>
      <t xml:space="preserve">Safety deficit: </t>
    </r>
    <r>
      <rPr>
        <sz val="10"/>
        <color rgb="FF000000"/>
        <rFont val="Arial"/>
        <family val="2"/>
      </rPr>
      <t xml:space="preserve">Thermal overloads on the wheel surface occur during travel if the brake blocks are in contact with the wheel as a result of a fixed brake or if the brakes have not been fully released. The document published on 28 July 2017 by the JNS Broken Wheels task force mentions that in the case of cracks on the rim of wheelset BA 004, the probability of thermally initiated defects is higher in some applications. However, as a Swedish study published in 2021 shows, composite brake blocks lead to increased thermal stress on the wheel. Temperature is distributed unevenly on the tread, with noticeable and almost stationary hot spots around the wheel rim. The UK Rail Safety and Standards Board (RSSB), an independent research body, demonstrated in its project ‘Improving wheelset life by better understanding the causes of wheel damage (T963)’ that prolonged exposure to heat due to severe braking on the tread can lead to residual compressive stress switching to residual tensile stress; this can cause the wheel to crack suddenly, with catastrophic con-sequences. The results of the metallurgical investigation concluded that the cracks formed be-cause of thermal overload on the tread. Radial cracks that develop from fatigue cracks on the tread are serious defects that may eventually cause a wheel disc to break if not detected and treated at an earlier stage. On the cracked wheel disc, no signs of overheating were found on the paint in the area of the wheel web and un-der the wheel rim. Nevertheless, as the results of the metallurgical investigation show, the residual tensile stresses present on the tread are likely to have signifi-cantly contributed to the formation of cracks or caused them in the first place. The characteristics of wheelsets, wheels and brake blocks are part of the Rolling Stock – Freight Wagons technical specification for interoperability (TSI) subsys-tem. </t>
    </r>
    <r>
      <rPr>
        <b/>
        <sz val="10"/>
        <color rgb="FF000000"/>
        <rFont val="Arial"/>
        <family val="2"/>
      </rPr>
      <t>Safety recommendation No 207:</t>
    </r>
    <r>
      <rPr>
        <sz val="10"/>
        <color rgb="FF000000"/>
        <rFont val="Arial"/>
        <family val="2"/>
      </rPr>
      <t xml:space="preserve"> The STSB recommends that the European Union Agency for Railways (ERA) com-mission a study on the impact of composite brake blocks on the thermal stresses on wheels.</t>
    </r>
  </si>
  <si>
    <t>Hydrostar switches</t>
  </si>
  <si>
    <r>
      <t xml:space="preserve">Safety deficit: </t>
    </r>
    <r>
      <rPr>
        <sz val="10"/>
        <color rgb="FF000000"/>
        <rFont val="Arial"/>
        <family val="2"/>
      </rPr>
      <t xml:space="preserve">Hydrostar switches transmit the changeover forces to all point locking and central locking systems hydraulically. In this design, the locks and the stretcher bars, which serve as a fallback for the point locking device, are located above the top edge of the sleepers. If part of a wagon or a derailed wheelset hangs below the top edge of the rail, there is a risk of these parts coming into contact with the point locking device or the stretcher bars and ultimately damaging or even ripping off the components. Switches that are no longer locked may then move as a result of dynamic vibrations generated by passing trains. Unlocked switches cause derailments. </t>
    </r>
    <r>
      <rPr>
        <b/>
        <sz val="10"/>
        <color rgb="FF000000"/>
        <rFont val="Arial"/>
        <family val="2"/>
      </rPr>
      <t xml:space="preserve">Safety recommendation No 208: </t>
    </r>
    <r>
      <rPr>
        <sz val="10"/>
        <color rgb="FF000000"/>
        <rFont val="Arial"/>
        <family val="2"/>
      </rPr>
      <t>The STSB recommends that the Federal Office of Transport (FOT) require infra-structure managers operating or planning to operate on their network such switch-es with locking devices above the top edge of the sleeper to assess or reduce the risk of mechanical damage to the tongue and centre locking rods above the sleep-er in order to prevent a failure of the switch locking devices.</t>
    </r>
  </si>
  <si>
    <t>no.487-1</t>
  </si>
  <si>
    <r>
      <t>Preamble to safety recommendation no. 487/1
During the investigation, several non-conformities were identified regarding the proper operating conditions of the continuously welded rail track on the alignment section where the railway accident occurred. When the Safety Management System documents were checked, it was found that CNCF "CFR" SA had not identified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as a result, AGIFER considers it appropriate to issue the following safety recommendations:</t>
    </r>
    <r>
      <rPr>
        <sz val="10"/>
        <color rgb="FF000000"/>
        <rFont val="Arial"/>
        <family val="2"/>
        <charset val="238"/>
      </rPr>
      <t xml:space="preserve">
Safety Recommendation no. 487/1
The public railway infrastructure manager – CNCF "CFR" SA shall assess the risks associated with the hazards resulting from: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and shall establish effective safety measures to control these risks.</t>
    </r>
  </si>
  <si>
    <t>Risk assessment</t>
  </si>
  <si>
    <t>PKP PLK S.A. shall carry out a risk assessment regarding the use of backpack blowers for snow clearing work.</t>
  </si>
  <si>
    <t>Serious accident to persons caused by RS in motion</t>
  </si>
  <si>
    <t>Internal communication by IM</t>
  </si>
  <si>
    <t xml:space="preserve">PKP PLK S.A. shall promptly develop and communicate to its subordinate organisational units that use backpack blowers for works on or at railway tracks, a set of requirements concerning safety conditions at work with this type of equipment, and shall enhance supervision of compliance with those requirements. </t>
  </si>
  <si>
    <t>Repositioning of the CCTV</t>
  </si>
  <si>
    <t>PKP PLK S.A. Railway Line Plant in Lublin shall reposition the end-of-train determination (Skp) camera so that it covers the signal site and, at the same time, turnouts no. 1 and no. 2 at Jaszczów station.</t>
  </si>
  <si>
    <t>Checks of recorders</t>
  </si>
  <si>
    <t>Operators of powered railway vehicles shall carry out internal checks on the correctness of recording of train driving parameters by the electronic data recorders installed in railway vehicles in operation.</t>
  </si>
  <si>
    <t>Checks of head-on cameras</t>
  </si>
  <si>
    <t>POLREGIO S.A. shall review the front-view cameras installed in railway vehicles in operation for image clarity and time synchronisation.</t>
  </si>
  <si>
    <t xml:space="preserve">06/2025
</t>
  </si>
  <si>
    <t>It is recommended that, in order to control the risks, the organisations involved in the planning and performance of construction work must monitor their employees in relation to occupational health and safety in the working environment and consistently demand compliance. Evidence of this must be provided. (Delegated Regulation (EU) 2018/762, Annex II, point 3.1.1.2)</t>
  </si>
  <si>
    <t>accident to persons Hürth-Kalscheuren 040523</t>
  </si>
  <si>
    <t xml:space="preserve">07/2025
</t>
  </si>
  <si>
    <t>It is recommended that the organisations involved in the planning and performance of construction work must increase awareness of safety consciousness among their employees. (Delegated Regulation (EU) 2018/762, Annex II, point 2.4.1)</t>
  </si>
  <si>
    <t>familiarize interested personnel</t>
  </si>
  <si>
    <t>• Recommendation 1 proposes that SE NRIC familiarize interested personnel with the content of the report</t>
  </si>
  <si>
    <t>amend and supplement Ordinance No. 58</t>
  </si>
  <si>
    <t>• Recommendation 2 proposes that RAEA amend and supplement Ordinance No. 58, Art. 179, Para. 3 regarding the movement of “Specialized machines for maintaining the railway track and the overhead contact line” on the railway infrastructure, to be carried out with included recording speedometers</t>
  </si>
  <si>
    <t>amend and supplement Working Procedure RP 2.55-08</t>
  </si>
  <si>
    <t>• Recommendation 3 proposes that SE NRIC amend and supplement Working Procedure RP 2.55-08 “Instructions for the technical requirements, operation and maintenance of rail self-propelled specialized machines”, Chapter Two “Basic technical and operational requirements for RSPSM”, Art. 16: “All RSPSM must be equipped with a working recording speedometer”</t>
  </si>
  <si>
    <t>amend and supplement the Working Procedure RP 2.62</t>
  </si>
  <si>
    <t>• Recommendation 4 proposes that the SE NRIC amend and supplement the Working Procedure RP 2.62 "Instructions for the operation of the driver of the RSPSM", to create a new section "Operation of a recording speedometer"</t>
  </si>
  <si>
    <t xml:space="preserve">SE NRIC train all drivers operating the RSPSM </t>
  </si>
  <si>
    <t>• Recommendation 5 proposes that SE NRIC train all drivers operating the RSPSM in handling the on-board tachograph, setting a circular diagram, adjusting the clock and other manipulations related to the operation of the tachograph</t>
  </si>
  <si>
    <t xml:space="preserve">SE NRIC control and prevent the movement of RSPSM </t>
  </si>
  <si>
    <t>• Recommendation 6 proposes that SE NRIC control and prevent the movement of RSPSM on the railway infrastructure with a faulty, non-switched tachograph and without a new circular diagram placed in the tachograph for recording movement before starting work</t>
  </si>
  <si>
    <t>SE NRIC restore the position of "Working Group Signalman"</t>
  </si>
  <si>
    <t>• Recommendation 7 proposes that SE NRIC restore the position of "Working Group Signalman" in the railway sections in accordance with the required regulatory acts on safety when working on the railway track.</t>
  </si>
  <si>
    <t>The Investigation Unit recommends that the NSA ensures that the infrastructure manager checks that its subcontractors have made
their staff aware of the risks and the ban on preparing and starting works on railway work sites before the working hours.</t>
  </si>
  <si>
    <t>Update maintenance documentation</t>
  </si>
  <si>
    <t>Entities in charge of maintenance of freight wagons (ECMs) shall update their maintenance system documentation (MSD) as regards the model document (report) for non-destructive testing (NDT) to identify the area covered by the axle test, in accordance with Appendix 1 to the Recommendation of the President of UTK of 29 December 2024 regarding NDT testing of axles of wheel sets in freight wagons.</t>
  </si>
  <si>
    <t>Non-destructive tests before put back into service</t>
  </si>
  <si>
    <t xml:space="preserve">Entities in charge of maintenance of freight wagons (ECMs) shall make it obligatory from now on to carry out documented detailed1) non-destructive tests of axles of wheelsets before they are put back into service in accordance with Recommendation No. 6 in PKBWK Report no. 02/2024. </t>
  </si>
  <si>
    <t>Non-destructive test of all reusable wheel set</t>
  </si>
  <si>
    <t xml:space="preserve">Entities in charge of maintenance of freight wagons (ECMs) shall identify and then carry out documented detailed non-destructive testing of all reusable wheel set axles placed on the market and/or put into service in the last five years for which there is no documented operation and maintenance history. </t>
  </si>
  <si>
    <t>Recommendation no. IT-10576-01</t>
  </si>
  <si>
    <t>It is recommended that the Italian National Safety Authority ensure that the infrastructure manager Rete Ferroviaria Italiana introduces into its reactivation procedures, following infrastructure works, the obligation to demonstrate through objective evidence the suitability of the infrastructure to be put back into operation under the prescribed conditions.</t>
  </si>
  <si>
    <t xml:space="preserve">Derailment of Mercitalia Rail freight train no. 64995 in Centola,
Battipaglia-Paola line, on July 9, 2024 </t>
  </si>
  <si>
    <t>Recommendation no. IT-10576-02</t>
  </si>
  <si>
    <t>It is recommended that the Italian National Safety Authority ensure that the infrastructure manager Rete Ferroviaria Italiana introduces the obligation for systematic verification that the evidence referred to in the previous recommendation regarding the suitability of the infrastructure to be put back into operation under the prescribed condition has been provided.</t>
  </si>
  <si>
    <t>Recommendation no. IT-10576-03</t>
  </si>
  <si>
    <t>It is recommended that the Italian National Safety Authority ensure that Infrastructure Managers and Railway Companies verify that the limitations provided in case of reactivation of the track following works guarantee the safety of the railway traffic even for bi-module wagons with rigid coupling between the modules, such as the one derailed in the accident in question.</t>
  </si>
  <si>
    <t>Recommendation no. IT-10576-04</t>
  </si>
  <si>
    <t>It is recommended that the Italian National Safety Authority ensure that the infrastructure manager Rete Ferroviaria Italiana implement permanent and recurring training actions for the involved operators (or evaluate their effectiveness, if already in place), focused on the indispensability, for safety purposes, of full compliance with the regulatory provisions, especially with regard to the procedures to be adopted in case of resuming the railway traffic after line restoration works. The Agency should consider the opportunity to extend the recommendation to other operators.</t>
  </si>
  <si>
    <t xml:space="preserve">02/2024
</t>
  </si>
  <si>
    <t>It is recommended that a technical procedure must be developed for comprehensive inspection of the condition of prestressed concrete railway sleepers from all manufacturers when installed.</t>
  </si>
  <si>
    <t xml:space="preserve">03/2024
</t>
  </si>
  <si>
    <t>It is recommended that central traceability of
installed prestressed concrete railway sleepers
must be ensured.</t>
  </si>
  <si>
    <t>10/2025</t>
  </si>
  <si>
    <t>It is recommended that the differentiation of individual risks in all phases of the infrastructure manager’s safety management system must be established based on the relevance of all operational, organisational and technical risks in accordance with the requirements of Delegated Regulation (EU) 2018/762, Annex II, section 3.1.1.1 a).</t>
  </si>
  <si>
    <t>11/2025</t>
  </si>
  <si>
    <t>It is recommended that, between the infrastructure manager and railway undertaking, in accordance with the requirements of Delegated Regulation (EU) 2018/762, Annex I and II, section 4.4, the notification of reports of infrastructure deficiencies must be traceable in terms of release and handling, be made transparent for everyone involved and established based on uniform operating terminology.</t>
  </si>
  <si>
    <t>64/2024-1: improve ergonomics in high-speed colour light signals</t>
  </si>
  <si>
    <r>
      <t>Conduct specific studies to improve the ergonomics of colour light signals in high-speed rail, taking into account the human factor and carrying out the corresponding risk assessment.</t>
    </r>
    <r>
      <rPr>
        <sz val="10"/>
        <color rgb="FF000000"/>
        <rFont val="Arial"/>
        <family val="2"/>
      </rPr>
      <t xml:space="preserve">
Addressee: AESF (NSA Spain)
Final implementer: AESF (NSA Spain)</t>
    </r>
  </si>
  <si>
    <t>64/2024-2: put ERTMS-2 in service where available</t>
  </si>
  <si>
    <r>
      <t>Put into service ERTMS Level 2 on lines equipped with this level but where it is not yet operational.</t>
    </r>
    <r>
      <rPr>
        <sz val="10"/>
        <color rgb="FF000000"/>
        <rFont val="Arial"/>
        <family val="2"/>
      </rPr>
      <t xml:space="preserve">
Addressee: AESF (NSA Spain)
Final implementer: ADIF and ADIF-AV (IM)</t>
    </r>
  </si>
  <si>
    <t>64/2024-3: deactivate ERTMS-1 where ERTMS-2 is fully operative</t>
  </si>
  <si>
    <r>
      <t>Study the possibility, on those lines equipped with both ERTMS levels, of deactivating Level 1 by eliminating the FF7D aspect, always carrying out the required risk assessment and evaluation of the impact over the capacity.</t>
    </r>
    <r>
      <rPr>
        <sz val="10"/>
        <color rgb="FF000000"/>
        <rFont val="Arial"/>
        <family val="2"/>
      </rPr>
      <t xml:space="preserve">
Addressee: AESF (NSA Spain)
Final implementer: ADIF and ADIF-AV (IM)</t>
    </r>
  </si>
  <si>
    <t>64/2024-4: review protocols after a TRIP activation</t>
  </si>
  <si>
    <r>
      <t>Review the action protocols for authorizing the resumption of movement after a TRIP mode activation, as included in their safety management systems, ensuring that the signalman, in particular, can confirm the ERTMS level at which the train is operating in cases where multiple levels coexist.</t>
    </r>
    <r>
      <rPr>
        <sz val="10"/>
        <color rgb="FF000000"/>
        <rFont val="Arial"/>
        <family val="2"/>
      </rPr>
      <t xml:space="preserve">
Addressee: AESF (NSA Spain)
Final implementer: ADIF and ADIF-AV (IM)</t>
    </r>
  </si>
  <si>
    <t>64/2024-5: automatic setting of route in ASFA mode as mitigation</t>
  </si>
  <si>
    <r>
      <t>Establish, as a temporary mitigating measure until Level 2 is fully in service, the programming of automatic mode for setting the route in ASFA mode on lines equipped with Level 2 but where it is not yet operational.</t>
    </r>
    <r>
      <rPr>
        <sz val="10"/>
        <color rgb="FF000000"/>
        <rFont val="Arial"/>
        <family val="2"/>
      </rPr>
      <t xml:space="preserve">
Addressee: AESF (NSA Spain)
Final implementer: ADIF and ADIF-AV (IM)</t>
    </r>
  </si>
  <si>
    <t>64/2024-6: ensure technical compatibility with adjacent sections</t>
  </si>
  <si>
    <r>
      <t>Include in the technical specifications for tenders in the projects affecting the CCS subsystem conditions that ensure technical compatibility with those of adjacent sections.</t>
    </r>
    <r>
      <rPr>
        <sz val="10"/>
        <color rgb="FF000000"/>
        <rFont val="Arial"/>
        <family val="2"/>
      </rPr>
      <t xml:space="preserve">
Addressee: AESF (NSA Spain)
Final implementer: ADIF and ADIF-AV (IM)</t>
    </r>
  </si>
  <si>
    <t>64/2024-7: just culture in SPADs</t>
  </si>
  <si>
    <r>
      <t>Strengthen the principles of the just culture regarding SPADs.</t>
    </r>
    <r>
      <rPr>
        <sz val="10"/>
        <color rgb="FF000000"/>
        <rFont val="Arial"/>
        <family val="2"/>
      </rPr>
      <t xml:space="preserve">
Addressee: AESF (NSA Spain)
Final implementer: Railway Undertakings</t>
    </r>
  </si>
  <si>
    <t xml:space="preserve">08/2025
</t>
  </si>
  <si>
    <t>It is recommended that supplementary regulation no. B 011 on “Sanding” and the opera􀆟onal procedures concerning the reporting procedure for sanding should be checked and developed further.</t>
  </si>
  <si>
    <t>09/2025</t>
  </si>
  <si>
    <t>It is recommended that in future clear track reporting equipment should be used in which the function cannot be impaired by e.g. sand ingress. (Regulation (EU) 2018/762, Annex II, point 5.2.2)</t>
  </si>
  <si>
    <t>12/2025</t>
  </si>
  <si>
    <t>In order to ensure the safety of passengers according to the obligation resulting from Section 13(4) EBO, it is recommended that the risks of existing pedestrian crossings, as a minimum those with one‐sided barriers, should be reassessed according to Regulation (EU) 2018/762 Annex II Section 3.1.1.1, and if necessary safety measures should be developed.</t>
  </si>
  <si>
    <t>no.489-1</t>
  </si>
  <si>
    <r>
      <t>Preamble to Safety Recommendation No. 489/1
During the course of the investigation, it was found, as mentioned in point “5.b. Additional Remarks”, that the railway undertaking SC Regio Călători SRL had not identified and assessed certain hazards that could have contributed to an increase in the severity of the incident. For this reason, AGIFER considers it appropriate to issue the following safety recommendation:</t>
    </r>
    <r>
      <rPr>
        <b/>
        <sz val="10"/>
        <color rgb="FF000000"/>
        <rFont val="Arial"/>
        <family val="2"/>
        <charset val="238"/>
      </rPr>
      <t xml:space="preserve">
Safety Recommendation No. 489/1</t>
    </r>
    <r>
      <rPr>
        <sz val="10"/>
        <color rgb="FF000000"/>
        <rFont val="Arial"/>
        <family val="2"/>
        <charset val="238"/>
      </rPr>
      <t xml:space="preserve">
SC Regio Călători SRL, as a railway undertaking, shall reassess the risks associated with its own railway operations, and establish and implement effective measures to control the hazards related to the failure of train driving and operating staff to comply with the obligation to immediately report the occurrence of accidents/incidents.</t>
    </r>
  </si>
  <si>
    <t>Railway vehicle movement event, 19/7/2024, București Nord</t>
  </si>
  <si>
    <t>Level crossing inspections</t>
  </si>
  <si>
    <t xml:space="preserve">The entities in charge of management of railway infrastructure shall - on the basis of reports from railway carriers, level crossing users and other reports on road traffic organisation concerning traffic jams at level crossings - carry out emergency inspections of these level crossings together with road managers, and shall take immediate measures to improve the safety of railway and road traffic at these crossings. </t>
  </si>
  <si>
    <t>Using of Radiostop system</t>
  </si>
  <si>
    <t>Infrastructure manager PKP Polskie Linie Kolejowe S.A. Railway Line Plant in Warsaw shall include in the Technical Regulations of the Traffic Control equipped with the UZK device for the level crossing at km 17.211 of railway line no. 3, the obligation for the signaller to use the "Alarm" signal by means of the RADIOSTOP system in the event of a defect in the SSP Cat. I when a train is approaching the crossing concerned. The above shall apply until either of the solutions included in Recommendation no. 7 of this Report is implemented.</t>
  </si>
  <si>
    <t>Obstacle detectors</t>
  </si>
  <si>
    <t>Railway infrastructure manager PKP Polskie Linie Kolejowe S.A. shall take measures to implement systems to detect the presence of road vehicles between closed barriers on level crossings which will alert train drivers and signallers to the danger, including at the crossing at km 17.211 of railway line no. 3.</t>
  </si>
  <si>
    <t>Execute of the Agreement No. 25/MZDW/2018 signed on 22 May 2018,</t>
  </si>
  <si>
    <t xml:space="preserve">The voivodeship road manager Mazovian Voivodeship Provincial Roads Authority in Warsaw shall, in cooperation with railway infrastructure manager PKP Polskie Linie Kolejowe S.A. and the City and Municipality Council of Ożarów Mazowiecki, continue actions to implement the provisions of Agreement No. 25/MZDW/2018 signed on 22 May 2018, including to build a viaduct over railway line no. 3 to ultimately replace the level crossing at km 17.211 of this line. </t>
  </si>
  <si>
    <t>Ensure video and audio recording</t>
  </si>
  <si>
    <t xml:space="preserve">Operators of powered rail vehicles with front-view monitoring shall ensure that the said equipment ensures continuous video and audio recording capability, particularly in the event of railway occurrences. Consideration should be given to relocating the monitoring recorder to a secure place within the rail vehicles to ensure continuity of recording in the event of railway occurrences. </t>
  </si>
  <si>
    <t>Changes within internal regulations</t>
  </si>
  <si>
    <t xml:space="preserve">Railway infrastructure manager PKP Polskie Linie Kolejowe S.A. shall clarify its internal regulations as regards the procedure to be followed by signallers in the event that a defect of Cat. I SSP is signalled by the UZK equipment when a train is approaching (in particular Section 18 of Ie-119 and Section 25(6)(1) of Ir-7). </t>
  </si>
  <si>
    <t>Provisional actions</t>
  </si>
  <si>
    <t>Until Recommendation no. 3 of this Report is implemented, the voivodeship road manager Mazovian Voivodeship Roads Authority in Warsaw shall, in cooperation with the manager of access roads - the City and Municipality Council of Ożarów Mazowiecki, consider (on the basis of the agreement with PKP S.A.) either of the following solutions to improve safety at the crossing:
a. conversion of the junctions of the voivodeship road with roads parallel to the railway line, so that the continuity of the access road is ensured and there are no junctions of these roads with the voivodeship road on either side of the crossing and on each side of the voivodeship road over the distance of 30 m from the crossing barrier devices, or
b. application of the design solution referred to in Section 21(2) of the Regulation of the Minister of Infrastructure of 20 October 2015 on the technical conditions to be met by crossings of railway lines and sidings with roads, and on their positioning (design solutions within the crossing to ensure efficient exit of road vehicles from the crossing (Journal of Laws, item 1744, as amended), which provides that: "The design solutions applied within a level crossing should ensure that road vehicles can exit the level crossing smoothly and join the traffic flow adjacent to the level crossing, in particular by making the operation of the crossing systems dependent on (linked to) the road traffic control systems."</t>
  </si>
  <si>
    <t>Collaboration between IMs and road managers</t>
  </si>
  <si>
    <t>Authorised railway infrastructure managers, users of railway sidings, operators of narrow gauge railways and infrastructure managers that are exempt the obligation to obtain a safety authorisation and authorised to operate under a safety certificate (hereinafter referred to as "railway managers") shall - in the event of receiving notification from a road manager of the intention to carry out traffic volume measurements at a level crossing - request feedback from the road manager concerning the traffic characteristics within the crossing, including in particular the likelihood of road traffic jams. Where the formation of traffic jams within a level crossing is identified, the railway managers shall analyse the resulting risks and implement appropriate safety measures.</t>
  </si>
  <si>
    <t>DK-2025 R 3 of 15-07-2025</t>
  </si>
  <si>
    <t>The Accident Investigation Board recommends that the Danish Transport Authority ensures that Banedanmark improves the physical, visual and auditory barriers at level crossing 30 in relation to users coming from the two side roads (Birkevej and Rosenvænget).</t>
  </si>
  <si>
    <t>Accident at level crossing in Ruds Vedby on 21-7-2024</t>
  </si>
  <si>
    <t>A-2025/001</t>
  </si>
  <si>
    <t>Installation of an effective technical train protection system at Sattendorf station.
At Sattendorf station, the train control system and the safety route should be designed in such a way that, even in the event of human error, trains cannot pass the danger point (e.g. with the aid of 500 Hz track magnets and speed detection devices).
Alternatively, train protection can also be ensured by means of technical route exclusions.
Reason:
Only if it is ensured that human error can be intercepted to prevent the first danger point from being reached can serious accidents be prevented. The length of the safety path is essentially irrelevant if it is ensured that a train can be brought to a standstill automatically at the danger point at the latest.
The Federal Safety Investigation Authority is well aware that the main focus is on the implementation of ETCS, but according to the current ETCS expansion plan, the PZB train control system will continue to be used until 2038. Secondary lines in particular will be given lower priority in the conversion to ETCS, which means that unfavourable situations in the PZB system will remain for at least another decade if they are not improved.
By excluding routes, trains would no longer be able to enter Sattendorf station at the same time, which would prevent train collisions.
The establishment of an effective technical train protection system in accordance with this safety recommendation, e.g. by installing a 500 Hz track magnet and a speed detection device or by setting up route exclusions, represents a reasonable effort in relation to the increase in safety at Sattendorf station.
In this context, reference is made to an engineering report commissioned by the infrastructure operator, which states that the line can be equipped with additional 500 Hz track magnets at relatively low cost, respectively that the implementation of additional speed control devices was deemed suitable.</t>
  </si>
  <si>
    <t>German / English</t>
  </si>
  <si>
    <t>A-2025/002</t>
  </si>
  <si>
    <t>Crossing risk analyses should also take into account special local conditions that may give rise to additional risks, such as the suboptimal location for changing the train radio, which limits the attention of a train driver. Locations where accidents have occurred in the past should also be taken into account in crossing risk analyses.
Reason:
By including a wider range of influencing factors in the crossing risk analysis, it is possible to identify additional measures that may be necessary, e.g. in the form of relocating 500 Hz track magnets.
The organisational effort required to implement this safety recommendation appears reasonable in relation to the achievable increase in safety.</t>
  </si>
  <si>
    <t>A-2025/003</t>
  </si>
  <si>
    <t>It must be checked whether it is possible to determine as soon as possible another location for the train radio change, which currently has to take place immediately before reaching the entry signal ‘Z’ respectively the exit advance signal ‘h’ of Sattendorf station, where there is no distraction from safety-related activities of a train driver during the journey.during the journey.
If it is not possible to determine another location, the train radio change could alternatively be carried out while the train is stationary.
Reason:
The investigation report explained in detail why the current location is extremely unfavourable for changing the train radio. Changing the train radio takes up to approx. 30 seconds and distracts train drivers. If train drivers have to change the train radio while performing safety-related tasks in the immediate vicinity, such as observing signals in the specific incident, this can result in incorrect actions because the train drivers cannot devote their full attention to the safety-related tasks.
The organisational effort required to implement this safety recommendation appears reasonable in relation to the achievable increase in safety.</t>
  </si>
  <si>
    <t>A-2025/004</t>
  </si>
  <si>
    <t>The causes of the recurring technical problems with the changeover from digital to analogue train radio when entering Sattendorf station in the direction of travel 2 (km 369.7) should be investigated as soon as possible in order to remedy these problems.
Reason:
The incident showed that the already unfavourable location for the changeover of the train radio was further exacerbated by problems in the changeover process. The full attention of the train drivercould not be devoted to safety-related tasks, which distracted them and led to a misperception of the ‘h’ exit advance signal and, subsequently, to the unauthorised passing of a signal.
The organisational effort required to implement this safety recommendation appears reasonable in relation to the achievable increase in safety.</t>
  </si>
  <si>
    <t>A-2025/005</t>
  </si>
  <si>
    <t>It should be checked whether similar unfavourable situations as described in safety recommendation A-2025/003 prevail at other points on the network when train radio communications are changed, respectively whether problems as described in safety recommendation A-2025/004 also occur when train radio communications are changed. If this is the case, the safety recommendations on these topics (A-2025/003 and A-2025/004) should be applied accordingly to improve the situations.
Reason:
If train drivers have to change train radio frequencies while performing safety-related tasks in the immediate vicinity, such as observing signals in the specific incident, this may result in the train drivers not being able to devote their full attention to the safety-related tasks.
If technical problems are also encountered when changing the train radio, the already unfavourable location for changing the train radio is further exacerbated. The train driver's full attention cannot be devoted to safety-related activities.
The organisational effort required to implement this safety recommendation appears reasonable in relation to the achievable increase in safety.</t>
  </si>
  <si>
    <t>A-2025/006</t>
  </si>
  <si>
    <t>The implementation of the ‘replacement plan’  for the conversion from analogue to digital train radio (GSMR) should be given special attention within the scope of supervisory activities to ensure that the deadlines set by the infrastructure operator are met.
Reason:
Once the infrastructure has been converted from analogue to digital train radio, a train radio conversion is no longer necessary, meaning that there will be no further distraction caused by this.
The organisational effort required to implement this safety recommendation appears reasonable in relation to the achievable increase in safety.</t>
  </si>
  <si>
    <t>A-2025/007</t>
  </si>
  <si>
    <t>When selecting the persons to be entrusted with operational management by the infrastructure operator, particular attention should be paid to ensuring that these persons are suitable, taking into account their characteristics and abilities, and are also willing to perform this challenging and responsible task.
Reason:
The investigations into the emergency management of the incident in question showed that the majority of train dispatchers for the Villach Süd Großverschiebebahnhof area, who are deployed as ÖBB operations managers due to their position as regional train supervisors, do not want to work in this role.
Not every employee is equally capable of performing the duties of an operations manager, which is why these duties should be performed by persons who are suitably qualified and committed to doing so. Employees who consciously choose to work as ÖBB operations managers are likely to be better able to deal with the tasks and situations that the role of ÖBB operations manager entails.
The organisational effort required to implement this safety recommendation appears reasonable in relation to the achievable increase in safety.</t>
  </si>
  <si>
    <t>A-2025/008</t>
  </si>
  <si>
    <t>As part of their supervisory activities, particular attention should be paid to ensuring that railway undertakings establish, implement, train and integrate into their safety management systems appropriate procedures for quickly establishing a safe de-energised state on traction units.
Reason:
Knowledge of the type of vehicle is required to establish a voltage-free state for individual traction units. In the event that a train driver is unable to establish a voltage-free state due to an accident, a framework must be created to enable other persons to intervene to ensure that this is done.
The incident in question presented two new challenges for the railway undertaking, which had not previously occurred in this form, which is why there are no more detailed regulations in this regard. The Federal Safety Investigation Authority was informed that new regulations were being worked on.
The organisational effort required to implement this safety recommendation appears reasonable in relation to the achievable increase in safety.</t>
  </si>
  <si>
    <t>AIN/06-SR-02/2025</t>
  </si>
  <si>
    <t>The company Zagrebtrans d.o.o., as the transport organizer and owner of wagon for transport of special cargo, should ensure an accurate specification of the work procedures and tasks of its workers who monitor the transport of cargo on the wagon in order to achieve safe performance of the transport process and coordinated communication of workers during the transport of special consignments.</t>
  </si>
  <si>
    <t>AIN/06-SR-01/2025</t>
  </si>
  <si>
    <t>The Infrastructure Manager should revise the "Instructions for work on the humps operation" with regard to the operating procedures for manoeuvring when pushing trains in the Sub-hump zone.</t>
  </si>
  <si>
    <t>The Investigation Unit recommends the NSA to ensure that the study planned by the SNCB/NMBS on standardising communication for carrying out a shunting operation is based on a thorough risk analysis, taking into account both the content and the mode of communication to reduce the risks of differences in understanding and interpretation.</t>
  </si>
  <si>
    <t>Dutch (translation by FPS Mobility and Transport)</t>
  </si>
  <si>
    <t>The Investigation Unit recommends the NSA to ensure that the thorough evaluation of shunting operations, including communication, is part of the railway undertaking's monitoring and/or audits to identify and address the risks of various deficiencies and deviations.</t>
  </si>
  <si>
    <t>The Investigation Unit recommends the NSA to ensure that the SNCB/NMBS carries out a study to determine how the safety of a shunting movement with type 77 locomotives in the direction of travel with the long nose at the front can be improved in view of the structurally limited visibility.</t>
  </si>
  <si>
    <t>The Investigation Unit recommends the NSA to ensure that the railway undertaking SNCB/NMBS works out all realistically foreseeable scenarios for the safe execution of an uncoupling, including the possibilities in the event of changes to the schedule. For each scenario identified, the SNCB/NMBS evaluates and documents the risks.</t>
  </si>
  <si>
    <t>The Investigation Unit recommends the NSA to ensure that the railway undertaking SNCB/NMBS aligns the content of the train driver’s manual (HLT) and the train attendant’s manual.</t>
  </si>
  <si>
    <t>The Investigation Unit recommends the ECM SNCB/NMBS Technics to verify the proper functioning of the components involved in the maintenance during the maintenance of the rolling stock before it is returned into service, to ensure that technical anomalies are identified in time.</t>
  </si>
  <si>
    <t>13-2025</t>
  </si>
  <si>
    <t>It is recommended that the effectiveness of the
communication channels set up with the
authorities involved with level crossings as per
Regulation (EU) 2018/762, Annex II, point 4.4.1
must be examined, and it must be ensured that
safety‐relevant information is comprehensible for the intended users as per Regulation (EU) 2018/762, Annex II, point 4.4.3a) and consistent as per point 4.4.3d).</t>
  </si>
  <si>
    <t>no.493-1</t>
  </si>
  <si>
    <r>
      <t>Preamble to safety recommendation No. 493/1
During the investigation, several non-compliances were found regarding the condition of the track superstructure on the section of the line where the railway accident occurred. When checking the safety management system documents, it was found that railway county București had carried out a risk assessment for the objective „Maintaining the technical parameters of the railway infrastructure in operation, maintenance and monitoring” for the risk „Derailment of railway vehicles in trains in service”, but the risk management measure adopted for risk monitoring was not sufficient to keep the identified risk under control, for which reason AGIFER considers it appropriate to issue the following safety recommendation:</t>
    </r>
    <r>
      <rPr>
        <sz val="10"/>
        <color rgb="FF000000"/>
        <rFont val="Arial"/>
        <family val="2"/>
        <charset val="238"/>
      </rPr>
      <t xml:space="preserve">
Safety recommendation No. 493/1
The public railway infrastructure manager – CNCF „CFR” SA shall reassess the risks associated with the objective „Maintaining the technical parameters of the infrastructure in operation, maintenance and monitoring” and will establish and ensure the implementation of effective safety measures for keeping these risks under control.</t>
    </r>
  </si>
  <si>
    <t>Train derailmeny, 1/9/2024, Rădulești</t>
  </si>
  <si>
    <t>DK-2025 R 4 of 02-09-2025</t>
  </si>
  <si>
    <t>The Accident Investigation Board recommends that the certification body, which issued DSB’s ECM certificate and supervises the maintenance system, ensures through its supervision at DSB that the company’s maintenance system describes the wheel maintenance carried out by the company.</t>
  </si>
  <si>
    <t>2023-457, broken wheel on passenger train between Odense and Nyborg on 09-09-2023</t>
  </si>
  <si>
    <t>DK-2025 R 5 of 02-09-2025</t>
  </si>
  <si>
    <t>The Accident Investigation Board recommends that the Danish National Safety Authority ensures that DSB, based on the experience from the wheel fracture incident of 09-09-2023, has established sufficient barriers so that cracks in wheels are detected and handled before they develop into a wheel fracture with railway safety risks, or that DSB otherwise demonstrates that the risk of serious accidents caused by wheel fractures remains at an acceptable level.</t>
  </si>
  <si>
    <t>BA2023-1152-5-01</t>
  </si>
  <si>
    <t>The TSB recommends the development of educational materials that provide information on the prevention, development, recognition and management of fatigue for those working in safety-critical jobs, and that this be made a mandatory part of basic and periodic training for personnel.</t>
  </si>
  <si>
    <t>Trains collision at Sáp at 15/11/2023</t>
  </si>
  <si>
    <t>BA2024-0488-5-01</t>
  </si>
  <si>
    <t>The TSB recommends reviewing and, if necessary, amending the rules and procedures relating to the operation of safety devices that do not check track occupancy, with a view to providing more reliable support for the attention and memory of traffic personnel with regard to track occupancy.</t>
  </si>
  <si>
    <t>BA2024-0659-5-01</t>
  </si>
  <si>
    <t>The TSB recommends Railway Authority Department to consider reviewing the spare parts supply system of MÁV Személyszállítási Zrt. to ensure that the necessary spare parts are available in a timely manner.</t>
  </si>
  <si>
    <t>Train derailment,27/06/2024</t>
  </si>
  <si>
    <t>DK-2025 R 6 of 09-09-2025</t>
  </si>
  <si>
    <t>The Accident Investigation Board recommends that the Danish Transport Authority ensures that Lokaltog conducts a risk assessment of a situation corresponding to the incident</t>
  </si>
  <si>
    <t>Accident to person caused by RS in motion. 9/9/2024, Sakskøbing Station</t>
  </si>
  <si>
    <t>DK-2025 R 7 af d. 12-09-2025</t>
  </si>
  <si>
    <t>The Accident Investigation Board recommends that the Danish NSA ensure that Banedanmark (IM) initiates measures to improve safety communication between the COSS and employees certified with the “Watch out on the track” competence at the commencement of work. This communication should include instruction on the railway safety aspects relevant to the specific tasks being performed.</t>
  </si>
  <si>
    <t>Near miss track workers near Slagelse on 13-09-2024 (DK 2024-472)</t>
  </si>
  <si>
    <t>no.496-1</t>
  </si>
  <si>
    <r>
      <t>Preamble to safety recommendation no. 496/1
After analysing the Risk Register – 2024, drawn up by the Lines Division – railway county Timișoara for the lines department, the investigation commission found that no analysis had been carried out regarding the evaluation of the risk of rail break identified in the "Record of railway safety hazards – Lines", associated to the danger "category I defective rails or rails with exceeded stored tonnage, maintained in the track".
Considering the findings and conclusions of the investigation commission mentioned above, in order to prevent accidents that could occur in conditions similar to those presented in this report, AGIFER issues the following safety recommendation:</t>
    </r>
    <r>
      <rPr>
        <sz val="10"/>
        <color rgb="FF000000"/>
        <rFont val="Arial"/>
        <family val="2"/>
        <charset val="238"/>
      </rPr>
      <t xml:space="preserve">
Safety recommendation no. 496/1
The public railway infrastructure manager shall evaluate the risk associated to the danger generated by keeping in the track the category I defective rails or the rails with exceeded stored tonnage and shall establish viable safety measures for keeping this risk under control.</t>
    </r>
  </si>
  <si>
    <t>Train derailment, 19/9/2024, Șag</t>
  </si>
  <si>
    <t>no.498-1</t>
  </si>
  <si>
    <r>
      <t>Preamble to Recommendation no.498/1
Whereas, during the investigation, deficiencies were found at SC Deutsche Bahn Cargo Romania SRL regarding the identification, assessment and control of the hazards represented by "roughness on the active side of the flange of the wheel greater than 12.5 µ after the re-profiling operations by turning the tyres" and "malfunctioning of the wheel flange greasing system", AGIFER considers it appropriate to issue the following safety recommendation:</t>
    </r>
    <r>
      <rPr>
        <sz val="10"/>
        <color rgb="FF000000"/>
        <rFont val="Arial"/>
        <family val="2"/>
        <charset val="238"/>
      </rPr>
      <t xml:space="preserve">
Safety recommendation no.498/1
Deutsche Bahn Cargo Romania SRL will identify and assess the risks associated with the hazards represented by "roughness on the active side of the flange of the wheel greater than 12.5 µ after performing re-profiling operations by turning the tyres" and "malfunctioning of the wheel flange greasing system", and will take measures and ensure their implementation for keeping these hazards under control.</t>
    </r>
  </si>
  <si>
    <t>no.498-2</t>
  </si>
  <si>
    <r>
      <t>Preamble to Recommendation no.498/2</t>
    </r>
    <r>
      <rPr>
        <sz val="10"/>
        <color rgb="FF000000"/>
        <rFont val="Arial"/>
        <family val="2"/>
        <charset val="238"/>
      </rPr>
      <t xml:space="preserve">
Whereas, during the investigation, deficiencies were found at Deutsche Bahn Cargo Romania SRL, as mentioned in chapter 5.c. Additional remarks, regarding the identification, assessment and control of the hazard represented by “unbalanced loads on wheels and axles after re-profiling operations by turning the tyres”, AGIFER considers it appropriate to issue the following safety recommendation:
Safety recommendation no.498/2
Deutsche Bahn Cargo Romania SRL will identify and assess the risks associated with the hazard represented by “unbalanced loads on wheels and axles after re-profiling operations by turning the tyres”, and will take measures and ensure their implementation for keeping this hazard under control.</t>
    </r>
  </si>
  <si>
    <r>
      <t xml:space="preserve">Addressed to the Czech Ministry of Transport (alternatively with other ministries):         </t>
    </r>
    <r>
      <rPr>
        <sz val="10"/>
        <color rgb="FF000000"/>
        <rFont val="Arial"/>
        <family val="2"/>
        <charset val="1"/>
      </rPr>
      <t xml:space="preserve">
• to adopt a measure which ensure adjustment of a legal regulations so that NSA will be inform about fact that it was assign a punishment for criminal offence of danger under the influence of addictive narcotic for holder of licence of train driver.</t>
    </r>
  </si>
  <si>
    <r>
      <t xml:space="preserve">Addressed to the Czech Ministry of Transport (alternatively with other ministries):         </t>
    </r>
    <r>
      <rPr>
        <sz val="10"/>
        <color rgb="FF000000"/>
        <rFont val="Arial"/>
        <family val="2"/>
        <charset val="1"/>
      </rPr>
      <t xml:space="preserve">
• to ensure that the infrastructure manager SŽ reviews and clearly defines which tracks must be listed during the notification of shunting technology in an internal regulation;
• to ensure that the infrastructure manager SŽ assess and alternatively establishes the duty to notify the shunting control employee of the end point of the part of shunting route all the time, when the part of shunting route ends at a fixed signal device valid for shunting operation in front of which there is not a sufficiently long diverging section of track in an internal regulation;
• to ensure that the infrastructure manager SŽ establishes the duty to notify the shunting control employee of the end point of the part of shunting route all the time, when the part of shunting route ends at a fixed signal device valid for shunting operation, that forms (at the time of creation or passing of a part of a shunting route) indirect lateral protection of another route created at the same time in an internal regulation;
• to analyze the possibility of implementing a technical measures which would regulate the risks associated with unauthorized movement behind a signal device by shunting set of cars.</t>
    </r>
  </si>
  <si>
    <t>Addressed to the Czech National Safety Authority (NSA):
• as part of its activities as a national safety authority to accept a measure which ensures at infrastructure manager Správa železnic, státní organizace that will be in practice realize adjustment of a technological procedures contained in preparing new edition of internal regulation SŽ D1 Transport and signal regulation which will be valid from 14.12.2025, specifically that signalman/woman record real times of pass of trains pass the main (section) signal device of signal box to relevant transport documentation, and that as soon as possible before this internal regulation will come into effect yet.</t>
  </si>
  <si>
    <t>no.502-1</t>
  </si>
  <si>
    <r>
      <t>Preamble to Safety Recommendation No. 502/1
The investigation commission found that the railway undertaking did not effectively manage the risk associated with the dangers generated by carrying out the technical inspections of trains by a single wagon technical examiner.</t>
    </r>
    <r>
      <rPr>
        <sz val="10"/>
        <color rgb="FF000000"/>
        <rFont val="Arial"/>
        <family val="2"/>
        <charset val="238"/>
      </rPr>
      <t xml:space="preserve">
Safety Recommendation No. 502/1
The railway transport operator SNTFM „CFR Marfă” SA shall reassess the risks associated with the dangers generated by the performance of the technical inspections of trains by a single wagon technical examiner and shall order and implement effective safety measures to keep these dangers under control.</t>
    </r>
  </si>
  <si>
    <t>The IU recommends the sub-contractor Mobix to ensure that all its employees are trained in the importance of a last-minute risk analysis (LMRA) and that reminders are organised, in order to limit the dynamic risks while carrying out works.</t>
  </si>
  <si>
    <t>French (translation by FPS Mobility and Transport)</t>
  </si>
  <si>
    <t>no.503-1</t>
  </si>
  <si>
    <r>
      <t>Preamble to Safety Recommendation No. 503/1
During the investigation, several deficiencies were found regarding the maintenance of the railway vehicle – the EDK 2000 rail crane – involved in the accident, namely: the scheduled maintenance works are carried out monthly by the personnel of the Railway Intervention District (DIF) Brașov in the  railway county Brașov, although the section does not hold / is not included in an ERI (Entity in Charge of Maintenance) certificate for performing the maintenance function, and the internal instructions specifying the works to be carried out during the periodic overhaul of the crane are not endorsed by AFER, contrary to the provisions of RET – Railway Technical Operation Regulation No.002/2001, Article 207.</t>
    </r>
    <r>
      <rPr>
        <sz val="10"/>
        <color rgb="FF000000"/>
        <rFont val="Arial"/>
        <family val="2"/>
        <charset val="238"/>
      </rPr>
      <t xml:space="preserve">
Safety Recommendation No. 503/1
CNCF „CFR” SA shall take the necessary steps for the endorsement by AFER of the instructions specifying the works to be carried out during the technical inspections of the crane and for obtaining an ERI certificate for performing the maintenance function for the Line and Equipment Repair Section Brașov – Railway Intervention District Brașov, or for outsourcing this function to an economic operator holding such a certificate.</t>
    </r>
  </si>
  <si>
    <t>Train derailment, 20/11/2024, Augustin - Racoș</t>
  </si>
  <si>
    <t>no.503-2</t>
  </si>
  <si>
    <r>
      <t>Preamble to Safety Recommendation No. 503/2
During the investigation, it was found that for the activity “Maintenance, mechanized track maintenance and railway interventions, train hauling”, regarding the risk “Derailment of railway vehicles”, no cause was identified related to the technical condition of the crane, although within the activity of the Railway Intervention District Brașov, two accidents were recorded which had as direct cause irregularities regarding the technical condition of the crane involved.</t>
    </r>
    <r>
      <rPr>
        <sz val="10"/>
        <color rgb="FF000000"/>
        <rFont val="Arial"/>
        <family val="2"/>
        <charset val="238"/>
      </rPr>
      <t xml:space="preserve">
Safety Recommendation No. 503/2
CNCF „CFR” SA shall reanalyze the process of identifying the risks associated to its own railway operations for the activity of railway interventions, establishing and implementing effective measures to ensure that the operation of the railway vehicles composing the intervention trains – including the movement to the intervention site – is carried out under safe traffic conditions.</t>
    </r>
  </si>
  <si>
    <t>no.503-3</t>
  </si>
  <si>
    <r>
      <t>Preamble to Safety Recommendation No. 503/3
After analyzing the Risk Register – 2024 compiled by the Lines Division of the railway county Brașov for the lines branch, the investigation commission found that no analysis had been carried out to assess the risk associated with the danger generated by the improper management of the defects recorded by the TMC (testing and recording car), namely:
a) failure to take safety measures to remedy grade 5 and 6 defects detected during the TRC track inspection;
b) failure to introduce the regulated speed restrictions in case of defects being detected on the lines as a result of measurements carried out with the TRC;
c) failure to remedy the defects resulting from the measurements taken with the TRC, within the regulated deadlines for performing the corresponding maintenance of the line and maintaining the track geometry within the accepted tolerances.</t>
    </r>
    <r>
      <rPr>
        <sz val="10"/>
        <color rgb="FF000000"/>
        <rFont val="Arial"/>
        <family val="2"/>
        <charset val="238"/>
      </rPr>
      <t xml:space="preserve">
Safety Recommendation No. 503/3
CNCF „CFR” SA shall reanalyze the process of identifying the risks associated to its own railway operations and shall assess the risks associated to the dangers generated by:
a) failure to take safety measures to remedy grade 5 and 6 defects detected during the TRC track inspection;
b) failure to introduce the regulated speed restrictions in case of defects being detected on the lines as a result of measurements carried out with the TRC;
c) failure to remedy the defects resulting from the measurements taken with the TRC, within the regulated deadlines for performing the corresponding maintenance of the line and maintaining the track geometry within the accepted tolerances,
in order to establish and apply viable safety measures to keep these risks under control.</t>
    </r>
  </si>
  <si>
    <t>Safety recommendation Rail no. 2025/03T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</si>
  <si>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Due to previous troubleshooting and correction of a non-safety-critical error, the driver had decided to close the main brake pipe cranes between the locomotive and the first wagon, but forgot to open them again before departure from Bergen. The process for handling this type of error was not risk assessed or systematically handled in OnRail AS.
The Norwegian Safety Investigation Authority recommends the Norwegian Railway Authority to ask OnRail AS to risk assess the use of Traxx F160 AC3 (BR187), particularly considering situations that may require closing of the brake pipe cranes.</t>
  </si>
  <si>
    <t>Safety recommendation Rail no. 2025/04T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</si>
  <si>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When the accident occurred, passenger train 601 stopped inside the Arnanipa Tunnel, about 1 km from the accident site. In the dialogue between Bane NOR and the emergency services, several misunderstandings arose, which in turn created uncertainty around decisions.
The Norwegian Safety Investigation Authority recommends the Norwegian Railway Authority to ask Bane NOR SF to practice interaction with the emergency services to ensure that they receive required information to make the correct decisions.</t>
  </si>
  <si>
    <t>Safety recommendation Rail no. 2025/05T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</si>
  <si>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The locomotive type Traxx F160 AC3 (BR187) comes with conditions of use that must be met by the end user. Both error correction situations and the need for ETCS brake tests can mean that main brake pipe cranes have to be closed, and thus there is a risk that these will be forgotten in the closed position.
The Norwegian Safety Investigation Authority recommends the Norwegian Railway Authority to ensure that users of Traxx F160 AC3 (BR187) in Norway has complied with the manufacturer's conditions of use related to the locomotive's braking systems.</t>
  </si>
  <si>
    <t>AIN/06-SR-03/2025</t>
  </si>
  <si>
    <t>Based on the results of this investigation, as well as additional considerations in all conclusions of the ID-3 investigation reports referred to in point 4.5., the infrastructure manager (HZI) should automate the activation of the LC's "Krčeni put" and "Rade Končar" within 18 months in order to enable safer traffic of railway and road vehicles on the section with very intensive railway traffic and extremely frequent traffic of road vehicles, and to reduce the risks of human activity due to handling their security.</t>
  </si>
  <si>
    <t>AIN/06-SR-04/2025</t>
  </si>
  <si>
    <t>After automation, the Infrastructure Manager (HŽI) should also consider the possibility of initiating a procedure to resolve the above-mentioned level crossings (deniveling), which is the only permanent and safe solution due to the increased number of crossing users and traffic congestion.</t>
  </si>
  <si>
    <t>AIN/06-SR-05/2025</t>
  </si>
  <si>
    <t>The Infrastructure Manager (HŽI) should pay more attention to additional considerations from its investigation reports (ID-3) and accelerate the process of responding to them in order to be able to manage possible changes and preventive measures as soon as possible with the aim of continuous improvement and increasing traffic safety.</t>
  </si>
  <si>
    <t>AIN/06-SR-06/2025</t>
  </si>
  <si>
    <t>The Infrastructure Manager, HŽ Infrastruktura d.o.o., should improve safety at Buzin Pedestrian Level Crossing (PLC) by additionally securing the crossing with both visual and audible signalling within 24 months. Until the aforementioned conditions are fulfilled, the infrastructure manager, HŽ Infrastruktura d.o.o., shall install a Level Crossing Warning Board at the prescribed distance in accordance with Article 67 of the Rulebook on Signals, Signal Signs, and Signal Markings in Railway Traffic ("Official Gazette" no. 94/2015) within 30 days.</t>
  </si>
  <si>
    <t>AIN/06-SR-07/2025</t>
  </si>
  <si>
    <t xml:space="preserve">The infrastructure manager, HŽ Infrastruktura Ltd., should improve safety at the Buzin level crossing by installing a "Caution, Railway-Road Crossing" signal board in the direction from station Zagreb-Klara towards stop Buzin, as prescribed by the Rulebook on Signals, Signal Signs, and Signal Markings in Railway Traffic, ("Official Gazette" no. 94/2015). Additionally, the trackside clearance zone, particularly the area around the signal boards, should be regularly maintained to ensure that train drivers can spot and unequivocally interpret their meaning in good time. The deadline for implementing this recommendation is 30 days. </t>
  </si>
  <si>
    <t>AIN/06-SR-08/2025</t>
  </si>
  <si>
    <t xml:space="preserve">The infrastructure manager, HŽ Infrastruktura Ltd., should, through regular educational programmes, raise awareness among preschool children and pupils of all ages about the dangers of using pedestrian level crossings. This should be done by conducting more frequent campaigns during the school year, such as "The Train is Always Faster," International Level Crossing Awareness Day (ILCAD), and appropriately using posters, brochures, leaflets, and similar materials. </t>
  </si>
  <si>
    <t>AIN/06-SR-09/2025</t>
  </si>
  <si>
    <t>The infrastructure manager, HŽ Infrastruktura ltd, should prescribe written warning signs at all pedestrian level crossings (PLC) and subsequently install them. These signs must alert users for increase caution when crossing the track due to the approach of trains, regardless of the type of crossing protection. Signs should also advise cyclists to dismount before crossing the track to raise awareness of the dangers at PLC. The written warning signs must be prescribed within 24 months and installed within 24 months from the date of prescription.</t>
  </si>
  <si>
    <t>AIN/06-SR-10/2025</t>
  </si>
  <si>
    <t>Railway undertakings should emphasise to train drivers during regular training the importance of complying with Article 67 of the Rulebook on Signals, Signal Signs, and Signal Markings in Railway Traffic, ("Official Gazette" no. 94/2015).</t>
  </si>
  <si>
    <t>122/2024-1: implementation of NSA guideline on rolling stock immobilization</t>
  </si>
  <si>
    <r>
      <t>Strengthen the effective implementation of the NSA guideline F-RCF-05/2021 in the operating procedures of all entities involved (infrastructure managers, railway companies, logistics companies) regarding the immobilization of parked rolling stock.</t>
    </r>
    <r>
      <rPr>
        <sz val="10"/>
        <rFont val="Arial"/>
        <family val="2"/>
      </rPr>
      <t xml:space="preserve">
Addressee: AESF (NSA Spain)
Final implementer: AESF (NSA Spain)</t>
    </r>
  </si>
  <si>
    <t>122/2024-2: provision and storage of anti-drift chocks</t>
  </si>
  <si>
    <r>
      <t>Implement a system for the secure provision and storage of anti-drift  chocks at marshalling yards, ensuring their continuous operational availability and preventing their loss or theft.</t>
    </r>
    <r>
      <rPr>
        <sz val="10"/>
        <rFont val="Arial"/>
        <family val="2"/>
      </rPr>
      <t xml:space="preserve">
Addressee: AESF (NSA Spain)
Final implementer: Railway Undertakings and Logistic Companies</t>
    </r>
  </si>
  <si>
    <t>122/2024-3: training and qualification of staff</t>
  </si>
  <si>
    <r>
      <t>Review the training and qualification programs for personnel responsible for terminal operations, ensuring they include: knowledge of the infrastructure, proper application and functional verification of parking brakes, identification of risk situations, response in the absence of physical resources, and an understanding of the shared responsibilities between logistics operators, infrastructure managers, and railway companies.</t>
    </r>
    <r>
      <rPr>
        <sz val="10"/>
        <rFont val="Arial"/>
        <family val="2"/>
      </rPr>
      <t xml:space="preserve">
Addressee: AESF (NSA Spain)
Final implementer: Logistic Companies</t>
    </r>
  </si>
  <si>
    <t>Recommendation n. IT-10491-01</t>
  </si>
  <si>
    <t>It is recommended to the National Agency for Railway, Railroad and Road Infrastructure Safety to conclude a new cooperation agreement with the Swiss Federal Office of Transport so that authorization titles are issued to operators on cross-border routes with Switzerland in the same way as cross-border routes and border stations with EU member states are managed, avoiding the duplication of assessments and checks already carried out by one of the two states.</t>
  </si>
  <si>
    <t xml:space="preserve">Runaway of freight train no.63437, without driver, </t>
  </si>
  <si>
    <t>Recommendation n. IT-10491-02</t>
  </si>
  <si>
    <t>It is recommended to the National Agency for Railway, Railroad and Road Infrastructure Safety to ensure that the railroad undertakings SBB Cargo Italia and SBB Cargo International verify the implementation and effectiveness of the actions and behaviors put in place to create a positive safety culture and a climate of mutual trust and reciprocal learning, within which personnel are encouraged to contribute to safety development by adopting responsible behavior during service, reporting dangerous events, and providing safety-related information regarding the consequences of personnel actions, as already provided for in requirement 7.2.3 of Annex 1 to Delegated Regulation (EU) 762/2018 on safety management system requirements.
The Agency shall assess the extension of this recommendation to other railroad undertakings, including Swiss railroad undertakings authorized by the then National Railroad Safety Agency under bilateral agreements that are still in force.</t>
  </si>
  <si>
    <t>Recommendation n. IT-10491-03</t>
  </si>
  <si>
    <t>It is recommended to the National Agency for Railway, Railroad and Road Safety and Infrastructure to ensure that railroad companies SBB Cargo Italia and SBB Cargo International verify, within the training processes adopted in their safety management system, the effectiveness and completeness of continuous training for maintaining the skills of train drivers and for acquiring the necessary awareness in performing their role, also using the training needs analysis identified during direct (escorts) or indirect (electronic tachograph readings) driving activities.
The Agency shall assess the extension of this recommendation to other railroad undertakings, including Swiss railroad undertakings authorized by the then National Railroad Safety Agency under bilateral agreements that are still in force.</t>
  </si>
  <si>
    <t>Recommendation n. IT-10491-04</t>
  </si>
  <si>
    <t>It is recommended to the National Agency for Railway, Railroad and Road Infrastructure Safety to ensure that railroad companies SBB Cargo Italia and SBB Cargo International verify, in accordance with Article 17 of Legislative Decree 247/2010 and Article 18 of Directive 2007/59/EU, the effectiveness of the monitoring procedures adopted in their safety management system for controlling train drivers based on the analysis of direct checks (escorts) and indirect checks (electronic tachograph readings) carried out by experienced railroad company personnel. To this end, for continuous improvement and effective feedback from indirect controls, the aforementioned Italian and Swiss railroad undertakings can usefully implement driver monitoring by utilizing software that allows for the automatic transmission of driving data and alarms related to driving activities recorded by the data logging devices on the locomotives in use.
The Agency shall assess the extension of this recommendation to other railroad undertakings, including Swiss railroad undertakings authorized by the then National Railroad Safety Agency under bilateral agreements that are still in force.</t>
  </si>
  <si>
    <t>Recommendation n. IT-10491-05</t>
  </si>
  <si>
    <t>It is recommended to the National Agency for Railway, Railroad and Road Infrastructure Safety to take steps to ensure that European institutions, the Ministry of Infrastructure and Transport, and railroad companies promote the adoption and use (where and when technologically available) of devices that prevent a train from being moved without the correct positioning of the main and general air brake pipe valves (for example, within the framework of the development of the DAC—Digital Automatic Coupling).
The Agency shall assess the extension of this recommendation to Swiss railroad undertakings authorized by the then National Railroad Safety Agency under bilateral agreements that are still in force.</t>
  </si>
  <si>
    <t>Recommendation n. IT-10491-06</t>
  </si>
  <si>
    <t>It is recommended to the National Agency for Railway, Railroad and Road Safety and Infrastructure to ensure that the Italian Railroad Network Infrastructure Manager integrates the risk assessment and emergency management processes of the Domo II station by implementing organizational and infrastructural measures for the accidental scenario of vehicles escaping due to brake failure on a train coming from the Briga-State border-Domodossola/Domo II cross-border line. These measures must take into account the gradient of the line and the type of transport involved, such as dangerous goods, the presence of passengers at Domodossola station and operational personnel at Domo II, and the possibility of identifying a designated area at Domo II for a physical containment barrier to prevent vehicles from running away.</t>
  </si>
  <si>
    <t>Recommendation IT-10493-01</t>
  </si>
  <si>
    <t>It is recommended that the National Agency for the Safety of Railways and Road and Motorway Infrastructures require infrastructure managers and railway undertakings to promote information and training activities addressed to personnel performing safety-related functions, emphasizing that there must be effective cooperation between such personnel and the Health Services responsible for certifying fitness for duty. The aim is to ensure the timely identification of any new personal condition (illnesses, use of medication, individual issues, etc.) that could affect the maintenance of adequate psycho-physical fitness, especially when it does not present with evident or continuous external signs or symptoms.</t>
  </si>
  <si>
    <t>Recommendation IT-10493-02</t>
  </si>
  <si>
    <t>It is recommended that the National Agency for the Safety of Railways and Road and Motorway Infrastructures require Trenitalia to monitor the effectiveness of the procedures adopted for the reinstatement, where applicable, of personnel involved in incidents and accidents, to ensure compliance with the health and professional requirements of such personnel, as well as their suitability for the assigned duties and awareness of their role.</t>
  </si>
  <si>
    <t>Recommendation IT-10493-03</t>
  </si>
  <si>
    <t>It is recommended that the National Agency for the Safety of Railways and Road and Motorway Infrastructures require railway undertakings to enhance the training of personnel performing safety-related activities on board trains regarding the “emergency call,” particularly focusing on the promptness of its activation, to prevent the consequences of an event from becoming more serious due to the potential involvement of other trains. At the same time, all railway operators are encouraged to verify the completeness, accuracy, and clarity of the provisions concerning the “emergency call,” with reference to the coexistence of the two conditions (risk to traffic and prompt activation), and to provide, where necessary, the corresponding operational clarifications.</t>
  </si>
  <si>
    <r>
      <t>Addressed to the Czech National Safety Authority (NSA):</t>
    </r>
    <r>
      <rPr>
        <sz val="10"/>
        <color rgb="FF000000"/>
        <rFont val="Arial"/>
        <family val="2"/>
        <charset val="1"/>
      </rPr>
      <t xml:space="preserve">
• from point of view as a national safety authority to comprehensive assess contents of a guidance of IM „SŽ PPD-5/2021 Guidance of infrastructure manager for ensuring fluently and safety railway transport Operational measure for running of an empty freight rolling stocks series L“ and to accept a measure about finding out of CZ NIB related with an ambiguity of specification of a rolling stocks basic series „L“, at which IM restricts speed;
• to ensure that IM Správa železnic hands over a safety information about permanent and area-wide restrictions on its infrastructure in a consistent format and data structure such as the „List of planned restrictions on track operation and changes in the construction and technical parameters of the track”, while this data structure should be supplemented with corresponding variables (attributes, parameters) so that all this information can be processed automatically by the railway undertaking – i.e., for example, relevant instructions for driving a specific train can be filtered and subsequently implemented into applications and aids for train drivers;
- in connection with this to ensure an accelerated make suitable a data description of infrastructure, which would enable of railway undertakings to assess a compatibility of a rolling stocks with restriction of infrastructure and at</t>
    </r>
  </si>
  <si>
    <t>Derailment of two rolling stocks of the freight train No. 53109 between Kolín and Kutná Hora hl. n. Stations</t>
  </si>
  <si>
    <t>no.471-2</t>
  </si>
  <si>
    <r>
      <t>Preamble to Safety Recommendation No. 471/1
During the investigation, deficiencies were identified in the way the maintenance of the Schunk-type pantographs is performed, as well as in the way the risks corresponding to the danger represented by “non-observance of the technological processes of rolling stock revisions/repairs” are managed. For this reason, AGIFER considers appropriate the issuance of the following safety recommendation:</t>
    </r>
    <r>
      <rPr>
        <sz val="10"/>
        <color rgb="FF000000"/>
        <rFont val="Arial"/>
        <family val="2"/>
        <charset val="238"/>
      </rPr>
      <t xml:space="preserve">
Safety Recommendation No. 471/1
Reassessment by the railway undertaking SNTFC “CFR Călători” SA of the associated risks and establishment of effective measures for the control of the danger represented by “non-observance of the technological processes of rolling stock revisions/repairs”.</t>
    </r>
  </si>
  <si>
    <t>no.471-1</t>
  </si>
  <si>
    <r>
      <t>Preamble to Safety Recommendation No. 471/2
During the investigation, it was found that the railway undertaking SNTFC “CFR Călători” SA did not identify and assess the danger represented by “breaking of the pantographs”, a danger that manifested itself in this incident. For this reason, AGIFER considers appropriate the issuance of the following safety recommendation:</t>
    </r>
    <r>
      <rPr>
        <sz val="10"/>
        <color rgb="FF000000"/>
        <rFont val="Arial"/>
        <family val="2"/>
        <charset val="238"/>
      </rPr>
      <t xml:space="preserve">
Safety Recommendation No. 471/2
Assessment by the railway undertaking SNTFC “CFR Călători” SA of the risks associated to the railway operations it carries out and establishment of effective measures for the control of the danger represented by “breaking of the pantographs”.</t>
    </r>
  </si>
  <si>
    <t>no.471-3</t>
  </si>
  <si>
    <r>
      <t>Preamble to Safety Recommendation No. 471/3
During the investigation, it was found that the railway infrastructure manager CNCF “CFR” SA did not identify and assess the risk represented by “occurrence of damages to the pantographs of the electric locomotives caused by the technical condition of the IFTE”. For this reason, AGIFER considers appropriate the issuance of the following safety recommendation:</t>
    </r>
    <r>
      <rPr>
        <sz val="10"/>
        <color rgb="FF000000"/>
        <rFont val="Arial"/>
        <family val="2"/>
        <charset val="238"/>
      </rPr>
      <t xml:space="preserve">
Safety Recommendation No. 471/3
Assessment by the railway infrastructure manager CNCF “CFR” SA of the risks associated to the railway operations it carries out and establishment of effective measures for the control of the risk represented by “occurrence of damages to the pantographs of the electric locomotives caused by the technical condition of the IFTE”.</t>
    </r>
  </si>
  <si>
    <t>no.500-1</t>
  </si>
  <si>
    <t>Safety Recommendation No. 500/1
The Romanian Railway Authority – AFER shall analyze the opportunity to supplement the railway technical standard on the repair of axle boxes with roller bearings, with provisions establishing the maximum service life for cylindrical roller bearings fitted to freight wagons (expressed in kilometers run or years).</t>
  </si>
  <si>
    <t>no.501-1</t>
  </si>
  <si>
    <r>
      <t>Preamble to Safety Recommendation No. 501/1
During the investigation, it was found, as mentioned in point 4.d. ”Feedback and control mechanisms, including risk management and safety management, as well as monitoring processes”, that the railway undertaking SC Constantin Grup Rail – Logistic SRL did not identify and assess the danger represented by the failure of the buffing gear of a freight wagon, a danger that manifested itself during this accident. For this reason, AGIFER considers appropriate the issuance of the following safety recommendation:</t>
    </r>
    <r>
      <rPr>
        <sz val="10"/>
        <color rgb="FF000000"/>
        <rFont val="Arial"/>
        <family val="2"/>
        <charset val="238"/>
      </rPr>
      <t xml:space="preserve">
Safety Recommendation No. 501/1
The railway undertaking SC Constantin Grup Rail – Logistic SRL shall assess the associated risks, establish, and implement effective measures to control the danger represented by the failure of the buffing gear of a freight wagon.</t>
    </r>
  </si>
  <si>
    <t xml:space="preserve"> familiarize interested personnel with the content of the report</t>
  </si>
  <si>
    <t>Recommendation 1 proposes that SE NRIC, “BDZ-Cargo” EOOD and “Pimk Rail” EAD familiarize interested personnel with the content of the report</t>
  </si>
  <si>
    <t xml:space="preserve">Front collision of shunting train № 30802 with direct freight train № 30595 along Kremikovtsi- Svetovrachane interstation </t>
  </si>
  <si>
    <t>request a risk assessment of the “Control, Command and Signalling” subsystems</t>
  </si>
  <si>
    <t xml:space="preserve"> Recommendation 2 proposes that SE NRIC request a risk assessment of the “Control, Command and Signalling” subsystems in the Iliyantsi/Kurilo – Karlovo section in accordance with Commission Implementing Regulation (EU) No. 402/2013 and Art. 7, item 16 of the Railways Act</t>
  </si>
  <si>
    <t>restore the operation of the TDRC in sections where there is no GSM-R communication</t>
  </si>
  <si>
    <t>Recommendation 3 proposes that SE NRIC restore the operation of the TDRC in sections where there is no GSM-R communication, including the Iliyantsi/Kurilo – Karlovo section</t>
  </si>
  <si>
    <t xml:space="preserve">constant control over the implementation of an Order </t>
  </si>
  <si>
    <t>Recommendation 4 proposes that SE NRIC should carry out constant control over the implementation of Order No. ŽI-43705/05.12.2024 of the Director General of SE NRIC determining the procedure and manner for the movement of rolling stock not equipped with TDRC and GSM-R in sections equipped with TDRC and GSM-R</t>
  </si>
  <si>
    <t xml:space="preserve"> trained personnel  in licensed educational institutions</t>
  </si>
  <si>
    <t>Recommendation 5 proposes that the personnel of "Pimk Rail" EAD, related to the safety of transport, should be trained in licensed educational institutions according to the register of NAVET</t>
  </si>
  <si>
    <t>reliable communications between the personnel engaged in train control and train movement management</t>
  </si>
  <si>
    <t>Recommendation 6 proposes that "Pimk Rail" EAD should ensure reliable communications between the personnel engaged in train control and train movement management in SE NRIC</t>
  </si>
  <si>
    <t>install TDRC in diesel locomotives (mainline and shunting)</t>
  </si>
  <si>
    <t>Recommendation 7 proposes that BDZ Cargo EOOD shall install TDRC in diesel locomotives (mainline and shunting)</t>
  </si>
  <si>
    <t>Health requirements and health monitoring for tram drivers</t>
  </si>
  <si>
    <t>The Finnish Transport and Communications Agency define national health requirements and a health monitoring system for tram drivers with a risk-based approach.(2025-S29)</t>
  </si>
  <si>
    <t>R2024-02 Collision of trams on light rail line 15 in Helsinki on 15 October 2024 and collision of tram with end wall in Espoo on 15 November 2024</t>
  </si>
  <si>
    <t>Ensurining the state of alertness of tram drivers</t>
  </si>
  <si>
    <t>In tram drivers' shift arrangements, urban rail operators take the drivers' alertness into consideration and define clear procedures for interrupting work if the driver feels tired. (2025-S30)</t>
  </si>
  <si>
    <t>Exploitation of technological development in improving safety of tram traffic.</t>
  </si>
  <si>
    <t>Urban rail operators deploy more technologies that improve safety and support drivers in tram traffic. (2025-S31)</t>
  </si>
  <si>
    <t>Development of tram traffic regulation in national level</t>
  </si>
  <si>
    <t>The Ministry of Transport and Communications launch a regulatory project to define national safety requirements for and supervision of tram traffic. (2025-S32)</t>
  </si>
  <si>
    <t>Recommendation IT-10582-01</t>
  </si>
  <si>
    <t>The National Agency for Railway, Railroad and Road Infrastructure Safety is recommended to take appropriate initiatives to ensure that Rete Ferroviaria Italiana establishes in its operating procedures that the regulation of internal rail stresses, following interventions on the railroad superstructure that interfere with the behavior of the continuously welded rail, must be carried out promptly and in any case before critical thermal conditions occur that could cause derailment, avoiding postponing them to subsequent years in any case.</t>
  </si>
  <si>
    <t>Derailment of MEDWAY freight train no. 54269 occurred in Parma, Bologna-Piacenza line</t>
  </si>
  <si>
    <t>Recommendation IT-10582-02</t>
  </si>
  <si>
    <t>The National Agency for Railway, Railroad and Road Infrastructure Safety is recommended to take appropriate initiatives to ensure that RFI makes the long welded rail construction documents or data on the stress state of the rails available as a binding condition during the planning and execution phases of the interventions. In the absence of such values, specific procedural measures must be adopted by the Infrastructure Manager themselves.</t>
  </si>
  <si>
    <t>Recommendation IT-10582-03</t>
  </si>
  <si>
    <t>The National Agency for Railway, Railroad and Road Infrastructure Safety is recommended to implement appropriate initiatives to ensure that the Railroad Undertaking Medway adopts a single procedure for handling K-labeled wagons that guarantees the safety of its part of the system. This will also resolve the regulatory inconsistency arising from the simultaneous adoption of the General Wagon User Agreement and the Technical Standards for Railroad Vehicles regarding the management of wagons labeled with a K label.</t>
  </si>
  <si>
    <t>Recommendation IT-10582-04</t>
  </si>
  <si>
    <t>The National Agency for Railway, Railroad and Road Infrastructure Safety is recommended to take the necessary measures to ensure that Rete Ferroviaria Italiana strengthens its monitoring process for the implementation of the safety recommendations made by the Investigation Body, guaranteeing systematic control over their state of implementation over time, as well as the effectiveness of the measures adopted. It is also recommended to periodically transmit the findings of these monitoring and control activities, including to the National Investigation Body, to allow for a timely and continuous assessment of the effective adoption of the recommendations issued.</t>
  </si>
  <si>
    <t>DE-10355/1</t>
  </si>
  <si>
    <t>14-2025</t>
  </si>
  <si>
    <t>It is recommended that, in order to ensure the safety of railway systems, the risks when using the regulation for inspection of the track superstructure, in particular when individual faults occur in combination, must be reassessed in accordance with Regulation (EU) 2018/762 Annex II section 5.2.4 in conjunction with section 3.1.1.1 .</t>
  </si>
  <si>
    <t>SK-10738/1</t>
  </si>
  <si>
    <t>addressed to the railway undertaking and the infrastructure manager</t>
  </si>
  <si>
    <t>**For the railway undertaking ZSSK:**
1. **To demonstrably intensify inspection and control activities.**</t>
  </si>
  <si>
    <t>Trains collisions</t>
  </si>
  <si>
    <t>SK-10738/2</t>
  </si>
  <si>
    <t>**For the railway undertaking ZSSK:**
2. **To demonstrably expand preventive activities, in particular in the area of repeated route familiarisation for train drivers.**</t>
  </si>
  <si>
    <t>SK-10738/3</t>
  </si>
  <si>
    <t>**For the infrastructure manager:**
1. **On line sections where a single-track and a double-track line converge outside the boundary of a railway station or junction, to ensure, during the next reconstruction or modernisation of the given section, the implementation of a structural and technological modification consisting in the construction of a catch point (derailing switch) and a side (dead-end) track terminated with a buffer stop.**</t>
  </si>
  <si>
    <t>BG-10749/1</t>
  </si>
  <si>
    <t>Familiarize the interested personnel with the content of the report</t>
  </si>
  <si>
    <t>• Recommendation 1 proposes that SE NRIC and BDZ-Passenger Transport EOOD familiarize the interested personnel with the content of the report;</t>
  </si>
  <si>
    <t xml:space="preserve">Fire in locomotive № 91520044060-9, serviced fast train № 8650 between the stations Stara Zagora – Kaloyanovets </t>
  </si>
  <si>
    <t>BG-10749/2</t>
  </si>
  <si>
    <t>Change to RTOSART, part five "Organization of work at stations"</t>
  </si>
  <si>
    <t>• Recommendation 2 proposes that SE NRIC make changes to RTOSART, part five "Organization of work at stations", chapter one "Providing trains with brake mass", section one "General provisions", art. 289, para. 2 and para. 3 regarding the provision of trains with brake mass and the inclusion of the service and brake mass of locomotives in it;</t>
  </si>
  <si>
    <t>BG-10749/3</t>
  </si>
  <si>
    <t xml:space="preserve">Talks with locomotive drivers to competently and correctly operate trains in brake mode </t>
  </si>
  <si>
    <t>• Recommendation 3 proposes that BDZ PP EOOD hold talks with locomotive drivers to competently and correctly operate trains in brake mode in order to prevent thermal overloading of the friction units, both of the coaches and locomotives;</t>
  </si>
  <si>
    <t>BG-10749/4</t>
  </si>
  <si>
    <t>Restore the electrodynamic brake of the locomotives of series 44 and 45</t>
  </si>
  <si>
    <t>• Recommendation 4 proposes that BDZ PP EOOD restore the electrodynamic brake of the locomotives of series 44 and 45 in order to reduce the use of friction brakes;</t>
  </si>
  <si>
    <t>BG-10749/5</t>
  </si>
  <si>
    <t xml:space="preserve">Retrofit the traction rolling stock </t>
  </si>
  <si>
    <t>• Recommendation 5 proposes that BDZ PP EOOD retrofit the traction rolling stock with composite or sintered brake pads in order to prevent sparks, which leads to a reduction in harmful emissions into the air and noise during movement;</t>
  </si>
  <si>
    <t>BG-10749/6</t>
  </si>
  <si>
    <t>Place the power cables for supplying the under-carriage motor fans</t>
  </si>
  <si>
    <t>• Recommendation 6 proposes that BDZ PP EOOD place the power cables for supplying the under-carriage motor fans in metal corrugated pipes;</t>
  </si>
  <si>
    <t>BG-10749/7</t>
  </si>
  <si>
    <t>• Recommendation 7 proposes that BDZ PP EOOD regularly clean the deposits under the traction transformer and the locomotive bodyshell during locomotive repairs.</t>
  </si>
  <si>
    <t>NL-10606/1</t>
  </si>
  <si>
    <t>To ProRail
- Further consider the behaviour of road users at level crossings on sections of railway line with only a low frequency of train traffic within the Dutch Level Crossing Risk Model (Nederlands Overwegen Risico Model, NORM).
- Implement measures to actively ensure safety at level crossings outside the passenger network. If existing measures are not proportionate, consider alternative ways of actively ensuring safety at level crossings. If active safety measures at level crossings appear not to be feasible, consider removing the level crossing or section of line concerned.</t>
  </si>
  <si>
    <t>NL-10606/2</t>
  </si>
  <si>
    <t>To the State Secretary for Infrastructure and Water Management
Define who bears what responsibility and costs for level crossing safety, including outside the passenger network.</t>
  </si>
  <si>
    <t>NL-10606/3</t>
  </si>
  <si>
    <t>To DB Cargo Nederland
- For the Risk Evaluation and Assessment, ask train drivers actively to report safety risks that they have encountered. In that context, also identify risks that apply to specific sections of line that include unprotected level crossings. In doing so, take account of the possibility that a road user may not stop at a level crossing.
- Share these risks and measures with other railway companies, for example at the directors meeting railway safety (Directeuren overleg spoorwegveiligheid) and the Dutch Heritage Rail- and Tramway Association (Historisch Railvervoer Nederland).</t>
  </si>
  <si>
    <t>DK-10640/1</t>
  </si>
  <si>
    <t>DK-2025 R9 of 17/12/2025</t>
  </si>
  <si>
    <t xml:space="preserve">The AIB recommends that the Danish Transport Authority ensure that DSB carries out a risk assessment of the independent hazard; that trains depart with passengers trapped in an entry door, so as to ensure effective barriers and an acceptable risk. </t>
  </si>
  <si>
    <t>Østerport, Passenger trapped in door and pulled under train</t>
  </si>
  <si>
    <t>DK-10632/1</t>
  </si>
  <si>
    <t>DK-2025 R 8 of 16-12-2025</t>
  </si>
  <si>
    <t>The Accident Investigation Board recommends that the certification body that has issued DSB's ECM certificate and that supervises the maintenance system, through its supervision efforts at DSB, ensures that DSB's maintenance system meets the requirements of ECM Regulation (EU) 2019/779 Annex II, Section II, point 5 a, and Section IV, point 2 a. (see Appendix 1), including ensuring that DSB has carried out a basic adjustment of all Hard points on ER train sets with Tebel doors, according to the door manufacturer's installation and maintenance instructions.</t>
  </si>
  <si>
    <t>Original text in Danish</t>
  </si>
  <si>
    <t>RO-10659/1</t>
  </si>
  <si>
    <t>no.507-1</t>
  </si>
  <si>
    <r>
      <rPr>
        <sz val="11"/>
        <color rgb="FF000000"/>
        <rFont val="Calibri"/>
        <family val="2"/>
        <scheme val="minor"/>
      </rPr>
      <t xml:space="preserve">Preamble to Safety Recommendation No. 507/1
After analysing the Risk Register – 2024 drawn up by the Lines Division of the railway county Brașov for the lines branch, the investigation commission found that no analysis had been carried out regarding the assessment of the risk generated by the hazard manifested by maintaining the track geometry beyond the tolerances permitted in operation and by maintaining incomplete or inactive fastenings.
</t>
    </r>
    <r>
      <rPr>
        <b/>
        <sz val="11"/>
        <color rgb="FF000000"/>
        <rFont val="Calibri"/>
        <family val="2"/>
        <scheme val="minor"/>
      </rPr>
      <t>Safety Recommendation No. 507/1</t>
    </r>
    <r>
      <rPr>
        <sz val="11"/>
        <color rgb="FF000000"/>
        <rFont val="Calibri"/>
        <family val="2"/>
        <scheme val="minor"/>
      </rPr>
      <t xml:space="preserve">
CNCF “CFR” SA will re-examine the action of identifying the risks associated with its own railway operations and will assess the risks generated by the following hazards:
a) maintaining the track geometry beyond the tolerances permitted in operation;
b) maintaining incomplete or inactive fastenings,
with a view to establishing and implementing viable safety measures to keep them under control.</t>
    </r>
    <r>
      <rPr>
        <sz val="10"/>
        <color rgb="FF000000"/>
        <rFont val="Arial"/>
        <family val="2"/>
      </rPr>
      <t xml:space="preserve">
</t>
    </r>
  </si>
  <si>
    <t>RO-10659/2</t>
  </si>
  <si>
    <t>no.507-2</t>
  </si>
  <si>
    <r>
      <t xml:space="preserve">Preamble to Safety Recommendation No. 507/2
During the investigation, it was found that turnout no.1R was of type 60, while the rails on the main line to which it was connected were of type 65, and the transition from one rail type to another was carried out by means of connecting fishplates instead of connecting panels. It was also found that in the railway county Brașov, there are other similar situations in which the transition from the rail type of the turnout to the rail type of the lines to which it is connected is carried out by means of connecting fishplates instead of connecting panels.
</t>
    </r>
    <r>
      <rPr>
        <b/>
        <sz val="10"/>
        <color rgb="FF000000"/>
        <rFont val="Calibri"/>
        <family val="2"/>
        <scheme val="minor"/>
      </rPr>
      <t>Safety Recommendation No. 507/2</t>
    </r>
    <r>
      <rPr>
        <sz val="10"/>
        <color rgb="FF000000"/>
        <rFont val="Calibri"/>
        <family val="2"/>
        <scheme val="minor"/>
      </rPr>
      <t xml:space="preserve">
</t>
    </r>
    <r>
      <rPr>
        <sz val="11"/>
        <color rgb="FF000000"/>
        <rFont val="Calibri"/>
        <family val="2"/>
        <scheme val="minor"/>
      </rPr>
      <t>During the supervisory activities carried out, in accordance with the provisions of Article 17(1) and Article 9(d) of Government Emergency Ordinance No.73/2019, the Railway Safety Authority – ASFR will request CNCF “CFR” SA to identify all similar situations at network level (in which the transition from the rail type of the turnout to another rail type is carried out without complying with the provisions of Article 15, point 5 of Instruction No. 314/1989 on standards and tolerances for the construction and maintenance of standard gauge track), and to establish the necessary measures for their elimination.</t>
    </r>
    <r>
      <rPr>
        <i/>
        <sz val="10"/>
        <color rgb="FF000000"/>
        <rFont val="Arial"/>
        <family val="2"/>
        <charset val="238"/>
      </rPr>
      <t xml:space="preserve">
</t>
    </r>
  </si>
  <si>
    <t>DK-10645/1</t>
  </si>
  <si>
    <t>DK-2025 R 10 of 19-12-2025</t>
  </si>
  <si>
    <t>The Accident Investigation Board recommends that the Danish Transport Authority ensure that DB Cargo Scandinavia A/S strengthens its already set up barriers so that they address the limitations in human factors that the Accident Investigation Board has identified in this report.
DB Cargo Scandinavia A/S must also assess whether there is a need to set up additional barriers, including possible technical barriers.</t>
  </si>
  <si>
    <t>Original in Danish</t>
  </si>
  <si>
    <t>DE-10197/1</t>
  </si>
  <si>
    <t>03-2022</t>
  </si>
  <si>
    <t>It is recommended that, in the safety management system of the railways, processes be developed or improved that allow for effective examination of the effectiveness of compliance with the rules after the occurrence of a PZB automatic train stop. Appropriate measures must be deduced from these findings to raise awareness among employees in rail operations.</t>
  </si>
  <si>
    <t>DE-10197/2</t>
  </si>
  <si>
    <t>04-2022</t>
  </si>
  <si>
    <t>It is recommended that the vehicle technology be expanded so that the driver must be given an appropriate period after the occurrence of a PZB automatic train stop to think (awareness of the situation) and act (processing of guideline 408.2651).</t>
  </si>
  <si>
    <t>DE-10636/1</t>
  </si>
  <si>
    <t>15-2025</t>
  </si>
  <si>
    <t>It is recommended that the management of information concerning main tracks still being occupied, particularly after they have been closed due to written instructions, work track statuses, track closures, dividing of trains and/or changing to other train movements, should be improved in relation to the requirements as per Delegated Regulation (EU) no. 2016/762, Annex II, criterion 4.4.3a) to g). In addition to providing the information, the time, wordings that may need to be complied with and responsibilities, the saving of the information and incorporation into other operating processes are relevant.</t>
  </si>
  <si>
    <t>DE-10534/1</t>
  </si>
  <si>
    <t>16-2025</t>
  </si>
  <si>
    <t>It is recommended that shunting signals, which can regularly be used as target signals for train movements, must undergo a risk assessment as per Regulation (EU) 2018/762 Annex II point 3.1.1.1. in relation to equipping them with 2,000 Hz track magnets.</t>
  </si>
  <si>
    <t>RO-10646/1</t>
  </si>
  <si>
    <t>no.504-1</t>
  </si>
  <si>
    <t>23/1/2025</t>
  </si>
  <si>
    <t>ASFR shall ensure that freight railway undertakings, entities responsible for maintenance and owners of freight wagons in Romania take the necessary measures for the immediate withdrawal from circulation of wagons equipped with axles belonging to cast batch no.511973, manufactured by SMR SA Balș in 2004 and declared rejected in 2006, the wheelsets with axles of this cast batch to be replaced and destroyed.</t>
  </si>
  <si>
    <t>RO-10646/2</t>
  </si>
  <si>
    <t>no.504-2</t>
  </si>
  <si>
    <t>ASFR shall ensure that freight railway undertakings, entities responsible for maintenance and owners of freight wagons in Romania take the necessary measures for the immediate withdrawal from circulation of wagons equipped with axles belonging to cast batch no.511970, manufactured by SMR SA Balș in 2004 and declared rejected in the same year, the wheelsets with axles of this cast batch to be replaced and destroyed.</t>
  </si>
  <si>
    <t>RO-10646/3</t>
  </si>
  <si>
    <t>no.504-3</t>
  </si>
  <si>
    <t>ASFR shall ensure that freight railway undertakings, entities responsible for maintenance and owners of freight wagons in Romania take the necessary measures for the immediate withdrawal from circulation of wagons equipped with axles belonging to cast batch no.311561, manufactured by SMR SA Balș in 2004 and for which rejecting was recommended in 2009, the wheelsets with axles of this cast batch to be replaced and destroyed.</t>
  </si>
  <si>
    <t>RO-10646/4</t>
  </si>
  <si>
    <t>no.504-4</t>
  </si>
  <si>
    <t>ASFR shall ensure that freight railway undertakings, entities responsible for maintenance and owners of freight wagons in Romania take the necessary measures for the immediate withdrawal from circulation of wagons equipped with axles belonging to cast batches no.511963, 511967, 511969 and 511971, manufactured by SMR SA Balș in 2004, the wheelsets with axles of these cast batches to be replaced.</t>
  </si>
  <si>
    <t>RO-10646/5</t>
  </si>
  <si>
    <t>no.504-5</t>
  </si>
  <si>
    <t>ASFR shall ensure that freight railway undertakings, entities responsible for maintenance and owners of freight wagons in Romania hold information regarding cast batches of axles with manufacturing defects and use this information in activities related to the maintenance of freight wagons.</t>
  </si>
  <si>
    <t>RO-10646/6</t>
  </si>
  <si>
    <t>no.504-6</t>
  </si>
  <si>
    <t>28/4/2025</t>
  </si>
  <si>
    <t>AFER shall ensure that economic operators holding technical railway approval for critical railway services, allowing them to supply axle assemblies originating from the dismantling of scrapped wagons, are in possession of information regarding cast batches of axles with manufacturing defects and does not sell wheelsets equipped with axles belonging to the ten cast batches produced by SMR SA Balș during 2003–2004 (cast batches no.311156, 311245, 311290, 311561, 511963, 511967, 511969, 511970, 511971 and 511973).</t>
  </si>
  <si>
    <t>RO-10646/7</t>
  </si>
  <si>
    <t>no.504-7</t>
  </si>
  <si>
    <t>15/1/2026</t>
  </si>
  <si>
    <t xml:space="preserve">Preamble to Safety recommendation no. 504/7
During the investigation, it was established that wheelsets produced equipped with axles from cast batches manufactured during 2003–2004 by SMR SA Balș, which were declared rejected by the owner of the wagons on which these wheelsets were mounted, were not destroyed, and some of them were subsequently marketed by economic operators intermediating parts and subassemblies originating from the dismantling of scrapped wagons.
The investigation commission established that the first owner of the wheelset involved in the accident did not effectively manage the decommissioning (destruction) actions of wheelsets with axles produced from rejected cast batches.
Safety recommendation no. 504/7
ASFR shall ensure that SNTFM “CFR Marfă” SA disposes and implements effective safety measures for the identification and destruction of all wheelsets with axles manufactured during 2003–2004 by SMR SA Balș, which were declared rejected during the period 2004–2008, in accordance with the provisions of UIC Leaflet 811-1/87.
</t>
  </si>
  <si>
    <t>LV-10540/1</t>
  </si>
  <si>
    <t>Recommendation 2026-1</t>
  </si>
  <si>
    <t>9/1/2026</t>
  </si>
  <si>
    <t xml:space="preserve"> The Infrastructure Manager shall introduce maximum cut length and weight parameters into the Hump Yard Operating Instructions, making the manufacturer’s recommended limits mandator; Cut length &lt; 285 m and weight &lt; 2,000 t.; Mandatory</t>
  </si>
  <si>
    <t xml:space="preserve">No. 5-02/1-24 </t>
  </si>
  <si>
    <t>Uncontrolled rolling of detached railcars from the shunting hump on 24 February 2024</t>
  </si>
  <si>
    <t>PL-10680/1</t>
  </si>
  <si>
    <t>Renovate signage</t>
  </si>
  <si>
    <t>16/12/2025</t>
  </si>
  <si>
    <t>Renovate the horizontal signage of the P-4 and P-14 lines on the access road to the crossing, plus complete the P-4 line on the crossing platform.</t>
  </si>
  <si>
    <t>Polish / English</t>
  </si>
  <si>
    <t>PL-10680/2</t>
  </si>
  <si>
    <t>Install additional sign</t>
  </si>
  <si>
    <t>The existing F-6a sign at the exit from Halinowo Street shall be supplemented with a A-9 sign on the right turning (photograph 19).</t>
  </si>
  <si>
    <t>PL-10680/3</t>
  </si>
  <si>
    <t>Changing road traffic organisation</t>
  </si>
  <si>
    <t>Arrange the traffic organisation so as to prohibit exiting from the access road towards the level crossing.</t>
  </si>
  <si>
    <t>PL-10680/4</t>
  </si>
  <si>
    <t>Join semi-authomatic LC  system with station devices</t>
  </si>
  <si>
    <t>Until the signalling equipment at Aleksandrów Kujawski station is modernised, link the semi-automatic traffic system at the level crossing with the station's system by making the aspects shown by the signal dependent on the position of the barrier booms.</t>
  </si>
  <si>
    <t>PL-10680/5</t>
  </si>
  <si>
    <t xml:space="preserve">Checking ergonomics </t>
  </si>
  <si>
    <t>During inspections of Cat. A level crossings, check the ergonomics of the workstations of the personnel operating the level crossings and, in the event that proper observation of trains and shunting operations is not ensured, take appropriate measures to minimise the risk of occurrences at the crossings</t>
  </si>
  <si>
    <t>PL-10628/1</t>
  </si>
  <si>
    <t>Inspect camera recording system</t>
  </si>
  <si>
    <t>30/10/2025</t>
  </si>
  <si>
    <t>The carrier PKP Intercity S.A. shall inspect the front-view image recording systems installed on the powered railway vehicles in service for correctness and continuity of image recording. Furthermore, it shall ensure that the camera's fieldof view is not obscured by any structural components of the vehicle and that its field of view covers the full front view of the vehicle. If the image is found to be obscured or distorted, the carrier shall either adjust the camera position or make changes to the mounting method.</t>
  </si>
  <si>
    <t>PL-10633/1</t>
  </si>
  <si>
    <t>Implement NIB PL recommendation</t>
  </si>
  <si>
    <t>19/11/2025</t>
  </si>
  <si>
    <t xml:space="preserve">Infrastructure managers that have not implemented 100% of "Recommendation No. 2 from the 2018 PKBWK Annual Report" shall step up the implementation of the recommendation and submit to the President of the Office of Rail Transport a schedule of actions aimed at eliminating exit half-barriers at Cat. B level crossings. </t>
  </si>
  <si>
    <t>Level crossing serious accident</t>
  </si>
  <si>
    <t>PL-10633/2</t>
  </si>
  <si>
    <t>Conduct safety inspections</t>
  </si>
  <si>
    <t>Railway carriers operating powered railway vehicles shall conduct safety inspections of train driver cabs, focusing in particular on whether the driver emergency evacuation is hindered where there are two seats in the cab. If any difficulties are identified, they shall take appropriate actions to eliminate them</t>
  </si>
  <si>
    <t>PL-10633/3</t>
  </si>
  <si>
    <t>Detecting obstacles system</t>
  </si>
  <si>
    <t xml:space="preserve">Infrastructure managers shall take actions to retrofit level crossings with a system for detecting obstacles in the crossing zone.
</t>
  </si>
  <si>
    <t>RO-10654/1</t>
  </si>
  <si>
    <t>505-1</t>
  </si>
  <si>
    <t>28/1/2026</t>
  </si>
  <si>
    <t xml:space="preserve">Preamble to Recommendation No. 505/1
As deficiencies were identified during the investigation within SC CER Fersped SA regarding the identification, assessment and control of the hazards represented by “roughness on the active side of the flange of the wheel greater than 12.5 µm after re-profiling operations by turning of the wheels”, AGIFER considers it appropriate to issue the following safety recommendation:
Safety recommendation no. 505/1
SC CER Fersped SA shall identify and assess the risk associated with the hazard represented by “roughness on the active side of the flange of the wheel greater than 12.5 µm after re-profiling operations by turning of the wheels”, and shall establish measures and ensure their implementation in order to keep this hazard under control.
</t>
  </si>
  <si>
    <t>CZ-10587/1</t>
  </si>
  <si>
    <t>Addressed to the Czech National Safety Authority (NSA):
• to focus on implementation of duties from Article 35 of Decree No. 173/1995 Coll. to internal regulations of relevant RUs within own activity related with safety certificate of RU;
• to assess concept „dispatching of train“ at internal regulations of IM Správa železnic and RU Leo Express Tenders and evaluate if use same word for different activities does not introduce increased risk and in continuity of this alternatively to ensure adjustment of terminology which should remain in compliance with terminology in Decree No. 173/1995 Coll.</t>
  </si>
  <si>
    <t>RO-10655/1</t>
  </si>
  <si>
    <t>no.506-1</t>
  </si>
  <si>
    <t>2/2/2026</t>
  </si>
  <si>
    <t xml:space="preserve">Preamble to Safety Recommendation No. 506/1
During the investigation of the accident, it was found that the keeping in the track of improper sleepers, which caused the exceeding of the maximum permissible value of the track gauge in operation, constituted a critical factor that influenced the occurrence of the accident.
Furthermore, from the analysis of the risk management and safety management activities (presented in Chapter 4.d.2), it resulted that the public railway infrastructure manager CNCF “CFR” SA has established procedures, has identified and analysed risks, and has determined that keeping them under control should be ensured through the application of provisions of codes of practice. However, CNCF “CFR” SA did not ensure the necessary conditions for the application of these provisions, which indicates an ineffective management of the risks associated with the danger of exceeding the accepted tolerances of the track geometry.
Safety Recommendation No. 506/1
The public railway infrastructure administrator CNCF “CFR” SA shall reassess the risks associated with the danger of exceeding the accepted tolerances of the track geometry, in order to establish and apply viable safety measures for their effective management.
</t>
  </si>
  <si>
    <t>ES-10616/1</t>
  </si>
  <si>
    <t>114/2023-1: Identify similar critical points in the railway network and adopt special measures for them.</t>
  </si>
  <si>
    <t>Identify critical points in the railway network that have similar characteristics to the site of the accident in terms of traffic intensity, design and impact on the railway service, adopting improvement measures as necessary regarding lifecycle, maintenance, material performance and resilience to failures.
Addressee: AESF (NSA Spain)
Final implementer: ADIF (IM)</t>
  </si>
  <si>
    <t>ES-10616/2</t>
  </si>
  <si>
    <t>114/2023-2: Review and optimize control and preventive maintenance procedures at critical points.</t>
  </si>
  <si>
    <t>Review and optimize the control and preventive maintenance procedures applied to track components located at critical points, adapting them to the functional and structural characteristics of these elements.
Addressee: AESF (NSA Spain)
Final implementer: ADIF (IM)</t>
  </si>
  <si>
    <t>ES-10616/3</t>
  </si>
  <si>
    <t>114/2023-3: Base the frequency of auscultations on risk studies.</t>
  </si>
  <si>
    <t>Establish the frequency of auscultations, and any necessary adjustments, based on risk studies rather than the availability resources.
Addressee: AESF (NSA Spain)
Final implementer: ADIF (IM)</t>
  </si>
  <si>
    <t>CZ-10651/1</t>
  </si>
  <si>
    <t xml:space="preserve">Addressed to the Czech National Safety Authority (NSA):
• within the framework of own activities as a National Safety Authority to adopt of measures to ensure that the infrastructure managers at national and regional lines:
◦ so that technological procedures which form elements of safety management system of the infrastructure manager include detailed check of condition of baseplates to check rail of obtuse crossing of diamond crossing with slips during operation for the occurrence of fractures and cracks including procedures establishing the assessment and categorization of these defects and the adoption of appropriate measures.
</t>
  </si>
  <si>
    <t>The direct cause of the trailer beginning to roll was that its braking force was insufficient to keep the loaded trailer stationary on the gradient of this track section</t>
  </si>
  <si>
    <t xml:space="preserve"> The trailer most likely had an oil leak in its hydraulic braking system, which may have gradually deteriorated the braking effectiveness. The risk of runaway vehicles was not assessed. There was no established routines for vehicle inspection and maintenance, nor for training in its use. The process for obtaining an operating permit for the vehicles was also long and unpredictable.</t>
  </si>
  <si>
    <t>Safety recommendation Rail No. 2025/01T</t>
  </si>
  <si>
    <t>On 12 February 2024, a rail-track trailer rolled uncontrolled in a construction area from the Ekebergparken stop down towards Oslo city centre. The trailer was on a steep gradient while being loaded with gravel. An undetected fault in the braking system meant that the weight of the trailer eventually exceeded the available braking power, causing it to start rolling. An excavator was driven onto the track to stop the runaway trailer. This prevented the trailer from derailing onto streets with mixed traffic.
The work was being carried out on behalf of Sporveien Trikken AS. Although it became clear at an early stage that Sporveien Trikken AS’ expectations of the work were not met, no measures were implemented to compensate for this.
The Norwegian Safety Investigation Authority recommends that the Norwegian Railway Authority ensure that Sporveien Trikken AS has supplier management systems that function in line with the provisions of the regulations.</t>
  </si>
  <si>
    <t>Report on a runaway trailer on the Ekeberg Line in Oslo on 12 February 2024</t>
  </si>
  <si>
    <t>NO-10527/1</t>
  </si>
  <si>
    <t>Safety recommendation Rail No. 2025/02T</t>
  </si>
  <si>
    <t>On 12 February 2024, a rail-track trailer rolled uncontrolled in a construction area from the Ekebergparken stop down towards Oslo city centre. The trailer was on a steep gradient while being loaded with gravel. An undetected fault in the braking system meant that the weight of the trailer eventually exceeded the available braking power, causing it to start rolling. An excavator was driven onto the track to stop the runaway trailer. This prevented the trailer from derailing onto streets with mixed traffic.
The work was being carried out on behalf of Sporveien Trikken AS. Although it became clear at an early stage that Sporveien Trikken AS’ expectations of the work were not met, no measures were implemented to compensate for this.
The Norwegian Safety Investigation Authority recommends that the Norwegian Railway Authority ensure that Sporveien Trikken AS has systems in place to ensure that suppliers have the necessary resources and expertise to ensure safe work on and around tracks.</t>
  </si>
  <si>
    <t>NO-10527/2</t>
  </si>
  <si>
    <r>
      <rPr>
        <sz val="10"/>
        <color rgb="FF000000"/>
        <rFont val="Arial"/>
        <family val="2"/>
        <charset val="238"/>
      </rPr>
      <t>Causal factor</t>
    </r>
    <r>
      <rPr>
        <sz val="10"/>
        <color rgb="FF000000"/>
        <rFont val="Arial"/>
        <family val="2"/>
      </rPr>
      <t xml:space="preserve">
The existence, at the site of the railway accident, of a group of consecutive improper normal and special wooden sleepers, whose technical condition could no longer ensure the proper fastening of the rails and the maintaining of the track gauge within the tolerances permitted by the regulatory framework, having as an effect the exceeding of the maximum value accepted for the track gauge in operation, thus causing the loss of the rails’ load-bearing and guiding capacity under the dynamic action of the rolling stock.
</t>
    </r>
  </si>
  <si>
    <r>
      <rPr>
        <sz val="10"/>
        <color rgb="FF000000"/>
        <rFont val="Arial"/>
        <family val="2"/>
        <charset val="238"/>
      </rPr>
      <t>Contributing factor</t>
    </r>
    <r>
      <rPr>
        <sz val="10"/>
        <color rgb="FF000000"/>
        <rFont val="Arial"/>
        <family val="2"/>
      </rPr>
      <t xml:space="preserve">
Maintaining a high degree of choking of the ballast and abundant vegetation, which caused the premature degradation (rot) of the wooden sleepers.
</t>
    </r>
    <r>
      <rPr>
        <sz val="10"/>
        <color rgb="FF000000"/>
        <rFont val="Arial"/>
        <family val="2"/>
        <charset val="238"/>
      </rPr>
      <t>Systemic factors</t>
    </r>
    <r>
      <rPr>
        <sz val="10"/>
        <color rgb="FF000000"/>
        <rFont val="Arial"/>
        <family val="2"/>
      </rPr>
      <t xml:space="preserve">
 provision with improper material and human resources, against the necessary one, for the suitable maintenance of the line and keeping the track condition between the accepted tolerances;
 ineffective management of the risks associated with the danger generated by keeping in the track two or more neighboring improper sleepers.
</t>
    </r>
  </si>
  <si>
    <t>Mistake of engine driver</t>
  </si>
  <si>
    <t>Traffic technology</t>
  </si>
  <si>
    <t>the locomotive driver passed the signal at danger</t>
  </si>
  <si>
    <t>between the stations, running trains on the upper track instead of the lower track meant additional administrative work, which encouraged traffic personnel to use a solution that offered a lower level of safety</t>
  </si>
  <si>
    <t>Switch was switched while the train was moving</t>
  </si>
  <si>
    <t>the acceptability of the risk associated with the safety installation in relation to this incident is based on an assessment made 67 years ago</t>
  </si>
  <si>
    <t>BA2025-0073-5-01</t>
  </si>
  <si>
    <t>The TSB recommends that the TB.1 Instruction to be renewed should specify the necessary measures and/or restrictions in the event that the main inspection of the safety installation is not carried out by the deadline.</t>
  </si>
  <si>
    <t>5/2/2026</t>
  </si>
  <si>
    <t>HU-10656/1</t>
  </si>
  <si>
    <t>HU-10656/2</t>
  </si>
  <si>
    <t>HU-10656/3</t>
  </si>
  <si>
    <t>BA2025-0073-5-02</t>
  </si>
  <si>
    <t>The TSB recommends reviewing and modifying Siemens-Halske system (or system-based) safety installations and/or their maintenance systems to ensure that a contact failure in the release block does not lead to the failure of mechanical protection preventing the early release of the track.</t>
  </si>
  <si>
    <t>BA2025-0073-5-03</t>
  </si>
  <si>
    <t>The TSB recommends reviewing and analysing the risks associated with Siemens-Halske system safety installations (and equipment based on this system) and taking the necessary risk mitigation measures.</t>
  </si>
  <si>
    <t>Level crossing accident, 04-04-2020, Open line between station Ilmaja - Kalvene</t>
  </si>
  <si>
    <t>Train mistakenly shunted onto an occupied track during RMI/VRG procedure (RMI/VRG stands for Person Responsible for Shunting)</t>
  </si>
  <si>
    <t>Crossrail (now: BLS Cargo Nord) and Lineas</t>
  </si>
  <si>
    <t>The direct cause is the allocation of an occupied track to a freight train based on incorrect track information.</t>
  </si>
  <si>
    <t>* A contributing factor is that the RMI/VRG operation is transferred manually through a telegram, without obligatory validation or control.
* A systemic factor is the absence of technical means of detection in RMI/VRG operated marshalling yards, which makes that the infrastructure manager is unable to verify track occupation.
* A systemic factor is the flawed integration of the RMI/VRG principle in the concerned railway undertakings' safety management system (risk analyses, monitoring, etc).
* A systemic factor is that the joint identification and management of task related risks is currently missing in the management of the RMI/VRG operation.</t>
  </si>
  <si>
    <t>BE-10629/1</t>
  </si>
  <si>
    <t>BE-10629/2</t>
  </si>
  <si>
    <t>The Investigation Unit recommends the NSA to ensure that the infrastructure manager evaluates the necessity of transitory measures before the RMI/VRG process is phased out in the concerned marshalling yards, in order to guarantee a safe and verifiable follow-up of track occupation.</t>
  </si>
  <si>
    <t>Dutch (own translation)</t>
  </si>
  <si>
    <t>10/2/2026</t>
  </si>
  <si>
    <t>The Investigation Unit recommends the NSA to ensure that railway undertakings anchor the RMI/VRG principle in their safety management system and that they take into account human and organisational factors during analysis, in particular when RMI/VRG tasks are being combined with safety-critical tasks.</t>
  </si>
  <si>
    <t>Wagon derailment during hump shunting</t>
  </si>
  <si>
    <t>Train derailment, 17/2/2026, Antwerpen-Noord</t>
  </si>
  <si>
    <t>17/2/2026</t>
  </si>
  <si>
    <t>BE-10786</t>
  </si>
  <si>
    <t>- Damage to infrastructure: damaged retarder (1 loose bolt, 1 broken bolt, broken interior pipe, other interior damage still unclear (awaiting dismantlement of retarder)).
- Damage to rolling stock: first and second bogie of the wagon are damaged.</t>
  </si>
  <si>
    <t>BE-10787</t>
  </si>
  <si>
    <t>Derailment of a freight train</t>
  </si>
  <si>
    <t>Train derailment, 17/2/2026, Mons</t>
  </si>
  <si>
    <t>- Damage to rolling stock: damage to wagon wheels and buffers.
- Damage to infrastructure: damaged tracks, points and sleepers.
- Railway traffic suspended on line 96 for several days.
- Railway traffic suspended on line 97 for 1 day.</t>
  </si>
  <si>
    <t>20/2/2026</t>
  </si>
  <si>
    <t>Investigation Report of eight (8) SPAD’s incidents during the years 2023 &amp; 2024 on Greek Railway System</t>
  </si>
  <si>
    <t>This investigation concerns eight (8) incidents of red-light violations by Hellenic Train (7 incidents) and STASY (one incident) trains.
The events are presented in detail below:
• Incident 23/12/2023- Hellenic Train- Passenger train 1313, Route Kiato - Piraeus
• Incident 18/2/2024- Hellenic Train- Commercial Train 80314, Route Athens-Thriasio
• Incident 9/3/2024- Hellenic Train - Passenger Train, Route Airport - Ano Liosia
• Incident 15/3/2024- STASY- Passenger Train, Route Airport - Piraeus
• Incident 20/3/2024- Hellenic Train - Passenger Train 1302, Route Piraeus - Kiato
• Incident 22/4/2024- Hellenic Train - Passenger Train 1553, Route Chalkida - Athens
• Incident 16/5/2024 - Hellenic Train - Passenger Train 1314, Route Piraeus - Kiato
• Incident 25/5/2024 - Hellenic Train - Passenger Train 2243, Route Airport- Ano Liosia
The initial investigation with ERA code “EL2023_002” was decided by the EODASAAM Council on 15/3/2024 but given the seven (7) similar incidents that occurred in the following months, it was decided to conduct a consolidated investigation. These incidents in the European standardization by ERA are referred to as “Signals Passed At Danger” (SPAD), they are considered serious and must be investigated because they are precursors of possible accidents. It is noted that in these specific incidents there was no injury or serious material damage. All incidents were investigated by the railway companies involved and by the Infrastructure Manager (OSE).</t>
  </si>
  <si>
    <t xml:space="preserve">Hallenic train (7 incidents) and Stasy (1 incident) </t>
  </si>
  <si>
    <t>Technical problems, Human Organizational Factors, Communication means beteween staion manager and drivers</t>
  </si>
  <si>
    <t>rail track malfunctions</t>
  </si>
  <si>
    <t>a combination of axis and level faults in the rail track derailment zone.</t>
  </si>
  <si>
    <t>BG-10711/1</t>
  </si>
  <si>
    <t>BG-10711/2</t>
  </si>
  <si>
    <t>BG-10711/3</t>
  </si>
  <si>
    <t>BG-10711/4</t>
  </si>
  <si>
    <t>BG-10711/5</t>
  </si>
  <si>
    <t>• With recommendation 1, it is suggested that SE NRIC and "Bulmarket Rail Cargo" EOOD familiarize the interested personnel with the contents of the report.</t>
  </si>
  <si>
    <t>Derailment of DFT № 80694 between the stations Lyubenovo distributing station</t>
  </si>
  <si>
    <t>6/2/2026</t>
  </si>
  <si>
    <t xml:space="preserve">SE NRIC to analyse the data provided by the independent body "TINSA" Ltd. </t>
  </si>
  <si>
    <t>• With recommendation 2, it is proposed that the SE NRIC analyse the data provided by the independent body "TINSA" Ltd. The Rail Track Measuring Laboratory EM-120 on 14.11.2023 along the section Nova Zagora – Simeonovgrad, measured the data. It is also proposed the SE NRIC to take measures to eliminate the malfunctions of the rail track (in terms of flush/twist, level and vertical deformations of the rails in the joints), which do not meet the requirements for class "C" for speed ≤ 60 km/h, or complete overhaul.</t>
  </si>
  <si>
    <t>SE NRIC to take measures to issue a permit from "Railway Administration" EA</t>
  </si>
  <si>
    <t>• With recommendation 3, it is proposed that SE NRIC take measures to issue a permit from "Railway Administration" EA for placing into service structural subsystem "Energy" for the site "Electrification of the 83rd railway line Simeonovgrad - Nova Zagora" in accordance with the order of art. 44a, para. 2 of Ordinance No. 57.</t>
  </si>
  <si>
    <t xml:space="preserve">SE NRIC to take measures to conduct trainings </t>
  </si>
  <si>
    <t>• With recommendation 4, it is proposed that SE NRIC take measures to conduct trainings for the management and executive staff responsible for the maintenance and repair of the 83rd railway line Simeonovgrad - Nova Zagora in order to increase their knowledge.</t>
  </si>
  <si>
    <t>"Bulmarket Rail Cargo" EOOD to conduct additional training</t>
  </si>
  <si>
    <t>• With recommendation 5, it is proposed that "Bulmarket Rail Cargo" EOOD conducts additional training for locomotive management personnel (instructors and drivers) regarding the management of heavy freight and long-haul trains when running in diverse and complex sections of the infrastructure.</t>
  </si>
  <si>
    <t>On March 19, 2025, at 03:31 p.m., during the arrival and stopping of passenger train No. 4706 at 
Lupoglav station on the railway line R101 at km 048+940, a fire occurred on the diesel multiple unit 
series 7122. At the time of the fire, there were four passengers, a conductor, and a train driver on the 
train. No injuries were reported, while the interior of the diesel multiple unit train was completely 
burned down.</t>
  </si>
  <si>
    <t>The causal factor of the accident was damaged thermal insulation on the exhaust system of the propulsion diesel engine series 7122, which led to heat transfer and subsequent ignition of combustible materials (chapter 3.2.2.).</t>
  </si>
  <si>
    <t xml:space="preserve">Contributing factor:
-              propulsion components located underfloor were covered in accumulated grease mixed with dust (chapter 3.2.2.).
Systemic factors:
-              in the "Instructions for the maintenance of traction vehicles owned by HŽPP d.o.o." the description and periodicity of the inspection of the complete exhaust system of diesel engines "A" and "B" are missing (chapter 4.1.1.),
-              in Annex 2 List and categorization of risks arising from the railway vehicle maintenance system for part C Maintenance of diesel multiple units and electric multiple units, risks that may affect railway safety were neither identified nor evaluated, nor were corresponding measures established in accordance with the causes of fire provided by the Railway Undertaking (chapter 4.1.1.),
-    additional measures concluded on December 14, 2020, between the Railway Undertaking and the Entity in Charge of Maintenance to improve maintenance quality and prevent fires on traction vehicles have not been fully implemented (chapter 4.2.4.).
 </t>
  </si>
  <si>
    <t>AIN/06-SR-01/2026</t>
  </si>
  <si>
    <t>The involved Railway Undertaking should update the "Instructions for the maintenance of traction vehicles owned by HŽPP d.o.o." for vehicle series 7122 and 7121 to include a detailed description and periodicity for the inspection of the complete exhaust system of diesel engines "A" and "B".</t>
  </si>
  <si>
    <t>4/3/2026</t>
  </si>
  <si>
    <t>AIN/06-SR-02/2026</t>
  </si>
  <si>
    <t>The involved Railway Undertaking, in cooperation with the authorized Entity in Charge of Maintenance, should inspect all vehicles series 7121 and 7122 within 3 months to ensure they are equipped with two additional fire extinguishers, if any vehicles found lacking must be equipped immediately.</t>
  </si>
  <si>
    <t>AIN/06-SR-03/2026</t>
  </si>
  <si>
    <t>The involved Railway Undertaking, in cooperation with the authorized Entity in Charge of Maintenance, should inspect all vehicles series 7121 and 7122 within 3 months to determine if they are equipped with an automatic tube-type fire suppression system in the engine compartment, if not these must be installed within 12 months. On series 7122, the same device must be installed within 12 months in the cabinet through which the engine exhaust system passes.</t>
  </si>
  <si>
    <t>AIN/06-SR-04/2026</t>
  </si>
  <si>
    <t>The involved Railway Undertaking should, in Annex 2 List and categorization of risks arising from the railway vehicle maintenance system for part C, assess and include risks based on the identified causes of fire that may affect railway safety, as well as determine the necessary mitigation measures.</t>
  </si>
  <si>
    <t>HR-10674/1</t>
  </si>
  <si>
    <t>HR-10674/2</t>
  </si>
  <si>
    <t>HR-10674/3</t>
  </si>
  <si>
    <t>HR-10674/4</t>
  </si>
  <si>
    <t>HU-10788</t>
  </si>
  <si>
    <t>The locomotive of a passenger train derailed while entering the station on a narrow-gauge railway line. Passengers were on board.</t>
  </si>
  <si>
    <t>Train derailment, 28/2/2026, Királyrét</t>
  </si>
  <si>
    <t>28/2/2026</t>
  </si>
  <si>
    <t>Királyrét</t>
  </si>
  <si>
    <t>Börzsöny 2020 Kft.</t>
  </si>
  <si>
    <t>5/3/2026</t>
  </si>
  <si>
    <t>No damage was caused.</t>
  </si>
  <si>
    <t>The causal factor for the incident is the failure to notice the signal term ‘Clear at 60 km/h’ at the exit signal ‘R202’ and the signal repeater ‘1R202’ located in front of it for the exit signal “R202” with the signal aspect ‘Main signal shows clear with speed restriction’ by the train driver, due to his expectation of receiving a ‘clear’ signal, combined with limited attention when observing the exit signal “R202” and the signal repeater ‘1R202’ located in front of it. As a result, switches 57 and 58 were passed at 116 km/h instead of the permitted speed of 60 km/h.
The infrastructure design of the train control system used must also be cited as a contributing factor, as it was unable to prevent the train from passing the exit signal ‘R202’ at excessive speed and then accelerating further. The train control system was therefore unable to bring the train to a halt automatically. From the end of the 1000 Hz monitoring until the switch area of switches 57 and 58, the train was travelling without technical monitoring for almost 1200 m. The infrastructure design of the train control system used must also be considered a systemic factor, as it can have a similar effect on other journeys. Furthermore, it cannot be ruled out that similar situations may also exist at other operating locations.
Another causal factor is considered to be the long distance of 1888 m between the exit advance signal “r” and the exit signal “R202”. Due to this long distance, the speed monitoring of the 1000 Hz control system ended at the start of the platform. This meant that after the subsequent stop at Ebreichsdorf station, it was possible to accelerate the train without technical monitoring to 84 km/h and then to 116 km/h until the exit signal ‘R202’. The large advance signal distance must also be considered a systemic factor, as it can have a similar effect on other journeys. In addition, there are also other operating locations with such large advance signal distances, which could have safety-related implications for journeys.</t>
  </si>
  <si>
    <t>The design of switches 57 and 58 was a contributing factor to the incident. The use of 60 km/h switches instead of 100 km/h switches on a busy line with very high speeds increases the probability of a derailment in PZB operation in the event of prior misconduct, as trains in this area perform a track change not monitored by a train control system at a speed reduction of 100 km/h. The design of switches must also be considered a systemic factor, as it can have a similar effect on other journeys. Furthermore, it cannot be ruled out that similar situations may exist at other operating locations where the design of the switches may have a negative effect in unfavourable operating situations.</t>
  </si>
  <si>
    <t>A-2026/001</t>
  </si>
  <si>
    <t>It is recommended that the procedure for approving the commissioning of the RBC Pottendorf and the commissioning of ETCS Level 2 be completed as soon as possible.
Reason:
In the event of ETCS Level 2 being commissioned, the risk potential of speed-related derailments in the switch area or switches being passed at excessive speeds would be significantly reduced, as vehicles equipped with ETCS must also operate in ETCS mode, thereby reducing the number of journeys in PZB mode accordingly. In ETCS operation, there is constant data transmission between the train and the ETCS control centre, which ensures continuous monitoring of the train and prevents similar incidents. The incident under investigation would not have occurred in ETCS operation.
Note: Even if ETCS operation were to be introduced, the danger zone in PZB operation would remain until ETCS-only operation were in place, meaning that similar incidents would still be possible.
Past experience has shown that an incident such as the one under investigation could, under slightly different circumstances, cost human lives and cause enormous material damage. Assuming that ETCS Level 2 will be put into operation, the effort required to implement the safety recommendation appears to be justified, especially in view of the possible consequences if no effective measures were taken. The structural requirements for putting ETCS Level 2 into operation are already in place.</t>
  </si>
  <si>
    <t>German/ English</t>
  </si>
  <si>
    <t>Operational event, 11/3/25, Bf Ebreichsdorf</t>
  </si>
  <si>
    <t>10/3/2026</t>
  </si>
  <si>
    <t>A-2026/002</t>
  </si>
  <si>
    <t>It is recommended that an operating situation be created at Ebreichsdorf station in PZB mode in which it is no longer possible for trains to travel and accelerate over long distances without technical monitoring, as was the case in the incident in question. The situation could be improved, for example, by moving the exit advance signal ‘r’ in the direction of the exit signals so that trains remain under speed monitoring for longer when viewed locally at the exit signals and are therefore subject to emergency braking in the event of malfunction.
Based on this safety recommendation, an evaluation should be carried out to determine in which operating locations similar situations (potential for derailment due to excessive speeds caused by excessive acceleration in an area not technically monitored by the PZB) prevail in PZB operation, as in the incident in question, so that the implementation of this safety recommendation can also be examined at these operating locations.
Reason:
As the investigated incident showed, despite the existing and functional PZB train control system, switches 57 and 58 were passed at a speed of 116 km/h, which was far in excess of the permitted 60 km/h, because it was possible to accelerate without technical monitoring over a distance of approximately 1000 m (and even almost 1200 m when passing through) after resuming the journey following a scheduled stop at the station. If the exit advance signal ‘r’ had been decoupled from the entry signal ‘Ag92’, a maximum distance between the exit advance signal “r” and the exit signal “R202” of 1500 m would have been permissible, in which case the incident would not have occurred, as the train would have been subject to restrictive speed monitoring of 1000 Hz after departure and would have been forced to brake (see also the chapter ‘Design of vehicles, railway infrastructure, technical equipment – Size of the distance between the distant signal “r” and ’R202") on this topic. This would also have visually alerted the train driver in the cab to the still active speed monitoring, indirectly reminding them of the signalling at the exit advance signal ‘r’. To implement this option, two separate exit advance signals would be required to decouple the exit advance signal ‘r’ from the entry signal ‘Ag92’ – each with a speed indicator and the associated 1000 Hz track magnet. In addition, the 1000/2000 Hz track magnets at the entry signals ‘Ag92’ and ‘Bg91’ would have to be converted to 2000 Hz track magnets [79].
The implementation of this safety recommendation would still be effective even after the future implementation of ETCS operation.
The Federal Safety Investigation Authority considers the effort involved cited due to the reduction in the distance between the exit advance signal “r” and the exit signal “R202” to be reasonable in relation to the increase in the level of safety at Ebreichsdorf station, particularly in view of similar incidents in the recent past (see chapter ‘Previous incidents of a similar nature’).</t>
  </si>
  <si>
    <t>A-2026/003</t>
  </si>
  <si>
    <t>It is recommended to check whether, in the case of new buildings and extensive renovations, it is possible and expedient to adapt national regulations and thus also those of the infrastructure operator with regard to reducing the maximum permissible distance between the exit advance signal and the exit signal in order to increase the level of safety. Any adjustments should be based on the German specifications, which allow a maximum distance between the exit advance signal and the exit signal of 1,500 metres.
Reason:
As described in the investigation report, distances between the exit advance signal and the exit signal of up to 2000 m are permitted in Austria. A maximum distance between the exit advance signal and the exit signal of 1500 m would not only improve safety but also offer operational advantages, as trains would not have to travel at slow speeds for unnecessarily long periods when affected by the system. In the incident in question, the train was able to accelerate to a far excessive speed after the planned stop because it was no longer monitored by the train control system at that point due to the large distance between the exit advance signal and the exit signal. This would not have been possible with a shorter distance to the distant signal.
As the recommendation only concerns the examination of the possibility of future amendments to the regulations, the implementation effort primarily consists of the review activities of the authority and the infrastructure operator and cannot, by its very nature, be quantified precisely by the Federal Safety Investigation Authority. The fact that the infrastructure operator has already indicated to the Federal Safety Investigation Authority in response to the preliminary investigation report that it intends to adapt its regulations in line with this safety recommendation suggests that the cost does not appear to be excessive. The cost of implementing this safety recommendation therefore appears reasonable in relation to the benefits that the results of the review can bring in terms of improving railway safety.</t>
  </si>
  <si>
    <t>AT-10679/1</t>
  </si>
  <si>
    <t>AT-10679/2</t>
  </si>
  <si>
    <t>AT-10679/3</t>
  </si>
  <si>
    <t>One wagon (14th) from the composition of the freight train no.66103 416  derailed between Tileagd and Oșorhei railway stations.</t>
  </si>
  <si>
    <r>
      <rPr>
        <sz val="10"/>
        <color rgb="FF000000"/>
        <rFont val="Arial"/>
        <family val="2"/>
        <charset val="238"/>
      </rPr>
      <t>Causal factor</t>
    </r>
    <r>
      <rPr>
        <sz val="10"/>
        <color rgb="FF000000"/>
        <rFont val="Arial"/>
        <family val="2"/>
      </rPr>
      <t xml:space="preserve">
The presence of strips of geotextile material (used for works on track II) in the clearance gauge of track I, inside the track, near the rail head, caused the climbing of the rail by the wheel on the left side, in the running direction, of axle no. 3, under the following non-conformities:
 lack of compliance with the execution technologies provided in the technical documentation regarding the installation of the geotextile material;
 lack of monitoring of the compliance with the clearance gauge and lack of notification of the higher authorities regarding the existing disturbance during the track inspection;
 lack of monitoring, during the train running, of the condition of the line in order to observe situations that may endanger the traffic safety, lack of stopping the train and lack of notification regarding the obstruction of the clearance gauge by the locomotive crew.
</t>
    </r>
  </si>
  <si>
    <r>
      <rPr>
        <sz val="10"/>
        <color rgb="FF000000"/>
        <rFont val="Arial"/>
        <family val="2"/>
        <charset val="238"/>
      </rPr>
      <t>Contributing factor</t>
    </r>
    <r>
      <rPr>
        <sz val="10"/>
        <color rgb="FF000000"/>
        <rFont val="Arial"/>
        <family val="2"/>
      </rPr>
      <t xml:space="preserve">
Lack of on-site checks regarding the execution technologies provided in the technical documentation related to the installation of the geotextile material, checks that should have been carried out by the subcontractor, contractor and consultant/supervisor.
</t>
    </r>
    <r>
      <rPr>
        <sz val="10"/>
        <color rgb="FF000000"/>
        <rFont val="Arial"/>
        <family val="2"/>
        <charset val="238"/>
      </rPr>
      <t>Systemic factors</t>
    </r>
    <r>
      <rPr>
        <sz val="10"/>
        <color rgb="FF000000"/>
        <rFont val="Arial"/>
        <family val="2"/>
      </rPr>
      <t xml:space="preserve">
 Lack of ensuring the planning of human resources in relation to the estimated schedule for the performance of the contract by the consultant/supervisor.
 Deficiencies in the activity of identification and assessment of risks generated by its own railway operations, carried out by the railway undertaking SNTFM “CFR Marfă” SA, the entity responsible for the continuous professional training of the locomotive crew that drove and operated the hauling locomotive of the train, regarding the risk “railway accidents/incidents”.
</t>
    </r>
  </si>
  <si>
    <t>no.511-1</t>
  </si>
  <si>
    <t>The railway undertaking SNTFM “CFR Marfă” SA shall reassess the risks associated with the dangers generated by the lack of monitoring, during the train running, of the condition of the line in order to observe situations that may endanger the traffic safety, the lack of stopping the train and the lack of notification of the cases of obstruction of the clearance gauge by the locomotive crew and shall establish and implement effective measures to keep these risks under control.</t>
  </si>
  <si>
    <t>no.511-2</t>
  </si>
  <si>
    <t>The infrastructure manager CNCF “CFR” SA shall reassess the risks associated with the dangers generated by the lack of monitoring of the compliance with the clearance gauge during the track inspection and the lack of notification of the disturbance in case of the clearance gauge being affected and shall establish and implement effective measures to keep these risks under control.</t>
  </si>
  <si>
    <t>RO-10667/1</t>
  </si>
  <si>
    <t>RO-10667/2</t>
  </si>
  <si>
    <t>Recommendation for IM and RU</t>
  </si>
  <si>
    <t>12/3/2026</t>
  </si>
  <si>
    <t>SK-10754/1</t>
  </si>
  <si>
    <t>SK-10754/2</t>
  </si>
  <si>
    <t>SK-10754/3</t>
  </si>
  <si>
    <t>SK-10754/4</t>
  </si>
  <si>
    <t>SK-10754/5</t>
  </si>
  <si>
    <t>SK-10754/6</t>
  </si>
  <si>
    <t xml:space="preserve">For RU:
1. Provide extraordinary retraining for locomotive drivers in the knowledge of the signalling system, Regulation Z1 Rules of Railway Operation – the safety regulation in railway transport in the Slovak Republic as amended, and in the area of line conditions (route knowledge).
</t>
  </si>
  <si>
    <t xml:space="preserve">For RU:
2. Demonstrably intensify supervisory and inspection activities.
</t>
  </si>
  <si>
    <t xml:space="preserve">
For IM:
1. Update Article 864 of Regulation Z1 Rules of Railway Operation – the safety regulation in railway transport in the Slovak Republic as amended so that, in cases affecting traffic safety (e.g. exceptional train passing, change of train route, speed restrictions, instruction to stop), it ensures that the employee controlling traffic provides the locomotive driver with the information necessary for adequate orientation in the current traffic situation required for safe train operation.
</t>
  </si>
  <si>
    <t xml:space="preserve">
For IM:
2. After updating Article 864 of Regulation Z1 Rules of Railway Operation – the safety regulation in railway transport in the Slovak Republic as amended, adopt measures to ensure a higher level of communication in situations affecting traffic safety (e.g. exceptional train passing, change of train route, speed restrictions, instruction to stop).
</t>
  </si>
  <si>
    <t xml:space="preserve">For IM:
3. Demonstrably intensify supervisory and inspection activities focused on compliance with Article 864 of Regulation Z1 Rules of Railway Operation – the safety regulation in railway transport in the Slovak Republic as amended.
</t>
  </si>
  <si>
    <t xml:space="preserve">For RU:
3. Demonstrably expand preventive activities, particularly in the area of repeated route knowledge training for locomotive drivers.
</t>
  </si>
  <si>
    <t>Collision of the long distance passenger train No. 546 with a stuck combination of vehicles standing on the level crossing No. P6512 with consequent derailment between Dětmarovice and Bohumín stations</t>
  </si>
  <si>
    <t xml:space="preserve">Collision of the long distance passenger train No. 546 with a stuck combination of vehicles standing on the level crossing No. P6512 with consequent derailment </t>
  </si>
  <si>
    <t>open line between Dětmarovice and Bohumín stations</t>
  </si>
  <si>
    <t>Open Line</t>
  </si>
  <si>
    <t>the long distance passenger train No. 546</t>
  </si>
  <si>
    <r>
      <rPr>
        <sz val="10"/>
        <color rgb="FF000000"/>
        <rFont val="Arial"/>
        <family val="2"/>
        <charset val="1"/>
      </rPr>
      <t>&gt; 2 000 000</t>
    </r>
    <r>
      <rPr>
        <sz val="10"/>
        <color rgb="FF000000"/>
        <rFont val="Arial"/>
        <family val="2"/>
      </rPr>
      <t xml:space="preserve"> </t>
    </r>
    <r>
      <rPr>
        <sz val="10"/>
        <color rgb="FF000000"/>
        <rFont val="Arial"/>
        <family val="2"/>
        <charset val="1"/>
      </rPr>
      <t>€</t>
    </r>
  </si>
  <si>
    <t>Total damage CZK 67 266 051,- EUR 2 751 364,-</t>
  </si>
  <si>
    <r>
      <rPr>
        <sz val="10"/>
        <color rgb="FF000000"/>
        <rFont val="Arial"/>
        <family val="2"/>
        <charset val="128"/>
      </rPr>
      <t>Causal factor:
• stuck of the combination of vehicles which transported drilling rig at the local street adjoining to the level crossing No. P6512, when the combination of vehicles could not crossed safety of whole own length the level crossing and continue of movement, which it was preceded by movement of the combination of vehicles without Decree from relevant road administration office about permission of special using of roads for transport of extra heavy or large-sized things and using vehicles which proportions or weight exceed measure set by Decree No. 209/2018 Coll., about weight, proportions and connection of vehicles, as amended in force at time of the occurrence.                    Contributing factor:
• real parameter of a radius of rotate curve of the local street adjoining to the level crossing No. P6512 from north-east direction which did not correspond of
parameter R=100 m mentioned in:
- project documentation of reconstruction of the level crossing No. P6512 realized within building „ČD DDC, Optimization of part of the line Ostrava – Petrovice, SO 93-17-03 Bohumín – Dětmarovice, reconstruction of the level crossing at km 281,890“, arch. No. 2000110115, from June 2020, and
- building documentation „Documentation of real rendition“, arch No. 2003110321, from April 2003, relative to building „ČD DDC, Optimization of part of the line Ostrava – Petrovice, SO 93-17-03 Bohumín – Dětmarovice, reconstruction of the level crossing at km 281,890“, from April 2003.</t>
    </r>
  </si>
  <si>
    <r>
      <rPr>
        <sz val="10"/>
        <color rgb="FF000000"/>
        <rFont val="Arial"/>
        <family val="2"/>
        <charset val="1"/>
      </rPr>
      <t>Systemic factor:
• failure to find out the radius of rotate curve of the local street adjoining to the level crossing No. P6512 from north-east direction which did not correspond of project parameter R=100 m at the time when it took over the building „ČD DDC, Optimization of part of the line Ostrava – Petrovice, SO 93-17-03 Bohumín – Dětmarovice, reconstruction of the level crossing at km 281,890“ and next final inspection, but also within all next inspections of the level crossing No. P6512 by infrastructure manager or by the administration of the owner of the road which were performed before time of the occurrence.</t>
    </r>
  </si>
  <si>
    <t>Addressed to the Ministry of Transport of the Czech Republic:
• to impose on entities which own property in area of level crossings or have similar relationship to property that is part of railways, except for special railways, or which is part of road adjacent to level crossing, a content of legal regulations obligation to carry out joint inspections of level crossings and adjacent roads within a specified time interval, when subject of which will be not only checking condition of marking and security of level crossing, visibility conditions, drainage and passability of crossing road according to project documentation, but also checking whether road vehicle and vehicle combination, incl. load, not exceeding a length of 22 m, or the length indicated by the vertical road sign B 17 „No entry of vehicles or vehicle combinations whose length exceeds the marked limit” placed in front of a level crossing (see article 6.1.7 and Annex C of ČSN 73 6380 „Level crossings”, as amended, i.e. a longest road vehicle admitted to operation on road can safely cross level crossing over its entire length and checking vertical or horizontal traffic markings and other road transport equipment related to level crossing (including road drainage), located in part for which owner of road is responsible;
• to set conditions in the content of legal regulations (including authorizations and obligations) that would separately and specifically regulate the protection (ensuring safety) of level crossings during transport by vehicles (combination of vehicles) across the level crossings, including level crossings adjacent to roads of the special-purpose road category on both sides for ensure safety at level crossings this transport, whose values of weight and proportions, weight ratios of vehicles in a combination of vehicles and weight distribution on axles, axle groups, wheels and wheel groups, endanger within the meaning of Decree No. 209/2018 Coll., about weights, proportions and connectivity of vehicles, as amended, the safety of traffic on roads or the condition of road.</t>
  </si>
  <si>
    <t>Addressed to the Ministry of the Interior of the Czech Republic:
• to verify of the established system of cooperation of all parts of the Integrated Rescue System and infrastructure managers of railways (categories national and regional) at solving a risky situations at level crossings, when there is a danger of delay and it is necessary to take measures to ensure safe operation of railway and railway transport without unnecessary delay, whether an emergency line operator has as a duty to inform a person managing and organizing railway transport about danger at railway at given point on track (listed in the regularly updated of „Set list of level crossings”, distributed by the infrastructure manager Správa železnic, státní organizace) without an intermediary, who can then immediately take effective steps (measures) leading to stop of railway transport after receiving information about
existing danger.
In case of detection that the system of cooperation between parts of the Integrated Rescue System and infrastructure managers of railways (categories national and regional) is not set up according to above conditions, reassess the set system so that the emergency line operator has obligation to provide information about danger on railway as priority directly to the person managing and organizing railway transport at given point on railway (listed in the regularly updated of „Set list of level crossings”, distributed by the infrastructure manager Správa železnic, státní organizace) without an intermediary, and to regularly check reliability of the systém set up in this way.</t>
  </si>
  <si>
    <t>Addressed to the Czech National Safety Authority (NSA):
• in cooperation with infrastructure managers of railways (categories national and regional) to identify level crossings with adjacent roads whose vertical curve parameters are close to limit values, and then to check whether road vehicle and vehicle combination, incl. load, not exceeding a length of 22 m, or the length indicated by the vertical road sign B 17 „No entry of vehicles or vehicle combinations whose length exceeds the marked limit” placed in front of a level crossing (see article 6.1.7 and Annex C of ČSN 73 6380 „Level crossings”, as amended, i.e. a longest road vehicle admitted to operation on road can safely cross level crossing over its entire length;
• so that infrastructure manager analyses possibility of using new principle for controlling level crossing safety equipment on lines with exclusive train operation under supervision of the European Train Control System (ETCS) application level 2, when unrestricted train travel across level crossing would be conditional of closed level crossing and checked for clearance and triggering of warning at level crossing would be optimized based on predicted trajectory of movement of a train (taking into account planned stops and expected dynamics of the train's movement), while maintaining the existing detection elements for start a warning at a level crossing in cases of rail vehicle movements in the form of shunting between operating control points in SH (Shunting) mode, as well as movements of vehicles not equipped with ETCS (or with an ETCS malfunction) or during ETCS closures.</t>
  </si>
  <si>
    <r>
      <rPr>
        <b/>
        <sz val="10"/>
        <color rgb="FF000000"/>
        <rFont val="Arial"/>
        <family val="2"/>
        <charset val="1"/>
      </rPr>
      <t xml:space="preserve">Addressed to the Municipal Authority of Dolní Lutyně:
</t>
    </r>
    <r>
      <rPr>
        <sz val="10"/>
        <color rgb="FF000000"/>
        <rFont val="Arial"/>
        <family val="2"/>
        <charset val="1"/>
      </rPr>
      <t>• in cooperation with relevant state authorities and Farma Bezdínek s.r.o., consider suitability of permanent use of the road located on the plot number 4161/1, in the municipality of Dolní Lutyně [598968], in the cadastral area of Dolní Lutyně [629731], type „other area”, use „other road”, with ownership rights belonging to „Obec Dolní Lutyně” (according to the register of roads owned by the municipality of Dolní Lutyně, this is the local road of class III, No. 34c), in particular by road vehicles of category N including road vehicles (e.g. trucks, including so called „vans” and trucks with trailers) designed and manufactured mainly for transport of goods, and category O, including trailers (e.g. box trailer or semi-trailer, refrigerated trailers or semi-trailers, flatbed trailers or semi-trailers, etc.) and its replacement by another access road leading outside the level crossing No. P6512 taking into account current extend of traffic on this road, including potential for its further growth.</t>
    </r>
  </si>
  <si>
    <t>CZ-10515/1</t>
  </si>
  <si>
    <t>CZ-10515/2</t>
  </si>
  <si>
    <t>CZ-10515/3</t>
  </si>
  <si>
    <t>CZ-10515/4</t>
  </si>
  <si>
    <t>Damages on HS unit and infrastructure</t>
  </si>
  <si>
    <t>NIB UK</t>
  </si>
  <si>
    <t>PL-10767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</si>
</sst>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m/yyyy;@"/>
    <numFmt numFmtId="165" formatCode="[$]dd/mm/yyyy;@"/>
    <numFmt numFmtId="166" formatCode="[$]hh:mm;@"/>
    <numFmt numFmtId="167" formatCode="[$-809]General"/>
  </numFmts>
  <fonts count="50">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
      <sz val="11"/>
      <color rgb="FF000000"/>
      <name val="Calibri"/>
      <family val="2"/>
    </font>
    <font>
      <sz val="8"/>
      <color rgb="FF000000"/>
      <name val="Arial"/>
      <family val="2"/>
    </font>
    <font>
      <sz val="7"/>
      <color rgb="FFE1320F"/>
      <name val="Times New Roman"/>
      <family val="1"/>
    </font>
    <font>
      <sz val="12"/>
      <color rgb="FF000000"/>
      <name val="Calibri"/>
      <family val="2"/>
    </font>
    <font>
      <vertAlign val="superscript"/>
      <sz val="12"/>
      <color rgb="FF000000"/>
      <name val="Calibri"/>
      <family val="2"/>
    </font>
    <font>
      <i/>
      <sz val="11"/>
      <color rgb="FF000000"/>
      <name val="Calibri"/>
      <family val="2"/>
      <charset val="238"/>
    </font>
    <font>
      <sz val="11"/>
      <color rgb="FF000000"/>
      <name val="Calibri"/>
      <family val="2"/>
      <charset val="238"/>
    </font>
    <font>
      <sz val="8"/>
      <color rgb="FF000000"/>
      <name val="Arial"/>
      <family val="2"/>
      <charset val="238"/>
    </font>
    <font>
      <sz val="10"/>
      <color rgb="FF000000"/>
      <name val="Calibri"/>
      <family val="2"/>
      <scheme val="minor"/>
    </font>
    <font>
      <sz val="10"/>
      <color rgb="FF000000"/>
      <name val="Liberation Sans"/>
    </font>
    <font>
      <sz val="10.5"/>
      <color rgb="FF000000"/>
      <name val="Arial"/>
      <family val="2"/>
      <charset val="1"/>
    </font>
    <font>
      <sz val="11"/>
      <color rgb="FF000000"/>
      <name val="Arial"/>
      <family val="2"/>
      <charset val="1"/>
    </font>
    <font>
      <sz val="10"/>
      <color rgb="FF000000"/>
      <name val="Arial"/>
      <family val="2"/>
      <charset val="128"/>
    </font>
    <font>
      <b/>
      <sz val="10"/>
      <color rgb="FF000000"/>
      <name val="Arial"/>
      <family val="2"/>
    </font>
    <font>
      <sz val="10"/>
      <color rgb="FF000000"/>
      <name val="Arial2"/>
    </font>
    <font>
      <sz val="10.5"/>
      <color rgb="FF000000"/>
      <name val="Arial"/>
      <family val="2"/>
    </font>
    <font>
      <b/>
      <sz val="10"/>
      <name val="Arial"/>
      <family val="2"/>
    </font>
    <font>
      <b/>
      <sz val="10"/>
      <color rgb="FF000000"/>
      <name val="Calibri"/>
      <family val="2"/>
      <scheme val="minor"/>
    </font>
    <font>
      <b/>
      <sz val="11"/>
      <color rgb="FF000000"/>
      <name val="Calibri"/>
      <family val="2"/>
      <scheme val="minor"/>
    </font>
    <font>
      <i/>
      <sz val="10"/>
      <color rgb="FF000000"/>
      <name val="Arial"/>
      <family val="2"/>
    </font>
  </fonts>
  <fills count="12">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
      <patternFill patternType="solid">
        <fgColor rgb="FFFFC000"/>
        <bgColor indexed="64"/>
      </patternFill>
    </fill>
    <fill>
      <patternFill patternType="solid">
        <fgColor theme="4" tint="0.59999389629810485"/>
        <bgColor indexed="64"/>
      </patternFill>
    </fill>
    <fill>
      <patternFill patternType="solid">
        <fgColor theme="4" tint="0.79998168889431442"/>
        <bgColor indexed="64"/>
      </patternFill>
    </fill>
  </fills>
  <borders count="20">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8" borderId="0" applyBorder="0" applyProtection="0"/>
    <xf numFmtId="0" fontId="21" fillId="0" borderId="0"/>
    <xf numFmtId="0" fontId="22" fillId="0" borderId="0" applyNumberFormat="0" applyFill="0" applyBorder="0" applyAlignment="0" applyProtection="0">
      <alignment vertical="top"/>
      <protection locked="0"/>
    </xf>
  </cellStyleXfs>
  <cellXfs count="286">
    <xf numFmtId="0" fontId="0" fillId="0" borderId="0" xfId="0"/>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4" borderId="2" xfId="0" applyNumberFormat="1"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0" fillId="0" borderId="4" xfId="0" applyBorder="1" applyAlignment="1">
      <alignment vertical="center" wrapText="1"/>
    </xf>
    <xf numFmtId="164" fontId="2" fillId="9" borderId="2" xfId="0" applyNumberFormat="1" applyFont="1" applyFill="1" applyBorder="1" applyAlignment="1" applyProtection="1">
      <alignment horizontal="center" vertical="center" wrapText="1"/>
      <protection locked="0"/>
    </xf>
    <xf numFmtId="1" fontId="2" fillId="9" borderId="2" xfId="0" applyNumberFormat="1" applyFont="1" applyFill="1" applyBorder="1" applyAlignment="1" applyProtection="1">
      <alignment horizontal="center" vertical="center" wrapText="1"/>
      <protection locked="0"/>
    </xf>
    <xf numFmtId="0" fontId="26" fillId="0" borderId="14" xfId="0" applyFont="1" applyBorder="1" applyAlignment="1">
      <alignment horizontal="left" vertical="center" wrapText="1"/>
    </xf>
    <xf numFmtId="0" fontId="20" fillId="0" borderId="14" xfId="0" applyFont="1" applyBorder="1" applyAlignment="1">
      <alignment horizontal="left" vertical="center" wrapText="1"/>
    </xf>
    <xf numFmtId="164" fontId="2" fillId="2" borderId="9" xfId="0" applyNumberFormat="1" applyFont="1" applyFill="1" applyBorder="1" applyAlignment="1" applyProtection="1">
      <alignment horizontal="center" vertical="center" wrapText="1"/>
      <protection locked="0"/>
    </xf>
    <xf numFmtId="0" fontId="2" fillId="2" borderId="17" xfId="0" applyFont="1" applyFill="1" applyBorder="1" applyAlignment="1" applyProtection="1">
      <alignment horizontal="center" vertical="center" wrapText="1"/>
      <protection locked="0"/>
    </xf>
    <xf numFmtId="0" fontId="25" fillId="0" borderId="19" xfId="0" applyFont="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5" fillId="0" borderId="3" xfId="0" applyFont="1" applyBorder="1" applyAlignment="1">
      <alignment horizontal="center" vertical="center" wrapText="1"/>
    </xf>
    <xf numFmtId="0" fontId="20" fillId="0" borderId="11" xfId="0" applyFont="1" applyBorder="1" applyAlignment="1">
      <alignment vertical="center" wrapText="1"/>
    </xf>
    <xf numFmtId="0" fontId="25" fillId="0" borderId="4"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164" fontId="0" fillId="0" borderId="5" xfId="0" applyNumberFormat="1" applyBorder="1" applyAlignment="1">
      <alignment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0" fontId="20" fillId="0" borderId="14" xfId="0" applyFont="1" applyBorder="1" applyAlignment="1">
      <alignment vertical="center" wrapText="1"/>
    </xf>
    <xf numFmtId="0" fontId="0" fillId="0" borderId="0" xfId="0" applyAlignment="1">
      <alignment vertical="center"/>
    </xf>
    <xf numFmtId="0" fontId="0" fillId="0" borderId="1" xfId="0" applyBorder="1" applyAlignment="1">
      <alignment vertical="center" wrapText="1"/>
    </xf>
    <xf numFmtId="0" fontId="0" fillId="0" borderId="4" xfId="0" applyBorder="1" applyAlignment="1">
      <alignment vertical="center"/>
    </xf>
    <xf numFmtId="0" fontId="0" fillId="0" borderId="3" xfId="0" applyBorder="1" applyAlignment="1">
      <alignment vertical="center" wrapText="1"/>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3" fillId="0" borderId="4" xfId="1" applyBorder="1" applyAlignment="1" applyProtection="1">
      <alignment vertical="center" wrapText="1"/>
      <protection locked="0"/>
    </xf>
    <xf numFmtId="0" fontId="0" fillId="2" borderId="4" xfId="0" applyFill="1" applyBorder="1" applyAlignment="1">
      <alignment vertical="center" wrapText="1"/>
    </xf>
    <xf numFmtId="0" fontId="1" fillId="0" borderId="4" xfId="1" applyFont="1" applyFill="1" applyBorder="1" applyAlignment="1">
      <alignment vertical="center" wrapText="1"/>
    </xf>
    <xf numFmtId="0" fontId="3" fillId="0" borderId="4" xfId="1" applyFill="1" applyBorder="1" applyAlignment="1">
      <alignment vertical="center" wrapText="1"/>
    </xf>
    <xf numFmtId="0" fontId="0" fillId="0" borderId="4" xfId="0" applyBorder="1" applyAlignment="1" applyProtection="1">
      <alignment vertical="center"/>
      <protection locked="0"/>
    </xf>
    <xf numFmtId="0" fontId="1" fillId="0" borderId="4" xfId="0" applyFont="1" applyBorder="1" applyAlignment="1" applyProtection="1">
      <alignment vertical="center"/>
      <protection locked="0"/>
    </xf>
    <xf numFmtId="0" fontId="3" fillId="0" borderId="4" xfId="1" applyBorder="1" applyAlignment="1">
      <alignment vertical="center"/>
    </xf>
    <xf numFmtId="0" fontId="0" fillId="0" borderId="11" xfId="0" applyBorder="1" applyAlignment="1" applyProtection="1">
      <alignment vertical="center" wrapText="1"/>
      <protection locked="0"/>
    </xf>
    <xf numFmtId="0" fontId="3" fillId="0" borderId="4" xfId="1" applyBorder="1" applyAlignment="1">
      <alignment vertical="center" wrapText="1"/>
    </xf>
    <xf numFmtId="0" fontId="0" fillId="2" borderId="4" xfId="0" applyFill="1" applyBorder="1" applyAlignment="1" applyProtection="1">
      <alignment vertical="center" wrapText="1"/>
      <protection locked="0"/>
    </xf>
    <xf numFmtId="0" fontId="1" fillId="0" borderId="4" xfId="0" applyFont="1" applyBorder="1" applyAlignment="1">
      <alignment vertical="center" wrapText="1"/>
    </xf>
    <xf numFmtId="0" fontId="4" fillId="0" borderId="4" xfId="1" applyFont="1" applyFill="1" applyBorder="1" applyAlignment="1">
      <alignment vertical="center" wrapText="1"/>
    </xf>
    <xf numFmtId="0" fontId="0" fillId="0" borderId="0" xfId="0" applyAlignment="1">
      <alignment vertical="center" wrapText="1"/>
    </xf>
    <xf numFmtId="0" fontId="0" fillId="0" borderId="11" xfId="0" applyBorder="1" applyAlignment="1">
      <alignment vertical="center" wrapText="1"/>
    </xf>
    <xf numFmtId="0" fontId="0" fillId="0" borderId="2" xfId="0" applyBorder="1" applyAlignment="1">
      <alignment vertical="center" wrapText="1"/>
    </xf>
    <xf numFmtId="0" fontId="0" fillId="0" borderId="2" xfId="0" applyBorder="1" applyAlignment="1" applyProtection="1">
      <alignment vertical="center" wrapText="1"/>
      <protection locked="0"/>
    </xf>
    <xf numFmtId="0" fontId="0" fillId="0" borderId="3" xfId="0" applyBorder="1" applyAlignment="1" applyProtection="1">
      <alignment horizontal="left" vertical="center" wrapText="1"/>
      <protection locked="0"/>
    </xf>
    <xf numFmtId="0" fontId="0" fillId="0" borderId="2" xfId="0" applyBorder="1" applyAlignment="1" applyProtection="1">
      <alignment vertical="center"/>
      <protection locked="0"/>
    </xf>
    <xf numFmtId="0" fontId="0" fillId="0" borderId="9" xfId="0" applyBorder="1" applyAlignment="1" applyProtection="1">
      <alignment vertical="center" wrapText="1"/>
      <protection locked="0"/>
    </xf>
    <xf numFmtId="164" fontId="0" fillId="0" borderId="11" xfId="0" quotePrefix="1" applyNumberFormat="1" applyBorder="1" applyAlignment="1" applyProtection="1">
      <alignment horizontal="left" vertical="center" wrapText="1"/>
      <protection locked="0"/>
    </xf>
    <xf numFmtId="0" fontId="0" fillId="0" borderId="11" xfId="0" applyBorder="1" applyAlignment="1">
      <alignment vertical="center"/>
    </xf>
    <xf numFmtId="0" fontId="0" fillId="0" borderId="11" xfId="0"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1" xfId="0" applyFont="1" applyBorder="1" applyAlignment="1" applyProtection="1">
      <alignment vertical="center"/>
      <protection locked="0"/>
    </xf>
    <xf numFmtId="0" fontId="4" fillId="0" borderId="3"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27" fillId="7" borderId="14" xfId="0" applyFont="1" applyFill="1" applyBorder="1" applyAlignment="1">
      <alignment horizontal="left" vertical="center" wrapText="1"/>
    </xf>
    <xf numFmtId="0" fontId="3" fillId="0" borderId="4" xfId="1" applyFill="1" applyBorder="1" applyAlignment="1" applyProtection="1">
      <alignment vertical="center"/>
      <protection locked="0"/>
    </xf>
    <xf numFmtId="49" fontId="0" fillId="0" borderId="4" xfId="0" applyNumberFormat="1" applyBorder="1" applyAlignment="1">
      <alignment vertical="center" wrapText="1"/>
    </xf>
    <xf numFmtId="0" fontId="4" fillId="0" borderId="1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3" fillId="0" borderId="4" xfId="1" applyBorder="1" applyAlignment="1">
      <alignment horizontal="left" vertical="center"/>
    </xf>
    <xf numFmtId="0" fontId="20" fillId="0" borderId="4" xfId="0" applyFont="1" applyBorder="1" applyAlignment="1">
      <alignment vertical="center" wrapText="1"/>
    </xf>
    <xf numFmtId="0" fontId="0" fillId="0" borderId="4" xfId="0" applyBorder="1" applyAlignment="1">
      <alignment horizontal="left" vertical="center" wrapText="1"/>
    </xf>
    <xf numFmtId="0" fontId="0" fillId="0" borderId="4" xfId="0" quotePrefix="1" applyBorder="1" applyAlignment="1">
      <alignment horizontal="left" vertical="center" wrapText="1"/>
    </xf>
    <xf numFmtId="17" fontId="0" fillId="0" borderId="4" xfId="0" quotePrefix="1" applyNumberFormat="1" applyBorder="1" applyAlignment="1">
      <alignment vertical="center" wrapText="1"/>
    </xf>
    <xf numFmtId="0" fontId="0" fillId="0" borderId="4" xfId="0" quotePrefix="1" applyBorder="1" applyAlignment="1">
      <alignment vertical="center" wrapText="1"/>
    </xf>
    <xf numFmtId="0" fontId="0" fillId="0" borderId="0" xfId="0" applyAlignment="1" applyProtection="1">
      <alignment vertical="center"/>
      <protection locked="0"/>
    </xf>
    <xf numFmtId="164" fontId="0" fillId="0" borderId="7" xfId="0" applyNumberFormat="1" applyBorder="1" applyAlignment="1">
      <alignment horizontal="center" vertical="center" wrapText="1"/>
    </xf>
    <xf numFmtId="164" fontId="0" fillId="0" borderId="5" xfId="0" applyNumberFormat="1" applyBorder="1" applyAlignment="1">
      <alignment horizontal="center" vertical="center" wrapText="1"/>
    </xf>
    <xf numFmtId="166" fontId="0" fillId="0" borderId="5" xfId="0" applyNumberFormat="1" applyBorder="1" applyAlignment="1">
      <alignment horizontal="center" vertical="center" wrapText="1"/>
    </xf>
    <xf numFmtId="164" fontId="0" fillId="0" borderId="4" xfId="0" applyNumberFormat="1" applyBorder="1" applyAlignment="1">
      <alignment horizontal="center" vertical="center" wrapText="1"/>
    </xf>
    <xf numFmtId="0" fontId="0" fillId="5" borderId="5" xfId="0" applyFill="1" applyBorder="1" applyAlignment="1">
      <alignment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2" fillId="5" borderId="7" xfId="0" applyFont="1" applyFill="1" applyBorder="1" applyAlignment="1">
      <alignment horizontal="center" vertical="center" wrapText="1"/>
    </xf>
    <xf numFmtId="164" fontId="0" fillId="0" borderId="6" xfId="0" applyNumberFormat="1" applyBorder="1" applyAlignment="1">
      <alignment horizontal="center" vertical="center" wrapText="1"/>
    </xf>
    <xf numFmtId="0" fontId="0" fillId="0" borderId="6" xfId="0" applyBorder="1" applyAlignment="1">
      <alignment vertical="center"/>
    </xf>
    <xf numFmtId="0" fontId="0" fillId="5" borderId="6" xfId="0" applyFill="1" applyBorder="1" applyAlignment="1">
      <alignment vertical="center"/>
    </xf>
    <xf numFmtId="166"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0" fillId="5" borderId="2" xfId="0" applyFill="1" applyBorder="1" applyAlignment="1">
      <alignment horizontal="center" vertical="center" wrapText="1"/>
    </xf>
    <xf numFmtId="0" fontId="0" fillId="5" borderId="1" xfId="0" applyFill="1" applyBorder="1" applyAlignment="1">
      <alignment horizontal="center" vertical="center" wrapText="1"/>
    </xf>
    <xf numFmtId="0" fontId="2" fillId="5" borderId="1" xfId="0" applyFont="1" applyFill="1" applyBorder="1" applyAlignment="1">
      <alignment horizontal="center" vertical="center" wrapText="1"/>
    </xf>
    <xf numFmtId="164" fontId="4" fillId="6" borderId="2" xfId="0" applyNumberFormat="1" applyFont="1" applyFill="1" applyBorder="1" applyAlignment="1">
      <alignment horizontal="center" vertical="center" wrapText="1"/>
    </xf>
    <xf numFmtId="0" fontId="0" fillId="0" borderId="2" xfId="0" applyBorder="1" applyAlignment="1">
      <alignment vertical="center"/>
    </xf>
    <xf numFmtId="0" fontId="0" fillId="5" borderId="2" xfId="0" applyFill="1" applyBorder="1" applyAlignment="1">
      <alignment vertical="center"/>
    </xf>
    <xf numFmtId="164" fontId="0" fillId="0" borderId="2" xfId="0" applyNumberFormat="1" applyBorder="1" applyAlignment="1">
      <alignment horizontal="center" vertical="center" wrapText="1"/>
    </xf>
    <xf numFmtId="164" fontId="0" fillId="0" borderId="3" xfId="0" applyNumberFormat="1" applyBorder="1" applyAlignment="1">
      <alignment horizontal="center" vertical="center" wrapText="1"/>
    </xf>
    <xf numFmtId="166" fontId="0" fillId="0" borderId="3" xfId="0" applyNumberFormat="1" applyBorder="1" applyAlignment="1">
      <alignment horizontal="center" vertical="center" wrapText="1"/>
    </xf>
    <xf numFmtId="164" fontId="0" fillId="0" borderId="16" xfId="0" applyNumberFormat="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xf numFmtId="164" fontId="0" fillId="2" borderId="16" xfId="0" applyNumberFormat="1" applyFill="1" applyBorder="1" applyAlignment="1">
      <alignment horizontal="center" vertical="center" wrapText="1"/>
    </xf>
    <xf numFmtId="0" fontId="0" fillId="7" borderId="0" xfId="0" applyFill="1" applyAlignment="1" applyProtection="1">
      <alignment vertical="center"/>
      <protection locked="0"/>
    </xf>
    <xf numFmtId="164" fontId="0" fillId="7" borderId="3" xfId="0" applyNumberFormat="1" applyFill="1" applyBorder="1" applyAlignment="1">
      <alignment horizontal="center" vertical="center" wrapText="1"/>
    </xf>
    <xf numFmtId="0" fontId="0" fillId="7" borderId="2" xfId="0" applyFill="1" applyBorder="1" applyAlignment="1">
      <alignment vertical="center"/>
    </xf>
    <xf numFmtId="0" fontId="0" fillId="4" borderId="4" xfId="0" applyFill="1" applyBorder="1" applyAlignment="1" applyProtection="1">
      <alignment vertical="center" wrapText="1"/>
      <protection locked="0"/>
    </xf>
    <xf numFmtId="1" fontId="0" fillId="0" borderId="4" xfId="0" applyNumberFormat="1" applyBorder="1" applyAlignment="1" applyProtection="1">
      <alignment vertical="center" wrapText="1"/>
      <protection locked="0"/>
    </xf>
    <xf numFmtId="0" fontId="3" fillId="0" borderId="2" xfId="1" applyBorder="1" applyAlignment="1" applyProtection="1">
      <alignment vertical="center"/>
    </xf>
    <xf numFmtId="1" fontId="0" fillId="0" borderId="3" xfId="0" applyNumberFormat="1" applyBorder="1" applyAlignment="1" applyProtection="1">
      <alignment vertical="center" wrapText="1"/>
      <protection locked="0"/>
    </xf>
    <xf numFmtId="166" fontId="0" fillId="0" borderId="2" xfId="0" applyNumberFormat="1" applyBorder="1" applyAlignment="1">
      <alignment horizontal="center" vertical="center" wrapText="1"/>
    </xf>
    <xf numFmtId="166" fontId="0" fillId="0" borderId="3" xfId="0" applyNumberFormat="1" applyBorder="1" applyAlignment="1" applyProtection="1">
      <alignment horizontal="center" vertical="center" wrapText="1"/>
      <protection locked="0"/>
    </xf>
    <xf numFmtId="0" fontId="0" fillId="0" borderId="1" xfId="0" applyBorder="1" applyAlignment="1">
      <alignment vertical="center"/>
    </xf>
    <xf numFmtId="0" fontId="1" fillId="0" borderId="2" xfId="0" applyFont="1" applyBorder="1" applyAlignment="1">
      <alignment vertical="center"/>
    </xf>
    <xf numFmtId="0" fontId="0" fillId="0" borderId="2" xfId="0" applyBorder="1" applyAlignment="1">
      <alignment horizontal="center" vertical="center"/>
    </xf>
    <xf numFmtId="164" fontId="0" fillId="6" borderId="2" xfId="0" applyNumberFormat="1" applyFill="1" applyBorder="1" applyAlignment="1">
      <alignment horizontal="center" vertical="center" wrapText="1"/>
    </xf>
    <xf numFmtId="164" fontId="0" fillId="2" borderId="16" xfId="0" applyNumberFormat="1" applyFill="1" applyBorder="1" applyAlignment="1" applyProtection="1">
      <alignment horizontal="center" vertical="center" wrapText="1"/>
      <protection locked="0"/>
    </xf>
    <xf numFmtId="0" fontId="0" fillId="0" borderId="16" xfId="0" applyBorder="1" applyAlignment="1" applyProtection="1">
      <alignment vertical="center" wrapText="1"/>
      <protection locked="0"/>
    </xf>
    <xf numFmtId="164" fontId="0" fillId="0" borderId="16" xfId="0" applyNumberFormat="1" applyBorder="1" applyAlignment="1" applyProtection="1">
      <alignment horizontal="center" vertical="center" wrapText="1"/>
      <protection locked="0"/>
    </xf>
    <xf numFmtId="0" fontId="0" fillId="0" borderId="5" xfId="0" applyBorder="1" applyAlignment="1">
      <alignment vertical="center"/>
    </xf>
    <xf numFmtId="14" fontId="0" fillId="0" borderId="3" xfId="0" applyNumberFormat="1" applyBorder="1" applyAlignment="1">
      <alignment horizontal="center" vertical="center"/>
    </xf>
    <xf numFmtId="14" fontId="0" fillId="0" borderId="2" xfId="0" applyNumberFormat="1" applyBorder="1" applyAlignment="1">
      <alignment horizontal="center" vertical="center"/>
    </xf>
    <xf numFmtId="14" fontId="0" fillId="0" borderId="1" xfId="0" applyNumberFormat="1" applyBorder="1" applyAlignment="1">
      <alignment horizontal="center" vertical="center"/>
    </xf>
    <xf numFmtId="14" fontId="2" fillId="0" borderId="1" xfId="0" applyNumberFormat="1" applyFont="1" applyBorder="1" applyAlignment="1">
      <alignment horizontal="center" vertical="center"/>
    </xf>
    <xf numFmtId="0" fontId="0" fillId="0" borderId="1" xfId="0" applyBorder="1" applyAlignment="1">
      <alignment horizontal="center" vertical="center"/>
    </xf>
    <xf numFmtId="164" fontId="0" fillId="0" borderId="16" xfId="0" applyNumberFormat="1" applyBorder="1" applyAlignment="1">
      <alignment vertical="center" wrapText="1"/>
    </xf>
    <xf numFmtId="0" fontId="0" fillId="0" borderId="16" xfId="0" applyBorder="1" applyAlignment="1">
      <alignment vertical="center" wrapText="1"/>
    </xf>
    <xf numFmtId="0" fontId="0" fillId="0" borderId="16" xfId="0" applyBorder="1" applyAlignment="1">
      <alignment horizontal="center" vertical="center" wrapText="1"/>
    </xf>
    <xf numFmtId="0" fontId="2" fillId="5" borderId="2" xfId="0" applyFont="1" applyFill="1" applyBorder="1" applyAlignment="1">
      <alignment horizontal="center" vertical="center" wrapText="1"/>
    </xf>
    <xf numFmtId="0" fontId="0" fillId="2" borderId="0" xfId="0" applyFill="1" applyAlignment="1" applyProtection="1">
      <alignment vertical="center" wrapText="1"/>
      <protection locked="0"/>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5" borderId="4" xfId="0" applyFill="1" applyBorder="1" applyAlignment="1">
      <alignment vertical="center"/>
    </xf>
    <xf numFmtId="166" fontId="0" fillId="0" borderId="4" xfId="0" applyNumberFormat="1" applyBorder="1" applyAlignment="1" applyProtection="1">
      <alignment horizontal="center" vertical="center" wrapText="1"/>
      <protection locked="0"/>
    </xf>
    <xf numFmtId="2" fontId="3" fillId="0" borderId="4" xfId="1" applyNumberFormat="1" applyBorder="1" applyAlignment="1">
      <alignment vertical="center"/>
    </xf>
    <xf numFmtId="166" fontId="14" fillId="0" borderId="4" xfId="2" applyNumberFormat="1" applyBorder="1" applyAlignment="1">
      <alignment horizontal="center" vertical="center"/>
    </xf>
    <xf numFmtId="166" fontId="14" fillId="0" borderId="4" xfId="0" applyNumberFormat="1" applyFont="1" applyBorder="1" applyAlignment="1">
      <alignment horizontal="center" vertical="center"/>
    </xf>
    <xf numFmtId="14" fontId="0" fillId="0" borderId="4" xfId="0" applyNumberFormat="1" applyBorder="1" applyAlignment="1">
      <alignment horizontal="center" vertical="center"/>
    </xf>
    <xf numFmtId="14" fontId="2" fillId="0" borderId="2" xfId="0" applyNumberFormat="1" applyFont="1" applyBorder="1" applyAlignment="1">
      <alignment horizontal="center" vertical="center"/>
    </xf>
    <xf numFmtId="164" fontId="0" fillId="0" borderId="5" xfId="0" applyNumberFormat="1" applyBorder="1" applyAlignment="1" applyProtection="1">
      <alignment vertical="center" wrapText="1"/>
      <protection locked="0"/>
    </xf>
    <xf numFmtId="0" fontId="0" fillId="0" borderId="5" xfId="0" applyBorder="1" applyAlignment="1" applyProtection="1">
      <alignment vertical="center" wrapText="1"/>
      <protection locked="0"/>
    </xf>
    <xf numFmtId="164" fontId="0" fillId="2" borderId="5" xfId="0" applyNumberFormat="1" applyFill="1" applyBorder="1" applyAlignment="1">
      <alignment horizontal="center" vertical="center" wrapText="1"/>
    </xf>
    <xf numFmtId="0" fontId="0" fillId="0" borderId="0" xfId="0"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6" borderId="4" xfId="0" applyFill="1" applyBorder="1" applyAlignment="1" applyProtection="1">
      <alignment vertical="center" wrapText="1"/>
      <protection locked="0"/>
    </xf>
    <xf numFmtId="164" fontId="0" fillId="0" borderId="5" xfId="0" applyNumberFormat="1" applyBorder="1" applyAlignment="1" applyProtection="1">
      <alignment horizontal="center" vertical="center" wrapText="1"/>
      <protection locked="0"/>
    </xf>
    <xf numFmtId="164" fontId="0" fillId="0" borderId="14" xfId="0" applyNumberFormat="1" applyBorder="1" applyAlignment="1">
      <alignment horizontal="center" vertical="center" wrapText="1"/>
    </xf>
    <xf numFmtId="164" fontId="0" fillId="0" borderId="15" xfId="0" applyNumberFormat="1" applyBorder="1" applyAlignment="1">
      <alignment horizontal="center" vertical="center" wrapText="1"/>
    </xf>
    <xf numFmtId="164" fontId="0" fillId="0" borderId="0" xfId="0" applyNumberFormat="1" applyAlignment="1">
      <alignment horizontal="center" vertical="center" wrapText="1"/>
    </xf>
    <xf numFmtId="0" fontId="4" fillId="0" borderId="5" xfId="0" applyFont="1" applyBorder="1" applyAlignment="1" applyProtection="1">
      <alignment vertical="center" wrapText="1"/>
      <protection locked="0"/>
    </xf>
    <xf numFmtId="166" fontId="0" fillId="0" borderId="2" xfId="0" applyNumberFormat="1" applyBorder="1" applyAlignment="1" applyProtection="1">
      <alignment horizontal="center" vertical="center" wrapText="1"/>
      <protection locked="0"/>
    </xf>
    <xf numFmtId="0" fontId="0" fillId="4" borderId="4" xfId="0" applyFill="1" applyBorder="1" applyAlignment="1">
      <alignment vertical="center" wrapText="1"/>
    </xf>
    <xf numFmtId="0" fontId="0" fillId="0" borderId="12" xfId="0" applyBorder="1" applyAlignment="1" applyProtection="1">
      <alignment vertical="center" wrapText="1"/>
      <protection locked="0"/>
    </xf>
    <xf numFmtId="0" fontId="0" fillId="0" borderId="10" xfId="0" applyBorder="1" applyAlignment="1" applyProtection="1">
      <alignment vertical="center" wrapText="1"/>
      <protection locked="0"/>
    </xf>
    <xf numFmtId="164" fontId="0" fillId="0" borderId="12" xfId="0" applyNumberFormat="1" applyBorder="1" applyAlignment="1">
      <alignment horizontal="center" vertical="center" wrapText="1"/>
    </xf>
    <xf numFmtId="0" fontId="0" fillId="5" borderId="12" xfId="0" applyFill="1" applyBorder="1" applyAlignment="1">
      <alignment vertical="center" wrapText="1"/>
    </xf>
    <xf numFmtId="0" fontId="0" fillId="5" borderId="12" xfId="0" applyFill="1" applyBorder="1" applyAlignment="1">
      <alignment horizontal="center" vertical="center" wrapText="1"/>
    </xf>
    <xf numFmtId="0" fontId="2" fillId="5" borderId="12" xfId="0" applyFont="1" applyFill="1" applyBorder="1" applyAlignment="1">
      <alignment horizontal="center" vertical="center" wrapText="1"/>
    </xf>
    <xf numFmtId="0" fontId="0" fillId="0" borderId="12" xfId="0" applyBorder="1" applyAlignment="1">
      <alignment vertical="center"/>
    </xf>
    <xf numFmtId="0" fontId="0" fillId="5" borderId="12" xfId="0" applyFill="1" applyBorder="1" applyAlignment="1">
      <alignment vertical="center"/>
    </xf>
    <xf numFmtId="0" fontId="0" fillId="0" borderId="13" xfId="0" applyBorder="1" applyAlignment="1" applyProtection="1">
      <alignment vertical="center" wrapText="1"/>
      <protection locked="0"/>
    </xf>
    <xf numFmtId="0" fontId="0" fillId="0" borderId="18" xfId="0" applyBorder="1" applyAlignment="1" applyProtection="1">
      <alignment vertical="center" wrapText="1"/>
      <protection locked="0"/>
    </xf>
    <xf numFmtId="166" fontId="0" fillId="0" borderId="13" xfId="0" applyNumberFormat="1" applyBorder="1" applyAlignment="1">
      <alignment horizontal="center" vertical="center" wrapText="1"/>
    </xf>
    <xf numFmtId="164" fontId="0" fillId="0" borderId="13" xfId="0" applyNumberFormat="1" applyBorder="1" applyAlignment="1">
      <alignment horizontal="center" vertical="center" wrapText="1"/>
    </xf>
    <xf numFmtId="0" fontId="0" fillId="5" borderId="0" xfId="0" applyFill="1" applyAlignment="1">
      <alignment vertical="center" wrapText="1"/>
    </xf>
    <xf numFmtId="164" fontId="0" fillId="0" borderId="2" xfId="0" applyNumberForma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0" fillId="5" borderId="2" xfId="0" applyFill="1" applyBorder="1" applyAlignment="1">
      <alignment vertical="center" wrapText="1"/>
    </xf>
    <xf numFmtId="164" fontId="0" fillId="0" borderId="2" xfId="0" applyNumberFormat="1" applyBorder="1" applyAlignment="1" applyProtection="1">
      <alignment vertical="center" wrapText="1"/>
      <protection locked="0"/>
    </xf>
    <xf numFmtId="14" fontId="0" fillId="0" borderId="2" xfId="0" applyNumberFormat="1" applyBorder="1" applyAlignment="1" applyProtection="1">
      <alignment horizontal="center" vertical="center" wrapText="1"/>
      <protection locked="0"/>
    </xf>
    <xf numFmtId="0" fontId="0" fillId="4" borderId="2" xfId="0" applyFill="1" applyBorder="1" applyAlignment="1" applyProtection="1">
      <alignment vertical="center" wrapText="1"/>
      <protection locked="0"/>
    </xf>
    <xf numFmtId="0" fontId="3" fillId="0" borderId="2" xfId="1" applyBorder="1" applyAlignment="1">
      <alignment vertical="center" wrapText="1"/>
    </xf>
    <xf numFmtId="164" fontId="0" fillId="2" borderId="2" xfId="0" applyNumberFormat="1" applyFill="1" applyBorder="1" applyAlignment="1">
      <alignment horizontal="center" vertical="center" wrapText="1"/>
    </xf>
    <xf numFmtId="0" fontId="30" fillId="0" borderId="0" xfId="0" applyFont="1" applyAlignment="1">
      <alignment vertical="center"/>
    </xf>
    <xf numFmtId="0" fontId="31" fillId="0" borderId="14" xfId="0" applyFont="1" applyBorder="1" applyAlignment="1">
      <alignment vertical="center" wrapText="1"/>
    </xf>
    <xf numFmtId="0" fontId="24" fillId="0" borderId="2" xfId="0" applyFont="1" applyBorder="1" applyAlignment="1">
      <alignment horizontal="justify" vertical="center" wrapText="1"/>
    </xf>
    <xf numFmtId="164" fontId="0" fillId="2" borderId="2" xfId="0" applyNumberForma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64" fontId="0" fillId="2" borderId="3" xfId="0" applyNumberFormat="1" applyFill="1" applyBorder="1" applyAlignment="1">
      <alignment horizontal="center" vertical="center" wrapText="1"/>
    </xf>
    <xf numFmtId="166" fontId="0" fillId="0" borderId="14" xfId="0" applyNumberFormat="1" applyBorder="1" applyAlignment="1">
      <alignment horizontal="center" vertical="center" wrapText="1"/>
    </xf>
    <xf numFmtId="0" fontId="0" fillId="0" borderId="14" xfId="0" applyBorder="1" applyAlignment="1" applyProtection="1">
      <alignment vertical="center" wrapText="1"/>
      <protection locked="0"/>
    </xf>
    <xf numFmtId="0" fontId="0" fillId="0" borderId="15" xfId="0" applyBorder="1" applyAlignment="1" applyProtection="1">
      <alignment vertical="center"/>
      <protection locked="0"/>
    </xf>
    <xf numFmtId="21" fontId="25" fillId="0" borderId="2" xfId="0" applyNumberFormat="1" applyFont="1" applyBorder="1" applyAlignment="1" applyProtection="1">
      <alignment horizontal="center" vertical="center" wrapText="1"/>
      <protection locked="0"/>
    </xf>
    <xf numFmtId="0" fontId="0" fillId="0" borderId="15" xfId="0" applyBorder="1" applyAlignment="1" applyProtection="1">
      <alignment vertical="center" wrapText="1"/>
      <protection locked="0"/>
    </xf>
    <xf numFmtId="0" fontId="7" fillId="0" borderId="2" xfId="0" applyFont="1" applyBorder="1" applyAlignment="1">
      <alignment vertical="center"/>
    </xf>
    <xf numFmtId="164" fontId="0" fillId="7" borderId="2" xfId="0" applyNumberFormat="1" applyFill="1" applyBorder="1" applyAlignment="1">
      <alignment horizontal="center" vertical="center" wrapText="1"/>
    </xf>
    <xf numFmtId="14" fontId="0" fillId="0" borderId="0" xfId="0" applyNumberFormat="1" applyAlignment="1">
      <alignment horizontal="center" vertical="center"/>
    </xf>
    <xf numFmtId="14" fontId="2" fillId="0" borderId="0" xfId="0" applyNumberFormat="1" applyFont="1" applyAlignment="1">
      <alignment horizontal="center" vertical="center"/>
    </xf>
    <xf numFmtId="0" fontId="0" fillId="0" borderId="0" xfId="0" applyAlignment="1">
      <alignment horizontal="center" vertical="center"/>
    </xf>
    <xf numFmtId="164" fontId="0" fillId="0" borderId="2" xfId="0" applyNumberFormat="1" applyBorder="1" applyAlignment="1">
      <alignment horizontal="left" vertical="center" wrapText="1"/>
    </xf>
    <xf numFmtId="20" fontId="25" fillId="0" borderId="3" xfId="0" applyNumberFormat="1" applyFont="1" applyBorder="1" applyAlignment="1" applyProtection="1">
      <alignment horizontal="center" vertical="center" wrapText="1"/>
      <protection locked="0"/>
    </xf>
    <xf numFmtId="164" fontId="0" fillId="0" borderId="3" xfId="0" applyNumberFormat="1" applyBorder="1" applyAlignment="1" applyProtection="1">
      <alignment horizontal="center" vertical="center" wrapText="1"/>
      <protection locked="0"/>
    </xf>
    <xf numFmtId="164" fontId="0" fillId="0" borderId="2" xfId="0" quotePrefix="1" applyNumberFormat="1" applyBorder="1" applyAlignment="1">
      <alignment horizontal="center" vertical="center" wrapText="1"/>
    </xf>
    <xf numFmtId="0" fontId="20" fillId="0" borderId="2" xfId="0" applyFont="1" applyBorder="1" applyAlignment="1" applyProtection="1">
      <alignment horizontal="left" vertical="center" wrapText="1"/>
      <protection locked="0"/>
    </xf>
    <xf numFmtId="164" fontId="0" fillId="0" borderId="0" xfId="0" applyNumberFormat="1" applyAlignment="1" applyProtection="1">
      <alignment horizontal="center" vertical="center" wrapText="1"/>
      <protection locked="0"/>
    </xf>
    <xf numFmtId="166" fontId="0" fillId="0" borderId="0" xfId="0" applyNumberFormat="1" applyAlignment="1" applyProtection="1">
      <alignment horizontal="center" vertical="center" wrapText="1"/>
      <protection locked="0"/>
    </xf>
    <xf numFmtId="164" fontId="0" fillId="2" borderId="4" xfId="0" applyNumberFormat="1" applyFill="1" applyBorder="1" applyAlignment="1">
      <alignment horizontal="center" vertical="center" wrapText="1"/>
    </xf>
    <xf numFmtId="0" fontId="0" fillId="0" borderId="4" xfId="0" applyBorder="1" applyAlignment="1" applyProtection="1">
      <alignment horizontal="center" vertical="center" wrapText="1"/>
      <protection locked="0"/>
    </xf>
    <xf numFmtId="14" fontId="0" fillId="0" borderId="4" xfId="0" applyNumberFormat="1" applyBorder="1" applyAlignment="1" applyProtection="1">
      <alignment vertical="center" wrapText="1"/>
      <protection locked="0"/>
    </xf>
    <xf numFmtId="14" fontId="0" fillId="0" borderId="5" xfId="0" applyNumberFormat="1" applyBorder="1" applyAlignment="1" applyProtection="1">
      <alignment horizontal="center" vertical="center" wrapText="1"/>
      <protection locked="0"/>
    </xf>
    <xf numFmtId="14" fontId="0" fillId="0" borderId="2" xfId="0" applyNumberFormat="1" applyBorder="1" applyAlignment="1" applyProtection="1">
      <alignment vertical="center" wrapText="1"/>
      <protection locked="0"/>
    </xf>
    <xf numFmtId="14" fontId="0" fillId="0" borderId="3" xfId="0" applyNumberFormat="1" applyBorder="1" applyAlignment="1" applyProtection="1">
      <alignment horizontal="center" vertical="center" wrapText="1"/>
      <protection locked="0"/>
    </xf>
    <xf numFmtId="0" fontId="0" fillId="0" borderId="19" xfId="0" applyBorder="1" applyAlignment="1" applyProtection="1">
      <alignment vertical="center" wrapText="1"/>
      <protection locked="0"/>
    </xf>
    <xf numFmtId="164" fontId="0" fillId="0" borderId="4" xfId="0" applyNumberFormat="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14" fontId="2" fillId="0" borderId="4" xfId="0" applyNumberFormat="1"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wrapText="1"/>
    </xf>
    <xf numFmtId="0" fontId="4" fillId="0" borderId="2" xfId="0" applyFont="1" applyBorder="1" applyAlignment="1" applyProtection="1">
      <alignment horizontal="left" vertical="center"/>
      <protection locked="0"/>
    </xf>
    <xf numFmtId="164" fontId="0" fillId="2" borderId="4" xfId="0" applyNumberFormat="1" applyFill="1" applyBorder="1" applyAlignment="1" applyProtection="1">
      <alignment horizontal="center" vertical="center" wrapText="1"/>
      <protection locked="0"/>
    </xf>
    <xf numFmtId="14" fontId="0" fillId="2" borderId="2" xfId="0" applyNumberFormat="1" applyFill="1" applyBorder="1" applyAlignment="1" applyProtection="1">
      <alignment horizontal="center" vertical="center" wrapText="1"/>
      <protection locked="0"/>
    </xf>
    <xf numFmtId="0" fontId="3" fillId="0" borderId="4" xfId="1" applyBorder="1" applyAlignment="1" applyProtection="1">
      <alignment vertical="center"/>
      <protection locked="0"/>
    </xf>
    <xf numFmtId="0" fontId="4" fillId="0" borderId="4" xfId="0" applyFont="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0" fontId="4" fillId="0" borderId="14" xfId="0" applyFont="1" applyBorder="1" applyAlignment="1" applyProtection="1">
      <alignment vertical="center" wrapText="1"/>
      <protection locked="0"/>
    </xf>
    <xf numFmtId="14" fontId="4" fillId="0" borderId="4" xfId="0" applyNumberFormat="1" applyFont="1" applyBorder="1" applyAlignment="1" applyProtection="1">
      <alignment horizontal="center" vertical="center" wrapText="1"/>
      <protection locked="0"/>
    </xf>
    <xf numFmtId="14" fontId="0" fillId="0" borderId="4" xfId="0" applyNumberFormat="1" applyBorder="1" applyAlignment="1">
      <alignment horizontal="center" vertical="center" wrapText="1"/>
    </xf>
    <xf numFmtId="0" fontId="4" fillId="0" borderId="3" xfId="0" applyFont="1" applyBorder="1" applyAlignment="1" applyProtection="1">
      <alignment horizontal="center" vertical="center" wrapText="1"/>
      <protection locked="0"/>
    </xf>
    <xf numFmtId="164" fontId="0" fillId="0" borderId="3" xfId="0" applyNumberFormat="1" applyBorder="1" applyAlignment="1">
      <alignment horizontal="left" vertical="center" wrapText="1"/>
    </xf>
    <xf numFmtId="0" fontId="4" fillId="2" borderId="3" xfId="0" applyFont="1" applyFill="1" applyBorder="1" applyAlignment="1" applyProtection="1">
      <alignment horizontal="center" vertical="center" wrapText="1"/>
      <protection locked="0"/>
    </xf>
    <xf numFmtId="14" fontId="4" fillId="0" borderId="3" xfId="0" applyNumberFormat="1" applyFont="1" applyBorder="1" applyAlignment="1" applyProtection="1">
      <alignment horizontal="center" vertical="center" wrapText="1"/>
      <protection locked="0"/>
    </xf>
    <xf numFmtId="0" fontId="30" fillId="0" borderId="2" xfId="0" applyFont="1" applyBorder="1" applyAlignment="1">
      <alignment vertical="center" wrapText="1"/>
    </xf>
    <xf numFmtId="0" fontId="4" fillId="2" borderId="3" xfId="0" applyFont="1" applyFill="1" applyBorder="1" applyAlignment="1" applyProtection="1">
      <alignment vertical="center" wrapText="1"/>
      <protection locked="0"/>
    </xf>
    <xf numFmtId="166" fontId="0" fillId="2" borderId="2" xfId="0" applyNumberFormat="1" applyFill="1" applyBorder="1" applyAlignment="1" applyProtection="1">
      <alignment horizontal="center" vertical="center" wrapText="1"/>
      <protection locked="0"/>
    </xf>
    <xf numFmtId="14" fontId="4" fillId="0" borderId="3" xfId="0" applyNumberFormat="1" applyFont="1" applyBorder="1" applyAlignment="1" applyProtection="1">
      <alignment vertical="center" wrapText="1"/>
      <protection locked="0"/>
    </xf>
    <xf numFmtId="0" fontId="0" fillId="10" borderId="0" xfId="0" applyFill="1" applyAlignment="1">
      <alignment vertical="center"/>
    </xf>
    <xf numFmtId="14" fontId="0" fillId="10" borderId="0" xfId="0" applyNumberFormat="1" applyFill="1" applyAlignment="1">
      <alignment horizontal="center" vertical="center"/>
    </xf>
    <xf numFmtId="14" fontId="2" fillId="10" borderId="0" xfId="0" applyNumberFormat="1" applyFont="1" applyFill="1" applyAlignment="1">
      <alignment horizontal="center" vertical="center"/>
    </xf>
    <xf numFmtId="0" fontId="0" fillId="10" borderId="0" xfId="0" applyFill="1" applyAlignment="1">
      <alignment horizontal="center" vertical="center"/>
    </xf>
    <xf numFmtId="0" fontId="0" fillId="10" borderId="0" xfId="0" applyFill="1" applyAlignment="1" applyProtection="1">
      <alignment vertical="center"/>
      <protection locked="0"/>
    </xf>
    <xf numFmtId="1" fontId="0" fillId="0" borderId="0" xfId="0" applyNumberFormat="1" applyAlignment="1" applyProtection="1">
      <alignment horizontal="center" vertical="center" wrapText="1"/>
      <protection locked="0"/>
    </xf>
    <xf numFmtId="0" fontId="20" fillId="0" borderId="14" xfId="0" applyFont="1" applyBorder="1" applyAlignment="1" applyProtection="1">
      <alignment vertical="center" wrapText="1"/>
      <protection locked="0"/>
    </xf>
    <xf numFmtId="0" fontId="20" fillId="0" borderId="14" xfId="0" applyFont="1" applyBorder="1" applyAlignment="1" applyProtection="1">
      <alignment horizontal="center" vertical="center" wrapText="1"/>
      <protection locked="0"/>
    </xf>
    <xf numFmtId="0" fontId="20" fillId="0" borderId="15" xfId="0" applyFont="1" applyBorder="1" applyAlignment="1" applyProtection="1">
      <alignment horizontal="center" vertical="center" wrapText="1"/>
      <protection locked="0"/>
    </xf>
    <xf numFmtId="0" fontId="0" fillId="0" borderId="4" xfId="0" applyBorder="1" applyAlignment="1">
      <alignment horizontal="center" vertical="center" wrapText="1"/>
    </xf>
    <xf numFmtId="0" fontId="27" fillId="0" borderId="4" xfId="0" applyFont="1" applyBorder="1" applyAlignment="1">
      <alignment vertical="center" wrapText="1"/>
    </xf>
    <xf numFmtId="0" fontId="20" fillId="0" borderId="14" xfId="0" applyFont="1" applyBorder="1" applyAlignment="1" applyProtection="1">
      <alignment horizontal="left" vertical="center" wrapText="1"/>
      <protection locked="0"/>
    </xf>
    <xf numFmtId="0" fontId="20" fillId="0" borderId="15" xfId="0" applyFont="1" applyBorder="1" applyAlignment="1">
      <alignment vertical="center" wrapText="1"/>
    </xf>
    <xf numFmtId="0" fontId="2" fillId="2" borderId="2" xfId="0" applyFont="1" applyFill="1" applyBorder="1" applyAlignment="1" applyProtection="1">
      <alignment vertical="center" wrapText="1"/>
      <protection locked="0"/>
    </xf>
    <xf numFmtId="1" fontId="0" fillId="0" borderId="5" xfId="0" applyNumberFormat="1" applyBorder="1" applyAlignment="1">
      <alignment vertical="center" wrapText="1"/>
    </xf>
    <xf numFmtId="1" fontId="0" fillId="0" borderId="4" xfId="0" applyNumberFormat="1" applyBorder="1" applyAlignment="1">
      <alignment vertical="center" wrapText="1"/>
    </xf>
    <xf numFmtId="1" fontId="0" fillId="0" borderId="3" xfId="0" applyNumberFormat="1" applyBorder="1" applyAlignment="1">
      <alignment vertical="center" wrapText="1"/>
    </xf>
    <xf numFmtId="1" fontId="0" fillId="0" borderId="2" xfId="0" applyNumberFormat="1" applyBorder="1" applyAlignment="1">
      <alignment vertical="center" wrapText="1"/>
    </xf>
    <xf numFmtId="1" fontId="0" fillId="0" borderId="13" xfId="0" applyNumberFormat="1" applyBorder="1" applyAlignment="1">
      <alignment vertical="center" wrapText="1"/>
    </xf>
    <xf numFmtId="164" fontId="0" fillId="0" borderId="0" xfId="0" applyNumberFormat="1" applyAlignment="1" applyProtection="1">
      <alignment vertical="center" wrapText="1"/>
      <protection locked="0"/>
    </xf>
    <xf numFmtId="0" fontId="23" fillId="0" borderId="2" xfId="0" applyFont="1" applyBorder="1" applyAlignment="1">
      <alignment horizontal="left" vertical="center" wrapText="1"/>
    </xf>
    <xf numFmtId="0" fontId="23" fillId="0" borderId="2" xfId="0" applyFont="1" applyBorder="1" applyAlignment="1">
      <alignment horizontal="center" vertical="center" wrapText="1"/>
    </xf>
    <xf numFmtId="0" fontId="4" fillId="0" borderId="6" xfId="0" applyFont="1" applyBorder="1" applyAlignment="1" applyProtection="1">
      <alignment vertical="center" wrapText="1"/>
      <protection locked="0"/>
    </xf>
    <xf numFmtId="164" fontId="0" fillId="0" borderId="6" xfId="0" applyNumberFormat="1" applyBorder="1" applyAlignment="1" applyProtection="1">
      <alignment horizontal="center" vertical="center" wrapText="1"/>
      <protection locked="0"/>
    </xf>
    <xf numFmtId="0" fontId="2" fillId="0" borderId="2" xfId="0" applyFont="1" applyBorder="1" applyAlignment="1">
      <alignment horizontal="center" vertical="center" wrapText="1"/>
    </xf>
    <xf numFmtId="0" fontId="1" fillId="0" borderId="12" xfId="0" applyFont="1" applyBorder="1" applyAlignment="1" applyProtection="1">
      <alignment vertical="center"/>
      <protection locked="0"/>
    </xf>
    <xf numFmtId="0" fontId="3" fillId="0" borderId="5" xfId="1" applyBorder="1" applyAlignment="1">
      <alignment vertical="center"/>
    </xf>
    <xf numFmtId="0" fontId="3" fillId="0" borderId="2" xfId="1" applyFill="1" applyBorder="1" applyAlignment="1">
      <alignment vertical="center"/>
    </xf>
    <xf numFmtId="0" fontId="25" fillId="0" borderId="14" xfId="0" applyFont="1" applyBorder="1" applyAlignment="1" applyProtection="1">
      <alignment horizontal="center" vertical="center" wrapText="1"/>
      <protection locked="0"/>
    </xf>
    <xf numFmtId="165" fontId="0" fillId="0" borderId="4" xfId="0" applyNumberFormat="1" applyBorder="1" applyAlignment="1">
      <alignment horizontal="center" vertical="center" wrapText="1"/>
    </xf>
    <xf numFmtId="165" fontId="0" fillId="0" borderId="12" xfId="0" applyNumberFormat="1" applyBorder="1" applyAlignment="1">
      <alignment horizontal="center" vertical="center" wrapText="1"/>
    </xf>
    <xf numFmtId="165" fontId="0" fillId="0" borderId="2" xfId="0" applyNumberFormat="1" applyBorder="1" applyAlignment="1">
      <alignment horizontal="center" vertical="center" wrapText="1"/>
    </xf>
    <xf numFmtId="164" fontId="4" fillId="0" borderId="3" xfId="0" applyNumberFormat="1" applyFont="1" applyBorder="1" applyAlignment="1" applyProtection="1">
      <alignment horizontal="center" vertical="center" wrapText="1"/>
      <protection locked="0"/>
    </xf>
    <xf numFmtId="0" fontId="20" fillId="0" borderId="14" xfId="0" applyFont="1" applyBorder="1" applyAlignment="1" applyProtection="1">
      <alignment vertical="top" wrapText="1"/>
      <protection locked="0"/>
    </xf>
    <xf numFmtId="0" fontId="3" fillId="0" borderId="12" xfId="1" applyBorder="1" applyAlignment="1" applyProtection="1">
      <alignment vertical="center"/>
      <protection locked="0"/>
    </xf>
    <xf numFmtId="0" fontId="3" fillId="0" borderId="5" xfId="1" applyBorder="1" applyAlignment="1" applyProtection="1">
      <alignment vertical="center"/>
      <protection locked="0"/>
    </xf>
    <xf numFmtId="164" fontId="4" fillId="0" borderId="7" xfId="0" applyNumberFormat="1" applyFont="1" applyBorder="1" applyAlignment="1">
      <alignment horizontal="center" vertical="center" wrapText="1"/>
    </xf>
    <xf numFmtId="0" fontId="4" fillId="0" borderId="10" xfId="0" applyFont="1" applyBorder="1" applyAlignment="1" applyProtection="1">
      <alignment vertical="center" wrapText="1"/>
      <protection locked="0"/>
    </xf>
    <xf numFmtId="0" fontId="4" fillId="0" borderId="16" xfId="0" applyFont="1" applyBorder="1" applyAlignment="1" applyProtection="1">
      <alignment vertical="center" wrapText="1"/>
      <protection locked="0"/>
    </xf>
    <xf numFmtId="167" fontId="20" fillId="0" borderId="9" xfId="0" applyNumberFormat="1" applyFont="1" applyBorder="1" applyAlignment="1" applyProtection="1">
      <alignment horizontal="left" vertical="center" wrapText="1"/>
      <protection locked="0"/>
    </xf>
    <xf numFmtId="164" fontId="0" fillId="0" borderId="11" xfId="0" applyNumberFormat="1" applyBorder="1" applyAlignment="1" applyProtection="1">
      <alignment horizontal="center" vertical="center" wrapText="1"/>
      <protection locked="0"/>
    </xf>
    <xf numFmtId="0" fontId="4" fillId="0" borderId="4" xfId="0" applyFont="1" applyBorder="1" applyAlignment="1" applyProtection="1">
      <alignment vertical="center"/>
      <protection locked="0"/>
    </xf>
    <xf numFmtId="0" fontId="4" fillId="0" borderId="3"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0" fontId="27" fillId="0" borderId="3" xfId="0" applyFont="1" applyBorder="1" applyAlignment="1" applyProtection="1">
      <alignment vertical="center" wrapText="1"/>
      <protection locked="0"/>
    </xf>
    <xf numFmtId="14" fontId="4" fillId="0" borderId="17" xfId="0" applyNumberFormat="1" applyFont="1" applyBorder="1" applyAlignment="1" applyProtection="1">
      <alignment vertical="center" wrapText="1"/>
      <protection locked="0"/>
    </xf>
    <xf numFmtId="0" fontId="4" fillId="0" borderId="10"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164" fontId="0" fillId="0" borderId="4" xfId="0" applyNumberFormat="1" applyBorder="1" applyAlignment="1">
      <alignment horizontal="left" vertical="center" wrapText="1"/>
    </xf>
    <xf numFmtId="0" fontId="0" fillId="0" borderId="2"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164" fontId="0" fillId="0" borderId="0" xfId="0" applyNumberFormat="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0" fillId="11" borderId="2" xfId="0" applyFill="1" applyBorder="1" applyAlignment="1" applyProtection="1">
      <alignment vertical="center" wrapText="1"/>
      <protection locked="0"/>
    </xf>
    <xf numFmtId="164" fontId="0" fillId="11" borderId="7" xfId="0" applyNumberFormat="1" applyFill="1" applyBorder="1" applyAlignment="1">
      <alignment horizontal="center" vertical="center" wrapText="1"/>
    </xf>
    <xf numFmtId="0" fontId="4" fillId="11" borderId="3" xfId="0" applyFont="1" applyFill="1" applyBorder="1" applyAlignment="1" applyProtection="1">
      <alignment vertical="center" wrapText="1"/>
      <protection locked="0"/>
    </xf>
    <xf numFmtId="164" fontId="0" fillId="11" borderId="2" xfId="0" applyNumberFormat="1" applyFill="1" applyBorder="1" applyAlignment="1">
      <alignment horizontal="center" vertical="center" wrapText="1"/>
    </xf>
    <xf numFmtId="166" fontId="0" fillId="11" borderId="2" xfId="0" applyNumberFormat="1" applyFill="1" applyBorder="1" applyAlignment="1" applyProtection="1">
      <alignment horizontal="center" vertical="center" wrapText="1"/>
      <protection locked="0"/>
    </xf>
    <xf numFmtId="164" fontId="0" fillId="11" borderId="4" xfId="0" applyNumberFormat="1" applyFill="1" applyBorder="1" applyAlignment="1">
      <alignment horizontal="center" vertical="center" wrapText="1"/>
    </xf>
    <xf numFmtId="164" fontId="0" fillId="11" borderId="2" xfId="0" applyNumberFormat="1" applyFill="1" applyBorder="1" applyAlignment="1" applyProtection="1">
      <alignment horizontal="center" vertical="center" wrapText="1"/>
      <protection locked="0"/>
    </xf>
    <xf numFmtId="0" fontId="4" fillId="11" borderId="3" xfId="0" applyFont="1" applyFill="1" applyBorder="1" applyAlignment="1" applyProtection="1">
      <alignment horizontal="center" vertical="center" wrapText="1"/>
      <protection locked="0"/>
    </xf>
    <xf numFmtId="0" fontId="0" fillId="11" borderId="0" xfId="0" applyFill="1" applyAlignment="1">
      <alignment vertical="center"/>
    </xf>
    <xf numFmtId="14" fontId="0" fillId="11" borderId="0" xfId="0" applyNumberFormat="1" applyFill="1" applyAlignment="1">
      <alignment horizontal="center" vertical="center"/>
    </xf>
    <xf numFmtId="14" fontId="2" fillId="11" borderId="0" xfId="0" applyNumberFormat="1" applyFont="1" applyFill="1" applyAlignment="1">
      <alignment horizontal="center" vertical="center"/>
    </xf>
    <xf numFmtId="0" fontId="0" fillId="11" borderId="0" xfId="0" applyFill="1" applyAlignment="1">
      <alignment horizontal="center" vertical="center"/>
    </xf>
    <xf numFmtId="0" fontId="0" fillId="11" borderId="0" xfId="0" applyFill="1" applyAlignment="1" applyProtection="1">
      <alignment vertical="center"/>
      <protection locked="0"/>
    </xf>
    <xf numFmtId="14" fontId="4" fillId="11" borderId="3" xfId="0" applyNumberFormat="1" applyFont="1" applyFill="1" applyBorder="1" applyAlignment="1" applyProtection="1">
      <alignment vertical="center" wrapText="1"/>
      <protection locked="0"/>
    </xf>
    <xf numFmtId="0" fontId="3" fillId="11" borderId="4" xfId="1" applyFill="1" applyBorder="1" applyAlignment="1" applyProtection="1">
      <alignment vertical="center"/>
      <protection locked="0"/>
    </xf>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18">
    <dxf>
      <fill>
        <patternFill>
          <bgColor rgb="FFE2EFDA"/>
        </patternFill>
      </fill>
    </dxf>
    <dxf>
      <fill>
        <patternFill>
          <bgColor rgb="FFE2EFDA"/>
        </patternFill>
      </fill>
    </dxf>
    <dxf>
      <fill>
        <patternFill>
          <bgColor rgb="FFE2F0D9"/>
        </patternFill>
      </fill>
    </dxf>
    <dxf>
      <fill>
        <patternFill>
          <bgColor rgb="FFE2F0D9"/>
        </patternFill>
      </fill>
    </dxf>
    <dxf>
      <fill>
        <patternFill>
          <bgColor rgb="FFE2F0D9"/>
        </patternFill>
      </fill>
    </dxf>
    <dxf>
      <fill>
        <patternFill>
          <bgColor rgb="FFE2F0D9"/>
        </patternFill>
      </fill>
    </dxf>
    <dxf>
      <fill>
        <patternFill>
          <bgColor rgb="FFE2EFDA"/>
        </patternFill>
      </fill>
    </dxf>
    <dxf>
      <fill>
        <patternFill>
          <bgColor theme="9" tint="0.79998168889431442"/>
        </patternFill>
      </fill>
    </dxf>
    <dxf>
      <fill>
        <patternFill>
          <bgColor rgb="FFE2EFDA"/>
        </patternFill>
      </fill>
    </dxf>
    <dxf>
      <font>
        <sz val="11"/>
        <color rgb="FF000000"/>
        <name val="Calibri"/>
        <family val="2"/>
        <charset val="1"/>
      </font>
      <fill>
        <patternFill>
          <bgColor rgb="FFE2F0D9"/>
        </patternFill>
      </fill>
    </dxf>
    <dxf>
      <fill>
        <patternFill>
          <bgColor rgb="FFE2EFDA"/>
        </patternFill>
      </fill>
    </dxf>
    <dxf>
      <fill>
        <patternFill>
          <bgColor theme="9" tint="0.79998168889431442"/>
        </patternFill>
      </fill>
    </dxf>
    <dxf>
      <fill>
        <patternFill>
          <bgColor rgb="FFE2EFDA"/>
        </patternFill>
      </fill>
    </dxf>
    <dxf>
      <fill>
        <patternFill>
          <bgColor rgb="FFE2EFDA"/>
        </patternFill>
      </fill>
    </dxf>
    <dxf>
      <fill>
        <patternFill>
          <bgColor theme="9" tint="0.79998168889431442"/>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era.europa.eu/system/files/2024-07/AT-6004%20-%20Final%20report%20-%20795.398_EUB_1.0.pdf" TargetMode="External"/><Relationship Id="rId299" Type="http://schemas.openxmlformats.org/officeDocument/2006/relationships/hyperlink" Target="https://www.era.europa.eu/sites/default/files/2025-12/dk-10645%20-%20final%20report%2C%20endelig%20redeg%C3%B8relse%202025-16.pdf" TargetMode="External"/><Relationship Id="rId21" Type="http://schemas.openxmlformats.org/officeDocument/2006/relationships/hyperlink" Target="https://www.era.europa.eu/system/files/2023-11/SK-10476%20-%2034_Martin__Vr%C3%BAtky.pdf" TargetMode="External"/><Relationship Id="rId63" Type="http://schemas.openxmlformats.org/officeDocument/2006/relationships/hyperlink" Target="https://www.era.europa.eu/system/files/2024-03/BG-10485%20-%20Final%20report%2044202_NIB%20BG%20ENG%201.pdf" TargetMode="External"/><Relationship Id="rId159" Type="http://schemas.openxmlformats.org/officeDocument/2006/relationships/hyperlink" Target="https://www.era.europa.eu/system/files/2024-11/bg-10561%20-%20final%20report_nib%20bg_2654.pdf" TargetMode="External"/><Relationship Id="rId324" Type="http://schemas.openxmlformats.org/officeDocument/2006/relationships/hyperlink" Target="https://www.era.europa.eu/sites/default/files/2026-02/hu-10559%20-%202024-0614-5_zj.pdf" TargetMode="External"/><Relationship Id="rId170" Type="http://schemas.openxmlformats.org/officeDocument/2006/relationships/hyperlink" Target="https://www.era.europa.eu/system/files/2023-07/DK-10389%20-2023-158%20Statement%20Padborg-Vejb%C3%A6k%20Personp%C3%A5k%C3%B8rsel%20%2824-02-2023%29.pdf" TargetMode="External"/><Relationship Id="rId226" Type="http://schemas.openxmlformats.org/officeDocument/2006/relationships/hyperlink" Target="https://www.era.europa.eu/sites/default/files/2025-07/report%20pkbwk_05_2025_en.pdf" TargetMode="External"/><Relationship Id="rId268" Type="http://schemas.openxmlformats.org/officeDocument/2006/relationships/hyperlink" Target="https://www.era.europa.eu/sites/default/files/2025-09/2024-0659-5_zj_en.pdf" TargetMode="External"/><Relationship Id="rId32" Type="http://schemas.openxmlformats.org/officeDocument/2006/relationships/hyperlink" Target="https://www.era.europa.eu/system/files/2023-12/DE-5973%20-%20Final%20Report%20-%2020190212%20Augsburg%20Hbf%20Zugkollision.pdf" TargetMode="External"/><Relationship Id="rId74" Type="http://schemas.openxmlformats.org/officeDocument/2006/relationships/hyperlink" Target="https://www.era.europa.eu/system/files/2024-04/HU-10247%20-%202022-0682-5_zj_EN.docx" TargetMode="External"/><Relationship Id="rId128" Type="http://schemas.openxmlformats.org/officeDocument/2006/relationships/hyperlink" Target="https://www.era.europa.eu/system/files/2024-08/IT-10351%20-%20Relazione%20finale_Iseo_10-12-2022_pubblica.pdf" TargetMode="External"/><Relationship Id="rId335" Type="http://schemas.openxmlformats.org/officeDocument/2006/relationships/hyperlink" Target="https://www.era.europa.eu/sites/default/files/2026-03/cz-10515%20-%20final_report_detmarovice_bohumin_cz-10515.pdf" TargetMode="External"/><Relationship Id="rId5" Type="http://schemas.openxmlformats.org/officeDocument/2006/relationships/hyperlink" Target="http://erail.era.europa.eu/recommendations.aspx?sfn=HU-6360&amp;sr=22&amp;public=1" TargetMode="External"/><Relationship Id="rId181" Type="http://schemas.openxmlformats.org/officeDocument/2006/relationships/hyperlink" Target="https://www.era.europa.eu/sites/default/files/2024-12/relazione%20finale_brandizzo_30-08-2023.pdf" TargetMode="External"/><Relationship Id="rId237" Type="http://schemas.openxmlformats.org/officeDocument/2006/relationships/hyperlink" Target="https://www.era.europa.eu/sites/default/files/2025-01/r2024-01%20investigation%20report%20fi.pdf" TargetMode="External"/><Relationship Id="rId279" Type="http://schemas.openxmlformats.org/officeDocument/2006/relationships/hyperlink" Target="https://www.era.europa.eu/sites/default/files/2025-11/zevgolatio%2017-1-2024_era%20id%20el-10539%20%281%29.pdf" TargetMode="External"/><Relationship Id="rId43" Type="http://schemas.openxmlformats.org/officeDocument/2006/relationships/hyperlink" Target="https://www.era.europa.eu/system/files/2024-01/NO-10331%20-%202024-01%20Heskestad.pdf" TargetMode="External"/><Relationship Id="rId139" Type="http://schemas.openxmlformats.org/officeDocument/2006/relationships/hyperlink" Target="https://www.era.europa.eu/system/files/2024-10/dk-10520%20-%20thisted%20station%20personp%C3%A5k%C3%B8rsel%20d.%2005-02-2024.pdf" TargetMode="External"/><Relationship Id="rId290" Type="http://schemas.openxmlformats.org/officeDocument/2006/relationships/hyperlink" Target="https://www.era.europa.eu/sites/default/files/2025-11/cz-10323%20-%20final_report_brandys_nad_labem_neratovice.pdf" TargetMode="External"/><Relationship Id="rId304" Type="http://schemas.openxmlformats.org/officeDocument/2006/relationships/hyperlink" Target="https://www.era.europa.eu/sites/default/files/2026-01/de-10623%20final%20report%20v1.0%20train%20derailment%20ludwigshafen-oggersheim%2020241031.pdf" TargetMode="External"/><Relationship Id="rId85" Type="http://schemas.openxmlformats.org/officeDocument/2006/relationships/hyperlink" Target="https://www.era.europa.eu/system/files/2024-04/PL-10418%20-%20Report%20No%20PKBWK%2004%202024_EN.pdf" TargetMode="External"/><Relationship Id="rId150" Type="http://schemas.openxmlformats.org/officeDocument/2006/relationships/hyperlink" Target="https://www.era.europa.eu/system/files/2024-11/ro-10469%20-%20ri%20periam%20zadareni%202023%20final%20transmis.pdf" TargetMode="External"/><Relationship Id="rId192" Type="http://schemas.openxmlformats.org/officeDocument/2006/relationships/hyperlink" Target="https://www.era.europa.eu/sites/default/files/2025-05/final_report_praha-malesice_cz-10497.pdf" TargetMode="External"/><Relationship Id="rId206" Type="http://schemas.openxmlformats.org/officeDocument/2006/relationships/hyperlink" Target="https://www.era.europa.eu/sites/default/files/2025-07/ri%20rupea%20racos%2013%2007%202024%20final%20transmis.pdf" TargetMode="External"/><Relationship Id="rId248" Type="http://schemas.openxmlformats.org/officeDocument/2006/relationships/hyperlink" Target="https://www.era.europa.eu/sites/default/files/2025-09/ri%20berbesti%20popesti%20valcea%2012%2009%202024%20final%20transmis.pdf" TargetMode="External"/><Relationship Id="rId12" Type="http://schemas.openxmlformats.org/officeDocument/2006/relationships/hyperlink" Target="https://www.era.europa.eu/system/files/2023-10/DK-10334%20-%202022-517%20Statement%20Odense%20personp%C3%A5k%C3%B8rsel%20%2812-11-2022%29%20%28002%29.pdf" TargetMode="External"/><Relationship Id="rId108" Type="http://schemas.openxmlformats.org/officeDocument/2006/relationships/hyperlink" Target="https://www.era.europa.eu/system/files/2024-07/ES-10479%20-%20Final%20Report%20-%202023-43-0518-IF.pdf" TargetMode="External"/><Relationship Id="rId315" Type="http://schemas.openxmlformats.org/officeDocument/2006/relationships/hyperlink" Target="https://www.era.europa.eu/sites/default/files/2026-02/ro-10654%20-%20final%20report%2C%20ri%20draganesti%20olt%20%2012%2002%202025%20final%20transmis.pdf" TargetMode="External"/><Relationship Id="rId54" Type="http://schemas.openxmlformats.org/officeDocument/2006/relationships/hyperlink" Target="https://www.era.europa.eu/system/files/2024-02/PT-962%20-%20Relat%C3%B3rio_Sumario_ferro_PT_962_RF202304.pdf" TargetMode="External"/><Relationship Id="rId96" Type="http://schemas.openxmlformats.org/officeDocument/2006/relationships/hyperlink" Target="https://www.era.europa.eu/system/files/2024-05/AT-10226%20-%20795.404_UB_1.0_Optimized.pdf" TargetMode="External"/><Relationship Id="rId161" Type="http://schemas.openxmlformats.org/officeDocument/2006/relationships/hyperlink" Target="https://www.era.europa.eu/sites/default/files/2024-11/r2023-02%20summary.docx" TargetMode="External"/><Relationship Id="rId217" Type="http://schemas.openxmlformats.org/officeDocument/2006/relationships/hyperlink" Target="https://www.era.europa.eu/sites/default/files/2025-08/final_report_praha-malesice_cz-10620.pdf" TargetMode="External"/><Relationship Id="rId259" Type="http://schemas.openxmlformats.org/officeDocument/2006/relationships/hyperlink" Target="https://www.era.europa.eu/sites/default/files/2025-10/ri%20popesti%20valcea%20berbesti%2014%2008%202024%20final%20transmis.pdf" TargetMode="External"/><Relationship Id="rId23" Type="http://schemas.openxmlformats.org/officeDocument/2006/relationships/hyperlink" Target="https://www.era.europa.eu/system/files/2023-11/DK-10391%20-%202023-185%20Statement%20Peter%20Bangsvej%20personp%C3%A5k%C3%B8rsel%20%2808-03-2023%29.pdf" TargetMode="External"/><Relationship Id="rId119" Type="http://schemas.openxmlformats.org/officeDocument/2006/relationships/hyperlink" Target="https://www.era.europa.eu/system/files/2024-08/CZ-6346%20-%20240802_final_report_Uporiny.pdf" TargetMode="External"/><Relationship Id="rId270" Type="http://schemas.openxmlformats.org/officeDocument/2006/relationships/hyperlink" Target="https://www.era.europa.eu/sites/default/files/2025-10/kona%C4%8Dno%20izvje%C5%A1%C4%87e%20kr%C4%8Deni%20put%20web.pdf" TargetMode="External"/><Relationship Id="rId326" Type="http://schemas.openxmlformats.org/officeDocument/2006/relationships/hyperlink" Target="https://www.era.europa.eu/sites/default/files/2026-02/be-10629%20-%20verslag%20zeebrugge.pdf" TargetMode="External"/><Relationship Id="rId65" Type="http://schemas.openxmlformats.org/officeDocument/2006/relationships/hyperlink" Target="https://www.era.europa.eu/system/files/2024-03/CZ-10377%20-%20Final_report_Chlumcany_u_Dobran.pdf" TargetMode="External"/><Relationship Id="rId130" Type="http://schemas.openxmlformats.org/officeDocument/2006/relationships/hyperlink" Target="https://www.era.europa.eu/system/files/2024-08/CZ-10462%20-%20Final_report_Moravsky_Pisek_Nedakonice.pdf" TargetMode="External"/><Relationship Id="rId172" Type="http://schemas.openxmlformats.org/officeDocument/2006/relationships/hyperlink" Target="https://www.era.europa.eu/system/files/2023-08/BG-10381%20-%20Final%20report%2040832%20_NIB%20BG.pdf" TargetMode="External"/><Relationship Id="rId228" Type="http://schemas.openxmlformats.org/officeDocument/2006/relationships/hyperlink" Target="https://www.era.europa.eu/sites/default/files/2025-01/final%20report_nib%20bg_91520043309-1%20eng.pdf" TargetMode="External"/><Relationship Id="rId281" Type="http://schemas.openxmlformats.org/officeDocument/2006/relationships/hyperlink" Target="https://www.era.europa.eu/sites/default/files/2025-11/ri%20nucet%20targoviste%2019%2010%202024%20final%20transmis.pdf" TargetMode="External"/><Relationship Id="rId337" Type="http://schemas.openxmlformats.org/officeDocument/2006/relationships/printerSettings" Target="../printerSettings/printerSettings1.bin"/><Relationship Id="rId34" Type="http://schemas.openxmlformats.org/officeDocument/2006/relationships/hyperlink" Target="https://www.era.europa.eu/system/files/2023-12/CZ-10347%20-%20ZZ_Final_report_Brno-Malomerice.pdf" TargetMode="External"/><Relationship Id="rId76" Type="http://schemas.openxmlformats.org/officeDocument/2006/relationships/hyperlink" Target="https://www.era.europa.eu/system/files/2024-04/HU-10356%20-%202022-0512-5_zj_EN.pdf" TargetMode="External"/><Relationship Id="rId141" Type="http://schemas.openxmlformats.org/officeDocument/2006/relationships/hyperlink" Target="https://www.era.europa.eu/system/files/2024-10/ro-10454%20-%20ri%20augustin%20racos%2003%2010%202023%20final%20transmis.pdf" TargetMode="External"/><Relationship Id="rId7" Type="http://schemas.openxmlformats.org/officeDocument/2006/relationships/hyperlink" Target="http://erail.era.europa.eu/recommendations.aspx?sfn=CZ-6369&amp;sr=12&amp;public=1" TargetMode="External"/><Relationship Id="rId183" Type="http://schemas.openxmlformats.org/officeDocument/2006/relationships/hyperlink" Target="https://www.era.europa.eu/sites/default/files/2025-04/raport%20no%20pkbwk%2002%202025_en.pdf" TargetMode="External"/><Relationship Id="rId239" Type="http://schemas.openxmlformats.org/officeDocument/2006/relationships/hyperlink" Target="https://www.era.europa.eu/sites/default/files/2025-01/35_nov%C3%A9%20z%C3%A1mky%20-%20dvory%20nad%20%C5%BEitavou.pdf" TargetMode="External"/><Relationship Id="rId250" Type="http://schemas.openxmlformats.org/officeDocument/2006/relationships/hyperlink" Target="https://www.era.europa.eu/sites/default/files/2025-09/ri%20turceni%2022%2009%202024%20final%20transmis.pdf" TargetMode="External"/><Relationship Id="rId292" Type="http://schemas.openxmlformats.org/officeDocument/2006/relationships/hyperlink" Target="https://www.era.europa.eu/sites/default/files/2025-12/sk-10738%20-%2036_jablonov_nad_tur%C5%88ou.pdf" TargetMode="External"/><Relationship Id="rId306" Type="http://schemas.openxmlformats.org/officeDocument/2006/relationships/hyperlink" Target="https://www.era.europa.eu/sites/default/files/2026-01/de-10501%20intermediate%20report%20v2.0%20form%20trains%20collision%20leipzig-sch%C3%B6nefeld%2001122023.pdf" TargetMode="External"/><Relationship Id="rId45" Type="http://schemas.openxmlformats.org/officeDocument/2006/relationships/hyperlink" Target="https://www.era.europa.eu/system/files/2024-02/PL-10387%20-%20Raport%20nr%20PKBWK%205%202023_en.pdf" TargetMode="External"/><Relationship Id="rId87" Type="http://schemas.openxmlformats.org/officeDocument/2006/relationships/hyperlink" Target="https://www.era.europa.eu/system/files/2024-05/IT-10368%20-%20Relazione%20finale_Pozzano_26-01-2023_pubblica.pdf" TargetMode="External"/><Relationship Id="rId110" Type="http://schemas.openxmlformats.org/officeDocument/2006/relationships/hyperlink" Target="https://www.era.europa.eu/system/files/2024-07/SE-10415%20-%20SHK%202024_%2008%20Slutrapport%20-%20Arlanda%20Express.pdf" TargetMode="External"/><Relationship Id="rId152" Type="http://schemas.openxmlformats.org/officeDocument/2006/relationships/hyperlink" Target="https://www.era.europa.eu/system/files/2024-11/ro-10470%20-%20ri%20dragotesti%20borascu%2005%2011%202023%20final%20transmis.pdf" TargetMode="External"/><Relationship Id="rId173" Type="http://schemas.openxmlformats.org/officeDocument/2006/relationships/hyperlink" Target="https://www.era.europa.eu/sites/default/files/2025-03/eodasaam_accident_investigation_tempi-final.pdf" TargetMode="External"/><Relationship Id="rId194" Type="http://schemas.openxmlformats.org/officeDocument/2006/relationships/hyperlink" Target="https://www.era.europa.eu/sites/default/files/2025-01/ri%20turceni%2005%2001%202024%20final%20transmis.pdf" TargetMode="External"/><Relationship Id="rId208" Type="http://schemas.openxmlformats.org/officeDocument/2006/relationships/hyperlink" Target="https://www.era.europa.eu/sites/default/files/2025-08/ri%20berbesti%20popesti%20valcea%2024%2007%202024%20final%20transmis.pdf" TargetMode="External"/><Relationship Id="rId229" Type="http://schemas.openxmlformats.org/officeDocument/2006/relationships/hyperlink" Target="https://www.era.europa.eu/sites/default/files/2025-01/final%20report_nib%20bg_91520043309-1%20eng.pdf" TargetMode="External"/><Relationship Id="rId240" Type="http://schemas.openxmlformats.org/officeDocument/2006/relationships/hyperlink" Target="https://www.era.europa.eu/sites/default/files/2025-07/relazione_finale_centola_09-07-2024_pubblica.pdf" TargetMode="External"/><Relationship Id="rId261" Type="http://schemas.openxmlformats.org/officeDocument/2006/relationships/hyperlink" Target="https://www.era.europa.eu/sites/default/files/2025-04/relazione-finale_pagani_21-03-2023_pubblica.pdf" TargetMode="External"/><Relationship Id="rId14" Type="http://schemas.openxmlformats.org/officeDocument/2006/relationships/hyperlink" Target="https://www.era.europa.eu/system/files/2023-10/IT-10276%20-%20Relazione%20Finale_Rastignano_19-03-2022.pdf" TargetMode="External"/><Relationship Id="rId35" Type="http://schemas.openxmlformats.org/officeDocument/2006/relationships/hyperlink" Target="https://www.era.europa.eu/system/files/2023-12/NO-10423%20-%202023-05%20Alnabru.pdf" TargetMode="External"/><Relationship Id="rId56" Type="http://schemas.openxmlformats.org/officeDocument/2006/relationships/hyperlink" Target="https://www.era.europa.eu/system/files/2024-02/PT-239%20-%20Relat%C3%B3rio_Sumario_ferro_PT_239_RF202301.pdf" TargetMode="External"/><Relationship Id="rId77" Type="http://schemas.openxmlformats.org/officeDocument/2006/relationships/hyperlink" Target="https://www.era.europa.eu/system/files/2024-04/NO-10398%20-%202024-03%20Bybanen.pdf" TargetMode="External"/><Relationship Id="rId100" Type="http://schemas.openxmlformats.org/officeDocument/2006/relationships/hyperlink" Target="https://www.era.europa.eu/system/files/2024-06/CZ-10511%20-%20Final_report_Rynoltice.pdf" TargetMode="External"/><Relationship Id="rId282" Type="http://schemas.openxmlformats.org/officeDocument/2006/relationships/hyperlink" Target="https://www.era.europa.eu/sites/default/files/2025-11/ri%20palas%20constanta%20marfuri%2029%2010%202024%20final%20transmis.pdf" TargetMode="External"/><Relationship Id="rId317" Type="http://schemas.openxmlformats.org/officeDocument/2006/relationships/hyperlink" Target="https://www.era.europa.eu/sites/default/files/2026-02/ro-10655%20-%20final%20report%2C%20ri%20navodari%20constanta%20marfuri%2012%2002%202025%20final%20transmis.pdf" TargetMode="External"/><Relationship Id="rId338" Type="http://schemas.openxmlformats.org/officeDocument/2006/relationships/vmlDrawing" Target="../drawings/vmlDrawing1.vml"/><Relationship Id="rId8" Type="http://schemas.openxmlformats.org/officeDocument/2006/relationships/hyperlink" Target="http://erail.era.europa.eu/recommendations.aspx?sfn=PT-6375&amp;sr=61&amp;public=1" TargetMode="External"/><Relationship Id="rId98" Type="http://schemas.openxmlformats.org/officeDocument/2006/relationships/hyperlink" Target="https://www.era.europa.eu/system/files/2024-06/DK-10507%20-%20Statement%20K%C3%B8benhavn%20H.%20-%20Hvidovre%20Fjern%20Personp%C3%A5k%C3%B8rsel%20%2825-11-2023%29.pdf" TargetMode="External"/><Relationship Id="rId121" Type="http://schemas.openxmlformats.org/officeDocument/2006/relationships/hyperlink" Target="https://www.era.europa.eu/system/files/2024-08/RO-10432%20-%20RI%20Rosiori%20Atarnati%2001%2008%202023%20final%20transmis.pdf" TargetMode="External"/><Relationship Id="rId142" Type="http://schemas.openxmlformats.org/officeDocument/2006/relationships/hyperlink" Target="https://www.era.europa.eu/system/files/2024-10/ro-10474%20-%20ri%20aradu%20nou%2014%2011%202023%20final%20transmis.pdf" TargetMode="External"/><Relationship Id="rId163" Type="http://schemas.openxmlformats.org/officeDocument/2006/relationships/hyperlink" Target="https://www.era.europa.eu/sites/default/files/2024-12/lv-10482%20-%20final%20report%205_02_1_23_lv.pdf" TargetMode="External"/><Relationship Id="rId184" Type="http://schemas.openxmlformats.org/officeDocument/2006/relationships/hyperlink" Target="https://www.era.europa.eu/sites/default/files/2025-08/kona%C4%8Dno%20izvje%C5%A1%C4%87e%20iskliznu%C4%87e%20zagreb%20rk%2014.11.2023.%20objava.pdf" TargetMode="External"/><Relationship Id="rId219" Type="http://schemas.openxmlformats.org/officeDocument/2006/relationships/hyperlink" Target="https://www.era.europa.eu/sites/default/files/2025-04/summary%20era%202024-199.pdf" TargetMode="External"/><Relationship Id="rId230" Type="http://schemas.openxmlformats.org/officeDocument/2006/relationships/hyperlink" Target="https://www.era.europa.eu/era-folder/be-10535" TargetMode="External"/><Relationship Id="rId251" Type="http://schemas.openxmlformats.org/officeDocument/2006/relationships/hyperlink" Target="https://www.era.europa.eu/sites/default/files/2025-10/final_report_olbramkostel_sumna_cz-10653.pdf" TargetMode="External"/><Relationship Id="rId25" Type="http://schemas.openxmlformats.org/officeDocument/2006/relationships/hyperlink" Target="https://www.era.europa.eu/system/files/2023-12/RO-10344%20-%20RI%20Gugesti%2001%2012%202022%20final%20transmis.pdf" TargetMode="External"/><Relationship Id="rId46" Type="http://schemas.openxmlformats.org/officeDocument/2006/relationships/hyperlink" Target="https://www.era.europa.eu/system/files/2024-02/CZ-10319%20-%20ZZ_Final_report_Poricany.pdf" TargetMode="External"/><Relationship Id="rId67" Type="http://schemas.openxmlformats.org/officeDocument/2006/relationships/hyperlink" Target="https://www.era.europa.eu/system/files/2024-03/NO-10393%20-%202024-02%20Narvik.pdf" TargetMode="External"/><Relationship Id="rId272" Type="http://schemas.openxmlformats.org/officeDocument/2006/relationships/hyperlink" Target="https://www.era.europa.eu/sites/default/files/2025-10/2024-122-1213-if.pdf" TargetMode="External"/><Relationship Id="rId293" Type="http://schemas.openxmlformats.org/officeDocument/2006/relationships/hyperlink" Target="https://www.era.europa.eu/sites/default/files/2025-12/bg-10749%20-%20final%20report_%20nib%20bg_91520044060-9%20%281%29.pdf" TargetMode="External"/><Relationship Id="rId307" Type="http://schemas.openxmlformats.org/officeDocument/2006/relationships/hyperlink" Target="https://www.era.europa.eu/sites/default/files/2026-01/ro-10660%20-%20final%20report%2C%20ri%20radomiresti%20mihaesti%2017%2002%202025%20final%20transmis.pdf" TargetMode="External"/><Relationship Id="rId328" Type="http://schemas.openxmlformats.org/officeDocument/2006/relationships/hyperlink" Target="https://www.era.europa.eu/sites/default/files/2026-03/bg-10711%20-%20final%20report_nib%20bg_%2080694%202.pdf" TargetMode="External"/><Relationship Id="rId88" Type="http://schemas.openxmlformats.org/officeDocument/2006/relationships/hyperlink" Target="https://www.era.europa.eu/system/files/2024-05/RO-10402%20-%20RI%20Sannicolau%20%20Mare%20Cenad%2018%2004%202023%20final%20transmis.pdf" TargetMode="External"/><Relationship Id="rId111" Type="http://schemas.openxmlformats.org/officeDocument/2006/relationships/hyperlink" Target="https://www.era.europa.eu/system/files/2024-07/DE-10206%20investigation%20excerpts%20Bf%20R%C3%BCsselsheim%20train%20derailment%20230202022.pdf" TargetMode="External"/><Relationship Id="rId132" Type="http://schemas.openxmlformats.org/officeDocument/2006/relationships/hyperlink" Target="https://www.era.europa.eu/system/files/2024-09/DK-10467%20-%202023-452%20Redeg%C3%B8relse%20N%C3%A6rved-p%C3%A5k%C3%B8rsel%20af%20banearbejdere%20%28d.%2006-09-2023%29.pdf" TargetMode="External"/><Relationship Id="rId153" Type="http://schemas.openxmlformats.org/officeDocument/2006/relationships/hyperlink" Target="https://www.era.europa.eu/system/files/2024-11/no-10460%20-%202024-04%20%C3%A5neby.pdf" TargetMode="External"/><Relationship Id="rId174" Type="http://schemas.openxmlformats.org/officeDocument/2006/relationships/hyperlink" Target="https://www.era.europa.eu/sites/default/files/2025-02/ri%20galati%2025%2003%202023%20final%20transmis.pdf" TargetMode="External"/><Relationship Id="rId195" Type="http://schemas.openxmlformats.org/officeDocument/2006/relationships/hyperlink" Target="https://www.era.europa.eu/sites/default/files/2025-01/ri%20balota%2005%2001%202024%20final%20transmis.pdf" TargetMode="External"/><Relationship Id="rId209" Type="http://schemas.openxmlformats.org/officeDocument/2006/relationships/hyperlink" Target="https://www.era.europa.eu/sites/default/files/2025-08/ri%20aradu%20nou%20zadareni%2025%2007%202024%20final%20transmis.pdf" TargetMode="External"/><Relationship Id="rId220" Type="http://schemas.openxmlformats.org/officeDocument/2006/relationships/hyperlink" Target="https://www.era.europa.eu/sites/default/files/2025-03/2024-300%20summary%2C%20statement%2C%20brande%2C%20leaking%20hot%20coolant%20over%20passengers%20%2801-06-2024%29.pdf" TargetMode="External"/><Relationship Id="rId241" Type="http://schemas.openxmlformats.org/officeDocument/2006/relationships/hyperlink" Target="https://www.era.europa.eu/sites/default/files/2025-07/2024-64-0625-if.pdf" TargetMode="External"/><Relationship Id="rId15" Type="http://schemas.openxmlformats.org/officeDocument/2006/relationships/hyperlink" Target="https://www.era.europa.eu/system/files/2023-11/CZ-10346%20-%20231107_final_report_Bzenec_privoz_Mor_Pisek.pdf" TargetMode="External"/><Relationship Id="rId36" Type="http://schemas.openxmlformats.org/officeDocument/2006/relationships/hyperlink" Target="https://www.era.europa.eu/system/files/2023-12/IT-10253%20-%20Relazione%20finale_Barletta_04-01-2022_pubblica.pdf" TargetMode="External"/><Relationship Id="rId57" Type="http://schemas.openxmlformats.org/officeDocument/2006/relationships/hyperlink" Target="https://www.era.europa.eu/system/files/2024-02/PT-78%20-%20Relat%C3%B3rio_Sumario_ferro_PT_78_RF202302.pdf" TargetMode="External"/><Relationship Id="rId262" Type="http://schemas.openxmlformats.org/officeDocument/2006/relationships/hyperlink" Target="https://www.era.europa.eu/sites/default/files/2025-09/2023-1152-5_zj_en.pdf" TargetMode="External"/><Relationship Id="rId283" Type="http://schemas.openxmlformats.org/officeDocument/2006/relationships/hyperlink" Target="https://www.era.europa.eu/sites/default/files/2025-11/ri%20ploiesti%20est%20%2004%2011%202024%20final%20transmis.pdf" TargetMode="External"/><Relationship Id="rId318" Type="http://schemas.openxmlformats.org/officeDocument/2006/relationships/hyperlink" Target="https://www.era.europa.eu/sites/default/files/2026-02/es-10616%20-%20final%20report%2C%202023-114-1126-if_0.pdf" TargetMode="External"/><Relationship Id="rId339" Type="http://schemas.openxmlformats.org/officeDocument/2006/relationships/comments" Target="../comments1.xml"/><Relationship Id="rId78" Type="http://schemas.openxmlformats.org/officeDocument/2006/relationships/hyperlink" Target="https://www.era.europa.eu/system/files/2024-04/DK-10283%20-%202022-34%20Report%20Ejby%20wheel%20failure_%20EN.pdf" TargetMode="External"/><Relationship Id="rId99" Type="http://schemas.openxmlformats.org/officeDocument/2006/relationships/hyperlink" Target="https://www.era.europa.eu/system/files/2024-06/AT-10408%20-%20final%20%20795.406%20UB%201.0.pdf" TargetMode="External"/><Relationship Id="rId101" Type="http://schemas.openxmlformats.org/officeDocument/2006/relationships/hyperlink" Target="https://www.era.europa.eu/system/files/2024-06/CZ-10429%20-%20Final_report_Bozice_u_Znojma_P7118.pdf" TargetMode="External"/><Relationship Id="rId122" Type="http://schemas.openxmlformats.org/officeDocument/2006/relationships/hyperlink" Target="https://www.era.europa.eu/system/files/2024-08/RO-10435%20-%20RI%20Dumbraveni%2005%2008%202024%20final%20transmis.pdf" TargetMode="External"/><Relationship Id="rId143" Type="http://schemas.openxmlformats.org/officeDocument/2006/relationships/hyperlink" Target="https://www.era.europa.eu/system/files/2024-10/no-10452%20-%202024-05%20dunderland-bolna.pdf" TargetMode="External"/><Relationship Id="rId164" Type="http://schemas.openxmlformats.org/officeDocument/2006/relationships/hyperlink" Target="https://www.era.europa.eu/system/files/2023-07/BG-10353%20-%20Final%20report%2044169_NIB%20%2801%29.pdf" TargetMode="External"/><Relationship Id="rId185" Type="http://schemas.openxmlformats.org/officeDocument/2006/relationships/hyperlink" Target="https://www.era.europa.eu/sites/default/files/2025-07/de-10502%20final%20report%20v1.0%20trains%20collision%20lauenbr%C3%BCck%2015112023.pdf" TargetMode="External"/><Relationship Id="rId9" Type="http://schemas.openxmlformats.org/officeDocument/2006/relationships/hyperlink" Target="DE-917-Rheydt-Gbf.pdf" TargetMode="External"/><Relationship Id="rId210" Type="http://schemas.openxmlformats.org/officeDocument/2006/relationships/hyperlink" Target="https://www.era.europa.eu/sites/default/files/2025-01/250121_final_report_havlickuv_brod_240216.pdf" TargetMode="External"/><Relationship Id="rId26" Type="http://schemas.openxmlformats.org/officeDocument/2006/relationships/hyperlink" Target="https://www.era.europa.eu/system/files/2023-12/IT-10335%20-%20Relazione%20finale_Pompei_07-11-2022_pubblica.pdf" TargetMode="External"/><Relationship Id="rId231" Type="http://schemas.openxmlformats.org/officeDocument/2006/relationships/hyperlink" Target="https://www.era.europa.eu/era-folder/be-10557" TargetMode="External"/><Relationship Id="rId252" Type="http://schemas.openxmlformats.org/officeDocument/2006/relationships/hyperlink" Target="https://www.era.europa.eu/sites/default/files/2025-10/final_report_kolin_cz-10345.pdf" TargetMode="External"/><Relationship Id="rId273" Type="http://schemas.openxmlformats.org/officeDocument/2006/relationships/hyperlink" Target="https://www.era.europa.eu/sites/default/files/2025-10/final_report_holubice_cz-10570.pdf" TargetMode="External"/><Relationship Id="rId294" Type="http://schemas.openxmlformats.org/officeDocument/2006/relationships/hyperlink" Target="https://www.era.europa.eu/sites/default/files/2025-12/nl-10606%20-%20overwegaanrijding%20hooge%20zwaluwe%20dt.pdf" TargetMode="External"/><Relationship Id="rId308" Type="http://schemas.openxmlformats.org/officeDocument/2006/relationships/hyperlink" Target="https://www.era.europa.eu/sites/default/files/2026-01/ro-10646%20-%20final%20report%2C%20ri%20orbeni%20faraoani%2017%2001%202025%20final%20transmis.pdf" TargetMode="External"/><Relationship Id="rId329" Type="http://schemas.openxmlformats.org/officeDocument/2006/relationships/hyperlink" Target="https://www.era.europa.eu/sites/default/files/2026-03/hr-10674%20-%20final%20report%20kona%C4%8Dno%20izvje%C5%A1%C4%87e%20lupoglav%2019.03.2025.%20web.pdf" TargetMode="External"/><Relationship Id="rId47" Type="http://schemas.openxmlformats.org/officeDocument/2006/relationships/hyperlink" Target="https://www.era.europa.eu/system/files/2024-02/AT-5618%20-%20795.390_UB_1.0.pdf" TargetMode="External"/><Relationship Id="rId68" Type="http://schemas.openxmlformats.org/officeDocument/2006/relationships/hyperlink" Target="https://www.era.europa.eu/system/files/2024-03/RO-10390%20-%20RI%20Rosiori%20Nord%2013%2003%202023%20final%20transmis.pdf" TargetMode="External"/><Relationship Id="rId89" Type="http://schemas.openxmlformats.org/officeDocument/2006/relationships/hyperlink" Target="https://www.era.europa.eu/system/files/2024-05/ES-10383%20-%202023-11-0130-IF.pdf" TargetMode="External"/><Relationship Id="rId112" Type="http://schemas.openxmlformats.org/officeDocument/2006/relationships/hyperlink" Target="https://www.era.europa.eu/system/files/2024-07/CH-10119%20-%202020101901_EB_SB-EU_Basel_Gefahrgutereignis_V7_1_D_lus.pdf" TargetMode="External"/><Relationship Id="rId133" Type="http://schemas.openxmlformats.org/officeDocument/2006/relationships/hyperlink" Target="https://www.era.europa.eu/system/files/2024-09/pl-10444%20-%20report_pkbwk_06_2024_en.pdf" TargetMode="External"/><Relationship Id="rId154" Type="http://schemas.openxmlformats.org/officeDocument/2006/relationships/hyperlink" Target="https://www.era.europa.eu/system/files/2024-11/ro-10478%20-%20ri%20todireni%20trusesti%2027%2011%202023%20final%20transmis.pdf" TargetMode="External"/><Relationship Id="rId175" Type="http://schemas.openxmlformats.org/officeDocument/2006/relationships/hyperlink" Target="https://www.era.europa.eu/sites/default/files/2025-06/de-10412%20final%20report%20v1.0%20accident%20to%20persons%20h%C3%BCrth-kalscheuren%20040523.pdf" TargetMode="External"/><Relationship Id="rId196" Type="http://schemas.openxmlformats.org/officeDocument/2006/relationships/hyperlink" Target="https://www.era.europa.eu/sites/default/files/2025-01/ri%20popesti%20valcea%20babeni%2010%2001%202024%20final%20transmis.pdf" TargetMode="External"/><Relationship Id="rId200" Type="http://schemas.openxmlformats.org/officeDocument/2006/relationships/hyperlink" Target="https://www.era.europa.eu/sites/default/files/2025-03/ri%20zoita%20ramnicu%20sarat%2013%2003%202024%20final%20transmis.pdf" TargetMode="External"/><Relationship Id="rId16" Type="http://schemas.openxmlformats.org/officeDocument/2006/relationships/hyperlink" Target="https://www.era.europa.eu/system/files/2023-11/CZ-10332%20-%20Final_Report_M%C4%9Bln%C3%ADk_CZ-10332.pdf" TargetMode="External"/><Relationship Id="rId221" Type="http://schemas.openxmlformats.org/officeDocument/2006/relationships/hyperlink" Target="https://www.era.europa.eu/sites/default/files/2025-04/summary%20dk-10580%2C%20svejb%C3%A6k-laven%2C%20collision%20with%20a%20tractor%20%2814-06-2024%29.pdf" TargetMode="External"/><Relationship Id="rId242" Type="http://schemas.openxmlformats.org/officeDocument/2006/relationships/hyperlink" Target="https://www.era.europa.eu/sites/default/files/2025-08/795.408_ub%201.0_optimized.pdf" TargetMode="External"/><Relationship Id="rId263" Type="http://schemas.openxmlformats.org/officeDocument/2006/relationships/hyperlink" Target="https://www.era.europa.eu/sites/default/files/2025-01/ri%20mogoseni%20beclean%20pe%20somes%2023%2001%202024%20final%20transmis.pdf" TargetMode="External"/><Relationship Id="rId284" Type="http://schemas.openxmlformats.org/officeDocument/2006/relationships/hyperlink" Target="https://www.era.europa.eu/sites/default/files/2025-11/final%20report_nib%20bg_sprm%20kmz-svch.pdf" TargetMode="External"/><Relationship Id="rId319" Type="http://schemas.openxmlformats.org/officeDocument/2006/relationships/hyperlink" Target="https://www.era.europa.eu/sites/default/files/2026-02/cz-10651%20-%20260209_final_report_ostrava-bartovice_250204.pdf" TargetMode="External"/><Relationship Id="rId37" Type="http://schemas.openxmlformats.org/officeDocument/2006/relationships/hyperlink" Target="https://www.era.europa.eu/system/files/2023-12/CZ-10417%20-%20231217_final_report_Bystrice_pod_Hostynem_Holesov.pdf" TargetMode="External"/><Relationship Id="rId58" Type="http://schemas.openxmlformats.org/officeDocument/2006/relationships/hyperlink" Target="https://www.era.europa.eu/system/files/2024-02/DK-10419%20-%20Serious%20accident%20ID%20DK-10419%20Eskilstrup%20%20Person%20struck%20by%20train%20%2822-05-2023%29.pdf" TargetMode="External"/><Relationship Id="rId79" Type="http://schemas.openxmlformats.org/officeDocument/2006/relationships/hyperlink" Target="https://www.era.europa.eu/system/files/2024-04/CZ-10200%20-%20Final_report_Skaly_CZ-10200.pdf" TargetMode="External"/><Relationship Id="rId102" Type="http://schemas.openxmlformats.org/officeDocument/2006/relationships/hyperlink" Target="https://www.era.europa.eu/system/files/2024-06/HR-10428%20-%20KI%20incident%20izbjegnut%20sudar%20Su%C5%A1ak%20Pe%C4%87ine%20%20%20%2022.06.2023._.pdf" TargetMode="External"/><Relationship Id="rId123" Type="http://schemas.openxmlformats.org/officeDocument/2006/relationships/hyperlink" Target="https://www.era.europa.eu/system/files/2024-08/RO-10438%20-%20RI%20Catusa%2009%2008%202023%20final%20transmis.pdf" TargetMode="External"/><Relationship Id="rId144" Type="http://schemas.openxmlformats.org/officeDocument/2006/relationships/hyperlink" Target="https://www.era.europa.eu/system/files/2024-10/dk-10487%20-%202023-603%20statement%20personp%C3%A5k%C3%B8rsel%20mellem%20nordhavnen%20og%20svanem%C3%B8llen%20personp%C3%A5k%C3%B8rsel%20%2803-12-2023%29.pdf" TargetMode="External"/><Relationship Id="rId330" Type="http://schemas.openxmlformats.org/officeDocument/2006/relationships/hyperlink" Target="https://www.era.europa.eu/sites/default/files/2026-03/at-10679%20-%20final%20report%20795.411_ub_1.0_optimized.pdf" TargetMode="External"/><Relationship Id="rId90" Type="http://schemas.openxmlformats.org/officeDocument/2006/relationships/hyperlink" Target="https://www.era.europa.eu/system/files/2024-05/CZ-10450%20-%20240513_final_report_Bezdecin.pdf" TargetMode="External"/><Relationship Id="rId165" Type="http://schemas.openxmlformats.org/officeDocument/2006/relationships/hyperlink" Target="https://www.era.europa.eu/system/files/2023-08/CZ-10359%20-%20Final_report_Mirovice_Cimelice_CZ-10359.pdf" TargetMode="External"/><Relationship Id="rId186" Type="http://schemas.openxmlformats.org/officeDocument/2006/relationships/hyperlink" Target="https://www.era.europa.eu/sites/default/files/2025-02/relazione%20finale_thurio_28-11-2023_pubblica.pdf" TargetMode="External"/><Relationship Id="rId211" Type="http://schemas.openxmlformats.org/officeDocument/2006/relationships/hyperlink" Target="https://www.era.europa.eu/sites/default/files/2025-01/final_report_cermna_nad_orlici_borohradek.pdf" TargetMode="External"/><Relationship Id="rId232" Type="http://schemas.openxmlformats.org/officeDocument/2006/relationships/hyperlink" Target="https://www.era.europa.eu/sites/default/files/2025-08/verslag%20schaerbeek.pdf" TargetMode="External"/><Relationship Id="rId253" Type="http://schemas.openxmlformats.org/officeDocument/2006/relationships/hyperlink" Target="https://www.era.europa.eu/sites/default/files/2025-10/250930_final_report_hostivice_241203.pdf" TargetMode="External"/><Relationship Id="rId274" Type="http://schemas.openxmlformats.org/officeDocument/2006/relationships/hyperlink" Target="https://www.era.europa.eu/sites/default/files/2025-10/de-10308%20final%20report%20v1.0%20train%20collision%20bft%20seelze%20ost%2009072022.pdf" TargetMode="External"/><Relationship Id="rId295" Type="http://schemas.openxmlformats.org/officeDocument/2006/relationships/hyperlink" Target="https://www.era.europa.eu/sites/default/files/2025-12/hr-10494%20-%20interim%20report%202%20privremena%20izjava.pdf" TargetMode="External"/><Relationship Id="rId309" Type="http://schemas.openxmlformats.org/officeDocument/2006/relationships/hyperlink" Target="https://www.era.europa.eu/sites/default/files/2026-01/cz-10652%20-%20final_report_ceska_trebova_cz-10652_0.pdf" TargetMode="External"/><Relationship Id="rId27" Type="http://schemas.openxmlformats.org/officeDocument/2006/relationships/hyperlink" Target="https://www.era.europa.eu/system/files/2023-12/PT-10369%20-%20RI2023_01.pdf" TargetMode="External"/><Relationship Id="rId48" Type="http://schemas.openxmlformats.org/officeDocument/2006/relationships/hyperlink" Target="https://www.era.europa.eu/system/files/2024-02/RO-10365%20-%20RI%20Bucurestii%20Noi%2026%2001%202023%20final%20transmis.pdf" TargetMode="External"/><Relationship Id="rId69" Type="http://schemas.openxmlformats.org/officeDocument/2006/relationships/hyperlink" Target="https://www.era.europa.eu/system/files/2024-03/CZ-10396%20-%20Final_report_Vlastec_II_CZ-10396.pdf" TargetMode="External"/><Relationship Id="rId113" Type="http://schemas.openxmlformats.org/officeDocument/2006/relationships/hyperlink" Target="https://www.era.europa.eu/system/files/2024-07/CZ-10194%20-%20Final_report_Zdarec_Hlinsko.pdf" TargetMode="External"/><Relationship Id="rId134" Type="http://schemas.openxmlformats.org/officeDocument/2006/relationships/hyperlink" Target="https://www.era.europa.eu/system/files/2024-09/ro-10447%20-%20ri%20les%20bihor%20oradea%20vest%2001%2009%202023%20final%20transmis.pdf" TargetMode="External"/><Relationship Id="rId320" Type="http://schemas.openxmlformats.org/officeDocument/2006/relationships/hyperlink" Target="https://www.era.europa.eu/sites/default/files/2026-02/no-10625%20-%20final%20report%2C%202025-02%20avsporing%20nygata%20x%20storgata%20%281%29.pdf" TargetMode="External"/><Relationship Id="rId80" Type="http://schemas.openxmlformats.org/officeDocument/2006/relationships/hyperlink" Target="https://www.era.europa.eu/system/files/2024-04/HU-10178%20-%202022-0048-5_zj_EN_EN_BT.docx" TargetMode="External"/><Relationship Id="rId155" Type="http://schemas.openxmlformats.org/officeDocument/2006/relationships/hyperlink" Target="https://www.era.europa.eu/system/files/2024-11/at-5425%20-%20170823_bf_linz_795388_ub%20%282%29.pdf" TargetMode="External"/><Relationship Id="rId176" Type="http://schemas.openxmlformats.org/officeDocument/2006/relationships/hyperlink" Target="https://www.era.europa.eu/sites/default/files/2024-12/2023-0439-5_zj_en.pdf" TargetMode="External"/><Relationship Id="rId197" Type="http://schemas.openxmlformats.org/officeDocument/2006/relationships/hyperlink" Target="https://www.era.europa.eu/sites/default/files/2025-01/ri%20leu%2016%20%2001%202024%20final%20transmis.pdf" TargetMode="External"/><Relationship Id="rId201" Type="http://schemas.openxmlformats.org/officeDocument/2006/relationships/hyperlink" Target="https://www.era.europa.eu/sites/default/files/2025-04/ri%20berbesti%20popesti%20valcea%2026%2003%202024%20final%20transmis.pdf" TargetMode="External"/><Relationship Id="rId222" Type="http://schemas.openxmlformats.org/officeDocument/2006/relationships/hyperlink" Target="https://www.era.europa.eu/sites/default/files/2025-07/dk-10586%2C%20summary%2C%20conclusions%20and%20recommendation%2C%202024-370%2C%20personp%C3%A5k%C3%B8rsel%20i%20overk%C3%B8rsel%20i%20ruds%20vedby%20%2821-07-2024%29.pdf" TargetMode="External"/><Relationship Id="rId243" Type="http://schemas.openxmlformats.org/officeDocument/2006/relationships/hyperlink" Target="https://havarikommissionen.dk/undersoegelsesresultater/soeg-i-jernbane/2025/statement-2024-348" TargetMode="External"/><Relationship Id="rId264" Type="http://schemas.openxmlformats.org/officeDocument/2006/relationships/hyperlink" Target="https://www.era.europa.eu/sites/default/files/2025-03/ri%20metrorex%20timpuri%20noi%20%2027%2002%202024%20final%20transmis.pdf" TargetMode="External"/><Relationship Id="rId285" Type="http://schemas.openxmlformats.org/officeDocument/2006/relationships/hyperlink" Target="https://www.era.europa.eu/era-folder/fi-10631" TargetMode="External"/><Relationship Id="rId17" Type="http://schemas.openxmlformats.org/officeDocument/2006/relationships/hyperlink" Target="https://www.era.europa.eu/system/files/2023-11/CZ-10373-%20Final_Report_Cesky_Tesin_CZ-10373.pdf" TargetMode="External"/><Relationship Id="rId38" Type="http://schemas.openxmlformats.org/officeDocument/2006/relationships/hyperlink" Target="https://www.era.europa.eu/system/files/2024-01/PL-10357%20-%20Report_PKBWK_4_2023_EN.pdf" TargetMode="External"/><Relationship Id="rId59" Type="http://schemas.openxmlformats.org/officeDocument/2006/relationships/hyperlink" Target="https://www.era.europa.eu/system/files/2024-02/PL-10379%20-%20Report%202%202024_EN.pdf" TargetMode="External"/><Relationship Id="rId103" Type="http://schemas.openxmlformats.org/officeDocument/2006/relationships/hyperlink" Target="https://www.era.europa.eu/era-folder/fi-10451" TargetMode="External"/><Relationship Id="rId124" Type="http://schemas.openxmlformats.org/officeDocument/2006/relationships/hyperlink" Target="https://www.era.europa.eu/system/files/2024-08/DK-10465%20-%202023-422%20Redeg%C3%B8relse%20Aarhus%20Letbane%20Personp%C3%A5k%C3%B8rsel%20%2817-08-2023%29.pdf" TargetMode="External"/><Relationship Id="rId310" Type="http://schemas.openxmlformats.org/officeDocument/2006/relationships/hyperlink" Target="https://www.era.europa.eu/sites/default/files/2026-01/lv-10540%20-%20final%20report%2C%20zinojums%20nr.5-02-1-24-skirotava.pdf" TargetMode="External"/><Relationship Id="rId70" Type="http://schemas.openxmlformats.org/officeDocument/2006/relationships/hyperlink" Target="https://www.era.europa.eu/system/files/2024-03/HU-10322%20-%202022-1166-5_zj_EN.pdf" TargetMode="External"/><Relationship Id="rId91" Type="http://schemas.openxmlformats.org/officeDocument/2006/relationships/hyperlink" Target="https://www.era.europa.eu/system/files/2024-05/RO-10411%20-%20RI%20Toporu%2017%2005%202023%20final%20transmis.pdf" TargetMode="External"/><Relationship Id="rId145" Type="http://schemas.openxmlformats.org/officeDocument/2006/relationships/hyperlink" Target="https://www.era.europa.eu/system/files/2024-10/se-10437%20-%20final%20report%20shk%202024_14%20slutrapport%20-%20iggesund.pdf" TargetMode="External"/><Relationship Id="rId166" Type="http://schemas.openxmlformats.org/officeDocument/2006/relationships/hyperlink" Target="https://www.era.europa.eu/system/files/2023-07/DK-10363%20-%202023-63%3B%20Statement%20Ejby%20personp%C3%A5k%C3%B8rsel%20%2819-01-2023%29.pdf" TargetMode="External"/><Relationship Id="rId187" Type="http://schemas.openxmlformats.org/officeDocument/2006/relationships/hyperlink" Target="https://www.era.europa.eu/sites/default/files/2025-06/report%20no%20pkbwk%203_2025_en%20%281%29.pdf" TargetMode="External"/><Relationship Id="rId331" Type="http://schemas.openxmlformats.org/officeDocument/2006/relationships/hyperlink" Target="https://www.era.europa.eu/sites/default/files/2026-03/ro-10667%20-%20final%20report%2C%20ri%20tileagd%20osorhei%2016%2003%202025%20final%20transmis.pdf" TargetMode="External"/><Relationship Id="rId1" Type="http://schemas.openxmlformats.org/officeDocument/2006/relationships/hyperlink" Target="http://erail.era.europa.eu/recommendations.aspx?sfn=AT-6365&amp;sr=6&amp;public=1" TargetMode="External"/><Relationship Id="rId212" Type="http://schemas.openxmlformats.org/officeDocument/2006/relationships/hyperlink" Target="https://www.era.europa.eu/sites/default/files/2025-08/final_report_milovice.pdf" TargetMode="External"/><Relationship Id="rId233" Type="http://schemas.openxmlformats.org/officeDocument/2006/relationships/hyperlink" Target="https://www.era.europa.eu/sites/default/files/2025-07/de-10525%20final%20report%20v1.0%20trains%20collision%20near%20miss%20bruchk%C3%B6bel-nidderau%2010022024.pdf" TargetMode="External"/><Relationship Id="rId254" Type="http://schemas.openxmlformats.org/officeDocument/2006/relationships/hyperlink" Target="https://www.era.europa.eu/sites/default/files/2025-10/250930_final_report_praha-radotin_dobrichovice_240822.pdf" TargetMode="External"/><Relationship Id="rId28" Type="http://schemas.openxmlformats.org/officeDocument/2006/relationships/hyperlink" Target="https://www.era.europa.eu/system/files/2023-12/HU-10336%20-%202022-1289-5_zj_EN.pdf" TargetMode="External"/><Relationship Id="rId49" Type="http://schemas.openxmlformats.org/officeDocument/2006/relationships/hyperlink" Target="https://www.era.europa.eu/system/files/2024-02/PL-10366%20-%20Report%20PKBWK%201%202024_EN.docx.pdf" TargetMode="External"/><Relationship Id="rId114" Type="http://schemas.openxmlformats.org/officeDocument/2006/relationships/hyperlink" Target="https://www.era.europa.eu/system/files/2024-07/DK-10466%20-%20Redeg%C3%B8relse%20Holmstrup-Tommerup%20Person%20faldet%20af%20tog%20%2810-09-2023%29.pdf" TargetMode="External"/><Relationship Id="rId275" Type="http://schemas.openxmlformats.org/officeDocument/2006/relationships/hyperlink" Target="https://www.era.europa.eu/sites/default/files/2025-10/de-10746%20intermediate%20report%20v1.0%20train%20derailment%20at%20bergheim%20westf.%2019102024.pdf" TargetMode="External"/><Relationship Id="rId296" Type="http://schemas.openxmlformats.org/officeDocument/2006/relationships/hyperlink" Target="https://www.era.europa.eu/sites/default/files/2025-12/dk-10640%20-%20final%20report%202024-650%2C%20passenger%20trapped%20in%20door%20and%20pulled%20under%20train.pdf" TargetMode="External"/><Relationship Id="rId300" Type="http://schemas.openxmlformats.org/officeDocument/2006/relationships/hyperlink" Target="https://www.era.europa.eu/sites/default/files/2026-01/de-10316%20final%20report%20v1.0%20train%20collision%20bf%20dreileben-drackenstedt%2020201016.pdf" TargetMode="External"/><Relationship Id="rId60" Type="http://schemas.openxmlformats.org/officeDocument/2006/relationships/hyperlink" Target="https://www.era.europa.eu/system/files/2024-02/PL-10416%20-%20Report%203%202024_EN.pdf" TargetMode="External"/><Relationship Id="rId81" Type="http://schemas.openxmlformats.org/officeDocument/2006/relationships/hyperlink" Target="https://www.era.europa.eu/system/files/2024-04/HU-10184%20-%202022-0075-5_zj_EN_EN_BT.docx" TargetMode="External"/><Relationship Id="rId135" Type="http://schemas.openxmlformats.org/officeDocument/2006/relationships/hyperlink" Target="https://www.era.europa.eu/system/files/2024-09/pl-10422%20-%20report%20no.%20pkbwk%205_2024_en.pdf" TargetMode="External"/><Relationship Id="rId156" Type="http://schemas.openxmlformats.org/officeDocument/2006/relationships/hyperlink" Target="https://www.era.europa.eu/system/files/2024-11/cz-10427%20-%20241118_final_report_usti_nad_labem_sever.pdf" TargetMode="External"/><Relationship Id="rId177" Type="http://schemas.openxmlformats.org/officeDocument/2006/relationships/hyperlink" Target="https://www.era.europa.eu/sites/default/files/2025-05/final%20_report_mnisek_liberec_cz-10424.pdf" TargetMode="External"/><Relationship Id="rId198" Type="http://schemas.openxmlformats.org/officeDocument/2006/relationships/hyperlink" Target="https://www.era.europa.eu/sites/default/files/2025-02/ri%20pantelimon%2007%2002%202024%20final%20transmis%20%281%29.pdf" TargetMode="External"/><Relationship Id="rId321" Type="http://schemas.openxmlformats.org/officeDocument/2006/relationships/hyperlink" Target="https://www.era.europa.eu/sites/default/files/2026-02/no-10527%20-%20final%20report%2C%202025-01%20ekebergbanen.pdf" TargetMode="External"/><Relationship Id="rId202" Type="http://schemas.openxmlformats.org/officeDocument/2006/relationships/hyperlink" Target="https://www.era.europa.eu/sites/default/files/2025-05/ri%20santana%20utvinisu%20nou%2021%2004%202024%20final%20transmis.pdf" TargetMode="External"/><Relationship Id="rId223" Type="http://schemas.openxmlformats.org/officeDocument/2006/relationships/hyperlink" Target="https://www.era.europa.eu/sites/default/files/2025-09/dk-10619%2C%20summary%2C%20conclusions%20and%20recommendation%2C%202024-463%2C%20person%20struck%20by%20rs%20in%20motion%2C%20saksk%C3%B8bing%20%2809-09-2024%29.pdf" TargetMode="External"/><Relationship Id="rId244" Type="http://schemas.openxmlformats.org/officeDocument/2006/relationships/hyperlink" Target="https://www.era.europa.eu/sites/default/files/2025-09/dk-10615%2C%20summary%2C%20conclusions%20and%20recommendation%2C%202024-472%2C%20near%20miss%20track%20workers%20near%20slagelse%20%20%2813-09-2024%29.pdf" TargetMode="External"/><Relationship Id="rId18" Type="http://schemas.openxmlformats.org/officeDocument/2006/relationships/hyperlink" Target="https://www.era.europa.eu/system/files/2023-11/RO-10333%20-%20RI%20Popesti%20Valcea%20Berbesti%2013%2011%202022%20final%20transmis.pdf" TargetMode="External"/><Relationship Id="rId39" Type="http://schemas.openxmlformats.org/officeDocument/2006/relationships/hyperlink" Target="https://www.era.europa.eu/system/files/2024-01/HR-10342%20-%20Kona%C4%8Dno%20izvje%C5%A1%C4%87e%20%C5%A0krljevo14.11.2022%20z.pdf" TargetMode="External"/><Relationship Id="rId265" Type="http://schemas.openxmlformats.org/officeDocument/2006/relationships/hyperlink" Target="https://www.era.europa.eu/sites/default/files/2025-03/final_report_roznov_stritez_cz-10531.pdf" TargetMode="External"/><Relationship Id="rId286" Type="http://schemas.openxmlformats.org/officeDocument/2006/relationships/hyperlink" Target="https://www.era.europa.eu/sites/default/files/2025-11/relazione%20di%20indagine_parma_11-07-2024.pdf" TargetMode="External"/><Relationship Id="rId50" Type="http://schemas.openxmlformats.org/officeDocument/2006/relationships/hyperlink" Target="https://www.era.europa.eu/system/files/2023-07/DE-6099%20-%20K%C3%B6ln%20Bonntor%20%20K%C3%B6ln%20S%C3%BCd.pdf" TargetMode="External"/><Relationship Id="rId104" Type="http://schemas.openxmlformats.org/officeDocument/2006/relationships/hyperlink" Target="https://www.era.europa.eu/system/files/2024-06/DK-10453%20-%202023-482%20Statement%20K%C3%B8ge%20Personp%C3%A5k%C3%B8rsel%20%2824-09-2023%29.pdf" TargetMode="External"/><Relationship Id="rId125" Type="http://schemas.openxmlformats.org/officeDocument/2006/relationships/hyperlink" Target="https://www.era.europa.eu/system/files/2024-08/BE-10439%20-%20rapport%20Qu%C3%A9vy.pdf" TargetMode="External"/><Relationship Id="rId146" Type="http://schemas.openxmlformats.org/officeDocument/2006/relationships/hyperlink" Target="https://www.era.europa.eu/system/files/2024-10/cz-10473%20-%20final_report_pelhrimov.pdf" TargetMode="External"/><Relationship Id="rId167" Type="http://schemas.openxmlformats.org/officeDocument/2006/relationships/hyperlink" Target="https://www.era.europa.eu/sites/default/files/2025-01/795.405_ub_1.0_optimized.pdf" TargetMode="External"/><Relationship Id="rId188" Type="http://schemas.openxmlformats.org/officeDocument/2006/relationships/hyperlink" Target="https://www.era.europa.eu/sites/default/files/2025-09/2023-457%2C%20summary%2C%20conclusions%20and%20recommendations.pdf" TargetMode="External"/><Relationship Id="rId311" Type="http://schemas.openxmlformats.org/officeDocument/2006/relationships/hyperlink" Target="https://www.era.europa.eu/sites/default/files/2026-02/pl-10680%20-%20final%20report%20-%20report%20pkbwk%2008%202025_en.pdf" TargetMode="External"/><Relationship Id="rId332" Type="http://schemas.openxmlformats.org/officeDocument/2006/relationships/hyperlink" Target="https://www.era.europa.eu/sites/default/files/2026-03/sk-10754%20-%20z%C3%A1vere%C4%8Dn%C3%A1%20spr%C3%A1va%20z%20vy%C5%A1etrovania%20v%C3%A1%C5%BEnej%20nehody%20-%20pezinok.pdf" TargetMode="External"/><Relationship Id="rId71" Type="http://schemas.openxmlformats.org/officeDocument/2006/relationships/hyperlink" Target="https://www.era.europa.eu/system/files/2024-03/HU-10242%20-%202022-0629-5_zj_EN.pdf" TargetMode="External"/><Relationship Id="rId92" Type="http://schemas.openxmlformats.org/officeDocument/2006/relationships/hyperlink" Target="https://www.era.europa.eu/system/files/2024-05/NL-10405%20-%20Final%20report_0.pdf" TargetMode="External"/><Relationship Id="rId213" Type="http://schemas.openxmlformats.org/officeDocument/2006/relationships/hyperlink" Target="https://www.era.europa.eu/sites/default/files/2025-02/final_report_chrudim_cz-10565.pdf" TargetMode="External"/><Relationship Id="rId234" Type="http://schemas.openxmlformats.org/officeDocument/2006/relationships/hyperlink" Target="https://www.era.europa.eu/sites/default/files/2025-07/de-10610%20final%20report%20v1.0%20accident%20to%20person%20bf%20eberbach%2020240723.pdf" TargetMode="External"/><Relationship Id="rId2" Type="http://schemas.openxmlformats.org/officeDocument/2006/relationships/hyperlink" Target="http://erail.era.europa.eu/recommendations.aspx?sfn=CZ-6364&amp;sr=12&amp;public=1" TargetMode="External"/><Relationship Id="rId29" Type="http://schemas.openxmlformats.org/officeDocument/2006/relationships/hyperlink" Target="https://www.era.europa.eu/system/files/2023-12/DE-5705%20Final%20Report%20Oberhausen_West.pdf" TargetMode="External"/><Relationship Id="rId255" Type="http://schemas.openxmlformats.org/officeDocument/2006/relationships/hyperlink" Target="https://www.era.europa.eu/sites/default/files/2025-10/ri%20tamna%20igiroasa%2005%2011%202024%20final%20transmis.pdf" TargetMode="External"/><Relationship Id="rId276" Type="http://schemas.openxmlformats.org/officeDocument/2006/relationships/hyperlink" Target="https://www.era.europa.eu/sites/default/files/2025-11/relazione_indagine_domo2_22-11-2023_publica.pdf" TargetMode="External"/><Relationship Id="rId297" Type="http://schemas.openxmlformats.org/officeDocument/2006/relationships/hyperlink" Target="https://www.era.europa.eu/sites/default/files/2025-12/dk-10632%20-%20final%20report%202024-562%2C%20k%C3%B8ge%20n%2C%20d%C3%B8r%20sprang%20op%20under%20k%C3%B8rsel%20%2830-11-2024%29.pdf" TargetMode="External"/><Relationship Id="rId40" Type="http://schemas.openxmlformats.org/officeDocument/2006/relationships/hyperlink" Target="https://www.era.europa.eu/system/files/2024-01/HR-10361%20-Kona%C4%8Dno%20nesre%C4%87a%20Pula%20nalet%20%2014.01.2023.%20objava_.pdf" TargetMode="External"/><Relationship Id="rId115" Type="http://schemas.openxmlformats.org/officeDocument/2006/relationships/hyperlink" Target="https://www.era.europa.eu/system/files/2024-07/DE-10040%20final%20report%20train%20collision%20Fallersleben%2031032021.pdf" TargetMode="External"/><Relationship Id="rId136" Type="http://schemas.openxmlformats.org/officeDocument/2006/relationships/hyperlink" Target="https://www.era.europa.eu/system/files/2024-09/cz-10376%20-%20final_report_cervenka_stepanov.pdf" TargetMode="External"/><Relationship Id="rId157" Type="http://schemas.openxmlformats.org/officeDocument/2006/relationships/hyperlink" Target="https://www.era.europa.eu/system/files/2024-11/ro-10484%20-%20ri%20capu%20midia%2001%2012%202023%20final%20transmis.pdf" TargetMode="External"/><Relationship Id="rId178" Type="http://schemas.openxmlformats.org/officeDocument/2006/relationships/hyperlink" Target="https://www.era.europa.eu/sites/default/files/2025-03/beatt_2023_07_nuits_rapport.pdf" TargetMode="External"/><Relationship Id="rId301" Type="http://schemas.openxmlformats.org/officeDocument/2006/relationships/hyperlink" Target="https://www.era.europa.eu/sites/default/files/2026-01/de-10197%20final%20report%20v1.0%20trains%20collision%20ebenhausen-schaeftlarn%2020220214_0.pdf" TargetMode="External"/><Relationship Id="rId322" Type="http://schemas.openxmlformats.org/officeDocument/2006/relationships/hyperlink" Target="https://www.era.europa.eu/sites/default/files/2026-02/ro-10663%20-%20final%20report%2C%20ri%20constan%C8%9Ba%20marfuri%2025%2002%202025%20final%20transmis.pdf" TargetMode="External"/><Relationship Id="rId61" Type="http://schemas.openxmlformats.org/officeDocument/2006/relationships/hyperlink" Target="https://www.era.europa.eu/system/files/2024-02/DE-10309%20Summary%20in%20english%20Train%20derailment%20K%C3%B6ln%20Eifeltor.pdf" TargetMode="External"/><Relationship Id="rId82" Type="http://schemas.openxmlformats.org/officeDocument/2006/relationships/hyperlink" Target="https://www.era.europa.eu/system/files/2024-04/HU-10240%20-%202022-0002-5_zj_EN_EN_BT.docx" TargetMode="External"/><Relationship Id="rId199" Type="http://schemas.openxmlformats.org/officeDocument/2006/relationships/hyperlink" Target="https://www.era.europa.eu/sites/default/files/2025-03/ri%20jirov%20%2001%2003%202024%20final%20transmis.pdf" TargetMode="External"/><Relationship Id="rId203" Type="http://schemas.openxmlformats.org/officeDocument/2006/relationships/hyperlink" Target="https://www.era.europa.eu/sites/default/files/2025-04/ri%20dorobantu%20basarabi%2015%2005%202025%20final%20transmis.pdf" TargetMode="External"/><Relationship Id="rId19" Type="http://schemas.openxmlformats.org/officeDocument/2006/relationships/hyperlink" Target="https://www.era.europa.eu/system/files/2023-11/SE-10343%20-%20SHK2023_13-Slutrapport-V%C3%A4r%C3%B6.pdf" TargetMode="External"/><Relationship Id="rId224" Type="http://schemas.openxmlformats.org/officeDocument/2006/relationships/hyperlink" Target="https://www.era.europa.eu/sites/default/files/2025-04/report%20no%20pkbwk%2001%202025_en.pdf" TargetMode="External"/><Relationship Id="rId245" Type="http://schemas.openxmlformats.org/officeDocument/2006/relationships/hyperlink" Target="https://www.era.europa.eu/sites/default/files/2025-09/ri%20valu%20lui%20traian%2007%2009%202024%20final%20transmis.pdf" TargetMode="External"/><Relationship Id="rId266" Type="http://schemas.openxmlformats.org/officeDocument/2006/relationships/hyperlink" Target="https://www.era.europa.eu/sites/default/files/2025-09/2024-0488-5_zj_en.pdf" TargetMode="External"/><Relationship Id="rId287" Type="http://schemas.openxmlformats.org/officeDocument/2006/relationships/hyperlink" Target="https://www.era.europa.eu/sites/default/files/2025-11/de-10624%20intermediate%20report%20v1.0%20fire%20in%20rs%20bf.%20ahrensfelde%2020241102.pdf" TargetMode="External"/><Relationship Id="rId30" Type="http://schemas.openxmlformats.org/officeDocument/2006/relationships/hyperlink" Target="https://www.era.europa.eu/system/files/2023-12/HU-10400%20-%202023-0366-5_zj_EN.pdf" TargetMode="External"/><Relationship Id="rId105" Type="http://schemas.openxmlformats.org/officeDocument/2006/relationships/hyperlink" Target="https://www.era.europa.eu/system/files/2024-06/AT-6217%20-%20190701_Kollision_Bf_Floridsdorf_795399_EUB%20%288%29_0.pdf" TargetMode="External"/><Relationship Id="rId126" Type="http://schemas.openxmlformats.org/officeDocument/2006/relationships/hyperlink" Target="https://www.era.europa.eu/system/files/2024-08/DK-10488%20-%202023-602%20Statement%20Ballerup-M%C3%A5l%C3%B8v%20personp%C3%A5k%C3%B8rsel.pdf" TargetMode="External"/><Relationship Id="rId147" Type="http://schemas.openxmlformats.org/officeDocument/2006/relationships/hyperlink" Target="https://www.era.europa.eu/system/files/2024-11/bg-10562%20-%20final%20report_30114_nib%20bg.pdf" TargetMode="External"/><Relationship Id="rId168" Type="http://schemas.openxmlformats.org/officeDocument/2006/relationships/hyperlink" Target="https://www.era.europa.eu/system/files/2023-08/CZ-10360%20-%20Final_report_Ostrava_Trebovice.pdf" TargetMode="External"/><Relationship Id="rId312" Type="http://schemas.openxmlformats.org/officeDocument/2006/relationships/hyperlink" Target="https://www.era.europa.eu/sites/default/files/2026-02/pl-10628%20-%20report%20pkbwk%2006%202025_en.pdf" TargetMode="External"/><Relationship Id="rId333" Type="http://schemas.openxmlformats.org/officeDocument/2006/relationships/hyperlink" Target="https://www.era.europa.eu/sites/default/files/2026-03/de-10768%20-%20interim%20statement%20intermediate%20report%20train%20derailment%20bf%20nordstemmen%20-%20bf%20elze%2023122025.pdf" TargetMode="External"/><Relationship Id="rId51" Type="http://schemas.openxmlformats.org/officeDocument/2006/relationships/hyperlink" Target="https://www.era.europa.eu/system/files/2024-02/DE-5660%20investigation%20report%20Train%20collision%20M%C3%BCnchen-Riem.pdf" TargetMode="External"/><Relationship Id="rId72" Type="http://schemas.openxmlformats.org/officeDocument/2006/relationships/hyperlink" Target="https://www.era.europa.eu/system/files/2024-03/IE-10404%20-%20230222%20Broken%20Rail%20Emly.pdf" TargetMode="External"/><Relationship Id="rId93" Type="http://schemas.openxmlformats.org/officeDocument/2006/relationships/hyperlink" Target="https://www.era.europa.eu/system/files/2024-05/HU-10324%20-%202022-1184-5_zj_EN.pdf" TargetMode="External"/><Relationship Id="rId189" Type="http://schemas.openxmlformats.org/officeDocument/2006/relationships/hyperlink" Target="https://www.era.europa.eu/sites/default/files/2024-12/ri%20beclean%20pe%20somes%2013%2012%202023%20final%20transmis.pdf" TargetMode="External"/><Relationship Id="rId3" Type="http://schemas.openxmlformats.org/officeDocument/2006/relationships/hyperlink" Target="http://erail.era.europa.eu/recommendations.aspx?sfn=CZ-6366&amp;sr=12&amp;public=1" TargetMode="External"/><Relationship Id="rId214" Type="http://schemas.openxmlformats.org/officeDocument/2006/relationships/hyperlink" Target="https://www.era.europa.eu/sites/default/files/2025-04/final_report_rychnov%20%281%29.pdf" TargetMode="External"/><Relationship Id="rId235" Type="http://schemas.openxmlformats.org/officeDocument/2006/relationships/hyperlink" Target="https://www.era.europa.eu/sites/default/files/2024-12/kona%C4%8Dno%20izvje%C5%A1%C4%87e%20nesre%C4%87a%20%C5%BEcp%20stare%20%20plavnice%20%20%2015.02.2024.%20web.pdf" TargetMode="External"/><Relationship Id="rId256" Type="http://schemas.openxmlformats.org/officeDocument/2006/relationships/hyperlink" Target="https://www.era.europa.eu/sites/default/files/2025-10/rapport%20bleret.pdf" TargetMode="External"/><Relationship Id="rId277" Type="http://schemas.openxmlformats.org/officeDocument/2006/relationships/hyperlink" Target="https://www.era.europa.eu/sites/default/files/2025-11/relazione_indagine_faenza_10-12-2023_pubblica.pdf" TargetMode="External"/><Relationship Id="rId298" Type="http://schemas.openxmlformats.org/officeDocument/2006/relationships/hyperlink" Target="https://www.era.europa.eu/sites/default/files/2025-12/ro-10659%20-%20final%20report%2C%20ri%20bicsadu%20oltului%2017%2002%202025%20final%20transmis.pdf" TargetMode="External"/><Relationship Id="rId116" Type="http://schemas.openxmlformats.org/officeDocument/2006/relationships/hyperlink" Target="https://www.era.europa.eu/system/files/2024-07/HR-10410%20-%20Final%20Report%20%20KONA%C4%8CNO%20izvje%C5%A1%C4%87e%20Andrijevci%20WEB.pdf" TargetMode="External"/><Relationship Id="rId137" Type="http://schemas.openxmlformats.org/officeDocument/2006/relationships/hyperlink" Target="https://www.era.europa.eu/system/files/2024-09/cz-10190%20-%20240912_final_report_decin_prostr_zleb.pdf" TargetMode="External"/><Relationship Id="rId158" Type="http://schemas.openxmlformats.org/officeDocument/2006/relationships/hyperlink" Target="https://www.era.europa.eu/system/files/2024-11/dk-10568%20-%202024-326%20summary%20en.pdf" TargetMode="External"/><Relationship Id="rId302" Type="http://schemas.openxmlformats.org/officeDocument/2006/relationships/hyperlink" Target="https://www.era.europa.eu/sites/default/files/2026-01/de-10636%20final%20report%20v1.1%20trains%20collision%20bf.%20dorsfeld%2020241122.pdf" TargetMode="External"/><Relationship Id="rId323" Type="http://schemas.openxmlformats.org/officeDocument/2006/relationships/hyperlink" Target="https://www.era.europa.eu/sites/default/files/2026-02/hu-10627%20-%202024-1172-5_zj.pdf" TargetMode="External"/><Relationship Id="rId20" Type="http://schemas.openxmlformats.org/officeDocument/2006/relationships/hyperlink" Target="https://www.era.europa.eu/system/files/2023-11/CZ-5978%20-%20Final_report_Hrivice_CZ-5978.pdf" TargetMode="External"/><Relationship Id="rId41" Type="http://schemas.openxmlformats.org/officeDocument/2006/relationships/hyperlink" Target="https://www.era.europa.eu/system/files/2024-01/RO-10348%20-%20RI%20Timisoara%20Est%20%2029%2012%202022%20final%20transmis.pdf" TargetMode="External"/><Relationship Id="rId62" Type="http://schemas.openxmlformats.org/officeDocument/2006/relationships/hyperlink" Target="https://www.era.europa.eu/system/files/2024-03/RO-10380%20-%20RI%20Zalau%20Nord%20Mirsid%2022%2002%202023%20final%20transmis.pdf" TargetMode="External"/><Relationship Id="rId83" Type="http://schemas.openxmlformats.org/officeDocument/2006/relationships/hyperlink" Target="https://www.era.europa.eu/system/files/2024-04/HU-10183%20-%202022-0107-5_zj_EN_EN_BT.docx" TargetMode="External"/><Relationship Id="rId179" Type="http://schemas.openxmlformats.org/officeDocument/2006/relationships/hyperlink" Target="https://www.era.europa.eu/sites/default/files/2025-06/2023081002_gbt_sb_d.pdf" TargetMode="External"/><Relationship Id="rId190" Type="http://schemas.openxmlformats.org/officeDocument/2006/relationships/hyperlink" Target="https://www.era.europa.eu/sites/default/files/2024-12/final_report_brumov%20%282%29.pdf" TargetMode="External"/><Relationship Id="rId204" Type="http://schemas.openxmlformats.org/officeDocument/2006/relationships/hyperlink" Target="https://www.era.europa.eu/sites/default/files/2025-05/ri%20ploiesti%20est%2008%2006%202024%20final%20transmis.pdf" TargetMode="External"/><Relationship Id="rId225" Type="http://schemas.openxmlformats.org/officeDocument/2006/relationships/hyperlink" Target="https://www.era.europa.eu/sites/default/files/2025-07/report%20pkbwk%2004%202025_en.pdf" TargetMode="External"/><Relationship Id="rId246" Type="http://schemas.openxmlformats.org/officeDocument/2006/relationships/hyperlink" Target="https://www.era.europa.eu/sites/default/files/2025-09/ri%20sag%2019%2009%202024%20final%20transmis%20%281%29.pdf" TargetMode="External"/><Relationship Id="rId267" Type="http://schemas.openxmlformats.org/officeDocument/2006/relationships/hyperlink" Target="https://www.era.europa.eu/sites/default/files/2025-05/2024-274%2C%20summary%2C%20conclusions%20and%20recommendation.pdf" TargetMode="External"/><Relationship Id="rId288" Type="http://schemas.openxmlformats.org/officeDocument/2006/relationships/hyperlink" Target="https://www.era.europa.eu/sites/default/files/2025-11/de-10503%20interim%20statement%20intermediate%20report%20v2.0%20trains%20collision%20reichertshausen%2017112023_0.pdf" TargetMode="External"/><Relationship Id="rId106" Type="http://schemas.openxmlformats.org/officeDocument/2006/relationships/hyperlink" Target="https://www.era.europa.eu/system/files/2024-06/BG-10472%20-%20Final%20report%20IP4IL_NIB%20BG.pdf" TargetMode="External"/><Relationship Id="rId127" Type="http://schemas.openxmlformats.org/officeDocument/2006/relationships/hyperlink" Target="https://www.era.europa.eu/system/files/2024-08/RO-10448%20-%20RI%20Capu%20Midia%2010%2009%202023%20final%20transmis.pdf" TargetMode="External"/><Relationship Id="rId313" Type="http://schemas.openxmlformats.org/officeDocument/2006/relationships/hyperlink" Target="https://www.era.europa.eu/sites/default/files/2026-02/pl%2010633%20-%20report%20pkbwk%2007%202025_en.pdf" TargetMode="External"/><Relationship Id="rId10" Type="http://schemas.openxmlformats.org/officeDocument/2006/relationships/hyperlink" Target="https://www.era.europa.eu/system/files/2023-10/BG-10433%20-%20Final%20report%2080132_NIB%20BG%20%202.pdf" TargetMode="External"/><Relationship Id="rId31" Type="http://schemas.openxmlformats.org/officeDocument/2006/relationships/hyperlink" Target="https://www.era.europa.eu/system/files/2023-12/DE-4976%20-%20Final%20Report%20-%20Biesdorfer_Kreuz_Ost_-_Berlin_Kaulsdorf.pdf" TargetMode="External"/><Relationship Id="rId52" Type="http://schemas.openxmlformats.org/officeDocument/2006/relationships/hyperlink" Target="https://www.era.europa.eu/system/files/2024-02/DE-6204%20investigation%20report%20trains%20collision%20near%20miss%20Griesen%20Obb.pdf" TargetMode="External"/><Relationship Id="rId73" Type="http://schemas.openxmlformats.org/officeDocument/2006/relationships/hyperlink" Target="https://www.era.europa.eu/system/files/2024-04/RO-10395%20-%20RI%20Berbesti%20Popesti%2028%2003%202023%20final%20transmis.pdf" TargetMode="External"/><Relationship Id="rId94" Type="http://schemas.openxmlformats.org/officeDocument/2006/relationships/hyperlink" Target="https://www.era.europa.eu/system/files/2024-05/HU-10289%20-%202022-0917-5_zj_EN.pdf" TargetMode="External"/><Relationship Id="rId148" Type="http://schemas.openxmlformats.org/officeDocument/2006/relationships/hyperlink" Target="https://www.era.europa.eu/system/files/2024-11/ro-10468%20-%20ri%20mirosi%20costesti%20%2024%2010%202023%20final%20transmis.pdf" TargetMode="External"/><Relationship Id="rId169" Type="http://schemas.openxmlformats.org/officeDocument/2006/relationships/hyperlink" Target="https://www.era.europa.eu/system/files/2023-07/DK-10374%20-%202023-118%20Statement%20Stenstrup-Svendborg%20personp%C3%A5k%C3%B8rsel%20%2806-02-2023%29.pdf" TargetMode="External"/><Relationship Id="rId334" Type="http://schemas.openxmlformats.org/officeDocument/2006/relationships/hyperlink" Target="https://www.era.europa.eu/sites/default/files/2026-03/de-10771%20-%20interim%20statement%20intermediate%20report%20train%20derailment%20bf%20rosenheim-%20hp%20pfraundorf%2031122025.pdf" TargetMode="External"/><Relationship Id="rId4" Type="http://schemas.openxmlformats.org/officeDocument/2006/relationships/hyperlink" Target="http://erail.era.europa.eu/recommendations.aspx?sfn=CZ-6367&amp;sr=12&amp;public=1" TargetMode="External"/><Relationship Id="rId180" Type="http://schemas.openxmlformats.org/officeDocument/2006/relationships/hyperlink" Target="https://www.era.europa.eu/sites/default/files/2024-12/2023-0812-5_zj_en.pdf" TargetMode="External"/><Relationship Id="rId215" Type="http://schemas.openxmlformats.org/officeDocument/2006/relationships/hyperlink" Target="https://www.era.europa.eu/sites/default/files/2025-07/final_report_lednice_bori_les_cz-10579.pdf" TargetMode="External"/><Relationship Id="rId236" Type="http://schemas.openxmlformats.org/officeDocument/2006/relationships/hyperlink" Target="https://www.era.europa.eu/sites/default/files/2025-08/kona%C4%8Dno%20izvje%C5%A1%C4%87e%20%20nesre%C4%87a%20iskliznu%C4%87e%20hreljin%20%2008.08.2024.%20web%20%281%29.pdf" TargetMode="External"/><Relationship Id="rId257" Type="http://schemas.openxmlformats.org/officeDocument/2006/relationships/hyperlink" Target="https://www.era.europa.eu/sites/default/files/2025-10/2025-03%20arna.pdf" TargetMode="External"/><Relationship Id="rId278" Type="http://schemas.openxmlformats.org/officeDocument/2006/relationships/hyperlink" Target="https://www.era.europa.eu/sites/default/files/2025-11/final_report_kolin_kutna_hora_cz-10421.pdf" TargetMode="External"/><Relationship Id="rId303" Type="http://schemas.openxmlformats.org/officeDocument/2006/relationships/hyperlink" Target="https://www.era.europa.eu/sites/default/files/2026-01/de-10534%20final%20report%20v1.0%20trains%20collision%20mannheim%20rbf%2007032024.pdf" TargetMode="External"/><Relationship Id="rId42" Type="http://schemas.openxmlformats.org/officeDocument/2006/relationships/hyperlink" Target="https://www.era.europa.eu/system/files/2024-01/RO-10350%20-%20RI%20Campia%20Turzii%2007%2001%202023%20final%20transmis.pdf" TargetMode="External"/><Relationship Id="rId84" Type="http://schemas.openxmlformats.org/officeDocument/2006/relationships/hyperlink" Target="https://www.era.europa.eu/system/files/2024-04/HU-10310%20-%202022-0960-5_zj_EN_EN_BT.docx" TargetMode="External"/><Relationship Id="rId138" Type="http://schemas.openxmlformats.org/officeDocument/2006/relationships/hyperlink" Target="https://www.era.europa.eu/system/files/2024-09/cz-10461%20-%20final_report_olomouc_hl_n_cz-10461.pdf" TargetMode="External"/><Relationship Id="rId191" Type="http://schemas.openxmlformats.org/officeDocument/2006/relationships/hyperlink" Target="https://www.era.europa.eu/sites/default/files/2025-05/shk%202025_09%20slutrapport%20-%20ursp%C3%A5rning%20med%20malmt%C3%A5g.pdf" TargetMode="External"/><Relationship Id="rId205" Type="http://schemas.openxmlformats.org/officeDocument/2006/relationships/hyperlink" Target="https://www.era.europa.eu/sites/default/files/2025-06/ri%20rosiori%20nord%20atarnati%2011%2006%202024%20final%20transmis.pdf" TargetMode="External"/><Relationship Id="rId247" Type="http://schemas.openxmlformats.org/officeDocument/2006/relationships/hyperlink" Target="https://www.era.europa.eu/sites/default/files/2025-09/ri%20craiova%2026%2009%202024%20final%20transmis.pdf" TargetMode="External"/><Relationship Id="rId107" Type="http://schemas.openxmlformats.org/officeDocument/2006/relationships/hyperlink" Target="https://www.era.europa.eu/system/files/2024-07/CZ-10455%20-%20Final_report_Belcice_Blatna.pdf" TargetMode="External"/><Relationship Id="rId289" Type="http://schemas.openxmlformats.org/officeDocument/2006/relationships/hyperlink" Target="https://www.era.europa.eu/sites/default/files/2025-11/de-10355%20investigation%20report%20v1.0%20train%20derailment%20saarbr%C3%BCcken%20rbf%2006122022.pdf" TargetMode="External"/><Relationship Id="rId11" Type="http://schemas.openxmlformats.org/officeDocument/2006/relationships/hyperlink" Target="https://www.era.europa.eu/system/files/2023-10/RO-10329%20-%20RI%20Racari%2001%2011%202022%20final%20trimis.pdf" TargetMode="External"/><Relationship Id="rId53" Type="http://schemas.openxmlformats.org/officeDocument/2006/relationships/hyperlink" Target="https://www.era.europa.eu/system/files/2024-02/RO-10384%20-%20RI%20Augustin%20Apata%2028%2002%202023%20final%20transmis.pdf" TargetMode="External"/><Relationship Id="rId149" Type="http://schemas.openxmlformats.org/officeDocument/2006/relationships/hyperlink" Target="https://www.era.europa.eu/system/files/2024-11/dk-10508%20-%20k%C3%B8ge%20overk%C3%B8rsel%20115%20personp%C3%A5k%C3%B8rsel%20d.%2009-12-2023.pdf" TargetMode="External"/><Relationship Id="rId314" Type="http://schemas.openxmlformats.org/officeDocument/2006/relationships/hyperlink" Target="https://www.era.europa.eu/sites/default/files/2026-02/ro-10661%20-%20interim%20report%2C%20declaratie%20interimara%20mihaesti%2019%2002%202025%20eng%20transmis.pdf" TargetMode="External"/><Relationship Id="rId95" Type="http://schemas.openxmlformats.org/officeDocument/2006/relationships/hyperlink" Target="https://www.era.europa.eu/system/files/2024-05/HU-10296%20-%202022-0940-5_zj_EN.pdf" TargetMode="External"/><Relationship Id="rId160" Type="http://schemas.openxmlformats.org/officeDocument/2006/relationships/hyperlink" Target="https://www.era.europa.eu/system/files/2024-11/de-6359%20-%20investigation_report_excerpts_train_derailment_bietigheim-bissingen_v1.1_0.pdf" TargetMode="External"/><Relationship Id="rId216" Type="http://schemas.openxmlformats.org/officeDocument/2006/relationships/hyperlink" Target="https://www.era.europa.eu/sites/default/files/2025-04/final_report_chodov%20%282%29.pdf" TargetMode="External"/><Relationship Id="rId258" Type="http://schemas.openxmlformats.org/officeDocument/2006/relationships/hyperlink" Target="https://www.era.europa.eu/sites/default/files/2025-10/ri%20%20augustin%20racos%2020%2011%202024%20final%20transmis.pdf" TargetMode="External"/><Relationship Id="rId22" Type="http://schemas.openxmlformats.org/officeDocument/2006/relationships/hyperlink" Target="https://www.era.europa.eu/system/files/2023-11/CZ-10414%20-%20231128_final_report_Krasna_Lipa_Rumburk.pdf" TargetMode="External"/><Relationship Id="rId64" Type="http://schemas.openxmlformats.org/officeDocument/2006/relationships/hyperlink" Target="https://www.era.europa.eu/system/files/2024-03/DK-10401%20-%202023-163%20EN%20Report%20Summary%20Conclusion%20and%20Recommendations.pdf" TargetMode="External"/><Relationship Id="rId118" Type="http://schemas.openxmlformats.org/officeDocument/2006/relationships/hyperlink" Target="https://www.era.europa.eu/system/files/2024-07/DE-6327%20Interim%20statement_2%20-report%20level%20crosing%20accident%20Hp%20Gro%C3%9Fwalbur%20%20Hp%20Meeder%2027072020.pdf" TargetMode="External"/><Relationship Id="rId325" Type="http://schemas.openxmlformats.org/officeDocument/2006/relationships/hyperlink" Target="https://www.era.europa.eu/sites/default/files/2026-02/hu-10656%20-%202025-0073-5_zj.pdf" TargetMode="External"/><Relationship Id="rId171" Type="http://schemas.openxmlformats.org/officeDocument/2006/relationships/hyperlink" Target="https://www.era.europa.eu/system/files/2023-08/CZ-10378%20-%20230818_final_report_Malsice.pdf" TargetMode="External"/><Relationship Id="rId227" Type="http://schemas.openxmlformats.org/officeDocument/2006/relationships/hyperlink" Target="https://www.era.europa.eu/sites/default/files/2025-01/final%20report_nib%20bg_985200550574.pdf" TargetMode="External"/><Relationship Id="rId269" Type="http://schemas.openxmlformats.org/officeDocument/2006/relationships/hyperlink" Target="https://www.era.europa.eu/sites/default/files/2025-09/2024-0841-5_zj_en.pdf" TargetMode="External"/><Relationship Id="rId33" Type="http://schemas.openxmlformats.org/officeDocument/2006/relationships/hyperlink" Target="https://www.era.europa.eu/system/files/2023-12/DE-6173%20Final%20Report%20-%2020200123%20Hamburg-Altona%20Zugkollision.pdf" TargetMode="External"/><Relationship Id="rId129" Type="http://schemas.openxmlformats.org/officeDocument/2006/relationships/hyperlink" Target="https://www.era.europa.eu/system/files/2024-08/CZ-10457%20-%20Final_report_Brno_Zidenice.pdf" TargetMode="External"/><Relationship Id="rId280" Type="http://schemas.openxmlformats.org/officeDocument/2006/relationships/hyperlink" Target="https://www.era.europa.eu/sites/default/files/2025-11/ri%20azuga%2004%2012%202023%20final%20transmis.pdf" TargetMode="External"/><Relationship Id="rId336" Type="http://schemas.openxmlformats.org/officeDocument/2006/relationships/hyperlink" Target="https://www.era.europa.eu/sites/default/files/2026-03/de-10658%20-%20interim%20statement%20intermediate%20report%20level%20crossing%20accident%20bf%20hamburg-harburg%20%E2%80%93%20hp%20hittfeld%2011022025.pdf" TargetMode="External"/><Relationship Id="rId75" Type="http://schemas.openxmlformats.org/officeDocument/2006/relationships/hyperlink" Target="https://www.era.europa.eu/system/files/2024-04/HU-10256%20-%202022-0740-5_zj_EN.pdf" TargetMode="External"/><Relationship Id="rId140" Type="http://schemas.openxmlformats.org/officeDocument/2006/relationships/hyperlink" Target="https://www.era.europa.eu/system/files/2024-10/bg-10523%20-%20final%20report_46660_eng%20%D1%81%D1%82%D1%80.pdf" TargetMode="External"/><Relationship Id="rId182" Type="http://schemas.openxmlformats.org/officeDocument/2006/relationships/hyperlink" Target="https://www.era.europa.eu/sites/default/files/2024-12/kona%C4%8Dno%20izvje%C5%A1%C4%87e%20za%20web.pdf" TargetMode="External"/><Relationship Id="rId6" Type="http://schemas.openxmlformats.org/officeDocument/2006/relationships/hyperlink" Target="http://erail.era.europa.eu/recommendations.aspx?sfn=PL-6362&amp;sr=36&amp;public=1" TargetMode="External"/><Relationship Id="rId238" Type="http://schemas.openxmlformats.org/officeDocument/2006/relationships/hyperlink" Target="https://www.era.europa.eu/sites/default/files/2025-02/shk%202025_01%20slutrapport%20-%20vassijaure%202.pdf" TargetMode="External"/><Relationship Id="rId291" Type="http://schemas.openxmlformats.org/officeDocument/2006/relationships/hyperlink" Target="https://www.era.europa.eu/sites/default/files/2025-12/dk-10708%20-%20final%20report%20personp%C3%A5k%C3%B8rsel%20ved%20hiller%C3%B8d%20d.%2027-07-2025.pdf" TargetMode="External"/><Relationship Id="rId305" Type="http://schemas.openxmlformats.org/officeDocument/2006/relationships/hyperlink" Target="https://www.era.europa.eu/sites/default/files/2026-01/de-10372%20intermediate%20report%20v3.0%20train%20derailment%20peiting%20ost%2010012023.pdf" TargetMode="External"/><Relationship Id="rId44" Type="http://schemas.openxmlformats.org/officeDocument/2006/relationships/hyperlink" Target="https://www.era.europa.eu/system/files/2024-01/DE-10233_German%20investigation%20report%20trains%20collision%20Altheim%20%28Hess%29%20-%20Dieburg.pdf" TargetMode="External"/><Relationship Id="rId86" Type="http://schemas.openxmlformats.org/officeDocument/2006/relationships/hyperlink" Target="https://www.era.europa.eu/system/files/2024-04/CZ-10463%20-%20240426_final_report_DP_Plzen_Karlovarska.pdf" TargetMode="External"/><Relationship Id="rId151" Type="http://schemas.openxmlformats.org/officeDocument/2006/relationships/hyperlink" Target="https://www.era.europa.eu/era-folder/be-10440" TargetMode="External"/><Relationship Id="rId193" Type="http://schemas.openxmlformats.org/officeDocument/2006/relationships/hyperlink" Target="https://www.era.europa.eu/sites/default/files/2024-12/ri%20zavestreni%2022%2012%202023%20final%20transmis.pdf" TargetMode="External"/><Relationship Id="rId207" Type="http://schemas.openxmlformats.org/officeDocument/2006/relationships/hyperlink" Target="https://www.era.europa.eu/sites/default/files/2025-07/ri%20bucuresti%20nord%2019%2007%202024%20final%20transmis.pdf" TargetMode="External"/><Relationship Id="rId249" Type="http://schemas.openxmlformats.org/officeDocument/2006/relationships/hyperlink" Target="https://www.era.europa.eu/sites/default/files/2025-09/final_report_balabenka_cz-10600.pdf" TargetMode="External"/><Relationship Id="rId13" Type="http://schemas.openxmlformats.org/officeDocument/2006/relationships/hyperlink" Target="https://www.era.europa.eu/system/files/2023-10/PL-10352%20-%20Report_EN_No_PKBWK_03_2023.pdf" TargetMode="External"/><Relationship Id="rId109" Type="http://schemas.openxmlformats.org/officeDocument/2006/relationships/hyperlink" Target="https://www.era.europa.eu/system/files/2024-07/CZ-10431%20-%20Final_report_Cerhenice.pdf" TargetMode="External"/><Relationship Id="rId260" Type="http://schemas.openxmlformats.org/officeDocument/2006/relationships/hyperlink" Target="https://www.era.europa.eu/sites/default/files/2025-09/ri%20radulesti%2001%2009%202024%20final%20transmis.pdf" TargetMode="External"/><Relationship Id="rId316" Type="http://schemas.openxmlformats.org/officeDocument/2006/relationships/hyperlink" Target="https://www.era.europa.eu/sites/default/files/2026-02/cz-10587%20-%20final_report_jablonne_nad_orlici_cz-10587.pdf" TargetMode="External"/><Relationship Id="rId55" Type="http://schemas.openxmlformats.org/officeDocument/2006/relationships/hyperlink" Target="https://www.era.europa.eu/system/files/2024-02/PT-240%20-%20Relat%C3%B3rio_Sumario_ferro_PT_240_RF202303.pdf" TargetMode="External"/><Relationship Id="rId97" Type="http://schemas.openxmlformats.org/officeDocument/2006/relationships/hyperlink" Target="https://www.era.europa.eu/system/files/2024-05/RO-10420%20-%20RI%20Sighisoara%2008%2006%202023%20final%20transmis.pdf" TargetMode="External"/><Relationship Id="rId120" Type="http://schemas.openxmlformats.org/officeDocument/2006/relationships/hyperlink" Target="https://www.era.europa.eu/system/files/2024-08/CZ-10434%20-%20240802_final_report_Dluhonice.pdf" TargetMode="External"/><Relationship Id="rId162" Type="http://schemas.openxmlformats.org/officeDocument/2006/relationships/hyperlink" Target="https://www.era.europa.eu/sites/default/files/2024-11/cz-10496%20-%20final_report_stupno.pdf" TargetMode="External"/><Relationship Id="rId218" Type="http://schemas.openxmlformats.org/officeDocument/2006/relationships/hyperlink" Target="https://www.era.europa.eu/sites/default/files/2025-04/2024-270%2C%20summary%20and%20conclusion.pdf" TargetMode="External"/><Relationship Id="rId271" Type="http://schemas.openxmlformats.org/officeDocument/2006/relationships/hyperlink" Target="https://www.era.europa.eu/sites/default/files/2025-10/kona%C4%8Dno%20izvje%C5%A1%C4%87e%20ozbiljna%20nesre%C4%87a%20buzin%20web.pdf" TargetMode="External"/><Relationship Id="rId24" Type="http://schemas.openxmlformats.org/officeDocument/2006/relationships/hyperlink" Target="https://www.era.europa.eu/system/files/2023-12/IT-10270%20-Relazione%20finale_Prenestina_03-06-2022_pubblica.pdf" TargetMode="External"/><Relationship Id="rId66" Type="http://schemas.openxmlformats.org/officeDocument/2006/relationships/hyperlink" Target="https://www.era.europa.eu/system/files/2024-03/RO-10392%20-%20RI%20Beia%20Cata%2017%2003%202023%20final%20transmis.pdf" TargetMode="External"/><Relationship Id="rId131" Type="http://schemas.openxmlformats.org/officeDocument/2006/relationships/hyperlink" Target="https://www.era.europa.eu/system/files/2024-08/RO-10445%20-%20RI%20Tarnaveni%20Vest%20Jidvei%2023%2008%202024%20final%20transmis.pdf" TargetMode="External"/><Relationship Id="rId327" Type="http://schemas.openxmlformats.org/officeDocument/2006/relationships/hyperlink" Target="https://www.era.europa.eu/sites/default/files/2026-03/el-10538%20%20final%20report%2C%20%CF%88.%CF%85.%20%CE%B5%CE%BA%CE%B8%CE%B5%CF%83%CE%B7%20%CE%B5%CF%81%CF%85%CE%B8%CF%81%CE%BF%CE%B9%20%CF%83%CE%B7%CE%BC%CE%B1%CF%84%CE%BF%CE%B4%CE%BF%CF%84%CE%B5%CF%82%20%288%20%CF%83%CF%85%CE%BC%CE%B2%CE%AC%CE%BD%CF%84%CE%B1%29%2022-01-26.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era.europa.eu/system/files/2024-11/bg-10562%20-%20final%20report_30114_nib%20bg.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42" Type="http://schemas.openxmlformats.org/officeDocument/2006/relationships/hyperlink" Target="https://www.era.europa.eu/system/files/2024-03/IE-10404%20-%20230222%20Broken%20Rail%20Emly.pdf" TargetMode="External"/><Relationship Id="rId47" Type="http://schemas.openxmlformats.org/officeDocument/2006/relationships/hyperlink" Target="https://www.era.europa.eu/system/files/2024-04/HU-10247%20-%202022-0682-5_zj_EN.docx" TargetMode="External"/><Relationship Id="rId63" Type="http://schemas.openxmlformats.org/officeDocument/2006/relationships/hyperlink" Target="https://www.era.europa.eu/system/files/2024-05/NL-10405%20-%20Final%20report_0.pdf" TargetMode="External"/><Relationship Id="rId68" Type="http://schemas.openxmlformats.org/officeDocument/2006/relationships/hyperlink" Target="https://www.era.europa.eu/system/files/2024-05/RO-10420%20-%20RI%20Sighisoara%2008%2006%202023%20final%20transmis.pdf" TargetMode="External"/><Relationship Id="rId84" Type="http://schemas.openxmlformats.org/officeDocument/2006/relationships/hyperlink" Target="https://www.era.europa.eu/system/files/2024-07/CZ-10455%20-%20Final_report_Belcice_Blatna.pdf" TargetMode="External"/><Relationship Id="rId89" Type="http://schemas.openxmlformats.org/officeDocument/2006/relationships/hyperlink" Target="https://www.era.europa.eu/system/files/2024-07/SE-10415%20-%20SHK%202024_%2008%20Slutrapport%20-%20Arlanda%20Express.pdf" TargetMode="External"/><Relationship Id="rId112" Type="http://schemas.openxmlformats.org/officeDocument/2006/relationships/hyperlink" Target="https://www.era.europa.eu/system/files/2024-10/ro-10454%20-%20ri%20augustin%20racos%2003%2010%202023%20final%20transmis.pdf" TargetMode="External"/><Relationship Id="rId16" Type="http://schemas.openxmlformats.org/officeDocument/2006/relationships/hyperlink" Target="https://www.era.europa.eu/system/files/2024-01/HR-10342%20-%20Kona%C4%8Dno%20izvje%C5%A1%C4%87e%20%C5%A0krljevo14.11.2022%20z.pdf" TargetMode="External"/><Relationship Id="rId107" Type="http://schemas.openxmlformats.org/officeDocument/2006/relationships/hyperlink" Target="https://www.era.europa.eu/system/files/2024-09/pl-10422%20-%20report%20no.%20pkbwk%205_2024_en.pdf" TargetMode="External"/><Relationship Id="rId11" Type="http://schemas.openxmlformats.org/officeDocument/2006/relationships/hyperlink" Target="https://www.era.europa.eu/system/files/2023-12/PT-10369%20-%20RI2023_01.pdf" TargetMode="External"/><Relationship Id="rId32" Type="http://schemas.openxmlformats.org/officeDocument/2006/relationships/hyperlink" Target="https://www.era.europa.eu/system/files/2024-03/BG-10485%20-%20Final%20report%2044202_NIB%20BG%20ENG%201.pdf" TargetMode="External"/><Relationship Id="rId37" Type="http://schemas.openxmlformats.org/officeDocument/2006/relationships/hyperlink" Target="https://www.era.europa.eu/system/files/2024-03/RO-10390%20-%20RI%20Rosiori%20Nord%2013%2003%202023%20final%20transmis.pdf" TargetMode="External"/><Relationship Id="rId53" Type="http://schemas.openxmlformats.org/officeDocument/2006/relationships/hyperlink" Target="https://www.era.europa.eu/system/files/2024-04/HU-10310%20-%202022-0960-5_zj_EN_EN_BT.docx" TargetMode="External"/><Relationship Id="rId58" Type="http://schemas.openxmlformats.org/officeDocument/2006/relationships/hyperlink" Target="https://www.era.europa.eu/system/files/2024-05/RO-10411%20-%20RI%20Toporu%2017%2005%202023%20final%20transmis.pdf" TargetMode="External"/><Relationship Id="rId74" Type="http://schemas.openxmlformats.org/officeDocument/2006/relationships/hyperlink" Target="https://www.era.europa.eu/era-folder/fi-10451" TargetMode="External"/><Relationship Id="rId79" Type="http://schemas.openxmlformats.org/officeDocument/2006/relationships/hyperlink" Target="https://www.era.europa.eu/system/files/2024-06/BG-10472%20-%20Final%20report%20IP4IL_NIB%20BG.pdf" TargetMode="External"/><Relationship Id="rId102" Type="http://schemas.openxmlformats.org/officeDocument/2006/relationships/hyperlink" Target="https://www.era.europa.eu/system/files/2024-08/IT-10351%20-%20Relazione%20finale_Iseo_10-12-2022_pubblica.pdf" TargetMode="External"/><Relationship Id="rId123" Type="http://schemas.openxmlformats.org/officeDocument/2006/relationships/hyperlink" Target="https://www.era.europa.eu/system/files/2024-11/bg-10561%20-%20final%20report_nib%20bg_2654.pdf" TargetMode="External"/><Relationship Id="rId128" Type="http://schemas.openxmlformats.org/officeDocument/2006/relationships/hyperlink" Target="https://www.era.europa.eu/sites/default/files/2025-10/2025-03%20arna.pdf" TargetMode="External"/><Relationship Id="rId5" Type="http://schemas.openxmlformats.org/officeDocument/2006/relationships/hyperlink" Target="https://www.era.europa.eu/system/files/2023-11/CZ-10332%20-%20Final_Report_M%C4%9Bln%C3%ADk_CZ-10332.pdf" TargetMode="External"/><Relationship Id="rId90" Type="http://schemas.openxmlformats.org/officeDocument/2006/relationships/hyperlink" Target="https://www.era.europa.eu/system/files/2024-07/SE-10415%20-%20SHK%202024_%2008%20Slutrapport%20-%20Arlanda%20Express.pdf" TargetMode="External"/><Relationship Id="rId95" Type="http://schemas.openxmlformats.org/officeDocument/2006/relationships/hyperlink" Target="https://www.era.europa.eu/system/files/2024-07/HR-10410%20-%20Final%20Report%20%20KONA%C4%8CNO%20izvje%C5%A1%C4%87e%20Andrijevci%20WEB.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43" Type="http://schemas.openxmlformats.org/officeDocument/2006/relationships/hyperlink" Target="https://www.era.europa.eu/system/files/2024-03/IE-10404%20-%20230222%20Broken%20Rail%20Emly.pdf" TargetMode="External"/><Relationship Id="rId48" Type="http://schemas.openxmlformats.org/officeDocument/2006/relationships/hyperlink" Target="https://www.era.europa.eu/system/files/2024-04/NO-10398%20-%202024-03%20Bybanen.pdf" TargetMode="External"/><Relationship Id="rId64" Type="http://schemas.openxmlformats.org/officeDocument/2006/relationships/hyperlink" Target="https://www.era.europa.eu/system/files/2024-05/NL-10405%20-%20Final%20report_0.pdf" TargetMode="External"/><Relationship Id="rId69" Type="http://schemas.openxmlformats.org/officeDocument/2006/relationships/hyperlink" Target="https://www.era.europa.eu/system/files/2024-05/RO-10420%20-%20RI%20Sighisoara%2008%2006%202023%20final%20transmis.pdf" TargetMode="External"/><Relationship Id="rId113" Type="http://schemas.openxmlformats.org/officeDocument/2006/relationships/hyperlink" Target="https://www.era.europa.eu/system/files/2024-10/ro-10474%20-%20ri%20aradu%20nou%2014%2011%202023%20final%20transmis.pdf" TargetMode="External"/><Relationship Id="rId118" Type="http://schemas.openxmlformats.org/officeDocument/2006/relationships/hyperlink" Target="https://www.era.europa.eu/system/files/2024-11/ro-10468%20-%20ri%20mirosi%20costesti%20%2024%2010%202023%20final%20transmis.pdf" TargetMode="External"/><Relationship Id="rId80" Type="http://schemas.openxmlformats.org/officeDocument/2006/relationships/hyperlink" Target="https://www.era.europa.eu/system/files/2024-06/BG-10472%20-%20Final%20report%20IP4IL_NIB%20BG.pdf" TargetMode="External"/><Relationship Id="rId85" Type="http://schemas.openxmlformats.org/officeDocument/2006/relationships/hyperlink" Target="https://www.era.europa.eu/system/files/2024-07/ES-10479%20-%20Final%20Report%20-%202023-43-0518-IF.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33" Type="http://schemas.openxmlformats.org/officeDocument/2006/relationships/hyperlink" Target="https://www.era.europa.eu/system/files/2024-03/DK-10401%20-%202023-163%20EN%20Report%20Summary%20Conclusion%20and%20Recommendations.pdf" TargetMode="External"/><Relationship Id="rId38" Type="http://schemas.openxmlformats.org/officeDocument/2006/relationships/hyperlink" Target="https://www.era.europa.eu/system/files/2024-03/RO-10390%20-%20RI%20Rosiori%20Nord%2013%2003%202023%20final%20transmis.pdf" TargetMode="External"/><Relationship Id="rId59" Type="http://schemas.openxmlformats.org/officeDocument/2006/relationships/hyperlink" Target="https://www.era.europa.eu/system/files/2024-05/RO-10411%20-%20RI%20Toporu%2017%2005%202023%20final%20transmis.pdf" TargetMode="External"/><Relationship Id="rId103" Type="http://schemas.openxmlformats.org/officeDocument/2006/relationships/hyperlink" Target="https://www.era.europa.eu/system/files/2024-08/IT-10351%20-%20Relazione%20finale_Iseo_10-12-2022_pubblica.pdf" TargetMode="External"/><Relationship Id="rId108" Type="http://schemas.openxmlformats.org/officeDocument/2006/relationships/hyperlink" Target="https://www.era.europa.eu/system/files/2024-09/cz-10376%20-%20final_report_cervenka_stepanov.pdf" TargetMode="External"/><Relationship Id="rId124" Type="http://schemas.openxmlformats.org/officeDocument/2006/relationships/hyperlink" Target="https://www.era.europa.eu/sites/default/files/2024-11/r2023-02%20summary.docx" TargetMode="External"/><Relationship Id="rId129" Type="http://schemas.openxmlformats.org/officeDocument/2006/relationships/hyperlink" Target="https://www.era.europa.eu/sites/default/files/2025-10/2025-03%20arna.pdf" TargetMode="External"/><Relationship Id="rId54" Type="http://schemas.openxmlformats.org/officeDocument/2006/relationships/hyperlink" Target="https://www.era.europa.eu/system/files/2024-04/PL-10418%20-%20Report%20No%20PKBWK%2004%202024_EN.pdf" TargetMode="External"/><Relationship Id="rId70" Type="http://schemas.openxmlformats.org/officeDocument/2006/relationships/hyperlink" Target="https://www.era.europa.eu/system/files/2024-06/CZ-10511%20-%20Final_report_Rynoltice.pdf" TargetMode="External"/><Relationship Id="rId75" Type="http://schemas.openxmlformats.org/officeDocument/2006/relationships/hyperlink" Target="https://www.era.europa.eu/era-folder/fi-10451" TargetMode="External"/><Relationship Id="rId91" Type="http://schemas.openxmlformats.org/officeDocument/2006/relationships/hyperlink" Target="https://www.era.europa.eu/system/files/2024-07/SE-10415%20-%20SHK%202024_%2008%20Slutrapport%20-%20Arlanda%20Express.pdf" TargetMode="External"/><Relationship Id="rId96" Type="http://schemas.openxmlformats.org/officeDocument/2006/relationships/hyperlink" Target="https://www.era.europa.eu/system/files/2024-08/CZ-10434%20-%20240802_final_report_Dluhonice.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49" Type="http://schemas.openxmlformats.org/officeDocument/2006/relationships/hyperlink" Target="https://www.era.europa.eu/system/files/2024-04/DK-10283%20-%202022-34%20Report%20Ejby%20wheel%20failure_%20EN.pdf" TargetMode="External"/><Relationship Id="rId114" Type="http://schemas.openxmlformats.org/officeDocument/2006/relationships/hyperlink" Target="https://www.era.europa.eu/system/files/2024-10/no-10452%20-%202024-05%20dunderland-bolna.pdf" TargetMode="External"/><Relationship Id="rId119" Type="http://schemas.openxmlformats.org/officeDocument/2006/relationships/hyperlink" Target="https://www.era.europa.eu/era-folder/be-10440" TargetMode="External"/><Relationship Id="rId44" Type="http://schemas.openxmlformats.org/officeDocument/2006/relationships/hyperlink" Target="https://www.era.europa.eu/system/files/2024-03/IE-10404%20-%20230222%20Broken%20Rail%20Emly.pdf" TargetMode="External"/><Relationship Id="rId60" Type="http://schemas.openxmlformats.org/officeDocument/2006/relationships/hyperlink" Target="https://www.era.europa.eu/system/files/2024-05/NL-10405%20-%20Final%20report_0.pdf" TargetMode="External"/><Relationship Id="rId65" Type="http://schemas.openxmlformats.org/officeDocument/2006/relationships/hyperlink" Target="https://www.era.europa.eu/system/files/2024-05/HU-10324%20-%202022-1184-5_zj_EN.pdf" TargetMode="External"/><Relationship Id="rId81" Type="http://schemas.openxmlformats.org/officeDocument/2006/relationships/hyperlink" Target="https://www.era.europa.eu/system/files/2024-06/BG-10472%20-%20Final%20report%20IP4IL_NIB%20BG.pdf" TargetMode="External"/><Relationship Id="rId86" Type="http://schemas.openxmlformats.org/officeDocument/2006/relationships/hyperlink" Target="https://www.era.europa.eu/system/files/2024-07/SE-10415%20-%20SHK%202024_%2008%20Slutrapport%20-%20Arlanda%20Express.pdf" TargetMode="External"/><Relationship Id="rId130" Type="http://schemas.openxmlformats.org/officeDocument/2006/relationships/printerSettings" Target="../printerSettings/printerSettings2.bin"/><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39" Type="http://schemas.openxmlformats.org/officeDocument/2006/relationships/hyperlink" Target="https://www.era.europa.eu/system/files/2024-03/HU-10322%20-%202022-1166-5_zj_EN.pdf" TargetMode="External"/><Relationship Id="rId109" Type="http://schemas.openxmlformats.org/officeDocument/2006/relationships/hyperlink" Target="https://www.era.europa.eu/system/files/2024-09/cz-10190%20-%20240912_final_report_decin_prostr_zleb.pdf" TargetMode="External"/><Relationship Id="rId34" Type="http://schemas.openxmlformats.org/officeDocument/2006/relationships/hyperlink" Target="https://www.era.europa.eu/system/files/2024-03/CZ-10377%20-%20Final_report_Chlumcany_u_Dobran.pdf" TargetMode="External"/><Relationship Id="rId50" Type="http://schemas.openxmlformats.org/officeDocument/2006/relationships/hyperlink" Target="https://www.era.europa.eu/system/files/2024-04/DK-10283%20-%202022-34%20Report%20Ejby%20wheel%20failure_%20EN.pdf" TargetMode="External"/><Relationship Id="rId55" Type="http://schemas.openxmlformats.org/officeDocument/2006/relationships/hyperlink" Target="https://www.era.europa.eu/system/files/2024-05/IT-10368%20-%20Relazione%20finale_Pozzano_26-01-2023_pubblica.pdf" TargetMode="External"/><Relationship Id="rId76" Type="http://schemas.openxmlformats.org/officeDocument/2006/relationships/hyperlink" Target="https://www.era.europa.eu/era-folder/fi-10451" TargetMode="External"/><Relationship Id="rId97" Type="http://schemas.openxmlformats.org/officeDocument/2006/relationships/hyperlink" Target="https://www.era.europa.eu/system/files/2024-08/RO-10432%20-%20RI%20Rosiori%20Atarnati%2001%2008%202023%20final%20transmis.pdf" TargetMode="External"/><Relationship Id="rId104" Type="http://schemas.openxmlformats.org/officeDocument/2006/relationships/hyperlink" Target="https://www.era.europa.eu/system/files/2024-08/RO-10445%20-%20RI%20Tarnaveni%20Vest%20Jidvei%2023%2008%202024%20final%20transmis.pdf" TargetMode="External"/><Relationship Id="rId120" Type="http://schemas.openxmlformats.org/officeDocument/2006/relationships/hyperlink" Target="https://www.era.europa.eu/system/files/2024-11/ro-10470%20-%20ri%20dragotesti%20borascu%2005%2011%202023%20final%20transmis.pdf" TargetMode="External"/><Relationship Id="rId125" Type="http://schemas.openxmlformats.org/officeDocument/2006/relationships/hyperlink" Target="https://www.era.europa.eu/sites/default/files/2024-12/lv-10482%20-%20final%20report%205_02_1_23_lv.pdf" TargetMode="External"/><Relationship Id="rId7" Type="http://schemas.openxmlformats.org/officeDocument/2006/relationships/hyperlink" Target="https://www.era.europa.eu/system/files/2023-11/CZ-10414%20-%20231128_final_report_Krasna_Lipa_Rumburk.pdf" TargetMode="External"/><Relationship Id="rId71" Type="http://schemas.openxmlformats.org/officeDocument/2006/relationships/hyperlink" Target="https://www.era.europa.eu/system/files/2024-06/CZ-10429%20-%20Final_report_Bozice_u_Znojma_P7118.pdf" TargetMode="External"/><Relationship Id="rId92" Type="http://schemas.openxmlformats.org/officeDocument/2006/relationships/hyperlink" Target="https://www.era.europa.eu/system/files/2024-07/DE-10206%20investigation%20excerpts%20Bf%20R%C3%BCsselsheim%20train%20derailment%20230202022.pdf" TargetMode="External"/><Relationship Id="rId2" Type="http://schemas.openxmlformats.org/officeDocument/2006/relationships/hyperlink" Target="https://www.era.europa.eu/system/files/2023-10/RO-10329%20-%20RI%20Racari%2001%2011%202022%20final%20trimis.pdf" TargetMode="External"/><Relationship Id="rId29" Type="http://schemas.openxmlformats.org/officeDocument/2006/relationships/hyperlink" Target="https://www.era.europa.eu/system/files/2024-02/PL-10379%20-%20Report%202%202024_EN.pdf" TargetMode="External"/><Relationship Id="rId24" Type="http://schemas.openxmlformats.org/officeDocument/2006/relationships/hyperlink" Target="https://www.era.europa.eu/system/files/2024-02/CZ-10319%20-%20ZZ_Final_report_Poricany.pdf" TargetMode="External"/><Relationship Id="rId40" Type="http://schemas.openxmlformats.org/officeDocument/2006/relationships/hyperlink" Target="https://www.era.europa.eu/system/files/2024-03/HU-10322%20-%202022-1166-5_zj_EN.pdf" TargetMode="External"/><Relationship Id="rId45" Type="http://schemas.openxmlformats.org/officeDocument/2006/relationships/hyperlink" Target="https://www.era.europa.eu/system/files/2024-03/IE-10404%20-%20230222%20Broken%20Rail%20Emly.pdf" TargetMode="External"/><Relationship Id="rId66" Type="http://schemas.openxmlformats.org/officeDocument/2006/relationships/hyperlink" Target="https://www.era.europa.eu/system/files/2024-05/AT-10226%20-%20795.404_UB_1.0_Optimized.pdf" TargetMode="External"/><Relationship Id="rId87" Type="http://schemas.openxmlformats.org/officeDocument/2006/relationships/hyperlink" Target="https://www.era.europa.eu/system/files/2024-07/SE-10415%20-%20SHK%202024_%2008%20Slutrapport%20-%20Arlanda%20Express.pdf" TargetMode="External"/><Relationship Id="rId110" Type="http://schemas.openxmlformats.org/officeDocument/2006/relationships/hyperlink" Target="https://www.era.europa.eu/system/files/2024-09/cz-10461%20-%20final_report_olomouc_hl_n_cz-10461.pdf" TargetMode="External"/><Relationship Id="rId115" Type="http://schemas.openxmlformats.org/officeDocument/2006/relationships/hyperlink" Target="https://www.era.europa.eu/system/files/2024-10/se-10437%20-%20final%20report%20shk%202024_14%20slutrapport%20-%20iggesund.pdf" TargetMode="External"/><Relationship Id="rId61" Type="http://schemas.openxmlformats.org/officeDocument/2006/relationships/hyperlink" Target="https://www.era.europa.eu/system/files/2024-05/NL-10405%20-%20Final%20report_0.pdf" TargetMode="External"/><Relationship Id="rId82" Type="http://schemas.openxmlformats.org/officeDocument/2006/relationships/hyperlink" Target="https://www.era.europa.eu/system/files/2024-06/BG-10472%20-%20Final%20report%20IP4IL_NIB%20BG.pdf" TargetMode="External"/><Relationship Id="rId19" Type="http://schemas.openxmlformats.org/officeDocument/2006/relationships/hyperlink" Target="https://www.era.europa.eu/system/files/2024-01/RO-10350%20-%20RI%20Campia%20Turzii%2007%2001%202023%20final%20transmis.pdf" TargetMode="External"/><Relationship Id="rId14" Type="http://schemas.openxmlformats.org/officeDocument/2006/relationships/hyperlink" Target="https://www.era.europa.eu/system/files/2023-12/CZ-10417%20-%20231217_final_report_Bystrice_pod_Hostynem_Holesov.pdf" TargetMode="External"/><Relationship Id="rId30" Type="http://schemas.openxmlformats.org/officeDocument/2006/relationships/hyperlink" Target="https://www.era.europa.eu/system/files/2024-02/PL-10416%20-%20Report%203%202024_EN.pdf" TargetMode="External"/><Relationship Id="rId35" Type="http://schemas.openxmlformats.org/officeDocument/2006/relationships/hyperlink" Target="https://www.era.europa.eu/system/files/2024-03/RO-10392%20-%20RI%20Beia%20Cata%2017%2003%202023%20final%20transmis.pdf" TargetMode="External"/><Relationship Id="rId56" Type="http://schemas.openxmlformats.org/officeDocument/2006/relationships/hyperlink" Target="https://www.era.europa.eu/system/files/2024-05/RO-10402%20-%20RI%20Sannicolau%20%20Mare%20Cenad%2018%2004%202023%20final%20transmis.pdf" TargetMode="External"/><Relationship Id="rId77" Type="http://schemas.openxmlformats.org/officeDocument/2006/relationships/hyperlink" Target="https://www.era.europa.eu/system/files/2024-06/AT-6217%20-%20190701_Kollision_Bf_Floridsdorf_795399_EUB%20%288%29_0.pdf" TargetMode="External"/><Relationship Id="rId100" Type="http://schemas.openxmlformats.org/officeDocument/2006/relationships/hyperlink" Target="https://www.era.europa.eu/system/files/2024-08/BE-10439%20-%20rapport%20Qu%C3%A9vy.pdf" TargetMode="External"/><Relationship Id="rId105" Type="http://schemas.openxmlformats.org/officeDocument/2006/relationships/hyperlink" Target="https://www.era.europa.eu/system/files/2024-09/DK-10467%20-%202023-452%20Redeg%C3%B8relse%20N%C3%A6rved-p%C3%A5k%C3%B8rsel%20af%20banearbejdere%20%28d.%2006-09-2023%29.pdf" TargetMode="External"/><Relationship Id="rId126" Type="http://schemas.openxmlformats.org/officeDocument/2006/relationships/hyperlink" Target="https://www.era.europa.eu/sites/default/files/2024-12/lv-10482%20-%20final%20report%205_02_1_23_lv.pdf" TargetMode="External"/><Relationship Id="rId8" Type="http://schemas.openxmlformats.org/officeDocument/2006/relationships/hyperlink" Target="https://www.era.europa.eu/system/files/2023-12/IT-10270%20-Relazione%20finale_Prenestina_03-06-2022_pubblica.pdf" TargetMode="External"/><Relationship Id="rId51" Type="http://schemas.openxmlformats.org/officeDocument/2006/relationships/hyperlink" Target="https://www.era.europa.eu/system/files/2024-04/CZ-10200%20-%20Final_report_Skaly_CZ-10200.pdf" TargetMode="External"/><Relationship Id="rId72" Type="http://schemas.openxmlformats.org/officeDocument/2006/relationships/hyperlink" Target="https://www.era.europa.eu/system/files/2024-06/HR-10428%20-%20KI%20incident%20izbjegnut%20sudar%20Su%C5%A1ak%20Pe%C4%87ine%20%20%20%2022.06.2023._.pdf" TargetMode="External"/><Relationship Id="rId93" Type="http://schemas.openxmlformats.org/officeDocument/2006/relationships/hyperlink" Target="https://www.era.europa.eu/system/files/2024-07/CH-10119%20-%202020101901_EB_SB-EU_Basel_Gefahrgutereignis_V7_1_D_lus.pdf" TargetMode="External"/><Relationship Id="rId98" Type="http://schemas.openxmlformats.org/officeDocument/2006/relationships/hyperlink" Target="https://www.era.europa.eu/system/files/2024-08/RO-10438%20-%20RI%20Catusa%2009%2008%202023%20final%20transmis.pdf" TargetMode="External"/><Relationship Id="rId121" Type="http://schemas.openxmlformats.org/officeDocument/2006/relationships/hyperlink" Target="https://www.era.europa.eu/system/files/2024-11/no-10460%20-%202024-04%20%C3%A5neby.pdf" TargetMode="External"/><Relationship Id="rId3" Type="http://schemas.openxmlformats.org/officeDocument/2006/relationships/hyperlink" Target="https://www.era.europa.eu/system/files/2023-10/PL-10352%20-%20Report_EN_No_PKBWK_03_2023.pdf" TargetMode="External"/><Relationship Id="rId25" Type="http://schemas.openxmlformats.org/officeDocument/2006/relationships/hyperlink" Target="https://www.era.europa.eu/system/files/2024-02/AT-5618%20-%20795.390_UB_1.0.pdf" TargetMode="External"/><Relationship Id="rId46" Type="http://schemas.openxmlformats.org/officeDocument/2006/relationships/hyperlink" Target="https://www.era.europa.eu/system/files/2024-04/RO-10395%20-%20RI%20Berbesti%20Popesti%2028%2003%202023%20final%20transmis.pdf" TargetMode="External"/><Relationship Id="rId67" Type="http://schemas.openxmlformats.org/officeDocument/2006/relationships/hyperlink" Target="https://www.era.europa.eu/system/files/2024-05/RO-10420%20-%20RI%20Sighisoara%2008%2006%202023%20final%20transmis.pdf" TargetMode="External"/><Relationship Id="rId116" Type="http://schemas.openxmlformats.org/officeDocument/2006/relationships/hyperlink" Target="https://www.era.europa.eu/system/files/2024-10/cz-10473%20-%20final_report_pelhrimov.pdf" TargetMode="External"/><Relationship Id="rId20" Type="http://schemas.openxmlformats.org/officeDocument/2006/relationships/hyperlink" Target="https://www.era.europa.eu/system/files/2024-01/NO-10331%20-%202024-01%20Heskestad.pdf" TargetMode="External"/><Relationship Id="rId41" Type="http://schemas.openxmlformats.org/officeDocument/2006/relationships/hyperlink" Target="https://www.era.europa.eu/system/files/2024-03/IE-10404%20-%20230222%20Broken%20Rail%20Emly.pdf" TargetMode="External"/><Relationship Id="rId62" Type="http://schemas.openxmlformats.org/officeDocument/2006/relationships/hyperlink" Target="https://www.era.europa.eu/system/files/2024-05/NL-10405%20-%20Final%20report_0.pdf" TargetMode="External"/><Relationship Id="rId83" Type="http://schemas.openxmlformats.org/officeDocument/2006/relationships/hyperlink" Target="https://www.era.europa.eu/system/files/2024-06/BG-10472%20-%20Final%20report%20IP4IL_NIB%20BG.pdf" TargetMode="External"/><Relationship Id="rId88" Type="http://schemas.openxmlformats.org/officeDocument/2006/relationships/hyperlink" Target="https://www.era.europa.eu/system/files/2024-07/SE-10415%20-%20SHK%202024_%2008%20Slutrapport%20-%20Arlanda%20Express.pdf" TargetMode="External"/><Relationship Id="rId111" Type="http://schemas.openxmlformats.org/officeDocument/2006/relationships/hyperlink" Target="https://www.era.europa.eu/system/files/2024-10/bg-10523%20-%20final%20report_46660_eng%20%D1%81%D1%82%D1%80.pdf" TargetMode="External"/><Relationship Id="rId15" Type="http://schemas.openxmlformats.org/officeDocument/2006/relationships/hyperlink" Target="https://www.era.europa.eu/system/files/2024-01/PL-10357%20-%20Report_PKBWK_4_2023_EN.pdf" TargetMode="External"/><Relationship Id="rId36" Type="http://schemas.openxmlformats.org/officeDocument/2006/relationships/hyperlink" Target="https://www.era.europa.eu/system/files/2024-03/NO-10393%20-%202024-02%20Narvik.pdf" TargetMode="External"/><Relationship Id="rId57" Type="http://schemas.openxmlformats.org/officeDocument/2006/relationships/hyperlink" Target="https://www.era.europa.eu/system/files/2024-05/ES-10383%20-%202023-11-0130-IF.pdf" TargetMode="External"/><Relationship Id="rId106" Type="http://schemas.openxmlformats.org/officeDocument/2006/relationships/hyperlink" Target="https://www.era.europa.eu/system/files/2024-09/pl-10444%20-%20report_pkbwk_06_2024_en.pdf" TargetMode="External"/><Relationship Id="rId127" Type="http://schemas.openxmlformats.org/officeDocument/2006/relationships/hyperlink" Target="https://www.era.europa.eu/sites/default/files/2025-10/2025-03%20arna.pdf" TargetMode="External"/><Relationship Id="rId10" Type="http://schemas.openxmlformats.org/officeDocument/2006/relationships/hyperlink" Target="https://www.era.europa.eu/system/files/2023-12/IT-10335%20-%20Relazione%20finale_Pompei_07-11-2022_pubblica.pdf" TargetMode="External"/><Relationship Id="rId31" Type="http://schemas.openxmlformats.org/officeDocument/2006/relationships/hyperlink" Target="https://www.era.europa.eu/system/files/2024-03/RO-10380%20-%20RI%20Zalau%20Nord%20Mirsid%2022%2002%202023%20final%20transmis.pdf" TargetMode="External"/><Relationship Id="rId52" Type="http://schemas.openxmlformats.org/officeDocument/2006/relationships/hyperlink" Target="https://www.era.europa.eu/system/files/2024-04/HU-10178%20-%202022-0048-5_zj_EN_EN_BT.docx" TargetMode="External"/><Relationship Id="rId73" Type="http://schemas.openxmlformats.org/officeDocument/2006/relationships/hyperlink" Target="https://www.era.europa.eu/era-folder/fi-10451" TargetMode="External"/><Relationship Id="rId78" Type="http://schemas.openxmlformats.org/officeDocument/2006/relationships/hyperlink" Target="https://www.era.europa.eu/system/files/2024-06/BG-10472%20-%20Final%20report%20IP4IL_NIB%20BG.pdf" TargetMode="External"/><Relationship Id="rId94" Type="http://schemas.openxmlformats.org/officeDocument/2006/relationships/hyperlink" Target="https://www.era.europa.eu/system/files/2024-07/CZ-10194%20-%20Final_report_Zdarec_Hlinsko.pdf" TargetMode="External"/><Relationship Id="rId99" Type="http://schemas.openxmlformats.org/officeDocument/2006/relationships/hyperlink" Target="https://www.era.europa.eu/system/files/2024-08/DK-10465%20-%202023-422%20Redeg%C3%B8relse%20Aarhus%20Letbane%20Personp%C3%A5k%C3%B8rsel%20%2817-08-2023%29.pdf" TargetMode="External"/><Relationship Id="rId101" Type="http://schemas.openxmlformats.org/officeDocument/2006/relationships/hyperlink" Target="https://www.era.europa.eu/system/files/2024-08/IT-10351%20-%20Relazione%20finale_Iseo_10-12-2022_pubblica.pdf" TargetMode="External"/><Relationship Id="rId122" Type="http://schemas.openxmlformats.org/officeDocument/2006/relationships/hyperlink" Target="https://www.era.europa.eu/system/files/2024-11/ro-10478%20-%20ri%20todireni%20trusesti%2027%2011%202023%20final%20transmis.pdf" TargetMode="External"/><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 Id="rId26" Type="http://schemas.openxmlformats.org/officeDocument/2006/relationships/hyperlink" Target="https://www.era.europa.eu/system/files/2024-02/PL-10366%20-%20Report%20PKBWK%201%202024_EN.docx.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L4015"/>
  <sheetViews>
    <sheetView showGridLines="0" tabSelected="1" zoomScale="80" zoomScaleNormal="80" zoomScaleSheetLayoutView="100" workbookViewId="0">
      <pane xSplit="4" ySplit="1" topLeftCell="E1774" activePane="bottomRight" state="frozen"/>
      <selection pane="topRight" activeCell="E1" sqref="E1"/>
      <selection pane="bottomLeft" activeCell="A2" sqref="A2"/>
      <selection pane="bottomRight" activeCell="E1" sqref="E1"/>
    </sheetView>
  </sheetViews>
  <sheetFormatPr defaultColWidth="9.1796875" defaultRowHeight="36.75" customHeight="1"/>
  <cols>
    <col min="1" max="1" width="19.1796875" style="68" customWidth="1"/>
    <col min="2" max="2" width="13.54296875" style="68" customWidth="1"/>
    <col min="3" max="3" width="13.54296875" style="186" customWidth="1"/>
    <col min="4" max="4" width="17.54296875" style="68" customWidth="1"/>
    <col min="5" max="5" width="36.54296875" style="68" customWidth="1"/>
    <col min="6" max="6" width="25.81640625" style="68" customWidth="1"/>
    <col min="7" max="7" width="12.81640625" style="186" customWidth="1"/>
    <col min="8" max="8" width="13.54296875" style="186" customWidth="1"/>
    <col min="9" max="9" width="19.453125" style="68" customWidth="1"/>
    <col min="10" max="10" width="31" style="269" customWidth="1"/>
    <col min="11" max="11" width="16" style="68" customWidth="1"/>
    <col min="12" max="12" width="36.54296875" style="68" customWidth="1"/>
    <col min="13" max="13" width="19.453125" style="68" customWidth="1"/>
    <col min="14" max="14" width="14.54296875" style="68" customWidth="1"/>
    <col min="15" max="15" width="15.54296875" style="68" customWidth="1"/>
    <col min="16" max="16" width="13.54296875" style="186" customWidth="1"/>
    <col min="17" max="17" width="17" style="186" customWidth="1"/>
    <col min="18" max="18" width="13.54296875" style="186" customWidth="1"/>
    <col min="19" max="19" width="18.54296875" style="68" customWidth="1"/>
    <col min="20" max="20" width="13.54296875" style="236" customWidth="1"/>
    <col min="21" max="21" width="16" style="68" customWidth="1"/>
    <col min="22" max="22" width="15.1796875" style="236" customWidth="1"/>
    <col min="23" max="23" width="14.54296875" style="68" customWidth="1"/>
    <col min="24" max="24" width="13.81640625" style="68" customWidth="1"/>
    <col min="25" max="25" width="16.1796875" style="68" customWidth="1"/>
    <col min="26" max="26" width="13.54296875" style="236" customWidth="1"/>
    <col min="27" max="27" width="17.54296875" style="68" customWidth="1"/>
    <col min="28" max="28" width="20.81640625" style="68" customWidth="1"/>
    <col min="29" max="29" width="12.54296875" style="68" customWidth="1"/>
    <col min="30" max="30" width="19.54296875" style="68" customWidth="1"/>
    <col min="31" max="31" width="14.1796875" style="186" customWidth="1"/>
    <col min="32" max="32" width="13.54296875" style="186" customWidth="1"/>
    <col min="33" max="33" width="24.1796875" style="186" customWidth="1"/>
    <col min="34" max="34" width="13.81640625" style="186" customWidth="1"/>
    <col min="35" max="35" width="13" style="68" customWidth="1"/>
    <col min="36" max="36" width="44.453125" style="186" customWidth="1"/>
    <col min="37" max="37" width="52.54296875" style="186" customWidth="1"/>
    <col min="38" max="38" width="23.1796875" style="186" customWidth="1"/>
    <col min="39" max="39" width="15.453125" style="222" customWidth="1"/>
    <col min="40" max="40" width="16.453125" style="186" customWidth="1"/>
    <col min="41" max="41" width="18.453125" style="186" customWidth="1"/>
    <col min="42" max="42" width="13.453125" style="25" hidden="1" customWidth="1"/>
    <col min="43" max="43" width="17.81640625" style="178" hidden="1" customWidth="1"/>
    <col min="44" max="44" width="7" style="178" hidden="1" customWidth="1"/>
    <col min="45" max="45" width="12.453125" style="178" hidden="1" customWidth="1"/>
    <col min="46" max="46" width="10.1796875" style="179" hidden="1" customWidth="1"/>
    <col min="47" max="49" width="18.54296875" style="25" hidden="1" customWidth="1"/>
    <col min="50" max="53" width="18.54296875" style="180" hidden="1" customWidth="1"/>
    <col min="54" max="54" width="33.54296875" style="180" hidden="1" customWidth="1"/>
    <col min="55" max="55" width="32" style="68" hidden="1" customWidth="1"/>
    <col min="56" max="16384" width="9.1796875" style="68"/>
  </cols>
  <sheetData>
    <row r="1" spans="1:56" ht="63" customHeight="1">
      <c r="A1" s="4" t="s">
        <v>0</v>
      </c>
      <c r="B1" s="2" t="s">
        <v>1</v>
      </c>
      <c r="C1" s="10" t="s">
        <v>2</v>
      </c>
      <c r="D1" s="13" t="s">
        <v>3</v>
      </c>
      <c r="E1" s="11" t="s">
        <v>4</v>
      </c>
      <c r="F1" s="2" t="s">
        <v>5</v>
      </c>
      <c r="G1" s="1" t="s">
        <v>6</v>
      </c>
      <c r="H1" s="1" t="s">
        <v>7</v>
      </c>
      <c r="I1" s="2" t="s">
        <v>8</v>
      </c>
      <c r="J1" s="1" t="s">
        <v>9</v>
      </c>
      <c r="K1" s="2" t="s">
        <v>10</v>
      </c>
      <c r="L1" s="2" t="s">
        <v>11</v>
      </c>
      <c r="M1" s="2" t="s">
        <v>12</v>
      </c>
      <c r="N1" s="2" t="s">
        <v>13</v>
      </c>
      <c r="O1" s="2" t="s">
        <v>14</v>
      </c>
      <c r="P1" s="1" t="s">
        <v>15</v>
      </c>
      <c r="Q1" s="1" t="s">
        <v>16</v>
      </c>
      <c r="R1" s="1" t="s">
        <v>17</v>
      </c>
      <c r="S1" s="230" t="s">
        <v>18</v>
      </c>
      <c r="T1" s="230" t="s">
        <v>19</v>
      </c>
      <c r="U1" s="230" t="s">
        <v>20</v>
      </c>
      <c r="V1" s="230" t="s">
        <v>21</v>
      </c>
      <c r="W1" s="230" t="s">
        <v>22</v>
      </c>
      <c r="X1" s="230" t="s">
        <v>23</v>
      </c>
      <c r="Y1" s="230" t="s">
        <v>24</v>
      </c>
      <c r="Z1" s="230" t="s">
        <v>25</v>
      </c>
      <c r="AA1" s="230" t="s">
        <v>26</v>
      </c>
      <c r="AB1" s="230" t="s">
        <v>27</v>
      </c>
      <c r="AC1" s="230" t="s">
        <v>28</v>
      </c>
      <c r="AD1" s="230" t="s">
        <v>29</v>
      </c>
      <c r="AE1" s="1" t="s">
        <v>30</v>
      </c>
      <c r="AF1" s="1" t="s">
        <v>31</v>
      </c>
      <c r="AG1" s="1" t="s">
        <v>32</v>
      </c>
      <c r="AH1" s="1" t="s">
        <v>33</v>
      </c>
      <c r="AI1" s="2" t="s">
        <v>34</v>
      </c>
      <c r="AJ1" s="1" t="s">
        <v>35</v>
      </c>
      <c r="AK1" s="1" t="s">
        <v>36</v>
      </c>
      <c r="AL1" s="6" t="s">
        <v>37</v>
      </c>
      <c r="AM1" s="7" t="s">
        <v>38</v>
      </c>
      <c r="AN1" s="6" t="s">
        <v>39</v>
      </c>
      <c r="AO1" s="6" t="s">
        <v>40</v>
      </c>
      <c r="AP1" s="3" t="s">
        <v>41</v>
      </c>
      <c r="AQ1" s="3" t="s">
        <v>42</v>
      </c>
      <c r="AR1" s="3" t="s">
        <v>43</v>
      </c>
      <c r="AS1" s="3" t="s">
        <v>44</v>
      </c>
      <c r="AT1" s="3" t="s">
        <v>45</v>
      </c>
      <c r="AU1" s="4" t="s">
        <v>46</v>
      </c>
      <c r="AV1" s="4" t="s">
        <v>47</v>
      </c>
      <c r="AW1" s="4" t="s">
        <v>48</v>
      </c>
      <c r="AX1" s="4" t="s">
        <v>49</v>
      </c>
      <c r="AY1" s="4" t="s">
        <v>50</v>
      </c>
      <c r="AZ1" s="4" t="s">
        <v>51</v>
      </c>
      <c r="BA1" s="4" t="s">
        <v>52</v>
      </c>
      <c r="BB1" s="4" t="s">
        <v>53</v>
      </c>
      <c r="BC1" s="4" t="s">
        <v>54</v>
      </c>
    </row>
    <row r="2" spans="1:56" ht="36.75" customHeight="1">
      <c r="A2" s="30"/>
      <c r="B2" s="30" t="s">
        <v>55</v>
      </c>
      <c r="C2" s="69" t="str">
        <f t="shared" ref="C2:C65" si="0">IF(B2="Notification","Open",IF(B2="Interim Statement","In progress","Closed"))</f>
        <v>Closed</v>
      </c>
      <c r="D2" s="27" t="s">
        <v>56</v>
      </c>
      <c r="E2" s="29" t="s">
        <v>57</v>
      </c>
      <c r="F2" s="30" t="s">
        <v>58</v>
      </c>
      <c r="G2" s="70">
        <f>DATE(2002,6,29)</f>
        <v>37436</v>
      </c>
      <c r="H2" s="71">
        <v>1.35625</v>
      </c>
      <c r="I2" s="30" t="s">
        <v>59</v>
      </c>
      <c r="J2" s="70" t="s">
        <v>60</v>
      </c>
      <c r="K2" s="30" t="s">
        <v>61</v>
      </c>
      <c r="L2" s="30" t="s">
        <v>62</v>
      </c>
      <c r="M2" s="30" t="s">
        <v>63</v>
      </c>
      <c r="N2" s="30">
        <v>0</v>
      </c>
      <c r="O2" s="30" t="s">
        <v>64</v>
      </c>
      <c r="P2" s="70" t="s">
        <v>65</v>
      </c>
      <c r="Q2" s="70" t="s">
        <v>66</v>
      </c>
      <c r="R2" s="70" t="s">
        <v>67</v>
      </c>
      <c r="S2" s="30">
        <v>0</v>
      </c>
      <c r="T2" s="231" t="s">
        <v>68</v>
      </c>
      <c r="U2" s="30">
        <v>0</v>
      </c>
      <c r="V2" s="231" t="s">
        <v>68</v>
      </c>
      <c r="W2" s="30">
        <v>0</v>
      </c>
      <c r="X2" s="30">
        <v>0</v>
      </c>
      <c r="Y2" s="30">
        <v>0</v>
      </c>
      <c r="Z2" s="231" t="s">
        <v>68</v>
      </c>
      <c r="AA2" s="30">
        <v>0</v>
      </c>
      <c r="AB2" s="30">
        <v>0</v>
      </c>
      <c r="AC2" s="30">
        <v>0</v>
      </c>
      <c r="AD2" s="30">
        <v>0</v>
      </c>
      <c r="AE2" s="70" t="s">
        <v>68</v>
      </c>
      <c r="AF2" s="70" t="s">
        <v>68</v>
      </c>
      <c r="AG2" s="70" t="s">
        <v>69</v>
      </c>
      <c r="AH2" s="72" t="s">
        <v>68</v>
      </c>
      <c r="AI2" s="30">
        <v>0</v>
      </c>
      <c r="AJ2" s="70" t="s">
        <v>68</v>
      </c>
      <c r="AK2" s="70" t="s">
        <v>68</v>
      </c>
      <c r="AL2" s="70">
        <v>39189</v>
      </c>
      <c r="AM2" s="70"/>
      <c r="AN2" s="70"/>
      <c r="AO2" s="70"/>
      <c r="AP2" s="73" t="e">
        <f>MID(VLOOKUP(K2,#REF!,2,FALSE),1,2)</f>
        <v>#REF!</v>
      </c>
      <c r="AQ2" s="70">
        <f>DATE(2002,6,29)</f>
        <v>37436</v>
      </c>
      <c r="AR2" s="74">
        <f t="shared" ref="AR2:AR65" si="1">DAY(AQ2)</f>
        <v>29</v>
      </c>
      <c r="AS2" s="75">
        <f t="shared" ref="AS2:AS65" si="2">MONTH(AQ2)</f>
        <v>6</v>
      </c>
      <c r="AT2" s="76">
        <f t="shared" ref="AT2:AT65" si="3">YEAR(AQ2)</f>
        <v>2002</v>
      </c>
      <c r="AU2" s="77">
        <f>DATE(2002,4,17)</f>
        <v>37363</v>
      </c>
      <c r="AV2" s="78"/>
      <c r="AW2" s="79">
        <f>BA2-AV2</f>
        <v>0</v>
      </c>
      <c r="AX2" s="77">
        <f>DATE(2002,11,13)</f>
        <v>37573</v>
      </c>
      <c r="AY2" s="75">
        <f t="shared" ref="AY2:AY47" si="4">MONTH(AX2)</f>
        <v>11</v>
      </c>
      <c r="AZ2" s="76">
        <f t="shared" ref="AZ2:AZ47" si="5">YEAR(AX2)</f>
        <v>2002</v>
      </c>
      <c r="BA2" s="78"/>
      <c r="BB2" s="78"/>
      <c r="BD2" s="68">
        <f>IF(AN2 &gt; DATE(2024,10,14),1,0)</f>
        <v>0</v>
      </c>
    </row>
    <row r="3" spans="1:56" ht="36.75" customHeight="1">
      <c r="A3" s="30"/>
      <c r="B3" s="30" t="s">
        <v>55</v>
      </c>
      <c r="C3" s="69" t="str">
        <f t="shared" si="0"/>
        <v>Closed</v>
      </c>
      <c r="D3" s="27" t="s">
        <v>70</v>
      </c>
      <c r="E3" s="29" t="s">
        <v>71</v>
      </c>
      <c r="F3" s="30" t="s">
        <v>72</v>
      </c>
      <c r="G3" s="72">
        <f>DATE(2003,4,30)</f>
        <v>37741</v>
      </c>
      <c r="H3" s="80">
        <v>1.0291666666666666</v>
      </c>
      <c r="I3" s="30" t="s">
        <v>73</v>
      </c>
      <c r="J3" s="72" t="s">
        <v>74</v>
      </c>
      <c r="K3" s="30" t="s">
        <v>75</v>
      </c>
      <c r="L3" s="30" t="s">
        <v>76</v>
      </c>
      <c r="M3" s="30" t="s">
        <v>63</v>
      </c>
      <c r="N3" s="30">
        <v>0</v>
      </c>
      <c r="O3" s="30" t="s">
        <v>77</v>
      </c>
      <c r="P3" s="72" t="s">
        <v>78</v>
      </c>
      <c r="Q3" s="72" t="s">
        <v>79</v>
      </c>
      <c r="R3" s="72" t="s">
        <v>80</v>
      </c>
      <c r="S3" s="30">
        <v>0</v>
      </c>
      <c r="T3" s="232" t="s">
        <v>68</v>
      </c>
      <c r="U3" s="30">
        <v>0</v>
      </c>
      <c r="V3" s="232" t="s">
        <v>68</v>
      </c>
      <c r="W3" s="30">
        <v>0</v>
      </c>
      <c r="X3" s="30">
        <v>0</v>
      </c>
      <c r="Y3" s="30">
        <v>0</v>
      </c>
      <c r="Z3" s="232" t="s">
        <v>68</v>
      </c>
      <c r="AA3" s="30">
        <v>0</v>
      </c>
      <c r="AB3" s="30">
        <v>0</v>
      </c>
      <c r="AC3" s="30">
        <v>0</v>
      </c>
      <c r="AD3" s="30">
        <v>0</v>
      </c>
      <c r="AE3" s="72" t="s">
        <v>68</v>
      </c>
      <c r="AF3" s="72" t="s">
        <v>81</v>
      </c>
      <c r="AG3" s="72" t="s">
        <v>82</v>
      </c>
      <c r="AH3" s="72" t="s">
        <v>68</v>
      </c>
      <c r="AI3" s="30">
        <v>0</v>
      </c>
      <c r="AJ3" s="72" t="s">
        <v>68</v>
      </c>
      <c r="AK3" s="72" t="s">
        <v>68</v>
      </c>
      <c r="AL3" s="70">
        <v>39538</v>
      </c>
      <c r="AM3" s="70"/>
      <c r="AN3" s="70"/>
      <c r="AO3" s="70"/>
      <c r="AP3" s="73" t="e">
        <f>MID(VLOOKUP(K3,#REF!,2,FALSE),1,2)</f>
        <v>#REF!</v>
      </c>
      <c r="AQ3" s="72">
        <f>DATE(2003,4,30)</f>
        <v>37741</v>
      </c>
      <c r="AR3" s="82">
        <f t="shared" si="1"/>
        <v>30</v>
      </c>
      <c r="AS3" s="83">
        <f t="shared" si="2"/>
        <v>4</v>
      </c>
      <c r="AT3" s="84">
        <f t="shared" si="3"/>
        <v>2003</v>
      </c>
      <c r="AU3" s="85">
        <f>DATE(2008,3,31)</f>
        <v>39538</v>
      </c>
      <c r="AV3" s="86"/>
      <c r="AW3" s="87"/>
      <c r="AX3" s="85">
        <f>DATE(2006,11,6)</f>
        <v>39027</v>
      </c>
      <c r="AY3" s="83">
        <f t="shared" si="4"/>
        <v>11</v>
      </c>
      <c r="AZ3" s="84">
        <f t="shared" si="5"/>
        <v>2006</v>
      </c>
      <c r="BA3" s="86"/>
      <c r="BB3" s="86" t="s">
        <v>83</v>
      </c>
      <c r="BD3" s="68">
        <f t="shared" ref="BD3:BD66" si="6">IF(AN3 &gt; DATE(2024,10,14),1,0)</f>
        <v>0</v>
      </c>
    </row>
    <row r="4" spans="1:56" ht="36.75" customHeight="1">
      <c r="A4" s="30"/>
      <c r="B4" s="30" t="s">
        <v>55</v>
      </c>
      <c r="C4" s="69" t="str">
        <f t="shared" si="0"/>
        <v>Closed</v>
      </c>
      <c r="D4" s="27" t="s">
        <v>84</v>
      </c>
      <c r="E4" s="29" t="s">
        <v>85</v>
      </c>
      <c r="F4" s="30" t="s">
        <v>58</v>
      </c>
      <c r="G4" s="72">
        <f>DATE(2004,4,15)</f>
        <v>38092</v>
      </c>
      <c r="H4" s="80">
        <v>1.7298611111111111</v>
      </c>
      <c r="I4" s="30" t="s">
        <v>86</v>
      </c>
      <c r="J4" s="72" t="s">
        <v>87</v>
      </c>
      <c r="K4" s="30" t="s">
        <v>61</v>
      </c>
      <c r="L4" s="30" t="s">
        <v>88</v>
      </c>
      <c r="M4" s="30" t="s">
        <v>63</v>
      </c>
      <c r="N4" s="30" t="s">
        <v>89</v>
      </c>
      <c r="O4" s="30" t="s">
        <v>90</v>
      </c>
      <c r="P4" s="72" t="s">
        <v>91</v>
      </c>
      <c r="Q4" s="72" t="s">
        <v>66</v>
      </c>
      <c r="R4" s="72" t="s">
        <v>67</v>
      </c>
      <c r="S4" s="30">
        <v>0</v>
      </c>
      <c r="T4" s="232">
        <v>0</v>
      </c>
      <c r="U4" s="30">
        <v>0</v>
      </c>
      <c r="V4" s="232">
        <v>0</v>
      </c>
      <c r="W4" s="30">
        <v>0</v>
      </c>
      <c r="X4" s="30">
        <v>0</v>
      </c>
      <c r="Y4" s="30">
        <v>0</v>
      </c>
      <c r="Z4" s="232">
        <v>0</v>
      </c>
      <c r="AA4" s="30">
        <v>0</v>
      </c>
      <c r="AB4" s="30">
        <v>0</v>
      </c>
      <c r="AC4" s="30">
        <v>0</v>
      </c>
      <c r="AD4" s="30">
        <v>0</v>
      </c>
      <c r="AE4" s="72" t="s">
        <v>92</v>
      </c>
      <c r="AF4" s="72" t="s">
        <v>93</v>
      </c>
      <c r="AG4" s="72" t="s">
        <v>69</v>
      </c>
      <c r="AH4" s="72">
        <v>38103</v>
      </c>
      <c r="AI4" s="30">
        <v>2</v>
      </c>
      <c r="AJ4" s="72" t="s">
        <v>94</v>
      </c>
      <c r="AK4" s="72" t="s">
        <v>68</v>
      </c>
      <c r="AL4" s="70">
        <v>39189</v>
      </c>
      <c r="AM4" s="70"/>
      <c r="AN4" s="70"/>
      <c r="AO4" s="70"/>
      <c r="AP4" s="73" t="e">
        <f>MID(VLOOKUP(K4,#REF!,2,FALSE),1,2)</f>
        <v>#REF!</v>
      </c>
      <c r="AQ4" s="72">
        <f>DATE(2004,4,15)</f>
        <v>38092</v>
      </c>
      <c r="AR4" s="82">
        <f t="shared" si="1"/>
        <v>15</v>
      </c>
      <c r="AS4" s="83">
        <f t="shared" si="2"/>
        <v>4</v>
      </c>
      <c r="AT4" s="84">
        <f t="shared" si="3"/>
        <v>2004</v>
      </c>
      <c r="AU4" s="88">
        <f>DATE(2007,4,17)</f>
        <v>39189</v>
      </c>
      <c r="AV4" s="88">
        <f>DATE(2004,4,26)</f>
        <v>38103</v>
      </c>
      <c r="AW4" s="87">
        <f>AU4-AV4</f>
        <v>1086</v>
      </c>
      <c r="AX4" s="88">
        <f>DATE(2006,10,27)</f>
        <v>39017</v>
      </c>
      <c r="AY4" s="83">
        <f t="shared" si="4"/>
        <v>10</v>
      </c>
      <c r="AZ4" s="84">
        <f t="shared" si="5"/>
        <v>2006</v>
      </c>
      <c r="BA4" s="86"/>
      <c r="BB4" s="86"/>
      <c r="BD4" s="68">
        <f t="shared" si="6"/>
        <v>0</v>
      </c>
    </row>
    <row r="5" spans="1:56" ht="36.75" customHeight="1">
      <c r="A5" s="30"/>
      <c r="B5" s="30" t="s">
        <v>55</v>
      </c>
      <c r="C5" s="69" t="str">
        <f t="shared" si="0"/>
        <v>Closed</v>
      </c>
      <c r="D5" s="27" t="s">
        <v>95</v>
      </c>
      <c r="E5" s="29" t="s">
        <v>96</v>
      </c>
      <c r="F5" s="30" t="s">
        <v>58</v>
      </c>
      <c r="G5" s="89">
        <f>DATE(2004,5,11)</f>
        <v>38118</v>
      </c>
      <c r="H5" s="90">
        <v>1.5395833333333333</v>
      </c>
      <c r="I5" s="30" t="s">
        <v>73</v>
      </c>
      <c r="J5" s="89" t="s">
        <v>97</v>
      </c>
      <c r="K5" s="30" t="s">
        <v>61</v>
      </c>
      <c r="L5" s="30" t="s">
        <v>98</v>
      </c>
      <c r="M5" s="30" t="s">
        <v>63</v>
      </c>
      <c r="N5" s="30" t="s">
        <v>99</v>
      </c>
      <c r="O5" s="30" t="s">
        <v>77</v>
      </c>
      <c r="P5" s="89" t="s">
        <v>78</v>
      </c>
      <c r="Q5" s="89" t="s">
        <v>66</v>
      </c>
      <c r="R5" s="89" t="s">
        <v>67</v>
      </c>
      <c r="S5" s="30">
        <v>0</v>
      </c>
      <c r="T5" s="233">
        <v>0</v>
      </c>
      <c r="U5" s="30">
        <v>0</v>
      </c>
      <c r="V5" s="233">
        <v>0</v>
      </c>
      <c r="W5" s="30">
        <v>0</v>
      </c>
      <c r="X5" s="30">
        <v>0</v>
      </c>
      <c r="Y5" s="30">
        <v>0</v>
      </c>
      <c r="Z5" s="233">
        <v>0</v>
      </c>
      <c r="AA5" s="30">
        <v>0</v>
      </c>
      <c r="AB5" s="30">
        <v>0</v>
      </c>
      <c r="AC5" s="30">
        <v>0</v>
      </c>
      <c r="AD5" s="30">
        <v>0</v>
      </c>
      <c r="AE5" s="89" t="s">
        <v>92</v>
      </c>
      <c r="AF5" s="89" t="s">
        <v>100</v>
      </c>
      <c r="AG5" s="89" t="s">
        <v>69</v>
      </c>
      <c r="AH5" s="72" t="s">
        <v>68</v>
      </c>
      <c r="AI5" s="30">
        <v>0</v>
      </c>
      <c r="AJ5" s="89" t="s">
        <v>101</v>
      </c>
      <c r="AK5" s="89" t="s">
        <v>68</v>
      </c>
      <c r="AL5" s="91">
        <v>39133</v>
      </c>
      <c r="AM5" s="91"/>
      <c r="AN5" s="91"/>
      <c r="AO5" s="91"/>
      <c r="AP5" s="73" t="e">
        <f>MID(VLOOKUP(K5,#REF!,2,FALSE),1,2)</f>
        <v>#REF!</v>
      </c>
      <c r="AQ5" s="89">
        <f>DATE(2004,5,11)</f>
        <v>38118</v>
      </c>
      <c r="AR5" s="82">
        <f t="shared" si="1"/>
        <v>11</v>
      </c>
      <c r="AS5" s="83">
        <f t="shared" si="2"/>
        <v>5</v>
      </c>
      <c r="AT5" s="84">
        <f t="shared" si="3"/>
        <v>2004</v>
      </c>
      <c r="AU5" s="88">
        <f>DATE(2007,2,20)</f>
        <v>39133</v>
      </c>
      <c r="AV5" s="86"/>
      <c r="AW5" s="87"/>
      <c r="AX5" s="88">
        <f>DATE(2006,11,13)</f>
        <v>39034</v>
      </c>
      <c r="AY5" s="83">
        <f t="shared" si="4"/>
        <v>11</v>
      </c>
      <c r="AZ5" s="84">
        <f t="shared" si="5"/>
        <v>2006</v>
      </c>
      <c r="BA5" s="86"/>
      <c r="BB5" s="86"/>
      <c r="BD5" s="68">
        <f t="shared" si="6"/>
        <v>0</v>
      </c>
    </row>
    <row r="6" spans="1:56" ht="36.75" customHeight="1">
      <c r="A6" s="30"/>
      <c r="B6" s="30" t="s">
        <v>55</v>
      </c>
      <c r="C6" s="69" t="str">
        <f t="shared" si="0"/>
        <v>Closed</v>
      </c>
      <c r="D6" s="27" t="s">
        <v>102</v>
      </c>
      <c r="E6" s="29" t="s">
        <v>103</v>
      </c>
      <c r="F6" s="30" t="s">
        <v>72</v>
      </c>
      <c r="G6" s="89">
        <f>DATE(2004,5,21)</f>
        <v>38128</v>
      </c>
      <c r="H6" s="90">
        <v>1.7743055555555554</v>
      </c>
      <c r="I6" s="30" t="s">
        <v>104</v>
      </c>
      <c r="J6" s="89" t="s">
        <v>105</v>
      </c>
      <c r="K6" s="30" t="s">
        <v>75</v>
      </c>
      <c r="L6" s="30" t="s">
        <v>106</v>
      </c>
      <c r="M6" s="30" t="s">
        <v>63</v>
      </c>
      <c r="N6" s="30">
        <v>0</v>
      </c>
      <c r="O6" s="30" t="s">
        <v>77</v>
      </c>
      <c r="P6" s="89" t="s">
        <v>65</v>
      </c>
      <c r="Q6" s="89" t="s">
        <v>107</v>
      </c>
      <c r="R6" s="89" t="s">
        <v>80</v>
      </c>
      <c r="S6" s="30">
        <v>0</v>
      </c>
      <c r="T6" s="233">
        <v>0</v>
      </c>
      <c r="U6" s="30">
        <v>0</v>
      </c>
      <c r="V6" s="233">
        <v>0</v>
      </c>
      <c r="W6" s="30">
        <v>0</v>
      </c>
      <c r="X6" s="30">
        <v>0</v>
      </c>
      <c r="Y6" s="30">
        <v>19</v>
      </c>
      <c r="Z6" s="233">
        <v>0</v>
      </c>
      <c r="AA6" s="30">
        <v>0</v>
      </c>
      <c r="AB6" s="30">
        <v>0</v>
      </c>
      <c r="AC6" s="30">
        <v>0</v>
      </c>
      <c r="AD6" s="30">
        <v>19</v>
      </c>
      <c r="AE6" s="89" t="s">
        <v>68</v>
      </c>
      <c r="AF6" s="89" t="s">
        <v>108</v>
      </c>
      <c r="AG6" s="89" t="s">
        <v>69</v>
      </c>
      <c r="AH6" s="72" t="s">
        <v>68</v>
      </c>
      <c r="AI6" s="30">
        <v>4</v>
      </c>
      <c r="AJ6" s="89" t="s">
        <v>68</v>
      </c>
      <c r="AK6" s="89" t="s">
        <v>68</v>
      </c>
      <c r="AL6" s="91">
        <v>39224</v>
      </c>
      <c r="AM6" s="91"/>
      <c r="AN6" s="91"/>
      <c r="AO6" s="91"/>
      <c r="AP6" s="73" t="e">
        <f>MID(VLOOKUP(K6,#REF!,2,FALSE),1,2)</f>
        <v>#REF!</v>
      </c>
      <c r="AQ6" s="89">
        <f>DATE(2004,5,21)</f>
        <v>38128</v>
      </c>
      <c r="AR6" s="82">
        <f t="shared" si="1"/>
        <v>21</v>
      </c>
      <c r="AS6" s="83">
        <f t="shared" si="2"/>
        <v>5</v>
      </c>
      <c r="AT6" s="84">
        <f t="shared" si="3"/>
        <v>2004</v>
      </c>
      <c r="AU6" s="88">
        <f>DATE(2007,5,22)</f>
        <v>39224</v>
      </c>
      <c r="AV6" s="86"/>
      <c r="AW6" s="87"/>
      <c r="AX6" s="88">
        <f>DATE(2008,8,28)</f>
        <v>39688</v>
      </c>
      <c r="AY6" s="83">
        <f t="shared" si="4"/>
        <v>8</v>
      </c>
      <c r="AZ6" s="84">
        <f t="shared" si="5"/>
        <v>2008</v>
      </c>
      <c r="BA6" s="86"/>
      <c r="BB6" s="86"/>
      <c r="BD6" s="68">
        <f t="shared" si="6"/>
        <v>0</v>
      </c>
    </row>
    <row r="7" spans="1:56" ht="36.75" customHeight="1">
      <c r="A7" s="30"/>
      <c r="B7" s="30" t="s">
        <v>55</v>
      </c>
      <c r="C7" s="69" t="str">
        <f t="shared" si="0"/>
        <v>Closed</v>
      </c>
      <c r="D7" s="27" t="s">
        <v>109</v>
      </c>
      <c r="E7" s="29" t="s">
        <v>110</v>
      </c>
      <c r="F7" s="30" t="s">
        <v>58</v>
      </c>
      <c r="G7" s="89">
        <f>DATE(2004,7,30)</f>
        <v>38198</v>
      </c>
      <c r="H7" s="90">
        <v>1.6333333333333333</v>
      </c>
      <c r="I7" s="30" t="s">
        <v>73</v>
      </c>
      <c r="J7" s="89" t="s">
        <v>97</v>
      </c>
      <c r="K7" s="30" t="s">
        <v>61</v>
      </c>
      <c r="L7" s="30" t="s">
        <v>111</v>
      </c>
      <c r="M7" s="30" t="s">
        <v>63</v>
      </c>
      <c r="N7" s="30">
        <v>0</v>
      </c>
      <c r="O7" s="30" t="s">
        <v>77</v>
      </c>
      <c r="P7" s="89" t="s">
        <v>78</v>
      </c>
      <c r="Q7" s="89" t="s">
        <v>66</v>
      </c>
      <c r="R7" s="89" t="s">
        <v>67</v>
      </c>
      <c r="S7" s="30">
        <v>0</v>
      </c>
      <c r="T7" s="233" t="s">
        <v>68</v>
      </c>
      <c r="U7" s="30">
        <v>0</v>
      </c>
      <c r="V7" s="233" t="s">
        <v>68</v>
      </c>
      <c r="W7" s="30">
        <v>0</v>
      </c>
      <c r="X7" s="30">
        <v>0</v>
      </c>
      <c r="Y7" s="30">
        <v>0</v>
      </c>
      <c r="Z7" s="233" t="s">
        <v>68</v>
      </c>
      <c r="AA7" s="30">
        <v>0</v>
      </c>
      <c r="AB7" s="30">
        <v>0</v>
      </c>
      <c r="AC7" s="30">
        <v>0</v>
      </c>
      <c r="AD7" s="30">
        <v>0</v>
      </c>
      <c r="AE7" s="89" t="s">
        <v>68</v>
      </c>
      <c r="AF7" s="89" t="s">
        <v>112</v>
      </c>
      <c r="AG7" s="89" t="s">
        <v>69</v>
      </c>
      <c r="AH7" s="72" t="s">
        <v>68</v>
      </c>
      <c r="AI7" s="30">
        <v>1</v>
      </c>
      <c r="AJ7" s="89" t="s">
        <v>68</v>
      </c>
      <c r="AK7" s="89" t="s">
        <v>68</v>
      </c>
      <c r="AL7" s="91">
        <v>39189</v>
      </c>
      <c r="AM7" s="91"/>
      <c r="AN7" s="91"/>
      <c r="AO7" s="91"/>
      <c r="AP7" s="73" t="e">
        <f>MID(VLOOKUP(K7,#REF!,2,FALSE),1,2)</f>
        <v>#REF!</v>
      </c>
      <c r="AQ7" s="89">
        <f>DATE(2004,7,30)</f>
        <v>38198</v>
      </c>
      <c r="AR7" s="82">
        <f t="shared" si="1"/>
        <v>30</v>
      </c>
      <c r="AS7" s="83">
        <f t="shared" si="2"/>
        <v>7</v>
      </c>
      <c r="AT7" s="92">
        <f t="shared" si="3"/>
        <v>2004</v>
      </c>
      <c r="AU7" s="88">
        <f>DATE(2007,4,17)</f>
        <v>39189</v>
      </c>
      <c r="AV7" s="86"/>
      <c r="AW7" s="87"/>
      <c r="AX7" s="88">
        <f>DATE(2006,11,13)</f>
        <v>39034</v>
      </c>
      <c r="AY7" s="83">
        <f t="shared" si="4"/>
        <v>11</v>
      </c>
      <c r="AZ7" s="84">
        <f t="shared" si="5"/>
        <v>2006</v>
      </c>
      <c r="BA7" s="86"/>
      <c r="BB7" s="86"/>
      <c r="BD7" s="68">
        <f t="shared" si="6"/>
        <v>0</v>
      </c>
    </row>
    <row r="8" spans="1:56" ht="36.75" customHeight="1">
      <c r="A8" s="30"/>
      <c r="B8" s="30" t="s">
        <v>55</v>
      </c>
      <c r="C8" s="69" t="str">
        <f t="shared" si="0"/>
        <v>Closed</v>
      </c>
      <c r="D8" s="27" t="s">
        <v>113</v>
      </c>
      <c r="E8" s="29" t="s">
        <v>114</v>
      </c>
      <c r="F8" s="30" t="s">
        <v>115</v>
      </c>
      <c r="G8" s="89">
        <f>DATE(2004,11,24)</f>
        <v>38315</v>
      </c>
      <c r="H8" s="90">
        <v>1.7131944444444445</v>
      </c>
      <c r="I8" s="30" t="s">
        <v>116</v>
      </c>
      <c r="J8" s="89" t="s">
        <v>117</v>
      </c>
      <c r="K8" s="30" t="s">
        <v>118</v>
      </c>
      <c r="L8" s="30" t="s">
        <v>119</v>
      </c>
      <c r="M8" s="30" t="s">
        <v>63</v>
      </c>
      <c r="N8" s="30">
        <v>0</v>
      </c>
      <c r="O8" s="30" t="s">
        <v>64</v>
      </c>
      <c r="P8" s="89" t="s">
        <v>65</v>
      </c>
      <c r="Q8" s="89" t="s">
        <v>120</v>
      </c>
      <c r="R8" s="89" t="s">
        <v>121</v>
      </c>
      <c r="S8" s="30">
        <v>0</v>
      </c>
      <c r="T8" s="233" t="s">
        <v>68</v>
      </c>
      <c r="U8" s="30">
        <v>0</v>
      </c>
      <c r="V8" s="233" t="s">
        <v>68</v>
      </c>
      <c r="W8" s="30">
        <v>0</v>
      </c>
      <c r="X8" s="30">
        <v>0</v>
      </c>
      <c r="Y8" s="30">
        <v>0</v>
      </c>
      <c r="Z8" s="233" t="s">
        <v>68</v>
      </c>
      <c r="AA8" s="30">
        <v>0</v>
      </c>
      <c r="AB8" s="30">
        <v>0</v>
      </c>
      <c r="AC8" s="30">
        <v>0</v>
      </c>
      <c r="AD8" s="30">
        <v>0</v>
      </c>
      <c r="AE8" s="89" t="s">
        <v>68</v>
      </c>
      <c r="AF8" s="89" t="s">
        <v>68</v>
      </c>
      <c r="AG8" s="89" t="s">
        <v>69</v>
      </c>
      <c r="AH8" s="72" t="s">
        <v>68</v>
      </c>
      <c r="AI8" s="30">
        <v>0</v>
      </c>
      <c r="AJ8" s="89" t="s">
        <v>68</v>
      </c>
      <c r="AK8" s="89" t="s">
        <v>68</v>
      </c>
      <c r="AL8" s="91">
        <v>39190</v>
      </c>
      <c r="AM8" s="91"/>
      <c r="AN8" s="91"/>
      <c r="AO8" s="91"/>
      <c r="AP8" s="73" t="e">
        <f>MID(VLOOKUP(K8,#REF!,2,FALSE),1,2)</f>
        <v>#REF!</v>
      </c>
      <c r="AQ8" s="89">
        <f>DATE(2004,11,24)</f>
        <v>38315</v>
      </c>
      <c r="AR8" s="82">
        <f t="shared" si="1"/>
        <v>24</v>
      </c>
      <c r="AS8" s="83">
        <f t="shared" si="2"/>
        <v>11</v>
      </c>
      <c r="AT8" s="93">
        <f t="shared" si="3"/>
        <v>2004</v>
      </c>
      <c r="AU8" s="88">
        <f>DATE(2007,4,18)</f>
        <v>39190</v>
      </c>
      <c r="AV8" s="86"/>
      <c r="AW8" s="87"/>
      <c r="AX8" s="88">
        <f>DATE(2006,12,1)</f>
        <v>39052</v>
      </c>
      <c r="AY8" s="83">
        <f t="shared" si="4"/>
        <v>12</v>
      </c>
      <c r="AZ8" s="84">
        <f t="shared" si="5"/>
        <v>2006</v>
      </c>
      <c r="BA8" s="86"/>
      <c r="BB8" s="86"/>
      <c r="BD8" s="68">
        <f t="shared" si="6"/>
        <v>0</v>
      </c>
    </row>
    <row r="9" spans="1:56" ht="36.75" customHeight="1">
      <c r="A9" s="30"/>
      <c r="B9" s="30" t="s">
        <v>55</v>
      </c>
      <c r="C9" s="69" t="str">
        <f t="shared" si="0"/>
        <v>Closed</v>
      </c>
      <c r="D9" s="27" t="s">
        <v>122</v>
      </c>
      <c r="E9" s="29" t="s">
        <v>123</v>
      </c>
      <c r="F9" s="30" t="s">
        <v>124</v>
      </c>
      <c r="G9" s="89">
        <f>DATE(2005,1,1)</f>
        <v>38353</v>
      </c>
      <c r="H9" s="90">
        <v>1.4236111111111112</v>
      </c>
      <c r="I9" s="30" t="s">
        <v>125</v>
      </c>
      <c r="J9" s="89" t="s">
        <v>126</v>
      </c>
      <c r="K9" s="30" t="s">
        <v>127</v>
      </c>
      <c r="L9" s="30" t="s">
        <v>128</v>
      </c>
      <c r="M9" s="30" t="s">
        <v>129</v>
      </c>
      <c r="N9" s="30">
        <v>0</v>
      </c>
      <c r="O9" s="30" t="s">
        <v>86</v>
      </c>
      <c r="P9" s="89" t="s">
        <v>86</v>
      </c>
      <c r="Q9" s="89" t="s">
        <v>130</v>
      </c>
      <c r="R9" s="89" t="s">
        <v>131</v>
      </c>
      <c r="S9" s="30">
        <v>0</v>
      </c>
      <c r="T9" s="233" t="s">
        <v>68</v>
      </c>
      <c r="U9" s="30">
        <v>0</v>
      </c>
      <c r="V9" s="233" t="s">
        <v>68</v>
      </c>
      <c r="W9" s="30">
        <v>0</v>
      </c>
      <c r="X9" s="30">
        <v>0</v>
      </c>
      <c r="Y9" s="30">
        <v>0</v>
      </c>
      <c r="Z9" s="233" t="s">
        <v>68</v>
      </c>
      <c r="AA9" s="30">
        <v>0</v>
      </c>
      <c r="AB9" s="30">
        <v>0</v>
      </c>
      <c r="AC9" s="30">
        <v>0</v>
      </c>
      <c r="AD9" s="30">
        <v>0</v>
      </c>
      <c r="AE9" s="89" t="s">
        <v>68</v>
      </c>
      <c r="AF9" s="89" t="s">
        <v>132</v>
      </c>
      <c r="AG9" s="89" t="s">
        <v>133</v>
      </c>
      <c r="AH9" s="72" t="s">
        <v>68</v>
      </c>
      <c r="AI9" s="30">
        <v>9</v>
      </c>
      <c r="AJ9" s="89" t="s">
        <v>134</v>
      </c>
      <c r="AK9" s="89" t="s">
        <v>135</v>
      </c>
      <c r="AL9" s="91">
        <v>39833</v>
      </c>
      <c r="AM9" s="91"/>
      <c r="AN9" s="91"/>
      <c r="AO9" s="91"/>
      <c r="AP9" s="73" t="e">
        <f>MID(VLOOKUP(K9,#REF!,2,FALSE),1,2)</f>
        <v>#REF!</v>
      </c>
      <c r="AQ9" s="89">
        <f>DATE(2005,1,1)</f>
        <v>38353</v>
      </c>
      <c r="AR9" s="82">
        <f t="shared" si="1"/>
        <v>1</v>
      </c>
      <c r="AS9" s="83">
        <f t="shared" si="2"/>
        <v>1</v>
      </c>
      <c r="AT9" s="93">
        <f t="shared" si="3"/>
        <v>2005</v>
      </c>
      <c r="AU9" s="88">
        <f>DATE(2009,1,20)</f>
        <v>39833</v>
      </c>
      <c r="AV9" s="86"/>
      <c r="AW9" s="87"/>
      <c r="AX9" s="88">
        <f>DATE(2009,1,15)</f>
        <v>39828</v>
      </c>
      <c r="AY9" s="83">
        <f t="shared" si="4"/>
        <v>1</v>
      </c>
      <c r="AZ9" s="84">
        <f t="shared" si="5"/>
        <v>2009</v>
      </c>
      <c r="BA9" s="86"/>
      <c r="BB9" s="86"/>
      <c r="BD9" s="68">
        <f t="shared" si="6"/>
        <v>0</v>
      </c>
    </row>
    <row r="10" spans="1:56" ht="36.75" customHeight="1">
      <c r="A10" s="30"/>
      <c r="B10" s="30" t="s">
        <v>55</v>
      </c>
      <c r="C10" s="69" t="str">
        <f t="shared" si="0"/>
        <v>Closed</v>
      </c>
      <c r="D10" s="27" t="s">
        <v>136</v>
      </c>
      <c r="E10" s="29" t="s">
        <v>137</v>
      </c>
      <c r="F10" s="30" t="s">
        <v>138</v>
      </c>
      <c r="G10" s="89">
        <f>DATE(2005,2,28)</f>
        <v>38411</v>
      </c>
      <c r="H10" s="90">
        <v>1.5319444444444446</v>
      </c>
      <c r="I10" s="30" t="s">
        <v>73</v>
      </c>
      <c r="J10" s="89" t="s">
        <v>139</v>
      </c>
      <c r="K10" s="30" t="s">
        <v>140</v>
      </c>
      <c r="L10" s="30" t="s">
        <v>141</v>
      </c>
      <c r="M10" s="30" t="s">
        <v>63</v>
      </c>
      <c r="N10" s="30" t="s">
        <v>142</v>
      </c>
      <c r="O10" s="30" t="s">
        <v>77</v>
      </c>
      <c r="P10" s="89" t="s">
        <v>78</v>
      </c>
      <c r="Q10" s="89" t="s">
        <v>143</v>
      </c>
      <c r="R10" s="89" t="s">
        <v>144</v>
      </c>
      <c r="S10" s="30">
        <v>0</v>
      </c>
      <c r="T10" s="233">
        <v>0</v>
      </c>
      <c r="U10" s="30">
        <v>0</v>
      </c>
      <c r="V10" s="233">
        <v>0</v>
      </c>
      <c r="W10" s="30">
        <v>0</v>
      </c>
      <c r="X10" s="30">
        <v>0</v>
      </c>
      <c r="Y10" s="30">
        <v>0</v>
      </c>
      <c r="Z10" s="233">
        <v>0</v>
      </c>
      <c r="AA10" s="30">
        <v>0</v>
      </c>
      <c r="AB10" s="30">
        <v>0</v>
      </c>
      <c r="AC10" s="30">
        <v>0</v>
      </c>
      <c r="AD10" s="30">
        <v>0</v>
      </c>
      <c r="AE10" s="89" t="s">
        <v>145</v>
      </c>
      <c r="AF10" s="89" t="s">
        <v>146</v>
      </c>
      <c r="AG10" s="89" t="s">
        <v>69</v>
      </c>
      <c r="AH10" s="72">
        <v>39266</v>
      </c>
      <c r="AI10" s="30">
        <v>7</v>
      </c>
      <c r="AJ10" s="89" t="s">
        <v>147</v>
      </c>
      <c r="AK10" s="89" t="s">
        <v>148</v>
      </c>
      <c r="AL10" s="91">
        <v>39265</v>
      </c>
      <c r="AM10" s="91"/>
      <c r="AN10" s="91"/>
      <c r="AO10" s="91"/>
      <c r="AP10" s="73" t="e">
        <f>MID(VLOOKUP(K10,#REF!,2,FALSE),1,2)</f>
        <v>#REF!</v>
      </c>
      <c r="AQ10" s="89">
        <f>DATE(2005,2,28)</f>
        <v>38411</v>
      </c>
      <c r="AR10" s="82">
        <f t="shared" si="1"/>
        <v>28</v>
      </c>
      <c r="AS10" s="83">
        <f t="shared" si="2"/>
        <v>2</v>
      </c>
      <c r="AT10" s="93">
        <f t="shared" si="3"/>
        <v>2005</v>
      </c>
      <c r="AU10" s="88">
        <f>DATE(2007,7,2)</f>
        <v>39265</v>
      </c>
      <c r="AV10" s="88">
        <f>DATE(2007,7,3)</f>
        <v>39266</v>
      </c>
      <c r="AW10" s="87">
        <f>AU10-AV10</f>
        <v>-1</v>
      </c>
      <c r="AX10" s="88">
        <f>DATE(2008,10,1)</f>
        <v>39722</v>
      </c>
      <c r="AY10" s="83">
        <f t="shared" si="4"/>
        <v>10</v>
      </c>
      <c r="AZ10" s="84">
        <f t="shared" si="5"/>
        <v>2008</v>
      </c>
      <c r="BA10" s="86"/>
      <c r="BB10" s="86"/>
      <c r="BD10" s="68">
        <f t="shared" si="6"/>
        <v>0</v>
      </c>
    </row>
    <row r="11" spans="1:56" ht="36.75" customHeight="1">
      <c r="A11" s="30"/>
      <c r="B11" s="30" t="s">
        <v>55</v>
      </c>
      <c r="C11" s="69" t="str">
        <f t="shared" si="0"/>
        <v>Closed</v>
      </c>
      <c r="D11" s="27" t="s">
        <v>149</v>
      </c>
      <c r="E11" s="29" t="s">
        <v>150</v>
      </c>
      <c r="F11" s="30" t="s">
        <v>58</v>
      </c>
      <c r="G11" s="89">
        <f>DATE(2005,3,10)</f>
        <v>38421</v>
      </c>
      <c r="H11" s="90">
        <v>1.7756944444444445</v>
      </c>
      <c r="I11" s="30" t="s">
        <v>116</v>
      </c>
      <c r="J11" s="89" t="s">
        <v>151</v>
      </c>
      <c r="K11" s="30" t="s">
        <v>61</v>
      </c>
      <c r="L11" s="30" t="s">
        <v>152</v>
      </c>
      <c r="M11" s="30" t="s">
        <v>63</v>
      </c>
      <c r="N11" s="30">
        <v>0</v>
      </c>
      <c r="O11" s="30" t="s">
        <v>64</v>
      </c>
      <c r="P11" s="89" t="s">
        <v>91</v>
      </c>
      <c r="Q11" s="89" t="s">
        <v>66</v>
      </c>
      <c r="R11" s="89" t="s">
        <v>67</v>
      </c>
      <c r="S11" s="30">
        <v>0</v>
      </c>
      <c r="T11" s="233" t="s">
        <v>68</v>
      </c>
      <c r="U11" s="30">
        <v>0</v>
      </c>
      <c r="V11" s="233" t="s">
        <v>68</v>
      </c>
      <c r="W11" s="30">
        <v>0</v>
      </c>
      <c r="X11" s="30">
        <v>0</v>
      </c>
      <c r="Y11" s="30">
        <v>0</v>
      </c>
      <c r="Z11" s="233" t="s">
        <v>68</v>
      </c>
      <c r="AA11" s="30">
        <v>0</v>
      </c>
      <c r="AB11" s="30">
        <v>0</v>
      </c>
      <c r="AC11" s="30">
        <v>0</v>
      </c>
      <c r="AD11" s="30">
        <v>0</v>
      </c>
      <c r="AE11" s="89" t="s">
        <v>68</v>
      </c>
      <c r="AF11" s="89" t="s">
        <v>153</v>
      </c>
      <c r="AG11" s="89" t="s">
        <v>69</v>
      </c>
      <c r="AH11" s="72" t="s">
        <v>68</v>
      </c>
      <c r="AI11" s="30">
        <v>0</v>
      </c>
      <c r="AJ11" s="89" t="s">
        <v>68</v>
      </c>
      <c r="AK11" s="89" t="s">
        <v>68</v>
      </c>
      <c r="AL11" s="91">
        <v>39189</v>
      </c>
      <c r="AM11" s="91"/>
      <c r="AN11" s="91"/>
      <c r="AO11" s="91"/>
      <c r="AP11" s="73" t="e">
        <f>MID(VLOOKUP(K11,#REF!,2,FALSE),1,2)</f>
        <v>#REF!</v>
      </c>
      <c r="AQ11" s="89">
        <f>DATE(2005,3,10)</f>
        <v>38421</v>
      </c>
      <c r="AR11" s="82">
        <f t="shared" si="1"/>
        <v>10</v>
      </c>
      <c r="AS11" s="83">
        <f t="shared" si="2"/>
        <v>3</v>
      </c>
      <c r="AT11" s="93">
        <f t="shared" si="3"/>
        <v>2005</v>
      </c>
      <c r="AU11" s="88">
        <f>DATE(2007,4,17)</f>
        <v>39189</v>
      </c>
      <c r="AV11" s="86"/>
      <c r="AW11" s="87"/>
      <c r="AX11" s="88">
        <f>DATE(2006,11,13)</f>
        <v>39034</v>
      </c>
      <c r="AY11" s="83">
        <f t="shared" si="4"/>
        <v>11</v>
      </c>
      <c r="AZ11" s="84">
        <f t="shared" si="5"/>
        <v>2006</v>
      </c>
      <c r="BA11" s="86"/>
      <c r="BB11" s="86"/>
      <c r="BD11" s="68">
        <f t="shared" si="6"/>
        <v>0</v>
      </c>
    </row>
    <row r="12" spans="1:56" ht="36.75" customHeight="1">
      <c r="A12" s="30"/>
      <c r="B12" s="30" t="s">
        <v>55</v>
      </c>
      <c r="C12" s="69" t="str">
        <f t="shared" si="0"/>
        <v>Closed</v>
      </c>
      <c r="D12" s="27" t="s">
        <v>154</v>
      </c>
      <c r="E12" s="29" t="s">
        <v>155</v>
      </c>
      <c r="F12" s="30" t="s">
        <v>58</v>
      </c>
      <c r="G12" s="89">
        <f>DATE(2005,4,20)</f>
        <v>38462</v>
      </c>
      <c r="H12" s="90">
        <v>1.6694444444444443</v>
      </c>
      <c r="I12" s="30" t="s">
        <v>156</v>
      </c>
      <c r="J12" s="89" t="s">
        <v>157</v>
      </c>
      <c r="K12" s="30" t="s">
        <v>61</v>
      </c>
      <c r="L12" s="30" t="s">
        <v>158</v>
      </c>
      <c r="M12" s="30" t="s">
        <v>63</v>
      </c>
      <c r="N12" s="30" t="s">
        <v>89</v>
      </c>
      <c r="O12" s="30" t="s">
        <v>77</v>
      </c>
      <c r="P12" s="89" t="s">
        <v>65</v>
      </c>
      <c r="Q12" s="89" t="s">
        <v>66</v>
      </c>
      <c r="R12" s="89" t="s">
        <v>67</v>
      </c>
      <c r="S12" s="30">
        <v>0</v>
      </c>
      <c r="T12" s="233">
        <v>0</v>
      </c>
      <c r="U12" s="30">
        <v>0</v>
      </c>
      <c r="V12" s="233">
        <v>0</v>
      </c>
      <c r="W12" s="30">
        <v>0</v>
      </c>
      <c r="X12" s="30">
        <v>0</v>
      </c>
      <c r="Y12" s="30">
        <v>0</v>
      </c>
      <c r="Z12" s="233">
        <v>0</v>
      </c>
      <c r="AA12" s="30">
        <v>0</v>
      </c>
      <c r="AB12" s="30">
        <v>0</v>
      </c>
      <c r="AC12" s="30">
        <v>0</v>
      </c>
      <c r="AD12" s="30">
        <v>0</v>
      </c>
      <c r="AE12" s="89" t="s">
        <v>92</v>
      </c>
      <c r="AF12" s="89" t="s">
        <v>159</v>
      </c>
      <c r="AG12" s="89" t="s">
        <v>69</v>
      </c>
      <c r="AH12" s="72">
        <v>38468</v>
      </c>
      <c r="AI12" s="30">
        <v>1</v>
      </c>
      <c r="AJ12" s="89" t="s">
        <v>160</v>
      </c>
      <c r="AK12" s="89" t="s">
        <v>68</v>
      </c>
      <c r="AL12" s="91">
        <v>39633</v>
      </c>
      <c r="AM12" s="91"/>
      <c r="AN12" s="91"/>
      <c r="AO12" s="91"/>
      <c r="AP12" s="73" t="e">
        <f>MID(VLOOKUP(K12,#REF!,2,FALSE),1,2)</f>
        <v>#REF!</v>
      </c>
      <c r="AQ12" s="89">
        <f>DATE(2005,4,20)</f>
        <v>38462</v>
      </c>
      <c r="AR12" s="82">
        <f t="shared" si="1"/>
        <v>20</v>
      </c>
      <c r="AS12" s="83">
        <f t="shared" si="2"/>
        <v>4</v>
      </c>
      <c r="AT12" s="93">
        <f t="shared" si="3"/>
        <v>2005</v>
      </c>
      <c r="AU12" s="88">
        <f>DATE(2008,7,4)</f>
        <v>39633</v>
      </c>
      <c r="AV12" s="88">
        <f>DATE(2005,4,26)</f>
        <v>38468</v>
      </c>
      <c r="AW12" s="87">
        <f>AU12-AV12</f>
        <v>1165</v>
      </c>
      <c r="AX12" s="88">
        <f>DATE(2005,7,7)</f>
        <v>38540</v>
      </c>
      <c r="AY12" s="83">
        <f t="shared" si="4"/>
        <v>7</v>
      </c>
      <c r="AZ12" s="84">
        <f t="shared" si="5"/>
        <v>2005</v>
      </c>
      <c r="BA12" s="86"/>
      <c r="BB12" s="86"/>
      <c r="BD12" s="68">
        <f t="shared" si="6"/>
        <v>0</v>
      </c>
    </row>
    <row r="13" spans="1:56" ht="36.75" customHeight="1">
      <c r="A13" s="30"/>
      <c r="B13" s="30" t="s">
        <v>55</v>
      </c>
      <c r="C13" s="69" t="str">
        <f t="shared" si="0"/>
        <v>Closed</v>
      </c>
      <c r="D13" s="27" t="s">
        <v>161</v>
      </c>
      <c r="E13" s="29" t="s">
        <v>162</v>
      </c>
      <c r="F13" s="30" t="s">
        <v>124</v>
      </c>
      <c r="G13" s="89">
        <f>DATE(2005,4,20)</f>
        <v>38462</v>
      </c>
      <c r="H13" s="90">
        <v>1.1875</v>
      </c>
      <c r="I13" s="30" t="s">
        <v>59</v>
      </c>
      <c r="J13" s="89" t="s">
        <v>163</v>
      </c>
      <c r="K13" s="30" t="s">
        <v>127</v>
      </c>
      <c r="L13" s="30" t="s">
        <v>164</v>
      </c>
      <c r="M13" s="30" t="s">
        <v>63</v>
      </c>
      <c r="N13" s="30">
        <v>0</v>
      </c>
      <c r="O13" s="30" t="s">
        <v>77</v>
      </c>
      <c r="P13" s="89" t="s">
        <v>165</v>
      </c>
      <c r="Q13" s="89" t="s">
        <v>166</v>
      </c>
      <c r="R13" s="89" t="s">
        <v>167</v>
      </c>
      <c r="S13" s="30">
        <v>0</v>
      </c>
      <c r="T13" s="233" t="s">
        <v>68</v>
      </c>
      <c r="U13" s="30">
        <v>0</v>
      </c>
      <c r="V13" s="233" t="s">
        <v>68</v>
      </c>
      <c r="W13" s="30">
        <v>0</v>
      </c>
      <c r="X13" s="30">
        <v>0</v>
      </c>
      <c r="Y13" s="30">
        <v>0</v>
      </c>
      <c r="Z13" s="233" t="s">
        <v>68</v>
      </c>
      <c r="AA13" s="30">
        <v>0</v>
      </c>
      <c r="AB13" s="30">
        <v>0</v>
      </c>
      <c r="AC13" s="30">
        <v>0</v>
      </c>
      <c r="AD13" s="30">
        <v>0</v>
      </c>
      <c r="AE13" s="89" t="s">
        <v>68</v>
      </c>
      <c r="AF13" s="89" t="s">
        <v>68</v>
      </c>
      <c r="AG13" s="89" t="s">
        <v>133</v>
      </c>
      <c r="AH13" s="72" t="s">
        <v>68</v>
      </c>
      <c r="AI13" s="30">
        <v>5</v>
      </c>
      <c r="AJ13" s="89" t="s">
        <v>68</v>
      </c>
      <c r="AK13" s="89" t="s">
        <v>68</v>
      </c>
      <c r="AL13" s="91">
        <v>39295</v>
      </c>
      <c r="AM13" s="91"/>
      <c r="AN13" s="91"/>
      <c r="AO13" s="91"/>
      <c r="AP13" s="73" t="e">
        <f>MID(VLOOKUP(K13,#REF!,2,FALSE),1,2)</f>
        <v>#REF!</v>
      </c>
      <c r="AQ13" s="89">
        <f>DATE(2005,4,20)</f>
        <v>38462</v>
      </c>
      <c r="AR13" s="82">
        <f t="shared" si="1"/>
        <v>20</v>
      </c>
      <c r="AS13" s="83">
        <f t="shared" si="2"/>
        <v>4</v>
      </c>
      <c r="AT13" s="76">
        <f t="shared" si="3"/>
        <v>2005</v>
      </c>
      <c r="AU13" s="88">
        <f>DATE(2007,8,1)</f>
        <v>39295</v>
      </c>
      <c r="AV13" s="86"/>
      <c r="AW13" s="87"/>
      <c r="AX13" s="88">
        <f>DATE(2007,8,1)</f>
        <v>39295</v>
      </c>
      <c r="AY13" s="83">
        <f t="shared" si="4"/>
        <v>8</v>
      </c>
      <c r="AZ13" s="84">
        <f t="shared" si="5"/>
        <v>2007</v>
      </c>
      <c r="BA13" s="86"/>
      <c r="BB13" s="86"/>
      <c r="BD13" s="68">
        <f t="shared" si="6"/>
        <v>0</v>
      </c>
    </row>
    <row r="14" spans="1:56" ht="36.75" customHeight="1">
      <c r="A14" s="30"/>
      <c r="B14" s="30" t="s">
        <v>55</v>
      </c>
      <c r="C14" s="69" t="str">
        <f t="shared" si="0"/>
        <v>Closed</v>
      </c>
      <c r="D14" s="27" t="s">
        <v>168</v>
      </c>
      <c r="E14" s="29" t="s">
        <v>169</v>
      </c>
      <c r="F14" s="30" t="s">
        <v>58</v>
      </c>
      <c r="G14" s="89">
        <f>DATE(2005,4,27)</f>
        <v>38469</v>
      </c>
      <c r="H14" s="90">
        <v>1.0743055555555556</v>
      </c>
      <c r="I14" s="30" t="s">
        <v>73</v>
      </c>
      <c r="J14" s="89" t="s">
        <v>170</v>
      </c>
      <c r="K14" s="30" t="s">
        <v>61</v>
      </c>
      <c r="L14" s="30" t="s">
        <v>171</v>
      </c>
      <c r="M14" s="30" t="s">
        <v>63</v>
      </c>
      <c r="N14" s="30" t="s">
        <v>99</v>
      </c>
      <c r="O14" s="30" t="s">
        <v>77</v>
      </c>
      <c r="P14" s="89" t="s">
        <v>78</v>
      </c>
      <c r="Q14" s="89" t="s">
        <v>66</v>
      </c>
      <c r="R14" s="89" t="s">
        <v>67</v>
      </c>
      <c r="S14" s="30">
        <v>0</v>
      </c>
      <c r="T14" s="233">
        <v>0</v>
      </c>
      <c r="U14" s="30">
        <v>0</v>
      </c>
      <c r="V14" s="233">
        <v>0</v>
      </c>
      <c r="W14" s="30">
        <v>0</v>
      </c>
      <c r="X14" s="30">
        <v>0</v>
      </c>
      <c r="Y14" s="30">
        <v>0</v>
      </c>
      <c r="Z14" s="233">
        <v>0</v>
      </c>
      <c r="AA14" s="30">
        <v>0</v>
      </c>
      <c r="AB14" s="30">
        <v>0</v>
      </c>
      <c r="AC14" s="30">
        <v>0</v>
      </c>
      <c r="AD14" s="30">
        <v>0</v>
      </c>
      <c r="AE14" s="89" t="s">
        <v>92</v>
      </c>
      <c r="AF14" s="89" t="s">
        <v>172</v>
      </c>
      <c r="AG14" s="89" t="s">
        <v>69</v>
      </c>
      <c r="AH14" s="72">
        <v>38471</v>
      </c>
      <c r="AI14" s="30">
        <v>1</v>
      </c>
      <c r="AJ14" s="89" t="s">
        <v>173</v>
      </c>
      <c r="AK14" s="89" t="s">
        <v>174</v>
      </c>
      <c r="AL14" s="91">
        <v>39189</v>
      </c>
      <c r="AM14" s="91"/>
      <c r="AN14" s="91"/>
      <c r="AO14" s="91"/>
      <c r="AP14" s="73" t="e">
        <f>MID(VLOOKUP(K14,#REF!,2,FALSE),1,2)</f>
        <v>#REF!</v>
      </c>
      <c r="AQ14" s="89">
        <f>DATE(2005,4,27)</f>
        <v>38469</v>
      </c>
      <c r="AR14" s="82">
        <f t="shared" si="1"/>
        <v>27</v>
      </c>
      <c r="AS14" s="83">
        <f t="shared" si="2"/>
        <v>4</v>
      </c>
      <c r="AT14" s="84">
        <f t="shared" si="3"/>
        <v>2005</v>
      </c>
      <c r="AU14" s="88">
        <f>DATE(2007,4,17)</f>
        <v>39189</v>
      </c>
      <c r="AV14" s="88">
        <f>DATE(2005,4,29)</f>
        <v>38471</v>
      </c>
      <c r="AW14" s="87">
        <f>AU14-AV14</f>
        <v>718</v>
      </c>
      <c r="AX14" s="88">
        <f>DATE(2006,11,13)</f>
        <v>39034</v>
      </c>
      <c r="AY14" s="83">
        <f t="shared" si="4"/>
        <v>11</v>
      </c>
      <c r="AZ14" s="84">
        <f t="shared" si="5"/>
        <v>2006</v>
      </c>
      <c r="BA14" s="86"/>
      <c r="BB14" s="86"/>
      <c r="BD14" s="68">
        <f t="shared" si="6"/>
        <v>0</v>
      </c>
    </row>
    <row r="15" spans="1:56" ht="36.75" customHeight="1">
      <c r="A15" s="30"/>
      <c r="B15" s="30" t="s">
        <v>55</v>
      </c>
      <c r="C15" s="69" t="str">
        <f t="shared" si="0"/>
        <v>Closed</v>
      </c>
      <c r="D15" s="27" t="s">
        <v>175</v>
      </c>
      <c r="E15" s="29" t="s">
        <v>176</v>
      </c>
      <c r="F15" s="30" t="s">
        <v>58</v>
      </c>
      <c r="G15" s="89">
        <f>DATE(2005,4,28)</f>
        <v>38470</v>
      </c>
      <c r="H15" s="90">
        <v>1.5784722222222221</v>
      </c>
      <c r="I15" s="30" t="s">
        <v>73</v>
      </c>
      <c r="J15" s="89" t="s">
        <v>177</v>
      </c>
      <c r="K15" s="30" t="s">
        <v>61</v>
      </c>
      <c r="L15" s="30" t="s">
        <v>178</v>
      </c>
      <c r="M15" s="30" t="s">
        <v>63</v>
      </c>
      <c r="N15" s="30">
        <v>0</v>
      </c>
      <c r="O15" s="30" t="s">
        <v>77</v>
      </c>
      <c r="P15" s="89" t="s">
        <v>78</v>
      </c>
      <c r="Q15" s="89" t="s">
        <v>66</v>
      </c>
      <c r="R15" s="89" t="s">
        <v>67</v>
      </c>
      <c r="S15" s="30">
        <v>0</v>
      </c>
      <c r="T15" s="233" t="s">
        <v>68</v>
      </c>
      <c r="U15" s="30">
        <v>0</v>
      </c>
      <c r="V15" s="233" t="s">
        <v>68</v>
      </c>
      <c r="W15" s="30">
        <v>0</v>
      </c>
      <c r="X15" s="30">
        <v>0</v>
      </c>
      <c r="Y15" s="30">
        <v>0</v>
      </c>
      <c r="Z15" s="233" t="s">
        <v>68</v>
      </c>
      <c r="AA15" s="30">
        <v>0</v>
      </c>
      <c r="AB15" s="30">
        <v>0</v>
      </c>
      <c r="AC15" s="30">
        <v>0</v>
      </c>
      <c r="AD15" s="30">
        <v>0</v>
      </c>
      <c r="AE15" s="89" t="s">
        <v>68</v>
      </c>
      <c r="AF15" s="89" t="s">
        <v>179</v>
      </c>
      <c r="AG15" s="89" t="s">
        <v>69</v>
      </c>
      <c r="AH15" s="72" t="s">
        <v>68</v>
      </c>
      <c r="AI15" s="30">
        <v>0</v>
      </c>
      <c r="AJ15" s="89" t="s">
        <v>68</v>
      </c>
      <c r="AK15" s="89" t="s">
        <v>68</v>
      </c>
      <c r="AL15" s="91">
        <v>39189</v>
      </c>
      <c r="AM15" s="91"/>
      <c r="AN15" s="91"/>
      <c r="AO15" s="91"/>
      <c r="AP15" s="73" t="e">
        <f>MID(VLOOKUP(K15,#REF!,2,FALSE),1,2)</f>
        <v>#REF!</v>
      </c>
      <c r="AQ15" s="89">
        <f>DATE(2005,4,28)</f>
        <v>38470</v>
      </c>
      <c r="AR15" s="82">
        <f t="shared" si="1"/>
        <v>28</v>
      </c>
      <c r="AS15" s="83">
        <f t="shared" si="2"/>
        <v>4</v>
      </c>
      <c r="AT15" s="84">
        <f t="shared" si="3"/>
        <v>2005</v>
      </c>
      <c r="AU15" s="88">
        <f>DATE(2007,4,17)</f>
        <v>39189</v>
      </c>
      <c r="AV15" s="86"/>
      <c r="AW15" s="87"/>
      <c r="AX15" s="88">
        <f>DATE(2006,11,13)</f>
        <v>39034</v>
      </c>
      <c r="AY15" s="83">
        <f t="shared" si="4"/>
        <v>11</v>
      </c>
      <c r="AZ15" s="84">
        <f t="shared" si="5"/>
        <v>2006</v>
      </c>
      <c r="BA15" s="86"/>
      <c r="BB15" s="86"/>
      <c r="BD15" s="68">
        <f t="shared" si="6"/>
        <v>0</v>
      </c>
    </row>
    <row r="16" spans="1:56" ht="36.75" customHeight="1">
      <c r="A16" s="30"/>
      <c r="B16" s="30" t="s">
        <v>55</v>
      </c>
      <c r="C16" s="69" t="str">
        <f t="shared" si="0"/>
        <v>Closed</v>
      </c>
      <c r="D16" s="27" t="s">
        <v>180</v>
      </c>
      <c r="E16" s="29" t="s">
        <v>181</v>
      </c>
      <c r="F16" s="30" t="s">
        <v>138</v>
      </c>
      <c r="G16" s="89">
        <f>DATE(2005,5,16)</f>
        <v>38488</v>
      </c>
      <c r="H16" s="90">
        <v>1.3333333333333333</v>
      </c>
      <c r="I16" s="30" t="s">
        <v>125</v>
      </c>
      <c r="J16" s="89" t="s">
        <v>182</v>
      </c>
      <c r="K16" s="30" t="s">
        <v>140</v>
      </c>
      <c r="L16" s="30" t="s">
        <v>183</v>
      </c>
      <c r="M16" s="30" t="s">
        <v>129</v>
      </c>
      <c r="N16" s="30" t="s">
        <v>142</v>
      </c>
      <c r="O16" s="30" t="s">
        <v>77</v>
      </c>
      <c r="P16" s="89" t="s">
        <v>165</v>
      </c>
      <c r="Q16" s="89" t="s">
        <v>184</v>
      </c>
      <c r="R16" s="89" t="s">
        <v>185</v>
      </c>
      <c r="S16" s="30">
        <v>0</v>
      </c>
      <c r="T16" s="233">
        <v>0</v>
      </c>
      <c r="U16" s="30">
        <v>0</v>
      </c>
      <c r="V16" s="233">
        <v>0</v>
      </c>
      <c r="W16" s="30">
        <v>0</v>
      </c>
      <c r="X16" s="30">
        <v>0</v>
      </c>
      <c r="Y16" s="30">
        <v>0</v>
      </c>
      <c r="Z16" s="233">
        <v>0</v>
      </c>
      <c r="AA16" s="30">
        <v>0</v>
      </c>
      <c r="AB16" s="30">
        <v>0</v>
      </c>
      <c r="AC16" s="30">
        <v>0</v>
      </c>
      <c r="AD16" s="30">
        <v>0</v>
      </c>
      <c r="AE16" s="89" t="s">
        <v>145</v>
      </c>
      <c r="AF16" s="89" t="s">
        <v>186</v>
      </c>
      <c r="AG16" s="89" t="s">
        <v>69</v>
      </c>
      <c r="AH16" s="72">
        <v>38489</v>
      </c>
      <c r="AI16" s="30">
        <v>5</v>
      </c>
      <c r="AJ16" s="89" t="s">
        <v>187</v>
      </c>
      <c r="AK16" s="89" t="s">
        <v>188</v>
      </c>
      <c r="AL16" s="91">
        <v>40169</v>
      </c>
      <c r="AM16" s="91"/>
      <c r="AN16" s="91"/>
      <c r="AO16" s="91"/>
      <c r="AP16" s="73" t="e">
        <f>MID(VLOOKUP(K16,#REF!,2,FALSE),1,2)</f>
        <v>#REF!</v>
      </c>
      <c r="AQ16" s="89">
        <f>DATE(2005,5,16)</f>
        <v>38488</v>
      </c>
      <c r="AR16" s="82">
        <f t="shared" si="1"/>
        <v>16</v>
      </c>
      <c r="AS16" s="83">
        <f t="shared" si="2"/>
        <v>5</v>
      </c>
      <c r="AT16" s="84">
        <f t="shared" si="3"/>
        <v>2005</v>
      </c>
      <c r="AU16" s="88">
        <f>DATE(2009,12,22)</f>
        <v>40169</v>
      </c>
      <c r="AV16" s="88">
        <f>DATE(2005,5,17)</f>
        <v>38489</v>
      </c>
      <c r="AW16" s="87">
        <f>AU16-AV16</f>
        <v>1680</v>
      </c>
      <c r="AX16" s="88">
        <f>DATE(2010,5,11)</f>
        <v>40309</v>
      </c>
      <c r="AY16" s="83">
        <f t="shared" si="4"/>
        <v>5</v>
      </c>
      <c r="AZ16" s="84">
        <f t="shared" si="5"/>
        <v>2010</v>
      </c>
      <c r="BA16" s="86"/>
      <c r="BB16" s="86"/>
      <c r="BD16" s="68">
        <f t="shared" si="6"/>
        <v>0</v>
      </c>
    </row>
    <row r="17" spans="1:56" ht="36.75" customHeight="1">
      <c r="A17" s="30"/>
      <c r="B17" s="30" t="s">
        <v>55</v>
      </c>
      <c r="C17" s="69" t="str">
        <f t="shared" si="0"/>
        <v>Closed</v>
      </c>
      <c r="D17" s="27" t="s">
        <v>189</v>
      </c>
      <c r="E17" s="29" t="s">
        <v>190</v>
      </c>
      <c r="F17" s="30" t="s">
        <v>72</v>
      </c>
      <c r="G17" s="89">
        <f>DATE(2005,6,6)</f>
        <v>38509</v>
      </c>
      <c r="H17" s="90">
        <v>1.7736111111111112</v>
      </c>
      <c r="I17" s="30" t="s">
        <v>73</v>
      </c>
      <c r="J17" s="89" t="s">
        <v>191</v>
      </c>
      <c r="K17" s="30" t="s">
        <v>75</v>
      </c>
      <c r="L17" s="30" t="s">
        <v>192</v>
      </c>
      <c r="M17" s="30" t="s">
        <v>63</v>
      </c>
      <c r="N17" s="30">
        <v>0</v>
      </c>
      <c r="O17" s="30" t="s">
        <v>77</v>
      </c>
      <c r="P17" s="89" t="s">
        <v>78</v>
      </c>
      <c r="Q17" s="89" t="s">
        <v>79</v>
      </c>
      <c r="R17" s="89" t="s">
        <v>80</v>
      </c>
      <c r="S17" s="30">
        <v>0</v>
      </c>
      <c r="T17" s="233" t="s">
        <v>68</v>
      </c>
      <c r="U17" s="30">
        <v>0</v>
      </c>
      <c r="V17" s="233" t="s">
        <v>68</v>
      </c>
      <c r="W17" s="30">
        <v>0</v>
      </c>
      <c r="X17" s="30">
        <v>0</v>
      </c>
      <c r="Y17" s="30">
        <v>0</v>
      </c>
      <c r="Z17" s="233" t="s">
        <v>68</v>
      </c>
      <c r="AA17" s="30">
        <v>0</v>
      </c>
      <c r="AB17" s="30">
        <v>0</v>
      </c>
      <c r="AC17" s="30">
        <v>0</v>
      </c>
      <c r="AD17" s="30">
        <v>0</v>
      </c>
      <c r="AE17" s="89" t="s">
        <v>68</v>
      </c>
      <c r="AF17" s="89" t="s">
        <v>193</v>
      </c>
      <c r="AG17" s="89" t="s">
        <v>69</v>
      </c>
      <c r="AH17" s="72" t="s">
        <v>68</v>
      </c>
      <c r="AI17" s="30">
        <v>7</v>
      </c>
      <c r="AJ17" s="89" t="s">
        <v>194</v>
      </c>
      <c r="AK17" s="89" t="s">
        <v>194</v>
      </c>
      <c r="AL17" s="91">
        <v>39217</v>
      </c>
      <c r="AM17" s="91"/>
      <c r="AN17" s="91"/>
      <c r="AO17" s="91"/>
      <c r="AP17" s="73" t="e">
        <f>MID(VLOOKUP(K17,#REF!,2,FALSE),1,2)</f>
        <v>#REF!</v>
      </c>
      <c r="AQ17" s="89">
        <f>DATE(2005,6,6)</f>
        <v>38509</v>
      </c>
      <c r="AR17" s="82">
        <f t="shared" si="1"/>
        <v>6</v>
      </c>
      <c r="AS17" s="83">
        <f t="shared" si="2"/>
        <v>6</v>
      </c>
      <c r="AT17" s="84">
        <f t="shared" si="3"/>
        <v>2005</v>
      </c>
      <c r="AU17" s="88">
        <f>DATE(2007,5,15)</f>
        <v>39217</v>
      </c>
      <c r="AV17" s="86"/>
      <c r="AW17" s="87"/>
      <c r="AX17" s="88">
        <f>DATE(2007,8,28)</f>
        <v>39322</v>
      </c>
      <c r="AY17" s="83">
        <f t="shared" si="4"/>
        <v>8</v>
      </c>
      <c r="AZ17" s="84">
        <f t="shared" si="5"/>
        <v>2007</v>
      </c>
      <c r="BA17" s="86"/>
      <c r="BB17" s="86"/>
      <c r="BD17" s="68">
        <f t="shared" si="6"/>
        <v>0</v>
      </c>
    </row>
    <row r="18" spans="1:56" ht="36.75" customHeight="1">
      <c r="A18" s="30"/>
      <c r="B18" s="30" t="s">
        <v>55</v>
      </c>
      <c r="C18" s="69" t="str">
        <f t="shared" si="0"/>
        <v>Closed</v>
      </c>
      <c r="D18" s="27" t="s">
        <v>195</v>
      </c>
      <c r="E18" s="29" t="s">
        <v>196</v>
      </c>
      <c r="F18" s="30" t="s">
        <v>197</v>
      </c>
      <c r="G18" s="89">
        <f>DATE(2005,7,2)</f>
        <v>38535</v>
      </c>
      <c r="H18" s="90">
        <v>1.4979166666666666</v>
      </c>
      <c r="I18" s="30" t="s">
        <v>198</v>
      </c>
      <c r="J18" s="89" t="s">
        <v>199</v>
      </c>
      <c r="K18" s="30" t="s">
        <v>200</v>
      </c>
      <c r="L18" s="30" t="s">
        <v>201</v>
      </c>
      <c r="M18" s="30" t="s">
        <v>63</v>
      </c>
      <c r="N18" s="30">
        <v>0</v>
      </c>
      <c r="O18" s="30" t="s">
        <v>64</v>
      </c>
      <c r="P18" s="89" t="s">
        <v>165</v>
      </c>
      <c r="Q18" s="89" t="s">
        <v>202</v>
      </c>
      <c r="R18" s="89" t="s">
        <v>203</v>
      </c>
      <c r="S18" s="30">
        <v>1</v>
      </c>
      <c r="T18" s="233">
        <v>1</v>
      </c>
      <c r="U18" s="30">
        <v>0</v>
      </c>
      <c r="V18" s="233">
        <v>0</v>
      </c>
      <c r="W18" s="30">
        <v>0</v>
      </c>
      <c r="X18" s="30">
        <v>2</v>
      </c>
      <c r="Y18" s="30">
        <v>21</v>
      </c>
      <c r="Z18" s="233">
        <v>0</v>
      </c>
      <c r="AA18" s="30">
        <v>0</v>
      </c>
      <c r="AB18" s="30">
        <v>0</v>
      </c>
      <c r="AC18" s="30">
        <v>0</v>
      </c>
      <c r="AD18" s="30">
        <v>21</v>
      </c>
      <c r="AE18" s="89" t="s">
        <v>68</v>
      </c>
      <c r="AF18" s="89" t="s">
        <v>204</v>
      </c>
      <c r="AG18" s="89" t="s">
        <v>82</v>
      </c>
      <c r="AH18" s="72" t="s">
        <v>68</v>
      </c>
      <c r="AI18" s="30">
        <v>6</v>
      </c>
      <c r="AJ18" s="89" t="s">
        <v>205</v>
      </c>
      <c r="AK18" s="89" t="s">
        <v>206</v>
      </c>
      <c r="AL18" s="91">
        <v>39665</v>
      </c>
      <c r="AM18" s="91"/>
      <c r="AN18" s="91"/>
      <c r="AO18" s="91"/>
      <c r="AP18" s="73" t="e">
        <f>MID(VLOOKUP(K18,#REF!,2,FALSE),1,2)</f>
        <v>#REF!</v>
      </c>
      <c r="AQ18" s="89">
        <f>DATE(2005,7,2)</f>
        <v>38535</v>
      </c>
      <c r="AR18" s="82">
        <f t="shared" si="1"/>
        <v>2</v>
      </c>
      <c r="AS18" s="83">
        <f t="shared" si="2"/>
        <v>7</v>
      </c>
      <c r="AT18" s="84">
        <f t="shared" si="3"/>
        <v>2005</v>
      </c>
      <c r="AU18" s="88">
        <f>DATE(2008,8,5)</f>
        <v>39665</v>
      </c>
      <c r="AV18" s="86"/>
      <c r="AW18" s="87"/>
      <c r="AX18" s="88">
        <f>DATE(2008,8,5)</f>
        <v>39665</v>
      </c>
      <c r="AY18" s="83">
        <f t="shared" si="4"/>
        <v>8</v>
      </c>
      <c r="AZ18" s="84">
        <f t="shared" si="5"/>
        <v>2008</v>
      </c>
      <c r="BA18" s="86"/>
      <c r="BB18" s="86"/>
      <c r="BD18" s="68">
        <f t="shared" si="6"/>
        <v>0</v>
      </c>
    </row>
    <row r="19" spans="1:56" ht="36.75" customHeight="1">
      <c r="A19" s="30"/>
      <c r="B19" s="30" t="s">
        <v>55</v>
      </c>
      <c r="C19" s="69" t="str">
        <f t="shared" si="0"/>
        <v>Closed</v>
      </c>
      <c r="D19" s="27" t="s">
        <v>207</v>
      </c>
      <c r="E19" s="29" t="s">
        <v>208</v>
      </c>
      <c r="F19" s="30" t="s">
        <v>58</v>
      </c>
      <c r="G19" s="89">
        <f>DATE(2005,7,15)</f>
        <v>38548</v>
      </c>
      <c r="H19" s="90">
        <v>1.03125</v>
      </c>
      <c r="I19" s="30" t="s">
        <v>73</v>
      </c>
      <c r="J19" s="89" t="s">
        <v>209</v>
      </c>
      <c r="K19" s="30" t="s">
        <v>61</v>
      </c>
      <c r="L19" s="30" t="s">
        <v>210</v>
      </c>
      <c r="M19" s="30" t="s">
        <v>63</v>
      </c>
      <c r="N19" s="30">
        <v>0</v>
      </c>
      <c r="O19" s="30" t="s">
        <v>90</v>
      </c>
      <c r="P19" s="89" t="s">
        <v>78</v>
      </c>
      <c r="Q19" s="89" t="s">
        <v>66</v>
      </c>
      <c r="R19" s="89" t="s">
        <v>67</v>
      </c>
      <c r="S19" s="30">
        <v>0</v>
      </c>
      <c r="T19" s="233" t="s">
        <v>68</v>
      </c>
      <c r="U19" s="30">
        <v>0</v>
      </c>
      <c r="V19" s="233" t="s">
        <v>68</v>
      </c>
      <c r="W19" s="30">
        <v>0</v>
      </c>
      <c r="X19" s="30">
        <v>0</v>
      </c>
      <c r="Y19" s="30">
        <v>0</v>
      </c>
      <c r="Z19" s="233" t="s">
        <v>68</v>
      </c>
      <c r="AA19" s="30">
        <v>0</v>
      </c>
      <c r="AB19" s="30">
        <v>0</v>
      </c>
      <c r="AC19" s="30">
        <v>0</v>
      </c>
      <c r="AD19" s="30">
        <v>0</v>
      </c>
      <c r="AE19" s="89" t="s">
        <v>68</v>
      </c>
      <c r="AF19" s="89" t="s">
        <v>211</v>
      </c>
      <c r="AG19" s="89" t="s">
        <v>69</v>
      </c>
      <c r="AH19" s="72" t="s">
        <v>68</v>
      </c>
      <c r="AI19" s="30">
        <v>0</v>
      </c>
      <c r="AJ19" s="89" t="s">
        <v>68</v>
      </c>
      <c r="AK19" s="89" t="s">
        <v>68</v>
      </c>
      <c r="AL19" s="91">
        <v>39633</v>
      </c>
      <c r="AM19" s="91"/>
      <c r="AN19" s="91"/>
      <c r="AO19" s="91"/>
      <c r="AP19" s="73" t="e">
        <f>MID(VLOOKUP(K19,#REF!,2,FALSE),1,2)</f>
        <v>#REF!</v>
      </c>
      <c r="AQ19" s="89">
        <f>DATE(2005,7,15)</f>
        <v>38548</v>
      </c>
      <c r="AR19" s="82">
        <f t="shared" si="1"/>
        <v>15</v>
      </c>
      <c r="AS19" s="83">
        <f t="shared" si="2"/>
        <v>7</v>
      </c>
      <c r="AT19" s="84">
        <f t="shared" si="3"/>
        <v>2005</v>
      </c>
      <c r="AU19" s="88">
        <f>DATE(2008,7,4)</f>
        <v>39633</v>
      </c>
      <c r="AV19" s="86"/>
      <c r="AW19" s="87"/>
      <c r="AX19" s="88">
        <f>DATE(2008,7,7)</f>
        <v>39636</v>
      </c>
      <c r="AY19" s="83">
        <f t="shared" si="4"/>
        <v>7</v>
      </c>
      <c r="AZ19" s="84">
        <f t="shared" si="5"/>
        <v>2008</v>
      </c>
      <c r="BA19" s="86"/>
      <c r="BB19" s="86"/>
      <c r="BD19" s="68">
        <f t="shared" si="6"/>
        <v>0</v>
      </c>
    </row>
    <row r="20" spans="1:56" ht="36.75" customHeight="1">
      <c r="A20" s="30"/>
      <c r="B20" s="30" t="s">
        <v>55</v>
      </c>
      <c r="C20" s="69" t="str">
        <f t="shared" si="0"/>
        <v>Closed</v>
      </c>
      <c r="D20" s="27" t="s">
        <v>212</v>
      </c>
      <c r="E20" s="29" t="s">
        <v>213</v>
      </c>
      <c r="F20" s="30" t="s">
        <v>197</v>
      </c>
      <c r="G20" s="89">
        <f>DATE(2005,7,26)</f>
        <v>38559</v>
      </c>
      <c r="H20" s="90">
        <v>1.4777777777777779</v>
      </c>
      <c r="I20" s="30" t="s">
        <v>198</v>
      </c>
      <c r="J20" s="89" t="s">
        <v>214</v>
      </c>
      <c r="K20" s="30" t="s">
        <v>200</v>
      </c>
      <c r="L20" s="30" t="s">
        <v>215</v>
      </c>
      <c r="M20" s="30" t="s">
        <v>63</v>
      </c>
      <c r="N20" s="30">
        <v>0</v>
      </c>
      <c r="O20" s="30" t="s">
        <v>77</v>
      </c>
      <c r="P20" s="89" t="s">
        <v>216</v>
      </c>
      <c r="Q20" s="89" t="s">
        <v>217</v>
      </c>
      <c r="R20" s="89" t="s">
        <v>203</v>
      </c>
      <c r="S20" s="30">
        <v>0</v>
      </c>
      <c r="T20" s="233">
        <v>0</v>
      </c>
      <c r="U20" s="30">
        <v>0</v>
      </c>
      <c r="V20" s="233">
        <v>0</v>
      </c>
      <c r="W20" s="30">
        <v>0</v>
      </c>
      <c r="X20" s="30">
        <v>0</v>
      </c>
      <c r="Y20" s="30">
        <v>4</v>
      </c>
      <c r="Z20" s="233">
        <v>0</v>
      </c>
      <c r="AA20" s="30">
        <v>0</v>
      </c>
      <c r="AB20" s="30">
        <v>0</v>
      </c>
      <c r="AC20" s="30">
        <v>0</v>
      </c>
      <c r="AD20" s="30">
        <v>4</v>
      </c>
      <c r="AE20" s="89" t="s">
        <v>68</v>
      </c>
      <c r="AF20" s="89" t="s">
        <v>218</v>
      </c>
      <c r="AG20" s="89" t="s">
        <v>69</v>
      </c>
      <c r="AH20" s="72" t="s">
        <v>68</v>
      </c>
      <c r="AI20" s="30">
        <v>3</v>
      </c>
      <c r="AJ20" s="89" t="s">
        <v>68</v>
      </c>
      <c r="AK20" s="89" t="s">
        <v>68</v>
      </c>
      <c r="AL20" s="91">
        <v>39682</v>
      </c>
      <c r="AM20" s="91"/>
      <c r="AN20" s="91"/>
      <c r="AO20" s="91"/>
      <c r="AP20" s="73" t="e">
        <f>MID(VLOOKUP(K20,#REF!,2,FALSE),1,2)</f>
        <v>#REF!</v>
      </c>
      <c r="AQ20" s="89">
        <f>DATE(2005,7,26)</f>
        <v>38559</v>
      </c>
      <c r="AR20" s="82">
        <f t="shared" si="1"/>
        <v>26</v>
      </c>
      <c r="AS20" s="83">
        <f t="shared" si="2"/>
        <v>7</v>
      </c>
      <c r="AT20" s="84">
        <f t="shared" si="3"/>
        <v>2005</v>
      </c>
      <c r="AU20" s="88">
        <f>DATE(2008,8,22)</f>
        <v>39682</v>
      </c>
      <c r="AV20" s="86"/>
      <c r="AW20" s="87"/>
      <c r="AX20" s="88">
        <f>DATE(2008,8,6)</f>
        <v>39666</v>
      </c>
      <c r="AY20" s="83">
        <f t="shared" si="4"/>
        <v>8</v>
      </c>
      <c r="AZ20" s="84">
        <f t="shared" si="5"/>
        <v>2008</v>
      </c>
      <c r="BA20" s="86"/>
      <c r="BB20" s="86"/>
      <c r="BD20" s="68">
        <f t="shared" si="6"/>
        <v>0</v>
      </c>
    </row>
    <row r="21" spans="1:56" ht="36.75" customHeight="1">
      <c r="A21" s="30"/>
      <c r="B21" s="30" t="s">
        <v>55</v>
      </c>
      <c r="C21" s="69" t="str">
        <f t="shared" si="0"/>
        <v>Closed</v>
      </c>
      <c r="D21" s="27" t="s">
        <v>219</v>
      </c>
      <c r="E21" s="29" t="s">
        <v>220</v>
      </c>
      <c r="F21" s="30" t="s">
        <v>58</v>
      </c>
      <c r="G21" s="89">
        <f>DATE(2005,8,30)</f>
        <v>38594</v>
      </c>
      <c r="H21" s="90">
        <v>1.3798611111111112</v>
      </c>
      <c r="I21" s="30" t="s">
        <v>73</v>
      </c>
      <c r="J21" s="89" t="s">
        <v>221</v>
      </c>
      <c r="K21" s="30" t="s">
        <v>61</v>
      </c>
      <c r="L21" s="30" t="s">
        <v>222</v>
      </c>
      <c r="M21" s="30" t="s">
        <v>63</v>
      </c>
      <c r="N21" s="30" t="s">
        <v>99</v>
      </c>
      <c r="O21" s="30" t="s">
        <v>90</v>
      </c>
      <c r="P21" s="89" t="s">
        <v>91</v>
      </c>
      <c r="Q21" s="89" t="s">
        <v>66</v>
      </c>
      <c r="R21" s="89" t="s">
        <v>67</v>
      </c>
      <c r="S21" s="30">
        <v>0</v>
      </c>
      <c r="T21" s="233">
        <v>0</v>
      </c>
      <c r="U21" s="30">
        <v>0</v>
      </c>
      <c r="V21" s="233">
        <v>0</v>
      </c>
      <c r="W21" s="30">
        <v>0</v>
      </c>
      <c r="X21" s="30">
        <v>0</v>
      </c>
      <c r="Y21" s="30">
        <v>0</v>
      </c>
      <c r="Z21" s="233">
        <v>0</v>
      </c>
      <c r="AA21" s="30">
        <v>0</v>
      </c>
      <c r="AB21" s="30">
        <v>0</v>
      </c>
      <c r="AC21" s="30">
        <v>0</v>
      </c>
      <c r="AD21" s="30">
        <v>0</v>
      </c>
      <c r="AE21" s="89" t="s">
        <v>92</v>
      </c>
      <c r="AF21" s="89" t="s">
        <v>223</v>
      </c>
      <c r="AG21" s="89" t="s">
        <v>69</v>
      </c>
      <c r="AH21" s="72">
        <v>38595</v>
      </c>
      <c r="AI21" s="30">
        <v>3</v>
      </c>
      <c r="AJ21" s="89" t="s">
        <v>224</v>
      </c>
      <c r="AK21" s="89" t="s">
        <v>68</v>
      </c>
      <c r="AL21" s="91">
        <v>39189</v>
      </c>
      <c r="AM21" s="91"/>
      <c r="AN21" s="91"/>
      <c r="AO21" s="91"/>
      <c r="AP21" s="73" t="e">
        <f>MID(VLOOKUP(K21,#REF!,2,FALSE),1,2)</f>
        <v>#REF!</v>
      </c>
      <c r="AQ21" s="89">
        <f>DATE(2005,8,30)</f>
        <v>38594</v>
      </c>
      <c r="AR21" s="82">
        <f t="shared" si="1"/>
        <v>30</v>
      </c>
      <c r="AS21" s="83">
        <f t="shared" si="2"/>
        <v>8</v>
      </c>
      <c r="AT21" s="84">
        <f t="shared" si="3"/>
        <v>2005</v>
      </c>
      <c r="AU21" s="88">
        <f>DATE(2007,4,17)</f>
        <v>39189</v>
      </c>
      <c r="AV21" s="88">
        <f>DATE(2005,8,31)</f>
        <v>38595</v>
      </c>
      <c r="AW21" s="87">
        <f>AU21-AV21</f>
        <v>594</v>
      </c>
      <c r="AX21" s="88">
        <f>DATE(2006,11,13)</f>
        <v>39034</v>
      </c>
      <c r="AY21" s="83">
        <f t="shared" si="4"/>
        <v>11</v>
      </c>
      <c r="AZ21" s="84">
        <f t="shared" si="5"/>
        <v>2006</v>
      </c>
      <c r="BA21" s="86"/>
      <c r="BB21" s="86"/>
      <c r="BD21" s="68">
        <f t="shared" si="6"/>
        <v>0</v>
      </c>
    </row>
    <row r="22" spans="1:56" ht="36.75" customHeight="1">
      <c r="A22" s="30"/>
      <c r="B22" s="30" t="s">
        <v>55</v>
      </c>
      <c r="C22" s="69" t="str">
        <f t="shared" si="0"/>
        <v>Closed</v>
      </c>
      <c r="D22" s="27" t="s">
        <v>225</v>
      </c>
      <c r="E22" s="29" t="s">
        <v>226</v>
      </c>
      <c r="F22" s="30" t="s">
        <v>124</v>
      </c>
      <c r="G22" s="89">
        <f>DATE(2005,8,31)</f>
        <v>38595</v>
      </c>
      <c r="H22" s="90">
        <v>1.7034722222222221</v>
      </c>
      <c r="I22" s="30" t="s">
        <v>156</v>
      </c>
      <c r="J22" s="89" t="s">
        <v>227</v>
      </c>
      <c r="K22" s="30" t="s">
        <v>127</v>
      </c>
      <c r="L22" s="30" t="s">
        <v>228</v>
      </c>
      <c r="M22" s="30" t="s">
        <v>63</v>
      </c>
      <c r="N22" s="30">
        <v>0</v>
      </c>
      <c r="O22" s="30" t="s">
        <v>64</v>
      </c>
      <c r="P22" s="89" t="s">
        <v>165</v>
      </c>
      <c r="Q22" s="89" t="s">
        <v>229</v>
      </c>
      <c r="R22" s="89" t="s">
        <v>167</v>
      </c>
      <c r="S22" s="30">
        <v>0</v>
      </c>
      <c r="T22" s="233" t="s">
        <v>68</v>
      </c>
      <c r="U22" s="30">
        <v>0</v>
      </c>
      <c r="V22" s="233" t="s">
        <v>68</v>
      </c>
      <c r="W22" s="30">
        <v>0</v>
      </c>
      <c r="X22" s="30">
        <v>0</v>
      </c>
      <c r="Y22" s="30">
        <v>0</v>
      </c>
      <c r="Z22" s="233" t="s">
        <v>68</v>
      </c>
      <c r="AA22" s="30">
        <v>0</v>
      </c>
      <c r="AB22" s="30">
        <v>0</v>
      </c>
      <c r="AC22" s="30">
        <v>0</v>
      </c>
      <c r="AD22" s="30">
        <v>0</v>
      </c>
      <c r="AE22" s="89" t="s">
        <v>68</v>
      </c>
      <c r="AF22" s="89" t="s">
        <v>230</v>
      </c>
      <c r="AG22" s="89" t="s">
        <v>133</v>
      </c>
      <c r="AH22" s="72" t="s">
        <v>68</v>
      </c>
      <c r="AI22" s="30">
        <v>5</v>
      </c>
      <c r="AJ22" s="89" t="s">
        <v>68</v>
      </c>
      <c r="AK22" s="89" t="s">
        <v>68</v>
      </c>
      <c r="AL22" s="91">
        <v>39295</v>
      </c>
      <c r="AM22" s="91"/>
      <c r="AN22" s="91"/>
      <c r="AO22" s="91"/>
      <c r="AP22" s="73" t="e">
        <f>MID(VLOOKUP(K22,#REF!,2,FALSE),1,2)</f>
        <v>#REF!</v>
      </c>
      <c r="AQ22" s="89">
        <f>DATE(2005,8,31)</f>
        <v>38595</v>
      </c>
      <c r="AR22" s="82">
        <f t="shared" si="1"/>
        <v>31</v>
      </c>
      <c r="AS22" s="83">
        <f t="shared" si="2"/>
        <v>8</v>
      </c>
      <c r="AT22" s="84">
        <f t="shared" si="3"/>
        <v>2005</v>
      </c>
      <c r="AU22" s="88">
        <f>DATE(2007,8,1)</f>
        <v>39295</v>
      </c>
      <c r="AV22" s="88"/>
      <c r="AW22" s="87"/>
      <c r="AX22" s="88">
        <f>DATE(2007,8,1)</f>
        <v>39295</v>
      </c>
      <c r="AY22" s="83">
        <f t="shared" si="4"/>
        <v>8</v>
      </c>
      <c r="AZ22" s="84">
        <f t="shared" si="5"/>
        <v>2007</v>
      </c>
      <c r="BA22" s="86"/>
      <c r="BB22" s="86"/>
      <c r="BD22" s="68">
        <f t="shared" si="6"/>
        <v>0</v>
      </c>
    </row>
    <row r="23" spans="1:56" ht="36.75" customHeight="1">
      <c r="A23" s="30"/>
      <c r="B23" s="30" t="s">
        <v>55</v>
      </c>
      <c r="C23" s="69" t="str">
        <f t="shared" si="0"/>
        <v>Closed</v>
      </c>
      <c r="D23" s="27" t="s">
        <v>231</v>
      </c>
      <c r="E23" s="29" t="s">
        <v>232</v>
      </c>
      <c r="F23" s="30" t="s">
        <v>233</v>
      </c>
      <c r="G23" s="89">
        <f>DATE(2005,10,18)</f>
        <v>38643</v>
      </c>
      <c r="H23" s="90">
        <v>1.2159722222222222</v>
      </c>
      <c r="I23" s="30" t="s">
        <v>73</v>
      </c>
      <c r="J23" s="89" t="s">
        <v>234</v>
      </c>
      <c r="K23" s="30" t="s">
        <v>235</v>
      </c>
      <c r="L23" s="30" t="s">
        <v>236</v>
      </c>
      <c r="M23" s="30" t="s">
        <v>63</v>
      </c>
      <c r="N23" s="30">
        <v>0</v>
      </c>
      <c r="O23" s="30" t="s">
        <v>64</v>
      </c>
      <c r="P23" s="89" t="s">
        <v>78</v>
      </c>
      <c r="Q23" s="89" t="s">
        <v>237</v>
      </c>
      <c r="R23" s="89" t="s">
        <v>238</v>
      </c>
      <c r="S23" s="30">
        <v>0</v>
      </c>
      <c r="T23" s="233" t="s">
        <v>68</v>
      </c>
      <c r="U23" s="30">
        <v>0</v>
      </c>
      <c r="V23" s="233" t="s">
        <v>68</v>
      </c>
      <c r="W23" s="30">
        <v>0</v>
      </c>
      <c r="X23" s="30">
        <v>0</v>
      </c>
      <c r="Y23" s="30">
        <v>0</v>
      </c>
      <c r="Z23" s="233" t="s">
        <v>68</v>
      </c>
      <c r="AA23" s="30">
        <v>0</v>
      </c>
      <c r="AB23" s="30">
        <v>0</v>
      </c>
      <c r="AC23" s="30">
        <v>0</v>
      </c>
      <c r="AD23" s="30">
        <v>0</v>
      </c>
      <c r="AE23" s="89" t="s">
        <v>68</v>
      </c>
      <c r="AF23" s="89" t="s">
        <v>239</v>
      </c>
      <c r="AG23" s="89" t="s">
        <v>82</v>
      </c>
      <c r="AH23" s="72" t="s">
        <v>68</v>
      </c>
      <c r="AI23" s="30">
        <v>5</v>
      </c>
      <c r="AJ23" s="89" t="s">
        <v>240</v>
      </c>
      <c r="AK23" s="89" t="s">
        <v>241</v>
      </c>
      <c r="AL23" s="91">
        <v>39149</v>
      </c>
      <c r="AM23" s="91"/>
      <c r="AN23" s="91"/>
      <c r="AO23" s="91"/>
      <c r="AP23" s="73" t="e">
        <f>MID(VLOOKUP(K23,#REF!,2,FALSE),1,2)</f>
        <v>#REF!</v>
      </c>
      <c r="AQ23" s="89">
        <f>DATE(2005,10,18)</f>
        <v>38643</v>
      </c>
      <c r="AR23" s="82">
        <f t="shared" si="1"/>
        <v>18</v>
      </c>
      <c r="AS23" s="83">
        <f t="shared" si="2"/>
        <v>10</v>
      </c>
      <c r="AT23" s="84">
        <f t="shared" si="3"/>
        <v>2005</v>
      </c>
      <c r="AU23" s="88">
        <f>DATE(2007,3,8)</f>
        <v>39149</v>
      </c>
      <c r="AV23" s="86"/>
      <c r="AW23" s="87"/>
      <c r="AX23" s="88">
        <f>DATE(2006,7,31)</f>
        <v>38929</v>
      </c>
      <c r="AY23" s="83">
        <f t="shared" si="4"/>
        <v>7</v>
      </c>
      <c r="AZ23" s="84">
        <f t="shared" si="5"/>
        <v>2006</v>
      </c>
      <c r="BA23" s="86"/>
      <c r="BB23" s="86"/>
      <c r="BD23" s="68">
        <f t="shared" si="6"/>
        <v>0</v>
      </c>
    </row>
    <row r="24" spans="1:56" ht="36.75" customHeight="1">
      <c r="A24" s="30"/>
      <c r="B24" s="30" t="s">
        <v>55</v>
      </c>
      <c r="C24" s="69" t="str">
        <f t="shared" si="0"/>
        <v>Closed</v>
      </c>
      <c r="D24" s="27" t="s">
        <v>242</v>
      </c>
      <c r="E24" s="29" t="s">
        <v>243</v>
      </c>
      <c r="F24" s="30" t="s">
        <v>233</v>
      </c>
      <c r="G24" s="89">
        <f>DATE(2005,10,19)</f>
        <v>38644</v>
      </c>
      <c r="H24" s="90">
        <v>1.5069444444444444</v>
      </c>
      <c r="I24" s="30" t="s">
        <v>116</v>
      </c>
      <c r="J24" s="89" t="s">
        <v>244</v>
      </c>
      <c r="K24" s="30" t="s">
        <v>235</v>
      </c>
      <c r="L24" s="30" t="s">
        <v>245</v>
      </c>
      <c r="M24" s="30" t="s">
        <v>63</v>
      </c>
      <c r="N24" s="30">
        <v>0</v>
      </c>
      <c r="O24" s="30" t="s">
        <v>64</v>
      </c>
      <c r="P24" s="89" t="s">
        <v>165</v>
      </c>
      <c r="Q24" s="89" t="s">
        <v>246</v>
      </c>
      <c r="R24" s="89" t="s">
        <v>238</v>
      </c>
      <c r="S24" s="30">
        <v>0</v>
      </c>
      <c r="T24" s="233">
        <v>0</v>
      </c>
      <c r="U24" s="30">
        <v>1</v>
      </c>
      <c r="V24" s="233">
        <v>0</v>
      </c>
      <c r="W24" s="30">
        <v>0</v>
      </c>
      <c r="X24" s="30">
        <v>1</v>
      </c>
      <c r="Y24" s="30">
        <v>0</v>
      </c>
      <c r="Z24" s="233">
        <v>0</v>
      </c>
      <c r="AA24" s="30">
        <v>0</v>
      </c>
      <c r="AB24" s="30">
        <v>0</v>
      </c>
      <c r="AC24" s="30">
        <v>0</v>
      </c>
      <c r="AD24" s="30">
        <v>0</v>
      </c>
      <c r="AE24" s="89" t="s">
        <v>68</v>
      </c>
      <c r="AF24" s="89" t="s">
        <v>247</v>
      </c>
      <c r="AG24" s="89" t="s">
        <v>248</v>
      </c>
      <c r="AH24" s="72" t="s">
        <v>68</v>
      </c>
      <c r="AI24" s="30">
        <v>4</v>
      </c>
      <c r="AJ24" s="89" t="s">
        <v>249</v>
      </c>
      <c r="AK24" s="89" t="s">
        <v>250</v>
      </c>
      <c r="AL24" s="91">
        <v>39184</v>
      </c>
      <c r="AM24" s="91"/>
      <c r="AN24" s="91"/>
      <c r="AO24" s="91"/>
      <c r="AP24" s="73" t="e">
        <f>MID(VLOOKUP(K24,#REF!,2,FALSE),1,2)</f>
        <v>#REF!</v>
      </c>
      <c r="AQ24" s="89">
        <f>DATE(2005,10,19)</f>
        <v>38644</v>
      </c>
      <c r="AR24" s="82">
        <f t="shared" si="1"/>
        <v>19</v>
      </c>
      <c r="AS24" s="83">
        <f t="shared" si="2"/>
        <v>10</v>
      </c>
      <c r="AT24" s="84">
        <f t="shared" si="3"/>
        <v>2005</v>
      </c>
      <c r="AU24" s="88">
        <f>DATE(2007,4,12)</f>
        <v>39184</v>
      </c>
      <c r="AV24" s="86"/>
      <c r="AW24" s="87"/>
      <c r="AX24" s="88">
        <f>DATE(2006,7,21)</f>
        <v>38919</v>
      </c>
      <c r="AY24" s="83">
        <f t="shared" si="4"/>
        <v>7</v>
      </c>
      <c r="AZ24" s="84">
        <f t="shared" si="5"/>
        <v>2006</v>
      </c>
      <c r="BA24" s="86"/>
      <c r="BB24" s="86"/>
      <c r="BD24" s="68">
        <f t="shared" si="6"/>
        <v>0</v>
      </c>
    </row>
    <row r="25" spans="1:56" ht="36.75" customHeight="1">
      <c r="A25" s="30"/>
      <c r="B25" s="30" t="s">
        <v>55</v>
      </c>
      <c r="C25" s="69" t="str">
        <f t="shared" si="0"/>
        <v>Closed</v>
      </c>
      <c r="D25" s="27" t="s">
        <v>251</v>
      </c>
      <c r="E25" s="29" t="s">
        <v>252</v>
      </c>
      <c r="F25" s="30" t="s">
        <v>233</v>
      </c>
      <c r="G25" s="89">
        <f>DATE(2005,10,21)</f>
        <v>38646</v>
      </c>
      <c r="H25" s="90">
        <v>1.4430555555555555</v>
      </c>
      <c r="I25" s="30" t="s">
        <v>73</v>
      </c>
      <c r="J25" s="89" t="s">
        <v>253</v>
      </c>
      <c r="K25" s="30" t="s">
        <v>235</v>
      </c>
      <c r="L25" s="30" t="s">
        <v>254</v>
      </c>
      <c r="M25" s="30" t="s">
        <v>255</v>
      </c>
      <c r="N25" s="30">
        <v>0</v>
      </c>
      <c r="O25" s="30" t="s">
        <v>64</v>
      </c>
      <c r="P25" s="89" t="s">
        <v>86</v>
      </c>
      <c r="Q25" s="89" t="s">
        <v>256</v>
      </c>
      <c r="R25" s="89" t="s">
        <v>257</v>
      </c>
      <c r="S25" s="30">
        <v>0</v>
      </c>
      <c r="T25" s="233" t="s">
        <v>68</v>
      </c>
      <c r="U25" s="30">
        <v>0</v>
      </c>
      <c r="V25" s="233" t="s">
        <v>68</v>
      </c>
      <c r="W25" s="30">
        <v>0</v>
      </c>
      <c r="X25" s="30">
        <v>0</v>
      </c>
      <c r="Y25" s="30">
        <v>0</v>
      </c>
      <c r="Z25" s="233" t="s">
        <v>68</v>
      </c>
      <c r="AA25" s="30">
        <v>0</v>
      </c>
      <c r="AB25" s="30">
        <v>0</v>
      </c>
      <c r="AC25" s="30">
        <v>0</v>
      </c>
      <c r="AD25" s="30">
        <v>0</v>
      </c>
      <c r="AE25" s="89" t="s">
        <v>68</v>
      </c>
      <c r="AF25" s="89" t="s">
        <v>258</v>
      </c>
      <c r="AG25" s="89" t="s">
        <v>248</v>
      </c>
      <c r="AH25" s="72" t="s">
        <v>68</v>
      </c>
      <c r="AI25" s="30">
        <v>4</v>
      </c>
      <c r="AJ25" s="89" t="s">
        <v>259</v>
      </c>
      <c r="AK25" s="89" t="s">
        <v>260</v>
      </c>
      <c r="AL25" s="91">
        <v>39342</v>
      </c>
      <c r="AM25" s="91"/>
      <c r="AN25" s="91"/>
      <c r="AO25" s="91"/>
      <c r="AP25" s="73" t="e">
        <f>MID(VLOOKUP(K25,#REF!,2,FALSE),1,2)</f>
        <v>#REF!</v>
      </c>
      <c r="AQ25" s="89">
        <f>DATE(2005,10,21)</f>
        <v>38646</v>
      </c>
      <c r="AR25" s="82">
        <f t="shared" si="1"/>
        <v>21</v>
      </c>
      <c r="AS25" s="83">
        <f t="shared" si="2"/>
        <v>10</v>
      </c>
      <c r="AT25" s="84">
        <f t="shared" si="3"/>
        <v>2005</v>
      </c>
      <c r="AU25" s="88">
        <f>DATE(2007,9,17)</f>
        <v>39342</v>
      </c>
      <c r="AV25" s="86"/>
      <c r="AW25" s="87"/>
      <c r="AX25" s="88">
        <f>DATE(2006,3,31)</f>
        <v>38807</v>
      </c>
      <c r="AY25" s="83">
        <f t="shared" si="4"/>
        <v>3</v>
      </c>
      <c r="AZ25" s="84">
        <f t="shared" si="5"/>
        <v>2006</v>
      </c>
      <c r="BA25" s="86"/>
      <c r="BB25" s="86"/>
      <c r="BD25" s="68">
        <f t="shared" si="6"/>
        <v>0</v>
      </c>
    </row>
    <row r="26" spans="1:56" ht="36.75" customHeight="1">
      <c r="A26" s="30"/>
      <c r="B26" s="30" t="s">
        <v>55</v>
      </c>
      <c r="C26" s="69" t="str">
        <f t="shared" si="0"/>
        <v>Closed</v>
      </c>
      <c r="D26" s="27" t="s">
        <v>261</v>
      </c>
      <c r="E26" s="29" t="s">
        <v>262</v>
      </c>
      <c r="F26" s="30" t="s">
        <v>233</v>
      </c>
      <c r="G26" s="89">
        <f>DATE(2005,10,26)</f>
        <v>38651</v>
      </c>
      <c r="H26" s="90">
        <v>1.7368055555555557</v>
      </c>
      <c r="I26" s="30" t="s">
        <v>73</v>
      </c>
      <c r="J26" s="89" t="s">
        <v>263</v>
      </c>
      <c r="K26" s="30" t="s">
        <v>235</v>
      </c>
      <c r="L26" s="30" t="s">
        <v>264</v>
      </c>
      <c r="M26" s="30" t="s">
        <v>63</v>
      </c>
      <c r="N26" s="30">
        <v>0</v>
      </c>
      <c r="O26" s="30" t="s">
        <v>64</v>
      </c>
      <c r="P26" s="89" t="s">
        <v>165</v>
      </c>
      <c r="Q26" s="89" t="s">
        <v>265</v>
      </c>
      <c r="R26" s="89" t="s">
        <v>238</v>
      </c>
      <c r="S26" s="30">
        <v>0</v>
      </c>
      <c r="T26" s="233" t="s">
        <v>68</v>
      </c>
      <c r="U26" s="30">
        <v>0</v>
      </c>
      <c r="V26" s="233" t="s">
        <v>68</v>
      </c>
      <c r="W26" s="30">
        <v>0</v>
      </c>
      <c r="X26" s="30">
        <v>0</v>
      </c>
      <c r="Y26" s="30">
        <v>0</v>
      </c>
      <c r="Z26" s="233" t="s">
        <v>68</v>
      </c>
      <c r="AA26" s="30">
        <v>0</v>
      </c>
      <c r="AB26" s="30">
        <v>0</v>
      </c>
      <c r="AC26" s="30">
        <v>0</v>
      </c>
      <c r="AD26" s="30">
        <v>0</v>
      </c>
      <c r="AE26" s="89" t="s">
        <v>68</v>
      </c>
      <c r="AF26" s="89" t="s">
        <v>266</v>
      </c>
      <c r="AG26" s="89" t="s">
        <v>133</v>
      </c>
      <c r="AH26" s="72" t="s">
        <v>68</v>
      </c>
      <c r="AI26" s="30">
        <v>8</v>
      </c>
      <c r="AJ26" s="89" t="s">
        <v>267</v>
      </c>
      <c r="AK26" s="89" t="s">
        <v>268</v>
      </c>
      <c r="AL26" s="91">
        <v>39153</v>
      </c>
      <c r="AM26" s="91"/>
      <c r="AN26" s="91"/>
      <c r="AO26" s="91"/>
      <c r="AP26" s="73" t="e">
        <f>MID(VLOOKUP(K26,#REF!,2,FALSE),1,2)</f>
        <v>#REF!</v>
      </c>
      <c r="AQ26" s="89">
        <f>DATE(2005,10,26)</f>
        <v>38651</v>
      </c>
      <c r="AR26" s="82">
        <f t="shared" si="1"/>
        <v>26</v>
      </c>
      <c r="AS26" s="83">
        <f t="shared" si="2"/>
        <v>10</v>
      </c>
      <c r="AT26" s="84">
        <f t="shared" si="3"/>
        <v>2005</v>
      </c>
      <c r="AU26" s="88">
        <f>DATE(2007,3,12)</f>
        <v>39153</v>
      </c>
      <c r="AV26" s="86"/>
      <c r="AW26" s="87"/>
      <c r="AX26" s="88">
        <f>DATE(2006,8,31)</f>
        <v>38960</v>
      </c>
      <c r="AY26" s="83">
        <f t="shared" si="4"/>
        <v>8</v>
      </c>
      <c r="AZ26" s="84">
        <f t="shared" si="5"/>
        <v>2006</v>
      </c>
      <c r="BA26" s="86"/>
      <c r="BB26" s="86"/>
      <c r="BD26" s="68">
        <f t="shared" si="6"/>
        <v>0</v>
      </c>
    </row>
    <row r="27" spans="1:56" ht="36.75" customHeight="1">
      <c r="A27" s="30"/>
      <c r="B27" s="30" t="s">
        <v>55</v>
      </c>
      <c r="C27" s="69" t="str">
        <f t="shared" si="0"/>
        <v>Closed</v>
      </c>
      <c r="D27" s="27" t="s">
        <v>269</v>
      </c>
      <c r="E27" s="29" t="s">
        <v>270</v>
      </c>
      <c r="F27" s="30" t="s">
        <v>233</v>
      </c>
      <c r="G27" s="89">
        <f>DATE(2005,10,27)</f>
        <v>38652</v>
      </c>
      <c r="H27" s="90">
        <v>1.5902777777777777</v>
      </c>
      <c r="I27" s="30" t="s">
        <v>116</v>
      </c>
      <c r="J27" s="89" t="s">
        <v>271</v>
      </c>
      <c r="K27" s="30" t="s">
        <v>235</v>
      </c>
      <c r="L27" s="30" t="s">
        <v>272</v>
      </c>
      <c r="M27" s="30" t="s">
        <v>255</v>
      </c>
      <c r="N27" s="30">
        <v>0</v>
      </c>
      <c r="O27" s="30" t="s">
        <v>64</v>
      </c>
      <c r="P27" s="89" t="s">
        <v>86</v>
      </c>
      <c r="Q27" s="89" t="s">
        <v>273</v>
      </c>
      <c r="R27" s="89" t="s">
        <v>273</v>
      </c>
      <c r="S27" s="30">
        <v>0</v>
      </c>
      <c r="T27" s="233">
        <v>0</v>
      </c>
      <c r="U27" s="30">
        <v>0</v>
      </c>
      <c r="V27" s="233">
        <v>0</v>
      </c>
      <c r="W27" s="30">
        <v>0</v>
      </c>
      <c r="X27" s="30">
        <v>0</v>
      </c>
      <c r="Y27" s="30">
        <v>1</v>
      </c>
      <c r="Z27" s="233">
        <v>0</v>
      </c>
      <c r="AA27" s="30">
        <v>0</v>
      </c>
      <c r="AB27" s="30">
        <v>0</v>
      </c>
      <c r="AC27" s="30">
        <v>0</v>
      </c>
      <c r="AD27" s="30">
        <v>1</v>
      </c>
      <c r="AE27" s="89" t="s">
        <v>68</v>
      </c>
      <c r="AF27" s="89" t="s">
        <v>68</v>
      </c>
      <c r="AG27" s="89" t="s">
        <v>133</v>
      </c>
      <c r="AH27" s="72" t="s">
        <v>68</v>
      </c>
      <c r="AI27" s="30">
        <v>3</v>
      </c>
      <c r="AJ27" s="89" t="s">
        <v>274</v>
      </c>
      <c r="AK27" s="89" t="s">
        <v>275</v>
      </c>
      <c r="AL27" s="91">
        <v>39342</v>
      </c>
      <c r="AM27" s="91"/>
      <c r="AN27" s="91"/>
      <c r="AO27" s="91"/>
      <c r="AP27" s="73" t="e">
        <f>MID(VLOOKUP(K27,#REF!,2,FALSE),1,2)</f>
        <v>#REF!</v>
      </c>
      <c r="AQ27" s="89">
        <f>DATE(2005,10,27)</f>
        <v>38652</v>
      </c>
      <c r="AR27" s="82">
        <f t="shared" si="1"/>
        <v>27</v>
      </c>
      <c r="AS27" s="83">
        <f t="shared" si="2"/>
        <v>10</v>
      </c>
      <c r="AT27" s="84">
        <f t="shared" si="3"/>
        <v>2005</v>
      </c>
      <c r="AU27" s="88">
        <f>DATE(2007,9,17)</f>
        <v>39342</v>
      </c>
      <c r="AV27" s="86"/>
      <c r="AW27" s="87"/>
      <c r="AX27" s="88">
        <f>DATE(2006,3,31)</f>
        <v>38807</v>
      </c>
      <c r="AY27" s="83">
        <f t="shared" si="4"/>
        <v>3</v>
      </c>
      <c r="AZ27" s="84">
        <f t="shared" si="5"/>
        <v>2006</v>
      </c>
      <c r="BA27" s="86"/>
      <c r="BB27" s="86"/>
      <c r="BD27" s="68">
        <f t="shared" si="6"/>
        <v>0</v>
      </c>
    </row>
    <row r="28" spans="1:56" ht="36.75" customHeight="1">
      <c r="A28" s="30"/>
      <c r="B28" s="30" t="s">
        <v>55</v>
      </c>
      <c r="C28" s="69" t="str">
        <f t="shared" si="0"/>
        <v>Closed</v>
      </c>
      <c r="D28" s="27" t="s">
        <v>276</v>
      </c>
      <c r="E28" s="29" t="s">
        <v>277</v>
      </c>
      <c r="F28" s="30" t="s">
        <v>233</v>
      </c>
      <c r="G28" s="89">
        <f>DATE(2005,10,27)</f>
        <v>38652</v>
      </c>
      <c r="H28" s="90">
        <v>1.3993055555555556</v>
      </c>
      <c r="I28" s="30" t="s">
        <v>278</v>
      </c>
      <c r="J28" s="89" t="s">
        <v>279</v>
      </c>
      <c r="K28" s="30" t="s">
        <v>235</v>
      </c>
      <c r="L28" s="30" t="s">
        <v>280</v>
      </c>
      <c r="M28" s="30" t="s">
        <v>63</v>
      </c>
      <c r="N28" s="30">
        <v>0</v>
      </c>
      <c r="O28" s="30" t="s">
        <v>64</v>
      </c>
      <c r="P28" s="89" t="s">
        <v>165</v>
      </c>
      <c r="Q28" s="89" t="s">
        <v>281</v>
      </c>
      <c r="R28" s="89" t="s">
        <v>238</v>
      </c>
      <c r="S28" s="30">
        <v>0</v>
      </c>
      <c r="T28" s="233">
        <v>1</v>
      </c>
      <c r="U28" s="30">
        <v>0</v>
      </c>
      <c r="V28" s="233">
        <v>0</v>
      </c>
      <c r="W28" s="30">
        <v>0</v>
      </c>
      <c r="X28" s="30">
        <v>1</v>
      </c>
      <c r="Y28" s="30">
        <v>0</v>
      </c>
      <c r="Z28" s="233">
        <v>0</v>
      </c>
      <c r="AA28" s="30">
        <v>0</v>
      </c>
      <c r="AB28" s="30">
        <v>0</v>
      </c>
      <c r="AC28" s="30">
        <v>0</v>
      </c>
      <c r="AD28" s="30">
        <v>0</v>
      </c>
      <c r="AE28" s="89" t="s">
        <v>68</v>
      </c>
      <c r="AF28" s="89" t="s">
        <v>68</v>
      </c>
      <c r="AG28" s="89" t="s">
        <v>82</v>
      </c>
      <c r="AH28" s="72" t="s">
        <v>68</v>
      </c>
      <c r="AI28" s="30">
        <v>9</v>
      </c>
      <c r="AJ28" s="89" t="s">
        <v>282</v>
      </c>
      <c r="AK28" s="89" t="s">
        <v>283</v>
      </c>
      <c r="AL28" s="91">
        <v>39380</v>
      </c>
      <c r="AM28" s="91"/>
      <c r="AN28" s="91"/>
      <c r="AO28" s="91"/>
      <c r="AP28" s="73" t="e">
        <f>MID(VLOOKUP(K28,#REF!,2,FALSE),1,2)</f>
        <v>#REF!</v>
      </c>
      <c r="AQ28" s="89">
        <f>DATE(2005,10,26)</f>
        <v>38651</v>
      </c>
      <c r="AR28" s="82">
        <f t="shared" si="1"/>
        <v>26</v>
      </c>
      <c r="AS28" s="83">
        <f t="shared" si="2"/>
        <v>10</v>
      </c>
      <c r="AT28" s="84">
        <f t="shared" si="3"/>
        <v>2005</v>
      </c>
      <c r="AU28" s="88">
        <f>DATE(2007,10,25)</f>
        <v>39380</v>
      </c>
      <c r="AV28" s="86"/>
      <c r="AW28" s="87"/>
      <c r="AX28" s="88">
        <f>DATE(2006,8,31)</f>
        <v>38960</v>
      </c>
      <c r="AY28" s="83">
        <f t="shared" si="4"/>
        <v>8</v>
      </c>
      <c r="AZ28" s="84">
        <f t="shared" si="5"/>
        <v>2006</v>
      </c>
      <c r="BA28" s="86"/>
      <c r="BB28" s="86"/>
      <c r="BD28" s="68">
        <f t="shared" si="6"/>
        <v>0</v>
      </c>
    </row>
    <row r="29" spans="1:56" ht="36.75" customHeight="1">
      <c r="A29" s="30"/>
      <c r="B29" s="30" t="s">
        <v>55</v>
      </c>
      <c r="C29" s="69" t="str">
        <f t="shared" si="0"/>
        <v>Closed</v>
      </c>
      <c r="D29" s="27" t="s">
        <v>284</v>
      </c>
      <c r="E29" s="29" t="s">
        <v>285</v>
      </c>
      <c r="F29" s="30" t="s">
        <v>233</v>
      </c>
      <c r="G29" s="89">
        <f>DATE(2005,10,28)</f>
        <v>38653</v>
      </c>
      <c r="H29" s="90">
        <v>1.2291666666666667</v>
      </c>
      <c r="I29" s="30" t="s">
        <v>73</v>
      </c>
      <c r="J29" s="89" t="s">
        <v>286</v>
      </c>
      <c r="K29" s="30" t="s">
        <v>235</v>
      </c>
      <c r="L29" s="30" t="s">
        <v>287</v>
      </c>
      <c r="M29" s="30" t="s">
        <v>63</v>
      </c>
      <c r="N29" s="30">
        <v>0</v>
      </c>
      <c r="O29" s="30" t="s">
        <v>90</v>
      </c>
      <c r="P29" s="89" t="s">
        <v>165</v>
      </c>
      <c r="Q29" s="89" t="s">
        <v>288</v>
      </c>
      <c r="R29" s="89" t="s">
        <v>238</v>
      </c>
      <c r="S29" s="30">
        <v>0</v>
      </c>
      <c r="T29" s="233" t="s">
        <v>68</v>
      </c>
      <c r="U29" s="30">
        <v>0</v>
      </c>
      <c r="V29" s="233" t="s">
        <v>68</v>
      </c>
      <c r="W29" s="30">
        <v>0</v>
      </c>
      <c r="X29" s="30">
        <v>0</v>
      </c>
      <c r="Y29" s="30">
        <v>0</v>
      </c>
      <c r="Z29" s="233" t="s">
        <v>68</v>
      </c>
      <c r="AA29" s="30">
        <v>0</v>
      </c>
      <c r="AB29" s="30">
        <v>0</v>
      </c>
      <c r="AC29" s="30">
        <v>0</v>
      </c>
      <c r="AD29" s="30">
        <v>0</v>
      </c>
      <c r="AE29" s="89" t="s">
        <v>68</v>
      </c>
      <c r="AF29" s="89" t="s">
        <v>289</v>
      </c>
      <c r="AG29" s="89" t="s">
        <v>248</v>
      </c>
      <c r="AH29" s="72" t="s">
        <v>68</v>
      </c>
      <c r="AI29" s="30">
        <v>4</v>
      </c>
      <c r="AJ29" s="89" t="s">
        <v>290</v>
      </c>
      <c r="AK29" s="89" t="s">
        <v>291</v>
      </c>
      <c r="AL29" s="91">
        <v>39225</v>
      </c>
      <c r="AM29" s="91"/>
      <c r="AN29" s="91"/>
      <c r="AO29" s="91"/>
      <c r="AP29" s="73" t="e">
        <f>MID(VLOOKUP(K29,#REF!,2,FALSE),1,2)</f>
        <v>#REF!</v>
      </c>
      <c r="AQ29" s="89">
        <f>DATE(2005,10,28)</f>
        <v>38653</v>
      </c>
      <c r="AR29" s="82">
        <f t="shared" si="1"/>
        <v>28</v>
      </c>
      <c r="AS29" s="83">
        <f t="shared" si="2"/>
        <v>10</v>
      </c>
      <c r="AT29" s="84">
        <f t="shared" si="3"/>
        <v>2005</v>
      </c>
      <c r="AU29" s="88">
        <f>DATE(2007,5,23)</f>
        <v>39225</v>
      </c>
      <c r="AV29" s="86"/>
      <c r="AW29" s="87"/>
      <c r="AX29" s="88">
        <f>DATE(2006,3,31)</f>
        <v>38807</v>
      </c>
      <c r="AY29" s="83">
        <f t="shared" si="4"/>
        <v>3</v>
      </c>
      <c r="AZ29" s="84">
        <f t="shared" si="5"/>
        <v>2006</v>
      </c>
      <c r="BA29" s="86"/>
      <c r="BB29" s="86"/>
      <c r="BD29" s="68">
        <f t="shared" si="6"/>
        <v>0</v>
      </c>
    </row>
    <row r="30" spans="1:56" ht="36.75" customHeight="1">
      <c r="A30" s="30"/>
      <c r="B30" s="30" t="s">
        <v>55</v>
      </c>
      <c r="C30" s="69" t="str">
        <f t="shared" si="0"/>
        <v>Closed</v>
      </c>
      <c r="D30" s="27" t="s">
        <v>292</v>
      </c>
      <c r="E30" s="29" t="s">
        <v>293</v>
      </c>
      <c r="F30" s="30" t="s">
        <v>58</v>
      </c>
      <c r="G30" s="89">
        <f>DATE(2005,10,31)</f>
        <v>38656</v>
      </c>
      <c r="H30" s="90">
        <v>1.6076388888888888</v>
      </c>
      <c r="I30" s="30" t="s">
        <v>73</v>
      </c>
      <c r="J30" s="89" t="s">
        <v>294</v>
      </c>
      <c r="K30" s="30" t="s">
        <v>61</v>
      </c>
      <c r="L30" s="30" t="s">
        <v>295</v>
      </c>
      <c r="M30" s="30" t="s">
        <v>63</v>
      </c>
      <c r="N30" s="30">
        <v>0</v>
      </c>
      <c r="O30" s="30" t="s">
        <v>90</v>
      </c>
      <c r="P30" s="89" t="s">
        <v>78</v>
      </c>
      <c r="Q30" s="89" t="s">
        <v>66</v>
      </c>
      <c r="R30" s="89" t="s">
        <v>67</v>
      </c>
      <c r="S30" s="30">
        <v>0</v>
      </c>
      <c r="T30" s="233" t="s">
        <v>68</v>
      </c>
      <c r="U30" s="30">
        <v>0</v>
      </c>
      <c r="V30" s="233" t="s">
        <v>68</v>
      </c>
      <c r="W30" s="30">
        <v>0</v>
      </c>
      <c r="X30" s="30">
        <v>0</v>
      </c>
      <c r="Y30" s="30">
        <v>0</v>
      </c>
      <c r="Z30" s="233" t="s">
        <v>68</v>
      </c>
      <c r="AA30" s="30">
        <v>0</v>
      </c>
      <c r="AB30" s="30">
        <v>0</v>
      </c>
      <c r="AC30" s="30">
        <v>0</v>
      </c>
      <c r="AD30" s="30">
        <v>0</v>
      </c>
      <c r="AE30" s="89" t="s">
        <v>68</v>
      </c>
      <c r="AF30" s="89" t="s">
        <v>296</v>
      </c>
      <c r="AG30" s="89" t="s">
        <v>133</v>
      </c>
      <c r="AH30" s="72" t="s">
        <v>68</v>
      </c>
      <c r="AI30" s="30">
        <v>0</v>
      </c>
      <c r="AJ30" s="89" t="s">
        <v>68</v>
      </c>
      <c r="AK30" s="89" t="s">
        <v>68</v>
      </c>
      <c r="AL30" s="91">
        <v>39633</v>
      </c>
      <c r="AM30" s="91"/>
      <c r="AN30" s="91"/>
      <c r="AO30" s="91"/>
      <c r="AP30" s="73" t="e">
        <f>MID(VLOOKUP(K30,#REF!,2,FALSE),1,2)</f>
        <v>#REF!</v>
      </c>
      <c r="AQ30" s="89">
        <f>DATE(2005,10,31)</f>
        <v>38656</v>
      </c>
      <c r="AR30" s="82">
        <f t="shared" si="1"/>
        <v>31</v>
      </c>
      <c r="AS30" s="83">
        <f t="shared" si="2"/>
        <v>10</v>
      </c>
      <c r="AT30" s="84">
        <f t="shared" si="3"/>
        <v>2005</v>
      </c>
      <c r="AU30" s="88">
        <f>DATE(2008,7,4)</f>
        <v>39633</v>
      </c>
      <c r="AV30" s="86"/>
      <c r="AW30" s="87"/>
      <c r="AX30" s="88">
        <f>DATE(2008,7,7)</f>
        <v>39636</v>
      </c>
      <c r="AY30" s="83">
        <f t="shared" si="4"/>
        <v>7</v>
      </c>
      <c r="AZ30" s="84">
        <f t="shared" si="5"/>
        <v>2008</v>
      </c>
      <c r="BA30" s="86"/>
      <c r="BB30" s="86"/>
      <c r="BD30" s="68">
        <f t="shared" si="6"/>
        <v>0</v>
      </c>
    </row>
    <row r="31" spans="1:56" ht="36.75" customHeight="1">
      <c r="A31" s="30"/>
      <c r="B31" s="30" t="s">
        <v>55</v>
      </c>
      <c r="C31" s="69" t="str">
        <f t="shared" si="0"/>
        <v>Closed</v>
      </c>
      <c r="D31" s="27" t="s">
        <v>297</v>
      </c>
      <c r="E31" s="29" t="s">
        <v>298</v>
      </c>
      <c r="F31" s="30" t="s">
        <v>233</v>
      </c>
      <c r="G31" s="89">
        <f>DATE(2005,11,2)</f>
        <v>38658</v>
      </c>
      <c r="H31" s="90">
        <v>1</v>
      </c>
      <c r="I31" s="30" t="s">
        <v>86</v>
      </c>
      <c r="J31" s="89" t="s">
        <v>299</v>
      </c>
      <c r="K31" s="30" t="s">
        <v>235</v>
      </c>
      <c r="L31" s="30" t="s">
        <v>300</v>
      </c>
      <c r="M31" s="30" t="s">
        <v>63</v>
      </c>
      <c r="N31" s="30">
        <v>0</v>
      </c>
      <c r="O31" s="30" t="s">
        <v>86</v>
      </c>
      <c r="P31" s="89" t="s">
        <v>301</v>
      </c>
      <c r="Q31" s="89" t="s">
        <v>281</v>
      </c>
      <c r="R31" s="89" t="s">
        <v>238</v>
      </c>
      <c r="S31" s="30">
        <v>0</v>
      </c>
      <c r="T31" s="233" t="s">
        <v>68</v>
      </c>
      <c r="U31" s="30">
        <v>0</v>
      </c>
      <c r="V31" s="233" t="s">
        <v>68</v>
      </c>
      <c r="W31" s="30">
        <v>0</v>
      </c>
      <c r="X31" s="30">
        <v>0</v>
      </c>
      <c r="Y31" s="30">
        <v>0</v>
      </c>
      <c r="Z31" s="233" t="s">
        <v>68</v>
      </c>
      <c r="AA31" s="30">
        <v>0</v>
      </c>
      <c r="AB31" s="30">
        <v>0</v>
      </c>
      <c r="AC31" s="30">
        <v>0</v>
      </c>
      <c r="AD31" s="30">
        <v>0</v>
      </c>
      <c r="AE31" s="89" t="s">
        <v>68</v>
      </c>
      <c r="AF31" s="89" t="s">
        <v>68</v>
      </c>
      <c r="AG31" s="89" t="s">
        <v>133</v>
      </c>
      <c r="AH31" s="72" t="s">
        <v>68</v>
      </c>
      <c r="AI31" s="30">
        <v>10</v>
      </c>
      <c r="AJ31" s="89" t="s">
        <v>302</v>
      </c>
      <c r="AK31" s="89" t="s">
        <v>303</v>
      </c>
      <c r="AL31" s="91">
        <v>39227</v>
      </c>
      <c r="AM31" s="91"/>
      <c r="AN31" s="91"/>
      <c r="AO31" s="91"/>
      <c r="AP31" s="73" t="e">
        <f>MID(VLOOKUP(K31,#REF!,2,FALSE),1,2)</f>
        <v>#REF!</v>
      </c>
      <c r="AQ31" s="89">
        <f>DATE(2005,11,2)</f>
        <v>38658</v>
      </c>
      <c r="AR31" s="82">
        <f t="shared" si="1"/>
        <v>2</v>
      </c>
      <c r="AS31" s="83">
        <f t="shared" si="2"/>
        <v>11</v>
      </c>
      <c r="AT31" s="84">
        <f t="shared" si="3"/>
        <v>2005</v>
      </c>
      <c r="AU31" s="88">
        <f>DATE(2007,5,25)</f>
        <v>39227</v>
      </c>
      <c r="AV31" s="86"/>
      <c r="AW31" s="87"/>
      <c r="AX31" s="88">
        <f>DATE(2006,11,2)</f>
        <v>39023</v>
      </c>
      <c r="AY31" s="83">
        <f t="shared" si="4"/>
        <v>11</v>
      </c>
      <c r="AZ31" s="84">
        <f t="shared" si="5"/>
        <v>2006</v>
      </c>
      <c r="BA31" s="86"/>
      <c r="BB31" s="86"/>
      <c r="BD31" s="68">
        <f t="shared" si="6"/>
        <v>0</v>
      </c>
    </row>
    <row r="32" spans="1:56" ht="36.75" customHeight="1">
      <c r="A32" s="30"/>
      <c r="B32" s="30" t="s">
        <v>55</v>
      </c>
      <c r="C32" s="69" t="str">
        <f t="shared" si="0"/>
        <v>Closed</v>
      </c>
      <c r="D32" s="27" t="s">
        <v>304</v>
      </c>
      <c r="E32" s="29" t="s">
        <v>305</v>
      </c>
      <c r="F32" s="30" t="s">
        <v>233</v>
      </c>
      <c r="G32" s="89">
        <f>DATE(2005,11,4)</f>
        <v>38660</v>
      </c>
      <c r="H32" s="90">
        <v>1.5812499999999998</v>
      </c>
      <c r="I32" s="30" t="s">
        <v>156</v>
      </c>
      <c r="J32" s="89" t="s">
        <v>306</v>
      </c>
      <c r="K32" s="30" t="s">
        <v>235</v>
      </c>
      <c r="L32" s="30" t="s">
        <v>307</v>
      </c>
      <c r="M32" s="30" t="s">
        <v>63</v>
      </c>
      <c r="N32" s="30">
        <v>0</v>
      </c>
      <c r="O32" s="30" t="s">
        <v>64</v>
      </c>
      <c r="P32" s="89" t="s">
        <v>165</v>
      </c>
      <c r="Q32" s="89" t="s">
        <v>308</v>
      </c>
      <c r="R32" s="89" t="s">
        <v>238</v>
      </c>
      <c r="S32" s="30">
        <v>0</v>
      </c>
      <c r="T32" s="233" t="s">
        <v>68</v>
      </c>
      <c r="U32" s="30">
        <v>0</v>
      </c>
      <c r="V32" s="233" t="s">
        <v>68</v>
      </c>
      <c r="W32" s="30">
        <v>0</v>
      </c>
      <c r="X32" s="30">
        <v>0</v>
      </c>
      <c r="Y32" s="30">
        <v>0</v>
      </c>
      <c r="Z32" s="233" t="s">
        <v>68</v>
      </c>
      <c r="AA32" s="30">
        <v>0</v>
      </c>
      <c r="AB32" s="30">
        <v>0</v>
      </c>
      <c r="AC32" s="30">
        <v>0</v>
      </c>
      <c r="AD32" s="30">
        <v>0</v>
      </c>
      <c r="AE32" s="89" t="s">
        <v>68</v>
      </c>
      <c r="AF32" s="89" t="s">
        <v>309</v>
      </c>
      <c r="AG32" s="89" t="s">
        <v>133</v>
      </c>
      <c r="AH32" s="72" t="s">
        <v>68</v>
      </c>
      <c r="AI32" s="30">
        <v>6</v>
      </c>
      <c r="AJ32" s="89" t="s">
        <v>310</v>
      </c>
      <c r="AK32" s="89" t="s">
        <v>311</v>
      </c>
      <c r="AL32" s="91">
        <v>39227</v>
      </c>
      <c r="AM32" s="91"/>
      <c r="AN32" s="91"/>
      <c r="AO32" s="91"/>
      <c r="AP32" s="73" t="e">
        <f>MID(VLOOKUP(K32,#REF!,2,FALSE),1,2)</f>
        <v>#REF!</v>
      </c>
      <c r="AQ32" s="89">
        <f>DATE(2005,11,4)</f>
        <v>38660</v>
      </c>
      <c r="AR32" s="82">
        <f t="shared" si="1"/>
        <v>4</v>
      </c>
      <c r="AS32" s="83">
        <f t="shared" si="2"/>
        <v>11</v>
      </c>
      <c r="AT32" s="84">
        <f t="shared" si="3"/>
        <v>2005</v>
      </c>
      <c r="AU32" s="88">
        <f>DATE(2007,5,25)</f>
        <v>39227</v>
      </c>
      <c r="AV32" s="86"/>
      <c r="AW32" s="87"/>
      <c r="AX32" s="88">
        <f>DATE(2006,11,2)</f>
        <v>39023</v>
      </c>
      <c r="AY32" s="83">
        <f t="shared" si="4"/>
        <v>11</v>
      </c>
      <c r="AZ32" s="84">
        <f t="shared" si="5"/>
        <v>2006</v>
      </c>
      <c r="BA32" s="86"/>
      <c r="BB32" s="86"/>
      <c r="BD32" s="68">
        <f t="shared" si="6"/>
        <v>0</v>
      </c>
    </row>
    <row r="33" spans="1:56" ht="36.75" customHeight="1">
      <c r="A33" s="30"/>
      <c r="B33" s="30" t="s">
        <v>55</v>
      </c>
      <c r="C33" s="69" t="str">
        <f t="shared" si="0"/>
        <v>Closed</v>
      </c>
      <c r="D33" s="27" t="s">
        <v>312</v>
      </c>
      <c r="E33" s="29" t="s">
        <v>313</v>
      </c>
      <c r="F33" s="30" t="s">
        <v>233</v>
      </c>
      <c r="G33" s="89">
        <f>DATE(2005,11,8)</f>
        <v>38664</v>
      </c>
      <c r="H33" s="90">
        <v>1.3819444444444444</v>
      </c>
      <c r="I33" s="30" t="s">
        <v>86</v>
      </c>
      <c r="J33" s="89" t="s">
        <v>314</v>
      </c>
      <c r="K33" s="30" t="s">
        <v>235</v>
      </c>
      <c r="L33" s="30" t="s">
        <v>315</v>
      </c>
      <c r="M33" s="30" t="s">
        <v>255</v>
      </c>
      <c r="N33" s="30">
        <v>0</v>
      </c>
      <c r="O33" s="30" t="s">
        <v>64</v>
      </c>
      <c r="P33" s="89" t="s">
        <v>86</v>
      </c>
      <c r="Q33" s="89" t="s">
        <v>316</v>
      </c>
      <c r="R33" s="89" t="s">
        <v>316</v>
      </c>
      <c r="S33" s="30">
        <v>0</v>
      </c>
      <c r="T33" s="233" t="s">
        <v>68</v>
      </c>
      <c r="U33" s="30">
        <v>0</v>
      </c>
      <c r="V33" s="233" t="s">
        <v>68</v>
      </c>
      <c r="W33" s="30">
        <v>0</v>
      </c>
      <c r="X33" s="30">
        <v>0</v>
      </c>
      <c r="Y33" s="30">
        <v>0</v>
      </c>
      <c r="Z33" s="233" t="s">
        <v>68</v>
      </c>
      <c r="AA33" s="30">
        <v>0</v>
      </c>
      <c r="AB33" s="30">
        <v>0</v>
      </c>
      <c r="AC33" s="30">
        <v>0</v>
      </c>
      <c r="AD33" s="30">
        <v>0</v>
      </c>
      <c r="AE33" s="89" t="s">
        <v>68</v>
      </c>
      <c r="AF33" s="89" t="s">
        <v>317</v>
      </c>
      <c r="AG33" s="89" t="s">
        <v>133</v>
      </c>
      <c r="AH33" s="72" t="s">
        <v>68</v>
      </c>
      <c r="AI33" s="30">
        <v>9</v>
      </c>
      <c r="AJ33" s="89" t="s">
        <v>318</v>
      </c>
      <c r="AK33" s="89" t="s">
        <v>319</v>
      </c>
      <c r="AL33" s="91">
        <v>39353</v>
      </c>
      <c r="AM33" s="91"/>
      <c r="AN33" s="91"/>
      <c r="AO33" s="91"/>
      <c r="AP33" s="73" t="e">
        <f>MID(VLOOKUP(K33,#REF!,2,FALSE),1,2)</f>
        <v>#REF!</v>
      </c>
      <c r="AQ33" s="89">
        <f>DATE(2005,11,8)</f>
        <v>38664</v>
      </c>
      <c r="AR33" s="82">
        <f t="shared" si="1"/>
        <v>8</v>
      </c>
      <c r="AS33" s="83">
        <f t="shared" si="2"/>
        <v>11</v>
      </c>
      <c r="AT33" s="84">
        <f t="shared" si="3"/>
        <v>2005</v>
      </c>
      <c r="AU33" s="88">
        <f>DATE(2007,9,28)</f>
        <v>39353</v>
      </c>
      <c r="AV33" s="86"/>
      <c r="AW33" s="87"/>
      <c r="AX33" s="88">
        <f>DATE(2006,7,17)</f>
        <v>38915</v>
      </c>
      <c r="AY33" s="83">
        <f t="shared" si="4"/>
        <v>7</v>
      </c>
      <c r="AZ33" s="84">
        <f t="shared" si="5"/>
        <v>2006</v>
      </c>
      <c r="BA33" s="86"/>
      <c r="BB33" s="86"/>
      <c r="BD33" s="68">
        <f t="shared" si="6"/>
        <v>0</v>
      </c>
    </row>
    <row r="34" spans="1:56" ht="36.75" customHeight="1">
      <c r="A34" s="30"/>
      <c r="B34" s="30" t="s">
        <v>55</v>
      </c>
      <c r="C34" s="69" t="str">
        <f t="shared" si="0"/>
        <v>Closed</v>
      </c>
      <c r="D34" s="27" t="s">
        <v>320</v>
      </c>
      <c r="E34" s="29" t="s">
        <v>321</v>
      </c>
      <c r="F34" s="30" t="s">
        <v>233</v>
      </c>
      <c r="G34" s="89">
        <f>DATE(2005,11,13)</f>
        <v>38669</v>
      </c>
      <c r="H34" s="90">
        <v>1.5486111111111112</v>
      </c>
      <c r="I34" s="30" t="s">
        <v>116</v>
      </c>
      <c r="J34" s="89" t="s">
        <v>322</v>
      </c>
      <c r="K34" s="30" t="s">
        <v>235</v>
      </c>
      <c r="L34" s="30" t="s">
        <v>323</v>
      </c>
      <c r="M34" s="30" t="s">
        <v>63</v>
      </c>
      <c r="N34" s="30">
        <v>0</v>
      </c>
      <c r="O34" s="30" t="s">
        <v>64</v>
      </c>
      <c r="P34" s="89" t="s">
        <v>165</v>
      </c>
      <c r="Q34" s="89" t="s">
        <v>246</v>
      </c>
      <c r="R34" s="89" t="s">
        <v>238</v>
      </c>
      <c r="S34" s="30">
        <v>0</v>
      </c>
      <c r="T34" s="233">
        <v>0</v>
      </c>
      <c r="U34" s="30">
        <v>1</v>
      </c>
      <c r="V34" s="233">
        <v>0</v>
      </c>
      <c r="W34" s="30">
        <v>0</v>
      </c>
      <c r="X34" s="30">
        <v>1</v>
      </c>
      <c r="Y34" s="30">
        <v>0</v>
      </c>
      <c r="Z34" s="233">
        <v>0</v>
      </c>
      <c r="AA34" s="30">
        <v>0</v>
      </c>
      <c r="AB34" s="30">
        <v>0</v>
      </c>
      <c r="AC34" s="30">
        <v>0</v>
      </c>
      <c r="AD34" s="30">
        <v>0</v>
      </c>
      <c r="AE34" s="89" t="s">
        <v>68</v>
      </c>
      <c r="AF34" s="89" t="s">
        <v>324</v>
      </c>
      <c r="AG34" s="89" t="s">
        <v>248</v>
      </c>
      <c r="AH34" s="72" t="s">
        <v>68</v>
      </c>
      <c r="AI34" s="30">
        <v>1</v>
      </c>
      <c r="AJ34" s="89" t="s">
        <v>325</v>
      </c>
      <c r="AK34" s="89" t="s">
        <v>68</v>
      </c>
      <c r="AL34" s="91">
        <v>39153</v>
      </c>
      <c r="AM34" s="91"/>
      <c r="AN34" s="91"/>
      <c r="AO34" s="91"/>
      <c r="AP34" s="73" t="e">
        <f>MID(VLOOKUP(K34,#REF!,2,FALSE),1,2)</f>
        <v>#REF!</v>
      </c>
      <c r="AQ34" s="89">
        <f>DATE(2005,11,13)</f>
        <v>38669</v>
      </c>
      <c r="AR34" s="82">
        <f t="shared" si="1"/>
        <v>13</v>
      </c>
      <c r="AS34" s="83">
        <f t="shared" si="2"/>
        <v>11</v>
      </c>
      <c r="AT34" s="84">
        <f t="shared" si="3"/>
        <v>2005</v>
      </c>
      <c r="AU34" s="88">
        <f>DATE(2007,3,12)</f>
        <v>39153</v>
      </c>
      <c r="AV34" s="86"/>
      <c r="AW34" s="87"/>
      <c r="AX34" s="88">
        <f>DATE(2006,3,31)</f>
        <v>38807</v>
      </c>
      <c r="AY34" s="83">
        <f t="shared" si="4"/>
        <v>3</v>
      </c>
      <c r="AZ34" s="84">
        <f t="shared" si="5"/>
        <v>2006</v>
      </c>
      <c r="BA34" s="86"/>
      <c r="BB34" s="86"/>
      <c r="BD34" s="68">
        <f t="shared" si="6"/>
        <v>0</v>
      </c>
    </row>
    <row r="35" spans="1:56" ht="36.75" customHeight="1">
      <c r="A35" s="30"/>
      <c r="B35" s="30" t="s">
        <v>55</v>
      </c>
      <c r="C35" s="69" t="str">
        <f t="shared" si="0"/>
        <v>Closed</v>
      </c>
      <c r="D35" s="27" t="s">
        <v>326</v>
      </c>
      <c r="E35" s="29" t="s">
        <v>327</v>
      </c>
      <c r="F35" s="30" t="s">
        <v>233</v>
      </c>
      <c r="G35" s="89">
        <f>DATE(2005,11,21)</f>
        <v>38677</v>
      </c>
      <c r="H35" s="90">
        <v>1.4409722222222223</v>
      </c>
      <c r="I35" s="30" t="s">
        <v>116</v>
      </c>
      <c r="J35" s="89" t="s">
        <v>328</v>
      </c>
      <c r="K35" s="30" t="s">
        <v>235</v>
      </c>
      <c r="L35" s="30" t="s">
        <v>329</v>
      </c>
      <c r="M35" s="30" t="s">
        <v>63</v>
      </c>
      <c r="N35" s="30">
        <v>0</v>
      </c>
      <c r="O35" s="30" t="s">
        <v>64</v>
      </c>
      <c r="P35" s="89" t="s">
        <v>165</v>
      </c>
      <c r="Q35" s="89" t="s">
        <v>330</v>
      </c>
      <c r="R35" s="89" t="s">
        <v>238</v>
      </c>
      <c r="S35" s="30">
        <v>0</v>
      </c>
      <c r="T35" s="233">
        <v>0</v>
      </c>
      <c r="U35" s="30">
        <v>1</v>
      </c>
      <c r="V35" s="233">
        <v>0</v>
      </c>
      <c r="W35" s="30">
        <v>0</v>
      </c>
      <c r="X35" s="30">
        <v>1</v>
      </c>
      <c r="Y35" s="30">
        <v>0</v>
      </c>
      <c r="Z35" s="233">
        <v>0</v>
      </c>
      <c r="AA35" s="30">
        <v>0</v>
      </c>
      <c r="AB35" s="30">
        <v>0</v>
      </c>
      <c r="AC35" s="30">
        <v>0</v>
      </c>
      <c r="AD35" s="30">
        <v>0</v>
      </c>
      <c r="AE35" s="89" t="s">
        <v>68</v>
      </c>
      <c r="AF35" s="89" t="s">
        <v>68</v>
      </c>
      <c r="AG35" s="89" t="s">
        <v>248</v>
      </c>
      <c r="AH35" s="72" t="s">
        <v>68</v>
      </c>
      <c r="AI35" s="30">
        <v>0</v>
      </c>
      <c r="AJ35" s="89" t="s">
        <v>331</v>
      </c>
      <c r="AK35" s="89" t="s">
        <v>332</v>
      </c>
      <c r="AL35" s="91">
        <v>39188</v>
      </c>
      <c r="AM35" s="91"/>
      <c r="AN35" s="91"/>
      <c r="AO35" s="91"/>
      <c r="AP35" s="73" t="e">
        <f>MID(VLOOKUP(K35,#REF!,2,FALSE),1,2)</f>
        <v>#REF!</v>
      </c>
      <c r="AQ35" s="89">
        <f>DATE(2005,11,21)</f>
        <v>38677</v>
      </c>
      <c r="AR35" s="82">
        <f t="shared" si="1"/>
        <v>21</v>
      </c>
      <c r="AS35" s="83">
        <f t="shared" si="2"/>
        <v>11</v>
      </c>
      <c r="AT35" s="84">
        <f t="shared" si="3"/>
        <v>2005</v>
      </c>
      <c r="AU35" s="88">
        <f>DATE(2007,4,16)</f>
        <v>39188</v>
      </c>
      <c r="AV35" s="86"/>
      <c r="AW35" s="87"/>
      <c r="AX35" s="88">
        <f>DATE(2006,7,31)</f>
        <v>38929</v>
      </c>
      <c r="AY35" s="83">
        <f t="shared" si="4"/>
        <v>7</v>
      </c>
      <c r="AZ35" s="84">
        <f t="shared" si="5"/>
        <v>2006</v>
      </c>
      <c r="BA35" s="86"/>
      <c r="BB35" s="86"/>
      <c r="BD35" s="68">
        <f t="shared" si="6"/>
        <v>0</v>
      </c>
    </row>
    <row r="36" spans="1:56" ht="36.75" customHeight="1">
      <c r="A36" s="30"/>
      <c r="B36" s="30" t="s">
        <v>55</v>
      </c>
      <c r="C36" s="69" t="str">
        <f t="shared" si="0"/>
        <v>Closed</v>
      </c>
      <c r="D36" s="27" t="s">
        <v>333</v>
      </c>
      <c r="E36" s="29" t="s">
        <v>334</v>
      </c>
      <c r="F36" s="30" t="s">
        <v>233</v>
      </c>
      <c r="G36" s="89">
        <f>DATE(2005,11,21)</f>
        <v>38677</v>
      </c>
      <c r="H36" s="90">
        <v>1</v>
      </c>
      <c r="I36" s="30" t="s">
        <v>86</v>
      </c>
      <c r="J36" s="89" t="s">
        <v>335</v>
      </c>
      <c r="K36" s="30" t="s">
        <v>235</v>
      </c>
      <c r="L36" s="30" t="s">
        <v>336</v>
      </c>
      <c r="M36" s="30" t="s">
        <v>255</v>
      </c>
      <c r="N36" s="30">
        <v>0</v>
      </c>
      <c r="O36" s="30" t="s">
        <v>64</v>
      </c>
      <c r="P36" s="89" t="s">
        <v>86</v>
      </c>
      <c r="Q36" s="89" t="s">
        <v>337</v>
      </c>
      <c r="R36" s="89" t="s">
        <v>337</v>
      </c>
      <c r="S36" s="30">
        <v>0</v>
      </c>
      <c r="T36" s="233" t="s">
        <v>68</v>
      </c>
      <c r="U36" s="30">
        <v>0</v>
      </c>
      <c r="V36" s="233" t="s">
        <v>68</v>
      </c>
      <c r="W36" s="30">
        <v>0</v>
      </c>
      <c r="X36" s="30">
        <v>0</v>
      </c>
      <c r="Y36" s="30">
        <v>0</v>
      </c>
      <c r="Z36" s="233" t="s">
        <v>68</v>
      </c>
      <c r="AA36" s="30">
        <v>0</v>
      </c>
      <c r="AB36" s="30">
        <v>0</v>
      </c>
      <c r="AC36" s="30">
        <v>0</v>
      </c>
      <c r="AD36" s="30">
        <v>0</v>
      </c>
      <c r="AE36" s="89" t="s">
        <v>68</v>
      </c>
      <c r="AF36" s="89" t="s">
        <v>68</v>
      </c>
      <c r="AG36" s="89" t="s">
        <v>248</v>
      </c>
      <c r="AH36" s="72" t="s">
        <v>68</v>
      </c>
      <c r="AI36" s="30">
        <v>4</v>
      </c>
      <c r="AJ36" s="89" t="s">
        <v>338</v>
      </c>
      <c r="AK36" s="89" t="s">
        <v>339</v>
      </c>
      <c r="AL36" s="91">
        <v>39356</v>
      </c>
      <c r="AM36" s="91"/>
      <c r="AN36" s="91"/>
      <c r="AO36" s="91"/>
      <c r="AP36" s="73" t="e">
        <f>MID(VLOOKUP(K36,#REF!,2,FALSE),1,2)</f>
        <v>#REF!</v>
      </c>
      <c r="AQ36" s="89">
        <f>DATE(2005,11,21)</f>
        <v>38677</v>
      </c>
      <c r="AR36" s="82">
        <f t="shared" si="1"/>
        <v>21</v>
      </c>
      <c r="AS36" s="83">
        <f t="shared" si="2"/>
        <v>11</v>
      </c>
      <c r="AT36" s="84">
        <f t="shared" si="3"/>
        <v>2005</v>
      </c>
      <c r="AU36" s="88">
        <f>DATE(2007,10,1)</f>
        <v>39356</v>
      </c>
      <c r="AV36" s="86"/>
      <c r="AW36" s="87"/>
      <c r="AX36" s="88">
        <f>DATE(2006,3,31)</f>
        <v>38807</v>
      </c>
      <c r="AY36" s="83">
        <f t="shared" si="4"/>
        <v>3</v>
      </c>
      <c r="AZ36" s="84">
        <f t="shared" si="5"/>
        <v>2006</v>
      </c>
      <c r="BA36" s="86"/>
      <c r="BB36" s="86"/>
      <c r="BD36" s="68">
        <f t="shared" si="6"/>
        <v>0</v>
      </c>
    </row>
    <row r="37" spans="1:56" ht="36.75" customHeight="1">
      <c r="A37" s="30"/>
      <c r="B37" s="30" t="s">
        <v>55</v>
      </c>
      <c r="C37" s="69" t="str">
        <f t="shared" si="0"/>
        <v>Closed</v>
      </c>
      <c r="D37" s="27" t="s">
        <v>340</v>
      </c>
      <c r="E37" s="29" t="s">
        <v>341</v>
      </c>
      <c r="F37" s="30" t="s">
        <v>233</v>
      </c>
      <c r="G37" s="89">
        <f>DATE(2005,11,23)</f>
        <v>38679</v>
      </c>
      <c r="H37" s="90">
        <v>1.3451388888888889</v>
      </c>
      <c r="I37" s="30" t="s">
        <v>198</v>
      </c>
      <c r="J37" s="89" t="s">
        <v>342</v>
      </c>
      <c r="K37" s="30" t="s">
        <v>235</v>
      </c>
      <c r="L37" s="30" t="s">
        <v>343</v>
      </c>
      <c r="M37" s="30" t="s">
        <v>255</v>
      </c>
      <c r="N37" s="30">
        <v>0</v>
      </c>
      <c r="O37" s="30" t="s">
        <v>64</v>
      </c>
      <c r="P37" s="89" t="s">
        <v>86</v>
      </c>
      <c r="Q37" s="89" t="s">
        <v>256</v>
      </c>
      <c r="R37" s="89" t="s">
        <v>257</v>
      </c>
      <c r="S37" s="30">
        <v>0</v>
      </c>
      <c r="T37" s="233" t="s">
        <v>68</v>
      </c>
      <c r="U37" s="30">
        <v>0</v>
      </c>
      <c r="V37" s="233" t="s">
        <v>68</v>
      </c>
      <c r="W37" s="30">
        <v>0</v>
      </c>
      <c r="X37" s="30">
        <v>0</v>
      </c>
      <c r="Y37" s="30">
        <v>0</v>
      </c>
      <c r="Z37" s="233" t="s">
        <v>68</v>
      </c>
      <c r="AA37" s="30">
        <v>0</v>
      </c>
      <c r="AB37" s="30">
        <v>0</v>
      </c>
      <c r="AC37" s="30">
        <v>0</v>
      </c>
      <c r="AD37" s="30">
        <v>0</v>
      </c>
      <c r="AE37" s="89" t="s">
        <v>68</v>
      </c>
      <c r="AF37" s="89" t="s">
        <v>344</v>
      </c>
      <c r="AG37" s="89" t="s">
        <v>248</v>
      </c>
      <c r="AH37" s="72" t="s">
        <v>68</v>
      </c>
      <c r="AI37" s="30">
        <v>5</v>
      </c>
      <c r="AJ37" s="89" t="s">
        <v>345</v>
      </c>
      <c r="AK37" s="89" t="s">
        <v>346</v>
      </c>
      <c r="AL37" s="91">
        <v>39353</v>
      </c>
      <c r="AM37" s="91"/>
      <c r="AN37" s="91"/>
      <c r="AO37" s="91"/>
      <c r="AP37" s="73" t="e">
        <f>MID(VLOOKUP(K37,#REF!,2,FALSE),1,2)</f>
        <v>#REF!</v>
      </c>
      <c r="AQ37" s="89">
        <f>DATE(2005,11,23)</f>
        <v>38679</v>
      </c>
      <c r="AR37" s="82">
        <f t="shared" si="1"/>
        <v>23</v>
      </c>
      <c r="AS37" s="83">
        <f t="shared" si="2"/>
        <v>11</v>
      </c>
      <c r="AT37" s="84">
        <f t="shared" si="3"/>
        <v>2005</v>
      </c>
      <c r="AU37" s="88">
        <f>DATE(2007,9,28)</f>
        <v>39353</v>
      </c>
      <c r="AV37" s="86"/>
      <c r="AW37" s="87"/>
      <c r="AX37" s="88">
        <f>DATE(2006,7,31)</f>
        <v>38929</v>
      </c>
      <c r="AY37" s="83">
        <f t="shared" si="4"/>
        <v>7</v>
      </c>
      <c r="AZ37" s="84">
        <f t="shared" si="5"/>
        <v>2006</v>
      </c>
      <c r="BA37" s="86"/>
      <c r="BB37" s="86"/>
      <c r="BD37" s="68">
        <f t="shared" si="6"/>
        <v>0</v>
      </c>
    </row>
    <row r="38" spans="1:56" ht="36.75" customHeight="1">
      <c r="A38" s="30"/>
      <c r="B38" s="30" t="s">
        <v>55</v>
      </c>
      <c r="C38" s="69" t="str">
        <f t="shared" si="0"/>
        <v>Closed</v>
      </c>
      <c r="D38" s="27" t="s">
        <v>347</v>
      </c>
      <c r="E38" s="29" t="s">
        <v>348</v>
      </c>
      <c r="F38" s="30" t="s">
        <v>233</v>
      </c>
      <c r="G38" s="89">
        <f>DATE(2005,11,25)</f>
        <v>38681</v>
      </c>
      <c r="H38" s="90">
        <v>1.2729166666666667</v>
      </c>
      <c r="I38" s="30" t="s">
        <v>104</v>
      </c>
      <c r="J38" s="89" t="s">
        <v>349</v>
      </c>
      <c r="K38" s="30" t="s">
        <v>235</v>
      </c>
      <c r="L38" s="30" t="s">
        <v>350</v>
      </c>
      <c r="M38" s="30" t="s">
        <v>63</v>
      </c>
      <c r="N38" s="30">
        <v>0</v>
      </c>
      <c r="O38" s="30" t="s">
        <v>64</v>
      </c>
      <c r="P38" s="89" t="s">
        <v>165</v>
      </c>
      <c r="Q38" s="89" t="s">
        <v>351</v>
      </c>
      <c r="R38" s="89" t="s">
        <v>238</v>
      </c>
      <c r="S38" s="30">
        <v>0</v>
      </c>
      <c r="T38" s="233" t="s">
        <v>68</v>
      </c>
      <c r="U38" s="30">
        <v>0</v>
      </c>
      <c r="V38" s="233" t="s">
        <v>68</v>
      </c>
      <c r="W38" s="30">
        <v>0</v>
      </c>
      <c r="X38" s="30">
        <v>0</v>
      </c>
      <c r="Y38" s="30">
        <v>0</v>
      </c>
      <c r="Z38" s="233" t="s">
        <v>68</v>
      </c>
      <c r="AA38" s="30">
        <v>0</v>
      </c>
      <c r="AB38" s="30">
        <v>0</v>
      </c>
      <c r="AC38" s="30">
        <v>0</v>
      </c>
      <c r="AD38" s="30">
        <v>0</v>
      </c>
      <c r="AE38" s="89" t="s">
        <v>68</v>
      </c>
      <c r="AF38" s="89" t="s">
        <v>68</v>
      </c>
      <c r="AG38" s="89" t="s">
        <v>352</v>
      </c>
      <c r="AH38" s="72" t="s">
        <v>68</v>
      </c>
      <c r="AI38" s="30">
        <v>3</v>
      </c>
      <c r="AJ38" s="89" t="s">
        <v>353</v>
      </c>
      <c r="AK38" s="89" t="s">
        <v>354</v>
      </c>
      <c r="AL38" s="91">
        <v>39227</v>
      </c>
      <c r="AM38" s="91"/>
      <c r="AN38" s="91"/>
      <c r="AO38" s="91"/>
      <c r="AP38" s="73" t="e">
        <f>MID(VLOOKUP(K38,#REF!,2,FALSE),1,2)</f>
        <v>#REF!</v>
      </c>
      <c r="AQ38" s="89">
        <f>DATE(2005,11,25)</f>
        <v>38681</v>
      </c>
      <c r="AR38" s="82">
        <f t="shared" si="1"/>
        <v>25</v>
      </c>
      <c r="AS38" s="83">
        <f t="shared" si="2"/>
        <v>11</v>
      </c>
      <c r="AT38" s="84">
        <f t="shared" si="3"/>
        <v>2005</v>
      </c>
      <c r="AU38" s="88">
        <f>DATE(2007,5,25)</f>
        <v>39227</v>
      </c>
      <c r="AV38" s="86"/>
      <c r="AW38" s="87"/>
      <c r="AX38" s="88">
        <f>DATE(2007,1,31)</f>
        <v>39113</v>
      </c>
      <c r="AY38" s="83">
        <f t="shared" si="4"/>
        <v>1</v>
      </c>
      <c r="AZ38" s="84">
        <f t="shared" si="5"/>
        <v>2007</v>
      </c>
      <c r="BA38" s="86"/>
      <c r="BB38" s="86"/>
      <c r="BD38" s="68">
        <f t="shared" si="6"/>
        <v>0</v>
      </c>
    </row>
    <row r="39" spans="1:56" ht="36.75" customHeight="1">
      <c r="A39" s="30"/>
      <c r="B39" s="30" t="s">
        <v>55</v>
      </c>
      <c r="C39" s="69" t="str">
        <f t="shared" si="0"/>
        <v>Closed</v>
      </c>
      <c r="D39" s="27" t="s">
        <v>355</v>
      </c>
      <c r="E39" s="29" t="s">
        <v>356</v>
      </c>
      <c r="F39" s="30" t="s">
        <v>233</v>
      </c>
      <c r="G39" s="89">
        <f>DATE(2005,11,26)</f>
        <v>38682</v>
      </c>
      <c r="H39" s="90">
        <v>1.2958333333333334</v>
      </c>
      <c r="I39" s="30" t="s">
        <v>156</v>
      </c>
      <c r="J39" s="89" t="s">
        <v>357</v>
      </c>
      <c r="K39" s="30" t="s">
        <v>235</v>
      </c>
      <c r="L39" s="30" t="s">
        <v>358</v>
      </c>
      <c r="M39" s="30" t="s">
        <v>63</v>
      </c>
      <c r="N39" s="30">
        <v>0</v>
      </c>
      <c r="O39" s="30" t="s">
        <v>64</v>
      </c>
      <c r="P39" s="89" t="s">
        <v>165</v>
      </c>
      <c r="Q39" s="89" t="s">
        <v>359</v>
      </c>
      <c r="R39" s="89" t="s">
        <v>238</v>
      </c>
      <c r="S39" s="30">
        <v>0</v>
      </c>
      <c r="T39" s="233">
        <v>0</v>
      </c>
      <c r="U39" s="30">
        <v>0</v>
      </c>
      <c r="V39" s="233">
        <v>0</v>
      </c>
      <c r="W39" s="30">
        <v>0</v>
      </c>
      <c r="X39" s="30">
        <v>0</v>
      </c>
      <c r="Y39" s="30">
        <v>6</v>
      </c>
      <c r="Z39" s="233">
        <v>2</v>
      </c>
      <c r="AA39" s="30">
        <v>0</v>
      </c>
      <c r="AB39" s="30">
        <v>0</v>
      </c>
      <c r="AC39" s="30">
        <v>0</v>
      </c>
      <c r="AD39" s="30">
        <v>8</v>
      </c>
      <c r="AE39" s="89" t="s">
        <v>68</v>
      </c>
      <c r="AF39" s="89" t="s">
        <v>360</v>
      </c>
      <c r="AG39" s="89" t="s">
        <v>352</v>
      </c>
      <c r="AH39" s="72" t="s">
        <v>68</v>
      </c>
      <c r="AI39" s="30">
        <v>10</v>
      </c>
      <c r="AJ39" s="89" t="s">
        <v>310</v>
      </c>
      <c r="AK39" s="89" t="s">
        <v>361</v>
      </c>
      <c r="AL39" s="91">
        <v>39267</v>
      </c>
      <c r="AM39" s="91"/>
      <c r="AN39" s="91"/>
      <c r="AO39" s="91"/>
      <c r="AP39" s="73" t="e">
        <f>MID(VLOOKUP(K39,#REF!,2,FALSE),1,2)</f>
        <v>#REF!</v>
      </c>
      <c r="AQ39" s="89">
        <f>DATE(2005,11,26)</f>
        <v>38682</v>
      </c>
      <c r="AR39" s="82">
        <f t="shared" si="1"/>
        <v>26</v>
      </c>
      <c r="AS39" s="83">
        <f t="shared" si="2"/>
        <v>11</v>
      </c>
      <c r="AT39" s="84">
        <f t="shared" si="3"/>
        <v>2005</v>
      </c>
      <c r="AU39" s="88">
        <f>DATE(2007,7,4)</f>
        <v>39267</v>
      </c>
      <c r="AV39" s="86"/>
      <c r="AW39" s="87"/>
      <c r="AX39" s="88">
        <f>DATE(2006,11,30)</f>
        <v>39051</v>
      </c>
      <c r="AY39" s="83">
        <f t="shared" si="4"/>
        <v>11</v>
      </c>
      <c r="AZ39" s="84">
        <f t="shared" si="5"/>
        <v>2006</v>
      </c>
      <c r="BA39" s="86"/>
      <c r="BB39" s="86"/>
      <c r="BD39" s="68">
        <f t="shared" si="6"/>
        <v>0</v>
      </c>
    </row>
    <row r="40" spans="1:56" ht="36.75" customHeight="1">
      <c r="A40" s="30"/>
      <c r="B40" s="30" t="s">
        <v>55</v>
      </c>
      <c r="C40" s="69" t="str">
        <f t="shared" si="0"/>
        <v>Closed</v>
      </c>
      <c r="D40" s="27" t="s">
        <v>362</v>
      </c>
      <c r="E40" s="29" t="s">
        <v>363</v>
      </c>
      <c r="F40" s="30" t="s">
        <v>124</v>
      </c>
      <c r="G40" s="89">
        <f>DATE(2005,11,29)</f>
        <v>38685</v>
      </c>
      <c r="H40" s="90">
        <v>1.3944444444444444</v>
      </c>
      <c r="I40" s="30" t="s">
        <v>125</v>
      </c>
      <c r="J40" s="89" t="s">
        <v>364</v>
      </c>
      <c r="K40" s="30" t="s">
        <v>127</v>
      </c>
      <c r="L40" s="30" t="s">
        <v>365</v>
      </c>
      <c r="M40" s="30" t="s">
        <v>129</v>
      </c>
      <c r="N40" s="30">
        <v>0</v>
      </c>
      <c r="O40" s="30" t="s">
        <v>64</v>
      </c>
      <c r="P40" s="89" t="s">
        <v>86</v>
      </c>
      <c r="Q40" s="89" t="s">
        <v>130</v>
      </c>
      <c r="R40" s="89" t="s">
        <v>131</v>
      </c>
      <c r="S40" s="30">
        <v>0</v>
      </c>
      <c r="T40" s="233" t="s">
        <v>68</v>
      </c>
      <c r="U40" s="30">
        <v>0</v>
      </c>
      <c r="V40" s="233" t="s">
        <v>68</v>
      </c>
      <c r="W40" s="30">
        <v>0</v>
      </c>
      <c r="X40" s="30">
        <v>0</v>
      </c>
      <c r="Y40" s="30">
        <v>0</v>
      </c>
      <c r="Z40" s="233" t="s">
        <v>68</v>
      </c>
      <c r="AA40" s="30">
        <v>0</v>
      </c>
      <c r="AB40" s="30">
        <v>0</v>
      </c>
      <c r="AC40" s="30">
        <v>0</v>
      </c>
      <c r="AD40" s="30">
        <v>0</v>
      </c>
      <c r="AE40" s="89" t="s">
        <v>68</v>
      </c>
      <c r="AF40" s="89" t="s">
        <v>366</v>
      </c>
      <c r="AG40" s="89" t="s">
        <v>367</v>
      </c>
      <c r="AH40" s="72" t="s">
        <v>68</v>
      </c>
      <c r="AI40" s="30">
        <v>2</v>
      </c>
      <c r="AJ40" s="89" t="s">
        <v>68</v>
      </c>
      <c r="AK40" s="89" t="s">
        <v>68</v>
      </c>
      <c r="AL40" s="91">
        <v>39294</v>
      </c>
      <c r="AM40" s="91"/>
      <c r="AN40" s="91"/>
      <c r="AO40" s="91"/>
      <c r="AP40" s="73" t="e">
        <f>MID(VLOOKUP(K40,#REF!,2,FALSE),1,2)</f>
        <v>#REF!</v>
      </c>
      <c r="AQ40" s="89">
        <f>DATE(2005,11,29)</f>
        <v>38685</v>
      </c>
      <c r="AR40" s="82">
        <f t="shared" si="1"/>
        <v>29</v>
      </c>
      <c r="AS40" s="83">
        <f t="shared" si="2"/>
        <v>11</v>
      </c>
      <c r="AT40" s="84">
        <f t="shared" si="3"/>
        <v>2005</v>
      </c>
      <c r="AU40" s="88">
        <f>DATE(2007,7,31)</f>
        <v>39294</v>
      </c>
      <c r="AV40" s="86"/>
      <c r="AW40" s="87"/>
      <c r="AX40" s="88">
        <f>DATE(2007,7,31)</f>
        <v>39294</v>
      </c>
      <c r="AY40" s="83">
        <f t="shared" si="4"/>
        <v>7</v>
      </c>
      <c r="AZ40" s="84">
        <f t="shared" si="5"/>
        <v>2007</v>
      </c>
      <c r="BA40" s="86"/>
      <c r="BB40" s="86"/>
      <c r="BD40" s="68">
        <f t="shared" si="6"/>
        <v>0</v>
      </c>
    </row>
    <row r="41" spans="1:56" ht="36.75" customHeight="1">
      <c r="A41" s="30"/>
      <c r="B41" s="30" t="s">
        <v>55</v>
      </c>
      <c r="C41" s="69" t="str">
        <f t="shared" si="0"/>
        <v>Closed</v>
      </c>
      <c r="D41" s="27" t="s">
        <v>368</v>
      </c>
      <c r="E41" s="29" t="s">
        <v>369</v>
      </c>
      <c r="F41" s="30" t="s">
        <v>233</v>
      </c>
      <c r="G41" s="89">
        <f>DATE(2005,11,30)</f>
        <v>38686</v>
      </c>
      <c r="H41" s="90">
        <v>1.7972222222222221</v>
      </c>
      <c r="I41" s="30" t="s">
        <v>104</v>
      </c>
      <c r="J41" s="89" t="s">
        <v>370</v>
      </c>
      <c r="K41" s="30" t="s">
        <v>235</v>
      </c>
      <c r="L41" s="30" t="s">
        <v>371</v>
      </c>
      <c r="M41" s="30" t="s">
        <v>63</v>
      </c>
      <c r="N41" s="30">
        <v>0</v>
      </c>
      <c r="O41" s="30" t="s">
        <v>64</v>
      </c>
      <c r="P41" s="89" t="s">
        <v>165</v>
      </c>
      <c r="Q41" s="89" t="s">
        <v>372</v>
      </c>
      <c r="R41" s="89" t="s">
        <v>238</v>
      </c>
      <c r="S41" s="30">
        <v>0</v>
      </c>
      <c r="T41" s="233" t="s">
        <v>68</v>
      </c>
      <c r="U41" s="30">
        <v>0</v>
      </c>
      <c r="V41" s="233" t="s">
        <v>68</v>
      </c>
      <c r="W41" s="30">
        <v>0</v>
      </c>
      <c r="X41" s="30">
        <v>0</v>
      </c>
      <c r="Y41" s="30">
        <v>0</v>
      </c>
      <c r="Z41" s="233" t="s">
        <v>68</v>
      </c>
      <c r="AA41" s="30">
        <v>0</v>
      </c>
      <c r="AB41" s="30">
        <v>0</v>
      </c>
      <c r="AC41" s="30">
        <v>0</v>
      </c>
      <c r="AD41" s="30">
        <v>0</v>
      </c>
      <c r="AE41" s="89" t="s">
        <v>68</v>
      </c>
      <c r="AF41" s="89" t="s">
        <v>68</v>
      </c>
      <c r="AG41" s="89" t="s">
        <v>352</v>
      </c>
      <c r="AH41" s="72" t="s">
        <v>68</v>
      </c>
      <c r="AI41" s="30">
        <v>10</v>
      </c>
      <c r="AJ41" s="89" t="s">
        <v>373</v>
      </c>
      <c r="AK41" s="89" t="s">
        <v>374</v>
      </c>
      <c r="AL41" s="91">
        <v>39267</v>
      </c>
      <c r="AM41" s="91"/>
      <c r="AN41" s="91"/>
      <c r="AO41" s="91"/>
      <c r="AP41" s="73" t="e">
        <f>MID(VLOOKUP(K41,#REF!,2,FALSE),1,2)</f>
        <v>#REF!</v>
      </c>
      <c r="AQ41" s="89">
        <f>DATE(2005,11,30)</f>
        <v>38686</v>
      </c>
      <c r="AR41" s="82">
        <f t="shared" si="1"/>
        <v>30</v>
      </c>
      <c r="AS41" s="83">
        <f t="shared" si="2"/>
        <v>11</v>
      </c>
      <c r="AT41" s="84">
        <f t="shared" si="3"/>
        <v>2005</v>
      </c>
      <c r="AU41" s="88">
        <f>DATE(2007,7,4)</f>
        <v>39267</v>
      </c>
      <c r="AV41" s="86"/>
      <c r="AW41" s="87"/>
      <c r="AX41" s="88">
        <f>DATE(2007,1,8)</f>
        <v>39090</v>
      </c>
      <c r="AY41" s="83">
        <f t="shared" si="4"/>
        <v>1</v>
      </c>
      <c r="AZ41" s="84">
        <f t="shared" si="5"/>
        <v>2007</v>
      </c>
      <c r="BA41" s="86"/>
      <c r="BB41" s="86"/>
      <c r="BD41" s="68">
        <f t="shared" si="6"/>
        <v>0</v>
      </c>
    </row>
    <row r="42" spans="1:56" ht="36.75" customHeight="1">
      <c r="A42" s="30"/>
      <c r="B42" s="30" t="s">
        <v>55</v>
      </c>
      <c r="C42" s="69" t="str">
        <f t="shared" si="0"/>
        <v>Closed</v>
      </c>
      <c r="D42" s="27" t="s">
        <v>375</v>
      </c>
      <c r="E42" s="29" t="s">
        <v>376</v>
      </c>
      <c r="F42" s="30" t="s">
        <v>377</v>
      </c>
      <c r="G42" s="89">
        <f>DATE(2005,12,3)</f>
        <v>38689</v>
      </c>
      <c r="H42" s="90">
        <v>1.3229166666666667</v>
      </c>
      <c r="I42" s="30" t="s">
        <v>278</v>
      </c>
      <c r="J42" s="89" t="s">
        <v>378</v>
      </c>
      <c r="K42" s="30" t="s">
        <v>379</v>
      </c>
      <c r="L42" s="30" t="s">
        <v>380</v>
      </c>
      <c r="M42" s="30" t="s">
        <v>63</v>
      </c>
      <c r="N42" s="30">
        <v>0</v>
      </c>
      <c r="O42" s="30" t="s">
        <v>90</v>
      </c>
      <c r="P42" s="89" t="s">
        <v>381</v>
      </c>
      <c r="Q42" s="89" t="s">
        <v>382</v>
      </c>
      <c r="R42" s="89" t="s">
        <v>382</v>
      </c>
      <c r="S42" s="30">
        <v>0</v>
      </c>
      <c r="T42" s="233">
        <v>0</v>
      </c>
      <c r="U42" s="30">
        <v>0</v>
      </c>
      <c r="V42" s="233">
        <v>0</v>
      </c>
      <c r="W42" s="30">
        <v>1</v>
      </c>
      <c r="X42" s="30">
        <v>1</v>
      </c>
      <c r="Y42" s="30">
        <v>0</v>
      </c>
      <c r="Z42" s="233">
        <v>0</v>
      </c>
      <c r="AA42" s="30">
        <v>0</v>
      </c>
      <c r="AB42" s="30">
        <v>0</v>
      </c>
      <c r="AC42" s="30">
        <v>3</v>
      </c>
      <c r="AD42" s="30">
        <v>3</v>
      </c>
      <c r="AE42" s="89" t="s">
        <v>68</v>
      </c>
      <c r="AF42" s="89" t="s">
        <v>68</v>
      </c>
      <c r="AG42" s="89" t="s">
        <v>383</v>
      </c>
      <c r="AH42" s="72" t="s">
        <v>68</v>
      </c>
      <c r="AI42" s="30">
        <v>0</v>
      </c>
      <c r="AJ42" s="89" t="s">
        <v>68</v>
      </c>
      <c r="AK42" s="89" t="s">
        <v>68</v>
      </c>
      <c r="AL42" s="91">
        <v>39622</v>
      </c>
      <c r="AM42" s="91"/>
      <c r="AN42" s="91"/>
      <c r="AO42" s="91"/>
      <c r="AP42" s="73" t="e">
        <f>MID(VLOOKUP(K42,#REF!,2,FALSE),1,2)</f>
        <v>#REF!</v>
      </c>
      <c r="AQ42" s="89">
        <f>DATE(2005,12,3)</f>
        <v>38689</v>
      </c>
      <c r="AR42" s="82">
        <f t="shared" si="1"/>
        <v>3</v>
      </c>
      <c r="AS42" s="83">
        <f t="shared" si="2"/>
        <v>12</v>
      </c>
      <c r="AT42" s="84">
        <f t="shared" si="3"/>
        <v>2005</v>
      </c>
      <c r="AU42" s="88">
        <f>DATE(2008,6,23)</f>
        <v>39622</v>
      </c>
      <c r="AV42" s="86"/>
      <c r="AW42" s="87"/>
      <c r="AX42" s="88">
        <f>DATE(2008,1,8)</f>
        <v>39455</v>
      </c>
      <c r="AY42" s="83">
        <f t="shared" si="4"/>
        <v>1</v>
      </c>
      <c r="AZ42" s="84">
        <f t="shared" si="5"/>
        <v>2008</v>
      </c>
      <c r="BA42" s="86"/>
      <c r="BB42" s="86"/>
      <c r="BD42" s="68">
        <f t="shared" si="6"/>
        <v>0</v>
      </c>
    </row>
    <row r="43" spans="1:56" ht="36.75" customHeight="1">
      <c r="A43" s="30"/>
      <c r="B43" s="30" t="s">
        <v>55</v>
      </c>
      <c r="C43" s="69" t="str">
        <f t="shared" si="0"/>
        <v>Closed</v>
      </c>
      <c r="D43" s="27" t="s">
        <v>384</v>
      </c>
      <c r="E43" s="29" t="s">
        <v>385</v>
      </c>
      <c r="F43" s="30" t="s">
        <v>233</v>
      </c>
      <c r="G43" s="89">
        <f>DATE(2005,12,3)</f>
        <v>38689</v>
      </c>
      <c r="H43" s="90">
        <v>1.4458333333333333</v>
      </c>
      <c r="I43" s="30" t="s">
        <v>116</v>
      </c>
      <c r="J43" s="89" t="s">
        <v>386</v>
      </c>
      <c r="K43" s="30" t="s">
        <v>235</v>
      </c>
      <c r="L43" s="30" t="s">
        <v>387</v>
      </c>
      <c r="M43" s="30" t="s">
        <v>63</v>
      </c>
      <c r="N43" s="30">
        <v>0</v>
      </c>
      <c r="O43" s="30" t="s">
        <v>77</v>
      </c>
      <c r="P43" s="89" t="s">
        <v>65</v>
      </c>
      <c r="Q43" s="89" t="s">
        <v>330</v>
      </c>
      <c r="R43" s="89" t="s">
        <v>238</v>
      </c>
      <c r="S43" s="30">
        <v>0</v>
      </c>
      <c r="T43" s="233">
        <v>0</v>
      </c>
      <c r="U43" s="30">
        <v>2</v>
      </c>
      <c r="V43" s="233">
        <v>0</v>
      </c>
      <c r="W43" s="30">
        <v>0</v>
      </c>
      <c r="X43" s="30">
        <v>2</v>
      </c>
      <c r="Y43" s="30">
        <v>0</v>
      </c>
      <c r="Z43" s="233">
        <v>0</v>
      </c>
      <c r="AA43" s="30">
        <v>0</v>
      </c>
      <c r="AB43" s="30">
        <v>0</v>
      </c>
      <c r="AC43" s="30">
        <v>0</v>
      </c>
      <c r="AD43" s="30">
        <v>0</v>
      </c>
      <c r="AE43" s="89" t="s">
        <v>68</v>
      </c>
      <c r="AF43" s="89" t="s">
        <v>68</v>
      </c>
      <c r="AG43" s="89" t="s">
        <v>82</v>
      </c>
      <c r="AH43" s="72" t="s">
        <v>68</v>
      </c>
      <c r="AI43" s="30">
        <v>10</v>
      </c>
      <c r="AJ43" s="89" t="s">
        <v>388</v>
      </c>
      <c r="AK43" s="89" t="s">
        <v>389</v>
      </c>
      <c r="AL43" s="91">
        <v>39184</v>
      </c>
      <c r="AM43" s="91"/>
      <c r="AN43" s="91"/>
      <c r="AO43" s="91"/>
      <c r="AP43" s="73" t="e">
        <f>MID(VLOOKUP(K43,#REF!,2,FALSE),1,2)</f>
        <v>#REF!</v>
      </c>
      <c r="AQ43" s="89">
        <f>DATE(2005,12,3)</f>
        <v>38689</v>
      </c>
      <c r="AR43" s="82">
        <f t="shared" si="1"/>
        <v>3</v>
      </c>
      <c r="AS43" s="83">
        <f t="shared" si="2"/>
        <v>12</v>
      </c>
      <c r="AT43" s="84">
        <f t="shared" si="3"/>
        <v>2005</v>
      </c>
      <c r="AU43" s="88">
        <f>DATE(2007,4,12)</f>
        <v>39184</v>
      </c>
      <c r="AV43" s="86"/>
      <c r="AW43" s="87"/>
      <c r="AX43" s="88">
        <f>DATE(2006,12,11)</f>
        <v>39062</v>
      </c>
      <c r="AY43" s="83">
        <f t="shared" si="4"/>
        <v>12</v>
      </c>
      <c r="AZ43" s="84">
        <f t="shared" si="5"/>
        <v>2006</v>
      </c>
      <c r="BA43" s="86"/>
      <c r="BB43" s="86"/>
      <c r="BD43" s="68">
        <f t="shared" si="6"/>
        <v>0</v>
      </c>
    </row>
    <row r="44" spans="1:56" ht="36.75" customHeight="1">
      <c r="A44" s="30"/>
      <c r="B44" s="30" t="s">
        <v>55</v>
      </c>
      <c r="C44" s="69" t="str">
        <f t="shared" si="0"/>
        <v>Closed</v>
      </c>
      <c r="D44" s="27" t="s">
        <v>390</v>
      </c>
      <c r="E44" s="29" t="s">
        <v>391</v>
      </c>
      <c r="F44" s="30" t="s">
        <v>58</v>
      </c>
      <c r="G44" s="89">
        <f>DATE(2005,12,9)</f>
        <v>38695</v>
      </c>
      <c r="H44" s="90">
        <v>1</v>
      </c>
      <c r="I44" s="30" t="s">
        <v>116</v>
      </c>
      <c r="J44" s="89" t="s">
        <v>392</v>
      </c>
      <c r="K44" s="30" t="s">
        <v>61</v>
      </c>
      <c r="L44" s="30" t="s">
        <v>393</v>
      </c>
      <c r="M44" s="30" t="s">
        <v>63</v>
      </c>
      <c r="N44" s="30" t="s">
        <v>99</v>
      </c>
      <c r="O44" s="30" t="s">
        <v>64</v>
      </c>
      <c r="P44" s="89" t="s">
        <v>86</v>
      </c>
      <c r="Q44" s="89" t="s">
        <v>66</v>
      </c>
      <c r="R44" s="89" t="s">
        <v>67</v>
      </c>
      <c r="S44" s="30">
        <v>0</v>
      </c>
      <c r="T44" s="233">
        <v>0</v>
      </c>
      <c r="U44" s="30">
        <v>3</v>
      </c>
      <c r="V44" s="233">
        <v>0</v>
      </c>
      <c r="W44" s="30">
        <v>0</v>
      </c>
      <c r="X44" s="30">
        <v>3</v>
      </c>
      <c r="Y44" s="30">
        <v>0</v>
      </c>
      <c r="Z44" s="233">
        <v>0</v>
      </c>
      <c r="AA44" s="30">
        <v>0</v>
      </c>
      <c r="AB44" s="30">
        <v>0</v>
      </c>
      <c r="AC44" s="30">
        <v>0</v>
      </c>
      <c r="AD44" s="30">
        <v>0</v>
      </c>
      <c r="AE44" s="89" t="s">
        <v>394</v>
      </c>
      <c r="AF44" s="89" t="s">
        <v>68</v>
      </c>
      <c r="AG44" s="89" t="s">
        <v>395</v>
      </c>
      <c r="AH44" s="72">
        <v>38695</v>
      </c>
      <c r="AI44" s="30">
        <v>10</v>
      </c>
      <c r="AJ44" s="89" t="s">
        <v>396</v>
      </c>
      <c r="AK44" s="89" t="s">
        <v>68</v>
      </c>
      <c r="AL44" s="91">
        <v>39633</v>
      </c>
      <c r="AM44" s="91"/>
      <c r="AN44" s="91"/>
      <c r="AO44" s="91"/>
      <c r="AP44" s="73" t="e">
        <f>MID(VLOOKUP(K44,#REF!,2,FALSE),1,2)</f>
        <v>#REF!</v>
      </c>
      <c r="AQ44" s="89">
        <f>DATE(2005,12,9)</f>
        <v>38695</v>
      </c>
      <c r="AR44" s="82">
        <f t="shared" si="1"/>
        <v>9</v>
      </c>
      <c r="AS44" s="83">
        <f t="shared" si="2"/>
        <v>12</v>
      </c>
      <c r="AT44" s="84">
        <f t="shared" si="3"/>
        <v>2005</v>
      </c>
      <c r="AU44" s="88">
        <f>DATE(2008,7,4)</f>
        <v>39633</v>
      </c>
      <c r="AV44" s="88">
        <f>DATE(2005,12,9)</f>
        <v>38695</v>
      </c>
      <c r="AW44" s="87">
        <f>AU44-AV44</f>
        <v>938</v>
      </c>
      <c r="AX44" s="88">
        <f>DATE(2008,7,4)</f>
        <v>39633</v>
      </c>
      <c r="AY44" s="83">
        <f t="shared" si="4"/>
        <v>7</v>
      </c>
      <c r="AZ44" s="84">
        <f t="shared" si="5"/>
        <v>2008</v>
      </c>
      <c r="BA44" s="88"/>
      <c r="BB44" s="86"/>
      <c r="BD44" s="68">
        <f t="shared" si="6"/>
        <v>0</v>
      </c>
    </row>
    <row r="45" spans="1:56" ht="36.75" customHeight="1">
      <c r="A45" s="30"/>
      <c r="B45" s="30" t="s">
        <v>55</v>
      </c>
      <c r="C45" s="69" t="str">
        <f t="shared" si="0"/>
        <v>Closed</v>
      </c>
      <c r="D45" s="27" t="s">
        <v>397</v>
      </c>
      <c r="E45" s="29" t="s">
        <v>398</v>
      </c>
      <c r="F45" s="30" t="s">
        <v>124</v>
      </c>
      <c r="G45" s="89">
        <f>DATE(2005,12,23)</f>
        <v>38709</v>
      </c>
      <c r="H45" s="90">
        <v>1.1347222222222222</v>
      </c>
      <c r="I45" s="30" t="s">
        <v>156</v>
      </c>
      <c r="J45" s="89" t="s">
        <v>399</v>
      </c>
      <c r="K45" s="30" t="s">
        <v>127</v>
      </c>
      <c r="L45" s="30" t="s">
        <v>400</v>
      </c>
      <c r="M45" s="30" t="s">
        <v>63</v>
      </c>
      <c r="N45" s="30">
        <v>0</v>
      </c>
      <c r="O45" s="30" t="s">
        <v>64</v>
      </c>
      <c r="P45" s="89" t="s">
        <v>78</v>
      </c>
      <c r="Q45" s="89" t="s">
        <v>401</v>
      </c>
      <c r="R45" s="89" t="s">
        <v>167</v>
      </c>
      <c r="S45" s="30">
        <v>0</v>
      </c>
      <c r="T45" s="233" t="s">
        <v>68</v>
      </c>
      <c r="U45" s="30">
        <v>0</v>
      </c>
      <c r="V45" s="233" t="s">
        <v>68</v>
      </c>
      <c r="W45" s="30">
        <v>0</v>
      </c>
      <c r="X45" s="30">
        <v>0</v>
      </c>
      <c r="Y45" s="30">
        <v>0</v>
      </c>
      <c r="Z45" s="233" t="s">
        <v>68</v>
      </c>
      <c r="AA45" s="30">
        <v>0</v>
      </c>
      <c r="AB45" s="30">
        <v>0</v>
      </c>
      <c r="AC45" s="30">
        <v>0</v>
      </c>
      <c r="AD45" s="30">
        <v>0</v>
      </c>
      <c r="AE45" s="89" t="s">
        <v>68</v>
      </c>
      <c r="AF45" s="89" t="s">
        <v>402</v>
      </c>
      <c r="AG45" s="89" t="s">
        <v>82</v>
      </c>
      <c r="AH45" s="72" t="s">
        <v>68</v>
      </c>
      <c r="AI45" s="30">
        <v>1</v>
      </c>
      <c r="AJ45" s="89" t="s">
        <v>68</v>
      </c>
      <c r="AK45" s="89" t="s">
        <v>68</v>
      </c>
      <c r="AL45" s="91">
        <v>39294</v>
      </c>
      <c r="AM45" s="91"/>
      <c r="AN45" s="91"/>
      <c r="AO45" s="91"/>
      <c r="AP45" s="73" t="e">
        <f>MID(VLOOKUP(K45,#REF!,2,FALSE),1,2)</f>
        <v>#REF!</v>
      </c>
      <c r="AQ45" s="89">
        <f>DATE(2005,12,23)</f>
        <v>38709</v>
      </c>
      <c r="AR45" s="82">
        <f t="shared" si="1"/>
        <v>23</v>
      </c>
      <c r="AS45" s="83">
        <f t="shared" si="2"/>
        <v>12</v>
      </c>
      <c r="AT45" s="84">
        <f t="shared" si="3"/>
        <v>2005</v>
      </c>
      <c r="AU45" s="88">
        <f>DATE(2007,7,31)</f>
        <v>39294</v>
      </c>
      <c r="AV45" s="86"/>
      <c r="AW45" s="87"/>
      <c r="AX45" s="88">
        <f>DATE(2007,7,31)</f>
        <v>39294</v>
      </c>
      <c r="AY45" s="83">
        <f t="shared" si="4"/>
        <v>7</v>
      </c>
      <c r="AZ45" s="84">
        <f t="shared" si="5"/>
        <v>2007</v>
      </c>
      <c r="BA45" s="86"/>
      <c r="BB45" s="86"/>
      <c r="BD45" s="68">
        <f t="shared" si="6"/>
        <v>0</v>
      </c>
    </row>
    <row r="46" spans="1:56" ht="36.75" customHeight="1">
      <c r="A46" s="30"/>
      <c r="B46" s="30" t="s">
        <v>55</v>
      </c>
      <c r="C46" s="69" t="str">
        <f t="shared" si="0"/>
        <v>Closed</v>
      </c>
      <c r="D46" s="27" t="s">
        <v>403</v>
      </c>
      <c r="E46" s="29" t="s">
        <v>404</v>
      </c>
      <c r="F46" s="30" t="s">
        <v>58</v>
      </c>
      <c r="G46" s="89">
        <f>DATE(2005,12,28)</f>
        <v>38714</v>
      </c>
      <c r="H46" s="90">
        <v>1.375</v>
      </c>
      <c r="I46" s="30" t="s">
        <v>73</v>
      </c>
      <c r="J46" s="89" t="s">
        <v>405</v>
      </c>
      <c r="K46" s="30" t="s">
        <v>61</v>
      </c>
      <c r="L46" s="30" t="s">
        <v>406</v>
      </c>
      <c r="M46" s="30" t="s">
        <v>63</v>
      </c>
      <c r="N46" s="30" t="s">
        <v>99</v>
      </c>
      <c r="O46" s="30" t="s">
        <v>64</v>
      </c>
      <c r="P46" s="89" t="s">
        <v>78</v>
      </c>
      <c r="Q46" s="89" t="s">
        <v>66</v>
      </c>
      <c r="R46" s="89" t="s">
        <v>67</v>
      </c>
      <c r="S46" s="30">
        <v>0</v>
      </c>
      <c r="T46" s="233">
        <v>0</v>
      </c>
      <c r="U46" s="30">
        <v>0</v>
      </c>
      <c r="V46" s="233">
        <v>0</v>
      </c>
      <c r="W46" s="30">
        <v>0</v>
      </c>
      <c r="X46" s="30">
        <v>0</v>
      </c>
      <c r="Y46" s="30">
        <v>0</v>
      </c>
      <c r="Z46" s="233">
        <v>0</v>
      </c>
      <c r="AA46" s="30">
        <v>0</v>
      </c>
      <c r="AB46" s="30">
        <v>0</v>
      </c>
      <c r="AC46" s="30">
        <v>0</v>
      </c>
      <c r="AD46" s="30">
        <v>0</v>
      </c>
      <c r="AE46" s="89" t="s">
        <v>92</v>
      </c>
      <c r="AF46" s="89" t="s">
        <v>407</v>
      </c>
      <c r="AG46" s="89" t="s">
        <v>69</v>
      </c>
      <c r="AH46" s="72">
        <v>38730</v>
      </c>
      <c r="AI46" s="30">
        <v>1</v>
      </c>
      <c r="AJ46" s="89" t="s">
        <v>408</v>
      </c>
      <c r="AK46" s="89" t="s">
        <v>68</v>
      </c>
      <c r="AL46" s="91">
        <v>39633</v>
      </c>
      <c r="AM46" s="91"/>
      <c r="AN46" s="91"/>
      <c r="AO46" s="91"/>
      <c r="AP46" s="73" t="e">
        <f>MID(VLOOKUP(K46,#REF!,2,FALSE),1,2)</f>
        <v>#REF!</v>
      </c>
      <c r="AQ46" s="89">
        <f>DATE(2005,12,28)</f>
        <v>38714</v>
      </c>
      <c r="AR46" s="82">
        <f t="shared" si="1"/>
        <v>28</v>
      </c>
      <c r="AS46" s="83">
        <f t="shared" si="2"/>
        <v>12</v>
      </c>
      <c r="AT46" s="84">
        <f t="shared" si="3"/>
        <v>2005</v>
      </c>
      <c r="AU46" s="88">
        <f>DATE(2008,7,4)</f>
        <v>39633</v>
      </c>
      <c r="AV46" s="88">
        <f>DATE(2006,1,13)</f>
        <v>38730</v>
      </c>
      <c r="AW46" s="87">
        <f>AU46-AV46</f>
        <v>903</v>
      </c>
      <c r="AX46" s="88">
        <f>DATE(2008,7,7)</f>
        <v>39636</v>
      </c>
      <c r="AY46" s="83">
        <f t="shared" si="4"/>
        <v>7</v>
      </c>
      <c r="AZ46" s="84">
        <f t="shared" si="5"/>
        <v>2008</v>
      </c>
      <c r="BA46" s="86"/>
      <c r="BB46" s="86"/>
      <c r="BD46" s="68">
        <f t="shared" si="6"/>
        <v>0</v>
      </c>
    </row>
    <row r="47" spans="1:56" ht="36.75" customHeight="1">
      <c r="A47" s="30"/>
      <c r="B47" s="30" t="s">
        <v>55</v>
      </c>
      <c r="C47" s="69" t="str">
        <f t="shared" si="0"/>
        <v>Closed</v>
      </c>
      <c r="D47" s="27" t="s">
        <v>409</v>
      </c>
      <c r="E47" s="29" t="s">
        <v>410</v>
      </c>
      <c r="F47" s="30" t="s">
        <v>58</v>
      </c>
      <c r="G47" s="89">
        <f>DATE(2005,12,31)</f>
        <v>38717</v>
      </c>
      <c r="H47" s="90">
        <v>1.3847222222222222</v>
      </c>
      <c r="I47" s="30" t="s">
        <v>73</v>
      </c>
      <c r="J47" s="89" t="s">
        <v>411</v>
      </c>
      <c r="K47" s="30" t="s">
        <v>61</v>
      </c>
      <c r="L47" s="30" t="s">
        <v>412</v>
      </c>
      <c r="M47" s="30" t="s">
        <v>63</v>
      </c>
      <c r="N47" s="30" t="s">
        <v>99</v>
      </c>
      <c r="O47" s="30" t="s">
        <v>90</v>
      </c>
      <c r="P47" s="89" t="s">
        <v>91</v>
      </c>
      <c r="Q47" s="89" t="s">
        <v>66</v>
      </c>
      <c r="R47" s="89" t="s">
        <v>67</v>
      </c>
      <c r="S47" s="30">
        <v>0</v>
      </c>
      <c r="T47" s="233">
        <v>0</v>
      </c>
      <c r="U47" s="30">
        <v>0</v>
      </c>
      <c r="V47" s="233">
        <v>0</v>
      </c>
      <c r="W47" s="30">
        <v>0</v>
      </c>
      <c r="X47" s="30">
        <v>0</v>
      </c>
      <c r="Y47" s="30">
        <v>0</v>
      </c>
      <c r="Z47" s="233">
        <v>1</v>
      </c>
      <c r="AA47" s="30">
        <v>0</v>
      </c>
      <c r="AB47" s="30">
        <v>0</v>
      </c>
      <c r="AC47" s="30">
        <v>0</v>
      </c>
      <c r="AD47" s="30">
        <v>1</v>
      </c>
      <c r="AE47" s="89" t="s">
        <v>92</v>
      </c>
      <c r="AF47" s="89" t="s">
        <v>413</v>
      </c>
      <c r="AG47" s="89" t="s">
        <v>133</v>
      </c>
      <c r="AH47" s="72">
        <v>38730</v>
      </c>
      <c r="AI47" s="30">
        <v>2</v>
      </c>
      <c r="AJ47" s="89" t="s">
        <v>414</v>
      </c>
      <c r="AK47" s="89" t="s">
        <v>415</v>
      </c>
      <c r="AL47" s="91">
        <v>39633</v>
      </c>
      <c r="AM47" s="91"/>
      <c r="AN47" s="91"/>
      <c r="AO47" s="91"/>
      <c r="AP47" s="73" t="e">
        <f>MID(VLOOKUP(K47,#REF!,2,FALSE),1,2)</f>
        <v>#REF!</v>
      </c>
      <c r="AQ47" s="89">
        <f>DATE(2005,12,31)</f>
        <v>38717</v>
      </c>
      <c r="AR47" s="82">
        <f t="shared" si="1"/>
        <v>31</v>
      </c>
      <c r="AS47" s="83">
        <f t="shared" si="2"/>
        <v>12</v>
      </c>
      <c r="AT47" s="84">
        <f t="shared" si="3"/>
        <v>2005</v>
      </c>
      <c r="AU47" s="88">
        <f>DATE(2008,7,4)</f>
        <v>39633</v>
      </c>
      <c r="AV47" s="88">
        <f>DATE(2006,1,13)</f>
        <v>38730</v>
      </c>
      <c r="AW47" s="87"/>
      <c r="AX47" s="88">
        <f>DATE(2008,7,8)</f>
        <v>39637</v>
      </c>
      <c r="AY47" s="83">
        <f t="shared" si="4"/>
        <v>7</v>
      </c>
      <c r="AZ47" s="84">
        <f t="shared" si="5"/>
        <v>2008</v>
      </c>
      <c r="BA47" s="86"/>
      <c r="BB47" s="86"/>
      <c r="BD47" s="68">
        <f t="shared" si="6"/>
        <v>0</v>
      </c>
    </row>
    <row r="48" spans="1:56" ht="36.75" customHeight="1">
      <c r="A48" s="30"/>
      <c r="B48" s="30" t="s">
        <v>55</v>
      </c>
      <c r="C48" s="69" t="str">
        <f t="shared" si="0"/>
        <v>Closed</v>
      </c>
      <c r="D48" s="27" t="s">
        <v>416</v>
      </c>
      <c r="E48" s="29" t="s">
        <v>417</v>
      </c>
      <c r="F48" s="30" t="s">
        <v>197</v>
      </c>
      <c r="G48" s="89">
        <f>DATE(2006,1,3)</f>
        <v>38720</v>
      </c>
      <c r="H48" s="90">
        <v>1.3819444444444444</v>
      </c>
      <c r="I48" s="30" t="s">
        <v>73</v>
      </c>
      <c r="J48" s="89" t="s">
        <v>418</v>
      </c>
      <c r="K48" s="30" t="s">
        <v>200</v>
      </c>
      <c r="L48" s="30" t="s">
        <v>419</v>
      </c>
      <c r="M48" s="30" t="s">
        <v>63</v>
      </c>
      <c r="N48" s="30">
        <v>0</v>
      </c>
      <c r="O48" s="30" t="s">
        <v>77</v>
      </c>
      <c r="P48" s="89" t="s">
        <v>165</v>
      </c>
      <c r="Q48" s="89" t="s">
        <v>202</v>
      </c>
      <c r="R48" s="89" t="s">
        <v>203</v>
      </c>
      <c r="S48" s="30">
        <v>0</v>
      </c>
      <c r="T48" s="233" t="s">
        <v>68</v>
      </c>
      <c r="U48" s="30">
        <v>0</v>
      </c>
      <c r="V48" s="233" t="s">
        <v>68</v>
      </c>
      <c r="W48" s="30">
        <v>0</v>
      </c>
      <c r="X48" s="30">
        <v>0</v>
      </c>
      <c r="Y48" s="30">
        <v>0</v>
      </c>
      <c r="Z48" s="233" t="s">
        <v>68</v>
      </c>
      <c r="AA48" s="30">
        <v>0</v>
      </c>
      <c r="AB48" s="30">
        <v>0</v>
      </c>
      <c r="AC48" s="30">
        <v>0</v>
      </c>
      <c r="AD48" s="30">
        <v>0</v>
      </c>
      <c r="AE48" s="89" t="s">
        <v>68</v>
      </c>
      <c r="AF48" s="89" t="s">
        <v>420</v>
      </c>
      <c r="AG48" s="89" t="s">
        <v>133</v>
      </c>
      <c r="AH48" s="72" t="s">
        <v>68</v>
      </c>
      <c r="AI48" s="30">
        <v>2</v>
      </c>
      <c r="AJ48" s="89" t="s">
        <v>68</v>
      </c>
      <c r="AK48" s="89" t="s">
        <v>68</v>
      </c>
      <c r="AL48" s="91">
        <v>39776</v>
      </c>
      <c r="AM48" s="91"/>
      <c r="AN48" s="91"/>
      <c r="AO48" s="91"/>
      <c r="AP48" s="73" t="e">
        <f>MID(VLOOKUP(K48,#REF!,2,FALSE),1,2)</f>
        <v>#REF!</v>
      </c>
      <c r="AQ48" s="89">
        <f>DATE(2006,1,3)</f>
        <v>38720</v>
      </c>
      <c r="AR48" s="82">
        <f t="shared" si="1"/>
        <v>3</v>
      </c>
      <c r="AS48" s="83">
        <f t="shared" si="2"/>
        <v>1</v>
      </c>
      <c r="AT48" s="84">
        <f t="shared" si="3"/>
        <v>2006</v>
      </c>
      <c r="AU48" s="86"/>
      <c r="AV48" s="86"/>
      <c r="AW48" s="87"/>
      <c r="AX48" s="86"/>
      <c r="AY48" s="83"/>
      <c r="AZ48" s="84"/>
      <c r="BA48" s="86"/>
      <c r="BB48" s="86"/>
      <c r="BD48" s="68">
        <f t="shared" si="6"/>
        <v>0</v>
      </c>
    </row>
    <row r="49" spans="1:56" ht="36.75" customHeight="1">
      <c r="A49" s="30"/>
      <c r="B49" s="30" t="s">
        <v>55</v>
      </c>
      <c r="C49" s="69" t="str">
        <f t="shared" si="0"/>
        <v>Closed</v>
      </c>
      <c r="D49" s="27" t="s">
        <v>421</v>
      </c>
      <c r="E49" s="29" t="s">
        <v>422</v>
      </c>
      <c r="F49" s="30" t="s">
        <v>423</v>
      </c>
      <c r="G49" s="89">
        <f>DATE(2006,1,3)</f>
        <v>38720</v>
      </c>
      <c r="H49" s="90">
        <v>1.3159722222222223</v>
      </c>
      <c r="I49" s="30" t="s">
        <v>73</v>
      </c>
      <c r="J49" s="89" t="s">
        <v>424</v>
      </c>
      <c r="K49" s="30" t="s">
        <v>425</v>
      </c>
      <c r="L49" s="30" t="s">
        <v>426</v>
      </c>
      <c r="M49" s="30" t="s">
        <v>63</v>
      </c>
      <c r="N49" s="30">
        <v>0</v>
      </c>
      <c r="O49" s="30" t="s">
        <v>77</v>
      </c>
      <c r="P49" s="89" t="s">
        <v>78</v>
      </c>
      <c r="Q49" s="89" t="s">
        <v>427</v>
      </c>
      <c r="R49" s="89" t="s">
        <v>427</v>
      </c>
      <c r="S49" s="30">
        <v>0</v>
      </c>
      <c r="T49" s="233" t="s">
        <v>68</v>
      </c>
      <c r="U49" s="30">
        <v>0</v>
      </c>
      <c r="V49" s="233" t="s">
        <v>68</v>
      </c>
      <c r="W49" s="30">
        <v>0</v>
      </c>
      <c r="X49" s="30">
        <v>0</v>
      </c>
      <c r="Y49" s="30">
        <v>0</v>
      </c>
      <c r="Z49" s="233" t="s">
        <v>68</v>
      </c>
      <c r="AA49" s="30">
        <v>0</v>
      </c>
      <c r="AB49" s="30">
        <v>0</v>
      </c>
      <c r="AC49" s="30">
        <v>0</v>
      </c>
      <c r="AD49" s="30">
        <v>0</v>
      </c>
      <c r="AE49" s="89" t="s">
        <v>68</v>
      </c>
      <c r="AF49" s="89" t="s">
        <v>428</v>
      </c>
      <c r="AG49" s="89" t="s">
        <v>82</v>
      </c>
      <c r="AH49" s="72" t="s">
        <v>68</v>
      </c>
      <c r="AI49" s="30">
        <v>0</v>
      </c>
      <c r="AJ49" s="89" t="s">
        <v>68</v>
      </c>
      <c r="AK49" s="89" t="s">
        <v>68</v>
      </c>
      <c r="AL49" s="91">
        <v>39183</v>
      </c>
      <c r="AM49" s="91"/>
      <c r="AN49" s="91"/>
      <c r="AO49" s="91"/>
      <c r="AP49" s="73" t="e">
        <f>MID(VLOOKUP(K49,#REF!,2,FALSE),1,2)</f>
        <v>#REF!</v>
      </c>
      <c r="AQ49" s="89">
        <f>DATE(2006,1,3)</f>
        <v>38720</v>
      </c>
      <c r="AR49" s="82">
        <f t="shared" si="1"/>
        <v>3</v>
      </c>
      <c r="AS49" s="83">
        <f t="shared" si="2"/>
        <v>1</v>
      </c>
      <c r="AT49" s="84">
        <f t="shared" si="3"/>
        <v>2006</v>
      </c>
      <c r="AU49" s="86"/>
      <c r="AV49" s="86"/>
      <c r="AW49" s="87"/>
      <c r="AX49" s="86"/>
      <c r="AY49" s="83"/>
      <c r="AZ49" s="84"/>
      <c r="BA49" s="86"/>
      <c r="BB49" s="86"/>
      <c r="BD49" s="68">
        <f t="shared" si="6"/>
        <v>0</v>
      </c>
    </row>
    <row r="50" spans="1:56" ht="36.75" customHeight="1">
      <c r="A50" s="30"/>
      <c r="B50" s="30" t="s">
        <v>55</v>
      </c>
      <c r="C50" s="69" t="str">
        <f t="shared" si="0"/>
        <v>Closed</v>
      </c>
      <c r="D50" s="27" t="s">
        <v>429</v>
      </c>
      <c r="E50" s="29" t="s">
        <v>430</v>
      </c>
      <c r="F50" s="30" t="s">
        <v>233</v>
      </c>
      <c r="G50" s="89">
        <f>DATE(2006,1,5)</f>
        <v>38722</v>
      </c>
      <c r="H50" s="90">
        <v>1.6666666666666665</v>
      </c>
      <c r="I50" s="30" t="s">
        <v>431</v>
      </c>
      <c r="J50" s="89" t="s">
        <v>432</v>
      </c>
      <c r="K50" s="30" t="s">
        <v>235</v>
      </c>
      <c r="L50" s="30" t="s">
        <v>433</v>
      </c>
      <c r="M50" s="30" t="s">
        <v>63</v>
      </c>
      <c r="N50" s="30">
        <v>0</v>
      </c>
      <c r="O50" s="30" t="s">
        <v>64</v>
      </c>
      <c r="P50" s="89" t="s">
        <v>78</v>
      </c>
      <c r="Q50" s="89" t="s">
        <v>434</v>
      </c>
      <c r="R50" s="89" t="s">
        <v>238</v>
      </c>
      <c r="S50" s="30">
        <v>0</v>
      </c>
      <c r="T50" s="233" t="s">
        <v>68</v>
      </c>
      <c r="U50" s="30">
        <v>0</v>
      </c>
      <c r="V50" s="233" t="s">
        <v>68</v>
      </c>
      <c r="W50" s="30">
        <v>0</v>
      </c>
      <c r="X50" s="30">
        <v>0</v>
      </c>
      <c r="Y50" s="30">
        <v>0</v>
      </c>
      <c r="Z50" s="233" t="s">
        <v>68</v>
      </c>
      <c r="AA50" s="30">
        <v>0</v>
      </c>
      <c r="AB50" s="30">
        <v>0</v>
      </c>
      <c r="AC50" s="30">
        <v>0</v>
      </c>
      <c r="AD50" s="30">
        <v>0</v>
      </c>
      <c r="AE50" s="89" t="s">
        <v>68</v>
      </c>
      <c r="AF50" s="89" t="s">
        <v>431</v>
      </c>
      <c r="AG50" s="89" t="s">
        <v>133</v>
      </c>
      <c r="AH50" s="72" t="s">
        <v>68</v>
      </c>
      <c r="AI50" s="30">
        <v>6</v>
      </c>
      <c r="AJ50" s="89" t="s">
        <v>435</v>
      </c>
      <c r="AK50" s="89" t="s">
        <v>436</v>
      </c>
      <c r="AL50" s="91">
        <v>39226</v>
      </c>
      <c r="AM50" s="91"/>
      <c r="AN50" s="91"/>
      <c r="AO50" s="91"/>
      <c r="AP50" s="73" t="e">
        <f>MID(VLOOKUP(K50,#REF!,2,FALSE),1,2)</f>
        <v>#REF!</v>
      </c>
      <c r="AQ50" s="89">
        <f>DATE(2006,1,5)</f>
        <v>38722</v>
      </c>
      <c r="AR50" s="82">
        <f t="shared" si="1"/>
        <v>5</v>
      </c>
      <c r="AS50" s="83">
        <f t="shared" si="2"/>
        <v>1</v>
      </c>
      <c r="AT50" s="84">
        <f t="shared" si="3"/>
        <v>2006</v>
      </c>
      <c r="AU50" s="86"/>
      <c r="AV50" s="86"/>
      <c r="AW50" s="87"/>
      <c r="AX50" s="86"/>
      <c r="AY50" s="83"/>
      <c r="AZ50" s="84"/>
      <c r="BA50" s="86"/>
      <c r="BB50" s="86"/>
      <c r="BD50" s="68">
        <f t="shared" si="6"/>
        <v>0</v>
      </c>
    </row>
    <row r="51" spans="1:56" ht="36.75" customHeight="1">
      <c r="A51" s="30"/>
      <c r="B51" s="30" t="s">
        <v>55</v>
      </c>
      <c r="C51" s="69" t="str">
        <f t="shared" si="0"/>
        <v>Closed</v>
      </c>
      <c r="D51" s="27" t="s">
        <v>437</v>
      </c>
      <c r="E51" s="29" t="s">
        <v>438</v>
      </c>
      <c r="F51" s="30" t="s">
        <v>197</v>
      </c>
      <c r="G51" s="89">
        <f>DATE(2006,1,8)</f>
        <v>38725</v>
      </c>
      <c r="H51" s="90">
        <v>1.8180555555555555</v>
      </c>
      <c r="I51" s="30" t="s">
        <v>73</v>
      </c>
      <c r="J51" s="89" t="s">
        <v>439</v>
      </c>
      <c r="K51" s="30" t="s">
        <v>200</v>
      </c>
      <c r="L51" s="30" t="s">
        <v>440</v>
      </c>
      <c r="M51" s="30" t="s">
        <v>63</v>
      </c>
      <c r="N51" s="30">
        <v>0</v>
      </c>
      <c r="O51" s="30" t="s">
        <v>77</v>
      </c>
      <c r="P51" s="89" t="s">
        <v>165</v>
      </c>
      <c r="Q51" s="89" t="s">
        <v>202</v>
      </c>
      <c r="R51" s="89" t="s">
        <v>203</v>
      </c>
      <c r="S51" s="30">
        <v>0</v>
      </c>
      <c r="T51" s="233" t="s">
        <v>68</v>
      </c>
      <c r="U51" s="30">
        <v>0</v>
      </c>
      <c r="V51" s="233" t="s">
        <v>68</v>
      </c>
      <c r="W51" s="30">
        <v>0</v>
      </c>
      <c r="X51" s="30">
        <v>0</v>
      </c>
      <c r="Y51" s="30">
        <v>0</v>
      </c>
      <c r="Z51" s="233" t="s">
        <v>68</v>
      </c>
      <c r="AA51" s="30">
        <v>0</v>
      </c>
      <c r="AB51" s="30">
        <v>0</v>
      </c>
      <c r="AC51" s="30">
        <v>0</v>
      </c>
      <c r="AD51" s="30">
        <v>0</v>
      </c>
      <c r="AE51" s="89" t="s">
        <v>68</v>
      </c>
      <c r="AF51" s="89" t="s">
        <v>441</v>
      </c>
      <c r="AG51" s="89" t="s">
        <v>133</v>
      </c>
      <c r="AH51" s="72" t="s">
        <v>68</v>
      </c>
      <c r="AI51" s="30">
        <v>2</v>
      </c>
      <c r="AJ51" s="89" t="s">
        <v>68</v>
      </c>
      <c r="AK51" s="89" t="s">
        <v>68</v>
      </c>
      <c r="AL51" s="91">
        <v>39773</v>
      </c>
      <c r="AM51" s="91"/>
      <c r="AN51" s="91"/>
      <c r="AO51" s="91"/>
      <c r="AP51" s="73" t="e">
        <f>MID(VLOOKUP(K51,#REF!,2,FALSE),1,2)</f>
        <v>#REF!</v>
      </c>
      <c r="AQ51" s="89">
        <f>DATE(2006,1,8)</f>
        <v>38725</v>
      </c>
      <c r="AR51" s="82">
        <f t="shared" si="1"/>
        <v>8</v>
      </c>
      <c r="AS51" s="83">
        <f t="shared" si="2"/>
        <v>1</v>
      </c>
      <c r="AT51" s="84">
        <f t="shared" si="3"/>
        <v>2006</v>
      </c>
      <c r="AU51" s="86"/>
      <c r="AV51" s="86"/>
      <c r="AW51" s="87"/>
      <c r="AX51" s="86"/>
      <c r="AY51" s="83"/>
      <c r="AZ51" s="84"/>
      <c r="BA51" s="86"/>
      <c r="BB51" s="86"/>
      <c r="BD51" s="68">
        <f t="shared" si="6"/>
        <v>0</v>
      </c>
    </row>
    <row r="52" spans="1:56" ht="36.75" customHeight="1">
      <c r="A52" s="30"/>
      <c r="B52" s="30" t="s">
        <v>55</v>
      </c>
      <c r="C52" s="69" t="str">
        <f t="shared" si="0"/>
        <v>Closed</v>
      </c>
      <c r="D52" s="27" t="s">
        <v>442</v>
      </c>
      <c r="E52" s="29" t="s">
        <v>443</v>
      </c>
      <c r="F52" s="30" t="s">
        <v>233</v>
      </c>
      <c r="G52" s="89">
        <f>DATE(2006,1,8)</f>
        <v>38725</v>
      </c>
      <c r="H52" s="90">
        <v>1.7638888888888888</v>
      </c>
      <c r="I52" s="30" t="s">
        <v>116</v>
      </c>
      <c r="J52" s="89" t="s">
        <v>444</v>
      </c>
      <c r="K52" s="30" t="s">
        <v>235</v>
      </c>
      <c r="L52" s="30" t="s">
        <v>445</v>
      </c>
      <c r="M52" s="30" t="s">
        <v>63</v>
      </c>
      <c r="N52" s="30">
        <v>0</v>
      </c>
      <c r="O52" s="30" t="s">
        <v>64</v>
      </c>
      <c r="P52" s="89" t="s">
        <v>165</v>
      </c>
      <c r="Q52" s="89" t="s">
        <v>446</v>
      </c>
      <c r="R52" s="89" t="s">
        <v>238</v>
      </c>
      <c r="S52" s="30">
        <v>0</v>
      </c>
      <c r="T52" s="233">
        <v>0</v>
      </c>
      <c r="U52" s="30">
        <v>0</v>
      </c>
      <c r="V52" s="233">
        <v>0</v>
      </c>
      <c r="W52" s="30">
        <v>0</v>
      </c>
      <c r="X52" s="30">
        <v>0</v>
      </c>
      <c r="Y52" s="30">
        <v>0</v>
      </c>
      <c r="Z52" s="233">
        <v>0</v>
      </c>
      <c r="AA52" s="30">
        <v>1</v>
      </c>
      <c r="AB52" s="30">
        <v>0</v>
      </c>
      <c r="AC52" s="30">
        <v>0</v>
      </c>
      <c r="AD52" s="30">
        <v>1</v>
      </c>
      <c r="AE52" s="89" t="s">
        <v>68</v>
      </c>
      <c r="AF52" s="89" t="s">
        <v>68</v>
      </c>
      <c r="AG52" s="89" t="s">
        <v>133</v>
      </c>
      <c r="AH52" s="72" t="s">
        <v>68</v>
      </c>
      <c r="AI52" s="30">
        <v>0</v>
      </c>
      <c r="AJ52" s="89" t="s">
        <v>447</v>
      </c>
      <c r="AK52" s="89" t="s">
        <v>448</v>
      </c>
      <c r="AL52" s="91">
        <v>39225</v>
      </c>
      <c r="AM52" s="91"/>
      <c r="AN52" s="91"/>
      <c r="AO52" s="91"/>
      <c r="AP52" s="73" t="e">
        <f>MID(VLOOKUP(K52,#REF!,2,FALSE),1,2)</f>
        <v>#REF!</v>
      </c>
      <c r="AQ52" s="89">
        <f>DATE(2006,1,8)</f>
        <v>38725</v>
      </c>
      <c r="AR52" s="82">
        <f t="shared" si="1"/>
        <v>8</v>
      </c>
      <c r="AS52" s="83">
        <f t="shared" si="2"/>
        <v>1</v>
      </c>
      <c r="AT52" s="84">
        <f t="shared" si="3"/>
        <v>2006</v>
      </c>
      <c r="AU52" s="86"/>
      <c r="AV52" s="86"/>
      <c r="AW52" s="87"/>
      <c r="AX52" s="86"/>
      <c r="AY52" s="83"/>
      <c r="AZ52" s="84"/>
      <c r="BA52" s="86"/>
      <c r="BB52" s="86"/>
      <c r="BD52" s="68">
        <f t="shared" si="6"/>
        <v>0</v>
      </c>
    </row>
    <row r="53" spans="1:56" ht="36.75" customHeight="1">
      <c r="A53" s="30"/>
      <c r="B53" s="30" t="s">
        <v>55</v>
      </c>
      <c r="C53" s="69" t="str">
        <f t="shared" si="0"/>
        <v>Closed</v>
      </c>
      <c r="D53" s="27" t="s">
        <v>449</v>
      </c>
      <c r="E53" s="29" t="s">
        <v>450</v>
      </c>
      <c r="F53" s="30" t="s">
        <v>451</v>
      </c>
      <c r="G53" s="89">
        <f>DATE(2006,1,11)</f>
        <v>38728</v>
      </c>
      <c r="H53" s="90">
        <v>1.1902777777777778</v>
      </c>
      <c r="I53" s="30" t="s">
        <v>73</v>
      </c>
      <c r="J53" s="89" t="s">
        <v>452</v>
      </c>
      <c r="K53" s="30" t="s">
        <v>453</v>
      </c>
      <c r="L53" s="30" t="s">
        <v>454</v>
      </c>
      <c r="M53" s="30" t="s">
        <v>63</v>
      </c>
      <c r="N53" s="30">
        <v>0</v>
      </c>
      <c r="O53" s="30" t="s">
        <v>77</v>
      </c>
      <c r="P53" s="89" t="s">
        <v>165</v>
      </c>
      <c r="Q53" s="89" t="s">
        <v>455</v>
      </c>
      <c r="R53" s="89" t="s">
        <v>456</v>
      </c>
      <c r="S53" s="30">
        <v>0</v>
      </c>
      <c r="T53" s="233" t="s">
        <v>68</v>
      </c>
      <c r="U53" s="30">
        <v>0</v>
      </c>
      <c r="V53" s="233" t="s">
        <v>68</v>
      </c>
      <c r="W53" s="30">
        <v>0</v>
      </c>
      <c r="X53" s="30">
        <v>0</v>
      </c>
      <c r="Y53" s="30">
        <v>0</v>
      </c>
      <c r="Z53" s="233" t="s">
        <v>68</v>
      </c>
      <c r="AA53" s="30">
        <v>0</v>
      </c>
      <c r="AB53" s="30">
        <v>0</v>
      </c>
      <c r="AC53" s="30">
        <v>0</v>
      </c>
      <c r="AD53" s="30">
        <v>0</v>
      </c>
      <c r="AE53" s="89" t="s">
        <v>68</v>
      </c>
      <c r="AF53" s="89" t="s">
        <v>457</v>
      </c>
      <c r="AG53" s="89" t="s">
        <v>133</v>
      </c>
      <c r="AH53" s="72" t="s">
        <v>68</v>
      </c>
      <c r="AI53" s="30">
        <v>1</v>
      </c>
      <c r="AJ53" s="89" t="s">
        <v>68</v>
      </c>
      <c r="AK53" s="89" t="s">
        <v>68</v>
      </c>
      <c r="AL53" s="91">
        <v>39224</v>
      </c>
      <c r="AM53" s="91"/>
      <c r="AN53" s="91"/>
      <c r="AO53" s="91"/>
      <c r="AP53" s="73" t="e">
        <f>MID(VLOOKUP(K53,#REF!,2,FALSE),1,2)</f>
        <v>#REF!</v>
      </c>
      <c r="AQ53" s="89">
        <f>DATE(2006,1,11)</f>
        <v>38728</v>
      </c>
      <c r="AR53" s="82">
        <f t="shared" si="1"/>
        <v>11</v>
      </c>
      <c r="AS53" s="83">
        <f t="shared" si="2"/>
        <v>1</v>
      </c>
      <c r="AT53" s="84">
        <f t="shared" si="3"/>
        <v>2006</v>
      </c>
      <c r="AU53" s="86"/>
      <c r="AV53" s="86"/>
      <c r="AW53" s="87"/>
      <c r="AX53" s="86"/>
      <c r="AY53" s="83"/>
      <c r="AZ53" s="84"/>
      <c r="BA53" s="86"/>
      <c r="BB53" s="86"/>
      <c r="BD53" s="68">
        <f t="shared" si="6"/>
        <v>0</v>
      </c>
    </row>
    <row r="54" spans="1:56" ht="36.75" customHeight="1">
      <c r="A54" s="30"/>
      <c r="B54" s="30" t="s">
        <v>55</v>
      </c>
      <c r="C54" s="69" t="str">
        <f t="shared" si="0"/>
        <v>Closed</v>
      </c>
      <c r="D54" s="27" t="s">
        <v>458</v>
      </c>
      <c r="E54" s="29" t="s">
        <v>459</v>
      </c>
      <c r="F54" s="30" t="s">
        <v>233</v>
      </c>
      <c r="G54" s="89">
        <f>DATE(2006,1,11)</f>
        <v>38728</v>
      </c>
      <c r="H54" s="90">
        <v>1.9826388888888888</v>
      </c>
      <c r="I54" s="30" t="s">
        <v>86</v>
      </c>
      <c r="J54" s="89" t="s">
        <v>460</v>
      </c>
      <c r="K54" s="30" t="s">
        <v>235</v>
      </c>
      <c r="L54" s="30" t="s">
        <v>461</v>
      </c>
      <c r="M54" s="30" t="s">
        <v>63</v>
      </c>
      <c r="N54" s="30">
        <v>0</v>
      </c>
      <c r="O54" s="30" t="s">
        <v>64</v>
      </c>
      <c r="P54" s="89" t="s">
        <v>462</v>
      </c>
      <c r="Q54" s="89" t="s">
        <v>308</v>
      </c>
      <c r="R54" s="89" t="s">
        <v>238</v>
      </c>
      <c r="S54" s="30">
        <v>0</v>
      </c>
      <c r="T54" s="233" t="s">
        <v>68</v>
      </c>
      <c r="U54" s="30">
        <v>0</v>
      </c>
      <c r="V54" s="233" t="s">
        <v>68</v>
      </c>
      <c r="W54" s="30">
        <v>0</v>
      </c>
      <c r="X54" s="30">
        <v>0</v>
      </c>
      <c r="Y54" s="30">
        <v>0</v>
      </c>
      <c r="Z54" s="233" t="s">
        <v>68</v>
      </c>
      <c r="AA54" s="30">
        <v>0</v>
      </c>
      <c r="AB54" s="30">
        <v>0</v>
      </c>
      <c r="AC54" s="30">
        <v>0</v>
      </c>
      <c r="AD54" s="30">
        <v>0</v>
      </c>
      <c r="AE54" s="89" t="s">
        <v>68</v>
      </c>
      <c r="AF54" s="89" t="s">
        <v>68</v>
      </c>
      <c r="AG54" s="89" t="s">
        <v>133</v>
      </c>
      <c r="AH54" s="72" t="s">
        <v>68</v>
      </c>
      <c r="AI54" s="30">
        <v>8</v>
      </c>
      <c r="AJ54" s="89" t="s">
        <v>463</v>
      </c>
      <c r="AK54" s="89" t="s">
        <v>464</v>
      </c>
      <c r="AL54" s="91">
        <v>39353</v>
      </c>
      <c r="AM54" s="91"/>
      <c r="AN54" s="91"/>
      <c r="AO54" s="91"/>
      <c r="AP54" s="73" t="e">
        <f>MID(VLOOKUP(K54,#REF!,2,FALSE),1,2)</f>
        <v>#REF!</v>
      </c>
      <c r="AQ54" s="89">
        <f>DATE(2006,1,11)</f>
        <v>38728</v>
      </c>
      <c r="AR54" s="82">
        <f t="shared" si="1"/>
        <v>11</v>
      </c>
      <c r="AS54" s="83">
        <f t="shared" si="2"/>
        <v>1</v>
      </c>
      <c r="AT54" s="84">
        <f t="shared" si="3"/>
        <v>2006</v>
      </c>
      <c r="AU54" s="86"/>
      <c r="AV54" s="86"/>
      <c r="AW54" s="87"/>
      <c r="AX54" s="86"/>
      <c r="AY54" s="83"/>
      <c r="AZ54" s="84"/>
      <c r="BA54" s="86"/>
      <c r="BB54" s="86"/>
      <c r="BD54" s="68">
        <f t="shared" si="6"/>
        <v>0</v>
      </c>
    </row>
    <row r="55" spans="1:56" ht="36.75" customHeight="1">
      <c r="A55" s="30"/>
      <c r="B55" s="30" t="s">
        <v>55</v>
      </c>
      <c r="C55" s="69" t="str">
        <f t="shared" si="0"/>
        <v>Closed</v>
      </c>
      <c r="D55" s="27" t="s">
        <v>465</v>
      </c>
      <c r="E55" s="29" t="s">
        <v>466</v>
      </c>
      <c r="F55" s="30" t="s">
        <v>233</v>
      </c>
      <c r="G55" s="89">
        <f>DATE(2006,1,12)</f>
        <v>38729</v>
      </c>
      <c r="H55" s="90">
        <v>1.2298611111111111</v>
      </c>
      <c r="I55" s="30" t="s">
        <v>86</v>
      </c>
      <c r="J55" s="89" t="s">
        <v>467</v>
      </c>
      <c r="K55" s="30" t="s">
        <v>235</v>
      </c>
      <c r="L55" s="30" t="s">
        <v>468</v>
      </c>
      <c r="M55" s="30" t="s">
        <v>63</v>
      </c>
      <c r="N55" s="30">
        <v>0</v>
      </c>
      <c r="O55" s="30" t="s">
        <v>64</v>
      </c>
      <c r="P55" s="89" t="s">
        <v>165</v>
      </c>
      <c r="Q55" s="89" t="s">
        <v>469</v>
      </c>
      <c r="R55" s="89" t="s">
        <v>238</v>
      </c>
      <c r="S55" s="30">
        <v>0</v>
      </c>
      <c r="T55" s="233" t="s">
        <v>68</v>
      </c>
      <c r="U55" s="30">
        <v>0</v>
      </c>
      <c r="V55" s="233" t="s">
        <v>68</v>
      </c>
      <c r="W55" s="30">
        <v>0</v>
      </c>
      <c r="X55" s="30">
        <v>0</v>
      </c>
      <c r="Y55" s="30">
        <v>0</v>
      </c>
      <c r="Z55" s="233" t="s">
        <v>68</v>
      </c>
      <c r="AA55" s="30">
        <v>0</v>
      </c>
      <c r="AB55" s="30">
        <v>0</v>
      </c>
      <c r="AC55" s="30">
        <v>0</v>
      </c>
      <c r="AD55" s="30">
        <v>0</v>
      </c>
      <c r="AE55" s="89" t="s">
        <v>68</v>
      </c>
      <c r="AF55" s="89" t="s">
        <v>68</v>
      </c>
      <c r="AG55" s="89" t="s">
        <v>133</v>
      </c>
      <c r="AH55" s="72" t="s">
        <v>68</v>
      </c>
      <c r="AI55" s="30">
        <v>2</v>
      </c>
      <c r="AJ55" s="89" t="s">
        <v>470</v>
      </c>
      <c r="AK55" s="89" t="s">
        <v>471</v>
      </c>
      <c r="AL55" s="91">
        <v>39225</v>
      </c>
      <c r="AM55" s="91"/>
      <c r="AN55" s="91"/>
      <c r="AO55" s="91"/>
      <c r="AP55" s="73" t="e">
        <f>MID(VLOOKUP(K55,#REF!,2,FALSE),1,2)</f>
        <v>#REF!</v>
      </c>
      <c r="AQ55" s="89">
        <f>DATE(2006,1,12)</f>
        <v>38729</v>
      </c>
      <c r="AR55" s="82">
        <f t="shared" si="1"/>
        <v>12</v>
      </c>
      <c r="AS55" s="83">
        <f t="shared" si="2"/>
        <v>1</v>
      </c>
      <c r="AT55" s="84">
        <f t="shared" si="3"/>
        <v>2006</v>
      </c>
      <c r="AU55" s="86"/>
      <c r="AV55" s="86"/>
      <c r="AW55" s="87"/>
      <c r="AX55" s="86"/>
      <c r="AY55" s="83"/>
      <c r="AZ55" s="84"/>
      <c r="BA55" s="86"/>
      <c r="BB55" s="86"/>
      <c r="BD55" s="68">
        <f t="shared" si="6"/>
        <v>0</v>
      </c>
    </row>
    <row r="56" spans="1:56" ht="36.75" customHeight="1">
      <c r="A56" s="30"/>
      <c r="B56" s="30" t="s">
        <v>55</v>
      </c>
      <c r="C56" s="69" t="str">
        <f t="shared" si="0"/>
        <v>Closed</v>
      </c>
      <c r="D56" s="27" t="s">
        <v>472</v>
      </c>
      <c r="E56" s="29" t="s">
        <v>473</v>
      </c>
      <c r="F56" s="30" t="s">
        <v>233</v>
      </c>
      <c r="G56" s="89">
        <f>DATE(2006,1,14)</f>
        <v>38731</v>
      </c>
      <c r="H56" s="90">
        <v>1.6270833333333332</v>
      </c>
      <c r="I56" s="30" t="s">
        <v>73</v>
      </c>
      <c r="J56" s="89" t="s">
        <v>474</v>
      </c>
      <c r="K56" s="30" t="s">
        <v>235</v>
      </c>
      <c r="L56" s="30" t="s">
        <v>475</v>
      </c>
      <c r="M56" s="30" t="s">
        <v>63</v>
      </c>
      <c r="N56" s="30">
        <v>0</v>
      </c>
      <c r="O56" s="30" t="s">
        <v>64</v>
      </c>
      <c r="P56" s="89" t="s">
        <v>78</v>
      </c>
      <c r="Q56" s="89" t="s">
        <v>237</v>
      </c>
      <c r="R56" s="89" t="s">
        <v>238</v>
      </c>
      <c r="S56" s="30">
        <v>0</v>
      </c>
      <c r="T56" s="233" t="s">
        <v>68</v>
      </c>
      <c r="U56" s="30">
        <v>0</v>
      </c>
      <c r="V56" s="233" t="s">
        <v>68</v>
      </c>
      <c r="W56" s="30">
        <v>0</v>
      </c>
      <c r="X56" s="30">
        <v>0</v>
      </c>
      <c r="Y56" s="30">
        <v>0</v>
      </c>
      <c r="Z56" s="233" t="s">
        <v>68</v>
      </c>
      <c r="AA56" s="30">
        <v>0</v>
      </c>
      <c r="AB56" s="30">
        <v>0</v>
      </c>
      <c r="AC56" s="30">
        <v>0</v>
      </c>
      <c r="AD56" s="30">
        <v>0</v>
      </c>
      <c r="AE56" s="89" t="s">
        <v>68</v>
      </c>
      <c r="AF56" s="89" t="s">
        <v>68</v>
      </c>
      <c r="AG56" s="89" t="s">
        <v>133</v>
      </c>
      <c r="AH56" s="72" t="s">
        <v>68</v>
      </c>
      <c r="AI56" s="30">
        <v>3</v>
      </c>
      <c r="AJ56" s="89" t="s">
        <v>476</v>
      </c>
      <c r="AK56" s="89" t="s">
        <v>477</v>
      </c>
      <c r="AL56" s="91">
        <v>39227</v>
      </c>
      <c r="AM56" s="91"/>
      <c r="AN56" s="91"/>
      <c r="AO56" s="91"/>
      <c r="AP56" s="73" t="e">
        <f>MID(VLOOKUP(K56,#REF!,2,FALSE),1,2)</f>
        <v>#REF!</v>
      </c>
      <c r="AQ56" s="89">
        <f>DATE(2006,1,14)</f>
        <v>38731</v>
      </c>
      <c r="AR56" s="82">
        <f t="shared" si="1"/>
        <v>14</v>
      </c>
      <c r="AS56" s="83">
        <f t="shared" si="2"/>
        <v>1</v>
      </c>
      <c r="AT56" s="84">
        <f t="shared" si="3"/>
        <v>2006</v>
      </c>
      <c r="AU56" s="86"/>
      <c r="AV56" s="86"/>
      <c r="AW56" s="87"/>
      <c r="AX56" s="86"/>
      <c r="AY56" s="83"/>
      <c r="AZ56" s="84"/>
      <c r="BA56" s="86"/>
      <c r="BB56" s="86"/>
      <c r="BD56" s="68">
        <f t="shared" si="6"/>
        <v>0</v>
      </c>
    </row>
    <row r="57" spans="1:56" ht="36.75" customHeight="1">
      <c r="A57" s="30"/>
      <c r="B57" s="30" t="s">
        <v>55</v>
      </c>
      <c r="C57" s="69" t="str">
        <f t="shared" si="0"/>
        <v>Closed</v>
      </c>
      <c r="D57" s="27" t="s">
        <v>478</v>
      </c>
      <c r="E57" s="29" t="s">
        <v>479</v>
      </c>
      <c r="F57" s="30" t="s">
        <v>233</v>
      </c>
      <c r="G57" s="89">
        <f>DATE(2006,1,18)</f>
        <v>38735</v>
      </c>
      <c r="H57" s="90">
        <v>1.9722222222222223</v>
      </c>
      <c r="I57" s="30" t="s">
        <v>73</v>
      </c>
      <c r="J57" s="89" t="s">
        <v>480</v>
      </c>
      <c r="K57" s="30" t="s">
        <v>235</v>
      </c>
      <c r="L57" s="30" t="s">
        <v>481</v>
      </c>
      <c r="M57" s="30" t="s">
        <v>63</v>
      </c>
      <c r="N57" s="30">
        <v>0</v>
      </c>
      <c r="O57" s="30" t="s">
        <v>77</v>
      </c>
      <c r="P57" s="89" t="s">
        <v>78</v>
      </c>
      <c r="Q57" s="89" t="s">
        <v>237</v>
      </c>
      <c r="R57" s="89" t="s">
        <v>238</v>
      </c>
      <c r="S57" s="30">
        <v>0</v>
      </c>
      <c r="T57" s="233" t="s">
        <v>68</v>
      </c>
      <c r="U57" s="30">
        <v>0</v>
      </c>
      <c r="V57" s="233" t="s">
        <v>68</v>
      </c>
      <c r="W57" s="30">
        <v>0</v>
      </c>
      <c r="X57" s="30">
        <v>0</v>
      </c>
      <c r="Y57" s="30">
        <v>0</v>
      </c>
      <c r="Z57" s="233" t="s">
        <v>68</v>
      </c>
      <c r="AA57" s="30">
        <v>0</v>
      </c>
      <c r="AB57" s="30">
        <v>0</v>
      </c>
      <c r="AC57" s="30">
        <v>0</v>
      </c>
      <c r="AD57" s="30">
        <v>0</v>
      </c>
      <c r="AE57" s="89" t="s">
        <v>68</v>
      </c>
      <c r="AF57" s="89" t="s">
        <v>482</v>
      </c>
      <c r="AG57" s="89" t="s">
        <v>133</v>
      </c>
      <c r="AH57" s="72" t="s">
        <v>68</v>
      </c>
      <c r="AI57" s="30">
        <v>4</v>
      </c>
      <c r="AJ57" s="89" t="s">
        <v>483</v>
      </c>
      <c r="AK57" s="89" t="s">
        <v>484</v>
      </c>
      <c r="AL57" s="91">
        <v>39227</v>
      </c>
      <c r="AM57" s="91"/>
      <c r="AN57" s="91"/>
      <c r="AO57" s="91"/>
      <c r="AP57" s="73" t="e">
        <f>MID(VLOOKUP(K57,#REF!,2,FALSE),1,2)</f>
        <v>#REF!</v>
      </c>
      <c r="AQ57" s="89">
        <f>DATE(2006,1,18)</f>
        <v>38735</v>
      </c>
      <c r="AR57" s="82">
        <f t="shared" si="1"/>
        <v>18</v>
      </c>
      <c r="AS57" s="83">
        <f t="shared" si="2"/>
        <v>1</v>
      </c>
      <c r="AT57" s="84">
        <f t="shared" si="3"/>
        <v>2006</v>
      </c>
      <c r="AU57" s="86"/>
      <c r="AV57" s="86"/>
      <c r="AW57" s="87"/>
      <c r="AX57" s="86"/>
      <c r="AY57" s="83"/>
      <c r="AZ57" s="84"/>
      <c r="BA57" s="86"/>
      <c r="BB57" s="86"/>
      <c r="BD57" s="68">
        <f t="shared" si="6"/>
        <v>0</v>
      </c>
    </row>
    <row r="58" spans="1:56" ht="36.75" customHeight="1">
      <c r="A58" s="30"/>
      <c r="B58" s="30" t="s">
        <v>55</v>
      </c>
      <c r="C58" s="69" t="str">
        <f t="shared" si="0"/>
        <v>Closed</v>
      </c>
      <c r="D58" s="27" t="s">
        <v>485</v>
      </c>
      <c r="E58" s="29" t="s">
        <v>486</v>
      </c>
      <c r="F58" s="30" t="s">
        <v>138</v>
      </c>
      <c r="G58" s="89">
        <f>DATE(2006,1,19)</f>
        <v>38736</v>
      </c>
      <c r="H58" s="90">
        <v>1.3833333333333333</v>
      </c>
      <c r="I58" s="30" t="s">
        <v>487</v>
      </c>
      <c r="J58" s="89" t="s">
        <v>488</v>
      </c>
      <c r="K58" s="30" t="s">
        <v>140</v>
      </c>
      <c r="L58" s="30" t="s">
        <v>489</v>
      </c>
      <c r="M58" s="30" t="s">
        <v>63</v>
      </c>
      <c r="N58" s="30" t="s">
        <v>89</v>
      </c>
      <c r="O58" s="30" t="s">
        <v>77</v>
      </c>
      <c r="P58" s="89" t="s">
        <v>165</v>
      </c>
      <c r="Q58" s="89" t="s">
        <v>490</v>
      </c>
      <c r="R58" s="89" t="s">
        <v>144</v>
      </c>
      <c r="S58" s="30">
        <v>0</v>
      </c>
      <c r="T58" s="233">
        <v>0</v>
      </c>
      <c r="U58" s="30">
        <v>0</v>
      </c>
      <c r="V58" s="233">
        <v>0</v>
      </c>
      <c r="W58" s="30">
        <v>0</v>
      </c>
      <c r="X58" s="30">
        <v>0</v>
      </c>
      <c r="Y58" s="30">
        <v>0</v>
      </c>
      <c r="Z58" s="233">
        <v>0</v>
      </c>
      <c r="AA58" s="30">
        <v>0</v>
      </c>
      <c r="AB58" s="30">
        <v>0</v>
      </c>
      <c r="AC58" s="30">
        <v>0</v>
      </c>
      <c r="AD58" s="30">
        <v>0</v>
      </c>
      <c r="AE58" s="89" t="s">
        <v>92</v>
      </c>
      <c r="AF58" s="89" t="s">
        <v>68</v>
      </c>
      <c r="AG58" s="89" t="s">
        <v>133</v>
      </c>
      <c r="AH58" s="72">
        <v>38961</v>
      </c>
      <c r="AI58" s="30">
        <v>2</v>
      </c>
      <c r="AJ58" s="89" t="s">
        <v>491</v>
      </c>
      <c r="AK58" s="89" t="s">
        <v>492</v>
      </c>
      <c r="AL58" s="91">
        <v>39352</v>
      </c>
      <c r="AM58" s="91"/>
      <c r="AN58" s="91"/>
      <c r="AO58" s="91"/>
      <c r="AP58" s="73" t="e">
        <f>MID(VLOOKUP(K58,#REF!,2,FALSE),1,2)</f>
        <v>#REF!</v>
      </c>
      <c r="AQ58" s="89">
        <f>DATE(2006,1,19)</f>
        <v>38736</v>
      </c>
      <c r="AR58" s="82">
        <f t="shared" si="1"/>
        <v>19</v>
      </c>
      <c r="AS58" s="83">
        <f t="shared" si="2"/>
        <v>1</v>
      </c>
      <c r="AT58" s="84">
        <f t="shared" si="3"/>
        <v>2006</v>
      </c>
      <c r="AU58" s="86"/>
      <c r="AV58" s="86"/>
      <c r="AW58" s="87"/>
      <c r="AX58" s="86"/>
      <c r="AY58" s="83"/>
      <c r="AZ58" s="84"/>
      <c r="BA58" s="86"/>
      <c r="BB58" s="86"/>
      <c r="BD58" s="68">
        <f t="shared" si="6"/>
        <v>0</v>
      </c>
    </row>
    <row r="59" spans="1:56" ht="36.75" customHeight="1">
      <c r="A59" s="30"/>
      <c r="B59" s="30" t="s">
        <v>55</v>
      </c>
      <c r="C59" s="69" t="str">
        <f t="shared" si="0"/>
        <v>Closed</v>
      </c>
      <c r="D59" s="27" t="s">
        <v>493</v>
      </c>
      <c r="E59" s="29" t="s">
        <v>494</v>
      </c>
      <c r="F59" s="30" t="s">
        <v>451</v>
      </c>
      <c r="G59" s="89">
        <f>DATE(2006,1,21)</f>
        <v>38738</v>
      </c>
      <c r="H59" s="90">
        <v>1.5069444444444444</v>
      </c>
      <c r="I59" s="30" t="s">
        <v>116</v>
      </c>
      <c r="J59" s="89" t="s">
        <v>495</v>
      </c>
      <c r="K59" s="30" t="s">
        <v>453</v>
      </c>
      <c r="L59" s="30" t="s">
        <v>496</v>
      </c>
      <c r="M59" s="30" t="s">
        <v>63</v>
      </c>
      <c r="N59" s="30" t="s">
        <v>99</v>
      </c>
      <c r="O59" s="30" t="s">
        <v>64</v>
      </c>
      <c r="P59" s="89" t="s">
        <v>165</v>
      </c>
      <c r="Q59" s="89" t="s">
        <v>497</v>
      </c>
      <c r="R59" s="89" t="s">
        <v>498</v>
      </c>
      <c r="S59" s="30">
        <v>0</v>
      </c>
      <c r="T59" s="233">
        <v>0</v>
      </c>
      <c r="U59" s="30">
        <v>1</v>
      </c>
      <c r="V59" s="233">
        <v>0</v>
      </c>
      <c r="W59" s="30">
        <v>0</v>
      </c>
      <c r="X59" s="30">
        <v>1</v>
      </c>
      <c r="Y59" s="30">
        <v>0</v>
      </c>
      <c r="Z59" s="233">
        <v>0</v>
      </c>
      <c r="AA59" s="30">
        <v>0</v>
      </c>
      <c r="AB59" s="30">
        <v>0</v>
      </c>
      <c r="AC59" s="30">
        <v>0</v>
      </c>
      <c r="AD59" s="30">
        <v>0</v>
      </c>
      <c r="AE59" s="89" t="s">
        <v>92</v>
      </c>
      <c r="AF59" s="89" t="s">
        <v>499</v>
      </c>
      <c r="AG59" s="89" t="s">
        <v>82</v>
      </c>
      <c r="AH59" s="72">
        <v>38738</v>
      </c>
      <c r="AI59" s="30">
        <v>1</v>
      </c>
      <c r="AJ59" s="89" t="s">
        <v>500</v>
      </c>
      <c r="AK59" s="89" t="s">
        <v>68</v>
      </c>
      <c r="AL59" s="91">
        <v>39134</v>
      </c>
      <c r="AM59" s="91"/>
      <c r="AN59" s="91"/>
      <c r="AO59" s="91"/>
      <c r="AP59" s="73" t="e">
        <f>MID(VLOOKUP(K59,#REF!,2,FALSE),1,2)</f>
        <v>#REF!</v>
      </c>
      <c r="AQ59" s="89">
        <f>DATE(2006,1,21)</f>
        <v>38738</v>
      </c>
      <c r="AR59" s="82">
        <f t="shared" si="1"/>
        <v>21</v>
      </c>
      <c r="AS59" s="83">
        <f t="shared" si="2"/>
        <v>1</v>
      </c>
      <c r="AT59" s="84">
        <f t="shared" si="3"/>
        <v>2006</v>
      </c>
      <c r="AU59" s="86"/>
      <c r="AV59" s="86"/>
      <c r="AW59" s="87"/>
      <c r="AX59" s="86"/>
      <c r="AY59" s="83"/>
      <c r="AZ59" s="84"/>
      <c r="BA59" s="86"/>
      <c r="BB59" s="86"/>
      <c r="BD59" s="68">
        <f t="shared" si="6"/>
        <v>0</v>
      </c>
    </row>
    <row r="60" spans="1:56" ht="36.75" customHeight="1">
      <c r="A60" s="30"/>
      <c r="B60" s="30" t="s">
        <v>55</v>
      </c>
      <c r="C60" s="69" t="str">
        <f t="shared" si="0"/>
        <v>Closed</v>
      </c>
      <c r="D60" s="27" t="s">
        <v>501</v>
      </c>
      <c r="E60" s="29" t="s">
        <v>502</v>
      </c>
      <c r="F60" s="30" t="s">
        <v>233</v>
      </c>
      <c r="G60" s="89">
        <f>DATE(2006,1,21)</f>
        <v>38738</v>
      </c>
      <c r="H60" s="90">
        <v>1.15625</v>
      </c>
      <c r="I60" s="30" t="s">
        <v>73</v>
      </c>
      <c r="J60" s="89" t="s">
        <v>503</v>
      </c>
      <c r="K60" s="30" t="s">
        <v>235</v>
      </c>
      <c r="L60" s="30" t="s">
        <v>504</v>
      </c>
      <c r="M60" s="30" t="s">
        <v>63</v>
      </c>
      <c r="N60" s="30">
        <v>0</v>
      </c>
      <c r="O60" s="30" t="s">
        <v>90</v>
      </c>
      <c r="P60" s="89" t="s">
        <v>78</v>
      </c>
      <c r="Q60" s="89" t="s">
        <v>237</v>
      </c>
      <c r="R60" s="89" t="s">
        <v>505</v>
      </c>
      <c r="S60" s="30">
        <v>0</v>
      </c>
      <c r="T60" s="233" t="s">
        <v>68</v>
      </c>
      <c r="U60" s="30">
        <v>0</v>
      </c>
      <c r="V60" s="233" t="s">
        <v>68</v>
      </c>
      <c r="W60" s="30">
        <v>0</v>
      </c>
      <c r="X60" s="30">
        <v>0</v>
      </c>
      <c r="Y60" s="30">
        <v>0</v>
      </c>
      <c r="Z60" s="233" t="s">
        <v>68</v>
      </c>
      <c r="AA60" s="30">
        <v>0</v>
      </c>
      <c r="AB60" s="30">
        <v>0</v>
      </c>
      <c r="AC60" s="30">
        <v>0</v>
      </c>
      <c r="AD60" s="30">
        <v>0</v>
      </c>
      <c r="AE60" s="89" t="s">
        <v>68</v>
      </c>
      <c r="AF60" s="89" t="s">
        <v>506</v>
      </c>
      <c r="AG60" s="89" t="s">
        <v>248</v>
      </c>
      <c r="AH60" s="72" t="s">
        <v>68</v>
      </c>
      <c r="AI60" s="30">
        <v>7</v>
      </c>
      <c r="AJ60" s="89" t="s">
        <v>507</v>
      </c>
      <c r="AK60" s="89" t="s">
        <v>508</v>
      </c>
      <c r="AL60" s="91">
        <v>39225</v>
      </c>
      <c r="AM60" s="91"/>
      <c r="AN60" s="91"/>
      <c r="AO60" s="91"/>
      <c r="AP60" s="73" t="e">
        <f>MID(VLOOKUP(K60,#REF!,2,FALSE),1,2)</f>
        <v>#REF!</v>
      </c>
      <c r="AQ60" s="89">
        <f>DATE(2006,1,21)</f>
        <v>38738</v>
      </c>
      <c r="AR60" s="82">
        <f t="shared" si="1"/>
        <v>21</v>
      </c>
      <c r="AS60" s="83">
        <f t="shared" si="2"/>
        <v>1</v>
      </c>
      <c r="AT60" s="84">
        <f t="shared" si="3"/>
        <v>2006</v>
      </c>
      <c r="AU60" s="86"/>
      <c r="AV60" s="86"/>
      <c r="AW60" s="87"/>
      <c r="AX60" s="86"/>
      <c r="AY60" s="83"/>
      <c r="AZ60" s="84"/>
      <c r="BA60" s="86"/>
      <c r="BB60" s="86"/>
      <c r="BD60" s="68">
        <f t="shared" si="6"/>
        <v>0</v>
      </c>
    </row>
    <row r="61" spans="1:56" ht="36.75" customHeight="1">
      <c r="A61" s="30"/>
      <c r="B61" s="30" t="s">
        <v>55</v>
      </c>
      <c r="C61" s="69" t="str">
        <f t="shared" si="0"/>
        <v>Closed</v>
      </c>
      <c r="D61" s="27" t="s">
        <v>509</v>
      </c>
      <c r="E61" s="29" t="s">
        <v>510</v>
      </c>
      <c r="F61" s="30" t="s">
        <v>233</v>
      </c>
      <c r="G61" s="89">
        <f>DATE(2006,1,27)</f>
        <v>38744</v>
      </c>
      <c r="H61" s="90">
        <v>1.7694444444444444</v>
      </c>
      <c r="I61" s="30" t="s">
        <v>156</v>
      </c>
      <c r="J61" s="89" t="s">
        <v>511</v>
      </c>
      <c r="K61" s="30" t="s">
        <v>235</v>
      </c>
      <c r="L61" s="30" t="s">
        <v>512</v>
      </c>
      <c r="M61" s="30" t="s">
        <v>63</v>
      </c>
      <c r="N61" s="30">
        <v>0</v>
      </c>
      <c r="O61" s="30" t="s">
        <v>77</v>
      </c>
      <c r="P61" s="89" t="s">
        <v>165</v>
      </c>
      <c r="Q61" s="89" t="s">
        <v>246</v>
      </c>
      <c r="R61" s="89" t="s">
        <v>238</v>
      </c>
      <c r="S61" s="30">
        <v>0</v>
      </c>
      <c r="T61" s="233" t="s">
        <v>68</v>
      </c>
      <c r="U61" s="30">
        <v>0</v>
      </c>
      <c r="V61" s="233" t="s">
        <v>68</v>
      </c>
      <c r="W61" s="30">
        <v>0</v>
      </c>
      <c r="X61" s="30">
        <v>0</v>
      </c>
      <c r="Y61" s="30">
        <v>0</v>
      </c>
      <c r="Z61" s="233" t="s">
        <v>68</v>
      </c>
      <c r="AA61" s="30">
        <v>0</v>
      </c>
      <c r="AB61" s="30">
        <v>0</v>
      </c>
      <c r="AC61" s="30">
        <v>0</v>
      </c>
      <c r="AD61" s="30">
        <v>0</v>
      </c>
      <c r="AE61" s="89" t="s">
        <v>68</v>
      </c>
      <c r="AF61" s="89" t="s">
        <v>68</v>
      </c>
      <c r="AG61" s="89" t="s">
        <v>133</v>
      </c>
      <c r="AH61" s="72" t="s">
        <v>68</v>
      </c>
      <c r="AI61" s="30">
        <v>2</v>
      </c>
      <c r="AJ61" s="89" t="s">
        <v>513</v>
      </c>
      <c r="AK61" s="89" t="s">
        <v>514</v>
      </c>
      <c r="AL61" s="91">
        <v>39188</v>
      </c>
      <c r="AM61" s="91"/>
      <c r="AN61" s="91"/>
      <c r="AO61" s="91"/>
      <c r="AP61" s="73" t="e">
        <f>MID(VLOOKUP(K61,#REF!,2,FALSE),1,2)</f>
        <v>#REF!</v>
      </c>
      <c r="AQ61" s="89">
        <f>DATE(2006,1,27)</f>
        <v>38744</v>
      </c>
      <c r="AR61" s="82">
        <f t="shared" si="1"/>
        <v>27</v>
      </c>
      <c r="AS61" s="83">
        <f t="shared" si="2"/>
        <v>1</v>
      </c>
      <c r="AT61" s="84">
        <f t="shared" si="3"/>
        <v>2006</v>
      </c>
      <c r="AU61" s="86"/>
      <c r="AV61" s="86"/>
      <c r="AW61" s="87"/>
      <c r="AX61" s="86"/>
      <c r="AY61" s="83"/>
      <c r="AZ61" s="84"/>
      <c r="BA61" s="86"/>
      <c r="BB61" s="86"/>
      <c r="BD61" s="68">
        <f t="shared" si="6"/>
        <v>0</v>
      </c>
    </row>
    <row r="62" spans="1:56" ht="36.75" customHeight="1">
      <c r="A62" s="30"/>
      <c r="B62" s="30" t="s">
        <v>55</v>
      </c>
      <c r="C62" s="69" t="str">
        <f t="shared" si="0"/>
        <v>Closed</v>
      </c>
      <c r="D62" s="27" t="s">
        <v>515</v>
      </c>
      <c r="E62" s="29" t="s">
        <v>516</v>
      </c>
      <c r="F62" s="30" t="s">
        <v>233</v>
      </c>
      <c r="G62" s="89">
        <f>DATE(2006,1,31)</f>
        <v>38748</v>
      </c>
      <c r="H62" s="90">
        <v>1.1006944444444444</v>
      </c>
      <c r="I62" s="30" t="s">
        <v>73</v>
      </c>
      <c r="J62" s="89" t="s">
        <v>517</v>
      </c>
      <c r="K62" s="30" t="s">
        <v>235</v>
      </c>
      <c r="L62" s="30" t="s">
        <v>518</v>
      </c>
      <c r="M62" s="30" t="s">
        <v>63</v>
      </c>
      <c r="N62" s="30">
        <v>0</v>
      </c>
      <c r="O62" s="30" t="s">
        <v>64</v>
      </c>
      <c r="P62" s="89" t="s">
        <v>78</v>
      </c>
      <c r="Q62" s="89" t="s">
        <v>237</v>
      </c>
      <c r="R62" s="89" t="s">
        <v>238</v>
      </c>
      <c r="S62" s="30">
        <v>0</v>
      </c>
      <c r="T62" s="233" t="s">
        <v>68</v>
      </c>
      <c r="U62" s="30">
        <v>0</v>
      </c>
      <c r="V62" s="233" t="s">
        <v>68</v>
      </c>
      <c r="W62" s="30">
        <v>0</v>
      </c>
      <c r="X62" s="30">
        <v>0</v>
      </c>
      <c r="Y62" s="30">
        <v>0</v>
      </c>
      <c r="Z62" s="233" t="s">
        <v>68</v>
      </c>
      <c r="AA62" s="30">
        <v>0</v>
      </c>
      <c r="AB62" s="30">
        <v>0</v>
      </c>
      <c r="AC62" s="30">
        <v>0</v>
      </c>
      <c r="AD62" s="30">
        <v>0</v>
      </c>
      <c r="AE62" s="89" t="s">
        <v>68</v>
      </c>
      <c r="AF62" s="89" t="s">
        <v>68</v>
      </c>
      <c r="AG62" s="89" t="s">
        <v>133</v>
      </c>
      <c r="AH62" s="72" t="s">
        <v>68</v>
      </c>
      <c r="AI62" s="30">
        <v>6</v>
      </c>
      <c r="AJ62" s="89" t="s">
        <v>519</v>
      </c>
      <c r="AK62" s="89" t="s">
        <v>520</v>
      </c>
      <c r="AL62" s="91">
        <v>39226</v>
      </c>
      <c r="AM62" s="91"/>
      <c r="AN62" s="91"/>
      <c r="AO62" s="91"/>
      <c r="AP62" s="73" t="e">
        <f>MID(VLOOKUP(K62,#REF!,2,FALSE),1,2)</f>
        <v>#REF!</v>
      </c>
      <c r="AQ62" s="89">
        <f>DATE(2006,1,31)</f>
        <v>38748</v>
      </c>
      <c r="AR62" s="82">
        <f t="shared" si="1"/>
        <v>31</v>
      </c>
      <c r="AS62" s="83">
        <f t="shared" si="2"/>
        <v>1</v>
      </c>
      <c r="AT62" s="84">
        <f t="shared" si="3"/>
        <v>2006</v>
      </c>
      <c r="AU62" s="86"/>
      <c r="AV62" s="86"/>
      <c r="AW62" s="87"/>
      <c r="AX62" s="86"/>
      <c r="AY62" s="83"/>
      <c r="AZ62" s="84"/>
      <c r="BA62" s="86"/>
      <c r="BB62" s="86"/>
      <c r="BD62" s="68">
        <f t="shared" si="6"/>
        <v>0</v>
      </c>
    </row>
    <row r="63" spans="1:56" ht="36.75" customHeight="1">
      <c r="A63" s="30"/>
      <c r="B63" s="30" t="s">
        <v>55</v>
      </c>
      <c r="C63" s="69" t="str">
        <f t="shared" si="0"/>
        <v>Closed</v>
      </c>
      <c r="D63" s="27" t="s">
        <v>521</v>
      </c>
      <c r="E63" s="29" t="s">
        <v>522</v>
      </c>
      <c r="F63" s="30" t="s">
        <v>233</v>
      </c>
      <c r="G63" s="89">
        <f>DATE(2006,2,4)</f>
        <v>38752</v>
      </c>
      <c r="H63" s="90">
        <v>1.4097222222222223</v>
      </c>
      <c r="I63" s="30" t="s">
        <v>198</v>
      </c>
      <c r="J63" s="89" t="s">
        <v>523</v>
      </c>
      <c r="K63" s="30" t="s">
        <v>235</v>
      </c>
      <c r="L63" s="30" t="s">
        <v>524</v>
      </c>
      <c r="M63" s="30" t="s">
        <v>63</v>
      </c>
      <c r="N63" s="30">
        <v>0</v>
      </c>
      <c r="O63" s="30" t="s">
        <v>77</v>
      </c>
      <c r="P63" s="89" t="s">
        <v>381</v>
      </c>
      <c r="Q63" s="89" t="s">
        <v>525</v>
      </c>
      <c r="R63" s="89" t="s">
        <v>526</v>
      </c>
      <c r="S63" s="30">
        <v>0</v>
      </c>
      <c r="T63" s="233" t="s">
        <v>68</v>
      </c>
      <c r="U63" s="30">
        <v>0</v>
      </c>
      <c r="V63" s="233" t="s">
        <v>68</v>
      </c>
      <c r="W63" s="30">
        <v>0</v>
      </c>
      <c r="X63" s="30">
        <v>0</v>
      </c>
      <c r="Y63" s="30">
        <v>0</v>
      </c>
      <c r="Z63" s="233" t="s">
        <v>68</v>
      </c>
      <c r="AA63" s="30">
        <v>0</v>
      </c>
      <c r="AB63" s="30">
        <v>0</v>
      </c>
      <c r="AC63" s="30">
        <v>0</v>
      </c>
      <c r="AD63" s="30">
        <v>0</v>
      </c>
      <c r="AE63" s="89" t="s">
        <v>68</v>
      </c>
      <c r="AF63" s="89" t="s">
        <v>68</v>
      </c>
      <c r="AG63" s="89" t="s">
        <v>248</v>
      </c>
      <c r="AH63" s="72" t="s">
        <v>68</v>
      </c>
      <c r="AI63" s="30">
        <v>4</v>
      </c>
      <c r="AJ63" s="89" t="s">
        <v>527</v>
      </c>
      <c r="AK63" s="89" t="s">
        <v>528</v>
      </c>
      <c r="AL63" s="91">
        <v>39225</v>
      </c>
      <c r="AM63" s="91"/>
      <c r="AN63" s="91"/>
      <c r="AO63" s="91"/>
      <c r="AP63" s="73" t="e">
        <f>MID(VLOOKUP(K63,#REF!,2,FALSE),1,2)</f>
        <v>#REF!</v>
      </c>
      <c r="AQ63" s="89">
        <f>DATE(2006,2,4)</f>
        <v>38752</v>
      </c>
      <c r="AR63" s="82">
        <f t="shared" si="1"/>
        <v>4</v>
      </c>
      <c r="AS63" s="83">
        <f t="shared" si="2"/>
        <v>2</v>
      </c>
      <c r="AT63" s="84">
        <f t="shared" si="3"/>
        <v>2006</v>
      </c>
      <c r="AU63" s="86"/>
      <c r="AV63" s="86"/>
      <c r="AW63" s="87"/>
      <c r="AX63" s="86"/>
      <c r="AY63" s="83"/>
      <c r="AZ63" s="84"/>
      <c r="BA63" s="86"/>
      <c r="BB63" s="86"/>
      <c r="BD63" s="68">
        <f t="shared" si="6"/>
        <v>0</v>
      </c>
    </row>
    <row r="64" spans="1:56" ht="36.75" customHeight="1">
      <c r="A64" s="30"/>
      <c r="B64" s="30" t="s">
        <v>55</v>
      </c>
      <c r="C64" s="69" t="str">
        <f t="shared" si="0"/>
        <v>Closed</v>
      </c>
      <c r="D64" s="27" t="s">
        <v>529</v>
      </c>
      <c r="E64" s="29" t="s">
        <v>530</v>
      </c>
      <c r="F64" s="30" t="s">
        <v>233</v>
      </c>
      <c r="G64" s="89">
        <f>DATE(2006,2,6)</f>
        <v>38754</v>
      </c>
      <c r="H64" s="90">
        <v>1.5555555555555556</v>
      </c>
      <c r="I64" s="30" t="s">
        <v>73</v>
      </c>
      <c r="J64" s="89" t="s">
        <v>531</v>
      </c>
      <c r="K64" s="30" t="s">
        <v>235</v>
      </c>
      <c r="L64" s="30" t="s">
        <v>532</v>
      </c>
      <c r="M64" s="30" t="s">
        <v>63</v>
      </c>
      <c r="N64" s="30">
        <v>0</v>
      </c>
      <c r="O64" s="30" t="s">
        <v>64</v>
      </c>
      <c r="P64" s="89" t="s">
        <v>78</v>
      </c>
      <c r="Q64" s="89" t="s">
        <v>237</v>
      </c>
      <c r="R64" s="89" t="s">
        <v>238</v>
      </c>
      <c r="S64" s="30">
        <v>0</v>
      </c>
      <c r="T64" s="233" t="s">
        <v>68</v>
      </c>
      <c r="U64" s="30">
        <v>0</v>
      </c>
      <c r="V64" s="233" t="s">
        <v>68</v>
      </c>
      <c r="W64" s="30">
        <v>0</v>
      </c>
      <c r="X64" s="30">
        <v>0</v>
      </c>
      <c r="Y64" s="30">
        <v>0</v>
      </c>
      <c r="Z64" s="233" t="s">
        <v>68</v>
      </c>
      <c r="AA64" s="30">
        <v>0</v>
      </c>
      <c r="AB64" s="30">
        <v>0</v>
      </c>
      <c r="AC64" s="30">
        <v>0</v>
      </c>
      <c r="AD64" s="30">
        <v>0</v>
      </c>
      <c r="AE64" s="89" t="s">
        <v>68</v>
      </c>
      <c r="AF64" s="89" t="s">
        <v>533</v>
      </c>
      <c r="AG64" s="89" t="s">
        <v>133</v>
      </c>
      <c r="AH64" s="72" t="s">
        <v>68</v>
      </c>
      <c r="AI64" s="30">
        <v>6</v>
      </c>
      <c r="AJ64" s="89" t="s">
        <v>534</v>
      </c>
      <c r="AK64" s="89" t="s">
        <v>535</v>
      </c>
      <c r="AL64" s="91">
        <v>39225</v>
      </c>
      <c r="AM64" s="91"/>
      <c r="AN64" s="91"/>
      <c r="AO64" s="91"/>
      <c r="AP64" s="73" t="e">
        <f>MID(VLOOKUP(K64,#REF!,2,FALSE),1,2)</f>
        <v>#REF!</v>
      </c>
      <c r="AQ64" s="89">
        <f>DATE(2006,2,6)</f>
        <v>38754</v>
      </c>
      <c r="AR64" s="82">
        <f t="shared" si="1"/>
        <v>6</v>
      </c>
      <c r="AS64" s="83">
        <f t="shared" si="2"/>
        <v>2</v>
      </c>
      <c r="AT64" s="84">
        <f t="shared" si="3"/>
        <v>2006</v>
      </c>
      <c r="AU64" s="86"/>
      <c r="AV64" s="86"/>
      <c r="AW64" s="87"/>
      <c r="AX64" s="86"/>
      <c r="AY64" s="83"/>
      <c r="AZ64" s="84"/>
      <c r="BA64" s="86"/>
      <c r="BB64" s="86"/>
      <c r="BD64" s="68">
        <f t="shared" si="6"/>
        <v>0</v>
      </c>
    </row>
    <row r="65" spans="1:56" ht="36.75" customHeight="1">
      <c r="A65" s="30"/>
      <c r="B65" s="30" t="s">
        <v>55</v>
      </c>
      <c r="C65" s="69" t="str">
        <f t="shared" si="0"/>
        <v>Closed</v>
      </c>
      <c r="D65" s="27" t="s">
        <v>536</v>
      </c>
      <c r="E65" s="29" t="s">
        <v>537</v>
      </c>
      <c r="F65" s="30" t="s">
        <v>233</v>
      </c>
      <c r="G65" s="89">
        <f>DATE(2006,2,9)</f>
        <v>38757</v>
      </c>
      <c r="H65" s="90">
        <v>1.2305555555555556</v>
      </c>
      <c r="I65" s="30" t="s">
        <v>73</v>
      </c>
      <c r="J65" s="89" t="s">
        <v>538</v>
      </c>
      <c r="K65" s="30" t="s">
        <v>235</v>
      </c>
      <c r="L65" s="30" t="s">
        <v>539</v>
      </c>
      <c r="M65" s="30" t="s">
        <v>63</v>
      </c>
      <c r="N65" s="30">
        <v>0</v>
      </c>
      <c r="O65" s="30" t="s">
        <v>64</v>
      </c>
      <c r="P65" s="89" t="s">
        <v>78</v>
      </c>
      <c r="Q65" s="89" t="s">
        <v>237</v>
      </c>
      <c r="R65" s="89" t="s">
        <v>238</v>
      </c>
      <c r="S65" s="30">
        <v>0</v>
      </c>
      <c r="T65" s="233" t="s">
        <v>68</v>
      </c>
      <c r="U65" s="30">
        <v>0</v>
      </c>
      <c r="V65" s="233" t="s">
        <v>68</v>
      </c>
      <c r="W65" s="30">
        <v>0</v>
      </c>
      <c r="X65" s="30">
        <v>0</v>
      </c>
      <c r="Y65" s="30">
        <v>0</v>
      </c>
      <c r="Z65" s="233" t="s">
        <v>68</v>
      </c>
      <c r="AA65" s="30">
        <v>0</v>
      </c>
      <c r="AB65" s="30">
        <v>0</v>
      </c>
      <c r="AC65" s="30">
        <v>0</v>
      </c>
      <c r="AD65" s="30">
        <v>0</v>
      </c>
      <c r="AE65" s="89" t="s">
        <v>68</v>
      </c>
      <c r="AF65" s="89" t="s">
        <v>68</v>
      </c>
      <c r="AG65" s="89" t="s">
        <v>133</v>
      </c>
      <c r="AH65" s="72" t="s">
        <v>68</v>
      </c>
      <c r="AI65" s="30">
        <v>10</v>
      </c>
      <c r="AJ65" s="89" t="s">
        <v>540</v>
      </c>
      <c r="AK65" s="89" t="s">
        <v>541</v>
      </c>
      <c r="AL65" s="91">
        <v>39694</v>
      </c>
      <c r="AM65" s="91"/>
      <c r="AN65" s="91"/>
      <c r="AO65" s="91"/>
      <c r="AP65" s="73" t="e">
        <f>MID(VLOOKUP(K65,#REF!,2,FALSE),1,2)</f>
        <v>#REF!</v>
      </c>
      <c r="AQ65" s="89">
        <f>DATE(2006,2,9)</f>
        <v>38757</v>
      </c>
      <c r="AR65" s="82">
        <f t="shared" si="1"/>
        <v>9</v>
      </c>
      <c r="AS65" s="83">
        <f t="shared" si="2"/>
        <v>2</v>
      </c>
      <c r="AT65" s="84">
        <f t="shared" si="3"/>
        <v>2006</v>
      </c>
      <c r="AU65" s="86"/>
      <c r="AV65" s="86"/>
      <c r="AW65" s="87"/>
      <c r="AX65" s="86"/>
      <c r="AY65" s="83"/>
      <c r="AZ65" s="84"/>
      <c r="BA65" s="86"/>
      <c r="BB65" s="86"/>
      <c r="BD65" s="68">
        <f t="shared" si="6"/>
        <v>0</v>
      </c>
    </row>
    <row r="66" spans="1:56" ht="36.75" customHeight="1">
      <c r="A66" s="30"/>
      <c r="B66" s="30" t="s">
        <v>55</v>
      </c>
      <c r="C66" s="69" t="str">
        <f t="shared" ref="C66:C129" si="7">IF(B66="Notification","Open",IF(B66="Interim Statement","In progress","Closed"))</f>
        <v>Closed</v>
      </c>
      <c r="D66" s="27" t="s">
        <v>542</v>
      </c>
      <c r="E66" s="29" t="s">
        <v>543</v>
      </c>
      <c r="F66" s="30" t="s">
        <v>233</v>
      </c>
      <c r="G66" s="89">
        <f>DATE(2006,2,15)</f>
        <v>38763</v>
      </c>
      <c r="H66" s="90">
        <v>1.6666666666666665</v>
      </c>
      <c r="I66" s="30" t="s">
        <v>278</v>
      </c>
      <c r="J66" s="89" t="s">
        <v>544</v>
      </c>
      <c r="K66" s="30" t="s">
        <v>235</v>
      </c>
      <c r="L66" s="30" t="s">
        <v>545</v>
      </c>
      <c r="M66" s="30" t="s">
        <v>63</v>
      </c>
      <c r="N66" s="30">
        <v>0</v>
      </c>
      <c r="O66" s="30" t="s">
        <v>77</v>
      </c>
      <c r="P66" s="89" t="s">
        <v>165</v>
      </c>
      <c r="Q66" s="89" t="s">
        <v>546</v>
      </c>
      <c r="R66" s="89" t="s">
        <v>238</v>
      </c>
      <c r="S66" s="30">
        <v>0</v>
      </c>
      <c r="T66" s="233">
        <v>0</v>
      </c>
      <c r="U66" s="30">
        <v>0</v>
      </c>
      <c r="V66" s="233">
        <v>0</v>
      </c>
      <c r="W66" s="30">
        <v>0</v>
      </c>
      <c r="X66" s="30">
        <v>0</v>
      </c>
      <c r="Y66" s="30">
        <v>0</v>
      </c>
      <c r="Z66" s="233">
        <v>0</v>
      </c>
      <c r="AA66" s="30">
        <v>0</v>
      </c>
      <c r="AB66" s="30">
        <v>0</v>
      </c>
      <c r="AC66" s="30">
        <v>1</v>
      </c>
      <c r="AD66" s="30">
        <v>1</v>
      </c>
      <c r="AE66" s="89" t="s">
        <v>68</v>
      </c>
      <c r="AF66" s="89" t="s">
        <v>68</v>
      </c>
      <c r="AG66" s="89" t="s">
        <v>133</v>
      </c>
      <c r="AH66" s="72" t="s">
        <v>68</v>
      </c>
      <c r="AI66" s="30">
        <v>6</v>
      </c>
      <c r="AJ66" s="89" t="s">
        <v>547</v>
      </c>
      <c r="AK66" s="89" t="s">
        <v>548</v>
      </c>
      <c r="AL66" s="91">
        <v>39188</v>
      </c>
      <c r="AM66" s="91"/>
      <c r="AN66" s="91"/>
      <c r="AO66" s="91"/>
      <c r="AP66" s="73" t="e">
        <f>MID(VLOOKUP(K66,#REF!,2,FALSE),1,2)</f>
        <v>#REF!</v>
      </c>
      <c r="AQ66" s="89">
        <f>DATE(2006,2,15)</f>
        <v>38763</v>
      </c>
      <c r="AR66" s="82">
        <f t="shared" ref="AR66:AR129" si="8">DAY(AQ66)</f>
        <v>15</v>
      </c>
      <c r="AS66" s="83">
        <f t="shared" ref="AS66:AS129" si="9">MONTH(AQ66)</f>
        <v>2</v>
      </c>
      <c r="AT66" s="84">
        <f t="shared" ref="AT66:AT129" si="10">YEAR(AQ66)</f>
        <v>2006</v>
      </c>
      <c r="AU66" s="86"/>
      <c r="AV66" s="86"/>
      <c r="AW66" s="87"/>
      <c r="AX66" s="86"/>
      <c r="AY66" s="83"/>
      <c r="AZ66" s="84"/>
      <c r="BA66" s="86"/>
      <c r="BB66" s="86"/>
      <c r="BD66" s="68">
        <f t="shared" si="6"/>
        <v>0</v>
      </c>
    </row>
    <row r="67" spans="1:56" ht="36.75" customHeight="1">
      <c r="A67" s="30"/>
      <c r="B67" s="30" t="s">
        <v>55</v>
      </c>
      <c r="C67" s="69" t="str">
        <f t="shared" si="7"/>
        <v>Closed</v>
      </c>
      <c r="D67" s="27" t="s">
        <v>549</v>
      </c>
      <c r="E67" s="29" t="s">
        <v>550</v>
      </c>
      <c r="F67" s="30" t="s">
        <v>423</v>
      </c>
      <c r="G67" s="89">
        <f>DATE(2006,2,20)</f>
        <v>38768</v>
      </c>
      <c r="H67" s="90">
        <v>1.3416666666666666</v>
      </c>
      <c r="I67" s="30" t="s">
        <v>198</v>
      </c>
      <c r="J67" s="89" t="s">
        <v>551</v>
      </c>
      <c r="K67" s="30" t="s">
        <v>425</v>
      </c>
      <c r="L67" s="30" t="s">
        <v>552</v>
      </c>
      <c r="M67" s="30" t="s">
        <v>63</v>
      </c>
      <c r="N67" s="30">
        <v>0</v>
      </c>
      <c r="O67" s="30" t="s">
        <v>77</v>
      </c>
      <c r="P67" s="89" t="s">
        <v>553</v>
      </c>
      <c r="Q67" s="89" t="s">
        <v>554</v>
      </c>
      <c r="R67" s="89" t="s">
        <v>427</v>
      </c>
      <c r="S67" s="30">
        <v>0</v>
      </c>
      <c r="T67" s="233" t="s">
        <v>68</v>
      </c>
      <c r="U67" s="30">
        <v>0</v>
      </c>
      <c r="V67" s="233" t="s">
        <v>68</v>
      </c>
      <c r="W67" s="30">
        <v>0</v>
      </c>
      <c r="X67" s="30">
        <v>0</v>
      </c>
      <c r="Y67" s="30">
        <v>0</v>
      </c>
      <c r="Z67" s="233" t="s">
        <v>68</v>
      </c>
      <c r="AA67" s="30">
        <v>0</v>
      </c>
      <c r="AB67" s="30">
        <v>0</v>
      </c>
      <c r="AC67" s="30">
        <v>0</v>
      </c>
      <c r="AD67" s="30">
        <v>0</v>
      </c>
      <c r="AE67" s="89" t="s">
        <v>68</v>
      </c>
      <c r="AF67" s="89" t="s">
        <v>555</v>
      </c>
      <c r="AG67" s="89" t="s">
        <v>133</v>
      </c>
      <c r="AH67" s="72" t="s">
        <v>68</v>
      </c>
      <c r="AI67" s="30">
        <v>0</v>
      </c>
      <c r="AJ67" s="89" t="s">
        <v>68</v>
      </c>
      <c r="AK67" s="89" t="s">
        <v>68</v>
      </c>
      <c r="AL67" s="91">
        <v>39183</v>
      </c>
      <c r="AM67" s="91"/>
      <c r="AN67" s="91"/>
      <c r="AO67" s="91"/>
      <c r="AP67" s="73" t="e">
        <f>MID(VLOOKUP(K67,#REF!,2,FALSE),1,2)</f>
        <v>#REF!</v>
      </c>
      <c r="AQ67" s="89">
        <f>DATE(2006,2,20)</f>
        <v>38768</v>
      </c>
      <c r="AR67" s="82">
        <f t="shared" si="8"/>
        <v>20</v>
      </c>
      <c r="AS67" s="83">
        <f t="shared" si="9"/>
        <v>2</v>
      </c>
      <c r="AT67" s="84">
        <f t="shared" si="10"/>
        <v>2006</v>
      </c>
      <c r="AU67" s="86"/>
      <c r="AV67" s="86"/>
      <c r="AW67" s="87"/>
      <c r="AX67" s="86"/>
      <c r="AY67" s="83"/>
      <c r="AZ67" s="84"/>
      <c r="BA67" s="86"/>
      <c r="BB67" s="86"/>
      <c r="BD67" s="68">
        <f t="shared" ref="BD67:BD130" si="11">IF(AN67 &gt; DATE(2024,10,14),1,0)</f>
        <v>0</v>
      </c>
    </row>
    <row r="68" spans="1:56" ht="36.75" customHeight="1">
      <c r="A68" s="30"/>
      <c r="B68" s="30" t="s">
        <v>55</v>
      </c>
      <c r="C68" s="69" t="str">
        <f t="shared" si="7"/>
        <v>Closed</v>
      </c>
      <c r="D68" s="27" t="s">
        <v>556</v>
      </c>
      <c r="E68" s="29" t="s">
        <v>557</v>
      </c>
      <c r="F68" s="30" t="s">
        <v>233</v>
      </c>
      <c r="G68" s="89">
        <f>DATE(2006,2,21)</f>
        <v>38769</v>
      </c>
      <c r="H68" s="90">
        <v>1.8291666666666666</v>
      </c>
      <c r="I68" s="30" t="s">
        <v>86</v>
      </c>
      <c r="J68" s="89" t="s">
        <v>558</v>
      </c>
      <c r="K68" s="30" t="s">
        <v>235</v>
      </c>
      <c r="L68" s="30" t="s">
        <v>559</v>
      </c>
      <c r="M68" s="30" t="s">
        <v>63</v>
      </c>
      <c r="N68" s="30">
        <v>0</v>
      </c>
      <c r="O68" s="30" t="s">
        <v>90</v>
      </c>
      <c r="P68" s="89" t="s">
        <v>78</v>
      </c>
      <c r="Q68" s="89" t="s">
        <v>237</v>
      </c>
      <c r="R68" s="89" t="s">
        <v>238</v>
      </c>
      <c r="S68" s="30">
        <v>0</v>
      </c>
      <c r="T68" s="233" t="s">
        <v>68</v>
      </c>
      <c r="U68" s="30">
        <v>0</v>
      </c>
      <c r="V68" s="233" t="s">
        <v>68</v>
      </c>
      <c r="W68" s="30">
        <v>0</v>
      </c>
      <c r="X68" s="30">
        <v>0</v>
      </c>
      <c r="Y68" s="30">
        <v>0</v>
      </c>
      <c r="Z68" s="233" t="s">
        <v>68</v>
      </c>
      <c r="AA68" s="30">
        <v>0</v>
      </c>
      <c r="AB68" s="30">
        <v>0</v>
      </c>
      <c r="AC68" s="30">
        <v>0</v>
      </c>
      <c r="AD68" s="30">
        <v>0</v>
      </c>
      <c r="AE68" s="89" t="s">
        <v>68</v>
      </c>
      <c r="AF68" s="89" t="s">
        <v>68</v>
      </c>
      <c r="AG68" s="89" t="s">
        <v>133</v>
      </c>
      <c r="AH68" s="72" t="s">
        <v>68</v>
      </c>
      <c r="AI68" s="30">
        <v>5</v>
      </c>
      <c r="AJ68" s="89" t="s">
        <v>560</v>
      </c>
      <c r="AK68" s="89" t="s">
        <v>561</v>
      </c>
      <c r="AL68" s="91">
        <v>39226</v>
      </c>
      <c r="AM68" s="91"/>
      <c r="AN68" s="91"/>
      <c r="AO68" s="91"/>
      <c r="AP68" s="73" t="e">
        <f>MID(VLOOKUP(K68,#REF!,2,FALSE),1,2)</f>
        <v>#REF!</v>
      </c>
      <c r="AQ68" s="89">
        <f>DATE(2006,2,21)</f>
        <v>38769</v>
      </c>
      <c r="AR68" s="82">
        <f t="shared" si="8"/>
        <v>21</v>
      </c>
      <c r="AS68" s="83">
        <f t="shared" si="9"/>
        <v>2</v>
      </c>
      <c r="AT68" s="84">
        <f t="shared" si="10"/>
        <v>2006</v>
      </c>
      <c r="AU68" s="86"/>
      <c r="AV68" s="86"/>
      <c r="AW68" s="87"/>
      <c r="AX68" s="86"/>
      <c r="AY68" s="83"/>
      <c r="AZ68" s="84"/>
      <c r="BA68" s="86"/>
      <c r="BB68" s="86"/>
      <c r="BD68" s="68">
        <f t="shared" si="11"/>
        <v>0</v>
      </c>
    </row>
    <row r="69" spans="1:56" ht="36.75" customHeight="1">
      <c r="A69" s="30"/>
      <c r="B69" s="30" t="s">
        <v>55</v>
      </c>
      <c r="C69" s="69" t="str">
        <f t="shared" si="7"/>
        <v>Closed</v>
      </c>
      <c r="D69" s="27" t="s">
        <v>562</v>
      </c>
      <c r="E69" s="29" t="s">
        <v>563</v>
      </c>
      <c r="F69" s="30" t="s">
        <v>115</v>
      </c>
      <c r="G69" s="89">
        <f>DATE(2006,2,25)</f>
        <v>38773</v>
      </c>
      <c r="H69" s="90">
        <v>1.6145833333333335</v>
      </c>
      <c r="I69" s="30" t="s">
        <v>73</v>
      </c>
      <c r="J69" s="89" t="s">
        <v>564</v>
      </c>
      <c r="K69" s="30" t="s">
        <v>118</v>
      </c>
      <c r="L69" s="30" t="s">
        <v>565</v>
      </c>
      <c r="M69" s="30" t="s">
        <v>63</v>
      </c>
      <c r="N69" s="30">
        <v>0</v>
      </c>
      <c r="O69" s="30" t="s">
        <v>64</v>
      </c>
      <c r="P69" s="89" t="s">
        <v>65</v>
      </c>
      <c r="Q69" s="89" t="s">
        <v>120</v>
      </c>
      <c r="R69" s="89" t="s">
        <v>121</v>
      </c>
      <c r="S69" s="30">
        <v>0</v>
      </c>
      <c r="T69" s="233" t="s">
        <v>68</v>
      </c>
      <c r="U69" s="30">
        <v>0</v>
      </c>
      <c r="V69" s="233" t="s">
        <v>68</v>
      </c>
      <c r="W69" s="30">
        <v>0</v>
      </c>
      <c r="X69" s="30">
        <v>0</v>
      </c>
      <c r="Y69" s="30">
        <v>0</v>
      </c>
      <c r="Z69" s="233" t="s">
        <v>68</v>
      </c>
      <c r="AA69" s="30">
        <v>0</v>
      </c>
      <c r="AB69" s="30">
        <v>0</v>
      </c>
      <c r="AC69" s="30">
        <v>0</v>
      </c>
      <c r="AD69" s="30">
        <v>0</v>
      </c>
      <c r="AE69" s="89" t="s">
        <v>68</v>
      </c>
      <c r="AF69" s="89" t="s">
        <v>566</v>
      </c>
      <c r="AG69" s="89" t="s">
        <v>82</v>
      </c>
      <c r="AH69" s="72" t="s">
        <v>68</v>
      </c>
      <c r="AI69" s="30">
        <v>0</v>
      </c>
      <c r="AJ69" s="89" t="s">
        <v>68</v>
      </c>
      <c r="AK69" s="89" t="s">
        <v>68</v>
      </c>
      <c r="AL69" s="91">
        <v>39148</v>
      </c>
      <c r="AM69" s="91"/>
      <c r="AN69" s="91"/>
      <c r="AO69" s="91"/>
      <c r="AP69" s="73" t="e">
        <f>MID(VLOOKUP(K69,#REF!,2,FALSE),1,2)</f>
        <v>#REF!</v>
      </c>
      <c r="AQ69" s="89">
        <f>DATE(2006,2,25)</f>
        <v>38773</v>
      </c>
      <c r="AR69" s="82">
        <f t="shared" si="8"/>
        <v>25</v>
      </c>
      <c r="AS69" s="83">
        <f t="shared" si="9"/>
        <v>2</v>
      </c>
      <c r="AT69" s="84">
        <f t="shared" si="10"/>
        <v>2006</v>
      </c>
      <c r="AU69" s="86"/>
      <c r="AV69" s="86"/>
      <c r="AW69" s="87"/>
      <c r="AX69" s="86"/>
      <c r="AY69" s="83"/>
      <c r="AZ69" s="84"/>
      <c r="BA69" s="86"/>
      <c r="BB69" s="86"/>
      <c r="BD69" s="68">
        <f t="shared" si="11"/>
        <v>0</v>
      </c>
    </row>
    <row r="70" spans="1:56" ht="36.75" customHeight="1">
      <c r="A70" s="30"/>
      <c r="B70" s="30" t="s">
        <v>55</v>
      </c>
      <c r="C70" s="69" t="str">
        <f t="shared" si="7"/>
        <v>Closed</v>
      </c>
      <c r="D70" s="27" t="s">
        <v>567</v>
      </c>
      <c r="E70" s="29" t="s">
        <v>568</v>
      </c>
      <c r="F70" s="30" t="s">
        <v>451</v>
      </c>
      <c r="G70" s="89">
        <f>DATE(2006,2,27)</f>
        <v>38775</v>
      </c>
      <c r="H70" s="90">
        <v>1.5604166666666668</v>
      </c>
      <c r="I70" s="30" t="s">
        <v>116</v>
      </c>
      <c r="J70" s="89" t="s">
        <v>569</v>
      </c>
      <c r="K70" s="30" t="s">
        <v>453</v>
      </c>
      <c r="L70" s="30" t="s">
        <v>570</v>
      </c>
      <c r="M70" s="30" t="s">
        <v>63</v>
      </c>
      <c r="N70" s="30" t="s">
        <v>99</v>
      </c>
      <c r="O70" s="30" t="s">
        <v>86</v>
      </c>
      <c r="P70" s="89" t="s">
        <v>165</v>
      </c>
      <c r="Q70" s="89" t="s">
        <v>571</v>
      </c>
      <c r="R70" s="89" t="s">
        <v>572</v>
      </c>
      <c r="S70" s="30">
        <v>0</v>
      </c>
      <c r="T70" s="233">
        <v>0</v>
      </c>
      <c r="U70" s="30">
        <v>0</v>
      </c>
      <c r="V70" s="233">
        <v>0</v>
      </c>
      <c r="W70" s="30">
        <v>0</v>
      </c>
      <c r="X70" s="30">
        <v>0</v>
      </c>
      <c r="Y70" s="30">
        <v>0</v>
      </c>
      <c r="Z70" s="233">
        <v>0</v>
      </c>
      <c r="AA70" s="30">
        <v>0</v>
      </c>
      <c r="AB70" s="30">
        <v>0</v>
      </c>
      <c r="AC70" s="30">
        <v>0</v>
      </c>
      <c r="AD70" s="30">
        <v>0</v>
      </c>
      <c r="AE70" s="89" t="s">
        <v>394</v>
      </c>
      <c r="AF70" s="89" t="s">
        <v>569</v>
      </c>
      <c r="AG70" s="89" t="s">
        <v>82</v>
      </c>
      <c r="AH70" s="72">
        <v>38775</v>
      </c>
      <c r="AI70" s="30">
        <v>2</v>
      </c>
      <c r="AJ70" s="89" t="s">
        <v>573</v>
      </c>
      <c r="AK70" s="89" t="s">
        <v>68</v>
      </c>
      <c r="AL70" s="91">
        <v>39134</v>
      </c>
      <c r="AM70" s="91"/>
      <c r="AN70" s="91"/>
      <c r="AO70" s="91"/>
      <c r="AP70" s="73" t="e">
        <f>MID(VLOOKUP(K70,#REF!,2,FALSE),1,2)</f>
        <v>#REF!</v>
      </c>
      <c r="AQ70" s="89">
        <f>DATE(2006,2,27)</f>
        <v>38775</v>
      </c>
      <c r="AR70" s="82">
        <f t="shared" si="8"/>
        <v>27</v>
      </c>
      <c r="AS70" s="83">
        <f t="shared" si="9"/>
        <v>2</v>
      </c>
      <c r="AT70" s="84">
        <f t="shared" si="10"/>
        <v>2006</v>
      </c>
      <c r="AU70" s="86"/>
      <c r="AV70" s="86"/>
      <c r="AW70" s="87"/>
      <c r="AX70" s="86"/>
      <c r="AY70" s="83"/>
      <c r="AZ70" s="84"/>
      <c r="BA70" s="86"/>
      <c r="BB70" s="86"/>
      <c r="BD70" s="68">
        <f t="shared" si="11"/>
        <v>0</v>
      </c>
    </row>
    <row r="71" spans="1:56" ht="36.75" customHeight="1">
      <c r="A71" s="30"/>
      <c r="B71" s="30" t="s">
        <v>55</v>
      </c>
      <c r="C71" s="69" t="str">
        <f t="shared" si="7"/>
        <v>Closed</v>
      </c>
      <c r="D71" s="27" t="s">
        <v>574</v>
      </c>
      <c r="E71" s="29" t="s">
        <v>575</v>
      </c>
      <c r="F71" s="30" t="s">
        <v>58</v>
      </c>
      <c r="G71" s="89">
        <f>DATE(2006,3,10)</f>
        <v>38786</v>
      </c>
      <c r="H71" s="90">
        <v>1.9034722222222222</v>
      </c>
      <c r="I71" s="30" t="s">
        <v>73</v>
      </c>
      <c r="J71" s="89" t="s">
        <v>576</v>
      </c>
      <c r="K71" s="30" t="s">
        <v>61</v>
      </c>
      <c r="L71" s="30" t="s">
        <v>577</v>
      </c>
      <c r="M71" s="30" t="s">
        <v>63</v>
      </c>
      <c r="N71" s="30" t="s">
        <v>142</v>
      </c>
      <c r="O71" s="30" t="s">
        <v>77</v>
      </c>
      <c r="P71" s="89" t="s">
        <v>78</v>
      </c>
      <c r="Q71" s="89" t="s">
        <v>66</v>
      </c>
      <c r="R71" s="89" t="s">
        <v>67</v>
      </c>
      <c r="S71" s="30">
        <v>0</v>
      </c>
      <c r="T71" s="233">
        <v>0</v>
      </c>
      <c r="U71" s="30">
        <v>0</v>
      </c>
      <c r="V71" s="233">
        <v>0</v>
      </c>
      <c r="W71" s="30">
        <v>0</v>
      </c>
      <c r="X71" s="30">
        <v>0</v>
      </c>
      <c r="Y71" s="30">
        <v>0</v>
      </c>
      <c r="Z71" s="233">
        <v>0</v>
      </c>
      <c r="AA71" s="30">
        <v>0</v>
      </c>
      <c r="AB71" s="30">
        <v>0</v>
      </c>
      <c r="AC71" s="30">
        <v>0</v>
      </c>
      <c r="AD71" s="30">
        <v>0</v>
      </c>
      <c r="AE71" s="89" t="s">
        <v>92</v>
      </c>
      <c r="AF71" s="89" t="s">
        <v>578</v>
      </c>
      <c r="AG71" s="89" t="s">
        <v>69</v>
      </c>
      <c r="AH71" s="72">
        <v>38813</v>
      </c>
      <c r="AI71" s="30">
        <v>1</v>
      </c>
      <c r="AJ71" s="89" t="s">
        <v>579</v>
      </c>
      <c r="AK71" s="89" t="s">
        <v>68</v>
      </c>
      <c r="AL71" s="91">
        <v>39189</v>
      </c>
      <c r="AM71" s="91"/>
      <c r="AN71" s="91"/>
      <c r="AO71" s="91"/>
      <c r="AP71" s="73" t="e">
        <f>MID(VLOOKUP(K71,#REF!,2,FALSE),1,2)</f>
        <v>#REF!</v>
      </c>
      <c r="AQ71" s="89">
        <f>DATE(2006,3,10)</f>
        <v>38786</v>
      </c>
      <c r="AR71" s="82">
        <f t="shared" si="8"/>
        <v>10</v>
      </c>
      <c r="AS71" s="83">
        <f t="shared" si="9"/>
        <v>3</v>
      </c>
      <c r="AT71" s="84">
        <f t="shared" si="10"/>
        <v>2006</v>
      </c>
      <c r="AU71" s="86"/>
      <c r="AV71" s="86"/>
      <c r="AW71" s="87"/>
      <c r="AX71" s="86"/>
      <c r="AY71" s="83"/>
      <c r="AZ71" s="84"/>
      <c r="BA71" s="86"/>
      <c r="BB71" s="86"/>
      <c r="BD71" s="68">
        <f t="shared" si="11"/>
        <v>0</v>
      </c>
    </row>
    <row r="72" spans="1:56" ht="36.75" customHeight="1">
      <c r="A72" s="30"/>
      <c r="B72" s="30" t="s">
        <v>55</v>
      </c>
      <c r="C72" s="69" t="str">
        <f t="shared" si="7"/>
        <v>Closed</v>
      </c>
      <c r="D72" s="27" t="s">
        <v>580</v>
      </c>
      <c r="E72" s="29" t="s">
        <v>581</v>
      </c>
      <c r="F72" s="30" t="s">
        <v>582</v>
      </c>
      <c r="G72" s="89">
        <f>DATE(2006,3,15)</f>
        <v>38791</v>
      </c>
      <c r="H72" s="90">
        <v>1.2673611111111112</v>
      </c>
      <c r="I72" s="30" t="s">
        <v>198</v>
      </c>
      <c r="J72" s="89" t="s">
        <v>583</v>
      </c>
      <c r="K72" s="30" t="s">
        <v>584</v>
      </c>
      <c r="L72" s="30" t="s">
        <v>585</v>
      </c>
      <c r="M72" s="30" t="s">
        <v>63</v>
      </c>
      <c r="N72" s="30" t="s">
        <v>89</v>
      </c>
      <c r="O72" s="30" t="s">
        <v>64</v>
      </c>
      <c r="P72" s="89" t="s">
        <v>78</v>
      </c>
      <c r="Q72" s="89" t="s">
        <v>586</v>
      </c>
      <c r="R72" s="89" t="s">
        <v>587</v>
      </c>
      <c r="S72" s="30">
        <v>0</v>
      </c>
      <c r="T72" s="233">
        <v>0</v>
      </c>
      <c r="U72" s="30">
        <v>0</v>
      </c>
      <c r="V72" s="233">
        <v>0</v>
      </c>
      <c r="W72" s="30">
        <v>0</v>
      </c>
      <c r="X72" s="30">
        <v>0</v>
      </c>
      <c r="Y72" s="30">
        <v>0</v>
      </c>
      <c r="Z72" s="233">
        <v>0</v>
      </c>
      <c r="AA72" s="30">
        <v>0</v>
      </c>
      <c r="AB72" s="30">
        <v>0</v>
      </c>
      <c r="AC72" s="30">
        <v>0</v>
      </c>
      <c r="AD72" s="30">
        <v>0</v>
      </c>
      <c r="AE72" s="89" t="s">
        <v>394</v>
      </c>
      <c r="AF72" s="89" t="s">
        <v>588</v>
      </c>
      <c r="AG72" s="89" t="s">
        <v>589</v>
      </c>
      <c r="AH72" s="72">
        <v>38797</v>
      </c>
      <c r="AI72" s="30">
        <v>3</v>
      </c>
      <c r="AJ72" s="89" t="s">
        <v>590</v>
      </c>
      <c r="AK72" s="89" t="s">
        <v>591</v>
      </c>
      <c r="AL72" s="91">
        <v>39134</v>
      </c>
      <c r="AM72" s="91"/>
      <c r="AN72" s="91"/>
      <c r="AO72" s="91"/>
      <c r="AP72" s="73" t="e">
        <f>MID(VLOOKUP(K72,#REF!,2,FALSE),1,2)</f>
        <v>#REF!</v>
      </c>
      <c r="AQ72" s="89">
        <f>DATE(2006,3,15)</f>
        <v>38791</v>
      </c>
      <c r="AR72" s="82">
        <f t="shared" si="8"/>
        <v>15</v>
      </c>
      <c r="AS72" s="83">
        <f t="shared" si="9"/>
        <v>3</v>
      </c>
      <c r="AT72" s="84">
        <f t="shared" si="10"/>
        <v>2006</v>
      </c>
      <c r="AU72" s="86"/>
      <c r="AV72" s="86"/>
      <c r="AW72" s="87"/>
      <c r="AX72" s="86"/>
      <c r="AY72" s="83"/>
      <c r="AZ72" s="84"/>
      <c r="BA72" s="86"/>
      <c r="BB72" s="86"/>
      <c r="BD72" s="68">
        <f t="shared" si="11"/>
        <v>0</v>
      </c>
    </row>
    <row r="73" spans="1:56" ht="36.75" customHeight="1">
      <c r="A73" s="30"/>
      <c r="B73" s="30" t="s">
        <v>55</v>
      </c>
      <c r="C73" s="69" t="str">
        <f t="shared" si="7"/>
        <v>Closed</v>
      </c>
      <c r="D73" s="27" t="s">
        <v>592</v>
      </c>
      <c r="E73" s="29" t="s">
        <v>593</v>
      </c>
      <c r="F73" s="30" t="s">
        <v>594</v>
      </c>
      <c r="G73" s="89">
        <f>DATE(2006,3,18)</f>
        <v>38794</v>
      </c>
      <c r="H73" s="90">
        <v>1.7222222222222223</v>
      </c>
      <c r="I73" s="30" t="s">
        <v>116</v>
      </c>
      <c r="J73" s="89" t="s">
        <v>595</v>
      </c>
      <c r="K73" s="30" t="s">
        <v>596</v>
      </c>
      <c r="L73" s="30" t="s">
        <v>597</v>
      </c>
      <c r="M73" s="30" t="s">
        <v>63</v>
      </c>
      <c r="N73" s="30">
        <v>0</v>
      </c>
      <c r="O73" s="30" t="s">
        <v>64</v>
      </c>
      <c r="P73" s="89" t="s">
        <v>165</v>
      </c>
      <c r="Q73" s="89" t="s">
        <v>598</v>
      </c>
      <c r="R73" s="89" t="s">
        <v>599</v>
      </c>
      <c r="S73" s="30">
        <v>0</v>
      </c>
      <c r="T73" s="233" t="s">
        <v>68</v>
      </c>
      <c r="U73" s="30">
        <v>1</v>
      </c>
      <c r="V73" s="233" t="s">
        <v>68</v>
      </c>
      <c r="W73" s="30">
        <v>0</v>
      </c>
      <c r="X73" s="30">
        <v>1</v>
      </c>
      <c r="Y73" s="30">
        <v>0</v>
      </c>
      <c r="Z73" s="233" t="s">
        <v>68</v>
      </c>
      <c r="AA73" s="30">
        <v>0</v>
      </c>
      <c r="AB73" s="30">
        <v>0</v>
      </c>
      <c r="AC73" s="30">
        <v>0</v>
      </c>
      <c r="AD73" s="30">
        <v>0</v>
      </c>
      <c r="AE73" s="89" t="s">
        <v>68</v>
      </c>
      <c r="AF73" s="89" t="s">
        <v>600</v>
      </c>
      <c r="AG73" s="89" t="s">
        <v>69</v>
      </c>
      <c r="AH73" s="72" t="s">
        <v>68</v>
      </c>
      <c r="AI73" s="30">
        <v>0</v>
      </c>
      <c r="AJ73" s="89" t="s">
        <v>68</v>
      </c>
      <c r="AK73" s="89" t="s">
        <v>68</v>
      </c>
      <c r="AL73" s="91">
        <v>39160</v>
      </c>
      <c r="AM73" s="91"/>
      <c r="AN73" s="91">
        <v>44584</v>
      </c>
      <c r="AO73" s="91">
        <v>44531</v>
      </c>
      <c r="AP73" s="73" t="e">
        <f>MID(VLOOKUP(K73,#REF!,2,FALSE),1,2)</f>
        <v>#REF!</v>
      </c>
      <c r="AQ73" s="89">
        <f>DATE(2006,3,18)</f>
        <v>38794</v>
      </c>
      <c r="AR73" s="82">
        <f t="shared" si="8"/>
        <v>18</v>
      </c>
      <c r="AS73" s="83">
        <f t="shared" si="9"/>
        <v>3</v>
      </c>
      <c r="AT73" s="84">
        <f t="shared" si="10"/>
        <v>2006</v>
      </c>
      <c r="AU73" s="86"/>
      <c r="AV73" s="86"/>
      <c r="AW73" s="87"/>
      <c r="AX73" s="86"/>
      <c r="AY73" s="83"/>
      <c r="AZ73" s="84"/>
      <c r="BA73" s="86"/>
      <c r="BB73" s="86"/>
      <c r="BD73" s="68">
        <f t="shared" si="11"/>
        <v>0</v>
      </c>
    </row>
    <row r="74" spans="1:56" ht="36.75" customHeight="1">
      <c r="A74" s="30"/>
      <c r="B74" s="30" t="s">
        <v>55</v>
      </c>
      <c r="C74" s="69" t="str">
        <f t="shared" si="7"/>
        <v>Closed</v>
      </c>
      <c r="D74" s="27" t="s">
        <v>601</v>
      </c>
      <c r="E74" s="29" t="s">
        <v>602</v>
      </c>
      <c r="F74" s="30" t="s">
        <v>233</v>
      </c>
      <c r="G74" s="89">
        <f>DATE(2006,3,19)</f>
        <v>38795</v>
      </c>
      <c r="H74" s="90">
        <v>1.3909722222222223</v>
      </c>
      <c r="I74" s="30" t="s">
        <v>278</v>
      </c>
      <c r="J74" s="89" t="s">
        <v>603</v>
      </c>
      <c r="K74" s="30" t="s">
        <v>235</v>
      </c>
      <c r="L74" s="30" t="s">
        <v>604</v>
      </c>
      <c r="M74" s="30" t="s">
        <v>63</v>
      </c>
      <c r="N74" s="30">
        <v>0</v>
      </c>
      <c r="O74" s="30" t="s">
        <v>64</v>
      </c>
      <c r="P74" s="89" t="s">
        <v>165</v>
      </c>
      <c r="Q74" s="89" t="s">
        <v>246</v>
      </c>
      <c r="R74" s="89" t="s">
        <v>238</v>
      </c>
      <c r="S74" s="30">
        <v>0</v>
      </c>
      <c r="T74" s="233" t="s">
        <v>68</v>
      </c>
      <c r="U74" s="30">
        <v>0</v>
      </c>
      <c r="V74" s="233" t="s">
        <v>68</v>
      </c>
      <c r="W74" s="30">
        <v>0</v>
      </c>
      <c r="X74" s="30">
        <v>0</v>
      </c>
      <c r="Y74" s="30">
        <v>0</v>
      </c>
      <c r="Z74" s="233" t="s">
        <v>68</v>
      </c>
      <c r="AA74" s="30">
        <v>0</v>
      </c>
      <c r="AB74" s="30">
        <v>0</v>
      </c>
      <c r="AC74" s="30">
        <v>0</v>
      </c>
      <c r="AD74" s="30">
        <v>0</v>
      </c>
      <c r="AE74" s="89" t="s">
        <v>68</v>
      </c>
      <c r="AF74" s="89" t="s">
        <v>68</v>
      </c>
      <c r="AG74" s="89" t="s">
        <v>133</v>
      </c>
      <c r="AH74" s="72" t="s">
        <v>68</v>
      </c>
      <c r="AI74" s="30">
        <v>3</v>
      </c>
      <c r="AJ74" s="89" t="s">
        <v>605</v>
      </c>
      <c r="AK74" s="89" t="s">
        <v>606</v>
      </c>
      <c r="AL74" s="91">
        <v>39188</v>
      </c>
      <c r="AM74" s="91"/>
      <c r="AN74" s="91"/>
      <c r="AO74" s="91"/>
      <c r="AP74" s="73" t="e">
        <f>MID(VLOOKUP(K74,#REF!,2,FALSE),1,2)</f>
        <v>#REF!</v>
      </c>
      <c r="AQ74" s="89">
        <f>DATE(2006,3,19)</f>
        <v>38795</v>
      </c>
      <c r="AR74" s="82">
        <f t="shared" si="8"/>
        <v>19</v>
      </c>
      <c r="AS74" s="83">
        <f t="shared" si="9"/>
        <v>3</v>
      </c>
      <c r="AT74" s="84">
        <f t="shared" si="10"/>
        <v>2006</v>
      </c>
      <c r="AU74" s="86"/>
      <c r="AV74" s="86"/>
      <c r="AW74" s="87"/>
      <c r="AX74" s="86"/>
      <c r="AY74" s="83"/>
      <c r="AZ74" s="84"/>
      <c r="BA74" s="86"/>
      <c r="BB74" s="86"/>
      <c r="BD74" s="68">
        <f t="shared" si="11"/>
        <v>0</v>
      </c>
    </row>
    <row r="75" spans="1:56" ht="36.75" customHeight="1">
      <c r="A75" s="30"/>
      <c r="B75" s="30" t="s">
        <v>55</v>
      </c>
      <c r="C75" s="69" t="str">
        <f t="shared" si="7"/>
        <v>Closed</v>
      </c>
      <c r="D75" s="27" t="s">
        <v>607</v>
      </c>
      <c r="E75" s="29" t="s">
        <v>608</v>
      </c>
      <c r="F75" s="30" t="s">
        <v>233</v>
      </c>
      <c r="G75" s="89">
        <f>DATE(2006,3,22)</f>
        <v>38798</v>
      </c>
      <c r="H75" s="90">
        <v>1.3388888888888888</v>
      </c>
      <c r="I75" s="30" t="s">
        <v>73</v>
      </c>
      <c r="J75" s="89" t="s">
        <v>609</v>
      </c>
      <c r="K75" s="30" t="s">
        <v>235</v>
      </c>
      <c r="L75" s="30" t="s">
        <v>610</v>
      </c>
      <c r="M75" s="30" t="s">
        <v>255</v>
      </c>
      <c r="N75" s="30">
        <v>0</v>
      </c>
      <c r="O75" s="30" t="s">
        <v>64</v>
      </c>
      <c r="P75" s="89" t="s">
        <v>86</v>
      </c>
      <c r="Q75" s="89" t="s">
        <v>316</v>
      </c>
      <c r="R75" s="89" t="s">
        <v>316</v>
      </c>
      <c r="S75" s="30">
        <v>0</v>
      </c>
      <c r="T75" s="233" t="s">
        <v>68</v>
      </c>
      <c r="U75" s="30">
        <v>0</v>
      </c>
      <c r="V75" s="233" t="s">
        <v>68</v>
      </c>
      <c r="W75" s="30">
        <v>0</v>
      </c>
      <c r="X75" s="30">
        <v>0</v>
      </c>
      <c r="Y75" s="30">
        <v>0</v>
      </c>
      <c r="Z75" s="233" t="s">
        <v>68</v>
      </c>
      <c r="AA75" s="30">
        <v>0</v>
      </c>
      <c r="AB75" s="30">
        <v>0</v>
      </c>
      <c r="AC75" s="30">
        <v>0</v>
      </c>
      <c r="AD75" s="30">
        <v>0</v>
      </c>
      <c r="AE75" s="89" t="s">
        <v>68</v>
      </c>
      <c r="AF75" s="89" t="s">
        <v>611</v>
      </c>
      <c r="AG75" s="89" t="s">
        <v>248</v>
      </c>
      <c r="AH75" s="72" t="s">
        <v>68</v>
      </c>
      <c r="AI75" s="30">
        <v>4</v>
      </c>
      <c r="AJ75" s="89" t="s">
        <v>612</v>
      </c>
      <c r="AK75" s="89" t="s">
        <v>613</v>
      </c>
      <c r="AL75" s="91">
        <v>39380</v>
      </c>
      <c r="AM75" s="91"/>
      <c r="AN75" s="91"/>
      <c r="AO75" s="91"/>
      <c r="AP75" s="73" t="e">
        <f>MID(VLOOKUP(K75,#REF!,2,FALSE),1,2)</f>
        <v>#REF!</v>
      </c>
      <c r="AQ75" s="89">
        <f>DATE(2006,3,22)</f>
        <v>38798</v>
      </c>
      <c r="AR75" s="82">
        <f t="shared" si="8"/>
        <v>22</v>
      </c>
      <c r="AS75" s="83">
        <f t="shared" si="9"/>
        <v>3</v>
      </c>
      <c r="AT75" s="84">
        <f t="shared" si="10"/>
        <v>2006</v>
      </c>
      <c r="AU75" s="86"/>
      <c r="AV75" s="86"/>
      <c r="AW75" s="87"/>
      <c r="AX75" s="86"/>
      <c r="AY75" s="83"/>
      <c r="AZ75" s="84"/>
      <c r="BA75" s="86"/>
      <c r="BB75" s="86"/>
      <c r="BD75" s="68">
        <f t="shared" si="11"/>
        <v>0</v>
      </c>
    </row>
    <row r="76" spans="1:56" ht="36.75" customHeight="1">
      <c r="A76" s="30"/>
      <c r="B76" s="30" t="s">
        <v>55</v>
      </c>
      <c r="C76" s="69" t="str">
        <f t="shared" si="7"/>
        <v>Closed</v>
      </c>
      <c r="D76" s="27" t="s">
        <v>614</v>
      </c>
      <c r="E76" s="29" t="s">
        <v>615</v>
      </c>
      <c r="F76" s="30" t="s">
        <v>138</v>
      </c>
      <c r="G76" s="89">
        <f>DATE(2006,3,29)</f>
        <v>38805</v>
      </c>
      <c r="H76" s="90">
        <v>1.8993055555555554</v>
      </c>
      <c r="I76" s="30" t="s">
        <v>73</v>
      </c>
      <c r="J76" s="89" t="s">
        <v>616</v>
      </c>
      <c r="K76" s="30" t="s">
        <v>140</v>
      </c>
      <c r="L76" s="30" t="s">
        <v>617</v>
      </c>
      <c r="M76" s="30" t="s">
        <v>63</v>
      </c>
      <c r="N76" s="30" t="s">
        <v>142</v>
      </c>
      <c r="O76" s="30" t="s">
        <v>64</v>
      </c>
      <c r="P76" s="89" t="s">
        <v>216</v>
      </c>
      <c r="Q76" s="89" t="s">
        <v>618</v>
      </c>
      <c r="R76" s="89" t="s">
        <v>144</v>
      </c>
      <c r="S76" s="30">
        <v>0</v>
      </c>
      <c r="T76" s="233">
        <v>0</v>
      </c>
      <c r="U76" s="30">
        <v>0</v>
      </c>
      <c r="V76" s="233">
        <v>0</v>
      </c>
      <c r="W76" s="30">
        <v>0</v>
      </c>
      <c r="X76" s="30">
        <v>0</v>
      </c>
      <c r="Y76" s="30">
        <v>0</v>
      </c>
      <c r="Z76" s="233">
        <v>0</v>
      </c>
      <c r="AA76" s="30">
        <v>0</v>
      </c>
      <c r="AB76" s="30">
        <v>0</v>
      </c>
      <c r="AC76" s="30">
        <v>0</v>
      </c>
      <c r="AD76" s="30">
        <v>0</v>
      </c>
      <c r="AE76" s="89" t="s">
        <v>394</v>
      </c>
      <c r="AF76" s="89" t="s">
        <v>619</v>
      </c>
      <c r="AG76" s="89" t="s">
        <v>133</v>
      </c>
      <c r="AH76" s="72">
        <v>38806</v>
      </c>
      <c r="AI76" s="30">
        <v>1</v>
      </c>
      <c r="AJ76" s="89" t="s">
        <v>620</v>
      </c>
      <c r="AK76" s="89" t="s">
        <v>621</v>
      </c>
      <c r="AL76" s="91">
        <v>39722</v>
      </c>
      <c r="AM76" s="91"/>
      <c r="AN76" s="91"/>
      <c r="AO76" s="91"/>
      <c r="AP76" s="73" t="e">
        <f>MID(VLOOKUP(K76,#REF!,2,FALSE),1,2)</f>
        <v>#REF!</v>
      </c>
      <c r="AQ76" s="89">
        <f>DATE(2006,3,29)</f>
        <v>38805</v>
      </c>
      <c r="AR76" s="82">
        <f t="shared" si="8"/>
        <v>29</v>
      </c>
      <c r="AS76" s="83">
        <f t="shared" si="9"/>
        <v>3</v>
      </c>
      <c r="AT76" s="84">
        <f t="shared" si="10"/>
        <v>2006</v>
      </c>
      <c r="AU76" s="86"/>
      <c r="AV76" s="86"/>
      <c r="AW76" s="87"/>
      <c r="AX76" s="86"/>
      <c r="AY76" s="83"/>
      <c r="AZ76" s="84"/>
      <c r="BA76" s="86"/>
      <c r="BB76" s="86"/>
      <c r="BD76" s="68">
        <f t="shared" si="11"/>
        <v>0</v>
      </c>
    </row>
    <row r="77" spans="1:56" ht="36.75" customHeight="1">
      <c r="A77" s="30"/>
      <c r="B77" s="30" t="s">
        <v>55</v>
      </c>
      <c r="C77" s="69" t="str">
        <f t="shared" si="7"/>
        <v>Closed</v>
      </c>
      <c r="D77" s="27" t="s">
        <v>622</v>
      </c>
      <c r="E77" s="29" t="s">
        <v>623</v>
      </c>
      <c r="F77" s="30" t="s">
        <v>624</v>
      </c>
      <c r="G77" s="89">
        <f>DATE(2006,3,30)</f>
        <v>38806</v>
      </c>
      <c r="H77" s="90">
        <v>1.1381944444444445</v>
      </c>
      <c r="I77" s="30" t="s">
        <v>73</v>
      </c>
      <c r="J77" s="89" t="s">
        <v>625</v>
      </c>
      <c r="K77" s="30" t="s">
        <v>626</v>
      </c>
      <c r="L77" s="30" t="s">
        <v>627</v>
      </c>
      <c r="M77" s="30" t="s">
        <v>63</v>
      </c>
      <c r="N77" s="30">
        <v>0</v>
      </c>
      <c r="O77" s="30" t="s">
        <v>64</v>
      </c>
      <c r="P77" s="89" t="s">
        <v>86</v>
      </c>
      <c r="Q77" s="89" t="s">
        <v>628</v>
      </c>
      <c r="R77" s="89" t="s">
        <v>629</v>
      </c>
      <c r="S77" s="30">
        <v>0</v>
      </c>
      <c r="T77" s="233" t="s">
        <v>68</v>
      </c>
      <c r="U77" s="30">
        <v>0</v>
      </c>
      <c r="V77" s="233" t="s">
        <v>68</v>
      </c>
      <c r="W77" s="30">
        <v>0</v>
      </c>
      <c r="X77" s="30">
        <v>0</v>
      </c>
      <c r="Y77" s="30">
        <v>0</v>
      </c>
      <c r="Z77" s="233" t="s">
        <v>68</v>
      </c>
      <c r="AA77" s="30">
        <v>0</v>
      </c>
      <c r="AB77" s="30">
        <v>0</v>
      </c>
      <c r="AC77" s="30">
        <v>0</v>
      </c>
      <c r="AD77" s="30">
        <v>0</v>
      </c>
      <c r="AE77" s="89" t="s">
        <v>68</v>
      </c>
      <c r="AF77" s="89" t="s">
        <v>630</v>
      </c>
      <c r="AG77" s="89" t="s">
        <v>133</v>
      </c>
      <c r="AH77" s="72" t="s">
        <v>68</v>
      </c>
      <c r="AI77" s="30">
        <v>0</v>
      </c>
      <c r="AJ77" s="89" t="s">
        <v>68</v>
      </c>
      <c r="AK77" s="89" t="s">
        <v>68</v>
      </c>
      <c r="AL77" s="91">
        <v>39224</v>
      </c>
      <c r="AM77" s="91"/>
      <c r="AN77" s="91"/>
      <c r="AO77" s="91"/>
      <c r="AP77" s="73" t="e">
        <f>MID(VLOOKUP(K77,#REF!,2,FALSE),1,2)</f>
        <v>#REF!</v>
      </c>
      <c r="AQ77" s="89">
        <f>DATE(2006,3,30)</f>
        <v>38806</v>
      </c>
      <c r="AR77" s="82">
        <f t="shared" si="8"/>
        <v>30</v>
      </c>
      <c r="AS77" s="83">
        <f t="shared" si="9"/>
        <v>3</v>
      </c>
      <c r="AT77" s="84">
        <f t="shared" si="10"/>
        <v>2006</v>
      </c>
      <c r="AU77" s="86"/>
      <c r="AV77" s="86"/>
      <c r="AW77" s="87"/>
      <c r="AX77" s="86"/>
      <c r="AY77" s="83"/>
      <c r="AZ77" s="84"/>
      <c r="BA77" s="86"/>
      <c r="BB77" s="86"/>
      <c r="BD77" s="68">
        <f t="shared" si="11"/>
        <v>0</v>
      </c>
    </row>
    <row r="78" spans="1:56" ht="36.75" customHeight="1">
      <c r="A78" s="30"/>
      <c r="B78" s="30" t="s">
        <v>55</v>
      </c>
      <c r="C78" s="69" t="str">
        <f t="shared" si="7"/>
        <v>Closed</v>
      </c>
      <c r="D78" s="27" t="s">
        <v>631</v>
      </c>
      <c r="E78" s="29" t="s">
        <v>632</v>
      </c>
      <c r="F78" s="30" t="s">
        <v>624</v>
      </c>
      <c r="G78" s="89">
        <f>DATE(2006,3,31)</f>
        <v>38807</v>
      </c>
      <c r="H78" s="90">
        <v>1.7826388888888891</v>
      </c>
      <c r="I78" s="30" t="s">
        <v>156</v>
      </c>
      <c r="J78" s="89" t="s">
        <v>633</v>
      </c>
      <c r="K78" s="30" t="s">
        <v>626</v>
      </c>
      <c r="L78" s="30" t="s">
        <v>634</v>
      </c>
      <c r="M78" s="30" t="s">
        <v>63</v>
      </c>
      <c r="N78" s="30">
        <v>0</v>
      </c>
      <c r="O78" s="30" t="s">
        <v>64</v>
      </c>
      <c r="P78" s="89" t="s">
        <v>165</v>
      </c>
      <c r="Q78" s="89" t="s">
        <v>628</v>
      </c>
      <c r="R78" s="89" t="s">
        <v>629</v>
      </c>
      <c r="S78" s="30">
        <v>0</v>
      </c>
      <c r="T78" s="233" t="s">
        <v>68</v>
      </c>
      <c r="U78" s="30">
        <v>0</v>
      </c>
      <c r="V78" s="233" t="s">
        <v>68</v>
      </c>
      <c r="W78" s="30">
        <v>0</v>
      </c>
      <c r="X78" s="30">
        <v>0</v>
      </c>
      <c r="Y78" s="30">
        <v>0</v>
      </c>
      <c r="Z78" s="233" t="s">
        <v>68</v>
      </c>
      <c r="AA78" s="30">
        <v>0</v>
      </c>
      <c r="AB78" s="30">
        <v>0</v>
      </c>
      <c r="AC78" s="30">
        <v>0</v>
      </c>
      <c r="AD78" s="30">
        <v>0</v>
      </c>
      <c r="AE78" s="89" t="s">
        <v>68</v>
      </c>
      <c r="AF78" s="89" t="s">
        <v>635</v>
      </c>
      <c r="AG78" s="89" t="s">
        <v>82</v>
      </c>
      <c r="AH78" s="72" t="s">
        <v>68</v>
      </c>
      <c r="AI78" s="30">
        <v>0</v>
      </c>
      <c r="AJ78" s="89" t="s">
        <v>68</v>
      </c>
      <c r="AK78" s="89" t="s">
        <v>68</v>
      </c>
      <c r="AL78" s="91">
        <v>39182</v>
      </c>
      <c r="AM78" s="91"/>
      <c r="AN78" s="91"/>
      <c r="AO78" s="91"/>
      <c r="AP78" s="73" t="e">
        <f>MID(VLOOKUP(K78,#REF!,2,FALSE),1,2)</f>
        <v>#REF!</v>
      </c>
      <c r="AQ78" s="89">
        <f>DATE(2006,3,31)</f>
        <v>38807</v>
      </c>
      <c r="AR78" s="82">
        <f t="shared" si="8"/>
        <v>31</v>
      </c>
      <c r="AS78" s="83">
        <f t="shared" si="9"/>
        <v>3</v>
      </c>
      <c r="AT78" s="84">
        <f t="shared" si="10"/>
        <v>2006</v>
      </c>
      <c r="AU78" s="86"/>
      <c r="AV78" s="86"/>
      <c r="AW78" s="87"/>
      <c r="AX78" s="86"/>
      <c r="AY78" s="83"/>
      <c r="AZ78" s="84"/>
      <c r="BA78" s="86"/>
      <c r="BB78" s="86"/>
      <c r="BD78" s="68">
        <f t="shared" si="11"/>
        <v>0</v>
      </c>
    </row>
    <row r="79" spans="1:56" ht="36.75" customHeight="1">
      <c r="A79" s="30"/>
      <c r="B79" s="30" t="s">
        <v>55</v>
      </c>
      <c r="C79" s="69" t="str">
        <f t="shared" si="7"/>
        <v>Closed</v>
      </c>
      <c r="D79" s="27" t="s">
        <v>636</v>
      </c>
      <c r="E79" s="29" t="s">
        <v>637</v>
      </c>
      <c r="F79" s="30" t="s">
        <v>638</v>
      </c>
      <c r="G79" s="89">
        <f>DATE(2006,4,7)</f>
        <v>38814</v>
      </c>
      <c r="H79" s="90">
        <v>1.9548611111111112</v>
      </c>
      <c r="I79" s="30" t="s">
        <v>278</v>
      </c>
      <c r="J79" s="89" t="s">
        <v>639</v>
      </c>
      <c r="K79" s="30" t="s">
        <v>640</v>
      </c>
      <c r="L79" s="30" t="s">
        <v>641</v>
      </c>
      <c r="M79" s="30" t="s">
        <v>63</v>
      </c>
      <c r="N79" s="30">
        <v>0</v>
      </c>
      <c r="O79" s="30" t="s">
        <v>64</v>
      </c>
      <c r="P79" s="89" t="s">
        <v>65</v>
      </c>
      <c r="Q79" s="89" t="s">
        <v>642</v>
      </c>
      <c r="R79" s="89" t="s">
        <v>643</v>
      </c>
      <c r="S79" s="30">
        <v>0</v>
      </c>
      <c r="T79" s="233">
        <v>0</v>
      </c>
      <c r="U79" s="30">
        <v>0</v>
      </c>
      <c r="V79" s="233">
        <v>1</v>
      </c>
      <c r="W79" s="30">
        <v>0</v>
      </c>
      <c r="X79" s="30">
        <v>1</v>
      </c>
      <c r="Y79" s="30">
        <v>0</v>
      </c>
      <c r="Z79" s="233">
        <v>0</v>
      </c>
      <c r="AA79" s="30">
        <v>0</v>
      </c>
      <c r="AB79" s="30">
        <v>0</v>
      </c>
      <c r="AC79" s="30">
        <v>0</v>
      </c>
      <c r="AD79" s="30">
        <v>0</v>
      </c>
      <c r="AE79" s="89" t="s">
        <v>68</v>
      </c>
      <c r="AF79" s="89" t="s">
        <v>68</v>
      </c>
      <c r="AG79" s="89" t="s">
        <v>248</v>
      </c>
      <c r="AH79" s="72" t="s">
        <v>68</v>
      </c>
      <c r="AI79" s="30">
        <v>2</v>
      </c>
      <c r="AJ79" s="89" t="s">
        <v>68</v>
      </c>
      <c r="AK79" s="89" t="s">
        <v>644</v>
      </c>
      <c r="AL79" s="91">
        <v>39105</v>
      </c>
      <c r="AM79" s="91"/>
      <c r="AN79" s="91"/>
      <c r="AO79" s="91"/>
      <c r="AP79" s="73" t="e">
        <f>MID(VLOOKUP(K79,#REF!,2,FALSE),1,2)</f>
        <v>#REF!</v>
      </c>
      <c r="AQ79" s="89">
        <f>DATE(2006,4,7)</f>
        <v>38814</v>
      </c>
      <c r="AR79" s="82">
        <f t="shared" si="8"/>
        <v>7</v>
      </c>
      <c r="AS79" s="83">
        <f t="shared" si="9"/>
        <v>4</v>
      </c>
      <c r="AT79" s="84">
        <f t="shared" si="10"/>
        <v>2006</v>
      </c>
      <c r="AU79" s="86"/>
      <c r="AV79" s="86"/>
      <c r="AW79" s="87"/>
      <c r="AX79" s="86"/>
      <c r="AY79" s="83"/>
      <c r="AZ79" s="84"/>
      <c r="BA79" s="86"/>
      <c r="BB79" s="86"/>
      <c r="BD79" s="68">
        <f t="shared" si="11"/>
        <v>0</v>
      </c>
    </row>
    <row r="80" spans="1:56" ht="36.75" customHeight="1">
      <c r="A80" s="30"/>
      <c r="B80" s="30" t="s">
        <v>55</v>
      </c>
      <c r="C80" s="69" t="str">
        <f t="shared" si="7"/>
        <v>Closed</v>
      </c>
      <c r="D80" s="27" t="s">
        <v>645</v>
      </c>
      <c r="E80" s="29" t="s">
        <v>646</v>
      </c>
      <c r="F80" s="30" t="s">
        <v>233</v>
      </c>
      <c r="G80" s="89">
        <f>DATE(2006,4,7)</f>
        <v>38814</v>
      </c>
      <c r="H80" s="90">
        <v>1.6944444444444446</v>
      </c>
      <c r="I80" s="30" t="s">
        <v>104</v>
      </c>
      <c r="J80" s="89" t="s">
        <v>647</v>
      </c>
      <c r="K80" s="30" t="s">
        <v>235</v>
      </c>
      <c r="L80" s="30" t="s">
        <v>648</v>
      </c>
      <c r="M80" s="30" t="s">
        <v>63</v>
      </c>
      <c r="N80" s="30">
        <v>0</v>
      </c>
      <c r="O80" s="30" t="s">
        <v>64</v>
      </c>
      <c r="P80" s="89" t="s">
        <v>165</v>
      </c>
      <c r="Q80" s="89" t="s">
        <v>288</v>
      </c>
      <c r="R80" s="89" t="s">
        <v>238</v>
      </c>
      <c r="S80" s="30">
        <v>0</v>
      </c>
      <c r="T80" s="233" t="s">
        <v>68</v>
      </c>
      <c r="U80" s="30">
        <v>0</v>
      </c>
      <c r="V80" s="233" t="s">
        <v>68</v>
      </c>
      <c r="W80" s="30">
        <v>0</v>
      </c>
      <c r="X80" s="30">
        <v>0</v>
      </c>
      <c r="Y80" s="30">
        <v>0</v>
      </c>
      <c r="Z80" s="233" t="s">
        <v>68</v>
      </c>
      <c r="AA80" s="30">
        <v>0</v>
      </c>
      <c r="AB80" s="30">
        <v>0</v>
      </c>
      <c r="AC80" s="30">
        <v>0</v>
      </c>
      <c r="AD80" s="30">
        <v>0</v>
      </c>
      <c r="AE80" s="89" t="s">
        <v>68</v>
      </c>
      <c r="AF80" s="89" t="s">
        <v>68</v>
      </c>
      <c r="AG80" s="89" t="s">
        <v>133</v>
      </c>
      <c r="AH80" s="72" t="s">
        <v>68</v>
      </c>
      <c r="AI80" s="30">
        <v>9</v>
      </c>
      <c r="AJ80" s="89" t="s">
        <v>649</v>
      </c>
      <c r="AK80" s="89" t="s">
        <v>650</v>
      </c>
      <c r="AL80" s="91">
        <v>39188</v>
      </c>
      <c r="AM80" s="91"/>
      <c r="AN80" s="91"/>
      <c r="AO80" s="91"/>
      <c r="AP80" s="73" t="e">
        <f>MID(VLOOKUP(K80,#REF!,2,FALSE),1,2)</f>
        <v>#REF!</v>
      </c>
      <c r="AQ80" s="89">
        <f>DATE(2006,4,7)</f>
        <v>38814</v>
      </c>
      <c r="AR80" s="82">
        <f t="shared" si="8"/>
        <v>7</v>
      </c>
      <c r="AS80" s="83">
        <f t="shared" si="9"/>
        <v>4</v>
      </c>
      <c r="AT80" s="84">
        <f t="shared" si="10"/>
        <v>2006</v>
      </c>
      <c r="AU80" s="86"/>
      <c r="AV80" s="86"/>
      <c r="AW80" s="87"/>
      <c r="AX80" s="86"/>
      <c r="AY80" s="83"/>
      <c r="AZ80" s="84"/>
      <c r="BA80" s="86"/>
      <c r="BB80" s="86"/>
      <c r="BD80" s="68">
        <f t="shared" si="11"/>
        <v>0</v>
      </c>
    </row>
    <row r="81" spans="1:56" ht="36.75" customHeight="1">
      <c r="A81" s="30"/>
      <c r="B81" s="30" t="s">
        <v>55</v>
      </c>
      <c r="C81" s="69" t="str">
        <f t="shared" si="7"/>
        <v>Closed</v>
      </c>
      <c r="D81" s="27" t="s">
        <v>651</v>
      </c>
      <c r="E81" s="29" t="s">
        <v>652</v>
      </c>
      <c r="F81" s="30" t="s">
        <v>233</v>
      </c>
      <c r="G81" s="89">
        <f>DATE(2006,4,16)</f>
        <v>38823</v>
      </c>
      <c r="H81" s="90">
        <v>1.4166666666666667</v>
      </c>
      <c r="I81" s="30" t="s">
        <v>125</v>
      </c>
      <c r="J81" s="89" t="s">
        <v>653</v>
      </c>
      <c r="K81" s="30" t="s">
        <v>235</v>
      </c>
      <c r="L81" s="30" t="s">
        <v>654</v>
      </c>
      <c r="M81" s="30" t="s">
        <v>63</v>
      </c>
      <c r="N81" s="30">
        <v>0</v>
      </c>
      <c r="O81" s="30" t="s">
        <v>64</v>
      </c>
      <c r="P81" s="89" t="s">
        <v>86</v>
      </c>
      <c r="Q81" s="89" t="s">
        <v>654</v>
      </c>
      <c r="R81" s="89" t="s">
        <v>654</v>
      </c>
      <c r="S81" s="30">
        <v>0</v>
      </c>
      <c r="T81" s="233" t="s">
        <v>68</v>
      </c>
      <c r="U81" s="30">
        <v>0</v>
      </c>
      <c r="V81" s="233" t="s">
        <v>68</v>
      </c>
      <c r="W81" s="30">
        <v>0</v>
      </c>
      <c r="X81" s="30">
        <v>0</v>
      </c>
      <c r="Y81" s="30">
        <v>0</v>
      </c>
      <c r="Z81" s="233" t="s">
        <v>68</v>
      </c>
      <c r="AA81" s="30">
        <v>0</v>
      </c>
      <c r="AB81" s="30">
        <v>0</v>
      </c>
      <c r="AC81" s="30">
        <v>0</v>
      </c>
      <c r="AD81" s="30">
        <v>0</v>
      </c>
      <c r="AE81" s="89" t="s">
        <v>68</v>
      </c>
      <c r="AF81" s="89" t="s">
        <v>68</v>
      </c>
      <c r="AG81" s="89" t="s">
        <v>133</v>
      </c>
      <c r="AH81" s="72" t="s">
        <v>68</v>
      </c>
      <c r="AI81" s="30">
        <v>9</v>
      </c>
      <c r="AJ81" s="89" t="s">
        <v>655</v>
      </c>
      <c r="AK81" s="89" t="s">
        <v>656</v>
      </c>
      <c r="AL81" s="91">
        <v>39227</v>
      </c>
      <c r="AM81" s="91"/>
      <c r="AN81" s="91"/>
      <c r="AO81" s="91"/>
      <c r="AP81" s="73" t="e">
        <f>MID(VLOOKUP(K81,#REF!,2,FALSE),1,2)</f>
        <v>#REF!</v>
      </c>
      <c r="AQ81" s="89">
        <f>DATE(2006,4,16)</f>
        <v>38823</v>
      </c>
      <c r="AR81" s="82">
        <f t="shared" si="8"/>
        <v>16</v>
      </c>
      <c r="AS81" s="83">
        <f t="shared" si="9"/>
        <v>4</v>
      </c>
      <c r="AT81" s="84">
        <f t="shared" si="10"/>
        <v>2006</v>
      </c>
      <c r="AU81" s="86"/>
      <c r="AV81" s="86"/>
      <c r="AW81" s="87"/>
      <c r="AX81" s="86"/>
      <c r="AY81" s="83"/>
      <c r="AZ81" s="84"/>
      <c r="BA81" s="86"/>
      <c r="BB81" s="86"/>
      <c r="BD81" s="68">
        <f t="shared" si="11"/>
        <v>0</v>
      </c>
    </row>
    <row r="82" spans="1:56" ht="36.75" customHeight="1">
      <c r="A82" s="30"/>
      <c r="B82" s="30" t="s">
        <v>55</v>
      </c>
      <c r="C82" s="69" t="str">
        <f t="shared" si="7"/>
        <v>Closed</v>
      </c>
      <c r="D82" s="27" t="s">
        <v>657</v>
      </c>
      <c r="E82" s="29" t="s">
        <v>658</v>
      </c>
      <c r="F82" s="30" t="s">
        <v>638</v>
      </c>
      <c r="G82" s="89">
        <f>DATE(2006,4,18)</f>
        <v>38825</v>
      </c>
      <c r="H82" s="90">
        <v>1.7194444444444446</v>
      </c>
      <c r="I82" s="30" t="s">
        <v>278</v>
      </c>
      <c r="J82" s="89" t="s">
        <v>659</v>
      </c>
      <c r="K82" s="30" t="s">
        <v>640</v>
      </c>
      <c r="L82" s="30" t="s">
        <v>660</v>
      </c>
      <c r="M82" s="30" t="s">
        <v>63</v>
      </c>
      <c r="N82" s="30">
        <v>0</v>
      </c>
      <c r="O82" s="30" t="s">
        <v>64</v>
      </c>
      <c r="P82" s="89" t="s">
        <v>65</v>
      </c>
      <c r="Q82" s="89" t="s">
        <v>642</v>
      </c>
      <c r="R82" s="89" t="s">
        <v>643</v>
      </c>
      <c r="S82" s="30">
        <v>0</v>
      </c>
      <c r="T82" s="233">
        <v>0</v>
      </c>
      <c r="U82" s="30">
        <v>0</v>
      </c>
      <c r="V82" s="233">
        <v>1</v>
      </c>
      <c r="W82" s="30">
        <v>0</v>
      </c>
      <c r="X82" s="30">
        <v>1</v>
      </c>
      <c r="Y82" s="30">
        <v>0</v>
      </c>
      <c r="Z82" s="233">
        <v>0</v>
      </c>
      <c r="AA82" s="30">
        <v>0</v>
      </c>
      <c r="AB82" s="30">
        <v>0</v>
      </c>
      <c r="AC82" s="30">
        <v>0</v>
      </c>
      <c r="AD82" s="30">
        <v>0</v>
      </c>
      <c r="AE82" s="89" t="s">
        <v>68</v>
      </c>
      <c r="AF82" s="89" t="s">
        <v>68</v>
      </c>
      <c r="AG82" s="89" t="s">
        <v>248</v>
      </c>
      <c r="AH82" s="72" t="s">
        <v>68</v>
      </c>
      <c r="AI82" s="30">
        <v>1</v>
      </c>
      <c r="AJ82" s="89" t="s">
        <v>68</v>
      </c>
      <c r="AK82" s="89" t="s">
        <v>68</v>
      </c>
      <c r="AL82" s="91">
        <v>39105</v>
      </c>
      <c r="AM82" s="91"/>
      <c r="AN82" s="91"/>
      <c r="AO82" s="91"/>
      <c r="AP82" s="73" t="e">
        <f>MID(VLOOKUP(K82,#REF!,2,FALSE),1,2)</f>
        <v>#REF!</v>
      </c>
      <c r="AQ82" s="89">
        <f>DATE(2006,4,18)</f>
        <v>38825</v>
      </c>
      <c r="AR82" s="82">
        <f t="shared" si="8"/>
        <v>18</v>
      </c>
      <c r="AS82" s="83">
        <f t="shared" si="9"/>
        <v>4</v>
      </c>
      <c r="AT82" s="84">
        <f t="shared" si="10"/>
        <v>2006</v>
      </c>
      <c r="AU82" s="86"/>
      <c r="AV82" s="86"/>
      <c r="AW82" s="87"/>
      <c r="AX82" s="86"/>
      <c r="AY82" s="83"/>
      <c r="AZ82" s="84"/>
      <c r="BA82" s="86"/>
      <c r="BB82" s="86"/>
      <c r="BD82" s="68">
        <f t="shared" si="11"/>
        <v>0</v>
      </c>
    </row>
    <row r="83" spans="1:56" ht="36.75" customHeight="1">
      <c r="A83" s="30"/>
      <c r="B83" s="30" t="s">
        <v>55</v>
      </c>
      <c r="C83" s="69" t="str">
        <f t="shared" si="7"/>
        <v>Closed</v>
      </c>
      <c r="D83" s="27" t="s">
        <v>661</v>
      </c>
      <c r="E83" s="29" t="s">
        <v>662</v>
      </c>
      <c r="F83" s="30" t="s">
        <v>451</v>
      </c>
      <c r="G83" s="89">
        <f>DATE(2006,4,20)</f>
        <v>38827</v>
      </c>
      <c r="H83" s="90">
        <v>1.2986111111111112</v>
      </c>
      <c r="I83" s="30" t="s">
        <v>116</v>
      </c>
      <c r="J83" s="89" t="s">
        <v>663</v>
      </c>
      <c r="K83" s="30" t="s">
        <v>453</v>
      </c>
      <c r="L83" s="30" t="s">
        <v>664</v>
      </c>
      <c r="M83" s="30" t="s">
        <v>63</v>
      </c>
      <c r="N83" s="30">
        <v>0</v>
      </c>
      <c r="O83" s="30" t="s">
        <v>77</v>
      </c>
      <c r="P83" s="89" t="s">
        <v>165</v>
      </c>
      <c r="Q83" s="89" t="s">
        <v>665</v>
      </c>
      <c r="R83" s="89" t="s">
        <v>572</v>
      </c>
      <c r="S83" s="30">
        <v>0</v>
      </c>
      <c r="T83" s="233">
        <v>0</v>
      </c>
      <c r="U83" s="30">
        <v>1</v>
      </c>
      <c r="V83" s="233">
        <v>0</v>
      </c>
      <c r="W83" s="30">
        <v>0</v>
      </c>
      <c r="X83" s="30">
        <v>1</v>
      </c>
      <c r="Y83" s="30">
        <v>0</v>
      </c>
      <c r="Z83" s="233">
        <v>0</v>
      </c>
      <c r="AA83" s="30">
        <v>0</v>
      </c>
      <c r="AB83" s="30">
        <v>0</v>
      </c>
      <c r="AC83" s="30">
        <v>0</v>
      </c>
      <c r="AD83" s="30">
        <v>0</v>
      </c>
      <c r="AE83" s="89" t="s">
        <v>68</v>
      </c>
      <c r="AF83" s="89" t="s">
        <v>666</v>
      </c>
      <c r="AG83" s="89" t="s">
        <v>82</v>
      </c>
      <c r="AH83" s="72" t="s">
        <v>68</v>
      </c>
      <c r="AI83" s="30">
        <v>3</v>
      </c>
      <c r="AJ83" s="89" t="s">
        <v>68</v>
      </c>
      <c r="AK83" s="89" t="s">
        <v>68</v>
      </c>
      <c r="AL83" s="91">
        <v>39134</v>
      </c>
      <c r="AM83" s="91"/>
      <c r="AN83" s="91"/>
      <c r="AO83" s="91"/>
      <c r="AP83" s="73" t="e">
        <f>MID(VLOOKUP(K83,#REF!,2,FALSE),1,2)</f>
        <v>#REF!</v>
      </c>
      <c r="AQ83" s="89">
        <f>DATE(2006,4,20)</f>
        <v>38827</v>
      </c>
      <c r="AR83" s="82">
        <f t="shared" si="8"/>
        <v>20</v>
      </c>
      <c r="AS83" s="83">
        <f t="shared" si="9"/>
        <v>4</v>
      </c>
      <c r="AT83" s="84">
        <f t="shared" si="10"/>
        <v>2006</v>
      </c>
      <c r="AU83" s="86"/>
      <c r="AV83" s="86"/>
      <c r="AW83" s="87"/>
      <c r="AX83" s="86"/>
      <c r="AY83" s="83"/>
      <c r="AZ83" s="84"/>
      <c r="BA83" s="86"/>
      <c r="BB83" s="86"/>
      <c r="BD83" s="68">
        <f t="shared" si="11"/>
        <v>0</v>
      </c>
    </row>
    <row r="84" spans="1:56" ht="36.75" customHeight="1">
      <c r="A84" s="30"/>
      <c r="B84" s="30" t="s">
        <v>55</v>
      </c>
      <c r="C84" s="69" t="str">
        <f t="shared" si="7"/>
        <v>Closed</v>
      </c>
      <c r="D84" s="27" t="s">
        <v>667</v>
      </c>
      <c r="E84" s="29" t="s">
        <v>668</v>
      </c>
      <c r="F84" s="30" t="s">
        <v>638</v>
      </c>
      <c r="G84" s="89">
        <f>DATE(2006,4,21)</f>
        <v>38828</v>
      </c>
      <c r="H84" s="90">
        <v>1.5305555555555554</v>
      </c>
      <c r="I84" s="30" t="s">
        <v>278</v>
      </c>
      <c r="J84" s="89" t="s">
        <v>669</v>
      </c>
      <c r="K84" s="30" t="s">
        <v>640</v>
      </c>
      <c r="L84" s="30" t="s">
        <v>670</v>
      </c>
      <c r="M84" s="30" t="s">
        <v>63</v>
      </c>
      <c r="N84" s="30">
        <v>0</v>
      </c>
      <c r="O84" s="30" t="s">
        <v>86</v>
      </c>
      <c r="P84" s="89" t="s">
        <v>65</v>
      </c>
      <c r="Q84" s="89" t="s">
        <v>642</v>
      </c>
      <c r="R84" s="89" t="s">
        <v>643</v>
      </c>
      <c r="S84" s="30">
        <v>0</v>
      </c>
      <c r="T84" s="233">
        <v>0</v>
      </c>
      <c r="U84" s="30">
        <v>0</v>
      </c>
      <c r="V84" s="233">
        <v>1</v>
      </c>
      <c r="W84" s="30">
        <v>0</v>
      </c>
      <c r="X84" s="30">
        <v>1</v>
      </c>
      <c r="Y84" s="30">
        <v>0</v>
      </c>
      <c r="Z84" s="233">
        <v>0</v>
      </c>
      <c r="AA84" s="30">
        <v>0</v>
      </c>
      <c r="AB84" s="30">
        <v>0</v>
      </c>
      <c r="AC84" s="30">
        <v>0</v>
      </c>
      <c r="AD84" s="30">
        <v>0</v>
      </c>
      <c r="AE84" s="89" t="s">
        <v>68</v>
      </c>
      <c r="AF84" s="89" t="s">
        <v>68</v>
      </c>
      <c r="AG84" s="89" t="s">
        <v>248</v>
      </c>
      <c r="AH84" s="72" t="s">
        <v>68</v>
      </c>
      <c r="AI84" s="30">
        <v>0</v>
      </c>
      <c r="AJ84" s="89" t="s">
        <v>68</v>
      </c>
      <c r="AK84" s="89" t="s">
        <v>68</v>
      </c>
      <c r="AL84" s="91">
        <v>39105</v>
      </c>
      <c r="AM84" s="91"/>
      <c r="AN84" s="91"/>
      <c r="AO84" s="91"/>
      <c r="AP84" s="73" t="e">
        <f>MID(VLOOKUP(K84,#REF!,2,FALSE),1,2)</f>
        <v>#REF!</v>
      </c>
      <c r="AQ84" s="89">
        <f>DATE(2006,4,21)</f>
        <v>38828</v>
      </c>
      <c r="AR84" s="82">
        <f t="shared" si="8"/>
        <v>21</v>
      </c>
      <c r="AS84" s="83">
        <f t="shared" si="9"/>
        <v>4</v>
      </c>
      <c r="AT84" s="84">
        <f t="shared" si="10"/>
        <v>2006</v>
      </c>
      <c r="AU84" s="86"/>
      <c r="AV84" s="86"/>
      <c r="AW84" s="87"/>
      <c r="AX84" s="86"/>
      <c r="AY84" s="83"/>
      <c r="AZ84" s="84"/>
      <c r="BA84" s="86"/>
      <c r="BB84" s="86"/>
      <c r="BD84" s="68">
        <f t="shared" si="11"/>
        <v>0</v>
      </c>
    </row>
    <row r="85" spans="1:56" ht="36.75" customHeight="1">
      <c r="A85" s="30"/>
      <c r="B85" s="30" t="s">
        <v>55</v>
      </c>
      <c r="C85" s="69" t="str">
        <f t="shared" si="7"/>
        <v>Closed</v>
      </c>
      <c r="D85" s="27" t="s">
        <v>671</v>
      </c>
      <c r="E85" s="29" t="s">
        <v>672</v>
      </c>
      <c r="F85" s="30" t="s">
        <v>233</v>
      </c>
      <c r="G85" s="89">
        <f>DATE(2006,4,23)</f>
        <v>38830</v>
      </c>
      <c r="H85" s="90">
        <v>1.3888888888888888</v>
      </c>
      <c r="I85" s="30" t="s">
        <v>73</v>
      </c>
      <c r="J85" s="89" t="s">
        <v>673</v>
      </c>
      <c r="K85" s="30" t="s">
        <v>235</v>
      </c>
      <c r="L85" s="30" t="s">
        <v>674</v>
      </c>
      <c r="M85" s="30" t="s">
        <v>63</v>
      </c>
      <c r="N85" s="30">
        <v>0</v>
      </c>
      <c r="O85" s="30" t="s">
        <v>64</v>
      </c>
      <c r="P85" s="89" t="s">
        <v>301</v>
      </c>
      <c r="Q85" s="89" t="s">
        <v>675</v>
      </c>
      <c r="R85" s="89" t="s">
        <v>675</v>
      </c>
      <c r="S85" s="30">
        <v>0</v>
      </c>
      <c r="T85" s="233" t="s">
        <v>68</v>
      </c>
      <c r="U85" s="30">
        <v>0</v>
      </c>
      <c r="V85" s="233" t="s">
        <v>68</v>
      </c>
      <c r="W85" s="30">
        <v>0</v>
      </c>
      <c r="X85" s="30">
        <v>0</v>
      </c>
      <c r="Y85" s="30">
        <v>0</v>
      </c>
      <c r="Z85" s="233" t="s">
        <v>68</v>
      </c>
      <c r="AA85" s="30">
        <v>0</v>
      </c>
      <c r="AB85" s="30">
        <v>0</v>
      </c>
      <c r="AC85" s="30">
        <v>0</v>
      </c>
      <c r="AD85" s="30">
        <v>0</v>
      </c>
      <c r="AE85" s="89" t="s">
        <v>68</v>
      </c>
      <c r="AF85" s="89" t="s">
        <v>676</v>
      </c>
      <c r="AG85" s="89" t="s">
        <v>133</v>
      </c>
      <c r="AH85" s="72" t="s">
        <v>68</v>
      </c>
      <c r="AI85" s="30">
        <v>8</v>
      </c>
      <c r="AJ85" s="89" t="s">
        <v>677</v>
      </c>
      <c r="AK85" s="89" t="s">
        <v>678</v>
      </c>
      <c r="AL85" s="91">
        <v>39227</v>
      </c>
      <c r="AM85" s="91"/>
      <c r="AN85" s="91"/>
      <c r="AO85" s="91"/>
      <c r="AP85" s="73" t="e">
        <f>MID(VLOOKUP(K85,#REF!,2,FALSE),1,2)</f>
        <v>#REF!</v>
      </c>
      <c r="AQ85" s="89">
        <f>DATE(2006,4,23)</f>
        <v>38830</v>
      </c>
      <c r="AR85" s="82">
        <f t="shared" si="8"/>
        <v>23</v>
      </c>
      <c r="AS85" s="83">
        <f t="shared" si="9"/>
        <v>4</v>
      </c>
      <c r="AT85" s="84">
        <f t="shared" si="10"/>
        <v>2006</v>
      </c>
      <c r="AU85" s="86"/>
      <c r="AV85" s="86"/>
      <c r="AW85" s="87"/>
      <c r="AX85" s="86"/>
      <c r="AY85" s="83"/>
      <c r="AZ85" s="84"/>
      <c r="BA85" s="86"/>
      <c r="BB85" s="86"/>
      <c r="BD85" s="68">
        <f t="shared" si="11"/>
        <v>0</v>
      </c>
    </row>
    <row r="86" spans="1:56" ht="36.75" customHeight="1">
      <c r="A86" s="30"/>
      <c r="B86" s="30" t="s">
        <v>55</v>
      </c>
      <c r="C86" s="69" t="str">
        <f t="shared" si="7"/>
        <v>Closed</v>
      </c>
      <c r="D86" s="27" t="s">
        <v>679</v>
      </c>
      <c r="E86" s="29" t="s">
        <v>680</v>
      </c>
      <c r="F86" s="30" t="s">
        <v>233</v>
      </c>
      <c r="G86" s="89">
        <f>DATE(2006,4,29)</f>
        <v>38836</v>
      </c>
      <c r="H86" s="90">
        <v>1.9659722222222222</v>
      </c>
      <c r="I86" s="30" t="s">
        <v>86</v>
      </c>
      <c r="J86" s="89" t="s">
        <v>681</v>
      </c>
      <c r="K86" s="30" t="s">
        <v>235</v>
      </c>
      <c r="L86" s="30" t="s">
        <v>682</v>
      </c>
      <c r="M86" s="30" t="s">
        <v>129</v>
      </c>
      <c r="N86" s="30">
        <v>0</v>
      </c>
      <c r="O86" s="30" t="s">
        <v>64</v>
      </c>
      <c r="P86" s="89" t="s">
        <v>86</v>
      </c>
      <c r="Q86" s="89" t="s">
        <v>683</v>
      </c>
      <c r="R86" s="89" t="s">
        <v>683</v>
      </c>
      <c r="S86" s="30">
        <v>0</v>
      </c>
      <c r="T86" s="233" t="s">
        <v>68</v>
      </c>
      <c r="U86" s="30">
        <v>0</v>
      </c>
      <c r="V86" s="233" t="s">
        <v>68</v>
      </c>
      <c r="W86" s="30">
        <v>0</v>
      </c>
      <c r="X86" s="30">
        <v>0</v>
      </c>
      <c r="Y86" s="30">
        <v>0</v>
      </c>
      <c r="Z86" s="233" t="s">
        <v>68</v>
      </c>
      <c r="AA86" s="30">
        <v>0</v>
      </c>
      <c r="AB86" s="30">
        <v>0</v>
      </c>
      <c r="AC86" s="30">
        <v>0</v>
      </c>
      <c r="AD86" s="30">
        <v>0</v>
      </c>
      <c r="AE86" s="89" t="s">
        <v>68</v>
      </c>
      <c r="AF86" s="89" t="s">
        <v>68</v>
      </c>
      <c r="AG86" s="89" t="s">
        <v>248</v>
      </c>
      <c r="AH86" s="72" t="s">
        <v>68</v>
      </c>
      <c r="AI86" s="30">
        <v>10</v>
      </c>
      <c r="AJ86" s="89" t="s">
        <v>684</v>
      </c>
      <c r="AK86" s="89" t="s">
        <v>685</v>
      </c>
      <c r="AL86" s="91">
        <v>39225</v>
      </c>
      <c r="AM86" s="91"/>
      <c r="AN86" s="91"/>
      <c r="AO86" s="91"/>
      <c r="AP86" s="73" t="e">
        <f>MID(VLOOKUP(K86,#REF!,2,FALSE),1,2)</f>
        <v>#REF!</v>
      </c>
      <c r="AQ86" s="89">
        <f>DATE(2006,4,29)</f>
        <v>38836</v>
      </c>
      <c r="AR86" s="82">
        <f t="shared" si="8"/>
        <v>29</v>
      </c>
      <c r="AS86" s="83">
        <f t="shared" si="9"/>
        <v>4</v>
      </c>
      <c r="AT86" s="84">
        <f t="shared" si="10"/>
        <v>2006</v>
      </c>
      <c r="AU86" s="86"/>
      <c r="AV86" s="86"/>
      <c r="AW86" s="87"/>
      <c r="AX86" s="86"/>
      <c r="AY86" s="83"/>
      <c r="AZ86" s="84"/>
      <c r="BA86" s="86"/>
      <c r="BB86" s="86"/>
      <c r="BD86" s="68">
        <f t="shared" si="11"/>
        <v>0</v>
      </c>
    </row>
    <row r="87" spans="1:56" ht="36.75" customHeight="1">
      <c r="A87" s="30"/>
      <c r="B87" s="30" t="s">
        <v>55</v>
      </c>
      <c r="C87" s="69" t="str">
        <f t="shared" si="7"/>
        <v>Closed</v>
      </c>
      <c r="D87" s="27" t="s">
        <v>686</v>
      </c>
      <c r="E87" s="29" t="s">
        <v>687</v>
      </c>
      <c r="F87" s="30" t="s">
        <v>124</v>
      </c>
      <c r="G87" s="89">
        <f>DATE(2006,5,8)</f>
        <v>38845</v>
      </c>
      <c r="H87" s="90">
        <v>1.4513888888888888</v>
      </c>
      <c r="I87" s="30" t="s">
        <v>125</v>
      </c>
      <c r="J87" s="89" t="s">
        <v>688</v>
      </c>
      <c r="K87" s="30" t="s">
        <v>127</v>
      </c>
      <c r="L87" s="30" t="s">
        <v>689</v>
      </c>
      <c r="M87" s="30" t="s">
        <v>63</v>
      </c>
      <c r="N87" s="30">
        <v>0</v>
      </c>
      <c r="O87" s="30" t="s">
        <v>64</v>
      </c>
      <c r="P87" s="89" t="s">
        <v>78</v>
      </c>
      <c r="Q87" s="89" t="s">
        <v>401</v>
      </c>
      <c r="R87" s="89" t="s">
        <v>167</v>
      </c>
      <c r="S87" s="30">
        <v>0</v>
      </c>
      <c r="T87" s="233" t="s">
        <v>68</v>
      </c>
      <c r="U87" s="30">
        <v>0</v>
      </c>
      <c r="V87" s="233" t="s">
        <v>68</v>
      </c>
      <c r="W87" s="30">
        <v>0</v>
      </c>
      <c r="X87" s="30">
        <v>0</v>
      </c>
      <c r="Y87" s="30">
        <v>0</v>
      </c>
      <c r="Z87" s="233" t="s">
        <v>68</v>
      </c>
      <c r="AA87" s="30">
        <v>0</v>
      </c>
      <c r="AB87" s="30">
        <v>0</v>
      </c>
      <c r="AC87" s="30">
        <v>0</v>
      </c>
      <c r="AD87" s="30">
        <v>0</v>
      </c>
      <c r="AE87" s="89" t="s">
        <v>68</v>
      </c>
      <c r="AF87" s="89" t="s">
        <v>690</v>
      </c>
      <c r="AG87" s="89" t="s">
        <v>133</v>
      </c>
      <c r="AH87" s="72" t="s">
        <v>68</v>
      </c>
      <c r="AI87" s="30">
        <v>1</v>
      </c>
      <c r="AJ87" s="89" t="s">
        <v>68</v>
      </c>
      <c r="AK87" s="89" t="s">
        <v>68</v>
      </c>
      <c r="AL87" s="91">
        <v>39183</v>
      </c>
      <c r="AM87" s="91"/>
      <c r="AN87" s="91"/>
      <c r="AO87" s="91"/>
      <c r="AP87" s="73" t="e">
        <f>MID(VLOOKUP(K87,#REF!,2,FALSE),1,2)</f>
        <v>#REF!</v>
      </c>
      <c r="AQ87" s="89">
        <f>DATE(2006,5,8)</f>
        <v>38845</v>
      </c>
      <c r="AR87" s="82">
        <f t="shared" si="8"/>
        <v>8</v>
      </c>
      <c r="AS87" s="83">
        <f t="shared" si="9"/>
        <v>5</v>
      </c>
      <c r="AT87" s="84">
        <f t="shared" si="10"/>
        <v>2006</v>
      </c>
      <c r="AU87" s="86"/>
      <c r="AV87" s="86"/>
      <c r="AW87" s="87"/>
      <c r="AX87" s="86"/>
      <c r="AY87" s="83"/>
      <c r="AZ87" s="84"/>
      <c r="BA87" s="86"/>
      <c r="BB87" s="86"/>
      <c r="BD87" s="68">
        <f t="shared" si="11"/>
        <v>0</v>
      </c>
    </row>
    <row r="88" spans="1:56" ht="36.75" customHeight="1">
      <c r="A88" s="30"/>
      <c r="B88" s="30" t="s">
        <v>55</v>
      </c>
      <c r="C88" s="69" t="str">
        <f t="shared" si="7"/>
        <v>Closed</v>
      </c>
      <c r="D88" s="27" t="s">
        <v>691</v>
      </c>
      <c r="E88" s="29" t="s">
        <v>692</v>
      </c>
      <c r="F88" s="30" t="s">
        <v>638</v>
      </c>
      <c r="G88" s="89">
        <f>DATE(2006,5,12)</f>
        <v>38849</v>
      </c>
      <c r="H88" s="90">
        <v>1.5930555555555554</v>
      </c>
      <c r="I88" s="30" t="s">
        <v>116</v>
      </c>
      <c r="J88" s="89" t="s">
        <v>693</v>
      </c>
      <c r="K88" s="30" t="s">
        <v>640</v>
      </c>
      <c r="L88" s="30" t="s">
        <v>694</v>
      </c>
      <c r="M88" s="30" t="s">
        <v>63</v>
      </c>
      <c r="N88" s="30">
        <v>0</v>
      </c>
      <c r="O88" s="30" t="s">
        <v>77</v>
      </c>
      <c r="P88" s="89" t="s">
        <v>65</v>
      </c>
      <c r="Q88" s="89" t="s">
        <v>642</v>
      </c>
      <c r="R88" s="89" t="s">
        <v>643</v>
      </c>
      <c r="S88" s="30">
        <v>0</v>
      </c>
      <c r="T88" s="233">
        <v>0</v>
      </c>
      <c r="U88" s="30">
        <v>1</v>
      </c>
      <c r="V88" s="233">
        <v>0</v>
      </c>
      <c r="W88" s="30">
        <v>0</v>
      </c>
      <c r="X88" s="30">
        <v>1</v>
      </c>
      <c r="Y88" s="30">
        <v>0</v>
      </c>
      <c r="Z88" s="233">
        <v>0</v>
      </c>
      <c r="AA88" s="30">
        <v>0</v>
      </c>
      <c r="AB88" s="30">
        <v>0</v>
      </c>
      <c r="AC88" s="30">
        <v>0</v>
      </c>
      <c r="AD88" s="30">
        <v>0</v>
      </c>
      <c r="AE88" s="89" t="s">
        <v>68</v>
      </c>
      <c r="AF88" s="89" t="s">
        <v>68</v>
      </c>
      <c r="AG88" s="89" t="s">
        <v>248</v>
      </c>
      <c r="AH88" s="72" t="s">
        <v>68</v>
      </c>
      <c r="AI88" s="30">
        <v>1</v>
      </c>
      <c r="AJ88" s="89" t="s">
        <v>68</v>
      </c>
      <c r="AK88" s="89" t="s">
        <v>68</v>
      </c>
      <c r="AL88" s="91">
        <v>39105</v>
      </c>
      <c r="AM88" s="91"/>
      <c r="AN88" s="91"/>
      <c r="AO88" s="91"/>
      <c r="AP88" s="73" t="e">
        <f>MID(VLOOKUP(K88,#REF!,2,FALSE),1,2)</f>
        <v>#REF!</v>
      </c>
      <c r="AQ88" s="89">
        <f>DATE(2006,5,12)</f>
        <v>38849</v>
      </c>
      <c r="AR88" s="82">
        <f t="shared" si="8"/>
        <v>12</v>
      </c>
      <c r="AS88" s="83">
        <f t="shared" si="9"/>
        <v>5</v>
      </c>
      <c r="AT88" s="84">
        <f t="shared" si="10"/>
        <v>2006</v>
      </c>
      <c r="AU88" s="86"/>
      <c r="AV88" s="86"/>
      <c r="AW88" s="87"/>
      <c r="AX88" s="86"/>
      <c r="AY88" s="83"/>
      <c r="AZ88" s="84"/>
      <c r="BA88" s="86"/>
      <c r="BB88" s="86"/>
      <c r="BD88" s="68">
        <f t="shared" si="11"/>
        <v>0</v>
      </c>
    </row>
    <row r="89" spans="1:56" ht="36.75" customHeight="1">
      <c r="A89" s="30"/>
      <c r="B89" s="30" t="s">
        <v>55</v>
      </c>
      <c r="C89" s="69" t="str">
        <f t="shared" si="7"/>
        <v>Closed</v>
      </c>
      <c r="D89" s="27" t="s">
        <v>695</v>
      </c>
      <c r="E89" s="29" t="s">
        <v>696</v>
      </c>
      <c r="F89" s="30" t="s">
        <v>638</v>
      </c>
      <c r="G89" s="89">
        <f>DATE(2006,5,16)</f>
        <v>38853</v>
      </c>
      <c r="H89" s="90">
        <v>1.9743055555555555</v>
      </c>
      <c r="I89" s="30" t="s">
        <v>116</v>
      </c>
      <c r="J89" s="89" t="s">
        <v>697</v>
      </c>
      <c r="K89" s="30" t="s">
        <v>640</v>
      </c>
      <c r="L89" s="30" t="s">
        <v>698</v>
      </c>
      <c r="M89" s="30" t="s">
        <v>63</v>
      </c>
      <c r="N89" s="30">
        <v>0</v>
      </c>
      <c r="O89" s="30" t="s">
        <v>77</v>
      </c>
      <c r="P89" s="89" t="s">
        <v>65</v>
      </c>
      <c r="Q89" s="89" t="s">
        <v>642</v>
      </c>
      <c r="R89" s="89" t="s">
        <v>643</v>
      </c>
      <c r="S89" s="30">
        <v>0</v>
      </c>
      <c r="T89" s="233">
        <v>0</v>
      </c>
      <c r="U89" s="30">
        <v>1</v>
      </c>
      <c r="V89" s="233">
        <v>0</v>
      </c>
      <c r="W89" s="30">
        <v>0</v>
      </c>
      <c r="X89" s="30">
        <v>1</v>
      </c>
      <c r="Y89" s="30">
        <v>0</v>
      </c>
      <c r="Z89" s="233">
        <v>0</v>
      </c>
      <c r="AA89" s="30">
        <v>0</v>
      </c>
      <c r="AB89" s="30">
        <v>0</v>
      </c>
      <c r="AC89" s="30">
        <v>0</v>
      </c>
      <c r="AD89" s="30">
        <v>0</v>
      </c>
      <c r="AE89" s="89" t="s">
        <v>68</v>
      </c>
      <c r="AF89" s="89" t="s">
        <v>68</v>
      </c>
      <c r="AG89" s="89" t="s">
        <v>248</v>
      </c>
      <c r="AH89" s="72" t="s">
        <v>68</v>
      </c>
      <c r="AI89" s="30">
        <v>0</v>
      </c>
      <c r="AJ89" s="89" t="s">
        <v>68</v>
      </c>
      <c r="AK89" s="89" t="s">
        <v>68</v>
      </c>
      <c r="AL89" s="91">
        <v>39105</v>
      </c>
      <c r="AM89" s="91"/>
      <c r="AN89" s="91"/>
      <c r="AO89" s="91"/>
      <c r="AP89" s="73" t="e">
        <f>MID(VLOOKUP(K89,#REF!,2,FALSE),1,2)</f>
        <v>#REF!</v>
      </c>
      <c r="AQ89" s="89">
        <f>DATE(2006,5,16)</f>
        <v>38853</v>
      </c>
      <c r="AR89" s="82">
        <f t="shared" si="8"/>
        <v>16</v>
      </c>
      <c r="AS89" s="83">
        <f t="shared" si="9"/>
        <v>5</v>
      </c>
      <c r="AT89" s="84">
        <f t="shared" si="10"/>
        <v>2006</v>
      </c>
      <c r="AU89" s="86"/>
      <c r="AV89" s="86"/>
      <c r="AW89" s="87"/>
      <c r="AX89" s="86"/>
      <c r="AY89" s="83"/>
      <c r="AZ89" s="84"/>
      <c r="BA89" s="86"/>
      <c r="BB89" s="86"/>
      <c r="BD89" s="68">
        <f t="shared" si="11"/>
        <v>0</v>
      </c>
    </row>
    <row r="90" spans="1:56" ht="36.75" customHeight="1">
      <c r="A90" s="30"/>
      <c r="B90" s="30" t="s">
        <v>55</v>
      </c>
      <c r="C90" s="69" t="str">
        <f t="shared" si="7"/>
        <v>Closed</v>
      </c>
      <c r="D90" s="27" t="s">
        <v>699</v>
      </c>
      <c r="E90" s="29" t="s">
        <v>700</v>
      </c>
      <c r="F90" s="30" t="s">
        <v>124</v>
      </c>
      <c r="G90" s="89">
        <f>DATE(2006,5,16)</f>
        <v>38853</v>
      </c>
      <c r="H90" s="90">
        <v>1.1979166666666667</v>
      </c>
      <c r="I90" s="30" t="s">
        <v>125</v>
      </c>
      <c r="J90" s="89" t="s">
        <v>701</v>
      </c>
      <c r="K90" s="30" t="s">
        <v>127</v>
      </c>
      <c r="L90" s="30" t="s">
        <v>702</v>
      </c>
      <c r="M90" s="30" t="s">
        <v>63</v>
      </c>
      <c r="N90" s="30">
        <v>0</v>
      </c>
      <c r="O90" s="30" t="s">
        <v>77</v>
      </c>
      <c r="P90" s="89" t="s">
        <v>78</v>
      </c>
      <c r="Q90" s="89" t="s">
        <v>401</v>
      </c>
      <c r="R90" s="89" t="s">
        <v>167</v>
      </c>
      <c r="S90" s="30">
        <v>0</v>
      </c>
      <c r="T90" s="233" t="s">
        <v>68</v>
      </c>
      <c r="U90" s="30">
        <v>0</v>
      </c>
      <c r="V90" s="233" t="s">
        <v>68</v>
      </c>
      <c r="W90" s="30">
        <v>0</v>
      </c>
      <c r="X90" s="30">
        <v>0</v>
      </c>
      <c r="Y90" s="30">
        <v>0</v>
      </c>
      <c r="Z90" s="233" t="s">
        <v>68</v>
      </c>
      <c r="AA90" s="30">
        <v>0</v>
      </c>
      <c r="AB90" s="30">
        <v>0</v>
      </c>
      <c r="AC90" s="30">
        <v>0</v>
      </c>
      <c r="AD90" s="30">
        <v>0</v>
      </c>
      <c r="AE90" s="89" t="s">
        <v>68</v>
      </c>
      <c r="AF90" s="89" t="s">
        <v>703</v>
      </c>
      <c r="AG90" s="89" t="s">
        <v>82</v>
      </c>
      <c r="AH90" s="72" t="s">
        <v>68</v>
      </c>
      <c r="AI90" s="30">
        <v>2</v>
      </c>
      <c r="AJ90" s="89" t="s">
        <v>68</v>
      </c>
      <c r="AK90" s="89" t="s">
        <v>68</v>
      </c>
      <c r="AL90" s="91">
        <v>39294</v>
      </c>
      <c r="AM90" s="91"/>
      <c r="AN90" s="91"/>
      <c r="AO90" s="91"/>
      <c r="AP90" s="73" t="e">
        <f>MID(VLOOKUP(K90,#REF!,2,FALSE),1,2)</f>
        <v>#REF!</v>
      </c>
      <c r="AQ90" s="89">
        <f>DATE(2006,5,16)</f>
        <v>38853</v>
      </c>
      <c r="AR90" s="82">
        <f t="shared" si="8"/>
        <v>16</v>
      </c>
      <c r="AS90" s="83">
        <f t="shared" si="9"/>
        <v>5</v>
      </c>
      <c r="AT90" s="84">
        <f t="shared" si="10"/>
        <v>2006</v>
      </c>
      <c r="AU90" s="86"/>
      <c r="AV90" s="86"/>
      <c r="AW90" s="87"/>
      <c r="AX90" s="86"/>
      <c r="AY90" s="83"/>
      <c r="AZ90" s="84"/>
      <c r="BA90" s="86"/>
      <c r="BB90" s="86"/>
      <c r="BD90" s="68">
        <f t="shared" si="11"/>
        <v>0</v>
      </c>
    </row>
    <row r="91" spans="1:56" ht="36.75" customHeight="1">
      <c r="A91" s="30"/>
      <c r="B91" s="30" t="s">
        <v>55</v>
      </c>
      <c r="C91" s="69" t="str">
        <f t="shared" si="7"/>
        <v>Closed</v>
      </c>
      <c r="D91" s="27" t="s">
        <v>704</v>
      </c>
      <c r="E91" s="29" t="s">
        <v>705</v>
      </c>
      <c r="F91" s="30" t="s">
        <v>638</v>
      </c>
      <c r="G91" s="89">
        <f>DATE(2006,5,17)</f>
        <v>38854</v>
      </c>
      <c r="H91" s="90">
        <v>1.8194444444444446</v>
      </c>
      <c r="I91" s="30" t="s">
        <v>278</v>
      </c>
      <c r="J91" s="89" t="s">
        <v>706</v>
      </c>
      <c r="K91" s="30" t="s">
        <v>640</v>
      </c>
      <c r="L91" s="30" t="s">
        <v>707</v>
      </c>
      <c r="M91" s="30" t="s">
        <v>63</v>
      </c>
      <c r="N91" s="30">
        <v>0</v>
      </c>
      <c r="O91" s="30" t="s">
        <v>64</v>
      </c>
      <c r="P91" s="89" t="s">
        <v>165</v>
      </c>
      <c r="Q91" s="89" t="s">
        <v>642</v>
      </c>
      <c r="R91" s="89" t="s">
        <v>643</v>
      </c>
      <c r="S91" s="30">
        <v>0</v>
      </c>
      <c r="T91" s="233">
        <v>0</v>
      </c>
      <c r="U91" s="30">
        <v>0</v>
      </c>
      <c r="V91" s="233">
        <v>1</v>
      </c>
      <c r="W91" s="30">
        <v>0</v>
      </c>
      <c r="X91" s="30">
        <v>1</v>
      </c>
      <c r="Y91" s="30">
        <v>0</v>
      </c>
      <c r="Z91" s="233">
        <v>0</v>
      </c>
      <c r="AA91" s="30">
        <v>0</v>
      </c>
      <c r="AB91" s="30">
        <v>0</v>
      </c>
      <c r="AC91" s="30">
        <v>0</v>
      </c>
      <c r="AD91" s="30">
        <v>0</v>
      </c>
      <c r="AE91" s="89" t="s">
        <v>68</v>
      </c>
      <c r="AF91" s="89" t="s">
        <v>68</v>
      </c>
      <c r="AG91" s="89" t="s">
        <v>248</v>
      </c>
      <c r="AH91" s="72" t="s">
        <v>68</v>
      </c>
      <c r="AI91" s="30">
        <v>1</v>
      </c>
      <c r="AJ91" s="89" t="s">
        <v>68</v>
      </c>
      <c r="AK91" s="89" t="s">
        <v>68</v>
      </c>
      <c r="AL91" s="91">
        <v>39105</v>
      </c>
      <c r="AM91" s="91"/>
      <c r="AN91" s="91"/>
      <c r="AO91" s="91"/>
      <c r="AP91" s="73" t="e">
        <f>MID(VLOOKUP(K91,#REF!,2,FALSE),1,2)</f>
        <v>#REF!</v>
      </c>
      <c r="AQ91" s="89">
        <f>DATE(2006,5,17)</f>
        <v>38854</v>
      </c>
      <c r="AR91" s="82">
        <f t="shared" si="8"/>
        <v>17</v>
      </c>
      <c r="AS91" s="83">
        <f t="shared" si="9"/>
        <v>5</v>
      </c>
      <c r="AT91" s="84">
        <f t="shared" si="10"/>
        <v>2006</v>
      </c>
      <c r="AU91" s="86"/>
      <c r="AV91" s="86"/>
      <c r="AW91" s="87"/>
      <c r="AX91" s="86"/>
      <c r="AY91" s="83"/>
      <c r="AZ91" s="84"/>
      <c r="BA91" s="86"/>
      <c r="BB91" s="86"/>
      <c r="BD91" s="68">
        <f t="shared" si="11"/>
        <v>0</v>
      </c>
    </row>
    <row r="92" spans="1:56" ht="36.75" customHeight="1">
      <c r="A92" s="30"/>
      <c r="B92" s="30" t="s">
        <v>55</v>
      </c>
      <c r="C92" s="69" t="str">
        <f t="shared" si="7"/>
        <v>Closed</v>
      </c>
      <c r="D92" s="27" t="s">
        <v>708</v>
      </c>
      <c r="E92" s="29" t="s">
        <v>709</v>
      </c>
      <c r="F92" s="30" t="s">
        <v>594</v>
      </c>
      <c r="G92" s="89">
        <f>DATE(2006,5,18)</f>
        <v>38855</v>
      </c>
      <c r="H92" s="90">
        <v>1.6749999999999998</v>
      </c>
      <c r="I92" s="30" t="s">
        <v>86</v>
      </c>
      <c r="J92" s="89" t="s">
        <v>710</v>
      </c>
      <c r="K92" s="30" t="s">
        <v>596</v>
      </c>
      <c r="L92" s="30" t="s">
        <v>711</v>
      </c>
      <c r="M92" s="30" t="s">
        <v>63</v>
      </c>
      <c r="N92" s="30">
        <v>0</v>
      </c>
      <c r="O92" s="30" t="s">
        <v>64</v>
      </c>
      <c r="P92" s="89" t="s">
        <v>165</v>
      </c>
      <c r="Q92" s="89" t="s">
        <v>598</v>
      </c>
      <c r="R92" s="89" t="s">
        <v>599</v>
      </c>
      <c r="S92" s="30">
        <v>0</v>
      </c>
      <c r="T92" s="233" t="s">
        <v>68</v>
      </c>
      <c r="U92" s="30">
        <v>0</v>
      </c>
      <c r="V92" s="233" t="s">
        <v>68</v>
      </c>
      <c r="W92" s="30">
        <v>0</v>
      </c>
      <c r="X92" s="30">
        <v>0</v>
      </c>
      <c r="Y92" s="30">
        <v>0</v>
      </c>
      <c r="Z92" s="233" t="s">
        <v>68</v>
      </c>
      <c r="AA92" s="30">
        <v>0</v>
      </c>
      <c r="AB92" s="30">
        <v>0</v>
      </c>
      <c r="AC92" s="30">
        <v>0</v>
      </c>
      <c r="AD92" s="30">
        <v>0</v>
      </c>
      <c r="AE92" s="89" t="s">
        <v>68</v>
      </c>
      <c r="AF92" s="89" t="s">
        <v>712</v>
      </c>
      <c r="AG92" s="89" t="s">
        <v>713</v>
      </c>
      <c r="AH92" s="72" t="s">
        <v>68</v>
      </c>
      <c r="AI92" s="30">
        <v>0</v>
      </c>
      <c r="AJ92" s="89" t="s">
        <v>68</v>
      </c>
      <c r="AK92" s="89" t="s">
        <v>68</v>
      </c>
      <c r="AL92" s="91">
        <v>39160</v>
      </c>
      <c r="AM92" s="91"/>
      <c r="AN92" s="91">
        <v>44887</v>
      </c>
      <c r="AO92" s="91"/>
      <c r="AP92" s="73" t="e">
        <f>MID(VLOOKUP(K92,#REF!,2,FALSE),1,2)</f>
        <v>#REF!</v>
      </c>
      <c r="AQ92" s="89">
        <f>DATE(2006,5,18)</f>
        <v>38855</v>
      </c>
      <c r="AR92" s="82">
        <f t="shared" si="8"/>
        <v>18</v>
      </c>
      <c r="AS92" s="83">
        <f t="shared" si="9"/>
        <v>5</v>
      </c>
      <c r="AT92" s="84">
        <f t="shared" si="10"/>
        <v>2006</v>
      </c>
      <c r="AU92" s="86"/>
      <c r="AV92" s="86"/>
      <c r="AW92" s="87"/>
      <c r="AX92" s="86"/>
      <c r="AY92" s="83"/>
      <c r="AZ92" s="84"/>
      <c r="BA92" s="86"/>
      <c r="BB92" s="86"/>
      <c r="BD92" s="68">
        <f t="shared" si="11"/>
        <v>0</v>
      </c>
    </row>
    <row r="93" spans="1:56" ht="36.75" customHeight="1">
      <c r="A93" s="30"/>
      <c r="B93" s="30" t="s">
        <v>55</v>
      </c>
      <c r="C93" s="69" t="str">
        <f t="shared" si="7"/>
        <v>Closed</v>
      </c>
      <c r="D93" s="27" t="s">
        <v>714</v>
      </c>
      <c r="E93" s="29" t="s">
        <v>715</v>
      </c>
      <c r="F93" s="30" t="s">
        <v>233</v>
      </c>
      <c r="G93" s="89">
        <f>DATE(2006,5,18)</f>
        <v>38855</v>
      </c>
      <c r="H93" s="90">
        <v>1.4284722222222221</v>
      </c>
      <c r="I93" s="30" t="s">
        <v>86</v>
      </c>
      <c r="J93" s="89" t="s">
        <v>716</v>
      </c>
      <c r="K93" s="30" t="s">
        <v>235</v>
      </c>
      <c r="L93" s="30" t="s">
        <v>717</v>
      </c>
      <c r="M93" s="30" t="s">
        <v>63</v>
      </c>
      <c r="N93" s="30">
        <v>0</v>
      </c>
      <c r="O93" s="30" t="s">
        <v>64</v>
      </c>
      <c r="P93" s="89" t="s">
        <v>165</v>
      </c>
      <c r="Q93" s="89" t="s">
        <v>718</v>
      </c>
      <c r="R93" s="89" t="s">
        <v>238</v>
      </c>
      <c r="S93" s="30">
        <v>0</v>
      </c>
      <c r="T93" s="233" t="s">
        <v>68</v>
      </c>
      <c r="U93" s="30">
        <v>0</v>
      </c>
      <c r="V93" s="233" t="s">
        <v>68</v>
      </c>
      <c r="W93" s="30">
        <v>0</v>
      </c>
      <c r="X93" s="30">
        <v>0</v>
      </c>
      <c r="Y93" s="30">
        <v>0</v>
      </c>
      <c r="Z93" s="233" t="s">
        <v>68</v>
      </c>
      <c r="AA93" s="30">
        <v>0</v>
      </c>
      <c r="AB93" s="30">
        <v>0</v>
      </c>
      <c r="AC93" s="30">
        <v>0</v>
      </c>
      <c r="AD93" s="30">
        <v>0</v>
      </c>
      <c r="AE93" s="89" t="s">
        <v>68</v>
      </c>
      <c r="AF93" s="89" t="s">
        <v>68</v>
      </c>
      <c r="AG93" s="89" t="s">
        <v>133</v>
      </c>
      <c r="AH93" s="72" t="s">
        <v>68</v>
      </c>
      <c r="AI93" s="30">
        <v>6</v>
      </c>
      <c r="AJ93" s="89" t="s">
        <v>719</v>
      </c>
      <c r="AK93" s="89" t="s">
        <v>720</v>
      </c>
      <c r="AL93" s="91">
        <v>39231</v>
      </c>
      <c r="AM93" s="91"/>
      <c r="AN93" s="91"/>
      <c r="AO93" s="91"/>
      <c r="AP93" s="73" t="e">
        <f>MID(VLOOKUP(K93,#REF!,2,FALSE),1,2)</f>
        <v>#REF!</v>
      </c>
      <c r="AQ93" s="89">
        <f>DATE(2006,5,18)</f>
        <v>38855</v>
      </c>
      <c r="AR93" s="82">
        <f t="shared" si="8"/>
        <v>18</v>
      </c>
      <c r="AS93" s="83">
        <f t="shared" si="9"/>
        <v>5</v>
      </c>
      <c r="AT93" s="84">
        <f t="shared" si="10"/>
        <v>2006</v>
      </c>
      <c r="AU93" s="86"/>
      <c r="AV93" s="86"/>
      <c r="AW93" s="87"/>
      <c r="AX93" s="86"/>
      <c r="AY93" s="83"/>
      <c r="AZ93" s="84"/>
      <c r="BA93" s="86"/>
      <c r="BB93" s="86"/>
      <c r="BD93" s="68">
        <f t="shared" si="11"/>
        <v>0</v>
      </c>
    </row>
    <row r="94" spans="1:56" ht="36.75" customHeight="1">
      <c r="A94" s="30"/>
      <c r="B94" s="30" t="s">
        <v>55</v>
      </c>
      <c r="C94" s="69" t="str">
        <f t="shared" si="7"/>
        <v>Closed</v>
      </c>
      <c r="D94" s="27" t="s">
        <v>721</v>
      </c>
      <c r="E94" s="29" t="s">
        <v>722</v>
      </c>
      <c r="F94" s="30" t="s">
        <v>233</v>
      </c>
      <c r="G94" s="89">
        <f>DATE(2006,5,22)</f>
        <v>38859</v>
      </c>
      <c r="H94" s="90">
        <v>1.3909722222222223</v>
      </c>
      <c r="I94" s="30" t="s">
        <v>116</v>
      </c>
      <c r="J94" s="89" t="s">
        <v>723</v>
      </c>
      <c r="K94" s="30" t="s">
        <v>235</v>
      </c>
      <c r="L94" s="30" t="s">
        <v>724</v>
      </c>
      <c r="M94" s="30" t="s">
        <v>63</v>
      </c>
      <c r="N94" s="30">
        <v>0</v>
      </c>
      <c r="O94" s="30" t="s">
        <v>64</v>
      </c>
      <c r="P94" s="89" t="s">
        <v>78</v>
      </c>
      <c r="Q94" s="89" t="s">
        <v>725</v>
      </c>
      <c r="R94" s="89" t="s">
        <v>238</v>
      </c>
      <c r="S94" s="30">
        <v>0</v>
      </c>
      <c r="T94" s="233" t="s">
        <v>68</v>
      </c>
      <c r="U94" s="30">
        <v>0</v>
      </c>
      <c r="V94" s="233" t="s">
        <v>68</v>
      </c>
      <c r="W94" s="30">
        <v>0</v>
      </c>
      <c r="X94" s="30">
        <v>0</v>
      </c>
      <c r="Y94" s="30">
        <v>0</v>
      </c>
      <c r="Z94" s="233" t="s">
        <v>68</v>
      </c>
      <c r="AA94" s="30">
        <v>0</v>
      </c>
      <c r="AB94" s="30">
        <v>0</v>
      </c>
      <c r="AC94" s="30">
        <v>0</v>
      </c>
      <c r="AD94" s="30">
        <v>0</v>
      </c>
      <c r="AE94" s="89" t="s">
        <v>68</v>
      </c>
      <c r="AF94" s="89" t="s">
        <v>726</v>
      </c>
      <c r="AG94" s="89" t="s">
        <v>133</v>
      </c>
      <c r="AH94" s="72" t="s">
        <v>68</v>
      </c>
      <c r="AI94" s="30">
        <v>8</v>
      </c>
      <c r="AJ94" s="89" t="s">
        <v>727</v>
      </c>
      <c r="AK94" s="89" t="s">
        <v>728</v>
      </c>
      <c r="AL94" s="91">
        <v>39353</v>
      </c>
      <c r="AM94" s="91"/>
      <c r="AN94" s="91"/>
      <c r="AO94" s="91"/>
      <c r="AP94" s="73" t="e">
        <f>MID(VLOOKUP(K94,#REF!,2,FALSE),1,2)</f>
        <v>#REF!</v>
      </c>
      <c r="AQ94" s="89">
        <f>DATE(2006,5,22)</f>
        <v>38859</v>
      </c>
      <c r="AR94" s="82">
        <f t="shared" si="8"/>
        <v>22</v>
      </c>
      <c r="AS94" s="83">
        <f t="shared" si="9"/>
        <v>5</v>
      </c>
      <c r="AT94" s="84">
        <f t="shared" si="10"/>
        <v>2006</v>
      </c>
      <c r="AU94" s="86"/>
      <c r="AV94" s="86"/>
      <c r="AW94" s="87"/>
      <c r="AX94" s="86"/>
      <c r="AY94" s="83"/>
      <c r="AZ94" s="84"/>
      <c r="BA94" s="86"/>
      <c r="BB94" s="86"/>
      <c r="BD94" s="68">
        <f t="shared" si="11"/>
        <v>0</v>
      </c>
    </row>
    <row r="95" spans="1:56" ht="36.75" customHeight="1">
      <c r="A95" s="30"/>
      <c r="B95" s="30" t="s">
        <v>55</v>
      </c>
      <c r="C95" s="69" t="str">
        <f t="shared" si="7"/>
        <v>Closed</v>
      </c>
      <c r="D95" s="27" t="s">
        <v>729</v>
      </c>
      <c r="E95" s="29" t="s">
        <v>730</v>
      </c>
      <c r="F95" s="30" t="s">
        <v>233</v>
      </c>
      <c r="G95" s="89">
        <f>DATE(2006,5,24)</f>
        <v>38861</v>
      </c>
      <c r="H95" s="90">
        <v>1.0694444444444444</v>
      </c>
      <c r="I95" s="30" t="s">
        <v>86</v>
      </c>
      <c r="J95" s="89" t="s">
        <v>731</v>
      </c>
      <c r="K95" s="30" t="s">
        <v>235</v>
      </c>
      <c r="L95" s="30" t="s">
        <v>732</v>
      </c>
      <c r="M95" s="30" t="s">
        <v>255</v>
      </c>
      <c r="N95" s="30">
        <v>0</v>
      </c>
      <c r="O95" s="30" t="s">
        <v>64</v>
      </c>
      <c r="P95" s="89" t="s">
        <v>86</v>
      </c>
      <c r="Q95" s="89" t="s">
        <v>683</v>
      </c>
      <c r="R95" s="89" t="s">
        <v>683</v>
      </c>
      <c r="S95" s="30">
        <v>0</v>
      </c>
      <c r="T95" s="233" t="s">
        <v>68</v>
      </c>
      <c r="U95" s="30">
        <v>0</v>
      </c>
      <c r="V95" s="233" t="s">
        <v>68</v>
      </c>
      <c r="W95" s="30">
        <v>0</v>
      </c>
      <c r="X95" s="30">
        <v>0</v>
      </c>
      <c r="Y95" s="30">
        <v>0</v>
      </c>
      <c r="Z95" s="233" t="s">
        <v>68</v>
      </c>
      <c r="AA95" s="30">
        <v>0</v>
      </c>
      <c r="AB95" s="30">
        <v>0</v>
      </c>
      <c r="AC95" s="30">
        <v>0</v>
      </c>
      <c r="AD95" s="30">
        <v>0</v>
      </c>
      <c r="AE95" s="89" t="s">
        <v>68</v>
      </c>
      <c r="AF95" s="89" t="s">
        <v>68</v>
      </c>
      <c r="AG95" s="89" t="s">
        <v>133</v>
      </c>
      <c r="AH95" s="72" t="s">
        <v>68</v>
      </c>
      <c r="AI95" s="30">
        <v>9</v>
      </c>
      <c r="AJ95" s="89" t="s">
        <v>733</v>
      </c>
      <c r="AK95" s="89" t="s">
        <v>734</v>
      </c>
      <c r="AL95" s="91">
        <v>39692</v>
      </c>
      <c r="AM95" s="91"/>
      <c r="AN95" s="91"/>
      <c r="AO95" s="91"/>
      <c r="AP95" s="73" t="e">
        <f>MID(VLOOKUP(K95,#REF!,2,FALSE),1,2)</f>
        <v>#REF!</v>
      </c>
      <c r="AQ95" s="89">
        <f>DATE(2006,5,24)</f>
        <v>38861</v>
      </c>
      <c r="AR95" s="82">
        <f t="shared" si="8"/>
        <v>24</v>
      </c>
      <c r="AS95" s="83">
        <f t="shared" si="9"/>
        <v>5</v>
      </c>
      <c r="AT95" s="84">
        <f t="shared" si="10"/>
        <v>2006</v>
      </c>
      <c r="AU95" s="86"/>
      <c r="AV95" s="86"/>
      <c r="AW95" s="87"/>
      <c r="AX95" s="86"/>
      <c r="AY95" s="83"/>
      <c r="AZ95" s="84"/>
      <c r="BA95" s="86"/>
      <c r="BB95" s="86"/>
      <c r="BD95" s="68">
        <f t="shared" si="11"/>
        <v>0</v>
      </c>
    </row>
    <row r="96" spans="1:56" ht="36.75" customHeight="1">
      <c r="A96" s="30"/>
      <c r="B96" s="30" t="s">
        <v>55</v>
      </c>
      <c r="C96" s="69" t="str">
        <f t="shared" si="7"/>
        <v>Closed</v>
      </c>
      <c r="D96" s="27" t="s">
        <v>735</v>
      </c>
      <c r="E96" s="29" t="s">
        <v>736</v>
      </c>
      <c r="F96" s="30" t="s">
        <v>233</v>
      </c>
      <c r="G96" s="89">
        <f>DATE(2006,5,25)</f>
        <v>38862</v>
      </c>
      <c r="H96" s="90">
        <v>1.6645833333333333</v>
      </c>
      <c r="I96" s="30" t="s">
        <v>73</v>
      </c>
      <c r="J96" s="89" t="s">
        <v>737</v>
      </c>
      <c r="K96" s="30" t="s">
        <v>235</v>
      </c>
      <c r="L96" s="30" t="s">
        <v>738</v>
      </c>
      <c r="M96" s="30" t="s">
        <v>255</v>
      </c>
      <c r="N96" s="30">
        <v>0</v>
      </c>
      <c r="O96" s="30" t="s">
        <v>64</v>
      </c>
      <c r="P96" s="89" t="s">
        <v>86</v>
      </c>
      <c r="Q96" s="89" t="s">
        <v>256</v>
      </c>
      <c r="R96" s="89" t="s">
        <v>257</v>
      </c>
      <c r="S96" s="30">
        <v>0</v>
      </c>
      <c r="T96" s="233" t="s">
        <v>68</v>
      </c>
      <c r="U96" s="30">
        <v>0</v>
      </c>
      <c r="V96" s="233" t="s">
        <v>68</v>
      </c>
      <c r="W96" s="30">
        <v>0</v>
      </c>
      <c r="X96" s="30">
        <v>0</v>
      </c>
      <c r="Y96" s="30">
        <v>0</v>
      </c>
      <c r="Z96" s="233" t="s">
        <v>68</v>
      </c>
      <c r="AA96" s="30">
        <v>0</v>
      </c>
      <c r="AB96" s="30">
        <v>0</v>
      </c>
      <c r="AC96" s="30">
        <v>0</v>
      </c>
      <c r="AD96" s="30">
        <v>0</v>
      </c>
      <c r="AE96" s="89" t="s">
        <v>68</v>
      </c>
      <c r="AF96" s="89" t="s">
        <v>68</v>
      </c>
      <c r="AG96" s="89" t="s">
        <v>248</v>
      </c>
      <c r="AH96" s="72" t="s">
        <v>68</v>
      </c>
      <c r="AI96" s="30">
        <v>2</v>
      </c>
      <c r="AJ96" s="89" t="s">
        <v>739</v>
      </c>
      <c r="AK96" s="89" t="s">
        <v>740</v>
      </c>
      <c r="AL96" s="91">
        <v>39380</v>
      </c>
      <c r="AM96" s="91"/>
      <c r="AN96" s="91"/>
      <c r="AO96" s="91"/>
      <c r="AP96" s="73" t="e">
        <f>MID(VLOOKUP(K96,#REF!,2,FALSE),1,2)</f>
        <v>#REF!</v>
      </c>
      <c r="AQ96" s="89">
        <f>DATE(2006,5,25)</f>
        <v>38862</v>
      </c>
      <c r="AR96" s="82">
        <f t="shared" si="8"/>
        <v>25</v>
      </c>
      <c r="AS96" s="83">
        <f t="shared" si="9"/>
        <v>5</v>
      </c>
      <c r="AT96" s="84">
        <f t="shared" si="10"/>
        <v>2006</v>
      </c>
      <c r="AU96" s="86"/>
      <c r="AV96" s="86"/>
      <c r="AW96" s="87"/>
      <c r="AX96" s="86"/>
      <c r="AY96" s="83"/>
      <c r="AZ96" s="84"/>
      <c r="BA96" s="86"/>
      <c r="BB96" s="86"/>
      <c r="BD96" s="68">
        <f t="shared" si="11"/>
        <v>0</v>
      </c>
    </row>
    <row r="97" spans="1:56" ht="36.75" customHeight="1">
      <c r="A97" s="30"/>
      <c r="B97" s="30" t="s">
        <v>55</v>
      </c>
      <c r="C97" s="69" t="str">
        <f t="shared" si="7"/>
        <v>Closed</v>
      </c>
      <c r="D97" s="27" t="s">
        <v>741</v>
      </c>
      <c r="E97" s="29" t="s">
        <v>742</v>
      </c>
      <c r="F97" s="30" t="s">
        <v>638</v>
      </c>
      <c r="G97" s="89">
        <f>DATE(2006,5,26)</f>
        <v>38863</v>
      </c>
      <c r="H97" s="90">
        <v>1.4881944444444444</v>
      </c>
      <c r="I97" s="30" t="s">
        <v>116</v>
      </c>
      <c r="J97" s="89" t="s">
        <v>743</v>
      </c>
      <c r="K97" s="30" t="s">
        <v>640</v>
      </c>
      <c r="L97" s="30" t="s">
        <v>744</v>
      </c>
      <c r="M97" s="30" t="s">
        <v>63</v>
      </c>
      <c r="N97" s="30">
        <v>0</v>
      </c>
      <c r="O97" s="30" t="s">
        <v>77</v>
      </c>
      <c r="P97" s="89" t="s">
        <v>165</v>
      </c>
      <c r="Q97" s="89" t="s">
        <v>642</v>
      </c>
      <c r="R97" s="89" t="s">
        <v>643</v>
      </c>
      <c r="S97" s="30">
        <v>0</v>
      </c>
      <c r="T97" s="233">
        <v>0</v>
      </c>
      <c r="U97" s="30">
        <v>1</v>
      </c>
      <c r="V97" s="233">
        <v>0</v>
      </c>
      <c r="W97" s="30">
        <v>0</v>
      </c>
      <c r="X97" s="30">
        <v>1</v>
      </c>
      <c r="Y97" s="30">
        <v>0</v>
      </c>
      <c r="Z97" s="233">
        <v>0</v>
      </c>
      <c r="AA97" s="30">
        <v>0</v>
      </c>
      <c r="AB97" s="30">
        <v>0</v>
      </c>
      <c r="AC97" s="30">
        <v>0</v>
      </c>
      <c r="AD97" s="30">
        <v>0</v>
      </c>
      <c r="AE97" s="89" t="s">
        <v>68</v>
      </c>
      <c r="AF97" s="89" t="s">
        <v>68</v>
      </c>
      <c r="AG97" s="89" t="s">
        <v>248</v>
      </c>
      <c r="AH97" s="72" t="s">
        <v>68</v>
      </c>
      <c r="AI97" s="30">
        <v>1</v>
      </c>
      <c r="AJ97" s="89" t="s">
        <v>68</v>
      </c>
      <c r="AK97" s="89" t="s">
        <v>68</v>
      </c>
      <c r="AL97" s="91">
        <v>39105</v>
      </c>
      <c r="AM97" s="91"/>
      <c r="AN97" s="91"/>
      <c r="AO97" s="91"/>
      <c r="AP97" s="73" t="e">
        <f>MID(VLOOKUP(K97,#REF!,2,FALSE),1,2)</f>
        <v>#REF!</v>
      </c>
      <c r="AQ97" s="89">
        <f>DATE(2006,5,26)</f>
        <v>38863</v>
      </c>
      <c r="AR97" s="82">
        <f t="shared" si="8"/>
        <v>26</v>
      </c>
      <c r="AS97" s="83">
        <f t="shared" si="9"/>
        <v>5</v>
      </c>
      <c r="AT97" s="84">
        <f t="shared" si="10"/>
        <v>2006</v>
      </c>
      <c r="AU97" s="86"/>
      <c r="AV97" s="86"/>
      <c r="AW97" s="87"/>
      <c r="AX97" s="86"/>
      <c r="AY97" s="83"/>
      <c r="AZ97" s="84"/>
      <c r="BA97" s="86"/>
      <c r="BB97" s="86"/>
      <c r="BD97" s="68">
        <f t="shared" si="11"/>
        <v>0</v>
      </c>
    </row>
    <row r="98" spans="1:56" ht="36.75" customHeight="1">
      <c r="A98" s="30"/>
      <c r="B98" s="30" t="s">
        <v>55</v>
      </c>
      <c r="C98" s="69" t="str">
        <f t="shared" si="7"/>
        <v>Closed</v>
      </c>
      <c r="D98" s="27" t="s">
        <v>745</v>
      </c>
      <c r="E98" s="29" t="s">
        <v>746</v>
      </c>
      <c r="F98" s="30" t="s">
        <v>624</v>
      </c>
      <c r="G98" s="89">
        <f>DATE(2006,5,26)</f>
        <v>38863</v>
      </c>
      <c r="H98" s="90">
        <v>1.0972222222222223</v>
      </c>
      <c r="I98" s="30" t="s">
        <v>116</v>
      </c>
      <c r="J98" s="89" t="s">
        <v>747</v>
      </c>
      <c r="K98" s="30" t="s">
        <v>626</v>
      </c>
      <c r="L98" s="30" t="s">
        <v>748</v>
      </c>
      <c r="M98" s="30" t="s">
        <v>63</v>
      </c>
      <c r="N98" s="30">
        <v>0</v>
      </c>
      <c r="O98" s="30" t="s">
        <v>64</v>
      </c>
      <c r="P98" s="89" t="s">
        <v>78</v>
      </c>
      <c r="Q98" s="89" t="s">
        <v>749</v>
      </c>
      <c r="R98" s="89" t="s">
        <v>629</v>
      </c>
      <c r="S98" s="30">
        <v>0</v>
      </c>
      <c r="T98" s="233">
        <v>0</v>
      </c>
      <c r="U98" s="30">
        <v>5</v>
      </c>
      <c r="V98" s="233">
        <v>0</v>
      </c>
      <c r="W98" s="30">
        <v>0</v>
      </c>
      <c r="X98" s="30">
        <v>5</v>
      </c>
      <c r="Y98" s="30">
        <v>0</v>
      </c>
      <c r="Z98" s="233">
        <v>0</v>
      </c>
      <c r="AA98" s="30">
        <v>0</v>
      </c>
      <c r="AB98" s="30">
        <v>0</v>
      </c>
      <c r="AC98" s="30">
        <v>0</v>
      </c>
      <c r="AD98" s="30">
        <v>0</v>
      </c>
      <c r="AE98" s="89" t="s">
        <v>68</v>
      </c>
      <c r="AF98" s="89" t="s">
        <v>750</v>
      </c>
      <c r="AG98" s="89" t="s">
        <v>82</v>
      </c>
      <c r="AH98" s="72" t="s">
        <v>68</v>
      </c>
      <c r="AI98" s="30">
        <v>0</v>
      </c>
      <c r="AJ98" s="89" t="s">
        <v>68</v>
      </c>
      <c r="AK98" s="89" t="s">
        <v>68</v>
      </c>
      <c r="AL98" s="91">
        <v>39224</v>
      </c>
      <c r="AM98" s="91"/>
      <c r="AN98" s="91"/>
      <c r="AO98" s="91"/>
      <c r="AP98" s="73" t="e">
        <f>MID(VLOOKUP(K98,#REF!,2,FALSE),1,2)</f>
        <v>#REF!</v>
      </c>
      <c r="AQ98" s="89">
        <f>DATE(2006,5,26)</f>
        <v>38863</v>
      </c>
      <c r="AR98" s="82">
        <f t="shared" si="8"/>
        <v>26</v>
      </c>
      <c r="AS98" s="83">
        <f t="shared" si="9"/>
        <v>5</v>
      </c>
      <c r="AT98" s="84">
        <f t="shared" si="10"/>
        <v>2006</v>
      </c>
      <c r="AU98" s="86"/>
      <c r="AV98" s="86"/>
      <c r="AW98" s="87"/>
      <c r="AX98" s="86"/>
      <c r="AY98" s="83"/>
      <c r="AZ98" s="84"/>
      <c r="BA98" s="86"/>
      <c r="BB98" s="86"/>
      <c r="BD98" s="68">
        <f t="shared" si="11"/>
        <v>0</v>
      </c>
    </row>
    <row r="99" spans="1:56" ht="36.75" customHeight="1">
      <c r="A99" s="30"/>
      <c r="B99" s="30" t="s">
        <v>55</v>
      </c>
      <c r="C99" s="69" t="str">
        <f t="shared" si="7"/>
        <v>Closed</v>
      </c>
      <c r="D99" s="27" t="s">
        <v>751</v>
      </c>
      <c r="E99" s="29" t="s">
        <v>752</v>
      </c>
      <c r="F99" s="30" t="s">
        <v>233</v>
      </c>
      <c r="G99" s="89">
        <f>DATE(2006,5,29)</f>
        <v>38866</v>
      </c>
      <c r="H99" s="90">
        <v>1.5694444444444444</v>
      </c>
      <c r="I99" s="30" t="s">
        <v>73</v>
      </c>
      <c r="J99" s="89" t="s">
        <v>753</v>
      </c>
      <c r="K99" s="30" t="s">
        <v>235</v>
      </c>
      <c r="L99" s="30" t="s">
        <v>754</v>
      </c>
      <c r="M99" s="30" t="s">
        <v>63</v>
      </c>
      <c r="N99" s="30">
        <v>0</v>
      </c>
      <c r="O99" s="30" t="s">
        <v>64</v>
      </c>
      <c r="P99" s="89" t="s">
        <v>86</v>
      </c>
      <c r="Q99" s="89" t="s">
        <v>755</v>
      </c>
      <c r="R99" s="89" t="s">
        <v>756</v>
      </c>
      <c r="S99" s="30">
        <v>0</v>
      </c>
      <c r="T99" s="233" t="s">
        <v>68</v>
      </c>
      <c r="U99" s="30">
        <v>0</v>
      </c>
      <c r="V99" s="233" t="s">
        <v>68</v>
      </c>
      <c r="W99" s="30">
        <v>0</v>
      </c>
      <c r="X99" s="30">
        <v>0</v>
      </c>
      <c r="Y99" s="30">
        <v>0</v>
      </c>
      <c r="Z99" s="233" t="s">
        <v>68</v>
      </c>
      <c r="AA99" s="30">
        <v>0</v>
      </c>
      <c r="AB99" s="30">
        <v>0</v>
      </c>
      <c r="AC99" s="30">
        <v>0</v>
      </c>
      <c r="AD99" s="30">
        <v>0</v>
      </c>
      <c r="AE99" s="89" t="s">
        <v>68</v>
      </c>
      <c r="AF99" s="89" t="s">
        <v>68</v>
      </c>
      <c r="AG99" s="89" t="s">
        <v>248</v>
      </c>
      <c r="AH99" s="72" t="s">
        <v>68</v>
      </c>
      <c r="AI99" s="30">
        <v>8</v>
      </c>
      <c r="AJ99" s="89" t="s">
        <v>757</v>
      </c>
      <c r="AK99" s="89" t="s">
        <v>758</v>
      </c>
      <c r="AL99" s="91">
        <v>39227</v>
      </c>
      <c r="AM99" s="91"/>
      <c r="AN99" s="91"/>
      <c r="AO99" s="91"/>
      <c r="AP99" s="73" t="e">
        <f>MID(VLOOKUP(K99,#REF!,2,FALSE),1,2)</f>
        <v>#REF!</v>
      </c>
      <c r="AQ99" s="89">
        <f>DATE(2006,5,29)</f>
        <v>38866</v>
      </c>
      <c r="AR99" s="82">
        <f t="shared" si="8"/>
        <v>29</v>
      </c>
      <c r="AS99" s="83">
        <f t="shared" si="9"/>
        <v>5</v>
      </c>
      <c r="AT99" s="84">
        <f t="shared" si="10"/>
        <v>2006</v>
      </c>
      <c r="AU99" s="86"/>
      <c r="AV99" s="86"/>
      <c r="AW99" s="87"/>
      <c r="AX99" s="86"/>
      <c r="AY99" s="83"/>
      <c r="AZ99" s="84"/>
      <c r="BA99" s="86"/>
      <c r="BB99" s="86"/>
      <c r="BD99" s="68">
        <f t="shared" si="11"/>
        <v>0</v>
      </c>
    </row>
    <row r="100" spans="1:56" ht="36.75" customHeight="1">
      <c r="A100" s="30"/>
      <c r="B100" s="30" t="s">
        <v>55</v>
      </c>
      <c r="C100" s="69" t="str">
        <f t="shared" si="7"/>
        <v>Closed</v>
      </c>
      <c r="D100" s="27" t="s">
        <v>759</v>
      </c>
      <c r="E100" s="29" t="s">
        <v>760</v>
      </c>
      <c r="F100" s="30" t="s">
        <v>233</v>
      </c>
      <c r="G100" s="89">
        <f>DATE(2006,5,30)</f>
        <v>38867</v>
      </c>
      <c r="H100" s="90">
        <v>1.5034722222222223</v>
      </c>
      <c r="I100" s="30" t="s">
        <v>73</v>
      </c>
      <c r="J100" s="89" t="s">
        <v>761</v>
      </c>
      <c r="K100" s="30" t="s">
        <v>235</v>
      </c>
      <c r="L100" s="30" t="s">
        <v>762</v>
      </c>
      <c r="M100" s="30" t="s">
        <v>255</v>
      </c>
      <c r="N100" s="30">
        <v>0</v>
      </c>
      <c r="O100" s="30" t="s">
        <v>64</v>
      </c>
      <c r="P100" s="89" t="s">
        <v>86</v>
      </c>
      <c r="Q100" s="89" t="s">
        <v>337</v>
      </c>
      <c r="R100" s="89" t="s">
        <v>337</v>
      </c>
      <c r="S100" s="30">
        <v>0</v>
      </c>
      <c r="T100" s="233" t="s">
        <v>68</v>
      </c>
      <c r="U100" s="30">
        <v>0</v>
      </c>
      <c r="V100" s="233" t="s">
        <v>68</v>
      </c>
      <c r="W100" s="30">
        <v>0</v>
      </c>
      <c r="X100" s="30">
        <v>0</v>
      </c>
      <c r="Y100" s="30">
        <v>0</v>
      </c>
      <c r="Z100" s="233" t="s">
        <v>68</v>
      </c>
      <c r="AA100" s="30">
        <v>0</v>
      </c>
      <c r="AB100" s="30">
        <v>0</v>
      </c>
      <c r="AC100" s="30">
        <v>0</v>
      </c>
      <c r="AD100" s="30">
        <v>0</v>
      </c>
      <c r="AE100" s="89" t="s">
        <v>68</v>
      </c>
      <c r="AF100" s="89" t="s">
        <v>68</v>
      </c>
      <c r="AG100" s="89" t="s">
        <v>248</v>
      </c>
      <c r="AH100" s="72" t="s">
        <v>68</v>
      </c>
      <c r="AI100" s="30">
        <v>2</v>
      </c>
      <c r="AJ100" s="89" t="s">
        <v>763</v>
      </c>
      <c r="AK100" s="89" t="s">
        <v>764</v>
      </c>
      <c r="AL100" s="91">
        <v>39380</v>
      </c>
      <c r="AM100" s="91"/>
      <c r="AN100" s="91"/>
      <c r="AO100" s="91"/>
      <c r="AP100" s="73" t="e">
        <f>MID(VLOOKUP(K100,#REF!,2,FALSE),1,2)</f>
        <v>#REF!</v>
      </c>
      <c r="AQ100" s="89">
        <f>DATE(2006,5,30)</f>
        <v>38867</v>
      </c>
      <c r="AR100" s="82">
        <f t="shared" si="8"/>
        <v>30</v>
      </c>
      <c r="AS100" s="83">
        <f t="shared" si="9"/>
        <v>5</v>
      </c>
      <c r="AT100" s="84">
        <f t="shared" si="10"/>
        <v>2006</v>
      </c>
      <c r="AU100" s="86"/>
      <c r="AV100" s="86"/>
      <c r="AW100" s="87"/>
      <c r="AX100" s="86"/>
      <c r="AY100" s="83"/>
      <c r="AZ100" s="84"/>
      <c r="BA100" s="86"/>
      <c r="BB100" s="86"/>
      <c r="BD100" s="68">
        <f t="shared" si="11"/>
        <v>0</v>
      </c>
    </row>
    <row r="101" spans="1:56" ht="36.75" customHeight="1">
      <c r="A101" s="30"/>
      <c r="B101" s="30" t="s">
        <v>55</v>
      </c>
      <c r="C101" s="69" t="str">
        <f t="shared" si="7"/>
        <v>Closed</v>
      </c>
      <c r="D101" s="27" t="s">
        <v>765</v>
      </c>
      <c r="E101" s="29" t="s">
        <v>766</v>
      </c>
      <c r="F101" s="30" t="s">
        <v>58</v>
      </c>
      <c r="G101" s="89">
        <f>DATE(2006,6,1)</f>
        <v>38869</v>
      </c>
      <c r="H101" s="90">
        <v>1.4486111111111111</v>
      </c>
      <c r="I101" s="30" t="s">
        <v>156</v>
      </c>
      <c r="J101" s="89" t="s">
        <v>767</v>
      </c>
      <c r="K101" s="30" t="s">
        <v>61</v>
      </c>
      <c r="L101" s="30" t="s">
        <v>768</v>
      </c>
      <c r="M101" s="30" t="s">
        <v>63</v>
      </c>
      <c r="N101" s="30">
        <v>0</v>
      </c>
      <c r="O101" s="30" t="s">
        <v>90</v>
      </c>
      <c r="P101" s="89" t="s">
        <v>78</v>
      </c>
      <c r="Q101" s="89" t="s">
        <v>66</v>
      </c>
      <c r="R101" s="89" t="s">
        <v>67</v>
      </c>
      <c r="S101" s="30">
        <v>0</v>
      </c>
      <c r="T101" s="233" t="s">
        <v>68</v>
      </c>
      <c r="U101" s="30">
        <v>0</v>
      </c>
      <c r="V101" s="233" t="s">
        <v>68</v>
      </c>
      <c r="W101" s="30">
        <v>0</v>
      </c>
      <c r="X101" s="30">
        <v>0</v>
      </c>
      <c r="Y101" s="30">
        <v>0</v>
      </c>
      <c r="Z101" s="233" t="s">
        <v>68</v>
      </c>
      <c r="AA101" s="30">
        <v>0</v>
      </c>
      <c r="AB101" s="30">
        <v>0</v>
      </c>
      <c r="AC101" s="30">
        <v>0</v>
      </c>
      <c r="AD101" s="30">
        <v>0</v>
      </c>
      <c r="AE101" s="89" t="s">
        <v>68</v>
      </c>
      <c r="AF101" s="89" t="s">
        <v>769</v>
      </c>
      <c r="AG101" s="89" t="s">
        <v>69</v>
      </c>
      <c r="AH101" s="72" t="s">
        <v>68</v>
      </c>
      <c r="AI101" s="30">
        <v>0</v>
      </c>
      <c r="AJ101" s="89" t="s">
        <v>68</v>
      </c>
      <c r="AK101" s="89" t="s">
        <v>68</v>
      </c>
      <c r="AL101" s="91">
        <v>39189</v>
      </c>
      <c r="AM101" s="91"/>
      <c r="AN101" s="91"/>
      <c r="AO101" s="91"/>
      <c r="AP101" s="73" t="e">
        <f>MID(VLOOKUP(K101,#REF!,2,FALSE),1,2)</f>
        <v>#REF!</v>
      </c>
      <c r="AQ101" s="89">
        <f>DATE(2006,6,1)</f>
        <v>38869</v>
      </c>
      <c r="AR101" s="82">
        <f t="shared" si="8"/>
        <v>1</v>
      </c>
      <c r="AS101" s="83">
        <f t="shared" si="9"/>
        <v>6</v>
      </c>
      <c r="AT101" s="84">
        <f t="shared" si="10"/>
        <v>2006</v>
      </c>
      <c r="AU101" s="86"/>
      <c r="AV101" s="86"/>
      <c r="AW101" s="87"/>
      <c r="AX101" s="86"/>
      <c r="AY101" s="83"/>
      <c r="AZ101" s="84"/>
      <c r="BA101" s="86"/>
      <c r="BB101" s="86"/>
      <c r="BD101" s="68">
        <f t="shared" si="11"/>
        <v>0</v>
      </c>
    </row>
    <row r="102" spans="1:56" ht="36.75" customHeight="1">
      <c r="A102" s="30"/>
      <c r="B102" s="30" t="s">
        <v>55</v>
      </c>
      <c r="C102" s="69" t="str">
        <f t="shared" si="7"/>
        <v>Closed</v>
      </c>
      <c r="D102" s="27" t="s">
        <v>770</v>
      </c>
      <c r="E102" s="29" t="s">
        <v>771</v>
      </c>
      <c r="F102" s="30" t="s">
        <v>233</v>
      </c>
      <c r="G102" s="89">
        <f>DATE(2006,6,2)</f>
        <v>38870</v>
      </c>
      <c r="H102" s="90">
        <v>1.4576388888888889</v>
      </c>
      <c r="I102" s="30" t="s">
        <v>73</v>
      </c>
      <c r="J102" s="89" t="s">
        <v>772</v>
      </c>
      <c r="K102" s="30" t="s">
        <v>235</v>
      </c>
      <c r="L102" s="30" t="s">
        <v>773</v>
      </c>
      <c r="M102" s="30" t="s">
        <v>129</v>
      </c>
      <c r="N102" s="30">
        <v>0</v>
      </c>
      <c r="O102" s="30" t="s">
        <v>64</v>
      </c>
      <c r="P102" s="89" t="s">
        <v>86</v>
      </c>
      <c r="Q102" s="89" t="s">
        <v>683</v>
      </c>
      <c r="R102" s="89" t="s">
        <v>683</v>
      </c>
      <c r="S102" s="30">
        <v>0</v>
      </c>
      <c r="T102" s="233" t="s">
        <v>68</v>
      </c>
      <c r="U102" s="30">
        <v>0</v>
      </c>
      <c r="V102" s="233" t="s">
        <v>68</v>
      </c>
      <c r="W102" s="30">
        <v>0</v>
      </c>
      <c r="X102" s="30">
        <v>0</v>
      </c>
      <c r="Y102" s="30">
        <v>0</v>
      </c>
      <c r="Z102" s="233" t="s">
        <v>68</v>
      </c>
      <c r="AA102" s="30">
        <v>0</v>
      </c>
      <c r="AB102" s="30">
        <v>0</v>
      </c>
      <c r="AC102" s="30">
        <v>0</v>
      </c>
      <c r="AD102" s="30">
        <v>0</v>
      </c>
      <c r="AE102" s="89" t="s">
        <v>68</v>
      </c>
      <c r="AF102" s="89" t="s">
        <v>774</v>
      </c>
      <c r="AG102" s="89" t="s">
        <v>248</v>
      </c>
      <c r="AH102" s="72" t="s">
        <v>68</v>
      </c>
      <c r="AI102" s="30">
        <v>3</v>
      </c>
      <c r="AJ102" s="89" t="s">
        <v>775</v>
      </c>
      <c r="AK102" s="89" t="s">
        <v>776</v>
      </c>
      <c r="AL102" s="91">
        <v>39227</v>
      </c>
      <c r="AM102" s="91"/>
      <c r="AN102" s="91"/>
      <c r="AO102" s="91"/>
      <c r="AP102" s="73" t="e">
        <f>MID(VLOOKUP(K102,#REF!,2,FALSE),1,2)</f>
        <v>#REF!</v>
      </c>
      <c r="AQ102" s="89">
        <f>DATE(2006,6,2)</f>
        <v>38870</v>
      </c>
      <c r="AR102" s="82">
        <f t="shared" si="8"/>
        <v>2</v>
      </c>
      <c r="AS102" s="83">
        <f t="shared" si="9"/>
        <v>6</v>
      </c>
      <c r="AT102" s="84">
        <f t="shared" si="10"/>
        <v>2006</v>
      </c>
      <c r="AU102" s="86"/>
      <c r="AV102" s="86"/>
      <c r="AW102" s="87"/>
      <c r="AX102" s="86"/>
      <c r="AY102" s="83"/>
      <c r="AZ102" s="84"/>
      <c r="BA102" s="86"/>
      <c r="BB102" s="86"/>
      <c r="BD102" s="68">
        <f t="shared" si="11"/>
        <v>0</v>
      </c>
    </row>
    <row r="103" spans="1:56" ht="36.75" customHeight="1">
      <c r="A103" s="30"/>
      <c r="B103" s="30" t="s">
        <v>55</v>
      </c>
      <c r="C103" s="69" t="str">
        <f t="shared" si="7"/>
        <v>Closed</v>
      </c>
      <c r="D103" s="27" t="s">
        <v>777</v>
      </c>
      <c r="E103" s="29" t="s">
        <v>778</v>
      </c>
      <c r="F103" s="30" t="s">
        <v>451</v>
      </c>
      <c r="G103" s="89">
        <f>DATE(2006,6,5)</f>
        <v>38873</v>
      </c>
      <c r="H103" s="90">
        <v>1.8993055555555554</v>
      </c>
      <c r="I103" s="30" t="s">
        <v>125</v>
      </c>
      <c r="J103" s="89" t="s">
        <v>779</v>
      </c>
      <c r="K103" s="30" t="s">
        <v>453</v>
      </c>
      <c r="L103" s="30" t="s">
        <v>780</v>
      </c>
      <c r="M103" s="30" t="s">
        <v>63</v>
      </c>
      <c r="N103" s="30">
        <v>0</v>
      </c>
      <c r="O103" s="30" t="s">
        <v>64</v>
      </c>
      <c r="P103" s="89" t="s">
        <v>301</v>
      </c>
      <c r="Q103" s="89" t="s">
        <v>781</v>
      </c>
      <c r="R103" s="89" t="s">
        <v>572</v>
      </c>
      <c r="S103" s="30">
        <v>0</v>
      </c>
      <c r="T103" s="233" t="s">
        <v>68</v>
      </c>
      <c r="U103" s="30">
        <v>0</v>
      </c>
      <c r="V103" s="233" t="s">
        <v>68</v>
      </c>
      <c r="W103" s="30">
        <v>0</v>
      </c>
      <c r="X103" s="30">
        <v>0</v>
      </c>
      <c r="Y103" s="30">
        <v>0</v>
      </c>
      <c r="Z103" s="233" t="s">
        <v>68</v>
      </c>
      <c r="AA103" s="30">
        <v>0</v>
      </c>
      <c r="AB103" s="30">
        <v>0</v>
      </c>
      <c r="AC103" s="30">
        <v>0</v>
      </c>
      <c r="AD103" s="30">
        <v>0</v>
      </c>
      <c r="AE103" s="89" t="s">
        <v>68</v>
      </c>
      <c r="AF103" s="89" t="s">
        <v>782</v>
      </c>
      <c r="AG103" s="89" t="s">
        <v>82</v>
      </c>
      <c r="AH103" s="72" t="s">
        <v>68</v>
      </c>
      <c r="AI103" s="30">
        <v>9</v>
      </c>
      <c r="AJ103" s="89" t="s">
        <v>783</v>
      </c>
      <c r="AK103" s="89" t="s">
        <v>68</v>
      </c>
      <c r="AL103" s="91">
        <v>39134</v>
      </c>
      <c r="AM103" s="91"/>
      <c r="AN103" s="91"/>
      <c r="AO103" s="91"/>
      <c r="AP103" s="73" t="e">
        <f>MID(VLOOKUP(K103,#REF!,2,FALSE),1,2)</f>
        <v>#REF!</v>
      </c>
      <c r="AQ103" s="89">
        <f>DATE(2006,6,5)</f>
        <v>38873</v>
      </c>
      <c r="AR103" s="82">
        <f t="shared" si="8"/>
        <v>5</v>
      </c>
      <c r="AS103" s="83">
        <f t="shared" si="9"/>
        <v>6</v>
      </c>
      <c r="AT103" s="84">
        <f t="shared" si="10"/>
        <v>2006</v>
      </c>
      <c r="AU103" s="86"/>
      <c r="AV103" s="86"/>
      <c r="AW103" s="87"/>
      <c r="AX103" s="86"/>
      <c r="AY103" s="83"/>
      <c r="AZ103" s="84"/>
      <c r="BA103" s="86"/>
      <c r="BB103" s="86"/>
      <c r="BD103" s="68">
        <f t="shared" si="11"/>
        <v>0</v>
      </c>
    </row>
    <row r="104" spans="1:56" ht="36.75" customHeight="1">
      <c r="A104" s="30"/>
      <c r="B104" s="30" t="s">
        <v>55</v>
      </c>
      <c r="C104" s="69" t="str">
        <f t="shared" si="7"/>
        <v>Closed</v>
      </c>
      <c r="D104" s="27" t="s">
        <v>784</v>
      </c>
      <c r="E104" s="29" t="s">
        <v>785</v>
      </c>
      <c r="F104" s="30" t="s">
        <v>233</v>
      </c>
      <c r="G104" s="89">
        <f>DATE(2006,6,8)</f>
        <v>38876</v>
      </c>
      <c r="H104" s="90">
        <v>1.4055555555555554</v>
      </c>
      <c r="I104" s="30" t="s">
        <v>116</v>
      </c>
      <c r="J104" s="89" t="s">
        <v>786</v>
      </c>
      <c r="K104" s="30" t="s">
        <v>235</v>
      </c>
      <c r="L104" s="30" t="s">
        <v>787</v>
      </c>
      <c r="M104" s="30" t="s">
        <v>255</v>
      </c>
      <c r="N104" s="30">
        <v>0</v>
      </c>
      <c r="O104" s="30" t="s">
        <v>64</v>
      </c>
      <c r="P104" s="89" t="s">
        <v>86</v>
      </c>
      <c r="Q104" s="89" t="s">
        <v>788</v>
      </c>
      <c r="R104" s="89" t="s">
        <v>788</v>
      </c>
      <c r="S104" s="30">
        <v>0</v>
      </c>
      <c r="T104" s="233" t="s">
        <v>68</v>
      </c>
      <c r="U104" s="30">
        <v>0</v>
      </c>
      <c r="V104" s="233" t="s">
        <v>68</v>
      </c>
      <c r="W104" s="30">
        <v>0</v>
      </c>
      <c r="X104" s="30">
        <v>0</v>
      </c>
      <c r="Y104" s="30">
        <v>0</v>
      </c>
      <c r="Z104" s="233" t="s">
        <v>68</v>
      </c>
      <c r="AA104" s="30">
        <v>0</v>
      </c>
      <c r="AB104" s="30">
        <v>0</v>
      </c>
      <c r="AC104" s="30">
        <v>0</v>
      </c>
      <c r="AD104" s="30">
        <v>0</v>
      </c>
      <c r="AE104" s="89" t="s">
        <v>68</v>
      </c>
      <c r="AF104" s="89" t="s">
        <v>789</v>
      </c>
      <c r="AG104" s="89" t="s">
        <v>248</v>
      </c>
      <c r="AH104" s="72" t="s">
        <v>68</v>
      </c>
      <c r="AI104" s="30">
        <v>2</v>
      </c>
      <c r="AJ104" s="89" t="s">
        <v>790</v>
      </c>
      <c r="AK104" s="89" t="s">
        <v>791</v>
      </c>
      <c r="AL104" s="91">
        <v>39380</v>
      </c>
      <c r="AM104" s="91"/>
      <c r="AN104" s="91"/>
      <c r="AO104" s="91"/>
      <c r="AP104" s="73" t="e">
        <f>MID(VLOOKUP(K104,#REF!,2,FALSE),1,2)</f>
        <v>#REF!</v>
      </c>
      <c r="AQ104" s="89">
        <f>DATE(2006,6,8)</f>
        <v>38876</v>
      </c>
      <c r="AR104" s="82">
        <f t="shared" si="8"/>
        <v>8</v>
      </c>
      <c r="AS104" s="83">
        <f t="shared" si="9"/>
        <v>6</v>
      </c>
      <c r="AT104" s="84">
        <f t="shared" si="10"/>
        <v>2006</v>
      </c>
      <c r="AU104" s="86"/>
      <c r="AV104" s="86"/>
      <c r="AW104" s="87"/>
      <c r="AX104" s="86"/>
      <c r="AY104" s="83"/>
      <c r="AZ104" s="84"/>
      <c r="BA104" s="86"/>
      <c r="BB104" s="86"/>
      <c r="BD104" s="68">
        <f t="shared" si="11"/>
        <v>0</v>
      </c>
    </row>
    <row r="105" spans="1:56" ht="36.75" customHeight="1">
      <c r="A105" s="30"/>
      <c r="B105" s="30" t="s">
        <v>55</v>
      </c>
      <c r="C105" s="69" t="str">
        <f t="shared" si="7"/>
        <v>Closed</v>
      </c>
      <c r="D105" s="27" t="s">
        <v>792</v>
      </c>
      <c r="E105" s="29" t="s">
        <v>793</v>
      </c>
      <c r="F105" s="30" t="s">
        <v>638</v>
      </c>
      <c r="G105" s="89">
        <f>DATE(2006,6,9)</f>
        <v>38877</v>
      </c>
      <c r="H105" s="90">
        <v>1.7555555555555555</v>
      </c>
      <c r="I105" s="30" t="s">
        <v>278</v>
      </c>
      <c r="J105" s="89" t="s">
        <v>794</v>
      </c>
      <c r="K105" s="30" t="s">
        <v>640</v>
      </c>
      <c r="L105" s="30" t="s">
        <v>795</v>
      </c>
      <c r="M105" s="30" t="s">
        <v>63</v>
      </c>
      <c r="N105" s="30">
        <v>0</v>
      </c>
      <c r="O105" s="30" t="s">
        <v>64</v>
      </c>
      <c r="P105" s="89" t="s">
        <v>65</v>
      </c>
      <c r="Q105" s="89" t="s">
        <v>642</v>
      </c>
      <c r="R105" s="89" t="s">
        <v>643</v>
      </c>
      <c r="S105" s="30">
        <v>0</v>
      </c>
      <c r="T105" s="233">
        <v>0</v>
      </c>
      <c r="U105" s="30">
        <v>0</v>
      </c>
      <c r="V105" s="233">
        <v>1</v>
      </c>
      <c r="W105" s="30">
        <v>0</v>
      </c>
      <c r="X105" s="30">
        <v>1</v>
      </c>
      <c r="Y105" s="30">
        <v>0</v>
      </c>
      <c r="Z105" s="233">
        <v>0</v>
      </c>
      <c r="AA105" s="30">
        <v>0</v>
      </c>
      <c r="AB105" s="30">
        <v>1</v>
      </c>
      <c r="AC105" s="30">
        <v>0</v>
      </c>
      <c r="AD105" s="30">
        <v>1</v>
      </c>
      <c r="AE105" s="89" t="s">
        <v>68</v>
      </c>
      <c r="AF105" s="89" t="s">
        <v>68</v>
      </c>
      <c r="AG105" s="89" t="s">
        <v>248</v>
      </c>
      <c r="AH105" s="72" t="s">
        <v>68</v>
      </c>
      <c r="AI105" s="30">
        <v>1</v>
      </c>
      <c r="AJ105" s="89" t="s">
        <v>68</v>
      </c>
      <c r="AK105" s="89" t="s">
        <v>68</v>
      </c>
      <c r="AL105" s="91">
        <v>39105</v>
      </c>
      <c r="AM105" s="91"/>
      <c r="AN105" s="91"/>
      <c r="AO105" s="91"/>
      <c r="AP105" s="73" t="e">
        <f>MID(VLOOKUP(K105,#REF!,2,FALSE),1,2)</f>
        <v>#REF!</v>
      </c>
      <c r="AQ105" s="89">
        <f>DATE(2006,6,9)</f>
        <v>38877</v>
      </c>
      <c r="AR105" s="82">
        <f t="shared" si="8"/>
        <v>9</v>
      </c>
      <c r="AS105" s="83">
        <f t="shared" si="9"/>
        <v>6</v>
      </c>
      <c r="AT105" s="84">
        <f t="shared" si="10"/>
        <v>2006</v>
      </c>
      <c r="AU105" s="86"/>
      <c r="AV105" s="86"/>
      <c r="AW105" s="87"/>
      <c r="AX105" s="86"/>
      <c r="AY105" s="83"/>
      <c r="AZ105" s="84"/>
      <c r="BA105" s="86"/>
      <c r="BB105" s="86"/>
      <c r="BD105" s="68">
        <f t="shared" si="11"/>
        <v>0</v>
      </c>
    </row>
    <row r="106" spans="1:56" ht="36.75" customHeight="1">
      <c r="A106" s="30"/>
      <c r="B106" s="30" t="s">
        <v>55</v>
      </c>
      <c r="C106" s="69" t="str">
        <f t="shared" si="7"/>
        <v>Closed</v>
      </c>
      <c r="D106" s="27" t="s">
        <v>796</v>
      </c>
      <c r="E106" s="29" t="s">
        <v>797</v>
      </c>
      <c r="F106" s="30" t="s">
        <v>233</v>
      </c>
      <c r="G106" s="89">
        <f>DATE(2006,6,10)</f>
        <v>38878</v>
      </c>
      <c r="H106" s="90">
        <v>1.4861111111111112</v>
      </c>
      <c r="I106" s="30" t="s">
        <v>86</v>
      </c>
      <c r="J106" s="89" t="s">
        <v>798</v>
      </c>
      <c r="K106" s="30" t="s">
        <v>235</v>
      </c>
      <c r="L106" s="30" t="s">
        <v>799</v>
      </c>
      <c r="M106" s="30" t="s">
        <v>63</v>
      </c>
      <c r="N106" s="30">
        <v>0</v>
      </c>
      <c r="O106" s="30" t="s">
        <v>64</v>
      </c>
      <c r="P106" s="89" t="s">
        <v>462</v>
      </c>
      <c r="Q106" s="89" t="s">
        <v>800</v>
      </c>
      <c r="R106" s="89" t="s">
        <v>238</v>
      </c>
      <c r="S106" s="30">
        <v>0</v>
      </c>
      <c r="T106" s="233" t="s">
        <v>68</v>
      </c>
      <c r="U106" s="30">
        <v>0</v>
      </c>
      <c r="V106" s="233" t="s">
        <v>68</v>
      </c>
      <c r="W106" s="30">
        <v>0</v>
      </c>
      <c r="X106" s="30">
        <v>0</v>
      </c>
      <c r="Y106" s="30">
        <v>0</v>
      </c>
      <c r="Z106" s="233" t="s">
        <v>68</v>
      </c>
      <c r="AA106" s="30">
        <v>0</v>
      </c>
      <c r="AB106" s="30">
        <v>0</v>
      </c>
      <c r="AC106" s="30">
        <v>0</v>
      </c>
      <c r="AD106" s="30">
        <v>0</v>
      </c>
      <c r="AE106" s="89" t="s">
        <v>68</v>
      </c>
      <c r="AF106" s="89" t="s">
        <v>68</v>
      </c>
      <c r="AG106" s="89" t="s">
        <v>133</v>
      </c>
      <c r="AH106" s="72" t="s">
        <v>68</v>
      </c>
      <c r="AI106" s="30">
        <v>9</v>
      </c>
      <c r="AJ106" s="89" t="s">
        <v>801</v>
      </c>
      <c r="AK106" s="89" t="s">
        <v>802</v>
      </c>
      <c r="AL106" s="91">
        <v>39188</v>
      </c>
      <c r="AM106" s="91"/>
      <c r="AN106" s="91"/>
      <c r="AO106" s="91"/>
      <c r="AP106" s="73" t="e">
        <f>MID(VLOOKUP(K106,#REF!,2,FALSE),1,2)</f>
        <v>#REF!</v>
      </c>
      <c r="AQ106" s="89">
        <f>DATE(2006,6,10)</f>
        <v>38878</v>
      </c>
      <c r="AR106" s="82">
        <f t="shared" si="8"/>
        <v>10</v>
      </c>
      <c r="AS106" s="83">
        <f t="shared" si="9"/>
        <v>6</v>
      </c>
      <c r="AT106" s="84">
        <f t="shared" si="10"/>
        <v>2006</v>
      </c>
      <c r="AU106" s="86"/>
      <c r="AV106" s="86"/>
      <c r="AW106" s="87"/>
      <c r="AX106" s="86"/>
      <c r="AY106" s="83"/>
      <c r="AZ106" s="84"/>
      <c r="BA106" s="86"/>
      <c r="BB106" s="86"/>
      <c r="BD106" s="68">
        <f t="shared" si="11"/>
        <v>0</v>
      </c>
    </row>
    <row r="107" spans="1:56" ht="36.75" customHeight="1">
      <c r="A107" s="30"/>
      <c r="B107" s="30" t="s">
        <v>55</v>
      </c>
      <c r="C107" s="69" t="str">
        <f t="shared" si="7"/>
        <v>Closed</v>
      </c>
      <c r="D107" s="27" t="s">
        <v>803</v>
      </c>
      <c r="E107" s="29" t="s">
        <v>804</v>
      </c>
      <c r="F107" s="30" t="s">
        <v>115</v>
      </c>
      <c r="G107" s="89">
        <f>DATE(2006,6,13)</f>
        <v>38881</v>
      </c>
      <c r="H107" s="90">
        <v>1.4166666666666667</v>
      </c>
      <c r="I107" s="30" t="s">
        <v>73</v>
      </c>
      <c r="J107" s="89" t="s">
        <v>805</v>
      </c>
      <c r="K107" s="30" t="s">
        <v>118</v>
      </c>
      <c r="L107" s="30" t="s">
        <v>806</v>
      </c>
      <c r="M107" s="30" t="s">
        <v>63</v>
      </c>
      <c r="N107" s="30">
        <v>0</v>
      </c>
      <c r="O107" s="30" t="s">
        <v>64</v>
      </c>
      <c r="P107" s="89" t="s">
        <v>78</v>
      </c>
      <c r="Q107" s="89" t="s">
        <v>120</v>
      </c>
      <c r="R107" s="89" t="s">
        <v>121</v>
      </c>
      <c r="S107" s="30">
        <v>0</v>
      </c>
      <c r="T107" s="233" t="s">
        <v>68</v>
      </c>
      <c r="U107" s="30">
        <v>0</v>
      </c>
      <c r="V107" s="233" t="s">
        <v>68</v>
      </c>
      <c r="W107" s="30">
        <v>0</v>
      </c>
      <c r="X107" s="30">
        <v>0</v>
      </c>
      <c r="Y107" s="30">
        <v>0</v>
      </c>
      <c r="Z107" s="233" t="s">
        <v>68</v>
      </c>
      <c r="AA107" s="30">
        <v>0</v>
      </c>
      <c r="AB107" s="30">
        <v>0</v>
      </c>
      <c r="AC107" s="30">
        <v>0</v>
      </c>
      <c r="AD107" s="30">
        <v>0</v>
      </c>
      <c r="AE107" s="89" t="s">
        <v>68</v>
      </c>
      <c r="AF107" s="89" t="s">
        <v>807</v>
      </c>
      <c r="AG107" s="89" t="s">
        <v>82</v>
      </c>
      <c r="AH107" s="72" t="s">
        <v>68</v>
      </c>
      <c r="AI107" s="30">
        <v>0</v>
      </c>
      <c r="AJ107" s="89" t="s">
        <v>68</v>
      </c>
      <c r="AK107" s="89" t="s">
        <v>68</v>
      </c>
      <c r="AL107" s="91">
        <v>39532</v>
      </c>
      <c r="AM107" s="91"/>
      <c r="AN107" s="91"/>
      <c r="AO107" s="91"/>
      <c r="AP107" s="73" t="e">
        <f>MID(VLOOKUP(K107,#REF!,2,FALSE),1,2)</f>
        <v>#REF!</v>
      </c>
      <c r="AQ107" s="89">
        <f>DATE(2006,6,13)</f>
        <v>38881</v>
      </c>
      <c r="AR107" s="82">
        <f t="shared" si="8"/>
        <v>13</v>
      </c>
      <c r="AS107" s="83">
        <f t="shared" si="9"/>
        <v>6</v>
      </c>
      <c r="AT107" s="84">
        <f t="shared" si="10"/>
        <v>2006</v>
      </c>
      <c r="AU107" s="86"/>
      <c r="AV107" s="86"/>
      <c r="AW107" s="87"/>
      <c r="AX107" s="86"/>
      <c r="AY107" s="83"/>
      <c r="AZ107" s="84"/>
      <c r="BA107" s="86"/>
      <c r="BB107" s="86"/>
      <c r="BD107" s="68">
        <f t="shared" si="11"/>
        <v>0</v>
      </c>
    </row>
    <row r="108" spans="1:56" ht="36.75" customHeight="1">
      <c r="A108" s="30"/>
      <c r="B108" s="30" t="s">
        <v>55</v>
      </c>
      <c r="C108" s="69" t="str">
        <f t="shared" si="7"/>
        <v>Closed</v>
      </c>
      <c r="D108" s="27" t="s">
        <v>808</v>
      </c>
      <c r="E108" s="29" t="s">
        <v>809</v>
      </c>
      <c r="F108" s="30" t="s">
        <v>423</v>
      </c>
      <c r="G108" s="89">
        <f>DATE(2006,6,18)</f>
        <v>38886</v>
      </c>
      <c r="H108" s="90">
        <v>1.0923611111111111</v>
      </c>
      <c r="I108" s="30" t="s">
        <v>198</v>
      </c>
      <c r="J108" s="89" t="s">
        <v>810</v>
      </c>
      <c r="K108" s="30" t="s">
        <v>425</v>
      </c>
      <c r="L108" s="30" t="s">
        <v>811</v>
      </c>
      <c r="M108" s="30" t="s">
        <v>63</v>
      </c>
      <c r="N108" s="30">
        <v>0</v>
      </c>
      <c r="O108" s="30" t="s">
        <v>77</v>
      </c>
      <c r="P108" s="89" t="s">
        <v>812</v>
      </c>
      <c r="Q108" s="89" t="s">
        <v>554</v>
      </c>
      <c r="R108" s="89" t="s">
        <v>427</v>
      </c>
      <c r="S108" s="30">
        <v>0</v>
      </c>
      <c r="T108" s="233" t="s">
        <v>68</v>
      </c>
      <c r="U108" s="30">
        <v>0</v>
      </c>
      <c r="V108" s="233" t="s">
        <v>68</v>
      </c>
      <c r="W108" s="30">
        <v>0</v>
      </c>
      <c r="X108" s="30">
        <v>0</v>
      </c>
      <c r="Y108" s="30">
        <v>0</v>
      </c>
      <c r="Z108" s="233" t="s">
        <v>68</v>
      </c>
      <c r="AA108" s="30">
        <v>0</v>
      </c>
      <c r="AB108" s="30">
        <v>0</v>
      </c>
      <c r="AC108" s="30">
        <v>0</v>
      </c>
      <c r="AD108" s="30">
        <v>0</v>
      </c>
      <c r="AE108" s="89" t="s">
        <v>68</v>
      </c>
      <c r="AF108" s="89" t="s">
        <v>813</v>
      </c>
      <c r="AG108" s="89" t="s">
        <v>133</v>
      </c>
      <c r="AH108" s="72" t="s">
        <v>68</v>
      </c>
      <c r="AI108" s="30">
        <v>0</v>
      </c>
      <c r="AJ108" s="89" t="s">
        <v>68</v>
      </c>
      <c r="AK108" s="89" t="s">
        <v>68</v>
      </c>
      <c r="AL108" s="91">
        <v>39280</v>
      </c>
      <c r="AM108" s="91"/>
      <c r="AN108" s="91"/>
      <c r="AO108" s="91"/>
      <c r="AP108" s="73" t="e">
        <f>MID(VLOOKUP(K108,#REF!,2,FALSE),1,2)</f>
        <v>#REF!</v>
      </c>
      <c r="AQ108" s="89">
        <f>DATE(2006,6,18)</f>
        <v>38886</v>
      </c>
      <c r="AR108" s="82">
        <f t="shared" si="8"/>
        <v>18</v>
      </c>
      <c r="AS108" s="83">
        <f t="shared" si="9"/>
        <v>6</v>
      </c>
      <c r="AT108" s="84">
        <f t="shared" si="10"/>
        <v>2006</v>
      </c>
      <c r="AU108" s="86"/>
      <c r="AV108" s="86"/>
      <c r="AW108" s="87"/>
      <c r="AX108" s="86"/>
      <c r="AY108" s="83"/>
      <c r="AZ108" s="84"/>
      <c r="BA108" s="86"/>
      <c r="BB108" s="86"/>
      <c r="BD108" s="68">
        <f t="shared" si="11"/>
        <v>0</v>
      </c>
    </row>
    <row r="109" spans="1:56" ht="36.75" customHeight="1">
      <c r="A109" s="30"/>
      <c r="B109" s="30" t="s">
        <v>55</v>
      </c>
      <c r="C109" s="69" t="str">
        <f t="shared" si="7"/>
        <v>Closed</v>
      </c>
      <c r="D109" s="27" t="s">
        <v>814</v>
      </c>
      <c r="E109" s="29" t="s">
        <v>815</v>
      </c>
      <c r="F109" s="30" t="s">
        <v>124</v>
      </c>
      <c r="G109" s="89">
        <f>DATE(2006,6,21)</f>
        <v>38889</v>
      </c>
      <c r="H109" s="90">
        <v>1.1388888888888888</v>
      </c>
      <c r="I109" s="30" t="s">
        <v>156</v>
      </c>
      <c r="J109" s="89" t="s">
        <v>816</v>
      </c>
      <c r="K109" s="30" t="s">
        <v>127</v>
      </c>
      <c r="L109" s="30" t="s">
        <v>817</v>
      </c>
      <c r="M109" s="30" t="s">
        <v>63</v>
      </c>
      <c r="N109" s="30">
        <v>0</v>
      </c>
      <c r="O109" s="30" t="s">
        <v>64</v>
      </c>
      <c r="P109" s="89" t="s">
        <v>78</v>
      </c>
      <c r="Q109" s="89" t="s">
        <v>401</v>
      </c>
      <c r="R109" s="89" t="s">
        <v>167</v>
      </c>
      <c r="S109" s="30">
        <v>0</v>
      </c>
      <c r="T109" s="233" t="s">
        <v>68</v>
      </c>
      <c r="U109" s="30">
        <v>0</v>
      </c>
      <c r="V109" s="233" t="s">
        <v>68</v>
      </c>
      <c r="W109" s="30">
        <v>0</v>
      </c>
      <c r="X109" s="30">
        <v>0</v>
      </c>
      <c r="Y109" s="30">
        <v>0</v>
      </c>
      <c r="Z109" s="233" t="s">
        <v>68</v>
      </c>
      <c r="AA109" s="30">
        <v>0</v>
      </c>
      <c r="AB109" s="30">
        <v>0</v>
      </c>
      <c r="AC109" s="30">
        <v>0</v>
      </c>
      <c r="AD109" s="30">
        <v>0</v>
      </c>
      <c r="AE109" s="89" t="s">
        <v>68</v>
      </c>
      <c r="AF109" s="89" t="s">
        <v>818</v>
      </c>
      <c r="AG109" s="89" t="s">
        <v>133</v>
      </c>
      <c r="AH109" s="72" t="s">
        <v>68</v>
      </c>
      <c r="AI109" s="30">
        <v>2</v>
      </c>
      <c r="AJ109" s="89" t="s">
        <v>68</v>
      </c>
      <c r="AK109" s="89" t="s">
        <v>68</v>
      </c>
      <c r="AL109" s="91">
        <v>39183</v>
      </c>
      <c r="AM109" s="91"/>
      <c r="AN109" s="91"/>
      <c r="AO109" s="91"/>
      <c r="AP109" s="73" t="e">
        <f>MID(VLOOKUP(K109,#REF!,2,FALSE),1,2)</f>
        <v>#REF!</v>
      </c>
      <c r="AQ109" s="89">
        <f>DATE(2006,6,21)</f>
        <v>38889</v>
      </c>
      <c r="AR109" s="82">
        <f t="shared" si="8"/>
        <v>21</v>
      </c>
      <c r="AS109" s="83">
        <f t="shared" si="9"/>
        <v>6</v>
      </c>
      <c r="AT109" s="84">
        <f t="shared" si="10"/>
        <v>2006</v>
      </c>
      <c r="AU109" s="86"/>
      <c r="AV109" s="86"/>
      <c r="AW109" s="87"/>
      <c r="AX109" s="86"/>
      <c r="AY109" s="83"/>
      <c r="AZ109" s="84"/>
      <c r="BA109" s="86"/>
      <c r="BB109" s="86"/>
      <c r="BD109" s="68">
        <f t="shared" si="11"/>
        <v>0</v>
      </c>
    </row>
    <row r="110" spans="1:56" ht="36.75" customHeight="1">
      <c r="A110" s="30"/>
      <c r="B110" s="30" t="s">
        <v>55</v>
      </c>
      <c r="C110" s="69" t="str">
        <f t="shared" si="7"/>
        <v>Closed</v>
      </c>
      <c r="D110" s="27" t="s">
        <v>819</v>
      </c>
      <c r="E110" s="29" t="s">
        <v>820</v>
      </c>
      <c r="F110" s="30" t="s">
        <v>124</v>
      </c>
      <c r="G110" s="89">
        <f>DATE(2006,6,22)</f>
        <v>38890</v>
      </c>
      <c r="H110" s="90">
        <v>1.7534722222222223</v>
      </c>
      <c r="I110" s="30" t="s">
        <v>125</v>
      </c>
      <c r="J110" s="89" t="s">
        <v>821</v>
      </c>
      <c r="K110" s="30" t="s">
        <v>127</v>
      </c>
      <c r="L110" s="30" t="s">
        <v>822</v>
      </c>
      <c r="M110" s="30" t="s">
        <v>63</v>
      </c>
      <c r="N110" s="30">
        <v>0</v>
      </c>
      <c r="O110" s="30" t="s">
        <v>64</v>
      </c>
      <c r="P110" s="89" t="s">
        <v>78</v>
      </c>
      <c r="Q110" s="89" t="s">
        <v>401</v>
      </c>
      <c r="R110" s="89" t="s">
        <v>167</v>
      </c>
      <c r="S110" s="30">
        <v>0</v>
      </c>
      <c r="T110" s="233" t="s">
        <v>68</v>
      </c>
      <c r="U110" s="30">
        <v>0</v>
      </c>
      <c r="V110" s="233" t="s">
        <v>68</v>
      </c>
      <c r="W110" s="30">
        <v>0</v>
      </c>
      <c r="X110" s="30">
        <v>0</v>
      </c>
      <c r="Y110" s="30">
        <v>0</v>
      </c>
      <c r="Z110" s="233" t="s">
        <v>68</v>
      </c>
      <c r="AA110" s="30">
        <v>0</v>
      </c>
      <c r="AB110" s="30">
        <v>0</v>
      </c>
      <c r="AC110" s="30">
        <v>0</v>
      </c>
      <c r="AD110" s="30">
        <v>0</v>
      </c>
      <c r="AE110" s="89" t="s">
        <v>68</v>
      </c>
      <c r="AF110" s="89" t="s">
        <v>823</v>
      </c>
      <c r="AG110" s="89" t="s">
        <v>82</v>
      </c>
      <c r="AH110" s="72" t="s">
        <v>68</v>
      </c>
      <c r="AI110" s="30">
        <v>2</v>
      </c>
      <c r="AJ110" s="89" t="s">
        <v>68</v>
      </c>
      <c r="AK110" s="89" t="s">
        <v>68</v>
      </c>
      <c r="AL110" s="91">
        <v>39294</v>
      </c>
      <c r="AM110" s="91"/>
      <c r="AN110" s="91"/>
      <c r="AO110" s="91"/>
      <c r="AP110" s="73" t="e">
        <f>MID(VLOOKUP(K110,#REF!,2,FALSE),1,2)</f>
        <v>#REF!</v>
      </c>
      <c r="AQ110" s="89">
        <f>DATE(2006,6,22)</f>
        <v>38890</v>
      </c>
      <c r="AR110" s="82">
        <f t="shared" si="8"/>
        <v>22</v>
      </c>
      <c r="AS110" s="83">
        <f t="shared" si="9"/>
        <v>6</v>
      </c>
      <c r="AT110" s="84">
        <f t="shared" si="10"/>
        <v>2006</v>
      </c>
      <c r="AU110" s="86"/>
      <c r="AV110" s="86"/>
      <c r="AW110" s="87"/>
      <c r="AX110" s="86"/>
      <c r="AY110" s="83"/>
      <c r="AZ110" s="84"/>
      <c r="BA110" s="86"/>
      <c r="BB110" s="86"/>
      <c r="BD110" s="68">
        <f t="shared" si="11"/>
        <v>0</v>
      </c>
    </row>
    <row r="111" spans="1:56" ht="36.75" customHeight="1">
      <c r="A111" s="30"/>
      <c r="B111" s="30" t="s">
        <v>55</v>
      </c>
      <c r="C111" s="69" t="str">
        <f t="shared" si="7"/>
        <v>Closed</v>
      </c>
      <c r="D111" s="27" t="s">
        <v>824</v>
      </c>
      <c r="E111" s="29" t="s">
        <v>825</v>
      </c>
      <c r="F111" s="30" t="s">
        <v>638</v>
      </c>
      <c r="G111" s="89">
        <f>DATE(2006,6,23)</f>
        <v>38891</v>
      </c>
      <c r="H111" s="90">
        <v>1.9750000000000001</v>
      </c>
      <c r="I111" s="30" t="s">
        <v>278</v>
      </c>
      <c r="J111" s="89" t="s">
        <v>826</v>
      </c>
      <c r="K111" s="30" t="s">
        <v>640</v>
      </c>
      <c r="L111" s="30" t="s">
        <v>827</v>
      </c>
      <c r="M111" s="30" t="s">
        <v>63</v>
      </c>
      <c r="N111" s="30">
        <v>0</v>
      </c>
      <c r="O111" s="30" t="s">
        <v>64</v>
      </c>
      <c r="P111" s="89" t="s">
        <v>165</v>
      </c>
      <c r="Q111" s="89" t="s">
        <v>642</v>
      </c>
      <c r="R111" s="89" t="s">
        <v>643</v>
      </c>
      <c r="S111" s="30">
        <v>0</v>
      </c>
      <c r="T111" s="233">
        <v>0</v>
      </c>
      <c r="U111" s="30">
        <v>0</v>
      </c>
      <c r="V111" s="233">
        <v>1</v>
      </c>
      <c r="W111" s="30">
        <v>0</v>
      </c>
      <c r="X111" s="30">
        <v>1</v>
      </c>
      <c r="Y111" s="30">
        <v>0</v>
      </c>
      <c r="Z111" s="233">
        <v>0</v>
      </c>
      <c r="AA111" s="30">
        <v>0</v>
      </c>
      <c r="AB111" s="30">
        <v>0</v>
      </c>
      <c r="AC111" s="30">
        <v>0</v>
      </c>
      <c r="AD111" s="30">
        <v>0</v>
      </c>
      <c r="AE111" s="89" t="s">
        <v>68</v>
      </c>
      <c r="AF111" s="89" t="s">
        <v>68</v>
      </c>
      <c r="AG111" s="89" t="s">
        <v>248</v>
      </c>
      <c r="AH111" s="72" t="s">
        <v>68</v>
      </c>
      <c r="AI111" s="30">
        <v>1</v>
      </c>
      <c r="AJ111" s="89" t="s">
        <v>68</v>
      </c>
      <c r="AK111" s="89" t="s">
        <v>68</v>
      </c>
      <c r="AL111" s="91">
        <v>39105</v>
      </c>
      <c r="AM111" s="91"/>
      <c r="AN111" s="91"/>
      <c r="AO111" s="91"/>
      <c r="AP111" s="73" t="e">
        <f>MID(VLOOKUP(K111,#REF!,2,FALSE),1,2)</f>
        <v>#REF!</v>
      </c>
      <c r="AQ111" s="89">
        <f>DATE(2006,6,23)</f>
        <v>38891</v>
      </c>
      <c r="AR111" s="82">
        <f t="shared" si="8"/>
        <v>23</v>
      </c>
      <c r="AS111" s="83">
        <f t="shared" si="9"/>
        <v>6</v>
      </c>
      <c r="AT111" s="84">
        <f t="shared" si="10"/>
        <v>2006</v>
      </c>
      <c r="AU111" s="86"/>
      <c r="AV111" s="86"/>
      <c r="AW111" s="87"/>
      <c r="AX111" s="86"/>
      <c r="AY111" s="83"/>
      <c r="AZ111" s="84"/>
      <c r="BA111" s="86"/>
      <c r="BB111" s="86"/>
      <c r="BD111" s="68">
        <f t="shared" si="11"/>
        <v>0</v>
      </c>
    </row>
    <row r="112" spans="1:56" ht="36.75" customHeight="1">
      <c r="A112" s="30"/>
      <c r="B112" s="30" t="s">
        <v>55</v>
      </c>
      <c r="C112" s="69" t="str">
        <f t="shared" si="7"/>
        <v>Closed</v>
      </c>
      <c r="D112" s="27" t="s">
        <v>828</v>
      </c>
      <c r="E112" s="29" t="s">
        <v>829</v>
      </c>
      <c r="F112" s="30" t="s">
        <v>124</v>
      </c>
      <c r="G112" s="89">
        <f>DATE(2006,6,26)</f>
        <v>38894</v>
      </c>
      <c r="H112" s="90">
        <v>1.7534722222222223</v>
      </c>
      <c r="I112" s="30" t="s">
        <v>125</v>
      </c>
      <c r="J112" s="89" t="s">
        <v>830</v>
      </c>
      <c r="K112" s="30" t="s">
        <v>127</v>
      </c>
      <c r="L112" s="30" t="s">
        <v>831</v>
      </c>
      <c r="M112" s="30" t="s">
        <v>63</v>
      </c>
      <c r="N112" s="30">
        <v>0</v>
      </c>
      <c r="O112" s="30" t="s">
        <v>64</v>
      </c>
      <c r="P112" s="89" t="s">
        <v>78</v>
      </c>
      <c r="Q112" s="89" t="s">
        <v>401</v>
      </c>
      <c r="R112" s="89" t="s">
        <v>167</v>
      </c>
      <c r="S112" s="30">
        <v>0</v>
      </c>
      <c r="T112" s="233" t="s">
        <v>68</v>
      </c>
      <c r="U112" s="30">
        <v>0</v>
      </c>
      <c r="V112" s="233" t="s">
        <v>68</v>
      </c>
      <c r="W112" s="30">
        <v>0</v>
      </c>
      <c r="X112" s="30">
        <v>0</v>
      </c>
      <c r="Y112" s="30">
        <v>0</v>
      </c>
      <c r="Z112" s="233" t="s">
        <v>68</v>
      </c>
      <c r="AA112" s="30">
        <v>0</v>
      </c>
      <c r="AB112" s="30">
        <v>0</v>
      </c>
      <c r="AC112" s="30">
        <v>0</v>
      </c>
      <c r="AD112" s="30">
        <v>0</v>
      </c>
      <c r="AE112" s="89" t="s">
        <v>68</v>
      </c>
      <c r="AF112" s="89" t="s">
        <v>832</v>
      </c>
      <c r="AG112" s="89" t="s">
        <v>133</v>
      </c>
      <c r="AH112" s="72" t="s">
        <v>68</v>
      </c>
      <c r="AI112" s="30">
        <v>3</v>
      </c>
      <c r="AJ112" s="89" t="s">
        <v>68</v>
      </c>
      <c r="AK112" s="89" t="s">
        <v>68</v>
      </c>
      <c r="AL112" s="91">
        <v>39183</v>
      </c>
      <c r="AM112" s="91"/>
      <c r="AN112" s="91"/>
      <c r="AO112" s="91"/>
      <c r="AP112" s="73" t="e">
        <f>MID(VLOOKUP(K112,#REF!,2,FALSE),1,2)</f>
        <v>#REF!</v>
      </c>
      <c r="AQ112" s="89">
        <f>DATE(2006,6,26)</f>
        <v>38894</v>
      </c>
      <c r="AR112" s="82">
        <f t="shared" si="8"/>
        <v>26</v>
      </c>
      <c r="AS112" s="83">
        <f t="shared" si="9"/>
        <v>6</v>
      </c>
      <c r="AT112" s="84">
        <f t="shared" si="10"/>
        <v>2006</v>
      </c>
      <c r="AU112" s="86"/>
      <c r="AV112" s="86"/>
      <c r="AW112" s="87"/>
      <c r="AX112" s="86"/>
      <c r="AY112" s="83"/>
      <c r="AZ112" s="84"/>
      <c r="BA112" s="86"/>
      <c r="BB112" s="86"/>
      <c r="BD112" s="68">
        <f t="shared" si="11"/>
        <v>0</v>
      </c>
    </row>
    <row r="113" spans="1:56" ht="36.75" customHeight="1">
      <c r="A113" s="30"/>
      <c r="B113" s="30" t="s">
        <v>55</v>
      </c>
      <c r="C113" s="69" t="str">
        <f t="shared" si="7"/>
        <v>Closed</v>
      </c>
      <c r="D113" s="27" t="s">
        <v>833</v>
      </c>
      <c r="E113" s="29" t="s">
        <v>834</v>
      </c>
      <c r="F113" s="30" t="s">
        <v>835</v>
      </c>
      <c r="G113" s="89">
        <f>DATE(2006,6,28)</f>
        <v>38896</v>
      </c>
      <c r="H113" s="90">
        <v>1.5125000000000002</v>
      </c>
      <c r="I113" s="30" t="s">
        <v>116</v>
      </c>
      <c r="J113" s="89" t="s">
        <v>836</v>
      </c>
      <c r="K113" s="30" t="s">
        <v>837</v>
      </c>
      <c r="L113" s="30" t="s">
        <v>838</v>
      </c>
      <c r="M113" s="30" t="s">
        <v>63</v>
      </c>
      <c r="N113" s="30">
        <v>0</v>
      </c>
      <c r="O113" s="30" t="s">
        <v>77</v>
      </c>
      <c r="P113" s="89" t="s">
        <v>165</v>
      </c>
      <c r="Q113" s="89" t="s">
        <v>839</v>
      </c>
      <c r="R113" s="89" t="s">
        <v>840</v>
      </c>
      <c r="S113" s="30">
        <v>0</v>
      </c>
      <c r="T113" s="233" t="s">
        <v>68</v>
      </c>
      <c r="U113" s="30">
        <v>0</v>
      </c>
      <c r="V113" s="233" t="s">
        <v>68</v>
      </c>
      <c r="W113" s="30">
        <v>0</v>
      </c>
      <c r="X113" s="30">
        <v>0</v>
      </c>
      <c r="Y113" s="30">
        <v>0</v>
      </c>
      <c r="Z113" s="233" t="s">
        <v>68</v>
      </c>
      <c r="AA113" s="30">
        <v>0</v>
      </c>
      <c r="AB113" s="30">
        <v>0</v>
      </c>
      <c r="AC113" s="30">
        <v>0</v>
      </c>
      <c r="AD113" s="30">
        <v>0</v>
      </c>
      <c r="AE113" s="89" t="s">
        <v>68</v>
      </c>
      <c r="AF113" s="89" t="s">
        <v>841</v>
      </c>
      <c r="AG113" s="89" t="s">
        <v>133</v>
      </c>
      <c r="AH113" s="72" t="s">
        <v>68</v>
      </c>
      <c r="AI113" s="30">
        <v>0</v>
      </c>
      <c r="AJ113" s="89" t="s">
        <v>68</v>
      </c>
      <c r="AK113" s="89" t="s">
        <v>68</v>
      </c>
      <c r="AL113" s="91">
        <v>39266</v>
      </c>
      <c r="AM113" s="91"/>
      <c r="AN113" s="91"/>
      <c r="AO113" s="91"/>
      <c r="AP113" s="73" t="e">
        <f>MID(VLOOKUP(K113,#REF!,2,FALSE),1,2)</f>
        <v>#REF!</v>
      </c>
      <c r="AQ113" s="89">
        <f>DATE(2006,6,28)</f>
        <v>38896</v>
      </c>
      <c r="AR113" s="82">
        <f t="shared" si="8"/>
        <v>28</v>
      </c>
      <c r="AS113" s="83">
        <f t="shared" si="9"/>
        <v>6</v>
      </c>
      <c r="AT113" s="84">
        <f t="shared" si="10"/>
        <v>2006</v>
      </c>
      <c r="AU113" s="86"/>
      <c r="AV113" s="86"/>
      <c r="AW113" s="87"/>
      <c r="AX113" s="86"/>
      <c r="AY113" s="83"/>
      <c r="AZ113" s="84"/>
      <c r="BA113" s="86"/>
      <c r="BB113" s="86"/>
      <c r="BD113" s="68">
        <f t="shared" si="11"/>
        <v>0</v>
      </c>
    </row>
    <row r="114" spans="1:56" ht="36.75" customHeight="1">
      <c r="A114" s="30"/>
      <c r="B114" s="30" t="s">
        <v>55</v>
      </c>
      <c r="C114" s="69" t="str">
        <f t="shared" si="7"/>
        <v>Closed</v>
      </c>
      <c r="D114" s="27" t="s">
        <v>842</v>
      </c>
      <c r="E114" s="29" t="s">
        <v>843</v>
      </c>
      <c r="F114" s="30" t="s">
        <v>233</v>
      </c>
      <c r="G114" s="89">
        <f>DATE(2006,6,28)</f>
        <v>38896</v>
      </c>
      <c r="H114" s="90">
        <v>1.125</v>
      </c>
      <c r="I114" s="30" t="s">
        <v>73</v>
      </c>
      <c r="J114" s="89" t="s">
        <v>844</v>
      </c>
      <c r="K114" s="30" t="s">
        <v>235</v>
      </c>
      <c r="L114" s="30" t="s">
        <v>845</v>
      </c>
      <c r="M114" s="30" t="s">
        <v>63</v>
      </c>
      <c r="N114" s="30">
        <v>0</v>
      </c>
      <c r="O114" s="30" t="s">
        <v>64</v>
      </c>
      <c r="P114" s="89" t="s">
        <v>78</v>
      </c>
      <c r="Q114" s="89" t="s">
        <v>434</v>
      </c>
      <c r="R114" s="89" t="s">
        <v>238</v>
      </c>
      <c r="S114" s="30">
        <v>0</v>
      </c>
      <c r="T114" s="233" t="s">
        <v>68</v>
      </c>
      <c r="U114" s="30">
        <v>0</v>
      </c>
      <c r="V114" s="233" t="s">
        <v>68</v>
      </c>
      <c r="W114" s="30">
        <v>0</v>
      </c>
      <c r="X114" s="30">
        <v>0</v>
      </c>
      <c r="Y114" s="30">
        <v>0</v>
      </c>
      <c r="Z114" s="233" t="s">
        <v>68</v>
      </c>
      <c r="AA114" s="30">
        <v>0</v>
      </c>
      <c r="AB114" s="30">
        <v>0</v>
      </c>
      <c r="AC114" s="30">
        <v>0</v>
      </c>
      <c r="AD114" s="30">
        <v>0</v>
      </c>
      <c r="AE114" s="89" t="s">
        <v>68</v>
      </c>
      <c r="AF114" s="89" t="s">
        <v>68</v>
      </c>
      <c r="AG114" s="89" t="s">
        <v>133</v>
      </c>
      <c r="AH114" s="72" t="s">
        <v>68</v>
      </c>
      <c r="AI114" s="30">
        <v>4</v>
      </c>
      <c r="AJ114" s="89" t="s">
        <v>846</v>
      </c>
      <c r="AK114" s="89" t="s">
        <v>847</v>
      </c>
      <c r="AL114" s="91">
        <v>39225</v>
      </c>
      <c r="AM114" s="91"/>
      <c r="AN114" s="91"/>
      <c r="AO114" s="91"/>
      <c r="AP114" s="73" t="e">
        <f>MID(VLOOKUP(K114,#REF!,2,FALSE),1,2)</f>
        <v>#REF!</v>
      </c>
      <c r="AQ114" s="89">
        <f>DATE(2006,6,28)</f>
        <v>38896</v>
      </c>
      <c r="AR114" s="82">
        <f t="shared" si="8"/>
        <v>28</v>
      </c>
      <c r="AS114" s="83">
        <f t="shared" si="9"/>
        <v>6</v>
      </c>
      <c r="AT114" s="84">
        <f t="shared" si="10"/>
        <v>2006</v>
      </c>
      <c r="AU114" s="86"/>
      <c r="AV114" s="86"/>
      <c r="AW114" s="87"/>
      <c r="AX114" s="86"/>
      <c r="AY114" s="83"/>
      <c r="AZ114" s="84"/>
      <c r="BA114" s="86"/>
      <c r="BB114" s="86"/>
      <c r="BD114" s="68">
        <f t="shared" si="11"/>
        <v>0</v>
      </c>
    </row>
    <row r="115" spans="1:56" ht="36.75" customHeight="1">
      <c r="A115" s="30"/>
      <c r="B115" s="30" t="s">
        <v>55</v>
      </c>
      <c r="C115" s="69" t="str">
        <f t="shared" si="7"/>
        <v>Closed</v>
      </c>
      <c r="D115" s="27" t="s">
        <v>848</v>
      </c>
      <c r="E115" s="29" t="s">
        <v>849</v>
      </c>
      <c r="F115" s="30" t="s">
        <v>638</v>
      </c>
      <c r="G115" s="89">
        <f>DATE(2006,6,30)</f>
        <v>38898</v>
      </c>
      <c r="H115" s="90">
        <v>1.1131944444444444</v>
      </c>
      <c r="I115" s="30" t="s">
        <v>278</v>
      </c>
      <c r="J115" s="89" t="s">
        <v>850</v>
      </c>
      <c r="K115" s="30" t="s">
        <v>640</v>
      </c>
      <c r="L115" s="30" t="s">
        <v>851</v>
      </c>
      <c r="M115" s="30" t="s">
        <v>63</v>
      </c>
      <c r="N115" s="30">
        <v>0</v>
      </c>
      <c r="O115" s="30" t="s">
        <v>77</v>
      </c>
      <c r="P115" s="89" t="s">
        <v>65</v>
      </c>
      <c r="Q115" s="89" t="s">
        <v>642</v>
      </c>
      <c r="R115" s="89" t="s">
        <v>643</v>
      </c>
      <c r="S115" s="30">
        <v>0</v>
      </c>
      <c r="T115" s="233">
        <v>0</v>
      </c>
      <c r="U115" s="30">
        <v>0</v>
      </c>
      <c r="V115" s="233">
        <v>2</v>
      </c>
      <c r="W115" s="30">
        <v>0</v>
      </c>
      <c r="X115" s="30">
        <v>2</v>
      </c>
      <c r="Y115" s="30">
        <v>0</v>
      </c>
      <c r="Z115" s="233">
        <v>0</v>
      </c>
      <c r="AA115" s="30">
        <v>0</v>
      </c>
      <c r="AB115" s="30">
        <v>0</v>
      </c>
      <c r="AC115" s="30">
        <v>0</v>
      </c>
      <c r="AD115" s="30">
        <v>0</v>
      </c>
      <c r="AE115" s="89" t="s">
        <v>68</v>
      </c>
      <c r="AF115" s="89" t="s">
        <v>68</v>
      </c>
      <c r="AG115" s="89" t="s">
        <v>248</v>
      </c>
      <c r="AH115" s="72" t="s">
        <v>68</v>
      </c>
      <c r="AI115" s="30">
        <v>3</v>
      </c>
      <c r="AJ115" s="89" t="s">
        <v>68</v>
      </c>
      <c r="AK115" s="89" t="s">
        <v>68</v>
      </c>
      <c r="AL115" s="91">
        <v>39105</v>
      </c>
      <c r="AM115" s="91"/>
      <c r="AN115" s="91"/>
      <c r="AO115" s="91"/>
      <c r="AP115" s="73" t="e">
        <f>MID(VLOOKUP(K115,#REF!,2,FALSE),1,2)</f>
        <v>#REF!</v>
      </c>
      <c r="AQ115" s="89">
        <f>DATE(2006,6,30)</f>
        <v>38898</v>
      </c>
      <c r="AR115" s="82">
        <f t="shared" si="8"/>
        <v>30</v>
      </c>
      <c r="AS115" s="83">
        <f t="shared" si="9"/>
        <v>6</v>
      </c>
      <c r="AT115" s="84">
        <f t="shared" si="10"/>
        <v>2006</v>
      </c>
      <c r="AU115" s="86"/>
      <c r="AV115" s="86"/>
      <c r="AW115" s="87"/>
      <c r="AX115" s="86"/>
      <c r="AY115" s="83"/>
      <c r="AZ115" s="84"/>
      <c r="BA115" s="86"/>
      <c r="BB115" s="86"/>
      <c r="BD115" s="68">
        <f t="shared" si="11"/>
        <v>0</v>
      </c>
    </row>
    <row r="116" spans="1:56" ht="36.75" customHeight="1">
      <c r="A116" s="30"/>
      <c r="B116" s="30" t="s">
        <v>55</v>
      </c>
      <c r="C116" s="69" t="str">
        <f t="shared" si="7"/>
        <v>Closed</v>
      </c>
      <c r="D116" s="27" t="s">
        <v>852</v>
      </c>
      <c r="E116" s="29" t="s">
        <v>853</v>
      </c>
      <c r="F116" s="30" t="s">
        <v>835</v>
      </c>
      <c r="G116" s="89">
        <f>DATE(2006,7,3)</f>
        <v>38901</v>
      </c>
      <c r="H116" s="90">
        <v>1.4847222222222223</v>
      </c>
      <c r="I116" s="30" t="s">
        <v>116</v>
      </c>
      <c r="J116" s="89" t="s">
        <v>854</v>
      </c>
      <c r="K116" s="30" t="s">
        <v>837</v>
      </c>
      <c r="L116" s="30" t="s">
        <v>855</v>
      </c>
      <c r="M116" s="30" t="s">
        <v>63</v>
      </c>
      <c r="N116" s="30">
        <v>0</v>
      </c>
      <c r="O116" s="30" t="s">
        <v>64</v>
      </c>
      <c r="P116" s="89" t="s">
        <v>65</v>
      </c>
      <c r="Q116" s="89" t="s">
        <v>839</v>
      </c>
      <c r="R116" s="89" t="s">
        <v>840</v>
      </c>
      <c r="S116" s="30">
        <v>0</v>
      </c>
      <c r="T116" s="233">
        <v>0</v>
      </c>
      <c r="U116" s="30">
        <v>0</v>
      </c>
      <c r="V116" s="233">
        <v>0</v>
      </c>
      <c r="W116" s="30">
        <v>0</v>
      </c>
      <c r="X116" s="30">
        <v>0</v>
      </c>
      <c r="Y116" s="30">
        <v>0</v>
      </c>
      <c r="Z116" s="233">
        <v>0</v>
      </c>
      <c r="AA116" s="30">
        <v>1</v>
      </c>
      <c r="AB116" s="30">
        <v>0</v>
      </c>
      <c r="AC116" s="30">
        <v>0</v>
      </c>
      <c r="AD116" s="30">
        <v>1</v>
      </c>
      <c r="AE116" s="89" t="s">
        <v>68</v>
      </c>
      <c r="AF116" s="89" t="s">
        <v>856</v>
      </c>
      <c r="AG116" s="89" t="s">
        <v>133</v>
      </c>
      <c r="AH116" s="72" t="s">
        <v>68</v>
      </c>
      <c r="AI116" s="30">
        <v>6</v>
      </c>
      <c r="AJ116" s="89" t="s">
        <v>68</v>
      </c>
      <c r="AK116" s="89" t="s">
        <v>68</v>
      </c>
      <c r="AL116" s="91">
        <v>39241</v>
      </c>
      <c r="AM116" s="91"/>
      <c r="AN116" s="91"/>
      <c r="AO116" s="91"/>
      <c r="AP116" s="73" t="e">
        <f>MID(VLOOKUP(K116,#REF!,2,FALSE),1,2)</f>
        <v>#REF!</v>
      </c>
      <c r="AQ116" s="89">
        <f>DATE(2006,7,3)</f>
        <v>38901</v>
      </c>
      <c r="AR116" s="82">
        <f t="shared" si="8"/>
        <v>3</v>
      </c>
      <c r="AS116" s="83">
        <f t="shared" si="9"/>
        <v>7</v>
      </c>
      <c r="AT116" s="84">
        <f t="shared" si="10"/>
        <v>2006</v>
      </c>
      <c r="AU116" s="86"/>
      <c r="AV116" s="86"/>
      <c r="AW116" s="87"/>
      <c r="AX116" s="86"/>
      <c r="AY116" s="83"/>
      <c r="AZ116" s="84"/>
      <c r="BA116" s="86"/>
      <c r="BB116" s="86"/>
      <c r="BD116" s="68">
        <f t="shared" si="11"/>
        <v>0</v>
      </c>
    </row>
    <row r="117" spans="1:56" ht="36.75" customHeight="1">
      <c r="A117" s="30"/>
      <c r="B117" s="30" t="s">
        <v>55</v>
      </c>
      <c r="C117" s="69" t="str">
        <f t="shared" si="7"/>
        <v>Closed</v>
      </c>
      <c r="D117" s="37" t="s">
        <v>857</v>
      </c>
      <c r="E117" s="29" t="s">
        <v>858</v>
      </c>
      <c r="F117" s="30" t="s">
        <v>594</v>
      </c>
      <c r="G117" s="89">
        <f>DATE(2006,7,4)</f>
        <v>38902</v>
      </c>
      <c r="H117" s="90">
        <v>1.9097222222222223</v>
      </c>
      <c r="I117" s="30" t="s">
        <v>73</v>
      </c>
      <c r="J117" s="89" t="s">
        <v>859</v>
      </c>
      <c r="K117" s="30" t="s">
        <v>596</v>
      </c>
      <c r="L117" s="30" t="s">
        <v>860</v>
      </c>
      <c r="M117" s="30" t="s">
        <v>63</v>
      </c>
      <c r="N117" s="30" t="s">
        <v>142</v>
      </c>
      <c r="O117" s="30" t="s">
        <v>77</v>
      </c>
      <c r="P117" s="89" t="s">
        <v>78</v>
      </c>
      <c r="Q117" s="89" t="s">
        <v>861</v>
      </c>
      <c r="R117" s="89" t="s">
        <v>599</v>
      </c>
      <c r="S117" s="30">
        <v>0</v>
      </c>
      <c r="T117" s="30">
        <v>0</v>
      </c>
      <c r="U117" s="30">
        <v>0</v>
      </c>
      <c r="V117" s="30">
        <v>0</v>
      </c>
      <c r="W117" s="30">
        <v>0</v>
      </c>
      <c r="X117" s="30">
        <v>0</v>
      </c>
      <c r="Y117" s="30">
        <v>0</v>
      </c>
      <c r="Z117" s="30">
        <v>0</v>
      </c>
      <c r="AA117" s="30">
        <v>0</v>
      </c>
      <c r="AB117" s="30">
        <v>0</v>
      </c>
      <c r="AC117" s="30">
        <v>0</v>
      </c>
      <c r="AD117" s="30">
        <v>0</v>
      </c>
      <c r="AE117" s="89" t="s">
        <v>862</v>
      </c>
      <c r="AF117" s="89" t="s">
        <v>863</v>
      </c>
      <c r="AG117" s="89" t="s">
        <v>69</v>
      </c>
      <c r="AH117" s="72" t="s">
        <v>68</v>
      </c>
      <c r="AI117" s="30"/>
      <c r="AJ117" s="89"/>
      <c r="AK117" s="89" t="s">
        <v>68</v>
      </c>
      <c r="AL117" s="91">
        <v>39160</v>
      </c>
      <c r="AM117" s="91"/>
      <c r="AN117" s="91">
        <v>45334</v>
      </c>
      <c r="AO117" s="91">
        <v>45261</v>
      </c>
      <c r="AP117" s="73" t="e">
        <f>MID(VLOOKUP(K117,#REF!,2,FALSE),1,2)</f>
        <v>#REF!</v>
      </c>
      <c r="AQ117" s="89">
        <f>DATE(2006,7,4)</f>
        <v>38902</v>
      </c>
      <c r="AR117" s="82">
        <f t="shared" si="8"/>
        <v>4</v>
      </c>
      <c r="AS117" s="83">
        <f t="shared" si="9"/>
        <v>7</v>
      </c>
      <c r="AT117" s="84">
        <f t="shared" si="10"/>
        <v>2006</v>
      </c>
      <c r="AU117" s="86"/>
      <c r="AV117" s="86"/>
      <c r="AW117" s="87"/>
      <c r="AX117" s="86"/>
      <c r="AY117" s="83"/>
      <c r="AZ117" s="84"/>
      <c r="BA117" s="86"/>
      <c r="BB117" s="86"/>
      <c r="BD117" s="68">
        <f t="shared" si="11"/>
        <v>0</v>
      </c>
    </row>
    <row r="118" spans="1:56" ht="36.75" customHeight="1">
      <c r="A118" s="30"/>
      <c r="B118" s="30" t="s">
        <v>55</v>
      </c>
      <c r="C118" s="69" t="str">
        <f t="shared" si="7"/>
        <v>Closed</v>
      </c>
      <c r="D118" s="27" t="s">
        <v>864</v>
      </c>
      <c r="E118" s="29" t="s">
        <v>865</v>
      </c>
      <c r="F118" s="30" t="s">
        <v>835</v>
      </c>
      <c r="G118" s="89">
        <f>DATE(2006,7,5)</f>
        <v>38903</v>
      </c>
      <c r="H118" s="90">
        <v>1.567361111111111</v>
      </c>
      <c r="I118" s="30" t="s">
        <v>73</v>
      </c>
      <c r="J118" s="89" t="s">
        <v>866</v>
      </c>
      <c r="K118" s="30" t="s">
        <v>837</v>
      </c>
      <c r="L118" s="30" t="s">
        <v>867</v>
      </c>
      <c r="M118" s="30" t="s">
        <v>63</v>
      </c>
      <c r="N118" s="30">
        <v>0</v>
      </c>
      <c r="O118" s="30" t="s">
        <v>64</v>
      </c>
      <c r="P118" s="89" t="s">
        <v>165</v>
      </c>
      <c r="Q118" s="89" t="s">
        <v>839</v>
      </c>
      <c r="R118" s="89" t="s">
        <v>840</v>
      </c>
      <c r="S118" s="30">
        <v>0</v>
      </c>
      <c r="T118" s="233" t="s">
        <v>68</v>
      </c>
      <c r="U118" s="30">
        <v>0</v>
      </c>
      <c r="V118" s="233" t="s">
        <v>68</v>
      </c>
      <c r="W118" s="30">
        <v>0</v>
      </c>
      <c r="X118" s="30">
        <v>0</v>
      </c>
      <c r="Y118" s="30">
        <v>0</v>
      </c>
      <c r="Z118" s="233" t="s">
        <v>68</v>
      </c>
      <c r="AA118" s="30">
        <v>0</v>
      </c>
      <c r="AB118" s="30">
        <v>0</v>
      </c>
      <c r="AC118" s="30">
        <v>0</v>
      </c>
      <c r="AD118" s="30">
        <v>0</v>
      </c>
      <c r="AE118" s="89" t="s">
        <v>68</v>
      </c>
      <c r="AF118" s="89" t="s">
        <v>868</v>
      </c>
      <c r="AG118" s="89" t="s">
        <v>133</v>
      </c>
      <c r="AH118" s="72" t="s">
        <v>68</v>
      </c>
      <c r="AI118" s="30">
        <v>1</v>
      </c>
      <c r="AJ118" s="89" t="s">
        <v>68</v>
      </c>
      <c r="AK118" s="89" t="s">
        <v>68</v>
      </c>
      <c r="AL118" s="91">
        <v>39244</v>
      </c>
      <c r="AM118" s="91"/>
      <c r="AN118" s="91"/>
      <c r="AO118" s="91"/>
      <c r="AP118" s="73" t="e">
        <f>MID(VLOOKUP(K118,#REF!,2,FALSE),1,2)</f>
        <v>#REF!</v>
      </c>
      <c r="AQ118" s="89">
        <f>DATE(2006,7,5)</f>
        <v>38903</v>
      </c>
      <c r="AR118" s="82">
        <f t="shared" si="8"/>
        <v>5</v>
      </c>
      <c r="AS118" s="83">
        <f t="shared" si="9"/>
        <v>7</v>
      </c>
      <c r="AT118" s="84">
        <f t="shared" si="10"/>
        <v>2006</v>
      </c>
      <c r="AU118" s="86"/>
      <c r="AV118" s="86"/>
      <c r="AW118" s="87"/>
      <c r="AX118" s="86"/>
      <c r="AY118" s="83"/>
      <c r="AZ118" s="84"/>
      <c r="BA118" s="86"/>
      <c r="BB118" s="86"/>
      <c r="BD118" s="68">
        <f t="shared" si="11"/>
        <v>0</v>
      </c>
    </row>
    <row r="119" spans="1:56" ht="36.75" customHeight="1">
      <c r="A119" s="30"/>
      <c r="B119" s="30" t="s">
        <v>55</v>
      </c>
      <c r="C119" s="69" t="str">
        <f t="shared" si="7"/>
        <v>Closed</v>
      </c>
      <c r="D119" s="27" t="s">
        <v>869</v>
      </c>
      <c r="E119" s="29" t="s">
        <v>870</v>
      </c>
      <c r="F119" s="30" t="s">
        <v>124</v>
      </c>
      <c r="G119" s="89">
        <f>DATE(2006,7,6)</f>
        <v>38904</v>
      </c>
      <c r="H119" s="90">
        <v>1.6284722222222223</v>
      </c>
      <c r="I119" s="30" t="s">
        <v>73</v>
      </c>
      <c r="J119" s="89" t="s">
        <v>871</v>
      </c>
      <c r="K119" s="30" t="s">
        <v>127</v>
      </c>
      <c r="L119" s="30" t="s">
        <v>872</v>
      </c>
      <c r="M119" s="30" t="s">
        <v>63</v>
      </c>
      <c r="N119" s="30">
        <v>0</v>
      </c>
      <c r="O119" s="30" t="s">
        <v>64</v>
      </c>
      <c r="P119" s="89" t="s">
        <v>78</v>
      </c>
      <c r="Q119" s="89" t="s">
        <v>143</v>
      </c>
      <c r="R119" s="89" t="s">
        <v>167</v>
      </c>
      <c r="S119" s="30">
        <v>0</v>
      </c>
      <c r="T119" s="233" t="s">
        <v>68</v>
      </c>
      <c r="U119" s="30">
        <v>0</v>
      </c>
      <c r="V119" s="233" t="s">
        <v>68</v>
      </c>
      <c r="W119" s="30">
        <v>0</v>
      </c>
      <c r="X119" s="30">
        <v>0</v>
      </c>
      <c r="Y119" s="30">
        <v>0</v>
      </c>
      <c r="Z119" s="233" t="s">
        <v>68</v>
      </c>
      <c r="AA119" s="30">
        <v>0</v>
      </c>
      <c r="AB119" s="30">
        <v>0</v>
      </c>
      <c r="AC119" s="30">
        <v>0</v>
      </c>
      <c r="AD119" s="30">
        <v>0</v>
      </c>
      <c r="AE119" s="89" t="s">
        <v>68</v>
      </c>
      <c r="AF119" s="89" t="s">
        <v>873</v>
      </c>
      <c r="AG119" s="89" t="s">
        <v>874</v>
      </c>
      <c r="AH119" s="72" t="s">
        <v>68</v>
      </c>
      <c r="AI119" s="30">
        <v>0</v>
      </c>
      <c r="AJ119" s="89" t="s">
        <v>68</v>
      </c>
      <c r="AK119" s="89" t="s">
        <v>68</v>
      </c>
      <c r="AL119" s="91">
        <v>39428</v>
      </c>
      <c r="AM119" s="91"/>
      <c r="AN119" s="91"/>
      <c r="AO119" s="91"/>
      <c r="AP119" s="73" t="e">
        <f>MID(VLOOKUP(K119,#REF!,2,FALSE),1,2)</f>
        <v>#REF!</v>
      </c>
      <c r="AQ119" s="89">
        <f>DATE(2006,7,6)</f>
        <v>38904</v>
      </c>
      <c r="AR119" s="82">
        <f t="shared" si="8"/>
        <v>6</v>
      </c>
      <c r="AS119" s="83">
        <f t="shared" si="9"/>
        <v>7</v>
      </c>
      <c r="AT119" s="84">
        <f t="shared" si="10"/>
        <v>2006</v>
      </c>
      <c r="AU119" s="86"/>
      <c r="AV119" s="86"/>
      <c r="AW119" s="87"/>
      <c r="AX119" s="86"/>
      <c r="AY119" s="83"/>
      <c r="AZ119" s="84"/>
      <c r="BA119" s="86"/>
      <c r="BB119" s="86"/>
      <c r="BD119" s="68">
        <f t="shared" si="11"/>
        <v>0</v>
      </c>
    </row>
    <row r="120" spans="1:56" ht="36.75" customHeight="1">
      <c r="A120" s="30"/>
      <c r="B120" s="30" t="s">
        <v>55</v>
      </c>
      <c r="C120" s="69" t="str">
        <f t="shared" si="7"/>
        <v>Closed</v>
      </c>
      <c r="D120" s="27" t="s">
        <v>875</v>
      </c>
      <c r="E120" s="29" t="s">
        <v>876</v>
      </c>
      <c r="F120" s="30" t="s">
        <v>594</v>
      </c>
      <c r="G120" s="89">
        <f>DATE(2006,7,6)</f>
        <v>38904</v>
      </c>
      <c r="H120" s="90">
        <v>1.4756944444444444</v>
      </c>
      <c r="I120" s="30" t="s">
        <v>278</v>
      </c>
      <c r="J120" s="89" t="s">
        <v>877</v>
      </c>
      <c r="K120" s="30" t="s">
        <v>596</v>
      </c>
      <c r="L120" s="30" t="s">
        <v>878</v>
      </c>
      <c r="M120" s="30" t="s">
        <v>63</v>
      </c>
      <c r="N120" s="30">
        <v>0</v>
      </c>
      <c r="O120" s="30" t="s">
        <v>77</v>
      </c>
      <c r="P120" s="89" t="s">
        <v>165</v>
      </c>
      <c r="Q120" s="89" t="s">
        <v>598</v>
      </c>
      <c r="R120" s="89" t="s">
        <v>599</v>
      </c>
      <c r="S120" s="30">
        <v>0</v>
      </c>
      <c r="T120" s="233">
        <v>0</v>
      </c>
      <c r="U120" s="30">
        <v>1</v>
      </c>
      <c r="V120" s="233">
        <v>0</v>
      </c>
      <c r="W120" s="30">
        <v>0</v>
      </c>
      <c r="X120" s="30">
        <v>1</v>
      </c>
      <c r="Y120" s="30">
        <v>0</v>
      </c>
      <c r="Z120" s="233">
        <v>0</v>
      </c>
      <c r="AA120" s="30">
        <v>0</v>
      </c>
      <c r="AB120" s="30">
        <v>0</v>
      </c>
      <c r="AC120" s="30">
        <v>0</v>
      </c>
      <c r="AD120" s="30">
        <v>0</v>
      </c>
      <c r="AE120" s="89" t="s">
        <v>68</v>
      </c>
      <c r="AF120" s="89" t="s">
        <v>879</v>
      </c>
      <c r="AG120" s="89" t="s">
        <v>248</v>
      </c>
      <c r="AH120" s="72" t="s">
        <v>68</v>
      </c>
      <c r="AI120" s="30">
        <v>0</v>
      </c>
      <c r="AJ120" s="89" t="s">
        <v>68</v>
      </c>
      <c r="AK120" s="89" t="s">
        <v>68</v>
      </c>
      <c r="AL120" s="91">
        <v>39160</v>
      </c>
      <c r="AM120" s="91"/>
      <c r="AN120" s="91"/>
      <c r="AO120" s="91"/>
      <c r="AP120" s="73" t="e">
        <f>MID(VLOOKUP(K120,#REF!,2,FALSE),1,2)</f>
        <v>#REF!</v>
      </c>
      <c r="AQ120" s="89">
        <f>DATE(2006,7,6)</f>
        <v>38904</v>
      </c>
      <c r="AR120" s="82">
        <f t="shared" si="8"/>
        <v>6</v>
      </c>
      <c r="AS120" s="83">
        <f t="shared" si="9"/>
        <v>7</v>
      </c>
      <c r="AT120" s="84">
        <f t="shared" si="10"/>
        <v>2006</v>
      </c>
      <c r="AU120" s="86"/>
      <c r="AV120" s="86"/>
      <c r="AW120" s="87"/>
      <c r="AX120" s="86"/>
      <c r="AY120" s="83"/>
      <c r="AZ120" s="84"/>
      <c r="BA120" s="86"/>
      <c r="BB120" s="86"/>
      <c r="BD120" s="68">
        <f t="shared" si="11"/>
        <v>0</v>
      </c>
    </row>
    <row r="121" spans="1:56" ht="36.75" customHeight="1">
      <c r="A121" s="30"/>
      <c r="B121" s="30" t="s">
        <v>55</v>
      </c>
      <c r="C121" s="69" t="str">
        <f t="shared" si="7"/>
        <v>Closed</v>
      </c>
      <c r="D121" s="27" t="s">
        <v>880</v>
      </c>
      <c r="E121" s="29" t="s">
        <v>881</v>
      </c>
      <c r="F121" s="30" t="s">
        <v>233</v>
      </c>
      <c r="G121" s="89">
        <f>DATE(2006,7,6)</f>
        <v>38904</v>
      </c>
      <c r="H121" s="90">
        <v>1.6152777777777778</v>
      </c>
      <c r="I121" s="30" t="s">
        <v>73</v>
      </c>
      <c r="J121" s="89" t="s">
        <v>882</v>
      </c>
      <c r="K121" s="30" t="s">
        <v>235</v>
      </c>
      <c r="L121" s="30" t="s">
        <v>883</v>
      </c>
      <c r="M121" s="30" t="s">
        <v>255</v>
      </c>
      <c r="N121" s="30">
        <v>0</v>
      </c>
      <c r="O121" s="30" t="s">
        <v>64</v>
      </c>
      <c r="P121" s="89" t="s">
        <v>86</v>
      </c>
      <c r="Q121" s="89" t="s">
        <v>337</v>
      </c>
      <c r="R121" s="89" t="s">
        <v>337</v>
      </c>
      <c r="S121" s="30">
        <v>0</v>
      </c>
      <c r="T121" s="233" t="s">
        <v>68</v>
      </c>
      <c r="U121" s="30">
        <v>0</v>
      </c>
      <c r="V121" s="233" t="s">
        <v>68</v>
      </c>
      <c r="W121" s="30">
        <v>0</v>
      </c>
      <c r="X121" s="30">
        <v>0</v>
      </c>
      <c r="Y121" s="30">
        <v>0</v>
      </c>
      <c r="Z121" s="233" t="s">
        <v>68</v>
      </c>
      <c r="AA121" s="30">
        <v>0</v>
      </c>
      <c r="AB121" s="30">
        <v>0</v>
      </c>
      <c r="AC121" s="30">
        <v>0</v>
      </c>
      <c r="AD121" s="30">
        <v>0</v>
      </c>
      <c r="AE121" s="89" t="s">
        <v>68</v>
      </c>
      <c r="AF121" s="89" t="s">
        <v>68</v>
      </c>
      <c r="AG121" s="89" t="s">
        <v>248</v>
      </c>
      <c r="AH121" s="72" t="s">
        <v>68</v>
      </c>
      <c r="AI121" s="30">
        <v>2</v>
      </c>
      <c r="AJ121" s="89" t="s">
        <v>884</v>
      </c>
      <c r="AK121" s="89" t="s">
        <v>885</v>
      </c>
      <c r="AL121" s="91">
        <v>39380</v>
      </c>
      <c r="AM121" s="91"/>
      <c r="AN121" s="91"/>
      <c r="AO121" s="91"/>
      <c r="AP121" s="73" t="e">
        <f>MID(VLOOKUP(K121,#REF!,2,FALSE),1,2)</f>
        <v>#REF!</v>
      </c>
      <c r="AQ121" s="89">
        <f>DATE(2006,7,6)</f>
        <v>38904</v>
      </c>
      <c r="AR121" s="82">
        <f t="shared" si="8"/>
        <v>6</v>
      </c>
      <c r="AS121" s="83">
        <f t="shared" si="9"/>
        <v>7</v>
      </c>
      <c r="AT121" s="84">
        <f t="shared" si="10"/>
        <v>2006</v>
      </c>
      <c r="AU121" s="86"/>
      <c r="AV121" s="86"/>
      <c r="AW121" s="87"/>
      <c r="AX121" s="86"/>
      <c r="AY121" s="83"/>
      <c r="AZ121" s="84"/>
      <c r="BA121" s="86"/>
      <c r="BB121" s="86"/>
      <c r="BD121" s="68">
        <f t="shared" si="11"/>
        <v>0</v>
      </c>
    </row>
    <row r="122" spans="1:56" ht="36.75" customHeight="1">
      <c r="A122" s="30"/>
      <c r="B122" s="30" t="s">
        <v>55</v>
      </c>
      <c r="C122" s="69" t="str">
        <f t="shared" si="7"/>
        <v>Closed</v>
      </c>
      <c r="D122" s="27" t="s">
        <v>886</v>
      </c>
      <c r="E122" s="29" t="s">
        <v>887</v>
      </c>
      <c r="F122" s="30" t="s">
        <v>594</v>
      </c>
      <c r="G122" s="89">
        <f>DATE(2006,7,11)</f>
        <v>38909</v>
      </c>
      <c r="H122" s="90">
        <v>1.4284722222222221</v>
      </c>
      <c r="I122" s="30" t="s">
        <v>278</v>
      </c>
      <c r="J122" s="89" t="s">
        <v>888</v>
      </c>
      <c r="K122" s="30" t="s">
        <v>596</v>
      </c>
      <c r="L122" s="30" t="s">
        <v>889</v>
      </c>
      <c r="M122" s="30" t="s">
        <v>63</v>
      </c>
      <c r="N122" s="30" t="s">
        <v>99</v>
      </c>
      <c r="O122" s="30" t="s">
        <v>64</v>
      </c>
      <c r="P122" s="89" t="s">
        <v>165</v>
      </c>
      <c r="Q122" s="89" t="s">
        <v>598</v>
      </c>
      <c r="R122" s="89" t="s">
        <v>599</v>
      </c>
      <c r="S122" s="30">
        <v>0</v>
      </c>
      <c r="T122" s="233">
        <v>1</v>
      </c>
      <c r="U122" s="30">
        <v>0</v>
      </c>
      <c r="V122" s="233">
        <v>0</v>
      </c>
      <c r="W122" s="30">
        <v>0</v>
      </c>
      <c r="X122" s="30">
        <v>1</v>
      </c>
      <c r="Y122" s="30">
        <v>0</v>
      </c>
      <c r="Z122" s="233" t="s">
        <v>68</v>
      </c>
      <c r="AA122" s="30">
        <v>0</v>
      </c>
      <c r="AB122" s="30">
        <v>0</v>
      </c>
      <c r="AC122" s="30">
        <v>0</v>
      </c>
      <c r="AD122" s="30">
        <v>0</v>
      </c>
      <c r="AE122" s="89" t="s">
        <v>68</v>
      </c>
      <c r="AF122" s="89" t="s">
        <v>68</v>
      </c>
      <c r="AG122" s="89" t="s">
        <v>890</v>
      </c>
      <c r="AH122" s="72" t="s">
        <v>68</v>
      </c>
      <c r="AI122" s="30">
        <v>0</v>
      </c>
      <c r="AJ122" s="89" t="s">
        <v>68</v>
      </c>
      <c r="AK122" s="89" t="s">
        <v>68</v>
      </c>
      <c r="AL122" s="91">
        <v>39160</v>
      </c>
      <c r="AM122" s="91"/>
      <c r="AN122" s="91">
        <v>44887</v>
      </c>
      <c r="AO122" s="91"/>
      <c r="AP122" s="73" t="e">
        <f>MID(VLOOKUP(K122,#REF!,2,FALSE),1,2)</f>
        <v>#REF!</v>
      </c>
      <c r="AQ122" s="89">
        <f>DATE(2006,7,11)</f>
        <v>38909</v>
      </c>
      <c r="AR122" s="82">
        <f t="shared" si="8"/>
        <v>11</v>
      </c>
      <c r="AS122" s="83">
        <f t="shared" si="9"/>
        <v>7</v>
      </c>
      <c r="AT122" s="84">
        <f t="shared" si="10"/>
        <v>2006</v>
      </c>
      <c r="AU122" s="86"/>
      <c r="AV122" s="86"/>
      <c r="AW122" s="87"/>
      <c r="AX122" s="86"/>
      <c r="AY122" s="83"/>
      <c r="AZ122" s="84"/>
      <c r="BA122" s="86"/>
      <c r="BB122" s="86"/>
      <c r="BD122" s="68">
        <f t="shared" si="11"/>
        <v>0</v>
      </c>
    </row>
    <row r="123" spans="1:56" ht="36.75" customHeight="1">
      <c r="A123" s="30"/>
      <c r="B123" s="30" t="s">
        <v>55</v>
      </c>
      <c r="C123" s="69" t="str">
        <f t="shared" si="7"/>
        <v>Closed</v>
      </c>
      <c r="D123" s="27" t="s">
        <v>891</v>
      </c>
      <c r="E123" s="29" t="s">
        <v>892</v>
      </c>
      <c r="F123" s="30" t="s">
        <v>58</v>
      </c>
      <c r="G123" s="89">
        <f>DATE(2006,7,13)</f>
        <v>38911</v>
      </c>
      <c r="H123" s="90">
        <v>1.6951388888888888</v>
      </c>
      <c r="I123" s="30" t="s">
        <v>73</v>
      </c>
      <c r="J123" s="89" t="s">
        <v>893</v>
      </c>
      <c r="K123" s="30" t="s">
        <v>61</v>
      </c>
      <c r="L123" s="30" t="s">
        <v>894</v>
      </c>
      <c r="M123" s="30" t="s">
        <v>63</v>
      </c>
      <c r="N123" s="30">
        <v>0</v>
      </c>
      <c r="O123" s="30" t="s">
        <v>64</v>
      </c>
      <c r="P123" s="89" t="s">
        <v>78</v>
      </c>
      <c r="Q123" s="89" t="s">
        <v>66</v>
      </c>
      <c r="R123" s="89" t="s">
        <v>67</v>
      </c>
      <c r="S123" s="30">
        <v>0</v>
      </c>
      <c r="T123" s="233" t="s">
        <v>68</v>
      </c>
      <c r="U123" s="30">
        <v>0</v>
      </c>
      <c r="V123" s="233" t="s">
        <v>68</v>
      </c>
      <c r="W123" s="30">
        <v>0</v>
      </c>
      <c r="X123" s="30">
        <v>0</v>
      </c>
      <c r="Y123" s="30">
        <v>0</v>
      </c>
      <c r="Z123" s="233" t="s">
        <v>68</v>
      </c>
      <c r="AA123" s="30">
        <v>0</v>
      </c>
      <c r="AB123" s="30">
        <v>0</v>
      </c>
      <c r="AC123" s="30">
        <v>0</v>
      </c>
      <c r="AD123" s="30">
        <v>0</v>
      </c>
      <c r="AE123" s="89" t="s">
        <v>68</v>
      </c>
      <c r="AF123" s="89" t="s">
        <v>895</v>
      </c>
      <c r="AG123" s="89" t="s">
        <v>69</v>
      </c>
      <c r="AH123" s="72" t="s">
        <v>68</v>
      </c>
      <c r="AI123" s="30">
        <v>0</v>
      </c>
      <c r="AJ123" s="89" t="s">
        <v>68</v>
      </c>
      <c r="AK123" s="89" t="s">
        <v>68</v>
      </c>
      <c r="AL123" s="91">
        <v>39189</v>
      </c>
      <c r="AM123" s="91"/>
      <c r="AN123" s="91"/>
      <c r="AO123" s="91"/>
      <c r="AP123" s="73" t="e">
        <f>MID(VLOOKUP(K123,#REF!,2,FALSE),1,2)</f>
        <v>#REF!</v>
      </c>
      <c r="AQ123" s="89">
        <f>DATE(2006,7,13)</f>
        <v>38911</v>
      </c>
      <c r="AR123" s="82">
        <f t="shared" si="8"/>
        <v>13</v>
      </c>
      <c r="AS123" s="83">
        <f t="shared" si="9"/>
        <v>7</v>
      </c>
      <c r="AT123" s="84">
        <f t="shared" si="10"/>
        <v>2006</v>
      </c>
      <c r="AU123" s="86"/>
      <c r="AV123" s="86"/>
      <c r="AW123" s="87"/>
      <c r="AX123" s="86"/>
      <c r="AY123" s="83"/>
      <c r="AZ123" s="84"/>
      <c r="BA123" s="86"/>
      <c r="BB123" s="86"/>
      <c r="BD123" s="68">
        <f t="shared" si="11"/>
        <v>0</v>
      </c>
    </row>
    <row r="124" spans="1:56" ht="36.75" customHeight="1">
      <c r="A124" s="30"/>
      <c r="B124" s="30" t="s">
        <v>55</v>
      </c>
      <c r="C124" s="69" t="str">
        <f t="shared" si="7"/>
        <v>Closed</v>
      </c>
      <c r="D124" s="27" t="s">
        <v>896</v>
      </c>
      <c r="E124" s="29" t="s">
        <v>897</v>
      </c>
      <c r="F124" s="30" t="s">
        <v>624</v>
      </c>
      <c r="G124" s="89">
        <f>DATE(2006,7,14)</f>
        <v>38912</v>
      </c>
      <c r="H124" s="90">
        <v>1.28125</v>
      </c>
      <c r="I124" s="30" t="s">
        <v>116</v>
      </c>
      <c r="J124" s="89" t="s">
        <v>898</v>
      </c>
      <c r="K124" s="30" t="s">
        <v>626</v>
      </c>
      <c r="L124" s="30" t="s">
        <v>899</v>
      </c>
      <c r="M124" s="30" t="s">
        <v>63</v>
      </c>
      <c r="N124" s="30">
        <v>0</v>
      </c>
      <c r="O124" s="30" t="s">
        <v>64</v>
      </c>
      <c r="P124" s="89" t="s">
        <v>165</v>
      </c>
      <c r="Q124" s="89" t="s">
        <v>628</v>
      </c>
      <c r="R124" s="89" t="s">
        <v>629</v>
      </c>
      <c r="S124" s="30">
        <v>1</v>
      </c>
      <c r="T124" s="233">
        <v>0</v>
      </c>
      <c r="U124" s="30">
        <v>0</v>
      </c>
      <c r="V124" s="233">
        <v>0</v>
      </c>
      <c r="W124" s="30">
        <v>0</v>
      </c>
      <c r="X124" s="30">
        <v>1</v>
      </c>
      <c r="Y124" s="30">
        <v>13</v>
      </c>
      <c r="Z124" s="233">
        <v>2</v>
      </c>
      <c r="AA124" s="30">
        <v>0</v>
      </c>
      <c r="AB124" s="30">
        <v>0</v>
      </c>
      <c r="AC124" s="30">
        <v>0</v>
      </c>
      <c r="AD124" s="30">
        <v>15</v>
      </c>
      <c r="AE124" s="89" t="s">
        <v>68</v>
      </c>
      <c r="AF124" s="89" t="s">
        <v>900</v>
      </c>
      <c r="AG124" s="89" t="s">
        <v>82</v>
      </c>
      <c r="AH124" s="72" t="s">
        <v>68</v>
      </c>
      <c r="AI124" s="30">
        <v>0</v>
      </c>
      <c r="AJ124" s="89" t="s">
        <v>68</v>
      </c>
      <c r="AK124" s="89" t="s">
        <v>68</v>
      </c>
      <c r="AL124" s="91">
        <v>39185</v>
      </c>
      <c r="AM124" s="91"/>
      <c r="AN124" s="91"/>
      <c r="AO124" s="91"/>
      <c r="AP124" s="73" t="e">
        <f>MID(VLOOKUP(K124,#REF!,2,FALSE),1,2)</f>
        <v>#REF!</v>
      </c>
      <c r="AQ124" s="89">
        <f>DATE(2006,7,14)</f>
        <v>38912</v>
      </c>
      <c r="AR124" s="82">
        <f t="shared" si="8"/>
        <v>14</v>
      </c>
      <c r="AS124" s="83">
        <f t="shared" si="9"/>
        <v>7</v>
      </c>
      <c r="AT124" s="84">
        <f t="shared" si="10"/>
        <v>2006</v>
      </c>
      <c r="AU124" s="86"/>
      <c r="AV124" s="86"/>
      <c r="AW124" s="87"/>
      <c r="AX124" s="86"/>
      <c r="AY124" s="83"/>
      <c r="AZ124" s="84"/>
      <c r="BA124" s="86"/>
      <c r="BB124" s="86"/>
      <c r="BD124" s="68">
        <f t="shared" si="11"/>
        <v>0</v>
      </c>
    </row>
    <row r="125" spans="1:56" ht="36.75" customHeight="1">
      <c r="A125" s="30"/>
      <c r="B125" s="30" t="s">
        <v>55</v>
      </c>
      <c r="C125" s="69" t="str">
        <f t="shared" si="7"/>
        <v>Closed</v>
      </c>
      <c r="D125" s="27" t="s">
        <v>901</v>
      </c>
      <c r="E125" s="29" t="s">
        <v>902</v>
      </c>
      <c r="F125" s="30" t="s">
        <v>835</v>
      </c>
      <c r="G125" s="89">
        <f>DATE(2006,7,15)</f>
        <v>38913</v>
      </c>
      <c r="H125" s="90">
        <v>1.4229166666666666</v>
      </c>
      <c r="I125" s="30" t="s">
        <v>116</v>
      </c>
      <c r="J125" s="89" t="s">
        <v>903</v>
      </c>
      <c r="K125" s="30" t="s">
        <v>837</v>
      </c>
      <c r="L125" s="30" t="s">
        <v>904</v>
      </c>
      <c r="M125" s="30" t="s">
        <v>63</v>
      </c>
      <c r="N125" s="30">
        <v>0</v>
      </c>
      <c r="O125" s="30" t="s">
        <v>64</v>
      </c>
      <c r="P125" s="89" t="s">
        <v>65</v>
      </c>
      <c r="Q125" s="89" t="s">
        <v>839</v>
      </c>
      <c r="R125" s="89" t="s">
        <v>840</v>
      </c>
      <c r="S125" s="30">
        <v>0</v>
      </c>
      <c r="T125" s="233">
        <v>0</v>
      </c>
      <c r="U125" s="30">
        <v>1</v>
      </c>
      <c r="V125" s="233">
        <v>0</v>
      </c>
      <c r="W125" s="30">
        <v>0</v>
      </c>
      <c r="X125" s="30">
        <v>1</v>
      </c>
      <c r="Y125" s="30">
        <v>0</v>
      </c>
      <c r="Z125" s="233">
        <v>0</v>
      </c>
      <c r="AA125" s="30">
        <v>1</v>
      </c>
      <c r="AB125" s="30">
        <v>0</v>
      </c>
      <c r="AC125" s="30">
        <v>0</v>
      </c>
      <c r="AD125" s="30">
        <v>1</v>
      </c>
      <c r="AE125" s="89" t="s">
        <v>68</v>
      </c>
      <c r="AF125" s="89" t="s">
        <v>905</v>
      </c>
      <c r="AG125" s="89" t="s">
        <v>352</v>
      </c>
      <c r="AH125" s="72" t="s">
        <v>68</v>
      </c>
      <c r="AI125" s="30">
        <v>1</v>
      </c>
      <c r="AJ125" s="89" t="s">
        <v>68</v>
      </c>
      <c r="AK125" s="89" t="s">
        <v>68</v>
      </c>
      <c r="AL125" s="91">
        <v>39244</v>
      </c>
      <c r="AM125" s="91"/>
      <c r="AN125" s="91"/>
      <c r="AO125" s="91"/>
      <c r="AP125" s="73" t="e">
        <f>MID(VLOOKUP(K125,#REF!,2,FALSE),1,2)</f>
        <v>#REF!</v>
      </c>
      <c r="AQ125" s="89">
        <f>DATE(2006,7,15)</f>
        <v>38913</v>
      </c>
      <c r="AR125" s="82">
        <f t="shared" si="8"/>
        <v>15</v>
      </c>
      <c r="AS125" s="83">
        <f t="shared" si="9"/>
        <v>7</v>
      </c>
      <c r="AT125" s="84">
        <f t="shared" si="10"/>
        <v>2006</v>
      </c>
      <c r="AU125" s="86"/>
      <c r="AV125" s="86"/>
      <c r="AW125" s="87"/>
      <c r="AX125" s="86"/>
      <c r="AY125" s="83"/>
      <c r="AZ125" s="84"/>
      <c r="BA125" s="86"/>
      <c r="BB125" s="86"/>
      <c r="BD125" s="68">
        <f t="shared" si="11"/>
        <v>0</v>
      </c>
    </row>
    <row r="126" spans="1:56" ht="36.75" customHeight="1">
      <c r="A126" s="30"/>
      <c r="B126" s="30" t="s">
        <v>55</v>
      </c>
      <c r="C126" s="69" t="str">
        <f t="shared" si="7"/>
        <v>Closed</v>
      </c>
      <c r="D126" s="27" t="s">
        <v>906</v>
      </c>
      <c r="E126" s="29" t="s">
        <v>907</v>
      </c>
      <c r="F126" s="30" t="s">
        <v>594</v>
      </c>
      <c r="G126" s="89">
        <f>DATE(2006,7,15)</f>
        <v>38913</v>
      </c>
      <c r="H126" s="90">
        <v>1.7687499999999998</v>
      </c>
      <c r="I126" s="30" t="s">
        <v>73</v>
      </c>
      <c r="J126" s="89" t="s">
        <v>908</v>
      </c>
      <c r="K126" s="30" t="s">
        <v>596</v>
      </c>
      <c r="L126" s="30" t="s">
        <v>909</v>
      </c>
      <c r="M126" s="30" t="s">
        <v>63</v>
      </c>
      <c r="N126" s="30">
        <v>0</v>
      </c>
      <c r="O126" s="30" t="s">
        <v>77</v>
      </c>
      <c r="P126" s="89" t="s">
        <v>78</v>
      </c>
      <c r="Q126" s="89" t="s">
        <v>598</v>
      </c>
      <c r="R126" s="89" t="s">
        <v>599</v>
      </c>
      <c r="S126" s="30">
        <v>0</v>
      </c>
      <c r="T126" s="233" t="s">
        <v>68</v>
      </c>
      <c r="U126" s="30">
        <v>0</v>
      </c>
      <c r="V126" s="233" t="s">
        <v>68</v>
      </c>
      <c r="W126" s="30">
        <v>0</v>
      </c>
      <c r="X126" s="30">
        <v>0</v>
      </c>
      <c r="Y126" s="30">
        <v>0</v>
      </c>
      <c r="Z126" s="233" t="s">
        <v>68</v>
      </c>
      <c r="AA126" s="30">
        <v>0</v>
      </c>
      <c r="AB126" s="30">
        <v>0</v>
      </c>
      <c r="AC126" s="30">
        <v>0</v>
      </c>
      <c r="AD126" s="30">
        <v>0</v>
      </c>
      <c r="AE126" s="89" t="s">
        <v>68</v>
      </c>
      <c r="AF126" s="89" t="s">
        <v>910</v>
      </c>
      <c r="AG126" s="89" t="s">
        <v>82</v>
      </c>
      <c r="AH126" s="72" t="s">
        <v>68</v>
      </c>
      <c r="AI126" s="30">
        <v>0</v>
      </c>
      <c r="AJ126" s="89" t="s">
        <v>68</v>
      </c>
      <c r="AK126" s="89" t="s">
        <v>68</v>
      </c>
      <c r="AL126" s="91">
        <v>39231</v>
      </c>
      <c r="AM126" s="91"/>
      <c r="AN126" s="91">
        <v>45670</v>
      </c>
      <c r="AO126" s="94">
        <v>45657</v>
      </c>
      <c r="AP126" s="73" t="e">
        <f>MID(VLOOKUP(K126,#REF!,2,FALSE),1,2)</f>
        <v>#REF!</v>
      </c>
      <c r="AQ126" s="89">
        <f>DATE(2006,7,15)</f>
        <v>38913</v>
      </c>
      <c r="AR126" s="82">
        <f t="shared" si="8"/>
        <v>15</v>
      </c>
      <c r="AS126" s="83">
        <f t="shared" si="9"/>
        <v>7</v>
      </c>
      <c r="AT126" s="84">
        <f t="shared" si="10"/>
        <v>2006</v>
      </c>
      <c r="AU126" s="86"/>
      <c r="AV126" s="86"/>
      <c r="AW126" s="87"/>
      <c r="AX126" s="86"/>
      <c r="AY126" s="83"/>
      <c r="AZ126" s="84"/>
      <c r="BA126" s="86"/>
      <c r="BB126" s="86"/>
      <c r="BD126" s="68">
        <f t="shared" si="11"/>
        <v>1</v>
      </c>
    </row>
    <row r="127" spans="1:56" ht="36.75" customHeight="1">
      <c r="A127" s="30"/>
      <c r="B127" s="30" t="s">
        <v>55</v>
      </c>
      <c r="C127" s="69" t="str">
        <f t="shared" si="7"/>
        <v>Closed</v>
      </c>
      <c r="D127" s="27" t="s">
        <v>911</v>
      </c>
      <c r="E127" s="29" t="s">
        <v>912</v>
      </c>
      <c r="F127" s="30" t="s">
        <v>233</v>
      </c>
      <c r="G127" s="89">
        <f>DATE(2006,7,17)</f>
        <v>38915</v>
      </c>
      <c r="H127" s="90">
        <v>1.5138888888888888</v>
      </c>
      <c r="I127" s="30" t="s">
        <v>278</v>
      </c>
      <c r="J127" s="89" t="s">
        <v>913</v>
      </c>
      <c r="K127" s="30" t="s">
        <v>235</v>
      </c>
      <c r="L127" s="30" t="s">
        <v>914</v>
      </c>
      <c r="M127" s="30" t="s">
        <v>63</v>
      </c>
      <c r="N127" s="30">
        <v>0</v>
      </c>
      <c r="O127" s="30" t="s">
        <v>90</v>
      </c>
      <c r="P127" s="89" t="s">
        <v>91</v>
      </c>
      <c r="Q127" s="89" t="s">
        <v>434</v>
      </c>
      <c r="R127" s="89" t="s">
        <v>434</v>
      </c>
      <c r="S127" s="30">
        <v>0</v>
      </c>
      <c r="T127" s="233">
        <v>1</v>
      </c>
      <c r="U127" s="30">
        <v>0</v>
      </c>
      <c r="V127" s="233">
        <v>0</v>
      </c>
      <c r="W127" s="30">
        <v>0</v>
      </c>
      <c r="X127" s="30">
        <v>1</v>
      </c>
      <c r="Y127" s="30">
        <v>0</v>
      </c>
      <c r="Z127" s="233">
        <v>0</v>
      </c>
      <c r="AA127" s="30">
        <v>0</v>
      </c>
      <c r="AB127" s="30">
        <v>0</v>
      </c>
      <c r="AC127" s="30">
        <v>0</v>
      </c>
      <c r="AD127" s="30">
        <v>0</v>
      </c>
      <c r="AE127" s="89" t="s">
        <v>68</v>
      </c>
      <c r="AF127" s="89" t="s">
        <v>68</v>
      </c>
      <c r="AG127" s="89" t="s">
        <v>82</v>
      </c>
      <c r="AH127" s="72" t="s">
        <v>68</v>
      </c>
      <c r="AI127" s="30">
        <v>7</v>
      </c>
      <c r="AJ127" s="89" t="s">
        <v>915</v>
      </c>
      <c r="AK127" s="89" t="s">
        <v>916</v>
      </c>
      <c r="AL127" s="91">
        <v>39184</v>
      </c>
      <c r="AM127" s="91"/>
      <c r="AN127" s="91"/>
      <c r="AO127" s="91"/>
      <c r="AP127" s="73" t="e">
        <f>MID(VLOOKUP(K127,#REF!,2,FALSE),1,2)</f>
        <v>#REF!</v>
      </c>
      <c r="AQ127" s="89">
        <f>DATE(2006,7,17)</f>
        <v>38915</v>
      </c>
      <c r="AR127" s="82">
        <f t="shared" si="8"/>
        <v>17</v>
      </c>
      <c r="AS127" s="83">
        <f t="shared" si="9"/>
        <v>7</v>
      </c>
      <c r="AT127" s="84">
        <f t="shared" si="10"/>
        <v>2006</v>
      </c>
      <c r="AU127" s="86"/>
      <c r="AV127" s="86"/>
      <c r="AW127" s="87"/>
      <c r="AX127" s="86"/>
      <c r="AY127" s="83"/>
      <c r="AZ127" s="84"/>
      <c r="BA127" s="86"/>
      <c r="BB127" s="86"/>
      <c r="BD127" s="68">
        <f t="shared" si="11"/>
        <v>0</v>
      </c>
    </row>
    <row r="128" spans="1:56" ht="36.75" customHeight="1">
      <c r="A128" s="30"/>
      <c r="B128" s="30" t="s">
        <v>55</v>
      </c>
      <c r="C128" s="69" t="str">
        <f t="shared" si="7"/>
        <v>Closed</v>
      </c>
      <c r="D128" s="27" t="s">
        <v>917</v>
      </c>
      <c r="E128" s="29" t="s">
        <v>918</v>
      </c>
      <c r="F128" s="30" t="s">
        <v>233</v>
      </c>
      <c r="G128" s="89">
        <f>DATE(2006,7,19)</f>
        <v>38917</v>
      </c>
      <c r="H128" s="90">
        <v>1.4375</v>
      </c>
      <c r="I128" s="30" t="s">
        <v>278</v>
      </c>
      <c r="J128" s="89" t="s">
        <v>919</v>
      </c>
      <c r="K128" s="30" t="s">
        <v>235</v>
      </c>
      <c r="L128" s="30" t="s">
        <v>920</v>
      </c>
      <c r="M128" s="30" t="s">
        <v>63</v>
      </c>
      <c r="N128" s="30">
        <v>0</v>
      </c>
      <c r="O128" s="30" t="s">
        <v>77</v>
      </c>
      <c r="P128" s="89" t="s">
        <v>91</v>
      </c>
      <c r="Q128" s="89" t="s">
        <v>921</v>
      </c>
      <c r="R128" s="89" t="s">
        <v>921</v>
      </c>
      <c r="S128" s="30">
        <v>0</v>
      </c>
      <c r="T128" s="233">
        <v>1</v>
      </c>
      <c r="U128" s="30">
        <v>0</v>
      </c>
      <c r="V128" s="233">
        <v>0</v>
      </c>
      <c r="W128" s="30">
        <v>0</v>
      </c>
      <c r="X128" s="30">
        <v>1</v>
      </c>
      <c r="Y128" s="30">
        <v>0</v>
      </c>
      <c r="Z128" s="233">
        <v>0</v>
      </c>
      <c r="AA128" s="30">
        <v>0</v>
      </c>
      <c r="AB128" s="30">
        <v>0</v>
      </c>
      <c r="AC128" s="30">
        <v>0</v>
      </c>
      <c r="AD128" s="30">
        <v>0</v>
      </c>
      <c r="AE128" s="89" t="s">
        <v>68</v>
      </c>
      <c r="AF128" s="89" t="s">
        <v>68</v>
      </c>
      <c r="AG128" s="89" t="s">
        <v>82</v>
      </c>
      <c r="AH128" s="72" t="s">
        <v>68</v>
      </c>
      <c r="AI128" s="30">
        <v>9</v>
      </c>
      <c r="AJ128" s="89" t="s">
        <v>922</v>
      </c>
      <c r="AK128" s="89" t="s">
        <v>923</v>
      </c>
      <c r="AL128" s="91">
        <v>39184</v>
      </c>
      <c r="AM128" s="91"/>
      <c r="AN128" s="91"/>
      <c r="AO128" s="91"/>
      <c r="AP128" s="73" t="e">
        <f>MID(VLOOKUP(K128,#REF!,2,FALSE),1,2)</f>
        <v>#REF!</v>
      </c>
      <c r="AQ128" s="89">
        <f>DATE(2006,7,19)</f>
        <v>38917</v>
      </c>
      <c r="AR128" s="82">
        <f t="shared" si="8"/>
        <v>19</v>
      </c>
      <c r="AS128" s="83">
        <f t="shared" si="9"/>
        <v>7</v>
      </c>
      <c r="AT128" s="84">
        <f t="shared" si="10"/>
        <v>2006</v>
      </c>
      <c r="AU128" s="86"/>
      <c r="AV128" s="86"/>
      <c r="AW128" s="87"/>
      <c r="AX128" s="86"/>
      <c r="AY128" s="83"/>
      <c r="AZ128" s="84"/>
      <c r="BA128" s="86"/>
      <c r="BB128" s="86"/>
      <c r="BD128" s="68">
        <f t="shared" si="11"/>
        <v>0</v>
      </c>
    </row>
    <row r="129" spans="1:56" ht="36.75" customHeight="1">
      <c r="A129" s="30"/>
      <c r="B129" s="30" t="s">
        <v>55</v>
      </c>
      <c r="C129" s="69" t="str">
        <f t="shared" si="7"/>
        <v>Closed</v>
      </c>
      <c r="D129" s="27" t="s">
        <v>924</v>
      </c>
      <c r="E129" s="29" t="s">
        <v>925</v>
      </c>
      <c r="F129" s="30" t="s">
        <v>835</v>
      </c>
      <c r="G129" s="89">
        <f>DATE(2006,7,23)</f>
        <v>38921</v>
      </c>
      <c r="H129" s="90">
        <v>1.5798611111111112</v>
      </c>
      <c r="I129" s="30" t="s">
        <v>104</v>
      </c>
      <c r="J129" s="89" t="s">
        <v>926</v>
      </c>
      <c r="K129" s="30" t="s">
        <v>837</v>
      </c>
      <c r="L129" s="30" t="s">
        <v>927</v>
      </c>
      <c r="M129" s="30" t="s">
        <v>63</v>
      </c>
      <c r="N129" s="30">
        <v>0</v>
      </c>
      <c r="O129" s="30" t="s">
        <v>77</v>
      </c>
      <c r="P129" s="89" t="s">
        <v>65</v>
      </c>
      <c r="Q129" s="89" t="s">
        <v>839</v>
      </c>
      <c r="R129" s="89" t="s">
        <v>840</v>
      </c>
      <c r="S129" s="30">
        <v>0</v>
      </c>
      <c r="T129" s="233" t="s">
        <v>68</v>
      </c>
      <c r="U129" s="30">
        <v>0</v>
      </c>
      <c r="V129" s="233" t="s">
        <v>68</v>
      </c>
      <c r="W129" s="30">
        <v>0</v>
      </c>
      <c r="X129" s="30">
        <v>0</v>
      </c>
      <c r="Y129" s="30">
        <v>0</v>
      </c>
      <c r="Z129" s="233" t="s">
        <v>68</v>
      </c>
      <c r="AA129" s="30">
        <v>0</v>
      </c>
      <c r="AB129" s="30">
        <v>0</v>
      </c>
      <c r="AC129" s="30">
        <v>0</v>
      </c>
      <c r="AD129" s="30">
        <v>0</v>
      </c>
      <c r="AE129" s="89" t="s">
        <v>68</v>
      </c>
      <c r="AF129" s="89" t="s">
        <v>928</v>
      </c>
      <c r="AG129" s="89" t="s">
        <v>133</v>
      </c>
      <c r="AH129" s="72" t="s">
        <v>68</v>
      </c>
      <c r="AI129" s="30">
        <v>4</v>
      </c>
      <c r="AJ129" s="89" t="s">
        <v>68</v>
      </c>
      <c r="AK129" s="89" t="s">
        <v>68</v>
      </c>
      <c r="AL129" s="91">
        <v>39244</v>
      </c>
      <c r="AM129" s="91"/>
      <c r="AN129" s="91"/>
      <c r="AO129" s="91"/>
      <c r="AP129" s="73" t="e">
        <f>MID(VLOOKUP(K129,#REF!,2,FALSE),1,2)</f>
        <v>#REF!</v>
      </c>
      <c r="AQ129" s="89">
        <f>DATE(2006,7,23)</f>
        <v>38921</v>
      </c>
      <c r="AR129" s="82">
        <f t="shared" si="8"/>
        <v>23</v>
      </c>
      <c r="AS129" s="83">
        <f t="shared" si="9"/>
        <v>7</v>
      </c>
      <c r="AT129" s="84">
        <f t="shared" si="10"/>
        <v>2006</v>
      </c>
      <c r="AU129" s="86"/>
      <c r="AV129" s="86"/>
      <c r="AW129" s="87"/>
      <c r="AX129" s="86"/>
      <c r="AY129" s="83"/>
      <c r="AZ129" s="84"/>
      <c r="BA129" s="86"/>
      <c r="BB129" s="86"/>
      <c r="BD129" s="68">
        <f t="shared" si="11"/>
        <v>0</v>
      </c>
    </row>
    <row r="130" spans="1:56" ht="36.75" customHeight="1">
      <c r="A130" s="30"/>
      <c r="B130" s="30" t="s">
        <v>55</v>
      </c>
      <c r="C130" s="69" t="str">
        <f t="shared" ref="C130:C193" si="12">IF(B130="Notification","Open",IF(B130="Interim Statement","In progress","Closed"))</f>
        <v>Closed</v>
      </c>
      <c r="D130" s="27" t="s">
        <v>929</v>
      </c>
      <c r="E130" s="29" t="s">
        <v>930</v>
      </c>
      <c r="F130" s="30" t="s">
        <v>115</v>
      </c>
      <c r="G130" s="89">
        <f>DATE(2006,7,24)</f>
        <v>38922</v>
      </c>
      <c r="H130" s="90">
        <v>1.7638888888888888</v>
      </c>
      <c r="I130" s="30" t="s">
        <v>73</v>
      </c>
      <c r="J130" s="89" t="s">
        <v>931</v>
      </c>
      <c r="K130" s="30" t="s">
        <v>118</v>
      </c>
      <c r="L130" s="30" t="s">
        <v>932</v>
      </c>
      <c r="M130" s="30" t="s">
        <v>63</v>
      </c>
      <c r="N130" s="30">
        <v>0</v>
      </c>
      <c r="O130" s="30" t="s">
        <v>64</v>
      </c>
      <c r="P130" s="89" t="s">
        <v>78</v>
      </c>
      <c r="Q130" s="89" t="s">
        <v>120</v>
      </c>
      <c r="R130" s="89" t="s">
        <v>121</v>
      </c>
      <c r="S130" s="30">
        <v>0</v>
      </c>
      <c r="T130" s="233" t="s">
        <v>68</v>
      </c>
      <c r="U130" s="30">
        <v>0</v>
      </c>
      <c r="V130" s="233" t="s">
        <v>68</v>
      </c>
      <c r="W130" s="30">
        <v>0</v>
      </c>
      <c r="X130" s="30">
        <v>0</v>
      </c>
      <c r="Y130" s="30">
        <v>0</v>
      </c>
      <c r="Z130" s="233" t="s">
        <v>68</v>
      </c>
      <c r="AA130" s="30">
        <v>0</v>
      </c>
      <c r="AB130" s="30">
        <v>0</v>
      </c>
      <c r="AC130" s="30">
        <v>0</v>
      </c>
      <c r="AD130" s="30">
        <v>0</v>
      </c>
      <c r="AE130" s="89" t="s">
        <v>68</v>
      </c>
      <c r="AF130" s="89" t="s">
        <v>933</v>
      </c>
      <c r="AG130" s="89" t="s">
        <v>82</v>
      </c>
      <c r="AH130" s="72" t="s">
        <v>68</v>
      </c>
      <c r="AI130" s="30">
        <v>0</v>
      </c>
      <c r="AJ130" s="89" t="s">
        <v>68</v>
      </c>
      <c r="AK130" s="89" t="s">
        <v>68</v>
      </c>
      <c r="AL130" s="91">
        <v>39882</v>
      </c>
      <c r="AM130" s="91"/>
      <c r="AN130" s="91"/>
      <c r="AO130" s="91"/>
      <c r="AP130" s="73" t="e">
        <f>MID(VLOOKUP(K130,#REF!,2,FALSE),1,2)</f>
        <v>#REF!</v>
      </c>
      <c r="AQ130" s="89">
        <f>DATE(2006,7,24)</f>
        <v>38922</v>
      </c>
      <c r="AR130" s="82">
        <f t="shared" ref="AR130:AR193" si="13">DAY(AQ130)</f>
        <v>24</v>
      </c>
      <c r="AS130" s="83">
        <f t="shared" ref="AS130:AS193" si="14">MONTH(AQ130)</f>
        <v>7</v>
      </c>
      <c r="AT130" s="84">
        <f t="shared" ref="AT130:AT193" si="15">YEAR(AQ130)</f>
        <v>2006</v>
      </c>
      <c r="AU130" s="86"/>
      <c r="AV130" s="86"/>
      <c r="AW130" s="87"/>
      <c r="AX130" s="86"/>
      <c r="AY130" s="83"/>
      <c r="AZ130" s="84"/>
      <c r="BA130" s="86"/>
      <c r="BB130" s="86"/>
      <c r="BD130" s="68">
        <f t="shared" si="11"/>
        <v>0</v>
      </c>
    </row>
    <row r="131" spans="1:56" ht="36.75" customHeight="1">
      <c r="A131" s="30"/>
      <c r="B131" s="30" t="s">
        <v>55</v>
      </c>
      <c r="C131" s="69" t="str">
        <f t="shared" si="12"/>
        <v>Closed</v>
      </c>
      <c r="D131" s="27" t="s">
        <v>934</v>
      </c>
      <c r="E131" s="29" t="s">
        <v>935</v>
      </c>
      <c r="F131" s="30" t="s">
        <v>233</v>
      </c>
      <c r="G131" s="89">
        <f>DATE(2006,7,25)</f>
        <v>38923</v>
      </c>
      <c r="H131" s="90">
        <v>1.4930555555555556</v>
      </c>
      <c r="I131" s="30" t="s">
        <v>73</v>
      </c>
      <c r="J131" s="89" t="s">
        <v>936</v>
      </c>
      <c r="K131" s="30" t="s">
        <v>235</v>
      </c>
      <c r="L131" s="30" t="s">
        <v>937</v>
      </c>
      <c r="M131" s="30" t="s">
        <v>63</v>
      </c>
      <c r="N131" s="30">
        <v>0</v>
      </c>
      <c r="O131" s="30" t="s">
        <v>64</v>
      </c>
      <c r="P131" s="89" t="s">
        <v>86</v>
      </c>
      <c r="Q131" s="89" t="s">
        <v>938</v>
      </c>
      <c r="R131" s="89" t="s">
        <v>938</v>
      </c>
      <c r="S131" s="30">
        <v>0</v>
      </c>
      <c r="T131" s="233" t="s">
        <v>68</v>
      </c>
      <c r="U131" s="30">
        <v>0</v>
      </c>
      <c r="V131" s="233" t="s">
        <v>68</v>
      </c>
      <c r="W131" s="30">
        <v>0</v>
      </c>
      <c r="X131" s="30">
        <v>0</v>
      </c>
      <c r="Y131" s="30">
        <v>0</v>
      </c>
      <c r="Z131" s="233" t="s">
        <v>68</v>
      </c>
      <c r="AA131" s="30">
        <v>0</v>
      </c>
      <c r="AB131" s="30">
        <v>0</v>
      </c>
      <c r="AC131" s="30">
        <v>0</v>
      </c>
      <c r="AD131" s="30">
        <v>0</v>
      </c>
      <c r="AE131" s="89" t="s">
        <v>68</v>
      </c>
      <c r="AF131" s="89" t="s">
        <v>68</v>
      </c>
      <c r="AG131" s="89" t="s">
        <v>248</v>
      </c>
      <c r="AH131" s="72" t="s">
        <v>68</v>
      </c>
      <c r="AI131" s="30">
        <v>6</v>
      </c>
      <c r="AJ131" s="89" t="s">
        <v>939</v>
      </c>
      <c r="AK131" s="89" t="s">
        <v>940</v>
      </c>
      <c r="AL131" s="91">
        <v>39225</v>
      </c>
      <c r="AM131" s="91"/>
      <c r="AN131" s="91"/>
      <c r="AO131" s="91"/>
      <c r="AP131" s="73" t="e">
        <f>MID(VLOOKUP(K131,#REF!,2,FALSE),1,2)</f>
        <v>#REF!</v>
      </c>
      <c r="AQ131" s="89">
        <f>DATE(2006,7,25)</f>
        <v>38923</v>
      </c>
      <c r="AR131" s="82">
        <f t="shared" si="13"/>
        <v>25</v>
      </c>
      <c r="AS131" s="83">
        <f t="shared" si="14"/>
        <v>7</v>
      </c>
      <c r="AT131" s="84">
        <f t="shared" si="15"/>
        <v>2006</v>
      </c>
      <c r="AU131" s="86"/>
      <c r="AV131" s="86"/>
      <c r="AW131" s="87"/>
      <c r="AX131" s="86"/>
      <c r="AY131" s="83"/>
      <c r="AZ131" s="84"/>
      <c r="BA131" s="86"/>
      <c r="BB131" s="86"/>
      <c r="BD131" s="68">
        <f t="shared" ref="BD131:BD157" si="16">IF(AN131 &gt; DATE(2024,10,14),1,0)</f>
        <v>0</v>
      </c>
    </row>
    <row r="132" spans="1:56" ht="36.75" customHeight="1">
      <c r="A132" s="30"/>
      <c r="B132" s="30" t="s">
        <v>55</v>
      </c>
      <c r="C132" s="69" t="str">
        <f t="shared" si="12"/>
        <v>Closed</v>
      </c>
      <c r="D132" s="27" t="s">
        <v>941</v>
      </c>
      <c r="E132" s="29" t="s">
        <v>942</v>
      </c>
      <c r="F132" s="30" t="s">
        <v>124</v>
      </c>
      <c r="G132" s="89">
        <f>DATE(2006,7,26)</f>
        <v>38924</v>
      </c>
      <c r="H132" s="90">
        <v>1.6944444444444446</v>
      </c>
      <c r="I132" s="30" t="s">
        <v>73</v>
      </c>
      <c r="J132" s="89" t="s">
        <v>943</v>
      </c>
      <c r="K132" s="30" t="s">
        <v>127</v>
      </c>
      <c r="L132" s="30" t="s">
        <v>944</v>
      </c>
      <c r="M132" s="30" t="s">
        <v>63</v>
      </c>
      <c r="N132" s="30">
        <v>0</v>
      </c>
      <c r="O132" s="30" t="s">
        <v>64</v>
      </c>
      <c r="P132" s="89" t="s">
        <v>78</v>
      </c>
      <c r="Q132" s="89" t="s">
        <v>401</v>
      </c>
      <c r="R132" s="89" t="s">
        <v>167</v>
      </c>
      <c r="S132" s="30">
        <v>0</v>
      </c>
      <c r="T132" s="233" t="s">
        <v>68</v>
      </c>
      <c r="U132" s="30">
        <v>0</v>
      </c>
      <c r="V132" s="233" t="s">
        <v>68</v>
      </c>
      <c r="W132" s="30">
        <v>0</v>
      </c>
      <c r="X132" s="30">
        <v>0</v>
      </c>
      <c r="Y132" s="30">
        <v>0</v>
      </c>
      <c r="Z132" s="233" t="s">
        <v>68</v>
      </c>
      <c r="AA132" s="30">
        <v>0</v>
      </c>
      <c r="AB132" s="30">
        <v>0</v>
      </c>
      <c r="AC132" s="30">
        <v>0</v>
      </c>
      <c r="AD132" s="30">
        <v>0</v>
      </c>
      <c r="AE132" s="89" t="s">
        <v>68</v>
      </c>
      <c r="AF132" s="89" t="s">
        <v>945</v>
      </c>
      <c r="AG132" s="89" t="s">
        <v>874</v>
      </c>
      <c r="AH132" s="72" t="s">
        <v>68</v>
      </c>
      <c r="AI132" s="30">
        <v>2</v>
      </c>
      <c r="AJ132" s="89" t="s">
        <v>68</v>
      </c>
      <c r="AK132" s="89" t="s">
        <v>68</v>
      </c>
      <c r="AL132" s="91">
        <v>39428</v>
      </c>
      <c r="AM132" s="91"/>
      <c r="AN132" s="91"/>
      <c r="AO132" s="91"/>
      <c r="AP132" s="73" t="e">
        <f>MID(VLOOKUP(K132,#REF!,2,FALSE),1,2)</f>
        <v>#REF!</v>
      </c>
      <c r="AQ132" s="89">
        <f>DATE(2006,7,26)</f>
        <v>38924</v>
      </c>
      <c r="AR132" s="82">
        <f t="shared" si="13"/>
        <v>26</v>
      </c>
      <c r="AS132" s="83">
        <f t="shared" si="14"/>
        <v>7</v>
      </c>
      <c r="AT132" s="84">
        <f t="shared" si="15"/>
        <v>2006</v>
      </c>
      <c r="AU132" s="86"/>
      <c r="AV132" s="86"/>
      <c r="AW132" s="87"/>
      <c r="AX132" s="86"/>
      <c r="AY132" s="83"/>
      <c r="AZ132" s="84"/>
      <c r="BA132" s="86"/>
      <c r="BB132" s="86"/>
      <c r="BD132" s="68">
        <f t="shared" si="16"/>
        <v>0</v>
      </c>
    </row>
    <row r="133" spans="1:56" ht="36.75" customHeight="1">
      <c r="A133" s="30"/>
      <c r="B133" s="30" t="s">
        <v>55</v>
      </c>
      <c r="C133" s="69" t="str">
        <f t="shared" si="12"/>
        <v>Closed</v>
      </c>
      <c r="D133" s="27" t="s">
        <v>946</v>
      </c>
      <c r="E133" s="29" t="s">
        <v>947</v>
      </c>
      <c r="F133" s="30" t="s">
        <v>423</v>
      </c>
      <c r="G133" s="89">
        <f>DATE(2006,7,28)</f>
        <v>38926</v>
      </c>
      <c r="H133" s="90">
        <v>1.5541666666666667</v>
      </c>
      <c r="I133" s="30" t="s">
        <v>73</v>
      </c>
      <c r="J133" s="89" t="s">
        <v>948</v>
      </c>
      <c r="K133" s="30" t="s">
        <v>425</v>
      </c>
      <c r="L133" s="30" t="s">
        <v>949</v>
      </c>
      <c r="M133" s="30" t="s">
        <v>63</v>
      </c>
      <c r="N133" s="30">
        <v>0</v>
      </c>
      <c r="O133" s="30" t="s">
        <v>64</v>
      </c>
      <c r="P133" s="89" t="s">
        <v>165</v>
      </c>
      <c r="Q133" s="89" t="s">
        <v>427</v>
      </c>
      <c r="R133" s="89" t="s">
        <v>427</v>
      </c>
      <c r="S133" s="30">
        <v>0</v>
      </c>
      <c r="T133" s="233" t="s">
        <v>68</v>
      </c>
      <c r="U133" s="30">
        <v>0</v>
      </c>
      <c r="V133" s="233" t="s">
        <v>68</v>
      </c>
      <c r="W133" s="30">
        <v>0</v>
      </c>
      <c r="X133" s="30">
        <v>0</v>
      </c>
      <c r="Y133" s="30">
        <v>0</v>
      </c>
      <c r="Z133" s="233" t="s">
        <v>68</v>
      </c>
      <c r="AA133" s="30">
        <v>0</v>
      </c>
      <c r="AB133" s="30">
        <v>0</v>
      </c>
      <c r="AC133" s="30">
        <v>0</v>
      </c>
      <c r="AD133" s="30">
        <v>0</v>
      </c>
      <c r="AE133" s="89" t="s">
        <v>68</v>
      </c>
      <c r="AF133" s="89" t="s">
        <v>950</v>
      </c>
      <c r="AG133" s="89" t="s">
        <v>133</v>
      </c>
      <c r="AH133" s="72" t="s">
        <v>68</v>
      </c>
      <c r="AI133" s="30">
        <v>0</v>
      </c>
      <c r="AJ133" s="89" t="s">
        <v>68</v>
      </c>
      <c r="AK133" s="89" t="s">
        <v>68</v>
      </c>
      <c r="AL133" s="91">
        <v>39183</v>
      </c>
      <c r="AM133" s="91"/>
      <c r="AN133" s="91"/>
      <c r="AO133" s="91"/>
      <c r="AP133" s="73" t="e">
        <f>MID(VLOOKUP(K133,#REF!,2,FALSE),1,2)</f>
        <v>#REF!</v>
      </c>
      <c r="AQ133" s="89">
        <f>DATE(2006,7,28)</f>
        <v>38926</v>
      </c>
      <c r="AR133" s="82">
        <f t="shared" si="13"/>
        <v>28</v>
      </c>
      <c r="AS133" s="83">
        <f t="shared" si="14"/>
        <v>7</v>
      </c>
      <c r="AT133" s="84">
        <f t="shared" si="15"/>
        <v>2006</v>
      </c>
      <c r="AU133" s="86"/>
      <c r="AV133" s="86"/>
      <c r="AW133" s="87"/>
      <c r="AX133" s="86"/>
      <c r="AY133" s="83"/>
      <c r="AZ133" s="84"/>
      <c r="BA133" s="86"/>
      <c r="BB133" s="86"/>
      <c r="BD133" s="68">
        <f t="shared" si="16"/>
        <v>0</v>
      </c>
    </row>
    <row r="134" spans="1:56" ht="36.75" customHeight="1">
      <c r="A134" s="30"/>
      <c r="B134" s="30" t="s">
        <v>55</v>
      </c>
      <c r="C134" s="69" t="str">
        <f t="shared" si="12"/>
        <v>Closed</v>
      </c>
      <c r="D134" s="27" t="s">
        <v>951</v>
      </c>
      <c r="E134" s="29" t="s">
        <v>952</v>
      </c>
      <c r="F134" s="30" t="s">
        <v>451</v>
      </c>
      <c r="G134" s="89">
        <f>DATE(2006,7,28)</f>
        <v>38926</v>
      </c>
      <c r="H134" s="90">
        <v>1.6993055555555556</v>
      </c>
      <c r="I134" s="30" t="s">
        <v>86</v>
      </c>
      <c r="J134" s="89" t="s">
        <v>953</v>
      </c>
      <c r="K134" s="30" t="s">
        <v>453</v>
      </c>
      <c r="L134" s="30" t="s">
        <v>954</v>
      </c>
      <c r="M134" s="30" t="s">
        <v>63</v>
      </c>
      <c r="N134" s="30">
        <v>0</v>
      </c>
      <c r="O134" s="30" t="s">
        <v>77</v>
      </c>
      <c r="P134" s="89" t="s">
        <v>65</v>
      </c>
      <c r="Q134" s="89" t="s">
        <v>571</v>
      </c>
      <c r="R134" s="89" t="s">
        <v>572</v>
      </c>
      <c r="S134" s="30">
        <v>0</v>
      </c>
      <c r="T134" s="233" t="s">
        <v>68</v>
      </c>
      <c r="U134" s="30">
        <v>0</v>
      </c>
      <c r="V134" s="233" t="s">
        <v>68</v>
      </c>
      <c r="W134" s="30">
        <v>0</v>
      </c>
      <c r="X134" s="30">
        <v>0</v>
      </c>
      <c r="Y134" s="30">
        <v>0</v>
      </c>
      <c r="Z134" s="233" t="s">
        <v>68</v>
      </c>
      <c r="AA134" s="30">
        <v>0</v>
      </c>
      <c r="AB134" s="30">
        <v>0</v>
      </c>
      <c r="AC134" s="30">
        <v>0</v>
      </c>
      <c r="AD134" s="30">
        <v>0</v>
      </c>
      <c r="AE134" s="89" t="s">
        <v>68</v>
      </c>
      <c r="AF134" s="89" t="s">
        <v>68</v>
      </c>
      <c r="AG134" s="89" t="s">
        <v>874</v>
      </c>
      <c r="AH134" s="72" t="s">
        <v>68</v>
      </c>
      <c r="AI134" s="30">
        <v>4</v>
      </c>
      <c r="AJ134" s="89" t="s">
        <v>955</v>
      </c>
      <c r="AK134" s="89" t="s">
        <v>956</v>
      </c>
      <c r="AL134" s="91">
        <v>39360</v>
      </c>
      <c r="AM134" s="91"/>
      <c r="AN134" s="91"/>
      <c r="AO134" s="91"/>
      <c r="AP134" s="73" t="e">
        <f>MID(VLOOKUP(K134,#REF!,2,FALSE),1,2)</f>
        <v>#REF!</v>
      </c>
      <c r="AQ134" s="89">
        <f>DATE(2006,7,28)</f>
        <v>38926</v>
      </c>
      <c r="AR134" s="82">
        <f t="shared" si="13"/>
        <v>28</v>
      </c>
      <c r="AS134" s="83">
        <f t="shared" si="14"/>
        <v>7</v>
      </c>
      <c r="AT134" s="84">
        <f t="shared" si="15"/>
        <v>2006</v>
      </c>
      <c r="AU134" s="86"/>
      <c r="AV134" s="86"/>
      <c r="AW134" s="87"/>
      <c r="AX134" s="86"/>
      <c r="AY134" s="83"/>
      <c r="AZ134" s="84"/>
      <c r="BA134" s="86"/>
      <c r="BB134" s="86"/>
      <c r="BD134" s="68">
        <f t="shared" si="16"/>
        <v>0</v>
      </c>
    </row>
    <row r="135" spans="1:56" ht="36.75" customHeight="1">
      <c r="A135" s="30"/>
      <c r="B135" s="30" t="s">
        <v>55</v>
      </c>
      <c r="C135" s="69" t="str">
        <f t="shared" si="12"/>
        <v>Closed</v>
      </c>
      <c r="D135" s="27" t="s">
        <v>957</v>
      </c>
      <c r="E135" s="29" t="s">
        <v>958</v>
      </c>
      <c r="F135" s="30" t="s">
        <v>233</v>
      </c>
      <c r="G135" s="89">
        <f>DATE(2006,7,29)</f>
        <v>38927</v>
      </c>
      <c r="H135" s="90">
        <v>1.6354166666666665</v>
      </c>
      <c r="I135" s="30" t="s">
        <v>86</v>
      </c>
      <c r="J135" s="89" t="s">
        <v>959</v>
      </c>
      <c r="K135" s="30" t="s">
        <v>235</v>
      </c>
      <c r="L135" s="30" t="s">
        <v>960</v>
      </c>
      <c r="M135" s="30" t="s">
        <v>63</v>
      </c>
      <c r="N135" s="30">
        <v>0</v>
      </c>
      <c r="O135" s="30" t="s">
        <v>64</v>
      </c>
      <c r="P135" s="89" t="s">
        <v>301</v>
      </c>
      <c r="Q135" s="89" t="s">
        <v>237</v>
      </c>
      <c r="R135" s="89" t="s">
        <v>238</v>
      </c>
      <c r="S135" s="30">
        <v>0</v>
      </c>
      <c r="T135" s="233">
        <v>1</v>
      </c>
      <c r="U135" s="30">
        <v>0</v>
      </c>
      <c r="V135" s="233">
        <v>0</v>
      </c>
      <c r="W135" s="30">
        <v>0</v>
      </c>
      <c r="X135" s="30">
        <v>1</v>
      </c>
      <c r="Y135" s="30">
        <v>0</v>
      </c>
      <c r="Z135" s="233">
        <v>0</v>
      </c>
      <c r="AA135" s="30">
        <v>0</v>
      </c>
      <c r="AB135" s="30">
        <v>0</v>
      </c>
      <c r="AC135" s="30">
        <v>0</v>
      </c>
      <c r="AD135" s="30">
        <v>0</v>
      </c>
      <c r="AE135" s="89" t="s">
        <v>68</v>
      </c>
      <c r="AF135" s="89" t="s">
        <v>68</v>
      </c>
      <c r="AG135" s="89" t="s">
        <v>82</v>
      </c>
      <c r="AH135" s="72" t="s">
        <v>68</v>
      </c>
      <c r="AI135" s="30">
        <v>9</v>
      </c>
      <c r="AJ135" s="89" t="s">
        <v>961</v>
      </c>
      <c r="AK135" s="89" t="s">
        <v>962</v>
      </c>
      <c r="AL135" s="91">
        <v>39184</v>
      </c>
      <c r="AM135" s="91"/>
      <c r="AN135" s="91"/>
      <c r="AO135" s="91"/>
      <c r="AP135" s="73" t="e">
        <f>MID(VLOOKUP(K135,#REF!,2,FALSE),1,2)</f>
        <v>#REF!</v>
      </c>
      <c r="AQ135" s="89">
        <f>DATE(2006,7,29)</f>
        <v>38927</v>
      </c>
      <c r="AR135" s="82">
        <f t="shared" si="13"/>
        <v>29</v>
      </c>
      <c r="AS135" s="83">
        <f t="shared" si="14"/>
        <v>7</v>
      </c>
      <c r="AT135" s="84">
        <f t="shared" si="15"/>
        <v>2006</v>
      </c>
      <c r="AU135" s="86"/>
      <c r="AV135" s="86"/>
      <c r="AW135" s="87"/>
      <c r="AX135" s="86"/>
      <c r="AY135" s="83"/>
      <c r="AZ135" s="84"/>
      <c r="BA135" s="86"/>
      <c r="BB135" s="86"/>
      <c r="BD135" s="68">
        <f t="shared" si="16"/>
        <v>0</v>
      </c>
    </row>
    <row r="136" spans="1:56" ht="36.75" customHeight="1">
      <c r="A136" s="30"/>
      <c r="B136" s="30" t="s">
        <v>55</v>
      </c>
      <c r="C136" s="69" t="str">
        <f t="shared" si="12"/>
        <v>Closed</v>
      </c>
      <c r="D136" s="27" t="s">
        <v>963</v>
      </c>
      <c r="E136" s="29" t="s">
        <v>964</v>
      </c>
      <c r="F136" s="30" t="s">
        <v>124</v>
      </c>
      <c r="G136" s="89">
        <f>DATE(2006,8,5)</f>
        <v>38934</v>
      </c>
      <c r="H136" s="90">
        <v>1.4166666666666667</v>
      </c>
      <c r="I136" s="30" t="s">
        <v>156</v>
      </c>
      <c r="J136" s="89" t="s">
        <v>965</v>
      </c>
      <c r="K136" s="30" t="s">
        <v>127</v>
      </c>
      <c r="L136" s="30" t="s">
        <v>966</v>
      </c>
      <c r="M136" s="30" t="s">
        <v>63</v>
      </c>
      <c r="N136" s="30">
        <v>0</v>
      </c>
      <c r="O136" s="30" t="s">
        <v>77</v>
      </c>
      <c r="P136" s="89" t="s">
        <v>65</v>
      </c>
      <c r="Q136" s="89" t="s">
        <v>229</v>
      </c>
      <c r="R136" s="89" t="s">
        <v>167</v>
      </c>
      <c r="S136" s="30">
        <v>0</v>
      </c>
      <c r="T136" s="233" t="s">
        <v>68</v>
      </c>
      <c r="U136" s="30">
        <v>0</v>
      </c>
      <c r="V136" s="233" t="s">
        <v>68</v>
      </c>
      <c r="W136" s="30">
        <v>0</v>
      </c>
      <c r="X136" s="30">
        <v>0</v>
      </c>
      <c r="Y136" s="30">
        <v>0</v>
      </c>
      <c r="Z136" s="233" t="s">
        <v>68</v>
      </c>
      <c r="AA136" s="30">
        <v>0</v>
      </c>
      <c r="AB136" s="30">
        <v>0</v>
      </c>
      <c r="AC136" s="30">
        <v>0</v>
      </c>
      <c r="AD136" s="30">
        <v>0</v>
      </c>
      <c r="AE136" s="89" t="s">
        <v>68</v>
      </c>
      <c r="AF136" s="89" t="s">
        <v>967</v>
      </c>
      <c r="AG136" s="89" t="s">
        <v>133</v>
      </c>
      <c r="AH136" s="72" t="s">
        <v>68</v>
      </c>
      <c r="AI136" s="30">
        <v>2</v>
      </c>
      <c r="AJ136" s="89" t="s">
        <v>68</v>
      </c>
      <c r="AK136" s="89" t="s">
        <v>68</v>
      </c>
      <c r="AL136" s="91">
        <v>39294</v>
      </c>
      <c r="AM136" s="91"/>
      <c r="AN136" s="91"/>
      <c r="AO136" s="91"/>
      <c r="AP136" s="73" t="e">
        <f>MID(VLOOKUP(K136,#REF!,2,FALSE),1,2)</f>
        <v>#REF!</v>
      </c>
      <c r="AQ136" s="89">
        <f>DATE(2006,8,5)</f>
        <v>38934</v>
      </c>
      <c r="AR136" s="82">
        <f t="shared" si="13"/>
        <v>5</v>
      </c>
      <c r="AS136" s="83">
        <f t="shared" si="14"/>
        <v>8</v>
      </c>
      <c r="AT136" s="84">
        <f t="shared" si="15"/>
        <v>2006</v>
      </c>
      <c r="AU136" s="86"/>
      <c r="AV136" s="86"/>
      <c r="AW136" s="87"/>
      <c r="AX136" s="86"/>
      <c r="AY136" s="83"/>
      <c r="AZ136" s="84"/>
      <c r="BA136" s="86"/>
      <c r="BB136" s="86"/>
      <c r="BD136" s="68">
        <f t="shared" si="16"/>
        <v>0</v>
      </c>
    </row>
    <row r="137" spans="1:56" ht="36.75" customHeight="1">
      <c r="A137" s="30"/>
      <c r="B137" s="30" t="s">
        <v>55</v>
      </c>
      <c r="C137" s="69" t="str">
        <f t="shared" si="12"/>
        <v>Closed</v>
      </c>
      <c r="D137" s="27" t="s">
        <v>968</v>
      </c>
      <c r="E137" s="29" t="s">
        <v>969</v>
      </c>
      <c r="F137" s="30" t="s">
        <v>835</v>
      </c>
      <c r="G137" s="89">
        <f>DATE(2006,8,6)</f>
        <v>38935</v>
      </c>
      <c r="H137" s="90">
        <v>1.2486111111111111</v>
      </c>
      <c r="I137" s="30" t="s">
        <v>73</v>
      </c>
      <c r="J137" s="89" t="s">
        <v>970</v>
      </c>
      <c r="K137" s="30" t="s">
        <v>837</v>
      </c>
      <c r="L137" s="30" t="s">
        <v>971</v>
      </c>
      <c r="M137" s="30" t="s">
        <v>63</v>
      </c>
      <c r="N137" s="30">
        <v>0</v>
      </c>
      <c r="O137" s="30" t="s">
        <v>77</v>
      </c>
      <c r="P137" s="89" t="s">
        <v>78</v>
      </c>
      <c r="Q137" s="89" t="s">
        <v>972</v>
      </c>
      <c r="R137" s="89" t="s">
        <v>840</v>
      </c>
      <c r="S137" s="30">
        <v>0</v>
      </c>
      <c r="T137" s="233" t="s">
        <v>68</v>
      </c>
      <c r="U137" s="30">
        <v>0</v>
      </c>
      <c r="V137" s="233" t="s">
        <v>68</v>
      </c>
      <c r="W137" s="30">
        <v>0</v>
      </c>
      <c r="X137" s="30">
        <v>0</v>
      </c>
      <c r="Y137" s="30">
        <v>0</v>
      </c>
      <c r="Z137" s="233" t="s">
        <v>68</v>
      </c>
      <c r="AA137" s="30">
        <v>0</v>
      </c>
      <c r="AB137" s="30">
        <v>0</v>
      </c>
      <c r="AC137" s="30">
        <v>0</v>
      </c>
      <c r="AD137" s="30">
        <v>0</v>
      </c>
      <c r="AE137" s="89" t="s">
        <v>68</v>
      </c>
      <c r="AF137" s="89" t="s">
        <v>973</v>
      </c>
      <c r="AG137" s="89" t="s">
        <v>133</v>
      </c>
      <c r="AH137" s="72" t="s">
        <v>68</v>
      </c>
      <c r="AI137" s="30">
        <v>1</v>
      </c>
      <c r="AJ137" s="89" t="s">
        <v>68</v>
      </c>
      <c r="AK137" s="89" t="s">
        <v>68</v>
      </c>
      <c r="AL137" s="91">
        <v>39244</v>
      </c>
      <c r="AM137" s="91"/>
      <c r="AN137" s="91"/>
      <c r="AO137" s="91"/>
      <c r="AP137" s="73" t="e">
        <f>MID(VLOOKUP(K137,#REF!,2,FALSE),1,2)</f>
        <v>#REF!</v>
      </c>
      <c r="AQ137" s="89">
        <f>DATE(2006,8,6)</f>
        <v>38935</v>
      </c>
      <c r="AR137" s="82">
        <f t="shared" si="13"/>
        <v>6</v>
      </c>
      <c r="AS137" s="83">
        <f t="shared" si="14"/>
        <v>8</v>
      </c>
      <c r="AT137" s="84">
        <f t="shared" si="15"/>
        <v>2006</v>
      </c>
      <c r="AU137" s="86"/>
      <c r="AV137" s="86"/>
      <c r="AW137" s="87"/>
      <c r="AX137" s="86"/>
      <c r="AY137" s="83"/>
      <c r="AZ137" s="84"/>
      <c r="BA137" s="86"/>
      <c r="BB137" s="86"/>
      <c r="BD137" s="68">
        <f t="shared" si="16"/>
        <v>0</v>
      </c>
    </row>
    <row r="138" spans="1:56" ht="36.75" customHeight="1">
      <c r="A138" s="30"/>
      <c r="B138" s="30" t="s">
        <v>55</v>
      </c>
      <c r="C138" s="69" t="str">
        <f t="shared" si="12"/>
        <v>Closed</v>
      </c>
      <c r="D138" s="27" t="s">
        <v>974</v>
      </c>
      <c r="E138" s="29" t="s">
        <v>975</v>
      </c>
      <c r="F138" s="30" t="s">
        <v>124</v>
      </c>
      <c r="G138" s="89">
        <f>DATE(2006,8,6)</f>
        <v>38935</v>
      </c>
      <c r="H138" s="90">
        <v>1.8909722222222221</v>
      </c>
      <c r="I138" s="30" t="s">
        <v>73</v>
      </c>
      <c r="J138" s="89" t="s">
        <v>976</v>
      </c>
      <c r="K138" s="30" t="s">
        <v>127</v>
      </c>
      <c r="L138" s="30" t="s">
        <v>977</v>
      </c>
      <c r="M138" s="30" t="s">
        <v>255</v>
      </c>
      <c r="N138" s="30">
        <v>0</v>
      </c>
      <c r="O138" s="30" t="s">
        <v>77</v>
      </c>
      <c r="P138" s="89" t="s">
        <v>86</v>
      </c>
      <c r="Q138" s="89" t="s">
        <v>978</v>
      </c>
      <c r="R138" s="89" t="s">
        <v>131</v>
      </c>
      <c r="S138" s="30">
        <v>0</v>
      </c>
      <c r="T138" s="233" t="s">
        <v>68</v>
      </c>
      <c r="U138" s="30">
        <v>0</v>
      </c>
      <c r="V138" s="233" t="s">
        <v>68</v>
      </c>
      <c r="W138" s="30">
        <v>0</v>
      </c>
      <c r="X138" s="30">
        <v>0</v>
      </c>
      <c r="Y138" s="30">
        <v>0</v>
      </c>
      <c r="Z138" s="233" t="s">
        <v>68</v>
      </c>
      <c r="AA138" s="30">
        <v>0</v>
      </c>
      <c r="AB138" s="30">
        <v>0</v>
      </c>
      <c r="AC138" s="30">
        <v>0</v>
      </c>
      <c r="AD138" s="30">
        <v>0</v>
      </c>
      <c r="AE138" s="89" t="s">
        <v>68</v>
      </c>
      <c r="AF138" s="89" t="s">
        <v>979</v>
      </c>
      <c r="AG138" s="89" t="s">
        <v>367</v>
      </c>
      <c r="AH138" s="72" t="s">
        <v>68</v>
      </c>
      <c r="AI138" s="30">
        <v>2</v>
      </c>
      <c r="AJ138" s="89" t="s">
        <v>68</v>
      </c>
      <c r="AK138" s="89" t="s">
        <v>68</v>
      </c>
      <c r="AL138" s="91">
        <v>39294</v>
      </c>
      <c r="AM138" s="91"/>
      <c r="AN138" s="91"/>
      <c r="AO138" s="91"/>
      <c r="AP138" s="73" t="e">
        <f>MID(VLOOKUP(K138,#REF!,2,FALSE),1,2)</f>
        <v>#REF!</v>
      </c>
      <c r="AQ138" s="89">
        <f>DATE(2006,8,6)</f>
        <v>38935</v>
      </c>
      <c r="AR138" s="82">
        <f t="shared" si="13"/>
        <v>6</v>
      </c>
      <c r="AS138" s="83">
        <f t="shared" si="14"/>
        <v>8</v>
      </c>
      <c r="AT138" s="84">
        <f t="shared" si="15"/>
        <v>2006</v>
      </c>
      <c r="AU138" s="86"/>
      <c r="AV138" s="86"/>
      <c r="AW138" s="87"/>
      <c r="AX138" s="86"/>
      <c r="AY138" s="83"/>
      <c r="AZ138" s="84"/>
      <c r="BA138" s="86"/>
      <c r="BB138" s="86"/>
      <c r="BD138" s="68">
        <f t="shared" si="16"/>
        <v>0</v>
      </c>
    </row>
    <row r="139" spans="1:56" ht="36.75" customHeight="1">
      <c r="A139" s="30"/>
      <c r="B139" s="30" t="s">
        <v>55</v>
      </c>
      <c r="C139" s="69" t="str">
        <f t="shared" si="12"/>
        <v>Closed</v>
      </c>
      <c r="D139" s="27" t="s">
        <v>980</v>
      </c>
      <c r="E139" s="29" t="s">
        <v>981</v>
      </c>
      <c r="F139" s="30" t="s">
        <v>594</v>
      </c>
      <c r="G139" s="89">
        <f>DATE(2006,8,10)</f>
        <v>38939</v>
      </c>
      <c r="H139" s="90">
        <v>1.8576388888888888</v>
      </c>
      <c r="I139" s="30" t="s">
        <v>116</v>
      </c>
      <c r="J139" s="89" t="s">
        <v>982</v>
      </c>
      <c r="K139" s="30" t="s">
        <v>596</v>
      </c>
      <c r="L139" s="30" t="s">
        <v>983</v>
      </c>
      <c r="M139" s="30" t="s">
        <v>63</v>
      </c>
      <c r="N139" s="30">
        <v>0</v>
      </c>
      <c r="O139" s="30" t="s">
        <v>77</v>
      </c>
      <c r="P139" s="89" t="s">
        <v>65</v>
      </c>
      <c r="Q139" s="89" t="s">
        <v>598</v>
      </c>
      <c r="R139" s="89" t="s">
        <v>599</v>
      </c>
      <c r="S139" s="30">
        <v>0</v>
      </c>
      <c r="T139" s="233" t="s">
        <v>68</v>
      </c>
      <c r="U139" s="30">
        <v>1</v>
      </c>
      <c r="V139" s="233" t="s">
        <v>68</v>
      </c>
      <c r="W139" s="30">
        <v>0</v>
      </c>
      <c r="X139" s="30">
        <v>1</v>
      </c>
      <c r="Y139" s="30">
        <v>0</v>
      </c>
      <c r="Z139" s="233" t="s">
        <v>68</v>
      </c>
      <c r="AA139" s="30">
        <v>0</v>
      </c>
      <c r="AB139" s="30">
        <v>0</v>
      </c>
      <c r="AC139" s="30">
        <v>0</v>
      </c>
      <c r="AD139" s="30">
        <v>0</v>
      </c>
      <c r="AE139" s="89" t="s">
        <v>68</v>
      </c>
      <c r="AF139" s="89" t="s">
        <v>984</v>
      </c>
      <c r="AG139" s="89" t="s">
        <v>82</v>
      </c>
      <c r="AH139" s="72" t="s">
        <v>68</v>
      </c>
      <c r="AI139" s="30">
        <v>0</v>
      </c>
      <c r="AJ139" s="89" t="s">
        <v>68</v>
      </c>
      <c r="AK139" s="89" t="s">
        <v>68</v>
      </c>
      <c r="AL139" s="91">
        <v>39231</v>
      </c>
      <c r="AM139" s="91"/>
      <c r="AN139" s="91">
        <v>44584</v>
      </c>
      <c r="AO139" s="91">
        <v>44531</v>
      </c>
      <c r="AP139" s="73" t="e">
        <f>MID(VLOOKUP(K139,#REF!,2,FALSE),1,2)</f>
        <v>#REF!</v>
      </c>
      <c r="AQ139" s="89">
        <f>DATE(2006,8,10)</f>
        <v>38939</v>
      </c>
      <c r="AR139" s="82">
        <f t="shared" si="13"/>
        <v>10</v>
      </c>
      <c r="AS139" s="83">
        <f t="shared" si="14"/>
        <v>8</v>
      </c>
      <c r="AT139" s="84">
        <f t="shared" si="15"/>
        <v>2006</v>
      </c>
      <c r="AU139" s="86"/>
      <c r="AV139" s="86"/>
      <c r="AW139" s="87"/>
      <c r="AX139" s="86"/>
      <c r="AY139" s="83"/>
      <c r="AZ139" s="84"/>
      <c r="BA139" s="86"/>
      <c r="BB139" s="86"/>
      <c r="BD139" s="68">
        <f t="shared" si="16"/>
        <v>0</v>
      </c>
    </row>
    <row r="140" spans="1:56" ht="36.75" customHeight="1">
      <c r="A140" s="30"/>
      <c r="B140" s="30" t="s">
        <v>55</v>
      </c>
      <c r="C140" s="69" t="str">
        <f t="shared" si="12"/>
        <v>Closed</v>
      </c>
      <c r="D140" s="27" t="s">
        <v>985</v>
      </c>
      <c r="E140" s="29" t="s">
        <v>986</v>
      </c>
      <c r="F140" s="30" t="s">
        <v>423</v>
      </c>
      <c r="G140" s="89">
        <f>DATE(2006,8,11)</f>
        <v>38940</v>
      </c>
      <c r="H140" s="90">
        <v>1.5847222222222221</v>
      </c>
      <c r="I140" s="30" t="s">
        <v>116</v>
      </c>
      <c r="J140" s="89" t="s">
        <v>987</v>
      </c>
      <c r="K140" s="30" t="s">
        <v>425</v>
      </c>
      <c r="L140" s="30" t="s">
        <v>988</v>
      </c>
      <c r="M140" s="30" t="s">
        <v>63</v>
      </c>
      <c r="N140" s="30">
        <v>0</v>
      </c>
      <c r="O140" s="30" t="s">
        <v>64</v>
      </c>
      <c r="P140" s="89" t="s">
        <v>65</v>
      </c>
      <c r="Q140" s="89" t="s">
        <v>989</v>
      </c>
      <c r="R140" s="89" t="s">
        <v>989</v>
      </c>
      <c r="S140" s="30">
        <v>0</v>
      </c>
      <c r="T140" s="233">
        <v>0</v>
      </c>
      <c r="U140" s="30">
        <v>1</v>
      </c>
      <c r="V140" s="233">
        <v>0</v>
      </c>
      <c r="W140" s="30">
        <v>0</v>
      </c>
      <c r="X140" s="30">
        <v>1</v>
      </c>
      <c r="Y140" s="30">
        <v>0</v>
      </c>
      <c r="Z140" s="233">
        <v>0</v>
      </c>
      <c r="AA140" s="30">
        <v>8</v>
      </c>
      <c r="AB140" s="30">
        <v>0</v>
      </c>
      <c r="AC140" s="30">
        <v>0</v>
      </c>
      <c r="AD140" s="30">
        <v>8</v>
      </c>
      <c r="AE140" s="89" t="s">
        <v>68</v>
      </c>
      <c r="AF140" s="89" t="s">
        <v>990</v>
      </c>
      <c r="AG140" s="89" t="s">
        <v>133</v>
      </c>
      <c r="AH140" s="72" t="s">
        <v>68</v>
      </c>
      <c r="AI140" s="30">
        <v>0</v>
      </c>
      <c r="AJ140" s="89" t="s">
        <v>991</v>
      </c>
      <c r="AK140" s="89" t="s">
        <v>68</v>
      </c>
      <c r="AL140" s="91">
        <v>39183</v>
      </c>
      <c r="AM140" s="91"/>
      <c r="AN140" s="91"/>
      <c r="AO140" s="91"/>
      <c r="AP140" s="73" t="e">
        <f>MID(VLOOKUP(K140,#REF!,2,FALSE),1,2)</f>
        <v>#REF!</v>
      </c>
      <c r="AQ140" s="89">
        <f>DATE(2006,8,11)</f>
        <v>38940</v>
      </c>
      <c r="AR140" s="82">
        <f t="shared" si="13"/>
        <v>11</v>
      </c>
      <c r="AS140" s="83">
        <f t="shared" si="14"/>
        <v>8</v>
      </c>
      <c r="AT140" s="84">
        <f t="shared" si="15"/>
        <v>2006</v>
      </c>
      <c r="AU140" s="86"/>
      <c r="AV140" s="86"/>
      <c r="AW140" s="87"/>
      <c r="AX140" s="86"/>
      <c r="AY140" s="83"/>
      <c r="AZ140" s="84"/>
      <c r="BA140" s="86"/>
      <c r="BB140" s="86"/>
      <c r="BD140" s="68">
        <f t="shared" si="16"/>
        <v>0</v>
      </c>
    </row>
    <row r="141" spans="1:56" ht="36.75" customHeight="1">
      <c r="A141" s="30"/>
      <c r="B141" s="30" t="s">
        <v>55</v>
      </c>
      <c r="C141" s="69" t="str">
        <f t="shared" si="12"/>
        <v>Closed</v>
      </c>
      <c r="D141" s="27" t="s">
        <v>992</v>
      </c>
      <c r="E141" s="29" t="s">
        <v>993</v>
      </c>
      <c r="F141" s="30" t="s">
        <v>124</v>
      </c>
      <c r="G141" s="89">
        <f>DATE(2006,8,15)</f>
        <v>38944</v>
      </c>
      <c r="H141" s="90">
        <v>1.7604166666666665</v>
      </c>
      <c r="I141" s="30" t="s">
        <v>59</v>
      </c>
      <c r="J141" s="89" t="s">
        <v>994</v>
      </c>
      <c r="K141" s="30" t="s">
        <v>127</v>
      </c>
      <c r="L141" s="30" t="s">
        <v>995</v>
      </c>
      <c r="M141" s="30" t="s">
        <v>63</v>
      </c>
      <c r="N141" s="30">
        <v>0</v>
      </c>
      <c r="O141" s="30" t="s">
        <v>77</v>
      </c>
      <c r="P141" s="89" t="s">
        <v>165</v>
      </c>
      <c r="Q141" s="89" t="s">
        <v>229</v>
      </c>
      <c r="R141" s="89" t="s">
        <v>167</v>
      </c>
      <c r="S141" s="30">
        <v>0</v>
      </c>
      <c r="T141" s="233" t="s">
        <v>68</v>
      </c>
      <c r="U141" s="30">
        <v>0</v>
      </c>
      <c r="V141" s="233" t="s">
        <v>68</v>
      </c>
      <c r="W141" s="30">
        <v>0</v>
      </c>
      <c r="X141" s="30">
        <v>0</v>
      </c>
      <c r="Y141" s="30">
        <v>0</v>
      </c>
      <c r="Z141" s="233" t="s">
        <v>68</v>
      </c>
      <c r="AA141" s="30">
        <v>0</v>
      </c>
      <c r="AB141" s="30">
        <v>0</v>
      </c>
      <c r="AC141" s="30">
        <v>0</v>
      </c>
      <c r="AD141" s="30">
        <v>0</v>
      </c>
      <c r="AE141" s="89" t="s">
        <v>68</v>
      </c>
      <c r="AF141" s="89" t="s">
        <v>996</v>
      </c>
      <c r="AG141" s="89" t="s">
        <v>133</v>
      </c>
      <c r="AH141" s="72" t="s">
        <v>68</v>
      </c>
      <c r="AI141" s="30">
        <v>0</v>
      </c>
      <c r="AJ141" s="89" t="s">
        <v>68</v>
      </c>
      <c r="AK141" s="89" t="s">
        <v>68</v>
      </c>
      <c r="AL141" s="91">
        <v>39183</v>
      </c>
      <c r="AM141" s="91"/>
      <c r="AN141" s="91"/>
      <c r="AO141" s="91"/>
      <c r="AP141" s="73" t="e">
        <f>MID(VLOOKUP(K141,#REF!,2,FALSE),1,2)</f>
        <v>#REF!</v>
      </c>
      <c r="AQ141" s="89">
        <f>DATE(2006,8,15)</f>
        <v>38944</v>
      </c>
      <c r="AR141" s="82">
        <f t="shared" si="13"/>
        <v>15</v>
      </c>
      <c r="AS141" s="83">
        <f t="shared" si="14"/>
        <v>8</v>
      </c>
      <c r="AT141" s="84">
        <f t="shared" si="15"/>
        <v>2006</v>
      </c>
      <c r="AU141" s="86"/>
      <c r="AV141" s="86"/>
      <c r="AW141" s="87"/>
      <c r="AX141" s="86"/>
      <c r="AY141" s="83"/>
      <c r="AZ141" s="84"/>
      <c r="BA141" s="86"/>
      <c r="BB141" s="86"/>
      <c r="BD141" s="68">
        <f t="shared" si="16"/>
        <v>0</v>
      </c>
    </row>
    <row r="142" spans="1:56" ht="36.75" customHeight="1">
      <c r="A142" s="30"/>
      <c r="B142" s="30" t="s">
        <v>55</v>
      </c>
      <c r="C142" s="69" t="str">
        <f t="shared" si="12"/>
        <v>Closed</v>
      </c>
      <c r="D142" s="27" t="s">
        <v>997</v>
      </c>
      <c r="E142" s="29" t="s">
        <v>998</v>
      </c>
      <c r="F142" s="30" t="s">
        <v>233</v>
      </c>
      <c r="G142" s="89">
        <f>DATE(2006,8,18)</f>
        <v>38947</v>
      </c>
      <c r="H142" s="90">
        <v>1.4583333333333333</v>
      </c>
      <c r="I142" s="30" t="s">
        <v>104</v>
      </c>
      <c r="J142" s="89" t="s">
        <v>999</v>
      </c>
      <c r="K142" s="30" t="s">
        <v>235</v>
      </c>
      <c r="L142" s="30" t="s">
        <v>1000</v>
      </c>
      <c r="M142" s="30" t="s">
        <v>63</v>
      </c>
      <c r="N142" s="30">
        <v>0</v>
      </c>
      <c r="O142" s="30" t="s">
        <v>77</v>
      </c>
      <c r="P142" s="89" t="s">
        <v>165</v>
      </c>
      <c r="Q142" s="89" t="s">
        <v>718</v>
      </c>
      <c r="R142" s="89" t="s">
        <v>238</v>
      </c>
      <c r="S142" s="30">
        <v>0</v>
      </c>
      <c r="T142" s="233" t="s">
        <v>68</v>
      </c>
      <c r="U142" s="30">
        <v>0</v>
      </c>
      <c r="V142" s="233" t="s">
        <v>68</v>
      </c>
      <c r="W142" s="30">
        <v>0</v>
      </c>
      <c r="X142" s="30">
        <v>0</v>
      </c>
      <c r="Y142" s="30">
        <v>0</v>
      </c>
      <c r="Z142" s="233" t="s">
        <v>68</v>
      </c>
      <c r="AA142" s="30">
        <v>0</v>
      </c>
      <c r="AB142" s="30">
        <v>0</v>
      </c>
      <c r="AC142" s="30">
        <v>0</v>
      </c>
      <c r="AD142" s="30">
        <v>0</v>
      </c>
      <c r="AE142" s="89" t="s">
        <v>68</v>
      </c>
      <c r="AF142" s="89" t="s">
        <v>1001</v>
      </c>
      <c r="AG142" s="89" t="s">
        <v>133</v>
      </c>
      <c r="AH142" s="72" t="s">
        <v>68</v>
      </c>
      <c r="AI142" s="30">
        <v>5</v>
      </c>
      <c r="AJ142" s="89" t="s">
        <v>1002</v>
      </c>
      <c r="AK142" s="89" t="s">
        <v>1003</v>
      </c>
      <c r="AL142" s="91">
        <v>39227</v>
      </c>
      <c r="AM142" s="91"/>
      <c r="AN142" s="91"/>
      <c r="AO142" s="91"/>
      <c r="AP142" s="73" t="e">
        <f>MID(VLOOKUP(K142,#REF!,2,FALSE),1,2)</f>
        <v>#REF!</v>
      </c>
      <c r="AQ142" s="89">
        <f>DATE(2006,8,18)</f>
        <v>38947</v>
      </c>
      <c r="AR142" s="82">
        <f t="shared" si="13"/>
        <v>18</v>
      </c>
      <c r="AS142" s="83">
        <f t="shared" si="14"/>
        <v>8</v>
      </c>
      <c r="AT142" s="84">
        <f t="shared" si="15"/>
        <v>2006</v>
      </c>
      <c r="AU142" s="86"/>
      <c r="AV142" s="86"/>
      <c r="AW142" s="87"/>
      <c r="AX142" s="86"/>
      <c r="AY142" s="83"/>
      <c r="AZ142" s="84"/>
      <c r="BA142" s="86"/>
      <c r="BB142" s="86"/>
      <c r="BD142" s="68">
        <f t="shared" si="16"/>
        <v>0</v>
      </c>
    </row>
    <row r="143" spans="1:56" ht="36.75" customHeight="1">
      <c r="A143" s="30"/>
      <c r="B143" s="30" t="s">
        <v>55</v>
      </c>
      <c r="C143" s="69" t="str">
        <f t="shared" si="12"/>
        <v>Closed</v>
      </c>
      <c r="D143" s="27" t="s">
        <v>1004</v>
      </c>
      <c r="E143" s="29" t="s">
        <v>1005</v>
      </c>
      <c r="F143" s="30" t="s">
        <v>638</v>
      </c>
      <c r="G143" s="89">
        <f>DATE(2006,8,21)</f>
        <v>38950</v>
      </c>
      <c r="H143" s="90">
        <v>1.6631944444444444</v>
      </c>
      <c r="I143" s="30" t="s">
        <v>73</v>
      </c>
      <c r="J143" s="89" t="s">
        <v>1006</v>
      </c>
      <c r="K143" s="30" t="s">
        <v>640</v>
      </c>
      <c r="L143" s="30" t="s">
        <v>1007</v>
      </c>
      <c r="M143" s="30" t="s">
        <v>63</v>
      </c>
      <c r="N143" s="30">
        <v>0</v>
      </c>
      <c r="O143" s="30" t="s">
        <v>77</v>
      </c>
      <c r="P143" s="89" t="s">
        <v>65</v>
      </c>
      <c r="Q143" s="89" t="s">
        <v>642</v>
      </c>
      <c r="R143" s="89" t="s">
        <v>643</v>
      </c>
      <c r="S143" s="30">
        <v>7</v>
      </c>
      <c r="T143" s="233">
        <v>0</v>
      </c>
      <c r="U143" s="30">
        <v>0</v>
      </c>
      <c r="V143" s="233">
        <v>0</v>
      </c>
      <c r="W143" s="30">
        <v>0</v>
      </c>
      <c r="X143" s="30">
        <v>7</v>
      </c>
      <c r="Y143" s="30">
        <v>6</v>
      </c>
      <c r="Z143" s="233">
        <v>0</v>
      </c>
      <c r="AA143" s="30">
        <v>0</v>
      </c>
      <c r="AB143" s="30">
        <v>0</v>
      </c>
      <c r="AC143" s="30">
        <v>0</v>
      </c>
      <c r="AD143" s="30">
        <v>6</v>
      </c>
      <c r="AE143" s="89" t="s">
        <v>394</v>
      </c>
      <c r="AF143" s="89" t="s">
        <v>1008</v>
      </c>
      <c r="AG143" s="89" t="s">
        <v>82</v>
      </c>
      <c r="AH143" s="72" t="s">
        <v>68</v>
      </c>
      <c r="AI143" s="30">
        <v>0</v>
      </c>
      <c r="AJ143" s="89" t="s">
        <v>1009</v>
      </c>
      <c r="AK143" s="89" t="s">
        <v>68</v>
      </c>
      <c r="AL143" s="91">
        <v>39105</v>
      </c>
      <c r="AM143" s="91"/>
      <c r="AN143" s="91"/>
      <c r="AO143" s="91"/>
      <c r="AP143" s="73" t="e">
        <f>MID(VLOOKUP(K143,#REF!,2,FALSE),1,2)</f>
        <v>#REF!</v>
      </c>
      <c r="AQ143" s="89">
        <f>DATE(2006,8,21)</f>
        <v>38950</v>
      </c>
      <c r="AR143" s="82">
        <f t="shared" si="13"/>
        <v>21</v>
      </c>
      <c r="AS143" s="83">
        <f t="shared" si="14"/>
        <v>8</v>
      </c>
      <c r="AT143" s="84">
        <f t="shared" si="15"/>
        <v>2006</v>
      </c>
      <c r="AU143" s="86"/>
      <c r="AV143" s="86"/>
      <c r="AW143" s="87"/>
      <c r="AX143" s="86"/>
      <c r="AY143" s="83"/>
      <c r="AZ143" s="84"/>
      <c r="BA143" s="86"/>
      <c r="BB143" s="86"/>
      <c r="BD143" s="68">
        <f t="shared" si="16"/>
        <v>0</v>
      </c>
    </row>
    <row r="144" spans="1:56" ht="36.75" customHeight="1">
      <c r="A144" s="30"/>
      <c r="B144" s="30" t="s">
        <v>55</v>
      </c>
      <c r="C144" s="69" t="str">
        <f t="shared" si="12"/>
        <v>Closed</v>
      </c>
      <c r="D144" s="27" t="s">
        <v>1010</v>
      </c>
      <c r="E144" s="29" t="s">
        <v>1011</v>
      </c>
      <c r="F144" s="30" t="s">
        <v>233</v>
      </c>
      <c r="G144" s="89">
        <f>DATE(2006,8,21)</f>
        <v>38950</v>
      </c>
      <c r="H144" s="90">
        <v>1.5208333333333335</v>
      </c>
      <c r="I144" s="30" t="s">
        <v>125</v>
      </c>
      <c r="J144" s="89" t="s">
        <v>1012</v>
      </c>
      <c r="K144" s="30" t="s">
        <v>235</v>
      </c>
      <c r="L144" s="30" t="s">
        <v>1013</v>
      </c>
      <c r="M144" s="30" t="s">
        <v>63</v>
      </c>
      <c r="N144" s="30">
        <v>0</v>
      </c>
      <c r="O144" s="30" t="s">
        <v>64</v>
      </c>
      <c r="P144" s="89" t="s">
        <v>78</v>
      </c>
      <c r="Q144" s="89" t="s">
        <v>1014</v>
      </c>
      <c r="R144" s="89" t="s">
        <v>1014</v>
      </c>
      <c r="S144" s="30">
        <v>0</v>
      </c>
      <c r="T144" s="233">
        <v>0</v>
      </c>
      <c r="U144" s="30">
        <v>0</v>
      </c>
      <c r="V144" s="233">
        <v>0</v>
      </c>
      <c r="W144" s="30">
        <v>0</v>
      </c>
      <c r="X144" s="30">
        <v>0</v>
      </c>
      <c r="Y144" s="30">
        <v>0</v>
      </c>
      <c r="Z144" s="233">
        <v>0</v>
      </c>
      <c r="AA144" s="30">
        <v>0</v>
      </c>
      <c r="AB144" s="30">
        <v>0</v>
      </c>
      <c r="AC144" s="30">
        <v>0</v>
      </c>
      <c r="AD144" s="30">
        <v>0</v>
      </c>
      <c r="AE144" s="89" t="s">
        <v>92</v>
      </c>
      <c r="AF144" s="89" t="s">
        <v>1015</v>
      </c>
      <c r="AG144" s="89" t="s">
        <v>133</v>
      </c>
      <c r="AH144" s="72" t="s">
        <v>68</v>
      </c>
      <c r="AI144" s="30">
        <v>16</v>
      </c>
      <c r="AJ144" s="89" t="s">
        <v>1016</v>
      </c>
      <c r="AK144" s="89" t="s">
        <v>1017</v>
      </c>
      <c r="AL144" s="91">
        <v>39184</v>
      </c>
      <c r="AM144" s="91"/>
      <c r="AN144" s="91"/>
      <c r="AO144" s="91"/>
      <c r="AP144" s="73" t="e">
        <f>MID(VLOOKUP(K144,#REF!,2,FALSE),1,2)</f>
        <v>#REF!</v>
      </c>
      <c r="AQ144" s="89">
        <f>DATE(2006,8,21)</f>
        <v>38950</v>
      </c>
      <c r="AR144" s="82">
        <f t="shared" si="13"/>
        <v>21</v>
      </c>
      <c r="AS144" s="83">
        <f t="shared" si="14"/>
        <v>8</v>
      </c>
      <c r="AT144" s="84">
        <f t="shared" si="15"/>
        <v>2006</v>
      </c>
      <c r="AU144" s="86"/>
      <c r="AV144" s="86"/>
      <c r="AW144" s="87"/>
      <c r="AX144" s="86"/>
      <c r="AY144" s="83"/>
      <c r="AZ144" s="84"/>
      <c r="BA144" s="86"/>
      <c r="BB144" s="86"/>
      <c r="BD144" s="68">
        <f t="shared" si="16"/>
        <v>0</v>
      </c>
    </row>
    <row r="145" spans="1:56" ht="36.75" customHeight="1">
      <c r="A145" s="30"/>
      <c r="B145" s="30" t="s">
        <v>55</v>
      </c>
      <c r="C145" s="69" t="str">
        <f t="shared" si="12"/>
        <v>Closed</v>
      </c>
      <c r="D145" s="27" t="s">
        <v>1018</v>
      </c>
      <c r="E145" s="29" t="s">
        <v>1019</v>
      </c>
      <c r="F145" s="30" t="s">
        <v>233</v>
      </c>
      <c r="G145" s="89">
        <f>DATE(2006,8,27)</f>
        <v>38956</v>
      </c>
      <c r="H145" s="90">
        <v>1.1041666666666667</v>
      </c>
      <c r="I145" s="30" t="s">
        <v>86</v>
      </c>
      <c r="J145" s="89" t="s">
        <v>1020</v>
      </c>
      <c r="K145" s="30" t="s">
        <v>235</v>
      </c>
      <c r="L145" s="30" t="s">
        <v>1021</v>
      </c>
      <c r="M145" s="30" t="s">
        <v>63</v>
      </c>
      <c r="N145" s="30">
        <v>0</v>
      </c>
      <c r="O145" s="30" t="s">
        <v>64</v>
      </c>
      <c r="P145" s="89" t="s">
        <v>381</v>
      </c>
      <c r="Q145" s="89" t="s">
        <v>237</v>
      </c>
      <c r="R145" s="89" t="s">
        <v>238</v>
      </c>
      <c r="S145" s="30">
        <v>0</v>
      </c>
      <c r="T145" s="233" t="s">
        <v>68</v>
      </c>
      <c r="U145" s="30">
        <v>0</v>
      </c>
      <c r="V145" s="233" t="s">
        <v>68</v>
      </c>
      <c r="W145" s="30">
        <v>0</v>
      </c>
      <c r="X145" s="30">
        <v>0</v>
      </c>
      <c r="Y145" s="30">
        <v>0</v>
      </c>
      <c r="Z145" s="233" t="s">
        <v>68</v>
      </c>
      <c r="AA145" s="30">
        <v>0</v>
      </c>
      <c r="AB145" s="30">
        <v>0</v>
      </c>
      <c r="AC145" s="30">
        <v>0</v>
      </c>
      <c r="AD145" s="30">
        <v>0</v>
      </c>
      <c r="AE145" s="89" t="s">
        <v>68</v>
      </c>
      <c r="AF145" s="89" t="s">
        <v>68</v>
      </c>
      <c r="AG145" s="89" t="s">
        <v>133</v>
      </c>
      <c r="AH145" s="72" t="s">
        <v>68</v>
      </c>
      <c r="AI145" s="30">
        <v>8</v>
      </c>
      <c r="AJ145" s="89" t="s">
        <v>1022</v>
      </c>
      <c r="AK145" s="89" t="s">
        <v>1023</v>
      </c>
      <c r="AL145" s="91">
        <v>39188</v>
      </c>
      <c r="AM145" s="91"/>
      <c r="AN145" s="91"/>
      <c r="AO145" s="91"/>
      <c r="AP145" s="73" t="e">
        <f>MID(VLOOKUP(K145,#REF!,2,FALSE),1,2)</f>
        <v>#REF!</v>
      </c>
      <c r="AQ145" s="89">
        <f>DATE(2006,8,27)</f>
        <v>38956</v>
      </c>
      <c r="AR145" s="82">
        <f t="shared" si="13"/>
        <v>27</v>
      </c>
      <c r="AS145" s="83">
        <f t="shared" si="14"/>
        <v>8</v>
      </c>
      <c r="AT145" s="84">
        <f t="shared" si="15"/>
        <v>2006</v>
      </c>
      <c r="AU145" s="86"/>
      <c r="AV145" s="86"/>
      <c r="AW145" s="87"/>
      <c r="AX145" s="86"/>
      <c r="AY145" s="83"/>
      <c r="AZ145" s="84"/>
      <c r="BA145" s="86"/>
      <c r="BB145" s="86"/>
      <c r="BD145" s="68">
        <f t="shared" si="16"/>
        <v>0</v>
      </c>
    </row>
    <row r="146" spans="1:56" ht="36.75" customHeight="1">
      <c r="A146" s="30"/>
      <c r="B146" s="30" t="s">
        <v>55</v>
      </c>
      <c r="C146" s="69" t="str">
        <f t="shared" si="12"/>
        <v>Closed</v>
      </c>
      <c r="D146" s="27" t="s">
        <v>1024</v>
      </c>
      <c r="E146" s="29" t="s">
        <v>1025</v>
      </c>
      <c r="F146" s="30" t="s">
        <v>835</v>
      </c>
      <c r="G146" s="89">
        <f>DATE(2006,8,30)</f>
        <v>38959</v>
      </c>
      <c r="H146" s="90">
        <v>1.4152777777777779</v>
      </c>
      <c r="I146" s="30" t="s">
        <v>156</v>
      </c>
      <c r="J146" s="89" t="s">
        <v>1026</v>
      </c>
      <c r="K146" s="30" t="s">
        <v>837</v>
      </c>
      <c r="L146" s="30" t="s">
        <v>1027</v>
      </c>
      <c r="M146" s="30" t="s">
        <v>63</v>
      </c>
      <c r="N146" s="30">
        <v>0</v>
      </c>
      <c r="O146" s="30" t="s">
        <v>64</v>
      </c>
      <c r="P146" s="89" t="s">
        <v>165</v>
      </c>
      <c r="Q146" s="89" t="s">
        <v>839</v>
      </c>
      <c r="R146" s="89" t="s">
        <v>840</v>
      </c>
      <c r="S146" s="30">
        <v>0</v>
      </c>
      <c r="T146" s="233">
        <v>0</v>
      </c>
      <c r="U146" s="30">
        <v>0</v>
      </c>
      <c r="V146" s="233">
        <v>0</v>
      </c>
      <c r="W146" s="30">
        <v>0</v>
      </c>
      <c r="X146" s="30">
        <v>0</v>
      </c>
      <c r="Y146" s="30">
        <v>1</v>
      </c>
      <c r="Z146" s="233">
        <v>1</v>
      </c>
      <c r="AA146" s="30">
        <v>0</v>
      </c>
      <c r="AB146" s="30">
        <v>0</v>
      </c>
      <c r="AC146" s="30">
        <v>1</v>
      </c>
      <c r="AD146" s="30">
        <v>3</v>
      </c>
      <c r="AE146" s="89" t="s">
        <v>68</v>
      </c>
      <c r="AF146" s="89" t="s">
        <v>1028</v>
      </c>
      <c r="AG146" s="89" t="s">
        <v>133</v>
      </c>
      <c r="AH146" s="72" t="s">
        <v>68</v>
      </c>
      <c r="AI146" s="30">
        <v>0</v>
      </c>
      <c r="AJ146" s="89" t="s">
        <v>68</v>
      </c>
      <c r="AK146" s="89" t="s">
        <v>68</v>
      </c>
      <c r="AL146" s="91">
        <v>39244</v>
      </c>
      <c r="AM146" s="91"/>
      <c r="AN146" s="91"/>
      <c r="AO146" s="91"/>
      <c r="AP146" s="73" t="e">
        <f>MID(VLOOKUP(K146,#REF!,2,FALSE),1,2)</f>
        <v>#REF!</v>
      </c>
      <c r="AQ146" s="89">
        <f>DATE(2006,8,30)</f>
        <v>38959</v>
      </c>
      <c r="AR146" s="82">
        <f t="shared" si="13"/>
        <v>30</v>
      </c>
      <c r="AS146" s="83">
        <f t="shared" si="14"/>
        <v>8</v>
      </c>
      <c r="AT146" s="84">
        <f t="shared" si="15"/>
        <v>2006</v>
      </c>
      <c r="AU146" s="86"/>
      <c r="AV146" s="86"/>
      <c r="AW146" s="87"/>
      <c r="AX146" s="86"/>
      <c r="AY146" s="83"/>
      <c r="AZ146" s="84"/>
      <c r="BA146" s="86"/>
      <c r="BB146" s="86"/>
      <c r="BD146" s="68">
        <f t="shared" si="16"/>
        <v>0</v>
      </c>
    </row>
    <row r="147" spans="1:56" ht="36.75" customHeight="1">
      <c r="A147" s="30"/>
      <c r="B147" s="30" t="s">
        <v>55</v>
      </c>
      <c r="C147" s="69" t="str">
        <f t="shared" si="12"/>
        <v>Closed</v>
      </c>
      <c r="D147" s="27" t="s">
        <v>1029</v>
      </c>
      <c r="E147" s="29" t="s">
        <v>1030</v>
      </c>
      <c r="F147" s="30" t="s">
        <v>197</v>
      </c>
      <c r="G147" s="89">
        <f>DATE(2006,8,31)</f>
        <v>38960</v>
      </c>
      <c r="H147" s="90">
        <v>1.6388888888888888</v>
      </c>
      <c r="I147" s="30" t="s">
        <v>73</v>
      </c>
      <c r="J147" s="89" t="s">
        <v>1031</v>
      </c>
      <c r="K147" s="30" t="s">
        <v>200</v>
      </c>
      <c r="L147" s="30" t="s">
        <v>1032</v>
      </c>
      <c r="M147" s="30" t="s">
        <v>63</v>
      </c>
      <c r="N147" s="30">
        <v>0</v>
      </c>
      <c r="O147" s="30" t="s">
        <v>64</v>
      </c>
      <c r="P147" s="89" t="s">
        <v>78</v>
      </c>
      <c r="Q147" s="89" t="s">
        <v>202</v>
      </c>
      <c r="R147" s="89" t="s">
        <v>203</v>
      </c>
      <c r="S147" s="30">
        <v>0</v>
      </c>
      <c r="T147" s="233" t="s">
        <v>68</v>
      </c>
      <c r="U147" s="30">
        <v>0</v>
      </c>
      <c r="V147" s="233" t="s">
        <v>68</v>
      </c>
      <c r="W147" s="30">
        <v>0</v>
      </c>
      <c r="X147" s="30">
        <v>0</v>
      </c>
      <c r="Y147" s="30">
        <v>0</v>
      </c>
      <c r="Z147" s="233" t="s">
        <v>68</v>
      </c>
      <c r="AA147" s="30">
        <v>0</v>
      </c>
      <c r="AB147" s="30">
        <v>0</v>
      </c>
      <c r="AC147" s="30">
        <v>0</v>
      </c>
      <c r="AD147" s="30">
        <v>0</v>
      </c>
      <c r="AE147" s="89" t="s">
        <v>68</v>
      </c>
      <c r="AF147" s="89" t="s">
        <v>1033</v>
      </c>
      <c r="AG147" s="89" t="s">
        <v>82</v>
      </c>
      <c r="AH147" s="72" t="s">
        <v>68</v>
      </c>
      <c r="AI147" s="30">
        <v>0</v>
      </c>
      <c r="AJ147" s="89" t="s">
        <v>68</v>
      </c>
      <c r="AK147" s="89" t="s">
        <v>68</v>
      </c>
      <c r="AL147" s="91">
        <v>39176</v>
      </c>
      <c r="AM147" s="91"/>
      <c r="AN147" s="91"/>
      <c r="AO147" s="91"/>
      <c r="AP147" s="73" t="e">
        <f>MID(VLOOKUP(K147,#REF!,2,FALSE),1,2)</f>
        <v>#REF!</v>
      </c>
      <c r="AQ147" s="89">
        <f>DATE(2006,8,31)</f>
        <v>38960</v>
      </c>
      <c r="AR147" s="82">
        <f t="shared" si="13"/>
        <v>31</v>
      </c>
      <c r="AS147" s="83">
        <f t="shared" si="14"/>
        <v>8</v>
      </c>
      <c r="AT147" s="84">
        <f t="shared" si="15"/>
        <v>2006</v>
      </c>
      <c r="AU147" s="86"/>
      <c r="AV147" s="86"/>
      <c r="AW147" s="87"/>
      <c r="AX147" s="86"/>
      <c r="AY147" s="83"/>
      <c r="AZ147" s="84"/>
      <c r="BA147" s="86"/>
      <c r="BB147" s="86"/>
      <c r="BD147" s="68">
        <f t="shared" si="16"/>
        <v>0</v>
      </c>
    </row>
    <row r="148" spans="1:56" ht="36.75" customHeight="1">
      <c r="A148" s="30"/>
      <c r="B148" s="30" t="s">
        <v>55</v>
      </c>
      <c r="C148" s="69" t="str">
        <f t="shared" si="12"/>
        <v>Closed</v>
      </c>
      <c r="D148" s="27" t="s">
        <v>1034</v>
      </c>
      <c r="E148" s="29" t="s">
        <v>1035</v>
      </c>
      <c r="F148" s="30" t="s">
        <v>638</v>
      </c>
      <c r="G148" s="89">
        <f>DATE(2006,9,5)</f>
        <v>38965</v>
      </c>
      <c r="H148" s="90">
        <v>1.6756944444444444</v>
      </c>
      <c r="I148" s="30" t="s">
        <v>278</v>
      </c>
      <c r="J148" s="89" t="s">
        <v>1036</v>
      </c>
      <c r="K148" s="30" t="s">
        <v>640</v>
      </c>
      <c r="L148" s="30" t="s">
        <v>1037</v>
      </c>
      <c r="M148" s="30" t="s">
        <v>63</v>
      </c>
      <c r="N148" s="30">
        <v>0</v>
      </c>
      <c r="O148" s="30" t="s">
        <v>64</v>
      </c>
      <c r="P148" s="89" t="s">
        <v>165</v>
      </c>
      <c r="Q148" s="89" t="s">
        <v>642</v>
      </c>
      <c r="R148" s="89" t="s">
        <v>643</v>
      </c>
      <c r="S148" s="30">
        <v>0</v>
      </c>
      <c r="T148" s="233">
        <v>0</v>
      </c>
      <c r="U148" s="30">
        <v>0</v>
      </c>
      <c r="V148" s="233">
        <v>1</v>
      </c>
      <c r="W148" s="30">
        <v>0</v>
      </c>
      <c r="X148" s="30">
        <v>1</v>
      </c>
      <c r="Y148" s="30">
        <v>0</v>
      </c>
      <c r="Z148" s="233">
        <v>0</v>
      </c>
      <c r="AA148" s="30">
        <v>0</v>
      </c>
      <c r="AB148" s="30">
        <v>0</v>
      </c>
      <c r="AC148" s="30">
        <v>0</v>
      </c>
      <c r="AD148" s="30">
        <v>0</v>
      </c>
      <c r="AE148" s="89" t="s">
        <v>68</v>
      </c>
      <c r="AF148" s="89" t="s">
        <v>68</v>
      </c>
      <c r="AG148" s="89" t="s">
        <v>248</v>
      </c>
      <c r="AH148" s="72" t="s">
        <v>68</v>
      </c>
      <c r="AI148" s="30">
        <v>1</v>
      </c>
      <c r="AJ148" s="89" t="s">
        <v>68</v>
      </c>
      <c r="AK148" s="89" t="s">
        <v>68</v>
      </c>
      <c r="AL148" s="91">
        <v>39105</v>
      </c>
      <c r="AM148" s="91"/>
      <c r="AN148" s="91"/>
      <c r="AO148" s="91"/>
      <c r="AP148" s="73" t="e">
        <f>MID(VLOOKUP(K148,#REF!,2,FALSE),1,2)</f>
        <v>#REF!</v>
      </c>
      <c r="AQ148" s="89">
        <f>DATE(2006,9,5)</f>
        <v>38965</v>
      </c>
      <c r="AR148" s="82">
        <f t="shared" si="13"/>
        <v>5</v>
      </c>
      <c r="AS148" s="83">
        <f t="shared" si="14"/>
        <v>9</v>
      </c>
      <c r="AT148" s="84">
        <f t="shared" si="15"/>
        <v>2006</v>
      </c>
      <c r="AU148" s="86"/>
      <c r="AV148" s="86"/>
      <c r="AW148" s="87"/>
      <c r="AX148" s="86"/>
      <c r="AY148" s="83"/>
      <c r="AZ148" s="84"/>
      <c r="BA148" s="86"/>
      <c r="BB148" s="86"/>
      <c r="BD148" s="68">
        <f t="shared" si="16"/>
        <v>0</v>
      </c>
    </row>
    <row r="149" spans="1:56" ht="36.75" customHeight="1">
      <c r="A149" s="30"/>
      <c r="B149" s="30" t="s">
        <v>55</v>
      </c>
      <c r="C149" s="69" t="str">
        <f t="shared" si="12"/>
        <v>Closed</v>
      </c>
      <c r="D149" s="37" t="s">
        <v>1038</v>
      </c>
      <c r="E149" s="29" t="s">
        <v>1039</v>
      </c>
      <c r="F149" s="30" t="s">
        <v>594</v>
      </c>
      <c r="G149" s="89">
        <f>DATE(2006,9,6)</f>
        <v>38966</v>
      </c>
      <c r="H149" s="90">
        <v>1.1909722222222223</v>
      </c>
      <c r="I149" s="30" t="s">
        <v>1040</v>
      </c>
      <c r="J149" s="89" t="s">
        <v>1041</v>
      </c>
      <c r="K149" s="30" t="s">
        <v>596</v>
      </c>
      <c r="L149" s="30" t="s">
        <v>1042</v>
      </c>
      <c r="M149" s="30" t="s">
        <v>63</v>
      </c>
      <c r="N149" s="30" t="s">
        <v>1043</v>
      </c>
      <c r="O149" s="30" t="s">
        <v>64</v>
      </c>
      <c r="P149" s="89" t="s">
        <v>78</v>
      </c>
      <c r="Q149" s="89" t="s">
        <v>1044</v>
      </c>
      <c r="R149" s="89" t="s">
        <v>599</v>
      </c>
      <c r="S149" s="30">
        <v>0</v>
      </c>
      <c r="T149" s="30">
        <v>0</v>
      </c>
      <c r="U149" s="30">
        <v>0</v>
      </c>
      <c r="V149" s="30">
        <v>0</v>
      </c>
      <c r="W149" s="30">
        <v>0</v>
      </c>
      <c r="X149" s="30">
        <v>0</v>
      </c>
      <c r="Y149" s="30">
        <v>0</v>
      </c>
      <c r="Z149" s="30">
        <v>0</v>
      </c>
      <c r="AA149" s="30">
        <v>0</v>
      </c>
      <c r="AB149" s="30">
        <v>0</v>
      </c>
      <c r="AC149" s="30">
        <v>0</v>
      </c>
      <c r="AD149" s="30">
        <v>0</v>
      </c>
      <c r="AE149" s="89" t="s">
        <v>1045</v>
      </c>
      <c r="AF149" s="89" t="s">
        <v>1046</v>
      </c>
      <c r="AG149" s="89" t="s">
        <v>133</v>
      </c>
      <c r="AH149" s="72" t="s">
        <v>68</v>
      </c>
      <c r="AI149" s="30"/>
      <c r="AJ149" s="89" t="s">
        <v>68</v>
      </c>
      <c r="AK149" s="89" t="s">
        <v>68</v>
      </c>
      <c r="AL149" s="91">
        <v>39232</v>
      </c>
      <c r="AM149" s="91"/>
      <c r="AN149" s="91">
        <v>45334</v>
      </c>
      <c r="AO149" s="91">
        <v>45261</v>
      </c>
      <c r="AP149" s="73" t="e">
        <f>MID(VLOOKUP(K149,#REF!,2,FALSE),1,2)</f>
        <v>#REF!</v>
      </c>
      <c r="AQ149" s="89">
        <f>DATE(2006,9,6)</f>
        <v>38966</v>
      </c>
      <c r="AR149" s="82">
        <f t="shared" si="13"/>
        <v>6</v>
      </c>
      <c r="AS149" s="83">
        <f t="shared" si="14"/>
        <v>9</v>
      </c>
      <c r="AT149" s="84">
        <f t="shared" si="15"/>
        <v>2006</v>
      </c>
      <c r="AU149" s="86"/>
      <c r="AV149" s="86"/>
      <c r="AW149" s="87"/>
      <c r="AX149" s="86"/>
      <c r="AY149" s="83"/>
      <c r="AZ149" s="84"/>
      <c r="BA149" s="86"/>
      <c r="BB149" s="86"/>
      <c r="BD149" s="68">
        <f t="shared" si="16"/>
        <v>0</v>
      </c>
    </row>
    <row r="150" spans="1:56" ht="36.75" customHeight="1">
      <c r="A150" s="30"/>
      <c r="B150" s="30" t="s">
        <v>55</v>
      </c>
      <c r="C150" s="69" t="str">
        <f t="shared" si="12"/>
        <v>Closed</v>
      </c>
      <c r="D150" s="27" t="s">
        <v>1047</v>
      </c>
      <c r="E150" s="29" t="s">
        <v>1048</v>
      </c>
      <c r="F150" s="30" t="s">
        <v>451</v>
      </c>
      <c r="G150" s="89">
        <f>DATE(2006,9,8)</f>
        <v>38968</v>
      </c>
      <c r="H150" s="90">
        <v>1.7611111111111111</v>
      </c>
      <c r="I150" s="30" t="s">
        <v>116</v>
      </c>
      <c r="J150" s="89" t="s">
        <v>1049</v>
      </c>
      <c r="K150" s="30" t="s">
        <v>453</v>
      </c>
      <c r="L150" s="30" t="s">
        <v>1050</v>
      </c>
      <c r="M150" s="30" t="s">
        <v>63</v>
      </c>
      <c r="N150" s="30">
        <v>0</v>
      </c>
      <c r="O150" s="30" t="s">
        <v>77</v>
      </c>
      <c r="P150" s="89" t="s">
        <v>65</v>
      </c>
      <c r="Q150" s="89" t="s">
        <v>571</v>
      </c>
      <c r="R150" s="89" t="s">
        <v>572</v>
      </c>
      <c r="S150" s="30">
        <v>0</v>
      </c>
      <c r="T150" s="233" t="s">
        <v>68</v>
      </c>
      <c r="U150" s="30">
        <v>0</v>
      </c>
      <c r="V150" s="233" t="s">
        <v>68</v>
      </c>
      <c r="W150" s="30">
        <v>0</v>
      </c>
      <c r="X150" s="30">
        <v>0</v>
      </c>
      <c r="Y150" s="30">
        <v>0</v>
      </c>
      <c r="Z150" s="233" t="s">
        <v>68</v>
      </c>
      <c r="AA150" s="30">
        <v>0</v>
      </c>
      <c r="AB150" s="30">
        <v>0</v>
      </c>
      <c r="AC150" s="30">
        <v>0</v>
      </c>
      <c r="AD150" s="30">
        <v>0</v>
      </c>
      <c r="AE150" s="89" t="s">
        <v>68</v>
      </c>
      <c r="AF150" s="89" t="s">
        <v>1051</v>
      </c>
      <c r="AG150" s="89" t="s">
        <v>133</v>
      </c>
      <c r="AH150" s="72" t="s">
        <v>68</v>
      </c>
      <c r="AI150" s="30">
        <v>0</v>
      </c>
      <c r="AJ150" s="89" t="s">
        <v>68</v>
      </c>
      <c r="AK150" s="89" t="s">
        <v>68</v>
      </c>
      <c r="AL150" s="91">
        <v>39360</v>
      </c>
      <c r="AM150" s="91"/>
      <c r="AN150" s="91"/>
      <c r="AO150" s="91"/>
      <c r="AP150" s="73" t="e">
        <f>MID(VLOOKUP(K150,#REF!,2,FALSE),1,2)</f>
        <v>#REF!</v>
      </c>
      <c r="AQ150" s="89">
        <f>DATE(2006,9,8)</f>
        <v>38968</v>
      </c>
      <c r="AR150" s="82">
        <f t="shared" si="13"/>
        <v>8</v>
      </c>
      <c r="AS150" s="83">
        <f t="shared" si="14"/>
        <v>9</v>
      </c>
      <c r="AT150" s="84">
        <f t="shared" si="15"/>
        <v>2006</v>
      </c>
      <c r="AU150" s="86"/>
      <c r="AV150" s="86"/>
      <c r="AW150" s="87"/>
      <c r="AX150" s="86"/>
      <c r="AY150" s="83"/>
      <c r="AZ150" s="84"/>
      <c r="BA150" s="86"/>
      <c r="BB150" s="86"/>
      <c r="BD150" s="68">
        <f t="shared" si="16"/>
        <v>0</v>
      </c>
    </row>
    <row r="151" spans="1:56" ht="36.75" customHeight="1">
      <c r="A151" s="30"/>
      <c r="B151" s="30" t="s">
        <v>55</v>
      </c>
      <c r="C151" s="69" t="str">
        <f t="shared" si="12"/>
        <v>Closed</v>
      </c>
      <c r="D151" s="27" t="s">
        <v>1052</v>
      </c>
      <c r="E151" s="29" t="s">
        <v>1053</v>
      </c>
      <c r="F151" s="30" t="s">
        <v>233</v>
      </c>
      <c r="G151" s="89">
        <f>DATE(2006,9,8)</f>
        <v>38968</v>
      </c>
      <c r="H151" s="90">
        <v>1.6666666666666665</v>
      </c>
      <c r="I151" s="30" t="s">
        <v>73</v>
      </c>
      <c r="J151" s="89" t="s">
        <v>1054</v>
      </c>
      <c r="K151" s="30" t="s">
        <v>235</v>
      </c>
      <c r="L151" s="30" t="s">
        <v>1055</v>
      </c>
      <c r="M151" s="30" t="s">
        <v>63</v>
      </c>
      <c r="N151" s="30">
        <v>0</v>
      </c>
      <c r="O151" s="30" t="s">
        <v>64</v>
      </c>
      <c r="P151" s="89" t="s">
        <v>78</v>
      </c>
      <c r="Q151" s="89" t="s">
        <v>237</v>
      </c>
      <c r="R151" s="89" t="s">
        <v>238</v>
      </c>
      <c r="S151" s="30">
        <v>0</v>
      </c>
      <c r="T151" s="233" t="s">
        <v>68</v>
      </c>
      <c r="U151" s="30">
        <v>0</v>
      </c>
      <c r="V151" s="233" t="s">
        <v>68</v>
      </c>
      <c r="W151" s="30">
        <v>0</v>
      </c>
      <c r="X151" s="30">
        <v>0</v>
      </c>
      <c r="Y151" s="30">
        <v>0</v>
      </c>
      <c r="Z151" s="233" t="s">
        <v>68</v>
      </c>
      <c r="AA151" s="30">
        <v>0</v>
      </c>
      <c r="AB151" s="30">
        <v>0</v>
      </c>
      <c r="AC151" s="30">
        <v>0</v>
      </c>
      <c r="AD151" s="30">
        <v>0</v>
      </c>
      <c r="AE151" s="89" t="s">
        <v>68</v>
      </c>
      <c r="AF151" s="89" t="s">
        <v>1056</v>
      </c>
      <c r="AG151" s="89" t="s">
        <v>133</v>
      </c>
      <c r="AH151" s="72" t="s">
        <v>68</v>
      </c>
      <c r="AI151" s="30">
        <v>4</v>
      </c>
      <c r="AJ151" s="89" t="s">
        <v>1057</v>
      </c>
      <c r="AK151" s="89" t="s">
        <v>1058</v>
      </c>
      <c r="AL151" s="91">
        <v>39353</v>
      </c>
      <c r="AM151" s="91"/>
      <c r="AN151" s="91"/>
      <c r="AO151" s="91"/>
      <c r="AP151" s="73" t="e">
        <f>MID(VLOOKUP(K151,#REF!,2,FALSE),1,2)</f>
        <v>#REF!</v>
      </c>
      <c r="AQ151" s="89">
        <f>DATE(2006,9,8)</f>
        <v>38968</v>
      </c>
      <c r="AR151" s="82">
        <f t="shared" si="13"/>
        <v>8</v>
      </c>
      <c r="AS151" s="83">
        <f t="shared" si="14"/>
        <v>9</v>
      </c>
      <c r="AT151" s="84">
        <f t="shared" si="15"/>
        <v>2006</v>
      </c>
      <c r="AU151" s="86"/>
      <c r="AV151" s="86"/>
      <c r="AW151" s="87"/>
      <c r="AX151" s="86"/>
      <c r="AY151" s="83"/>
      <c r="AZ151" s="84"/>
      <c r="BA151" s="86"/>
      <c r="BB151" s="86"/>
      <c r="BD151" s="68">
        <f t="shared" si="16"/>
        <v>0</v>
      </c>
    </row>
    <row r="152" spans="1:56" ht="36.75" customHeight="1">
      <c r="A152" s="30"/>
      <c r="B152" s="30" t="s">
        <v>55</v>
      </c>
      <c r="C152" s="69" t="str">
        <f t="shared" si="12"/>
        <v>Closed</v>
      </c>
      <c r="D152" s="27" t="s">
        <v>1059</v>
      </c>
      <c r="E152" s="29" t="s">
        <v>1060</v>
      </c>
      <c r="F152" s="30" t="s">
        <v>835</v>
      </c>
      <c r="G152" s="89">
        <f>DATE(2006,9,9)</f>
        <v>38969</v>
      </c>
      <c r="H152" s="90">
        <v>1.4708333333333334</v>
      </c>
      <c r="I152" s="30" t="s">
        <v>116</v>
      </c>
      <c r="J152" s="89" t="s">
        <v>1061</v>
      </c>
      <c r="K152" s="30" t="s">
        <v>837</v>
      </c>
      <c r="L152" s="30" t="s">
        <v>1062</v>
      </c>
      <c r="M152" s="30" t="s">
        <v>63</v>
      </c>
      <c r="N152" s="30">
        <v>0</v>
      </c>
      <c r="O152" s="30" t="s">
        <v>64</v>
      </c>
      <c r="P152" s="89" t="s">
        <v>86</v>
      </c>
      <c r="Q152" s="89" t="s">
        <v>839</v>
      </c>
      <c r="R152" s="89" t="s">
        <v>840</v>
      </c>
      <c r="S152" s="30">
        <v>0</v>
      </c>
      <c r="T152" s="233">
        <v>0</v>
      </c>
      <c r="U152" s="30">
        <v>0</v>
      </c>
      <c r="V152" s="233">
        <v>0</v>
      </c>
      <c r="W152" s="30">
        <v>0</v>
      </c>
      <c r="X152" s="30">
        <v>0</v>
      </c>
      <c r="Y152" s="30">
        <v>0</v>
      </c>
      <c r="Z152" s="233">
        <v>0</v>
      </c>
      <c r="AA152" s="30">
        <v>1</v>
      </c>
      <c r="AB152" s="30">
        <v>0</v>
      </c>
      <c r="AC152" s="30">
        <v>0</v>
      </c>
      <c r="AD152" s="30">
        <v>1</v>
      </c>
      <c r="AE152" s="89" t="s">
        <v>68</v>
      </c>
      <c r="AF152" s="89" t="s">
        <v>1063</v>
      </c>
      <c r="AG152" s="89" t="s">
        <v>352</v>
      </c>
      <c r="AH152" s="72" t="s">
        <v>68</v>
      </c>
      <c r="AI152" s="30">
        <v>1</v>
      </c>
      <c r="AJ152" s="89" t="s">
        <v>68</v>
      </c>
      <c r="AK152" s="89" t="s">
        <v>68</v>
      </c>
      <c r="AL152" s="91">
        <v>39388</v>
      </c>
      <c r="AM152" s="91"/>
      <c r="AN152" s="91"/>
      <c r="AO152" s="91"/>
      <c r="AP152" s="73" t="e">
        <f>MID(VLOOKUP(K152,#REF!,2,FALSE),1,2)</f>
        <v>#REF!</v>
      </c>
      <c r="AQ152" s="89">
        <f>DATE(2006,9,9)</f>
        <v>38969</v>
      </c>
      <c r="AR152" s="82">
        <f t="shared" si="13"/>
        <v>9</v>
      </c>
      <c r="AS152" s="83">
        <f t="shared" si="14"/>
        <v>9</v>
      </c>
      <c r="AT152" s="84">
        <f t="shared" si="15"/>
        <v>2006</v>
      </c>
      <c r="AU152" s="86"/>
      <c r="AV152" s="86"/>
      <c r="AW152" s="87"/>
      <c r="AX152" s="86"/>
      <c r="AY152" s="83"/>
      <c r="AZ152" s="84"/>
      <c r="BA152" s="86"/>
      <c r="BB152" s="86"/>
      <c r="BD152" s="68">
        <f t="shared" si="16"/>
        <v>0</v>
      </c>
    </row>
    <row r="153" spans="1:56" ht="36.75" customHeight="1">
      <c r="A153" s="30"/>
      <c r="B153" s="30" t="s">
        <v>55</v>
      </c>
      <c r="C153" s="69" t="str">
        <f t="shared" si="12"/>
        <v>Closed</v>
      </c>
      <c r="D153" s="27" t="s">
        <v>1064</v>
      </c>
      <c r="E153" s="29" t="s">
        <v>1065</v>
      </c>
      <c r="F153" s="30" t="s">
        <v>233</v>
      </c>
      <c r="G153" s="89">
        <f>DATE(2006,9,11)</f>
        <v>38971</v>
      </c>
      <c r="H153" s="90">
        <v>1.9652777777777777</v>
      </c>
      <c r="I153" s="30" t="s">
        <v>73</v>
      </c>
      <c r="J153" s="89" t="s">
        <v>1066</v>
      </c>
      <c r="K153" s="30" t="s">
        <v>235</v>
      </c>
      <c r="L153" s="30" t="s">
        <v>1067</v>
      </c>
      <c r="M153" s="30" t="s">
        <v>63</v>
      </c>
      <c r="N153" s="30">
        <v>0</v>
      </c>
      <c r="O153" s="30" t="s">
        <v>64</v>
      </c>
      <c r="P153" s="89" t="s">
        <v>165</v>
      </c>
      <c r="Q153" s="89" t="s">
        <v>351</v>
      </c>
      <c r="R153" s="89" t="s">
        <v>238</v>
      </c>
      <c r="S153" s="30">
        <v>0</v>
      </c>
      <c r="T153" s="233" t="s">
        <v>68</v>
      </c>
      <c r="U153" s="30">
        <v>0</v>
      </c>
      <c r="V153" s="233" t="s">
        <v>68</v>
      </c>
      <c r="W153" s="30">
        <v>0</v>
      </c>
      <c r="X153" s="30">
        <v>0</v>
      </c>
      <c r="Y153" s="30">
        <v>0</v>
      </c>
      <c r="Z153" s="233" t="s">
        <v>68</v>
      </c>
      <c r="AA153" s="30">
        <v>0</v>
      </c>
      <c r="AB153" s="30">
        <v>0</v>
      </c>
      <c r="AC153" s="30">
        <v>0</v>
      </c>
      <c r="AD153" s="30">
        <v>0</v>
      </c>
      <c r="AE153" s="89" t="s">
        <v>68</v>
      </c>
      <c r="AF153" s="89" t="s">
        <v>1068</v>
      </c>
      <c r="AG153" s="89" t="s">
        <v>133</v>
      </c>
      <c r="AH153" s="72" t="s">
        <v>68</v>
      </c>
      <c r="AI153" s="30">
        <v>0</v>
      </c>
      <c r="AJ153" s="89" t="s">
        <v>68</v>
      </c>
      <c r="AK153" s="89" t="s">
        <v>68</v>
      </c>
      <c r="AL153" s="91">
        <v>39353</v>
      </c>
      <c r="AM153" s="91"/>
      <c r="AN153" s="91"/>
      <c r="AO153" s="91"/>
      <c r="AP153" s="73" t="e">
        <f>MID(VLOOKUP(K153,#REF!,2,FALSE),1,2)</f>
        <v>#REF!</v>
      </c>
      <c r="AQ153" s="89">
        <f>DATE(2006,9,11)</f>
        <v>38971</v>
      </c>
      <c r="AR153" s="82">
        <f t="shared" si="13"/>
        <v>11</v>
      </c>
      <c r="AS153" s="83">
        <f t="shared" si="14"/>
        <v>9</v>
      </c>
      <c r="AT153" s="84">
        <f t="shared" si="15"/>
        <v>2006</v>
      </c>
      <c r="AU153" s="86"/>
      <c r="AV153" s="86"/>
      <c r="AW153" s="87"/>
      <c r="AX153" s="86"/>
      <c r="AY153" s="83"/>
      <c r="AZ153" s="84"/>
      <c r="BA153" s="86"/>
      <c r="BB153" s="86"/>
      <c r="BD153" s="68">
        <f t="shared" si="16"/>
        <v>0</v>
      </c>
    </row>
    <row r="154" spans="1:56" ht="36.75" customHeight="1">
      <c r="A154" s="30"/>
      <c r="B154" s="30" t="s">
        <v>55</v>
      </c>
      <c r="C154" s="69" t="str">
        <f t="shared" si="12"/>
        <v>Closed</v>
      </c>
      <c r="D154" s="27" t="s">
        <v>1069</v>
      </c>
      <c r="E154" s="29" t="s">
        <v>1070</v>
      </c>
      <c r="F154" s="30" t="s">
        <v>233</v>
      </c>
      <c r="G154" s="89">
        <f>DATE(2006,9,12)</f>
        <v>38972</v>
      </c>
      <c r="H154" s="90">
        <v>1.25</v>
      </c>
      <c r="I154" s="30" t="s">
        <v>156</v>
      </c>
      <c r="J154" s="89" t="s">
        <v>1071</v>
      </c>
      <c r="K154" s="30" t="s">
        <v>235</v>
      </c>
      <c r="L154" s="30" t="s">
        <v>1072</v>
      </c>
      <c r="M154" s="30" t="s">
        <v>63</v>
      </c>
      <c r="N154" s="30">
        <v>0</v>
      </c>
      <c r="O154" s="30" t="s">
        <v>64</v>
      </c>
      <c r="P154" s="89" t="s">
        <v>165</v>
      </c>
      <c r="Q154" s="89" t="s">
        <v>1073</v>
      </c>
      <c r="R154" s="89" t="s">
        <v>238</v>
      </c>
      <c r="S154" s="30">
        <v>0</v>
      </c>
      <c r="T154" s="233" t="s">
        <v>68</v>
      </c>
      <c r="U154" s="30">
        <v>0</v>
      </c>
      <c r="V154" s="233" t="s">
        <v>68</v>
      </c>
      <c r="W154" s="30">
        <v>0</v>
      </c>
      <c r="X154" s="30">
        <v>0</v>
      </c>
      <c r="Y154" s="30">
        <v>0</v>
      </c>
      <c r="Z154" s="233" t="s">
        <v>68</v>
      </c>
      <c r="AA154" s="30">
        <v>0</v>
      </c>
      <c r="AB154" s="30">
        <v>0</v>
      </c>
      <c r="AC154" s="30">
        <v>0</v>
      </c>
      <c r="AD154" s="30">
        <v>0</v>
      </c>
      <c r="AE154" s="89" t="s">
        <v>68</v>
      </c>
      <c r="AF154" s="89" t="s">
        <v>1074</v>
      </c>
      <c r="AG154" s="89" t="s">
        <v>133</v>
      </c>
      <c r="AH154" s="72" t="s">
        <v>68</v>
      </c>
      <c r="AI154" s="30">
        <v>10</v>
      </c>
      <c r="AJ154" s="89" t="s">
        <v>1075</v>
      </c>
      <c r="AK154" s="89" t="s">
        <v>1076</v>
      </c>
      <c r="AL154" s="91">
        <v>39353</v>
      </c>
      <c r="AM154" s="91"/>
      <c r="AN154" s="91"/>
      <c r="AO154" s="91"/>
      <c r="AP154" s="73" t="e">
        <f>MID(VLOOKUP(K154,#REF!,2,FALSE),1,2)</f>
        <v>#REF!</v>
      </c>
      <c r="AQ154" s="89">
        <f>DATE(2006,9,12)</f>
        <v>38972</v>
      </c>
      <c r="AR154" s="82">
        <f t="shared" si="13"/>
        <v>12</v>
      </c>
      <c r="AS154" s="83">
        <f t="shared" si="14"/>
        <v>9</v>
      </c>
      <c r="AT154" s="84">
        <f t="shared" si="15"/>
        <v>2006</v>
      </c>
      <c r="AU154" s="86"/>
      <c r="AV154" s="86"/>
      <c r="AW154" s="87"/>
      <c r="AX154" s="86"/>
      <c r="AY154" s="83"/>
      <c r="AZ154" s="84"/>
      <c r="BA154" s="86"/>
      <c r="BB154" s="86"/>
      <c r="BD154" s="68">
        <f t="shared" si="16"/>
        <v>0</v>
      </c>
    </row>
    <row r="155" spans="1:56" ht="36.75" customHeight="1">
      <c r="A155" s="30"/>
      <c r="B155" s="30" t="s">
        <v>55</v>
      </c>
      <c r="C155" s="69" t="str">
        <f t="shared" si="12"/>
        <v>Closed</v>
      </c>
      <c r="D155" s="27" t="s">
        <v>1077</v>
      </c>
      <c r="E155" s="29" t="s">
        <v>1078</v>
      </c>
      <c r="F155" s="30" t="s">
        <v>233</v>
      </c>
      <c r="G155" s="89">
        <f>DATE(2006,9,12)</f>
        <v>38972</v>
      </c>
      <c r="H155" s="90">
        <v>1.8208333333333333</v>
      </c>
      <c r="I155" s="30" t="s">
        <v>73</v>
      </c>
      <c r="J155" s="89" t="s">
        <v>1079</v>
      </c>
      <c r="K155" s="30" t="s">
        <v>235</v>
      </c>
      <c r="L155" s="30" t="s">
        <v>1080</v>
      </c>
      <c r="M155" s="30" t="s">
        <v>63</v>
      </c>
      <c r="N155" s="30">
        <v>0</v>
      </c>
      <c r="O155" s="30" t="s">
        <v>64</v>
      </c>
      <c r="P155" s="89" t="s">
        <v>165</v>
      </c>
      <c r="Q155" s="89" t="s">
        <v>1081</v>
      </c>
      <c r="R155" s="89" t="s">
        <v>238</v>
      </c>
      <c r="S155" s="30">
        <v>0</v>
      </c>
      <c r="T155" s="233" t="s">
        <v>68</v>
      </c>
      <c r="U155" s="30">
        <v>0</v>
      </c>
      <c r="V155" s="233" t="s">
        <v>68</v>
      </c>
      <c r="W155" s="30">
        <v>0</v>
      </c>
      <c r="X155" s="30">
        <v>0</v>
      </c>
      <c r="Y155" s="30">
        <v>0</v>
      </c>
      <c r="Z155" s="233" t="s">
        <v>68</v>
      </c>
      <c r="AA155" s="30">
        <v>0</v>
      </c>
      <c r="AB155" s="30">
        <v>0</v>
      </c>
      <c r="AC155" s="30">
        <v>0</v>
      </c>
      <c r="AD155" s="30">
        <v>0</v>
      </c>
      <c r="AE155" s="89" t="s">
        <v>68</v>
      </c>
      <c r="AF155" s="89" t="s">
        <v>68</v>
      </c>
      <c r="AG155" s="89" t="s">
        <v>133</v>
      </c>
      <c r="AH155" s="72" t="s">
        <v>68</v>
      </c>
      <c r="AI155" s="30">
        <v>3</v>
      </c>
      <c r="AJ155" s="89" t="s">
        <v>1082</v>
      </c>
      <c r="AK155" s="89" t="s">
        <v>1083</v>
      </c>
      <c r="AL155" s="91">
        <v>39356</v>
      </c>
      <c r="AM155" s="91"/>
      <c r="AN155" s="91"/>
      <c r="AO155" s="91"/>
      <c r="AP155" s="73" t="e">
        <f>MID(VLOOKUP(K155,#REF!,2,FALSE),1,2)</f>
        <v>#REF!</v>
      </c>
      <c r="AQ155" s="89">
        <f>DATE(2006,9,12)</f>
        <v>38972</v>
      </c>
      <c r="AR155" s="82">
        <f t="shared" si="13"/>
        <v>12</v>
      </c>
      <c r="AS155" s="83">
        <f t="shared" si="14"/>
        <v>9</v>
      </c>
      <c r="AT155" s="84">
        <f t="shared" si="15"/>
        <v>2006</v>
      </c>
      <c r="AU155" s="86"/>
      <c r="AV155" s="86"/>
      <c r="AW155" s="87"/>
      <c r="AX155" s="86"/>
      <c r="AY155" s="83"/>
      <c r="AZ155" s="84"/>
      <c r="BA155" s="86"/>
      <c r="BB155" s="86"/>
      <c r="BD155" s="68">
        <f t="shared" si="16"/>
        <v>0</v>
      </c>
    </row>
    <row r="156" spans="1:56" ht="36.75" customHeight="1">
      <c r="A156" s="30"/>
      <c r="B156" s="30" t="s">
        <v>55</v>
      </c>
      <c r="C156" s="69" t="str">
        <f t="shared" si="12"/>
        <v>Closed</v>
      </c>
      <c r="D156" s="27" t="s">
        <v>1084</v>
      </c>
      <c r="E156" s="29" t="s">
        <v>1085</v>
      </c>
      <c r="F156" s="30" t="s">
        <v>451</v>
      </c>
      <c r="G156" s="89">
        <f>DATE(2006,9,14)</f>
        <v>38974</v>
      </c>
      <c r="H156" s="90">
        <v>1.8125</v>
      </c>
      <c r="I156" s="30" t="s">
        <v>86</v>
      </c>
      <c r="J156" s="89" t="s">
        <v>1086</v>
      </c>
      <c r="K156" s="30" t="s">
        <v>453</v>
      </c>
      <c r="L156" s="30" t="s">
        <v>1087</v>
      </c>
      <c r="M156" s="30" t="s">
        <v>63</v>
      </c>
      <c r="N156" s="30" t="s">
        <v>142</v>
      </c>
      <c r="O156" s="30" t="s">
        <v>64</v>
      </c>
      <c r="P156" s="89" t="s">
        <v>462</v>
      </c>
      <c r="Q156" s="89" t="s">
        <v>571</v>
      </c>
      <c r="R156" s="89" t="s">
        <v>572</v>
      </c>
      <c r="S156" s="30">
        <v>0</v>
      </c>
      <c r="T156" s="233">
        <v>0</v>
      </c>
      <c r="U156" s="30">
        <v>0</v>
      </c>
      <c r="V156" s="233">
        <v>0</v>
      </c>
      <c r="W156" s="30">
        <v>0</v>
      </c>
      <c r="X156" s="30">
        <v>0</v>
      </c>
      <c r="Y156" s="30">
        <v>0</v>
      </c>
      <c r="Z156" s="233">
        <v>0</v>
      </c>
      <c r="AA156" s="30">
        <v>0</v>
      </c>
      <c r="AB156" s="30">
        <v>0</v>
      </c>
      <c r="AC156" s="30">
        <v>0</v>
      </c>
      <c r="AD156" s="30">
        <v>0</v>
      </c>
      <c r="AE156" s="89" t="s">
        <v>92</v>
      </c>
      <c r="AF156" s="89" t="s">
        <v>68</v>
      </c>
      <c r="AG156" s="89" t="s">
        <v>69</v>
      </c>
      <c r="AH156" s="72" t="s">
        <v>68</v>
      </c>
      <c r="AI156" s="30">
        <v>2</v>
      </c>
      <c r="AJ156" s="89" t="s">
        <v>1088</v>
      </c>
      <c r="AK156" s="89" t="s">
        <v>68</v>
      </c>
      <c r="AL156" s="91">
        <v>39360</v>
      </c>
      <c r="AM156" s="91"/>
      <c r="AN156" s="91"/>
      <c r="AO156" s="91"/>
      <c r="AP156" s="73" t="e">
        <f>MID(VLOOKUP(K156,#REF!,2,FALSE),1,2)</f>
        <v>#REF!</v>
      </c>
      <c r="AQ156" s="89">
        <f>DATE(2006,9,14)</f>
        <v>38974</v>
      </c>
      <c r="AR156" s="82">
        <f t="shared" si="13"/>
        <v>14</v>
      </c>
      <c r="AS156" s="83">
        <f t="shared" si="14"/>
        <v>9</v>
      </c>
      <c r="AT156" s="84">
        <f t="shared" si="15"/>
        <v>2006</v>
      </c>
      <c r="AU156" s="86"/>
      <c r="AV156" s="86"/>
      <c r="AW156" s="87"/>
      <c r="AX156" s="86"/>
      <c r="AY156" s="83"/>
      <c r="AZ156" s="84"/>
      <c r="BA156" s="86"/>
      <c r="BB156" s="86"/>
      <c r="BD156" s="68">
        <f t="shared" si="16"/>
        <v>0</v>
      </c>
    </row>
    <row r="157" spans="1:56" ht="36.75" customHeight="1">
      <c r="A157" s="30"/>
      <c r="B157" s="30" t="s">
        <v>55</v>
      </c>
      <c r="C157" s="69" t="str">
        <f t="shared" si="12"/>
        <v>Closed</v>
      </c>
      <c r="D157" s="27" t="s">
        <v>1089</v>
      </c>
      <c r="E157" s="29" t="s">
        <v>1090</v>
      </c>
      <c r="F157" s="30" t="s">
        <v>638</v>
      </c>
      <c r="G157" s="89">
        <f>DATE(2006,9,16)</f>
        <v>38976</v>
      </c>
      <c r="H157" s="90">
        <v>1.0305555555555554</v>
      </c>
      <c r="I157" s="30" t="s">
        <v>278</v>
      </c>
      <c r="J157" s="89" t="s">
        <v>1091</v>
      </c>
      <c r="K157" s="30" t="s">
        <v>640</v>
      </c>
      <c r="L157" s="30" t="s">
        <v>1092</v>
      </c>
      <c r="M157" s="30" t="s">
        <v>63</v>
      </c>
      <c r="N157" s="30">
        <v>0</v>
      </c>
      <c r="O157" s="30" t="s">
        <v>64</v>
      </c>
      <c r="P157" s="89" t="s">
        <v>78</v>
      </c>
      <c r="Q157" s="89" t="s">
        <v>642</v>
      </c>
      <c r="R157" s="89" t="s">
        <v>643</v>
      </c>
      <c r="S157" s="30">
        <v>0</v>
      </c>
      <c r="T157" s="233">
        <v>1</v>
      </c>
      <c r="U157" s="30">
        <v>0</v>
      </c>
      <c r="V157" s="233">
        <v>0</v>
      </c>
      <c r="W157" s="30">
        <v>0</v>
      </c>
      <c r="X157" s="30">
        <v>1</v>
      </c>
      <c r="Y157" s="30">
        <v>0</v>
      </c>
      <c r="Z157" s="233">
        <v>1</v>
      </c>
      <c r="AA157" s="30">
        <v>0</v>
      </c>
      <c r="AB157" s="30">
        <v>0</v>
      </c>
      <c r="AC157" s="30">
        <v>0</v>
      </c>
      <c r="AD157" s="30">
        <v>1</v>
      </c>
      <c r="AE157" s="89" t="s">
        <v>68</v>
      </c>
      <c r="AF157" s="89" t="s">
        <v>1093</v>
      </c>
      <c r="AG157" s="89" t="s">
        <v>248</v>
      </c>
      <c r="AH157" s="72" t="s">
        <v>68</v>
      </c>
      <c r="AI157" s="30">
        <v>1</v>
      </c>
      <c r="AJ157" s="89" t="s">
        <v>68</v>
      </c>
      <c r="AK157" s="89" t="s">
        <v>68</v>
      </c>
      <c r="AL157" s="91">
        <v>39105</v>
      </c>
      <c r="AM157" s="91"/>
      <c r="AN157" s="91"/>
      <c r="AO157" s="91"/>
      <c r="AP157" s="73" t="e">
        <f>MID(VLOOKUP(K157,#REF!,2,FALSE),1,2)</f>
        <v>#REF!</v>
      </c>
      <c r="AQ157" s="89">
        <f>DATE(2006,9,16)</f>
        <v>38976</v>
      </c>
      <c r="AR157" s="82">
        <f t="shared" si="13"/>
        <v>16</v>
      </c>
      <c r="AS157" s="83">
        <f t="shared" si="14"/>
        <v>9</v>
      </c>
      <c r="AT157" s="84">
        <f t="shared" si="15"/>
        <v>2006</v>
      </c>
      <c r="AU157" s="86"/>
      <c r="AV157" s="86"/>
      <c r="AW157" s="87"/>
      <c r="AX157" s="86"/>
      <c r="AY157" s="83"/>
      <c r="AZ157" s="84"/>
      <c r="BA157" s="86"/>
      <c r="BB157" s="86"/>
      <c r="BD157" s="68">
        <f t="shared" si="16"/>
        <v>0</v>
      </c>
    </row>
    <row r="158" spans="1:56" ht="36.75" customHeight="1">
      <c r="A158" s="30"/>
      <c r="B158" s="30" t="s">
        <v>55</v>
      </c>
      <c r="C158" s="69" t="str">
        <f t="shared" si="12"/>
        <v>Closed</v>
      </c>
      <c r="D158" s="27" t="s">
        <v>1094</v>
      </c>
      <c r="E158" s="29" t="s">
        <v>1095</v>
      </c>
      <c r="F158" s="30" t="s">
        <v>835</v>
      </c>
      <c r="G158" s="89">
        <f>DATE(2006,9,16)</f>
        <v>38976</v>
      </c>
      <c r="H158" s="90">
        <v>1.3319444444444444</v>
      </c>
      <c r="I158" s="30" t="s">
        <v>104</v>
      </c>
      <c r="J158" s="89" t="s">
        <v>1096</v>
      </c>
      <c r="K158" s="30" t="s">
        <v>837</v>
      </c>
      <c r="L158" s="30" t="s">
        <v>1097</v>
      </c>
      <c r="M158" s="30" t="s">
        <v>63</v>
      </c>
      <c r="N158" s="30">
        <v>0</v>
      </c>
      <c r="O158" s="30" t="s">
        <v>77</v>
      </c>
      <c r="P158" s="89" t="s">
        <v>812</v>
      </c>
      <c r="Q158" s="89" t="s">
        <v>1098</v>
      </c>
      <c r="R158" s="89" t="s">
        <v>840</v>
      </c>
      <c r="S158" s="30">
        <v>0</v>
      </c>
      <c r="T158" s="233" t="s">
        <v>68</v>
      </c>
      <c r="U158" s="30">
        <v>0</v>
      </c>
      <c r="V158" s="233" t="s">
        <v>68</v>
      </c>
      <c r="W158" s="30">
        <v>0</v>
      </c>
      <c r="X158" s="30">
        <v>0</v>
      </c>
      <c r="Y158" s="30">
        <v>0</v>
      </c>
      <c r="Z158" s="233" t="s">
        <v>68</v>
      </c>
      <c r="AA158" s="30">
        <v>0</v>
      </c>
      <c r="AB158" s="30">
        <v>0</v>
      </c>
      <c r="AC158" s="30">
        <v>0</v>
      </c>
      <c r="AD158" s="30">
        <v>0</v>
      </c>
      <c r="AE158" s="89" t="s">
        <v>68</v>
      </c>
      <c r="AF158" s="89" t="s">
        <v>68</v>
      </c>
      <c r="AG158" s="89" t="s">
        <v>133</v>
      </c>
      <c r="AH158" s="72" t="s">
        <v>68</v>
      </c>
      <c r="AI158" s="30">
        <v>0</v>
      </c>
      <c r="AJ158" s="89" t="s">
        <v>68</v>
      </c>
      <c r="AK158" s="89" t="s">
        <v>68</v>
      </c>
      <c r="AL158" s="91">
        <v>39388</v>
      </c>
      <c r="AM158" s="91"/>
      <c r="AN158" s="91"/>
      <c r="AO158" s="91"/>
      <c r="AP158" s="73" t="e">
        <f>MID(VLOOKUP(K158,#REF!,2,FALSE),1,2)</f>
        <v>#REF!</v>
      </c>
      <c r="AQ158" s="89">
        <f>DATE(2006,9,16)</f>
        <v>38976</v>
      </c>
      <c r="AR158" s="82">
        <f t="shared" si="13"/>
        <v>16</v>
      </c>
      <c r="AS158" s="83">
        <f t="shared" si="14"/>
        <v>9</v>
      </c>
      <c r="AT158" s="84">
        <f t="shared" si="15"/>
        <v>2006</v>
      </c>
      <c r="AU158" s="86"/>
      <c r="AV158" s="86"/>
      <c r="AW158" s="87"/>
      <c r="AX158" s="86"/>
      <c r="AY158" s="83"/>
      <c r="AZ158" s="84"/>
      <c r="BA158" s="86"/>
      <c r="BB158" s="86"/>
    </row>
    <row r="159" spans="1:56" ht="36.75" customHeight="1">
      <c r="A159" s="30"/>
      <c r="B159" s="30" t="s">
        <v>55</v>
      </c>
      <c r="C159" s="69" t="str">
        <f t="shared" si="12"/>
        <v>Closed</v>
      </c>
      <c r="D159" s="27" t="s">
        <v>1099</v>
      </c>
      <c r="E159" s="29" t="s">
        <v>1100</v>
      </c>
      <c r="F159" s="30" t="s">
        <v>638</v>
      </c>
      <c r="G159" s="89">
        <f>DATE(2006,9,22)</f>
        <v>38982</v>
      </c>
      <c r="H159" s="90">
        <v>1.8298611111111112</v>
      </c>
      <c r="I159" s="30" t="s">
        <v>278</v>
      </c>
      <c r="J159" s="89" t="s">
        <v>1101</v>
      </c>
      <c r="K159" s="30" t="s">
        <v>640</v>
      </c>
      <c r="L159" s="30" t="s">
        <v>1102</v>
      </c>
      <c r="M159" s="30" t="s">
        <v>63</v>
      </c>
      <c r="N159" s="30">
        <v>0</v>
      </c>
      <c r="O159" s="30" t="s">
        <v>77</v>
      </c>
      <c r="P159" s="89" t="s">
        <v>65</v>
      </c>
      <c r="Q159" s="89" t="s">
        <v>642</v>
      </c>
      <c r="R159" s="89" t="s">
        <v>643</v>
      </c>
      <c r="S159" s="30">
        <v>0</v>
      </c>
      <c r="T159" s="233">
        <v>0</v>
      </c>
      <c r="U159" s="30">
        <v>0</v>
      </c>
      <c r="V159" s="233">
        <v>1</v>
      </c>
      <c r="W159" s="30">
        <v>0</v>
      </c>
      <c r="X159" s="30">
        <v>1</v>
      </c>
      <c r="Y159" s="30">
        <v>0</v>
      </c>
      <c r="Z159" s="233">
        <v>0</v>
      </c>
      <c r="AA159" s="30">
        <v>0</v>
      </c>
      <c r="AB159" s="30">
        <v>0</v>
      </c>
      <c r="AC159" s="30">
        <v>0</v>
      </c>
      <c r="AD159" s="30">
        <v>0</v>
      </c>
      <c r="AE159" s="89" t="s">
        <v>68</v>
      </c>
      <c r="AF159" s="89" t="s">
        <v>68</v>
      </c>
      <c r="AG159" s="89" t="s">
        <v>248</v>
      </c>
      <c r="AH159" s="72" t="s">
        <v>68</v>
      </c>
      <c r="AI159" s="30">
        <v>1</v>
      </c>
      <c r="AJ159" s="89" t="s">
        <v>68</v>
      </c>
      <c r="AK159" s="89" t="s">
        <v>68</v>
      </c>
      <c r="AL159" s="91">
        <v>39105</v>
      </c>
      <c r="AM159" s="91"/>
      <c r="AN159" s="91"/>
      <c r="AO159" s="91"/>
      <c r="AP159" s="73" t="e">
        <f>MID(VLOOKUP(K159,#REF!,2,FALSE),1,2)</f>
        <v>#REF!</v>
      </c>
      <c r="AQ159" s="89">
        <f>DATE(2006,9,22)</f>
        <v>38982</v>
      </c>
      <c r="AR159" s="82">
        <f t="shared" si="13"/>
        <v>22</v>
      </c>
      <c r="AS159" s="83">
        <f t="shared" si="14"/>
        <v>9</v>
      </c>
      <c r="AT159" s="84">
        <f t="shared" si="15"/>
        <v>2006</v>
      </c>
      <c r="AU159" s="86"/>
      <c r="AV159" s="86"/>
      <c r="AW159" s="87"/>
      <c r="AX159" s="86"/>
      <c r="AY159" s="83"/>
      <c r="AZ159" s="84"/>
      <c r="BA159" s="86"/>
      <c r="BB159" s="86"/>
    </row>
    <row r="160" spans="1:56" ht="36.75" customHeight="1">
      <c r="A160" s="30"/>
      <c r="B160" s="30" t="s">
        <v>55</v>
      </c>
      <c r="C160" s="69" t="str">
        <f t="shared" si="12"/>
        <v>Closed</v>
      </c>
      <c r="D160" s="27" t="s">
        <v>1103</v>
      </c>
      <c r="E160" s="29" t="s">
        <v>1104</v>
      </c>
      <c r="F160" s="30" t="s">
        <v>233</v>
      </c>
      <c r="G160" s="89">
        <f>DATE(2006,9,25)</f>
        <v>38985</v>
      </c>
      <c r="H160" s="90">
        <v>1.8715277777777777</v>
      </c>
      <c r="I160" s="30" t="s">
        <v>156</v>
      </c>
      <c r="J160" s="89" t="s">
        <v>1105</v>
      </c>
      <c r="K160" s="30" t="s">
        <v>235</v>
      </c>
      <c r="L160" s="30" t="s">
        <v>1106</v>
      </c>
      <c r="M160" s="30" t="s">
        <v>63</v>
      </c>
      <c r="N160" s="30">
        <v>0</v>
      </c>
      <c r="O160" s="30" t="s">
        <v>64</v>
      </c>
      <c r="P160" s="89" t="s">
        <v>165</v>
      </c>
      <c r="Q160" s="89" t="s">
        <v>1107</v>
      </c>
      <c r="R160" s="89" t="s">
        <v>238</v>
      </c>
      <c r="S160" s="30">
        <v>0</v>
      </c>
      <c r="T160" s="233">
        <v>0</v>
      </c>
      <c r="U160" s="30">
        <v>1</v>
      </c>
      <c r="V160" s="233">
        <v>0</v>
      </c>
      <c r="W160" s="30">
        <v>0</v>
      </c>
      <c r="X160" s="30">
        <v>1</v>
      </c>
      <c r="Y160" s="30">
        <v>0</v>
      </c>
      <c r="Z160" s="233">
        <v>0</v>
      </c>
      <c r="AA160" s="30">
        <v>0</v>
      </c>
      <c r="AB160" s="30">
        <v>0</v>
      </c>
      <c r="AC160" s="30">
        <v>0</v>
      </c>
      <c r="AD160" s="30">
        <v>0</v>
      </c>
      <c r="AE160" s="89" t="s">
        <v>68</v>
      </c>
      <c r="AF160" s="89" t="s">
        <v>1108</v>
      </c>
      <c r="AG160" s="89" t="s">
        <v>82</v>
      </c>
      <c r="AH160" s="72" t="s">
        <v>68</v>
      </c>
      <c r="AI160" s="30">
        <v>2</v>
      </c>
      <c r="AJ160" s="89" t="s">
        <v>1109</v>
      </c>
      <c r="AK160" s="89" t="s">
        <v>1110</v>
      </c>
      <c r="AL160" s="91">
        <v>39184</v>
      </c>
      <c r="AM160" s="91"/>
      <c r="AN160" s="91"/>
      <c r="AO160" s="91"/>
      <c r="AP160" s="73" t="e">
        <f>MID(VLOOKUP(K160,#REF!,2,FALSE),1,2)</f>
        <v>#REF!</v>
      </c>
      <c r="AQ160" s="89">
        <f>DATE(2006,9,25)</f>
        <v>38985</v>
      </c>
      <c r="AR160" s="82">
        <f t="shared" si="13"/>
        <v>25</v>
      </c>
      <c r="AS160" s="83">
        <f t="shared" si="14"/>
        <v>9</v>
      </c>
      <c r="AT160" s="84">
        <f t="shared" si="15"/>
        <v>2006</v>
      </c>
      <c r="AU160" s="86"/>
      <c r="AV160" s="86"/>
      <c r="AW160" s="87"/>
      <c r="AX160" s="86"/>
      <c r="AY160" s="83"/>
      <c r="AZ160" s="84"/>
      <c r="BA160" s="86"/>
      <c r="BB160" s="86"/>
    </row>
    <row r="161" spans="1:54" ht="36.75" customHeight="1">
      <c r="A161" s="30"/>
      <c r="B161" s="30" t="s">
        <v>55</v>
      </c>
      <c r="C161" s="69" t="str">
        <f t="shared" si="12"/>
        <v>Closed</v>
      </c>
      <c r="D161" s="27" t="s">
        <v>1111</v>
      </c>
      <c r="E161" s="29" t="s">
        <v>1112</v>
      </c>
      <c r="F161" s="30" t="s">
        <v>594</v>
      </c>
      <c r="G161" s="89">
        <f>DATE(2006,9,26)</f>
        <v>38986</v>
      </c>
      <c r="H161" s="90">
        <v>1.8006944444444444</v>
      </c>
      <c r="I161" s="30" t="s">
        <v>278</v>
      </c>
      <c r="J161" s="89" t="s">
        <v>1113</v>
      </c>
      <c r="K161" s="30" t="s">
        <v>596</v>
      </c>
      <c r="L161" s="30" t="s">
        <v>1114</v>
      </c>
      <c r="M161" s="30" t="s">
        <v>63</v>
      </c>
      <c r="N161" s="30">
        <v>0</v>
      </c>
      <c r="O161" s="30" t="s">
        <v>64</v>
      </c>
      <c r="P161" s="89" t="s">
        <v>165</v>
      </c>
      <c r="Q161" s="89" t="s">
        <v>598</v>
      </c>
      <c r="R161" s="89" t="s">
        <v>599</v>
      </c>
      <c r="S161" s="30">
        <v>0</v>
      </c>
      <c r="T161" s="233" t="s">
        <v>68</v>
      </c>
      <c r="U161" s="30">
        <v>0</v>
      </c>
      <c r="V161" s="233">
        <v>1</v>
      </c>
      <c r="W161" s="30">
        <v>0</v>
      </c>
      <c r="X161" s="30">
        <v>1</v>
      </c>
      <c r="Y161" s="30">
        <v>0</v>
      </c>
      <c r="Z161" s="233" t="s">
        <v>68</v>
      </c>
      <c r="AA161" s="30">
        <v>0</v>
      </c>
      <c r="AB161" s="30">
        <v>1</v>
      </c>
      <c r="AC161" s="30">
        <v>0</v>
      </c>
      <c r="AD161" s="30">
        <v>1</v>
      </c>
      <c r="AE161" s="89" t="s">
        <v>68</v>
      </c>
      <c r="AF161" s="89" t="s">
        <v>68</v>
      </c>
      <c r="AG161" s="89" t="s">
        <v>82</v>
      </c>
      <c r="AH161" s="72" t="s">
        <v>68</v>
      </c>
      <c r="AI161" s="30">
        <v>0</v>
      </c>
      <c r="AJ161" s="89" t="s">
        <v>68</v>
      </c>
      <c r="AK161" s="89" t="s">
        <v>68</v>
      </c>
      <c r="AL161" s="91">
        <v>39231</v>
      </c>
      <c r="AM161" s="91"/>
      <c r="AN161" s="91"/>
      <c r="AO161" s="91"/>
      <c r="AP161" s="73" t="e">
        <f>MID(VLOOKUP(K161,#REF!,2,FALSE),1,2)</f>
        <v>#REF!</v>
      </c>
      <c r="AQ161" s="89">
        <f>DATE(2006,9,26)</f>
        <v>38986</v>
      </c>
      <c r="AR161" s="82">
        <f t="shared" si="13"/>
        <v>26</v>
      </c>
      <c r="AS161" s="83">
        <f t="shared" si="14"/>
        <v>9</v>
      </c>
      <c r="AT161" s="84">
        <f t="shared" si="15"/>
        <v>2006</v>
      </c>
      <c r="AU161" s="86"/>
      <c r="AV161" s="86"/>
      <c r="AW161" s="87"/>
      <c r="AX161" s="86"/>
      <c r="AY161" s="83"/>
      <c r="AZ161" s="84"/>
      <c r="BA161" s="86"/>
      <c r="BB161" s="86"/>
    </row>
    <row r="162" spans="1:54" ht="36.75" customHeight="1">
      <c r="A162" s="30"/>
      <c r="B162" s="30" t="s">
        <v>55</v>
      </c>
      <c r="C162" s="69" t="str">
        <f t="shared" si="12"/>
        <v>Closed</v>
      </c>
      <c r="D162" s="27" t="s">
        <v>1115</v>
      </c>
      <c r="E162" s="29" t="s">
        <v>1116</v>
      </c>
      <c r="F162" s="30" t="s">
        <v>124</v>
      </c>
      <c r="G162" s="89">
        <f>DATE(2006,10,2)</f>
        <v>38992</v>
      </c>
      <c r="H162" s="90">
        <v>1.2930555555555556</v>
      </c>
      <c r="I162" s="30" t="s">
        <v>73</v>
      </c>
      <c r="J162" s="89" t="s">
        <v>1117</v>
      </c>
      <c r="K162" s="30" t="s">
        <v>127</v>
      </c>
      <c r="L162" s="30" t="s">
        <v>1118</v>
      </c>
      <c r="M162" s="30" t="s">
        <v>63</v>
      </c>
      <c r="N162" s="30">
        <v>0</v>
      </c>
      <c r="O162" s="30" t="s">
        <v>77</v>
      </c>
      <c r="P162" s="89" t="s">
        <v>165</v>
      </c>
      <c r="Q162" s="89" t="s">
        <v>229</v>
      </c>
      <c r="R162" s="89" t="s">
        <v>167</v>
      </c>
      <c r="S162" s="30">
        <v>0</v>
      </c>
      <c r="T162" s="233" t="s">
        <v>68</v>
      </c>
      <c r="U162" s="30">
        <v>0</v>
      </c>
      <c r="V162" s="233" t="s">
        <v>68</v>
      </c>
      <c r="W162" s="30">
        <v>0</v>
      </c>
      <c r="X162" s="30">
        <v>0</v>
      </c>
      <c r="Y162" s="30">
        <v>0</v>
      </c>
      <c r="Z162" s="233" t="s">
        <v>68</v>
      </c>
      <c r="AA162" s="30">
        <v>0</v>
      </c>
      <c r="AB162" s="30">
        <v>0</v>
      </c>
      <c r="AC162" s="30">
        <v>0</v>
      </c>
      <c r="AD162" s="30">
        <v>0</v>
      </c>
      <c r="AE162" s="89" t="s">
        <v>68</v>
      </c>
      <c r="AF162" s="89" t="s">
        <v>1119</v>
      </c>
      <c r="AG162" s="89" t="s">
        <v>133</v>
      </c>
      <c r="AH162" s="72" t="s">
        <v>68</v>
      </c>
      <c r="AI162" s="30">
        <v>2</v>
      </c>
      <c r="AJ162" s="89" t="s">
        <v>1120</v>
      </c>
      <c r="AK162" s="89" t="s">
        <v>1121</v>
      </c>
      <c r="AL162" s="91">
        <v>39588</v>
      </c>
      <c r="AM162" s="91"/>
      <c r="AN162" s="91"/>
      <c r="AO162" s="91"/>
      <c r="AP162" s="73" t="e">
        <f>MID(VLOOKUP(K162,#REF!,2,FALSE),1,2)</f>
        <v>#REF!</v>
      </c>
      <c r="AQ162" s="89">
        <f>DATE(2006,10,2)</f>
        <v>38992</v>
      </c>
      <c r="AR162" s="82">
        <f t="shared" si="13"/>
        <v>2</v>
      </c>
      <c r="AS162" s="83">
        <f t="shared" si="14"/>
        <v>10</v>
      </c>
      <c r="AT162" s="84">
        <f t="shared" si="15"/>
        <v>2006</v>
      </c>
      <c r="AU162" s="86"/>
      <c r="AV162" s="86"/>
      <c r="AW162" s="87"/>
      <c r="AX162" s="86"/>
      <c r="AY162" s="83"/>
      <c r="AZ162" s="84"/>
      <c r="BA162" s="86"/>
      <c r="BB162" s="86"/>
    </row>
    <row r="163" spans="1:54" ht="36.75" customHeight="1">
      <c r="A163" s="30"/>
      <c r="B163" s="30" t="s">
        <v>55</v>
      </c>
      <c r="C163" s="69" t="str">
        <f t="shared" si="12"/>
        <v>Closed</v>
      </c>
      <c r="D163" s="27" t="s">
        <v>1122</v>
      </c>
      <c r="E163" s="29" t="s">
        <v>1123</v>
      </c>
      <c r="F163" s="30" t="s">
        <v>423</v>
      </c>
      <c r="G163" s="89">
        <f>DATE(2006,10,3)</f>
        <v>38993</v>
      </c>
      <c r="H163" s="90">
        <v>1.7395833333333335</v>
      </c>
      <c r="I163" s="30" t="s">
        <v>116</v>
      </c>
      <c r="J163" s="89" t="s">
        <v>1124</v>
      </c>
      <c r="K163" s="30" t="s">
        <v>425</v>
      </c>
      <c r="L163" s="30" t="s">
        <v>1125</v>
      </c>
      <c r="M163" s="30" t="s">
        <v>63</v>
      </c>
      <c r="N163" s="30">
        <v>0</v>
      </c>
      <c r="O163" s="30" t="s">
        <v>64</v>
      </c>
      <c r="P163" s="89" t="s">
        <v>65</v>
      </c>
      <c r="Q163" s="89" t="s">
        <v>427</v>
      </c>
      <c r="R163" s="89" t="s">
        <v>427</v>
      </c>
      <c r="S163" s="30">
        <v>0</v>
      </c>
      <c r="T163" s="233">
        <v>0</v>
      </c>
      <c r="U163" s="30">
        <v>2</v>
      </c>
      <c r="V163" s="233">
        <v>0</v>
      </c>
      <c r="W163" s="30">
        <v>0</v>
      </c>
      <c r="X163" s="30">
        <v>2</v>
      </c>
      <c r="Y163" s="30">
        <v>0</v>
      </c>
      <c r="Z163" s="233">
        <v>0</v>
      </c>
      <c r="AA163" s="30">
        <v>0</v>
      </c>
      <c r="AB163" s="30">
        <v>0</v>
      </c>
      <c r="AC163" s="30">
        <v>0</v>
      </c>
      <c r="AD163" s="30">
        <v>0</v>
      </c>
      <c r="AE163" s="89" t="s">
        <v>68</v>
      </c>
      <c r="AF163" s="89" t="s">
        <v>1126</v>
      </c>
      <c r="AG163" s="89" t="s">
        <v>133</v>
      </c>
      <c r="AH163" s="72" t="s">
        <v>68</v>
      </c>
      <c r="AI163" s="30">
        <v>0</v>
      </c>
      <c r="AJ163" s="89" t="s">
        <v>68</v>
      </c>
      <c r="AK163" s="89" t="s">
        <v>68</v>
      </c>
      <c r="AL163" s="91">
        <v>39280</v>
      </c>
      <c r="AM163" s="91"/>
      <c r="AN163" s="91"/>
      <c r="AO163" s="91"/>
      <c r="AP163" s="73" t="e">
        <f>MID(VLOOKUP(K163,#REF!,2,FALSE),1,2)</f>
        <v>#REF!</v>
      </c>
      <c r="AQ163" s="89">
        <f>DATE(2006,10,3)</f>
        <v>38993</v>
      </c>
      <c r="AR163" s="82">
        <f t="shared" si="13"/>
        <v>3</v>
      </c>
      <c r="AS163" s="83">
        <f t="shared" si="14"/>
        <v>10</v>
      </c>
      <c r="AT163" s="84">
        <f t="shared" si="15"/>
        <v>2006</v>
      </c>
      <c r="AU163" s="86"/>
      <c r="AV163" s="86"/>
      <c r="AW163" s="87"/>
      <c r="AX163" s="86"/>
      <c r="AY163" s="83"/>
      <c r="AZ163" s="84"/>
      <c r="BA163" s="86"/>
      <c r="BB163" s="86"/>
    </row>
    <row r="164" spans="1:54" ht="36.75" customHeight="1">
      <c r="A164" s="30"/>
      <c r="B164" s="30" t="s">
        <v>55</v>
      </c>
      <c r="C164" s="69" t="str">
        <f t="shared" si="12"/>
        <v>Closed</v>
      </c>
      <c r="D164" s="27" t="s">
        <v>1127</v>
      </c>
      <c r="E164" s="29" t="s">
        <v>1128</v>
      </c>
      <c r="F164" s="30" t="s">
        <v>638</v>
      </c>
      <c r="G164" s="89">
        <f>DATE(2006,10,5)</f>
        <v>38995</v>
      </c>
      <c r="H164" s="90">
        <v>1.4826388888888888</v>
      </c>
      <c r="I164" s="30" t="s">
        <v>278</v>
      </c>
      <c r="J164" s="89" t="s">
        <v>1129</v>
      </c>
      <c r="K164" s="30" t="s">
        <v>640</v>
      </c>
      <c r="L164" s="30" t="s">
        <v>1130</v>
      </c>
      <c r="M164" s="30" t="s">
        <v>63</v>
      </c>
      <c r="N164" s="30">
        <v>0</v>
      </c>
      <c r="O164" s="30" t="s">
        <v>77</v>
      </c>
      <c r="P164" s="89" t="s">
        <v>78</v>
      </c>
      <c r="Q164" s="89" t="s">
        <v>642</v>
      </c>
      <c r="R164" s="89" t="s">
        <v>643</v>
      </c>
      <c r="S164" s="30">
        <v>0</v>
      </c>
      <c r="T164" s="233">
        <v>0</v>
      </c>
      <c r="U164" s="30">
        <v>0</v>
      </c>
      <c r="V164" s="233">
        <v>1</v>
      </c>
      <c r="W164" s="30">
        <v>0</v>
      </c>
      <c r="X164" s="30">
        <v>1</v>
      </c>
      <c r="Y164" s="30">
        <v>0</v>
      </c>
      <c r="Z164" s="233">
        <v>0</v>
      </c>
      <c r="AA164" s="30">
        <v>0</v>
      </c>
      <c r="AB164" s="30">
        <v>0</v>
      </c>
      <c r="AC164" s="30">
        <v>0</v>
      </c>
      <c r="AD164" s="30">
        <v>0</v>
      </c>
      <c r="AE164" s="89" t="s">
        <v>68</v>
      </c>
      <c r="AF164" s="89" t="s">
        <v>68</v>
      </c>
      <c r="AG164" s="89" t="s">
        <v>248</v>
      </c>
      <c r="AH164" s="72" t="s">
        <v>68</v>
      </c>
      <c r="AI164" s="30">
        <v>2</v>
      </c>
      <c r="AJ164" s="89" t="s">
        <v>68</v>
      </c>
      <c r="AK164" s="89" t="s">
        <v>68</v>
      </c>
      <c r="AL164" s="91">
        <v>39105</v>
      </c>
      <c r="AM164" s="91"/>
      <c r="AN164" s="91"/>
      <c r="AO164" s="91"/>
      <c r="AP164" s="73" t="e">
        <f>MID(VLOOKUP(K164,#REF!,2,FALSE),1,2)</f>
        <v>#REF!</v>
      </c>
      <c r="AQ164" s="89">
        <f>DATE(2006,10,5)</f>
        <v>38995</v>
      </c>
      <c r="AR164" s="82">
        <f t="shared" si="13"/>
        <v>5</v>
      </c>
      <c r="AS164" s="83">
        <f t="shared" si="14"/>
        <v>10</v>
      </c>
      <c r="AT164" s="84">
        <f t="shared" si="15"/>
        <v>2006</v>
      </c>
      <c r="AU164" s="86"/>
      <c r="AV164" s="86"/>
      <c r="AW164" s="87"/>
      <c r="AX164" s="86"/>
      <c r="AY164" s="83"/>
      <c r="AZ164" s="84"/>
      <c r="BA164" s="86"/>
      <c r="BB164" s="86"/>
    </row>
    <row r="165" spans="1:54" ht="36.75" customHeight="1">
      <c r="A165" s="30"/>
      <c r="B165" s="30" t="s">
        <v>55</v>
      </c>
      <c r="C165" s="69" t="str">
        <f t="shared" si="12"/>
        <v>Closed</v>
      </c>
      <c r="D165" s="27" t="s">
        <v>1131</v>
      </c>
      <c r="E165" s="29" t="s">
        <v>1132</v>
      </c>
      <c r="F165" s="30" t="s">
        <v>638</v>
      </c>
      <c r="G165" s="89">
        <f>DATE(2006,10,7)</f>
        <v>38997</v>
      </c>
      <c r="H165" s="90">
        <v>1.2729166666666667</v>
      </c>
      <c r="I165" s="30" t="s">
        <v>278</v>
      </c>
      <c r="J165" s="89" t="s">
        <v>1133</v>
      </c>
      <c r="K165" s="30" t="s">
        <v>640</v>
      </c>
      <c r="L165" s="30" t="s">
        <v>1134</v>
      </c>
      <c r="M165" s="30" t="s">
        <v>63</v>
      </c>
      <c r="N165" s="30">
        <v>0</v>
      </c>
      <c r="O165" s="30" t="s">
        <v>64</v>
      </c>
      <c r="P165" s="89" t="s">
        <v>165</v>
      </c>
      <c r="Q165" s="89" t="s">
        <v>642</v>
      </c>
      <c r="R165" s="89" t="s">
        <v>643</v>
      </c>
      <c r="S165" s="30">
        <v>0</v>
      </c>
      <c r="T165" s="233">
        <v>0</v>
      </c>
      <c r="U165" s="30">
        <v>0</v>
      </c>
      <c r="V165" s="233">
        <v>1</v>
      </c>
      <c r="W165" s="30">
        <v>0</v>
      </c>
      <c r="X165" s="30">
        <v>1</v>
      </c>
      <c r="Y165" s="30">
        <v>0</v>
      </c>
      <c r="Z165" s="233">
        <v>0</v>
      </c>
      <c r="AA165" s="30">
        <v>0</v>
      </c>
      <c r="AB165" s="30">
        <v>0</v>
      </c>
      <c r="AC165" s="30">
        <v>0</v>
      </c>
      <c r="AD165" s="30">
        <v>0</v>
      </c>
      <c r="AE165" s="89" t="s">
        <v>68</v>
      </c>
      <c r="AF165" s="89" t="s">
        <v>68</v>
      </c>
      <c r="AG165" s="89" t="s">
        <v>248</v>
      </c>
      <c r="AH165" s="72" t="s">
        <v>68</v>
      </c>
      <c r="AI165" s="30">
        <v>1</v>
      </c>
      <c r="AJ165" s="89" t="s">
        <v>68</v>
      </c>
      <c r="AK165" s="89" t="s">
        <v>68</v>
      </c>
      <c r="AL165" s="91">
        <v>39105</v>
      </c>
      <c r="AM165" s="91"/>
      <c r="AN165" s="91"/>
      <c r="AO165" s="91"/>
      <c r="AP165" s="73" t="e">
        <f>MID(VLOOKUP(K165,#REF!,2,FALSE),1,2)</f>
        <v>#REF!</v>
      </c>
      <c r="AQ165" s="89">
        <f>DATE(2006,10,7)</f>
        <v>38997</v>
      </c>
      <c r="AR165" s="82">
        <f t="shared" si="13"/>
        <v>7</v>
      </c>
      <c r="AS165" s="83">
        <f t="shared" si="14"/>
        <v>10</v>
      </c>
      <c r="AT165" s="84">
        <f t="shared" si="15"/>
        <v>2006</v>
      </c>
      <c r="AU165" s="86"/>
      <c r="AV165" s="86"/>
      <c r="AW165" s="87"/>
      <c r="AX165" s="86"/>
      <c r="AY165" s="83"/>
      <c r="AZ165" s="84"/>
      <c r="BA165" s="86"/>
      <c r="BB165" s="86"/>
    </row>
    <row r="166" spans="1:54" ht="36.75" customHeight="1">
      <c r="A166" s="30"/>
      <c r="B166" s="30" t="s">
        <v>55</v>
      </c>
      <c r="C166" s="69" t="str">
        <f t="shared" si="12"/>
        <v>Closed</v>
      </c>
      <c r="D166" s="27" t="s">
        <v>1135</v>
      </c>
      <c r="E166" s="29" t="s">
        <v>1136</v>
      </c>
      <c r="F166" s="30" t="s">
        <v>638</v>
      </c>
      <c r="G166" s="89">
        <f>DATE(2006,10,8)</f>
        <v>38998</v>
      </c>
      <c r="H166" s="90">
        <v>1.4861111111111112</v>
      </c>
      <c r="I166" s="30" t="s">
        <v>278</v>
      </c>
      <c r="J166" s="89" t="s">
        <v>1137</v>
      </c>
      <c r="K166" s="30" t="s">
        <v>640</v>
      </c>
      <c r="L166" s="30" t="s">
        <v>1138</v>
      </c>
      <c r="M166" s="30" t="s">
        <v>63</v>
      </c>
      <c r="N166" s="30">
        <v>0</v>
      </c>
      <c r="O166" s="30" t="s">
        <v>64</v>
      </c>
      <c r="P166" s="89" t="s">
        <v>65</v>
      </c>
      <c r="Q166" s="89" t="s">
        <v>642</v>
      </c>
      <c r="R166" s="89" t="s">
        <v>643</v>
      </c>
      <c r="S166" s="30">
        <v>0</v>
      </c>
      <c r="T166" s="233">
        <v>0</v>
      </c>
      <c r="U166" s="30">
        <v>0</v>
      </c>
      <c r="V166" s="233">
        <v>1</v>
      </c>
      <c r="W166" s="30">
        <v>0</v>
      </c>
      <c r="X166" s="30">
        <v>1</v>
      </c>
      <c r="Y166" s="30">
        <v>0</v>
      </c>
      <c r="Z166" s="233">
        <v>0</v>
      </c>
      <c r="AA166" s="30">
        <v>0</v>
      </c>
      <c r="AB166" s="30">
        <v>0</v>
      </c>
      <c r="AC166" s="30">
        <v>0</v>
      </c>
      <c r="AD166" s="30">
        <v>0</v>
      </c>
      <c r="AE166" s="89" t="s">
        <v>68</v>
      </c>
      <c r="AF166" s="89" t="s">
        <v>68</v>
      </c>
      <c r="AG166" s="89" t="s">
        <v>248</v>
      </c>
      <c r="AH166" s="72" t="s">
        <v>68</v>
      </c>
      <c r="AI166" s="30">
        <v>2</v>
      </c>
      <c r="AJ166" s="89" t="s">
        <v>68</v>
      </c>
      <c r="AK166" s="89" t="s">
        <v>68</v>
      </c>
      <c r="AL166" s="91">
        <v>39105</v>
      </c>
      <c r="AM166" s="91"/>
      <c r="AN166" s="91"/>
      <c r="AO166" s="91"/>
      <c r="AP166" s="73" t="e">
        <f>MID(VLOOKUP(K166,#REF!,2,FALSE),1,2)</f>
        <v>#REF!</v>
      </c>
      <c r="AQ166" s="89">
        <f>DATE(2006,10,8)</f>
        <v>38998</v>
      </c>
      <c r="AR166" s="82">
        <f t="shared" si="13"/>
        <v>8</v>
      </c>
      <c r="AS166" s="83">
        <f t="shared" si="14"/>
        <v>10</v>
      </c>
      <c r="AT166" s="84">
        <f t="shared" si="15"/>
        <v>2006</v>
      </c>
      <c r="AU166" s="86"/>
      <c r="AV166" s="86"/>
      <c r="AW166" s="87"/>
      <c r="AX166" s="86"/>
      <c r="AY166" s="83"/>
      <c r="AZ166" s="84"/>
      <c r="BA166" s="86"/>
      <c r="BB166" s="86"/>
    </row>
    <row r="167" spans="1:54" ht="36.75" customHeight="1">
      <c r="A167" s="30"/>
      <c r="B167" s="30" t="s">
        <v>55</v>
      </c>
      <c r="C167" s="69" t="str">
        <f t="shared" si="12"/>
        <v>Closed</v>
      </c>
      <c r="D167" s="27" t="s">
        <v>1139</v>
      </c>
      <c r="E167" s="29" t="s">
        <v>1140</v>
      </c>
      <c r="F167" s="30" t="s">
        <v>423</v>
      </c>
      <c r="G167" s="89">
        <f>DATE(2006,10,9)</f>
        <v>38999</v>
      </c>
      <c r="H167" s="90">
        <v>1.6625000000000001</v>
      </c>
      <c r="I167" s="30" t="s">
        <v>116</v>
      </c>
      <c r="J167" s="89" t="s">
        <v>1141</v>
      </c>
      <c r="K167" s="30" t="s">
        <v>425</v>
      </c>
      <c r="L167" s="30" t="s">
        <v>1142</v>
      </c>
      <c r="M167" s="30" t="s">
        <v>63</v>
      </c>
      <c r="N167" s="30">
        <v>0</v>
      </c>
      <c r="O167" s="30" t="s">
        <v>64</v>
      </c>
      <c r="P167" s="89" t="s">
        <v>165</v>
      </c>
      <c r="Q167" s="89" t="s">
        <v>1143</v>
      </c>
      <c r="R167" s="89" t="s">
        <v>1144</v>
      </c>
      <c r="S167" s="30">
        <v>0</v>
      </c>
      <c r="T167" s="233" t="s">
        <v>68</v>
      </c>
      <c r="U167" s="30">
        <v>0</v>
      </c>
      <c r="V167" s="233" t="s">
        <v>68</v>
      </c>
      <c r="W167" s="30">
        <v>0</v>
      </c>
      <c r="X167" s="30">
        <v>0</v>
      </c>
      <c r="Y167" s="30">
        <v>0</v>
      </c>
      <c r="Z167" s="233" t="s">
        <v>68</v>
      </c>
      <c r="AA167" s="30">
        <v>0</v>
      </c>
      <c r="AB167" s="30">
        <v>0</v>
      </c>
      <c r="AC167" s="30">
        <v>0</v>
      </c>
      <c r="AD167" s="30">
        <v>0</v>
      </c>
      <c r="AE167" s="89" t="s">
        <v>68</v>
      </c>
      <c r="AF167" s="89" t="s">
        <v>1145</v>
      </c>
      <c r="AG167" s="89" t="s">
        <v>395</v>
      </c>
      <c r="AH167" s="72" t="s">
        <v>68</v>
      </c>
      <c r="AI167" s="30">
        <v>0</v>
      </c>
      <c r="AJ167" s="89" t="s">
        <v>68</v>
      </c>
      <c r="AK167" s="89" t="s">
        <v>68</v>
      </c>
      <c r="AL167" s="91">
        <v>39280</v>
      </c>
      <c r="AM167" s="91"/>
      <c r="AN167" s="91"/>
      <c r="AO167" s="91"/>
      <c r="AP167" s="73" t="e">
        <f>MID(VLOOKUP(K167,#REF!,2,FALSE),1,2)</f>
        <v>#REF!</v>
      </c>
      <c r="AQ167" s="89">
        <f>DATE(2006,10,9)</f>
        <v>38999</v>
      </c>
      <c r="AR167" s="82">
        <f t="shared" si="13"/>
        <v>9</v>
      </c>
      <c r="AS167" s="83">
        <f t="shared" si="14"/>
        <v>10</v>
      </c>
      <c r="AT167" s="84">
        <f t="shared" si="15"/>
        <v>2006</v>
      </c>
      <c r="AU167" s="86"/>
      <c r="AV167" s="86"/>
      <c r="AW167" s="87"/>
      <c r="AX167" s="86"/>
      <c r="AY167" s="83"/>
      <c r="AZ167" s="84"/>
      <c r="BA167" s="86"/>
      <c r="BB167" s="86"/>
    </row>
    <row r="168" spans="1:54" ht="36.75" customHeight="1">
      <c r="A168" s="30"/>
      <c r="B168" s="30" t="s">
        <v>55</v>
      </c>
      <c r="C168" s="69" t="str">
        <f t="shared" si="12"/>
        <v>Closed</v>
      </c>
      <c r="D168" s="27" t="s">
        <v>1146</v>
      </c>
      <c r="E168" s="29" t="s">
        <v>1147</v>
      </c>
      <c r="F168" s="30" t="s">
        <v>115</v>
      </c>
      <c r="G168" s="89">
        <f>DATE(2006,10,11)</f>
        <v>39001</v>
      </c>
      <c r="H168" s="90">
        <v>1.4861111111111112</v>
      </c>
      <c r="I168" s="30" t="s">
        <v>198</v>
      </c>
      <c r="J168" s="89" t="s">
        <v>1148</v>
      </c>
      <c r="K168" s="30" t="s">
        <v>118</v>
      </c>
      <c r="L168" s="30" t="s">
        <v>1149</v>
      </c>
      <c r="M168" s="30" t="s">
        <v>63</v>
      </c>
      <c r="N168" s="30">
        <v>0</v>
      </c>
      <c r="O168" s="30" t="s">
        <v>64</v>
      </c>
      <c r="P168" s="89" t="s">
        <v>216</v>
      </c>
      <c r="Q168" s="89" t="s">
        <v>1150</v>
      </c>
      <c r="R168" s="89" t="s">
        <v>121</v>
      </c>
      <c r="S168" s="30">
        <v>3</v>
      </c>
      <c r="T168" s="233">
        <v>2</v>
      </c>
      <c r="U168" s="30">
        <v>0</v>
      </c>
      <c r="V168" s="233">
        <v>0</v>
      </c>
      <c r="W168" s="30">
        <v>1</v>
      </c>
      <c r="X168" s="30">
        <v>6</v>
      </c>
      <c r="Y168" s="30">
        <v>2</v>
      </c>
      <c r="Z168" s="233">
        <v>0</v>
      </c>
      <c r="AA168" s="30">
        <v>0</v>
      </c>
      <c r="AB168" s="30">
        <v>0</v>
      </c>
      <c r="AC168" s="30">
        <v>0</v>
      </c>
      <c r="AD168" s="30">
        <v>2</v>
      </c>
      <c r="AE168" s="89" t="s">
        <v>68</v>
      </c>
      <c r="AF168" s="89" t="s">
        <v>1151</v>
      </c>
      <c r="AG168" s="89" t="s">
        <v>82</v>
      </c>
      <c r="AH168" s="72" t="s">
        <v>68</v>
      </c>
      <c r="AI168" s="30">
        <v>0</v>
      </c>
      <c r="AJ168" s="89" t="s">
        <v>68</v>
      </c>
      <c r="AK168" s="89" t="s">
        <v>68</v>
      </c>
      <c r="AL168" s="91">
        <v>39148</v>
      </c>
      <c r="AM168" s="91"/>
      <c r="AN168" s="91"/>
      <c r="AO168" s="91"/>
      <c r="AP168" s="73" t="e">
        <f>MID(VLOOKUP(K168,#REF!,2,FALSE),1,2)</f>
        <v>#REF!</v>
      </c>
      <c r="AQ168" s="89">
        <f>DATE(2006,10,11)</f>
        <v>39001</v>
      </c>
      <c r="AR168" s="82">
        <f t="shared" si="13"/>
        <v>11</v>
      </c>
      <c r="AS168" s="83">
        <f t="shared" si="14"/>
        <v>10</v>
      </c>
      <c r="AT168" s="84">
        <f t="shared" si="15"/>
        <v>2006</v>
      </c>
      <c r="AU168" s="86"/>
      <c r="AV168" s="86"/>
      <c r="AW168" s="87"/>
      <c r="AX168" s="86"/>
      <c r="AY168" s="83"/>
      <c r="AZ168" s="84"/>
      <c r="BA168" s="86"/>
      <c r="BB168" s="86"/>
    </row>
    <row r="169" spans="1:54" ht="36.75" customHeight="1">
      <c r="A169" s="30"/>
      <c r="B169" s="30" t="s">
        <v>55</v>
      </c>
      <c r="C169" s="69" t="str">
        <f t="shared" si="12"/>
        <v>Closed</v>
      </c>
      <c r="D169" s="27" t="s">
        <v>1152</v>
      </c>
      <c r="E169" s="29" t="s">
        <v>1153</v>
      </c>
      <c r="F169" s="30" t="s">
        <v>638</v>
      </c>
      <c r="G169" s="89">
        <f>DATE(2006,10,15)</f>
        <v>39005</v>
      </c>
      <c r="H169" s="90">
        <v>1.461111111111111</v>
      </c>
      <c r="I169" s="30" t="s">
        <v>116</v>
      </c>
      <c r="J169" s="89" t="s">
        <v>1154</v>
      </c>
      <c r="K169" s="30" t="s">
        <v>640</v>
      </c>
      <c r="L169" s="30" t="s">
        <v>1155</v>
      </c>
      <c r="M169" s="30" t="s">
        <v>63</v>
      </c>
      <c r="N169" s="30">
        <v>0</v>
      </c>
      <c r="O169" s="30" t="s">
        <v>77</v>
      </c>
      <c r="P169" s="89" t="s">
        <v>165</v>
      </c>
      <c r="Q169" s="89" t="s">
        <v>642</v>
      </c>
      <c r="R169" s="89" t="s">
        <v>643</v>
      </c>
      <c r="S169" s="30">
        <v>0</v>
      </c>
      <c r="T169" s="233">
        <v>0</v>
      </c>
      <c r="U169" s="30">
        <v>1</v>
      </c>
      <c r="V169" s="233">
        <v>0</v>
      </c>
      <c r="W169" s="30">
        <v>0</v>
      </c>
      <c r="X169" s="30">
        <v>1</v>
      </c>
      <c r="Y169" s="30">
        <v>0</v>
      </c>
      <c r="Z169" s="233">
        <v>0</v>
      </c>
      <c r="AA169" s="30">
        <v>0</v>
      </c>
      <c r="AB169" s="30">
        <v>0</v>
      </c>
      <c r="AC169" s="30">
        <v>0</v>
      </c>
      <c r="AD169" s="30">
        <v>0</v>
      </c>
      <c r="AE169" s="89" t="s">
        <v>68</v>
      </c>
      <c r="AF169" s="89" t="s">
        <v>68</v>
      </c>
      <c r="AG169" s="89" t="s">
        <v>248</v>
      </c>
      <c r="AH169" s="72" t="s">
        <v>68</v>
      </c>
      <c r="AI169" s="30">
        <v>1</v>
      </c>
      <c r="AJ169" s="89" t="s">
        <v>68</v>
      </c>
      <c r="AK169" s="89" t="s">
        <v>68</v>
      </c>
      <c r="AL169" s="91">
        <v>39105</v>
      </c>
      <c r="AM169" s="91"/>
      <c r="AN169" s="91"/>
      <c r="AO169" s="91"/>
      <c r="AP169" s="73" t="e">
        <f>MID(VLOOKUP(K169,#REF!,2,FALSE),1,2)</f>
        <v>#REF!</v>
      </c>
      <c r="AQ169" s="89">
        <f>DATE(2006,10,15)</f>
        <v>39005</v>
      </c>
      <c r="AR169" s="82">
        <f t="shared" si="13"/>
        <v>15</v>
      </c>
      <c r="AS169" s="83">
        <f t="shared" si="14"/>
        <v>10</v>
      </c>
      <c r="AT169" s="84">
        <f t="shared" si="15"/>
        <v>2006</v>
      </c>
      <c r="AU169" s="86"/>
      <c r="AV169" s="86"/>
      <c r="AW169" s="87"/>
      <c r="AX169" s="86"/>
      <c r="AY169" s="83"/>
      <c r="AZ169" s="84"/>
      <c r="BA169" s="86"/>
      <c r="BB169" s="86"/>
    </row>
    <row r="170" spans="1:54" ht="36.75" customHeight="1">
      <c r="A170" s="30"/>
      <c r="B170" s="30" t="s">
        <v>55</v>
      </c>
      <c r="C170" s="69" t="str">
        <f t="shared" si="12"/>
        <v>Closed</v>
      </c>
      <c r="D170" s="27" t="s">
        <v>1156</v>
      </c>
      <c r="E170" s="29" t="s">
        <v>1157</v>
      </c>
      <c r="F170" s="30" t="s">
        <v>638</v>
      </c>
      <c r="G170" s="89">
        <f>DATE(2006,10,15)</f>
        <v>39005</v>
      </c>
      <c r="H170" s="90">
        <v>1.5416666666666665</v>
      </c>
      <c r="I170" s="30" t="s">
        <v>278</v>
      </c>
      <c r="J170" s="89" t="s">
        <v>1158</v>
      </c>
      <c r="K170" s="30" t="s">
        <v>640</v>
      </c>
      <c r="L170" s="30" t="s">
        <v>1159</v>
      </c>
      <c r="M170" s="30" t="s">
        <v>63</v>
      </c>
      <c r="N170" s="30">
        <v>0</v>
      </c>
      <c r="O170" s="30" t="s">
        <v>77</v>
      </c>
      <c r="P170" s="89" t="s">
        <v>65</v>
      </c>
      <c r="Q170" s="89" t="s">
        <v>642</v>
      </c>
      <c r="R170" s="89" t="s">
        <v>643</v>
      </c>
      <c r="S170" s="30">
        <v>0</v>
      </c>
      <c r="T170" s="233">
        <v>0</v>
      </c>
      <c r="U170" s="30">
        <v>0</v>
      </c>
      <c r="V170" s="233">
        <v>1</v>
      </c>
      <c r="W170" s="30">
        <v>0</v>
      </c>
      <c r="X170" s="30">
        <v>1</v>
      </c>
      <c r="Y170" s="30">
        <v>0</v>
      </c>
      <c r="Z170" s="233">
        <v>0</v>
      </c>
      <c r="AA170" s="30">
        <v>0</v>
      </c>
      <c r="AB170" s="30">
        <v>0</v>
      </c>
      <c r="AC170" s="30">
        <v>0</v>
      </c>
      <c r="AD170" s="30">
        <v>0</v>
      </c>
      <c r="AE170" s="89" t="s">
        <v>68</v>
      </c>
      <c r="AF170" s="89" t="s">
        <v>68</v>
      </c>
      <c r="AG170" s="89" t="s">
        <v>248</v>
      </c>
      <c r="AH170" s="72" t="s">
        <v>68</v>
      </c>
      <c r="AI170" s="30">
        <v>1</v>
      </c>
      <c r="AJ170" s="89" t="s">
        <v>68</v>
      </c>
      <c r="AK170" s="89" t="s">
        <v>68</v>
      </c>
      <c r="AL170" s="91">
        <v>39105</v>
      </c>
      <c r="AM170" s="91"/>
      <c r="AN170" s="91"/>
      <c r="AO170" s="91"/>
      <c r="AP170" s="73" t="e">
        <f>MID(VLOOKUP(K170,#REF!,2,FALSE),1,2)</f>
        <v>#REF!</v>
      </c>
      <c r="AQ170" s="89">
        <f>DATE(2006,10,15)</f>
        <v>39005</v>
      </c>
      <c r="AR170" s="82">
        <f t="shared" si="13"/>
        <v>15</v>
      </c>
      <c r="AS170" s="83">
        <f t="shared" si="14"/>
        <v>10</v>
      </c>
      <c r="AT170" s="84">
        <f t="shared" si="15"/>
        <v>2006</v>
      </c>
      <c r="AU170" s="86"/>
      <c r="AV170" s="86"/>
      <c r="AW170" s="87"/>
      <c r="AX170" s="86"/>
      <c r="AY170" s="83"/>
      <c r="AZ170" s="84"/>
      <c r="BA170" s="86"/>
      <c r="BB170" s="86"/>
    </row>
    <row r="171" spans="1:54" ht="36.75" customHeight="1">
      <c r="A171" s="30"/>
      <c r="B171" s="30" t="s">
        <v>55</v>
      </c>
      <c r="C171" s="69" t="str">
        <f t="shared" si="12"/>
        <v>Closed</v>
      </c>
      <c r="D171" s="27" t="s">
        <v>1160</v>
      </c>
      <c r="E171" s="29" t="s">
        <v>1161</v>
      </c>
      <c r="F171" s="30" t="s">
        <v>638</v>
      </c>
      <c r="G171" s="89">
        <f>DATE(2006,10,15)</f>
        <v>39005</v>
      </c>
      <c r="H171" s="90">
        <v>1.8611111111111112</v>
      </c>
      <c r="I171" s="30" t="s">
        <v>116</v>
      </c>
      <c r="J171" s="89" t="s">
        <v>1162</v>
      </c>
      <c r="K171" s="30" t="s">
        <v>640</v>
      </c>
      <c r="L171" s="30" t="s">
        <v>1163</v>
      </c>
      <c r="M171" s="30" t="s">
        <v>63</v>
      </c>
      <c r="N171" s="30">
        <v>0</v>
      </c>
      <c r="O171" s="30" t="s">
        <v>64</v>
      </c>
      <c r="P171" s="89" t="s">
        <v>65</v>
      </c>
      <c r="Q171" s="89" t="s">
        <v>642</v>
      </c>
      <c r="R171" s="89" t="s">
        <v>643</v>
      </c>
      <c r="S171" s="30">
        <v>0</v>
      </c>
      <c r="T171" s="233">
        <v>0</v>
      </c>
      <c r="U171" s="30">
        <v>1</v>
      </c>
      <c r="V171" s="233">
        <v>0</v>
      </c>
      <c r="W171" s="30">
        <v>0</v>
      </c>
      <c r="X171" s="30">
        <v>1</v>
      </c>
      <c r="Y171" s="30">
        <v>0</v>
      </c>
      <c r="Z171" s="233">
        <v>0</v>
      </c>
      <c r="AA171" s="30">
        <v>1</v>
      </c>
      <c r="AB171" s="30">
        <v>0</v>
      </c>
      <c r="AC171" s="30">
        <v>0</v>
      </c>
      <c r="AD171" s="30">
        <v>1</v>
      </c>
      <c r="AE171" s="89" t="s">
        <v>68</v>
      </c>
      <c r="AF171" s="89" t="s">
        <v>68</v>
      </c>
      <c r="AG171" s="89" t="s">
        <v>248</v>
      </c>
      <c r="AH171" s="72" t="s">
        <v>68</v>
      </c>
      <c r="AI171" s="30">
        <v>1</v>
      </c>
      <c r="AJ171" s="89" t="s">
        <v>68</v>
      </c>
      <c r="AK171" s="89" t="s">
        <v>68</v>
      </c>
      <c r="AL171" s="91">
        <v>39105</v>
      </c>
      <c r="AM171" s="91"/>
      <c r="AN171" s="91"/>
      <c r="AO171" s="91"/>
      <c r="AP171" s="73" t="e">
        <f>MID(VLOOKUP(K171,#REF!,2,FALSE),1,2)</f>
        <v>#REF!</v>
      </c>
      <c r="AQ171" s="89">
        <f>DATE(2006,10,15)</f>
        <v>39005</v>
      </c>
      <c r="AR171" s="82">
        <f t="shared" si="13"/>
        <v>15</v>
      </c>
      <c r="AS171" s="83">
        <f t="shared" si="14"/>
        <v>10</v>
      </c>
      <c r="AT171" s="84">
        <f t="shared" si="15"/>
        <v>2006</v>
      </c>
      <c r="AU171" s="86"/>
      <c r="AV171" s="86"/>
      <c r="AW171" s="87"/>
      <c r="AX171" s="86"/>
      <c r="AY171" s="83"/>
      <c r="AZ171" s="84"/>
      <c r="BA171" s="86"/>
      <c r="BB171" s="86"/>
    </row>
    <row r="172" spans="1:54" ht="36.75" customHeight="1">
      <c r="A172" s="30"/>
      <c r="B172" s="30" t="s">
        <v>55</v>
      </c>
      <c r="C172" s="69" t="str">
        <f t="shared" si="12"/>
        <v>Closed</v>
      </c>
      <c r="D172" s="27" t="s">
        <v>1164</v>
      </c>
      <c r="E172" s="29" t="s">
        <v>1165</v>
      </c>
      <c r="F172" s="30" t="s">
        <v>423</v>
      </c>
      <c r="G172" s="89">
        <f>DATE(2006,10,17)</f>
        <v>39007</v>
      </c>
      <c r="H172" s="90">
        <v>1.0715277777777779</v>
      </c>
      <c r="I172" s="30" t="s">
        <v>73</v>
      </c>
      <c r="J172" s="89" t="s">
        <v>1166</v>
      </c>
      <c r="K172" s="30" t="s">
        <v>425</v>
      </c>
      <c r="L172" s="30" t="s">
        <v>1167</v>
      </c>
      <c r="M172" s="30" t="s">
        <v>63</v>
      </c>
      <c r="N172" s="30">
        <v>0</v>
      </c>
      <c r="O172" s="30" t="s">
        <v>77</v>
      </c>
      <c r="P172" s="89" t="s">
        <v>78</v>
      </c>
      <c r="Q172" s="89" t="s">
        <v>427</v>
      </c>
      <c r="R172" s="89" t="s">
        <v>427</v>
      </c>
      <c r="S172" s="30">
        <v>0</v>
      </c>
      <c r="T172" s="233" t="s">
        <v>68</v>
      </c>
      <c r="U172" s="30">
        <v>0</v>
      </c>
      <c r="V172" s="233" t="s">
        <v>68</v>
      </c>
      <c r="W172" s="30">
        <v>0</v>
      </c>
      <c r="X172" s="30">
        <v>0</v>
      </c>
      <c r="Y172" s="30">
        <v>0</v>
      </c>
      <c r="Z172" s="233" t="s">
        <v>68</v>
      </c>
      <c r="AA172" s="30">
        <v>0</v>
      </c>
      <c r="AB172" s="30">
        <v>0</v>
      </c>
      <c r="AC172" s="30">
        <v>0</v>
      </c>
      <c r="AD172" s="30">
        <v>0</v>
      </c>
      <c r="AE172" s="89" t="s">
        <v>68</v>
      </c>
      <c r="AF172" s="89" t="s">
        <v>1168</v>
      </c>
      <c r="AG172" s="89" t="s">
        <v>82</v>
      </c>
      <c r="AH172" s="72" t="s">
        <v>68</v>
      </c>
      <c r="AI172" s="30">
        <v>0</v>
      </c>
      <c r="AJ172" s="89" t="s">
        <v>68</v>
      </c>
      <c r="AK172" s="89" t="s">
        <v>68</v>
      </c>
      <c r="AL172" s="91">
        <v>39183</v>
      </c>
      <c r="AM172" s="91"/>
      <c r="AN172" s="91"/>
      <c r="AO172" s="91"/>
      <c r="AP172" s="73" t="e">
        <f>MID(VLOOKUP(K172,#REF!,2,FALSE),1,2)</f>
        <v>#REF!</v>
      </c>
      <c r="AQ172" s="89">
        <f>DATE(2006,10,17)</f>
        <v>39007</v>
      </c>
      <c r="AR172" s="82">
        <f t="shared" si="13"/>
        <v>17</v>
      </c>
      <c r="AS172" s="83">
        <f t="shared" si="14"/>
        <v>10</v>
      </c>
      <c r="AT172" s="84">
        <f t="shared" si="15"/>
        <v>2006</v>
      </c>
      <c r="AU172" s="86"/>
      <c r="AV172" s="86"/>
      <c r="AW172" s="87"/>
      <c r="AX172" s="86"/>
      <c r="AY172" s="83"/>
      <c r="AZ172" s="84"/>
      <c r="BA172" s="86"/>
      <c r="BB172" s="86"/>
    </row>
    <row r="173" spans="1:54" ht="36.75" customHeight="1">
      <c r="A173" s="30"/>
      <c r="B173" s="30" t="s">
        <v>55</v>
      </c>
      <c r="C173" s="69" t="str">
        <f t="shared" si="12"/>
        <v>Closed</v>
      </c>
      <c r="D173" s="27" t="s">
        <v>1169</v>
      </c>
      <c r="E173" s="29" t="s">
        <v>1170</v>
      </c>
      <c r="F173" s="30" t="s">
        <v>197</v>
      </c>
      <c r="G173" s="89">
        <f>DATE(2006,10,18)</f>
        <v>39008</v>
      </c>
      <c r="H173" s="90">
        <v>1.7569444444444446</v>
      </c>
      <c r="I173" s="30" t="s">
        <v>156</v>
      </c>
      <c r="J173" s="89" t="s">
        <v>1171</v>
      </c>
      <c r="K173" s="30" t="s">
        <v>200</v>
      </c>
      <c r="L173" s="30" t="s">
        <v>1172</v>
      </c>
      <c r="M173" s="30" t="s">
        <v>63</v>
      </c>
      <c r="N173" s="30">
        <v>0</v>
      </c>
      <c r="O173" s="30" t="s">
        <v>64</v>
      </c>
      <c r="P173" s="89" t="s">
        <v>86</v>
      </c>
      <c r="Q173" s="89" t="s">
        <v>202</v>
      </c>
      <c r="R173" s="89" t="s">
        <v>203</v>
      </c>
      <c r="S173" s="30">
        <v>0</v>
      </c>
      <c r="T173" s="233" t="s">
        <v>68</v>
      </c>
      <c r="U173" s="30">
        <v>0</v>
      </c>
      <c r="V173" s="233" t="s">
        <v>68</v>
      </c>
      <c r="W173" s="30">
        <v>0</v>
      </c>
      <c r="X173" s="30">
        <v>0</v>
      </c>
      <c r="Y173" s="30">
        <v>0</v>
      </c>
      <c r="Z173" s="233" t="s">
        <v>68</v>
      </c>
      <c r="AA173" s="30">
        <v>0</v>
      </c>
      <c r="AB173" s="30">
        <v>0</v>
      </c>
      <c r="AC173" s="30">
        <v>0</v>
      </c>
      <c r="AD173" s="30">
        <v>0</v>
      </c>
      <c r="AE173" s="89" t="s">
        <v>68</v>
      </c>
      <c r="AF173" s="89" t="s">
        <v>1173</v>
      </c>
      <c r="AG173" s="89" t="s">
        <v>82</v>
      </c>
      <c r="AH173" s="72" t="s">
        <v>68</v>
      </c>
      <c r="AI173" s="30">
        <v>2</v>
      </c>
      <c r="AJ173" s="89" t="s">
        <v>1174</v>
      </c>
      <c r="AK173" s="89" t="s">
        <v>1175</v>
      </c>
      <c r="AL173" s="91">
        <v>39216</v>
      </c>
      <c r="AM173" s="91"/>
      <c r="AN173" s="91"/>
      <c r="AO173" s="91"/>
      <c r="AP173" s="73" t="e">
        <f>MID(VLOOKUP(K173,#REF!,2,FALSE),1,2)</f>
        <v>#REF!</v>
      </c>
      <c r="AQ173" s="89">
        <f>DATE(2006,10,18)</f>
        <v>39008</v>
      </c>
      <c r="AR173" s="82">
        <f t="shared" si="13"/>
        <v>18</v>
      </c>
      <c r="AS173" s="83">
        <f t="shared" si="14"/>
        <v>10</v>
      </c>
      <c r="AT173" s="84">
        <f t="shared" si="15"/>
        <v>2006</v>
      </c>
      <c r="AU173" s="86"/>
      <c r="AV173" s="86"/>
      <c r="AW173" s="87"/>
      <c r="AX173" s="86"/>
      <c r="AY173" s="83"/>
      <c r="AZ173" s="84"/>
      <c r="BA173" s="86"/>
      <c r="BB173" s="86"/>
    </row>
    <row r="174" spans="1:54" ht="36.75" customHeight="1">
      <c r="A174" s="30"/>
      <c r="B174" s="30" t="s">
        <v>55</v>
      </c>
      <c r="C174" s="69" t="str">
        <f t="shared" si="12"/>
        <v>Closed</v>
      </c>
      <c r="D174" s="27" t="s">
        <v>1176</v>
      </c>
      <c r="E174" s="29" t="s">
        <v>1177</v>
      </c>
      <c r="F174" s="30" t="s">
        <v>115</v>
      </c>
      <c r="G174" s="89">
        <f>DATE(2006,10,18)</f>
        <v>39008</v>
      </c>
      <c r="H174" s="90">
        <v>1.5486111111111112</v>
      </c>
      <c r="I174" s="30" t="s">
        <v>116</v>
      </c>
      <c r="J174" s="89" t="s">
        <v>1178</v>
      </c>
      <c r="K174" s="30" t="s">
        <v>118</v>
      </c>
      <c r="L174" s="30" t="s">
        <v>1179</v>
      </c>
      <c r="M174" s="30" t="s">
        <v>63</v>
      </c>
      <c r="N174" s="30">
        <v>0</v>
      </c>
      <c r="O174" s="30" t="s">
        <v>64</v>
      </c>
      <c r="P174" s="89" t="s">
        <v>165</v>
      </c>
      <c r="Q174" s="89" t="s">
        <v>120</v>
      </c>
      <c r="R174" s="89" t="s">
        <v>121</v>
      </c>
      <c r="S174" s="30">
        <v>0</v>
      </c>
      <c r="T174" s="233" t="s">
        <v>68</v>
      </c>
      <c r="U174" s="30">
        <v>0</v>
      </c>
      <c r="V174" s="233" t="s">
        <v>68</v>
      </c>
      <c r="W174" s="30">
        <v>0</v>
      </c>
      <c r="X174" s="30">
        <v>0</v>
      </c>
      <c r="Y174" s="30">
        <v>0</v>
      </c>
      <c r="Z174" s="233" t="s">
        <v>68</v>
      </c>
      <c r="AA174" s="30">
        <v>0</v>
      </c>
      <c r="AB174" s="30">
        <v>0</v>
      </c>
      <c r="AC174" s="30">
        <v>0</v>
      </c>
      <c r="AD174" s="30">
        <v>0</v>
      </c>
      <c r="AE174" s="89" t="s">
        <v>68</v>
      </c>
      <c r="AF174" s="89" t="s">
        <v>1180</v>
      </c>
      <c r="AG174" s="89" t="s">
        <v>82</v>
      </c>
      <c r="AH174" s="72" t="s">
        <v>68</v>
      </c>
      <c r="AI174" s="30">
        <v>0</v>
      </c>
      <c r="AJ174" s="89" t="s">
        <v>68</v>
      </c>
      <c r="AK174" s="89" t="s">
        <v>68</v>
      </c>
      <c r="AL174" s="91">
        <v>39148</v>
      </c>
      <c r="AM174" s="91"/>
      <c r="AN174" s="91"/>
      <c r="AO174" s="91"/>
      <c r="AP174" s="73" t="e">
        <f>MID(VLOOKUP(K174,#REF!,2,FALSE),1,2)</f>
        <v>#REF!</v>
      </c>
      <c r="AQ174" s="89">
        <f>DATE(2006,10,18)</f>
        <v>39008</v>
      </c>
      <c r="AR174" s="82">
        <f t="shared" si="13"/>
        <v>18</v>
      </c>
      <c r="AS174" s="83">
        <f t="shared" si="14"/>
        <v>10</v>
      </c>
      <c r="AT174" s="84">
        <f t="shared" si="15"/>
        <v>2006</v>
      </c>
      <c r="AU174" s="86"/>
      <c r="AV174" s="86"/>
      <c r="AW174" s="87"/>
      <c r="AX174" s="86"/>
      <c r="AY174" s="83"/>
      <c r="AZ174" s="84"/>
      <c r="BA174" s="86"/>
      <c r="BB174" s="86"/>
    </row>
    <row r="175" spans="1:54" ht="36.75" customHeight="1">
      <c r="A175" s="30"/>
      <c r="B175" s="30" t="s">
        <v>55</v>
      </c>
      <c r="C175" s="69" t="str">
        <f t="shared" si="12"/>
        <v>Closed</v>
      </c>
      <c r="D175" s="27" t="s">
        <v>1181</v>
      </c>
      <c r="E175" s="29" t="s">
        <v>1182</v>
      </c>
      <c r="F175" s="30" t="s">
        <v>638</v>
      </c>
      <c r="G175" s="89">
        <f>DATE(2006,10,19)</f>
        <v>39009</v>
      </c>
      <c r="H175" s="90">
        <v>1.6118055555555557</v>
      </c>
      <c r="I175" s="30" t="s">
        <v>116</v>
      </c>
      <c r="J175" s="89" t="s">
        <v>1183</v>
      </c>
      <c r="K175" s="30" t="s">
        <v>640</v>
      </c>
      <c r="L175" s="30" t="s">
        <v>1184</v>
      </c>
      <c r="M175" s="30" t="s">
        <v>63</v>
      </c>
      <c r="N175" s="30">
        <v>0</v>
      </c>
      <c r="O175" s="30" t="s">
        <v>64</v>
      </c>
      <c r="P175" s="89" t="s">
        <v>65</v>
      </c>
      <c r="Q175" s="89" t="s">
        <v>1185</v>
      </c>
      <c r="R175" s="89" t="s">
        <v>643</v>
      </c>
      <c r="S175" s="30">
        <v>0</v>
      </c>
      <c r="T175" s="233">
        <v>0</v>
      </c>
      <c r="U175" s="30">
        <v>2</v>
      </c>
      <c r="V175" s="233">
        <v>0</v>
      </c>
      <c r="W175" s="30">
        <v>0</v>
      </c>
      <c r="X175" s="30">
        <v>2</v>
      </c>
      <c r="Y175" s="30">
        <v>0</v>
      </c>
      <c r="Z175" s="233">
        <v>0</v>
      </c>
      <c r="AA175" s="30">
        <v>0</v>
      </c>
      <c r="AB175" s="30">
        <v>0</v>
      </c>
      <c r="AC175" s="30">
        <v>0</v>
      </c>
      <c r="AD175" s="30">
        <v>0</v>
      </c>
      <c r="AE175" s="89" t="s">
        <v>68</v>
      </c>
      <c r="AF175" s="89" t="s">
        <v>1186</v>
      </c>
      <c r="AG175" s="89" t="s">
        <v>248</v>
      </c>
      <c r="AH175" s="72" t="s">
        <v>68</v>
      </c>
      <c r="AI175" s="30">
        <v>2</v>
      </c>
      <c r="AJ175" s="89" t="s">
        <v>68</v>
      </c>
      <c r="AK175" s="89" t="s">
        <v>68</v>
      </c>
      <c r="AL175" s="91">
        <v>39105</v>
      </c>
      <c r="AM175" s="91"/>
      <c r="AN175" s="91"/>
      <c r="AO175" s="91"/>
      <c r="AP175" s="73" t="e">
        <f>MID(VLOOKUP(K175,#REF!,2,FALSE),1,2)</f>
        <v>#REF!</v>
      </c>
      <c r="AQ175" s="89">
        <f>DATE(2006,10,19)</f>
        <v>39009</v>
      </c>
      <c r="AR175" s="82">
        <f t="shared" si="13"/>
        <v>19</v>
      </c>
      <c r="AS175" s="83">
        <f t="shared" si="14"/>
        <v>10</v>
      </c>
      <c r="AT175" s="84">
        <f t="shared" si="15"/>
        <v>2006</v>
      </c>
      <c r="AU175" s="86"/>
      <c r="AV175" s="86"/>
      <c r="AW175" s="87"/>
      <c r="AX175" s="86"/>
      <c r="AY175" s="83"/>
      <c r="AZ175" s="84"/>
      <c r="BA175" s="86"/>
      <c r="BB175" s="86"/>
    </row>
    <row r="176" spans="1:54" ht="36.75" customHeight="1">
      <c r="A176" s="30"/>
      <c r="B176" s="30" t="s">
        <v>55</v>
      </c>
      <c r="C176" s="69" t="str">
        <f t="shared" si="12"/>
        <v>Closed</v>
      </c>
      <c r="D176" s="27" t="s">
        <v>1187</v>
      </c>
      <c r="E176" s="29" t="s">
        <v>1188</v>
      </c>
      <c r="F176" s="30" t="s">
        <v>233</v>
      </c>
      <c r="G176" s="89">
        <f>DATE(2006,10,24)</f>
        <v>39014</v>
      </c>
      <c r="H176" s="90">
        <v>1.7708333333333335</v>
      </c>
      <c r="I176" s="30" t="s">
        <v>73</v>
      </c>
      <c r="J176" s="89" t="s">
        <v>1189</v>
      </c>
      <c r="K176" s="30" t="s">
        <v>235</v>
      </c>
      <c r="L176" s="30" t="s">
        <v>1190</v>
      </c>
      <c r="M176" s="30" t="s">
        <v>63</v>
      </c>
      <c r="N176" s="30">
        <v>0</v>
      </c>
      <c r="O176" s="30" t="s">
        <v>64</v>
      </c>
      <c r="P176" s="89" t="s">
        <v>165</v>
      </c>
      <c r="Q176" s="89" t="s">
        <v>351</v>
      </c>
      <c r="R176" s="89" t="s">
        <v>238</v>
      </c>
      <c r="S176" s="30">
        <v>0</v>
      </c>
      <c r="T176" s="233" t="s">
        <v>68</v>
      </c>
      <c r="U176" s="30">
        <v>0</v>
      </c>
      <c r="V176" s="233" t="s">
        <v>68</v>
      </c>
      <c r="W176" s="30">
        <v>0</v>
      </c>
      <c r="X176" s="30">
        <v>0</v>
      </c>
      <c r="Y176" s="30">
        <v>0</v>
      </c>
      <c r="Z176" s="233" t="s">
        <v>68</v>
      </c>
      <c r="AA176" s="30">
        <v>0</v>
      </c>
      <c r="AB176" s="30">
        <v>0</v>
      </c>
      <c r="AC176" s="30">
        <v>0</v>
      </c>
      <c r="AD176" s="30">
        <v>0</v>
      </c>
      <c r="AE176" s="89" t="s">
        <v>68</v>
      </c>
      <c r="AF176" s="89" t="s">
        <v>68</v>
      </c>
      <c r="AG176" s="89" t="s">
        <v>133</v>
      </c>
      <c r="AH176" s="72" t="s">
        <v>68</v>
      </c>
      <c r="AI176" s="30">
        <v>10</v>
      </c>
      <c r="AJ176" s="89" t="s">
        <v>1191</v>
      </c>
      <c r="AK176" s="89" t="s">
        <v>1192</v>
      </c>
      <c r="AL176" s="91">
        <v>39227</v>
      </c>
      <c r="AM176" s="91"/>
      <c r="AN176" s="91"/>
      <c r="AO176" s="91"/>
      <c r="AP176" s="73" t="e">
        <f>MID(VLOOKUP(K176,#REF!,2,FALSE),1,2)</f>
        <v>#REF!</v>
      </c>
      <c r="AQ176" s="89">
        <f>DATE(2006,10,24)</f>
        <v>39014</v>
      </c>
      <c r="AR176" s="82">
        <f t="shared" si="13"/>
        <v>24</v>
      </c>
      <c r="AS176" s="83">
        <f t="shared" si="14"/>
        <v>10</v>
      </c>
      <c r="AT176" s="84">
        <f t="shared" si="15"/>
        <v>2006</v>
      </c>
      <c r="AU176" s="86"/>
      <c r="AV176" s="86"/>
      <c r="AW176" s="87"/>
      <c r="AX176" s="86"/>
      <c r="AY176" s="83"/>
      <c r="AZ176" s="84"/>
      <c r="BA176" s="86"/>
      <c r="BB176" s="86"/>
    </row>
    <row r="177" spans="1:54" ht="36.75" customHeight="1">
      <c r="A177" s="30"/>
      <c r="B177" s="30" t="s">
        <v>55</v>
      </c>
      <c r="C177" s="69" t="str">
        <f t="shared" si="12"/>
        <v>Closed</v>
      </c>
      <c r="D177" s="27" t="s">
        <v>1193</v>
      </c>
      <c r="E177" s="29" t="s">
        <v>1194</v>
      </c>
      <c r="F177" s="30" t="s">
        <v>594</v>
      </c>
      <c r="G177" s="89">
        <f>DATE(2006,10,25)</f>
        <v>39015</v>
      </c>
      <c r="H177" s="90">
        <v>1.2326388888888888</v>
      </c>
      <c r="I177" s="30" t="s">
        <v>86</v>
      </c>
      <c r="J177" s="89" t="s">
        <v>1195</v>
      </c>
      <c r="K177" s="30" t="s">
        <v>596</v>
      </c>
      <c r="L177" s="30" t="s">
        <v>1196</v>
      </c>
      <c r="M177" s="30" t="s">
        <v>63</v>
      </c>
      <c r="N177" s="30">
        <v>0</v>
      </c>
      <c r="O177" s="30" t="s">
        <v>77</v>
      </c>
      <c r="P177" s="89" t="s">
        <v>78</v>
      </c>
      <c r="Q177" s="89" t="s">
        <v>598</v>
      </c>
      <c r="R177" s="89" t="s">
        <v>599</v>
      </c>
      <c r="S177" s="30">
        <v>0</v>
      </c>
      <c r="T177" s="233">
        <v>0</v>
      </c>
      <c r="U177" s="30">
        <v>0</v>
      </c>
      <c r="V177" s="233">
        <v>0</v>
      </c>
      <c r="W177" s="30">
        <v>0</v>
      </c>
      <c r="X177" s="30">
        <v>0</v>
      </c>
      <c r="Y177" s="30">
        <v>0</v>
      </c>
      <c r="Z177" s="233">
        <v>0</v>
      </c>
      <c r="AA177" s="30">
        <v>0</v>
      </c>
      <c r="AB177" s="30">
        <v>0</v>
      </c>
      <c r="AC177" s="30">
        <v>0</v>
      </c>
      <c r="AD177" s="30">
        <v>0</v>
      </c>
      <c r="AE177" s="89" t="s">
        <v>68</v>
      </c>
      <c r="AF177" s="89" t="s">
        <v>68</v>
      </c>
      <c r="AG177" s="89" t="s">
        <v>133</v>
      </c>
      <c r="AH177" s="72" t="s">
        <v>68</v>
      </c>
      <c r="AI177" s="30">
        <v>1</v>
      </c>
      <c r="AJ177" s="89" t="s">
        <v>68</v>
      </c>
      <c r="AK177" s="89" t="s">
        <v>68</v>
      </c>
      <c r="AL177" s="91">
        <v>39231</v>
      </c>
      <c r="AM177" s="91"/>
      <c r="AN177" s="91"/>
      <c r="AO177" s="91"/>
      <c r="AP177" s="73" t="e">
        <f>MID(VLOOKUP(K177,#REF!,2,FALSE),1,2)</f>
        <v>#REF!</v>
      </c>
      <c r="AQ177" s="89">
        <f>DATE(2006,10,25)</f>
        <v>39015</v>
      </c>
      <c r="AR177" s="82">
        <f t="shared" si="13"/>
        <v>25</v>
      </c>
      <c r="AS177" s="83">
        <f t="shared" si="14"/>
        <v>10</v>
      </c>
      <c r="AT177" s="84">
        <f t="shared" si="15"/>
        <v>2006</v>
      </c>
      <c r="AU177" s="86"/>
      <c r="AV177" s="86"/>
      <c r="AW177" s="87"/>
      <c r="AX177" s="86"/>
      <c r="AY177" s="83"/>
      <c r="AZ177" s="84"/>
      <c r="BA177" s="86"/>
      <c r="BB177" s="86"/>
    </row>
    <row r="178" spans="1:54" ht="36.75" customHeight="1">
      <c r="A178" s="30"/>
      <c r="B178" s="30" t="s">
        <v>55</v>
      </c>
      <c r="C178" s="69" t="str">
        <f t="shared" si="12"/>
        <v>Closed</v>
      </c>
      <c r="D178" s="27" t="s">
        <v>1197</v>
      </c>
      <c r="E178" s="29" t="s">
        <v>1198</v>
      </c>
      <c r="F178" s="30" t="s">
        <v>835</v>
      </c>
      <c r="G178" s="89">
        <f>DATE(2006,10,28)</f>
        <v>39018</v>
      </c>
      <c r="H178" s="90">
        <v>1.7222222222222223</v>
      </c>
      <c r="I178" s="30" t="s">
        <v>73</v>
      </c>
      <c r="J178" s="89" t="s">
        <v>1199</v>
      </c>
      <c r="K178" s="30" t="s">
        <v>837</v>
      </c>
      <c r="L178" s="30" t="s">
        <v>1200</v>
      </c>
      <c r="M178" s="30" t="s">
        <v>63</v>
      </c>
      <c r="N178" s="30">
        <v>0</v>
      </c>
      <c r="O178" s="30" t="s">
        <v>64</v>
      </c>
      <c r="P178" s="89" t="s">
        <v>78</v>
      </c>
      <c r="Q178" s="89" t="s">
        <v>1201</v>
      </c>
      <c r="R178" s="89" t="s">
        <v>840</v>
      </c>
      <c r="S178" s="30">
        <v>0</v>
      </c>
      <c r="T178" s="233" t="s">
        <v>68</v>
      </c>
      <c r="U178" s="30">
        <v>0</v>
      </c>
      <c r="V178" s="233" t="s">
        <v>68</v>
      </c>
      <c r="W178" s="30">
        <v>0</v>
      </c>
      <c r="X178" s="30">
        <v>0</v>
      </c>
      <c r="Y178" s="30">
        <v>0</v>
      </c>
      <c r="Z178" s="233" t="s">
        <v>68</v>
      </c>
      <c r="AA178" s="30">
        <v>0</v>
      </c>
      <c r="AB178" s="30">
        <v>0</v>
      </c>
      <c r="AC178" s="30">
        <v>0</v>
      </c>
      <c r="AD178" s="30">
        <v>0</v>
      </c>
      <c r="AE178" s="89" t="s">
        <v>68</v>
      </c>
      <c r="AF178" s="89" t="s">
        <v>1202</v>
      </c>
      <c r="AG178" s="89" t="s">
        <v>133</v>
      </c>
      <c r="AH178" s="72" t="s">
        <v>68</v>
      </c>
      <c r="AI178" s="30">
        <v>0</v>
      </c>
      <c r="AJ178" s="89" t="s">
        <v>68</v>
      </c>
      <c r="AK178" s="89" t="s">
        <v>68</v>
      </c>
      <c r="AL178" s="91">
        <v>39388</v>
      </c>
      <c r="AM178" s="91"/>
      <c r="AN178" s="91"/>
      <c r="AO178" s="91"/>
      <c r="AP178" s="73" t="e">
        <f>MID(VLOOKUP(K178,#REF!,2,FALSE),1,2)</f>
        <v>#REF!</v>
      </c>
      <c r="AQ178" s="89">
        <f>DATE(2006,10,28)</f>
        <v>39018</v>
      </c>
      <c r="AR178" s="82">
        <f t="shared" si="13"/>
        <v>28</v>
      </c>
      <c r="AS178" s="83">
        <f t="shared" si="14"/>
        <v>10</v>
      </c>
      <c r="AT178" s="84">
        <f t="shared" si="15"/>
        <v>2006</v>
      </c>
      <c r="AU178" s="86"/>
      <c r="AV178" s="86"/>
      <c r="AW178" s="87"/>
      <c r="AX178" s="86"/>
      <c r="AY178" s="83"/>
      <c r="AZ178" s="84"/>
      <c r="BA178" s="86"/>
      <c r="BB178" s="86"/>
    </row>
    <row r="179" spans="1:54" ht="36.75" customHeight="1">
      <c r="A179" s="30"/>
      <c r="B179" s="30" t="s">
        <v>55</v>
      </c>
      <c r="C179" s="69" t="str">
        <f t="shared" si="12"/>
        <v>Closed</v>
      </c>
      <c r="D179" s="27" t="s">
        <v>1203</v>
      </c>
      <c r="E179" s="29" t="s">
        <v>1204</v>
      </c>
      <c r="F179" s="30" t="s">
        <v>594</v>
      </c>
      <c r="G179" s="89">
        <f>DATE(2006,10,28)</f>
        <v>39018</v>
      </c>
      <c r="H179" s="90">
        <v>1.6041666666666665</v>
      </c>
      <c r="I179" s="30" t="s">
        <v>116</v>
      </c>
      <c r="J179" s="89" t="s">
        <v>1205</v>
      </c>
      <c r="K179" s="30" t="s">
        <v>596</v>
      </c>
      <c r="L179" s="30" t="s">
        <v>1206</v>
      </c>
      <c r="M179" s="30" t="s">
        <v>63</v>
      </c>
      <c r="N179" s="30">
        <v>0</v>
      </c>
      <c r="O179" s="30" t="s">
        <v>64</v>
      </c>
      <c r="P179" s="89" t="s">
        <v>165</v>
      </c>
      <c r="Q179" s="89" t="s">
        <v>598</v>
      </c>
      <c r="R179" s="89" t="s">
        <v>599</v>
      </c>
      <c r="S179" s="30">
        <v>0</v>
      </c>
      <c r="T179" s="233" t="s">
        <v>68</v>
      </c>
      <c r="U179" s="30">
        <v>3</v>
      </c>
      <c r="V179" s="233" t="s">
        <v>68</v>
      </c>
      <c r="W179" s="30">
        <v>0</v>
      </c>
      <c r="X179" s="30">
        <v>3</v>
      </c>
      <c r="Y179" s="30">
        <v>0</v>
      </c>
      <c r="Z179" s="233" t="s">
        <v>68</v>
      </c>
      <c r="AA179" s="30">
        <v>1</v>
      </c>
      <c r="AB179" s="30">
        <v>0</v>
      </c>
      <c r="AC179" s="30">
        <v>0</v>
      </c>
      <c r="AD179" s="30">
        <v>1</v>
      </c>
      <c r="AE179" s="89" t="s">
        <v>68</v>
      </c>
      <c r="AF179" s="89" t="s">
        <v>1207</v>
      </c>
      <c r="AG179" s="89" t="s">
        <v>82</v>
      </c>
      <c r="AH179" s="72" t="s">
        <v>68</v>
      </c>
      <c r="AI179" s="30">
        <v>0</v>
      </c>
      <c r="AJ179" s="89" t="s">
        <v>68</v>
      </c>
      <c r="AK179" s="89" t="s">
        <v>68</v>
      </c>
      <c r="AL179" s="91">
        <v>39231</v>
      </c>
      <c r="AM179" s="91"/>
      <c r="AN179" s="91">
        <v>44584</v>
      </c>
      <c r="AO179" s="91">
        <v>44531</v>
      </c>
      <c r="AP179" s="73" t="e">
        <f>MID(VLOOKUP(K179,#REF!,2,FALSE),1,2)</f>
        <v>#REF!</v>
      </c>
      <c r="AQ179" s="89">
        <f>DATE(2006,10,28)</f>
        <v>39018</v>
      </c>
      <c r="AR179" s="82">
        <f t="shared" si="13"/>
        <v>28</v>
      </c>
      <c r="AS179" s="83">
        <f t="shared" si="14"/>
        <v>10</v>
      </c>
      <c r="AT179" s="84">
        <f t="shared" si="15"/>
        <v>2006</v>
      </c>
      <c r="AU179" s="86"/>
      <c r="AV179" s="86"/>
      <c r="AW179" s="87"/>
      <c r="AX179" s="86"/>
      <c r="AY179" s="83"/>
      <c r="AZ179" s="84"/>
      <c r="BA179" s="86"/>
      <c r="BB179" s="86"/>
    </row>
    <row r="180" spans="1:54" ht="36.75" customHeight="1">
      <c r="A180" s="30"/>
      <c r="B180" s="30" t="s">
        <v>55</v>
      </c>
      <c r="C180" s="69" t="str">
        <f t="shared" si="12"/>
        <v>Closed</v>
      </c>
      <c r="D180" s="27" t="s">
        <v>1208</v>
      </c>
      <c r="E180" s="29" t="s">
        <v>1209</v>
      </c>
      <c r="F180" s="30" t="s">
        <v>638</v>
      </c>
      <c r="G180" s="89">
        <f>DATE(2006,10,29)</f>
        <v>39019</v>
      </c>
      <c r="H180" s="90">
        <v>1.7638888888888888</v>
      </c>
      <c r="I180" s="30" t="s">
        <v>278</v>
      </c>
      <c r="J180" s="89" t="s">
        <v>1210</v>
      </c>
      <c r="K180" s="30" t="s">
        <v>640</v>
      </c>
      <c r="L180" s="30" t="s">
        <v>1211</v>
      </c>
      <c r="M180" s="30" t="s">
        <v>63</v>
      </c>
      <c r="N180" s="30">
        <v>0</v>
      </c>
      <c r="O180" s="30" t="s">
        <v>64</v>
      </c>
      <c r="P180" s="89" t="s">
        <v>65</v>
      </c>
      <c r="Q180" s="89" t="s">
        <v>642</v>
      </c>
      <c r="R180" s="89" t="s">
        <v>643</v>
      </c>
      <c r="S180" s="30">
        <v>0</v>
      </c>
      <c r="T180" s="233">
        <v>0</v>
      </c>
      <c r="U180" s="30">
        <v>0</v>
      </c>
      <c r="V180" s="233">
        <v>1</v>
      </c>
      <c r="W180" s="30">
        <v>0</v>
      </c>
      <c r="X180" s="30">
        <v>1</v>
      </c>
      <c r="Y180" s="30">
        <v>0</v>
      </c>
      <c r="Z180" s="233">
        <v>0</v>
      </c>
      <c r="AA180" s="30">
        <v>0</v>
      </c>
      <c r="AB180" s="30">
        <v>0</v>
      </c>
      <c r="AC180" s="30">
        <v>0</v>
      </c>
      <c r="AD180" s="30">
        <v>0</v>
      </c>
      <c r="AE180" s="89" t="s">
        <v>68</v>
      </c>
      <c r="AF180" s="89" t="s">
        <v>68</v>
      </c>
      <c r="AG180" s="89" t="s">
        <v>248</v>
      </c>
      <c r="AH180" s="72" t="s">
        <v>68</v>
      </c>
      <c r="AI180" s="30">
        <v>1</v>
      </c>
      <c r="AJ180" s="89" t="s">
        <v>68</v>
      </c>
      <c r="AK180" s="89" t="s">
        <v>68</v>
      </c>
      <c r="AL180" s="91">
        <v>39105</v>
      </c>
      <c r="AM180" s="91"/>
      <c r="AN180" s="91"/>
      <c r="AO180" s="91"/>
      <c r="AP180" s="73" t="e">
        <f>MID(VLOOKUP(K180,#REF!,2,FALSE),1,2)</f>
        <v>#REF!</v>
      </c>
      <c r="AQ180" s="89">
        <f>DATE(2006,10,29)</f>
        <v>39019</v>
      </c>
      <c r="AR180" s="82">
        <f t="shared" si="13"/>
        <v>29</v>
      </c>
      <c r="AS180" s="83">
        <f t="shared" si="14"/>
        <v>10</v>
      </c>
      <c r="AT180" s="84">
        <f t="shared" si="15"/>
        <v>2006</v>
      </c>
      <c r="AU180" s="86"/>
      <c r="AV180" s="86"/>
      <c r="AW180" s="87"/>
      <c r="AX180" s="86"/>
      <c r="AY180" s="83"/>
      <c r="AZ180" s="84"/>
      <c r="BA180" s="86"/>
      <c r="BB180" s="86"/>
    </row>
    <row r="181" spans="1:54" ht="36.75" customHeight="1">
      <c r="A181" s="30"/>
      <c r="B181" s="30" t="s">
        <v>55</v>
      </c>
      <c r="C181" s="69" t="str">
        <f t="shared" si="12"/>
        <v>Closed</v>
      </c>
      <c r="D181" s="27" t="s">
        <v>1212</v>
      </c>
      <c r="E181" s="29" t="s">
        <v>1213</v>
      </c>
      <c r="F181" s="30" t="s">
        <v>124</v>
      </c>
      <c r="G181" s="89">
        <f>DATE(2006,10,31)</f>
        <v>39021</v>
      </c>
      <c r="H181" s="90">
        <v>1.6701388888888888</v>
      </c>
      <c r="I181" s="30" t="s">
        <v>86</v>
      </c>
      <c r="J181" s="89" t="s">
        <v>1214</v>
      </c>
      <c r="K181" s="30" t="s">
        <v>127</v>
      </c>
      <c r="L181" s="30" t="s">
        <v>1215</v>
      </c>
      <c r="M181" s="30" t="s">
        <v>63</v>
      </c>
      <c r="N181" s="30">
        <v>0</v>
      </c>
      <c r="O181" s="30" t="s">
        <v>77</v>
      </c>
      <c r="P181" s="89" t="s">
        <v>1216</v>
      </c>
      <c r="Q181" s="89" t="s">
        <v>1217</v>
      </c>
      <c r="R181" s="89" t="s">
        <v>167</v>
      </c>
      <c r="S181" s="30">
        <v>0</v>
      </c>
      <c r="T181" s="233" t="s">
        <v>68</v>
      </c>
      <c r="U181" s="30">
        <v>0</v>
      </c>
      <c r="V181" s="233" t="s">
        <v>68</v>
      </c>
      <c r="W181" s="30">
        <v>0</v>
      </c>
      <c r="X181" s="30">
        <v>0</v>
      </c>
      <c r="Y181" s="30">
        <v>0</v>
      </c>
      <c r="Z181" s="233" t="s">
        <v>68</v>
      </c>
      <c r="AA181" s="30">
        <v>0</v>
      </c>
      <c r="AB181" s="30">
        <v>0</v>
      </c>
      <c r="AC181" s="30">
        <v>0</v>
      </c>
      <c r="AD181" s="30">
        <v>0</v>
      </c>
      <c r="AE181" s="89" t="s">
        <v>68</v>
      </c>
      <c r="AF181" s="89" t="s">
        <v>68</v>
      </c>
      <c r="AG181" s="89" t="s">
        <v>133</v>
      </c>
      <c r="AH181" s="72" t="s">
        <v>68</v>
      </c>
      <c r="AI181" s="30">
        <v>5</v>
      </c>
      <c r="AJ181" s="89" t="s">
        <v>68</v>
      </c>
      <c r="AK181" s="89" t="s">
        <v>68</v>
      </c>
      <c r="AL181" s="91">
        <v>39183</v>
      </c>
      <c r="AM181" s="91"/>
      <c r="AN181" s="91"/>
      <c r="AO181" s="91"/>
      <c r="AP181" s="73" t="e">
        <f>MID(VLOOKUP(K181,#REF!,2,FALSE),1,2)</f>
        <v>#REF!</v>
      </c>
      <c r="AQ181" s="89">
        <f>DATE(2006,10,31)</f>
        <v>39021</v>
      </c>
      <c r="AR181" s="82">
        <f t="shared" si="13"/>
        <v>31</v>
      </c>
      <c r="AS181" s="83">
        <f t="shared" si="14"/>
        <v>10</v>
      </c>
      <c r="AT181" s="84">
        <f t="shared" si="15"/>
        <v>2006</v>
      </c>
      <c r="AU181" s="86"/>
      <c r="AV181" s="86"/>
      <c r="AW181" s="87"/>
      <c r="AX181" s="86"/>
      <c r="AY181" s="83"/>
      <c r="AZ181" s="84"/>
      <c r="BA181" s="86"/>
      <c r="BB181" s="86"/>
    </row>
    <row r="182" spans="1:54" ht="36.75" customHeight="1">
      <c r="A182" s="30"/>
      <c r="B182" s="30" t="s">
        <v>55</v>
      </c>
      <c r="C182" s="69" t="str">
        <f t="shared" si="12"/>
        <v>Closed</v>
      </c>
      <c r="D182" s="27" t="s">
        <v>1218</v>
      </c>
      <c r="E182" s="29" t="s">
        <v>1219</v>
      </c>
      <c r="F182" s="30" t="s">
        <v>233</v>
      </c>
      <c r="G182" s="89">
        <f>DATE(2006,10,31)</f>
        <v>39021</v>
      </c>
      <c r="H182" s="90">
        <v>1.9618055555555554</v>
      </c>
      <c r="I182" s="30" t="s">
        <v>198</v>
      </c>
      <c r="J182" s="89" t="s">
        <v>1220</v>
      </c>
      <c r="K182" s="30" t="s">
        <v>235</v>
      </c>
      <c r="L182" s="30" t="s">
        <v>1221</v>
      </c>
      <c r="M182" s="30" t="s">
        <v>63</v>
      </c>
      <c r="N182" s="30">
        <v>0</v>
      </c>
      <c r="O182" s="30" t="s">
        <v>77</v>
      </c>
      <c r="P182" s="89" t="s">
        <v>301</v>
      </c>
      <c r="Q182" s="89" t="s">
        <v>237</v>
      </c>
      <c r="R182" s="89" t="s">
        <v>238</v>
      </c>
      <c r="S182" s="30">
        <v>0</v>
      </c>
      <c r="T182" s="233">
        <v>0</v>
      </c>
      <c r="U182" s="30">
        <v>0</v>
      </c>
      <c r="V182" s="233">
        <v>0</v>
      </c>
      <c r="W182" s="30">
        <v>0</v>
      </c>
      <c r="X182" s="30">
        <v>0</v>
      </c>
      <c r="Y182" s="30">
        <v>0</v>
      </c>
      <c r="Z182" s="233">
        <v>2</v>
      </c>
      <c r="AA182" s="30">
        <v>0</v>
      </c>
      <c r="AB182" s="30">
        <v>0</v>
      </c>
      <c r="AC182" s="30">
        <v>0</v>
      </c>
      <c r="AD182" s="30">
        <v>2</v>
      </c>
      <c r="AE182" s="89" t="s">
        <v>68</v>
      </c>
      <c r="AF182" s="89" t="s">
        <v>1222</v>
      </c>
      <c r="AG182" s="89" t="s">
        <v>133</v>
      </c>
      <c r="AH182" s="72" t="s">
        <v>68</v>
      </c>
      <c r="AI182" s="30">
        <v>4</v>
      </c>
      <c r="AJ182" s="89" t="s">
        <v>1223</v>
      </c>
      <c r="AK182" s="89" t="s">
        <v>1224</v>
      </c>
      <c r="AL182" s="91">
        <v>39183</v>
      </c>
      <c r="AM182" s="91"/>
      <c r="AN182" s="91"/>
      <c r="AO182" s="91"/>
      <c r="AP182" s="73" t="e">
        <f>MID(VLOOKUP(K182,#REF!,2,FALSE),1,2)</f>
        <v>#REF!</v>
      </c>
      <c r="AQ182" s="89">
        <f>DATE(2006,10,31)</f>
        <v>39021</v>
      </c>
      <c r="AR182" s="82">
        <f t="shared" si="13"/>
        <v>31</v>
      </c>
      <c r="AS182" s="83">
        <f t="shared" si="14"/>
        <v>10</v>
      </c>
      <c r="AT182" s="84">
        <f t="shared" si="15"/>
        <v>2006</v>
      </c>
      <c r="AU182" s="86"/>
      <c r="AV182" s="86"/>
      <c r="AW182" s="87"/>
      <c r="AX182" s="86"/>
      <c r="AY182" s="83"/>
      <c r="AZ182" s="84"/>
      <c r="BA182" s="86"/>
      <c r="BB182" s="86"/>
    </row>
    <row r="183" spans="1:54" ht="36.75" customHeight="1">
      <c r="A183" s="30"/>
      <c r="B183" s="30" t="s">
        <v>55</v>
      </c>
      <c r="C183" s="69" t="str">
        <f t="shared" si="12"/>
        <v>Closed</v>
      </c>
      <c r="D183" s="27" t="s">
        <v>1225</v>
      </c>
      <c r="E183" s="29" t="s">
        <v>1226</v>
      </c>
      <c r="F183" s="30" t="s">
        <v>582</v>
      </c>
      <c r="G183" s="89">
        <f>DATE(2006,11,1)</f>
        <v>39022</v>
      </c>
      <c r="H183" s="90">
        <v>1.1118055555555555</v>
      </c>
      <c r="I183" s="30" t="s">
        <v>198</v>
      </c>
      <c r="J183" s="89" t="s">
        <v>1227</v>
      </c>
      <c r="K183" s="30" t="s">
        <v>584</v>
      </c>
      <c r="L183" s="30" t="s">
        <v>1228</v>
      </c>
      <c r="M183" s="30" t="s">
        <v>63</v>
      </c>
      <c r="N183" s="30" t="s">
        <v>89</v>
      </c>
      <c r="O183" s="30" t="s">
        <v>77</v>
      </c>
      <c r="P183" s="89" t="s">
        <v>1229</v>
      </c>
      <c r="Q183" s="89" t="s">
        <v>1230</v>
      </c>
      <c r="R183" s="89" t="s">
        <v>587</v>
      </c>
      <c r="S183" s="30">
        <v>0</v>
      </c>
      <c r="T183" s="233">
        <v>0</v>
      </c>
      <c r="U183" s="30">
        <v>0</v>
      </c>
      <c r="V183" s="233">
        <v>0</v>
      </c>
      <c r="W183" s="30">
        <v>0</v>
      </c>
      <c r="X183" s="30">
        <v>0</v>
      </c>
      <c r="Y183" s="30">
        <v>0</v>
      </c>
      <c r="Z183" s="233">
        <v>2</v>
      </c>
      <c r="AA183" s="30">
        <v>0</v>
      </c>
      <c r="AB183" s="30">
        <v>0</v>
      </c>
      <c r="AC183" s="30">
        <v>0</v>
      </c>
      <c r="AD183" s="30">
        <v>2</v>
      </c>
      <c r="AE183" s="89" t="s">
        <v>145</v>
      </c>
      <c r="AF183" s="89" t="s">
        <v>1231</v>
      </c>
      <c r="AG183" s="89" t="s">
        <v>82</v>
      </c>
      <c r="AH183" s="72">
        <v>39023</v>
      </c>
      <c r="AI183" s="30">
        <v>0</v>
      </c>
      <c r="AJ183" s="89" t="s">
        <v>1232</v>
      </c>
      <c r="AK183" s="89" t="s">
        <v>1233</v>
      </c>
      <c r="AL183" s="91">
        <v>39134</v>
      </c>
      <c r="AM183" s="91"/>
      <c r="AN183" s="91"/>
      <c r="AO183" s="91"/>
      <c r="AP183" s="73" t="e">
        <f>MID(VLOOKUP(K183,#REF!,2,FALSE),1,2)</f>
        <v>#REF!</v>
      </c>
      <c r="AQ183" s="89">
        <f>DATE(2006,11,1)</f>
        <v>39022</v>
      </c>
      <c r="AR183" s="82">
        <f t="shared" si="13"/>
        <v>1</v>
      </c>
      <c r="AS183" s="83">
        <f t="shared" si="14"/>
        <v>11</v>
      </c>
      <c r="AT183" s="84">
        <f t="shared" si="15"/>
        <v>2006</v>
      </c>
      <c r="AU183" s="86"/>
      <c r="AV183" s="86"/>
      <c r="AW183" s="87"/>
      <c r="AX183" s="86"/>
      <c r="AY183" s="83"/>
      <c r="AZ183" s="84"/>
      <c r="BA183" s="86"/>
      <c r="BB183" s="86"/>
    </row>
    <row r="184" spans="1:54" ht="36.75" customHeight="1">
      <c r="A184" s="30"/>
      <c r="B184" s="30" t="s">
        <v>55</v>
      </c>
      <c r="C184" s="69" t="str">
        <f t="shared" si="12"/>
        <v>Closed</v>
      </c>
      <c r="D184" s="27" t="s">
        <v>1234</v>
      </c>
      <c r="E184" s="29" t="s">
        <v>1235</v>
      </c>
      <c r="F184" s="30" t="s">
        <v>423</v>
      </c>
      <c r="G184" s="89">
        <f>DATE(2006,11,6)</f>
        <v>39027</v>
      </c>
      <c r="H184" s="90">
        <v>1.7194444444444446</v>
      </c>
      <c r="I184" s="30" t="s">
        <v>116</v>
      </c>
      <c r="J184" s="89" t="s">
        <v>1236</v>
      </c>
      <c r="K184" s="30" t="s">
        <v>425</v>
      </c>
      <c r="L184" s="30" t="s">
        <v>1237</v>
      </c>
      <c r="M184" s="30" t="s">
        <v>63</v>
      </c>
      <c r="N184" s="30">
        <v>0</v>
      </c>
      <c r="O184" s="30" t="s">
        <v>64</v>
      </c>
      <c r="P184" s="89" t="s">
        <v>165</v>
      </c>
      <c r="Q184" s="89" t="s">
        <v>427</v>
      </c>
      <c r="R184" s="89" t="s">
        <v>427</v>
      </c>
      <c r="S184" s="30">
        <v>0</v>
      </c>
      <c r="T184" s="233">
        <v>0</v>
      </c>
      <c r="U184" s="30">
        <v>1</v>
      </c>
      <c r="V184" s="233">
        <v>0</v>
      </c>
      <c r="W184" s="30">
        <v>0</v>
      </c>
      <c r="X184" s="30">
        <v>1</v>
      </c>
      <c r="Y184" s="30">
        <v>0</v>
      </c>
      <c r="Z184" s="233">
        <v>0</v>
      </c>
      <c r="AA184" s="30">
        <v>0</v>
      </c>
      <c r="AB184" s="30">
        <v>0</v>
      </c>
      <c r="AC184" s="30">
        <v>0</v>
      </c>
      <c r="AD184" s="30">
        <v>0</v>
      </c>
      <c r="AE184" s="89" t="s">
        <v>68</v>
      </c>
      <c r="AF184" s="89" t="s">
        <v>1238</v>
      </c>
      <c r="AG184" s="89" t="s">
        <v>133</v>
      </c>
      <c r="AH184" s="72" t="s">
        <v>68</v>
      </c>
      <c r="AI184" s="30">
        <v>0</v>
      </c>
      <c r="AJ184" s="89" t="s">
        <v>68</v>
      </c>
      <c r="AK184" s="89" t="s">
        <v>68</v>
      </c>
      <c r="AL184" s="91">
        <v>39282</v>
      </c>
      <c r="AM184" s="91"/>
      <c r="AN184" s="91"/>
      <c r="AO184" s="91"/>
      <c r="AP184" s="73" t="e">
        <f>MID(VLOOKUP(K184,#REF!,2,FALSE),1,2)</f>
        <v>#REF!</v>
      </c>
      <c r="AQ184" s="89">
        <f>DATE(2006,11,6)</f>
        <v>39027</v>
      </c>
      <c r="AR184" s="82">
        <f t="shared" si="13"/>
        <v>6</v>
      </c>
      <c r="AS184" s="83">
        <f t="shared" si="14"/>
        <v>11</v>
      </c>
      <c r="AT184" s="84">
        <f t="shared" si="15"/>
        <v>2006</v>
      </c>
      <c r="AU184" s="86"/>
      <c r="AV184" s="86"/>
      <c r="AW184" s="87"/>
      <c r="AX184" s="86"/>
      <c r="AY184" s="83"/>
      <c r="AZ184" s="84"/>
      <c r="BA184" s="86"/>
      <c r="BB184" s="86"/>
    </row>
    <row r="185" spans="1:54" ht="36.75" customHeight="1">
      <c r="A185" s="30"/>
      <c r="B185" s="30" t="s">
        <v>55</v>
      </c>
      <c r="C185" s="69" t="str">
        <f t="shared" si="12"/>
        <v>Closed</v>
      </c>
      <c r="D185" s="27" t="s">
        <v>1239</v>
      </c>
      <c r="E185" s="29" t="s">
        <v>1240</v>
      </c>
      <c r="F185" s="30" t="s">
        <v>124</v>
      </c>
      <c r="G185" s="89">
        <f>DATE(2006,11,6)</f>
        <v>39027</v>
      </c>
      <c r="H185" s="90">
        <v>1.1041666666666667</v>
      </c>
      <c r="I185" s="30" t="s">
        <v>156</v>
      </c>
      <c r="J185" s="89" t="s">
        <v>1241</v>
      </c>
      <c r="K185" s="30" t="s">
        <v>127</v>
      </c>
      <c r="L185" s="30" t="s">
        <v>1242</v>
      </c>
      <c r="M185" s="30" t="s">
        <v>63</v>
      </c>
      <c r="N185" s="30">
        <v>0</v>
      </c>
      <c r="O185" s="30" t="s">
        <v>64</v>
      </c>
      <c r="P185" s="89" t="s">
        <v>65</v>
      </c>
      <c r="Q185" s="89" t="s">
        <v>229</v>
      </c>
      <c r="R185" s="89" t="s">
        <v>167</v>
      </c>
      <c r="S185" s="30">
        <v>0</v>
      </c>
      <c r="T185" s="233" t="s">
        <v>68</v>
      </c>
      <c r="U185" s="30">
        <v>0</v>
      </c>
      <c r="V185" s="233" t="s">
        <v>68</v>
      </c>
      <c r="W185" s="30">
        <v>0</v>
      </c>
      <c r="X185" s="30">
        <v>0</v>
      </c>
      <c r="Y185" s="30">
        <v>0</v>
      </c>
      <c r="Z185" s="233" t="s">
        <v>68</v>
      </c>
      <c r="AA185" s="30">
        <v>0</v>
      </c>
      <c r="AB185" s="30">
        <v>0</v>
      </c>
      <c r="AC185" s="30">
        <v>0</v>
      </c>
      <c r="AD185" s="30">
        <v>0</v>
      </c>
      <c r="AE185" s="89" t="s">
        <v>68</v>
      </c>
      <c r="AF185" s="89" t="s">
        <v>1243</v>
      </c>
      <c r="AG185" s="89" t="s">
        <v>133</v>
      </c>
      <c r="AH185" s="72" t="s">
        <v>68</v>
      </c>
      <c r="AI185" s="30">
        <v>2</v>
      </c>
      <c r="AJ185" s="89" t="s">
        <v>1244</v>
      </c>
      <c r="AK185" s="89" t="s">
        <v>68</v>
      </c>
      <c r="AL185" s="91">
        <v>39183</v>
      </c>
      <c r="AM185" s="91"/>
      <c r="AN185" s="91"/>
      <c r="AO185" s="91"/>
      <c r="AP185" s="73" t="e">
        <f>MID(VLOOKUP(K185,#REF!,2,FALSE),1,2)</f>
        <v>#REF!</v>
      </c>
      <c r="AQ185" s="89">
        <f>DATE(2006,11,6)</f>
        <v>39027</v>
      </c>
      <c r="AR185" s="82">
        <f t="shared" si="13"/>
        <v>6</v>
      </c>
      <c r="AS185" s="83">
        <f t="shared" si="14"/>
        <v>11</v>
      </c>
      <c r="AT185" s="84">
        <f t="shared" si="15"/>
        <v>2006</v>
      </c>
      <c r="AU185" s="86"/>
      <c r="AV185" s="86"/>
      <c r="AW185" s="87"/>
      <c r="AX185" s="86"/>
      <c r="AY185" s="83"/>
      <c r="AZ185" s="84"/>
      <c r="BA185" s="86"/>
      <c r="BB185" s="86"/>
    </row>
    <row r="186" spans="1:54" ht="36.75" customHeight="1">
      <c r="A186" s="30"/>
      <c r="B186" s="30" t="s">
        <v>55</v>
      </c>
      <c r="C186" s="69" t="str">
        <f t="shared" si="12"/>
        <v>Closed</v>
      </c>
      <c r="D186" s="27" t="s">
        <v>1245</v>
      </c>
      <c r="E186" s="29" t="s">
        <v>1246</v>
      </c>
      <c r="F186" s="30" t="s">
        <v>638</v>
      </c>
      <c r="G186" s="89">
        <f>DATE(2006,11,7)</f>
        <v>39028</v>
      </c>
      <c r="H186" s="90">
        <v>1.7604166666666665</v>
      </c>
      <c r="I186" s="30" t="s">
        <v>278</v>
      </c>
      <c r="J186" s="89" t="s">
        <v>1247</v>
      </c>
      <c r="K186" s="30" t="s">
        <v>640</v>
      </c>
      <c r="L186" s="30" t="s">
        <v>1248</v>
      </c>
      <c r="M186" s="30" t="s">
        <v>63</v>
      </c>
      <c r="N186" s="30">
        <v>0</v>
      </c>
      <c r="O186" s="30" t="s">
        <v>77</v>
      </c>
      <c r="P186" s="89" t="s">
        <v>165</v>
      </c>
      <c r="Q186" s="89" t="s">
        <v>642</v>
      </c>
      <c r="R186" s="89" t="s">
        <v>643</v>
      </c>
      <c r="S186" s="30">
        <v>0</v>
      </c>
      <c r="T186" s="233">
        <v>0</v>
      </c>
      <c r="U186" s="30">
        <v>0</v>
      </c>
      <c r="V186" s="233">
        <v>1</v>
      </c>
      <c r="W186" s="30">
        <v>0</v>
      </c>
      <c r="X186" s="30">
        <v>1</v>
      </c>
      <c r="Y186" s="30">
        <v>0</v>
      </c>
      <c r="Z186" s="233">
        <v>0</v>
      </c>
      <c r="AA186" s="30">
        <v>0</v>
      </c>
      <c r="AB186" s="30">
        <v>0</v>
      </c>
      <c r="AC186" s="30">
        <v>0</v>
      </c>
      <c r="AD186" s="30">
        <v>0</v>
      </c>
      <c r="AE186" s="89" t="s">
        <v>68</v>
      </c>
      <c r="AF186" s="89" t="s">
        <v>68</v>
      </c>
      <c r="AG186" s="89" t="s">
        <v>248</v>
      </c>
      <c r="AH186" s="72" t="s">
        <v>68</v>
      </c>
      <c r="AI186" s="30">
        <v>1</v>
      </c>
      <c r="AJ186" s="89" t="s">
        <v>68</v>
      </c>
      <c r="AK186" s="89" t="s">
        <v>68</v>
      </c>
      <c r="AL186" s="91">
        <v>39106</v>
      </c>
      <c r="AM186" s="91"/>
      <c r="AN186" s="91"/>
      <c r="AO186" s="91"/>
      <c r="AP186" s="73" t="e">
        <f>MID(VLOOKUP(K186,#REF!,2,FALSE),1,2)</f>
        <v>#REF!</v>
      </c>
      <c r="AQ186" s="89">
        <f>DATE(2006,11,7)</f>
        <v>39028</v>
      </c>
      <c r="AR186" s="82">
        <f t="shared" si="13"/>
        <v>7</v>
      </c>
      <c r="AS186" s="83">
        <f t="shared" si="14"/>
        <v>11</v>
      </c>
      <c r="AT186" s="84">
        <f t="shared" si="15"/>
        <v>2006</v>
      </c>
      <c r="AU186" s="86"/>
      <c r="AV186" s="86"/>
      <c r="AW186" s="87"/>
      <c r="AX186" s="86"/>
      <c r="AY186" s="83"/>
      <c r="AZ186" s="84"/>
      <c r="BA186" s="86"/>
      <c r="BB186" s="86"/>
    </row>
    <row r="187" spans="1:54" ht="36.75" customHeight="1">
      <c r="A187" s="30"/>
      <c r="B187" s="30" t="s">
        <v>55</v>
      </c>
      <c r="C187" s="69" t="str">
        <f t="shared" si="12"/>
        <v>Closed</v>
      </c>
      <c r="D187" s="27" t="s">
        <v>1249</v>
      </c>
      <c r="E187" s="29" t="s">
        <v>1250</v>
      </c>
      <c r="F187" s="30" t="s">
        <v>594</v>
      </c>
      <c r="G187" s="89">
        <f>DATE(2006,11,7)</f>
        <v>39028</v>
      </c>
      <c r="H187" s="90">
        <v>1.226388888888889</v>
      </c>
      <c r="I187" s="30" t="s">
        <v>116</v>
      </c>
      <c r="J187" s="89" t="s">
        <v>1251</v>
      </c>
      <c r="K187" s="30" t="s">
        <v>596</v>
      </c>
      <c r="L187" s="30" t="s">
        <v>1252</v>
      </c>
      <c r="M187" s="30" t="s">
        <v>63</v>
      </c>
      <c r="N187" s="30">
        <v>0</v>
      </c>
      <c r="O187" s="30" t="s">
        <v>64</v>
      </c>
      <c r="P187" s="89" t="s">
        <v>165</v>
      </c>
      <c r="Q187" s="89" t="s">
        <v>598</v>
      </c>
      <c r="R187" s="89" t="s">
        <v>599</v>
      </c>
      <c r="S187" s="30">
        <v>0</v>
      </c>
      <c r="T187" s="233" t="s">
        <v>68</v>
      </c>
      <c r="U187" s="30">
        <v>1</v>
      </c>
      <c r="V187" s="233" t="s">
        <v>68</v>
      </c>
      <c r="W187" s="30">
        <v>0</v>
      </c>
      <c r="X187" s="30">
        <v>1</v>
      </c>
      <c r="Y187" s="30">
        <v>0</v>
      </c>
      <c r="Z187" s="233" t="s">
        <v>68</v>
      </c>
      <c r="AA187" s="30">
        <v>0</v>
      </c>
      <c r="AB187" s="30">
        <v>0</v>
      </c>
      <c r="AC187" s="30">
        <v>0</v>
      </c>
      <c r="AD187" s="30">
        <v>0</v>
      </c>
      <c r="AE187" s="89" t="s">
        <v>68</v>
      </c>
      <c r="AF187" s="89" t="s">
        <v>1253</v>
      </c>
      <c r="AG187" s="89" t="s">
        <v>82</v>
      </c>
      <c r="AH187" s="72" t="s">
        <v>68</v>
      </c>
      <c r="AI187" s="30">
        <v>0</v>
      </c>
      <c r="AJ187" s="89" t="s">
        <v>68</v>
      </c>
      <c r="AK187" s="89" t="s">
        <v>68</v>
      </c>
      <c r="AL187" s="91">
        <v>39231</v>
      </c>
      <c r="AM187" s="91"/>
      <c r="AN187" s="91">
        <v>44584</v>
      </c>
      <c r="AO187" s="91">
        <v>44531</v>
      </c>
      <c r="AP187" s="73" t="e">
        <f>MID(VLOOKUP(K187,#REF!,2,FALSE),1,2)</f>
        <v>#REF!</v>
      </c>
      <c r="AQ187" s="89">
        <f>DATE(2006,11,7)</f>
        <v>39028</v>
      </c>
      <c r="AR187" s="82">
        <f t="shared" si="13"/>
        <v>7</v>
      </c>
      <c r="AS187" s="83">
        <f t="shared" si="14"/>
        <v>11</v>
      </c>
      <c r="AT187" s="84">
        <f t="shared" si="15"/>
        <v>2006</v>
      </c>
      <c r="AU187" s="86"/>
      <c r="AV187" s="86"/>
      <c r="AW187" s="87"/>
      <c r="AX187" s="86"/>
      <c r="AY187" s="83"/>
      <c r="AZ187" s="84"/>
      <c r="BA187" s="86"/>
      <c r="BB187" s="86"/>
    </row>
    <row r="188" spans="1:54" ht="36.75" customHeight="1">
      <c r="A188" s="30"/>
      <c r="B188" s="30" t="s">
        <v>55</v>
      </c>
      <c r="C188" s="69" t="str">
        <f t="shared" si="12"/>
        <v>Closed</v>
      </c>
      <c r="D188" s="27" t="s">
        <v>1254</v>
      </c>
      <c r="E188" s="29" t="s">
        <v>1255</v>
      </c>
      <c r="F188" s="30" t="s">
        <v>124</v>
      </c>
      <c r="G188" s="89">
        <f>DATE(2006,11,9)</f>
        <v>39030</v>
      </c>
      <c r="H188" s="90">
        <v>1.4618055555555556</v>
      </c>
      <c r="I188" s="30" t="s">
        <v>86</v>
      </c>
      <c r="J188" s="89" t="s">
        <v>1256</v>
      </c>
      <c r="K188" s="30" t="s">
        <v>127</v>
      </c>
      <c r="L188" s="30" t="s">
        <v>1257</v>
      </c>
      <c r="M188" s="30" t="s">
        <v>63</v>
      </c>
      <c r="N188" s="30">
        <v>0</v>
      </c>
      <c r="O188" s="30" t="s">
        <v>64</v>
      </c>
      <c r="P188" s="89" t="s">
        <v>165</v>
      </c>
      <c r="Q188" s="89" t="s">
        <v>229</v>
      </c>
      <c r="R188" s="89" t="s">
        <v>167</v>
      </c>
      <c r="S188" s="30">
        <v>0</v>
      </c>
      <c r="T188" s="233" t="s">
        <v>68</v>
      </c>
      <c r="U188" s="30">
        <v>0</v>
      </c>
      <c r="V188" s="233" t="s">
        <v>68</v>
      </c>
      <c r="W188" s="30">
        <v>0</v>
      </c>
      <c r="X188" s="30">
        <v>0</v>
      </c>
      <c r="Y188" s="30">
        <v>0</v>
      </c>
      <c r="Z188" s="233" t="s">
        <v>68</v>
      </c>
      <c r="AA188" s="30">
        <v>0</v>
      </c>
      <c r="AB188" s="30">
        <v>0</v>
      </c>
      <c r="AC188" s="30">
        <v>0</v>
      </c>
      <c r="AD188" s="30">
        <v>0</v>
      </c>
      <c r="AE188" s="89" t="s">
        <v>68</v>
      </c>
      <c r="AF188" s="89" t="s">
        <v>68</v>
      </c>
      <c r="AG188" s="89" t="s">
        <v>82</v>
      </c>
      <c r="AH188" s="72" t="s">
        <v>68</v>
      </c>
      <c r="AI188" s="30">
        <v>3</v>
      </c>
      <c r="AJ188" s="89" t="s">
        <v>68</v>
      </c>
      <c r="AK188" s="89" t="s">
        <v>68</v>
      </c>
      <c r="AL188" s="91">
        <v>39183</v>
      </c>
      <c r="AM188" s="91"/>
      <c r="AN188" s="91"/>
      <c r="AO188" s="91"/>
      <c r="AP188" s="73" t="e">
        <f>MID(VLOOKUP(K188,#REF!,2,FALSE),1,2)</f>
        <v>#REF!</v>
      </c>
      <c r="AQ188" s="89">
        <f>DATE(2006,11,9)</f>
        <v>39030</v>
      </c>
      <c r="AR188" s="82">
        <f t="shared" si="13"/>
        <v>9</v>
      </c>
      <c r="AS188" s="83">
        <f t="shared" si="14"/>
        <v>11</v>
      </c>
      <c r="AT188" s="84">
        <f t="shared" si="15"/>
        <v>2006</v>
      </c>
      <c r="AU188" s="86"/>
      <c r="AV188" s="86"/>
      <c r="AW188" s="87"/>
      <c r="AX188" s="86"/>
      <c r="AY188" s="83"/>
      <c r="AZ188" s="84"/>
      <c r="BA188" s="86"/>
      <c r="BB188" s="86"/>
    </row>
    <row r="189" spans="1:54" ht="36.75" customHeight="1">
      <c r="A189" s="30"/>
      <c r="B189" s="30" t="s">
        <v>55</v>
      </c>
      <c r="C189" s="69" t="str">
        <f t="shared" si="12"/>
        <v>Closed</v>
      </c>
      <c r="D189" s="27" t="s">
        <v>1258</v>
      </c>
      <c r="E189" s="29" t="s">
        <v>1259</v>
      </c>
      <c r="F189" s="30" t="s">
        <v>638</v>
      </c>
      <c r="G189" s="89">
        <f>DATE(2006,11,10)</f>
        <v>39031</v>
      </c>
      <c r="H189" s="90">
        <v>1.0888888888888888</v>
      </c>
      <c r="I189" s="30" t="s">
        <v>278</v>
      </c>
      <c r="J189" s="89" t="s">
        <v>1260</v>
      </c>
      <c r="K189" s="30" t="s">
        <v>640</v>
      </c>
      <c r="L189" s="30" t="s">
        <v>1261</v>
      </c>
      <c r="M189" s="30" t="s">
        <v>63</v>
      </c>
      <c r="N189" s="30">
        <v>0</v>
      </c>
      <c r="O189" s="30" t="s">
        <v>64</v>
      </c>
      <c r="P189" s="89" t="s">
        <v>78</v>
      </c>
      <c r="Q189" s="89" t="s">
        <v>642</v>
      </c>
      <c r="R189" s="89" t="s">
        <v>643</v>
      </c>
      <c r="S189" s="30">
        <v>0</v>
      </c>
      <c r="T189" s="233">
        <v>1</v>
      </c>
      <c r="U189" s="30">
        <v>0</v>
      </c>
      <c r="V189" s="233">
        <v>0</v>
      </c>
      <c r="W189" s="30">
        <v>0</v>
      </c>
      <c r="X189" s="30">
        <v>1</v>
      </c>
      <c r="Y189" s="30">
        <v>0</v>
      </c>
      <c r="Z189" s="233">
        <v>0</v>
      </c>
      <c r="AA189" s="30">
        <v>0</v>
      </c>
      <c r="AB189" s="30">
        <v>0</v>
      </c>
      <c r="AC189" s="30">
        <v>0</v>
      </c>
      <c r="AD189" s="30">
        <v>0</v>
      </c>
      <c r="AE189" s="89" t="s">
        <v>68</v>
      </c>
      <c r="AF189" s="89" t="s">
        <v>1262</v>
      </c>
      <c r="AG189" s="89" t="s">
        <v>248</v>
      </c>
      <c r="AH189" s="72" t="s">
        <v>68</v>
      </c>
      <c r="AI189" s="30">
        <v>1</v>
      </c>
      <c r="AJ189" s="89" t="s">
        <v>68</v>
      </c>
      <c r="AK189" s="89" t="s">
        <v>68</v>
      </c>
      <c r="AL189" s="91">
        <v>39105</v>
      </c>
      <c r="AM189" s="91"/>
      <c r="AN189" s="91"/>
      <c r="AO189" s="91"/>
      <c r="AP189" s="73" t="e">
        <f>MID(VLOOKUP(K189,#REF!,2,FALSE),1,2)</f>
        <v>#REF!</v>
      </c>
      <c r="AQ189" s="89">
        <f>DATE(2006,11,10)</f>
        <v>39031</v>
      </c>
      <c r="AR189" s="82">
        <f t="shared" si="13"/>
        <v>10</v>
      </c>
      <c r="AS189" s="83">
        <f t="shared" si="14"/>
        <v>11</v>
      </c>
      <c r="AT189" s="84">
        <f t="shared" si="15"/>
        <v>2006</v>
      </c>
      <c r="AU189" s="86"/>
      <c r="AV189" s="86"/>
      <c r="AW189" s="87"/>
      <c r="AX189" s="86"/>
      <c r="AY189" s="83"/>
      <c r="AZ189" s="84"/>
      <c r="BA189" s="86"/>
      <c r="BB189" s="86"/>
    </row>
    <row r="190" spans="1:54" ht="36.75" customHeight="1">
      <c r="A190" s="30"/>
      <c r="B190" s="30" t="s">
        <v>55</v>
      </c>
      <c r="C190" s="69" t="str">
        <f t="shared" si="12"/>
        <v>Closed</v>
      </c>
      <c r="D190" s="27" t="s">
        <v>1263</v>
      </c>
      <c r="E190" s="29" t="s">
        <v>1264</v>
      </c>
      <c r="F190" s="30" t="s">
        <v>115</v>
      </c>
      <c r="G190" s="89">
        <f>DATE(2006,11,10)</f>
        <v>39031</v>
      </c>
      <c r="H190" s="90">
        <v>1.4312499999999999</v>
      </c>
      <c r="I190" s="30" t="s">
        <v>278</v>
      </c>
      <c r="J190" s="89" t="s">
        <v>1265</v>
      </c>
      <c r="K190" s="30" t="s">
        <v>118</v>
      </c>
      <c r="L190" s="30" t="s">
        <v>1266</v>
      </c>
      <c r="M190" s="30" t="s">
        <v>63</v>
      </c>
      <c r="N190" s="30">
        <v>0</v>
      </c>
      <c r="O190" s="30" t="s">
        <v>77</v>
      </c>
      <c r="P190" s="89" t="s">
        <v>165</v>
      </c>
      <c r="Q190" s="89" t="s">
        <v>120</v>
      </c>
      <c r="R190" s="89" t="s">
        <v>121</v>
      </c>
      <c r="S190" s="30">
        <v>1</v>
      </c>
      <c r="T190" s="233">
        <v>0</v>
      </c>
      <c r="U190" s="30">
        <v>0</v>
      </c>
      <c r="V190" s="233">
        <v>0</v>
      </c>
      <c r="W190" s="30">
        <v>0</v>
      </c>
      <c r="X190" s="30">
        <v>1</v>
      </c>
      <c r="Y190" s="30">
        <v>0</v>
      </c>
      <c r="Z190" s="233">
        <v>0</v>
      </c>
      <c r="AA190" s="30">
        <v>0</v>
      </c>
      <c r="AB190" s="30">
        <v>0</v>
      </c>
      <c r="AC190" s="30">
        <v>0</v>
      </c>
      <c r="AD190" s="30">
        <v>0</v>
      </c>
      <c r="AE190" s="89" t="s">
        <v>68</v>
      </c>
      <c r="AF190" s="89" t="s">
        <v>68</v>
      </c>
      <c r="AG190" s="89" t="s">
        <v>82</v>
      </c>
      <c r="AH190" s="72" t="s">
        <v>68</v>
      </c>
      <c r="AI190" s="30">
        <v>0</v>
      </c>
      <c r="AJ190" s="89" t="s">
        <v>68</v>
      </c>
      <c r="AK190" s="89" t="s">
        <v>68</v>
      </c>
      <c r="AL190" s="91">
        <v>39037</v>
      </c>
      <c r="AM190" s="91"/>
      <c r="AN190" s="91"/>
      <c r="AO190" s="91"/>
      <c r="AP190" s="73" t="e">
        <f>MID(VLOOKUP(K190,#REF!,2,FALSE),1,2)</f>
        <v>#REF!</v>
      </c>
      <c r="AQ190" s="89">
        <f>DATE(2006,11,10)</f>
        <v>39031</v>
      </c>
      <c r="AR190" s="82">
        <f t="shared" si="13"/>
        <v>10</v>
      </c>
      <c r="AS190" s="83">
        <f t="shared" si="14"/>
        <v>11</v>
      </c>
      <c r="AT190" s="84">
        <f t="shared" si="15"/>
        <v>2006</v>
      </c>
      <c r="AU190" s="86"/>
      <c r="AV190" s="86"/>
      <c r="AW190" s="87"/>
      <c r="AX190" s="86"/>
      <c r="AY190" s="83"/>
      <c r="AZ190" s="84"/>
      <c r="BA190" s="86"/>
      <c r="BB190" s="86"/>
    </row>
    <row r="191" spans="1:54" ht="36.75" customHeight="1">
      <c r="A191" s="30"/>
      <c r="B191" s="30" t="s">
        <v>55</v>
      </c>
      <c r="C191" s="69" t="str">
        <f t="shared" si="12"/>
        <v>Closed</v>
      </c>
      <c r="D191" s="27" t="s">
        <v>1267</v>
      </c>
      <c r="E191" s="29" t="s">
        <v>1268</v>
      </c>
      <c r="F191" s="30" t="s">
        <v>197</v>
      </c>
      <c r="G191" s="89">
        <f>DATE(2006,11,11)</f>
        <v>39032</v>
      </c>
      <c r="H191" s="90">
        <v>1.5625</v>
      </c>
      <c r="I191" s="30" t="s">
        <v>73</v>
      </c>
      <c r="J191" s="89" t="s">
        <v>1269</v>
      </c>
      <c r="K191" s="30" t="s">
        <v>200</v>
      </c>
      <c r="L191" s="30" t="s">
        <v>1270</v>
      </c>
      <c r="M191" s="30" t="s">
        <v>63</v>
      </c>
      <c r="N191" s="30">
        <v>0</v>
      </c>
      <c r="O191" s="30" t="s">
        <v>77</v>
      </c>
      <c r="P191" s="89" t="s">
        <v>78</v>
      </c>
      <c r="Q191" s="89" t="s">
        <v>1271</v>
      </c>
      <c r="R191" s="89" t="s">
        <v>203</v>
      </c>
      <c r="S191" s="30">
        <v>0</v>
      </c>
      <c r="T191" s="233" t="s">
        <v>68</v>
      </c>
      <c r="U191" s="30">
        <v>0</v>
      </c>
      <c r="V191" s="233" t="s">
        <v>68</v>
      </c>
      <c r="W191" s="30">
        <v>0</v>
      </c>
      <c r="X191" s="30">
        <v>0</v>
      </c>
      <c r="Y191" s="30">
        <v>0</v>
      </c>
      <c r="Z191" s="233" t="s">
        <v>68</v>
      </c>
      <c r="AA191" s="30">
        <v>0</v>
      </c>
      <c r="AB191" s="30">
        <v>0</v>
      </c>
      <c r="AC191" s="30">
        <v>0</v>
      </c>
      <c r="AD191" s="30">
        <v>0</v>
      </c>
      <c r="AE191" s="89" t="s">
        <v>68</v>
      </c>
      <c r="AF191" s="89" t="s">
        <v>1272</v>
      </c>
      <c r="AG191" s="89" t="s">
        <v>82</v>
      </c>
      <c r="AH191" s="72" t="s">
        <v>68</v>
      </c>
      <c r="AI191" s="30">
        <v>2</v>
      </c>
      <c r="AJ191" s="89" t="s">
        <v>68</v>
      </c>
      <c r="AK191" s="89" t="s">
        <v>68</v>
      </c>
      <c r="AL191" s="91">
        <v>39182</v>
      </c>
      <c r="AM191" s="91"/>
      <c r="AN191" s="91"/>
      <c r="AO191" s="91"/>
      <c r="AP191" s="73" t="e">
        <f>MID(VLOOKUP(K191,#REF!,2,FALSE),1,2)</f>
        <v>#REF!</v>
      </c>
      <c r="AQ191" s="89">
        <f>DATE(2006,11,11)</f>
        <v>39032</v>
      </c>
      <c r="AR191" s="82">
        <f t="shared" si="13"/>
        <v>11</v>
      </c>
      <c r="AS191" s="83">
        <f t="shared" si="14"/>
        <v>11</v>
      </c>
      <c r="AT191" s="84">
        <f t="shared" si="15"/>
        <v>2006</v>
      </c>
      <c r="AU191" s="86"/>
      <c r="AV191" s="86"/>
      <c r="AW191" s="87"/>
      <c r="AX191" s="86"/>
      <c r="AY191" s="83"/>
      <c r="AZ191" s="84"/>
      <c r="BA191" s="86"/>
      <c r="BB191" s="86"/>
    </row>
    <row r="192" spans="1:54" ht="36.75" customHeight="1">
      <c r="A192" s="30"/>
      <c r="B192" s="30" t="s">
        <v>55</v>
      </c>
      <c r="C192" s="69" t="str">
        <f t="shared" si="12"/>
        <v>Closed</v>
      </c>
      <c r="D192" s="27" t="s">
        <v>1273</v>
      </c>
      <c r="E192" s="29" t="s">
        <v>1274</v>
      </c>
      <c r="F192" s="30" t="s">
        <v>638</v>
      </c>
      <c r="G192" s="89">
        <f>DATE(2006,11,11)</f>
        <v>39032</v>
      </c>
      <c r="H192" s="90">
        <v>1.7243055555555555</v>
      </c>
      <c r="I192" s="30" t="s">
        <v>278</v>
      </c>
      <c r="J192" s="89" t="s">
        <v>1275</v>
      </c>
      <c r="K192" s="30" t="s">
        <v>640</v>
      </c>
      <c r="L192" s="30" t="s">
        <v>1276</v>
      </c>
      <c r="M192" s="30" t="s">
        <v>63</v>
      </c>
      <c r="N192" s="30">
        <v>0</v>
      </c>
      <c r="O192" s="30" t="s">
        <v>64</v>
      </c>
      <c r="P192" s="89" t="s">
        <v>78</v>
      </c>
      <c r="Q192" s="89" t="s">
        <v>642</v>
      </c>
      <c r="R192" s="89" t="s">
        <v>643</v>
      </c>
      <c r="S192" s="30">
        <v>0</v>
      </c>
      <c r="T192" s="233">
        <v>0</v>
      </c>
      <c r="U192" s="30">
        <v>0</v>
      </c>
      <c r="V192" s="233">
        <v>1</v>
      </c>
      <c r="W192" s="30">
        <v>0</v>
      </c>
      <c r="X192" s="30">
        <v>1</v>
      </c>
      <c r="Y192" s="30">
        <v>0</v>
      </c>
      <c r="Z192" s="233">
        <v>0</v>
      </c>
      <c r="AA192" s="30">
        <v>0</v>
      </c>
      <c r="AB192" s="30">
        <v>0</v>
      </c>
      <c r="AC192" s="30">
        <v>0</v>
      </c>
      <c r="AD192" s="30">
        <v>0</v>
      </c>
      <c r="AE192" s="89" t="s">
        <v>68</v>
      </c>
      <c r="AF192" s="89" t="s">
        <v>68</v>
      </c>
      <c r="AG192" s="89" t="s">
        <v>248</v>
      </c>
      <c r="AH192" s="72" t="s">
        <v>68</v>
      </c>
      <c r="AI192" s="30">
        <v>1</v>
      </c>
      <c r="AJ192" s="89" t="s">
        <v>68</v>
      </c>
      <c r="AK192" s="89" t="s">
        <v>68</v>
      </c>
      <c r="AL192" s="91">
        <v>39106</v>
      </c>
      <c r="AM192" s="91"/>
      <c r="AN192" s="91"/>
      <c r="AO192" s="91"/>
      <c r="AP192" s="73" t="e">
        <f>MID(VLOOKUP(K192,#REF!,2,FALSE),1,2)</f>
        <v>#REF!</v>
      </c>
      <c r="AQ192" s="89">
        <f>DATE(2006,11,11)</f>
        <v>39032</v>
      </c>
      <c r="AR192" s="82">
        <f t="shared" si="13"/>
        <v>11</v>
      </c>
      <c r="AS192" s="83">
        <f t="shared" si="14"/>
        <v>11</v>
      </c>
      <c r="AT192" s="84">
        <f t="shared" si="15"/>
        <v>2006</v>
      </c>
      <c r="AU192" s="86"/>
      <c r="AV192" s="86"/>
      <c r="AW192" s="87"/>
      <c r="AX192" s="86"/>
      <c r="AY192" s="83"/>
      <c r="AZ192" s="84"/>
      <c r="BA192" s="86"/>
      <c r="BB192" s="86"/>
    </row>
    <row r="193" spans="1:54" ht="36.75" customHeight="1">
      <c r="A193" s="30"/>
      <c r="B193" s="30" t="s">
        <v>55</v>
      </c>
      <c r="C193" s="69" t="str">
        <f t="shared" si="12"/>
        <v>Closed</v>
      </c>
      <c r="D193" s="37" t="s">
        <v>1277</v>
      </c>
      <c r="E193" s="29" t="s">
        <v>1278</v>
      </c>
      <c r="F193" s="30" t="s">
        <v>594</v>
      </c>
      <c r="G193" s="89">
        <f>DATE(2006,11,13)</f>
        <v>39034</v>
      </c>
      <c r="H193" s="90">
        <v>1.9131944444444446</v>
      </c>
      <c r="I193" s="30" t="s">
        <v>73</v>
      </c>
      <c r="J193" s="89" t="s">
        <v>1279</v>
      </c>
      <c r="K193" s="30" t="s">
        <v>596</v>
      </c>
      <c r="L193" s="30" t="s">
        <v>1280</v>
      </c>
      <c r="M193" s="30" t="s">
        <v>63</v>
      </c>
      <c r="N193" s="30" t="s">
        <v>1043</v>
      </c>
      <c r="O193" s="30" t="s">
        <v>64</v>
      </c>
      <c r="P193" s="89" t="s">
        <v>78</v>
      </c>
      <c r="Q193" s="89" t="s">
        <v>1281</v>
      </c>
      <c r="R193" s="89" t="s">
        <v>599</v>
      </c>
      <c r="S193" s="30">
        <v>0</v>
      </c>
      <c r="T193" s="30">
        <v>0</v>
      </c>
      <c r="U193" s="30">
        <v>0</v>
      </c>
      <c r="V193" s="30">
        <v>0</v>
      </c>
      <c r="W193" s="30">
        <v>0</v>
      </c>
      <c r="X193" s="30">
        <v>0</v>
      </c>
      <c r="Y193" s="30">
        <v>0</v>
      </c>
      <c r="Z193" s="30">
        <v>0</v>
      </c>
      <c r="AA193" s="30">
        <v>0</v>
      </c>
      <c r="AB193" s="30">
        <v>0</v>
      </c>
      <c r="AC193" s="30">
        <v>0</v>
      </c>
      <c r="AD193" s="30">
        <v>0</v>
      </c>
      <c r="AE193" s="89" t="s">
        <v>1282</v>
      </c>
      <c r="AF193" s="89" t="s">
        <v>1283</v>
      </c>
      <c r="AG193" s="89" t="s">
        <v>82</v>
      </c>
      <c r="AH193" s="72" t="s">
        <v>68</v>
      </c>
      <c r="AI193" s="30">
        <v>0</v>
      </c>
      <c r="AJ193" s="89" t="s">
        <v>68</v>
      </c>
      <c r="AK193" s="89" t="s">
        <v>68</v>
      </c>
      <c r="AL193" s="91">
        <v>39232</v>
      </c>
      <c r="AM193" s="91"/>
      <c r="AN193" s="91">
        <v>45334</v>
      </c>
      <c r="AO193" s="91">
        <v>45261</v>
      </c>
      <c r="AP193" s="73" t="e">
        <f>MID(VLOOKUP(K193,#REF!,2,FALSE),1,2)</f>
        <v>#REF!</v>
      </c>
      <c r="AQ193" s="89">
        <f>DATE(2006,11,13)</f>
        <v>39034</v>
      </c>
      <c r="AR193" s="82">
        <f t="shared" si="13"/>
        <v>13</v>
      </c>
      <c r="AS193" s="83">
        <f t="shared" si="14"/>
        <v>11</v>
      </c>
      <c r="AT193" s="84">
        <f t="shared" si="15"/>
        <v>2006</v>
      </c>
      <c r="AU193" s="86"/>
      <c r="AV193" s="86"/>
      <c r="AW193" s="87"/>
      <c r="AX193" s="86"/>
      <c r="AY193" s="83"/>
      <c r="AZ193" s="84"/>
      <c r="BA193" s="86"/>
      <c r="BB193" s="86"/>
    </row>
    <row r="194" spans="1:54" ht="36.75" customHeight="1">
      <c r="A194" s="30"/>
      <c r="B194" s="30" t="s">
        <v>55</v>
      </c>
      <c r="C194" s="69" t="str">
        <f t="shared" ref="C194:C257" si="17">IF(B194="Notification","Open",IF(B194="Interim Statement","In progress","Closed"))</f>
        <v>Closed</v>
      </c>
      <c r="D194" s="27" t="s">
        <v>1284</v>
      </c>
      <c r="E194" s="29" t="s">
        <v>1285</v>
      </c>
      <c r="F194" s="30" t="s">
        <v>638</v>
      </c>
      <c r="G194" s="89">
        <f>DATE(2006,11,15)</f>
        <v>39036</v>
      </c>
      <c r="H194" s="90">
        <v>1.3680555555555556</v>
      </c>
      <c r="I194" s="30" t="s">
        <v>116</v>
      </c>
      <c r="J194" s="89" t="s">
        <v>1286</v>
      </c>
      <c r="K194" s="30" t="s">
        <v>640</v>
      </c>
      <c r="L194" s="30" t="s">
        <v>1287</v>
      </c>
      <c r="M194" s="30" t="s">
        <v>63</v>
      </c>
      <c r="N194" s="30">
        <v>0</v>
      </c>
      <c r="O194" s="30" t="s">
        <v>64</v>
      </c>
      <c r="P194" s="89" t="s">
        <v>165</v>
      </c>
      <c r="Q194" s="89" t="s">
        <v>642</v>
      </c>
      <c r="R194" s="89" t="s">
        <v>643</v>
      </c>
      <c r="S194" s="30">
        <v>0</v>
      </c>
      <c r="T194" s="233">
        <v>0</v>
      </c>
      <c r="U194" s="30">
        <v>1</v>
      </c>
      <c r="V194" s="233">
        <v>0</v>
      </c>
      <c r="W194" s="30">
        <v>0</v>
      </c>
      <c r="X194" s="30">
        <v>1</v>
      </c>
      <c r="Y194" s="30">
        <v>0</v>
      </c>
      <c r="Z194" s="233">
        <v>0</v>
      </c>
      <c r="AA194" s="30">
        <v>0</v>
      </c>
      <c r="AB194" s="30">
        <v>0</v>
      </c>
      <c r="AC194" s="30">
        <v>0</v>
      </c>
      <c r="AD194" s="30">
        <v>0</v>
      </c>
      <c r="AE194" s="89" t="s">
        <v>68</v>
      </c>
      <c r="AF194" s="89" t="s">
        <v>1288</v>
      </c>
      <c r="AG194" s="89" t="s">
        <v>248</v>
      </c>
      <c r="AH194" s="72" t="s">
        <v>68</v>
      </c>
      <c r="AI194" s="30">
        <v>1</v>
      </c>
      <c r="AJ194" s="89" t="s">
        <v>68</v>
      </c>
      <c r="AK194" s="89" t="s">
        <v>68</v>
      </c>
      <c r="AL194" s="91">
        <v>39106</v>
      </c>
      <c r="AM194" s="91"/>
      <c r="AN194" s="91"/>
      <c r="AO194" s="91"/>
      <c r="AP194" s="73" t="e">
        <f>MID(VLOOKUP(K194,#REF!,2,FALSE),1,2)</f>
        <v>#REF!</v>
      </c>
      <c r="AQ194" s="89">
        <f>DATE(2006,11,15)</f>
        <v>39036</v>
      </c>
      <c r="AR194" s="82">
        <f t="shared" ref="AR194:AR257" si="18">DAY(AQ194)</f>
        <v>15</v>
      </c>
      <c r="AS194" s="83">
        <f t="shared" ref="AS194:AS257" si="19">MONTH(AQ194)</f>
        <v>11</v>
      </c>
      <c r="AT194" s="84">
        <f t="shared" ref="AT194:AT257" si="20">YEAR(AQ194)</f>
        <v>2006</v>
      </c>
      <c r="AU194" s="86"/>
      <c r="AV194" s="86"/>
      <c r="AW194" s="87"/>
      <c r="AX194" s="86"/>
      <c r="AY194" s="83"/>
      <c r="AZ194" s="84"/>
      <c r="BA194" s="86"/>
      <c r="BB194" s="86"/>
    </row>
    <row r="195" spans="1:54" ht="36.75" customHeight="1">
      <c r="A195" s="30"/>
      <c r="B195" s="30" t="s">
        <v>55</v>
      </c>
      <c r="C195" s="69" t="str">
        <f t="shared" si="17"/>
        <v>Closed</v>
      </c>
      <c r="D195" s="27" t="s">
        <v>1289</v>
      </c>
      <c r="E195" s="29" t="s">
        <v>1290</v>
      </c>
      <c r="F195" s="30" t="s">
        <v>233</v>
      </c>
      <c r="G195" s="89">
        <f>DATE(2006,11,16)</f>
        <v>39037</v>
      </c>
      <c r="H195" s="90">
        <v>1.5208333333333335</v>
      </c>
      <c r="I195" s="30" t="s">
        <v>198</v>
      </c>
      <c r="J195" s="89" t="s">
        <v>1291</v>
      </c>
      <c r="K195" s="30" t="s">
        <v>235</v>
      </c>
      <c r="L195" s="30" t="s">
        <v>1292</v>
      </c>
      <c r="M195" s="30" t="s">
        <v>63</v>
      </c>
      <c r="N195" s="30">
        <v>0</v>
      </c>
      <c r="O195" s="30" t="s">
        <v>77</v>
      </c>
      <c r="P195" s="89" t="s">
        <v>86</v>
      </c>
      <c r="Q195" s="89" t="s">
        <v>1293</v>
      </c>
      <c r="R195" s="89" t="s">
        <v>1293</v>
      </c>
      <c r="S195" s="30">
        <v>0</v>
      </c>
      <c r="T195" s="233" t="s">
        <v>68</v>
      </c>
      <c r="U195" s="30">
        <v>0</v>
      </c>
      <c r="V195" s="233" t="s">
        <v>68</v>
      </c>
      <c r="W195" s="30">
        <v>0</v>
      </c>
      <c r="X195" s="30">
        <v>0</v>
      </c>
      <c r="Y195" s="30">
        <v>0</v>
      </c>
      <c r="Z195" s="233" t="s">
        <v>68</v>
      </c>
      <c r="AA195" s="30">
        <v>0</v>
      </c>
      <c r="AB195" s="30">
        <v>0</v>
      </c>
      <c r="AC195" s="30">
        <v>0</v>
      </c>
      <c r="AD195" s="30">
        <v>0</v>
      </c>
      <c r="AE195" s="89" t="s">
        <v>68</v>
      </c>
      <c r="AF195" s="89" t="s">
        <v>1294</v>
      </c>
      <c r="AG195" s="89" t="s">
        <v>248</v>
      </c>
      <c r="AH195" s="72" t="s">
        <v>68</v>
      </c>
      <c r="AI195" s="30">
        <v>5</v>
      </c>
      <c r="AJ195" s="89" t="s">
        <v>1295</v>
      </c>
      <c r="AK195" s="89" t="s">
        <v>1296</v>
      </c>
      <c r="AL195" s="91">
        <v>39227</v>
      </c>
      <c r="AM195" s="91"/>
      <c r="AN195" s="91"/>
      <c r="AO195" s="91"/>
      <c r="AP195" s="73" t="e">
        <f>MID(VLOOKUP(K195,#REF!,2,FALSE),1,2)</f>
        <v>#REF!</v>
      </c>
      <c r="AQ195" s="89">
        <f>DATE(2006,11,16)</f>
        <v>39037</v>
      </c>
      <c r="AR195" s="82">
        <f t="shared" si="18"/>
        <v>16</v>
      </c>
      <c r="AS195" s="83">
        <f t="shared" si="19"/>
        <v>11</v>
      </c>
      <c r="AT195" s="84">
        <f t="shared" si="20"/>
        <v>2006</v>
      </c>
      <c r="AU195" s="86"/>
      <c r="AV195" s="86"/>
      <c r="AW195" s="87"/>
      <c r="AX195" s="86"/>
      <c r="AY195" s="83"/>
      <c r="AZ195" s="84"/>
      <c r="BA195" s="86"/>
      <c r="BB195" s="86"/>
    </row>
    <row r="196" spans="1:54" ht="36.75" customHeight="1">
      <c r="A196" s="30"/>
      <c r="B196" s="30" t="s">
        <v>55</v>
      </c>
      <c r="C196" s="69" t="str">
        <f t="shared" si="17"/>
        <v>Closed</v>
      </c>
      <c r="D196" s="27" t="s">
        <v>1297</v>
      </c>
      <c r="E196" s="29" t="s">
        <v>1298</v>
      </c>
      <c r="F196" s="30" t="s">
        <v>582</v>
      </c>
      <c r="G196" s="89">
        <f>DATE(2006,11,20)</f>
        <v>39041</v>
      </c>
      <c r="H196" s="90">
        <v>1.4326388888888888</v>
      </c>
      <c r="I196" s="30" t="s">
        <v>198</v>
      </c>
      <c r="J196" s="89" t="s">
        <v>1299</v>
      </c>
      <c r="K196" s="30" t="s">
        <v>584</v>
      </c>
      <c r="L196" s="30" t="s">
        <v>1300</v>
      </c>
      <c r="M196" s="30" t="s">
        <v>63</v>
      </c>
      <c r="N196" s="30">
        <v>0</v>
      </c>
      <c r="O196" s="30" t="s">
        <v>77</v>
      </c>
      <c r="P196" s="89" t="s">
        <v>165</v>
      </c>
      <c r="Q196" s="89" t="s">
        <v>1301</v>
      </c>
      <c r="R196" s="89" t="s">
        <v>1301</v>
      </c>
      <c r="S196" s="30">
        <v>0</v>
      </c>
      <c r="T196" s="233">
        <v>0</v>
      </c>
      <c r="U196" s="30">
        <v>0</v>
      </c>
      <c r="V196" s="233">
        <v>0</v>
      </c>
      <c r="W196" s="30">
        <v>0</v>
      </c>
      <c r="X196" s="30">
        <v>0</v>
      </c>
      <c r="Y196" s="30">
        <v>2</v>
      </c>
      <c r="Z196" s="233">
        <v>1</v>
      </c>
      <c r="AA196" s="30">
        <v>0</v>
      </c>
      <c r="AB196" s="30">
        <v>0</v>
      </c>
      <c r="AC196" s="30">
        <v>0</v>
      </c>
      <c r="AD196" s="30">
        <v>3</v>
      </c>
      <c r="AE196" s="89" t="s">
        <v>68</v>
      </c>
      <c r="AF196" s="89" t="s">
        <v>68</v>
      </c>
      <c r="AG196" s="89" t="s">
        <v>133</v>
      </c>
      <c r="AH196" s="72" t="s">
        <v>68</v>
      </c>
      <c r="AI196" s="30">
        <v>0</v>
      </c>
      <c r="AJ196" s="89" t="s">
        <v>68</v>
      </c>
      <c r="AK196" s="89" t="s">
        <v>68</v>
      </c>
      <c r="AL196" s="91">
        <v>39135</v>
      </c>
      <c r="AM196" s="91"/>
      <c r="AN196" s="91"/>
      <c r="AO196" s="91"/>
      <c r="AP196" s="73" t="e">
        <f>MID(VLOOKUP(K196,#REF!,2,FALSE),1,2)</f>
        <v>#REF!</v>
      </c>
      <c r="AQ196" s="89">
        <f>DATE(2006,11,20)</f>
        <v>39041</v>
      </c>
      <c r="AR196" s="82">
        <f t="shared" si="18"/>
        <v>20</v>
      </c>
      <c r="AS196" s="83">
        <f t="shared" si="19"/>
        <v>11</v>
      </c>
      <c r="AT196" s="84">
        <f t="shared" si="20"/>
        <v>2006</v>
      </c>
      <c r="AU196" s="86"/>
      <c r="AV196" s="86"/>
      <c r="AW196" s="87"/>
      <c r="AX196" s="86"/>
      <c r="AY196" s="83"/>
      <c r="AZ196" s="84"/>
      <c r="BA196" s="86"/>
      <c r="BB196" s="86"/>
    </row>
    <row r="197" spans="1:54" ht="36.75" customHeight="1">
      <c r="A197" s="30"/>
      <c r="B197" s="30" t="s">
        <v>55</v>
      </c>
      <c r="C197" s="69" t="str">
        <f t="shared" si="17"/>
        <v>Closed</v>
      </c>
      <c r="D197" s="27" t="s">
        <v>1302</v>
      </c>
      <c r="E197" s="29" t="s">
        <v>1303</v>
      </c>
      <c r="F197" s="30" t="s">
        <v>233</v>
      </c>
      <c r="G197" s="89">
        <f>DATE(2006,11,20)</f>
        <v>39041</v>
      </c>
      <c r="H197" s="90">
        <v>1.6527777777777777</v>
      </c>
      <c r="I197" s="30" t="s">
        <v>73</v>
      </c>
      <c r="J197" s="89" t="s">
        <v>1304</v>
      </c>
      <c r="K197" s="30" t="s">
        <v>235</v>
      </c>
      <c r="L197" s="30" t="s">
        <v>1305</v>
      </c>
      <c r="M197" s="30" t="s">
        <v>63</v>
      </c>
      <c r="N197" s="30">
        <v>0</v>
      </c>
      <c r="O197" s="30" t="s">
        <v>64</v>
      </c>
      <c r="P197" s="89" t="s">
        <v>86</v>
      </c>
      <c r="Q197" s="89" t="s">
        <v>718</v>
      </c>
      <c r="R197" s="89" t="s">
        <v>238</v>
      </c>
      <c r="S197" s="30">
        <v>0</v>
      </c>
      <c r="T197" s="233" t="s">
        <v>68</v>
      </c>
      <c r="U197" s="30">
        <v>0</v>
      </c>
      <c r="V197" s="233" t="s">
        <v>68</v>
      </c>
      <c r="W197" s="30">
        <v>0</v>
      </c>
      <c r="X197" s="30">
        <v>0</v>
      </c>
      <c r="Y197" s="30">
        <v>0</v>
      </c>
      <c r="Z197" s="233" t="s">
        <v>68</v>
      </c>
      <c r="AA197" s="30">
        <v>0</v>
      </c>
      <c r="AB197" s="30">
        <v>0</v>
      </c>
      <c r="AC197" s="30">
        <v>0</v>
      </c>
      <c r="AD197" s="30">
        <v>0</v>
      </c>
      <c r="AE197" s="89" t="s">
        <v>68</v>
      </c>
      <c r="AF197" s="89" t="s">
        <v>1306</v>
      </c>
      <c r="AG197" s="89" t="s">
        <v>69</v>
      </c>
      <c r="AH197" s="72" t="s">
        <v>68</v>
      </c>
      <c r="AI197" s="30">
        <v>0</v>
      </c>
      <c r="AJ197" s="89" t="s">
        <v>68</v>
      </c>
      <c r="AK197" s="89" t="s">
        <v>68</v>
      </c>
      <c r="AL197" s="91">
        <v>39227</v>
      </c>
      <c r="AM197" s="91"/>
      <c r="AN197" s="91"/>
      <c r="AO197" s="91"/>
      <c r="AP197" s="73" t="e">
        <f>MID(VLOOKUP(K197,#REF!,2,FALSE),1,2)</f>
        <v>#REF!</v>
      </c>
      <c r="AQ197" s="89">
        <f>DATE(2006,11,20)</f>
        <v>39041</v>
      </c>
      <c r="AR197" s="82">
        <f t="shared" si="18"/>
        <v>20</v>
      </c>
      <c r="AS197" s="83">
        <f t="shared" si="19"/>
        <v>11</v>
      </c>
      <c r="AT197" s="84">
        <f t="shared" si="20"/>
        <v>2006</v>
      </c>
      <c r="AU197" s="86"/>
      <c r="AV197" s="86"/>
      <c r="AW197" s="87"/>
      <c r="AX197" s="86"/>
      <c r="AY197" s="83"/>
      <c r="AZ197" s="84"/>
      <c r="BA197" s="86"/>
      <c r="BB197" s="86"/>
    </row>
    <row r="198" spans="1:54" ht="36.75" customHeight="1">
      <c r="A198" s="30"/>
      <c r="B198" s="30" t="s">
        <v>55</v>
      </c>
      <c r="C198" s="69" t="str">
        <f t="shared" si="17"/>
        <v>Closed</v>
      </c>
      <c r="D198" s="27" t="s">
        <v>1307</v>
      </c>
      <c r="E198" s="29" t="s">
        <v>1308</v>
      </c>
      <c r="F198" s="30" t="s">
        <v>638</v>
      </c>
      <c r="G198" s="89">
        <f>DATE(2006,11,21)</f>
        <v>39042</v>
      </c>
      <c r="H198" s="90">
        <v>1.6833333333333331</v>
      </c>
      <c r="I198" s="30" t="s">
        <v>116</v>
      </c>
      <c r="J198" s="89" t="s">
        <v>1309</v>
      </c>
      <c r="K198" s="30" t="s">
        <v>640</v>
      </c>
      <c r="L198" s="30" t="s">
        <v>1310</v>
      </c>
      <c r="M198" s="30" t="s">
        <v>63</v>
      </c>
      <c r="N198" s="30">
        <v>0</v>
      </c>
      <c r="O198" s="30" t="s">
        <v>64</v>
      </c>
      <c r="P198" s="89" t="s">
        <v>78</v>
      </c>
      <c r="Q198" s="89" t="s">
        <v>642</v>
      </c>
      <c r="R198" s="89" t="s">
        <v>643</v>
      </c>
      <c r="S198" s="30">
        <v>0</v>
      </c>
      <c r="T198" s="233">
        <v>0</v>
      </c>
      <c r="U198" s="30">
        <v>2</v>
      </c>
      <c r="V198" s="233">
        <v>0</v>
      </c>
      <c r="W198" s="30">
        <v>0</v>
      </c>
      <c r="X198" s="30">
        <v>2</v>
      </c>
      <c r="Y198" s="30">
        <v>0</v>
      </c>
      <c r="Z198" s="233">
        <v>0</v>
      </c>
      <c r="AA198" s="30">
        <v>0</v>
      </c>
      <c r="AB198" s="30">
        <v>0</v>
      </c>
      <c r="AC198" s="30">
        <v>0</v>
      </c>
      <c r="AD198" s="30">
        <v>0</v>
      </c>
      <c r="AE198" s="89" t="s">
        <v>68</v>
      </c>
      <c r="AF198" s="89" t="s">
        <v>68</v>
      </c>
      <c r="AG198" s="89" t="s">
        <v>248</v>
      </c>
      <c r="AH198" s="72" t="s">
        <v>68</v>
      </c>
      <c r="AI198" s="30">
        <v>1</v>
      </c>
      <c r="AJ198" s="89" t="s">
        <v>68</v>
      </c>
      <c r="AK198" s="89" t="s">
        <v>68</v>
      </c>
      <c r="AL198" s="91">
        <v>39106</v>
      </c>
      <c r="AM198" s="91"/>
      <c r="AN198" s="91"/>
      <c r="AO198" s="91"/>
      <c r="AP198" s="73" t="e">
        <f>MID(VLOOKUP(K198,#REF!,2,FALSE),1,2)</f>
        <v>#REF!</v>
      </c>
      <c r="AQ198" s="89">
        <f>DATE(2006,11,21)</f>
        <v>39042</v>
      </c>
      <c r="AR198" s="82">
        <f t="shared" si="18"/>
        <v>21</v>
      </c>
      <c r="AS198" s="83">
        <f t="shared" si="19"/>
        <v>11</v>
      </c>
      <c r="AT198" s="84">
        <f t="shared" si="20"/>
        <v>2006</v>
      </c>
      <c r="AU198" s="86"/>
      <c r="AV198" s="86"/>
      <c r="AW198" s="87"/>
      <c r="AX198" s="86"/>
      <c r="AY198" s="83"/>
      <c r="AZ198" s="84"/>
      <c r="BA198" s="86"/>
      <c r="BB198" s="86"/>
    </row>
    <row r="199" spans="1:54" ht="36.75" customHeight="1">
      <c r="A199" s="30"/>
      <c r="B199" s="30" t="s">
        <v>55</v>
      </c>
      <c r="C199" s="69" t="str">
        <f t="shared" si="17"/>
        <v>Closed</v>
      </c>
      <c r="D199" s="27" t="s">
        <v>1311</v>
      </c>
      <c r="E199" s="29" t="s">
        <v>1312</v>
      </c>
      <c r="F199" s="30" t="s">
        <v>72</v>
      </c>
      <c r="G199" s="89">
        <f>DATE(2006,11,26)</f>
        <v>39047</v>
      </c>
      <c r="H199" s="90">
        <v>1.7708333333333335</v>
      </c>
      <c r="I199" s="30" t="s">
        <v>73</v>
      </c>
      <c r="J199" s="89" t="s">
        <v>1313</v>
      </c>
      <c r="K199" s="30" t="s">
        <v>75</v>
      </c>
      <c r="L199" s="30" t="s">
        <v>1314</v>
      </c>
      <c r="M199" s="30" t="s">
        <v>255</v>
      </c>
      <c r="N199" s="30">
        <v>0</v>
      </c>
      <c r="O199" s="30" t="s">
        <v>77</v>
      </c>
      <c r="P199" s="89" t="s">
        <v>86</v>
      </c>
      <c r="Q199" s="89" t="s">
        <v>1315</v>
      </c>
      <c r="R199" s="89" t="s">
        <v>1316</v>
      </c>
      <c r="S199" s="30">
        <v>0</v>
      </c>
      <c r="T199" s="233">
        <v>0</v>
      </c>
      <c r="U199" s="30">
        <v>0</v>
      </c>
      <c r="V199" s="233">
        <v>0</v>
      </c>
      <c r="W199" s="30">
        <v>0</v>
      </c>
      <c r="X199" s="30">
        <v>0</v>
      </c>
      <c r="Y199" s="30">
        <v>17</v>
      </c>
      <c r="Z199" s="233">
        <v>0</v>
      </c>
      <c r="AA199" s="30">
        <v>0</v>
      </c>
      <c r="AB199" s="30">
        <v>0</v>
      </c>
      <c r="AC199" s="30">
        <v>0</v>
      </c>
      <c r="AD199" s="30">
        <v>17</v>
      </c>
      <c r="AE199" s="89" t="s">
        <v>68</v>
      </c>
      <c r="AF199" s="89" t="s">
        <v>68</v>
      </c>
      <c r="AG199" s="89" t="s">
        <v>1317</v>
      </c>
      <c r="AH199" s="72" t="s">
        <v>68</v>
      </c>
      <c r="AI199" s="30">
        <v>2</v>
      </c>
      <c r="AJ199" s="89" t="s">
        <v>68</v>
      </c>
      <c r="AK199" s="89" t="s">
        <v>68</v>
      </c>
      <c r="AL199" s="91">
        <v>39297</v>
      </c>
      <c r="AM199" s="91"/>
      <c r="AN199" s="91"/>
      <c r="AO199" s="91"/>
      <c r="AP199" s="73" t="e">
        <f>MID(VLOOKUP(K199,#REF!,2,FALSE),1,2)</f>
        <v>#REF!</v>
      </c>
      <c r="AQ199" s="89">
        <f>DATE(2006,11,26)</f>
        <v>39047</v>
      </c>
      <c r="AR199" s="82">
        <f t="shared" si="18"/>
        <v>26</v>
      </c>
      <c r="AS199" s="83">
        <f t="shared" si="19"/>
        <v>11</v>
      </c>
      <c r="AT199" s="84">
        <f t="shared" si="20"/>
        <v>2006</v>
      </c>
      <c r="AU199" s="86"/>
      <c r="AV199" s="86"/>
      <c r="AW199" s="87"/>
      <c r="AX199" s="86"/>
      <c r="AY199" s="83"/>
      <c r="AZ199" s="84"/>
      <c r="BA199" s="86"/>
      <c r="BB199" s="86"/>
    </row>
    <row r="200" spans="1:54" ht="36.75" customHeight="1">
      <c r="A200" s="30"/>
      <c r="B200" s="30" t="s">
        <v>55</v>
      </c>
      <c r="C200" s="69" t="str">
        <f t="shared" si="17"/>
        <v>Closed</v>
      </c>
      <c r="D200" s="27" t="s">
        <v>1318</v>
      </c>
      <c r="E200" s="29" t="s">
        <v>1319</v>
      </c>
      <c r="F200" s="30" t="s">
        <v>638</v>
      </c>
      <c r="G200" s="89">
        <f>DATE(2006,11,27)</f>
        <v>39048</v>
      </c>
      <c r="H200" s="90">
        <v>1.7999999999999998</v>
      </c>
      <c r="I200" s="30" t="s">
        <v>278</v>
      </c>
      <c r="J200" s="89" t="s">
        <v>1320</v>
      </c>
      <c r="K200" s="30" t="s">
        <v>640</v>
      </c>
      <c r="L200" s="30" t="s">
        <v>1321</v>
      </c>
      <c r="M200" s="30" t="s">
        <v>63</v>
      </c>
      <c r="N200" s="30">
        <v>0</v>
      </c>
      <c r="O200" s="30" t="s">
        <v>64</v>
      </c>
      <c r="P200" s="89" t="s">
        <v>65</v>
      </c>
      <c r="Q200" s="89" t="s">
        <v>642</v>
      </c>
      <c r="R200" s="89" t="s">
        <v>643</v>
      </c>
      <c r="S200" s="30">
        <v>0</v>
      </c>
      <c r="T200" s="233">
        <v>0</v>
      </c>
      <c r="U200" s="30">
        <v>0</v>
      </c>
      <c r="V200" s="233">
        <v>1</v>
      </c>
      <c r="W200" s="30">
        <v>0</v>
      </c>
      <c r="X200" s="30">
        <v>1</v>
      </c>
      <c r="Y200" s="30">
        <v>0</v>
      </c>
      <c r="Z200" s="233">
        <v>0</v>
      </c>
      <c r="AA200" s="30">
        <v>0</v>
      </c>
      <c r="AB200" s="30">
        <v>0</v>
      </c>
      <c r="AC200" s="30">
        <v>0</v>
      </c>
      <c r="AD200" s="30">
        <v>0</v>
      </c>
      <c r="AE200" s="89" t="s">
        <v>68</v>
      </c>
      <c r="AF200" s="89" t="s">
        <v>68</v>
      </c>
      <c r="AG200" s="89" t="s">
        <v>248</v>
      </c>
      <c r="AH200" s="72" t="s">
        <v>68</v>
      </c>
      <c r="AI200" s="30">
        <v>1</v>
      </c>
      <c r="AJ200" s="89" t="s">
        <v>68</v>
      </c>
      <c r="AK200" s="89" t="s">
        <v>68</v>
      </c>
      <c r="AL200" s="91">
        <v>39106</v>
      </c>
      <c r="AM200" s="91"/>
      <c r="AN200" s="91"/>
      <c r="AO200" s="91"/>
      <c r="AP200" s="73" t="e">
        <f>MID(VLOOKUP(K200,#REF!,2,FALSE),1,2)</f>
        <v>#REF!</v>
      </c>
      <c r="AQ200" s="89">
        <f>DATE(2006,11,27)</f>
        <v>39048</v>
      </c>
      <c r="AR200" s="82">
        <f t="shared" si="18"/>
        <v>27</v>
      </c>
      <c r="AS200" s="83">
        <f t="shared" si="19"/>
        <v>11</v>
      </c>
      <c r="AT200" s="84">
        <f t="shared" si="20"/>
        <v>2006</v>
      </c>
      <c r="AU200" s="86"/>
      <c r="AV200" s="86"/>
      <c r="AW200" s="87"/>
      <c r="AX200" s="86"/>
      <c r="AY200" s="83"/>
      <c r="AZ200" s="84"/>
      <c r="BA200" s="86"/>
      <c r="BB200" s="86"/>
    </row>
    <row r="201" spans="1:54" ht="36.75" customHeight="1">
      <c r="A201" s="30"/>
      <c r="B201" s="30" t="s">
        <v>55</v>
      </c>
      <c r="C201" s="69" t="str">
        <f t="shared" si="17"/>
        <v>Closed</v>
      </c>
      <c r="D201" s="27" t="s">
        <v>1322</v>
      </c>
      <c r="E201" s="29" t="s">
        <v>1323</v>
      </c>
      <c r="F201" s="30" t="s">
        <v>594</v>
      </c>
      <c r="G201" s="89">
        <f>DATE(2006,11,27)</f>
        <v>39048</v>
      </c>
      <c r="H201" s="90">
        <v>1.7951388888888888</v>
      </c>
      <c r="I201" s="30" t="s">
        <v>116</v>
      </c>
      <c r="J201" s="89" t="s">
        <v>1324</v>
      </c>
      <c r="K201" s="30" t="s">
        <v>596</v>
      </c>
      <c r="L201" s="30" t="s">
        <v>1325</v>
      </c>
      <c r="M201" s="30" t="s">
        <v>63</v>
      </c>
      <c r="N201" s="30">
        <v>0</v>
      </c>
      <c r="O201" s="30" t="s">
        <v>64</v>
      </c>
      <c r="P201" s="89" t="s">
        <v>78</v>
      </c>
      <c r="Q201" s="89" t="s">
        <v>598</v>
      </c>
      <c r="R201" s="89" t="s">
        <v>599</v>
      </c>
      <c r="S201" s="30">
        <v>0</v>
      </c>
      <c r="T201" s="233">
        <v>0</v>
      </c>
      <c r="U201" s="30">
        <v>1</v>
      </c>
      <c r="V201" s="233">
        <v>0</v>
      </c>
      <c r="W201" s="30">
        <v>0</v>
      </c>
      <c r="X201" s="30">
        <v>1</v>
      </c>
      <c r="Y201" s="30">
        <v>0</v>
      </c>
      <c r="Z201" s="233">
        <v>0</v>
      </c>
      <c r="AA201" s="30">
        <v>0</v>
      </c>
      <c r="AB201" s="30">
        <v>0</v>
      </c>
      <c r="AC201" s="30">
        <v>0</v>
      </c>
      <c r="AD201" s="30">
        <v>0</v>
      </c>
      <c r="AE201" s="89" t="s">
        <v>68</v>
      </c>
      <c r="AF201" s="89" t="s">
        <v>1326</v>
      </c>
      <c r="AG201" s="89" t="s">
        <v>248</v>
      </c>
      <c r="AH201" s="72" t="s">
        <v>68</v>
      </c>
      <c r="AI201" s="30">
        <v>0</v>
      </c>
      <c r="AJ201" s="89" t="s">
        <v>68</v>
      </c>
      <c r="AK201" s="89" t="s">
        <v>68</v>
      </c>
      <c r="AL201" s="91">
        <v>39231</v>
      </c>
      <c r="AM201" s="91"/>
      <c r="AN201" s="91"/>
      <c r="AO201" s="91"/>
      <c r="AP201" s="73" t="e">
        <f>MID(VLOOKUP(K201,#REF!,2,FALSE),1,2)</f>
        <v>#REF!</v>
      </c>
      <c r="AQ201" s="89">
        <f>DATE(2006,11,27)</f>
        <v>39048</v>
      </c>
      <c r="AR201" s="82">
        <f t="shared" si="18"/>
        <v>27</v>
      </c>
      <c r="AS201" s="83">
        <f t="shared" si="19"/>
        <v>11</v>
      </c>
      <c r="AT201" s="84">
        <f t="shared" si="20"/>
        <v>2006</v>
      </c>
      <c r="AU201" s="86"/>
      <c r="AV201" s="86"/>
      <c r="AW201" s="87"/>
      <c r="AX201" s="86"/>
      <c r="AY201" s="83"/>
      <c r="AZ201" s="84"/>
      <c r="BA201" s="86"/>
      <c r="BB201" s="86"/>
    </row>
    <row r="202" spans="1:54" ht="36.75" customHeight="1">
      <c r="A202" s="30"/>
      <c r="B202" s="30" t="s">
        <v>55</v>
      </c>
      <c r="C202" s="69" t="str">
        <f t="shared" si="17"/>
        <v>Closed</v>
      </c>
      <c r="D202" s="27" t="s">
        <v>1327</v>
      </c>
      <c r="E202" s="29" t="s">
        <v>1328</v>
      </c>
      <c r="F202" s="30" t="s">
        <v>638</v>
      </c>
      <c r="G202" s="89">
        <f>DATE(2006,11,28)</f>
        <v>39049</v>
      </c>
      <c r="H202" s="90">
        <v>1.3333333333333333</v>
      </c>
      <c r="I202" s="30" t="s">
        <v>278</v>
      </c>
      <c r="J202" s="89" t="s">
        <v>1329</v>
      </c>
      <c r="K202" s="30" t="s">
        <v>640</v>
      </c>
      <c r="L202" s="30" t="s">
        <v>1330</v>
      </c>
      <c r="M202" s="30" t="s">
        <v>63</v>
      </c>
      <c r="N202" s="30">
        <v>0</v>
      </c>
      <c r="O202" s="30" t="s">
        <v>64</v>
      </c>
      <c r="P202" s="89" t="s">
        <v>165</v>
      </c>
      <c r="Q202" s="89" t="s">
        <v>642</v>
      </c>
      <c r="R202" s="89" t="s">
        <v>643</v>
      </c>
      <c r="S202" s="30">
        <v>0</v>
      </c>
      <c r="T202" s="233">
        <v>0</v>
      </c>
      <c r="U202" s="30">
        <v>0</v>
      </c>
      <c r="V202" s="233">
        <v>1</v>
      </c>
      <c r="W202" s="30">
        <v>0</v>
      </c>
      <c r="X202" s="30">
        <v>1</v>
      </c>
      <c r="Y202" s="30">
        <v>0</v>
      </c>
      <c r="Z202" s="233">
        <v>0</v>
      </c>
      <c r="AA202" s="30">
        <v>0</v>
      </c>
      <c r="AB202" s="30">
        <v>0</v>
      </c>
      <c r="AC202" s="30">
        <v>0</v>
      </c>
      <c r="AD202" s="30">
        <v>0</v>
      </c>
      <c r="AE202" s="89" t="s">
        <v>68</v>
      </c>
      <c r="AF202" s="89" t="s">
        <v>68</v>
      </c>
      <c r="AG202" s="89" t="s">
        <v>248</v>
      </c>
      <c r="AH202" s="72" t="s">
        <v>68</v>
      </c>
      <c r="AI202" s="30">
        <v>1</v>
      </c>
      <c r="AJ202" s="89" t="s">
        <v>68</v>
      </c>
      <c r="AK202" s="89" t="s">
        <v>68</v>
      </c>
      <c r="AL202" s="91">
        <v>39106</v>
      </c>
      <c r="AM202" s="91"/>
      <c r="AN202" s="91"/>
      <c r="AO202" s="91"/>
      <c r="AP202" s="73" t="e">
        <f>MID(VLOOKUP(K202,#REF!,2,FALSE),1,2)</f>
        <v>#REF!</v>
      </c>
      <c r="AQ202" s="89">
        <f>DATE(2006,11,28)</f>
        <v>39049</v>
      </c>
      <c r="AR202" s="82">
        <f t="shared" si="18"/>
        <v>28</v>
      </c>
      <c r="AS202" s="83">
        <f t="shared" si="19"/>
        <v>11</v>
      </c>
      <c r="AT202" s="84">
        <f t="shared" si="20"/>
        <v>2006</v>
      </c>
      <c r="AU202" s="86"/>
      <c r="AV202" s="86"/>
      <c r="AW202" s="87"/>
      <c r="AX202" s="86"/>
      <c r="AY202" s="83"/>
      <c r="AZ202" s="84"/>
      <c r="BA202" s="86"/>
      <c r="BB202" s="86"/>
    </row>
    <row r="203" spans="1:54" ht="36.75" customHeight="1">
      <c r="A203" s="30"/>
      <c r="B203" s="30" t="s">
        <v>55</v>
      </c>
      <c r="C203" s="69" t="str">
        <f t="shared" si="17"/>
        <v>Closed</v>
      </c>
      <c r="D203" s="27" t="s">
        <v>1331</v>
      </c>
      <c r="E203" s="29" t="s">
        <v>1332</v>
      </c>
      <c r="F203" s="30" t="s">
        <v>638</v>
      </c>
      <c r="G203" s="89">
        <f>DATE(2006,11,30)</f>
        <v>39051</v>
      </c>
      <c r="H203" s="90">
        <v>1.46875</v>
      </c>
      <c r="I203" s="30" t="s">
        <v>278</v>
      </c>
      <c r="J203" s="89" t="s">
        <v>1333</v>
      </c>
      <c r="K203" s="30" t="s">
        <v>640</v>
      </c>
      <c r="L203" s="30" t="s">
        <v>1334</v>
      </c>
      <c r="M203" s="30" t="s">
        <v>63</v>
      </c>
      <c r="N203" s="30">
        <v>0</v>
      </c>
      <c r="O203" s="30" t="s">
        <v>64</v>
      </c>
      <c r="P203" s="89" t="s">
        <v>65</v>
      </c>
      <c r="Q203" s="89" t="s">
        <v>642</v>
      </c>
      <c r="R203" s="89" t="s">
        <v>643</v>
      </c>
      <c r="S203" s="30">
        <v>0</v>
      </c>
      <c r="T203" s="233">
        <v>0</v>
      </c>
      <c r="U203" s="30">
        <v>0</v>
      </c>
      <c r="V203" s="233">
        <v>1</v>
      </c>
      <c r="W203" s="30">
        <v>0</v>
      </c>
      <c r="X203" s="30">
        <v>1</v>
      </c>
      <c r="Y203" s="30">
        <v>0</v>
      </c>
      <c r="Z203" s="233">
        <v>0</v>
      </c>
      <c r="AA203" s="30">
        <v>0</v>
      </c>
      <c r="AB203" s="30">
        <v>0</v>
      </c>
      <c r="AC203" s="30">
        <v>0</v>
      </c>
      <c r="AD203" s="30">
        <v>0</v>
      </c>
      <c r="AE203" s="89" t="s">
        <v>68</v>
      </c>
      <c r="AF203" s="89" t="s">
        <v>68</v>
      </c>
      <c r="AG203" s="89" t="s">
        <v>248</v>
      </c>
      <c r="AH203" s="72" t="s">
        <v>68</v>
      </c>
      <c r="AI203" s="30">
        <v>2</v>
      </c>
      <c r="AJ203" s="89" t="s">
        <v>68</v>
      </c>
      <c r="AK203" s="89" t="s">
        <v>68</v>
      </c>
      <c r="AL203" s="91">
        <v>39106</v>
      </c>
      <c r="AM203" s="91"/>
      <c r="AN203" s="91"/>
      <c r="AO203" s="91"/>
      <c r="AP203" s="73" t="e">
        <f>MID(VLOOKUP(K203,#REF!,2,FALSE),1,2)</f>
        <v>#REF!</v>
      </c>
      <c r="AQ203" s="89">
        <f>DATE(2006,11,30)</f>
        <v>39051</v>
      </c>
      <c r="AR203" s="82">
        <f t="shared" si="18"/>
        <v>30</v>
      </c>
      <c r="AS203" s="83">
        <f t="shared" si="19"/>
        <v>11</v>
      </c>
      <c r="AT203" s="84">
        <f t="shared" si="20"/>
        <v>2006</v>
      </c>
      <c r="AU203" s="86"/>
      <c r="AV203" s="86"/>
      <c r="AW203" s="87"/>
      <c r="AX203" s="86"/>
      <c r="AY203" s="83"/>
      <c r="AZ203" s="84"/>
      <c r="BA203" s="86"/>
      <c r="BB203" s="86"/>
    </row>
    <row r="204" spans="1:54" ht="36.75" customHeight="1">
      <c r="A204" s="30"/>
      <c r="B204" s="30" t="s">
        <v>55</v>
      </c>
      <c r="C204" s="69" t="str">
        <f t="shared" si="17"/>
        <v>Closed</v>
      </c>
      <c r="D204" s="27" t="s">
        <v>1335</v>
      </c>
      <c r="E204" s="29" t="s">
        <v>1336</v>
      </c>
      <c r="F204" s="30" t="s">
        <v>638</v>
      </c>
      <c r="G204" s="89">
        <f>DATE(2006,12,1)</f>
        <v>39052</v>
      </c>
      <c r="H204" s="90">
        <v>1.7291666666666665</v>
      </c>
      <c r="I204" s="30" t="s">
        <v>278</v>
      </c>
      <c r="J204" s="89" t="s">
        <v>1337</v>
      </c>
      <c r="K204" s="30" t="s">
        <v>640</v>
      </c>
      <c r="L204" s="30" t="s">
        <v>1338</v>
      </c>
      <c r="M204" s="30" t="s">
        <v>63</v>
      </c>
      <c r="N204" s="30">
        <v>0</v>
      </c>
      <c r="O204" s="30" t="s">
        <v>64</v>
      </c>
      <c r="P204" s="89" t="s">
        <v>78</v>
      </c>
      <c r="Q204" s="89" t="s">
        <v>642</v>
      </c>
      <c r="R204" s="89" t="s">
        <v>643</v>
      </c>
      <c r="S204" s="30">
        <v>0</v>
      </c>
      <c r="T204" s="233">
        <v>0</v>
      </c>
      <c r="U204" s="30">
        <v>0</v>
      </c>
      <c r="V204" s="233">
        <v>1</v>
      </c>
      <c r="W204" s="30">
        <v>0</v>
      </c>
      <c r="X204" s="30">
        <v>1</v>
      </c>
      <c r="Y204" s="30">
        <v>0</v>
      </c>
      <c r="Z204" s="233">
        <v>0</v>
      </c>
      <c r="AA204" s="30">
        <v>0</v>
      </c>
      <c r="AB204" s="30">
        <v>1</v>
      </c>
      <c r="AC204" s="30">
        <v>0</v>
      </c>
      <c r="AD204" s="30">
        <v>1</v>
      </c>
      <c r="AE204" s="89" t="s">
        <v>68</v>
      </c>
      <c r="AF204" s="89" t="s">
        <v>68</v>
      </c>
      <c r="AG204" s="89" t="s">
        <v>248</v>
      </c>
      <c r="AH204" s="72" t="s">
        <v>68</v>
      </c>
      <c r="AI204" s="30">
        <v>0</v>
      </c>
      <c r="AJ204" s="89" t="s">
        <v>68</v>
      </c>
      <c r="AK204" s="89" t="s">
        <v>68</v>
      </c>
      <c r="AL204" s="91">
        <v>39106</v>
      </c>
      <c r="AM204" s="91"/>
      <c r="AN204" s="91"/>
      <c r="AO204" s="91"/>
      <c r="AP204" s="73" t="e">
        <f>MID(VLOOKUP(K204,#REF!,2,FALSE),1,2)</f>
        <v>#REF!</v>
      </c>
      <c r="AQ204" s="89">
        <f>DATE(2006,12,1)</f>
        <v>39052</v>
      </c>
      <c r="AR204" s="82">
        <f t="shared" si="18"/>
        <v>1</v>
      </c>
      <c r="AS204" s="83">
        <f t="shared" si="19"/>
        <v>12</v>
      </c>
      <c r="AT204" s="84">
        <f t="shared" si="20"/>
        <v>2006</v>
      </c>
      <c r="AU204" s="86"/>
      <c r="AV204" s="86"/>
      <c r="AW204" s="87"/>
      <c r="AX204" s="86"/>
      <c r="AY204" s="83"/>
      <c r="AZ204" s="84"/>
      <c r="BA204" s="86"/>
      <c r="BB204" s="86"/>
    </row>
    <row r="205" spans="1:54" ht="36.75" customHeight="1">
      <c r="A205" s="30"/>
      <c r="B205" s="30" t="s">
        <v>55</v>
      </c>
      <c r="C205" s="69" t="str">
        <f t="shared" si="17"/>
        <v>Closed</v>
      </c>
      <c r="D205" s="27" t="s">
        <v>1339</v>
      </c>
      <c r="E205" s="29" t="s">
        <v>1340</v>
      </c>
      <c r="F205" s="30" t="s">
        <v>423</v>
      </c>
      <c r="G205" s="89">
        <f>DATE(2006,12,2)</f>
        <v>39053</v>
      </c>
      <c r="H205" s="90">
        <v>1.7826388888888891</v>
      </c>
      <c r="I205" s="30" t="s">
        <v>73</v>
      </c>
      <c r="J205" s="89" t="s">
        <v>1341</v>
      </c>
      <c r="K205" s="30" t="s">
        <v>425</v>
      </c>
      <c r="L205" s="30" t="s">
        <v>1342</v>
      </c>
      <c r="M205" s="30" t="s">
        <v>255</v>
      </c>
      <c r="N205" s="30">
        <v>0</v>
      </c>
      <c r="O205" s="30" t="s">
        <v>64</v>
      </c>
      <c r="P205" s="89" t="s">
        <v>86</v>
      </c>
      <c r="Q205" s="89" t="s">
        <v>1343</v>
      </c>
      <c r="R205" s="89" t="s">
        <v>1343</v>
      </c>
      <c r="S205" s="30">
        <v>0</v>
      </c>
      <c r="T205" s="233" t="s">
        <v>68</v>
      </c>
      <c r="U205" s="30">
        <v>0</v>
      </c>
      <c r="V205" s="233" t="s">
        <v>68</v>
      </c>
      <c r="W205" s="30">
        <v>0</v>
      </c>
      <c r="X205" s="30">
        <v>0</v>
      </c>
      <c r="Y205" s="30">
        <v>0</v>
      </c>
      <c r="Z205" s="233" t="s">
        <v>68</v>
      </c>
      <c r="AA205" s="30">
        <v>0</v>
      </c>
      <c r="AB205" s="30">
        <v>0</v>
      </c>
      <c r="AC205" s="30">
        <v>0</v>
      </c>
      <c r="AD205" s="30">
        <v>0</v>
      </c>
      <c r="AE205" s="89" t="s">
        <v>68</v>
      </c>
      <c r="AF205" s="89" t="s">
        <v>1344</v>
      </c>
      <c r="AG205" s="89" t="s">
        <v>367</v>
      </c>
      <c r="AH205" s="72" t="s">
        <v>68</v>
      </c>
      <c r="AI205" s="30">
        <v>0</v>
      </c>
      <c r="AJ205" s="89" t="s">
        <v>68</v>
      </c>
      <c r="AK205" s="89" t="s">
        <v>68</v>
      </c>
      <c r="AL205" s="91">
        <v>39280</v>
      </c>
      <c r="AM205" s="91"/>
      <c r="AN205" s="91"/>
      <c r="AO205" s="91"/>
      <c r="AP205" s="73" t="e">
        <f>MID(VLOOKUP(K205,#REF!,2,FALSE),1,2)</f>
        <v>#REF!</v>
      </c>
      <c r="AQ205" s="89">
        <f>DATE(2006,12,2)</f>
        <v>39053</v>
      </c>
      <c r="AR205" s="82">
        <f t="shared" si="18"/>
        <v>2</v>
      </c>
      <c r="AS205" s="83">
        <f t="shared" si="19"/>
        <v>12</v>
      </c>
      <c r="AT205" s="84">
        <f t="shared" si="20"/>
        <v>2006</v>
      </c>
      <c r="AU205" s="86"/>
      <c r="AV205" s="86"/>
      <c r="AW205" s="87"/>
      <c r="AX205" s="86"/>
      <c r="AY205" s="83"/>
      <c r="AZ205" s="84"/>
      <c r="BA205" s="86"/>
      <c r="BB205" s="86"/>
    </row>
    <row r="206" spans="1:54" ht="36.75" customHeight="1">
      <c r="A206" s="30"/>
      <c r="B206" s="30" t="s">
        <v>55</v>
      </c>
      <c r="C206" s="69" t="str">
        <f t="shared" si="17"/>
        <v>Closed</v>
      </c>
      <c r="D206" s="27" t="s">
        <v>1345</v>
      </c>
      <c r="E206" s="29" t="s">
        <v>1346</v>
      </c>
      <c r="F206" s="30" t="s">
        <v>835</v>
      </c>
      <c r="G206" s="89">
        <f>DATE(2006,12,7)</f>
        <v>39058</v>
      </c>
      <c r="H206" s="90">
        <v>1.0986111111111112</v>
      </c>
      <c r="I206" s="30" t="s">
        <v>73</v>
      </c>
      <c r="J206" s="89" t="s">
        <v>1347</v>
      </c>
      <c r="K206" s="30" t="s">
        <v>837</v>
      </c>
      <c r="L206" s="30" t="s">
        <v>1348</v>
      </c>
      <c r="M206" s="30" t="s">
        <v>63</v>
      </c>
      <c r="N206" s="30">
        <v>0</v>
      </c>
      <c r="O206" s="30" t="s">
        <v>64</v>
      </c>
      <c r="P206" s="89" t="s">
        <v>78</v>
      </c>
      <c r="Q206" s="89" t="s">
        <v>1349</v>
      </c>
      <c r="R206" s="89" t="s">
        <v>840</v>
      </c>
      <c r="S206" s="30">
        <v>0</v>
      </c>
      <c r="T206" s="233" t="s">
        <v>68</v>
      </c>
      <c r="U206" s="30">
        <v>0</v>
      </c>
      <c r="V206" s="233" t="s">
        <v>68</v>
      </c>
      <c r="W206" s="30">
        <v>0</v>
      </c>
      <c r="X206" s="30">
        <v>0</v>
      </c>
      <c r="Y206" s="30">
        <v>0</v>
      </c>
      <c r="Z206" s="233" t="s">
        <v>68</v>
      </c>
      <c r="AA206" s="30">
        <v>0</v>
      </c>
      <c r="AB206" s="30">
        <v>0</v>
      </c>
      <c r="AC206" s="30">
        <v>0</v>
      </c>
      <c r="AD206" s="30">
        <v>0</v>
      </c>
      <c r="AE206" s="89" t="s">
        <v>68</v>
      </c>
      <c r="AF206" s="89" t="s">
        <v>1350</v>
      </c>
      <c r="AG206" s="89" t="s">
        <v>133</v>
      </c>
      <c r="AH206" s="72" t="s">
        <v>68</v>
      </c>
      <c r="AI206" s="30">
        <v>3</v>
      </c>
      <c r="AJ206" s="89" t="s">
        <v>68</v>
      </c>
      <c r="AK206" s="89" t="s">
        <v>68</v>
      </c>
      <c r="AL206" s="91">
        <v>39388</v>
      </c>
      <c r="AM206" s="91"/>
      <c r="AN206" s="91"/>
      <c r="AO206" s="91"/>
      <c r="AP206" s="73" t="e">
        <f>MID(VLOOKUP(K206,#REF!,2,FALSE),1,2)</f>
        <v>#REF!</v>
      </c>
      <c r="AQ206" s="89">
        <f>DATE(2006,12,7)</f>
        <v>39058</v>
      </c>
      <c r="AR206" s="82">
        <f t="shared" si="18"/>
        <v>7</v>
      </c>
      <c r="AS206" s="83">
        <f t="shared" si="19"/>
        <v>12</v>
      </c>
      <c r="AT206" s="84">
        <f t="shared" si="20"/>
        <v>2006</v>
      </c>
      <c r="AU206" s="86"/>
      <c r="AV206" s="86"/>
      <c r="AW206" s="87"/>
      <c r="AX206" s="86"/>
      <c r="AY206" s="83"/>
      <c r="AZ206" s="84"/>
      <c r="BA206" s="86"/>
      <c r="BB206" s="86"/>
    </row>
    <row r="207" spans="1:54" ht="36.75" customHeight="1">
      <c r="A207" s="30"/>
      <c r="B207" s="30" t="s">
        <v>55</v>
      </c>
      <c r="C207" s="69" t="str">
        <f t="shared" si="17"/>
        <v>Closed</v>
      </c>
      <c r="D207" s="27" t="s">
        <v>1351</v>
      </c>
      <c r="E207" s="29" t="s">
        <v>1352</v>
      </c>
      <c r="F207" s="30" t="s">
        <v>638</v>
      </c>
      <c r="G207" s="89">
        <f>DATE(2006,12,11)</f>
        <v>39062</v>
      </c>
      <c r="H207" s="90">
        <v>1.9208333333333334</v>
      </c>
      <c r="I207" s="30" t="s">
        <v>278</v>
      </c>
      <c r="J207" s="89" t="s">
        <v>1353</v>
      </c>
      <c r="K207" s="30" t="s">
        <v>640</v>
      </c>
      <c r="L207" s="30" t="s">
        <v>1354</v>
      </c>
      <c r="M207" s="30" t="s">
        <v>63</v>
      </c>
      <c r="N207" s="30">
        <v>0</v>
      </c>
      <c r="O207" s="30" t="s">
        <v>77</v>
      </c>
      <c r="P207" s="89" t="s">
        <v>86</v>
      </c>
      <c r="Q207" s="89" t="s">
        <v>642</v>
      </c>
      <c r="R207" s="89" t="s">
        <v>643</v>
      </c>
      <c r="S207" s="30">
        <v>0</v>
      </c>
      <c r="T207" s="233">
        <v>0</v>
      </c>
      <c r="U207" s="30">
        <v>0</v>
      </c>
      <c r="V207" s="233">
        <v>1</v>
      </c>
      <c r="W207" s="30">
        <v>0</v>
      </c>
      <c r="X207" s="30">
        <v>1</v>
      </c>
      <c r="Y207" s="30">
        <v>0</v>
      </c>
      <c r="Z207" s="233">
        <v>0</v>
      </c>
      <c r="AA207" s="30">
        <v>0</v>
      </c>
      <c r="AB207" s="30">
        <v>0</v>
      </c>
      <c r="AC207" s="30">
        <v>0</v>
      </c>
      <c r="AD207" s="30">
        <v>0</v>
      </c>
      <c r="AE207" s="89" t="s">
        <v>68</v>
      </c>
      <c r="AF207" s="89" t="s">
        <v>68</v>
      </c>
      <c r="AG207" s="89" t="s">
        <v>248</v>
      </c>
      <c r="AH207" s="72" t="s">
        <v>68</v>
      </c>
      <c r="AI207" s="30">
        <v>2</v>
      </c>
      <c r="AJ207" s="89" t="s">
        <v>68</v>
      </c>
      <c r="AK207" s="89" t="s">
        <v>68</v>
      </c>
      <c r="AL207" s="91">
        <v>39106</v>
      </c>
      <c r="AM207" s="91"/>
      <c r="AN207" s="91"/>
      <c r="AO207" s="91"/>
      <c r="AP207" s="73" t="e">
        <f>MID(VLOOKUP(K207,#REF!,2,FALSE),1,2)</f>
        <v>#REF!</v>
      </c>
      <c r="AQ207" s="89">
        <f>DATE(2006,12,11)</f>
        <v>39062</v>
      </c>
      <c r="AR207" s="82">
        <f t="shared" si="18"/>
        <v>11</v>
      </c>
      <c r="AS207" s="83">
        <f t="shared" si="19"/>
        <v>12</v>
      </c>
      <c r="AT207" s="84">
        <f t="shared" si="20"/>
        <v>2006</v>
      </c>
      <c r="AU207" s="86"/>
      <c r="AV207" s="86"/>
      <c r="AW207" s="87"/>
      <c r="AX207" s="86"/>
      <c r="AY207" s="83"/>
      <c r="AZ207" s="84"/>
      <c r="BA207" s="86"/>
      <c r="BB207" s="86"/>
    </row>
    <row r="208" spans="1:54" ht="36.75" customHeight="1">
      <c r="A208" s="30"/>
      <c r="B208" s="30" t="s">
        <v>55</v>
      </c>
      <c r="C208" s="69" t="str">
        <f t="shared" si="17"/>
        <v>Closed</v>
      </c>
      <c r="D208" s="27" t="s">
        <v>1355</v>
      </c>
      <c r="E208" s="29" t="s">
        <v>1356</v>
      </c>
      <c r="F208" s="30" t="s">
        <v>835</v>
      </c>
      <c r="G208" s="89">
        <f>DATE(2006,12,12)</f>
        <v>39063</v>
      </c>
      <c r="H208" s="90">
        <v>1.9333333333333331</v>
      </c>
      <c r="I208" s="30" t="s">
        <v>198</v>
      </c>
      <c r="J208" s="89" t="s">
        <v>1357</v>
      </c>
      <c r="K208" s="30" t="s">
        <v>837</v>
      </c>
      <c r="L208" s="30" t="s">
        <v>1358</v>
      </c>
      <c r="M208" s="30" t="s">
        <v>63</v>
      </c>
      <c r="N208" s="30">
        <v>0</v>
      </c>
      <c r="O208" s="30" t="s">
        <v>64</v>
      </c>
      <c r="P208" s="89" t="s">
        <v>1359</v>
      </c>
      <c r="Q208" s="89" t="s">
        <v>1360</v>
      </c>
      <c r="R208" s="89" t="s">
        <v>840</v>
      </c>
      <c r="S208" s="30">
        <v>0</v>
      </c>
      <c r="T208" s="233" t="s">
        <v>68</v>
      </c>
      <c r="U208" s="30">
        <v>0</v>
      </c>
      <c r="V208" s="233" t="s">
        <v>68</v>
      </c>
      <c r="W208" s="30">
        <v>0</v>
      </c>
      <c r="X208" s="30">
        <v>0</v>
      </c>
      <c r="Y208" s="30">
        <v>0</v>
      </c>
      <c r="Z208" s="233" t="s">
        <v>68</v>
      </c>
      <c r="AA208" s="30">
        <v>0</v>
      </c>
      <c r="AB208" s="30">
        <v>0</v>
      </c>
      <c r="AC208" s="30">
        <v>0</v>
      </c>
      <c r="AD208" s="30">
        <v>0</v>
      </c>
      <c r="AE208" s="89" t="s">
        <v>68</v>
      </c>
      <c r="AF208" s="89" t="s">
        <v>1361</v>
      </c>
      <c r="AG208" s="89" t="s">
        <v>133</v>
      </c>
      <c r="AH208" s="72" t="s">
        <v>68</v>
      </c>
      <c r="AI208" s="30">
        <v>0</v>
      </c>
      <c r="AJ208" s="89" t="s">
        <v>68</v>
      </c>
      <c r="AK208" s="89" t="s">
        <v>68</v>
      </c>
      <c r="AL208" s="91">
        <v>39388</v>
      </c>
      <c r="AM208" s="91"/>
      <c r="AN208" s="91"/>
      <c r="AO208" s="91"/>
      <c r="AP208" s="73" t="e">
        <f>MID(VLOOKUP(K208,#REF!,2,FALSE),1,2)</f>
        <v>#REF!</v>
      </c>
      <c r="AQ208" s="89">
        <f>DATE(2006,12,12)</f>
        <v>39063</v>
      </c>
      <c r="AR208" s="82">
        <f t="shared" si="18"/>
        <v>12</v>
      </c>
      <c r="AS208" s="83">
        <f t="shared" si="19"/>
        <v>12</v>
      </c>
      <c r="AT208" s="84">
        <f t="shared" si="20"/>
        <v>2006</v>
      </c>
      <c r="AU208" s="86"/>
      <c r="AV208" s="86"/>
      <c r="AW208" s="87"/>
      <c r="AX208" s="86"/>
      <c r="AY208" s="83"/>
      <c r="AZ208" s="84"/>
      <c r="BA208" s="86"/>
      <c r="BB208" s="86"/>
    </row>
    <row r="209" spans="1:54" ht="36.75" customHeight="1">
      <c r="A209" s="30"/>
      <c r="B209" s="30" t="s">
        <v>55</v>
      </c>
      <c r="C209" s="69" t="str">
        <f t="shared" si="17"/>
        <v>Closed</v>
      </c>
      <c r="D209" s="27" t="s">
        <v>1362</v>
      </c>
      <c r="E209" s="29" t="s">
        <v>1363</v>
      </c>
      <c r="F209" s="30" t="s">
        <v>58</v>
      </c>
      <c r="G209" s="89">
        <f>DATE(2006,12,15)</f>
        <v>39066</v>
      </c>
      <c r="H209" s="90">
        <v>1.3631944444444444</v>
      </c>
      <c r="I209" s="30" t="s">
        <v>116</v>
      </c>
      <c r="J209" s="89" t="s">
        <v>1364</v>
      </c>
      <c r="K209" s="30" t="s">
        <v>61</v>
      </c>
      <c r="L209" s="30" t="s">
        <v>1365</v>
      </c>
      <c r="M209" s="30" t="s">
        <v>63</v>
      </c>
      <c r="N209" s="30">
        <v>0</v>
      </c>
      <c r="O209" s="30" t="s">
        <v>90</v>
      </c>
      <c r="P209" s="89" t="s">
        <v>91</v>
      </c>
      <c r="Q209" s="89" t="s">
        <v>66</v>
      </c>
      <c r="R209" s="89" t="s">
        <v>67</v>
      </c>
      <c r="S209" s="30">
        <v>0</v>
      </c>
      <c r="T209" s="233">
        <v>0</v>
      </c>
      <c r="U209" s="30">
        <v>0</v>
      </c>
      <c r="V209" s="233">
        <v>0</v>
      </c>
      <c r="W209" s="30">
        <v>0</v>
      </c>
      <c r="X209" s="30">
        <v>0</v>
      </c>
      <c r="Y209" s="30">
        <v>0</v>
      </c>
      <c r="Z209" s="233">
        <v>1</v>
      </c>
      <c r="AA209" s="30">
        <v>0</v>
      </c>
      <c r="AB209" s="30">
        <v>0</v>
      </c>
      <c r="AC209" s="30">
        <v>0</v>
      </c>
      <c r="AD209" s="30">
        <v>1</v>
      </c>
      <c r="AE209" s="89" t="s">
        <v>68</v>
      </c>
      <c r="AF209" s="89" t="s">
        <v>1366</v>
      </c>
      <c r="AG209" s="89" t="s">
        <v>69</v>
      </c>
      <c r="AH209" s="72" t="s">
        <v>68</v>
      </c>
      <c r="AI209" s="30">
        <v>0</v>
      </c>
      <c r="AJ209" s="89" t="s">
        <v>68</v>
      </c>
      <c r="AK209" s="89" t="s">
        <v>68</v>
      </c>
      <c r="AL209" s="91">
        <v>39190</v>
      </c>
      <c r="AM209" s="91"/>
      <c r="AN209" s="91"/>
      <c r="AO209" s="91"/>
      <c r="AP209" s="73" t="e">
        <f>MID(VLOOKUP(K209,#REF!,2,FALSE),1,2)</f>
        <v>#REF!</v>
      </c>
      <c r="AQ209" s="89">
        <f>DATE(2006,12,15)</f>
        <v>39066</v>
      </c>
      <c r="AR209" s="82">
        <f t="shared" si="18"/>
        <v>15</v>
      </c>
      <c r="AS209" s="83">
        <f t="shared" si="19"/>
        <v>12</v>
      </c>
      <c r="AT209" s="84">
        <f t="shared" si="20"/>
        <v>2006</v>
      </c>
      <c r="AU209" s="86"/>
      <c r="AV209" s="86"/>
      <c r="AW209" s="87"/>
      <c r="AX209" s="86"/>
      <c r="AY209" s="83"/>
      <c r="AZ209" s="84"/>
      <c r="BA209" s="86"/>
      <c r="BB209" s="86"/>
    </row>
    <row r="210" spans="1:54" ht="36.75" customHeight="1">
      <c r="A210" s="30"/>
      <c r="B210" s="30" t="s">
        <v>55</v>
      </c>
      <c r="C210" s="69" t="str">
        <f t="shared" si="17"/>
        <v>Closed</v>
      </c>
      <c r="D210" s="27" t="s">
        <v>1367</v>
      </c>
      <c r="E210" s="29" t="s">
        <v>1368</v>
      </c>
      <c r="F210" s="30" t="s">
        <v>594</v>
      </c>
      <c r="G210" s="89">
        <f>DATE(2006,12,15)</f>
        <v>39066</v>
      </c>
      <c r="H210" s="90">
        <v>1.5013888888888889</v>
      </c>
      <c r="I210" s="30" t="s">
        <v>116</v>
      </c>
      <c r="J210" s="89" t="s">
        <v>1369</v>
      </c>
      <c r="K210" s="30" t="s">
        <v>596</v>
      </c>
      <c r="L210" s="30" t="s">
        <v>1370</v>
      </c>
      <c r="M210" s="30" t="s">
        <v>63</v>
      </c>
      <c r="N210" s="30">
        <v>0</v>
      </c>
      <c r="O210" s="30" t="s">
        <v>64</v>
      </c>
      <c r="P210" s="89" t="s">
        <v>165</v>
      </c>
      <c r="Q210" s="89" t="s">
        <v>598</v>
      </c>
      <c r="R210" s="89" t="s">
        <v>599</v>
      </c>
      <c r="S210" s="30">
        <v>0</v>
      </c>
      <c r="T210" s="233" t="s">
        <v>68</v>
      </c>
      <c r="U210" s="30">
        <v>1</v>
      </c>
      <c r="V210" s="233" t="s">
        <v>68</v>
      </c>
      <c r="W210" s="30">
        <v>0</v>
      </c>
      <c r="X210" s="30">
        <v>1</v>
      </c>
      <c r="Y210" s="30">
        <v>0</v>
      </c>
      <c r="Z210" s="233" t="s">
        <v>68</v>
      </c>
      <c r="AA210" s="30">
        <v>0</v>
      </c>
      <c r="AB210" s="30">
        <v>0</v>
      </c>
      <c r="AC210" s="30">
        <v>0</v>
      </c>
      <c r="AD210" s="30">
        <v>0</v>
      </c>
      <c r="AE210" s="89" t="s">
        <v>68</v>
      </c>
      <c r="AF210" s="89" t="s">
        <v>1371</v>
      </c>
      <c r="AG210" s="89" t="s">
        <v>82</v>
      </c>
      <c r="AH210" s="72" t="s">
        <v>68</v>
      </c>
      <c r="AI210" s="30">
        <v>0</v>
      </c>
      <c r="AJ210" s="89" t="s">
        <v>68</v>
      </c>
      <c r="AK210" s="89" t="s">
        <v>68</v>
      </c>
      <c r="AL210" s="91">
        <v>39231</v>
      </c>
      <c r="AM210" s="91"/>
      <c r="AN210" s="91"/>
      <c r="AO210" s="91"/>
      <c r="AP210" s="73" t="e">
        <f>MID(VLOOKUP(K210,#REF!,2,FALSE),1,2)</f>
        <v>#REF!</v>
      </c>
      <c r="AQ210" s="89">
        <f>DATE(2006,12,15)</f>
        <v>39066</v>
      </c>
      <c r="AR210" s="82">
        <f t="shared" si="18"/>
        <v>15</v>
      </c>
      <c r="AS210" s="83">
        <f t="shared" si="19"/>
        <v>12</v>
      </c>
      <c r="AT210" s="84">
        <f t="shared" si="20"/>
        <v>2006</v>
      </c>
      <c r="AU210" s="86"/>
      <c r="AV210" s="86"/>
      <c r="AW210" s="87"/>
      <c r="AX210" s="86"/>
      <c r="AY210" s="83"/>
      <c r="AZ210" s="84"/>
      <c r="BA210" s="86"/>
      <c r="BB210" s="86"/>
    </row>
    <row r="211" spans="1:54" ht="36.75" customHeight="1">
      <c r="A211" s="30"/>
      <c r="B211" s="30" t="s">
        <v>55</v>
      </c>
      <c r="C211" s="69" t="str">
        <f t="shared" si="17"/>
        <v>Closed</v>
      </c>
      <c r="D211" s="27" t="s">
        <v>1372</v>
      </c>
      <c r="E211" s="29" t="s">
        <v>1373</v>
      </c>
      <c r="F211" s="30" t="s">
        <v>233</v>
      </c>
      <c r="G211" s="89">
        <f>DATE(2006,12,19)</f>
        <v>39070</v>
      </c>
      <c r="H211" s="90">
        <v>1.4861111111111112</v>
      </c>
      <c r="I211" s="30" t="s">
        <v>198</v>
      </c>
      <c r="J211" s="89" t="s">
        <v>1374</v>
      </c>
      <c r="K211" s="30" t="s">
        <v>235</v>
      </c>
      <c r="L211" s="30" t="s">
        <v>1375</v>
      </c>
      <c r="M211" s="30" t="s">
        <v>255</v>
      </c>
      <c r="N211" s="30">
        <v>0</v>
      </c>
      <c r="O211" s="30" t="s">
        <v>64</v>
      </c>
      <c r="P211" s="89" t="s">
        <v>86</v>
      </c>
      <c r="Q211" s="89" t="s">
        <v>800</v>
      </c>
      <c r="R211" s="89" t="s">
        <v>788</v>
      </c>
      <c r="S211" s="30">
        <v>0</v>
      </c>
      <c r="T211" s="233" t="s">
        <v>68</v>
      </c>
      <c r="U211" s="30">
        <v>0</v>
      </c>
      <c r="V211" s="233" t="s">
        <v>68</v>
      </c>
      <c r="W211" s="30">
        <v>0</v>
      </c>
      <c r="X211" s="30">
        <v>0</v>
      </c>
      <c r="Y211" s="30">
        <v>0</v>
      </c>
      <c r="Z211" s="233" t="s">
        <v>68</v>
      </c>
      <c r="AA211" s="30">
        <v>0</v>
      </c>
      <c r="AB211" s="30">
        <v>0</v>
      </c>
      <c r="AC211" s="30">
        <v>0</v>
      </c>
      <c r="AD211" s="30">
        <v>0</v>
      </c>
      <c r="AE211" s="89" t="s">
        <v>68</v>
      </c>
      <c r="AF211" s="89" t="s">
        <v>1376</v>
      </c>
      <c r="AG211" s="89" t="s">
        <v>133</v>
      </c>
      <c r="AH211" s="72" t="s">
        <v>68</v>
      </c>
      <c r="AI211" s="30">
        <v>3</v>
      </c>
      <c r="AJ211" s="89" t="s">
        <v>1377</v>
      </c>
      <c r="AK211" s="89" t="s">
        <v>1378</v>
      </c>
      <c r="AL211" s="91">
        <v>39380</v>
      </c>
      <c r="AM211" s="91"/>
      <c r="AN211" s="91"/>
      <c r="AO211" s="91"/>
      <c r="AP211" s="73" t="e">
        <f>MID(VLOOKUP(K211,#REF!,2,FALSE),1,2)</f>
        <v>#REF!</v>
      </c>
      <c r="AQ211" s="89">
        <f>DATE(2006,12,19)</f>
        <v>39070</v>
      </c>
      <c r="AR211" s="82">
        <f t="shared" si="18"/>
        <v>19</v>
      </c>
      <c r="AS211" s="83">
        <f t="shared" si="19"/>
        <v>12</v>
      </c>
      <c r="AT211" s="84">
        <f t="shared" si="20"/>
        <v>2006</v>
      </c>
      <c r="AU211" s="86"/>
      <c r="AV211" s="86"/>
      <c r="AW211" s="87"/>
      <c r="AX211" s="86"/>
      <c r="AY211" s="83"/>
      <c r="AZ211" s="84"/>
      <c r="BA211" s="86"/>
      <c r="BB211" s="86"/>
    </row>
    <row r="212" spans="1:54" ht="36.75" customHeight="1">
      <c r="A212" s="30"/>
      <c r="B212" s="30" t="s">
        <v>55</v>
      </c>
      <c r="C212" s="69" t="str">
        <f t="shared" si="17"/>
        <v>Closed</v>
      </c>
      <c r="D212" s="27" t="s">
        <v>1379</v>
      </c>
      <c r="E212" s="29" t="s">
        <v>1380</v>
      </c>
      <c r="F212" s="30" t="s">
        <v>594</v>
      </c>
      <c r="G212" s="89">
        <f>DATE(2006,12,20)</f>
        <v>39071</v>
      </c>
      <c r="H212" s="90">
        <v>1.1909722222222223</v>
      </c>
      <c r="I212" s="30" t="s">
        <v>73</v>
      </c>
      <c r="J212" s="89" t="s">
        <v>1381</v>
      </c>
      <c r="K212" s="30" t="s">
        <v>596</v>
      </c>
      <c r="L212" s="30" t="s">
        <v>1382</v>
      </c>
      <c r="M212" s="30" t="s">
        <v>63</v>
      </c>
      <c r="N212" s="30">
        <v>0</v>
      </c>
      <c r="O212" s="30" t="s">
        <v>64</v>
      </c>
      <c r="P212" s="89" t="s">
        <v>78</v>
      </c>
      <c r="Q212" s="89" t="s">
        <v>598</v>
      </c>
      <c r="R212" s="89" t="s">
        <v>599</v>
      </c>
      <c r="S212" s="30">
        <v>0</v>
      </c>
      <c r="T212" s="233" t="s">
        <v>68</v>
      </c>
      <c r="U212" s="30">
        <v>0</v>
      </c>
      <c r="V212" s="233" t="s">
        <v>68</v>
      </c>
      <c r="W212" s="30">
        <v>0</v>
      </c>
      <c r="X212" s="30">
        <v>0</v>
      </c>
      <c r="Y212" s="30">
        <v>0</v>
      </c>
      <c r="Z212" s="233" t="s">
        <v>68</v>
      </c>
      <c r="AA212" s="30">
        <v>0</v>
      </c>
      <c r="AB212" s="30">
        <v>0</v>
      </c>
      <c r="AC212" s="30">
        <v>0</v>
      </c>
      <c r="AD212" s="30">
        <v>0</v>
      </c>
      <c r="AE212" s="89" t="s">
        <v>68</v>
      </c>
      <c r="AF212" s="89" t="s">
        <v>1383</v>
      </c>
      <c r="AG212" s="89" t="s">
        <v>133</v>
      </c>
      <c r="AH212" s="72" t="s">
        <v>68</v>
      </c>
      <c r="AI212" s="30">
        <v>0</v>
      </c>
      <c r="AJ212" s="89" t="s">
        <v>68</v>
      </c>
      <c r="AK212" s="89" t="s">
        <v>68</v>
      </c>
      <c r="AL212" s="91">
        <v>39232</v>
      </c>
      <c r="AM212" s="91"/>
      <c r="AN212" s="91"/>
      <c r="AO212" s="91"/>
      <c r="AP212" s="73" t="e">
        <f>MID(VLOOKUP(K212,#REF!,2,FALSE),1,2)</f>
        <v>#REF!</v>
      </c>
      <c r="AQ212" s="89">
        <f>DATE(2006,12,20)</f>
        <v>39071</v>
      </c>
      <c r="AR212" s="82">
        <f t="shared" si="18"/>
        <v>20</v>
      </c>
      <c r="AS212" s="83">
        <f t="shared" si="19"/>
        <v>12</v>
      </c>
      <c r="AT212" s="84">
        <f t="shared" si="20"/>
        <v>2006</v>
      </c>
      <c r="AU212" s="86"/>
      <c r="AV212" s="86"/>
      <c r="AW212" s="87"/>
      <c r="AX212" s="86"/>
      <c r="AY212" s="83"/>
      <c r="AZ212" s="84"/>
      <c r="BA212" s="86"/>
      <c r="BB212" s="86"/>
    </row>
    <row r="213" spans="1:54" ht="36.75" customHeight="1">
      <c r="A213" s="30"/>
      <c r="B213" s="30" t="s">
        <v>55</v>
      </c>
      <c r="C213" s="69" t="str">
        <f t="shared" si="17"/>
        <v>Closed</v>
      </c>
      <c r="D213" s="27" t="s">
        <v>1384</v>
      </c>
      <c r="E213" s="29" t="s">
        <v>1385</v>
      </c>
      <c r="F213" s="30" t="s">
        <v>423</v>
      </c>
      <c r="G213" s="89">
        <f>DATE(2006,12,26)</f>
        <v>39077</v>
      </c>
      <c r="H213" s="90">
        <v>1.8027777777777776</v>
      </c>
      <c r="I213" s="30" t="s">
        <v>278</v>
      </c>
      <c r="J213" s="89" t="s">
        <v>1386</v>
      </c>
      <c r="K213" s="30" t="s">
        <v>425</v>
      </c>
      <c r="L213" s="30" t="s">
        <v>1387</v>
      </c>
      <c r="M213" s="30" t="s">
        <v>63</v>
      </c>
      <c r="N213" s="30">
        <v>0</v>
      </c>
      <c r="O213" s="30" t="s">
        <v>77</v>
      </c>
      <c r="P213" s="89" t="s">
        <v>65</v>
      </c>
      <c r="Q213" s="89" t="s">
        <v>989</v>
      </c>
      <c r="R213" s="89" t="s">
        <v>989</v>
      </c>
      <c r="S213" s="30">
        <v>1</v>
      </c>
      <c r="T213" s="233">
        <v>0</v>
      </c>
      <c r="U213" s="30">
        <v>0</v>
      </c>
      <c r="V213" s="233">
        <v>0</v>
      </c>
      <c r="W213" s="30">
        <v>0</v>
      </c>
      <c r="X213" s="30">
        <v>1</v>
      </c>
      <c r="Y213" s="30">
        <v>0</v>
      </c>
      <c r="Z213" s="233">
        <v>0</v>
      </c>
      <c r="AA213" s="30">
        <v>0</v>
      </c>
      <c r="AB213" s="30">
        <v>0</v>
      </c>
      <c r="AC213" s="30">
        <v>0</v>
      </c>
      <c r="AD213" s="30">
        <v>0</v>
      </c>
      <c r="AE213" s="89" t="s">
        <v>68</v>
      </c>
      <c r="AF213" s="89" t="s">
        <v>68</v>
      </c>
      <c r="AG213" s="89" t="s">
        <v>133</v>
      </c>
      <c r="AH213" s="72" t="s">
        <v>68</v>
      </c>
      <c r="AI213" s="30">
        <v>0</v>
      </c>
      <c r="AJ213" s="89" t="s">
        <v>1388</v>
      </c>
      <c r="AK213" s="89" t="s">
        <v>68</v>
      </c>
      <c r="AL213" s="91">
        <v>39280</v>
      </c>
      <c r="AM213" s="91"/>
      <c r="AN213" s="91"/>
      <c r="AO213" s="91"/>
      <c r="AP213" s="73" t="e">
        <f>MID(VLOOKUP(K213,#REF!,2,FALSE),1,2)</f>
        <v>#REF!</v>
      </c>
      <c r="AQ213" s="89">
        <f>DATE(2006,12,26)</f>
        <v>39077</v>
      </c>
      <c r="AR213" s="82">
        <f t="shared" si="18"/>
        <v>26</v>
      </c>
      <c r="AS213" s="83">
        <f t="shared" si="19"/>
        <v>12</v>
      </c>
      <c r="AT213" s="84">
        <f t="shared" si="20"/>
        <v>2006</v>
      </c>
      <c r="AU213" s="86"/>
      <c r="AV213" s="86"/>
      <c r="AW213" s="87"/>
      <c r="AX213" s="86"/>
      <c r="AY213" s="83"/>
      <c r="AZ213" s="84"/>
      <c r="BA213" s="86"/>
      <c r="BB213" s="86"/>
    </row>
    <row r="214" spans="1:54" ht="36.75" customHeight="1">
      <c r="A214" s="30"/>
      <c r="B214" s="30" t="s">
        <v>55</v>
      </c>
      <c r="C214" s="69" t="str">
        <f t="shared" si="17"/>
        <v>Closed</v>
      </c>
      <c r="D214" s="27" t="s">
        <v>1389</v>
      </c>
      <c r="E214" s="29" t="s">
        <v>1390</v>
      </c>
      <c r="F214" s="30" t="s">
        <v>638</v>
      </c>
      <c r="G214" s="89">
        <f>DATE(2006,12,27)</f>
        <v>39078</v>
      </c>
      <c r="H214" s="90">
        <v>1.8548611111111111</v>
      </c>
      <c r="I214" s="30" t="s">
        <v>116</v>
      </c>
      <c r="J214" s="89" t="s">
        <v>1391</v>
      </c>
      <c r="K214" s="30" t="s">
        <v>640</v>
      </c>
      <c r="L214" s="30" t="s">
        <v>1392</v>
      </c>
      <c r="M214" s="30" t="s">
        <v>63</v>
      </c>
      <c r="N214" s="30">
        <v>0</v>
      </c>
      <c r="O214" s="30" t="s">
        <v>64</v>
      </c>
      <c r="P214" s="89" t="s">
        <v>65</v>
      </c>
      <c r="Q214" s="89" t="s">
        <v>642</v>
      </c>
      <c r="R214" s="89" t="s">
        <v>643</v>
      </c>
      <c r="S214" s="30">
        <v>0</v>
      </c>
      <c r="T214" s="233">
        <v>0</v>
      </c>
      <c r="U214" s="30">
        <v>1</v>
      </c>
      <c r="V214" s="233">
        <v>0</v>
      </c>
      <c r="W214" s="30">
        <v>0</v>
      </c>
      <c r="X214" s="30">
        <v>1</v>
      </c>
      <c r="Y214" s="30">
        <v>0</v>
      </c>
      <c r="Z214" s="233">
        <v>0</v>
      </c>
      <c r="AA214" s="30">
        <v>0</v>
      </c>
      <c r="AB214" s="30">
        <v>0</v>
      </c>
      <c r="AC214" s="30">
        <v>0</v>
      </c>
      <c r="AD214" s="30">
        <v>0</v>
      </c>
      <c r="AE214" s="89" t="s">
        <v>68</v>
      </c>
      <c r="AF214" s="89" t="s">
        <v>68</v>
      </c>
      <c r="AG214" s="89" t="s">
        <v>248</v>
      </c>
      <c r="AH214" s="72" t="s">
        <v>68</v>
      </c>
      <c r="AI214" s="30">
        <v>1</v>
      </c>
      <c r="AJ214" s="89" t="s">
        <v>68</v>
      </c>
      <c r="AK214" s="89" t="s">
        <v>68</v>
      </c>
      <c r="AL214" s="91">
        <v>39106</v>
      </c>
      <c r="AM214" s="91"/>
      <c r="AN214" s="91"/>
      <c r="AO214" s="91"/>
      <c r="AP214" s="73" t="e">
        <f>MID(VLOOKUP(K214,#REF!,2,FALSE),1,2)</f>
        <v>#REF!</v>
      </c>
      <c r="AQ214" s="89">
        <f>DATE(2006,12,27)</f>
        <v>39078</v>
      </c>
      <c r="AR214" s="82">
        <f t="shared" si="18"/>
        <v>27</v>
      </c>
      <c r="AS214" s="83">
        <f t="shared" si="19"/>
        <v>12</v>
      </c>
      <c r="AT214" s="84">
        <f t="shared" si="20"/>
        <v>2006</v>
      </c>
      <c r="AU214" s="86"/>
      <c r="AV214" s="86"/>
      <c r="AW214" s="87"/>
      <c r="AX214" s="86"/>
      <c r="AY214" s="83"/>
      <c r="AZ214" s="84"/>
      <c r="BA214" s="86"/>
      <c r="BB214" s="86"/>
    </row>
    <row r="215" spans="1:54" ht="36.75" customHeight="1">
      <c r="A215" s="30"/>
      <c r="B215" s="30" t="s">
        <v>55</v>
      </c>
      <c r="C215" s="69" t="str">
        <f t="shared" si="17"/>
        <v>Closed</v>
      </c>
      <c r="D215" s="27" t="s">
        <v>1393</v>
      </c>
      <c r="E215" s="29" t="s">
        <v>1394</v>
      </c>
      <c r="F215" s="30" t="s">
        <v>835</v>
      </c>
      <c r="G215" s="89">
        <f>DATE(2006,12,27)</f>
        <v>39078</v>
      </c>
      <c r="H215" s="90">
        <v>1.7937500000000002</v>
      </c>
      <c r="I215" s="30" t="s">
        <v>73</v>
      </c>
      <c r="J215" s="89" t="s">
        <v>1395</v>
      </c>
      <c r="K215" s="30" t="s">
        <v>837</v>
      </c>
      <c r="L215" s="30" t="s">
        <v>1396</v>
      </c>
      <c r="M215" s="30" t="s">
        <v>63</v>
      </c>
      <c r="N215" s="30">
        <v>0</v>
      </c>
      <c r="O215" s="30" t="s">
        <v>64</v>
      </c>
      <c r="P215" s="89" t="s">
        <v>78</v>
      </c>
      <c r="Q215" s="89" t="s">
        <v>1397</v>
      </c>
      <c r="R215" s="89" t="s">
        <v>840</v>
      </c>
      <c r="S215" s="30">
        <v>0</v>
      </c>
      <c r="T215" s="233" t="s">
        <v>68</v>
      </c>
      <c r="U215" s="30">
        <v>0</v>
      </c>
      <c r="V215" s="233" t="s">
        <v>68</v>
      </c>
      <c r="W215" s="30">
        <v>0</v>
      </c>
      <c r="X215" s="30">
        <v>0</v>
      </c>
      <c r="Y215" s="30">
        <v>0</v>
      </c>
      <c r="Z215" s="233" t="s">
        <v>68</v>
      </c>
      <c r="AA215" s="30">
        <v>0</v>
      </c>
      <c r="AB215" s="30">
        <v>0</v>
      </c>
      <c r="AC215" s="30">
        <v>0</v>
      </c>
      <c r="AD215" s="30">
        <v>0</v>
      </c>
      <c r="AE215" s="89" t="s">
        <v>68</v>
      </c>
      <c r="AF215" s="89" t="s">
        <v>1398</v>
      </c>
      <c r="AG215" s="89" t="s">
        <v>133</v>
      </c>
      <c r="AH215" s="72" t="s">
        <v>68</v>
      </c>
      <c r="AI215" s="30">
        <v>1</v>
      </c>
      <c r="AJ215" s="89" t="s">
        <v>68</v>
      </c>
      <c r="AK215" s="89" t="s">
        <v>68</v>
      </c>
      <c r="AL215" s="91">
        <v>39388</v>
      </c>
      <c r="AM215" s="91"/>
      <c r="AN215" s="91"/>
      <c r="AO215" s="91"/>
      <c r="AP215" s="73" t="e">
        <f>MID(VLOOKUP(K215,#REF!,2,FALSE),1,2)</f>
        <v>#REF!</v>
      </c>
      <c r="AQ215" s="89">
        <f>DATE(2006,12,27)</f>
        <v>39078</v>
      </c>
      <c r="AR215" s="82">
        <f t="shared" si="18"/>
        <v>27</v>
      </c>
      <c r="AS215" s="83">
        <f t="shared" si="19"/>
        <v>12</v>
      </c>
      <c r="AT215" s="84">
        <f t="shared" si="20"/>
        <v>2006</v>
      </c>
      <c r="AU215" s="86"/>
      <c r="AV215" s="86"/>
      <c r="AW215" s="87"/>
      <c r="AX215" s="86"/>
      <c r="AY215" s="83"/>
      <c r="AZ215" s="84"/>
      <c r="BA215" s="86"/>
      <c r="BB215" s="86"/>
    </row>
    <row r="216" spans="1:54" ht="36.75" customHeight="1">
      <c r="A216" s="30"/>
      <c r="B216" s="30" t="s">
        <v>55</v>
      </c>
      <c r="C216" s="69" t="str">
        <f t="shared" si="17"/>
        <v>Closed</v>
      </c>
      <c r="D216" s="27" t="s">
        <v>1399</v>
      </c>
      <c r="E216" s="29" t="s">
        <v>1400</v>
      </c>
      <c r="F216" s="30" t="s">
        <v>197</v>
      </c>
      <c r="G216" s="89">
        <f>DATE(2006,12,29)</f>
        <v>39080</v>
      </c>
      <c r="H216" s="90">
        <v>1.4222222222222223</v>
      </c>
      <c r="I216" s="30" t="s">
        <v>278</v>
      </c>
      <c r="J216" s="89" t="s">
        <v>1401</v>
      </c>
      <c r="K216" s="30" t="s">
        <v>200</v>
      </c>
      <c r="L216" s="30" t="s">
        <v>1402</v>
      </c>
      <c r="M216" s="30" t="s">
        <v>63</v>
      </c>
      <c r="N216" s="30">
        <v>0</v>
      </c>
      <c r="O216" s="30" t="s">
        <v>64</v>
      </c>
      <c r="P216" s="89" t="s">
        <v>65</v>
      </c>
      <c r="Q216" s="89" t="s">
        <v>202</v>
      </c>
      <c r="R216" s="89" t="s">
        <v>203</v>
      </c>
      <c r="S216" s="30">
        <v>0</v>
      </c>
      <c r="T216" s="233">
        <v>0</v>
      </c>
      <c r="U216" s="30">
        <v>0</v>
      </c>
      <c r="V216" s="233">
        <v>0</v>
      </c>
      <c r="W216" s="30">
        <v>3</v>
      </c>
      <c r="X216" s="30">
        <v>3</v>
      </c>
      <c r="Y216" s="30">
        <v>0</v>
      </c>
      <c r="Z216" s="233">
        <v>0</v>
      </c>
      <c r="AA216" s="30">
        <v>0</v>
      </c>
      <c r="AB216" s="30">
        <v>0</v>
      </c>
      <c r="AC216" s="30">
        <v>0</v>
      </c>
      <c r="AD216" s="30">
        <v>0</v>
      </c>
      <c r="AE216" s="89" t="s">
        <v>68</v>
      </c>
      <c r="AF216" s="89" t="s">
        <v>68</v>
      </c>
      <c r="AG216" s="89" t="s">
        <v>82</v>
      </c>
      <c r="AH216" s="72" t="s">
        <v>68</v>
      </c>
      <c r="AI216" s="30">
        <v>6</v>
      </c>
      <c r="AJ216" s="89" t="s">
        <v>68</v>
      </c>
      <c r="AK216" s="89" t="s">
        <v>68</v>
      </c>
      <c r="AL216" s="91">
        <v>39771</v>
      </c>
      <c r="AM216" s="91"/>
      <c r="AN216" s="91"/>
      <c r="AO216" s="91"/>
      <c r="AP216" s="73" t="e">
        <f>MID(VLOOKUP(K216,#REF!,2,FALSE),1,2)</f>
        <v>#REF!</v>
      </c>
      <c r="AQ216" s="89">
        <f>DATE(2006,12,29)</f>
        <v>39080</v>
      </c>
      <c r="AR216" s="82">
        <f t="shared" si="18"/>
        <v>29</v>
      </c>
      <c r="AS216" s="83">
        <f t="shared" si="19"/>
        <v>12</v>
      </c>
      <c r="AT216" s="84">
        <f t="shared" si="20"/>
        <v>2006</v>
      </c>
      <c r="AU216" s="86"/>
      <c r="AV216" s="86"/>
      <c r="AW216" s="87"/>
      <c r="AX216" s="86"/>
      <c r="AY216" s="83"/>
      <c r="AZ216" s="84"/>
      <c r="BA216" s="86"/>
      <c r="BB216" s="86"/>
    </row>
    <row r="217" spans="1:54" ht="36.75" customHeight="1">
      <c r="A217" s="30"/>
      <c r="B217" s="30" t="s">
        <v>55</v>
      </c>
      <c r="C217" s="69" t="str">
        <f t="shared" si="17"/>
        <v>Closed</v>
      </c>
      <c r="D217" s="27" t="s">
        <v>1403</v>
      </c>
      <c r="E217" s="29" t="s">
        <v>1404</v>
      </c>
      <c r="F217" s="30" t="s">
        <v>638</v>
      </c>
      <c r="G217" s="89">
        <f>DATE(2006,12,31)</f>
        <v>39082</v>
      </c>
      <c r="H217" s="90">
        <v>1.8055555555555554</v>
      </c>
      <c r="I217" s="30" t="s">
        <v>278</v>
      </c>
      <c r="J217" s="89" t="s">
        <v>1405</v>
      </c>
      <c r="K217" s="30" t="s">
        <v>640</v>
      </c>
      <c r="L217" s="30" t="s">
        <v>1406</v>
      </c>
      <c r="M217" s="30" t="s">
        <v>63</v>
      </c>
      <c r="N217" s="30">
        <v>0</v>
      </c>
      <c r="O217" s="30" t="s">
        <v>86</v>
      </c>
      <c r="P217" s="89" t="s">
        <v>86</v>
      </c>
      <c r="Q217" s="89" t="s">
        <v>642</v>
      </c>
      <c r="R217" s="89" t="s">
        <v>643</v>
      </c>
      <c r="S217" s="30">
        <v>0</v>
      </c>
      <c r="T217" s="233">
        <v>0</v>
      </c>
      <c r="U217" s="30">
        <v>0</v>
      </c>
      <c r="V217" s="233">
        <v>1</v>
      </c>
      <c r="W217" s="30">
        <v>0</v>
      </c>
      <c r="X217" s="30">
        <v>1</v>
      </c>
      <c r="Y217" s="30">
        <v>0</v>
      </c>
      <c r="Z217" s="233">
        <v>0</v>
      </c>
      <c r="AA217" s="30">
        <v>0</v>
      </c>
      <c r="AB217" s="30">
        <v>0</v>
      </c>
      <c r="AC217" s="30">
        <v>0</v>
      </c>
      <c r="AD217" s="30">
        <v>0</v>
      </c>
      <c r="AE217" s="89" t="s">
        <v>68</v>
      </c>
      <c r="AF217" s="89" t="s">
        <v>68</v>
      </c>
      <c r="AG217" s="89" t="s">
        <v>248</v>
      </c>
      <c r="AH217" s="72" t="s">
        <v>68</v>
      </c>
      <c r="AI217" s="30">
        <v>2</v>
      </c>
      <c r="AJ217" s="89" t="s">
        <v>68</v>
      </c>
      <c r="AK217" s="89" t="s">
        <v>68</v>
      </c>
      <c r="AL217" s="91">
        <v>39106</v>
      </c>
      <c r="AM217" s="91"/>
      <c r="AN217" s="91"/>
      <c r="AO217" s="91"/>
      <c r="AP217" s="73" t="e">
        <f>MID(VLOOKUP(K217,#REF!,2,FALSE),1,2)</f>
        <v>#REF!</v>
      </c>
      <c r="AQ217" s="89">
        <f>DATE(2006,12,31)</f>
        <v>39082</v>
      </c>
      <c r="AR217" s="82">
        <f t="shared" si="18"/>
        <v>31</v>
      </c>
      <c r="AS217" s="83">
        <f t="shared" si="19"/>
        <v>12</v>
      </c>
      <c r="AT217" s="84">
        <f t="shared" si="20"/>
        <v>2006</v>
      </c>
      <c r="AU217" s="86"/>
      <c r="AV217" s="86"/>
      <c r="AW217" s="87"/>
      <c r="AX217" s="86"/>
      <c r="AY217" s="83"/>
      <c r="AZ217" s="84"/>
      <c r="BA217" s="86"/>
      <c r="BB217" s="86"/>
    </row>
    <row r="218" spans="1:54" ht="36.75" customHeight="1">
      <c r="A218" s="30"/>
      <c r="B218" s="30" t="s">
        <v>55</v>
      </c>
      <c r="C218" s="69" t="str">
        <f t="shared" si="17"/>
        <v>Closed</v>
      </c>
      <c r="D218" s="27" t="s">
        <v>1407</v>
      </c>
      <c r="E218" s="29" t="s">
        <v>1408</v>
      </c>
      <c r="F218" s="30" t="s">
        <v>638</v>
      </c>
      <c r="G218" s="89">
        <f>DATE(2007,1,11)</f>
        <v>39093</v>
      </c>
      <c r="H218" s="90">
        <v>1.7715277777777776</v>
      </c>
      <c r="I218" s="30" t="s">
        <v>278</v>
      </c>
      <c r="J218" s="89" t="s">
        <v>1409</v>
      </c>
      <c r="K218" s="30" t="s">
        <v>640</v>
      </c>
      <c r="L218" s="30" t="s">
        <v>1410</v>
      </c>
      <c r="M218" s="30" t="s">
        <v>63</v>
      </c>
      <c r="N218" s="30">
        <v>0</v>
      </c>
      <c r="O218" s="30" t="s">
        <v>86</v>
      </c>
      <c r="P218" s="89" t="s">
        <v>65</v>
      </c>
      <c r="Q218" s="89" t="s">
        <v>642</v>
      </c>
      <c r="R218" s="89" t="s">
        <v>643</v>
      </c>
      <c r="S218" s="30">
        <v>0</v>
      </c>
      <c r="T218" s="233">
        <v>0</v>
      </c>
      <c r="U218" s="30">
        <v>0</v>
      </c>
      <c r="V218" s="233">
        <v>1</v>
      </c>
      <c r="W218" s="30">
        <v>0</v>
      </c>
      <c r="X218" s="30">
        <v>1</v>
      </c>
      <c r="Y218" s="30">
        <v>0</v>
      </c>
      <c r="Z218" s="233">
        <v>0</v>
      </c>
      <c r="AA218" s="30">
        <v>0</v>
      </c>
      <c r="AB218" s="30">
        <v>0</v>
      </c>
      <c r="AC218" s="30">
        <v>0</v>
      </c>
      <c r="AD218" s="30">
        <v>0</v>
      </c>
      <c r="AE218" s="89" t="s">
        <v>68</v>
      </c>
      <c r="AF218" s="89" t="s">
        <v>68</v>
      </c>
      <c r="AG218" s="89" t="s">
        <v>248</v>
      </c>
      <c r="AH218" s="72" t="s">
        <v>68</v>
      </c>
      <c r="AI218" s="30">
        <v>3</v>
      </c>
      <c r="AJ218" s="89" t="s">
        <v>68</v>
      </c>
      <c r="AK218" s="89" t="s">
        <v>68</v>
      </c>
      <c r="AL218" s="91">
        <v>39227</v>
      </c>
      <c r="AM218" s="91"/>
      <c r="AN218" s="91"/>
      <c r="AO218" s="91"/>
      <c r="AP218" s="73" t="e">
        <f>MID(VLOOKUP(K218,#REF!,2,FALSE),1,2)</f>
        <v>#REF!</v>
      </c>
      <c r="AQ218" s="89">
        <f>DATE(2007,1,11)</f>
        <v>39093</v>
      </c>
      <c r="AR218" s="82">
        <f t="shared" si="18"/>
        <v>11</v>
      </c>
      <c r="AS218" s="83">
        <f t="shared" si="19"/>
        <v>1</v>
      </c>
      <c r="AT218" s="84">
        <f t="shared" si="20"/>
        <v>2007</v>
      </c>
      <c r="AU218" s="86"/>
      <c r="AV218" s="86"/>
      <c r="AW218" s="87"/>
      <c r="AX218" s="86"/>
      <c r="AY218" s="83"/>
      <c r="AZ218" s="84"/>
      <c r="BA218" s="86"/>
      <c r="BB218" s="86"/>
    </row>
    <row r="219" spans="1:54" ht="36.75" customHeight="1">
      <c r="A219" s="30"/>
      <c r="B219" s="30" t="s">
        <v>55</v>
      </c>
      <c r="C219" s="69" t="str">
        <f t="shared" si="17"/>
        <v>Closed</v>
      </c>
      <c r="D219" s="27" t="s">
        <v>1411</v>
      </c>
      <c r="E219" s="29" t="s">
        <v>1412</v>
      </c>
      <c r="F219" s="30" t="s">
        <v>423</v>
      </c>
      <c r="G219" s="89">
        <f>DATE(2007,1,12)</f>
        <v>39094</v>
      </c>
      <c r="H219" s="90">
        <v>1.7430555555555554</v>
      </c>
      <c r="I219" s="30" t="s">
        <v>116</v>
      </c>
      <c r="J219" s="89" t="s">
        <v>1413</v>
      </c>
      <c r="K219" s="30" t="s">
        <v>425</v>
      </c>
      <c r="L219" s="30" t="s">
        <v>1414</v>
      </c>
      <c r="M219" s="30" t="s">
        <v>63</v>
      </c>
      <c r="N219" s="30">
        <v>0</v>
      </c>
      <c r="O219" s="30" t="s">
        <v>86</v>
      </c>
      <c r="P219" s="89" t="s">
        <v>91</v>
      </c>
      <c r="Q219" s="89" t="s">
        <v>1415</v>
      </c>
      <c r="R219" s="89" t="s">
        <v>1415</v>
      </c>
      <c r="S219" s="30">
        <v>0</v>
      </c>
      <c r="T219" s="233">
        <v>0</v>
      </c>
      <c r="U219" s="30">
        <v>0</v>
      </c>
      <c r="V219" s="233">
        <v>0</v>
      </c>
      <c r="W219" s="30">
        <v>0</v>
      </c>
      <c r="X219" s="30">
        <v>0</v>
      </c>
      <c r="Y219" s="30">
        <v>0</v>
      </c>
      <c r="Z219" s="233">
        <v>0</v>
      </c>
      <c r="AA219" s="30">
        <v>1</v>
      </c>
      <c r="AB219" s="30">
        <v>0</v>
      </c>
      <c r="AC219" s="30">
        <v>0</v>
      </c>
      <c r="AD219" s="30">
        <v>1</v>
      </c>
      <c r="AE219" s="89" t="s">
        <v>68</v>
      </c>
      <c r="AF219" s="89" t="s">
        <v>1416</v>
      </c>
      <c r="AG219" s="89" t="s">
        <v>1417</v>
      </c>
      <c r="AH219" s="72" t="s">
        <v>68</v>
      </c>
      <c r="AI219" s="30">
        <v>0</v>
      </c>
      <c r="AJ219" s="89" t="s">
        <v>68</v>
      </c>
      <c r="AK219" s="89" t="s">
        <v>68</v>
      </c>
      <c r="AL219" s="91">
        <v>39781</v>
      </c>
      <c r="AM219" s="91"/>
      <c r="AN219" s="91"/>
      <c r="AO219" s="91"/>
      <c r="AP219" s="73" t="e">
        <f>MID(VLOOKUP(K219,#REF!,2,FALSE),1,2)</f>
        <v>#REF!</v>
      </c>
      <c r="AQ219" s="89">
        <f>DATE(2007,1,12)</f>
        <v>39094</v>
      </c>
      <c r="AR219" s="82">
        <f t="shared" si="18"/>
        <v>12</v>
      </c>
      <c r="AS219" s="83">
        <f t="shared" si="19"/>
        <v>1</v>
      </c>
      <c r="AT219" s="84">
        <f t="shared" si="20"/>
        <v>2007</v>
      </c>
      <c r="AU219" s="86"/>
      <c r="AV219" s="86"/>
      <c r="AW219" s="87"/>
      <c r="AX219" s="86"/>
      <c r="AY219" s="83"/>
      <c r="AZ219" s="84"/>
      <c r="BA219" s="86"/>
      <c r="BB219" s="86"/>
    </row>
    <row r="220" spans="1:54" ht="36.75" customHeight="1">
      <c r="A220" s="30"/>
      <c r="B220" s="30" t="s">
        <v>55</v>
      </c>
      <c r="C220" s="69" t="str">
        <f t="shared" si="17"/>
        <v>Closed</v>
      </c>
      <c r="D220" s="27" t="s">
        <v>1418</v>
      </c>
      <c r="E220" s="29" t="s">
        <v>1419</v>
      </c>
      <c r="F220" s="30" t="s">
        <v>233</v>
      </c>
      <c r="G220" s="89">
        <f>DATE(2007,1,13)</f>
        <v>39095</v>
      </c>
      <c r="H220" s="90">
        <v>1.5208333333333335</v>
      </c>
      <c r="I220" s="30" t="s">
        <v>156</v>
      </c>
      <c r="J220" s="89" t="s">
        <v>1420</v>
      </c>
      <c r="K220" s="30" t="s">
        <v>235</v>
      </c>
      <c r="L220" s="30" t="s">
        <v>1421</v>
      </c>
      <c r="M220" s="30" t="s">
        <v>63</v>
      </c>
      <c r="N220" s="30">
        <v>0</v>
      </c>
      <c r="O220" s="30" t="s">
        <v>64</v>
      </c>
      <c r="P220" s="89" t="s">
        <v>165</v>
      </c>
      <c r="Q220" s="89" t="s">
        <v>372</v>
      </c>
      <c r="R220" s="89" t="s">
        <v>238</v>
      </c>
      <c r="S220" s="30">
        <v>0</v>
      </c>
      <c r="T220" s="233" t="s">
        <v>68</v>
      </c>
      <c r="U220" s="30">
        <v>0</v>
      </c>
      <c r="V220" s="233" t="s">
        <v>68</v>
      </c>
      <c r="W220" s="30">
        <v>0</v>
      </c>
      <c r="X220" s="30">
        <v>0</v>
      </c>
      <c r="Y220" s="30">
        <v>0</v>
      </c>
      <c r="Z220" s="233" t="s">
        <v>68</v>
      </c>
      <c r="AA220" s="30">
        <v>0</v>
      </c>
      <c r="AB220" s="30">
        <v>0</v>
      </c>
      <c r="AC220" s="30">
        <v>0</v>
      </c>
      <c r="AD220" s="30">
        <v>0</v>
      </c>
      <c r="AE220" s="89" t="s">
        <v>68</v>
      </c>
      <c r="AF220" s="89" t="s">
        <v>68</v>
      </c>
      <c r="AG220" s="89" t="s">
        <v>133</v>
      </c>
      <c r="AH220" s="72" t="s">
        <v>68</v>
      </c>
      <c r="AI220" s="30">
        <v>9</v>
      </c>
      <c r="AJ220" s="89" t="s">
        <v>1422</v>
      </c>
      <c r="AK220" s="89" t="s">
        <v>1423</v>
      </c>
      <c r="AL220" s="91">
        <v>39225</v>
      </c>
      <c r="AM220" s="91"/>
      <c r="AN220" s="91"/>
      <c r="AO220" s="91"/>
      <c r="AP220" s="73" t="e">
        <f>MID(VLOOKUP(K220,#REF!,2,FALSE),1,2)</f>
        <v>#REF!</v>
      </c>
      <c r="AQ220" s="89">
        <f>DATE(2007,1,13)</f>
        <v>39095</v>
      </c>
      <c r="AR220" s="82">
        <f t="shared" si="18"/>
        <v>13</v>
      </c>
      <c r="AS220" s="83">
        <f t="shared" si="19"/>
        <v>1</v>
      </c>
      <c r="AT220" s="84">
        <f t="shared" si="20"/>
        <v>2007</v>
      </c>
      <c r="AU220" s="86"/>
      <c r="AV220" s="86"/>
      <c r="AW220" s="87"/>
      <c r="AX220" s="86"/>
      <c r="AY220" s="83"/>
      <c r="AZ220" s="84"/>
      <c r="BA220" s="86"/>
      <c r="BB220" s="86"/>
    </row>
    <row r="221" spans="1:54" ht="36.75" customHeight="1">
      <c r="A221" s="30"/>
      <c r="B221" s="30" t="s">
        <v>55</v>
      </c>
      <c r="C221" s="69" t="str">
        <f t="shared" si="17"/>
        <v>Closed</v>
      </c>
      <c r="D221" s="27" t="s">
        <v>1424</v>
      </c>
      <c r="E221" s="29" t="s">
        <v>1425</v>
      </c>
      <c r="F221" s="30" t="s">
        <v>233</v>
      </c>
      <c r="G221" s="89">
        <f>DATE(2007,1,15)</f>
        <v>39097</v>
      </c>
      <c r="H221" s="90">
        <v>1.9263888888888889</v>
      </c>
      <c r="I221" s="30" t="s">
        <v>156</v>
      </c>
      <c r="J221" s="89" t="s">
        <v>1426</v>
      </c>
      <c r="K221" s="30" t="s">
        <v>235</v>
      </c>
      <c r="L221" s="30" t="s">
        <v>1427</v>
      </c>
      <c r="M221" s="30" t="s">
        <v>63</v>
      </c>
      <c r="N221" s="30">
        <v>0</v>
      </c>
      <c r="O221" s="30" t="s">
        <v>64</v>
      </c>
      <c r="P221" s="89" t="s">
        <v>165</v>
      </c>
      <c r="Q221" s="89" t="s">
        <v>1428</v>
      </c>
      <c r="R221" s="89" t="s">
        <v>238</v>
      </c>
      <c r="S221" s="30">
        <v>0</v>
      </c>
      <c r="T221" s="233" t="s">
        <v>68</v>
      </c>
      <c r="U221" s="30">
        <v>0</v>
      </c>
      <c r="V221" s="233" t="s">
        <v>68</v>
      </c>
      <c r="W221" s="30">
        <v>0</v>
      </c>
      <c r="X221" s="30">
        <v>0</v>
      </c>
      <c r="Y221" s="30">
        <v>0</v>
      </c>
      <c r="Z221" s="233" t="s">
        <v>68</v>
      </c>
      <c r="AA221" s="30">
        <v>0</v>
      </c>
      <c r="AB221" s="30">
        <v>0</v>
      </c>
      <c r="AC221" s="30">
        <v>0</v>
      </c>
      <c r="AD221" s="30">
        <v>0</v>
      </c>
      <c r="AE221" s="89" t="s">
        <v>68</v>
      </c>
      <c r="AF221" s="89" t="s">
        <v>68</v>
      </c>
      <c r="AG221" s="89" t="s">
        <v>133</v>
      </c>
      <c r="AH221" s="72" t="s">
        <v>68</v>
      </c>
      <c r="AI221" s="30">
        <v>2</v>
      </c>
      <c r="AJ221" s="89" t="s">
        <v>1429</v>
      </c>
      <c r="AK221" s="89" t="s">
        <v>1430</v>
      </c>
      <c r="AL221" s="91">
        <v>39682</v>
      </c>
      <c r="AM221" s="91"/>
      <c r="AN221" s="91"/>
      <c r="AO221" s="91"/>
      <c r="AP221" s="73" t="e">
        <f>MID(VLOOKUP(K221,#REF!,2,FALSE),1,2)</f>
        <v>#REF!</v>
      </c>
      <c r="AQ221" s="89">
        <f>DATE(2007,1,15)</f>
        <v>39097</v>
      </c>
      <c r="AR221" s="82">
        <f t="shared" si="18"/>
        <v>15</v>
      </c>
      <c r="AS221" s="83">
        <f t="shared" si="19"/>
        <v>1</v>
      </c>
      <c r="AT221" s="84">
        <f t="shared" si="20"/>
        <v>2007</v>
      </c>
      <c r="AU221" s="86"/>
      <c r="AV221" s="86"/>
      <c r="AW221" s="87"/>
      <c r="AX221" s="86"/>
      <c r="AY221" s="83"/>
      <c r="AZ221" s="84"/>
      <c r="BA221" s="86"/>
      <c r="BB221" s="86"/>
    </row>
    <row r="222" spans="1:54" ht="36.75" customHeight="1">
      <c r="A222" s="30"/>
      <c r="B222" s="30" t="s">
        <v>55</v>
      </c>
      <c r="C222" s="69" t="str">
        <f t="shared" si="17"/>
        <v>Closed</v>
      </c>
      <c r="D222" s="27" t="s">
        <v>1431</v>
      </c>
      <c r="E222" s="29" t="s">
        <v>1432</v>
      </c>
      <c r="F222" s="30" t="s">
        <v>638</v>
      </c>
      <c r="G222" s="89">
        <f>DATE(2007,1,17)</f>
        <v>39099</v>
      </c>
      <c r="H222" s="90">
        <v>1.4583333333333333</v>
      </c>
      <c r="I222" s="30" t="s">
        <v>278</v>
      </c>
      <c r="J222" s="89" t="s">
        <v>1433</v>
      </c>
      <c r="K222" s="30" t="s">
        <v>640</v>
      </c>
      <c r="L222" s="30" t="s">
        <v>1434</v>
      </c>
      <c r="M222" s="30" t="s">
        <v>63</v>
      </c>
      <c r="N222" s="30">
        <v>0</v>
      </c>
      <c r="O222" s="30" t="s">
        <v>77</v>
      </c>
      <c r="P222" s="89" t="s">
        <v>78</v>
      </c>
      <c r="Q222" s="89" t="s">
        <v>642</v>
      </c>
      <c r="R222" s="89" t="s">
        <v>643</v>
      </c>
      <c r="S222" s="30">
        <v>0</v>
      </c>
      <c r="T222" s="233">
        <v>0</v>
      </c>
      <c r="U222" s="30">
        <v>0</v>
      </c>
      <c r="V222" s="233">
        <v>1</v>
      </c>
      <c r="W222" s="30">
        <v>0</v>
      </c>
      <c r="X222" s="30">
        <v>1</v>
      </c>
      <c r="Y222" s="30">
        <v>0</v>
      </c>
      <c r="Z222" s="233">
        <v>0</v>
      </c>
      <c r="AA222" s="30">
        <v>0</v>
      </c>
      <c r="AB222" s="30">
        <v>0</v>
      </c>
      <c r="AC222" s="30">
        <v>0</v>
      </c>
      <c r="AD222" s="30">
        <v>0</v>
      </c>
      <c r="AE222" s="89" t="s">
        <v>68</v>
      </c>
      <c r="AF222" s="89" t="s">
        <v>68</v>
      </c>
      <c r="AG222" s="89" t="s">
        <v>248</v>
      </c>
      <c r="AH222" s="72" t="s">
        <v>68</v>
      </c>
      <c r="AI222" s="30">
        <v>3</v>
      </c>
      <c r="AJ222" s="89" t="s">
        <v>68</v>
      </c>
      <c r="AK222" s="89" t="s">
        <v>68</v>
      </c>
      <c r="AL222" s="91">
        <v>39227</v>
      </c>
      <c r="AM222" s="91"/>
      <c r="AN222" s="91"/>
      <c r="AO222" s="91"/>
      <c r="AP222" s="73" t="e">
        <f>MID(VLOOKUP(K222,#REF!,2,FALSE),1,2)</f>
        <v>#REF!</v>
      </c>
      <c r="AQ222" s="89">
        <f>DATE(2007,1,17)</f>
        <v>39099</v>
      </c>
      <c r="AR222" s="82">
        <f t="shared" si="18"/>
        <v>17</v>
      </c>
      <c r="AS222" s="83">
        <f t="shared" si="19"/>
        <v>1</v>
      </c>
      <c r="AT222" s="84">
        <f t="shared" si="20"/>
        <v>2007</v>
      </c>
      <c r="AU222" s="86"/>
      <c r="AV222" s="86"/>
      <c r="AW222" s="87"/>
      <c r="AX222" s="86"/>
      <c r="AY222" s="83"/>
      <c r="AZ222" s="84"/>
      <c r="BA222" s="86"/>
      <c r="BB222" s="86"/>
    </row>
    <row r="223" spans="1:54" ht="36.75" customHeight="1">
      <c r="A223" s="30"/>
      <c r="B223" s="30" t="s">
        <v>55</v>
      </c>
      <c r="C223" s="69" t="str">
        <f t="shared" si="17"/>
        <v>Closed</v>
      </c>
      <c r="D223" s="27" t="s">
        <v>1435</v>
      </c>
      <c r="E223" s="29" t="s">
        <v>1436</v>
      </c>
      <c r="F223" s="30" t="s">
        <v>58</v>
      </c>
      <c r="G223" s="89">
        <f>DATE(2007,1,17)</f>
        <v>39099</v>
      </c>
      <c r="H223" s="90">
        <v>1.4527777777777777</v>
      </c>
      <c r="I223" s="30" t="s">
        <v>116</v>
      </c>
      <c r="J223" s="89" t="s">
        <v>1437</v>
      </c>
      <c r="K223" s="30" t="s">
        <v>61</v>
      </c>
      <c r="L223" s="30" t="s">
        <v>1438</v>
      </c>
      <c r="M223" s="30" t="s">
        <v>63</v>
      </c>
      <c r="N223" s="30" t="s">
        <v>99</v>
      </c>
      <c r="O223" s="30" t="s">
        <v>64</v>
      </c>
      <c r="P223" s="89" t="s">
        <v>78</v>
      </c>
      <c r="Q223" s="89" t="s">
        <v>66</v>
      </c>
      <c r="R223" s="89" t="s">
        <v>67</v>
      </c>
      <c r="S223" s="30">
        <v>0</v>
      </c>
      <c r="T223" s="233">
        <v>0</v>
      </c>
      <c r="U223" s="30">
        <v>1</v>
      </c>
      <c r="V223" s="233">
        <v>0</v>
      </c>
      <c r="W223" s="30">
        <v>0</v>
      </c>
      <c r="X223" s="30">
        <v>1</v>
      </c>
      <c r="Y223" s="30">
        <v>0</v>
      </c>
      <c r="Z223" s="233">
        <v>0</v>
      </c>
      <c r="AA223" s="30">
        <v>0</v>
      </c>
      <c r="AB223" s="30">
        <v>0</v>
      </c>
      <c r="AC223" s="30">
        <v>0</v>
      </c>
      <c r="AD223" s="30">
        <v>0</v>
      </c>
      <c r="AE223" s="89" t="s">
        <v>92</v>
      </c>
      <c r="AF223" s="89" t="s">
        <v>1439</v>
      </c>
      <c r="AG223" s="89" t="s">
        <v>82</v>
      </c>
      <c r="AH223" s="72">
        <v>39100</v>
      </c>
      <c r="AI223" s="30">
        <v>4</v>
      </c>
      <c r="AJ223" s="89" t="s">
        <v>1440</v>
      </c>
      <c r="AK223" s="89" t="s">
        <v>68</v>
      </c>
      <c r="AL223" s="91">
        <v>39190</v>
      </c>
      <c r="AM223" s="91"/>
      <c r="AN223" s="91"/>
      <c r="AO223" s="91"/>
      <c r="AP223" s="73" t="e">
        <f>MID(VLOOKUP(K223,#REF!,2,FALSE),1,2)</f>
        <v>#REF!</v>
      </c>
      <c r="AQ223" s="89">
        <f>DATE(2007,1,17)</f>
        <v>39099</v>
      </c>
      <c r="AR223" s="82">
        <f t="shared" si="18"/>
        <v>17</v>
      </c>
      <c r="AS223" s="83">
        <f t="shared" si="19"/>
        <v>1</v>
      </c>
      <c r="AT223" s="84">
        <f t="shared" si="20"/>
        <v>2007</v>
      </c>
      <c r="AU223" s="86"/>
      <c r="AV223" s="86"/>
      <c r="AW223" s="87"/>
      <c r="AX223" s="86"/>
      <c r="AY223" s="83"/>
      <c r="AZ223" s="84"/>
      <c r="BA223" s="86"/>
      <c r="BB223" s="86"/>
    </row>
    <row r="224" spans="1:54" ht="36.75" customHeight="1">
      <c r="A224" s="30"/>
      <c r="B224" s="30" t="s">
        <v>55</v>
      </c>
      <c r="C224" s="69" t="str">
        <f t="shared" si="17"/>
        <v>Closed</v>
      </c>
      <c r="D224" s="27" t="s">
        <v>1441</v>
      </c>
      <c r="E224" s="29" t="s">
        <v>1442</v>
      </c>
      <c r="F224" s="30" t="s">
        <v>835</v>
      </c>
      <c r="G224" s="89">
        <f>DATE(2007,1,17)</f>
        <v>39099</v>
      </c>
      <c r="H224" s="90">
        <v>1.7513888888888891</v>
      </c>
      <c r="I224" s="30" t="s">
        <v>104</v>
      </c>
      <c r="J224" s="89" t="s">
        <v>1443</v>
      </c>
      <c r="K224" s="30" t="s">
        <v>837</v>
      </c>
      <c r="L224" s="30" t="s">
        <v>1444</v>
      </c>
      <c r="M224" s="30" t="s">
        <v>63</v>
      </c>
      <c r="N224" s="30">
        <v>0</v>
      </c>
      <c r="O224" s="30" t="s">
        <v>77</v>
      </c>
      <c r="P224" s="89" t="s">
        <v>165</v>
      </c>
      <c r="Q224" s="89" t="s">
        <v>839</v>
      </c>
      <c r="R224" s="89" t="s">
        <v>840</v>
      </c>
      <c r="S224" s="30">
        <v>0</v>
      </c>
      <c r="T224" s="233" t="s">
        <v>68</v>
      </c>
      <c r="U224" s="30">
        <v>0</v>
      </c>
      <c r="V224" s="233" t="s">
        <v>68</v>
      </c>
      <c r="W224" s="30">
        <v>0</v>
      </c>
      <c r="X224" s="30">
        <v>0</v>
      </c>
      <c r="Y224" s="30">
        <v>0</v>
      </c>
      <c r="Z224" s="233" t="s">
        <v>68</v>
      </c>
      <c r="AA224" s="30">
        <v>0</v>
      </c>
      <c r="AB224" s="30">
        <v>0</v>
      </c>
      <c r="AC224" s="30">
        <v>0</v>
      </c>
      <c r="AD224" s="30">
        <v>0</v>
      </c>
      <c r="AE224" s="89" t="s">
        <v>68</v>
      </c>
      <c r="AF224" s="89" t="s">
        <v>68</v>
      </c>
      <c r="AG224" s="89" t="s">
        <v>133</v>
      </c>
      <c r="AH224" s="72" t="s">
        <v>68</v>
      </c>
      <c r="AI224" s="30">
        <v>1</v>
      </c>
      <c r="AJ224" s="89" t="s">
        <v>68</v>
      </c>
      <c r="AK224" s="89" t="s">
        <v>68</v>
      </c>
      <c r="AL224" s="91">
        <v>39388</v>
      </c>
      <c r="AM224" s="91"/>
      <c r="AN224" s="91"/>
      <c r="AO224" s="91"/>
      <c r="AP224" s="73" t="e">
        <f>MID(VLOOKUP(K224,#REF!,2,FALSE),1,2)</f>
        <v>#REF!</v>
      </c>
      <c r="AQ224" s="89">
        <f>DATE(2007,1,17)</f>
        <v>39099</v>
      </c>
      <c r="AR224" s="82">
        <f t="shared" si="18"/>
        <v>17</v>
      </c>
      <c r="AS224" s="83">
        <f t="shared" si="19"/>
        <v>1</v>
      </c>
      <c r="AT224" s="84">
        <f t="shared" si="20"/>
        <v>2007</v>
      </c>
      <c r="AU224" s="86"/>
      <c r="AV224" s="86"/>
      <c r="AW224" s="87"/>
      <c r="AX224" s="86"/>
      <c r="AY224" s="83"/>
      <c r="AZ224" s="84"/>
      <c r="BA224" s="86"/>
      <c r="BB224" s="86"/>
    </row>
    <row r="225" spans="1:56" ht="36.75" customHeight="1">
      <c r="A225" s="30"/>
      <c r="B225" s="30" t="s">
        <v>55</v>
      </c>
      <c r="C225" s="69" t="str">
        <f t="shared" si="17"/>
        <v>Closed</v>
      </c>
      <c r="D225" s="27" t="s">
        <v>1445</v>
      </c>
      <c r="E225" s="29" t="s">
        <v>1446</v>
      </c>
      <c r="F225" s="30" t="s">
        <v>233</v>
      </c>
      <c r="G225" s="89">
        <f>DATE(2007,1,17)</f>
        <v>39099</v>
      </c>
      <c r="H225" s="90">
        <v>1.71875</v>
      </c>
      <c r="I225" s="30" t="s">
        <v>73</v>
      </c>
      <c r="J225" s="89" t="s">
        <v>1447</v>
      </c>
      <c r="K225" s="30" t="s">
        <v>235</v>
      </c>
      <c r="L225" s="30" t="s">
        <v>1448</v>
      </c>
      <c r="M225" s="30" t="s">
        <v>255</v>
      </c>
      <c r="N225" s="30">
        <v>0</v>
      </c>
      <c r="O225" s="30" t="s">
        <v>64</v>
      </c>
      <c r="P225" s="89" t="s">
        <v>86</v>
      </c>
      <c r="Q225" s="89" t="s">
        <v>1449</v>
      </c>
      <c r="R225" s="89" t="s">
        <v>1449</v>
      </c>
      <c r="S225" s="30">
        <v>0</v>
      </c>
      <c r="T225" s="233" t="s">
        <v>68</v>
      </c>
      <c r="U225" s="30">
        <v>0</v>
      </c>
      <c r="V225" s="233" t="s">
        <v>68</v>
      </c>
      <c r="W225" s="30">
        <v>0</v>
      </c>
      <c r="X225" s="30">
        <v>0</v>
      </c>
      <c r="Y225" s="30">
        <v>0</v>
      </c>
      <c r="Z225" s="233" t="s">
        <v>68</v>
      </c>
      <c r="AA225" s="30">
        <v>0</v>
      </c>
      <c r="AB225" s="30">
        <v>0</v>
      </c>
      <c r="AC225" s="30">
        <v>0</v>
      </c>
      <c r="AD225" s="30">
        <v>0</v>
      </c>
      <c r="AE225" s="89" t="s">
        <v>68</v>
      </c>
      <c r="AF225" s="89" t="s">
        <v>68</v>
      </c>
      <c r="AG225" s="89" t="s">
        <v>248</v>
      </c>
      <c r="AH225" s="72" t="s">
        <v>68</v>
      </c>
      <c r="AI225" s="30">
        <v>5</v>
      </c>
      <c r="AJ225" s="89" t="s">
        <v>1450</v>
      </c>
      <c r="AK225" s="89" t="s">
        <v>1451</v>
      </c>
      <c r="AL225" s="91">
        <v>39380</v>
      </c>
      <c r="AM225" s="91"/>
      <c r="AN225" s="91"/>
      <c r="AO225" s="91"/>
      <c r="AP225" s="73" t="e">
        <f>MID(VLOOKUP(K225,#REF!,2,FALSE),1,2)</f>
        <v>#REF!</v>
      </c>
      <c r="AQ225" s="89">
        <f>DATE(2007,1,17)</f>
        <v>39099</v>
      </c>
      <c r="AR225" s="82">
        <f t="shared" si="18"/>
        <v>17</v>
      </c>
      <c r="AS225" s="83">
        <f t="shared" si="19"/>
        <v>1</v>
      </c>
      <c r="AT225" s="84">
        <f t="shared" si="20"/>
        <v>2007</v>
      </c>
      <c r="AU225" s="86"/>
      <c r="AV225" s="86"/>
      <c r="AW225" s="87"/>
      <c r="AX225" s="86"/>
      <c r="AY225" s="83"/>
      <c r="AZ225" s="84"/>
      <c r="BA225" s="86"/>
      <c r="BB225" s="86"/>
    </row>
    <row r="226" spans="1:56" ht="36.75" customHeight="1">
      <c r="A226" s="30"/>
      <c r="B226" s="30" t="s">
        <v>55</v>
      </c>
      <c r="C226" s="69" t="str">
        <f t="shared" si="17"/>
        <v>Closed</v>
      </c>
      <c r="D226" s="27" t="s">
        <v>1452</v>
      </c>
      <c r="E226" s="29" t="s">
        <v>1453</v>
      </c>
      <c r="F226" s="30" t="s">
        <v>423</v>
      </c>
      <c r="G226" s="89">
        <f>DATE(2007,1,18)</f>
        <v>39100</v>
      </c>
      <c r="H226" s="90">
        <v>1.9458333333333333</v>
      </c>
      <c r="I226" s="30" t="s">
        <v>156</v>
      </c>
      <c r="J226" s="89" t="s">
        <v>1454</v>
      </c>
      <c r="K226" s="30" t="s">
        <v>425</v>
      </c>
      <c r="L226" s="30" t="s">
        <v>1455</v>
      </c>
      <c r="M226" s="30" t="s">
        <v>63</v>
      </c>
      <c r="N226" s="30">
        <v>0</v>
      </c>
      <c r="O226" s="30" t="s">
        <v>64</v>
      </c>
      <c r="P226" s="89" t="s">
        <v>65</v>
      </c>
      <c r="Q226" s="89" t="s">
        <v>427</v>
      </c>
      <c r="R226" s="89" t="s">
        <v>427</v>
      </c>
      <c r="S226" s="30">
        <v>0</v>
      </c>
      <c r="T226" s="233" t="s">
        <v>68</v>
      </c>
      <c r="U226" s="30">
        <v>0</v>
      </c>
      <c r="V226" s="233" t="s">
        <v>68</v>
      </c>
      <c r="W226" s="30">
        <v>0</v>
      </c>
      <c r="X226" s="30">
        <v>0</v>
      </c>
      <c r="Y226" s="30">
        <v>0</v>
      </c>
      <c r="Z226" s="233" t="s">
        <v>68</v>
      </c>
      <c r="AA226" s="30">
        <v>0</v>
      </c>
      <c r="AB226" s="30">
        <v>0</v>
      </c>
      <c r="AC226" s="30">
        <v>0</v>
      </c>
      <c r="AD226" s="30">
        <v>0</v>
      </c>
      <c r="AE226" s="89" t="s">
        <v>68</v>
      </c>
      <c r="AF226" s="89" t="s">
        <v>1456</v>
      </c>
      <c r="AG226" s="89" t="s">
        <v>1457</v>
      </c>
      <c r="AH226" s="72" t="s">
        <v>68</v>
      </c>
      <c r="AI226" s="30">
        <v>6</v>
      </c>
      <c r="AJ226" s="89" t="s">
        <v>68</v>
      </c>
      <c r="AK226" s="89" t="s">
        <v>68</v>
      </c>
      <c r="AL226" s="91">
        <v>39280</v>
      </c>
      <c r="AM226" s="91"/>
      <c r="AN226" s="91"/>
      <c r="AO226" s="91"/>
      <c r="AP226" s="73" t="e">
        <f>MID(VLOOKUP(K226,#REF!,2,FALSE),1,2)</f>
        <v>#REF!</v>
      </c>
      <c r="AQ226" s="89">
        <f>DATE(2007,1,18)</f>
        <v>39100</v>
      </c>
      <c r="AR226" s="82">
        <f t="shared" si="18"/>
        <v>18</v>
      </c>
      <c r="AS226" s="83">
        <f t="shared" si="19"/>
        <v>1</v>
      </c>
      <c r="AT226" s="84">
        <f t="shared" si="20"/>
        <v>2007</v>
      </c>
      <c r="AU226" s="86"/>
      <c r="AV226" s="86"/>
      <c r="AW226" s="87"/>
      <c r="AX226" s="86"/>
      <c r="AY226" s="83"/>
      <c r="AZ226" s="84"/>
      <c r="BA226" s="86"/>
      <c r="BB226" s="86"/>
    </row>
    <row r="227" spans="1:56" ht="36.75" customHeight="1">
      <c r="A227" s="30"/>
      <c r="B227" s="30" t="s">
        <v>55</v>
      </c>
      <c r="C227" s="69" t="str">
        <f t="shared" si="17"/>
        <v>Closed</v>
      </c>
      <c r="D227" s="27" t="s">
        <v>1458</v>
      </c>
      <c r="E227" s="29" t="s">
        <v>1459</v>
      </c>
      <c r="F227" s="30" t="s">
        <v>638</v>
      </c>
      <c r="G227" s="89">
        <f>DATE(2007,1,18)</f>
        <v>39100</v>
      </c>
      <c r="H227" s="90">
        <v>1.0347222222222223</v>
      </c>
      <c r="I227" s="30" t="s">
        <v>116</v>
      </c>
      <c r="J227" s="89" t="s">
        <v>1460</v>
      </c>
      <c r="K227" s="30" t="s">
        <v>640</v>
      </c>
      <c r="L227" s="30" t="s">
        <v>1461</v>
      </c>
      <c r="M227" s="30" t="s">
        <v>63</v>
      </c>
      <c r="N227" s="30">
        <v>0</v>
      </c>
      <c r="O227" s="30" t="s">
        <v>77</v>
      </c>
      <c r="P227" s="89" t="s">
        <v>165</v>
      </c>
      <c r="Q227" s="89" t="s">
        <v>642</v>
      </c>
      <c r="R227" s="89" t="s">
        <v>643</v>
      </c>
      <c r="S227" s="30">
        <v>0</v>
      </c>
      <c r="T227" s="233">
        <v>0</v>
      </c>
      <c r="U227" s="30">
        <v>1</v>
      </c>
      <c r="V227" s="233">
        <v>0</v>
      </c>
      <c r="W227" s="30">
        <v>0</v>
      </c>
      <c r="X227" s="30">
        <v>1</v>
      </c>
      <c r="Y227" s="30">
        <v>0</v>
      </c>
      <c r="Z227" s="233">
        <v>0</v>
      </c>
      <c r="AA227" s="30">
        <v>0</v>
      </c>
      <c r="AB227" s="30">
        <v>0</v>
      </c>
      <c r="AC227" s="30">
        <v>0</v>
      </c>
      <c r="AD227" s="30">
        <v>0</v>
      </c>
      <c r="AE227" s="89" t="s">
        <v>68</v>
      </c>
      <c r="AF227" s="89" t="s">
        <v>68</v>
      </c>
      <c r="AG227" s="89" t="s">
        <v>248</v>
      </c>
      <c r="AH227" s="72" t="s">
        <v>68</v>
      </c>
      <c r="AI227" s="30">
        <v>1</v>
      </c>
      <c r="AJ227" s="89" t="s">
        <v>68</v>
      </c>
      <c r="AK227" s="89" t="s">
        <v>68</v>
      </c>
      <c r="AL227" s="91">
        <v>39230</v>
      </c>
      <c r="AM227" s="91"/>
      <c r="AN227" s="91"/>
      <c r="AO227" s="91"/>
      <c r="AP227" s="73" t="e">
        <f>MID(VLOOKUP(K227,#REF!,2,FALSE),1,2)</f>
        <v>#REF!</v>
      </c>
      <c r="AQ227" s="89">
        <f>DATE(2007,1,18)</f>
        <v>39100</v>
      </c>
      <c r="AR227" s="82">
        <f t="shared" si="18"/>
        <v>18</v>
      </c>
      <c r="AS227" s="83">
        <f t="shared" si="19"/>
        <v>1</v>
      </c>
      <c r="AT227" s="84">
        <f t="shared" si="20"/>
        <v>2007</v>
      </c>
      <c r="AU227" s="86"/>
      <c r="AV227" s="86"/>
      <c r="AW227" s="87"/>
      <c r="AX227" s="86"/>
      <c r="AY227" s="83"/>
      <c r="AZ227" s="84"/>
      <c r="BA227" s="86"/>
      <c r="BB227" s="86"/>
    </row>
    <row r="228" spans="1:56" ht="36.75" customHeight="1">
      <c r="A228" s="30"/>
      <c r="B228" s="30" t="s">
        <v>55</v>
      </c>
      <c r="C228" s="69" t="str">
        <f t="shared" si="17"/>
        <v>Closed</v>
      </c>
      <c r="D228" s="27" t="s">
        <v>1462</v>
      </c>
      <c r="E228" s="29" t="s">
        <v>1463</v>
      </c>
      <c r="F228" s="30" t="s">
        <v>582</v>
      </c>
      <c r="G228" s="89">
        <f>DATE(2007,1,23)</f>
        <v>39105</v>
      </c>
      <c r="H228" s="90">
        <v>1.1381944444444445</v>
      </c>
      <c r="I228" s="30" t="s">
        <v>73</v>
      </c>
      <c r="J228" s="89" t="s">
        <v>1464</v>
      </c>
      <c r="K228" s="30" t="s">
        <v>584</v>
      </c>
      <c r="L228" s="30" t="s">
        <v>1465</v>
      </c>
      <c r="M228" s="30" t="s">
        <v>63</v>
      </c>
      <c r="N228" s="30">
        <v>0</v>
      </c>
      <c r="O228" s="30" t="s">
        <v>64</v>
      </c>
      <c r="P228" s="89" t="s">
        <v>78</v>
      </c>
      <c r="Q228" s="89" t="s">
        <v>586</v>
      </c>
      <c r="R228" s="89" t="s">
        <v>587</v>
      </c>
      <c r="S228" s="30">
        <v>0</v>
      </c>
      <c r="T228" s="233" t="s">
        <v>68</v>
      </c>
      <c r="U228" s="30">
        <v>0</v>
      </c>
      <c r="V228" s="233" t="s">
        <v>68</v>
      </c>
      <c r="W228" s="30">
        <v>0</v>
      </c>
      <c r="X228" s="30">
        <v>0</v>
      </c>
      <c r="Y228" s="30">
        <v>0</v>
      </c>
      <c r="Z228" s="233" t="s">
        <v>68</v>
      </c>
      <c r="AA228" s="30">
        <v>0</v>
      </c>
      <c r="AB228" s="30">
        <v>0</v>
      </c>
      <c r="AC228" s="30">
        <v>0</v>
      </c>
      <c r="AD228" s="30">
        <v>0</v>
      </c>
      <c r="AE228" s="89" t="s">
        <v>68</v>
      </c>
      <c r="AF228" s="89" t="s">
        <v>1466</v>
      </c>
      <c r="AG228" s="89" t="s">
        <v>82</v>
      </c>
      <c r="AH228" s="72" t="s">
        <v>68</v>
      </c>
      <c r="AI228" s="30">
        <v>0</v>
      </c>
      <c r="AJ228" s="89" t="s">
        <v>1467</v>
      </c>
      <c r="AK228" s="89" t="s">
        <v>68</v>
      </c>
      <c r="AL228" s="91">
        <v>39135</v>
      </c>
      <c r="AM228" s="91"/>
      <c r="AN228" s="91"/>
      <c r="AO228" s="91"/>
      <c r="AP228" s="73" t="e">
        <f>MID(VLOOKUP(K228,#REF!,2,FALSE),1,2)</f>
        <v>#REF!</v>
      </c>
      <c r="AQ228" s="89">
        <f>DATE(2007,1,23)</f>
        <v>39105</v>
      </c>
      <c r="AR228" s="82">
        <f t="shared" si="18"/>
        <v>23</v>
      </c>
      <c r="AS228" s="83">
        <f t="shared" si="19"/>
        <v>1</v>
      </c>
      <c r="AT228" s="84">
        <f t="shared" si="20"/>
        <v>2007</v>
      </c>
      <c r="AU228" s="86"/>
      <c r="AV228" s="86"/>
      <c r="AW228" s="87"/>
      <c r="AX228" s="86"/>
      <c r="AY228" s="83"/>
      <c r="AZ228" s="84"/>
      <c r="BA228" s="86"/>
      <c r="BB228" s="86"/>
    </row>
    <row r="229" spans="1:56" ht="36.75" customHeight="1">
      <c r="A229" s="30"/>
      <c r="B229" s="30" t="s">
        <v>55</v>
      </c>
      <c r="C229" s="69" t="str">
        <f t="shared" si="17"/>
        <v>Closed</v>
      </c>
      <c r="D229" s="27" t="s">
        <v>1468</v>
      </c>
      <c r="E229" s="29" t="s">
        <v>1469</v>
      </c>
      <c r="F229" s="30" t="s">
        <v>233</v>
      </c>
      <c r="G229" s="89">
        <f>DATE(2007,1,24)</f>
        <v>39106</v>
      </c>
      <c r="H229" s="90">
        <v>1.6736111111111112</v>
      </c>
      <c r="I229" s="30" t="s">
        <v>125</v>
      </c>
      <c r="J229" s="89" t="s">
        <v>1470</v>
      </c>
      <c r="K229" s="30" t="s">
        <v>235</v>
      </c>
      <c r="L229" s="30" t="s">
        <v>1471</v>
      </c>
      <c r="M229" s="30" t="s">
        <v>255</v>
      </c>
      <c r="N229" s="30">
        <v>0</v>
      </c>
      <c r="O229" s="30" t="s">
        <v>86</v>
      </c>
      <c r="P229" s="89" t="s">
        <v>86</v>
      </c>
      <c r="Q229" s="89" t="s">
        <v>337</v>
      </c>
      <c r="R229" s="89" t="s">
        <v>337</v>
      </c>
      <c r="S229" s="30">
        <v>0</v>
      </c>
      <c r="T229" s="233" t="s">
        <v>68</v>
      </c>
      <c r="U229" s="30">
        <v>0</v>
      </c>
      <c r="V229" s="233" t="s">
        <v>68</v>
      </c>
      <c r="W229" s="30">
        <v>0</v>
      </c>
      <c r="X229" s="30">
        <v>0</v>
      </c>
      <c r="Y229" s="30">
        <v>0</v>
      </c>
      <c r="Z229" s="233" t="s">
        <v>68</v>
      </c>
      <c r="AA229" s="30">
        <v>0</v>
      </c>
      <c r="AB229" s="30">
        <v>0</v>
      </c>
      <c r="AC229" s="30">
        <v>0</v>
      </c>
      <c r="AD229" s="30">
        <v>0</v>
      </c>
      <c r="AE229" s="89" t="s">
        <v>68</v>
      </c>
      <c r="AF229" s="89" t="s">
        <v>1472</v>
      </c>
      <c r="AG229" s="89" t="s">
        <v>248</v>
      </c>
      <c r="AH229" s="72" t="s">
        <v>68</v>
      </c>
      <c r="AI229" s="30">
        <v>2</v>
      </c>
      <c r="AJ229" s="89" t="s">
        <v>1473</v>
      </c>
      <c r="AK229" s="89" t="s">
        <v>1474</v>
      </c>
      <c r="AL229" s="91">
        <v>39303</v>
      </c>
      <c r="AM229" s="91"/>
      <c r="AN229" s="91"/>
      <c r="AO229" s="91"/>
      <c r="AP229" s="73" t="e">
        <f>MID(VLOOKUP(K229,#REF!,2,FALSE),1,2)</f>
        <v>#REF!</v>
      </c>
      <c r="AQ229" s="89">
        <f>DATE(2007,1,24)</f>
        <v>39106</v>
      </c>
      <c r="AR229" s="82">
        <f t="shared" si="18"/>
        <v>24</v>
      </c>
      <c r="AS229" s="83">
        <f t="shared" si="19"/>
        <v>1</v>
      </c>
      <c r="AT229" s="84">
        <f t="shared" si="20"/>
        <v>2007</v>
      </c>
      <c r="AU229" s="86"/>
      <c r="AV229" s="86"/>
      <c r="AW229" s="87"/>
      <c r="AX229" s="86"/>
      <c r="AY229" s="83"/>
      <c r="AZ229" s="84"/>
      <c r="BA229" s="86"/>
      <c r="BB229" s="86"/>
    </row>
    <row r="230" spans="1:56" ht="36.75" customHeight="1">
      <c r="A230" s="30"/>
      <c r="B230" s="30" t="s">
        <v>55</v>
      </c>
      <c r="C230" s="69" t="str">
        <f t="shared" si="17"/>
        <v>Closed</v>
      </c>
      <c r="D230" s="27" t="s">
        <v>1475</v>
      </c>
      <c r="E230" s="29" t="s">
        <v>1476</v>
      </c>
      <c r="F230" s="30" t="s">
        <v>423</v>
      </c>
      <c r="G230" s="89">
        <f>DATE(2007,1,25)</f>
        <v>39107</v>
      </c>
      <c r="H230" s="90">
        <v>1.4756944444444444</v>
      </c>
      <c r="I230" s="30" t="s">
        <v>116</v>
      </c>
      <c r="J230" s="89" t="s">
        <v>1477</v>
      </c>
      <c r="K230" s="30" t="s">
        <v>425</v>
      </c>
      <c r="L230" s="30" t="s">
        <v>1478</v>
      </c>
      <c r="M230" s="30" t="s">
        <v>63</v>
      </c>
      <c r="N230" s="30">
        <v>0</v>
      </c>
      <c r="O230" s="30" t="s">
        <v>86</v>
      </c>
      <c r="P230" s="89" t="s">
        <v>91</v>
      </c>
      <c r="Q230" s="89" t="s">
        <v>427</v>
      </c>
      <c r="R230" s="89" t="s">
        <v>1479</v>
      </c>
      <c r="S230" s="30">
        <v>0</v>
      </c>
      <c r="T230" s="233" t="s">
        <v>68</v>
      </c>
      <c r="U230" s="30">
        <v>0</v>
      </c>
      <c r="V230" s="233" t="s">
        <v>68</v>
      </c>
      <c r="W230" s="30">
        <v>0</v>
      </c>
      <c r="X230" s="30">
        <v>0</v>
      </c>
      <c r="Y230" s="30">
        <v>0</v>
      </c>
      <c r="Z230" s="233" t="s">
        <v>68</v>
      </c>
      <c r="AA230" s="30">
        <v>0</v>
      </c>
      <c r="AB230" s="30">
        <v>0</v>
      </c>
      <c r="AC230" s="30">
        <v>0</v>
      </c>
      <c r="AD230" s="30">
        <v>0</v>
      </c>
      <c r="AE230" s="89" t="s">
        <v>68</v>
      </c>
      <c r="AF230" s="89" t="s">
        <v>1480</v>
      </c>
      <c r="AG230" s="89" t="s">
        <v>1417</v>
      </c>
      <c r="AH230" s="72" t="s">
        <v>68</v>
      </c>
      <c r="AI230" s="30">
        <v>0</v>
      </c>
      <c r="AJ230" s="89" t="s">
        <v>68</v>
      </c>
      <c r="AK230" s="89" t="s">
        <v>68</v>
      </c>
      <c r="AL230" s="91">
        <v>39781</v>
      </c>
      <c r="AM230" s="91"/>
      <c r="AN230" s="91"/>
      <c r="AO230" s="91"/>
      <c r="AP230" s="73" t="e">
        <f>MID(VLOOKUP(K230,#REF!,2,FALSE),1,2)</f>
        <v>#REF!</v>
      </c>
      <c r="AQ230" s="89">
        <f>DATE(2007,1,25)</f>
        <v>39107</v>
      </c>
      <c r="AR230" s="82">
        <f t="shared" si="18"/>
        <v>25</v>
      </c>
      <c r="AS230" s="83">
        <f t="shared" si="19"/>
        <v>1</v>
      </c>
      <c r="AT230" s="84">
        <f t="shared" si="20"/>
        <v>2007</v>
      </c>
      <c r="AU230" s="86"/>
      <c r="AV230" s="86"/>
      <c r="AW230" s="87"/>
      <c r="AX230" s="86"/>
      <c r="AY230" s="83"/>
      <c r="AZ230" s="84"/>
      <c r="BA230" s="86"/>
      <c r="BB230" s="86"/>
    </row>
    <row r="231" spans="1:56" ht="36.75" customHeight="1">
      <c r="A231" s="30"/>
      <c r="B231" s="30" t="s">
        <v>55</v>
      </c>
      <c r="C231" s="69" t="str">
        <f t="shared" si="17"/>
        <v>Closed</v>
      </c>
      <c r="D231" s="27" t="s">
        <v>1481</v>
      </c>
      <c r="E231" s="29" t="s">
        <v>1482</v>
      </c>
      <c r="F231" s="30" t="s">
        <v>835</v>
      </c>
      <c r="G231" s="89">
        <f>DATE(2007,1,25)</f>
        <v>39107</v>
      </c>
      <c r="H231" s="90">
        <v>1.4840277777777777</v>
      </c>
      <c r="I231" s="30" t="s">
        <v>73</v>
      </c>
      <c r="J231" s="89" t="s">
        <v>1483</v>
      </c>
      <c r="K231" s="30" t="s">
        <v>837</v>
      </c>
      <c r="L231" s="30" t="s">
        <v>1484</v>
      </c>
      <c r="M231" s="30" t="s">
        <v>63</v>
      </c>
      <c r="N231" s="30">
        <v>0</v>
      </c>
      <c r="O231" s="30" t="s">
        <v>77</v>
      </c>
      <c r="P231" s="89" t="s">
        <v>78</v>
      </c>
      <c r="Q231" s="89" t="s">
        <v>1349</v>
      </c>
      <c r="R231" s="89" t="s">
        <v>840</v>
      </c>
      <c r="S231" s="30">
        <v>0</v>
      </c>
      <c r="T231" s="233" t="s">
        <v>68</v>
      </c>
      <c r="U231" s="30">
        <v>0</v>
      </c>
      <c r="V231" s="233" t="s">
        <v>68</v>
      </c>
      <c r="W231" s="30">
        <v>0</v>
      </c>
      <c r="X231" s="30">
        <v>0</v>
      </c>
      <c r="Y231" s="30">
        <v>0</v>
      </c>
      <c r="Z231" s="233" t="s">
        <v>68</v>
      </c>
      <c r="AA231" s="30">
        <v>0</v>
      </c>
      <c r="AB231" s="30">
        <v>0</v>
      </c>
      <c r="AC231" s="30">
        <v>0</v>
      </c>
      <c r="AD231" s="30">
        <v>0</v>
      </c>
      <c r="AE231" s="89" t="s">
        <v>68</v>
      </c>
      <c r="AF231" s="89" t="s">
        <v>1485</v>
      </c>
      <c r="AG231" s="89" t="s">
        <v>352</v>
      </c>
      <c r="AH231" s="72" t="s">
        <v>68</v>
      </c>
      <c r="AI231" s="30">
        <v>3</v>
      </c>
      <c r="AJ231" s="89" t="s">
        <v>68</v>
      </c>
      <c r="AK231" s="89" t="s">
        <v>68</v>
      </c>
      <c r="AL231" s="91">
        <v>39594</v>
      </c>
      <c r="AM231" s="91"/>
      <c r="AN231" s="91"/>
      <c r="AO231" s="91"/>
      <c r="AP231" s="73" t="e">
        <f>MID(VLOOKUP(K231,#REF!,2,FALSE),1,2)</f>
        <v>#REF!</v>
      </c>
      <c r="AQ231" s="89">
        <f>DATE(2007,1,25)</f>
        <v>39107</v>
      </c>
      <c r="AR231" s="82">
        <f t="shared" si="18"/>
        <v>25</v>
      </c>
      <c r="AS231" s="83">
        <f t="shared" si="19"/>
        <v>1</v>
      </c>
      <c r="AT231" s="84">
        <f t="shared" si="20"/>
        <v>2007</v>
      </c>
      <c r="AU231" s="86"/>
      <c r="AV231" s="86"/>
      <c r="AW231" s="87"/>
      <c r="AX231" s="86"/>
      <c r="AY231" s="83"/>
      <c r="AZ231" s="84"/>
      <c r="BA231" s="86"/>
      <c r="BB231" s="86"/>
    </row>
    <row r="232" spans="1:56" ht="36.75" customHeight="1">
      <c r="A232" s="30"/>
      <c r="B232" s="30" t="s">
        <v>55</v>
      </c>
      <c r="C232" s="69" t="str">
        <f t="shared" si="17"/>
        <v>Closed</v>
      </c>
      <c r="D232" s="27" t="s">
        <v>1486</v>
      </c>
      <c r="E232" s="29" t="s">
        <v>1487</v>
      </c>
      <c r="F232" s="30" t="s">
        <v>233</v>
      </c>
      <c r="G232" s="89">
        <f>DATE(2007,1,28)</f>
        <v>39110</v>
      </c>
      <c r="H232" s="90">
        <v>1.6041666666666665</v>
      </c>
      <c r="I232" s="30" t="s">
        <v>198</v>
      </c>
      <c r="J232" s="89" t="s">
        <v>1488</v>
      </c>
      <c r="K232" s="30" t="s">
        <v>235</v>
      </c>
      <c r="L232" s="30" t="s">
        <v>1489</v>
      </c>
      <c r="M232" s="30" t="s">
        <v>63</v>
      </c>
      <c r="N232" s="30">
        <v>0</v>
      </c>
      <c r="O232" s="30" t="s">
        <v>64</v>
      </c>
      <c r="P232" s="89" t="s">
        <v>78</v>
      </c>
      <c r="Q232" s="89" t="s">
        <v>237</v>
      </c>
      <c r="R232" s="89" t="s">
        <v>238</v>
      </c>
      <c r="S232" s="30">
        <v>0</v>
      </c>
      <c r="T232" s="233" t="s">
        <v>68</v>
      </c>
      <c r="U232" s="30">
        <v>0</v>
      </c>
      <c r="V232" s="233" t="s">
        <v>68</v>
      </c>
      <c r="W232" s="30">
        <v>0</v>
      </c>
      <c r="X232" s="30">
        <v>0</v>
      </c>
      <c r="Y232" s="30">
        <v>0</v>
      </c>
      <c r="Z232" s="233" t="s">
        <v>68</v>
      </c>
      <c r="AA232" s="30">
        <v>0</v>
      </c>
      <c r="AB232" s="30">
        <v>0</v>
      </c>
      <c r="AC232" s="30">
        <v>0</v>
      </c>
      <c r="AD232" s="30">
        <v>0</v>
      </c>
      <c r="AE232" s="89" t="s">
        <v>68</v>
      </c>
      <c r="AF232" s="89" t="s">
        <v>68</v>
      </c>
      <c r="AG232" s="89" t="s">
        <v>133</v>
      </c>
      <c r="AH232" s="72" t="s">
        <v>68</v>
      </c>
      <c r="AI232" s="30">
        <v>3</v>
      </c>
      <c r="AJ232" s="89" t="s">
        <v>1490</v>
      </c>
      <c r="AK232" s="89" t="s">
        <v>1491</v>
      </c>
      <c r="AL232" s="91">
        <v>39356</v>
      </c>
      <c r="AM232" s="91"/>
      <c r="AN232" s="91"/>
      <c r="AO232" s="91"/>
      <c r="AP232" s="73" t="e">
        <f>MID(VLOOKUP(K232,#REF!,2,FALSE),1,2)</f>
        <v>#REF!</v>
      </c>
      <c r="AQ232" s="89">
        <f>DATE(2007,1,28)</f>
        <v>39110</v>
      </c>
      <c r="AR232" s="82">
        <f t="shared" si="18"/>
        <v>28</v>
      </c>
      <c r="AS232" s="83">
        <f t="shared" si="19"/>
        <v>1</v>
      </c>
      <c r="AT232" s="84">
        <f t="shared" si="20"/>
        <v>2007</v>
      </c>
      <c r="AU232" s="86"/>
      <c r="AV232" s="86"/>
      <c r="AW232" s="87"/>
      <c r="AX232" s="86"/>
      <c r="AY232" s="83"/>
      <c r="AZ232" s="84"/>
      <c r="BA232" s="86"/>
      <c r="BB232" s="86"/>
    </row>
    <row r="233" spans="1:56" ht="36.75" customHeight="1">
      <c r="A233" s="30"/>
      <c r="B233" s="30" t="s">
        <v>55</v>
      </c>
      <c r="C233" s="69" t="str">
        <f t="shared" si="17"/>
        <v>Closed</v>
      </c>
      <c r="D233" s="27" t="s">
        <v>1492</v>
      </c>
      <c r="E233" s="29" t="s">
        <v>1493</v>
      </c>
      <c r="F233" s="30" t="s">
        <v>233</v>
      </c>
      <c r="G233" s="89">
        <f>DATE(2007,1,29)</f>
        <v>39111</v>
      </c>
      <c r="H233" s="90">
        <v>1.6006944444444444</v>
      </c>
      <c r="I233" s="30" t="s">
        <v>73</v>
      </c>
      <c r="J233" s="89" t="s">
        <v>1494</v>
      </c>
      <c r="K233" s="30" t="s">
        <v>235</v>
      </c>
      <c r="L233" s="30" t="s">
        <v>1495</v>
      </c>
      <c r="M233" s="30" t="s">
        <v>255</v>
      </c>
      <c r="N233" s="30">
        <v>0</v>
      </c>
      <c r="O233" s="30" t="s">
        <v>77</v>
      </c>
      <c r="P233" s="89" t="s">
        <v>86</v>
      </c>
      <c r="Q233" s="89" t="s">
        <v>800</v>
      </c>
      <c r="R233" s="89" t="s">
        <v>788</v>
      </c>
      <c r="S233" s="30">
        <v>0</v>
      </c>
      <c r="T233" s="233" t="s">
        <v>68</v>
      </c>
      <c r="U233" s="30">
        <v>0</v>
      </c>
      <c r="V233" s="233" t="s">
        <v>68</v>
      </c>
      <c r="W233" s="30">
        <v>0</v>
      </c>
      <c r="X233" s="30">
        <v>0</v>
      </c>
      <c r="Y233" s="30">
        <v>0</v>
      </c>
      <c r="Z233" s="233" t="s">
        <v>68</v>
      </c>
      <c r="AA233" s="30">
        <v>0</v>
      </c>
      <c r="AB233" s="30">
        <v>0</v>
      </c>
      <c r="AC233" s="30">
        <v>0</v>
      </c>
      <c r="AD233" s="30">
        <v>0</v>
      </c>
      <c r="AE233" s="89" t="s">
        <v>68</v>
      </c>
      <c r="AF233" s="89" t="s">
        <v>68</v>
      </c>
      <c r="AG233" s="89" t="s">
        <v>248</v>
      </c>
      <c r="AH233" s="72" t="s">
        <v>68</v>
      </c>
      <c r="AI233" s="30">
        <v>4</v>
      </c>
      <c r="AJ233" s="89" t="s">
        <v>1496</v>
      </c>
      <c r="AK233" s="89" t="s">
        <v>1497</v>
      </c>
      <c r="AL233" s="91">
        <v>39380</v>
      </c>
      <c r="AM233" s="91"/>
      <c r="AN233" s="91"/>
      <c r="AO233" s="91"/>
      <c r="AP233" s="73" t="e">
        <f>MID(VLOOKUP(K233,#REF!,2,FALSE),1,2)</f>
        <v>#REF!</v>
      </c>
      <c r="AQ233" s="89">
        <f>DATE(2007,1,29)</f>
        <v>39111</v>
      </c>
      <c r="AR233" s="82">
        <f t="shared" si="18"/>
        <v>29</v>
      </c>
      <c r="AS233" s="83">
        <f t="shared" si="19"/>
        <v>1</v>
      </c>
      <c r="AT233" s="84">
        <f t="shared" si="20"/>
        <v>2007</v>
      </c>
      <c r="AU233" s="86"/>
      <c r="AV233" s="86"/>
      <c r="AW233" s="87"/>
      <c r="AX233" s="86"/>
      <c r="AY233" s="83"/>
      <c r="AZ233" s="84"/>
      <c r="BA233" s="86"/>
      <c r="BB233" s="86"/>
    </row>
    <row r="234" spans="1:56" ht="36.75" customHeight="1">
      <c r="A234" s="30"/>
      <c r="B234" s="30" t="s">
        <v>55</v>
      </c>
      <c r="C234" s="69" t="str">
        <f t="shared" si="17"/>
        <v>Closed</v>
      </c>
      <c r="D234" s="27" t="s">
        <v>1498</v>
      </c>
      <c r="E234" s="29" t="s">
        <v>1499</v>
      </c>
      <c r="F234" s="30" t="s">
        <v>638</v>
      </c>
      <c r="G234" s="89">
        <f>DATE(2007,2,1)</f>
        <v>39114</v>
      </c>
      <c r="H234" s="90">
        <v>1.7868055555555555</v>
      </c>
      <c r="I234" s="30" t="s">
        <v>278</v>
      </c>
      <c r="J234" s="89" t="s">
        <v>1500</v>
      </c>
      <c r="K234" s="30" t="s">
        <v>640</v>
      </c>
      <c r="L234" s="30" t="s">
        <v>1501</v>
      </c>
      <c r="M234" s="30" t="s">
        <v>63</v>
      </c>
      <c r="N234" s="30">
        <v>0</v>
      </c>
      <c r="O234" s="30" t="s">
        <v>77</v>
      </c>
      <c r="P234" s="89" t="s">
        <v>65</v>
      </c>
      <c r="Q234" s="89" t="s">
        <v>642</v>
      </c>
      <c r="R234" s="89" t="s">
        <v>643</v>
      </c>
      <c r="S234" s="30">
        <v>0</v>
      </c>
      <c r="T234" s="233">
        <v>0</v>
      </c>
      <c r="U234" s="30">
        <v>0</v>
      </c>
      <c r="V234" s="233">
        <v>1</v>
      </c>
      <c r="W234" s="30">
        <v>0</v>
      </c>
      <c r="X234" s="30">
        <v>1</v>
      </c>
      <c r="Y234" s="30">
        <v>0</v>
      </c>
      <c r="Z234" s="233">
        <v>0</v>
      </c>
      <c r="AA234" s="30">
        <v>0</v>
      </c>
      <c r="AB234" s="30">
        <v>0</v>
      </c>
      <c r="AC234" s="30">
        <v>0</v>
      </c>
      <c r="AD234" s="30">
        <v>0</v>
      </c>
      <c r="AE234" s="89" t="s">
        <v>68</v>
      </c>
      <c r="AF234" s="89" t="s">
        <v>68</v>
      </c>
      <c r="AG234" s="89" t="s">
        <v>248</v>
      </c>
      <c r="AH234" s="72" t="s">
        <v>68</v>
      </c>
      <c r="AI234" s="30">
        <v>1</v>
      </c>
      <c r="AJ234" s="89" t="s">
        <v>68</v>
      </c>
      <c r="AK234" s="89" t="s">
        <v>68</v>
      </c>
      <c r="AL234" s="91">
        <v>39230</v>
      </c>
      <c r="AM234" s="91"/>
      <c r="AN234" s="91"/>
      <c r="AO234" s="91"/>
      <c r="AP234" s="73" t="e">
        <f>MID(VLOOKUP(K234,#REF!,2,FALSE),1,2)</f>
        <v>#REF!</v>
      </c>
      <c r="AQ234" s="89">
        <f>DATE(2007,2,1)</f>
        <v>39114</v>
      </c>
      <c r="AR234" s="82">
        <f t="shared" si="18"/>
        <v>1</v>
      </c>
      <c r="AS234" s="83">
        <f t="shared" si="19"/>
        <v>2</v>
      </c>
      <c r="AT234" s="84">
        <f t="shared" si="20"/>
        <v>2007</v>
      </c>
      <c r="AU234" s="86"/>
      <c r="AV234" s="86"/>
      <c r="AW234" s="87"/>
      <c r="AX234" s="86"/>
      <c r="AY234" s="83"/>
      <c r="AZ234" s="84"/>
      <c r="BA234" s="86"/>
      <c r="BB234" s="86"/>
      <c r="BC234" s="95"/>
    </row>
    <row r="235" spans="1:56" s="95" customFormat="1" ht="36.75" customHeight="1">
      <c r="A235" s="30"/>
      <c r="B235" s="30" t="s">
        <v>55</v>
      </c>
      <c r="C235" s="69" t="str">
        <f t="shared" si="17"/>
        <v>Closed</v>
      </c>
      <c r="D235" s="27" t="s">
        <v>1502</v>
      </c>
      <c r="E235" s="29" t="s">
        <v>1503</v>
      </c>
      <c r="F235" s="30" t="s">
        <v>594</v>
      </c>
      <c r="G235" s="96">
        <f>DATE(2007,2,1)</f>
        <v>39114</v>
      </c>
      <c r="H235" s="90">
        <v>1.588888888888889</v>
      </c>
      <c r="I235" s="30" t="s">
        <v>116</v>
      </c>
      <c r="J235" s="89" t="s">
        <v>1504</v>
      </c>
      <c r="K235" s="30" t="s">
        <v>596</v>
      </c>
      <c r="L235" s="30" t="s">
        <v>1505</v>
      </c>
      <c r="M235" s="30" t="s">
        <v>63</v>
      </c>
      <c r="N235" s="30">
        <v>0</v>
      </c>
      <c r="O235" s="30" t="s">
        <v>64</v>
      </c>
      <c r="P235" s="89" t="s">
        <v>165</v>
      </c>
      <c r="Q235" s="89" t="s">
        <v>598</v>
      </c>
      <c r="R235" s="89" t="s">
        <v>599</v>
      </c>
      <c r="S235" s="30">
        <v>0</v>
      </c>
      <c r="T235" s="233">
        <v>0</v>
      </c>
      <c r="U235" s="30">
        <v>1</v>
      </c>
      <c r="V235" s="233">
        <v>0</v>
      </c>
      <c r="W235" s="30">
        <v>0</v>
      </c>
      <c r="X235" s="30">
        <v>1</v>
      </c>
      <c r="Y235" s="30">
        <v>0</v>
      </c>
      <c r="Z235" s="233">
        <v>0</v>
      </c>
      <c r="AA235" s="30">
        <v>0</v>
      </c>
      <c r="AB235" s="30">
        <v>0</v>
      </c>
      <c r="AC235" s="30">
        <v>0</v>
      </c>
      <c r="AD235" s="30">
        <v>0</v>
      </c>
      <c r="AE235" s="89" t="s">
        <v>68</v>
      </c>
      <c r="AF235" s="89" t="s">
        <v>1506</v>
      </c>
      <c r="AG235" s="89" t="s">
        <v>1507</v>
      </c>
      <c r="AH235" s="72" t="s">
        <v>68</v>
      </c>
      <c r="AI235" s="30">
        <v>5</v>
      </c>
      <c r="AJ235" s="89" t="s">
        <v>68</v>
      </c>
      <c r="AK235" s="89" t="s">
        <v>68</v>
      </c>
      <c r="AL235" s="91">
        <v>39232</v>
      </c>
      <c r="AM235" s="91"/>
      <c r="AN235" s="91"/>
      <c r="AO235" s="91"/>
      <c r="AP235" s="73" t="e">
        <f>MID(VLOOKUP(K235,#REF!,2,FALSE),1,2)</f>
        <v>#REF!</v>
      </c>
      <c r="AQ235" s="96">
        <f>DATE(2007,2,1)</f>
        <v>39114</v>
      </c>
      <c r="AR235" s="82">
        <f t="shared" si="18"/>
        <v>1</v>
      </c>
      <c r="AS235" s="83">
        <f t="shared" si="19"/>
        <v>2</v>
      </c>
      <c r="AT235" s="84">
        <f t="shared" si="20"/>
        <v>2007</v>
      </c>
      <c r="AU235" s="97"/>
      <c r="AV235" s="97"/>
      <c r="AW235" s="87"/>
      <c r="AX235" s="97"/>
      <c r="AY235" s="83"/>
      <c r="AZ235" s="84"/>
      <c r="BA235" s="97"/>
      <c r="BB235" s="97"/>
      <c r="BC235" s="68"/>
      <c r="BD235" s="68"/>
    </row>
    <row r="236" spans="1:56" ht="36.75" customHeight="1">
      <c r="A236" s="30"/>
      <c r="B236" s="30" t="s">
        <v>55</v>
      </c>
      <c r="C236" s="69" t="str">
        <f t="shared" si="17"/>
        <v>Closed</v>
      </c>
      <c r="D236" s="27" t="s">
        <v>1508</v>
      </c>
      <c r="E236" s="29" t="s">
        <v>1509</v>
      </c>
      <c r="F236" s="30" t="s">
        <v>58</v>
      </c>
      <c r="G236" s="89">
        <f>DATE(2007,2,2)</f>
        <v>39115</v>
      </c>
      <c r="H236" s="90">
        <v>1.3847222222222222</v>
      </c>
      <c r="I236" s="30" t="s">
        <v>278</v>
      </c>
      <c r="J236" s="89" t="s">
        <v>1510</v>
      </c>
      <c r="K236" s="30" t="s">
        <v>61</v>
      </c>
      <c r="L236" s="30" t="s">
        <v>1511</v>
      </c>
      <c r="M236" s="30" t="s">
        <v>63</v>
      </c>
      <c r="N236" s="30" t="s">
        <v>99</v>
      </c>
      <c r="O236" s="30" t="s">
        <v>90</v>
      </c>
      <c r="P236" s="89" t="s">
        <v>91</v>
      </c>
      <c r="Q236" s="89" t="s">
        <v>66</v>
      </c>
      <c r="R236" s="89" t="s">
        <v>67</v>
      </c>
      <c r="S236" s="30">
        <v>0</v>
      </c>
      <c r="T236" s="233">
        <v>1</v>
      </c>
      <c r="U236" s="30">
        <v>0</v>
      </c>
      <c r="V236" s="233">
        <v>0</v>
      </c>
      <c r="W236" s="30">
        <v>0</v>
      </c>
      <c r="X236" s="30">
        <v>1</v>
      </c>
      <c r="Y236" s="30">
        <v>0</v>
      </c>
      <c r="Z236" s="233">
        <v>0</v>
      </c>
      <c r="AA236" s="30">
        <v>0</v>
      </c>
      <c r="AB236" s="30">
        <v>0</v>
      </c>
      <c r="AC236" s="30">
        <v>0</v>
      </c>
      <c r="AD236" s="30">
        <v>0</v>
      </c>
      <c r="AE236" s="89" t="s">
        <v>92</v>
      </c>
      <c r="AF236" s="89" t="s">
        <v>68</v>
      </c>
      <c r="AG236" s="89" t="s">
        <v>82</v>
      </c>
      <c r="AH236" s="72">
        <v>39139</v>
      </c>
      <c r="AI236" s="30">
        <v>3</v>
      </c>
      <c r="AJ236" s="89" t="s">
        <v>1512</v>
      </c>
      <c r="AK236" s="89" t="s">
        <v>68</v>
      </c>
      <c r="AL236" s="91">
        <v>39190</v>
      </c>
      <c r="AM236" s="91"/>
      <c r="AN236" s="91"/>
      <c r="AO236" s="91"/>
      <c r="AP236" s="73" t="e">
        <f>MID(VLOOKUP(K236,#REF!,2,FALSE),1,2)</f>
        <v>#REF!</v>
      </c>
      <c r="AQ236" s="89">
        <f>DATE(2007,2,2)</f>
        <v>39115</v>
      </c>
      <c r="AR236" s="82">
        <f t="shared" si="18"/>
        <v>2</v>
      </c>
      <c r="AS236" s="83">
        <f t="shared" si="19"/>
        <v>2</v>
      </c>
      <c r="AT236" s="84">
        <f t="shared" si="20"/>
        <v>2007</v>
      </c>
      <c r="AU236" s="86"/>
      <c r="AV236" s="86"/>
      <c r="AW236" s="87"/>
      <c r="AX236" s="86"/>
      <c r="AY236" s="83"/>
      <c r="AZ236" s="84"/>
      <c r="BA236" s="86"/>
      <c r="BB236" s="86"/>
    </row>
    <row r="237" spans="1:56" ht="36.75" customHeight="1">
      <c r="A237" s="30"/>
      <c r="B237" s="30" t="s">
        <v>55</v>
      </c>
      <c r="C237" s="69" t="str">
        <f t="shared" si="17"/>
        <v>Closed</v>
      </c>
      <c r="D237" s="27" t="s">
        <v>1513</v>
      </c>
      <c r="E237" s="29" t="s">
        <v>1514</v>
      </c>
      <c r="F237" s="30" t="s">
        <v>638</v>
      </c>
      <c r="G237" s="89">
        <f>DATE(2007,2,5)</f>
        <v>39118</v>
      </c>
      <c r="H237" s="90">
        <v>1.6090277777777779</v>
      </c>
      <c r="I237" s="30" t="s">
        <v>116</v>
      </c>
      <c r="J237" s="89" t="s">
        <v>1515</v>
      </c>
      <c r="K237" s="30" t="s">
        <v>640</v>
      </c>
      <c r="L237" s="30" t="s">
        <v>1516</v>
      </c>
      <c r="M237" s="30" t="s">
        <v>63</v>
      </c>
      <c r="N237" s="30">
        <v>0</v>
      </c>
      <c r="O237" s="30" t="s">
        <v>77</v>
      </c>
      <c r="P237" s="89" t="s">
        <v>65</v>
      </c>
      <c r="Q237" s="89" t="s">
        <v>642</v>
      </c>
      <c r="R237" s="89" t="s">
        <v>643</v>
      </c>
      <c r="S237" s="30">
        <v>0</v>
      </c>
      <c r="T237" s="233">
        <v>0</v>
      </c>
      <c r="U237" s="30">
        <v>1</v>
      </c>
      <c r="V237" s="233">
        <v>0</v>
      </c>
      <c r="W237" s="30">
        <v>0</v>
      </c>
      <c r="X237" s="30">
        <v>1</v>
      </c>
      <c r="Y237" s="30">
        <v>0</v>
      </c>
      <c r="Z237" s="233">
        <v>0</v>
      </c>
      <c r="AA237" s="30">
        <v>0</v>
      </c>
      <c r="AB237" s="30">
        <v>0</v>
      </c>
      <c r="AC237" s="30">
        <v>0</v>
      </c>
      <c r="AD237" s="30">
        <v>0</v>
      </c>
      <c r="AE237" s="89" t="s">
        <v>68</v>
      </c>
      <c r="AF237" s="89" t="s">
        <v>68</v>
      </c>
      <c r="AG237" s="89" t="s">
        <v>248</v>
      </c>
      <c r="AH237" s="72" t="s">
        <v>68</v>
      </c>
      <c r="AI237" s="30">
        <v>2</v>
      </c>
      <c r="AJ237" s="89" t="s">
        <v>68</v>
      </c>
      <c r="AK237" s="89" t="s">
        <v>68</v>
      </c>
      <c r="AL237" s="91">
        <v>39230</v>
      </c>
      <c r="AM237" s="91"/>
      <c r="AN237" s="91"/>
      <c r="AO237" s="91"/>
      <c r="AP237" s="73" t="e">
        <f>MID(VLOOKUP(K237,#REF!,2,FALSE),1,2)</f>
        <v>#REF!</v>
      </c>
      <c r="AQ237" s="89">
        <f>DATE(2007,2,5)</f>
        <v>39118</v>
      </c>
      <c r="AR237" s="82">
        <f t="shared" si="18"/>
        <v>5</v>
      </c>
      <c r="AS237" s="83">
        <f t="shared" si="19"/>
        <v>2</v>
      </c>
      <c r="AT237" s="84">
        <f t="shared" si="20"/>
        <v>2007</v>
      </c>
      <c r="AU237" s="86"/>
      <c r="AV237" s="86"/>
      <c r="AW237" s="87"/>
      <c r="AX237" s="86"/>
      <c r="AY237" s="83"/>
      <c r="AZ237" s="84"/>
      <c r="BA237" s="86"/>
      <c r="BB237" s="86"/>
    </row>
    <row r="238" spans="1:56" ht="36.75" customHeight="1">
      <c r="A238" s="30"/>
      <c r="B238" s="30" t="s">
        <v>55</v>
      </c>
      <c r="C238" s="69" t="str">
        <f t="shared" si="17"/>
        <v>Closed</v>
      </c>
      <c r="D238" s="27" t="s">
        <v>1517</v>
      </c>
      <c r="E238" s="29" t="s">
        <v>1518</v>
      </c>
      <c r="F238" s="30" t="s">
        <v>233</v>
      </c>
      <c r="G238" s="89">
        <f>DATE(2007,2,5)</f>
        <v>39118</v>
      </c>
      <c r="H238" s="90">
        <v>1.9375</v>
      </c>
      <c r="I238" s="30" t="s">
        <v>156</v>
      </c>
      <c r="J238" s="89" t="s">
        <v>1519</v>
      </c>
      <c r="K238" s="30" t="s">
        <v>235</v>
      </c>
      <c r="L238" s="30" t="s">
        <v>1520</v>
      </c>
      <c r="M238" s="30" t="s">
        <v>63</v>
      </c>
      <c r="N238" s="30">
        <v>0</v>
      </c>
      <c r="O238" s="30" t="s">
        <v>64</v>
      </c>
      <c r="P238" s="89" t="s">
        <v>165</v>
      </c>
      <c r="Q238" s="89" t="s">
        <v>1521</v>
      </c>
      <c r="R238" s="89" t="s">
        <v>238</v>
      </c>
      <c r="S238" s="30">
        <v>0</v>
      </c>
      <c r="T238" s="233" t="s">
        <v>68</v>
      </c>
      <c r="U238" s="30">
        <v>0</v>
      </c>
      <c r="V238" s="233" t="s">
        <v>68</v>
      </c>
      <c r="W238" s="30">
        <v>0</v>
      </c>
      <c r="X238" s="30">
        <v>0</v>
      </c>
      <c r="Y238" s="30">
        <v>0</v>
      </c>
      <c r="Z238" s="233" t="s">
        <v>68</v>
      </c>
      <c r="AA238" s="30">
        <v>0</v>
      </c>
      <c r="AB238" s="30">
        <v>0</v>
      </c>
      <c r="AC238" s="30">
        <v>0</v>
      </c>
      <c r="AD238" s="30">
        <v>0</v>
      </c>
      <c r="AE238" s="89" t="s">
        <v>68</v>
      </c>
      <c r="AF238" s="89" t="s">
        <v>1522</v>
      </c>
      <c r="AG238" s="89" t="s">
        <v>133</v>
      </c>
      <c r="AH238" s="72" t="s">
        <v>68</v>
      </c>
      <c r="AI238" s="30">
        <v>6</v>
      </c>
      <c r="AJ238" s="89" t="s">
        <v>1523</v>
      </c>
      <c r="AK238" s="89" t="s">
        <v>1524</v>
      </c>
      <c r="AL238" s="91">
        <v>39184</v>
      </c>
      <c r="AM238" s="91"/>
      <c r="AN238" s="91"/>
      <c r="AO238" s="91"/>
      <c r="AP238" s="73" t="e">
        <f>MID(VLOOKUP(K238,#REF!,2,FALSE),1,2)</f>
        <v>#REF!</v>
      </c>
      <c r="AQ238" s="89">
        <f>DATE(2007,2,5)</f>
        <v>39118</v>
      </c>
      <c r="AR238" s="82">
        <f t="shared" si="18"/>
        <v>5</v>
      </c>
      <c r="AS238" s="83">
        <f t="shared" si="19"/>
        <v>2</v>
      </c>
      <c r="AT238" s="84">
        <f t="shared" si="20"/>
        <v>2007</v>
      </c>
      <c r="AU238" s="86"/>
      <c r="AV238" s="86"/>
      <c r="AW238" s="87"/>
      <c r="AX238" s="86"/>
      <c r="AY238" s="83"/>
      <c r="AZ238" s="84"/>
      <c r="BA238" s="86"/>
      <c r="BB238" s="86" t="s">
        <v>1525</v>
      </c>
    </row>
    <row r="239" spans="1:56" ht="36.75" customHeight="1">
      <c r="A239" s="30"/>
      <c r="B239" s="30" t="s">
        <v>55</v>
      </c>
      <c r="C239" s="69" t="str">
        <f t="shared" si="17"/>
        <v>Closed</v>
      </c>
      <c r="D239" s="27" t="s">
        <v>1526</v>
      </c>
      <c r="E239" s="29" t="s">
        <v>1527</v>
      </c>
      <c r="F239" s="30" t="s">
        <v>638</v>
      </c>
      <c r="G239" s="89">
        <f>DATE(2007,2,6)</f>
        <v>39119</v>
      </c>
      <c r="H239" s="90">
        <v>1.5083333333333333</v>
      </c>
      <c r="I239" s="30" t="s">
        <v>278</v>
      </c>
      <c r="J239" s="89" t="s">
        <v>1528</v>
      </c>
      <c r="K239" s="30" t="s">
        <v>640</v>
      </c>
      <c r="L239" s="30" t="s">
        <v>1529</v>
      </c>
      <c r="M239" s="30" t="s">
        <v>63</v>
      </c>
      <c r="N239" s="30">
        <v>0</v>
      </c>
      <c r="O239" s="30" t="s">
        <v>64</v>
      </c>
      <c r="P239" s="89" t="s">
        <v>65</v>
      </c>
      <c r="Q239" s="89" t="s">
        <v>642</v>
      </c>
      <c r="R239" s="89" t="s">
        <v>643</v>
      </c>
      <c r="S239" s="30">
        <v>0</v>
      </c>
      <c r="T239" s="233">
        <v>0</v>
      </c>
      <c r="U239" s="30">
        <v>0</v>
      </c>
      <c r="V239" s="233">
        <v>1</v>
      </c>
      <c r="W239" s="30">
        <v>0</v>
      </c>
      <c r="X239" s="30">
        <v>1</v>
      </c>
      <c r="Y239" s="30">
        <v>0</v>
      </c>
      <c r="Z239" s="233">
        <v>0</v>
      </c>
      <c r="AA239" s="30">
        <v>0</v>
      </c>
      <c r="AB239" s="30">
        <v>0</v>
      </c>
      <c r="AC239" s="30">
        <v>0</v>
      </c>
      <c r="AD239" s="30">
        <v>0</v>
      </c>
      <c r="AE239" s="89" t="s">
        <v>68</v>
      </c>
      <c r="AF239" s="89" t="s">
        <v>68</v>
      </c>
      <c r="AG239" s="89" t="s">
        <v>248</v>
      </c>
      <c r="AH239" s="72" t="s">
        <v>68</v>
      </c>
      <c r="AI239" s="30">
        <v>2</v>
      </c>
      <c r="AJ239" s="89" t="s">
        <v>68</v>
      </c>
      <c r="AK239" s="89" t="s">
        <v>68</v>
      </c>
      <c r="AL239" s="91">
        <v>39230</v>
      </c>
      <c r="AM239" s="91"/>
      <c r="AN239" s="91"/>
      <c r="AO239" s="91"/>
      <c r="AP239" s="73" t="e">
        <f>MID(VLOOKUP(K239,#REF!,2,FALSE),1,2)</f>
        <v>#REF!</v>
      </c>
      <c r="AQ239" s="89">
        <f>DATE(2007,2,6)</f>
        <v>39119</v>
      </c>
      <c r="AR239" s="82">
        <f t="shared" si="18"/>
        <v>6</v>
      </c>
      <c r="AS239" s="83">
        <f t="shared" si="19"/>
        <v>2</v>
      </c>
      <c r="AT239" s="84">
        <f t="shared" si="20"/>
        <v>2007</v>
      </c>
      <c r="AU239" s="86"/>
      <c r="AV239" s="86"/>
      <c r="AW239" s="87"/>
      <c r="AX239" s="86"/>
      <c r="AY239" s="83"/>
      <c r="AZ239" s="84"/>
      <c r="BA239" s="86"/>
      <c r="BB239" s="86"/>
    </row>
    <row r="240" spans="1:56" ht="36.75" customHeight="1">
      <c r="A240" s="30"/>
      <c r="B240" s="30" t="s">
        <v>55</v>
      </c>
      <c r="C240" s="69" t="str">
        <f t="shared" si="17"/>
        <v>Closed</v>
      </c>
      <c r="D240" s="27" t="s">
        <v>1530</v>
      </c>
      <c r="E240" s="29" t="s">
        <v>1531</v>
      </c>
      <c r="F240" s="30" t="s">
        <v>835</v>
      </c>
      <c r="G240" s="89">
        <f>DATE(2007,2,6)</f>
        <v>39119</v>
      </c>
      <c r="H240" s="90">
        <v>1.7798611111111109</v>
      </c>
      <c r="I240" s="30" t="s">
        <v>198</v>
      </c>
      <c r="J240" s="89" t="s">
        <v>1532</v>
      </c>
      <c r="K240" s="30" t="s">
        <v>837</v>
      </c>
      <c r="L240" s="30" t="s">
        <v>1533</v>
      </c>
      <c r="M240" s="30" t="s">
        <v>63</v>
      </c>
      <c r="N240" s="30">
        <v>0</v>
      </c>
      <c r="O240" s="30" t="s">
        <v>64</v>
      </c>
      <c r="P240" s="89" t="s">
        <v>216</v>
      </c>
      <c r="Q240" s="89" t="s">
        <v>1360</v>
      </c>
      <c r="R240" s="89" t="s">
        <v>840</v>
      </c>
      <c r="S240" s="30">
        <v>0</v>
      </c>
      <c r="T240" s="233">
        <v>1</v>
      </c>
      <c r="U240" s="30">
        <v>0</v>
      </c>
      <c r="V240" s="233">
        <v>0</v>
      </c>
      <c r="W240" s="30">
        <v>0</v>
      </c>
      <c r="X240" s="30">
        <v>1</v>
      </c>
      <c r="Y240" s="30">
        <v>2</v>
      </c>
      <c r="Z240" s="233">
        <v>0</v>
      </c>
      <c r="AA240" s="30">
        <v>0</v>
      </c>
      <c r="AB240" s="30">
        <v>0</v>
      </c>
      <c r="AC240" s="30">
        <v>0</v>
      </c>
      <c r="AD240" s="30">
        <v>2</v>
      </c>
      <c r="AE240" s="89" t="s">
        <v>68</v>
      </c>
      <c r="AF240" s="89" t="s">
        <v>1534</v>
      </c>
      <c r="AG240" s="89" t="s">
        <v>82</v>
      </c>
      <c r="AH240" s="72" t="s">
        <v>68</v>
      </c>
      <c r="AI240" s="30">
        <v>4</v>
      </c>
      <c r="AJ240" s="89" t="s">
        <v>68</v>
      </c>
      <c r="AK240" s="89" t="s">
        <v>68</v>
      </c>
      <c r="AL240" s="91">
        <v>39244</v>
      </c>
      <c r="AM240" s="91"/>
      <c r="AN240" s="91"/>
      <c r="AO240" s="91"/>
      <c r="AP240" s="73" t="e">
        <f>MID(VLOOKUP(K240,#REF!,2,FALSE),1,2)</f>
        <v>#REF!</v>
      </c>
      <c r="AQ240" s="89">
        <f>DATE(2007,2,6)</f>
        <v>39119</v>
      </c>
      <c r="AR240" s="82">
        <f t="shared" si="18"/>
        <v>6</v>
      </c>
      <c r="AS240" s="83">
        <f t="shared" si="19"/>
        <v>2</v>
      </c>
      <c r="AT240" s="84">
        <f t="shared" si="20"/>
        <v>2007</v>
      </c>
      <c r="AU240" s="86"/>
      <c r="AV240" s="86"/>
      <c r="AW240" s="87"/>
      <c r="AX240" s="86"/>
      <c r="AY240" s="83"/>
      <c r="AZ240" s="84"/>
      <c r="BA240" s="86"/>
      <c r="BB240" s="86"/>
    </row>
    <row r="241" spans="1:54" ht="36.75" customHeight="1">
      <c r="A241" s="30"/>
      <c r="B241" s="30" t="s">
        <v>55</v>
      </c>
      <c r="C241" s="69" t="str">
        <f t="shared" si="17"/>
        <v>Closed</v>
      </c>
      <c r="D241" s="27" t="s">
        <v>1535</v>
      </c>
      <c r="E241" s="29" t="s">
        <v>1536</v>
      </c>
      <c r="F241" s="30" t="s">
        <v>638</v>
      </c>
      <c r="G241" s="89">
        <f>DATE(2007,2,7)</f>
        <v>39120</v>
      </c>
      <c r="H241" s="90">
        <v>1.6458333333333335</v>
      </c>
      <c r="I241" s="30" t="s">
        <v>278</v>
      </c>
      <c r="J241" s="89" t="s">
        <v>1537</v>
      </c>
      <c r="K241" s="30" t="s">
        <v>640</v>
      </c>
      <c r="L241" s="30" t="s">
        <v>1538</v>
      </c>
      <c r="M241" s="30" t="s">
        <v>63</v>
      </c>
      <c r="N241" s="30">
        <v>0</v>
      </c>
      <c r="O241" s="30" t="s">
        <v>64</v>
      </c>
      <c r="P241" s="89" t="s">
        <v>65</v>
      </c>
      <c r="Q241" s="89" t="s">
        <v>642</v>
      </c>
      <c r="R241" s="89" t="s">
        <v>643</v>
      </c>
      <c r="S241" s="30">
        <v>0</v>
      </c>
      <c r="T241" s="233">
        <v>0</v>
      </c>
      <c r="U241" s="30">
        <v>0</v>
      </c>
      <c r="V241" s="233">
        <v>1</v>
      </c>
      <c r="W241" s="30">
        <v>0</v>
      </c>
      <c r="X241" s="30">
        <v>1</v>
      </c>
      <c r="Y241" s="30">
        <v>0</v>
      </c>
      <c r="Z241" s="233">
        <v>0</v>
      </c>
      <c r="AA241" s="30">
        <v>0</v>
      </c>
      <c r="AB241" s="30">
        <v>0</v>
      </c>
      <c r="AC241" s="30">
        <v>0</v>
      </c>
      <c r="AD241" s="30">
        <v>0</v>
      </c>
      <c r="AE241" s="89" t="s">
        <v>68</v>
      </c>
      <c r="AF241" s="89" t="s">
        <v>68</v>
      </c>
      <c r="AG241" s="89" t="s">
        <v>248</v>
      </c>
      <c r="AH241" s="72" t="s">
        <v>68</v>
      </c>
      <c r="AI241" s="30">
        <v>0</v>
      </c>
      <c r="AJ241" s="89" t="s">
        <v>68</v>
      </c>
      <c r="AK241" s="89" t="s">
        <v>68</v>
      </c>
      <c r="AL241" s="91">
        <v>39230</v>
      </c>
      <c r="AM241" s="91"/>
      <c r="AN241" s="91"/>
      <c r="AO241" s="91"/>
      <c r="AP241" s="73" t="e">
        <f>MID(VLOOKUP(K241,#REF!,2,FALSE),1,2)</f>
        <v>#REF!</v>
      </c>
      <c r="AQ241" s="89">
        <f>DATE(2007,2,7)</f>
        <v>39120</v>
      </c>
      <c r="AR241" s="82">
        <f t="shared" si="18"/>
        <v>7</v>
      </c>
      <c r="AS241" s="83">
        <f t="shared" si="19"/>
        <v>2</v>
      </c>
      <c r="AT241" s="84">
        <f t="shared" si="20"/>
        <v>2007</v>
      </c>
      <c r="AU241" s="86"/>
      <c r="AV241" s="86"/>
      <c r="AW241" s="87"/>
      <c r="AX241" s="86"/>
      <c r="AY241" s="83"/>
      <c r="AZ241" s="84"/>
      <c r="BA241" s="86"/>
      <c r="BB241" s="86"/>
    </row>
    <row r="242" spans="1:54" ht="36.75" customHeight="1">
      <c r="A242" s="30"/>
      <c r="B242" s="30" t="s">
        <v>55</v>
      </c>
      <c r="C242" s="69" t="str">
        <f t="shared" si="17"/>
        <v>Closed</v>
      </c>
      <c r="D242" s="27" t="s">
        <v>1539</v>
      </c>
      <c r="E242" s="29" t="s">
        <v>1540</v>
      </c>
      <c r="F242" s="30" t="s">
        <v>423</v>
      </c>
      <c r="G242" s="89">
        <f>DATE(2007,2,9)</f>
        <v>39122</v>
      </c>
      <c r="H242" s="90">
        <v>1.5249999999999999</v>
      </c>
      <c r="I242" s="30" t="s">
        <v>198</v>
      </c>
      <c r="J242" s="89" t="s">
        <v>1541</v>
      </c>
      <c r="K242" s="30" t="s">
        <v>425</v>
      </c>
      <c r="L242" s="30" t="s">
        <v>1542</v>
      </c>
      <c r="M242" s="30" t="s">
        <v>63</v>
      </c>
      <c r="N242" s="30">
        <v>0</v>
      </c>
      <c r="O242" s="30" t="s">
        <v>77</v>
      </c>
      <c r="P242" s="89" t="s">
        <v>553</v>
      </c>
      <c r="Q242" s="89" t="s">
        <v>554</v>
      </c>
      <c r="R242" s="89" t="s">
        <v>427</v>
      </c>
      <c r="S242" s="30">
        <v>0</v>
      </c>
      <c r="T242" s="233">
        <v>0</v>
      </c>
      <c r="U242" s="30">
        <v>0</v>
      </c>
      <c r="V242" s="233">
        <v>0</v>
      </c>
      <c r="W242" s="30">
        <v>0</v>
      </c>
      <c r="X242" s="30">
        <v>0</v>
      </c>
      <c r="Y242" s="30">
        <v>0</v>
      </c>
      <c r="Z242" s="233">
        <v>1</v>
      </c>
      <c r="AA242" s="30">
        <v>0</v>
      </c>
      <c r="AB242" s="30">
        <v>0</v>
      </c>
      <c r="AC242" s="30">
        <v>0</v>
      </c>
      <c r="AD242" s="30">
        <v>1</v>
      </c>
      <c r="AE242" s="89" t="s">
        <v>68</v>
      </c>
      <c r="AF242" s="89" t="s">
        <v>1543</v>
      </c>
      <c r="AG242" s="89" t="s">
        <v>82</v>
      </c>
      <c r="AH242" s="72" t="s">
        <v>68</v>
      </c>
      <c r="AI242" s="30">
        <v>0</v>
      </c>
      <c r="AJ242" s="89" t="s">
        <v>68</v>
      </c>
      <c r="AK242" s="89" t="s">
        <v>68</v>
      </c>
      <c r="AL242" s="91">
        <v>39182</v>
      </c>
      <c r="AM242" s="91"/>
      <c r="AN242" s="91"/>
      <c r="AO242" s="91"/>
      <c r="AP242" s="73" t="e">
        <f>MID(VLOOKUP(K242,#REF!,2,FALSE),1,2)</f>
        <v>#REF!</v>
      </c>
      <c r="AQ242" s="89">
        <f>DATE(2007,2,9)</f>
        <v>39122</v>
      </c>
      <c r="AR242" s="82">
        <f t="shared" si="18"/>
        <v>9</v>
      </c>
      <c r="AS242" s="83">
        <f t="shared" si="19"/>
        <v>2</v>
      </c>
      <c r="AT242" s="84">
        <f t="shared" si="20"/>
        <v>2007</v>
      </c>
      <c r="AU242" s="86"/>
      <c r="AV242" s="86"/>
      <c r="AW242" s="87"/>
      <c r="AX242" s="86"/>
      <c r="AY242" s="83"/>
      <c r="AZ242" s="84"/>
      <c r="BA242" s="86"/>
      <c r="BB242" s="86"/>
    </row>
    <row r="243" spans="1:54" ht="36.75" customHeight="1">
      <c r="A243" s="30"/>
      <c r="B243" s="30" t="s">
        <v>55</v>
      </c>
      <c r="C243" s="69" t="str">
        <f t="shared" si="17"/>
        <v>Closed</v>
      </c>
      <c r="D243" s="27" t="s">
        <v>1544</v>
      </c>
      <c r="E243" s="29" t="s">
        <v>1545</v>
      </c>
      <c r="F243" s="30" t="s">
        <v>594</v>
      </c>
      <c r="G243" s="89">
        <f>DATE(2007,2,12)</f>
        <v>39125</v>
      </c>
      <c r="H243" s="90">
        <v>1.7673611111111112</v>
      </c>
      <c r="I243" s="30" t="s">
        <v>73</v>
      </c>
      <c r="J243" s="89" t="s">
        <v>1546</v>
      </c>
      <c r="K243" s="30" t="s">
        <v>596</v>
      </c>
      <c r="L243" s="30" t="s">
        <v>1547</v>
      </c>
      <c r="M243" s="30" t="s">
        <v>63</v>
      </c>
      <c r="N243" s="30">
        <v>0</v>
      </c>
      <c r="O243" s="30" t="s">
        <v>64</v>
      </c>
      <c r="P243" s="89" t="s">
        <v>165</v>
      </c>
      <c r="Q243" s="89" t="s">
        <v>598</v>
      </c>
      <c r="R243" s="89" t="s">
        <v>599</v>
      </c>
      <c r="S243" s="30">
        <v>1</v>
      </c>
      <c r="T243" s="233">
        <v>2</v>
      </c>
      <c r="U243" s="30">
        <v>0</v>
      </c>
      <c r="V243" s="233">
        <v>0</v>
      </c>
      <c r="W243" s="30">
        <v>0</v>
      </c>
      <c r="X243" s="30">
        <v>3</v>
      </c>
      <c r="Y243" s="30">
        <v>2</v>
      </c>
      <c r="Z243" s="233">
        <v>0</v>
      </c>
      <c r="AA243" s="30">
        <v>0</v>
      </c>
      <c r="AB243" s="30">
        <v>0</v>
      </c>
      <c r="AC243" s="30">
        <v>0</v>
      </c>
      <c r="AD243" s="30">
        <v>2</v>
      </c>
      <c r="AE243" s="89" t="s">
        <v>68</v>
      </c>
      <c r="AF243" s="89" t="s">
        <v>1548</v>
      </c>
      <c r="AG243" s="89" t="s">
        <v>82</v>
      </c>
      <c r="AH243" s="72" t="s">
        <v>68</v>
      </c>
      <c r="AI243" s="30">
        <v>3</v>
      </c>
      <c r="AJ243" s="89" t="s">
        <v>1546</v>
      </c>
      <c r="AK243" s="89" t="s">
        <v>68</v>
      </c>
      <c r="AL243" s="91">
        <v>39966</v>
      </c>
      <c r="AM243" s="91"/>
      <c r="AN243" s="91"/>
      <c r="AO243" s="91"/>
      <c r="AP243" s="73" t="e">
        <f>MID(VLOOKUP(K243,#REF!,2,FALSE),1,2)</f>
        <v>#REF!</v>
      </c>
      <c r="AQ243" s="89">
        <f>DATE(2007,2,12)</f>
        <v>39125</v>
      </c>
      <c r="AR243" s="82">
        <f t="shared" si="18"/>
        <v>12</v>
      </c>
      <c r="AS243" s="83">
        <f t="shared" si="19"/>
        <v>2</v>
      </c>
      <c r="AT243" s="84">
        <f t="shared" si="20"/>
        <v>2007</v>
      </c>
      <c r="AU243" s="86"/>
      <c r="AV243" s="86"/>
      <c r="AW243" s="87"/>
      <c r="AX243" s="86"/>
      <c r="AY243" s="83"/>
      <c r="AZ243" s="84"/>
      <c r="BA243" s="86"/>
      <c r="BB243" s="86"/>
    </row>
    <row r="244" spans="1:54" ht="36.75" customHeight="1">
      <c r="A244" s="30"/>
      <c r="B244" s="30" t="s">
        <v>55</v>
      </c>
      <c r="C244" s="69" t="str">
        <f t="shared" si="17"/>
        <v>Closed</v>
      </c>
      <c r="D244" s="27" t="s">
        <v>1549</v>
      </c>
      <c r="E244" s="29" t="s">
        <v>1550</v>
      </c>
      <c r="F244" s="30" t="s">
        <v>638</v>
      </c>
      <c r="G244" s="89">
        <f>DATE(2007,2,13)</f>
        <v>39126</v>
      </c>
      <c r="H244" s="90">
        <v>1.7777777777777777</v>
      </c>
      <c r="I244" s="30" t="s">
        <v>278</v>
      </c>
      <c r="J244" s="89" t="s">
        <v>1551</v>
      </c>
      <c r="K244" s="30" t="s">
        <v>640</v>
      </c>
      <c r="L244" s="30" t="s">
        <v>1552</v>
      </c>
      <c r="M244" s="30" t="s">
        <v>63</v>
      </c>
      <c r="N244" s="30">
        <v>0</v>
      </c>
      <c r="O244" s="30" t="s">
        <v>64</v>
      </c>
      <c r="P244" s="89" t="s">
        <v>65</v>
      </c>
      <c r="Q244" s="89" t="s">
        <v>642</v>
      </c>
      <c r="R244" s="89" t="s">
        <v>643</v>
      </c>
      <c r="S244" s="30">
        <v>0</v>
      </c>
      <c r="T244" s="233">
        <v>0</v>
      </c>
      <c r="U244" s="30">
        <v>0</v>
      </c>
      <c r="V244" s="233">
        <v>1</v>
      </c>
      <c r="W244" s="30">
        <v>0</v>
      </c>
      <c r="X244" s="30">
        <v>1</v>
      </c>
      <c r="Y244" s="30">
        <v>0</v>
      </c>
      <c r="Z244" s="233">
        <v>0</v>
      </c>
      <c r="AA244" s="30">
        <v>0</v>
      </c>
      <c r="AB244" s="30">
        <v>0</v>
      </c>
      <c r="AC244" s="30">
        <v>0</v>
      </c>
      <c r="AD244" s="30">
        <v>0</v>
      </c>
      <c r="AE244" s="89" t="s">
        <v>68</v>
      </c>
      <c r="AF244" s="89" t="s">
        <v>68</v>
      </c>
      <c r="AG244" s="89" t="s">
        <v>248</v>
      </c>
      <c r="AH244" s="72" t="s">
        <v>68</v>
      </c>
      <c r="AI244" s="30">
        <v>2</v>
      </c>
      <c r="AJ244" s="89" t="s">
        <v>68</v>
      </c>
      <c r="AK244" s="89" t="s">
        <v>68</v>
      </c>
      <c r="AL244" s="91">
        <v>39230</v>
      </c>
      <c r="AM244" s="91"/>
      <c r="AN244" s="91"/>
      <c r="AO244" s="91"/>
      <c r="AP244" s="73" t="e">
        <f>MID(VLOOKUP(K244,#REF!,2,FALSE),1,2)</f>
        <v>#REF!</v>
      </c>
      <c r="AQ244" s="89">
        <f>DATE(2007,2,13)</f>
        <v>39126</v>
      </c>
      <c r="AR244" s="82">
        <f t="shared" si="18"/>
        <v>13</v>
      </c>
      <c r="AS244" s="83">
        <f t="shared" si="19"/>
        <v>2</v>
      </c>
      <c r="AT244" s="84">
        <f t="shared" si="20"/>
        <v>2007</v>
      </c>
      <c r="AU244" s="86"/>
      <c r="AV244" s="86"/>
      <c r="AW244" s="87"/>
      <c r="AX244" s="86"/>
      <c r="AY244" s="83"/>
      <c r="AZ244" s="84"/>
      <c r="BA244" s="86"/>
      <c r="BB244" s="86"/>
    </row>
    <row r="245" spans="1:54" ht="36.75" customHeight="1">
      <c r="A245" s="30"/>
      <c r="B245" s="30" t="s">
        <v>55</v>
      </c>
      <c r="C245" s="69" t="str">
        <f t="shared" si="17"/>
        <v>Closed</v>
      </c>
      <c r="D245" s="27" t="s">
        <v>1553</v>
      </c>
      <c r="E245" s="29" t="s">
        <v>1554</v>
      </c>
      <c r="F245" s="30" t="s">
        <v>423</v>
      </c>
      <c r="G245" s="89">
        <f>DATE(2007,2,17)</f>
        <v>39130</v>
      </c>
      <c r="H245" s="90">
        <v>1.4361111111111111</v>
      </c>
      <c r="I245" s="30" t="s">
        <v>73</v>
      </c>
      <c r="J245" s="89" t="s">
        <v>1555</v>
      </c>
      <c r="K245" s="30" t="s">
        <v>425</v>
      </c>
      <c r="L245" s="30" t="s">
        <v>1556</v>
      </c>
      <c r="M245" s="30" t="s">
        <v>63</v>
      </c>
      <c r="N245" s="30">
        <v>0</v>
      </c>
      <c r="O245" s="30" t="s">
        <v>77</v>
      </c>
      <c r="P245" s="89" t="s">
        <v>65</v>
      </c>
      <c r="Q245" s="89" t="s">
        <v>427</v>
      </c>
      <c r="R245" s="89" t="s">
        <v>427</v>
      </c>
      <c r="S245" s="30">
        <v>0</v>
      </c>
      <c r="T245" s="233" t="s">
        <v>68</v>
      </c>
      <c r="U245" s="30">
        <v>0</v>
      </c>
      <c r="V245" s="233" t="s">
        <v>68</v>
      </c>
      <c r="W245" s="30">
        <v>0</v>
      </c>
      <c r="X245" s="30">
        <v>0</v>
      </c>
      <c r="Y245" s="30">
        <v>0</v>
      </c>
      <c r="Z245" s="233" t="s">
        <v>68</v>
      </c>
      <c r="AA245" s="30">
        <v>0</v>
      </c>
      <c r="AB245" s="30">
        <v>0</v>
      </c>
      <c r="AC245" s="30">
        <v>0</v>
      </c>
      <c r="AD245" s="30">
        <v>0</v>
      </c>
      <c r="AE245" s="89" t="s">
        <v>68</v>
      </c>
      <c r="AF245" s="89" t="s">
        <v>1557</v>
      </c>
      <c r="AG245" s="89" t="s">
        <v>874</v>
      </c>
      <c r="AH245" s="72" t="s">
        <v>68</v>
      </c>
      <c r="AI245" s="30">
        <v>0</v>
      </c>
      <c r="AJ245" s="89" t="s">
        <v>68</v>
      </c>
      <c r="AK245" s="89" t="s">
        <v>68</v>
      </c>
      <c r="AL245" s="91">
        <v>39280</v>
      </c>
      <c r="AM245" s="91"/>
      <c r="AN245" s="91"/>
      <c r="AO245" s="91"/>
      <c r="AP245" s="73" t="e">
        <f>MID(VLOOKUP(K245,#REF!,2,FALSE),1,2)</f>
        <v>#REF!</v>
      </c>
      <c r="AQ245" s="89">
        <f>DATE(2007,2,17)</f>
        <v>39130</v>
      </c>
      <c r="AR245" s="82">
        <f t="shared" si="18"/>
        <v>17</v>
      </c>
      <c r="AS245" s="83">
        <f t="shared" si="19"/>
        <v>2</v>
      </c>
      <c r="AT245" s="84">
        <f t="shared" si="20"/>
        <v>2007</v>
      </c>
      <c r="AU245" s="86"/>
      <c r="AV245" s="86"/>
      <c r="AW245" s="87"/>
      <c r="AX245" s="86"/>
      <c r="AY245" s="83"/>
      <c r="AZ245" s="84"/>
      <c r="BA245" s="86"/>
      <c r="BB245" s="86"/>
    </row>
    <row r="246" spans="1:54" ht="36.75" customHeight="1">
      <c r="A246" s="30"/>
      <c r="B246" s="30" t="s">
        <v>55</v>
      </c>
      <c r="C246" s="69" t="str">
        <f t="shared" si="17"/>
        <v>Closed</v>
      </c>
      <c r="D246" s="27" t="s">
        <v>1558</v>
      </c>
      <c r="E246" s="29" t="s">
        <v>1559</v>
      </c>
      <c r="F246" s="30" t="s">
        <v>423</v>
      </c>
      <c r="G246" s="89">
        <f>DATE(2007,2,20)</f>
        <v>39133</v>
      </c>
      <c r="H246" s="90">
        <v>1.4916666666666667</v>
      </c>
      <c r="I246" s="30" t="s">
        <v>73</v>
      </c>
      <c r="J246" s="89" t="s">
        <v>1560</v>
      </c>
      <c r="K246" s="30" t="s">
        <v>425</v>
      </c>
      <c r="L246" s="30" t="s">
        <v>1561</v>
      </c>
      <c r="M246" s="30" t="s">
        <v>63</v>
      </c>
      <c r="N246" s="30">
        <v>0</v>
      </c>
      <c r="O246" s="30" t="s">
        <v>64</v>
      </c>
      <c r="P246" s="89" t="s">
        <v>78</v>
      </c>
      <c r="Q246" s="89" t="s">
        <v>989</v>
      </c>
      <c r="R246" s="89" t="s">
        <v>989</v>
      </c>
      <c r="S246" s="30">
        <v>0</v>
      </c>
      <c r="T246" s="233" t="s">
        <v>68</v>
      </c>
      <c r="U246" s="30">
        <v>0</v>
      </c>
      <c r="V246" s="233" t="s">
        <v>68</v>
      </c>
      <c r="W246" s="30">
        <v>0</v>
      </c>
      <c r="X246" s="30">
        <v>0</v>
      </c>
      <c r="Y246" s="30">
        <v>0</v>
      </c>
      <c r="Z246" s="233" t="s">
        <v>68</v>
      </c>
      <c r="AA246" s="30">
        <v>0</v>
      </c>
      <c r="AB246" s="30">
        <v>0</v>
      </c>
      <c r="AC246" s="30">
        <v>0</v>
      </c>
      <c r="AD246" s="30">
        <v>0</v>
      </c>
      <c r="AE246" s="89" t="s">
        <v>68</v>
      </c>
      <c r="AF246" s="89" t="s">
        <v>1562</v>
      </c>
      <c r="AG246" s="89" t="s">
        <v>133</v>
      </c>
      <c r="AH246" s="72" t="s">
        <v>68</v>
      </c>
      <c r="AI246" s="30">
        <v>2</v>
      </c>
      <c r="AJ246" s="89" t="s">
        <v>1563</v>
      </c>
      <c r="AK246" s="89" t="s">
        <v>68</v>
      </c>
      <c r="AL246" s="91">
        <v>39280</v>
      </c>
      <c r="AM246" s="91"/>
      <c r="AN246" s="91"/>
      <c r="AO246" s="91"/>
      <c r="AP246" s="73" t="e">
        <f>MID(VLOOKUP(K246,#REF!,2,FALSE),1,2)</f>
        <v>#REF!</v>
      </c>
      <c r="AQ246" s="89">
        <f>DATE(2007,2,20)</f>
        <v>39133</v>
      </c>
      <c r="AR246" s="82">
        <f t="shared" si="18"/>
        <v>20</v>
      </c>
      <c r="AS246" s="83">
        <f t="shared" si="19"/>
        <v>2</v>
      </c>
      <c r="AT246" s="84">
        <f t="shared" si="20"/>
        <v>2007</v>
      </c>
      <c r="AU246" s="86"/>
      <c r="AV246" s="86"/>
      <c r="AW246" s="87"/>
      <c r="AX246" s="86"/>
      <c r="AY246" s="83"/>
      <c r="AZ246" s="84"/>
      <c r="BA246" s="86"/>
      <c r="BB246" s="86"/>
    </row>
    <row r="247" spans="1:54" ht="36.75" customHeight="1">
      <c r="A247" s="30"/>
      <c r="B247" s="30" t="s">
        <v>55</v>
      </c>
      <c r="C247" s="69" t="str">
        <f t="shared" si="17"/>
        <v>Closed</v>
      </c>
      <c r="D247" s="27" t="s">
        <v>1564</v>
      </c>
      <c r="E247" s="29" t="s">
        <v>1565</v>
      </c>
      <c r="F247" s="30" t="s">
        <v>124</v>
      </c>
      <c r="G247" s="89">
        <f>DATE(2007,2,21)</f>
        <v>39134</v>
      </c>
      <c r="H247" s="90">
        <v>1.3680555555555556</v>
      </c>
      <c r="I247" s="30" t="s">
        <v>156</v>
      </c>
      <c r="J247" s="89" t="s">
        <v>1566</v>
      </c>
      <c r="K247" s="30" t="s">
        <v>127</v>
      </c>
      <c r="L247" s="30" t="s">
        <v>1567</v>
      </c>
      <c r="M247" s="30" t="s">
        <v>63</v>
      </c>
      <c r="N247" s="30">
        <v>0</v>
      </c>
      <c r="O247" s="30" t="s">
        <v>64</v>
      </c>
      <c r="P247" s="89" t="s">
        <v>65</v>
      </c>
      <c r="Q247" s="89" t="s">
        <v>229</v>
      </c>
      <c r="R247" s="89" t="s">
        <v>167</v>
      </c>
      <c r="S247" s="30">
        <v>0</v>
      </c>
      <c r="T247" s="233" t="s">
        <v>68</v>
      </c>
      <c r="U247" s="30">
        <v>0</v>
      </c>
      <c r="V247" s="233" t="s">
        <v>68</v>
      </c>
      <c r="W247" s="30">
        <v>0</v>
      </c>
      <c r="X247" s="30">
        <v>0</v>
      </c>
      <c r="Y247" s="30">
        <v>0</v>
      </c>
      <c r="Z247" s="233" t="s">
        <v>68</v>
      </c>
      <c r="AA247" s="30">
        <v>0</v>
      </c>
      <c r="AB247" s="30">
        <v>0</v>
      </c>
      <c r="AC247" s="30">
        <v>0</v>
      </c>
      <c r="AD247" s="30">
        <v>0</v>
      </c>
      <c r="AE247" s="89" t="s">
        <v>68</v>
      </c>
      <c r="AF247" s="89" t="s">
        <v>1568</v>
      </c>
      <c r="AG247" s="89" t="s">
        <v>82</v>
      </c>
      <c r="AH247" s="72" t="s">
        <v>68</v>
      </c>
      <c r="AI247" s="30">
        <v>3</v>
      </c>
      <c r="AJ247" s="89" t="s">
        <v>1569</v>
      </c>
      <c r="AK247" s="89" t="s">
        <v>68</v>
      </c>
      <c r="AL247" s="91">
        <v>39254</v>
      </c>
      <c r="AM247" s="91"/>
      <c r="AN247" s="91"/>
      <c r="AO247" s="91"/>
      <c r="AP247" s="73" t="e">
        <f>MID(VLOOKUP(K247,#REF!,2,FALSE),1,2)</f>
        <v>#REF!</v>
      </c>
      <c r="AQ247" s="89">
        <f>DATE(2007,2,21)</f>
        <v>39134</v>
      </c>
      <c r="AR247" s="82">
        <f t="shared" si="18"/>
        <v>21</v>
      </c>
      <c r="AS247" s="83">
        <f t="shared" si="19"/>
        <v>2</v>
      </c>
      <c r="AT247" s="84">
        <f t="shared" si="20"/>
        <v>2007</v>
      </c>
      <c r="AU247" s="86"/>
      <c r="AV247" s="86"/>
      <c r="AW247" s="87"/>
      <c r="AX247" s="86"/>
      <c r="AY247" s="83"/>
      <c r="AZ247" s="84"/>
      <c r="BA247" s="86"/>
      <c r="BB247" s="86"/>
    </row>
    <row r="248" spans="1:54" ht="36.75" customHeight="1">
      <c r="A248" s="30"/>
      <c r="B248" s="30" t="s">
        <v>55</v>
      </c>
      <c r="C248" s="69" t="str">
        <f t="shared" si="17"/>
        <v>Closed</v>
      </c>
      <c r="D248" s="27" t="s">
        <v>1570</v>
      </c>
      <c r="E248" s="29" t="s">
        <v>1571</v>
      </c>
      <c r="F248" s="30" t="s">
        <v>1572</v>
      </c>
      <c r="G248" s="89">
        <f>DATE(2007,2,22)</f>
        <v>39135</v>
      </c>
      <c r="H248" s="90">
        <v>1.7708333333333335</v>
      </c>
      <c r="I248" s="30" t="s">
        <v>73</v>
      </c>
      <c r="J248" s="89" t="s">
        <v>1573</v>
      </c>
      <c r="K248" s="30" t="s">
        <v>1574</v>
      </c>
      <c r="L248" s="30" t="s">
        <v>1575</v>
      </c>
      <c r="M248" s="30" t="s">
        <v>63</v>
      </c>
      <c r="N248" s="30">
        <v>0</v>
      </c>
      <c r="O248" s="30" t="s">
        <v>77</v>
      </c>
      <c r="P248" s="89" t="s">
        <v>78</v>
      </c>
      <c r="Q248" s="89" t="s">
        <v>1576</v>
      </c>
      <c r="R248" s="89">
        <v>0</v>
      </c>
      <c r="S248" s="30">
        <v>0</v>
      </c>
      <c r="T248" s="233" t="s">
        <v>68</v>
      </c>
      <c r="U248" s="30">
        <v>0</v>
      </c>
      <c r="V248" s="233" t="s">
        <v>68</v>
      </c>
      <c r="W248" s="30">
        <v>0</v>
      </c>
      <c r="X248" s="30">
        <v>0</v>
      </c>
      <c r="Y248" s="30">
        <v>0</v>
      </c>
      <c r="Z248" s="233" t="s">
        <v>68</v>
      </c>
      <c r="AA248" s="30">
        <v>0</v>
      </c>
      <c r="AB248" s="30">
        <v>0</v>
      </c>
      <c r="AC248" s="30">
        <v>0</v>
      </c>
      <c r="AD248" s="30">
        <v>0</v>
      </c>
      <c r="AE248" s="89" t="s">
        <v>68</v>
      </c>
      <c r="AF248" s="89" t="s">
        <v>1577</v>
      </c>
      <c r="AG248" s="89" t="s">
        <v>82</v>
      </c>
      <c r="AH248" s="72" t="s">
        <v>68</v>
      </c>
      <c r="AI248" s="30">
        <v>4</v>
      </c>
      <c r="AJ248" s="89" t="s">
        <v>1578</v>
      </c>
      <c r="AK248" s="89" t="s">
        <v>1579</v>
      </c>
      <c r="AL248" s="91">
        <v>39156</v>
      </c>
      <c r="AM248" s="91"/>
      <c r="AN248" s="91"/>
      <c r="AO248" s="91"/>
      <c r="AP248" s="73" t="e">
        <f>MID(VLOOKUP(K248,#REF!,2,FALSE),1,2)</f>
        <v>#REF!</v>
      </c>
      <c r="AQ248" s="89">
        <f>DATE(2007,2,22)</f>
        <v>39135</v>
      </c>
      <c r="AR248" s="82">
        <f t="shared" si="18"/>
        <v>22</v>
      </c>
      <c r="AS248" s="83">
        <f t="shared" si="19"/>
        <v>2</v>
      </c>
      <c r="AT248" s="84">
        <f t="shared" si="20"/>
        <v>2007</v>
      </c>
      <c r="AU248" s="86"/>
      <c r="AV248" s="86"/>
      <c r="AW248" s="87"/>
      <c r="AX248" s="86"/>
      <c r="AY248" s="83"/>
      <c r="AZ248" s="84"/>
      <c r="BA248" s="86"/>
      <c r="BB248" s="86"/>
    </row>
    <row r="249" spans="1:54" ht="36.75" customHeight="1">
      <c r="A249" s="30"/>
      <c r="B249" s="30" t="s">
        <v>55</v>
      </c>
      <c r="C249" s="69" t="str">
        <f t="shared" si="17"/>
        <v>Closed</v>
      </c>
      <c r="D249" s="27" t="s">
        <v>1580</v>
      </c>
      <c r="E249" s="29" t="s">
        <v>1581</v>
      </c>
      <c r="F249" s="30" t="s">
        <v>1572</v>
      </c>
      <c r="G249" s="89">
        <f>DATE(2007,2,22)</f>
        <v>39135</v>
      </c>
      <c r="H249" s="90">
        <v>1.1736111111111112</v>
      </c>
      <c r="I249" s="30" t="s">
        <v>73</v>
      </c>
      <c r="J249" s="89" t="s">
        <v>1582</v>
      </c>
      <c r="K249" s="30" t="s">
        <v>1574</v>
      </c>
      <c r="L249" s="30" t="s">
        <v>1583</v>
      </c>
      <c r="M249" s="30" t="s">
        <v>63</v>
      </c>
      <c r="N249" s="30">
        <v>0</v>
      </c>
      <c r="O249" s="30" t="s">
        <v>77</v>
      </c>
      <c r="P249" s="89" t="s">
        <v>78</v>
      </c>
      <c r="Q249" s="89" t="s">
        <v>1584</v>
      </c>
      <c r="R249" s="89">
        <v>0</v>
      </c>
      <c r="S249" s="30">
        <v>0</v>
      </c>
      <c r="T249" s="233" t="s">
        <v>68</v>
      </c>
      <c r="U249" s="30">
        <v>0</v>
      </c>
      <c r="V249" s="233" t="s">
        <v>68</v>
      </c>
      <c r="W249" s="30">
        <v>0</v>
      </c>
      <c r="X249" s="30">
        <v>0</v>
      </c>
      <c r="Y249" s="30">
        <v>0</v>
      </c>
      <c r="Z249" s="233" t="s">
        <v>68</v>
      </c>
      <c r="AA249" s="30">
        <v>0</v>
      </c>
      <c r="AB249" s="30">
        <v>0</v>
      </c>
      <c r="AC249" s="30">
        <v>0</v>
      </c>
      <c r="AD249" s="30">
        <v>0</v>
      </c>
      <c r="AE249" s="89" t="s">
        <v>68</v>
      </c>
      <c r="AF249" s="89" t="s">
        <v>1585</v>
      </c>
      <c r="AG249" s="89" t="s">
        <v>82</v>
      </c>
      <c r="AH249" s="72" t="s">
        <v>68</v>
      </c>
      <c r="AI249" s="30">
        <v>7</v>
      </c>
      <c r="AJ249" s="89" t="s">
        <v>1586</v>
      </c>
      <c r="AK249" s="89" t="s">
        <v>1587</v>
      </c>
      <c r="AL249" s="91">
        <v>39156</v>
      </c>
      <c r="AM249" s="91"/>
      <c r="AN249" s="91"/>
      <c r="AO249" s="91"/>
      <c r="AP249" s="73" t="e">
        <f>MID(VLOOKUP(K249,#REF!,2,FALSE),1,2)</f>
        <v>#REF!</v>
      </c>
      <c r="AQ249" s="89">
        <f>DATE(2007,2,22)</f>
        <v>39135</v>
      </c>
      <c r="AR249" s="82">
        <f t="shared" si="18"/>
        <v>22</v>
      </c>
      <c r="AS249" s="83">
        <f t="shared" si="19"/>
        <v>2</v>
      </c>
      <c r="AT249" s="84">
        <f t="shared" si="20"/>
        <v>2007</v>
      </c>
      <c r="AU249" s="86"/>
      <c r="AV249" s="86"/>
      <c r="AW249" s="87"/>
      <c r="AX249" s="86"/>
      <c r="AY249" s="83"/>
      <c r="AZ249" s="84"/>
      <c r="BA249" s="86"/>
      <c r="BB249" s="86"/>
    </row>
    <row r="250" spans="1:54" ht="36.75" customHeight="1">
      <c r="A250" s="30"/>
      <c r="B250" s="30" t="s">
        <v>55</v>
      </c>
      <c r="C250" s="69" t="str">
        <f t="shared" si="17"/>
        <v>Closed</v>
      </c>
      <c r="D250" s="27" t="s">
        <v>1588</v>
      </c>
      <c r="E250" s="29" t="s">
        <v>1589</v>
      </c>
      <c r="F250" s="30" t="s">
        <v>638</v>
      </c>
      <c r="G250" s="89">
        <f>DATE(2007,2,23)</f>
        <v>39136</v>
      </c>
      <c r="H250" s="90">
        <v>1.9944444444444445</v>
      </c>
      <c r="I250" s="30" t="s">
        <v>278</v>
      </c>
      <c r="J250" s="89" t="s">
        <v>1590</v>
      </c>
      <c r="K250" s="30" t="s">
        <v>640</v>
      </c>
      <c r="L250" s="30" t="s">
        <v>1591</v>
      </c>
      <c r="M250" s="30" t="s">
        <v>63</v>
      </c>
      <c r="N250" s="30">
        <v>0</v>
      </c>
      <c r="O250" s="30" t="s">
        <v>77</v>
      </c>
      <c r="P250" s="89" t="s">
        <v>165</v>
      </c>
      <c r="Q250" s="89" t="s">
        <v>642</v>
      </c>
      <c r="R250" s="89" t="s">
        <v>643</v>
      </c>
      <c r="S250" s="30">
        <v>0</v>
      </c>
      <c r="T250" s="233">
        <v>0</v>
      </c>
      <c r="U250" s="30">
        <v>0</v>
      </c>
      <c r="V250" s="233">
        <v>1</v>
      </c>
      <c r="W250" s="30">
        <v>0</v>
      </c>
      <c r="X250" s="30">
        <v>1</v>
      </c>
      <c r="Y250" s="30">
        <v>0</v>
      </c>
      <c r="Z250" s="233">
        <v>0</v>
      </c>
      <c r="AA250" s="30">
        <v>0</v>
      </c>
      <c r="AB250" s="30">
        <v>0</v>
      </c>
      <c r="AC250" s="30">
        <v>0</v>
      </c>
      <c r="AD250" s="30">
        <v>0</v>
      </c>
      <c r="AE250" s="89" t="s">
        <v>68</v>
      </c>
      <c r="AF250" s="89" t="s">
        <v>68</v>
      </c>
      <c r="AG250" s="89" t="s">
        <v>248</v>
      </c>
      <c r="AH250" s="72" t="s">
        <v>68</v>
      </c>
      <c r="AI250" s="30">
        <v>1</v>
      </c>
      <c r="AJ250" s="89" t="s">
        <v>68</v>
      </c>
      <c r="AK250" s="89" t="s">
        <v>68</v>
      </c>
      <c r="AL250" s="91">
        <v>39230</v>
      </c>
      <c r="AM250" s="91"/>
      <c r="AN250" s="91"/>
      <c r="AO250" s="91"/>
      <c r="AP250" s="73" t="e">
        <f>MID(VLOOKUP(K250,#REF!,2,FALSE),1,2)</f>
        <v>#REF!</v>
      </c>
      <c r="AQ250" s="89">
        <f>DATE(2007,2,23)</f>
        <v>39136</v>
      </c>
      <c r="AR250" s="82">
        <f t="shared" si="18"/>
        <v>23</v>
      </c>
      <c r="AS250" s="83">
        <f t="shared" si="19"/>
        <v>2</v>
      </c>
      <c r="AT250" s="84">
        <f t="shared" si="20"/>
        <v>2007</v>
      </c>
      <c r="AU250" s="86"/>
      <c r="AV250" s="86"/>
      <c r="AW250" s="87"/>
      <c r="AX250" s="86"/>
      <c r="AY250" s="83"/>
      <c r="AZ250" s="84"/>
      <c r="BA250" s="86"/>
      <c r="BB250" s="86"/>
    </row>
    <row r="251" spans="1:54" ht="36.75" customHeight="1">
      <c r="A251" s="30"/>
      <c r="B251" s="30" t="s">
        <v>55</v>
      </c>
      <c r="C251" s="69" t="str">
        <f t="shared" si="17"/>
        <v>Closed</v>
      </c>
      <c r="D251" s="27" t="s">
        <v>1592</v>
      </c>
      <c r="E251" s="29" t="s">
        <v>1593</v>
      </c>
      <c r="F251" s="30" t="s">
        <v>233</v>
      </c>
      <c r="G251" s="89">
        <f>DATE(2007,2,23)</f>
        <v>39136</v>
      </c>
      <c r="H251" s="90">
        <v>1.84375</v>
      </c>
      <c r="I251" s="30" t="s">
        <v>73</v>
      </c>
      <c r="J251" s="89" t="s">
        <v>1594</v>
      </c>
      <c r="K251" s="30" t="s">
        <v>235</v>
      </c>
      <c r="L251" s="30" t="s">
        <v>1595</v>
      </c>
      <c r="M251" s="30" t="s">
        <v>63</v>
      </c>
      <c r="N251" s="30">
        <v>0</v>
      </c>
      <c r="O251" s="30" t="s">
        <v>64</v>
      </c>
      <c r="P251" s="89" t="s">
        <v>462</v>
      </c>
      <c r="Q251" s="89" t="s">
        <v>1596</v>
      </c>
      <c r="R251" s="89" t="s">
        <v>238</v>
      </c>
      <c r="S251" s="30">
        <v>1</v>
      </c>
      <c r="T251" s="233">
        <v>0</v>
      </c>
      <c r="U251" s="30">
        <v>0</v>
      </c>
      <c r="V251" s="233">
        <v>0</v>
      </c>
      <c r="W251" s="30">
        <v>0</v>
      </c>
      <c r="X251" s="30">
        <v>1</v>
      </c>
      <c r="Y251" s="30">
        <v>5</v>
      </c>
      <c r="Z251" s="233">
        <v>0</v>
      </c>
      <c r="AA251" s="30">
        <v>0</v>
      </c>
      <c r="AB251" s="30">
        <v>0</v>
      </c>
      <c r="AC251" s="30">
        <v>0</v>
      </c>
      <c r="AD251" s="30">
        <v>5</v>
      </c>
      <c r="AE251" s="89" t="s">
        <v>68</v>
      </c>
      <c r="AF251" s="89" t="s">
        <v>1597</v>
      </c>
      <c r="AG251" s="89" t="s">
        <v>82</v>
      </c>
      <c r="AH251" s="72" t="s">
        <v>68</v>
      </c>
      <c r="AI251" s="30">
        <v>10</v>
      </c>
      <c r="AJ251" s="89" t="s">
        <v>1598</v>
      </c>
      <c r="AK251" s="89" t="s">
        <v>1599</v>
      </c>
      <c r="AL251" s="91">
        <v>39184</v>
      </c>
      <c r="AM251" s="91"/>
      <c r="AN251" s="91"/>
      <c r="AO251" s="91"/>
      <c r="AP251" s="73" t="e">
        <f>MID(VLOOKUP(K251,#REF!,2,FALSE),1,2)</f>
        <v>#REF!</v>
      </c>
      <c r="AQ251" s="89">
        <f>DATE(2007,2,23)</f>
        <v>39136</v>
      </c>
      <c r="AR251" s="82">
        <f t="shared" si="18"/>
        <v>23</v>
      </c>
      <c r="AS251" s="83">
        <f t="shared" si="19"/>
        <v>2</v>
      </c>
      <c r="AT251" s="84">
        <f t="shared" si="20"/>
        <v>2007</v>
      </c>
      <c r="AU251" s="86"/>
      <c r="AV251" s="86"/>
      <c r="AW251" s="87"/>
      <c r="AX251" s="86"/>
      <c r="AY251" s="83"/>
      <c r="AZ251" s="84"/>
      <c r="BA251" s="86"/>
      <c r="BB251" s="86"/>
    </row>
    <row r="252" spans="1:54" ht="36.75" customHeight="1">
      <c r="A252" s="30"/>
      <c r="B252" s="30" t="s">
        <v>55</v>
      </c>
      <c r="C252" s="69" t="str">
        <f t="shared" si="17"/>
        <v>Closed</v>
      </c>
      <c r="D252" s="27" t="s">
        <v>1600</v>
      </c>
      <c r="E252" s="29" t="s">
        <v>1601</v>
      </c>
      <c r="F252" s="30" t="s">
        <v>197</v>
      </c>
      <c r="G252" s="89">
        <f>DATE(2007,2,27)</f>
        <v>39140</v>
      </c>
      <c r="H252" s="90">
        <v>1.6548611111111111</v>
      </c>
      <c r="I252" s="30" t="s">
        <v>86</v>
      </c>
      <c r="J252" s="89" t="s">
        <v>1602</v>
      </c>
      <c r="K252" s="30" t="s">
        <v>200</v>
      </c>
      <c r="L252" s="30" t="s">
        <v>1603</v>
      </c>
      <c r="M252" s="30" t="s">
        <v>63</v>
      </c>
      <c r="N252" s="30">
        <v>0</v>
      </c>
      <c r="O252" s="30" t="s">
        <v>77</v>
      </c>
      <c r="P252" s="89" t="s">
        <v>216</v>
      </c>
      <c r="Q252" s="89" t="s">
        <v>217</v>
      </c>
      <c r="R252" s="89" t="s">
        <v>203</v>
      </c>
      <c r="S252" s="30">
        <v>0</v>
      </c>
      <c r="T252" s="233">
        <v>0</v>
      </c>
      <c r="U252" s="30">
        <v>0</v>
      </c>
      <c r="V252" s="233">
        <v>0</v>
      </c>
      <c r="W252" s="30">
        <v>0</v>
      </c>
      <c r="X252" s="30">
        <v>0</v>
      </c>
      <c r="Y252" s="30">
        <v>0</v>
      </c>
      <c r="Z252" s="233">
        <v>0</v>
      </c>
      <c r="AA252" s="30">
        <v>0</v>
      </c>
      <c r="AB252" s="30">
        <v>0</v>
      </c>
      <c r="AC252" s="30">
        <v>0</v>
      </c>
      <c r="AD252" s="30">
        <v>0</v>
      </c>
      <c r="AE252" s="89" t="s">
        <v>68</v>
      </c>
      <c r="AF252" s="89" t="s">
        <v>68</v>
      </c>
      <c r="AG252" s="89" t="s">
        <v>133</v>
      </c>
      <c r="AH252" s="72" t="s">
        <v>68</v>
      </c>
      <c r="AI252" s="30">
        <v>1</v>
      </c>
      <c r="AJ252" s="89" t="s">
        <v>68</v>
      </c>
      <c r="AK252" s="89" t="s">
        <v>68</v>
      </c>
      <c r="AL252" s="91">
        <v>39773</v>
      </c>
      <c r="AM252" s="91"/>
      <c r="AN252" s="91"/>
      <c r="AO252" s="91"/>
      <c r="AP252" s="73" t="e">
        <f>MID(VLOOKUP(K252,#REF!,2,FALSE),1,2)</f>
        <v>#REF!</v>
      </c>
      <c r="AQ252" s="89">
        <f>DATE(2007,2,27)</f>
        <v>39140</v>
      </c>
      <c r="AR252" s="82">
        <f t="shared" si="18"/>
        <v>27</v>
      </c>
      <c r="AS252" s="83">
        <f t="shared" si="19"/>
        <v>2</v>
      </c>
      <c r="AT252" s="84">
        <f t="shared" si="20"/>
        <v>2007</v>
      </c>
      <c r="AU252" s="86"/>
      <c r="AV252" s="86"/>
      <c r="AW252" s="87"/>
      <c r="AX252" s="86"/>
      <c r="AY252" s="83"/>
      <c r="AZ252" s="84"/>
      <c r="BA252" s="86"/>
      <c r="BB252" s="86"/>
    </row>
    <row r="253" spans="1:54" ht="36.75" customHeight="1">
      <c r="A253" s="30"/>
      <c r="B253" s="30" t="s">
        <v>55</v>
      </c>
      <c r="C253" s="69" t="str">
        <f t="shared" si="17"/>
        <v>Closed</v>
      </c>
      <c r="D253" s="27" t="s">
        <v>1604</v>
      </c>
      <c r="E253" s="29" t="s">
        <v>1605</v>
      </c>
      <c r="F253" s="30" t="s">
        <v>638</v>
      </c>
      <c r="G253" s="89">
        <f>DATE(2007,2,27)</f>
        <v>39140</v>
      </c>
      <c r="H253" s="90">
        <v>1.5069444444444444</v>
      </c>
      <c r="I253" s="30" t="s">
        <v>278</v>
      </c>
      <c r="J253" s="89" t="s">
        <v>1606</v>
      </c>
      <c r="K253" s="30" t="s">
        <v>640</v>
      </c>
      <c r="L253" s="30" t="s">
        <v>1607</v>
      </c>
      <c r="M253" s="30" t="s">
        <v>63</v>
      </c>
      <c r="N253" s="30">
        <v>0</v>
      </c>
      <c r="O253" s="30" t="s">
        <v>86</v>
      </c>
      <c r="P253" s="89" t="s">
        <v>65</v>
      </c>
      <c r="Q253" s="89" t="s">
        <v>642</v>
      </c>
      <c r="R253" s="89" t="s">
        <v>643</v>
      </c>
      <c r="S253" s="30">
        <v>0</v>
      </c>
      <c r="T253" s="233">
        <v>0</v>
      </c>
      <c r="U253" s="30">
        <v>0</v>
      </c>
      <c r="V253" s="233">
        <v>2</v>
      </c>
      <c r="W253" s="30">
        <v>0</v>
      </c>
      <c r="X253" s="30">
        <v>2</v>
      </c>
      <c r="Y253" s="30">
        <v>0</v>
      </c>
      <c r="Z253" s="233">
        <v>0</v>
      </c>
      <c r="AA253" s="30">
        <v>0</v>
      </c>
      <c r="AB253" s="30">
        <v>0</v>
      </c>
      <c r="AC253" s="30">
        <v>0</v>
      </c>
      <c r="AD253" s="30">
        <v>0</v>
      </c>
      <c r="AE253" s="89" t="s">
        <v>68</v>
      </c>
      <c r="AF253" s="89" t="s">
        <v>68</v>
      </c>
      <c r="AG253" s="89" t="s">
        <v>248</v>
      </c>
      <c r="AH253" s="72" t="s">
        <v>68</v>
      </c>
      <c r="AI253" s="30">
        <v>2</v>
      </c>
      <c r="AJ253" s="89" t="s">
        <v>68</v>
      </c>
      <c r="AK253" s="89" t="s">
        <v>68</v>
      </c>
      <c r="AL253" s="91">
        <v>39230</v>
      </c>
      <c r="AM253" s="91"/>
      <c r="AN253" s="91"/>
      <c r="AO253" s="91"/>
      <c r="AP253" s="73" t="e">
        <f>MID(VLOOKUP(K253,#REF!,2,FALSE),1,2)</f>
        <v>#REF!</v>
      </c>
      <c r="AQ253" s="89">
        <f>DATE(2007,2,27)</f>
        <v>39140</v>
      </c>
      <c r="AR253" s="82">
        <f t="shared" si="18"/>
        <v>27</v>
      </c>
      <c r="AS253" s="83">
        <f t="shared" si="19"/>
        <v>2</v>
      </c>
      <c r="AT253" s="84">
        <f t="shared" si="20"/>
        <v>2007</v>
      </c>
      <c r="AU253" s="86"/>
      <c r="AV253" s="86"/>
      <c r="AW253" s="87"/>
      <c r="AX253" s="86"/>
      <c r="AY253" s="83"/>
      <c r="AZ253" s="84"/>
      <c r="BA253" s="86"/>
      <c r="BB253" s="86"/>
    </row>
    <row r="254" spans="1:54" ht="36.75" customHeight="1">
      <c r="A254" s="30"/>
      <c r="B254" s="30" t="s">
        <v>55</v>
      </c>
      <c r="C254" s="69" t="str">
        <f t="shared" si="17"/>
        <v>Closed</v>
      </c>
      <c r="D254" s="27" t="s">
        <v>1608</v>
      </c>
      <c r="E254" s="29" t="s">
        <v>1609</v>
      </c>
      <c r="F254" s="30" t="s">
        <v>638</v>
      </c>
      <c r="G254" s="89">
        <f>DATE(2007,2,27)</f>
        <v>39140</v>
      </c>
      <c r="H254" s="90">
        <v>1.9229166666666666</v>
      </c>
      <c r="I254" s="30" t="s">
        <v>278</v>
      </c>
      <c r="J254" s="89" t="s">
        <v>1610</v>
      </c>
      <c r="K254" s="30" t="s">
        <v>640</v>
      </c>
      <c r="L254" s="30" t="s">
        <v>1611</v>
      </c>
      <c r="M254" s="30" t="s">
        <v>63</v>
      </c>
      <c r="N254" s="30">
        <v>0</v>
      </c>
      <c r="O254" s="30" t="s">
        <v>77</v>
      </c>
      <c r="P254" s="89" t="s">
        <v>65</v>
      </c>
      <c r="Q254" s="89" t="s">
        <v>642</v>
      </c>
      <c r="R254" s="89" t="s">
        <v>643</v>
      </c>
      <c r="S254" s="30">
        <v>0</v>
      </c>
      <c r="T254" s="233">
        <v>0</v>
      </c>
      <c r="U254" s="30">
        <v>0</v>
      </c>
      <c r="V254" s="233">
        <v>1</v>
      </c>
      <c r="W254" s="30">
        <v>0</v>
      </c>
      <c r="X254" s="30">
        <v>1</v>
      </c>
      <c r="Y254" s="30">
        <v>0</v>
      </c>
      <c r="Z254" s="233">
        <v>0</v>
      </c>
      <c r="AA254" s="30">
        <v>0</v>
      </c>
      <c r="AB254" s="30">
        <v>0</v>
      </c>
      <c r="AC254" s="30">
        <v>0</v>
      </c>
      <c r="AD254" s="30">
        <v>0</v>
      </c>
      <c r="AE254" s="89" t="s">
        <v>68</v>
      </c>
      <c r="AF254" s="89" t="s">
        <v>68</v>
      </c>
      <c r="AG254" s="89" t="s">
        <v>248</v>
      </c>
      <c r="AH254" s="72" t="s">
        <v>68</v>
      </c>
      <c r="AI254" s="30">
        <v>2</v>
      </c>
      <c r="AJ254" s="89" t="s">
        <v>68</v>
      </c>
      <c r="AK254" s="89" t="s">
        <v>68</v>
      </c>
      <c r="AL254" s="91">
        <v>39230</v>
      </c>
      <c r="AM254" s="91"/>
      <c r="AN254" s="91"/>
      <c r="AO254" s="91"/>
      <c r="AP254" s="73" t="e">
        <f>MID(VLOOKUP(K254,#REF!,2,FALSE),1,2)</f>
        <v>#REF!</v>
      </c>
      <c r="AQ254" s="89">
        <f>DATE(2007,2,27)</f>
        <v>39140</v>
      </c>
      <c r="AR254" s="82">
        <f t="shared" si="18"/>
        <v>27</v>
      </c>
      <c r="AS254" s="83">
        <f t="shared" si="19"/>
        <v>2</v>
      </c>
      <c r="AT254" s="84">
        <f t="shared" si="20"/>
        <v>2007</v>
      </c>
      <c r="AU254" s="86"/>
      <c r="AV254" s="86"/>
      <c r="AW254" s="87"/>
      <c r="AX254" s="86"/>
      <c r="AY254" s="83"/>
      <c r="AZ254" s="84"/>
      <c r="BA254" s="86"/>
      <c r="BB254" s="86"/>
    </row>
    <row r="255" spans="1:54" ht="36.75" customHeight="1">
      <c r="A255" s="30"/>
      <c r="B255" s="30" t="s">
        <v>55</v>
      </c>
      <c r="C255" s="69" t="str">
        <f t="shared" si="17"/>
        <v>Closed</v>
      </c>
      <c r="D255" s="27" t="s">
        <v>1612</v>
      </c>
      <c r="E255" s="29" t="s">
        <v>1613</v>
      </c>
      <c r="F255" s="30" t="s">
        <v>115</v>
      </c>
      <c r="G255" s="89">
        <f>DATE(2007,2,27)</f>
        <v>39140</v>
      </c>
      <c r="H255" s="90">
        <v>1.53125</v>
      </c>
      <c r="I255" s="30" t="s">
        <v>73</v>
      </c>
      <c r="J255" s="89" t="s">
        <v>1614</v>
      </c>
      <c r="K255" s="30" t="s">
        <v>118</v>
      </c>
      <c r="L255" s="30" t="s">
        <v>1615</v>
      </c>
      <c r="M255" s="30" t="s">
        <v>63</v>
      </c>
      <c r="N255" s="30">
        <v>0</v>
      </c>
      <c r="O255" s="30" t="s">
        <v>77</v>
      </c>
      <c r="P255" s="89" t="s">
        <v>301</v>
      </c>
      <c r="Q255" s="89" t="s">
        <v>120</v>
      </c>
      <c r="R255" s="89" t="s">
        <v>121</v>
      </c>
      <c r="S255" s="30">
        <v>0</v>
      </c>
      <c r="T255" s="233" t="s">
        <v>68</v>
      </c>
      <c r="U255" s="30">
        <v>0</v>
      </c>
      <c r="V255" s="233" t="s">
        <v>68</v>
      </c>
      <c r="W255" s="30">
        <v>0</v>
      </c>
      <c r="X255" s="30">
        <v>0</v>
      </c>
      <c r="Y255" s="30">
        <v>0</v>
      </c>
      <c r="Z255" s="233" t="s">
        <v>68</v>
      </c>
      <c r="AA255" s="30">
        <v>0</v>
      </c>
      <c r="AB255" s="30">
        <v>0</v>
      </c>
      <c r="AC255" s="30">
        <v>0</v>
      </c>
      <c r="AD255" s="30">
        <v>0</v>
      </c>
      <c r="AE255" s="89" t="s">
        <v>68</v>
      </c>
      <c r="AF255" s="89" t="s">
        <v>1616</v>
      </c>
      <c r="AG255" s="89" t="s">
        <v>352</v>
      </c>
      <c r="AH255" s="72" t="s">
        <v>68</v>
      </c>
      <c r="AI255" s="30">
        <v>0</v>
      </c>
      <c r="AJ255" s="89" t="s">
        <v>68</v>
      </c>
      <c r="AK255" s="89" t="s">
        <v>68</v>
      </c>
      <c r="AL255" s="91">
        <v>39163</v>
      </c>
      <c r="AM255" s="91"/>
      <c r="AN255" s="91"/>
      <c r="AO255" s="91"/>
      <c r="AP255" s="73" t="e">
        <f>MID(VLOOKUP(K255,#REF!,2,FALSE),1,2)</f>
        <v>#REF!</v>
      </c>
      <c r="AQ255" s="89">
        <f>DATE(2007,2,27)</f>
        <v>39140</v>
      </c>
      <c r="AR255" s="82">
        <f t="shared" si="18"/>
        <v>27</v>
      </c>
      <c r="AS255" s="83">
        <f t="shared" si="19"/>
        <v>2</v>
      </c>
      <c r="AT255" s="84">
        <f t="shared" si="20"/>
        <v>2007</v>
      </c>
      <c r="AU255" s="86"/>
      <c r="AV255" s="86"/>
      <c r="AW255" s="87"/>
      <c r="AX255" s="86"/>
      <c r="AY255" s="83"/>
      <c r="AZ255" s="84"/>
      <c r="BA255" s="86"/>
      <c r="BB255" s="86"/>
    </row>
    <row r="256" spans="1:54" ht="36.75" customHeight="1">
      <c r="A256" s="30"/>
      <c r="B256" s="30" t="s">
        <v>55</v>
      </c>
      <c r="C256" s="69" t="str">
        <f t="shared" si="17"/>
        <v>Closed</v>
      </c>
      <c r="D256" s="27" t="s">
        <v>1617</v>
      </c>
      <c r="E256" s="29" t="s">
        <v>1618</v>
      </c>
      <c r="F256" s="30" t="s">
        <v>582</v>
      </c>
      <c r="G256" s="89">
        <f>DATE(2007,2,28)</f>
        <v>39141</v>
      </c>
      <c r="H256" s="90">
        <v>1.5111111111111111</v>
      </c>
      <c r="I256" s="30" t="s">
        <v>73</v>
      </c>
      <c r="J256" s="89" t="s">
        <v>1619</v>
      </c>
      <c r="K256" s="30" t="s">
        <v>584</v>
      </c>
      <c r="L256" s="30" t="s">
        <v>1620</v>
      </c>
      <c r="M256" s="30" t="s">
        <v>63</v>
      </c>
      <c r="N256" s="30" t="s">
        <v>142</v>
      </c>
      <c r="O256" s="30" t="s">
        <v>77</v>
      </c>
      <c r="P256" s="89" t="s">
        <v>78</v>
      </c>
      <c r="Q256" s="89" t="s">
        <v>586</v>
      </c>
      <c r="R256" s="89" t="s">
        <v>587</v>
      </c>
      <c r="S256" s="30">
        <v>0</v>
      </c>
      <c r="T256" s="233">
        <v>0</v>
      </c>
      <c r="U256" s="30">
        <v>0</v>
      </c>
      <c r="V256" s="233">
        <v>0</v>
      </c>
      <c r="W256" s="30">
        <v>0</v>
      </c>
      <c r="X256" s="30">
        <v>0</v>
      </c>
      <c r="Y256" s="30">
        <v>0</v>
      </c>
      <c r="Z256" s="233">
        <v>0</v>
      </c>
      <c r="AA256" s="30">
        <v>0</v>
      </c>
      <c r="AB256" s="30">
        <v>0</v>
      </c>
      <c r="AC256" s="30">
        <v>0</v>
      </c>
      <c r="AD256" s="30">
        <v>0</v>
      </c>
      <c r="AE256" s="89" t="s">
        <v>145</v>
      </c>
      <c r="AF256" s="89" t="s">
        <v>1621</v>
      </c>
      <c r="AG256" s="89" t="s">
        <v>82</v>
      </c>
      <c r="AH256" s="72">
        <v>39163</v>
      </c>
      <c r="AI256" s="30">
        <v>1</v>
      </c>
      <c r="AJ256" s="89" t="s">
        <v>1622</v>
      </c>
      <c r="AK256" s="89" t="s">
        <v>1233</v>
      </c>
      <c r="AL256" s="91">
        <v>39160</v>
      </c>
      <c r="AM256" s="91"/>
      <c r="AN256" s="91"/>
      <c r="AO256" s="91"/>
      <c r="AP256" s="73" t="e">
        <f>MID(VLOOKUP(K256,#REF!,2,FALSE),1,2)</f>
        <v>#REF!</v>
      </c>
      <c r="AQ256" s="89">
        <f>DATE(2007,2,28)</f>
        <v>39141</v>
      </c>
      <c r="AR256" s="82">
        <f t="shared" si="18"/>
        <v>28</v>
      </c>
      <c r="AS256" s="83">
        <f t="shared" si="19"/>
        <v>2</v>
      </c>
      <c r="AT256" s="84">
        <f t="shared" si="20"/>
        <v>2007</v>
      </c>
      <c r="AU256" s="86"/>
      <c r="AV256" s="86"/>
      <c r="AW256" s="87"/>
      <c r="AX256" s="86"/>
      <c r="AY256" s="83"/>
      <c r="AZ256" s="84"/>
      <c r="BA256" s="86"/>
      <c r="BB256" s="86"/>
    </row>
    <row r="257" spans="1:54" ht="36.75" customHeight="1">
      <c r="A257" s="30"/>
      <c r="B257" s="30" t="s">
        <v>55</v>
      </c>
      <c r="C257" s="69" t="str">
        <f t="shared" si="17"/>
        <v>Closed</v>
      </c>
      <c r="D257" s="27" t="s">
        <v>1623</v>
      </c>
      <c r="E257" s="29" t="s">
        <v>1624</v>
      </c>
      <c r="F257" s="30" t="s">
        <v>638</v>
      </c>
      <c r="G257" s="89">
        <f>DATE(2007,2,28)</f>
        <v>39141</v>
      </c>
      <c r="H257" s="90">
        <v>1.2166666666666668</v>
      </c>
      <c r="I257" s="30" t="s">
        <v>278</v>
      </c>
      <c r="J257" s="89" t="s">
        <v>1625</v>
      </c>
      <c r="K257" s="30" t="s">
        <v>640</v>
      </c>
      <c r="L257" s="30" t="s">
        <v>1626</v>
      </c>
      <c r="M257" s="30" t="s">
        <v>63</v>
      </c>
      <c r="N257" s="30">
        <v>0</v>
      </c>
      <c r="O257" s="30" t="s">
        <v>77</v>
      </c>
      <c r="P257" s="89" t="s">
        <v>78</v>
      </c>
      <c r="Q257" s="89" t="s">
        <v>642</v>
      </c>
      <c r="R257" s="89" t="s">
        <v>643</v>
      </c>
      <c r="S257" s="30">
        <v>0</v>
      </c>
      <c r="T257" s="233">
        <v>0</v>
      </c>
      <c r="U257" s="30">
        <v>0</v>
      </c>
      <c r="V257" s="233">
        <v>1</v>
      </c>
      <c r="W257" s="30">
        <v>0</v>
      </c>
      <c r="X257" s="30">
        <v>1</v>
      </c>
      <c r="Y257" s="30">
        <v>0</v>
      </c>
      <c r="Z257" s="233">
        <v>0</v>
      </c>
      <c r="AA257" s="30">
        <v>0</v>
      </c>
      <c r="AB257" s="30">
        <v>0</v>
      </c>
      <c r="AC257" s="30">
        <v>0</v>
      </c>
      <c r="AD257" s="30">
        <v>0</v>
      </c>
      <c r="AE257" s="89" t="s">
        <v>68</v>
      </c>
      <c r="AF257" s="89" t="s">
        <v>68</v>
      </c>
      <c r="AG257" s="89" t="s">
        <v>248</v>
      </c>
      <c r="AH257" s="72" t="s">
        <v>68</v>
      </c>
      <c r="AI257" s="30">
        <v>2</v>
      </c>
      <c r="AJ257" s="89" t="s">
        <v>68</v>
      </c>
      <c r="AK257" s="89" t="s">
        <v>68</v>
      </c>
      <c r="AL257" s="91">
        <v>39230</v>
      </c>
      <c r="AM257" s="91"/>
      <c r="AN257" s="91"/>
      <c r="AO257" s="91"/>
      <c r="AP257" s="73" t="e">
        <f>MID(VLOOKUP(K257,#REF!,2,FALSE),1,2)</f>
        <v>#REF!</v>
      </c>
      <c r="AQ257" s="89">
        <f>DATE(2007,2,28)</f>
        <v>39141</v>
      </c>
      <c r="AR257" s="82">
        <f t="shared" si="18"/>
        <v>28</v>
      </c>
      <c r="AS257" s="83">
        <f t="shared" si="19"/>
        <v>2</v>
      </c>
      <c r="AT257" s="84">
        <f t="shared" si="20"/>
        <v>2007</v>
      </c>
      <c r="AU257" s="86"/>
      <c r="AV257" s="86"/>
      <c r="AW257" s="87"/>
      <c r="AX257" s="86"/>
      <c r="AY257" s="83"/>
      <c r="AZ257" s="84"/>
      <c r="BA257" s="86"/>
      <c r="BB257" s="86"/>
    </row>
    <row r="258" spans="1:54" ht="36.75" customHeight="1">
      <c r="A258" s="30"/>
      <c r="B258" s="30" t="s">
        <v>55</v>
      </c>
      <c r="C258" s="69" t="str">
        <f t="shared" ref="C258:C321" si="21">IF(B258="Notification","Open",IF(B258="Interim Statement","In progress","Closed"))</f>
        <v>Closed</v>
      </c>
      <c r="D258" s="27" t="s">
        <v>1627</v>
      </c>
      <c r="E258" s="29" t="s">
        <v>1628</v>
      </c>
      <c r="F258" s="30" t="s">
        <v>638</v>
      </c>
      <c r="G258" s="89">
        <f>DATE(2007,3,1)</f>
        <v>39142</v>
      </c>
      <c r="H258" s="90">
        <v>1.723611111111111</v>
      </c>
      <c r="I258" s="30" t="s">
        <v>278</v>
      </c>
      <c r="J258" s="89" t="s">
        <v>1629</v>
      </c>
      <c r="K258" s="30" t="s">
        <v>640</v>
      </c>
      <c r="L258" s="30" t="s">
        <v>1630</v>
      </c>
      <c r="M258" s="30" t="s">
        <v>63</v>
      </c>
      <c r="N258" s="30">
        <v>0</v>
      </c>
      <c r="O258" s="30" t="s">
        <v>64</v>
      </c>
      <c r="P258" s="89" t="s">
        <v>86</v>
      </c>
      <c r="Q258" s="89" t="s">
        <v>642</v>
      </c>
      <c r="R258" s="89" t="s">
        <v>643</v>
      </c>
      <c r="S258" s="30">
        <v>0</v>
      </c>
      <c r="T258" s="233">
        <v>0</v>
      </c>
      <c r="U258" s="30">
        <v>0</v>
      </c>
      <c r="V258" s="233">
        <v>1</v>
      </c>
      <c r="W258" s="30">
        <v>0</v>
      </c>
      <c r="X258" s="30">
        <v>1</v>
      </c>
      <c r="Y258" s="30">
        <v>0</v>
      </c>
      <c r="Z258" s="233">
        <v>0</v>
      </c>
      <c r="AA258" s="30">
        <v>0</v>
      </c>
      <c r="AB258" s="30">
        <v>0</v>
      </c>
      <c r="AC258" s="30">
        <v>0</v>
      </c>
      <c r="AD258" s="30">
        <v>0</v>
      </c>
      <c r="AE258" s="89" t="s">
        <v>68</v>
      </c>
      <c r="AF258" s="89" t="s">
        <v>68</v>
      </c>
      <c r="AG258" s="89" t="s">
        <v>248</v>
      </c>
      <c r="AH258" s="72" t="s">
        <v>68</v>
      </c>
      <c r="AI258" s="30">
        <v>1</v>
      </c>
      <c r="AJ258" s="89" t="s">
        <v>68</v>
      </c>
      <c r="AK258" s="89" t="s">
        <v>68</v>
      </c>
      <c r="AL258" s="91">
        <v>39230</v>
      </c>
      <c r="AM258" s="91"/>
      <c r="AN258" s="91"/>
      <c r="AO258" s="91"/>
      <c r="AP258" s="73" t="e">
        <f>MID(VLOOKUP(K258,#REF!,2,FALSE),1,2)</f>
        <v>#REF!</v>
      </c>
      <c r="AQ258" s="89">
        <f>DATE(2007,3,1)</f>
        <v>39142</v>
      </c>
      <c r="AR258" s="82">
        <f t="shared" ref="AR258:AR321" si="22">DAY(AQ258)</f>
        <v>1</v>
      </c>
      <c r="AS258" s="83">
        <f t="shared" ref="AS258:AS321" si="23">MONTH(AQ258)</f>
        <v>3</v>
      </c>
      <c r="AT258" s="84">
        <f t="shared" ref="AT258:AT321" si="24">YEAR(AQ258)</f>
        <v>2007</v>
      </c>
      <c r="AU258" s="86"/>
      <c r="AV258" s="86"/>
      <c r="AW258" s="87"/>
      <c r="AX258" s="86"/>
      <c r="AY258" s="83"/>
      <c r="AZ258" s="84"/>
      <c r="BA258" s="86"/>
      <c r="BB258" s="86"/>
    </row>
    <row r="259" spans="1:54" ht="36.75" customHeight="1">
      <c r="A259" s="30"/>
      <c r="B259" s="30" t="s">
        <v>55</v>
      </c>
      <c r="C259" s="69" t="str">
        <f t="shared" si="21"/>
        <v>Closed</v>
      </c>
      <c r="D259" s="27" t="s">
        <v>1631</v>
      </c>
      <c r="E259" s="29" t="s">
        <v>1632</v>
      </c>
      <c r="F259" s="30" t="s">
        <v>115</v>
      </c>
      <c r="G259" s="89">
        <f>DATE(2007,3,1)</f>
        <v>39142</v>
      </c>
      <c r="H259" s="90">
        <v>1.28125</v>
      </c>
      <c r="I259" s="30" t="s">
        <v>278</v>
      </c>
      <c r="J259" s="89" t="s">
        <v>1633</v>
      </c>
      <c r="K259" s="30" t="s">
        <v>118</v>
      </c>
      <c r="L259" s="30" t="s">
        <v>1634</v>
      </c>
      <c r="M259" s="30" t="s">
        <v>63</v>
      </c>
      <c r="N259" s="30">
        <v>0</v>
      </c>
      <c r="O259" s="30" t="s">
        <v>90</v>
      </c>
      <c r="P259" s="89" t="s">
        <v>165</v>
      </c>
      <c r="Q259" s="89" t="s">
        <v>120</v>
      </c>
      <c r="R259" s="89" t="s">
        <v>121</v>
      </c>
      <c r="S259" s="30">
        <v>1</v>
      </c>
      <c r="T259" s="233">
        <v>0</v>
      </c>
      <c r="U259" s="30">
        <v>0</v>
      </c>
      <c r="V259" s="233">
        <v>0</v>
      </c>
      <c r="W259" s="30">
        <v>0</v>
      </c>
      <c r="X259" s="30">
        <v>1</v>
      </c>
      <c r="Y259" s="30">
        <v>0</v>
      </c>
      <c r="Z259" s="233">
        <v>0</v>
      </c>
      <c r="AA259" s="30">
        <v>0</v>
      </c>
      <c r="AB259" s="30">
        <v>0</v>
      </c>
      <c r="AC259" s="30">
        <v>0</v>
      </c>
      <c r="AD259" s="30">
        <v>0</v>
      </c>
      <c r="AE259" s="89" t="s">
        <v>68</v>
      </c>
      <c r="AF259" s="89" t="s">
        <v>68</v>
      </c>
      <c r="AG259" s="89" t="s">
        <v>82</v>
      </c>
      <c r="AH259" s="72" t="s">
        <v>68</v>
      </c>
      <c r="AI259" s="30">
        <v>0</v>
      </c>
      <c r="AJ259" s="89" t="s">
        <v>68</v>
      </c>
      <c r="AK259" s="89" t="s">
        <v>68</v>
      </c>
      <c r="AL259" s="91">
        <v>39162</v>
      </c>
      <c r="AM259" s="91"/>
      <c r="AN259" s="91"/>
      <c r="AO259" s="91"/>
      <c r="AP259" s="73" t="e">
        <f>MID(VLOOKUP(K259,#REF!,2,FALSE),1,2)</f>
        <v>#REF!</v>
      </c>
      <c r="AQ259" s="89">
        <f>DATE(2007,3,1)</f>
        <v>39142</v>
      </c>
      <c r="AR259" s="82">
        <f t="shared" si="22"/>
        <v>1</v>
      </c>
      <c r="AS259" s="83">
        <f t="shared" si="23"/>
        <v>3</v>
      </c>
      <c r="AT259" s="84">
        <f t="shared" si="24"/>
        <v>2007</v>
      </c>
      <c r="AU259" s="86"/>
      <c r="AV259" s="86"/>
      <c r="AW259" s="87"/>
      <c r="AX259" s="86"/>
      <c r="AY259" s="83"/>
      <c r="AZ259" s="84"/>
      <c r="BA259" s="86"/>
      <c r="BB259" s="86"/>
    </row>
    <row r="260" spans="1:54" ht="36.75" customHeight="1">
      <c r="A260" s="30"/>
      <c r="B260" s="30" t="s">
        <v>55</v>
      </c>
      <c r="C260" s="69" t="str">
        <f t="shared" si="21"/>
        <v>Closed</v>
      </c>
      <c r="D260" s="27" t="s">
        <v>1635</v>
      </c>
      <c r="E260" s="29" t="s">
        <v>1636</v>
      </c>
      <c r="F260" s="30" t="s">
        <v>638</v>
      </c>
      <c r="G260" s="89">
        <f>DATE(2007,3,3)</f>
        <v>39144</v>
      </c>
      <c r="H260" s="90">
        <v>1.5965277777777778</v>
      </c>
      <c r="I260" s="30" t="s">
        <v>278</v>
      </c>
      <c r="J260" s="89" t="s">
        <v>1637</v>
      </c>
      <c r="K260" s="30" t="s">
        <v>640</v>
      </c>
      <c r="L260" s="30" t="s">
        <v>1638</v>
      </c>
      <c r="M260" s="30" t="s">
        <v>63</v>
      </c>
      <c r="N260" s="30">
        <v>0</v>
      </c>
      <c r="O260" s="30" t="s">
        <v>64</v>
      </c>
      <c r="P260" s="89" t="s">
        <v>78</v>
      </c>
      <c r="Q260" s="89" t="s">
        <v>642</v>
      </c>
      <c r="R260" s="89" t="s">
        <v>643</v>
      </c>
      <c r="S260" s="30">
        <v>0</v>
      </c>
      <c r="T260" s="233">
        <v>0</v>
      </c>
      <c r="U260" s="30">
        <v>0</v>
      </c>
      <c r="V260" s="233">
        <v>1</v>
      </c>
      <c r="W260" s="30">
        <v>0</v>
      </c>
      <c r="X260" s="30">
        <v>1</v>
      </c>
      <c r="Y260" s="30">
        <v>0</v>
      </c>
      <c r="Z260" s="233">
        <v>0</v>
      </c>
      <c r="AA260" s="30">
        <v>0</v>
      </c>
      <c r="AB260" s="30">
        <v>0</v>
      </c>
      <c r="AC260" s="30">
        <v>0</v>
      </c>
      <c r="AD260" s="30">
        <v>0</v>
      </c>
      <c r="AE260" s="89" t="s">
        <v>68</v>
      </c>
      <c r="AF260" s="89" t="s">
        <v>68</v>
      </c>
      <c r="AG260" s="89" t="s">
        <v>248</v>
      </c>
      <c r="AH260" s="72" t="s">
        <v>68</v>
      </c>
      <c r="AI260" s="30">
        <v>2</v>
      </c>
      <c r="AJ260" s="89" t="s">
        <v>68</v>
      </c>
      <c r="AK260" s="89" t="s">
        <v>68</v>
      </c>
      <c r="AL260" s="91">
        <v>39231</v>
      </c>
      <c r="AM260" s="91"/>
      <c r="AN260" s="91"/>
      <c r="AO260" s="91"/>
      <c r="AP260" s="73" t="e">
        <f>MID(VLOOKUP(K260,#REF!,2,FALSE),1,2)</f>
        <v>#REF!</v>
      </c>
      <c r="AQ260" s="89">
        <f>DATE(2007,3,3)</f>
        <v>39144</v>
      </c>
      <c r="AR260" s="82">
        <f t="shared" si="22"/>
        <v>3</v>
      </c>
      <c r="AS260" s="83">
        <f t="shared" si="23"/>
        <v>3</v>
      </c>
      <c r="AT260" s="84">
        <f t="shared" si="24"/>
        <v>2007</v>
      </c>
      <c r="AU260" s="86"/>
      <c r="AV260" s="86"/>
      <c r="AW260" s="87"/>
      <c r="AX260" s="86"/>
      <c r="AY260" s="83"/>
      <c r="AZ260" s="84"/>
      <c r="BA260" s="86"/>
      <c r="BB260" s="86"/>
    </row>
    <row r="261" spans="1:54" ht="36.75" customHeight="1">
      <c r="A261" s="30"/>
      <c r="B261" s="30" t="s">
        <v>55</v>
      </c>
      <c r="C261" s="69" t="str">
        <f t="shared" si="21"/>
        <v>Closed</v>
      </c>
      <c r="D261" s="27" t="s">
        <v>1639</v>
      </c>
      <c r="E261" s="29" t="s">
        <v>1640</v>
      </c>
      <c r="F261" s="30" t="s">
        <v>58</v>
      </c>
      <c r="G261" s="89">
        <f>DATE(2007,3,5)</f>
        <v>39146</v>
      </c>
      <c r="H261" s="90">
        <v>1.6104166666666666</v>
      </c>
      <c r="I261" s="30" t="s">
        <v>116</v>
      </c>
      <c r="J261" s="89" t="s">
        <v>1641</v>
      </c>
      <c r="K261" s="30" t="s">
        <v>61</v>
      </c>
      <c r="L261" s="30" t="s">
        <v>1642</v>
      </c>
      <c r="M261" s="30" t="s">
        <v>63</v>
      </c>
      <c r="N261" s="30" t="s">
        <v>99</v>
      </c>
      <c r="O261" s="30" t="s">
        <v>64</v>
      </c>
      <c r="P261" s="89" t="s">
        <v>165</v>
      </c>
      <c r="Q261" s="89" t="s">
        <v>66</v>
      </c>
      <c r="R261" s="89" t="s">
        <v>67</v>
      </c>
      <c r="S261" s="30">
        <v>0</v>
      </c>
      <c r="T261" s="233">
        <v>0</v>
      </c>
      <c r="U261" s="30">
        <v>2</v>
      </c>
      <c r="V261" s="233">
        <v>0</v>
      </c>
      <c r="W261" s="30">
        <v>0</v>
      </c>
      <c r="X261" s="30">
        <v>2</v>
      </c>
      <c r="Y261" s="30">
        <v>0</v>
      </c>
      <c r="Z261" s="233">
        <v>0</v>
      </c>
      <c r="AA261" s="30">
        <v>0</v>
      </c>
      <c r="AB261" s="30">
        <v>0</v>
      </c>
      <c r="AC261" s="30">
        <v>0</v>
      </c>
      <c r="AD261" s="30">
        <v>0</v>
      </c>
      <c r="AE261" s="89" t="s">
        <v>92</v>
      </c>
      <c r="AF261" s="89" t="s">
        <v>1643</v>
      </c>
      <c r="AG261" s="89" t="s">
        <v>82</v>
      </c>
      <c r="AH261" s="72">
        <v>39148</v>
      </c>
      <c r="AI261" s="30">
        <v>3</v>
      </c>
      <c r="AJ261" s="89" t="s">
        <v>1644</v>
      </c>
      <c r="AK261" s="89" t="s">
        <v>1645</v>
      </c>
      <c r="AL261" s="91">
        <v>39183</v>
      </c>
      <c r="AM261" s="91"/>
      <c r="AN261" s="91"/>
      <c r="AO261" s="91"/>
      <c r="AP261" s="73" t="e">
        <f>MID(VLOOKUP(K261,#REF!,2,FALSE),1,2)</f>
        <v>#REF!</v>
      </c>
      <c r="AQ261" s="89">
        <f>DATE(2007,3,5)</f>
        <v>39146</v>
      </c>
      <c r="AR261" s="82">
        <f t="shared" si="22"/>
        <v>5</v>
      </c>
      <c r="AS261" s="83">
        <f t="shared" si="23"/>
        <v>3</v>
      </c>
      <c r="AT261" s="84">
        <f t="shared" si="24"/>
        <v>2007</v>
      </c>
      <c r="AU261" s="86"/>
      <c r="AV261" s="86"/>
      <c r="AW261" s="87"/>
      <c r="AX261" s="86"/>
      <c r="AY261" s="83"/>
      <c r="AZ261" s="84"/>
      <c r="BA261" s="86"/>
      <c r="BB261" s="86"/>
    </row>
    <row r="262" spans="1:54" ht="36.75" customHeight="1">
      <c r="A262" s="30"/>
      <c r="B262" s="30" t="s">
        <v>55</v>
      </c>
      <c r="C262" s="69" t="str">
        <f t="shared" si="21"/>
        <v>Closed</v>
      </c>
      <c r="D262" s="27" t="s">
        <v>1646</v>
      </c>
      <c r="E262" s="29" t="s">
        <v>1647</v>
      </c>
      <c r="F262" s="30" t="s">
        <v>423</v>
      </c>
      <c r="G262" s="89">
        <f>DATE(2007,3,6)</f>
        <v>39147</v>
      </c>
      <c r="H262" s="90">
        <v>1.6354166666666665</v>
      </c>
      <c r="I262" s="30" t="s">
        <v>73</v>
      </c>
      <c r="J262" s="89" t="s">
        <v>1648</v>
      </c>
      <c r="K262" s="30" t="s">
        <v>425</v>
      </c>
      <c r="L262" s="30" t="s">
        <v>1649</v>
      </c>
      <c r="M262" s="30" t="s">
        <v>63</v>
      </c>
      <c r="N262" s="30">
        <v>0</v>
      </c>
      <c r="O262" s="30" t="s">
        <v>64</v>
      </c>
      <c r="P262" s="89" t="s">
        <v>78</v>
      </c>
      <c r="Q262" s="89" t="s">
        <v>989</v>
      </c>
      <c r="R262" s="89" t="s">
        <v>989</v>
      </c>
      <c r="S262" s="30">
        <v>0</v>
      </c>
      <c r="T262" s="233" t="s">
        <v>68</v>
      </c>
      <c r="U262" s="30">
        <v>0</v>
      </c>
      <c r="V262" s="233" t="s">
        <v>68</v>
      </c>
      <c r="W262" s="30">
        <v>0</v>
      </c>
      <c r="X262" s="30">
        <v>0</v>
      </c>
      <c r="Y262" s="30">
        <v>0</v>
      </c>
      <c r="Z262" s="233" t="s">
        <v>68</v>
      </c>
      <c r="AA262" s="30">
        <v>0</v>
      </c>
      <c r="AB262" s="30">
        <v>0</v>
      </c>
      <c r="AC262" s="30">
        <v>0</v>
      </c>
      <c r="AD262" s="30">
        <v>0</v>
      </c>
      <c r="AE262" s="89" t="s">
        <v>68</v>
      </c>
      <c r="AF262" s="89" t="s">
        <v>1650</v>
      </c>
      <c r="AG262" s="89" t="s">
        <v>133</v>
      </c>
      <c r="AH262" s="72" t="s">
        <v>68</v>
      </c>
      <c r="AI262" s="30">
        <v>0</v>
      </c>
      <c r="AJ262" s="89" t="s">
        <v>1651</v>
      </c>
      <c r="AK262" s="89" t="s">
        <v>1652</v>
      </c>
      <c r="AL262" s="91">
        <v>39280</v>
      </c>
      <c r="AM262" s="91"/>
      <c r="AN262" s="91"/>
      <c r="AO262" s="91"/>
      <c r="AP262" s="73" t="e">
        <f>MID(VLOOKUP(K262,#REF!,2,FALSE),1,2)</f>
        <v>#REF!</v>
      </c>
      <c r="AQ262" s="89">
        <f>DATE(2007,3,6)</f>
        <v>39147</v>
      </c>
      <c r="AR262" s="82">
        <f t="shared" si="22"/>
        <v>6</v>
      </c>
      <c r="AS262" s="83">
        <f t="shared" si="23"/>
        <v>3</v>
      </c>
      <c r="AT262" s="84">
        <f t="shared" si="24"/>
        <v>2007</v>
      </c>
      <c r="AU262" s="86"/>
      <c r="AV262" s="86"/>
      <c r="AW262" s="87"/>
      <c r="AX262" s="86"/>
      <c r="AY262" s="83"/>
      <c r="AZ262" s="84"/>
      <c r="BA262" s="86"/>
      <c r="BB262" s="86"/>
    </row>
    <row r="263" spans="1:54" ht="36.75" customHeight="1">
      <c r="A263" s="30"/>
      <c r="B263" s="30" t="s">
        <v>55</v>
      </c>
      <c r="C263" s="69" t="str">
        <f t="shared" si="21"/>
        <v>Closed</v>
      </c>
      <c r="D263" s="27" t="s">
        <v>1653</v>
      </c>
      <c r="E263" s="29" t="s">
        <v>1654</v>
      </c>
      <c r="F263" s="30" t="s">
        <v>58</v>
      </c>
      <c r="G263" s="89">
        <f>DATE(2007,3,9)</f>
        <v>39150</v>
      </c>
      <c r="H263" s="90">
        <v>1.6756944444444444</v>
      </c>
      <c r="I263" s="30" t="s">
        <v>116</v>
      </c>
      <c r="J263" s="89" t="s">
        <v>1655</v>
      </c>
      <c r="K263" s="30" t="s">
        <v>61</v>
      </c>
      <c r="L263" s="30" t="s">
        <v>1656</v>
      </c>
      <c r="M263" s="30" t="s">
        <v>63</v>
      </c>
      <c r="N263" s="30" t="s">
        <v>99</v>
      </c>
      <c r="O263" s="30" t="s">
        <v>64</v>
      </c>
      <c r="P263" s="89" t="s">
        <v>165</v>
      </c>
      <c r="Q263" s="89" t="s">
        <v>66</v>
      </c>
      <c r="R263" s="89" t="s">
        <v>67</v>
      </c>
      <c r="S263" s="30">
        <v>0</v>
      </c>
      <c r="T263" s="233">
        <v>0</v>
      </c>
      <c r="U263" s="30">
        <v>2</v>
      </c>
      <c r="V263" s="233">
        <v>0</v>
      </c>
      <c r="W263" s="30">
        <v>0</v>
      </c>
      <c r="X263" s="30">
        <v>2</v>
      </c>
      <c r="Y263" s="30">
        <v>0</v>
      </c>
      <c r="Z263" s="233">
        <v>0</v>
      </c>
      <c r="AA263" s="30">
        <v>0</v>
      </c>
      <c r="AB263" s="30">
        <v>0</v>
      </c>
      <c r="AC263" s="30">
        <v>0</v>
      </c>
      <c r="AD263" s="30">
        <v>0</v>
      </c>
      <c r="AE263" s="89" t="s">
        <v>92</v>
      </c>
      <c r="AF263" s="89" t="s">
        <v>1657</v>
      </c>
      <c r="AG263" s="89" t="s">
        <v>383</v>
      </c>
      <c r="AH263" s="72">
        <v>39153</v>
      </c>
      <c r="AI263" s="30">
        <v>1</v>
      </c>
      <c r="AJ263" s="89" t="s">
        <v>1658</v>
      </c>
      <c r="AK263" s="89" t="s">
        <v>1659</v>
      </c>
      <c r="AL263" s="91">
        <v>39218</v>
      </c>
      <c r="AM263" s="91"/>
      <c r="AN263" s="91"/>
      <c r="AO263" s="91"/>
      <c r="AP263" s="73" t="e">
        <f>MID(VLOOKUP(K263,#REF!,2,FALSE),1,2)</f>
        <v>#REF!</v>
      </c>
      <c r="AQ263" s="89">
        <f>DATE(2007,3,9)</f>
        <v>39150</v>
      </c>
      <c r="AR263" s="82">
        <f t="shared" si="22"/>
        <v>9</v>
      </c>
      <c r="AS263" s="83">
        <f t="shared" si="23"/>
        <v>3</v>
      </c>
      <c r="AT263" s="84">
        <f t="shared" si="24"/>
        <v>2007</v>
      </c>
      <c r="AU263" s="86"/>
      <c r="AV263" s="86"/>
      <c r="AW263" s="87"/>
      <c r="AX263" s="86"/>
      <c r="AY263" s="83"/>
      <c r="AZ263" s="84"/>
      <c r="BA263" s="86"/>
      <c r="BB263" s="86"/>
    </row>
    <row r="264" spans="1:54" ht="36.75" customHeight="1">
      <c r="A264" s="30"/>
      <c r="B264" s="30" t="s">
        <v>55</v>
      </c>
      <c r="C264" s="69" t="str">
        <f t="shared" si="21"/>
        <v>Closed</v>
      </c>
      <c r="D264" s="27" t="s">
        <v>1660</v>
      </c>
      <c r="E264" s="29" t="s">
        <v>1661</v>
      </c>
      <c r="F264" s="30" t="s">
        <v>233</v>
      </c>
      <c r="G264" s="89">
        <f>DATE(2007,3,17)</f>
        <v>39158</v>
      </c>
      <c r="H264" s="90">
        <v>1.3979166666666667</v>
      </c>
      <c r="I264" s="30" t="s">
        <v>86</v>
      </c>
      <c r="J264" s="89" t="s">
        <v>1662</v>
      </c>
      <c r="K264" s="30" t="s">
        <v>235</v>
      </c>
      <c r="L264" s="30" t="s">
        <v>1663</v>
      </c>
      <c r="M264" s="30" t="s">
        <v>63</v>
      </c>
      <c r="N264" s="30">
        <v>0</v>
      </c>
      <c r="O264" s="30" t="s">
        <v>64</v>
      </c>
      <c r="P264" s="89" t="s">
        <v>165</v>
      </c>
      <c r="Q264" s="89" t="s">
        <v>1664</v>
      </c>
      <c r="R264" s="89" t="s">
        <v>238</v>
      </c>
      <c r="S264" s="30">
        <v>0</v>
      </c>
      <c r="T264" s="233" t="s">
        <v>68</v>
      </c>
      <c r="U264" s="30">
        <v>0</v>
      </c>
      <c r="V264" s="233" t="s">
        <v>68</v>
      </c>
      <c r="W264" s="30">
        <v>0</v>
      </c>
      <c r="X264" s="30">
        <v>0</v>
      </c>
      <c r="Y264" s="30">
        <v>0</v>
      </c>
      <c r="Z264" s="233" t="s">
        <v>68</v>
      </c>
      <c r="AA264" s="30">
        <v>0</v>
      </c>
      <c r="AB264" s="30">
        <v>0</v>
      </c>
      <c r="AC264" s="30">
        <v>0</v>
      </c>
      <c r="AD264" s="30">
        <v>0</v>
      </c>
      <c r="AE264" s="89" t="s">
        <v>68</v>
      </c>
      <c r="AF264" s="89" t="s">
        <v>68</v>
      </c>
      <c r="AG264" s="89" t="s">
        <v>133</v>
      </c>
      <c r="AH264" s="72" t="s">
        <v>68</v>
      </c>
      <c r="AI264" s="30">
        <v>8</v>
      </c>
      <c r="AJ264" s="89" t="s">
        <v>1665</v>
      </c>
      <c r="AK264" s="89" t="s">
        <v>1666</v>
      </c>
      <c r="AL264" s="91">
        <v>39267</v>
      </c>
      <c r="AM264" s="91"/>
      <c r="AN264" s="91"/>
      <c r="AO264" s="91"/>
      <c r="AP264" s="73" t="e">
        <f>MID(VLOOKUP(K264,#REF!,2,FALSE),1,2)</f>
        <v>#REF!</v>
      </c>
      <c r="AQ264" s="89">
        <f>DATE(2007,3,17)</f>
        <v>39158</v>
      </c>
      <c r="AR264" s="82">
        <f t="shared" si="22"/>
        <v>17</v>
      </c>
      <c r="AS264" s="83">
        <f t="shared" si="23"/>
        <v>3</v>
      </c>
      <c r="AT264" s="84">
        <f t="shared" si="24"/>
        <v>2007</v>
      </c>
      <c r="AU264" s="86"/>
      <c r="AV264" s="86"/>
      <c r="AW264" s="87"/>
      <c r="AX264" s="86"/>
      <c r="AY264" s="83"/>
      <c r="AZ264" s="84"/>
      <c r="BA264" s="86"/>
      <c r="BB264" s="86"/>
    </row>
    <row r="265" spans="1:54" ht="36.75" customHeight="1">
      <c r="A265" s="30"/>
      <c r="B265" s="30" t="s">
        <v>55</v>
      </c>
      <c r="C265" s="69" t="str">
        <f t="shared" si="21"/>
        <v>Closed</v>
      </c>
      <c r="D265" s="27" t="s">
        <v>1667</v>
      </c>
      <c r="E265" s="29" t="s">
        <v>1668</v>
      </c>
      <c r="F265" s="30" t="s">
        <v>638</v>
      </c>
      <c r="G265" s="89">
        <f>DATE(2007,3,18)</f>
        <v>39159</v>
      </c>
      <c r="H265" s="90">
        <v>1.2520833333333332</v>
      </c>
      <c r="I265" s="30" t="s">
        <v>278</v>
      </c>
      <c r="J265" s="89" t="s">
        <v>1669</v>
      </c>
      <c r="K265" s="30" t="s">
        <v>640</v>
      </c>
      <c r="L265" s="30" t="s">
        <v>1670</v>
      </c>
      <c r="M265" s="30" t="s">
        <v>63</v>
      </c>
      <c r="N265" s="30">
        <v>0</v>
      </c>
      <c r="O265" s="30" t="s">
        <v>64</v>
      </c>
      <c r="P265" s="89" t="s">
        <v>65</v>
      </c>
      <c r="Q265" s="89" t="s">
        <v>642</v>
      </c>
      <c r="R265" s="89" t="s">
        <v>643</v>
      </c>
      <c r="S265" s="30">
        <v>0</v>
      </c>
      <c r="T265" s="233">
        <v>0</v>
      </c>
      <c r="U265" s="30">
        <v>0</v>
      </c>
      <c r="V265" s="233">
        <v>1</v>
      </c>
      <c r="W265" s="30">
        <v>0</v>
      </c>
      <c r="X265" s="30">
        <v>1</v>
      </c>
      <c r="Y265" s="30">
        <v>0</v>
      </c>
      <c r="Z265" s="233">
        <v>0</v>
      </c>
      <c r="AA265" s="30">
        <v>0</v>
      </c>
      <c r="AB265" s="30">
        <v>0</v>
      </c>
      <c r="AC265" s="30">
        <v>0</v>
      </c>
      <c r="AD265" s="30">
        <v>0</v>
      </c>
      <c r="AE265" s="89" t="s">
        <v>68</v>
      </c>
      <c r="AF265" s="89" t="s">
        <v>68</v>
      </c>
      <c r="AG265" s="89" t="s">
        <v>248</v>
      </c>
      <c r="AH265" s="72" t="s">
        <v>68</v>
      </c>
      <c r="AI265" s="30">
        <v>1</v>
      </c>
      <c r="AJ265" s="89" t="s">
        <v>68</v>
      </c>
      <c r="AK265" s="89" t="s">
        <v>68</v>
      </c>
      <c r="AL265" s="91">
        <v>39230</v>
      </c>
      <c r="AM265" s="91"/>
      <c r="AN265" s="91"/>
      <c r="AO265" s="91"/>
      <c r="AP265" s="73" t="e">
        <f>MID(VLOOKUP(K265,#REF!,2,FALSE),1,2)</f>
        <v>#REF!</v>
      </c>
      <c r="AQ265" s="89">
        <f>DATE(2007,3,18)</f>
        <v>39159</v>
      </c>
      <c r="AR265" s="82">
        <f t="shared" si="22"/>
        <v>18</v>
      </c>
      <c r="AS265" s="83">
        <f t="shared" si="23"/>
        <v>3</v>
      </c>
      <c r="AT265" s="84">
        <f t="shared" si="24"/>
        <v>2007</v>
      </c>
      <c r="AU265" s="86"/>
      <c r="AV265" s="86"/>
      <c r="AW265" s="87"/>
      <c r="AX265" s="86"/>
      <c r="AY265" s="83"/>
      <c r="AZ265" s="84"/>
      <c r="BA265" s="86"/>
      <c r="BB265" s="86"/>
    </row>
    <row r="266" spans="1:54" ht="36.75" customHeight="1">
      <c r="A266" s="30"/>
      <c r="B266" s="30" t="s">
        <v>55</v>
      </c>
      <c r="C266" s="69" t="str">
        <f t="shared" si="21"/>
        <v>Closed</v>
      </c>
      <c r="D266" s="27" t="s">
        <v>1671</v>
      </c>
      <c r="E266" s="29" t="s">
        <v>1672</v>
      </c>
      <c r="F266" s="30" t="s">
        <v>233</v>
      </c>
      <c r="G266" s="89">
        <f>DATE(2007,3,18)</f>
        <v>39159</v>
      </c>
      <c r="H266" s="90">
        <v>1.5381944444444444</v>
      </c>
      <c r="I266" s="30" t="s">
        <v>86</v>
      </c>
      <c r="J266" s="89" t="s">
        <v>1673</v>
      </c>
      <c r="K266" s="30" t="s">
        <v>235</v>
      </c>
      <c r="L266" s="30" t="s">
        <v>1674</v>
      </c>
      <c r="M266" s="30" t="s">
        <v>255</v>
      </c>
      <c r="N266" s="30">
        <v>0</v>
      </c>
      <c r="O266" s="30" t="s">
        <v>64</v>
      </c>
      <c r="P266" s="89" t="s">
        <v>86</v>
      </c>
      <c r="Q266" s="89" t="s">
        <v>1675</v>
      </c>
      <c r="R266" s="89" t="s">
        <v>1675</v>
      </c>
      <c r="S266" s="30">
        <v>0</v>
      </c>
      <c r="T266" s="233" t="s">
        <v>68</v>
      </c>
      <c r="U266" s="30">
        <v>0</v>
      </c>
      <c r="V266" s="233" t="s">
        <v>68</v>
      </c>
      <c r="W266" s="30">
        <v>0</v>
      </c>
      <c r="X266" s="30">
        <v>0</v>
      </c>
      <c r="Y266" s="30">
        <v>0</v>
      </c>
      <c r="Z266" s="233" t="s">
        <v>68</v>
      </c>
      <c r="AA266" s="30">
        <v>0</v>
      </c>
      <c r="AB266" s="30">
        <v>0</v>
      </c>
      <c r="AC266" s="30">
        <v>0</v>
      </c>
      <c r="AD266" s="30">
        <v>0</v>
      </c>
      <c r="AE266" s="89" t="s">
        <v>68</v>
      </c>
      <c r="AF266" s="89" t="s">
        <v>68</v>
      </c>
      <c r="AG266" s="89" t="s">
        <v>248</v>
      </c>
      <c r="AH266" s="72" t="s">
        <v>68</v>
      </c>
      <c r="AI266" s="30">
        <v>2</v>
      </c>
      <c r="AJ266" s="89" t="s">
        <v>1676</v>
      </c>
      <c r="AK266" s="89" t="s">
        <v>1677</v>
      </c>
      <c r="AL266" s="91">
        <v>39303</v>
      </c>
      <c r="AM266" s="91"/>
      <c r="AN266" s="91"/>
      <c r="AO266" s="91"/>
      <c r="AP266" s="73" t="e">
        <f>MID(VLOOKUP(K266,#REF!,2,FALSE),1,2)</f>
        <v>#REF!</v>
      </c>
      <c r="AQ266" s="89">
        <f>DATE(2007,3,18)</f>
        <v>39159</v>
      </c>
      <c r="AR266" s="82">
        <f t="shared" si="22"/>
        <v>18</v>
      </c>
      <c r="AS266" s="83">
        <f t="shared" si="23"/>
        <v>3</v>
      </c>
      <c r="AT266" s="84">
        <f t="shared" si="24"/>
        <v>2007</v>
      </c>
      <c r="AU266" s="86"/>
      <c r="AV266" s="86"/>
      <c r="AW266" s="87"/>
      <c r="AX266" s="86"/>
      <c r="AY266" s="83"/>
      <c r="AZ266" s="84"/>
      <c r="BA266" s="86"/>
      <c r="BB266" s="86"/>
    </row>
    <row r="267" spans="1:54" ht="36.75" customHeight="1">
      <c r="A267" s="30"/>
      <c r="B267" s="30" t="s">
        <v>55</v>
      </c>
      <c r="C267" s="69" t="str">
        <f t="shared" si="21"/>
        <v>Closed</v>
      </c>
      <c r="D267" s="27" t="s">
        <v>1678</v>
      </c>
      <c r="E267" s="29" t="s">
        <v>1679</v>
      </c>
      <c r="F267" s="30" t="s">
        <v>423</v>
      </c>
      <c r="G267" s="89">
        <f>DATE(2007,3,19)</f>
        <v>39160</v>
      </c>
      <c r="H267" s="90">
        <v>1.8951388888888889</v>
      </c>
      <c r="I267" s="30" t="s">
        <v>116</v>
      </c>
      <c r="J267" s="89" t="s">
        <v>1680</v>
      </c>
      <c r="K267" s="30" t="s">
        <v>425</v>
      </c>
      <c r="L267" s="30" t="s">
        <v>1681</v>
      </c>
      <c r="M267" s="30" t="s">
        <v>63</v>
      </c>
      <c r="N267" s="30">
        <v>0</v>
      </c>
      <c r="O267" s="30" t="s">
        <v>64</v>
      </c>
      <c r="P267" s="89" t="s">
        <v>65</v>
      </c>
      <c r="Q267" s="89" t="s">
        <v>427</v>
      </c>
      <c r="R267" s="89" t="s">
        <v>427</v>
      </c>
      <c r="S267" s="30">
        <v>0</v>
      </c>
      <c r="T267" s="233" t="s">
        <v>68</v>
      </c>
      <c r="U267" s="30">
        <v>0</v>
      </c>
      <c r="V267" s="233" t="s">
        <v>68</v>
      </c>
      <c r="W267" s="30">
        <v>0</v>
      </c>
      <c r="X267" s="30">
        <v>0</v>
      </c>
      <c r="Y267" s="30">
        <v>0</v>
      </c>
      <c r="Z267" s="233" t="s">
        <v>68</v>
      </c>
      <c r="AA267" s="30">
        <v>0</v>
      </c>
      <c r="AB267" s="30">
        <v>0</v>
      </c>
      <c r="AC267" s="30">
        <v>0</v>
      </c>
      <c r="AD267" s="30">
        <v>0</v>
      </c>
      <c r="AE267" s="89" t="s">
        <v>68</v>
      </c>
      <c r="AF267" s="89" t="s">
        <v>1682</v>
      </c>
      <c r="AG267" s="89" t="s">
        <v>1683</v>
      </c>
      <c r="AH267" s="72" t="s">
        <v>68</v>
      </c>
      <c r="AI267" s="30">
        <v>5</v>
      </c>
      <c r="AJ267" s="89" t="s">
        <v>1684</v>
      </c>
      <c r="AK267" s="89" t="s">
        <v>68</v>
      </c>
      <c r="AL267" s="91">
        <v>39182</v>
      </c>
      <c r="AM267" s="91"/>
      <c r="AN267" s="91"/>
      <c r="AO267" s="91"/>
      <c r="AP267" s="73" t="e">
        <f>MID(VLOOKUP(K267,#REF!,2,FALSE),1,2)</f>
        <v>#REF!</v>
      </c>
      <c r="AQ267" s="89">
        <f>DATE(2007,3,19)</f>
        <v>39160</v>
      </c>
      <c r="AR267" s="82">
        <f t="shared" si="22"/>
        <v>19</v>
      </c>
      <c r="AS267" s="83">
        <f t="shared" si="23"/>
        <v>3</v>
      </c>
      <c r="AT267" s="84">
        <f t="shared" si="24"/>
        <v>2007</v>
      </c>
      <c r="AU267" s="86"/>
      <c r="AV267" s="86"/>
      <c r="AW267" s="87"/>
      <c r="AX267" s="86"/>
      <c r="AY267" s="83"/>
      <c r="AZ267" s="84"/>
      <c r="BA267" s="86"/>
      <c r="BB267" s="86"/>
    </row>
    <row r="268" spans="1:54" ht="36.75" customHeight="1">
      <c r="A268" s="30"/>
      <c r="B268" s="30" t="s">
        <v>55</v>
      </c>
      <c r="C268" s="69" t="str">
        <f t="shared" si="21"/>
        <v>Closed</v>
      </c>
      <c r="D268" s="27" t="s">
        <v>1685</v>
      </c>
      <c r="E268" s="29" t="s">
        <v>1686</v>
      </c>
      <c r="F268" s="30" t="s">
        <v>58</v>
      </c>
      <c r="G268" s="89">
        <f>DATE(2007,3,21)</f>
        <v>39162</v>
      </c>
      <c r="H268" s="90">
        <v>1.4409722222222223</v>
      </c>
      <c r="I268" s="30" t="s">
        <v>73</v>
      </c>
      <c r="J268" s="89" t="s">
        <v>1687</v>
      </c>
      <c r="K268" s="30" t="s">
        <v>61</v>
      </c>
      <c r="L268" s="30" t="s">
        <v>1688</v>
      </c>
      <c r="M268" s="30" t="s">
        <v>63</v>
      </c>
      <c r="N268" s="30" t="s">
        <v>99</v>
      </c>
      <c r="O268" s="30" t="s">
        <v>77</v>
      </c>
      <c r="P268" s="89" t="s">
        <v>78</v>
      </c>
      <c r="Q268" s="89" t="s">
        <v>66</v>
      </c>
      <c r="R268" s="89" t="s">
        <v>67</v>
      </c>
      <c r="S268" s="30">
        <v>0</v>
      </c>
      <c r="T268" s="233">
        <v>0</v>
      </c>
      <c r="U268" s="30">
        <v>0</v>
      </c>
      <c r="V268" s="233">
        <v>0</v>
      </c>
      <c r="W268" s="30">
        <v>0</v>
      </c>
      <c r="X268" s="30">
        <v>0</v>
      </c>
      <c r="Y268" s="30">
        <v>0</v>
      </c>
      <c r="Z268" s="233">
        <v>0</v>
      </c>
      <c r="AA268" s="30">
        <v>0</v>
      </c>
      <c r="AB268" s="30">
        <v>0</v>
      </c>
      <c r="AC268" s="30">
        <v>0</v>
      </c>
      <c r="AD268" s="30">
        <v>0</v>
      </c>
      <c r="AE268" s="89" t="s">
        <v>92</v>
      </c>
      <c r="AF268" s="89" t="s">
        <v>1689</v>
      </c>
      <c r="AG268" s="89" t="s">
        <v>69</v>
      </c>
      <c r="AH268" s="72">
        <v>39190</v>
      </c>
      <c r="AI268" s="30">
        <v>1</v>
      </c>
      <c r="AJ268" s="89" t="s">
        <v>1690</v>
      </c>
      <c r="AK268" s="89" t="s">
        <v>1691</v>
      </c>
      <c r="AL268" s="91">
        <v>39223</v>
      </c>
      <c r="AM268" s="91"/>
      <c r="AN268" s="91"/>
      <c r="AO268" s="91"/>
      <c r="AP268" s="73" t="e">
        <f>MID(VLOOKUP(K268,#REF!,2,FALSE),1,2)</f>
        <v>#REF!</v>
      </c>
      <c r="AQ268" s="89">
        <f>DATE(2007,3,21)</f>
        <v>39162</v>
      </c>
      <c r="AR268" s="82">
        <f t="shared" si="22"/>
        <v>21</v>
      </c>
      <c r="AS268" s="83">
        <f t="shared" si="23"/>
        <v>3</v>
      </c>
      <c r="AT268" s="84">
        <f t="shared" si="24"/>
        <v>2007</v>
      </c>
      <c r="AU268" s="86"/>
      <c r="AV268" s="86"/>
      <c r="AW268" s="87"/>
      <c r="AX268" s="86"/>
      <c r="AY268" s="83"/>
      <c r="AZ268" s="84"/>
      <c r="BA268" s="86"/>
      <c r="BB268" s="86"/>
    </row>
    <row r="269" spans="1:54" ht="36.75" customHeight="1">
      <c r="A269" s="30"/>
      <c r="B269" s="30" t="s">
        <v>55</v>
      </c>
      <c r="C269" s="69" t="str">
        <f t="shared" si="21"/>
        <v>Closed</v>
      </c>
      <c r="D269" s="27" t="s">
        <v>1692</v>
      </c>
      <c r="E269" s="29" t="s">
        <v>1693</v>
      </c>
      <c r="F269" s="30" t="s">
        <v>594</v>
      </c>
      <c r="G269" s="89">
        <f>DATE(2007,3,21)</f>
        <v>39162</v>
      </c>
      <c r="H269" s="90">
        <v>1.7784722222222222</v>
      </c>
      <c r="I269" s="30" t="s">
        <v>116</v>
      </c>
      <c r="J269" s="89" t="s">
        <v>1694</v>
      </c>
      <c r="K269" s="30" t="s">
        <v>596</v>
      </c>
      <c r="L269" s="30" t="s">
        <v>1695</v>
      </c>
      <c r="M269" s="30" t="s">
        <v>63</v>
      </c>
      <c r="N269" s="30">
        <v>0</v>
      </c>
      <c r="O269" s="30" t="s">
        <v>77</v>
      </c>
      <c r="P269" s="89" t="s">
        <v>65</v>
      </c>
      <c r="Q269" s="89" t="s">
        <v>598</v>
      </c>
      <c r="R269" s="89" t="s">
        <v>599</v>
      </c>
      <c r="S269" s="30">
        <v>0</v>
      </c>
      <c r="T269" s="233">
        <v>0</v>
      </c>
      <c r="U269" s="30">
        <v>0</v>
      </c>
      <c r="V269" s="233" t="s">
        <v>68</v>
      </c>
      <c r="W269" s="30">
        <v>0</v>
      </c>
      <c r="X269" s="30">
        <v>0</v>
      </c>
      <c r="Y269" s="30">
        <v>0</v>
      </c>
      <c r="Z269" s="233">
        <v>1</v>
      </c>
      <c r="AA269" s="30">
        <v>0</v>
      </c>
      <c r="AB269" s="30">
        <v>0</v>
      </c>
      <c r="AC269" s="30">
        <v>0</v>
      </c>
      <c r="AD269" s="30">
        <v>1</v>
      </c>
      <c r="AE269" s="89" t="s">
        <v>68</v>
      </c>
      <c r="AF269" s="89" t="s">
        <v>1207</v>
      </c>
      <c r="AG269" s="89" t="s">
        <v>133</v>
      </c>
      <c r="AH269" s="72" t="s">
        <v>68</v>
      </c>
      <c r="AI269" s="30">
        <v>0</v>
      </c>
      <c r="AJ269" s="89" t="s">
        <v>68</v>
      </c>
      <c r="AK269" s="89" t="s">
        <v>68</v>
      </c>
      <c r="AL269" s="91">
        <v>39232</v>
      </c>
      <c r="AM269" s="91"/>
      <c r="AN269" s="91"/>
      <c r="AO269" s="91"/>
      <c r="AP269" s="73" t="e">
        <f>MID(VLOOKUP(K269,#REF!,2,FALSE),1,2)</f>
        <v>#REF!</v>
      </c>
      <c r="AQ269" s="89">
        <f>DATE(2007,3,21)</f>
        <v>39162</v>
      </c>
      <c r="AR269" s="82">
        <f t="shared" si="22"/>
        <v>21</v>
      </c>
      <c r="AS269" s="83">
        <f t="shared" si="23"/>
        <v>3</v>
      </c>
      <c r="AT269" s="84">
        <f t="shared" si="24"/>
        <v>2007</v>
      </c>
      <c r="AU269" s="86"/>
      <c r="AV269" s="86"/>
      <c r="AW269" s="87"/>
      <c r="AX269" s="86"/>
      <c r="AY269" s="83"/>
      <c r="AZ269" s="84"/>
      <c r="BA269" s="86"/>
      <c r="BB269" s="86"/>
    </row>
    <row r="270" spans="1:54" ht="36.75" customHeight="1">
      <c r="A270" s="30"/>
      <c r="B270" s="30" t="s">
        <v>55</v>
      </c>
      <c r="C270" s="69" t="str">
        <f t="shared" si="21"/>
        <v>Closed</v>
      </c>
      <c r="D270" s="27" t="s">
        <v>1696</v>
      </c>
      <c r="E270" s="29" t="s">
        <v>1697</v>
      </c>
      <c r="F270" s="30" t="s">
        <v>233</v>
      </c>
      <c r="G270" s="89">
        <f>DATE(2007,3,25)</f>
        <v>39166</v>
      </c>
      <c r="H270" s="90">
        <v>1.5472222222222221</v>
      </c>
      <c r="I270" s="30" t="s">
        <v>116</v>
      </c>
      <c r="J270" s="89" t="s">
        <v>1698</v>
      </c>
      <c r="K270" s="30" t="s">
        <v>235</v>
      </c>
      <c r="L270" s="30" t="s">
        <v>1699</v>
      </c>
      <c r="M270" s="30" t="s">
        <v>63</v>
      </c>
      <c r="N270" s="30">
        <v>0</v>
      </c>
      <c r="O270" s="30" t="s">
        <v>64</v>
      </c>
      <c r="P270" s="89" t="s">
        <v>86</v>
      </c>
      <c r="Q270" s="89" t="s">
        <v>1700</v>
      </c>
      <c r="R270" s="89" t="s">
        <v>1700</v>
      </c>
      <c r="S270" s="30">
        <v>0</v>
      </c>
      <c r="T270" s="233" t="s">
        <v>68</v>
      </c>
      <c r="U270" s="30">
        <v>0</v>
      </c>
      <c r="V270" s="233" t="s">
        <v>68</v>
      </c>
      <c r="W270" s="30">
        <v>0</v>
      </c>
      <c r="X270" s="30">
        <v>0</v>
      </c>
      <c r="Y270" s="30">
        <v>0</v>
      </c>
      <c r="Z270" s="233" t="s">
        <v>68</v>
      </c>
      <c r="AA270" s="30">
        <v>0</v>
      </c>
      <c r="AB270" s="30">
        <v>0</v>
      </c>
      <c r="AC270" s="30">
        <v>0</v>
      </c>
      <c r="AD270" s="30">
        <v>0</v>
      </c>
      <c r="AE270" s="89" t="s">
        <v>68</v>
      </c>
      <c r="AF270" s="89" t="s">
        <v>68</v>
      </c>
      <c r="AG270" s="89" t="s">
        <v>133</v>
      </c>
      <c r="AH270" s="72" t="s">
        <v>68</v>
      </c>
      <c r="AI270" s="30">
        <v>3</v>
      </c>
      <c r="AJ270" s="89" t="s">
        <v>1701</v>
      </c>
      <c r="AK270" s="89" t="s">
        <v>1702</v>
      </c>
      <c r="AL270" s="91">
        <v>39303</v>
      </c>
      <c r="AM270" s="91"/>
      <c r="AN270" s="91"/>
      <c r="AO270" s="91"/>
      <c r="AP270" s="73" t="e">
        <f>MID(VLOOKUP(K270,#REF!,2,FALSE),1,2)</f>
        <v>#REF!</v>
      </c>
      <c r="AQ270" s="89">
        <f>DATE(2007,3,25)</f>
        <v>39166</v>
      </c>
      <c r="AR270" s="82">
        <f t="shared" si="22"/>
        <v>25</v>
      </c>
      <c r="AS270" s="83">
        <f t="shared" si="23"/>
        <v>3</v>
      </c>
      <c r="AT270" s="84">
        <f t="shared" si="24"/>
        <v>2007</v>
      </c>
      <c r="AU270" s="86"/>
      <c r="AV270" s="86"/>
      <c r="AW270" s="87"/>
      <c r="AX270" s="86"/>
      <c r="AY270" s="83"/>
      <c r="AZ270" s="84"/>
      <c r="BA270" s="86"/>
      <c r="BB270" s="86"/>
    </row>
    <row r="271" spans="1:54" ht="36.75" customHeight="1">
      <c r="A271" s="30"/>
      <c r="B271" s="30" t="s">
        <v>55</v>
      </c>
      <c r="C271" s="69" t="str">
        <f t="shared" si="21"/>
        <v>Closed</v>
      </c>
      <c r="D271" s="27" t="s">
        <v>1703</v>
      </c>
      <c r="E271" s="29" t="s">
        <v>1704</v>
      </c>
      <c r="F271" s="30" t="s">
        <v>594</v>
      </c>
      <c r="G271" s="89">
        <f>DATE(2007,3,28)</f>
        <v>39169</v>
      </c>
      <c r="H271" s="90">
        <v>1.7013888888888888</v>
      </c>
      <c r="I271" s="30" t="s">
        <v>116</v>
      </c>
      <c r="J271" s="89" t="s">
        <v>1705</v>
      </c>
      <c r="K271" s="30" t="s">
        <v>596</v>
      </c>
      <c r="L271" s="30" t="s">
        <v>1706</v>
      </c>
      <c r="M271" s="30" t="s">
        <v>63</v>
      </c>
      <c r="N271" s="30">
        <v>0</v>
      </c>
      <c r="O271" s="30" t="s">
        <v>64</v>
      </c>
      <c r="P271" s="89" t="s">
        <v>165</v>
      </c>
      <c r="Q271" s="89" t="s">
        <v>598</v>
      </c>
      <c r="R271" s="89" t="s">
        <v>599</v>
      </c>
      <c r="S271" s="30">
        <v>0</v>
      </c>
      <c r="T271" s="233" t="s">
        <v>68</v>
      </c>
      <c r="U271" s="30">
        <v>1</v>
      </c>
      <c r="V271" s="233" t="s">
        <v>68</v>
      </c>
      <c r="W271" s="30">
        <v>0</v>
      </c>
      <c r="X271" s="30">
        <v>1</v>
      </c>
      <c r="Y271" s="30">
        <v>0</v>
      </c>
      <c r="Z271" s="233" t="s">
        <v>68</v>
      </c>
      <c r="AA271" s="30">
        <v>0</v>
      </c>
      <c r="AB271" s="30">
        <v>0</v>
      </c>
      <c r="AC271" s="30">
        <v>0</v>
      </c>
      <c r="AD271" s="30">
        <v>0</v>
      </c>
      <c r="AE271" s="89" t="s">
        <v>68</v>
      </c>
      <c r="AF271" s="89" t="s">
        <v>1707</v>
      </c>
      <c r="AG271" s="89" t="s">
        <v>82</v>
      </c>
      <c r="AH271" s="72" t="s">
        <v>68</v>
      </c>
      <c r="AI271" s="30">
        <v>0</v>
      </c>
      <c r="AJ271" s="89" t="s">
        <v>68</v>
      </c>
      <c r="AK271" s="89" t="s">
        <v>68</v>
      </c>
      <c r="AL271" s="91">
        <v>39232</v>
      </c>
      <c r="AM271" s="91"/>
      <c r="AN271" s="91">
        <v>44584</v>
      </c>
      <c r="AO271" s="91">
        <v>44531</v>
      </c>
      <c r="AP271" s="73" t="e">
        <f>MID(VLOOKUP(K271,#REF!,2,FALSE),1,2)</f>
        <v>#REF!</v>
      </c>
      <c r="AQ271" s="89">
        <f>DATE(2007,3,28)</f>
        <v>39169</v>
      </c>
      <c r="AR271" s="82">
        <f t="shared" si="22"/>
        <v>28</v>
      </c>
      <c r="AS271" s="83">
        <f t="shared" si="23"/>
        <v>3</v>
      </c>
      <c r="AT271" s="84">
        <f t="shared" si="24"/>
        <v>2007</v>
      </c>
      <c r="AU271" s="86"/>
      <c r="AV271" s="86"/>
      <c r="AW271" s="87"/>
      <c r="AX271" s="86"/>
      <c r="AY271" s="83"/>
      <c r="AZ271" s="84"/>
      <c r="BA271" s="86"/>
      <c r="BB271" s="86"/>
    </row>
    <row r="272" spans="1:54" ht="36.75" customHeight="1">
      <c r="A272" s="30"/>
      <c r="B272" s="30" t="s">
        <v>55</v>
      </c>
      <c r="C272" s="69" t="str">
        <f t="shared" si="21"/>
        <v>Closed</v>
      </c>
      <c r="D272" s="27" t="s">
        <v>1708</v>
      </c>
      <c r="E272" s="29" t="s">
        <v>1709</v>
      </c>
      <c r="F272" s="30" t="s">
        <v>638</v>
      </c>
      <c r="G272" s="89">
        <f>DATE(2007,3,30)</f>
        <v>39171</v>
      </c>
      <c r="H272" s="90">
        <v>1.7256944444444446</v>
      </c>
      <c r="I272" s="30" t="s">
        <v>116</v>
      </c>
      <c r="J272" s="89" t="s">
        <v>1710</v>
      </c>
      <c r="K272" s="30" t="s">
        <v>640</v>
      </c>
      <c r="L272" s="30" t="s">
        <v>1711</v>
      </c>
      <c r="M272" s="30" t="s">
        <v>63</v>
      </c>
      <c r="N272" s="30">
        <v>0</v>
      </c>
      <c r="O272" s="30" t="s">
        <v>64</v>
      </c>
      <c r="P272" s="89" t="s">
        <v>65</v>
      </c>
      <c r="Q272" s="89" t="s">
        <v>642</v>
      </c>
      <c r="R272" s="89" t="s">
        <v>643</v>
      </c>
      <c r="S272" s="30">
        <v>0</v>
      </c>
      <c r="T272" s="233">
        <v>0</v>
      </c>
      <c r="U272" s="30">
        <v>1</v>
      </c>
      <c r="V272" s="233">
        <v>0</v>
      </c>
      <c r="W272" s="30">
        <v>0</v>
      </c>
      <c r="X272" s="30">
        <v>1</v>
      </c>
      <c r="Y272" s="30">
        <v>0</v>
      </c>
      <c r="Z272" s="233">
        <v>0</v>
      </c>
      <c r="AA272" s="30">
        <v>2</v>
      </c>
      <c r="AB272" s="30">
        <v>0</v>
      </c>
      <c r="AC272" s="30">
        <v>0</v>
      </c>
      <c r="AD272" s="30">
        <v>2</v>
      </c>
      <c r="AE272" s="89" t="s">
        <v>68</v>
      </c>
      <c r="AF272" s="89" t="s">
        <v>68</v>
      </c>
      <c r="AG272" s="89" t="s">
        <v>248</v>
      </c>
      <c r="AH272" s="72" t="s">
        <v>68</v>
      </c>
      <c r="AI272" s="30">
        <v>2</v>
      </c>
      <c r="AJ272" s="89" t="s">
        <v>68</v>
      </c>
      <c r="AK272" s="89" t="s">
        <v>68</v>
      </c>
      <c r="AL272" s="91">
        <v>39232</v>
      </c>
      <c r="AM272" s="91"/>
      <c r="AN272" s="91"/>
      <c r="AO272" s="91"/>
      <c r="AP272" s="73" t="e">
        <f>MID(VLOOKUP(K272,#REF!,2,FALSE),1,2)</f>
        <v>#REF!</v>
      </c>
      <c r="AQ272" s="89">
        <f>DATE(2007,3,30)</f>
        <v>39171</v>
      </c>
      <c r="AR272" s="82">
        <f t="shared" si="22"/>
        <v>30</v>
      </c>
      <c r="AS272" s="83">
        <f t="shared" si="23"/>
        <v>3</v>
      </c>
      <c r="AT272" s="84">
        <f t="shared" si="24"/>
        <v>2007</v>
      </c>
      <c r="AU272" s="86"/>
      <c r="AV272" s="86"/>
      <c r="AW272" s="87"/>
      <c r="AX272" s="86"/>
      <c r="AY272" s="83"/>
      <c r="AZ272" s="84"/>
      <c r="BA272" s="86"/>
      <c r="BB272" s="86"/>
    </row>
    <row r="273" spans="1:54" ht="36.75" customHeight="1">
      <c r="A273" s="30"/>
      <c r="B273" s="30" t="s">
        <v>55</v>
      </c>
      <c r="C273" s="69" t="str">
        <f t="shared" si="21"/>
        <v>Closed</v>
      </c>
      <c r="D273" s="27" t="s">
        <v>1712</v>
      </c>
      <c r="E273" s="29" t="s">
        <v>1713</v>
      </c>
      <c r="F273" s="30" t="s">
        <v>197</v>
      </c>
      <c r="G273" s="89">
        <f>DATE(2007,4,4)</f>
        <v>39176</v>
      </c>
      <c r="H273" s="90">
        <v>1.2222222222222223</v>
      </c>
      <c r="I273" s="30" t="s">
        <v>73</v>
      </c>
      <c r="J273" s="89" t="s">
        <v>1714</v>
      </c>
      <c r="K273" s="30" t="s">
        <v>200</v>
      </c>
      <c r="L273" s="30" t="s">
        <v>1715</v>
      </c>
      <c r="M273" s="30" t="s">
        <v>63</v>
      </c>
      <c r="N273" s="30">
        <v>0</v>
      </c>
      <c r="O273" s="30" t="s">
        <v>64</v>
      </c>
      <c r="P273" s="89" t="s">
        <v>78</v>
      </c>
      <c r="Q273" s="89" t="s">
        <v>1716</v>
      </c>
      <c r="R273" s="89" t="s">
        <v>203</v>
      </c>
      <c r="S273" s="30">
        <v>0</v>
      </c>
      <c r="T273" s="233" t="s">
        <v>68</v>
      </c>
      <c r="U273" s="30">
        <v>0</v>
      </c>
      <c r="V273" s="233" t="s">
        <v>68</v>
      </c>
      <c r="W273" s="30">
        <v>0</v>
      </c>
      <c r="X273" s="30">
        <v>0</v>
      </c>
      <c r="Y273" s="30">
        <v>0</v>
      </c>
      <c r="Z273" s="233" t="s">
        <v>68</v>
      </c>
      <c r="AA273" s="30">
        <v>0</v>
      </c>
      <c r="AB273" s="30">
        <v>0</v>
      </c>
      <c r="AC273" s="30">
        <v>0</v>
      </c>
      <c r="AD273" s="30">
        <v>0</v>
      </c>
      <c r="AE273" s="89" t="s">
        <v>68</v>
      </c>
      <c r="AF273" s="89" t="s">
        <v>1717</v>
      </c>
      <c r="AG273" s="89" t="s">
        <v>874</v>
      </c>
      <c r="AH273" s="72" t="s">
        <v>68</v>
      </c>
      <c r="AI273" s="30">
        <v>5</v>
      </c>
      <c r="AJ273" s="89" t="s">
        <v>1718</v>
      </c>
      <c r="AK273" s="89" t="s">
        <v>68</v>
      </c>
      <c r="AL273" s="91">
        <v>40611</v>
      </c>
      <c r="AM273" s="91"/>
      <c r="AN273" s="91"/>
      <c r="AO273" s="91"/>
      <c r="AP273" s="73" t="e">
        <f>MID(VLOOKUP(K273,#REF!,2,FALSE),1,2)</f>
        <v>#REF!</v>
      </c>
      <c r="AQ273" s="89">
        <f>DATE(2007,4,4)</f>
        <v>39176</v>
      </c>
      <c r="AR273" s="82">
        <f t="shared" si="22"/>
        <v>4</v>
      </c>
      <c r="AS273" s="83">
        <f t="shared" si="23"/>
        <v>4</v>
      </c>
      <c r="AT273" s="84">
        <f t="shared" si="24"/>
        <v>2007</v>
      </c>
      <c r="AU273" s="86"/>
      <c r="AV273" s="86"/>
      <c r="AW273" s="87"/>
      <c r="AX273" s="86"/>
      <c r="AY273" s="83"/>
      <c r="AZ273" s="84"/>
      <c r="BA273" s="86"/>
      <c r="BB273" s="86"/>
    </row>
    <row r="274" spans="1:54" ht="36.75" customHeight="1">
      <c r="A274" s="30"/>
      <c r="B274" s="30" t="s">
        <v>55</v>
      </c>
      <c r="C274" s="69" t="str">
        <f t="shared" si="21"/>
        <v>Closed</v>
      </c>
      <c r="D274" s="27" t="s">
        <v>1719</v>
      </c>
      <c r="E274" s="29" t="s">
        <v>1720</v>
      </c>
      <c r="F274" s="30" t="s">
        <v>638</v>
      </c>
      <c r="G274" s="89">
        <f>DATE(2007,4,4)</f>
        <v>39176</v>
      </c>
      <c r="H274" s="90">
        <v>1.4631944444444445</v>
      </c>
      <c r="I274" s="30" t="s">
        <v>278</v>
      </c>
      <c r="J274" s="89" t="s">
        <v>1721</v>
      </c>
      <c r="K274" s="30" t="s">
        <v>640</v>
      </c>
      <c r="L274" s="30" t="s">
        <v>1722</v>
      </c>
      <c r="M274" s="30" t="s">
        <v>63</v>
      </c>
      <c r="N274" s="30" t="s">
        <v>99</v>
      </c>
      <c r="O274" s="30" t="s">
        <v>77</v>
      </c>
      <c r="P274" s="89" t="s">
        <v>65</v>
      </c>
      <c r="Q274" s="89" t="s">
        <v>642</v>
      </c>
      <c r="R274" s="89" t="s">
        <v>643</v>
      </c>
      <c r="S274" s="30">
        <v>0</v>
      </c>
      <c r="T274" s="233">
        <v>0</v>
      </c>
      <c r="U274" s="30">
        <v>0</v>
      </c>
      <c r="V274" s="233">
        <v>1</v>
      </c>
      <c r="W274" s="30">
        <v>0</v>
      </c>
      <c r="X274" s="30">
        <v>1</v>
      </c>
      <c r="Y274" s="30">
        <v>0</v>
      </c>
      <c r="Z274" s="233">
        <v>0</v>
      </c>
      <c r="AA274" s="30">
        <v>0</v>
      </c>
      <c r="AB274" s="30">
        <v>0</v>
      </c>
      <c r="AC274" s="30">
        <v>0</v>
      </c>
      <c r="AD274" s="30">
        <v>0</v>
      </c>
      <c r="AE274" s="89" t="s">
        <v>92</v>
      </c>
      <c r="AF274" s="89" t="s">
        <v>68</v>
      </c>
      <c r="AG274" s="89" t="s">
        <v>248</v>
      </c>
      <c r="AH274" s="72">
        <v>39176</v>
      </c>
      <c r="AI274" s="30">
        <v>1</v>
      </c>
      <c r="AJ274" s="89" t="s">
        <v>1723</v>
      </c>
      <c r="AK274" s="89" t="s">
        <v>68</v>
      </c>
      <c r="AL274" s="91">
        <v>39231</v>
      </c>
      <c r="AM274" s="91"/>
      <c r="AN274" s="91"/>
      <c r="AO274" s="91"/>
      <c r="AP274" s="73" t="e">
        <f>MID(VLOOKUP(K274,#REF!,2,FALSE),1,2)</f>
        <v>#REF!</v>
      </c>
      <c r="AQ274" s="89">
        <f>DATE(2007,4,4)</f>
        <v>39176</v>
      </c>
      <c r="AR274" s="82">
        <f t="shared" si="22"/>
        <v>4</v>
      </c>
      <c r="AS274" s="83">
        <f t="shared" si="23"/>
        <v>4</v>
      </c>
      <c r="AT274" s="84">
        <f t="shared" si="24"/>
        <v>2007</v>
      </c>
      <c r="AU274" s="86"/>
      <c r="AV274" s="86"/>
      <c r="AW274" s="87"/>
      <c r="AX274" s="86"/>
      <c r="AY274" s="83"/>
      <c r="AZ274" s="84"/>
      <c r="BA274" s="86"/>
      <c r="BB274" s="86"/>
    </row>
    <row r="275" spans="1:54" ht="36.75" customHeight="1">
      <c r="A275" s="30"/>
      <c r="B275" s="30" t="s">
        <v>55</v>
      </c>
      <c r="C275" s="69" t="str">
        <f t="shared" si="21"/>
        <v>Closed</v>
      </c>
      <c r="D275" s="27" t="s">
        <v>1724</v>
      </c>
      <c r="E275" s="29" t="s">
        <v>1725</v>
      </c>
      <c r="F275" s="30" t="s">
        <v>594</v>
      </c>
      <c r="G275" s="89">
        <f>DATE(2007,4,4)</f>
        <v>39176</v>
      </c>
      <c r="H275" s="90">
        <v>1.7381944444444444</v>
      </c>
      <c r="I275" s="30" t="s">
        <v>116</v>
      </c>
      <c r="J275" s="89" t="s">
        <v>1726</v>
      </c>
      <c r="K275" s="30" t="s">
        <v>596</v>
      </c>
      <c r="L275" s="30" t="s">
        <v>1727</v>
      </c>
      <c r="M275" s="30" t="s">
        <v>63</v>
      </c>
      <c r="N275" s="30">
        <v>0</v>
      </c>
      <c r="O275" s="30" t="s">
        <v>64</v>
      </c>
      <c r="P275" s="89" t="s">
        <v>381</v>
      </c>
      <c r="Q275" s="89" t="s">
        <v>598</v>
      </c>
      <c r="R275" s="89" t="s">
        <v>599</v>
      </c>
      <c r="S275" s="30">
        <v>0</v>
      </c>
      <c r="T275" s="233" t="s">
        <v>68</v>
      </c>
      <c r="U275" s="30">
        <v>1</v>
      </c>
      <c r="V275" s="233" t="s">
        <v>68</v>
      </c>
      <c r="W275" s="30">
        <v>0</v>
      </c>
      <c r="X275" s="30">
        <v>1</v>
      </c>
      <c r="Y275" s="30">
        <v>0</v>
      </c>
      <c r="Z275" s="233" t="s">
        <v>68</v>
      </c>
      <c r="AA275" s="30">
        <v>1</v>
      </c>
      <c r="AB275" s="30">
        <v>0</v>
      </c>
      <c r="AC275" s="30">
        <v>0</v>
      </c>
      <c r="AD275" s="30">
        <v>1</v>
      </c>
      <c r="AE275" s="89" t="s">
        <v>68</v>
      </c>
      <c r="AF275" s="89" t="s">
        <v>68</v>
      </c>
      <c r="AG275" s="89" t="s">
        <v>82</v>
      </c>
      <c r="AH275" s="72" t="s">
        <v>68</v>
      </c>
      <c r="AI275" s="30">
        <v>0</v>
      </c>
      <c r="AJ275" s="89" t="s">
        <v>68</v>
      </c>
      <c r="AK275" s="89" t="s">
        <v>68</v>
      </c>
      <c r="AL275" s="91">
        <v>39232</v>
      </c>
      <c r="AM275" s="91"/>
      <c r="AN275" s="91"/>
      <c r="AO275" s="91"/>
      <c r="AP275" s="73" t="e">
        <f>MID(VLOOKUP(K275,#REF!,2,FALSE),1,2)</f>
        <v>#REF!</v>
      </c>
      <c r="AQ275" s="89">
        <f>DATE(2007,4,4)</f>
        <v>39176</v>
      </c>
      <c r="AR275" s="82">
        <f t="shared" si="22"/>
        <v>4</v>
      </c>
      <c r="AS275" s="83">
        <f t="shared" si="23"/>
        <v>4</v>
      </c>
      <c r="AT275" s="84">
        <f t="shared" si="24"/>
        <v>2007</v>
      </c>
      <c r="AU275" s="86"/>
      <c r="AV275" s="86"/>
      <c r="AW275" s="87"/>
      <c r="AX275" s="86"/>
      <c r="AY275" s="83"/>
      <c r="AZ275" s="84"/>
      <c r="BA275" s="86"/>
      <c r="BB275" s="86"/>
    </row>
    <row r="276" spans="1:54" ht="36.75" customHeight="1">
      <c r="A276" s="30"/>
      <c r="B276" s="30" t="s">
        <v>55</v>
      </c>
      <c r="C276" s="69" t="str">
        <f t="shared" si="21"/>
        <v>Closed</v>
      </c>
      <c r="D276" s="27" t="s">
        <v>1728</v>
      </c>
      <c r="E276" s="29" t="s">
        <v>1729</v>
      </c>
      <c r="F276" s="30" t="s">
        <v>638</v>
      </c>
      <c r="G276" s="89">
        <f>DATE(2007,4,5)</f>
        <v>39177</v>
      </c>
      <c r="H276" s="90">
        <v>1.3708333333333333</v>
      </c>
      <c r="I276" s="30" t="s">
        <v>116</v>
      </c>
      <c r="J276" s="89" t="s">
        <v>1730</v>
      </c>
      <c r="K276" s="30" t="s">
        <v>640</v>
      </c>
      <c r="L276" s="30" t="s">
        <v>1731</v>
      </c>
      <c r="M276" s="30" t="s">
        <v>63</v>
      </c>
      <c r="N276" s="30">
        <v>0</v>
      </c>
      <c r="O276" s="30" t="s">
        <v>77</v>
      </c>
      <c r="P276" s="89" t="s">
        <v>86</v>
      </c>
      <c r="Q276" s="89" t="s">
        <v>642</v>
      </c>
      <c r="R276" s="89" t="s">
        <v>643</v>
      </c>
      <c r="S276" s="30">
        <v>0</v>
      </c>
      <c r="T276" s="233">
        <v>0</v>
      </c>
      <c r="U276" s="30">
        <v>1</v>
      </c>
      <c r="V276" s="233">
        <v>0</v>
      </c>
      <c r="W276" s="30">
        <v>0</v>
      </c>
      <c r="X276" s="30">
        <v>1</v>
      </c>
      <c r="Y276" s="30">
        <v>0</v>
      </c>
      <c r="Z276" s="233">
        <v>0</v>
      </c>
      <c r="AA276" s="30">
        <v>0</v>
      </c>
      <c r="AB276" s="30">
        <v>0</v>
      </c>
      <c r="AC276" s="30">
        <v>0</v>
      </c>
      <c r="AD276" s="30">
        <v>0</v>
      </c>
      <c r="AE276" s="89" t="s">
        <v>92</v>
      </c>
      <c r="AF276" s="89" t="s">
        <v>68</v>
      </c>
      <c r="AG276" s="89" t="s">
        <v>248</v>
      </c>
      <c r="AH276" s="72" t="s">
        <v>68</v>
      </c>
      <c r="AI276" s="30">
        <v>1</v>
      </c>
      <c r="AJ276" s="89" t="s">
        <v>1732</v>
      </c>
      <c r="AK276" s="89" t="s">
        <v>68</v>
      </c>
      <c r="AL276" s="91">
        <v>39231</v>
      </c>
      <c r="AM276" s="91"/>
      <c r="AN276" s="91"/>
      <c r="AO276" s="91"/>
      <c r="AP276" s="73" t="e">
        <f>MID(VLOOKUP(K276,#REF!,2,FALSE),1,2)</f>
        <v>#REF!</v>
      </c>
      <c r="AQ276" s="89">
        <f>DATE(2007,4,5)</f>
        <v>39177</v>
      </c>
      <c r="AR276" s="82">
        <f t="shared" si="22"/>
        <v>5</v>
      </c>
      <c r="AS276" s="83">
        <f t="shared" si="23"/>
        <v>4</v>
      </c>
      <c r="AT276" s="84">
        <f t="shared" si="24"/>
        <v>2007</v>
      </c>
      <c r="AU276" s="86"/>
      <c r="AV276" s="86"/>
      <c r="AW276" s="87"/>
      <c r="AX276" s="86"/>
      <c r="AY276" s="83"/>
      <c r="AZ276" s="84"/>
      <c r="BA276" s="86"/>
      <c r="BB276" s="86"/>
    </row>
    <row r="277" spans="1:54" ht="36.75" customHeight="1">
      <c r="A277" s="30"/>
      <c r="B277" s="30" t="s">
        <v>55</v>
      </c>
      <c r="C277" s="69" t="str">
        <f t="shared" si="21"/>
        <v>Closed</v>
      </c>
      <c r="D277" s="27" t="s">
        <v>1733</v>
      </c>
      <c r="E277" s="29" t="s">
        <v>1734</v>
      </c>
      <c r="F277" s="30" t="s">
        <v>115</v>
      </c>
      <c r="G277" s="89">
        <f>DATE(2007,4,5)</f>
        <v>39177</v>
      </c>
      <c r="H277" s="90">
        <v>1.3527777777777779</v>
      </c>
      <c r="I277" s="30" t="s">
        <v>156</v>
      </c>
      <c r="J277" s="89" t="s">
        <v>1735</v>
      </c>
      <c r="K277" s="30" t="s">
        <v>118</v>
      </c>
      <c r="L277" s="30" t="s">
        <v>1736</v>
      </c>
      <c r="M277" s="30" t="s">
        <v>63</v>
      </c>
      <c r="N277" s="30">
        <v>0</v>
      </c>
      <c r="O277" s="30" t="s">
        <v>77</v>
      </c>
      <c r="P277" s="89" t="s">
        <v>165</v>
      </c>
      <c r="Q277" s="89" t="s">
        <v>120</v>
      </c>
      <c r="R277" s="89" t="s">
        <v>121</v>
      </c>
      <c r="S277" s="30">
        <v>0</v>
      </c>
      <c r="T277" s="233" t="s">
        <v>68</v>
      </c>
      <c r="U277" s="30">
        <v>0</v>
      </c>
      <c r="V277" s="233" t="s">
        <v>68</v>
      </c>
      <c r="W277" s="30">
        <v>0</v>
      </c>
      <c r="X277" s="30">
        <v>0</v>
      </c>
      <c r="Y277" s="30">
        <v>0</v>
      </c>
      <c r="Z277" s="233" t="s">
        <v>68</v>
      </c>
      <c r="AA277" s="30">
        <v>0</v>
      </c>
      <c r="AB277" s="30">
        <v>0</v>
      </c>
      <c r="AC277" s="30">
        <v>0</v>
      </c>
      <c r="AD277" s="30">
        <v>0</v>
      </c>
      <c r="AE277" s="89" t="s">
        <v>68</v>
      </c>
      <c r="AF277" s="89" t="s">
        <v>1737</v>
      </c>
      <c r="AG277" s="89" t="s">
        <v>133</v>
      </c>
      <c r="AH277" s="72" t="s">
        <v>68</v>
      </c>
      <c r="AI277" s="30">
        <v>0</v>
      </c>
      <c r="AJ277" s="89" t="s">
        <v>68</v>
      </c>
      <c r="AK277" s="89" t="s">
        <v>68</v>
      </c>
      <c r="AL277" s="91">
        <v>39317</v>
      </c>
      <c r="AM277" s="91"/>
      <c r="AN277" s="91"/>
      <c r="AO277" s="91"/>
      <c r="AP277" s="73" t="e">
        <f>MID(VLOOKUP(K277,#REF!,2,FALSE),1,2)</f>
        <v>#REF!</v>
      </c>
      <c r="AQ277" s="89">
        <f>DATE(2007,4,5)</f>
        <v>39177</v>
      </c>
      <c r="AR277" s="82">
        <f t="shared" si="22"/>
        <v>5</v>
      </c>
      <c r="AS277" s="83">
        <f t="shared" si="23"/>
        <v>4</v>
      </c>
      <c r="AT277" s="84">
        <f t="shared" si="24"/>
        <v>2007</v>
      </c>
      <c r="AU277" s="86"/>
      <c r="AV277" s="86"/>
      <c r="AW277" s="87"/>
      <c r="AX277" s="86"/>
      <c r="AY277" s="83"/>
      <c r="AZ277" s="84"/>
      <c r="BA277" s="86"/>
      <c r="BB277" s="86"/>
    </row>
    <row r="278" spans="1:54" ht="36.75" customHeight="1">
      <c r="A278" s="30"/>
      <c r="B278" s="30" t="s">
        <v>55</v>
      </c>
      <c r="C278" s="69" t="str">
        <f t="shared" si="21"/>
        <v>Closed</v>
      </c>
      <c r="D278" s="27" t="s">
        <v>1738</v>
      </c>
      <c r="E278" s="29" t="s">
        <v>1739</v>
      </c>
      <c r="F278" s="30" t="s">
        <v>638</v>
      </c>
      <c r="G278" s="89">
        <f>DATE(2007,4,6)</f>
        <v>39178</v>
      </c>
      <c r="H278" s="90">
        <v>1.870138888888889</v>
      </c>
      <c r="I278" s="30" t="s">
        <v>278</v>
      </c>
      <c r="J278" s="89" t="s">
        <v>1740</v>
      </c>
      <c r="K278" s="30" t="s">
        <v>640</v>
      </c>
      <c r="L278" s="30" t="s">
        <v>1741</v>
      </c>
      <c r="M278" s="30" t="s">
        <v>63</v>
      </c>
      <c r="N278" s="30">
        <v>0</v>
      </c>
      <c r="O278" s="30" t="s">
        <v>77</v>
      </c>
      <c r="P278" s="89" t="s">
        <v>165</v>
      </c>
      <c r="Q278" s="89" t="s">
        <v>642</v>
      </c>
      <c r="R278" s="89" t="s">
        <v>643</v>
      </c>
      <c r="S278" s="30">
        <v>1</v>
      </c>
      <c r="T278" s="233">
        <v>0</v>
      </c>
      <c r="U278" s="30">
        <v>0</v>
      </c>
      <c r="V278" s="233">
        <v>0</v>
      </c>
      <c r="W278" s="30">
        <v>0</v>
      </c>
      <c r="X278" s="30">
        <v>1</v>
      </c>
      <c r="Y278" s="30">
        <v>0</v>
      </c>
      <c r="Z278" s="233">
        <v>0</v>
      </c>
      <c r="AA278" s="30">
        <v>0</v>
      </c>
      <c r="AB278" s="30">
        <v>0</v>
      </c>
      <c r="AC278" s="30">
        <v>0</v>
      </c>
      <c r="AD278" s="30">
        <v>0</v>
      </c>
      <c r="AE278" s="89" t="s">
        <v>68</v>
      </c>
      <c r="AF278" s="89" t="s">
        <v>68</v>
      </c>
      <c r="AG278" s="89" t="s">
        <v>248</v>
      </c>
      <c r="AH278" s="72" t="s">
        <v>68</v>
      </c>
      <c r="AI278" s="30">
        <v>1</v>
      </c>
      <c r="AJ278" s="89" t="s">
        <v>68</v>
      </c>
      <c r="AK278" s="89" t="s">
        <v>68</v>
      </c>
      <c r="AL278" s="91">
        <v>39231</v>
      </c>
      <c r="AM278" s="91"/>
      <c r="AN278" s="91"/>
      <c r="AO278" s="91"/>
      <c r="AP278" s="73" t="e">
        <f>MID(VLOOKUP(K278,#REF!,2,FALSE),1,2)</f>
        <v>#REF!</v>
      </c>
      <c r="AQ278" s="89">
        <f>DATE(2007,4,6)</f>
        <v>39178</v>
      </c>
      <c r="AR278" s="82">
        <f t="shared" si="22"/>
        <v>6</v>
      </c>
      <c r="AS278" s="83">
        <f t="shared" si="23"/>
        <v>4</v>
      </c>
      <c r="AT278" s="84">
        <f t="shared" si="24"/>
        <v>2007</v>
      </c>
      <c r="AU278" s="86"/>
      <c r="AV278" s="86"/>
      <c r="AW278" s="87"/>
      <c r="AX278" s="86"/>
      <c r="AY278" s="83"/>
      <c r="AZ278" s="84"/>
      <c r="BA278" s="86"/>
      <c r="BB278" s="86"/>
    </row>
    <row r="279" spans="1:54" ht="36.75" customHeight="1">
      <c r="A279" s="30"/>
      <c r="B279" s="30" t="s">
        <v>55</v>
      </c>
      <c r="C279" s="69" t="str">
        <f t="shared" si="21"/>
        <v>Closed</v>
      </c>
      <c r="D279" s="27" t="s">
        <v>1742</v>
      </c>
      <c r="E279" s="29" t="s">
        <v>1743</v>
      </c>
      <c r="F279" s="30" t="s">
        <v>638</v>
      </c>
      <c r="G279" s="89">
        <f>DATE(2007,4,13)</f>
        <v>39185</v>
      </c>
      <c r="H279" s="90">
        <v>1.3145833333333332</v>
      </c>
      <c r="I279" s="30" t="s">
        <v>278</v>
      </c>
      <c r="J279" s="89" t="s">
        <v>1744</v>
      </c>
      <c r="K279" s="30" t="s">
        <v>640</v>
      </c>
      <c r="L279" s="30" t="s">
        <v>1745</v>
      </c>
      <c r="M279" s="30" t="s">
        <v>63</v>
      </c>
      <c r="N279" s="30">
        <v>0</v>
      </c>
      <c r="O279" s="30" t="s">
        <v>86</v>
      </c>
      <c r="P279" s="89" t="s">
        <v>86</v>
      </c>
      <c r="Q279" s="89" t="s">
        <v>642</v>
      </c>
      <c r="R279" s="89" t="s">
        <v>643</v>
      </c>
      <c r="S279" s="30">
        <v>0</v>
      </c>
      <c r="T279" s="233">
        <v>0</v>
      </c>
      <c r="U279" s="30">
        <v>0</v>
      </c>
      <c r="V279" s="233">
        <v>1</v>
      </c>
      <c r="W279" s="30">
        <v>0</v>
      </c>
      <c r="X279" s="30">
        <v>1</v>
      </c>
      <c r="Y279" s="30">
        <v>0</v>
      </c>
      <c r="Z279" s="233">
        <v>0</v>
      </c>
      <c r="AA279" s="30">
        <v>0</v>
      </c>
      <c r="AB279" s="30">
        <v>0</v>
      </c>
      <c r="AC279" s="30">
        <v>0</v>
      </c>
      <c r="AD279" s="30">
        <v>0</v>
      </c>
      <c r="AE279" s="89" t="s">
        <v>68</v>
      </c>
      <c r="AF279" s="89" t="s">
        <v>68</v>
      </c>
      <c r="AG279" s="89" t="s">
        <v>248</v>
      </c>
      <c r="AH279" s="72" t="s">
        <v>68</v>
      </c>
      <c r="AI279" s="30">
        <v>0</v>
      </c>
      <c r="AJ279" s="89" t="s">
        <v>1746</v>
      </c>
      <c r="AK279" s="89" t="s">
        <v>68</v>
      </c>
      <c r="AL279" s="91">
        <v>39231</v>
      </c>
      <c r="AM279" s="91"/>
      <c r="AN279" s="91"/>
      <c r="AO279" s="91"/>
      <c r="AP279" s="73" t="e">
        <f>MID(VLOOKUP(K279,#REF!,2,FALSE),1,2)</f>
        <v>#REF!</v>
      </c>
      <c r="AQ279" s="89">
        <f>DATE(2007,4,13)</f>
        <v>39185</v>
      </c>
      <c r="AR279" s="82">
        <f t="shared" si="22"/>
        <v>13</v>
      </c>
      <c r="AS279" s="83">
        <f t="shared" si="23"/>
        <v>4</v>
      </c>
      <c r="AT279" s="84">
        <f t="shared" si="24"/>
        <v>2007</v>
      </c>
      <c r="AU279" s="86"/>
      <c r="AV279" s="86"/>
      <c r="AW279" s="87"/>
      <c r="AX279" s="86"/>
      <c r="AY279" s="83"/>
      <c r="AZ279" s="84"/>
      <c r="BA279" s="86"/>
      <c r="BB279" s="86"/>
    </row>
    <row r="280" spans="1:54" ht="36.75" customHeight="1">
      <c r="A280" s="30"/>
      <c r="B280" s="30" t="s">
        <v>55</v>
      </c>
      <c r="C280" s="69" t="str">
        <f t="shared" si="21"/>
        <v>Closed</v>
      </c>
      <c r="D280" s="27" t="s">
        <v>1747</v>
      </c>
      <c r="E280" s="29" t="s">
        <v>1748</v>
      </c>
      <c r="F280" s="30" t="s">
        <v>1749</v>
      </c>
      <c r="G280" s="89">
        <f>DATE(2007,4,14)</f>
        <v>39186</v>
      </c>
      <c r="H280" s="90">
        <v>1.7555555555555555</v>
      </c>
      <c r="I280" s="30" t="s">
        <v>116</v>
      </c>
      <c r="J280" s="89" t="s">
        <v>1750</v>
      </c>
      <c r="K280" s="30" t="s">
        <v>1751</v>
      </c>
      <c r="L280" s="30" t="s">
        <v>1752</v>
      </c>
      <c r="M280" s="30" t="s">
        <v>63</v>
      </c>
      <c r="N280" s="30">
        <v>0</v>
      </c>
      <c r="O280" s="30" t="s">
        <v>64</v>
      </c>
      <c r="P280" s="89" t="s">
        <v>86</v>
      </c>
      <c r="Q280" s="89" t="s">
        <v>1753</v>
      </c>
      <c r="R280" s="89" t="s">
        <v>1754</v>
      </c>
      <c r="S280" s="30">
        <v>0</v>
      </c>
      <c r="T280" s="233">
        <v>0</v>
      </c>
      <c r="U280" s="30">
        <v>1</v>
      </c>
      <c r="V280" s="233">
        <v>0</v>
      </c>
      <c r="W280" s="30">
        <v>0</v>
      </c>
      <c r="X280" s="30">
        <v>1</v>
      </c>
      <c r="Y280" s="30">
        <v>0</v>
      </c>
      <c r="Z280" s="233">
        <v>0</v>
      </c>
      <c r="AA280" s="30">
        <v>0</v>
      </c>
      <c r="AB280" s="30">
        <v>0</v>
      </c>
      <c r="AC280" s="30">
        <v>0</v>
      </c>
      <c r="AD280" s="30">
        <v>0</v>
      </c>
      <c r="AE280" s="89" t="s">
        <v>68</v>
      </c>
      <c r="AF280" s="89" t="s">
        <v>1755</v>
      </c>
      <c r="AG280" s="89" t="s">
        <v>248</v>
      </c>
      <c r="AH280" s="72" t="s">
        <v>68</v>
      </c>
      <c r="AI280" s="30">
        <v>1</v>
      </c>
      <c r="AJ280" s="89" t="s">
        <v>68</v>
      </c>
      <c r="AK280" s="89" t="s">
        <v>68</v>
      </c>
      <c r="AL280" s="91">
        <v>39195</v>
      </c>
      <c r="AM280" s="91"/>
      <c r="AN280" s="91"/>
      <c r="AO280" s="91"/>
      <c r="AP280" s="73" t="e">
        <f>MID(VLOOKUP(K280,#REF!,2,FALSE),1,2)</f>
        <v>#REF!</v>
      </c>
      <c r="AQ280" s="89">
        <f>DATE(2007,4,14)</f>
        <v>39186</v>
      </c>
      <c r="AR280" s="82">
        <f t="shared" si="22"/>
        <v>14</v>
      </c>
      <c r="AS280" s="83">
        <f t="shared" si="23"/>
        <v>4</v>
      </c>
      <c r="AT280" s="84">
        <f t="shared" si="24"/>
        <v>2007</v>
      </c>
      <c r="AU280" s="86"/>
      <c r="AV280" s="86"/>
      <c r="AW280" s="87"/>
      <c r="AX280" s="86"/>
      <c r="AY280" s="83"/>
      <c r="AZ280" s="84"/>
      <c r="BA280" s="86"/>
      <c r="BB280" s="86"/>
    </row>
    <row r="281" spans="1:54" ht="36.75" customHeight="1">
      <c r="A281" s="30"/>
      <c r="B281" s="30" t="s">
        <v>55</v>
      </c>
      <c r="C281" s="69" t="str">
        <f t="shared" si="21"/>
        <v>Closed</v>
      </c>
      <c r="D281" s="27" t="s">
        <v>1756</v>
      </c>
      <c r="E281" s="29" t="s">
        <v>1757</v>
      </c>
      <c r="F281" s="30" t="s">
        <v>233</v>
      </c>
      <c r="G281" s="89">
        <f>DATE(2007,4,14)</f>
        <v>39186</v>
      </c>
      <c r="H281" s="90">
        <v>1.0416666666666667</v>
      </c>
      <c r="I281" s="30" t="s">
        <v>73</v>
      </c>
      <c r="J281" s="89" t="s">
        <v>1758</v>
      </c>
      <c r="K281" s="30" t="s">
        <v>235</v>
      </c>
      <c r="L281" s="30" t="s">
        <v>1759</v>
      </c>
      <c r="M281" s="30" t="s">
        <v>63</v>
      </c>
      <c r="N281" s="30">
        <v>0</v>
      </c>
      <c r="O281" s="30" t="s">
        <v>64</v>
      </c>
      <c r="P281" s="89" t="s">
        <v>301</v>
      </c>
      <c r="Q281" s="89" t="s">
        <v>675</v>
      </c>
      <c r="R281" s="89" t="s">
        <v>675</v>
      </c>
      <c r="S281" s="30">
        <v>0</v>
      </c>
      <c r="T281" s="233" t="s">
        <v>68</v>
      </c>
      <c r="U281" s="30">
        <v>0</v>
      </c>
      <c r="V281" s="233" t="s">
        <v>68</v>
      </c>
      <c r="W281" s="30">
        <v>0</v>
      </c>
      <c r="X281" s="30">
        <v>0</v>
      </c>
      <c r="Y281" s="30">
        <v>0</v>
      </c>
      <c r="Z281" s="233" t="s">
        <v>68</v>
      </c>
      <c r="AA281" s="30">
        <v>0</v>
      </c>
      <c r="AB281" s="30">
        <v>0</v>
      </c>
      <c r="AC281" s="30">
        <v>0</v>
      </c>
      <c r="AD281" s="30">
        <v>0</v>
      </c>
      <c r="AE281" s="89" t="s">
        <v>68</v>
      </c>
      <c r="AF281" s="89" t="s">
        <v>1760</v>
      </c>
      <c r="AG281" s="89" t="s">
        <v>133</v>
      </c>
      <c r="AH281" s="72" t="s">
        <v>68</v>
      </c>
      <c r="AI281" s="30">
        <v>7</v>
      </c>
      <c r="AJ281" s="89" t="s">
        <v>1761</v>
      </c>
      <c r="AK281" s="89" t="s">
        <v>1762</v>
      </c>
      <c r="AL281" s="91">
        <v>39267</v>
      </c>
      <c r="AM281" s="91"/>
      <c r="AN281" s="91"/>
      <c r="AO281" s="91"/>
      <c r="AP281" s="73" t="e">
        <f>MID(VLOOKUP(K281,#REF!,2,FALSE),1,2)</f>
        <v>#REF!</v>
      </c>
      <c r="AQ281" s="89">
        <f>DATE(2007,4,14)</f>
        <v>39186</v>
      </c>
      <c r="AR281" s="82">
        <f t="shared" si="22"/>
        <v>14</v>
      </c>
      <c r="AS281" s="83">
        <f t="shared" si="23"/>
        <v>4</v>
      </c>
      <c r="AT281" s="84">
        <f t="shared" si="24"/>
        <v>2007</v>
      </c>
      <c r="AU281" s="86"/>
      <c r="AV281" s="86"/>
      <c r="AW281" s="87"/>
      <c r="AX281" s="86"/>
      <c r="AY281" s="83"/>
      <c r="AZ281" s="84"/>
      <c r="BA281" s="86"/>
      <c r="BB281" s="86"/>
    </row>
    <row r="282" spans="1:54" ht="36.75" customHeight="1">
      <c r="A282" s="30"/>
      <c r="B282" s="30" t="s">
        <v>55</v>
      </c>
      <c r="C282" s="69" t="str">
        <f t="shared" si="21"/>
        <v>Closed</v>
      </c>
      <c r="D282" s="27" t="s">
        <v>1763</v>
      </c>
      <c r="E282" s="29" t="s">
        <v>1764</v>
      </c>
      <c r="F282" s="30" t="s">
        <v>638</v>
      </c>
      <c r="G282" s="89">
        <f>DATE(2007,4,25)</f>
        <v>39197</v>
      </c>
      <c r="H282" s="90">
        <v>1.5520833333333335</v>
      </c>
      <c r="I282" s="30" t="s">
        <v>116</v>
      </c>
      <c r="J282" s="89" t="s">
        <v>1765</v>
      </c>
      <c r="K282" s="30" t="s">
        <v>640</v>
      </c>
      <c r="L282" s="30" t="s">
        <v>1766</v>
      </c>
      <c r="M282" s="30" t="s">
        <v>63</v>
      </c>
      <c r="N282" s="30">
        <v>0</v>
      </c>
      <c r="O282" s="30" t="s">
        <v>64</v>
      </c>
      <c r="P282" s="89" t="s">
        <v>165</v>
      </c>
      <c r="Q282" s="89" t="s">
        <v>642</v>
      </c>
      <c r="R282" s="89" t="s">
        <v>643</v>
      </c>
      <c r="S282" s="30">
        <v>0</v>
      </c>
      <c r="T282" s="233">
        <v>0</v>
      </c>
      <c r="U282" s="30">
        <v>3</v>
      </c>
      <c r="V282" s="233">
        <v>0</v>
      </c>
      <c r="W282" s="30">
        <v>0</v>
      </c>
      <c r="X282" s="30">
        <v>3</v>
      </c>
      <c r="Y282" s="30">
        <v>0</v>
      </c>
      <c r="Z282" s="233">
        <v>0</v>
      </c>
      <c r="AA282" s="30">
        <v>0</v>
      </c>
      <c r="AB282" s="30">
        <v>0</v>
      </c>
      <c r="AC282" s="30">
        <v>0</v>
      </c>
      <c r="AD282" s="30">
        <v>0</v>
      </c>
      <c r="AE282" s="89" t="s">
        <v>68</v>
      </c>
      <c r="AF282" s="89" t="s">
        <v>1767</v>
      </c>
      <c r="AG282" s="89" t="s">
        <v>248</v>
      </c>
      <c r="AH282" s="72" t="s">
        <v>68</v>
      </c>
      <c r="AI282" s="30">
        <v>5</v>
      </c>
      <c r="AJ282" s="89" t="s">
        <v>68</v>
      </c>
      <c r="AK282" s="89" t="s">
        <v>68</v>
      </c>
      <c r="AL282" s="91">
        <v>39232</v>
      </c>
      <c r="AM282" s="91"/>
      <c r="AN282" s="91"/>
      <c r="AO282" s="91"/>
      <c r="AP282" s="73" t="e">
        <f>MID(VLOOKUP(K282,#REF!,2,FALSE),1,2)</f>
        <v>#REF!</v>
      </c>
      <c r="AQ282" s="89">
        <f>DATE(2007,4,25)</f>
        <v>39197</v>
      </c>
      <c r="AR282" s="82">
        <f t="shared" si="22"/>
        <v>25</v>
      </c>
      <c r="AS282" s="83">
        <f t="shared" si="23"/>
        <v>4</v>
      </c>
      <c r="AT282" s="84">
        <f t="shared" si="24"/>
        <v>2007</v>
      </c>
      <c r="AU282" s="86"/>
      <c r="AV282" s="86"/>
      <c r="AW282" s="87"/>
      <c r="AX282" s="86"/>
      <c r="AY282" s="83"/>
      <c r="AZ282" s="84"/>
      <c r="BA282" s="86"/>
      <c r="BB282" s="86"/>
    </row>
    <row r="283" spans="1:54" ht="36.75" customHeight="1">
      <c r="A283" s="30"/>
      <c r="B283" s="30" t="s">
        <v>55</v>
      </c>
      <c r="C283" s="69" t="str">
        <f t="shared" si="21"/>
        <v>Closed</v>
      </c>
      <c r="D283" s="27" t="s">
        <v>1768</v>
      </c>
      <c r="E283" s="29" t="s">
        <v>1769</v>
      </c>
      <c r="F283" s="30" t="s">
        <v>1770</v>
      </c>
      <c r="G283" s="89">
        <f>DATE(2007,4,26)</f>
        <v>39198</v>
      </c>
      <c r="H283" s="90">
        <v>1.7986111111111112</v>
      </c>
      <c r="I283" s="30" t="s">
        <v>198</v>
      </c>
      <c r="J283" s="89" t="s">
        <v>1771</v>
      </c>
      <c r="K283" s="30" t="s">
        <v>1772</v>
      </c>
      <c r="L283" s="30" t="s">
        <v>1773</v>
      </c>
      <c r="M283" s="30" t="s">
        <v>63</v>
      </c>
      <c r="N283" s="30" t="s">
        <v>142</v>
      </c>
      <c r="O283" s="30" t="s">
        <v>77</v>
      </c>
      <c r="P283" s="89" t="s">
        <v>1359</v>
      </c>
      <c r="Q283" s="89" t="s">
        <v>1774</v>
      </c>
      <c r="R283" s="89" t="s">
        <v>1775</v>
      </c>
      <c r="S283" s="30">
        <v>0</v>
      </c>
      <c r="T283" s="233">
        <v>0</v>
      </c>
      <c r="U283" s="30">
        <v>0</v>
      </c>
      <c r="V283" s="233">
        <v>0</v>
      </c>
      <c r="W283" s="30">
        <v>0</v>
      </c>
      <c r="X283" s="30">
        <v>0</v>
      </c>
      <c r="Y283" s="30">
        <v>1</v>
      </c>
      <c r="Z283" s="233">
        <v>2</v>
      </c>
      <c r="AA283" s="30">
        <v>0</v>
      </c>
      <c r="AB283" s="30">
        <v>0</v>
      </c>
      <c r="AC283" s="30">
        <v>0</v>
      </c>
      <c r="AD283" s="30">
        <v>3</v>
      </c>
      <c r="AE283" s="89" t="s">
        <v>145</v>
      </c>
      <c r="AF283" s="89" t="s">
        <v>1776</v>
      </c>
      <c r="AG283" s="89" t="s">
        <v>82</v>
      </c>
      <c r="AH283" s="72">
        <v>39199</v>
      </c>
      <c r="AI283" s="30">
        <v>0</v>
      </c>
      <c r="AJ283" s="89" t="s">
        <v>1777</v>
      </c>
      <c r="AK283" s="89" t="s">
        <v>1233</v>
      </c>
      <c r="AL283" s="91">
        <v>39217</v>
      </c>
      <c r="AM283" s="91"/>
      <c r="AN283" s="91"/>
      <c r="AO283" s="91"/>
      <c r="AP283" s="73" t="e">
        <f>MID(VLOOKUP(K283,#REF!,2,FALSE),1,2)</f>
        <v>#REF!</v>
      </c>
      <c r="AQ283" s="89">
        <f>DATE(2007,4,26)</f>
        <v>39198</v>
      </c>
      <c r="AR283" s="82">
        <f t="shared" si="22"/>
        <v>26</v>
      </c>
      <c r="AS283" s="83">
        <f t="shared" si="23"/>
        <v>4</v>
      </c>
      <c r="AT283" s="84">
        <f t="shared" si="24"/>
        <v>2007</v>
      </c>
      <c r="AU283" s="86"/>
      <c r="AV283" s="86"/>
      <c r="AW283" s="87"/>
      <c r="AX283" s="86"/>
      <c r="AY283" s="83"/>
      <c r="AZ283" s="84"/>
      <c r="BA283" s="86"/>
      <c r="BB283" s="86"/>
    </row>
    <row r="284" spans="1:54" ht="36.75" customHeight="1">
      <c r="A284" s="30"/>
      <c r="B284" s="30" t="s">
        <v>55</v>
      </c>
      <c r="C284" s="69" t="str">
        <f t="shared" si="21"/>
        <v>Closed</v>
      </c>
      <c r="D284" s="27" t="s">
        <v>1778</v>
      </c>
      <c r="E284" s="29" t="s">
        <v>1779</v>
      </c>
      <c r="F284" s="30" t="s">
        <v>233</v>
      </c>
      <c r="G284" s="89">
        <f>DATE(2007,4,29)</f>
        <v>39201</v>
      </c>
      <c r="H284" s="90">
        <v>1.476388888888889</v>
      </c>
      <c r="I284" s="30" t="s">
        <v>278</v>
      </c>
      <c r="J284" s="89" t="s">
        <v>1780</v>
      </c>
      <c r="K284" s="30" t="s">
        <v>235</v>
      </c>
      <c r="L284" s="30" t="s">
        <v>1781</v>
      </c>
      <c r="M284" s="30" t="s">
        <v>63</v>
      </c>
      <c r="N284" s="30">
        <v>0</v>
      </c>
      <c r="O284" s="30" t="s">
        <v>64</v>
      </c>
      <c r="P284" s="89" t="s">
        <v>165</v>
      </c>
      <c r="Q284" s="89" t="s">
        <v>1428</v>
      </c>
      <c r="R284" s="89" t="s">
        <v>238</v>
      </c>
      <c r="S284" s="30">
        <v>0</v>
      </c>
      <c r="T284" s="233">
        <v>1</v>
      </c>
      <c r="U284" s="30">
        <v>0</v>
      </c>
      <c r="V284" s="233">
        <v>0</v>
      </c>
      <c r="W284" s="30">
        <v>0</v>
      </c>
      <c r="X284" s="30">
        <v>1</v>
      </c>
      <c r="Y284" s="30">
        <v>0</v>
      </c>
      <c r="Z284" s="233">
        <v>0</v>
      </c>
      <c r="AA284" s="30">
        <v>0</v>
      </c>
      <c r="AB284" s="30">
        <v>0</v>
      </c>
      <c r="AC284" s="30">
        <v>0</v>
      </c>
      <c r="AD284" s="30">
        <v>0</v>
      </c>
      <c r="AE284" s="89" t="s">
        <v>68</v>
      </c>
      <c r="AF284" s="89" t="s">
        <v>68</v>
      </c>
      <c r="AG284" s="89" t="s">
        <v>82</v>
      </c>
      <c r="AH284" s="72" t="s">
        <v>68</v>
      </c>
      <c r="AI284" s="30">
        <v>7</v>
      </c>
      <c r="AJ284" s="89" t="s">
        <v>1782</v>
      </c>
      <c r="AK284" s="89" t="s">
        <v>1783</v>
      </c>
      <c r="AL284" s="91">
        <v>39260</v>
      </c>
      <c r="AM284" s="91"/>
      <c r="AN284" s="91"/>
      <c r="AO284" s="91"/>
      <c r="AP284" s="73" t="e">
        <f>MID(VLOOKUP(K284,#REF!,2,FALSE),1,2)</f>
        <v>#REF!</v>
      </c>
      <c r="AQ284" s="89">
        <f>DATE(2007,4,29)</f>
        <v>39201</v>
      </c>
      <c r="AR284" s="82">
        <f t="shared" si="22"/>
        <v>29</v>
      </c>
      <c r="AS284" s="83">
        <f t="shared" si="23"/>
        <v>4</v>
      </c>
      <c r="AT284" s="84">
        <f t="shared" si="24"/>
        <v>2007</v>
      </c>
      <c r="AU284" s="86"/>
      <c r="AV284" s="86"/>
      <c r="AW284" s="87"/>
      <c r="AX284" s="86"/>
      <c r="AY284" s="83"/>
      <c r="AZ284" s="84"/>
      <c r="BA284" s="86"/>
      <c r="BB284" s="86"/>
    </row>
    <row r="285" spans="1:54" ht="36.75" customHeight="1">
      <c r="A285" s="30"/>
      <c r="B285" s="30" t="s">
        <v>55</v>
      </c>
      <c r="C285" s="69" t="str">
        <f t="shared" si="21"/>
        <v>Closed</v>
      </c>
      <c r="D285" s="27" t="s">
        <v>1784</v>
      </c>
      <c r="E285" s="29" t="s">
        <v>1785</v>
      </c>
      <c r="F285" s="30" t="s">
        <v>638</v>
      </c>
      <c r="G285" s="89">
        <f>DATE(2007,4,30)</f>
        <v>39202</v>
      </c>
      <c r="H285" s="90">
        <v>1.6090277777777779</v>
      </c>
      <c r="I285" s="30" t="s">
        <v>278</v>
      </c>
      <c r="J285" s="89" t="s">
        <v>1786</v>
      </c>
      <c r="K285" s="30" t="s">
        <v>640</v>
      </c>
      <c r="L285" s="30" t="s">
        <v>1787</v>
      </c>
      <c r="M285" s="30" t="s">
        <v>63</v>
      </c>
      <c r="N285" s="30">
        <v>0</v>
      </c>
      <c r="O285" s="30" t="s">
        <v>77</v>
      </c>
      <c r="P285" s="89" t="s">
        <v>165</v>
      </c>
      <c r="Q285" s="89" t="s">
        <v>642</v>
      </c>
      <c r="R285" s="89" t="s">
        <v>643</v>
      </c>
      <c r="S285" s="30">
        <v>0</v>
      </c>
      <c r="T285" s="233">
        <v>0</v>
      </c>
      <c r="U285" s="30">
        <v>0</v>
      </c>
      <c r="V285" s="233">
        <v>1</v>
      </c>
      <c r="W285" s="30">
        <v>0</v>
      </c>
      <c r="X285" s="30">
        <v>1</v>
      </c>
      <c r="Y285" s="30">
        <v>0</v>
      </c>
      <c r="Z285" s="233">
        <v>0</v>
      </c>
      <c r="AA285" s="30">
        <v>0</v>
      </c>
      <c r="AB285" s="30">
        <v>0</v>
      </c>
      <c r="AC285" s="30">
        <v>0</v>
      </c>
      <c r="AD285" s="30">
        <v>0</v>
      </c>
      <c r="AE285" s="89" t="s">
        <v>68</v>
      </c>
      <c r="AF285" s="89" t="s">
        <v>68</v>
      </c>
      <c r="AG285" s="89" t="s">
        <v>248</v>
      </c>
      <c r="AH285" s="72" t="s">
        <v>68</v>
      </c>
      <c r="AI285" s="30">
        <v>3</v>
      </c>
      <c r="AJ285" s="89" t="s">
        <v>1788</v>
      </c>
      <c r="AK285" s="89" t="s">
        <v>68</v>
      </c>
      <c r="AL285" s="91">
        <v>39232</v>
      </c>
      <c r="AM285" s="91"/>
      <c r="AN285" s="91"/>
      <c r="AO285" s="91"/>
      <c r="AP285" s="73" t="e">
        <f>MID(VLOOKUP(K285,#REF!,2,FALSE),1,2)</f>
        <v>#REF!</v>
      </c>
      <c r="AQ285" s="89">
        <f>DATE(2007,4,30)</f>
        <v>39202</v>
      </c>
      <c r="AR285" s="82">
        <f t="shared" si="22"/>
        <v>30</v>
      </c>
      <c r="AS285" s="83">
        <f t="shared" si="23"/>
        <v>4</v>
      </c>
      <c r="AT285" s="84">
        <f t="shared" si="24"/>
        <v>2007</v>
      </c>
      <c r="AU285" s="86"/>
      <c r="AV285" s="86"/>
      <c r="AW285" s="87"/>
      <c r="AX285" s="86"/>
      <c r="AY285" s="83"/>
      <c r="AZ285" s="84"/>
      <c r="BA285" s="86"/>
      <c r="BB285" s="86"/>
    </row>
    <row r="286" spans="1:54" ht="36.75" customHeight="1">
      <c r="A286" s="30"/>
      <c r="B286" s="30" t="s">
        <v>55</v>
      </c>
      <c r="C286" s="69" t="str">
        <f t="shared" si="21"/>
        <v>Closed</v>
      </c>
      <c r="D286" s="27" t="s">
        <v>1789</v>
      </c>
      <c r="E286" s="29" t="s">
        <v>1790</v>
      </c>
      <c r="F286" s="30" t="s">
        <v>638</v>
      </c>
      <c r="G286" s="89">
        <f>DATE(2007,4,30)</f>
        <v>39202</v>
      </c>
      <c r="H286" s="90">
        <v>1.9215277777777779</v>
      </c>
      <c r="I286" s="30" t="s">
        <v>278</v>
      </c>
      <c r="J286" s="89" t="s">
        <v>1791</v>
      </c>
      <c r="K286" s="30" t="s">
        <v>640</v>
      </c>
      <c r="L286" s="30" t="s">
        <v>1792</v>
      </c>
      <c r="M286" s="30" t="s">
        <v>63</v>
      </c>
      <c r="N286" s="30">
        <v>0</v>
      </c>
      <c r="O286" s="30" t="s">
        <v>77</v>
      </c>
      <c r="P286" s="89" t="s">
        <v>165</v>
      </c>
      <c r="Q286" s="89" t="s">
        <v>642</v>
      </c>
      <c r="R286" s="89" t="s">
        <v>643</v>
      </c>
      <c r="S286" s="30">
        <v>0</v>
      </c>
      <c r="T286" s="233">
        <v>0</v>
      </c>
      <c r="U286" s="30">
        <v>0</v>
      </c>
      <c r="V286" s="233">
        <v>1</v>
      </c>
      <c r="W286" s="30">
        <v>0</v>
      </c>
      <c r="X286" s="30">
        <v>1</v>
      </c>
      <c r="Y286" s="30">
        <v>0</v>
      </c>
      <c r="Z286" s="233">
        <v>0</v>
      </c>
      <c r="AA286" s="30">
        <v>0</v>
      </c>
      <c r="AB286" s="30">
        <v>0</v>
      </c>
      <c r="AC286" s="30">
        <v>0</v>
      </c>
      <c r="AD286" s="30">
        <v>0</v>
      </c>
      <c r="AE286" s="89" t="s">
        <v>68</v>
      </c>
      <c r="AF286" s="89" t="s">
        <v>68</v>
      </c>
      <c r="AG286" s="89" t="s">
        <v>248</v>
      </c>
      <c r="AH286" s="72" t="s">
        <v>68</v>
      </c>
      <c r="AI286" s="30">
        <v>2</v>
      </c>
      <c r="AJ286" s="89" t="s">
        <v>68</v>
      </c>
      <c r="AK286" s="89" t="s">
        <v>68</v>
      </c>
      <c r="AL286" s="91">
        <v>39232</v>
      </c>
      <c r="AM286" s="91"/>
      <c r="AN286" s="91"/>
      <c r="AO286" s="91"/>
      <c r="AP286" s="73" t="e">
        <f>MID(VLOOKUP(K286,#REF!,2,FALSE),1,2)</f>
        <v>#REF!</v>
      </c>
      <c r="AQ286" s="89">
        <f>DATE(2007,4,30)</f>
        <v>39202</v>
      </c>
      <c r="AR286" s="82">
        <f t="shared" si="22"/>
        <v>30</v>
      </c>
      <c r="AS286" s="83">
        <f t="shared" si="23"/>
        <v>4</v>
      </c>
      <c r="AT286" s="84">
        <f t="shared" si="24"/>
        <v>2007</v>
      </c>
      <c r="AU286" s="86"/>
      <c r="AV286" s="86"/>
      <c r="AW286" s="87"/>
      <c r="AX286" s="86"/>
      <c r="AY286" s="83"/>
      <c r="AZ286" s="84"/>
      <c r="BA286" s="86"/>
      <c r="BB286" s="86"/>
    </row>
    <row r="287" spans="1:54" ht="36.75" customHeight="1">
      <c r="A287" s="30"/>
      <c r="B287" s="30" t="s">
        <v>55</v>
      </c>
      <c r="C287" s="69" t="str">
        <f t="shared" si="21"/>
        <v>Closed</v>
      </c>
      <c r="D287" s="27" t="s">
        <v>1793</v>
      </c>
      <c r="E287" s="29" t="s">
        <v>1794</v>
      </c>
      <c r="F287" s="30" t="s">
        <v>233</v>
      </c>
      <c r="G287" s="89">
        <f>DATE(2007,5,5)</f>
        <v>39207</v>
      </c>
      <c r="H287" s="90">
        <v>1.6416666666666666</v>
      </c>
      <c r="I287" s="30" t="s">
        <v>198</v>
      </c>
      <c r="J287" s="89" t="s">
        <v>1795</v>
      </c>
      <c r="K287" s="30" t="s">
        <v>235</v>
      </c>
      <c r="L287" s="30" t="s">
        <v>1796</v>
      </c>
      <c r="M287" s="30" t="s">
        <v>63</v>
      </c>
      <c r="N287" s="30">
        <v>0</v>
      </c>
      <c r="O287" s="30" t="s">
        <v>77</v>
      </c>
      <c r="P287" s="89" t="s">
        <v>86</v>
      </c>
      <c r="Q287" s="89" t="s">
        <v>654</v>
      </c>
      <c r="R287" s="89" t="s">
        <v>654</v>
      </c>
      <c r="S287" s="30">
        <v>0</v>
      </c>
      <c r="T287" s="233" t="s">
        <v>68</v>
      </c>
      <c r="U287" s="30">
        <v>0</v>
      </c>
      <c r="V287" s="233" t="s">
        <v>68</v>
      </c>
      <c r="W287" s="30">
        <v>0</v>
      </c>
      <c r="X287" s="30">
        <v>0</v>
      </c>
      <c r="Y287" s="30">
        <v>0</v>
      </c>
      <c r="Z287" s="233" t="s">
        <v>68</v>
      </c>
      <c r="AA287" s="30">
        <v>0</v>
      </c>
      <c r="AB287" s="30">
        <v>0</v>
      </c>
      <c r="AC287" s="30">
        <v>0</v>
      </c>
      <c r="AD287" s="30">
        <v>0</v>
      </c>
      <c r="AE287" s="89" t="s">
        <v>68</v>
      </c>
      <c r="AF287" s="89" t="s">
        <v>68</v>
      </c>
      <c r="AG287" s="89" t="s">
        <v>248</v>
      </c>
      <c r="AH287" s="72" t="s">
        <v>68</v>
      </c>
      <c r="AI287" s="30">
        <v>2</v>
      </c>
      <c r="AJ287" s="89" t="s">
        <v>1797</v>
      </c>
      <c r="AK287" s="89" t="s">
        <v>1798</v>
      </c>
      <c r="AL287" s="91">
        <v>39303</v>
      </c>
      <c r="AM287" s="91"/>
      <c r="AN287" s="91"/>
      <c r="AO287" s="91"/>
      <c r="AP287" s="73" t="e">
        <f>MID(VLOOKUP(K287,#REF!,2,FALSE),1,2)</f>
        <v>#REF!</v>
      </c>
      <c r="AQ287" s="89">
        <f>DATE(2007,5,5)</f>
        <v>39207</v>
      </c>
      <c r="AR287" s="82">
        <f t="shared" si="22"/>
        <v>5</v>
      </c>
      <c r="AS287" s="83">
        <f t="shared" si="23"/>
        <v>5</v>
      </c>
      <c r="AT287" s="84">
        <f t="shared" si="24"/>
        <v>2007</v>
      </c>
      <c r="AU287" s="86"/>
      <c r="AV287" s="86"/>
      <c r="AW287" s="87"/>
      <c r="AX287" s="86"/>
      <c r="AY287" s="83"/>
      <c r="AZ287" s="84"/>
      <c r="BA287" s="86"/>
      <c r="BB287" s="86"/>
    </row>
    <row r="288" spans="1:54" ht="36.75" customHeight="1">
      <c r="A288" s="30"/>
      <c r="B288" s="30" t="s">
        <v>55</v>
      </c>
      <c r="C288" s="69" t="str">
        <f t="shared" si="21"/>
        <v>Closed</v>
      </c>
      <c r="D288" s="27" t="s">
        <v>1799</v>
      </c>
      <c r="E288" s="29" t="s">
        <v>1800</v>
      </c>
      <c r="F288" s="30" t="s">
        <v>638</v>
      </c>
      <c r="G288" s="89">
        <f>DATE(2007,5,6)</f>
        <v>39208</v>
      </c>
      <c r="H288" s="90">
        <v>1.6534722222222222</v>
      </c>
      <c r="I288" s="30" t="s">
        <v>278</v>
      </c>
      <c r="J288" s="89" t="s">
        <v>1801</v>
      </c>
      <c r="K288" s="30" t="s">
        <v>640</v>
      </c>
      <c r="L288" s="30" t="s">
        <v>1802</v>
      </c>
      <c r="M288" s="30" t="s">
        <v>63</v>
      </c>
      <c r="N288" s="30">
        <v>0</v>
      </c>
      <c r="O288" s="30" t="s">
        <v>64</v>
      </c>
      <c r="P288" s="89" t="s">
        <v>65</v>
      </c>
      <c r="Q288" s="89" t="s">
        <v>642</v>
      </c>
      <c r="R288" s="89" t="s">
        <v>643</v>
      </c>
      <c r="S288" s="30">
        <v>0</v>
      </c>
      <c r="T288" s="233">
        <v>0</v>
      </c>
      <c r="U288" s="30">
        <v>0</v>
      </c>
      <c r="V288" s="233">
        <v>1</v>
      </c>
      <c r="W288" s="30">
        <v>0</v>
      </c>
      <c r="X288" s="30">
        <v>1</v>
      </c>
      <c r="Y288" s="30">
        <v>0</v>
      </c>
      <c r="Z288" s="233">
        <v>0</v>
      </c>
      <c r="AA288" s="30">
        <v>0</v>
      </c>
      <c r="AB288" s="30">
        <v>0</v>
      </c>
      <c r="AC288" s="30">
        <v>0</v>
      </c>
      <c r="AD288" s="30">
        <v>0</v>
      </c>
      <c r="AE288" s="89" t="s">
        <v>68</v>
      </c>
      <c r="AF288" s="89" t="s">
        <v>68</v>
      </c>
      <c r="AG288" s="89" t="s">
        <v>248</v>
      </c>
      <c r="AH288" s="72" t="s">
        <v>68</v>
      </c>
      <c r="AI288" s="30">
        <v>2</v>
      </c>
      <c r="AJ288" s="89" t="s">
        <v>68</v>
      </c>
      <c r="AK288" s="89" t="s">
        <v>68</v>
      </c>
      <c r="AL288" s="91">
        <v>39232</v>
      </c>
      <c r="AM288" s="91"/>
      <c r="AN288" s="91"/>
      <c r="AO288" s="91"/>
      <c r="AP288" s="73" t="e">
        <f>MID(VLOOKUP(K288,#REF!,2,FALSE),1,2)</f>
        <v>#REF!</v>
      </c>
      <c r="AQ288" s="89">
        <f>DATE(2007,5,6)</f>
        <v>39208</v>
      </c>
      <c r="AR288" s="82">
        <f t="shared" si="22"/>
        <v>6</v>
      </c>
      <c r="AS288" s="83">
        <f t="shared" si="23"/>
        <v>5</v>
      </c>
      <c r="AT288" s="84">
        <f t="shared" si="24"/>
        <v>2007</v>
      </c>
      <c r="AU288" s="86"/>
      <c r="AV288" s="86"/>
      <c r="AW288" s="87"/>
      <c r="AX288" s="86"/>
      <c r="AY288" s="83"/>
      <c r="AZ288" s="84"/>
      <c r="BA288" s="86"/>
      <c r="BB288" s="86"/>
    </row>
    <row r="289" spans="1:54" ht="36.75" customHeight="1">
      <c r="A289" s="30"/>
      <c r="B289" s="30" t="s">
        <v>55</v>
      </c>
      <c r="C289" s="69" t="str">
        <f t="shared" si="21"/>
        <v>Closed</v>
      </c>
      <c r="D289" s="27" t="s">
        <v>1803</v>
      </c>
      <c r="E289" s="29" t="s">
        <v>1804</v>
      </c>
      <c r="F289" s="30" t="s">
        <v>58</v>
      </c>
      <c r="G289" s="89">
        <f>DATE(2007,5,6)</f>
        <v>39208</v>
      </c>
      <c r="H289" s="90">
        <v>1.6479166666666667</v>
      </c>
      <c r="I289" s="30" t="s">
        <v>116</v>
      </c>
      <c r="J289" s="89" t="s">
        <v>1805</v>
      </c>
      <c r="K289" s="30" t="s">
        <v>61</v>
      </c>
      <c r="L289" s="30" t="s">
        <v>1806</v>
      </c>
      <c r="M289" s="30" t="s">
        <v>63</v>
      </c>
      <c r="N289" s="30" t="s">
        <v>99</v>
      </c>
      <c r="O289" s="30" t="s">
        <v>64</v>
      </c>
      <c r="P289" s="89" t="s">
        <v>165</v>
      </c>
      <c r="Q289" s="89" t="s">
        <v>66</v>
      </c>
      <c r="R289" s="89" t="s">
        <v>67</v>
      </c>
      <c r="S289" s="30">
        <v>0</v>
      </c>
      <c r="T289" s="233">
        <v>0</v>
      </c>
      <c r="U289" s="30">
        <v>1</v>
      </c>
      <c r="V289" s="233">
        <v>0</v>
      </c>
      <c r="W289" s="30">
        <v>0</v>
      </c>
      <c r="X289" s="30">
        <v>1</v>
      </c>
      <c r="Y289" s="30">
        <v>0</v>
      </c>
      <c r="Z289" s="233">
        <v>0</v>
      </c>
      <c r="AA289" s="30">
        <v>1</v>
      </c>
      <c r="AB289" s="30">
        <v>0</v>
      </c>
      <c r="AC289" s="30">
        <v>0</v>
      </c>
      <c r="AD289" s="30">
        <v>1</v>
      </c>
      <c r="AE289" s="89" t="s">
        <v>92</v>
      </c>
      <c r="AF289" s="89" t="s">
        <v>1807</v>
      </c>
      <c r="AG289" s="89" t="s">
        <v>82</v>
      </c>
      <c r="AH289" s="72">
        <v>39218</v>
      </c>
      <c r="AI289" s="30">
        <v>3</v>
      </c>
      <c r="AJ289" s="89" t="s">
        <v>1808</v>
      </c>
      <c r="AK289" s="89" t="s">
        <v>1809</v>
      </c>
      <c r="AL289" s="91">
        <v>39223</v>
      </c>
      <c r="AM289" s="91"/>
      <c r="AN289" s="91"/>
      <c r="AO289" s="91"/>
      <c r="AP289" s="73" t="e">
        <f>MID(VLOOKUP(K289,#REF!,2,FALSE),1,2)</f>
        <v>#REF!</v>
      </c>
      <c r="AQ289" s="89">
        <f>DATE(2007,5,6)</f>
        <v>39208</v>
      </c>
      <c r="AR289" s="82">
        <f t="shared" si="22"/>
        <v>6</v>
      </c>
      <c r="AS289" s="83">
        <f t="shared" si="23"/>
        <v>5</v>
      </c>
      <c r="AT289" s="84">
        <f t="shared" si="24"/>
        <v>2007</v>
      </c>
      <c r="AU289" s="86"/>
      <c r="AV289" s="86"/>
      <c r="AW289" s="87"/>
      <c r="AX289" s="86"/>
      <c r="AY289" s="83"/>
      <c r="AZ289" s="84"/>
      <c r="BA289" s="86"/>
      <c r="BB289" s="86"/>
    </row>
    <row r="290" spans="1:54" ht="36.75" customHeight="1">
      <c r="A290" s="30"/>
      <c r="B290" s="30" t="s">
        <v>55</v>
      </c>
      <c r="C290" s="69" t="str">
        <f t="shared" si="21"/>
        <v>Closed</v>
      </c>
      <c r="D290" s="27" t="s">
        <v>1810</v>
      </c>
      <c r="E290" s="29" t="s">
        <v>1811</v>
      </c>
      <c r="F290" s="30" t="s">
        <v>423</v>
      </c>
      <c r="G290" s="89">
        <f>DATE(2007,5,7)</f>
        <v>39209</v>
      </c>
      <c r="H290" s="90">
        <v>1.007638888888889</v>
      </c>
      <c r="I290" s="30" t="s">
        <v>116</v>
      </c>
      <c r="J290" s="89" t="s">
        <v>1812</v>
      </c>
      <c r="K290" s="30" t="s">
        <v>425</v>
      </c>
      <c r="L290" s="30" t="s">
        <v>1813</v>
      </c>
      <c r="M290" s="30" t="s">
        <v>63</v>
      </c>
      <c r="N290" s="30">
        <v>0</v>
      </c>
      <c r="O290" s="30" t="s">
        <v>64</v>
      </c>
      <c r="P290" s="89" t="s">
        <v>381</v>
      </c>
      <c r="Q290" s="89" t="s">
        <v>427</v>
      </c>
      <c r="R290" s="89" t="s">
        <v>427</v>
      </c>
      <c r="S290" s="30">
        <v>0</v>
      </c>
      <c r="T290" s="233" t="s">
        <v>68</v>
      </c>
      <c r="U290" s="30">
        <v>0</v>
      </c>
      <c r="V290" s="233" t="s">
        <v>68</v>
      </c>
      <c r="W290" s="30">
        <v>0</v>
      </c>
      <c r="X290" s="30">
        <v>0</v>
      </c>
      <c r="Y290" s="30">
        <v>0</v>
      </c>
      <c r="Z290" s="233" t="s">
        <v>68</v>
      </c>
      <c r="AA290" s="30">
        <v>0</v>
      </c>
      <c r="AB290" s="30">
        <v>0</v>
      </c>
      <c r="AC290" s="30">
        <v>0</v>
      </c>
      <c r="AD290" s="30">
        <v>0</v>
      </c>
      <c r="AE290" s="89" t="s">
        <v>68</v>
      </c>
      <c r="AF290" s="89" t="s">
        <v>1814</v>
      </c>
      <c r="AG290" s="89" t="s">
        <v>248</v>
      </c>
      <c r="AH290" s="72" t="s">
        <v>68</v>
      </c>
      <c r="AI290" s="30">
        <v>2</v>
      </c>
      <c r="AJ290" s="89" t="s">
        <v>68</v>
      </c>
      <c r="AK290" s="89" t="s">
        <v>68</v>
      </c>
      <c r="AL290" s="91">
        <v>39280</v>
      </c>
      <c r="AM290" s="91"/>
      <c r="AN290" s="91"/>
      <c r="AO290" s="91"/>
      <c r="AP290" s="73" t="e">
        <f>MID(VLOOKUP(K290,#REF!,2,FALSE),1,2)</f>
        <v>#REF!</v>
      </c>
      <c r="AQ290" s="89">
        <f>DATE(2007,5,7)</f>
        <v>39209</v>
      </c>
      <c r="AR290" s="82">
        <f t="shared" si="22"/>
        <v>7</v>
      </c>
      <c r="AS290" s="83">
        <f t="shared" si="23"/>
        <v>5</v>
      </c>
      <c r="AT290" s="84">
        <f t="shared" si="24"/>
        <v>2007</v>
      </c>
      <c r="AU290" s="86"/>
      <c r="AV290" s="86"/>
      <c r="AW290" s="87"/>
      <c r="AX290" s="86"/>
      <c r="AY290" s="83"/>
      <c r="AZ290" s="84"/>
      <c r="BA290" s="86"/>
      <c r="BB290" s="86"/>
    </row>
    <row r="291" spans="1:54" ht="36.75" customHeight="1">
      <c r="A291" s="30"/>
      <c r="B291" s="30" t="s">
        <v>55</v>
      </c>
      <c r="C291" s="69" t="str">
        <f t="shared" si="21"/>
        <v>Closed</v>
      </c>
      <c r="D291" s="27" t="s">
        <v>1815</v>
      </c>
      <c r="E291" s="29" t="s">
        <v>1816</v>
      </c>
      <c r="F291" s="30" t="s">
        <v>638</v>
      </c>
      <c r="G291" s="89">
        <f>DATE(2007,5,7)</f>
        <v>39209</v>
      </c>
      <c r="H291" s="90">
        <v>1.8055555555555554</v>
      </c>
      <c r="I291" s="30" t="s">
        <v>116</v>
      </c>
      <c r="J291" s="89" t="s">
        <v>1817</v>
      </c>
      <c r="K291" s="30" t="s">
        <v>640</v>
      </c>
      <c r="L291" s="30" t="s">
        <v>1818</v>
      </c>
      <c r="M291" s="30" t="s">
        <v>63</v>
      </c>
      <c r="N291" s="30">
        <v>0</v>
      </c>
      <c r="O291" s="30" t="s">
        <v>77</v>
      </c>
      <c r="P291" s="89" t="s">
        <v>65</v>
      </c>
      <c r="Q291" s="89" t="s">
        <v>642</v>
      </c>
      <c r="R291" s="89" t="s">
        <v>643</v>
      </c>
      <c r="S291" s="30">
        <v>0</v>
      </c>
      <c r="T291" s="233">
        <v>0</v>
      </c>
      <c r="U291" s="30">
        <v>1</v>
      </c>
      <c r="V291" s="233">
        <v>0</v>
      </c>
      <c r="W291" s="30">
        <v>0</v>
      </c>
      <c r="X291" s="30">
        <v>1</v>
      </c>
      <c r="Y291" s="30">
        <v>0</v>
      </c>
      <c r="Z291" s="233">
        <v>0</v>
      </c>
      <c r="AA291" s="30">
        <v>0</v>
      </c>
      <c r="AB291" s="30">
        <v>0</v>
      </c>
      <c r="AC291" s="30">
        <v>0</v>
      </c>
      <c r="AD291" s="30">
        <v>0</v>
      </c>
      <c r="AE291" s="89" t="s">
        <v>68</v>
      </c>
      <c r="AF291" s="89" t="s">
        <v>68</v>
      </c>
      <c r="AG291" s="89" t="s">
        <v>248</v>
      </c>
      <c r="AH291" s="72" t="s">
        <v>68</v>
      </c>
      <c r="AI291" s="30">
        <v>2</v>
      </c>
      <c r="AJ291" s="89" t="s">
        <v>1732</v>
      </c>
      <c r="AK291" s="89" t="s">
        <v>68</v>
      </c>
      <c r="AL291" s="91">
        <v>39232</v>
      </c>
      <c r="AM291" s="91"/>
      <c r="AN291" s="91"/>
      <c r="AO291" s="91"/>
      <c r="AP291" s="73" t="e">
        <f>MID(VLOOKUP(K291,#REF!,2,FALSE),1,2)</f>
        <v>#REF!</v>
      </c>
      <c r="AQ291" s="89">
        <f>DATE(2007,5,7)</f>
        <v>39209</v>
      </c>
      <c r="AR291" s="82">
        <f t="shared" si="22"/>
        <v>7</v>
      </c>
      <c r="AS291" s="83">
        <f t="shared" si="23"/>
        <v>5</v>
      </c>
      <c r="AT291" s="84">
        <f t="shared" si="24"/>
        <v>2007</v>
      </c>
      <c r="AU291" s="86"/>
      <c r="AV291" s="86"/>
      <c r="AW291" s="87"/>
      <c r="AX291" s="86"/>
      <c r="AY291" s="83"/>
      <c r="AZ291" s="84"/>
      <c r="BA291" s="86"/>
      <c r="BB291" s="86"/>
    </row>
    <row r="292" spans="1:54" ht="36.75" customHeight="1">
      <c r="A292" s="30"/>
      <c r="B292" s="30" t="s">
        <v>55</v>
      </c>
      <c r="C292" s="69" t="str">
        <f t="shared" si="21"/>
        <v>Closed</v>
      </c>
      <c r="D292" s="27" t="s">
        <v>1819</v>
      </c>
      <c r="E292" s="29" t="s">
        <v>1820</v>
      </c>
      <c r="F292" s="30" t="s">
        <v>233</v>
      </c>
      <c r="G292" s="89">
        <f>DATE(2007,5,10)</f>
        <v>39212</v>
      </c>
      <c r="H292" s="90">
        <v>1.2763888888888888</v>
      </c>
      <c r="I292" s="30" t="s">
        <v>73</v>
      </c>
      <c r="J292" s="89" t="s">
        <v>1821</v>
      </c>
      <c r="K292" s="30" t="s">
        <v>235</v>
      </c>
      <c r="L292" s="30" t="s">
        <v>1822</v>
      </c>
      <c r="M292" s="30" t="s">
        <v>63</v>
      </c>
      <c r="N292" s="30">
        <v>0</v>
      </c>
      <c r="O292" s="30" t="s">
        <v>64</v>
      </c>
      <c r="P292" s="89" t="s">
        <v>78</v>
      </c>
      <c r="Q292" s="89" t="s">
        <v>237</v>
      </c>
      <c r="R292" s="89" t="s">
        <v>238</v>
      </c>
      <c r="S292" s="30">
        <v>0</v>
      </c>
      <c r="T292" s="233" t="s">
        <v>68</v>
      </c>
      <c r="U292" s="30">
        <v>0</v>
      </c>
      <c r="V292" s="233" t="s">
        <v>68</v>
      </c>
      <c r="W292" s="30">
        <v>0</v>
      </c>
      <c r="X292" s="30">
        <v>0</v>
      </c>
      <c r="Y292" s="30">
        <v>0</v>
      </c>
      <c r="Z292" s="233" t="s">
        <v>68</v>
      </c>
      <c r="AA292" s="30">
        <v>0</v>
      </c>
      <c r="AB292" s="30">
        <v>0</v>
      </c>
      <c r="AC292" s="30">
        <v>0</v>
      </c>
      <c r="AD292" s="30">
        <v>0</v>
      </c>
      <c r="AE292" s="89" t="s">
        <v>68</v>
      </c>
      <c r="AF292" s="89" t="s">
        <v>1823</v>
      </c>
      <c r="AG292" s="89" t="s">
        <v>133</v>
      </c>
      <c r="AH292" s="72" t="s">
        <v>68</v>
      </c>
      <c r="AI292" s="30">
        <v>4</v>
      </c>
      <c r="AJ292" s="89" t="s">
        <v>1824</v>
      </c>
      <c r="AK292" s="89" t="s">
        <v>1825</v>
      </c>
      <c r="AL292" s="91">
        <v>39267</v>
      </c>
      <c r="AM292" s="91"/>
      <c r="AN292" s="91"/>
      <c r="AO292" s="91"/>
      <c r="AP292" s="73" t="e">
        <f>MID(VLOOKUP(K292,#REF!,2,FALSE),1,2)</f>
        <v>#REF!</v>
      </c>
      <c r="AQ292" s="89">
        <f>DATE(2007,5,10)</f>
        <v>39212</v>
      </c>
      <c r="AR292" s="82">
        <f t="shared" si="22"/>
        <v>10</v>
      </c>
      <c r="AS292" s="83">
        <f t="shared" si="23"/>
        <v>5</v>
      </c>
      <c r="AT292" s="84">
        <f t="shared" si="24"/>
        <v>2007</v>
      </c>
      <c r="AU292" s="86"/>
      <c r="AV292" s="86"/>
      <c r="AW292" s="87"/>
      <c r="AX292" s="86"/>
      <c r="AY292" s="83"/>
      <c r="AZ292" s="84"/>
      <c r="BA292" s="86"/>
      <c r="BB292" s="86"/>
    </row>
    <row r="293" spans="1:54" ht="36.75" customHeight="1">
      <c r="A293" s="30"/>
      <c r="B293" s="30" t="s">
        <v>55</v>
      </c>
      <c r="C293" s="69" t="str">
        <f t="shared" si="21"/>
        <v>Closed</v>
      </c>
      <c r="D293" s="27" t="s">
        <v>1826</v>
      </c>
      <c r="E293" s="29" t="s">
        <v>1827</v>
      </c>
      <c r="F293" s="30" t="s">
        <v>638</v>
      </c>
      <c r="G293" s="89">
        <f>DATE(2007,5,12)</f>
        <v>39214</v>
      </c>
      <c r="H293" s="90">
        <v>1.9131944444444446</v>
      </c>
      <c r="I293" s="30" t="s">
        <v>278</v>
      </c>
      <c r="J293" s="89" t="s">
        <v>1828</v>
      </c>
      <c r="K293" s="30" t="s">
        <v>640</v>
      </c>
      <c r="L293" s="30" t="s">
        <v>1829</v>
      </c>
      <c r="M293" s="30" t="s">
        <v>63</v>
      </c>
      <c r="N293" s="30">
        <v>0</v>
      </c>
      <c r="O293" s="30" t="s">
        <v>64</v>
      </c>
      <c r="P293" s="89" t="s">
        <v>65</v>
      </c>
      <c r="Q293" s="89" t="s">
        <v>642</v>
      </c>
      <c r="R293" s="89" t="s">
        <v>643</v>
      </c>
      <c r="S293" s="30">
        <v>0</v>
      </c>
      <c r="T293" s="233">
        <v>0</v>
      </c>
      <c r="U293" s="30">
        <v>0</v>
      </c>
      <c r="V293" s="233">
        <v>1</v>
      </c>
      <c r="W293" s="30">
        <v>0</v>
      </c>
      <c r="X293" s="30">
        <v>1</v>
      </c>
      <c r="Y293" s="30">
        <v>0</v>
      </c>
      <c r="Z293" s="233">
        <v>0</v>
      </c>
      <c r="AA293" s="30">
        <v>0</v>
      </c>
      <c r="AB293" s="30">
        <v>0</v>
      </c>
      <c r="AC293" s="30">
        <v>0</v>
      </c>
      <c r="AD293" s="30">
        <v>0</v>
      </c>
      <c r="AE293" s="89" t="s">
        <v>68</v>
      </c>
      <c r="AF293" s="89" t="s">
        <v>68</v>
      </c>
      <c r="AG293" s="89" t="s">
        <v>248</v>
      </c>
      <c r="AH293" s="72" t="s">
        <v>68</v>
      </c>
      <c r="AI293" s="30">
        <v>2</v>
      </c>
      <c r="AJ293" s="89" t="s">
        <v>1830</v>
      </c>
      <c r="AK293" s="89" t="s">
        <v>68</v>
      </c>
      <c r="AL293" s="91">
        <v>39232</v>
      </c>
      <c r="AM293" s="91"/>
      <c r="AN293" s="91"/>
      <c r="AO293" s="91"/>
      <c r="AP293" s="73" t="e">
        <f>MID(VLOOKUP(K293,#REF!,2,FALSE),1,2)</f>
        <v>#REF!</v>
      </c>
      <c r="AQ293" s="89">
        <f>DATE(2007,5,12)</f>
        <v>39214</v>
      </c>
      <c r="AR293" s="82">
        <f t="shared" si="22"/>
        <v>12</v>
      </c>
      <c r="AS293" s="83">
        <f t="shared" si="23"/>
        <v>5</v>
      </c>
      <c r="AT293" s="84">
        <f t="shared" si="24"/>
        <v>2007</v>
      </c>
      <c r="AU293" s="86"/>
      <c r="AV293" s="86"/>
      <c r="AW293" s="87"/>
      <c r="AX293" s="86"/>
      <c r="AY293" s="83"/>
      <c r="AZ293" s="84"/>
      <c r="BA293" s="86"/>
      <c r="BB293" s="86"/>
    </row>
    <row r="294" spans="1:54" ht="36.75" customHeight="1">
      <c r="A294" s="30"/>
      <c r="B294" s="30" t="s">
        <v>55</v>
      </c>
      <c r="C294" s="69" t="str">
        <f t="shared" si="21"/>
        <v>Closed</v>
      </c>
      <c r="D294" s="27" t="s">
        <v>1831</v>
      </c>
      <c r="E294" s="29" t="s">
        <v>1832</v>
      </c>
      <c r="F294" s="30" t="s">
        <v>594</v>
      </c>
      <c r="G294" s="89">
        <f>DATE(2007,5,12)</f>
        <v>39214</v>
      </c>
      <c r="H294" s="90">
        <v>1.7291666666666665</v>
      </c>
      <c r="I294" s="30" t="s">
        <v>116</v>
      </c>
      <c r="J294" s="89" t="s">
        <v>1833</v>
      </c>
      <c r="K294" s="30" t="s">
        <v>596</v>
      </c>
      <c r="L294" s="30" t="s">
        <v>1834</v>
      </c>
      <c r="M294" s="30" t="s">
        <v>63</v>
      </c>
      <c r="N294" s="30">
        <v>0</v>
      </c>
      <c r="O294" s="30" t="s">
        <v>64</v>
      </c>
      <c r="P294" s="89" t="s">
        <v>165</v>
      </c>
      <c r="Q294" s="89" t="s">
        <v>598</v>
      </c>
      <c r="R294" s="89" t="s">
        <v>599</v>
      </c>
      <c r="S294" s="30">
        <v>0</v>
      </c>
      <c r="T294" s="233" t="s">
        <v>68</v>
      </c>
      <c r="U294" s="30">
        <v>1</v>
      </c>
      <c r="V294" s="233" t="s">
        <v>68</v>
      </c>
      <c r="W294" s="30">
        <v>0</v>
      </c>
      <c r="X294" s="30">
        <v>1</v>
      </c>
      <c r="Y294" s="30">
        <v>0</v>
      </c>
      <c r="Z294" s="233" t="s">
        <v>68</v>
      </c>
      <c r="AA294" s="30">
        <v>0</v>
      </c>
      <c r="AB294" s="30">
        <v>0</v>
      </c>
      <c r="AC294" s="30">
        <v>0</v>
      </c>
      <c r="AD294" s="30">
        <v>0</v>
      </c>
      <c r="AE294" s="89" t="s">
        <v>68</v>
      </c>
      <c r="AF294" s="89" t="s">
        <v>1835</v>
      </c>
      <c r="AG294" s="89" t="s">
        <v>82</v>
      </c>
      <c r="AH294" s="72" t="s">
        <v>68</v>
      </c>
      <c r="AI294" s="30">
        <v>0</v>
      </c>
      <c r="AJ294" s="89" t="s">
        <v>68</v>
      </c>
      <c r="AK294" s="89" t="s">
        <v>68</v>
      </c>
      <c r="AL294" s="91">
        <v>39328</v>
      </c>
      <c r="AM294" s="91"/>
      <c r="AN294" s="91"/>
      <c r="AO294" s="91"/>
      <c r="AP294" s="73" t="e">
        <f>MID(VLOOKUP(K294,#REF!,2,FALSE),1,2)</f>
        <v>#REF!</v>
      </c>
      <c r="AQ294" s="89">
        <f>DATE(2007,5,12)</f>
        <v>39214</v>
      </c>
      <c r="AR294" s="82">
        <f t="shared" si="22"/>
        <v>12</v>
      </c>
      <c r="AS294" s="83">
        <f t="shared" si="23"/>
        <v>5</v>
      </c>
      <c r="AT294" s="84">
        <f t="shared" si="24"/>
        <v>2007</v>
      </c>
      <c r="AU294" s="86"/>
      <c r="AV294" s="86"/>
      <c r="AW294" s="87"/>
      <c r="AX294" s="86"/>
      <c r="AY294" s="83"/>
      <c r="AZ294" s="84"/>
      <c r="BA294" s="86"/>
      <c r="BB294" s="86"/>
    </row>
    <row r="295" spans="1:54" ht="36.75" customHeight="1">
      <c r="A295" s="30"/>
      <c r="B295" s="30" t="s">
        <v>55</v>
      </c>
      <c r="C295" s="69" t="str">
        <f t="shared" si="21"/>
        <v>Closed</v>
      </c>
      <c r="D295" s="27" t="s">
        <v>1836</v>
      </c>
      <c r="E295" s="29" t="s">
        <v>1837</v>
      </c>
      <c r="F295" s="30" t="s">
        <v>233</v>
      </c>
      <c r="G295" s="89">
        <f>DATE(2007,5,12)</f>
        <v>39214</v>
      </c>
      <c r="H295" s="90">
        <v>1.6527777777777777</v>
      </c>
      <c r="I295" s="30" t="s">
        <v>73</v>
      </c>
      <c r="J295" s="89" t="s">
        <v>1838</v>
      </c>
      <c r="K295" s="30" t="s">
        <v>235</v>
      </c>
      <c r="L295" s="30" t="s">
        <v>1839</v>
      </c>
      <c r="M295" s="30" t="s">
        <v>63</v>
      </c>
      <c r="N295" s="30">
        <v>0</v>
      </c>
      <c r="O295" s="30" t="s">
        <v>64</v>
      </c>
      <c r="P295" s="89" t="s">
        <v>86</v>
      </c>
      <c r="Q295" s="89" t="s">
        <v>755</v>
      </c>
      <c r="R295" s="89" t="s">
        <v>756</v>
      </c>
      <c r="S295" s="30">
        <v>0</v>
      </c>
      <c r="T295" s="233" t="s">
        <v>68</v>
      </c>
      <c r="U295" s="30">
        <v>0</v>
      </c>
      <c r="V295" s="233" t="s">
        <v>68</v>
      </c>
      <c r="W295" s="30">
        <v>0</v>
      </c>
      <c r="X295" s="30">
        <v>0</v>
      </c>
      <c r="Y295" s="30">
        <v>0</v>
      </c>
      <c r="Z295" s="233" t="s">
        <v>68</v>
      </c>
      <c r="AA295" s="30">
        <v>0</v>
      </c>
      <c r="AB295" s="30">
        <v>0</v>
      </c>
      <c r="AC295" s="30">
        <v>0</v>
      </c>
      <c r="AD295" s="30">
        <v>0</v>
      </c>
      <c r="AE295" s="89" t="s">
        <v>68</v>
      </c>
      <c r="AF295" s="89" t="s">
        <v>68</v>
      </c>
      <c r="AG295" s="89" t="s">
        <v>248</v>
      </c>
      <c r="AH295" s="72" t="s">
        <v>68</v>
      </c>
      <c r="AI295" s="30">
        <v>2</v>
      </c>
      <c r="AJ295" s="89" t="s">
        <v>1840</v>
      </c>
      <c r="AK295" s="89" t="s">
        <v>1841</v>
      </c>
      <c r="AL295" s="91">
        <v>39303</v>
      </c>
      <c r="AM295" s="91"/>
      <c r="AN295" s="91"/>
      <c r="AO295" s="91"/>
      <c r="AP295" s="73" t="e">
        <f>MID(VLOOKUP(K295,#REF!,2,FALSE),1,2)</f>
        <v>#REF!</v>
      </c>
      <c r="AQ295" s="89">
        <f>DATE(2007,5,12)</f>
        <v>39214</v>
      </c>
      <c r="AR295" s="82">
        <f t="shared" si="22"/>
        <v>12</v>
      </c>
      <c r="AS295" s="83">
        <f t="shared" si="23"/>
        <v>5</v>
      </c>
      <c r="AT295" s="84">
        <f t="shared" si="24"/>
        <v>2007</v>
      </c>
      <c r="AU295" s="86"/>
      <c r="AV295" s="86"/>
      <c r="AW295" s="87"/>
      <c r="AX295" s="86"/>
      <c r="AY295" s="83"/>
      <c r="AZ295" s="84"/>
      <c r="BA295" s="86"/>
      <c r="BB295" s="86"/>
    </row>
    <row r="296" spans="1:54" ht="36.75" customHeight="1">
      <c r="A296" s="30"/>
      <c r="B296" s="30" t="s">
        <v>55</v>
      </c>
      <c r="C296" s="69" t="str">
        <f t="shared" si="21"/>
        <v>Closed</v>
      </c>
      <c r="D296" s="27" t="s">
        <v>1842</v>
      </c>
      <c r="E296" s="29" t="s">
        <v>1843</v>
      </c>
      <c r="F296" s="30" t="s">
        <v>638</v>
      </c>
      <c r="G296" s="89">
        <f>DATE(2007,5,16)</f>
        <v>39218</v>
      </c>
      <c r="H296" s="90">
        <v>1.3812500000000001</v>
      </c>
      <c r="I296" s="30" t="s">
        <v>278</v>
      </c>
      <c r="J296" s="89" t="s">
        <v>1844</v>
      </c>
      <c r="K296" s="30" t="s">
        <v>640</v>
      </c>
      <c r="L296" s="30" t="s">
        <v>1845</v>
      </c>
      <c r="M296" s="30" t="s">
        <v>63</v>
      </c>
      <c r="N296" s="30">
        <v>0</v>
      </c>
      <c r="O296" s="30" t="s">
        <v>64</v>
      </c>
      <c r="P296" s="89" t="s">
        <v>86</v>
      </c>
      <c r="Q296" s="89" t="s">
        <v>642</v>
      </c>
      <c r="R296" s="89" t="s">
        <v>643</v>
      </c>
      <c r="S296" s="30">
        <v>0</v>
      </c>
      <c r="T296" s="233">
        <v>0</v>
      </c>
      <c r="U296" s="30">
        <v>0</v>
      </c>
      <c r="V296" s="233">
        <v>1</v>
      </c>
      <c r="W296" s="30">
        <v>0</v>
      </c>
      <c r="X296" s="30">
        <v>1</v>
      </c>
      <c r="Y296" s="30">
        <v>0</v>
      </c>
      <c r="Z296" s="233">
        <v>0</v>
      </c>
      <c r="AA296" s="30">
        <v>0</v>
      </c>
      <c r="AB296" s="30">
        <v>0</v>
      </c>
      <c r="AC296" s="30">
        <v>0</v>
      </c>
      <c r="AD296" s="30">
        <v>0</v>
      </c>
      <c r="AE296" s="89" t="s">
        <v>68</v>
      </c>
      <c r="AF296" s="89" t="s">
        <v>68</v>
      </c>
      <c r="AG296" s="89" t="s">
        <v>248</v>
      </c>
      <c r="AH296" s="72" t="s">
        <v>68</v>
      </c>
      <c r="AI296" s="30">
        <v>2</v>
      </c>
      <c r="AJ296" s="89" t="s">
        <v>1846</v>
      </c>
      <c r="AK296" s="89" t="s">
        <v>68</v>
      </c>
      <c r="AL296" s="91">
        <v>39232</v>
      </c>
      <c r="AM296" s="91"/>
      <c r="AN296" s="91"/>
      <c r="AO296" s="91"/>
      <c r="AP296" s="73" t="e">
        <f>MID(VLOOKUP(K296,#REF!,2,FALSE),1,2)</f>
        <v>#REF!</v>
      </c>
      <c r="AQ296" s="89">
        <f>DATE(2007,5,16)</f>
        <v>39218</v>
      </c>
      <c r="AR296" s="82">
        <f t="shared" si="22"/>
        <v>16</v>
      </c>
      <c r="AS296" s="83">
        <f t="shared" si="23"/>
        <v>5</v>
      </c>
      <c r="AT296" s="84">
        <f t="shared" si="24"/>
        <v>2007</v>
      </c>
      <c r="AU296" s="86"/>
      <c r="AV296" s="86"/>
      <c r="AW296" s="87"/>
      <c r="AX296" s="86"/>
      <c r="AY296" s="83"/>
      <c r="AZ296" s="84"/>
      <c r="BA296" s="86"/>
      <c r="BB296" s="86"/>
    </row>
    <row r="297" spans="1:54" ht="36.75" customHeight="1">
      <c r="A297" s="30"/>
      <c r="B297" s="30" t="s">
        <v>55</v>
      </c>
      <c r="C297" s="69" t="str">
        <f t="shared" si="21"/>
        <v>Closed</v>
      </c>
      <c r="D297" s="27" t="s">
        <v>1847</v>
      </c>
      <c r="E297" s="29" t="s">
        <v>1848</v>
      </c>
      <c r="F297" s="30" t="s">
        <v>638</v>
      </c>
      <c r="G297" s="89">
        <f>DATE(2007,5,23)</f>
        <v>39225</v>
      </c>
      <c r="H297" s="90">
        <v>1.9944444444444445</v>
      </c>
      <c r="I297" s="30" t="s">
        <v>278</v>
      </c>
      <c r="J297" s="89" t="s">
        <v>1849</v>
      </c>
      <c r="K297" s="30" t="s">
        <v>640</v>
      </c>
      <c r="L297" s="30" t="s">
        <v>1850</v>
      </c>
      <c r="M297" s="30" t="s">
        <v>63</v>
      </c>
      <c r="N297" s="30">
        <v>0</v>
      </c>
      <c r="O297" s="30" t="s">
        <v>64</v>
      </c>
      <c r="P297" s="89" t="s">
        <v>381</v>
      </c>
      <c r="Q297" s="89" t="s">
        <v>642</v>
      </c>
      <c r="R297" s="89" t="s">
        <v>643</v>
      </c>
      <c r="S297" s="30">
        <v>0</v>
      </c>
      <c r="T297" s="233">
        <v>0</v>
      </c>
      <c r="U297" s="30">
        <v>0</v>
      </c>
      <c r="V297" s="233">
        <v>1</v>
      </c>
      <c r="W297" s="30">
        <v>0</v>
      </c>
      <c r="X297" s="30">
        <v>1</v>
      </c>
      <c r="Y297" s="30">
        <v>0</v>
      </c>
      <c r="Z297" s="233">
        <v>0</v>
      </c>
      <c r="AA297" s="30">
        <v>0</v>
      </c>
      <c r="AB297" s="30">
        <v>0</v>
      </c>
      <c r="AC297" s="30">
        <v>0</v>
      </c>
      <c r="AD297" s="30">
        <v>0</v>
      </c>
      <c r="AE297" s="89" t="s">
        <v>68</v>
      </c>
      <c r="AF297" s="89" t="s">
        <v>68</v>
      </c>
      <c r="AG297" s="89" t="s">
        <v>248</v>
      </c>
      <c r="AH297" s="72" t="s">
        <v>68</v>
      </c>
      <c r="AI297" s="30">
        <v>2</v>
      </c>
      <c r="AJ297" s="89" t="s">
        <v>1846</v>
      </c>
      <c r="AK297" s="89" t="s">
        <v>68</v>
      </c>
      <c r="AL297" s="91">
        <v>39232</v>
      </c>
      <c r="AM297" s="91"/>
      <c r="AN297" s="91"/>
      <c r="AO297" s="91"/>
      <c r="AP297" s="73" t="e">
        <f>MID(VLOOKUP(K297,#REF!,2,FALSE),1,2)</f>
        <v>#REF!</v>
      </c>
      <c r="AQ297" s="89">
        <f>DATE(2007,5,23)</f>
        <v>39225</v>
      </c>
      <c r="AR297" s="82">
        <f t="shared" si="22"/>
        <v>23</v>
      </c>
      <c r="AS297" s="83">
        <f t="shared" si="23"/>
        <v>5</v>
      </c>
      <c r="AT297" s="84">
        <f t="shared" si="24"/>
        <v>2007</v>
      </c>
      <c r="AU297" s="86"/>
      <c r="AV297" s="86"/>
      <c r="AW297" s="87"/>
      <c r="AX297" s="86"/>
      <c r="AY297" s="83"/>
      <c r="AZ297" s="84"/>
      <c r="BA297" s="86"/>
      <c r="BB297" s="86"/>
    </row>
    <row r="298" spans="1:54" ht="36.75" customHeight="1">
      <c r="A298" s="30"/>
      <c r="B298" s="30" t="s">
        <v>55</v>
      </c>
      <c r="C298" s="69" t="str">
        <f t="shared" si="21"/>
        <v>Closed</v>
      </c>
      <c r="D298" s="27" t="s">
        <v>1851</v>
      </c>
      <c r="E298" s="29" t="s">
        <v>1852</v>
      </c>
      <c r="F298" s="30" t="s">
        <v>638</v>
      </c>
      <c r="G298" s="89">
        <f>DATE(2007,5,25)</f>
        <v>39227</v>
      </c>
      <c r="H298" s="90">
        <v>1.8034722222222221</v>
      </c>
      <c r="I298" s="30" t="s">
        <v>278</v>
      </c>
      <c r="J298" s="89" t="s">
        <v>1853</v>
      </c>
      <c r="K298" s="30" t="s">
        <v>640</v>
      </c>
      <c r="L298" s="30" t="s">
        <v>1854</v>
      </c>
      <c r="M298" s="30" t="s">
        <v>63</v>
      </c>
      <c r="N298" s="30">
        <v>0</v>
      </c>
      <c r="O298" s="30" t="s">
        <v>64</v>
      </c>
      <c r="P298" s="89" t="s">
        <v>65</v>
      </c>
      <c r="Q298" s="89" t="s">
        <v>642</v>
      </c>
      <c r="R298" s="89" t="s">
        <v>643</v>
      </c>
      <c r="S298" s="30">
        <v>0</v>
      </c>
      <c r="T298" s="233">
        <v>0</v>
      </c>
      <c r="U298" s="30">
        <v>0</v>
      </c>
      <c r="V298" s="233">
        <v>1</v>
      </c>
      <c r="W298" s="30">
        <v>0</v>
      </c>
      <c r="X298" s="30">
        <v>1</v>
      </c>
      <c r="Y298" s="30">
        <v>0</v>
      </c>
      <c r="Z298" s="233">
        <v>0</v>
      </c>
      <c r="AA298" s="30">
        <v>0</v>
      </c>
      <c r="AB298" s="30">
        <v>0</v>
      </c>
      <c r="AC298" s="30">
        <v>0</v>
      </c>
      <c r="AD298" s="30">
        <v>0</v>
      </c>
      <c r="AE298" s="89" t="s">
        <v>68</v>
      </c>
      <c r="AF298" s="89" t="s">
        <v>68</v>
      </c>
      <c r="AG298" s="89" t="s">
        <v>248</v>
      </c>
      <c r="AH298" s="72" t="s">
        <v>68</v>
      </c>
      <c r="AI298" s="30">
        <v>1</v>
      </c>
      <c r="AJ298" s="89" t="s">
        <v>1855</v>
      </c>
      <c r="AK298" s="89" t="s">
        <v>68</v>
      </c>
      <c r="AL298" s="91">
        <v>39232</v>
      </c>
      <c r="AM298" s="91"/>
      <c r="AN298" s="91"/>
      <c r="AO298" s="91"/>
      <c r="AP298" s="73" t="e">
        <f>MID(VLOOKUP(K298,#REF!,2,FALSE),1,2)</f>
        <v>#REF!</v>
      </c>
      <c r="AQ298" s="89">
        <f>DATE(2007,5,25)</f>
        <v>39227</v>
      </c>
      <c r="AR298" s="82">
        <f t="shared" si="22"/>
        <v>25</v>
      </c>
      <c r="AS298" s="83">
        <f t="shared" si="23"/>
        <v>5</v>
      </c>
      <c r="AT298" s="84">
        <f t="shared" si="24"/>
        <v>2007</v>
      </c>
      <c r="AU298" s="86"/>
      <c r="AV298" s="86"/>
      <c r="AW298" s="87"/>
      <c r="AX298" s="86"/>
      <c r="AY298" s="83"/>
      <c r="AZ298" s="84"/>
      <c r="BA298" s="86"/>
      <c r="BB298" s="86"/>
    </row>
    <row r="299" spans="1:54" ht="36.75" customHeight="1">
      <c r="A299" s="30"/>
      <c r="B299" s="30" t="s">
        <v>55</v>
      </c>
      <c r="C299" s="69" t="str">
        <f t="shared" si="21"/>
        <v>Closed</v>
      </c>
      <c r="D299" s="27" t="s">
        <v>1856</v>
      </c>
      <c r="E299" s="29" t="s">
        <v>1857</v>
      </c>
      <c r="F299" s="30" t="s">
        <v>58</v>
      </c>
      <c r="G299" s="89">
        <f>DATE(2007,5,27)</f>
        <v>39229</v>
      </c>
      <c r="H299" s="90">
        <v>1.75</v>
      </c>
      <c r="I299" s="30" t="s">
        <v>86</v>
      </c>
      <c r="J299" s="89" t="s">
        <v>1858</v>
      </c>
      <c r="K299" s="30" t="s">
        <v>61</v>
      </c>
      <c r="L299" s="30" t="s">
        <v>1859</v>
      </c>
      <c r="M299" s="30" t="s">
        <v>63</v>
      </c>
      <c r="N299" s="30">
        <v>0</v>
      </c>
      <c r="O299" s="30" t="s">
        <v>77</v>
      </c>
      <c r="P299" s="89" t="s">
        <v>91</v>
      </c>
      <c r="Q299" s="89" t="s">
        <v>66</v>
      </c>
      <c r="R299" s="89" t="s">
        <v>67</v>
      </c>
      <c r="S299" s="30">
        <v>0</v>
      </c>
      <c r="T299" s="233" t="s">
        <v>68</v>
      </c>
      <c r="U299" s="30">
        <v>0</v>
      </c>
      <c r="V299" s="233" t="s">
        <v>68</v>
      </c>
      <c r="W299" s="30">
        <v>0</v>
      </c>
      <c r="X299" s="30">
        <v>0</v>
      </c>
      <c r="Y299" s="30">
        <v>0</v>
      </c>
      <c r="Z299" s="233" t="s">
        <v>68</v>
      </c>
      <c r="AA299" s="30">
        <v>0</v>
      </c>
      <c r="AB299" s="30">
        <v>0</v>
      </c>
      <c r="AC299" s="30">
        <v>0</v>
      </c>
      <c r="AD299" s="30">
        <v>0</v>
      </c>
      <c r="AE299" s="89" t="s">
        <v>68</v>
      </c>
      <c r="AF299" s="89" t="s">
        <v>68</v>
      </c>
      <c r="AG299" s="89" t="s">
        <v>69</v>
      </c>
      <c r="AH299" s="72" t="s">
        <v>68</v>
      </c>
      <c r="AI299" s="30">
        <v>0</v>
      </c>
      <c r="AJ299" s="89" t="s">
        <v>68</v>
      </c>
      <c r="AK299" s="89" t="s">
        <v>68</v>
      </c>
      <c r="AL299" s="91">
        <v>39637</v>
      </c>
      <c r="AM299" s="91"/>
      <c r="AN299" s="91"/>
      <c r="AO299" s="91"/>
      <c r="AP299" s="73" t="e">
        <f>MID(VLOOKUP(K299,#REF!,2,FALSE),1,2)</f>
        <v>#REF!</v>
      </c>
      <c r="AQ299" s="89">
        <f>DATE(2007,5,27)</f>
        <v>39229</v>
      </c>
      <c r="AR299" s="82">
        <f t="shared" si="22"/>
        <v>27</v>
      </c>
      <c r="AS299" s="83">
        <f t="shared" si="23"/>
        <v>5</v>
      </c>
      <c r="AT299" s="84">
        <f t="shared" si="24"/>
        <v>2007</v>
      </c>
      <c r="AU299" s="86"/>
      <c r="AV299" s="86"/>
      <c r="AW299" s="87"/>
      <c r="AX299" s="86"/>
      <c r="AY299" s="83"/>
      <c r="AZ299" s="84"/>
      <c r="BA299" s="86"/>
      <c r="BB299" s="86"/>
    </row>
    <row r="300" spans="1:54" ht="36.75" customHeight="1">
      <c r="A300" s="30"/>
      <c r="B300" s="30" t="s">
        <v>55</v>
      </c>
      <c r="C300" s="69" t="str">
        <f t="shared" si="21"/>
        <v>Closed</v>
      </c>
      <c r="D300" s="27" t="s">
        <v>1860</v>
      </c>
      <c r="E300" s="29" t="s">
        <v>1861</v>
      </c>
      <c r="F300" s="30" t="s">
        <v>594</v>
      </c>
      <c r="G300" s="89">
        <f>DATE(2007,6,2)</f>
        <v>39235</v>
      </c>
      <c r="H300" s="90">
        <v>1.6465277777777778</v>
      </c>
      <c r="I300" s="30" t="s">
        <v>116</v>
      </c>
      <c r="J300" s="89" t="s">
        <v>1862</v>
      </c>
      <c r="K300" s="30" t="s">
        <v>596</v>
      </c>
      <c r="L300" s="30" t="s">
        <v>1863</v>
      </c>
      <c r="M300" s="30" t="s">
        <v>63</v>
      </c>
      <c r="N300" s="30">
        <v>0</v>
      </c>
      <c r="O300" s="30" t="s">
        <v>64</v>
      </c>
      <c r="P300" s="89" t="s">
        <v>165</v>
      </c>
      <c r="Q300" s="89" t="s">
        <v>598</v>
      </c>
      <c r="R300" s="89" t="s">
        <v>599</v>
      </c>
      <c r="S300" s="30">
        <v>0</v>
      </c>
      <c r="T300" s="233" t="s">
        <v>68</v>
      </c>
      <c r="U300" s="30">
        <v>1</v>
      </c>
      <c r="V300" s="233" t="s">
        <v>68</v>
      </c>
      <c r="W300" s="30">
        <v>0</v>
      </c>
      <c r="X300" s="30">
        <v>1</v>
      </c>
      <c r="Y300" s="30">
        <v>0</v>
      </c>
      <c r="Z300" s="233" t="s">
        <v>68</v>
      </c>
      <c r="AA300" s="30">
        <v>0</v>
      </c>
      <c r="AB300" s="30">
        <v>0</v>
      </c>
      <c r="AC300" s="30">
        <v>0</v>
      </c>
      <c r="AD300" s="30">
        <v>0</v>
      </c>
      <c r="AE300" s="89" t="s">
        <v>68</v>
      </c>
      <c r="AF300" s="89" t="s">
        <v>1864</v>
      </c>
      <c r="AG300" s="89" t="s">
        <v>82</v>
      </c>
      <c r="AH300" s="72" t="s">
        <v>68</v>
      </c>
      <c r="AI300" s="30">
        <v>0</v>
      </c>
      <c r="AJ300" s="89" t="s">
        <v>68</v>
      </c>
      <c r="AK300" s="89" t="s">
        <v>68</v>
      </c>
      <c r="AL300" s="91">
        <v>39328</v>
      </c>
      <c r="AM300" s="91"/>
      <c r="AN300" s="91"/>
      <c r="AO300" s="91"/>
      <c r="AP300" s="73" t="e">
        <f>MID(VLOOKUP(K300,#REF!,2,FALSE),1,2)</f>
        <v>#REF!</v>
      </c>
      <c r="AQ300" s="89">
        <f>DATE(2007,6,2)</f>
        <v>39235</v>
      </c>
      <c r="AR300" s="82">
        <f t="shared" si="22"/>
        <v>2</v>
      </c>
      <c r="AS300" s="83">
        <f t="shared" si="23"/>
        <v>6</v>
      </c>
      <c r="AT300" s="84">
        <f t="shared" si="24"/>
        <v>2007</v>
      </c>
      <c r="AU300" s="86"/>
      <c r="AV300" s="86"/>
      <c r="AW300" s="87"/>
      <c r="AX300" s="86"/>
      <c r="AY300" s="83"/>
      <c r="AZ300" s="84"/>
      <c r="BA300" s="86"/>
      <c r="BB300" s="86"/>
    </row>
    <row r="301" spans="1:54" ht="36.75" customHeight="1">
      <c r="A301" s="30"/>
      <c r="B301" s="30" t="s">
        <v>55</v>
      </c>
      <c r="C301" s="69" t="str">
        <f t="shared" si="21"/>
        <v>Closed</v>
      </c>
      <c r="D301" s="27" t="s">
        <v>1865</v>
      </c>
      <c r="E301" s="29" t="s">
        <v>1866</v>
      </c>
      <c r="F301" s="30" t="s">
        <v>115</v>
      </c>
      <c r="G301" s="89">
        <f>DATE(2007,6,4)</f>
        <v>39237</v>
      </c>
      <c r="H301" s="90">
        <v>1.5138888888888888</v>
      </c>
      <c r="I301" s="30" t="s">
        <v>156</v>
      </c>
      <c r="J301" s="89" t="s">
        <v>1867</v>
      </c>
      <c r="K301" s="30" t="s">
        <v>118</v>
      </c>
      <c r="L301" s="30" t="s">
        <v>1868</v>
      </c>
      <c r="M301" s="30" t="s">
        <v>255</v>
      </c>
      <c r="N301" s="30">
        <v>0</v>
      </c>
      <c r="O301" s="30" t="s">
        <v>86</v>
      </c>
      <c r="P301" s="89" t="s">
        <v>86</v>
      </c>
      <c r="Q301" s="89" t="s">
        <v>1869</v>
      </c>
      <c r="R301" s="89" t="s">
        <v>1869</v>
      </c>
      <c r="S301" s="30">
        <v>0</v>
      </c>
      <c r="T301" s="233">
        <v>0</v>
      </c>
      <c r="U301" s="30">
        <v>0</v>
      </c>
      <c r="V301" s="233">
        <v>0</v>
      </c>
      <c r="W301" s="30">
        <v>1</v>
      </c>
      <c r="X301" s="30">
        <v>1</v>
      </c>
      <c r="Y301" s="30">
        <v>0</v>
      </c>
      <c r="Z301" s="233">
        <v>0</v>
      </c>
      <c r="AA301" s="30">
        <v>0</v>
      </c>
      <c r="AB301" s="30">
        <v>0</v>
      </c>
      <c r="AC301" s="30">
        <v>0</v>
      </c>
      <c r="AD301" s="30">
        <v>0</v>
      </c>
      <c r="AE301" s="89" t="s">
        <v>68</v>
      </c>
      <c r="AF301" s="89" t="s">
        <v>1870</v>
      </c>
      <c r="AG301" s="89" t="s">
        <v>367</v>
      </c>
      <c r="AH301" s="72" t="s">
        <v>68</v>
      </c>
      <c r="AI301" s="30">
        <v>5</v>
      </c>
      <c r="AJ301" s="89" t="s">
        <v>68</v>
      </c>
      <c r="AK301" s="89" t="s">
        <v>68</v>
      </c>
      <c r="AL301" s="91">
        <v>39367</v>
      </c>
      <c r="AM301" s="91"/>
      <c r="AN301" s="91"/>
      <c r="AO301" s="91"/>
      <c r="AP301" s="73" t="e">
        <f>MID(VLOOKUP(K301,#REF!,2,FALSE),1,2)</f>
        <v>#REF!</v>
      </c>
      <c r="AQ301" s="89">
        <f>DATE(2007,6,4)</f>
        <v>39237</v>
      </c>
      <c r="AR301" s="82">
        <f t="shared" si="22"/>
        <v>4</v>
      </c>
      <c r="AS301" s="83">
        <f t="shared" si="23"/>
        <v>6</v>
      </c>
      <c r="AT301" s="84">
        <f t="shared" si="24"/>
        <v>2007</v>
      </c>
      <c r="AU301" s="86"/>
      <c r="AV301" s="86"/>
      <c r="AW301" s="87"/>
      <c r="AX301" s="86"/>
      <c r="AY301" s="83"/>
      <c r="AZ301" s="84"/>
      <c r="BA301" s="86"/>
      <c r="BB301" s="86"/>
    </row>
    <row r="302" spans="1:54" ht="36.75" customHeight="1">
      <c r="A302" s="30"/>
      <c r="B302" s="30" t="s">
        <v>55</v>
      </c>
      <c r="C302" s="69" t="str">
        <f t="shared" si="21"/>
        <v>Closed</v>
      </c>
      <c r="D302" s="27" t="s">
        <v>1871</v>
      </c>
      <c r="E302" s="29" t="s">
        <v>1872</v>
      </c>
      <c r="F302" s="30" t="s">
        <v>638</v>
      </c>
      <c r="G302" s="89">
        <f>DATE(2007,6,7)</f>
        <v>39240</v>
      </c>
      <c r="H302" s="90">
        <v>1.4548611111111112</v>
      </c>
      <c r="I302" s="30" t="s">
        <v>278</v>
      </c>
      <c r="J302" s="89" t="s">
        <v>1873</v>
      </c>
      <c r="K302" s="30" t="s">
        <v>640</v>
      </c>
      <c r="L302" s="30" t="s">
        <v>1874</v>
      </c>
      <c r="M302" s="30" t="s">
        <v>63</v>
      </c>
      <c r="N302" s="30">
        <v>0</v>
      </c>
      <c r="O302" s="30" t="s">
        <v>64</v>
      </c>
      <c r="P302" s="89" t="s">
        <v>65</v>
      </c>
      <c r="Q302" s="89" t="s">
        <v>642</v>
      </c>
      <c r="R302" s="89" t="s">
        <v>643</v>
      </c>
      <c r="S302" s="30">
        <v>0</v>
      </c>
      <c r="T302" s="233">
        <v>0</v>
      </c>
      <c r="U302" s="30">
        <v>0</v>
      </c>
      <c r="V302" s="233">
        <v>1</v>
      </c>
      <c r="W302" s="30">
        <v>0</v>
      </c>
      <c r="X302" s="30">
        <v>1</v>
      </c>
      <c r="Y302" s="30">
        <v>0</v>
      </c>
      <c r="Z302" s="233">
        <v>0</v>
      </c>
      <c r="AA302" s="30">
        <v>0</v>
      </c>
      <c r="AB302" s="30">
        <v>0</v>
      </c>
      <c r="AC302" s="30">
        <v>0</v>
      </c>
      <c r="AD302" s="30">
        <v>0</v>
      </c>
      <c r="AE302" s="89" t="s">
        <v>68</v>
      </c>
      <c r="AF302" s="89" t="s">
        <v>68</v>
      </c>
      <c r="AG302" s="89" t="s">
        <v>248</v>
      </c>
      <c r="AH302" s="72" t="s">
        <v>68</v>
      </c>
      <c r="AI302" s="30">
        <v>3</v>
      </c>
      <c r="AJ302" s="89" t="s">
        <v>1846</v>
      </c>
      <c r="AK302" s="89" t="s">
        <v>68</v>
      </c>
      <c r="AL302" s="91">
        <v>39293</v>
      </c>
      <c r="AM302" s="91"/>
      <c r="AN302" s="91"/>
      <c r="AO302" s="91"/>
      <c r="AP302" s="73" t="e">
        <f>MID(VLOOKUP(K302,#REF!,2,FALSE),1,2)</f>
        <v>#REF!</v>
      </c>
      <c r="AQ302" s="89">
        <f>DATE(2007,6,7)</f>
        <v>39240</v>
      </c>
      <c r="AR302" s="82">
        <f t="shared" si="22"/>
        <v>7</v>
      </c>
      <c r="AS302" s="83">
        <f t="shared" si="23"/>
        <v>6</v>
      </c>
      <c r="AT302" s="84">
        <f t="shared" si="24"/>
        <v>2007</v>
      </c>
      <c r="AU302" s="86"/>
      <c r="AV302" s="86"/>
      <c r="AW302" s="87"/>
      <c r="AX302" s="86"/>
      <c r="AY302" s="83"/>
      <c r="AZ302" s="84"/>
      <c r="BA302" s="86"/>
      <c r="BB302" s="86"/>
    </row>
    <row r="303" spans="1:54" ht="36.75" customHeight="1">
      <c r="A303" s="30"/>
      <c r="B303" s="30" t="s">
        <v>55</v>
      </c>
      <c r="C303" s="69" t="str">
        <f t="shared" si="21"/>
        <v>Closed</v>
      </c>
      <c r="D303" s="27" t="s">
        <v>1875</v>
      </c>
      <c r="E303" s="29" t="s">
        <v>1876</v>
      </c>
      <c r="F303" s="30" t="s">
        <v>233</v>
      </c>
      <c r="G303" s="89">
        <f>DATE(2007,6,10)</f>
        <v>39243</v>
      </c>
      <c r="H303" s="90">
        <v>1.7326388888888888</v>
      </c>
      <c r="I303" s="30" t="s">
        <v>86</v>
      </c>
      <c r="J303" s="89" t="s">
        <v>1877</v>
      </c>
      <c r="K303" s="30" t="s">
        <v>235</v>
      </c>
      <c r="L303" s="30" t="s">
        <v>1878</v>
      </c>
      <c r="M303" s="30" t="s">
        <v>129</v>
      </c>
      <c r="N303" s="30">
        <v>0</v>
      </c>
      <c r="O303" s="30" t="s">
        <v>64</v>
      </c>
      <c r="P303" s="89" t="s">
        <v>86</v>
      </c>
      <c r="Q303" s="89" t="s">
        <v>683</v>
      </c>
      <c r="R303" s="89" t="s">
        <v>683</v>
      </c>
      <c r="S303" s="30">
        <v>0</v>
      </c>
      <c r="T303" s="233" t="s">
        <v>68</v>
      </c>
      <c r="U303" s="30">
        <v>0</v>
      </c>
      <c r="V303" s="233" t="s">
        <v>68</v>
      </c>
      <c r="W303" s="30">
        <v>0</v>
      </c>
      <c r="X303" s="30">
        <v>0</v>
      </c>
      <c r="Y303" s="30">
        <v>0</v>
      </c>
      <c r="Z303" s="233" t="s">
        <v>68</v>
      </c>
      <c r="AA303" s="30">
        <v>0</v>
      </c>
      <c r="AB303" s="30">
        <v>0</v>
      </c>
      <c r="AC303" s="30">
        <v>0</v>
      </c>
      <c r="AD303" s="30">
        <v>0</v>
      </c>
      <c r="AE303" s="89" t="s">
        <v>68</v>
      </c>
      <c r="AF303" s="89" t="s">
        <v>68</v>
      </c>
      <c r="AG303" s="89" t="s">
        <v>133</v>
      </c>
      <c r="AH303" s="72" t="s">
        <v>68</v>
      </c>
      <c r="AI303" s="30">
        <v>4</v>
      </c>
      <c r="AJ303" s="89" t="s">
        <v>1879</v>
      </c>
      <c r="AK303" s="89" t="s">
        <v>1880</v>
      </c>
      <c r="AL303" s="91">
        <v>39303</v>
      </c>
      <c r="AM303" s="91"/>
      <c r="AN303" s="91"/>
      <c r="AO303" s="91"/>
      <c r="AP303" s="73" t="e">
        <f>MID(VLOOKUP(K303,#REF!,2,FALSE),1,2)</f>
        <v>#REF!</v>
      </c>
      <c r="AQ303" s="89">
        <f>DATE(2007,6,10)</f>
        <v>39243</v>
      </c>
      <c r="AR303" s="82">
        <f t="shared" si="22"/>
        <v>10</v>
      </c>
      <c r="AS303" s="83">
        <f t="shared" si="23"/>
        <v>6</v>
      </c>
      <c r="AT303" s="84">
        <f t="shared" si="24"/>
        <v>2007</v>
      </c>
      <c r="AU303" s="86"/>
      <c r="AV303" s="86"/>
      <c r="AW303" s="87"/>
      <c r="AX303" s="86"/>
      <c r="AY303" s="83"/>
      <c r="AZ303" s="84"/>
      <c r="BA303" s="86"/>
      <c r="BB303" s="86"/>
    </row>
    <row r="304" spans="1:54" ht="36.75" customHeight="1">
      <c r="A304" s="30"/>
      <c r="B304" s="30" t="s">
        <v>55</v>
      </c>
      <c r="C304" s="69" t="str">
        <f t="shared" si="21"/>
        <v>Closed</v>
      </c>
      <c r="D304" s="27" t="s">
        <v>1881</v>
      </c>
      <c r="E304" s="29" t="s">
        <v>1882</v>
      </c>
      <c r="F304" s="30" t="s">
        <v>638</v>
      </c>
      <c r="G304" s="89">
        <f>DATE(2007,6,13)</f>
        <v>39246</v>
      </c>
      <c r="H304" s="90">
        <v>1.1493055555555556</v>
      </c>
      <c r="I304" s="30" t="s">
        <v>278</v>
      </c>
      <c r="J304" s="89" t="s">
        <v>1883</v>
      </c>
      <c r="K304" s="30" t="s">
        <v>640</v>
      </c>
      <c r="L304" s="30" t="s">
        <v>1884</v>
      </c>
      <c r="M304" s="30" t="s">
        <v>63</v>
      </c>
      <c r="N304" s="30">
        <v>0</v>
      </c>
      <c r="O304" s="30" t="s">
        <v>64</v>
      </c>
      <c r="P304" s="89" t="s">
        <v>78</v>
      </c>
      <c r="Q304" s="89" t="s">
        <v>642</v>
      </c>
      <c r="R304" s="89" t="s">
        <v>643</v>
      </c>
      <c r="S304" s="30">
        <v>0</v>
      </c>
      <c r="T304" s="233">
        <v>0</v>
      </c>
      <c r="U304" s="30">
        <v>0</v>
      </c>
      <c r="V304" s="233">
        <v>1</v>
      </c>
      <c r="W304" s="30">
        <v>0</v>
      </c>
      <c r="X304" s="30">
        <v>1</v>
      </c>
      <c r="Y304" s="30">
        <v>0</v>
      </c>
      <c r="Z304" s="233">
        <v>0</v>
      </c>
      <c r="AA304" s="30">
        <v>0</v>
      </c>
      <c r="AB304" s="30">
        <v>0</v>
      </c>
      <c r="AC304" s="30">
        <v>0</v>
      </c>
      <c r="AD304" s="30">
        <v>0</v>
      </c>
      <c r="AE304" s="89" t="s">
        <v>68</v>
      </c>
      <c r="AF304" s="89" t="s">
        <v>68</v>
      </c>
      <c r="AG304" s="89" t="s">
        <v>248</v>
      </c>
      <c r="AH304" s="72" t="s">
        <v>68</v>
      </c>
      <c r="AI304" s="30">
        <v>2</v>
      </c>
      <c r="AJ304" s="89" t="s">
        <v>1846</v>
      </c>
      <c r="AK304" s="89" t="s">
        <v>68</v>
      </c>
      <c r="AL304" s="91">
        <v>39293</v>
      </c>
      <c r="AM304" s="91"/>
      <c r="AN304" s="91"/>
      <c r="AO304" s="91"/>
      <c r="AP304" s="73" t="e">
        <f>MID(VLOOKUP(K304,#REF!,2,FALSE),1,2)</f>
        <v>#REF!</v>
      </c>
      <c r="AQ304" s="89">
        <f>DATE(2007,6,13)</f>
        <v>39246</v>
      </c>
      <c r="AR304" s="82">
        <f t="shared" si="22"/>
        <v>13</v>
      </c>
      <c r="AS304" s="83">
        <f t="shared" si="23"/>
        <v>6</v>
      </c>
      <c r="AT304" s="84">
        <f t="shared" si="24"/>
        <v>2007</v>
      </c>
      <c r="AU304" s="86"/>
      <c r="AV304" s="86"/>
      <c r="AW304" s="87"/>
      <c r="AX304" s="86"/>
      <c r="AY304" s="83"/>
      <c r="AZ304" s="84"/>
      <c r="BA304" s="86"/>
      <c r="BB304" s="86"/>
    </row>
    <row r="305" spans="1:54" ht="36.75" customHeight="1">
      <c r="A305" s="30"/>
      <c r="B305" s="30" t="s">
        <v>55</v>
      </c>
      <c r="C305" s="69" t="str">
        <f t="shared" si="21"/>
        <v>Closed</v>
      </c>
      <c r="D305" s="27" t="s">
        <v>1885</v>
      </c>
      <c r="E305" s="29" t="s">
        <v>1886</v>
      </c>
      <c r="F305" s="30" t="s">
        <v>594</v>
      </c>
      <c r="G305" s="89">
        <f>DATE(2007,6,13)</f>
        <v>39246</v>
      </c>
      <c r="H305" s="90">
        <v>1.0687500000000001</v>
      </c>
      <c r="I305" s="30" t="s">
        <v>278</v>
      </c>
      <c r="J305" s="89" t="s">
        <v>1887</v>
      </c>
      <c r="K305" s="30" t="s">
        <v>596</v>
      </c>
      <c r="L305" s="30" t="s">
        <v>1888</v>
      </c>
      <c r="M305" s="30" t="s">
        <v>63</v>
      </c>
      <c r="N305" s="30">
        <v>0</v>
      </c>
      <c r="O305" s="30" t="s">
        <v>64</v>
      </c>
      <c r="P305" s="89" t="s">
        <v>78</v>
      </c>
      <c r="Q305" s="89" t="s">
        <v>598</v>
      </c>
      <c r="R305" s="89" t="s">
        <v>599</v>
      </c>
      <c r="S305" s="30">
        <v>0</v>
      </c>
      <c r="T305" s="233">
        <v>1</v>
      </c>
      <c r="U305" s="30">
        <v>0</v>
      </c>
      <c r="V305" s="233" t="s">
        <v>68</v>
      </c>
      <c r="W305" s="30">
        <v>0</v>
      </c>
      <c r="X305" s="30">
        <v>1</v>
      </c>
      <c r="Y305" s="30">
        <v>0</v>
      </c>
      <c r="Z305" s="233">
        <v>0</v>
      </c>
      <c r="AA305" s="30">
        <v>0</v>
      </c>
      <c r="AB305" s="30">
        <v>0</v>
      </c>
      <c r="AC305" s="30">
        <v>0</v>
      </c>
      <c r="AD305" s="30">
        <v>0</v>
      </c>
      <c r="AE305" s="89" t="s">
        <v>68</v>
      </c>
      <c r="AF305" s="89" t="s">
        <v>68</v>
      </c>
      <c r="AG305" s="89" t="s">
        <v>82</v>
      </c>
      <c r="AH305" s="72" t="s">
        <v>68</v>
      </c>
      <c r="AI305" s="30">
        <v>0</v>
      </c>
      <c r="AJ305" s="89" t="s">
        <v>68</v>
      </c>
      <c r="AK305" s="89" t="s">
        <v>68</v>
      </c>
      <c r="AL305" s="91">
        <v>39328</v>
      </c>
      <c r="AM305" s="91"/>
      <c r="AN305" s="91">
        <v>44887</v>
      </c>
      <c r="AO305" s="91"/>
      <c r="AP305" s="73" t="e">
        <f>MID(VLOOKUP(K305,#REF!,2,FALSE),1,2)</f>
        <v>#REF!</v>
      </c>
      <c r="AQ305" s="89">
        <f>DATE(2007,6,13)</f>
        <v>39246</v>
      </c>
      <c r="AR305" s="82">
        <f t="shared" si="22"/>
        <v>13</v>
      </c>
      <c r="AS305" s="83">
        <f t="shared" si="23"/>
        <v>6</v>
      </c>
      <c r="AT305" s="84">
        <f t="shared" si="24"/>
        <v>2007</v>
      </c>
      <c r="AU305" s="86"/>
      <c r="AV305" s="86"/>
      <c r="AW305" s="87"/>
      <c r="AX305" s="86"/>
      <c r="AY305" s="83"/>
      <c r="AZ305" s="84"/>
      <c r="BA305" s="86"/>
      <c r="BB305" s="86"/>
    </row>
    <row r="306" spans="1:54" ht="36.75" customHeight="1">
      <c r="A306" s="30"/>
      <c r="B306" s="30" t="s">
        <v>55</v>
      </c>
      <c r="C306" s="69" t="str">
        <f t="shared" si="21"/>
        <v>Closed</v>
      </c>
      <c r="D306" s="27" t="s">
        <v>1889</v>
      </c>
      <c r="E306" s="29" t="s">
        <v>1890</v>
      </c>
      <c r="F306" s="30" t="s">
        <v>233</v>
      </c>
      <c r="G306" s="89">
        <f>DATE(2007,6,15)</f>
        <v>39248</v>
      </c>
      <c r="H306" s="90">
        <v>1.6597222222222223</v>
      </c>
      <c r="I306" s="30" t="s">
        <v>86</v>
      </c>
      <c r="J306" s="89" t="s">
        <v>1891</v>
      </c>
      <c r="K306" s="30" t="s">
        <v>235</v>
      </c>
      <c r="L306" s="30" t="s">
        <v>1892</v>
      </c>
      <c r="M306" s="30" t="s">
        <v>255</v>
      </c>
      <c r="N306" s="30">
        <v>0</v>
      </c>
      <c r="O306" s="30" t="s">
        <v>64</v>
      </c>
      <c r="P306" s="89" t="s">
        <v>86</v>
      </c>
      <c r="Q306" s="89" t="s">
        <v>1893</v>
      </c>
      <c r="R306" s="89" t="s">
        <v>1894</v>
      </c>
      <c r="S306" s="30">
        <v>0</v>
      </c>
      <c r="T306" s="233" t="s">
        <v>68</v>
      </c>
      <c r="U306" s="30">
        <v>0</v>
      </c>
      <c r="V306" s="233" t="s">
        <v>68</v>
      </c>
      <c r="W306" s="30">
        <v>0</v>
      </c>
      <c r="X306" s="30">
        <v>0</v>
      </c>
      <c r="Y306" s="30">
        <v>0</v>
      </c>
      <c r="Z306" s="233" t="s">
        <v>68</v>
      </c>
      <c r="AA306" s="30">
        <v>0</v>
      </c>
      <c r="AB306" s="30">
        <v>0</v>
      </c>
      <c r="AC306" s="30">
        <v>0</v>
      </c>
      <c r="AD306" s="30">
        <v>0</v>
      </c>
      <c r="AE306" s="89" t="s">
        <v>68</v>
      </c>
      <c r="AF306" s="89" t="s">
        <v>68</v>
      </c>
      <c r="AG306" s="89" t="s">
        <v>133</v>
      </c>
      <c r="AH306" s="72" t="s">
        <v>68</v>
      </c>
      <c r="AI306" s="30">
        <v>0</v>
      </c>
      <c r="AJ306" s="89" t="s">
        <v>1895</v>
      </c>
      <c r="AK306" s="89" t="s">
        <v>1896</v>
      </c>
      <c r="AL306" s="91">
        <v>39303</v>
      </c>
      <c r="AM306" s="91"/>
      <c r="AN306" s="91"/>
      <c r="AO306" s="91"/>
      <c r="AP306" s="73" t="e">
        <f>MID(VLOOKUP(K306,#REF!,2,FALSE),1,2)</f>
        <v>#REF!</v>
      </c>
      <c r="AQ306" s="89">
        <f>DATE(2007,6,15)</f>
        <v>39248</v>
      </c>
      <c r="AR306" s="82">
        <f t="shared" si="22"/>
        <v>15</v>
      </c>
      <c r="AS306" s="83">
        <f t="shared" si="23"/>
        <v>6</v>
      </c>
      <c r="AT306" s="84">
        <f t="shared" si="24"/>
        <v>2007</v>
      </c>
      <c r="AU306" s="86"/>
      <c r="AV306" s="86"/>
      <c r="AW306" s="87"/>
      <c r="AX306" s="86"/>
      <c r="AY306" s="83"/>
      <c r="AZ306" s="84"/>
      <c r="BA306" s="86"/>
      <c r="BB306" s="86"/>
    </row>
    <row r="307" spans="1:54" ht="36.75" customHeight="1">
      <c r="A307" s="30"/>
      <c r="B307" s="30" t="s">
        <v>55</v>
      </c>
      <c r="C307" s="69" t="str">
        <f t="shared" si="21"/>
        <v>Closed</v>
      </c>
      <c r="D307" s="27" t="s">
        <v>1897</v>
      </c>
      <c r="E307" s="29" t="s">
        <v>1898</v>
      </c>
      <c r="F307" s="30" t="s">
        <v>835</v>
      </c>
      <c r="G307" s="89">
        <f>DATE(2007,6,18)</f>
        <v>39251</v>
      </c>
      <c r="H307" s="90">
        <v>1.3541666666666667</v>
      </c>
      <c r="I307" s="30" t="s">
        <v>116</v>
      </c>
      <c r="J307" s="89" t="s">
        <v>1899</v>
      </c>
      <c r="K307" s="30" t="s">
        <v>837</v>
      </c>
      <c r="L307" s="30" t="s">
        <v>1900</v>
      </c>
      <c r="M307" s="30" t="s">
        <v>63</v>
      </c>
      <c r="N307" s="30">
        <v>0</v>
      </c>
      <c r="O307" s="30" t="s">
        <v>64</v>
      </c>
      <c r="P307" s="89" t="s">
        <v>165</v>
      </c>
      <c r="Q307" s="89" t="s">
        <v>839</v>
      </c>
      <c r="R307" s="89" t="s">
        <v>840</v>
      </c>
      <c r="S307" s="30">
        <v>0</v>
      </c>
      <c r="T307" s="233">
        <v>0</v>
      </c>
      <c r="U307" s="30">
        <v>1</v>
      </c>
      <c r="V307" s="233">
        <v>0</v>
      </c>
      <c r="W307" s="30">
        <v>0</v>
      </c>
      <c r="X307" s="30">
        <v>1</v>
      </c>
      <c r="Y307" s="30">
        <v>0</v>
      </c>
      <c r="Z307" s="233">
        <v>0</v>
      </c>
      <c r="AA307" s="30">
        <v>0</v>
      </c>
      <c r="AB307" s="30">
        <v>0</v>
      </c>
      <c r="AC307" s="30">
        <v>0</v>
      </c>
      <c r="AD307" s="30">
        <v>0</v>
      </c>
      <c r="AE307" s="89" t="s">
        <v>68</v>
      </c>
      <c r="AF307" s="89" t="s">
        <v>1901</v>
      </c>
      <c r="AG307" s="89" t="s">
        <v>133</v>
      </c>
      <c r="AH307" s="72" t="s">
        <v>68</v>
      </c>
      <c r="AI307" s="30">
        <v>2</v>
      </c>
      <c r="AJ307" s="89" t="s">
        <v>68</v>
      </c>
      <c r="AK307" s="89" t="s">
        <v>68</v>
      </c>
      <c r="AL307" s="91">
        <v>39252</v>
      </c>
      <c r="AM307" s="91"/>
      <c r="AN307" s="91"/>
      <c r="AO307" s="91"/>
      <c r="AP307" s="73" t="e">
        <f>MID(VLOOKUP(K307,#REF!,2,FALSE),1,2)</f>
        <v>#REF!</v>
      </c>
      <c r="AQ307" s="89">
        <f>DATE(2007,6,18)</f>
        <v>39251</v>
      </c>
      <c r="AR307" s="82">
        <f t="shared" si="22"/>
        <v>18</v>
      </c>
      <c r="AS307" s="83">
        <f t="shared" si="23"/>
        <v>6</v>
      </c>
      <c r="AT307" s="84">
        <f t="shared" si="24"/>
        <v>2007</v>
      </c>
      <c r="AU307" s="86"/>
      <c r="AV307" s="86"/>
      <c r="AW307" s="87"/>
      <c r="AX307" s="86"/>
      <c r="AY307" s="83"/>
      <c r="AZ307" s="84"/>
      <c r="BA307" s="86"/>
      <c r="BB307" s="86"/>
    </row>
    <row r="308" spans="1:54" ht="36.75" customHeight="1">
      <c r="A308" s="30"/>
      <c r="B308" s="30" t="s">
        <v>55</v>
      </c>
      <c r="C308" s="69" t="str">
        <f t="shared" si="21"/>
        <v>Closed</v>
      </c>
      <c r="D308" s="27" t="s">
        <v>1902</v>
      </c>
      <c r="E308" s="29" t="s">
        <v>1903</v>
      </c>
      <c r="F308" s="30" t="s">
        <v>1770</v>
      </c>
      <c r="G308" s="89">
        <f>DATE(2007,6,19)</f>
        <v>39252</v>
      </c>
      <c r="H308" s="90">
        <v>1.6527777777777777</v>
      </c>
      <c r="I308" s="30" t="s">
        <v>198</v>
      </c>
      <c r="J308" s="89" t="s">
        <v>1904</v>
      </c>
      <c r="K308" s="30" t="s">
        <v>1772</v>
      </c>
      <c r="L308" s="30" t="s">
        <v>1905</v>
      </c>
      <c r="M308" s="30" t="s">
        <v>63</v>
      </c>
      <c r="N308" s="30">
        <v>0</v>
      </c>
      <c r="O308" s="30" t="s">
        <v>90</v>
      </c>
      <c r="P308" s="89" t="s">
        <v>91</v>
      </c>
      <c r="Q308" s="89" t="s">
        <v>1774</v>
      </c>
      <c r="R308" s="89" t="s">
        <v>1775</v>
      </c>
      <c r="S308" s="30">
        <v>0</v>
      </c>
      <c r="T308" s="233">
        <v>1</v>
      </c>
      <c r="U308" s="30">
        <v>0</v>
      </c>
      <c r="V308" s="233">
        <v>0</v>
      </c>
      <c r="W308" s="30">
        <v>0</v>
      </c>
      <c r="X308" s="30">
        <v>1</v>
      </c>
      <c r="Y308" s="30">
        <v>0</v>
      </c>
      <c r="Z308" s="233">
        <v>0</v>
      </c>
      <c r="AA308" s="30">
        <v>0</v>
      </c>
      <c r="AB308" s="30">
        <v>0</v>
      </c>
      <c r="AC308" s="30">
        <v>0</v>
      </c>
      <c r="AD308" s="30">
        <v>0</v>
      </c>
      <c r="AE308" s="89" t="s">
        <v>68</v>
      </c>
      <c r="AF308" s="89" t="s">
        <v>1906</v>
      </c>
      <c r="AG308" s="89" t="s">
        <v>82</v>
      </c>
      <c r="AH308" s="72" t="s">
        <v>68</v>
      </c>
      <c r="AI308" s="30">
        <v>4</v>
      </c>
      <c r="AJ308" s="89" t="s">
        <v>1907</v>
      </c>
      <c r="AK308" s="89" t="s">
        <v>68</v>
      </c>
      <c r="AL308" s="91">
        <v>39363</v>
      </c>
      <c r="AM308" s="91"/>
      <c r="AN308" s="91"/>
      <c r="AO308" s="91"/>
      <c r="AP308" s="73" t="e">
        <f>MID(VLOOKUP(K308,#REF!,2,FALSE),1,2)</f>
        <v>#REF!</v>
      </c>
      <c r="AQ308" s="89">
        <f>DATE(2007,6,19)</f>
        <v>39252</v>
      </c>
      <c r="AR308" s="82">
        <f t="shared" si="22"/>
        <v>19</v>
      </c>
      <c r="AS308" s="83">
        <f t="shared" si="23"/>
        <v>6</v>
      </c>
      <c r="AT308" s="84">
        <f t="shared" si="24"/>
        <v>2007</v>
      </c>
      <c r="AU308" s="86"/>
      <c r="AV308" s="86"/>
      <c r="AW308" s="87"/>
      <c r="AX308" s="86"/>
      <c r="AY308" s="83"/>
      <c r="AZ308" s="84"/>
      <c r="BA308" s="86"/>
      <c r="BB308" s="86"/>
    </row>
    <row r="309" spans="1:54" ht="36.75" customHeight="1">
      <c r="A309" s="30"/>
      <c r="B309" s="30" t="s">
        <v>55</v>
      </c>
      <c r="C309" s="69" t="str">
        <f t="shared" si="21"/>
        <v>Closed</v>
      </c>
      <c r="D309" s="27" t="s">
        <v>1908</v>
      </c>
      <c r="E309" s="29" t="s">
        <v>1909</v>
      </c>
      <c r="F309" s="30" t="s">
        <v>423</v>
      </c>
      <c r="G309" s="89">
        <f>DATE(2007,6,20)</f>
        <v>39253</v>
      </c>
      <c r="H309" s="90">
        <v>1.3611111111111112</v>
      </c>
      <c r="I309" s="30" t="s">
        <v>198</v>
      </c>
      <c r="J309" s="89" t="s">
        <v>1910</v>
      </c>
      <c r="K309" s="30" t="s">
        <v>425</v>
      </c>
      <c r="L309" s="30" t="s">
        <v>1911</v>
      </c>
      <c r="M309" s="30" t="s">
        <v>63</v>
      </c>
      <c r="N309" s="30">
        <v>0</v>
      </c>
      <c r="O309" s="30" t="s">
        <v>77</v>
      </c>
      <c r="P309" s="89" t="s">
        <v>1912</v>
      </c>
      <c r="Q309" s="89" t="s">
        <v>554</v>
      </c>
      <c r="R309" s="89" t="s">
        <v>427</v>
      </c>
      <c r="S309" s="30">
        <v>0</v>
      </c>
      <c r="T309" s="233">
        <v>0</v>
      </c>
      <c r="U309" s="30">
        <v>0</v>
      </c>
      <c r="V309" s="233">
        <v>0</v>
      </c>
      <c r="W309" s="30">
        <v>0</v>
      </c>
      <c r="X309" s="30">
        <v>0</v>
      </c>
      <c r="Y309" s="30">
        <v>3</v>
      </c>
      <c r="Z309" s="233">
        <v>1</v>
      </c>
      <c r="AA309" s="30">
        <v>0</v>
      </c>
      <c r="AB309" s="30">
        <v>0</v>
      </c>
      <c r="AC309" s="30">
        <v>0</v>
      </c>
      <c r="AD309" s="30">
        <v>4</v>
      </c>
      <c r="AE309" s="89" t="s">
        <v>68</v>
      </c>
      <c r="AF309" s="89" t="s">
        <v>1913</v>
      </c>
      <c r="AG309" s="89" t="s">
        <v>82</v>
      </c>
      <c r="AH309" s="72" t="s">
        <v>68</v>
      </c>
      <c r="AI309" s="30">
        <v>0</v>
      </c>
      <c r="AJ309" s="89" t="s">
        <v>68</v>
      </c>
      <c r="AK309" s="89" t="s">
        <v>68</v>
      </c>
      <c r="AL309" s="91">
        <v>39259</v>
      </c>
      <c r="AM309" s="91"/>
      <c r="AN309" s="91"/>
      <c r="AO309" s="91"/>
      <c r="AP309" s="73" t="e">
        <f>MID(VLOOKUP(K309,#REF!,2,FALSE),1,2)</f>
        <v>#REF!</v>
      </c>
      <c r="AQ309" s="89">
        <f>DATE(2007,6,20)</f>
        <v>39253</v>
      </c>
      <c r="AR309" s="82">
        <f t="shared" si="22"/>
        <v>20</v>
      </c>
      <c r="AS309" s="83">
        <f t="shared" si="23"/>
        <v>6</v>
      </c>
      <c r="AT309" s="84">
        <f t="shared" si="24"/>
        <v>2007</v>
      </c>
      <c r="AU309" s="86"/>
      <c r="AV309" s="86"/>
      <c r="AW309" s="87"/>
      <c r="AX309" s="86"/>
      <c r="AY309" s="83"/>
      <c r="AZ309" s="84"/>
      <c r="BA309" s="86"/>
      <c r="BB309" s="86"/>
    </row>
    <row r="310" spans="1:54" ht="36.75" customHeight="1">
      <c r="A310" s="30"/>
      <c r="B310" s="30" t="s">
        <v>55</v>
      </c>
      <c r="C310" s="69" t="str">
        <f t="shared" si="21"/>
        <v>Closed</v>
      </c>
      <c r="D310" s="27" t="s">
        <v>1914</v>
      </c>
      <c r="E310" s="29" t="s">
        <v>1915</v>
      </c>
      <c r="F310" s="30" t="s">
        <v>423</v>
      </c>
      <c r="G310" s="89">
        <f>DATE(2007,6,21)</f>
        <v>39254</v>
      </c>
      <c r="H310" s="90">
        <v>1.7208333333333332</v>
      </c>
      <c r="I310" s="30" t="s">
        <v>86</v>
      </c>
      <c r="J310" s="89" t="s">
        <v>1916</v>
      </c>
      <c r="K310" s="30" t="s">
        <v>425</v>
      </c>
      <c r="L310" s="30" t="s">
        <v>1917</v>
      </c>
      <c r="M310" s="30" t="s">
        <v>63</v>
      </c>
      <c r="N310" s="30">
        <v>0</v>
      </c>
      <c r="O310" s="30" t="s">
        <v>77</v>
      </c>
      <c r="P310" s="89" t="s">
        <v>65</v>
      </c>
      <c r="Q310" s="89" t="s">
        <v>989</v>
      </c>
      <c r="R310" s="89" t="s">
        <v>989</v>
      </c>
      <c r="S310" s="30">
        <v>0</v>
      </c>
      <c r="T310" s="233" t="s">
        <v>68</v>
      </c>
      <c r="U310" s="30">
        <v>0</v>
      </c>
      <c r="V310" s="233" t="s">
        <v>68</v>
      </c>
      <c r="W310" s="30">
        <v>0</v>
      </c>
      <c r="X310" s="30">
        <v>0</v>
      </c>
      <c r="Y310" s="30">
        <v>0</v>
      </c>
      <c r="Z310" s="233" t="s">
        <v>68</v>
      </c>
      <c r="AA310" s="30">
        <v>0</v>
      </c>
      <c r="AB310" s="30">
        <v>0</v>
      </c>
      <c r="AC310" s="30">
        <v>0</v>
      </c>
      <c r="AD310" s="30">
        <v>0</v>
      </c>
      <c r="AE310" s="89" t="s">
        <v>68</v>
      </c>
      <c r="AF310" s="89" t="s">
        <v>68</v>
      </c>
      <c r="AG310" s="89" t="s">
        <v>874</v>
      </c>
      <c r="AH310" s="72" t="s">
        <v>68</v>
      </c>
      <c r="AI310" s="30">
        <v>0</v>
      </c>
      <c r="AJ310" s="89" t="s">
        <v>68</v>
      </c>
      <c r="AK310" s="89" t="s">
        <v>68</v>
      </c>
      <c r="AL310" s="91">
        <v>39273</v>
      </c>
      <c r="AM310" s="91"/>
      <c r="AN310" s="91"/>
      <c r="AO310" s="91"/>
      <c r="AP310" s="73" t="e">
        <f>MID(VLOOKUP(K310,#REF!,2,FALSE),1,2)</f>
        <v>#REF!</v>
      </c>
      <c r="AQ310" s="89">
        <f>DATE(2007,6,21)</f>
        <v>39254</v>
      </c>
      <c r="AR310" s="82">
        <f t="shared" si="22"/>
        <v>21</v>
      </c>
      <c r="AS310" s="83">
        <f t="shared" si="23"/>
        <v>6</v>
      </c>
      <c r="AT310" s="84">
        <f t="shared" si="24"/>
        <v>2007</v>
      </c>
      <c r="AU310" s="86"/>
      <c r="AV310" s="86"/>
      <c r="AW310" s="87"/>
      <c r="AX310" s="86"/>
      <c r="AY310" s="83"/>
      <c r="AZ310" s="84"/>
      <c r="BA310" s="86"/>
      <c r="BB310" s="86"/>
    </row>
    <row r="311" spans="1:54" ht="36.75" customHeight="1">
      <c r="A311" s="30"/>
      <c r="B311" s="30" t="s">
        <v>55</v>
      </c>
      <c r="C311" s="69" t="str">
        <f t="shared" si="21"/>
        <v>Closed</v>
      </c>
      <c r="D311" s="27" t="s">
        <v>1918</v>
      </c>
      <c r="E311" s="29" t="s">
        <v>1919</v>
      </c>
      <c r="F311" s="30" t="s">
        <v>233</v>
      </c>
      <c r="G311" s="89">
        <f>DATE(2007,6,22)</f>
        <v>39255</v>
      </c>
      <c r="H311" s="90">
        <v>1.0868055555555556</v>
      </c>
      <c r="I311" s="30" t="s">
        <v>73</v>
      </c>
      <c r="J311" s="89" t="s">
        <v>1920</v>
      </c>
      <c r="K311" s="30" t="s">
        <v>235</v>
      </c>
      <c r="L311" s="30" t="s">
        <v>1921</v>
      </c>
      <c r="M311" s="30" t="s">
        <v>63</v>
      </c>
      <c r="N311" s="30">
        <v>0</v>
      </c>
      <c r="O311" s="30" t="s">
        <v>64</v>
      </c>
      <c r="P311" s="89" t="s">
        <v>78</v>
      </c>
      <c r="Q311" s="89" t="s">
        <v>237</v>
      </c>
      <c r="R311" s="89" t="s">
        <v>238</v>
      </c>
      <c r="S311" s="30">
        <v>0</v>
      </c>
      <c r="T311" s="233" t="s">
        <v>68</v>
      </c>
      <c r="U311" s="30">
        <v>0</v>
      </c>
      <c r="V311" s="233" t="s">
        <v>68</v>
      </c>
      <c r="W311" s="30">
        <v>0</v>
      </c>
      <c r="X311" s="30">
        <v>0</v>
      </c>
      <c r="Y311" s="30">
        <v>0</v>
      </c>
      <c r="Z311" s="233" t="s">
        <v>68</v>
      </c>
      <c r="AA311" s="30">
        <v>0</v>
      </c>
      <c r="AB311" s="30">
        <v>0</v>
      </c>
      <c r="AC311" s="30">
        <v>0</v>
      </c>
      <c r="AD311" s="30">
        <v>0</v>
      </c>
      <c r="AE311" s="89" t="s">
        <v>68</v>
      </c>
      <c r="AF311" s="89" t="s">
        <v>1922</v>
      </c>
      <c r="AG311" s="89" t="s">
        <v>82</v>
      </c>
      <c r="AH311" s="72" t="s">
        <v>68</v>
      </c>
      <c r="AI311" s="30">
        <v>10</v>
      </c>
      <c r="AJ311" s="89" t="s">
        <v>1923</v>
      </c>
      <c r="AK311" s="89" t="s">
        <v>1924</v>
      </c>
      <c r="AL311" s="91">
        <v>39260</v>
      </c>
      <c r="AM311" s="91"/>
      <c r="AN311" s="91"/>
      <c r="AO311" s="91"/>
      <c r="AP311" s="73" t="e">
        <f>MID(VLOOKUP(K311,#REF!,2,FALSE),1,2)</f>
        <v>#REF!</v>
      </c>
      <c r="AQ311" s="89">
        <f>DATE(2007,6,22)</f>
        <v>39255</v>
      </c>
      <c r="AR311" s="82">
        <f t="shared" si="22"/>
        <v>22</v>
      </c>
      <c r="AS311" s="83">
        <f t="shared" si="23"/>
        <v>6</v>
      </c>
      <c r="AT311" s="84">
        <f t="shared" si="24"/>
        <v>2007</v>
      </c>
      <c r="AU311" s="86"/>
      <c r="AV311" s="86"/>
      <c r="AW311" s="87"/>
      <c r="AX311" s="86"/>
      <c r="AY311" s="83"/>
      <c r="AZ311" s="84"/>
      <c r="BA311" s="86"/>
      <c r="BB311" s="86"/>
    </row>
    <row r="312" spans="1:54" ht="36.75" customHeight="1">
      <c r="A312" s="30"/>
      <c r="B312" s="30" t="s">
        <v>55</v>
      </c>
      <c r="C312" s="69" t="str">
        <f t="shared" si="21"/>
        <v>Closed</v>
      </c>
      <c r="D312" s="27" t="s">
        <v>1925</v>
      </c>
      <c r="E312" s="29" t="s">
        <v>1926</v>
      </c>
      <c r="F312" s="30" t="s">
        <v>1749</v>
      </c>
      <c r="G312" s="89">
        <f>DATE(2007,6,24)</f>
        <v>39257</v>
      </c>
      <c r="H312" s="90">
        <v>1.8541666666666665</v>
      </c>
      <c r="I312" s="30" t="s">
        <v>116</v>
      </c>
      <c r="J312" s="89" t="s">
        <v>1927</v>
      </c>
      <c r="K312" s="30" t="s">
        <v>1751</v>
      </c>
      <c r="L312" s="30" t="s">
        <v>1928</v>
      </c>
      <c r="M312" s="30" t="s">
        <v>63</v>
      </c>
      <c r="N312" s="30">
        <v>0</v>
      </c>
      <c r="O312" s="30" t="s">
        <v>64</v>
      </c>
      <c r="P312" s="89" t="s">
        <v>86</v>
      </c>
      <c r="Q312" s="89" t="s">
        <v>1753</v>
      </c>
      <c r="R312" s="89" t="s">
        <v>1754</v>
      </c>
      <c r="S312" s="30">
        <v>0</v>
      </c>
      <c r="T312" s="233">
        <v>0</v>
      </c>
      <c r="U312" s="30">
        <v>2</v>
      </c>
      <c r="V312" s="233">
        <v>0</v>
      </c>
      <c r="W312" s="30">
        <v>0</v>
      </c>
      <c r="X312" s="30">
        <v>2</v>
      </c>
      <c r="Y312" s="30">
        <v>0</v>
      </c>
      <c r="Z312" s="233">
        <v>0</v>
      </c>
      <c r="AA312" s="30">
        <v>0</v>
      </c>
      <c r="AB312" s="30">
        <v>0</v>
      </c>
      <c r="AC312" s="30">
        <v>0</v>
      </c>
      <c r="AD312" s="30">
        <v>0</v>
      </c>
      <c r="AE312" s="89" t="s">
        <v>68</v>
      </c>
      <c r="AF312" s="89" t="s">
        <v>1929</v>
      </c>
      <c r="AG312" s="89" t="s">
        <v>248</v>
      </c>
      <c r="AH312" s="72" t="s">
        <v>68</v>
      </c>
      <c r="AI312" s="30">
        <v>4</v>
      </c>
      <c r="AJ312" s="89" t="s">
        <v>1930</v>
      </c>
      <c r="AK312" s="89" t="s">
        <v>68</v>
      </c>
      <c r="AL312" s="91">
        <v>39279</v>
      </c>
      <c r="AM312" s="91"/>
      <c r="AN312" s="91"/>
      <c r="AO312" s="91"/>
      <c r="AP312" s="73" t="e">
        <f>MID(VLOOKUP(K312,#REF!,2,FALSE),1,2)</f>
        <v>#REF!</v>
      </c>
      <c r="AQ312" s="89">
        <f>DATE(2007,6,24)</f>
        <v>39257</v>
      </c>
      <c r="AR312" s="82">
        <f t="shared" si="22"/>
        <v>24</v>
      </c>
      <c r="AS312" s="83">
        <f t="shared" si="23"/>
        <v>6</v>
      </c>
      <c r="AT312" s="84">
        <f t="shared" si="24"/>
        <v>2007</v>
      </c>
      <c r="AU312" s="86"/>
      <c r="AV312" s="86"/>
      <c r="AW312" s="87"/>
      <c r="AX312" s="86"/>
      <c r="AY312" s="83"/>
      <c r="AZ312" s="84"/>
      <c r="BA312" s="86"/>
      <c r="BB312" s="86"/>
    </row>
    <row r="313" spans="1:54" ht="36.75" customHeight="1">
      <c r="A313" s="30"/>
      <c r="B313" s="30" t="s">
        <v>55</v>
      </c>
      <c r="C313" s="69" t="str">
        <f t="shared" si="21"/>
        <v>Closed</v>
      </c>
      <c r="D313" s="27" t="s">
        <v>1931</v>
      </c>
      <c r="E313" s="29" t="s">
        <v>1932</v>
      </c>
      <c r="F313" s="30" t="s">
        <v>638</v>
      </c>
      <c r="G313" s="89">
        <f>DATE(2007,6,24)</f>
        <v>39257</v>
      </c>
      <c r="H313" s="90">
        <v>1.9611111111111112</v>
      </c>
      <c r="I313" s="30" t="s">
        <v>278</v>
      </c>
      <c r="J313" s="89" t="s">
        <v>1933</v>
      </c>
      <c r="K313" s="30" t="s">
        <v>640</v>
      </c>
      <c r="L313" s="30" t="s">
        <v>1934</v>
      </c>
      <c r="M313" s="30" t="s">
        <v>63</v>
      </c>
      <c r="N313" s="30">
        <v>0</v>
      </c>
      <c r="O313" s="30" t="s">
        <v>77</v>
      </c>
      <c r="P313" s="89" t="s">
        <v>65</v>
      </c>
      <c r="Q313" s="89" t="s">
        <v>642</v>
      </c>
      <c r="R313" s="89" t="s">
        <v>643</v>
      </c>
      <c r="S313" s="30">
        <v>0</v>
      </c>
      <c r="T313" s="233">
        <v>0</v>
      </c>
      <c r="U313" s="30">
        <v>0</v>
      </c>
      <c r="V313" s="233">
        <v>1</v>
      </c>
      <c r="W313" s="30">
        <v>0</v>
      </c>
      <c r="X313" s="30">
        <v>1</v>
      </c>
      <c r="Y313" s="30">
        <v>0</v>
      </c>
      <c r="Z313" s="233">
        <v>0</v>
      </c>
      <c r="AA313" s="30">
        <v>0</v>
      </c>
      <c r="AB313" s="30">
        <v>0</v>
      </c>
      <c r="AC313" s="30">
        <v>0</v>
      </c>
      <c r="AD313" s="30">
        <v>0</v>
      </c>
      <c r="AE313" s="89" t="s">
        <v>68</v>
      </c>
      <c r="AF313" s="89" t="s">
        <v>68</v>
      </c>
      <c r="AG313" s="89" t="s">
        <v>248</v>
      </c>
      <c r="AH313" s="72" t="s">
        <v>68</v>
      </c>
      <c r="AI313" s="30">
        <v>3</v>
      </c>
      <c r="AJ313" s="89" t="s">
        <v>1935</v>
      </c>
      <c r="AK313" s="89" t="s">
        <v>68</v>
      </c>
      <c r="AL313" s="91">
        <v>39293</v>
      </c>
      <c r="AM313" s="91"/>
      <c r="AN313" s="91"/>
      <c r="AO313" s="91"/>
      <c r="AP313" s="73" t="e">
        <f>MID(VLOOKUP(K313,#REF!,2,FALSE),1,2)</f>
        <v>#REF!</v>
      </c>
      <c r="AQ313" s="89">
        <f>DATE(2007,6,24)</f>
        <v>39257</v>
      </c>
      <c r="AR313" s="82">
        <f t="shared" si="22"/>
        <v>24</v>
      </c>
      <c r="AS313" s="83">
        <f t="shared" si="23"/>
        <v>6</v>
      </c>
      <c r="AT313" s="84">
        <f t="shared" si="24"/>
        <v>2007</v>
      </c>
      <c r="AU313" s="86"/>
      <c r="AV313" s="86"/>
      <c r="AW313" s="87"/>
      <c r="AX313" s="86"/>
      <c r="AY313" s="83"/>
      <c r="AZ313" s="84"/>
      <c r="BA313" s="86"/>
      <c r="BB313" s="86"/>
    </row>
    <row r="314" spans="1:54" ht="36.75" customHeight="1">
      <c r="A314" s="30"/>
      <c r="B314" s="30" t="s">
        <v>55</v>
      </c>
      <c r="C314" s="69" t="str">
        <f t="shared" si="21"/>
        <v>Closed</v>
      </c>
      <c r="D314" s="27" t="s">
        <v>1936</v>
      </c>
      <c r="E314" s="29" t="s">
        <v>1937</v>
      </c>
      <c r="F314" s="30" t="s">
        <v>1938</v>
      </c>
      <c r="G314" s="89">
        <f>DATE(2007,6,28)</f>
        <v>39261</v>
      </c>
      <c r="H314" s="90">
        <v>1.8333333333333335</v>
      </c>
      <c r="I314" s="30" t="s">
        <v>156</v>
      </c>
      <c r="J314" s="89" t="s">
        <v>1939</v>
      </c>
      <c r="K314" s="30" t="s">
        <v>1940</v>
      </c>
      <c r="L314" s="30" t="s">
        <v>1941</v>
      </c>
      <c r="M314" s="30" t="s">
        <v>63</v>
      </c>
      <c r="N314" s="30">
        <v>0</v>
      </c>
      <c r="O314" s="30" t="s">
        <v>64</v>
      </c>
      <c r="P314" s="89" t="s">
        <v>165</v>
      </c>
      <c r="Q314" s="89" t="s">
        <v>1942</v>
      </c>
      <c r="R314" s="89" t="s">
        <v>1942</v>
      </c>
      <c r="S314" s="30">
        <v>0</v>
      </c>
      <c r="T314" s="233" t="s">
        <v>68</v>
      </c>
      <c r="U314" s="30">
        <v>0</v>
      </c>
      <c r="V314" s="233" t="s">
        <v>68</v>
      </c>
      <c r="W314" s="30">
        <v>0</v>
      </c>
      <c r="X314" s="30">
        <v>0</v>
      </c>
      <c r="Y314" s="30">
        <v>0</v>
      </c>
      <c r="Z314" s="233" t="s">
        <v>68</v>
      </c>
      <c r="AA314" s="30">
        <v>0</v>
      </c>
      <c r="AB314" s="30">
        <v>0</v>
      </c>
      <c r="AC314" s="30">
        <v>0</v>
      </c>
      <c r="AD314" s="30">
        <v>0</v>
      </c>
      <c r="AE314" s="89" t="s">
        <v>68</v>
      </c>
      <c r="AF314" s="89" t="s">
        <v>1943</v>
      </c>
      <c r="AG314" s="89" t="s">
        <v>133</v>
      </c>
      <c r="AH314" s="72" t="s">
        <v>68</v>
      </c>
      <c r="AI314" s="30">
        <v>0</v>
      </c>
      <c r="AJ314" s="89" t="s">
        <v>68</v>
      </c>
      <c r="AK314" s="89" t="s">
        <v>68</v>
      </c>
      <c r="AL314" s="91">
        <v>39272</v>
      </c>
      <c r="AM314" s="91"/>
      <c r="AN314" s="91"/>
      <c r="AO314" s="91"/>
      <c r="AP314" s="73" t="e">
        <f>MID(VLOOKUP(K314,#REF!,2,FALSE),1,2)</f>
        <v>#REF!</v>
      </c>
      <c r="AQ314" s="89">
        <f>DATE(2007,6,28)</f>
        <v>39261</v>
      </c>
      <c r="AR314" s="82">
        <f t="shared" si="22"/>
        <v>28</v>
      </c>
      <c r="AS314" s="83">
        <f t="shared" si="23"/>
        <v>6</v>
      </c>
      <c r="AT314" s="84">
        <f t="shared" si="24"/>
        <v>2007</v>
      </c>
      <c r="AU314" s="86"/>
      <c r="AV314" s="86"/>
      <c r="AW314" s="87"/>
      <c r="AX314" s="86"/>
      <c r="AY314" s="83"/>
      <c r="AZ314" s="84"/>
      <c r="BA314" s="86"/>
      <c r="BB314" s="86"/>
    </row>
    <row r="315" spans="1:54" ht="36.75" customHeight="1">
      <c r="A315" s="30"/>
      <c r="B315" s="30" t="s">
        <v>55</v>
      </c>
      <c r="C315" s="69" t="str">
        <f t="shared" si="21"/>
        <v>Closed</v>
      </c>
      <c r="D315" s="27" t="s">
        <v>1944</v>
      </c>
      <c r="E315" s="29" t="s">
        <v>1945</v>
      </c>
      <c r="F315" s="30" t="s">
        <v>58</v>
      </c>
      <c r="G315" s="89">
        <f>DATE(2007,7,3)</f>
        <v>39266</v>
      </c>
      <c r="H315" s="90">
        <v>1.6666666666666665</v>
      </c>
      <c r="I315" s="30" t="s">
        <v>73</v>
      </c>
      <c r="J315" s="89" t="s">
        <v>1946</v>
      </c>
      <c r="K315" s="30" t="s">
        <v>61</v>
      </c>
      <c r="L315" s="30" t="s">
        <v>1947</v>
      </c>
      <c r="M315" s="30" t="s">
        <v>63</v>
      </c>
      <c r="N315" s="30" t="s">
        <v>99</v>
      </c>
      <c r="O315" s="30" t="s">
        <v>64</v>
      </c>
      <c r="P315" s="89" t="s">
        <v>78</v>
      </c>
      <c r="Q315" s="89" t="s">
        <v>66</v>
      </c>
      <c r="R315" s="89" t="s">
        <v>67</v>
      </c>
      <c r="S315" s="30">
        <v>0</v>
      </c>
      <c r="T315" s="233">
        <v>0</v>
      </c>
      <c r="U315" s="30">
        <v>0</v>
      </c>
      <c r="V315" s="233">
        <v>0</v>
      </c>
      <c r="W315" s="30">
        <v>0</v>
      </c>
      <c r="X315" s="30">
        <v>0</v>
      </c>
      <c r="Y315" s="30">
        <v>0</v>
      </c>
      <c r="Z315" s="233">
        <v>0</v>
      </c>
      <c r="AA315" s="30">
        <v>0</v>
      </c>
      <c r="AB315" s="30">
        <v>0</v>
      </c>
      <c r="AC315" s="30">
        <v>0</v>
      </c>
      <c r="AD315" s="30">
        <v>0</v>
      </c>
      <c r="AE315" s="89" t="s">
        <v>92</v>
      </c>
      <c r="AF315" s="89" t="s">
        <v>1948</v>
      </c>
      <c r="AG315" s="89" t="s">
        <v>69</v>
      </c>
      <c r="AH315" s="72">
        <v>39634</v>
      </c>
      <c r="AI315" s="30">
        <v>1</v>
      </c>
      <c r="AJ315" s="89" t="s">
        <v>1949</v>
      </c>
      <c r="AK315" s="89" t="s">
        <v>1950</v>
      </c>
      <c r="AL315" s="91">
        <v>39363</v>
      </c>
      <c r="AM315" s="91"/>
      <c r="AN315" s="91"/>
      <c r="AO315" s="91"/>
      <c r="AP315" s="73" t="e">
        <f>MID(VLOOKUP(K315,#REF!,2,FALSE),1,2)</f>
        <v>#REF!</v>
      </c>
      <c r="AQ315" s="89">
        <f>DATE(2007,7,3)</f>
        <v>39266</v>
      </c>
      <c r="AR315" s="82">
        <f t="shared" si="22"/>
        <v>3</v>
      </c>
      <c r="AS315" s="83">
        <f t="shared" si="23"/>
        <v>7</v>
      </c>
      <c r="AT315" s="84">
        <f t="shared" si="24"/>
        <v>2007</v>
      </c>
      <c r="AU315" s="86"/>
      <c r="AV315" s="86"/>
      <c r="AW315" s="87"/>
      <c r="AX315" s="86"/>
      <c r="AY315" s="83"/>
      <c r="AZ315" s="84"/>
      <c r="BA315" s="86"/>
      <c r="BB315" s="86"/>
    </row>
    <row r="316" spans="1:54" ht="36.75" customHeight="1">
      <c r="A316" s="30"/>
      <c r="B316" s="30" t="s">
        <v>55</v>
      </c>
      <c r="C316" s="69" t="str">
        <f t="shared" si="21"/>
        <v>Closed</v>
      </c>
      <c r="D316" s="27" t="s">
        <v>1951</v>
      </c>
      <c r="E316" s="29" t="s">
        <v>1952</v>
      </c>
      <c r="F316" s="30" t="s">
        <v>423</v>
      </c>
      <c r="G316" s="89">
        <f>DATE(2007,7,4)</f>
        <v>39267</v>
      </c>
      <c r="H316" s="90">
        <v>1.7805555555555554</v>
      </c>
      <c r="I316" s="30" t="s">
        <v>116</v>
      </c>
      <c r="J316" s="89" t="s">
        <v>1953</v>
      </c>
      <c r="K316" s="30" t="s">
        <v>425</v>
      </c>
      <c r="L316" s="30" t="s">
        <v>1954</v>
      </c>
      <c r="M316" s="30" t="s">
        <v>63</v>
      </c>
      <c r="N316" s="30">
        <v>0</v>
      </c>
      <c r="O316" s="30" t="s">
        <v>64</v>
      </c>
      <c r="P316" s="89" t="s">
        <v>65</v>
      </c>
      <c r="Q316" s="89" t="s">
        <v>427</v>
      </c>
      <c r="R316" s="89" t="s">
        <v>427</v>
      </c>
      <c r="S316" s="30">
        <v>0</v>
      </c>
      <c r="T316" s="233">
        <v>0</v>
      </c>
      <c r="U316" s="30">
        <v>0</v>
      </c>
      <c r="V316" s="233">
        <v>0</v>
      </c>
      <c r="W316" s="30">
        <v>0</v>
      </c>
      <c r="X316" s="30">
        <v>0</v>
      </c>
      <c r="Y316" s="30">
        <v>0</v>
      </c>
      <c r="Z316" s="233">
        <v>0</v>
      </c>
      <c r="AA316" s="30">
        <v>1</v>
      </c>
      <c r="AB316" s="30">
        <v>0</v>
      </c>
      <c r="AC316" s="30">
        <v>0</v>
      </c>
      <c r="AD316" s="30">
        <v>1</v>
      </c>
      <c r="AE316" s="89" t="s">
        <v>68</v>
      </c>
      <c r="AF316" s="89" t="s">
        <v>1955</v>
      </c>
      <c r="AG316" s="89" t="s">
        <v>248</v>
      </c>
      <c r="AH316" s="72" t="s">
        <v>68</v>
      </c>
      <c r="AI316" s="30">
        <v>1</v>
      </c>
      <c r="AJ316" s="89" t="s">
        <v>68</v>
      </c>
      <c r="AK316" s="89" t="s">
        <v>68</v>
      </c>
      <c r="AL316" s="91">
        <v>39273</v>
      </c>
      <c r="AM316" s="91"/>
      <c r="AN316" s="91"/>
      <c r="AO316" s="91"/>
      <c r="AP316" s="73" t="e">
        <f>MID(VLOOKUP(K316,#REF!,2,FALSE),1,2)</f>
        <v>#REF!</v>
      </c>
      <c r="AQ316" s="89">
        <f>DATE(2007,7,4)</f>
        <v>39267</v>
      </c>
      <c r="AR316" s="82">
        <f t="shared" si="22"/>
        <v>4</v>
      </c>
      <c r="AS316" s="83">
        <f t="shared" si="23"/>
        <v>7</v>
      </c>
      <c r="AT316" s="84">
        <f t="shared" si="24"/>
        <v>2007</v>
      </c>
      <c r="AU316" s="86"/>
      <c r="AV316" s="86"/>
      <c r="AW316" s="87"/>
      <c r="AX316" s="86"/>
      <c r="AY316" s="83"/>
      <c r="AZ316" s="84"/>
      <c r="BA316" s="86"/>
      <c r="BB316" s="86"/>
    </row>
    <row r="317" spans="1:54" ht="36.75" customHeight="1">
      <c r="A317" s="30"/>
      <c r="B317" s="30" t="s">
        <v>55</v>
      </c>
      <c r="C317" s="69" t="str">
        <f t="shared" si="21"/>
        <v>Closed</v>
      </c>
      <c r="D317" s="27" t="s">
        <v>1956</v>
      </c>
      <c r="E317" s="29" t="s">
        <v>1957</v>
      </c>
      <c r="F317" s="30" t="s">
        <v>233</v>
      </c>
      <c r="G317" s="89">
        <f>DATE(2007,7,5)</f>
        <v>39268</v>
      </c>
      <c r="H317" s="90">
        <v>1.375</v>
      </c>
      <c r="I317" s="30" t="s">
        <v>156</v>
      </c>
      <c r="J317" s="89" t="s">
        <v>1958</v>
      </c>
      <c r="K317" s="30" t="s">
        <v>235</v>
      </c>
      <c r="L317" s="30" t="s">
        <v>1959</v>
      </c>
      <c r="M317" s="30" t="s">
        <v>129</v>
      </c>
      <c r="N317" s="30">
        <v>0</v>
      </c>
      <c r="O317" s="30" t="s">
        <v>64</v>
      </c>
      <c r="P317" s="89" t="s">
        <v>86</v>
      </c>
      <c r="Q317" s="89" t="s">
        <v>1960</v>
      </c>
      <c r="R317" s="89" t="s">
        <v>683</v>
      </c>
      <c r="S317" s="30">
        <v>0</v>
      </c>
      <c r="T317" s="233" t="s">
        <v>68</v>
      </c>
      <c r="U317" s="30">
        <v>0</v>
      </c>
      <c r="V317" s="233" t="s">
        <v>68</v>
      </c>
      <c r="W317" s="30">
        <v>0</v>
      </c>
      <c r="X317" s="30">
        <v>0</v>
      </c>
      <c r="Y317" s="30">
        <v>0</v>
      </c>
      <c r="Z317" s="233" t="s">
        <v>68</v>
      </c>
      <c r="AA317" s="30">
        <v>0</v>
      </c>
      <c r="AB317" s="30">
        <v>0</v>
      </c>
      <c r="AC317" s="30">
        <v>0</v>
      </c>
      <c r="AD317" s="30">
        <v>0</v>
      </c>
      <c r="AE317" s="89" t="s">
        <v>68</v>
      </c>
      <c r="AF317" s="89" t="s">
        <v>1961</v>
      </c>
      <c r="AG317" s="89" t="s">
        <v>133</v>
      </c>
      <c r="AH317" s="72" t="s">
        <v>68</v>
      </c>
      <c r="AI317" s="30">
        <v>5</v>
      </c>
      <c r="AJ317" s="89" t="s">
        <v>1962</v>
      </c>
      <c r="AK317" s="89" t="s">
        <v>1963</v>
      </c>
      <c r="AL317" s="91">
        <v>39303</v>
      </c>
      <c r="AM317" s="91"/>
      <c r="AN317" s="91"/>
      <c r="AO317" s="91"/>
      <c r="AP317" s="73" t="e">
        <f>MID(VLOOKUP(K317,#REF!,2,FALSE),1,2)</f>
        <v>#REF!</v>
      </c>
      <c r="AQ317" s="89">
        <f>DATE(2007,7,5)</f>
        <v>39268</v>
      </c>
      <c r="AR317" s="82">
        <f t="shared" si="22"/>
        <v>5</v>
      </c>
      <c r="AS317" s="83">
        <f t="shared" si="23"/>
        <v>7</v>
      </c>
      <c r="AT317" s="84">
        <f t="shared" si="24"/>
        <v>2007</v>
      </c>
      <c r="AU317" s="86"/>
      <c r="AV317" s="86"/>
      <c r="AW317" s="87"/>
      <c r="AX317" s="86"/>
      <c r="AY317" s="83"/>
      <c r="AZ317" s="84"/>
      <c r="BA317" s="86"/>
      <c r="BB317" s="86"/>
    </row>
    <row r="318" spans="1:54" ht="36.75" customHeight="1">
      <c r="A318" s="30"/>
      <c r="B318" s="30" t="s">
        <v>55</v>
      </c>
      <c r="C318" s="69" t="str">
        <f t="shared" si="21"/>
        <v>Closed</v>
      </c>
      <c r="D318" s="27" t="s">
        <v>1964</v>
      </c>
      <c r="E318" s="29" t="s">
        <v>1965</v>
      </c>
      <c r="F318" s="30" t="s">
        <v>451</v>
      </c>
      <c r="G318" s="89">
        <f>DATE(2007,7,8)</f>
        <v>39271</v>
      </c>
      <c r="H318" s="90">
        <v>1.4666666666666666</v>
      </c>
      <c r="I318" s="30" t="s">
        <v>104</v>
      </c>
      <c r="J318" s="89" t="s">
        <v>1966</v>
      </c>
      <c r="K318" s="30" t="s">
        <v>453</v>
      </c>
      <c r="L318" s="30" t="s">
        <v>1967</v>
      </c>
      <c r="M318" s="30" t="s">
        <v>63</v>
      </c>
      <c r="N318" s="30">
        <v>0</v>
      </c>
      <c r="O318" s="30" t="s">
        <v>77</v>
      </c>
      <c r="P318" s="89" t="s">
        <v>86</v>
      </c>
      <c r="Q318" s="89" t="s">
        <v>571</v>
      </c>
      <c r="R318" s="89" t="s">
        <v>572</v>
      </c>
      <c r="S318" s="30">
        <v>0</v>
      </c>
      <c r="T318" s="233" t="s">
        <v>68</v>
      </c>
      <c r="U318" s="30">
        <v>0</v>
      </c>
      <c r="V318" s="233" t="s">
        <v>68</v>
      </c>
      <c r="W318" s="30">
        <v>0</v>
      </c>
      <c r="X318" s="30">
        <v>0</v>
      </c>
      <c r="Y318" s="30">
        <v>0</v>
      </c>
      <c r="Z318" s="233" t="s">
        <v>68</v>
      </c>
      <c r="AA318" s="30">
        <v>0</v>
      </c>
      <c r="AB318" s="30">
        <v>0</v>
      </c>
      <c r="AC318" s="30">
        <v>0</v>
      </c>
      <c r="AD318" s="30">
        <v>0</v>
      </c>
      <c r="AE318" s="89" t="s">
        <v>68</v>
      </c>
      <c r="AF318" s="89" t="s">
        <v>68</v>
      </c>
      <c r="AG318" s="89" t="s">
        <v>352</v>
      </c>
      <c r="AH318" s="72" t="s">
        <v>68</v>
      </c>
      <c r="AI318" s="30">
        <v>1</v>
      </c>
      <c r="AJ318" s="89" t="s">
        <v>68</v>
      </c>
      <c r="AK318" s="89" t="s">
        <v>68</v>
      </c>
      <c r="AL318" s="91">
        <v>39722</v>
      </c>
      <c r="AM318" s="91"/>
      <c r="AN318" s="91"/>
      <c r="AO318" s="91"/>
      <c r="AP318" s="73" t="e">
        <f>MID(VLOOKUP(K318,#REF!,2,FALSE),1,2)</f>
        <v>#REF!</v>
      </c>
      <c r="AQ318" s="89">
        <f>DATE(2007,7,8)</f>
        <v>39271</v>
      </c>
      <c r="AR318" s="82">
        <f t="shared" si="22"/>
        <v>8</v>
      </c>
      <c r="AS318" s="83">
        <f t="shared" si="23"/>
        <v>7</v>
      </c>
      <c r="AT318" s="84">
        <f t="shared" si="24"/>
        <v>2007</v>
      </c>
      <c r="AU318" s="86"/>
      <c r="AV318" s="86"/>
      <c r="AW318" s="87"/>
      <c r="AX318" s="86"/>
      <c r="AY318" s="83"/>
      <c r="AZ318" s="84"/>
      <c r="BA318" s="86"/>
      <c r="BB318" s="86"/>
    </row>
    <row r="319" spans="1:54" ht="36.75" customHeight="1">
      <c r="A319" s="30"/>
      <c r="B319" s="30" t="s">
        <v>55</v>
      </c>
      <c r="C319" s="69" t="str">
        <f t="shared" si="21"/>
        <v>Closed</v>
      </c>
      <c r="D319" s="27" t="s">
        <v>1968</v>
      </c>
      <c r="E319" s="29" t="s">
        <v>1969</v>
      </c>
      <c r="F319" s="30" t="s">
        <v>638</v>
      </c>
      <c r="G319" s="89">
        <f>DATE(2007,7,8)</f>
        <v>39271</v>
      </c>
      <c r="H319" s="90">
        <v>1.6618055555555555</v>
      </c>
      <c r="I319" s="30" t="s">
        <v>278</v>
      </c>
      <c r="J319" s="89" t="s">
        <v>1970</v>
      </c>
      <c r="K319" s="30" t="s">
        <v>640</v>
      </c>
      <c r="L319" s="30" t="s">
        <v>1971</v>
      </c>
      <c r="M319" s="30" t="s">
        <v>63</v>
      </c>
      <c r="N319" s="30">
        <v>0</v>
      </c>
      <c r="O319" s="30" t="s">
        <v>64</v>
      </c>
      <c r="P319" s="89" t="s">
        <v>165</v>
      </c>
      <c r="Q319" s="89" t="s">
        <v>642</v>
      </c>
      <c r="R319" s="89" t="s">
        <v>643</v>
      </c>
      <c r="S319" s="30">
        <v>0</v>
      </c>
      <c r="T319" s="233">
        <v>0</v>
      </c>
      <c r="U319" s="30">
        <v>0</v>
      </c>
      <c r="V319" s="233">
        <v>1</v>
      </c>
      <c r="W319" s="30">
        <v>0</v>
      </c>
      <c r="X319" s="30">
        <v>1</v>
      </c>
      <c r="Y319" s="30">
        <v>0</v>
      </c>
      <c r="Z319" s="233">
        <v>0</v>
      </c>
      <c r="AA319" s="30">
        <v>0</v>
      </c>
      <c r="AB319" s="30">
        <v>0</v>
      </c>
      <c r="AC319" s="30">
        <v>0</v>
      </c>
      <c r="AD319" s="30">
        <v>0</v>
      </c>
      <c r="AE319" s="89" t="s">
        <v>68</v>
      </c>
      <c r="AF319" s="89" t="s">
        <v>68</v>
      </c>
      <c r="AG319" s="89" t="s">
        <v>248</v>
      </c>
      <c r="AH319" s="72" t="s">
        <v>68</v>
      </c>
      <c r="AI319" s="30">
        <v>3</v>
      </c>
      <c r="AJ319" s="89" t="s">
        <v>1855</v>
      </c>
      <c r="AK319" s="89" t="s">
        <v>68</v>
      </c>
      <c r="AL319" s="91">
        <v>39293</v>
      </c>
      <c r="AM319" s="91"/>
      <c r="AN319" s="91"/>
      <c r="AO319" s="91"/>
      <c r="AP319" s="73" t="e">
        <f>MID(VLOOKUP(K319,#REF!,2,FALSE),1,2)</f>
        <v>#REF!</v>
      </c>
      <c r="AQ319" s="89">
        <f>DATE(2007,7,8)</f>
        <v>39271</v>
      </c>
      <c r="AR319" s="82">
        <f t="shared" si="22"/>
        <v>8</v>
      </c>
      <c r="AS319" s="83">
        <f t="shared" si="23"/>
        <v>7</v>
      </c>
      <c r="AT319" s="84">
        <f t="shared" si="24"/>
        <v>2007</v>
      </c>
      <c r="AU319" s="86"/>
      <c r="AV319" s="86"/>
      <c r="AW319" s="87"/>
      <c r="AX319" s="86"/>
      <c r="AY319" s="83"/>
      <c r="AZ319" s="84"/>
      <c r="BA319" s="86"/>
      <c r="BB319" s="86"/>
    </row>
    <row r="320" spans="1:54" ht="36.75" customHeight="1">
      <c r="A320" s="30"/>
      <c r="B320" s="30" t="s">
        <v>55</v>
      </c>
      <c r="C320" s="69" t="str">
        <f t="shared" si="21"/>
        <v>Closed</v>
      </c>
      <c r="D320" s="27" t="s">
        <v>1972</v>
      </c>
      <c r="E320" s="29" t="s">
        <v>1973</v>
      </c>
      <c r="F320" s="30" t="s">
        <v>638</v>
      </c>
      <c r="G320" s="89">
        <f>DATE(2007,7,8)</f>
        <v>39271</v>
      </c>
      <c r="H320" s="90">
        <v>1.3618055555555555</v>
      </c>
      <c r="I320" s="30" t="s">
        <v>278</v>
      </c>
      <c r="J320" s="89" t="s">
        <v>1974</v>
      </c>
      <c r="K320" s="30" t="s">
        <v>640</v>
      </c>
      <c r="L320" s="30" t="s">
        <v>1975</v>
      </c>
      <c r="M320" s="30" t="s">
        <v>63</v>
      </c>
      <c r="N320" s="30">
        <v>0</v>
      </c>
      <c r="O320" s="30" t="s">
        <v>77</v>
      </c>
      <c r="P320" s="89" t="s">
        <v>86</v>
      </c>
      <c r="Q320" s="89" t="s">
        <v>642</v>
      </c>
      <c r="R320" s="89" t="s">
        <v>643</v>
      </c>
      <c r="S320" s="30">
        <v>0</v>
      </c>
      <c r="T320" s="233">
        <v>0</v>
      </c>
      <c r="U320" s="30">
        <v>0</v>
      </c>
      <c r="V320" s="233">
        <v>1</v>
      </c>
      <c r="W320" s="30">
        <v>0</v>
      </c>
      <c r="X320" s="30">
        <v>1</v>
      </c>
      <c r="Y320" s="30">
        <v>0</v>
      </c>
      <c r="Z320" s="233">
        <v>0</v>
      </c>
      <c r="AA320" s="30">
        <v>0</v>
      </c>
      <c r="AB320" s="30">
        <v>0</v>
      </c>
      <c r="AC320" s="30">
        <v>0</v>
      </c>
      <c r="AD320" s="30">
        <v>0</v>
      </c>
      <c r="AE320" s="89" t="s">
        <v>68</v>
      </c>
      <c r="AF320" s="89" t="s">
        <v>68</v>
      </c>
      <c r="AG320" s="89" t="s">
        <v>248</v>
      </c>
      <c r="AH320" s="72" t="s">
        <v>68</v>
      </c>
      <c r="AI320" s="30">
        <v>3</v>
      </c>
      <c r="AJ320" s="89" t="s">
        <v>1976</v>
      </c>
      <c r="AK320" s="89" t="s">
        <v>68</v>
      </c>
      <c r="AL320" s="91">
        <v>39293</v>
      </c>
      <c r="AM320" s="91"/>
      <c r="AN320" s="91"/>
      <c r="AO320" s="91"/>
      <c r="AP320" s="73" t="e">
        <f>MID(VLOOKUP(K320,#REF!,2,FALSE),1,2)</f>
        <v>#REF!</v>
      </c>
      <c r="AQ320" s="89">
        <f>DATE(2007,7,8)</f>
        <v>39271</v>
      </c>
      <c r="AR320" s="82">
        <f t="shared" si="22"/>
        <v>8</v>
      </c>
      <c r="AS320" s="83">
        <f t="shared" si="23"/>
        <v>7</v>
      </c>
      <c r="AT320" s="84">
        <f t="shared" si="24"/>
        <v>2007</v>
      </c>
      <c r="AU320" s="86"/>
      <c r="AV320" s="86"/>
      <c r="AW320" s="87"/>
      <c r="AX320" s="86"/>
      <c r="AY320" s="83"/>
      <c r="AZ320" s="84"/>
      <c r="BA320" s="86"/>
      <c r="BB320" s="86"/>
    </row>
    <row r="321" spans="1:54" ht="36.75" customHeight="1">
      <c r="A321" s="30"/>
      <c r="B321" s="30" t="s">
        <v>55</v>
      </c>
      <c r="C321" s="69" t="str">
        <f t="shared" si="21"/>
        <v>Closed</v>
      </c>
      <c r="D321" s="27" t="s">
        <v>1977</v>
      </c>
      <c r="E321" s="29" t="s">
        <v>1978</v>
      </c>
      <c r="F321" s="30" t="s">
        <v>1749</v>
      </c>
      <c r="G321" s="89">
        <f>DATE(2007,7,10)</f>
        <v>39273</v>
      </c>
      <c r="H321" s="90">
        <v>1.3555555555555556</v>
      </c>
      <c r="I321" s="30" t="s">
        <v>116</v>
      </c>
      <c r="J321" s="89" t="s">
        <v>1979</v>
      </c>
      <c r="K321" s="30" t="s">
        <v>1751</v>
      </c>
      <c r="L321" s="30" t="s">
        <v>1980</v>
      </c>
      <c r="M321" s="30" t="s">
        <v>63</v>
      </c>
      <c r="N321" s="30">
        <v>0</v>
      </c>
      <c r="O321" s="30" t="s">
        <v>64</v>
      </c>
      <c r="P321" s="89" t="s">
        <v>78</v>
      </c>
      <c r="Q321" s="89" t="s">
        <v>1981</v>
      </c>
      <c r="R321" s="89" t="s">
        <v>1982</v>
      </c>
      <c r="S321" s="30">
        <v>0</v>
      </c>
      <c r="T321" s="233">
        <v>0</v>
      </c>
      <c r="U321" s="30">
        <v>0</v>
      </c>
      <c r="V321" s="233">
        <v>0</v>
      </c>
      <c r="W321" s="30">
        <v>0</v>
      </c>
      <c r="X321" s="30">
        <v>0</v>
      </c>
      <c r="Y321" s="30">
        <v>0</v>
      </c>
      <c r="Z321" s="233">
        <v>0</v>
      </c>
      <c r="AA321" s="30">
        <v>1</v>
      </c>
      <c r="AB321" s="30">
        <v>0</v>
      </c>
      <c r="AC321" s="30">
        <v>0</v>
      </c>
      <c r="AD321" s="30">
        <v>1</v>
      </c>
      <c r="AE321" s="89" t="s">
        <v>68</v>
      </c>
      <c r="AF321" s="89" t="s">
        <v>1983</v>
      </c>
      <c r="AG321" s="89" t="s">
        <v>248</v>
      </c>
      <c r="AH321" s="72" t="s">
        <v>68</v>
      </c>
      <c r="AI321" s="30">
        <v>5</v>
      </c>
      <c r="AJ321" s="89" t="s">
        <v>1984</v>
      </c>
      <c r="AK321" s="89" t="s">
        <v>68</v>
      </c>
      <c r="AL321" s="91">
        <v>39294</v>
      </c>
      <c r="AM321" s="91"/>
      <c r="AN321" s="91"/>
      <c r="AO321" s="91"/>
      <c r="AP321" s="73" t="e">
        <f>MID(VLOOKUP(K321,#REF!,2,FALSE),1,2)</f>
        <v>#REF!</v>
      </c>
      <c r="AQ321" s="89">
        <f>DATE(2007,7,10)</f>
        <v>39273</v>
      </c>
      <c r="AR321" s="82">
        <f t="shared" si="22"/>
        <v>10</v>
      </c>
      <c r="AS321" s="83">
        <f t="shared" si="23"/>
        <v>7</v>
      </c>
      <c r="AT321" s="84">
        <f t="shared" si="24"/>
        <v>2007</v>
      </c>
      <c r="AU321" s="86"/>
      <c r="AV321" s="86"/>
      <c r="AW321" s="87"/>
      <c r="AX321" s="86"/>
      <c r="AY321" s="83"/>
      <c r="AZ321" s="84"/>
      <c r="BA321" s="86"/>
      <c r="BB321" s="86"/>
    </row>
    <row r="322" spans="1:54" ht="36.75" customHeight="1">
      <c r="A322" s="30"/>
      <c r="B322" s="30" t="s">
        <v>55</v>
      </c>
      <c r="C322" s="69" t="str">
        <f t="shared" ref="C322:C385" si="25">IF(B322="Notification","Open",IF(B322="Interim Statement","In progress","Closed"))</f>
        <v>Closed</v>
      </c>
      <c r="D322" s="27" t="s">
        <v>1985</v>
      </c>
      <c r="E322" s="29" t="s">
        <v>1986</v>
      </c>
      <c r="F322" s="30" t="s">
        <v>423</v>
      </c>
      <c r="G322" s="89">
        <f>DATE(2007,7,14)</f>
        <v>39277</v>
      </c>
      <c r="H322" s="90">
        <v>1.4208333333333334</v>
      </c>
      <c r="I322" s="30" t="s">
        <v>198</v>
      </c>
      <c r="J322" s="89" t="s">
        <v>1987</v>
      </c>
      <c r="K322" s="30" t="s">
        <v>425</v>
      </c>
      <c r="L322" s="30" t="s">
        <v>1988</v>
      </c>
      <c r="M322" s="30" t="s">
        <v>63</v>
      </c>
      <c r="N322" s="30">
        <v>0</v>
      </c>
      <c r="O322" s="30" t="s">
        <v>77</v>
      </c>
      <c r="P322" s="89" t="s">
        <v>1216</v>
      </c>
      <c r="Q322" s="89" t="s">
        <v>554</v>
      </c>
      <c r="R322" s="89" t="s">
        <v>427</v>
      </c>
      <c r="S322" s="30">
        <v>0</v>
      </c>
      <c r="T322" s="233">
        <v>1</v>
      </c>
      <c r="U322" s="30">
        <v>0</v>
      </c>
      <c r="V322" s="233">
        <v>0</v>
      </c>
      <c r="W322" s="30">
        <v>0</v>
      </c>
      <c r="X322" s="30">
        <v>1</v>
      </c>
      <c r="Y322" s="30">
        <v>0</v>
      </c>
      <c r="Z322" s="233">
        <v>0</v>
      </c>
      <c r="AA322" s="30">
        <v>0</v>
      </c>
      <c r="AB322" s="30">
        <v>0</v>
      </c>
      <c r="AC322" s="30">
        <v>0</v>
      </c>
      <c r="AD322" s="30">
        <v>0</v>
      </c>
      <c r="AE322" s="89" t="s">
        <v>68</v>
      </c>
      <c r="AF322" s="89" t="s">
        <v>1989</v>
      </c>
      <c r="AG322" s="89" t="s">
        <v>82</v>
      </c>
      <c r="AH322" s="72" t="s">
        <v>68</v>
      </c>
      <c r="AI322" s="30">
        <v>3</v>
      </c>
      <c r="AJ322" s="89" t="s">
        <v>68</v>
      </c>
      <c r="AK322" s="89" t="s">
        <v>68</v>
      </c>
      <c r="AL322" s="91">
        <v>39280</v>
      </c>
      <c r="AM322" s="91"/>
      <c r="AN322" s="91"/>
      <c r="AO322" s="91"/>
      <c r="AP322" s="73" t="e">
        <f>MID(VLOOKUP(K322,#REF!,2,FALSE),1,2)</f>
        <v>#REF!</v>
      </c>
      <c r="AQ322" s="89">
        <f>DATE(2007,7,14)</f>
        <v>39277</v>
      </c>
      <c r="AR322" s="82">
        <f t="shared" ref="AR322:AR385" si="26">DAY(AQ322)</f>
        <v>14</v>
      </c>
      <c r="AS322" s="83">
        <f t="shared" ref="AS322:AS385" si="27">MONTH(AQ322)</f>
        <v>7</v>
      </c>
      <c r="AT322" s="84">
        <f t="shared" ref="AT322:AT385" si="28">YEAR(AQ322)</f>
        <v>2007</v>
      </c>
      <c r="AU322" s="86"/>
      <c r="AV322" s="86"/>
      <c r="AW322" s="87"/>
      <c r="AX322" s="86"/>
      <c r="AY322" s="83"/>
      <c r="AZ322" s="84"/>
      <c r="BA322" s="86"/>
      <c r="BB322" s="86"/>
    </row>
    <row r="323" spans="1:54" ht="36.75" customHeight="1">
      <c r="A323" s="30"/>
      <c r="B323" s="30" t="s">
        <v>55</v>
      </c>
      <c r="C323" s="69" t="str">
        <f t="shared" si="25"/>
        <v>Closed</v>
      </c>
      <c r="D323" s="27" t="s">
        <v>1990</v>
      </c>
      <c r="E323" s="29" t="s">
        <v>1991</v>
      </c>
      <c r="F323" s="30" t="s">
        <v>58</v>
      </c>
      <c r="G323" s="89">
        <f>DATE(2007,7,15)</f>
        <v>39278</v>
      </c>
      <c r="H323" s="90">
        <v>1.7576388888888888</v>
      </c>
      <c r="I323" s="30" t="s">
        <v>73</v>
      </c>
      <c r="J323" s="89" t="s">
        <v>1992</v>
      </c>
      <c r="K323" s="30" t="s">
        <v>61</v>
      </c>
      <c r="L323" s="30" t="s">
        <v>1993</v>
      </c>
      <c r="M323" s="30" t="s">
        <v>63</v>
      </c>
      <c r="N323" s="30" t="s">
        <v>99</v>
      </c>
      <c r="O323" s="30" t="s">
        <v>77</v>
      </c>
      <c r="P323" s="89" t="s">
        <v>78</v>
      </c>
      <c r="Q323" s="89" t="s">
        <v>66</v>
      </c>
      <c r="R323" s="89" t="s">
        <v>67</v>
      </c>
      <c r="S323" s="30">
        <v>0</v>
      </c>
      <c r="T323" s="233">
        <v>0</v>
      </c>
      <c r="U323" s="30">
        <v>0</v>
      </c>
      <c r="V323" s="233">
        <v>0</v>
      </c>
      <c r="W323" s="30">
        <v>0</v>
      </c>
      <c r="X323" s="30">
        <v>0</v>
      </c>
      <c r="Y323" s="30">
        <v>0</v>
      </c>
      <c r="Z323" s="233">
        <v>0</v>
      </c>
      <c r="AA323" s="30">
        <v>0</v>
      </c>
      <c r="AB323" s="30">
        <v>0</v>
      </c>
      <c r="AC323" s="30">
        <v>0</v>
      </c>
      <c r="AD323" s="30">
        <v>0</v>
      </c>
      <c r="AE323" s="89" t="s">
        <v>92</v>
      </c>
      <c r="AF323" s="89" t="s">
        <v>1994</v>
      </c>
      <c r="AG323" s="89" t="s">
        <v>69</v>
      </c>
      <c r="AH323" s="72">
        <v>39344</v>
      </c>
      <c r="AI323" s="30">
        <v>2</v>
      </c>
      <c r="AJ323" s="89" t="s">
        <v>1995</v>
      </c>
      <c r="AK323" s="89" t="s">
        <v>1996</v>
      </c>
      <c r="AL323" s="91">
        <v>39363</v>
      </c>
      <c r="AM323" s="91"/>
      <c r="AN323" s="91"/>
      <c r="AO323" s="91"/>
      <c r="AP323" s="73" t="e">
        <f>MID(VLOOKUP(K323,#REF!,2,FALSE),1,2)</f>
        <v>#REF!</v>
      </c>
      <c r="AQ323" s="89">
        <f>DATE(2007,7,15)</f>
        <v>39278</v>
      </c>
      <c r="AR323" s="82">
        <f t="shared" si="26"/>
        <v>15</v>
      </c>
      <c r="AS323" s="83">
        <f t="shared" si="27"/>
        <v>7</v>
      </c>
      <c r="AT323" s="84">
        <f t="shared" si="28"/>
        <v>2007</v>
      </c>
      <c r="AU323" s="86"/>
      <c r="AV323" s="86"/>
      <c r="AW323" s="87"/>
      <c r="AX323" s="86"/>
      <c r="AY323" s="83"/>
      <c r="AZ323" s="84"/>
      <c r="BA323" s="86"/>
      <c r="BB323" s="86"/>
    </row>
    <row r="324" spans="1:54" ht="36.75" customHeight="1">
      <c r="A324" s="30"/>
      <c r="B324" s="30" t="s">
        <v>55</v>
      </c>
      <c r="C324" s="69" t="str">
        <f t="shared" si="25"/>
        <v>Closed</v>
      </c>
      <c r="D324" s="27" t="s">
        <v>1997</v>
      </c>
      <c r="E324" s="29" t="s">
        <v>1998</v>
      </c>
      <c r="F324" s="30" t="s">
        <v>233</v>
      </c>
      <c r="G324" s="89">
        <f>DATE(2007,7,19)</f>
        <v>39282</v>
      </c>
      <c r="H324" s="90">
        <v>1.9444444444444446</v>
      </c>
      <c r="I324" s="30" t="s">
        <v>86</v>
      </c>
      <c r="J324" s="89" t="s">
        <v>1999</v>
      </c>
      <c r="K324" s="30" t="s">
        <v>235</v>
      </c>
      <c r="L324" s="30" t="s">
        <v>2000</v>
      </c>
      <c r="M324" s="30" t="s">
        <v>63</v>
      </c>
      <c r="N324" s="30">
        <v>0</v>
      </c>
      <c r="O324" s="30" t="s">
        <v>64</v>
      </c>
      <c r="P324" s="89" t="s">
        <v>78</v>
      </c>
      <c r="Q324" s="89" t="s">
        <v>237</v>
      </c>
      <c r="R324" s="89" t="s">
        <v>238</v>
      </c>
      <c r="S324" s="30">
        <v>0</v>
      </c>
      <c r="T324" s="233" t="s">
        <v>68</v>
      </c>
      <c r="U324" s="30">
        <v>0</v>
      </c>
      <c r="V324" s="233" t="s">
        <v>68</v>
      </c>
      <c r="W324" s="30">
        <v>0</v>
      </c>
      <c r="X324" s="30">
        <v>0</v>
      </c>
      <c r="Y324" s="30">
        <v>0</v>
      </c>
      <c r="Z324" s="233" t="s">
        <v>68</v>
      </c>
      <c r="AA324" s="30">
        <v>0</v>
      </c>
      <c r="AB324" s="30">
        <v>0</v>
      </c>
      <c r="AC324" s="30">
        <v>0</v>
      </c>
      <c r="AD324" s="30">
        <v>0</v>
      </c>
      <c r="AE324" s="89" t="s">
        <v>68</v>
      </c>
      <c r="AF324" s="89" t="s">
        <v>68</v>
      </c>
      <c r="AG324" s="89" t="s">
        <v>133</v>
      </c>
      <c r="AH324" s="72" t="s">
        <v>68</v>
      </c>
      <c r="AI324" s="30">
        <v>8</v>
      </c>
      <c r="AJ324" s="89" t="s">
        <v>2001</v>
      </c>
      <c r="AK324" s="89" t="s">
        <v>2002</v>
      </c>
      <c r="AL324" s="91">
        <v>39332</v>
      </c>
      <c r="AM324" s="91"/>
      <c r="AN324" s="91"/>
      <c r="AO324" s="91"/>
      <c r="AP324" s="73" t="e">
        <f>MID(VLOOKUP(K324,#REF!,2,FALSE),1,2)</f>
        <v>#REF!</v>
      </c>
      <c r="AQ324" s="89">
        <f>DATE(2007,7,19)</f>
        <v>39282</v>
      </c>
      <c r="AR324" s="82">
        <f t="shared" si="26"/>
        <v>19</v>
      </c>
      <c r="AS324" s="83">
        <f t="shared" si="27"/>
        <v>7</v>
      </c>
      <c r="AT324" s="84">
        <f t="shared" si="28"/>
        <v>2007</v>
      </c>
      <c r="AU324" s="86"/>
      <c r="AV324" s="86"/>
      <c r="AW324" s="87"/>
      <c r="AX324" s="86"/>
      <c r="AY324" s="83"/>
      <c r="AZ324" s="84"/>
      <c r="BA324" s="86"/>
      <c r="BB324" s="86"/>
    </row>
    <row r="325" spans="1:54" ht="36.75" customHeight="1">
      <c r="A325" s="30"/>
      <c r="B325" s="30" t="s">
        <v>55</v>
      </c>
      <c r="C325" s="69" t="str">
        <f t="shared" si="25"/>
        <v>Closed</v>
      </c>
      <c r="D325" s="27" t="s">
        <v>2003</v>
      </c>
      <c r="E325" s="29" t="s">
        <v>2004</v>
      </c>
      <c r="F325" s="30" t="s">
        <v>138</v>
      </c>
      <c r="G325" s="89">
        <f>DATE(2007,7,20)</f>
        <v>39283</v>
      </c>
      <c r="H325" s="90">
        <v>1.4652777777777777</v>
      </c>
      <c r="I325" s="30" t="s">
        <v>125</v>
      </c>
      <c r="J325" s="89" t="s">
        <v>2005</v>
      </c>
      <c r="K325" s="30" t="s">
        <v>140</v>
      </c>
      <c r="L325" s="30" t="s">
        <v>2006</v>
      </c>
      <c r="M325" s="30" t="s">
        <v>63</v>
      </c>
      <c r="N325" s="30" t="s">
        <v>99</v>
      </c>
      <c r="O325" s="30" t="s">
        <v>64</v>
      </c>
      <c r="P325" s="89" t="s">
        <v>301</v>
      </c>
      <c r="Q325" s="89" t="s">
        <v>2007</v>
      </c>
      <c r="R325" s="89" t="s">
        <v>144</v>
      </c>
      <c r="S325" s="30">
        <v>0</v>
      </c>
      <c r="T325" s="233">
        <v>0</v>
      </c>
      <c r="U325" s="30">
        <v>0</v>
      </c>
      <c r="V325" s="233">
        <v>0</v>
      </c>
      <c r="W325" s="30">
        <v>0</v>
      </c>
      <c r="X325" s="30">
        <v>0</v>
      </c>
      <c r="Y325" s="30">
        <v>0</v>
      </c>
      <c r="Z325" s="233">
        <v>0</v>
      </c>
      <c r="AA325" s="30">
        <v>0</v>
      </c>
      <c r="AB325" s="30">
        <v>0</v>
      </c>
      <c r="AC325" s="30">
        <v>0</v>
      </c>
      <c r="AD325" s="30">
        <v>0</v>
      </c>
      <c r="AE325" s="89" t="s">
        <v>145</v>
      </c>
      <c r="AF325" s="89" t="s">
        <v>2008</v>
      </c>
      <c r="AG325" s="89" t="s">
        <v>2009</v>
      </c>
      <c r="AH325" s="72">
        <v>39286</v>
      </c>
      <c r="AI325" s="30">
        <v>5</v>
      </c>
      <c r="AJ325" s="89" t="s">
        <v>2010</v>
      </c>
      <c r="AK325" s="89" t="s">
        <v>2011</v>
      </c>
      <c r="AL325" s="91">
        <v>39352</v>
      </c>
      <c r="AM325" s="91"/>
      <c r="AN325" s="91"/>
      <c r="AO325" s="91"/>
      <c r="AP325" s="73" t="e">
        <f>MID(VLOOKUP(K325,#REF!,2,FALSE),1,2)</f>
        <v>#REF!</v>
      </c>
      <c r="AQ325" s="89">
        <f>DATE(2007,7,20)</f>
        <v>39283</v>
      </c>
      <c r="AR325" s="82">
        <f t="shared" si="26"/>
        <v>20</v>
      </c>
      <c r="AS325" s="83">
        <f t="shared" si="27"/>
        <v>7</v>
      </c>
      <c r="AT325" s="84">
        <f t="shared" si="28"/>
        <v>2007</v>
      </c>
      <c r="AU325" s="86"/>
      <c r="AV325" s="86"/>
      <c r="AW325" s="87"/>
      <c r="AX325" s="86"/>
      <c r="AY325" s="83"/>
      <c r="AZ325" s="84"/>
      <c r="BA325" s="86"/>
      <c r="BB325" s="86"/>
    </row>
    <row r="326" spans="1:54" ht="36.75" customHeight="1">
      <c r="A326" s="30"/>
      <c r="B326" s="30" t="s">
        <v>55</v>
      </c>
      <c r="C326" s="69" t="str">
        <f t="shared" si="25"/>
        <v>Closed</v>
      </c>
      <c r="D326" s="27" t="s">
        <v>2012</v>
      </c>
      <c r="E326" s="29" t="s">
        <v>2013</v>
      </c>
      <c r="F326" s="30" t="s">
        <v>638</v>
      </c>
      <c r="G326" s="89">
        <f>DATE(2007,7,23)</f>
        <v>39286</v>
      </c>
      <c r="H326" s="90">
        <v>1.4020833333333333</v>
      </c>
      <c r="I326" s="30" t="s">
        <v>278</v>
      </c>
      <c r="J326" s="89" t="s">
        <v>2014</v>
      </c>
      <c r="K326" s="30" t="s">
        <v>640</v>
      </c>
      <c r="L326" s="30" t="s">
        <v>2015</v>
      </c>
      <c r="M326" s="30" t="s">
        <v>63</v>
      </c>
      <c r="N326" s="30">
        <v>0</v>
      </c>
      <c r="O326" s="30" t="s">
        <v>77</v>
      </c>
      <c r="P326" s="89" t="s">
        <v>301</v>
      </c>
      <c r="Q326" s="89" t="s">
        <v>2016</v>
      </c>
      <c r="R326" s="89" t="s">
        <v>643</v>
      </c>
      <c r="S326" s="30">
        <v>0</v>
      </c>
      <c r="T326" s="233">
        <v>0</v>
      </c>
      <c r="U326" s="30">
        <v>0</v>
      </c>
      <c r="V326" s="233">
        <v>1</v>
      </c>
      <c r="W326" s="30">
        <v>0</v>
      </c>
      <c r="X326" s="30">
        <v>1</v>
      </c>
      <c r="Y326" s="30">
        <v>0</v>
      </c>
      <c r="Z326" s="233">
        <v>0</v>
      </c>
      <c r="AA326" s="30">
        <v>0</v>
      </c>
      <c r="AB326" s="30">
        <v>0</v>
      </c>
      <c r="AC326" s="30">
        <v>0</v>
      </c>
      <c r="AD326" s="30">
        <v>0</v>
      </c>
      <c r="AE326" s="89" t="s">
        <v>68</v>
      </c>
      <c r="AF326" s="89" t="s">
        <v>68</v>
      </c>
      <c r="AG326" s="89" t="s">
        <v>248</v>
      </c>
      <c r="AH326" s="72" t="s">
        <v>68</v>
      </c>
      <c r="AI326" s="30">
        <v>1</v>
      </c>
      <c r="AJ326" s="89" t="s">
        <v>1976</v>
      </c>
      <c r="AK326" s="89" t="s">
        <v>68</v>
      </c>
      <c r="AL326" s="91">
        <v>39293</v>
      </c>
      <c r="AM326" s="91"/>
      <c r="AN326" s="91"/>
      <c r="AO326" s="91"/>
      <c r="AP326" s="73" t="e">
        <f>MID(VLOOKUP(K326,#REF!,2,FALSE),1,2)</f>
        <v>#REF!</v>
      </c>
      <c r="AQ326" s="89">
        <f>DATE(2007,7,23)</f>
        <v>39286</v>
      </c>
      <c r="AR326" s="82">
        <f t="shared" si="26"/>
        <v>23</v>
      </c>
      <c r="AS326" s="83">
        <f t="shared" si="27"/>
        <v>7</v>
      </c>
      <c r="AT326" s="84">
        <f t="shared" si="28"/>
        <v>2007</v>
      </c>
      <c r="AU326" s="86"/>
      <c r="AV326" s="86"/>
      <c r="AW326" s="87"/>
      <c r="AX326" s="86"/>
      <c r="AY326" s="83"/>
      <c r="AZ326" s="84"/>
      <c r="BA326" s="86"/>
      <c r="BB326" s="86"/>
    </row>
    <row r="327" spans="1:54" ht="36.75" customHeight="1">
      <c r="A327" s="30"/>
      <c r="B327" s="30" t="s">
        <v>55</v>
      </c>
      <c r="C327" s="69" t="str">
        <f t="shared" si="25"/>
        <v>Closed</v>
      </c>
      <c r="D327" s="27" t="s">
        <v>2017</v>
      </c>
      <c r="E327" s="29" t="s">
        <v>2018</v>
      </c>
      <c r="F327" s="30" t="s">
        <v>582</v>
      </c>
      <c r="G327" s="89">
        <f>DATE(2007,7,24)</f>
        <v>39287</v>
      </c>
      <c r="H327" s="90">
        <v>1.5069444444444444</v>
      </c>
      <c r="I327" s="30" t="s">
        <v>156</v>
      </c>
      <c r="J327" s="89" t="s">
        <v>2019</v>
      </c>
      <c r="K327" s="30" t="s">
        <v>584</v>
      </c>
      <c r="L327" s="30" t="s">
        <v>2020</v>
      </c>
      <c r="M327" s="30" t="s">
        <v>63</v>
      </c>
      <c r="N327" s="30">
        <v>0</v>
      </c>
      <c r="O327" s="30" t="s">
        <v>64</v>
      </c>
      <c r="P327" s="89" t="s">
        <v>462</v>
      </c>
      <c r="Q327" s="89" t="s">
        <v>2021</v>
      </c>
      <c r="R327" s="89" t="s">
        <v>587</v>
      </c>
      <c r="S327" s="30">
        <v>0</v>
      </c>
      <c r="T327" s="233">
        <v>0</v>
      </c>
      <c r="U327" s="30">
        <v>0</v>
      </c>
      <c r="V327" s="233">
        <v>0</v>
      </c>
      <c r="W327" s="30">
        <v>0</v>
      </c>
      <c r="X327" s="30">
        <v>0</v>
      </c>
      <c r="Y327" s="30">
        <v>9</v>
      </c>
      <c r="Z327" s="233">
        <v>0</v>
      </c>
      <c r="AA327" s="30">
        <v>0</v>
      </c>
      <c r="AB327" s="30">
        <v>0</v>
      </c>
      <c r="AC327" s="30">
        <v>0</v>
      </c>
      <c r="AD327" s="30">
        <v>9</v>
      </c>
      <c r="AE327" s="89" t="s">
        <v>68</v>
      </c>
      <c r="AF327" s="89" t="s">
        <v>2022</v>
      </c>
      <c r="AG327" s="89" t="s">
        <v>133</v>
      </c>
      <c r="AH327" s="72" t="s">
        <v>68</v>
      </c>
      <c r="AI327" s="30">
        <v>0</v>
      </c>
      <c r="AJ327" s="89" t="s">
        <v>68</v>
      </c>
      <c r="AK327" s="89" t="s">
        <v>2023</v>
      </c>
      <c r="AL327" s="91">
        <v>39402</v>
      </c>
      <c r="AM327" s="91"/>
      <c r="AN327" s="91"/>
      <c r="AO327" s="91"/>
      <c r="AP327" s="73" t="e">
        <f>MID(VLOOKUP(K327,#REF!,2,FALSE),1,2)</f>
        <v>#REF!</v>
      </c>
      <c r="AQ327" s="89">
        <f>DATE(2007,7,24)</f>
        <v>39287</v>
      </c>
      <c r="AR327" s="82">
        <f t="shared" si="26"/>
        <v>24</v>
      </c>
      <c r="AS327" s="83">
        <f t="shared" si="27"/>
        <v>7</v>
      </c>
      <c r="AT327" s="84">
        <f t="shared" si="28"/>
        <v>2007</v>
      </c>
      <c r="AU327" s="86"/>
      <c r="AV327" s="86"/>
      <c r="AW327" s="87"/>
      <c r="AX327" s="86"/>
      <c r="AY327" s="83"/>
      <c r="AZ327" s="84"/>
      <c r="BA327" s="86"/>
      <c r="BB327" s="86"/>
    </row>
    <row r="328" spans="1:54" ht="36.75" customHeight="1">
      <c r="A328" s="30"/>
      <c r="B328" s="30" t="s">
        <v>55</v>
      </c>
      <c r="C328" s="69" t="str">
        <f t="shared" si="25"/>
        <v>Closed</v>
      </c>
      <c r="D328" s="27" t="s">
        <v>2024</v>
      </c>
      <c r="E328" s="29" t="s">
        <v>2025</v>
      </c>
      <c r="F328" s="30" t="s">
        <v>582</v>
      </c>
      <c r="G328" s="89">
        <f>DATE(2007,7,26)</f>
        <v>39289</v>
      </c>
      <c r="H328" s="90">
        <v>1.1076388888888888</v>
      </c>
      <c r="I328" s="30" t="s">
        <v>156</v>
      </c>
      <c r="J328" s="89" t="s">
        <v>2026</v>
      </c>
      <c r="K328" s="30" t="s">
        <v>584</v>
      </c>
      <c r="L328" s="30" t="s">
        <v>2027</v>
      </c>
      <c r="M328" s="30" t="s">
        <v>63</v>
      </c>
      <c r="N328" s="30">
        <v>0</v>
      </c>
      <c r="O328" s="30" t="s">
        <v>64</v>
      </c>
      <c r="P328" s="89" t="s">
        <v>78</v>
      </c>
      <c r="Q328" s="89" t="s">
        <v>586</v>
      </c>
      <c r="R328" s="89" t="s">
        <v>587</v>
      </c>
      <c r="S328" s="30">
        <v>0</v>
      </c>
      <c r="T328" s="233">
        <v>0</v>
      </c>
      <c r="U328" s="30">
        <v>0</v>
      </c>
      <c r="V328" s="233">
        <v>0</v>
      </c>
      <c r="W328" s="30">
        <v>0</v>
      </c>
      <c r="X328" s="30">
        <v>0</v>
      </c>
      <c r="Y328" s="30">
        <v>0</v>
      </c>
      <c r="Z328" s="233">
        <v>1</v>
      </c>
      <c r="AA328" s="30">
        <v>0</v>
      </c>
      <c r="AB328" s="30">
        <v>0</v>
      </c>
      <c r="AC328" s="30">
        <v>0</v>
      </c>
      <c r="AD328" s="30">
        <v>1</v>
      </c>
      <c r="AE328" s="89" t="s">
        <v>68</v>
      </c>
      <c r="AF328" s="89" t="s">
        <v>2028</v>
      </c>
      <c r="AG328" s="89" t="s">
        <v>133</v>
      </c>
      <c r="AH328" s="72" t="s">
        <v>68</v>
      </c>
      <c r="AI328" s="30">
        <v>0</v>
      </c>
      <c r="AJ328" s="89" t="s">
        <v>2029</v>
      </c>
      <c r="AK328" s="89" t="s">
        <v>1233</v>
      </c>
      <c r="AL328" s="91">
        <v>39402</v>
      </c>
      <c r="AM328" s="91"/>
      <c r="AN328" s="91"/>
      <c r="AO328" s="91"/>
      <c r="AP328" s="73" t="e">
        <f>MID(VLOOKUP(K328,#REF!,2,FALSE),1,2)</f>
        <v>#REF!</v>
      </c>
      <c r="AQ328" s="89">
        <f>DATE(2007,7,26)</f>
        <v>39289</v>
      </c>
      <c r="AR328" s="82">
        <f t="shared" si="26"/>
        <v>26</v>
      </c>
      <c r="AS328" s="83">
        <f t="shared" si="27"/>
        <v>7</v>
      </c>
      <c r="AT328" s="84">
        <f t="shared" si="28"/>
        <v>2007</v>
      </c>
      <c r="AU328" s="86"/>
      <c r="AV328" s="86"/>
      <c r="AW328" s="87"/>
      <c r="AX328" s="86"/>
      <c r="AY328" s="83"/>
      <c r="AZ328" s="84"/>
      <c r="BA328" s="86"/>
      <c r="BB328" s="86"/>
    </row>
    <row r="329" spans="1:54" ht="36.75" customHeight="1">
      <c r="A329" s="30"/>
      <c r="B329" s="30" t="s">
        <v>55</v>
      </c>
      <c r="C329" s="69" t="str">
        <f t="shared" si="25"/>
        <v>Closed</v>
      </c>
      <c r="D329" s="27" t="s">
        <v>2030</v>
      </c>
      <c r="E329" s="29" t="s">
        <v>2031</v>
      </c>
      <c r="F329" s="30" t="s">
        <v>138</v>
      </c>
      <c r="G329" s="89">
        <f>DATE(2007,7,26)</f>
        <v>39289</v>
      </c>
      <c r="H329" s="90">
        <v>1.40625</v>
      </c>
      <c r="I329" s="30" t="s">
        <v>73</v>
      </c>
      <c r="J329" s="89" t="s">
        <v>2032</v>
      </c>
      <c r="K329" s="30" t="s">
        <v>140</v>
      </c>
      <c r="L329" s="30" t="s">
        <v>2033</v>
      </c>
      <c r="M329" s="30" t="s">
        <v>63</v>
      </c>
      <c r="N329" s="30" t="s">
        <v>142</v>
      </c>
      <c r="O329" s="30" t="s">
        <v>77</v>
      </c>
      <c r="P329" s="89" t="s">
        <v>462</v>
      </c>
      <c r="Q329" s="89" t="s">
        <v>2034</v>
      </c>
      <c r="R329" s="89" t="s">
        <v>144</v>
      </c>
      <c r="S329" s="30">
        <v>0</v>
      </c>
      <c r="T329" s="233">
        <v>0</v>
      </c>
      <c r="U329" s="30">
        <v>0</v>
      </c>
      <c r="V329" s="233">
        <v>0</v>
      </c>
      <c r="W329" s="30">
        <v>0</v>
      </c>
      <c r="X329" s="30">
        <v>0</v>
      </c>
      <c r="Y329" s="30">
        <v>0</v>
      </c>
      <c r="Z329" s="233">
        <v>0</v>
      </c>
      <c r="AA329" s="30">
        <v>0</v>
      </c>
      <c r="AB329" s="30">
        <v>0</v>
      </c>
      <c r="AC329" s="30">
        <v>0</v>
      </c>
      <c r="AD329" s="30">
        <v>0</v>
      </c>
      <c r="AE329" s="89" t="s">
        <v>394</v>
      </c>
      <c r="AF329" s="89" t="s">
        <v>2035</v>
      </c>
      <c r="AG329" s="89" t="s">
        <v>133</v>
      </c>
      <c r="AH329" s="72">
        <v>40022</v>
      </c>
      <c r="AI329" s="30">
        <v>2</v>
      </c>
      <c r="AJ329" s="89" t="s">
        <v>2036</v>
      </c>
      <c r="AK329" s="89" t="s">
        <v>2037</v>
      </c>
      <c r="AL329" s="91">
        <v>39352</v>
      </c>
      <c r="AM329" s="91"/>
      <c r="AN329" s="91"/>
      <c r="AO329" s="91"/>
      <c r="AP329" s="73" t="e">
        <f>MID(VLOOKUP(K329,#REF!,2,FALSE),1,2)</f>
        <v>#REF!</v>
      </c>
      <c r="AQ329" s="89">
        <f>DATE(2007,7,26)</f>
        <v>39289</v>
      </c>
      <c r="AR329" s="82">
        <f t="shared" si="26"/>
        <v>26</v>
      </c>
      <c r="AS329" s="83">
        <f t="shared" si="27"/>
        <v>7</v>
      </c>
      <c r="AT329" s="84">
        <f t="shared" si="28"/>
        <v>2007</v>
      </c>
      <c r="AU329" s="86"/>
      <c r="AV329" s="86"/>
      <c r="AW329" s="87"/>
      <c r="AX329" s="86"/>
      <c r="AY329" s="83"/>
      <c r="AZ329" s="84"/>
      <c r="BA329" s="86"/>
      <c r="BB329" s="86"/>
    </row>
    <row r="330" spans="1:54" ht="36.75" customHeight="1">
      <c r="A330" s="30"/>
      <c r="B330" s="30" t="s">
        <v>55</v>
      </c>
      <c r="C330" s="69" t="str">
        <f t="shared" si="25"/>
        <v>Closed</v>
      </c>
      <c r="D330" s="27" t="s">
        <v>2038</v>
      </c>
      <c r="E330" s="29" t="s">
        <v>2039</v>
      </c>
      <c r="F330" s="30" t="s">
        <v>594</v>
      </c>
      <c r="G330" s="89">
        <f>DATE(2007,8,1)</f>
        <v>39295</v>
      </c>
      <c r="H330" s="90">
        <v>1.6534722222222222</v>
      </c>
      <c r="I330" s="30" t="s">
        <v>278</v>
      </c>
      <c r="J330" s="89" t="s">
        <v>2040</v>
      </c>
      <c r="K330" s="30" t="s">
        <v>596</v>
      </c>
      <c r="L330" s="30" t="s">
        <v>2041</v>
      </c>
      <c r="M330" s="30" t="s">
        <v>63</v>
      </c>
      <c r="N330" s="30" t="s">
        <v>99</v>
      </c>
      <c r="O330" s="30" t="s">
        <v>64</v>
      </c>
      <c r="P330" s="89" t="s">
        <v>165</v>
      </c>
      <c r="Q330" s="89" t="s">
        <v>2042</v>
      </c>
      <c r="R330" s="89" t="s">
        <v>599</v>
      </c>
      <c r="S330" s="30">
        <v>0</v>
      </c>
      <c r="T330" s="233">
        <v>1</v>
      </c>
      <c r="U330" s="30">
        <v>0</v>
      </c>
      <c r="V330" s="233" t="s">
        <v>68</v>
      </c>
      <c r="W330" s="30">
        <v>0</v>
      </c>
      <c r="X330" s="30">
        <v>1</v>
      </c>
      <c r="Y330" s="30">
        <v>0</v>
      </c>
      <c r="Z330" s="233">
        <v>0</v>
      </c>
      <c r="AA330" s="30">
        <v>0</v>
      </c>
      <c r="AB330" s="30">
        <v>0</v>
      </c>
      <c r="AC330" s="30">
        <v>0</v>
      </c>
      <c r="AD330" s="30">
        <v>0</v>
      </c>
      <c r="AE330" s="89" t="s">
        <v>68</v>
      </c>
      <c r="AF330" s="89" t="s">
        <v>68</v>
      </c>
      <c r="AG330" s="89" t="s">
        <v>82</v>
      </c>
      <c r="AH330" s="72" t="s">
        <v>68</v>
      </c>
      <c r="AI330" s="30">
        <v>0</v>
      </c>
      <c r="AJ330" s="89" t="s">
        <v>68</v>
      </c>
      <c r="AK330" s="89" t="s">
        <v>68</v>
      </c>
      <c r="AL330" s="91">
        <v>39328</v>
      </c>
      <c r="AM330" s="91"/>
      <c r="AN330" s="91">
        <v>44887</v>
      </c>
      <c r="AO330" s="91"/>
      <c r="AP330" s="73" t="e">
        <f>MID(VLOOKUP(K330,#REF!,2,FALSE),1,2)</f>
        <v>#REF!</v>
      </c>
      <c r="AQ330" s="89">
        <f>DATE(2007,8,1)</f>
        <v>39295</v>
      </c>
      <c r="AR330" s="82">
        <f t="shared" si="26"/>
        <v>1</v>
      </c>
      <c r="AS330" s="83">
        <f t="shared" si="27"/>
        <v>8</v>
      </c>
      <c r="AT330" s="84">
        <f t="shared" si="28"/>
        <v>2007</v>
      </c>
      <c r="AU330" s="86"/>
      <c r="AV330" s="86"/>
      <c r="AW330" s="87"/>
      <c r="AX330" s="86"/>
      <c r="AY330" s="83"/>
      <c r="AZ330" s="84"/>
      <c r="BA330" s="86"/>
      <c r="BB330" s="86"/>
    </row>
    <row r="331" spans="1:54" ht="36.75" customHeight="1">
      <c r="A331" s="30"/>
      <c r="B331" s="30" t="s">
        <v>55</v>
      </c>
      <c r="C331" s="69" t="str">
        <f t="shared" si="25"/>
        <v>Closed</v>
      </c>
      <c r="D331" s="27" t="s">
        <v>2043</v>
      </c>
      <c r="E331" s="29" t="s">
        <v>2044</v>
      </c>
      <c r="F331" s="30" t="s">
        <v>233</v>
      </c>
      <c r="G331" s="89">
        <f>DATE(2007,8,1)</f>
        <v>39295</v>
      </c>
      <c r="H331" s="90">
        <v>1.6777777777777776</v>
      </c>
      <c r="I331" s="30" t="s">
        <v>198</v>
      </c>
      <c r="J331" s="89" t="s">
        <v>2045</v>
      </c>
      <c r="K331" s="30" t="s">
        <v>235</v>
      </c>
      <c r="L331" s="30" t="s">
        <v>2046</v>
      </c>
      <c r="M331" s="30" t="s">
        <v>63</v>
      </c>
      <c r="N331" s="30">
        <v>0</v>
      </c>
      <c r="O331" s="30" t="s">
        <v>64</v>
      </c>
      <c r="P331" s="89" t="s">
        <v>86</v>
      </c>
      <c r="Q331" s="89" t="s">
        <v>237</v>
      </c>
      <c r="R331" s="89" t="s">
        <v>238</v>
      </c>
      <c r="S331" s="30">
        <v>0</v>
      </c>
      <c r="T331" s="233" t="s">
        <v>68</v>
      </c>
      <c r="U331" s="30">
        <v>0</v>
      </c>
      <c r="V331" s="233" t="s">
        <v>68</v>
      </c>
      <c r="W331" s="30">
        <v>0</v>
      </c>
      <c r="X331" s="30">
        <v>0</v>
      </c>
      <c r="Y331" s="30">
        <v>0</v>
      </c>
      <c r="Z331" s="233" t="s">
        <v>68</v>
      </c>
      <c r="AA331" s="30">
        <v>0</v>
      </c>
      <c r="AB331" s="30">
        <v>0</v>
      </c>
      <c r="AC331" s="30">
        <v>0</v>
      </c>
      <c r="AD331" s="30">
        <v>0</v>
      </c>
      <c r="AE331" s="89" t="s">
        <v>68</v>
      </c>
      <c r="AF331" s="89" t="s">
        <v>2047</v>
      </c>
      <c r="AG331" s="89" t="s">
        <v>133</v>
      </c>
      <c r="AH331" s="72" t="s">
        <v>68</v>
      </c>
      <c r="AI331" s="30">
        <v>4</v>
      </c>
      <c r="AJ331" s="89" t="s">
        <v>2048</v>
      </c>
      <c r="AK331" s="89" t="s">
        <v>2049</v>
      </c>
      <c r="AL331" s="91">
        <v>39339</v>
      </c>
      <c r="AM331" s="91"/>
      <c r="AN331" s="91"/>
      <c r="AO331" s="91"/>
      <c r="AP331" s="73" t="e">
        <f>MID(VLOOKUP(K331,#REF!,2,FALSE),1,2)</f>
        <v>#REF!</v>
      </c>
      <c r="AQ331" s="89">
        <f>DATE(2007,8,1)</f>
        <v>39295</v>
      </c>
      <c r="AR331" s="82">
        <f t="shared" si="26"/>
        <v>1</v>
      </c>
      <c r="AS331" s="83">
        <f t="shared" si="27"/>
        <v>8</v>
      </c>
      <c r="AT331" s="84">
        <f t="shared" si="28"/>
        <v>2007</v>
      </c>
      <c r="AU331" s="86"/>
      <c r="AV331" s="86"/>
      <c r="AW331" s="87"/>
      <c r="AX331" s="86"/>
      <c r="AY331" s="83"/>
      <c r="AZ331" s="84"/>
      <c r="BA331" s="86"/>
      <c r="BB331" s="86"/>
    </row>
    <row r="332" spans="1:54" ht="36.75" customHeight="1">
      <c r="A332" s="30"/>
      <c r="B332" s="30" t="s">
        <v>55</v>
      </c>
      <c r="C332" s="69" t="str">
        <f t="shared" si="25"/>
        <v>Closed</v>
      </c>
      <c r="D332" s="27" t="s">
        <v>2050</v>
      </c>
      <c r="E332" s="29" t="s">
        <v>2051</v>
      </c>
      <c r="F332" s="30" t="s">
        <v>197</v>
      </c>
      <c r="G332" s="89">
        <f>DATE(2007,8,2)</f>
        <v>39296</v>
      </c>
      <c r="H332" s="90">
        <v>1.4638888888888888</v>
      </c>
      <c r="I332" s="30" t="s">
        <v>73</v>
      </c>
      <c r="J332" s="89" t="s">
        <v>2052</v>
      </c>
      <c r="K332" s="30" t="s">
        <v>200</v>
      </c>
      <c r="L332" s="30" t="s">
        <v>2053</v>
      </c>
      <c r="M332" s="30" t="s">
        <v>63</v>
      </c>
      <c r="N332" s="30">
        <v>0</v>
      </c>
      <c r="O332" s="30" t="s">
        <v>77</v>
      </c>
      <c r="P332" s="89" t="s">
        <v>78</v>
      </c>
      <c r="Q332" s="89" t="s">
        <v>1716</v>
      </c>
      <c r="R332" s="89" t="s">
        <v>203</v>
      </c>
      <c r="S332" s="30">
        <v>0</v>
      </c>
      <c r="T332" s="233" t="s">
        <v>68</v>
      </c>
      <c r="U332" s="30">
        <v>0</v>
      </c>
      <c r="V332" s="233" t="s">
        <v>68</v>
      </c>
      <c r="W332" s="30">
        <v>0</v>
      </c>
      <c r="X332" s="30">
        <v>0</v>
      </c>
      <c r="Y332" s="30">
        <v>0</v>
      </c>
      <c r="Z332" s="233" t="s">
        <v>68</v>
      </c>
      <c r="AA332" s="30">
        <v>0</v>
      </c>
      <c r="AB332" s="30">
        <v>0</v>
      </c>
      <c r="AC332" s="30">
        <v>0</v>
      </c>
      <c r="AD332" s="30">
        <v>0</v>
      </c>
      <c r="AE332" s="89" t="s">
        <v>68</v>
      </c>
      <c r="AF332" s="89" t="s">
        <v>2054</v>
      </c>
      <c r="AG332" s="89" t="s">
        <v>133</v>
      </c>
      <c r="AH332" s="72" t="s">
        <v>68</v>
      </c>
      <c r="AI332" s="30">
        <v>4</v>
      </c>
      <c r="AJ332" s="89" t="s">
        <v>68</v>
      </c>
      <c r="AK332" s="89" t="s">
        <v>2055</v>
      </c>
      <c r="AL332" s="91">
        <v>39941</v>
      </c>
      <c r="AM332" s="91"/>
      <c r="AN332" s="91"/>
      <c r="AO332" s="91"/>
      <c r="AP332" s="73" t="e">
        <f>MID(VLOOKUP(K332,#REF!,2,FALSE),1,2)</f>
        <v>#REF!</v>
      </c>
      <c r="AQ332" s="89">
        <f>DATE(2007,8,2)</f>
        <v>39296</v>
      </c>
      <c r="AR332" s="82">
        <f t="shared" si="26"/>
        <v>2</v>
      </c>
      <c r="AS332" s="83">
        <f t="shared" si="27"/>
        <v>8</v>
      </c>
      <c r="AT332" s="84">
        <f t="shared" si="28"/>
        <v>2007</v>
      </c>
      <c r="AU332" s="86"/>
      <c r="AV332" s="86"/>
      <c r="AW332" s="87"/>
      <c r="AX332" s="86"/>
      <c r="AY332" s="83"/>
      <c r="AZ332" s="84"/>
      <c r="BA332" s="86"/>
      <c r="BB332" s="86"/>
    </row>
    <row r="333" spans="1:54" ht="36.75" customHeight="1">
      <c r="A333" s="30"/>
      <c r="B333" s="30" t="s">
        <v>55</v>
      </c>
      <c r="C333" s="69" t="str">
        <f t="shared" si="25"/>
        <v>Closed</v>
      </c>
      <c r="D333" s="27" t="s">
        <v>2056</v>
      </c>
      <c r="E333" s="29" t="s">
        <v>2057</v>
      </c>
      <c r="F333" s="30" t="s">
        <v>233</v>
      </c>
      <c r="G333" s="89">
        <f>DATE(2007,8,2)</f>
        <v>39296</v>
      </c>
      <c r="H333" s="90">
        <v>1.6444444444444444</v>
      </c>
      <c r="I333" s="30" t="s">
        <v>116</v>
      </c>
      <c r="J333" s="89" t="s">
        <v>2058</v>
      </c>
      <c r="K333" s="30" t="s">
        <v>235</v>
      </c>
      <c r="L333" s="30" t="s">
        <v>2059</v>
      </c>
      <c r="M333" s="30" t="s">
        <v>63</v>
      </c>
      <c r="N333" s="30">
        <v>0</v>
      </c>
      <c r="O333" s="30" t="s">
        <v>64</v>
      </c>
      <c r="P333" s="89" t="s">
        <v>165</v>
      </c>
      <c r="Q333" s="89" t="s">
        <v>675</v>
      </c>
      <c r="R333" s="89" t="s">
        <v>675</v>
      </c>
      <c r="S333" s="30">
        <v>0</v>
      </c>
      <c r="T333" s="233">
        <v>0</v>
      </c>
      <c r="U333" s="30">
        <v>1</v>
      </c>
      <c r="V333" s="233">
        <v>0</v>
      </c>
      <c r="W333" s="30">
        <v>0</v>
      </c>
      <c r="X333" s="30">
        <v>1</v>
      </c>
      <c r="Y333" s="30">
        <v>0</v>
      </c>
      <c r="Z333" s="233">
        <v>0</v>
      </c>
      <c r="AA333" s="30">
        <v>0</v>
      </c>
      <c r="AB333" s="30">
        <v>0</v>
      </c>
      <c r="AC333" s="30">
        <v>0</v>
      </c>
      <c r="AD333" s="30">
        <v>0</v>
      </c>
      <c r="AE333" s="89" t="s">
        <v>68</v>
      </c>
      <c r="AF333" s="89" t="s">
        <v>2060</v>
      </c>
      <c r="AG333" s="89" t="s">
        <v>133</v>
      </c>
      <c r="AH333" s="72" t="s">
        <v>68</v>
      </c>
      <c r="AI333" s="30">
        <v>6</v>
      </c>
      <c r="AJ333" s="89" t="s">
        <v>2061</v>
      </c>
      <c r="AK333" s="89" t="s">
        <v>2062</v>
      </c>
      <c r="AL333" s="91">
        <v>39332</v>
      </c>
      <c r="AM333" s="91"/>
      <c r="AN333" s="91"/>
      <c r="AO333" s="91"/>
      <c r="AP333" s="73" t="e">
        <f>MID(VLOOKUP(K333,#REF!,2,FALSE),1,2)</f>
        <v>#REF!</v>
      </c>
      <c r="AQ333" s="89">
        <f>DATE(2007,8,2)</f>
        <v>39296</v>
      </c>
      <c r="AR333" s="82">
        <f t="shared" si="26"/>
        <v>2</v>
      </c>
      <c r="AS333" s="83">
        <f t="shared" si="27"/>
        <v>8</v>
      </c>
      <c r="AT333" s="84">
        <f t="shared" si="28"/>
        <v>2007</v>
      </c>
      <c r="AU333" s="86"/>
      <c r="AV333" s="86"/>
      <c r="AW333" s="87"/>
      <c r="AX333" s="86"/>
      <c r="AY333" s="83"/>
      <c r="AZ333" s="84"/>
      <c r="BA333" s="86"/>
      <c r="BB333" s="86"/>
    </row>
    <row r="334" spans="1:54" ht="36.75" customHeight="1">
      <c r="A334" s="30"/>
      <c r="B334" s="30" t="s">
        <v>55</v>
      </c>
      <c r="C334" s="69" t="str">
        <f t="shared" si="25"/>
        <v>Closed</v>
      </c>
      <c r="D334" s="27" t="s">
        <v>2063</v>
      </c>
      <c r="E334" s="29" t="s">
        <v>2064</v>
      </c>
      <c r="F334" s="30" t="s">
        <v>58</v>
      </c>
      <c r="G334" s="89">
        <f>DATE(2007,8,4)</f>
        <v>39298</v>
      </c>
      <c r="H334" s="90">
        <v>1.2666666666666666</v>
      </c>
      <c r="I334" s="30" t="s">
        <v>73</v>
      </c>
      <c r="J334" s="89" t="s">
        <v>2065</v>
      </c>
      <c r="K334" s="30" t="s">
        <v>61</v>
      </c>
      <c r="L334" s="30" t="s">
        <v>2066</v>
      </c>
      <c r="M334" s="30" t="s">
        <v>63</v>
      </c>
      <c r="N334" s="30" t="s">
        <v>99</v>
      </c>
      <c r="O334" s="30" t="s">
        <v>90</v>
      </c>
      <c r="P334" s="89" t="s">
        <v>91</v>
      </c>
      <c r="Q334" s="89" t="s">
        <v>66</v>
      </c>
      <c r="R334" s="89" t="s">
        <v>2067</v>
      </c>
      <c r="S334" s="30">
        <v>0</v>
      </c>
      <c r="T334" s="233">
        <v>0</v>
      </c>
      <c r="U334" s="30">
        <v>0</v>
      </c>
      <c r="V334" s="233">
        <v>0</v>
      </c>
      <c r="W334" s="30">
        <v>0</v>
      </c>
      <c r="X334" s="30">
        <v>0</v>
      </c>
      <c r="Y334" s="30">
        <v>0</v>
      </c>
      <c r="Z334" s="233">
        <v>0</v>
      </c>
      <c r="AA334" s="30">
        <v>0</v>
      </c>
      <c r="AB334" s="30">
        <v>0</v>
      </c>
      <c r="AC334" s="30">
        <v>0</v>
      </c>
      <c r="AD334" s="30">
        <v>0</v>
      </c>
      <c r="AE334" s="89" t="s">
        <v>92</v>
      </c>
      <c r="AF334" s="89" t="s">
        <v>2068</v>
      </c>
      <c r="AG334" s="89" t="s">
        <v>69</v>
      </c>
      <c r="AH334" s="72">
        <v>39300</v>
      </c>
      <c r="AI334" s="30">
        <v>1</v>
      </c>
      <c r="AJ334" s="89" t="s">
        <v>2069</v>
      </c>
      <c r="AK334" s="89" t="s">
        <v>2070</v>
      </c>
      <c r="AL334" s="91">
        <v>39379</v>
      </c>
      <c r="AM334" s="91"/>
      <c r="AN334" s="91"/>
      <c r="AO334" s="91"/>
      <c r="AP334" s="73" t="e">
        <f>MID(VLOOKUP(K334,#REF!,2,FALSE),1,2)</f>
        <v>#REF!</v>
      </c>
      <c r="AQ334" s="89">
        <f>DATE(2007,8,4)</f>
        <v>39298</v>
      </c>
      <c r="AR334" s="82">
        <f t="shared" si="26"/>
        <v>4</v>
      </c>
      <c r="AS334" s="83">
        <f t="shared" si="27"/>
        <v>8</v>
      </c>
      <c r="AT334" s="84">
        <f t="shared" si="28"/>
        <v>2007</v>
      </c>
      <c r="AU334" s="86"/>
      <c r="AV334" s="86"/>
      <c r="AW334" s="87"/>
      <c r="AX334" s="86"/>
      <c r="AY334" s="83"/>
      <c r="AZ334" s="84"/>
      <c r="BA334" s="86"/>
      <c r="BB334" s="86"/>
    </row>
    <row r="335" spans="1:54" ht="36.75" customHeight="1">
      <c r="A335" s="30"/>
      <c r="B335" s="30" t="s">
        <v>55</v>
      </c>
      <c r="C335" s="69" t="str">
        <f t="shared" si="25"/>
        <v>Closed</v>
      </c>
      <c r="D335" s="27" t="s">
        <v>2071</v>
      </c>
      <c r="E335" s="29" t="s">
        <v>2072</v>
      </c>
      <c r="F335" s="30" t="s">
        <v>594</v>
      </c>
      <c r="G335" s="89">
        <f>DATE(2007,8,5)</f>
        <v>39299</v>
      </c>
      <c r="H335" s="90">
        <v>1.5111111111111111</v>
      </c>
      <c r="I335" s="30" t="s">
        <v>116</v>
      </c>
      <c r="J335" s="89" t="s">
        <v>2073</v>
      </c>
      <c r="K335" s="30" t="s">
        <v>596</v>
      </c>
      <c r="L335" s="30" t="s">
        <v>2074</v>
      </c>
      <c r="M335" s="30" t="s">
        <v>63</v>
      </c>
      <c r="N335" s="30">
        <v>0</v>
      </c>
      <c r="O335" s="30" t="s">
        <v>64</v>
      </c>
      <c r="P335" s="89" t="s">
        <v>165</v>
      </c>
      <c r="Q335" s="89" t="s">
        <v>598</v>
      </c>
      <c r="R335" s="89" t="s">
        <v>599</v>
      </c>
      <c r="S335" s="30">
        <v>0</v>
      </c>
      <c r="T335" s="233" t="s">
        <v>68</v>
      </c>
      <c r="U335" s="30">
        <v>1</v>
      </c>
      <c r="V335" s="233" t="s">
        <v>68</v>
      </c>
      <c r="W335" s="30">
        <v>0</v>
      </c>
      <c r="X335" s="30">
        <v>1</v>
      </c>
      <c r="Y335" s="30">
        <v>0</v>
      </c>
      <c r="Z335" s="233" t="s">
        <v>68</v>
      </c>
      <c r="AA335" s="30">
        <v>0</v>
      </c>
      <c r="AB335" s="30">
        <v>0</v>
      </c>
      <c r="AC335" s="30">
        <v>0</v>
      </c>
      <c r="AD335" s="30">
        <v>0</v>
      </c>
      <c r="AE335" s="89" t="s">
        <v>68</v>
      </c>
      <c r="AF335" s="89" t="s">
        <v>2075</v>
      </c>
      <c r="AG335" s="89" t="s">
        <v>82</v>
      </c>
      <c r="AH335" s="72" t="s">
        <v>68</v>
      </c>
      <c r="AI335" s="30">
        <v>0</v>
      </c>
      <c r="AJ335" s="89" t="s">
        <v>68</v>
      </c>
      <c r="AK335" s="89" t="s">
        <v>68</v>
      </c>
      <c r="AL335" s="91">
        <v>39328</v>
      </c>
      <c r="AM335" s="91"/>
      <c r="AN335" s="91"/>
      <c r="AO335" s="91"/>
      <c r="AP335" s="73" t="e">
        <f>MID(VLOOKUP(K335,#REF!,2,FALSE),1,2)</f>
        <v>#REF!</v>
      </c>
      <c r="AQ335" s="89">
        <f>DATE(2007,8,5)</f>
        <v>39299</v>
      </c>
      <c r="AR335" s="82">
        <f t="shared" si="26"/>
        <v>5</v>
      </c>
      <c r="AS335" s="83">
        <f t="shared" si="27"/>
        <v>8</v>
      </c>
      <c r="AT335" s="84">
        <f t="shared" si="28"/>
        <v>2007</v>
      </c>
      <c r="AU335" s="86"/>
      <c r="AV335" s="86"/>
      <c r="AW335" s="87"/>
      <c r="AX335" s="86"/>
      <c r="AY335" s="83"/>
      <c r="AZ335" s="84"/>
      <c r="BA335" s="86"/>
      <c r="BB335" s="86"/>
    </row>
    <row r="336" spans="1:54" ht="36.75" customHeight="1">
      <c r="A336" s="30"/>
      <c r="B336" s="30" t="s">
        <v>55</v>
      </c>
      <c r="C336" s="69" t="str">
        <f t="shared" si="25"/>
        <v>Closed</v>
      </c>
      <c r="D336" s="27" t="s">
        <v>2076</v>
      </c>
      <c r="E336" s="29" t="s">
        <v>2077</v>
      </c>
      <c r="F336" s="30" t="s">
        <v>138</v>
      </c>
      <c r="G336" s="89">
        <f>DATE(2007,8,5)</f>
        <v>39299</v>
      </c>
      <c r="H336" s="90">
        <v>1.4048611111111111</v>
      </c>
      <c r="I336" s="30" t="s">
        <v>2078</v>
      </c>
      <c r="J336" s="89" t="s">
        <v>2079</v>
      </c>
      <c r="K336" s="30" t="s">
        <v>140</v>
      </c>
      <c r="L336" s="30" t="s">
        <v>2080</v>
      </c>
      <c r="M336" s="30" t="s">
        <v>63</v>
      </c>
      <c r="N336" s="30" t="s">
        <v>89</v>
      </c>
      <c r="O336" s="30" t="s">
        <v>77</v>
      </c>
      <c r="P336" s="89" t="s">
        <v>1912</v>
      </c>
      <c r="Q336" s="89" t="s">
        <v>2081</v>
      </c>
      <c r="R336" s="89" t="s">
        <v>185</v>
      </c>
      <c r="S336" s="30">
        <v>0</v>
      </c>
      <c r="T336" s="233">
        <v>0</v>
      </c>
      <c r="U336" s="30">
        <v>0</v>
      </c>
      <c r="V336" s="233">
        <v>0</v>
      </c>
      <c r="W336" s="30">
        <v>0</v>
      </c>
      <c r="X336" s="30">
        <v>0</v>
      </c>
      <c r="Y336" s="30">
        <v>0</v>
      </c>
      <c r="Z336" s="233">
        <v>0</v>
      </c>
      <c r="AA336" s="30">
        <v>0</v>
      </c>
      <c r="AB336" s="30">
        <v>0</v>
      </c>
      <c r="AC336" s="30">
        <v>0</v>
      </c>
      <c r="AD336" s="30">
        <v>0</v>
      </c>
      <c r="AE336" s="89" t="s">
        <v>92</v>
      </c>
      <c r="AF336" s="89" t="s">
        <v>2082</v>
      </c>
      <c r="AG336" s="89" t="s">
        <v>2083</v>
      </c>
      <c r="AH336" s="72">
        <v>39300</v>
      </c>
      <c r="AI336" s="30">
        <v>4</v>
      </c>
      <c r="AJ336" s="89" t="s">
        <v>2084</v>
      </c>
      <c r="AK336" s="89" t="s">
        <v>2085</v>
      </c>
      <c r="AL336" s="91">
        <v>39352</v>
      </c>
      <c r="AM336" s="91"/>
      <c r="AN336" s="91"/>
      <c r="AO336" s="91"/>
      <c r="AP336" s="73" t="e">
        <f>MID(VLOOKUP(K336,#REF!,2,FALSE),1,2)</f>
        <v>#REF!</v>
      </c>
      <c r="AQ336" s="89">
        <f>DATE(2007,8,5)</f>
        <v>39299</v>
      </c>
      <c r="AR336" s="82">
        <f t="shared" si="26"/>
        <v>5</v>
      </c>
      <c r="AS336" s="83">
        <f t="shared" si="27"/>
        <v>8</v>
      </c>
      <c r="AT336" s="84">
        <f t="shared" si="28"/>
        <v>2007</v>
      </c>
      <c r="AU336" s="86"/>
      <c r="AV336" s="86"/>
      <c r="AW336" s="87"/>
      <c r="AX336" s="86"/>
      <c r="AY336" s="83"/>
      <c r="AZ336" s="84"/>
      <c r="BA336" s="86"/>
      <c r="BB336" s="86"/>
    </row>
    <row r="337" spans="1:54" ht="36.75" customHeight="1">
      <c r="A337" s="30"/>
      <c r="B337" s="30" t="s">
        <v>55</v>
      </c>
      <c r="C337" s="69" t="str">
        <f t="shared" si="25"/>
        <v>Closed</v>
      </c>
      <c r="D337" s="27" t="s">
        <v>2086</v>
      </c>
      <c r="E337" s="29" t="s">
        <v>2087</v>
      </c>
      <c r="F337" s="30" t="s">
        <v>138</v>
      </c>
      <c r="G337" s="89">
        <f>DATE(2007,8,7)</f>
        <v>39301</v>
      </c>
      <c r="H337" s="90">
        <v>1.3833333333333333</v>
      </c>
      <c r="I337" s="30" t="s">
        <v>104</v>
      </c>
      <c r="J337" s="89" t="s">
        <v>2088</v>
      </c>
      <c r="K337" s="30" t="s">
        <v>140</v>
      </c>
      <c r="L337" s="30" t="s">
        <v>2089</v>
      </c>
      <c r="M337" s="30" t="s">
        <v>63</v>
      </c>
      <c r="N337" s="30" t="s">
        <v>89</v>
      </c>
      <c r="O337" s="30" t="s">
        <v>77</v>
      </c>
      <c r="P337" s="89" t="s">
        <v>2090</v>
      </c>
      <c r="Q337" s="89" t="s">
        <v>2091</v>
      </c>
      <c r="R337" s="89" t="s">
        <v>144</v>
      </c>
      <c r="S337" s="30">
        <v>0</v>
      </c>
      <c r="T337" s="233">
        <v>0</v>
      </c>
      <c r="U337" s="30">
        <v>0</v>
      </c>
      <c r="V337" s="233">
        <v>0</v>
      </c>
      <c r="W337" s="30">
        <v>0</v>
      </c>
      <c r="X337" s="30">
        <v>0</v>
      </c>
      <c r="Y337" s="30">
        <v>0</v>
      </c>
      <c r="Z337" s="233">
        <v>0</v>
      </c>
      <c r="AA337" s="30">
        <v>0</v>
      </c>
      <c r="AB337" s="30">
        <v>0</v>
      </c>
      <c r="AC337" s="30">
        <v>0</v>
      </c>
      <c r="AD337" s="30">
        <v>0</v>
      </c>
      <c r="AE337" s="89" t="s">
        <v>92</v>
      </c>
      <c r="AF337" s="89" t="s">
        <v>928</v>
      </c>
      <c r="AG337" s="89" t="s">
        <v>133</v>
      </c>
      <c r="AH337" s="72">
        <v>39335</v>
      </c>
      <c r="AI337" s="30">
        <v>5</v>
      </c>
      <c r="AJ337" s="89" t="s">
        <v>2092</v>
      </c>
      <c r="AK337" s="89" t="s">
        <v>2093</v>
      </c>
      <c r="AL337" s="91">
        <v>39352</v>
      </c>
      <c r="AM337" s="91"/>
      <c r="AN337" s="91"/>
      <c r="AO337" s="91"/>
      <c r="AP337" s="73" t="e">
        <f>MID(VLOOKUP(K337,#REF!,2,FALSE),1,2)</f>
        <v>#REF!</v>
      </c>
      <c r="AQ337" s="89">
        <f>DATE(2007,8,7)</f>
        <v>39301</v>
      </c>
      <c r="AR337" s="82">
        <f t="shared" si="26"/>
        <v>7</v>
      </c>
      <c r="AS337" s="83">
        <f t="shared" si="27"/>
        <v>8</v>
      </c>
      <c r="AT337" s="84">
        <f t="shared" si="28"/>
        <v>2007</v>
      </c>
      <c r="AU337" s="86"/>
      <c r="AV337" s="86"/>
      <c r="AW337" s="87"/>
      <c r="AX337" s="86"/>
      <c r="AY337" s="83"/>
      <c r="AZ337" s="84"/>
      <c r="BA337" s="86"/>
      <c r="BB337" s="86"/>
    </row>
    <row r="338" spans="1:54" ht="36.75" customHeight="1">
      <c r="A338" s="30"/>
      <c r="B338" s="30" t="s">
        <v>55</v>
      </c>
      <c r="C338" s="69" t="str">
        <f t="shared" si="25"/>
        <v>Closed</v>
      </c>
      <c r="D338" s="27" t="s">
        <v>2094</v>
      </c>
      <c r="E338" s="29" t="s">
        <v>2095</v>
      </c>
      <c r="F338" s="30" t="s">
        <v>638</v>
      </c>
      <c r="G338" s="89">
        <f>DATE(2007,8,9)</f>
        <v>39303</v>
      </c>
      <c r="H338" s="90">
        <v>1.8527777777777779</v>
      </c>
      <c r="I338" s="30" t="s">
        <v>116</v>
      </c>
      <c r="J338" s="89" t="s">
        <v>2096</v>
      </c>
      <c r="K338" s="30" t="s">
        <v>640</v>
      </c>
      <c r="L338" s="30" t="s">
        <v>2097</v>
      </c>
      <c r="M338" s="30" t="s">
        <v>63</v>
      </c>
      <c r="N338" s="30">
        <v>0</v>
      </c>
      <c r="O338" s="30" t="s">
        <v>86</v>
      </c>
      <c r="P338" s="89" t="s">
        <v>86</v>
      </c>
      <c r="Q338" s="89" t="s">
        <v>642</v>
      </c>
      <c r="R338" s="89" t="s">
        <v>643</v>
      </c>
      <c r="S338" s="30">
        <v>0</v>
      </c>
      <c r="T338" s="233">
        <v>0</v>
      </c>
      <c r="U338" s="30">
        <v>1</v>
      </c>
      <c r="V338" s="233">
        <v>0</v>
      </c>
      <c r="W338" s="30">
        <v>0</v>
      </c>
      <c r="X338" s="30">
        <v>1</v>
      </c>
      <c r="Y338" s="30">
        <v>0</v>
      </c>
      <c r="Z338" s="233">
        <v>0</v>
      </c>
      <c r="AA338" s="30">
        <v>0</v>
      </c>
      <c r="AB338" s="30">
        <v>0</v>
      </c>
      <c r="AC338" s="30">
        <v>0</v>
      </c>
      <c r="AD338" s="30">
        <v>0</v>
      </c>
      <c r="AE338" s="89" t="s">
        <v>68</v>
      </c>
      <c r="AF338" s="89" t="s">
        <v>68</v>
      </c>
      <c r="AG338" s="89" t="s">
        <v>248</v>
      </c>
      <c r="AH338" s="72" t="s">
        <v>68</v>
      </c>
      <c r="AI338" s="30">
        <v>3</v>
      </c>
      <c r="AJ338" s="89" t="s">
        <v>1732</v>
      </c>
      <c r="AK338" s="89" t="s">
        <v>68</v>
      </c>
      <c r="AL338" s="91">
        <v>39315</v>
      </c>
      <c r="AM338" s="91"/>
      <c r="AN338" s="91"/>
      <c r="AO338" s="91"/>
      <c r="AP338" s="73" t="e">
        <f>MID(VLOOKUP(K338,#REF!,2,FALSE),1,2)</f>
        <v>#REF!</v>
      </c>
      <c r="AQ338" s="89">
        <f>DATE(2007,8,9)</f>
        <v>39303</v>
      </c>
      <c r="AR338" s="82">
        <f t="shared" si="26"/>
        <v>9</v>
      </c>
      <c r="AS338" s="83">
        <f t="shared" si="27"/>
        <v>8</v>
      </c>
      <c r="AT338" s="84">
        <f t="shared" si="28"/>
        <v>2007</v>
      </c>
      <c r="AU338" s="86"/>
      <c r="AV338" s="86"/>
      <c r="AW338" s="87"/>
      <c r="AX338" s="86"/>
      <c r="AY338" s="83"/>
      <c r="AZ338" s="84"/>
      <c r="BA338" s="86"/>
      <c r="BB338" s="86"/>
    </row>
    <row r="339" spans="1:54" ht="36.75" customHeight="1">
      <c r="A339" s="30"/>
      <c r="B339" s="30" t="s">
        <v>55</v>
      </c>
      <c r="C339" s="69" t="str">
        <f t="shared" si="25"/>
        <v>Closed</v>
      </c>
      <c r="D339" s="27" t="s">
        <v>2098</v>
      </c>
      <c r="E339" s="29" t="s">
        <v>2099</v>
      </c>
      <c r="F339" s="30" t="s">
        <v>233</v>
      </c>
      <c r="G339" s="89">
        <f>DATE(2007,8,10)</f>
        <v>39304</v>
      </c>
      <c r="H339" s="90">
        <v>1.0972222222222223</v>
      </c>
      <c r="I339" s="30" t="s">
        <v>73</v>
      </c>
      <c r="J339" s="89" t="s">
        <v>2100</v>
      </c>
      <c r="K339" s="30" t="s">
        <v>235</v>
      </c>
      <c r="L339" s="30" t="s">
        <v>2101</v>
      </c>
      <c r="M339" s="30" t="s">
        <v>63</v>
      </c>
      <c r="N339" s="30">
        <v>0</v>
      </c>
      <c r="O339" s="30" t="s">
        <v>64</v>
      </c>
      <c r="P339" s="89" t="s">
        <v>78</v>
      </c>
      <c r="Q339" s="89" t="s">
        <v>434</v>
      </c>
      <c r="R339" s="89" t="s">
        <v>238</v>
      </c>
      <c r="S339" s="30">
        <v>0</v>
      </c>
      <c r="T339" s="233" t="s">
        <v>68</v>
      </c>
      <c r="U339" s="30">
        <v>0</v>
      </c>
      <c r="V339" s="233" t="s">
        <v>68</v>
      </c>
      <c r="W339" s="30">
        <v>0</v>
      </c>
      <c r="X339" s="30">
        <v>0</v>
      </c>
      <c r="Y339" s="30">
        <v>0</v>
      </c>
      <c r="Z339" s="233" t="s">
        <v>68</v>
      </c>
      <c r="AA339" s="30">
        <v>0</v>
      </c>
      <c r="AB339" s="30">
        <v>0</v>
      </c>
      <c r="AC339" s="30">
        <v>0</v>
      </c>
      <c r="AD339" s="30">
        <v>0</v>
      </c>
      <c r="AE339" s="89" t="s">
        <v>68</v>
      </c>
      <c r="AF339" s="89" t="s">
        <v>2102</v>
      </c>
      <c r="AG339" s="89" t="s">
        <v>133</v>
      </c>
      <c r="AH339" s="72" t="s">
        <v>68</v>
      </c>
      <c r="AI339" s="30">
        <v>8</v>
      </c>
      <c r="AJ339" s="89" t="s">
        <v>2103</v>
      </c>
      <c r="AK339" s="89" t="s">
        <v>2104</v>
      </c>
      <c r="AL339" s="91">
        <v>39332</v>
      </c>
      <c r="AM339" s="91"/>
      <c r="AN339" s="91"/>
      <c r="AO339" s="91"/>
      <c r="AP339" s="73" t="e">
        <f>MID(VLOOKUP(K339,#REF!,2,FALSE),1,2)</f>
        <v>#REF!</v>
      </c>
      <c r="AQ339" s="89">
        <f>DATE(2007,8,10)</f>
        <v>39304</v>
      </c>
      <c r="AR339" s="82">
        <f t="shared" si="26"/>
        <v>10</v>
      </c>
      <c r="AS339" s="83">
        <f t="shared" si="27"/>
        <v>8</v>
      </c>
      <c r="AT339" s="84">
        <f t="shared" si="28"/>
        <v>2007</v>
      </c>
      <c r="AU339" s="86"/>
      <c r="AV339" s="86"/>
      <c r="AW339" s="87"/>
      <c r="AX339" s="86"/>
      <c r="AY339" s="83"/>
      <c r="AZ339" s="84"/>
      <c r="BA339" s="86"/>
      <c r="BB339" s="86"/>
    </row>
    <row r="340" spans="1:54" ht="36.75" customHeight="1">
      <c r="A340" s="30"/>
      <c r="B340" s="30" t="s">
        <v>55</v>
      </c>
      <c r="C340" s="69" t="str">
        <f t="shared" si="25"/>
        <v>Closed</v>
      </c>
      <c r="D340" s="27" t="s">
        <v>2105</v>
      </c>
      <c r="E340" s="29" t="s">
        <v>2106</v>
      </c>
      <c r="F340" s="30" t="s">
        <v>58</v>
      </c>
      <c r="G340" s="89">
        <f>DATE(2007,8,13)</f>
        <v>39307</v>
      </c>
      <c r="H340" s="90">
        <v>1.6354166666666665</v>
      </c>
      <c r="I340" s="30" t="s">
        <v>116</v>
      </c>
      <c r="J340" s="89" t="s">
        <v>2107</v>
      </c>
      <c r="K340" s="30" t="s">
        <v>61</v>
      </c>
      <c r="L340" s="30" t="s">
        <v>2108</v>
      </c>
      <c r="M340" s="30" t="s">
        <v>63</v>
      </c>
      <c r="N340" s="30" t="s">
        <v>99</v>
      </c>
      <c r="O340" s="30" t="s">
        <v>64</v>
      </c>
      <c r="P340" s="89" t="s">
        <v>78</v>
      </c>
      <c r="Q340" s="89" t="s">
        <v>66</v>
      </c>
      <c r="R340" s="89" t="s">
        <v>67</v>
      </c>
      <c r="S340" s="30">
        <v>0</v>
      </c>
      <c r="T340" s="233">
        <v>0</v>
      </c>
      <c r="U340" s="30">
        <v>1</v>
      </c>
      <c r="V340" s="233">
        <v>0</v>
      </c>
      <c r="W340" s="30">
        <v>0</v>
      </c>
      <c r="X340" s="30">
        <v>1</v>
      </c>
      <c r="Y340" s="30">
        <v>0</v>
      </c>
      <c r="Z340" s="233">
        <v>0</v>
      </c>
      <c r="AA340" s="30">
        <v>1</v>
      </c>
      <c r="AB340" s="30">
        <v>0</v>
      </c>
      <c r="AC340" s="30">
        <v>0</v>
      </c>
      <c r="AD340" s="30">
        <v>1</v>
      </c>
      <c r="AE340" s="89" t="s">
        <v>92</v>
      </c>
      <c r="AF340" s="89" t="s">
        <v>2109</v>
      </c>
      <c r="AG340" s="89" t="s">
        <v>82</v>
      </c>
      <c r="AH340" s="72">
        <v>39307</v>
      </c>
      <c r="AI340" s="30">
        <v>4</v>
      </c>
      <c r="AJ340" s="89" t="s">
        <v>2110</v>
      </c>
      <c r="AK340" s="89" t="s">
        <v>68</v>
      </c>
      <c r="AL340" s="91">
        <v>39379</v>
      </c>
      <c r="AM340" s="91"/>
      <c r="AN340" s="91"/>
      <c r="AO340" s="91"/>
      <c r="AP340" s="73" t="e">
        <f>MID(VLOOKUP(K340,#REF!,2,FALSE),1,2)</f>
        <v>#REF!</v>
      </c>
      <c r="AQ340" s="89">
        <f>DATE(2007,8,13)</f>
        <v>39307</v>
      </c>
      <c r="AR340" s="82">
        <f t="shared" si="26"/>
        <v>13</v>
      </c>
      <c r="AS340" s="83">
        <f t="shared" si="27"/>
        <v>8</v>
      </c>
      <c r="AT340" s="84">
        <f t="shared" si="28"/>
        <v>2007</v>
      </c>
      <c r="AU340" s="86"/>
      <c r="AV340" s="86"/>
      <c r="AW340" s="87"/>
      <c r="AX340" s="86"/>
      <c r="AY340" s="83"/>
      <c r="AZ340" s="84"/>
      <c r="BA340" s="86"/>
      <c r="BB340" s="86"/>
    </row>
    <row r="341" spans="1:54" ht="36.75" customHeight="1">
      <c r="A341" s="30"/>
      <c r="B341" s="30" t="s">
        <v>55</v>
      </c>
      <c r="C341" s="69" t="str">
        <f t="shared" si="25"/>
        <v>Closed</v>
      </c>
      <c r="D341" s="27" t="s">
        <v>2111</v>
      </c>
      <c r="E341" s="29" t="s">
        <v>2112</v>
      </c>
      <c r="F341" s="30" t="s">
        <v>115</v>
      </c>
      <c r="G341" s="89">
        <f>DATE(2007,8,13)</f>
        <v>39307</v>
      </c>
      <c r="H341" s="90">
        <v>1.4347222222222222</v>
      </c>
      <c r="I341" s="30" t="s">
        <v>73</v>
      </c>
      <c r="J341" s="89" t="s">
        <v>2113</v>
      </c>
      <c r="K341" s="30" t="s">
        <v>118</v>
      </c>
      <c r="L341" s="30" t="s">
        <v>2114</v>
      </c>
      <c r="M341" s="30" t="s">
        <v>63</v>
      </c>
      <c r="N341" s="30">
        <v>0</v>
      </c>
      <c r="O341" s="30" t="s">
        <v>77</v>
      </c>
      <c r="P341" s="89" t="s">
        <v>165</v>
      </c>
      <c r="Q341" s="89" t="s">
        <v>120</v>
      </c>
      <c r="R341" s="89" t="s">
        <v>121</v>
      </c>
      <c r="S341" s="30">
        <v>0</v>
      </c>
      <c r="T341" s="233" t="s">
        <v>68</v>
      </c>
      <c r="U341" s="30">
        <v>0</v>
      </c>
      <c r="V341" s="233" t="s">
        <v>68</v>
      </c>
      <c r="W341" s="30">
        <v>0</v>
      </c>
      <c r="X341" s="30">
        <v>0</v>
      </c>
      <c r="Y341" s="30">
        <v>0</v>
      </c>
      <c r="Z341" s="233" t="s">
        <v>68</v>
      </c>
      <c r="AA341" s="30">
        <v>0</v>
      </c>
      <c r="AB341" s="30">
        <v>0</v>
      </c>
      <c r="AC341" s="30">
        <v>0</v>
      </c>
      <c r="AD341" s="30">
        <v>0</v>
      </c>
      <c r="AE341" s="89" t="s">
        <v>68</v>
      </c>
      <c r="AF341" s="89" t="s">
        <v>2115</v>
      </c>
      <c r="AG341" s="89" t="s">
        <v>352</v>
      </c>
      <c r="AH341" s="72" t="s">
        <v>68</v>
      </c>
      <c r="AI341" s="30">
        <v>0</v>
      </c>
      <c r="AJ341" s="89" t="s">
        <v>68</v>
      </c>
      <c r="AK341" s="89" t="s">
        <v>68</v>
      </c>
      <c r="AL341" s="91">
        <v>39317</v>
      </c>
      <c r="AM341" s="91"/>
      <c r="AN341" s="91"/>
      <c r="AO341" s="91"/>
      <c r="AP341" s="73" t="e">
        <f>MID(VLOOKUP(K341,#REF!,2,FALSE),1,2)</f>
        <v>#REF!</v>
      </c>
      <c r="AQ341" s="89">
        <f>DATE(2007,8,13)</f>
        <v>39307</v>
      </c>
      <c r="AR341" s="82">
        <f t="shared" si="26"/>
        <v>13</v>
      </c>
      <c r="AS341" s="83">
        <f t="shared" si="27"/>
        <v>8</v>
      </c>
      <c r="AT341" s="84">
        <f t="shared" si="28"/>
        <v>2007</v>
      </c>
      <c r="AU341" s="86"/>
      <c r="AV341" s="86"/>
      <c r="AW341" s="87"/>
      <c r="AX341" s="86"/>
      <c r="AY341" s="83"/>
      <c r="AZ341" s="84"/>
      <c r="BA341" s="86"/>
      <c r="BB341" s="86"/>
    </row>
    <row r="342" spans="1:54" ht="36.75" customHeight="1">
      <c r="A342" s="30"/>
      <c r="B342" s="30" t="s">
        <v>55</v>
      </c>
      <c r="C342" s="69" t="str">
        <f t="shared" si="25"/>
        <v>Closed</v>
      </c>
      <c r="D342" s="27" t="s">
        <v>2116</v>
      </c>
      <c r="E342" s="29" t="s">
        <v>2117</v>
      </c>
      <c r="F342" s="30" t="s">
        <v>233</v>
      </c>
      <c r="G342" s="89">
        <f>DATE(2007,8,15)</f>
        <v>39309</v>
      </c>
      <c r="H342" s="90">
        <v>1.6166666666666667</v>
      </c>
      <c r="I342" s="30" t="s">
        <v>116</v>
      </c>
      <c r="J342" s="89" t="s">
        <v>2118</v>
      </c>
      <c r="K342" s="30" t="s">
        <v>235</v>
      </c>
      <c r="L342" s="30" t="s">
        <v>2119</v>
      </c>
      <c r="M342" s="30" t="s">
        <v>63</v>
      </c>
      <c r="N342" s="30">
        <v>0</v>
      </c>
      <c r="O342" s="30" t="s">
        <v>64</v>
      </c>
      <c r="P342" s="89" t="s">
        <v>86</v>
      </c>
      <c r="Q342" s="89" t="s">
        <v>2120</v>
      </c>
      <c r="R342" s="89" t="s">
        <v>2120</v>
      </c>
      <c r="S342" s="30">
        <v>0</v>
      </c>
      <c r="T342" s="233">
        <v>0</v>
      </c>
      <c r="U342" s="30">
        <v>0</v>
      </c>
      <c r="V342" s="233">
        <v>0</v>
      </c>
      <c r="W342" s="30">
        <v>0</v>
      </c>
      <c r="X342" s="30">
        <v>0</v>
      </c>
      <c r="Y342" s="30">
        <v>0</v>
      </c>
      <c r="Z342" s="233">
        <v>1</v>
      </c>
      <c r="AA342" s="30">
        <v>0</v>
      </c>
      <c r="AB342" s="30">
        <v>0</v>
      </c>
      <c r="AC342" s="30">
        <v>0</v>
      </c>
      <c r="AD342" s="30">
        <v>1</v>
      </c>
      <c r="AE342" s="89" t="s">
        <v>68</v>
      </c>
      <c r="AF342" s="89" t="s">
        <v>2121</v>
      </c>
      <c r="AG342" s="89" t="s">
        <v>133</v>
      </c>
      <c r="AH342" s="72" t="s">
        <v>68</v>
      </c>
      <c r="AI342" s="30">
        <v>10</v>
      </c>
      <c r="AJ342" s="89" t="s">
        <v>2122</v>
      </c>
      <c r="AK342" s="89" t="s">
        <v>2123</v>
      </c>
      <c r="AL342" s="91">
        <v>39332</v>
      </c>
      <c r="AM342" s="91"/>
      <c r="AN342" s="91"/>
      <c r="AO342" s="91"/>
      <c r="AP342" s="73" t="e">
        <f>MID(VLOOKUP(K342,#REF!,2,FALSE),1,2)</f>
        <v>#REF!</v>
      </c>
      <c r="AQ342" s="89">
        <f>DATE(2007,8,15)</f>
        <v>39309</v>
      </c>
      <c r="AR342" s="82">
        <f t="shared" si="26"/>
        <v>15</v>
      </c>
      <c r="AS342" s="83">
        <f t="shared" si="27"/>
        <v>8</v>
      </c>
      <c r="AT342" s="84">
        <f t="shared" si="28"/>
        <v>2007</v>
      </c>
      <c r="AU342" s="86"/>
      <c r="AV342" s="86"/>
      <c r="AW342" s="87"/>
      <c r="AX342" s="86"/>
      <c r="AY342" s="83"/>
      <c r="AZ342" s="84"/>
      <c r="BA342" s="86"/>
      <c r="BB342" s="86"/>
    </row>
    <row r="343" spans="1:54" ht="36.75" customHeight="1">
      <c r="A343" s="30"/>
      <c r="B343" s="30" t="s">
        <v>2124</v>
      </c>
      <c r="C343" s="69" t="str">
        <f t="shared" si="25"/>
        <v>Open</v>
      </c>
      <c r="D343" s="27" t="s">
        <v>2125</v>
      </c>
      <c r="E343" s="29" t="s">
        <v>2126</v>
      </c>
      <c r="F343" s="30" t="s">
        <v>594</v>
      </c>
      <c r="G343" s="89">
        <f>DATE(2007,8,17)</f>
        <v>39311</v>
      </c>
      <c r="H343" s="90">
        <v>1.1229166666666668</v>
      </c>
      <c r="I343" s="30" t="s">
        <v>73</v>
      </c>
      <c r="J343" s="89" t="s">
        <v>2127</v>
      </c>
      <c r="K343" s="30" t="s">
        <v>596</v>
      </c>
      <c r="L343" s="30" t="s">
        <v>2128</v>
      </c>
      <c r="M343" s="30" t="s">
        <v>63</v>
      </c>
      <c r="N343" s="30">
        <v>0</v>
      </c>
      <c r="O343" s="30" t="s">
        <v>77</v>
      </c>
      <c r="P343" s="89" t="s">
        <v>78</v>
      </c>
      <c r="Q343" s="89" t="s">
        <v>598</v>
      </c>
      <c r="R343" s="89" t="s">
        <v>599</v>
      </c>
      <c r="S343" s="30">
        <v>0</v>
      </c>
      <c r="T343" s="233" t="s">
        <v>68</v>
      </c>
      <c r="U343" s="30">
        <v>0</v>
      </c>
      <c r="V343" s="233" t="s">
        <v>68</v>
      </c>
      <c r="W343" s="30">
        <v>0</v>
      </c>
      <c r="X343" s="30">
        <v>0</v>
      </c>
      <c r="Y343" s="30">
        <v>0</v>
      </c>
      <c r="Z343" s="233" t="s">
        <v>68</v>
      </c>
      <c r="AA343" s="30">
        <v>0</v>
      </c>
      <c r="AB343" s="30">
        <v>0</v>
      </c>
      <c r="AC343" s="30">
        <v>0</v>
      </c>
      <c r="AD343" s="30">
        <v>0</v>
      </c>
      <c r="AE343" s="89" t="s">
        <v>68</v>
      </c>
      <c r="AF343" s="89" t="s">
        <v>2129</v>
      </c>
      <c r="AG343" s="89" t="s">
        <v>82</v>
      </c>
      <c r="AH343" s="72" t="s">
        <v>68</v>
      </c>
      <c r="AI343" s="30">
        <v>0</v>
      </c>
      <c r="AJ343" s="89" t="s">
        <v>68</v>
      </c>
      <c r="AK343" s="89" t="s">
        <v>68</v>
      </c>
      <c r="AL343" s="91">
        <v>39328</v>
      </c>
      <c r="AM343" s="91"/>
      <c r="AN343" s="91"/>
      <c r="AO343" s="91"/>
      <c r="AP343" s="73" t="e">
        <f>MID(VLOOKUP(K343,#REF!,2,FALSE),1,2)</f>
        <v>#REF!</v>
      </c>
      <c r="AQ343" s="89">
        <f>DATE(2007,8,17)</f>
        <v>39311</v>
      </c>
      <c r="AR343" s="82">
        <f t="shared" si="26"/>
        <v>17</v>
      </c>
      <c r="AS343" s="83">
        <f t="shared" si="27"/>
        <v>8</v>
      </c>
      <c r="AT343" s="84">
        <f t="shared" si="28"/>
        <v>2007</v>
      </c>
      <c r="AU343" s="86"/>
      <c r="AV343" s="86"/>
      <c r="AW343" s="87"/>
      <c r="AX343" s="86"/>
      <c r="AY343" s="83"/>
      <c r="AZ343" s="84"/>
      <c r="BA343" s="86"/>
      <c r="BB343" s="86"/>
    </row>
    <row r="344" spans="1:54" ht="36.75" customHeight="1">
      <c r="A344" s="30"/>
      <c r="B344" s="30" t="s">
        <v>55</v>
      </c>
      <c r="C344" s="69" t="str">
        <f t="shared" si="25"/>
        <v>Closed</v>
      </c>
      <c r="D344" s="27" t="s">
        <v>2130</v>
      </c>
      <c r="E344" s="29" t="s">
        <v>2131</v>
      </c>
      <c r="F344" s="30" t="s">
        <v>594</v>
      </c>
      <c r="G344" s="89">
        <f>DATE(2007,8,18)</f>
        <v>39312</v>
      </c>
      <c r="H344" s="90">
        <v>1.5923611111111111</v>
      </c>
      <c r="I344" s="30" t="s">
        <v>116</v>
      </c>
      <c r="J344" s="89" t="s">
        <v>2132</v>
      </c>
      <c r="K344" s="30" t="s">
        <v>596</v>
      </c>
      <c r="L344" s="30" t="s">
        <v>2133</v>
      </c>
      <c r="M344" s="30" t="s">
        <v>63</v>
      </c>
      <c r="N344" s="30">
        <v>0</v>
      </c>
      <c r="O344" s="30" t="s">
        <v>64</v>
      </c>
      <c r="P344" s="89" t="s">
        <v>165</v>
      </c>
      <c r="Q344" s="89" t="s">
        <v>598</v>
      </c>
      <c r="R344" s="89" t="s">
        <v>599</v>
      </c>
      <c r="S344" s="30">
        <v>0</v>
      </c>
      <c r="T344" s="233" t="s">
        <v>68</v>
      </c>
      <c r="U344" s="30">
        <v>1</v>
      </c>
      <c r="V344" s="233" t="s">
        <v>68</v>
      </c>
      <c r="W344" s="30">
        <v>0</v>
      </c>
      <c r="X344" s="30">
        <v>1</v>
      </c>
      <c r="Y344" s="30">
        <v>0</v>
      </c>
      <c r="Z344" s="233" t="s">
        <v>68</v>
      </c>
      <c r="AA344" s="30">
        <v>0</v>
      </c>
      <c r="AB344" s="30">
        <v>0</v>
      </c>
      <c r="AC344" s="30">
        <v>0</v>
      </c>
      <c r="AD344" s="30">
        <v>0</v>
      </c>
      <c r="AE344" s="89" t="s">
        <v>68</v>
      </c>
      <c r="AF344" s="89" t="s">
        <v>1864</v>
      </c>
      <c r="AG344" s="89" t="s">
        <v>82</v>
      </c>
      <c r="AH344" s="72" t="s">
        <v>68</v>
      </c>
      <c r="AI344" s="30">
        <v>0</v>
      </c>
      <c r="AJ344" s="89" t="s">
        <v>68</v>
      </c>
      <c r="AK344" s="89" t="s">
        <v>68</v>
      </c>
      <c r="AL344" s="91">
        <v>39328</v>
      </c>
      <c r="AM344" s="91"/>
      <c r="AN344" s="91"/>
      <c r="AO344" s="91"/>
      <c r="AP344" s="73" t="e">
        <f>MID(VLOOKUP(K344,#REF!,2,FALSE),1,2)</f>
        <v>#REF!</v>
      </c>
      <c r="AQ344" s="89">
        <f>DATE(2007,8,18)</f>
        <v>39312</v>
      </c>
      <c r="AR344" s="82">
        <f t="shared" si="26"/>
        <v>18</v>
      </c>
      <c r="AS344" s="83">
        <f t="shared" si="27"/>
        <v>8</v>
      </c>
      <c r="AT344" s="84">
        <f t="shared" si="28"/>
        <v>2007</v>
      </c>
      <c r="AU344" s="86"/>
      <c r="AV344" s="86"/>
      <c r="AW344" s="87"/>
      <c r="AX344" s="86"/>
      <c r="AY344" s="83"/>
      <c r="AZ344" s="84"/>
      <c r="BA344" s="86"/>
      <c r="BB344" s="86"/>
    </row>
    <row r="345" spans="1:54" ht="36.75" customHeight="1">
      <c r="A345" s="30"/>
      <c r="B345" s="30" t="s">
        <v>55</v>
      </c>
      <c r="C345" s="69" t="str">
        <f t="shared" si="25"/>
        <v>Closed</v>
      </c>
      <c r="D345" s="27" t="s">
        <v>2134</v>
      </c>
      <c r="E345" s="29" t="s">
        <v>2135</v>
      </c>
      <c r="F345" s="30" t="s">
        <v>233</v>
      </c>
      <c r="G345" s="89">
        <f>DATE(2007,8,22)</f>
        <v>39316</v>
      </c>
      <c r="H345" s="90">
        <v>1.6930555555555555</v>
      </c>
      <c r="I345" s="30" t="s">
        <v>86</v>
      </c>
      <c r="J345" s="89" t="s">
        <v>2136</v>
      </c>
      <c r="K345" s="30" t="s">
        <v>235</v>
      </c>
      <c r="L345" s="30" t="s">
        <v>2137</v>
      </c>
      <c r="M345" s="30" t="s">
        <v>63</v>
      </c>
      <c r="N345" s="30">
        <v>0</v>
      </c>
      <c r="O345" s="30" t="s">
        <v>64</v>
      </c>
      <c r="P345" s="89" t="s">
        <v>65</v>
      </c>
      <c r="Q345" s="89" t="s">
        <v>1428</v>
      </c>
      <c r="R345" s="89" t="s">
        <v>238</v>
      </c>
      <c r="S345" s="30">
        <v>0</v>
      </c>
      <c r="T345" s="233" t="s">
        <v>68</v>
      </c>
      <c r="U345" s="30">
        <v>0</v>
      </c>
      <c r="V345" s="233" t="s">
        <v>68</v>
      </c>
      <c r="W345" s="30">
        <v>0</v>
      </c>
      <c r="X345" s="30">
        <v>0</v>
      </c>
      <c r="Y345" s="30">
        <v>0</v>
      </c>
      <c r="Z345" s="233" t="s">
        <v>68</v>
      </c>
      <c r="AA345" s="30">
        <v>0</v>
      </c>
      <c r="AB345" s="30">
        <v>0</v>
      </c>
      <c r="AC345" s="30">
        <v>0</v>
      </c>
      <c r="AD345" s="30">
        <v>0</v>
      </c>
      <c r="AE345" s="89" t="s">
        <v>68</v>
      </c>
      <c r="AF345" s="89" t="s">
        <v>68</v>
      </c>
      <c r="AG345" s="89" t="s">
        <v>133</v>
      </c>
      <c r="AH345" s="72" t="s">
        <v>68</v>
      </c>
      <c r="AI345" s="30">
        <v>9</v>
      </c>
      <c r="AJ345" s="89" t="s">
        <v>2138</v>
      </c>
      <c r="AK345" s="89" t="s">
        <v>2139</v>
      </c>
      <c r="AL345" s="91">
        <v>39332</v>
      </c>
      <c r="AM345" s="91"/>
      <c r="AN345" s="91"/>
      <c r="AO345" s="91"/>
      <c r="AP345" s="73" t="e">
        <f>MID(VLOOKUP(K345,#REF!,2,FALSE),1,2)</f>
        <v>#REF!</v>
      </c>
      <c r="AQ345" s="89">
        <f>DATE(2007,8,22)</f>
        <v>39316</v>
      </c>
      <c r="AR345" s="82">
        <f t="shared" si="26"/>
        <v>22</v>
      </c>
      <c r="AS345" s="83">
        <f t="shared" si="27"/>
        <v>8</v>
      </c>
      <c r="AT345" s="84">
        <f t="shared" si="28"/>
        <v>2007</v>
      </c>
      <c r="AU345" s="86"/>
      <c r="AV345" s="86"/>
      <c r="AW345" s="87"/>
      <c r="AX345" s="86"/>
      <c r="AY345" s="83"/>
      <c r="AZ345" s="84"/>
      <c r="BA345" s="86"/>
      <c r="BB345" s="86"/>
    </row>
    <row r="346" spans="1:54" ht="36.75" customHeight="1">
      <c r="A346" s="30"/>
      <c r="B346" s="30" t="s">
        <v>55</v>
      </c>
      <c r="C346" s="69" t="str">
        <f t="shared" si="25"/>
        <v>Closed</v>
      </c>
      <c r="D346" s="27" t="s">
        <v>2140</v>
      </c>
      <c r="E346" s="29" t="s">
        <v>2141</v>
      </c>
      <c r="F346" s="30" t="s">
        <v>233</v>
      </c>
      <c r="G346" s="89">
        <f>DATE(2007,8,25)</f>
        <v>39319</v>
      </c>
      <c r="H346" s="90">
        <v>1.5277777777777777</v>
      </c>
      <c r="I346" s="30" t="s">
        <v>116</v>
      </c>
      <c r="J346" s="89" t="s">
        <v>2142</v>
      </c>
      <c r="K346" s="30" t="s">
        <v>235</v>
      </c>
      <c r="L346" s="30" t="s">
        <v>2143</v>
      </c>
      <c r="M346" s="30" t="s">
        <v>63</v>
      </c>
      <c r="N346" s="30">
        <v>0</v>
      </c>
      <c r="O346" s="30" t="s">
        <v>64</v>
      </c>
      <c r="P346" s="89" t="s">
        <v>86</v>
      </c>
      <c r="Q346" s="89" t="s">
        <v>2144</v>
      </c>
      <c r="R346" s="89" t="s">
        <v>2144</v>
      </c>
      <c r="S346" s="30">
        <v>0</v>
      </c>
      <c r="T346" s="233" t="s">
        <v>68</v>
      </c>
      <c r="U346" s="30">
        <v>0</v>
      </c>
      <c r="V346" s="233" t="s">
        <v>68</v>
      </c>
      <c r="W346" s="30">
        <v>0</v>
      </c>
      <c r="X346" s="30">
        <v>0</v>
      </c>
      <c r="Y346" s="30">
        <v>0</v>
      </c>
      <c r="Z346" s="233" t="s">
        <v>68</v>
      </c>
      <c r="AA346" s="30">
        <v>0</v>
      </c>
      <c r="AB346" s="30">
        <v>0</v>
      </c>
      <c r="AC346" s="30">
        <v>0</v>
      </c>
      <c r="AD346" s="30">
        <v>0</v>
      </c>
      <c r="AE346" s="89" t="s">
        <v>68</v>
      </c>
      <c r="AF346" s="89" t="s">
        <v>2145</v>
      </c>
      <c r="AG346" s="89" t="s">
        <v>133</v>
      </c>
      <c r="AH346" s="72" t="s">
        <v>68</v>
      </c>
      <c r="AI346" s="30">
        <v>2</v>
      </c>
      <c r="AJ346" s="89" t="s">
        <v>2146</v>
      </c>
      <c r="AK346" s="89" t="s">
        <v>2147</v>
      </c>
      <c r="AL346" s="91">
        <v>39332</v>
      </c>
      <c r="AM346" s="91"/>
      <c r="AN346" s="91"/>
      <c r="AO346" s="91"/>
      <c r="AP346" s="73" t="e">
        <f>MID(VLOOKUP(K346,#REF!,2,FALSE),1,2)</f>
        <v>#REF!</v>
      </c>
      <c r="AQ346" s="89">
        <f>DATE(2007,8,25)</f>
        <v>39319</v>
      </c>
      <c r="AR346" s="82">
        <f t="shared" si="26"/>
        <v>25</v>
      </c>
      <c r="AS346" s="83">
        <f t="shared" si="27"/>
        <v>8</v>
      </c>
      <c r="AT346" s="84">
        <f t="shared" si="28"/>
        <v>2007</v>
      </c>
      <c r="AU346" s="86"/>
      <c r="AV346" s="86"/>
      <c r="AW346" s="87"/>
      <c r="AX346" s="86"/>
      <c r="AY346" s="83"/>
      <c r="AZ346" s="84"/>
      <c r="BA346" s="86"/>
      <c r="BB346" s="86"/>
    </row>
    <row r="347" spans="1:54" ht="36.75" customHeight="1">
      <c r="A347" s="30"/>
      <c r="B347" s="30" t="s">
        <v>55</v>
      </c>
      <c r="C347" s="69" t="str">
        <f t="shared" si="25"/>
        <v>Closed</v>
      </c>
      <c r="D347" s="27" t="s">
        <v>2148</v>
      </c>
      <c r="E347" s="29" t="s">
        <v>2149</v>
      </c>
      <c r="F347" s="30" t="s">
        <v>638</v>
      </c>
      <c r="G347" s="89">
        <f>DATE(2007,8,27)</f>
        <v>39321</v>
      </c>
      <c r="H347" s="90">
        <v>1.4076388888888889</v>
      </c>
      <c r="I347" s="30" t="s">
        <v>116</v>
      </c>
      <c r="J347" s="89" t="s">
        <v>2150</v>
      </c>
      <c r="K347" s="30" t="s">
        <v>640</v>
      </c>
      <c r="L347" s="30" t="s">
        <v>2151</v>
      </c>
      <c r="M347" s="30" t="s">
        <v>63</v>
      </c>
      <c r="N347" s="30">
        <v>0</v>
      </c>
      <c r="O347" s="30" t="s">
        <v>86</v>
      </c>
      <c r="P347" s="89" t="s">
        <v>165</v>
      </c>
      <c r="Q347" s="89" t="s">
        <v>642</v>
      </c>
      <c r="R347" s="89" t="s">
        <v>643</v>
      </c>
      <c r="S347" s="30">
        <v>0</v>
      </c>
      <c r="T347" s="233">
        <v>0</v>
      </c>
      <c r="U347" s="30">
        <v>1</v>
      </c>
      <c r="V347" s="233">
        <v>0</v>
      </c>
      <c r="W347" s="30">
        <v>0</v>
      </c>
      <c r="X347" s="30">
        <v>1</v>
      </c>
      <c r="Y347" s="30">
        <v>0</v>
      </c>
      <c r="Z347" s="233">
        <v>0</v>
      </c>
      <c r="AA347" s="30">
        <v>0</v>
      </c>
      <c r="AB347" s="30">
        <v>0</v>
      </c>
      <c r="AC347" s="30">
        <v>0</v>
      </c>
      <c r="AD347" s="30">
        <v>0</v>
      </c>
      <c r="AE347" s="89" t="s">
        <v>68</v>
      </c>
      <c r="AF347" s="89" t="s">
        <v>68</v>
      </c>
      <c r="AG347" s="89" t="s">
        <v>248</v>
      </c>
      <c r="AH347" s="72" t="s">
        <v>68</v>
      </c>
      <c r="AI347" s="30">
        <v>1</v>
      </c>
      <c r="AJ347" s="89" t="s">
        <v>1732</v>
      </c>
      <c r="AK347" s="89" t="s">
        <v>68</v>
      </c>
      <c r="AL347" s="91">
        <v>39363</v>
      </c>
      <c r="AM347" s="91"/>
      <c r="AN347" s="91"/>
      <c r="AO347" s="91"/>
      <c r="AP347" s="73" t="e">
        <f>MID(VLOOKUP(K347,#REF!,2,FALSE),1,2)</f>
        <v>#REF!</v>
      </c>
      <c r="AQ347" s="89">
        <f>DATE(2007,8,27)</f>
        <v>39321</v>
      </c>
      <c r="AR347" s="82">
        <f t="shared" si="26"/>
        <v>27</v>
      </c>
      <c r="AS347" s="83">
        <f t="shared" si="27"/>
        <v>8</v>
      </c>
      <c r="AT347" s="84">
        <f t="shared" si="28"/>
        <v>2007</v>
      </c>
      <c r="AU347" s="86"/>
      <c r="AV347" s="86"/>
      <c r="AW347" s="87"/>
      <c r="AX347" s="86"/>
      <c r="AY347" s="83"/>
      <c r="AZ347" s="84"/>
      <c r="BA347" s="86"/>
      <c r="BB347" s="86"/>
    </row>
    <row r="348" spans="1:54" ht="36.75" customHeight="1">
      <c r="A348" s="30"/>
      <c r="B348" s="30" t="s">
        <v>55</v>
      </c>
      <c r="C348" s="69" t="str">
        <f t="shared" si="25"/>
        <v>Closed</v>
      </c>
      <c r="D348" s="27" t="s">
        <v>2152</v>
      </c>
      <c r="E348" s="29" t="s">
        <v>2153</v>
      </c>
      <c r="F348" s="30" t="s">
        <v>233</v>
      </c>
      <c r="G348" s="89">
        <f>DATE(2007,8,27)</f>
        <v>39321</v>
      </c>
      <c r="H348" s="90">
        <v>1.4458333333333333</v>
      </c>
      <c r="I348" s="30" t="s">
        <v>86</v>
      </c>
      <c r="J348" s="89" t="s">
        <v>2154</v>
      </c>
      <c r="K348" s="30" t="s">
        <v>235</v>
      </c>
      <c r="L348" s="30" t="s">
        <v>2155</v>
      </c>
      <c r="M348" s="30" t="s">
        <v>63</v>
      </c>
      <c r="N348" s="30">
        <v>0</v>
      </c>
      <c r="O348" s="30" t="s">
        <v>64</v>
      </c>
      <c r="P348" s="89" t="s">
        <v>78</v>
      </c>
      <c r="Q348" s="89" t="s">
        <v>237</v>
      </c>
      <c r="R348" s="89" t="s">
        <v>238</v>
      </c>
      <c r="S348" s="30">
        <v>0</v>
      </c>
      <c r="T348" s="233" t="s">
        <v>68</v>
      </c>
      <c r="U348" s="30">
        <v>0</v>
      </c>
      <c r="V348" s="233" t="s">
        <v>68</v>
      </c>
      <c r="W348" s="30">
        <v>0</v>
      </c>
      <c r="X348" s="30">
        <v>0</v>
      </c>
      <c r="Y348" s="30">
        <v>0</v>
      </c>
      <c r="Z348" s="233" t="s">
        <v>68</v>
      </c>
      <c r="AA348" s="30">
        <v>0</v>
      </c>
      <c r="AB348" s="30">
        <v>0</v>
      </c>
      <c r="AC348" s="30">
        <v>0</v>
      </c>
      <c r="AD348" s="30">
        <v>0</v>
      </c>
      <c r="AE348" s="89" t="s">
        <v>68</v>
      </c>
      <c r="AF348" s="89" t="s">
        <v>68</v>
      </c>
      <c r="AG348" s="89" t="s">
        <v>133</v>
      </c>
      <c r="AH348" s="72" t="s">
        <v>68</v>
      </c>
      <c r="AI348" s="30">
        <v>3</v>
      </c>
      <c r="AJ348" s="89" t="s">
        <v>2156</v>
      </c>
      <c r="AK348" s="89" t="s">
        <v>2157</v>
      </c>
      <c r="AL348" s="91">
        <v>39343</v>
      </c>
      <c r="AM348" s="91"/>
      <c r="AN348" s="91"/>
      <c r="AO348" s="91"/>
      <c r="AP348" s="73" t="e">
        <f>MID(VLOOKUP(K348,#REF!,2,FALSE),1,2)</f>
        <v>#REF!</v>
      </c>
      <c r="AQ348" s="89">
        <f>DATE(2007,8,27)</f>
        <v>39321</v>
      </c>
      <c r="AR348" s="82">
        <f t="shared" si="26"/>
        <v>27</v>
      </c>
      <c r="AS348" s="83">
        <f t="shared" si="27"/>
        <v>8</v>
      </c>
      <c r="AT348" s="84">
        <f t="shared" si="28"/>
        <v>2007</v>
      </c>
      <c r="AU348" s="86"/>
      <c r="AV348" s="86"/>
      <c r="AW348" s="87"/>
      <c r="AX348" s="86"/>
      <c r="AY348" s="83"/>
      <c r="AZ348" s="84"/>
      <c r="BA348" s="86"/>
      <c r="BB348" s="86"/>
    </row>
    <row r="349" spans="1:54" ht="36.75" customHeight="1">
      <c r="A349" s="30"/>
      <c r="B349" s="30" t="s">
        <v>55</v>
      </c>
      <c r="C349" s="69" t="str">
        <f t="shared" si="25"/>
        <v>Closed</v>
      </c>
      <c r="D349" s="27" t="s">
        <v>2158</v>
      </c>
      <c r="E349" s="29" t="s">
        <v>2159</v>
      </c>
      <c r="F349" s="30" t="s">
        <v>835</v>
      </c>
      <c r="G349" s="89">
        <f>DATE(2007,8,29)</f>
        <v>39323</v>
      </c>
      <c r="H349" s="90">
        <v>1.6062500000000002</v>
      </c>
      <c r="I349" s="30" t="s">
        <v>116</v>
      </c>
      <c r="J349" s="89" t="s">
        <v>2160</v>
      </c>
      <c r="K349" s="30" t="s">
        <v>837</v>
      </c>
      <c r="L349" s="30" t="s">
        <v>2161</v>
      </c>
      <c r="M349" s="30" t="s">
        <v>63</v>
      </c>
      <c r="N349" s="30">
        <v>0</v>
      </c>
      <c r="O349" s="30" t="s">
        <v>64</v>
      </c>
      <c r="P349" s="89" t="s">
        <v>165</v>
      </c>
      <c r="Q349" s="89" t="s">
        <v>2162</v>
      </c>
      <c r="R349" s="89" t="s">
        <v>840</v>
      </c>
      <c r="S349" s="30">
        <v>0</v>
      </c>
      <c r="T349" s="233" t="s">
        <v>68</v>
      </c>
      <c r="U349" s="30">
        <v>0</v>
      </c>
      <c r="V349" s="233" t="s">
        <v>68</v>
      </c>
      <c r="W349" s="30">
        <v>0</v>
      </c>
      <c r="X349" s="30">
        <v>0</v>
      </c>
      <c r="Y349" s="30">
        <v>0</v>
      </c>
      <c r="Z349" s="233" t="s">
        <v>68</v>
      </c>
      <c r="AA349" s="30">
        <v>0</v>
      </c>
      <c r="AB349" s="30">
        <v>0</v>
      </c>
      <c r="AC349" s="30">
        <v>0</v>
      </c>
      <c r="AD349" s="30">
        <v>0</v>
      </c>
      <c r="AE349" s="89" t="s">
        <v>68</v>
      </c>
      <c r="AF349" s="89" t="s">
        <v>2163</v>
      </c>
      <c r="AG349" s="89" t="s">
        <v>133</v>
      </c>
      <c r="AH349" s="72" t="s">
        <v>68</v>
      </c>
      <c r="AI349" s="30">
        <v>1</v>
      </c>
      <c r="AJ349" s="89" t="s">
        <v>68</v>
      </c>
      <c r="AK349" s="89" t="s">
        <v>68</v>
      </c>
      <c r="AL349" s="91">
        <v>39401</v>
      </c>
      <c r="AM349" s="91"/>
      <c r="AN349" s="91"/>
      <c r="AO349" s="91"/>
      <c r="AP349" s="73" t="e">
        <f>MID(VLOOKUP(K349,#REF!,2,FALSE),1,2)</f>
        <v>#REF!</v>
      </c>
      <c r="AQ349" s="89">
        <f>DATE(2007,8,29)</f>
        <v>39323</v>
      </c>
      <c r="AR349" s="82">
        <f t="shared" si="26"/>
        <v>29</v>
      </c>
      <c r="AS349" s="83">
        <f t="shared" si="27"/>
        <v>8</v>
      </c>
      <c r="AT349" s="84">
        <f t="shared" si="28"/>
        <v>2007</v>
      </c>
      <c r="AU349" s="86"/>
      <c r="AV349" s="86"/>
      <c r="AW349" s="87"/>
      <c r="AX349" s="86"/>
      <c r="AY349" s="83"/>
      <c r="AZ349" s="84"/>
      <c r="BA349" s="86"/>
      <c r="BB349" s="86"/>
    </row>
    <row r="350" spans="1:54" ht="36.75" customHeight="1">
      <c r="A350" s="30"/>
      <c r="B350" s="30" t="s">
        <v>55</v>
      </c>
      <c r="C350" s="69" t="str">
        <f t="shared" si="25"/>
        <v>Closed</v>
      </c>
      <c r="D350" s="27" t="s">
        <v>2164</v>
      </c>
      <c r="E350" s="29" t="s">
        <v>2165</v>
      </c>
      <c r="F350" s="30" t="s">
        <v>233</v>
      </c>
      <c r="G350" s="89">
        <f>DATE(2007,8,29)</f>
        <v>39323</v>
      </c>
      <c r="H350" s="90">
        <v>1.4145833333333333</v>
      </c>
      <c r="I350" s="30" t="s">
        <v>278</v>
      </c>
      <c r="J350" s="89" t="s">
        <v>2166</v>
      </c>
      <c r="K350" s="30" t="s">
        <v>235</v>
      </c>
      <c r="L350" s="30" t="s">
        <v>2167</v>
      </c>
      <c r="M350" s="30" t="s">
        <v>63</v>
      </c>
      <c r="N350" s="30">
        <v>0</v>
      </c>
      <c r="O350" s="30" t="s">
        <v>64</v>
      </c>
      <c r="P350" s="89" t="s">
        <v>165</v>
      </c>
      <c r="Q350" s="89" t="s">
        <v>351</v>
      </c>
      <c r="R350" s="89" t="s">
        <v>238</v>
      </c>
      <c r="S350" s="30">
        <v>0</v>
      </c>
      <c r="T350" s="233">
        <v>0</v>
      </c>
      <c r="U350" s="30">
        <v>0</v>
      </c>
      <c r="V350" s="233">
        <v>0</v>
      </c>
      <c r="W350" s="30">
        <v>0</v>
      </c>
      <c r="X350" s="30">
        <v>0</v>
      </c>
      <c r="Y350" s="30">
        <v>0</v>
      </c>
      <c r="Z350" s="233">
        <v>1</v>
      </c>
      <c r="AA350" s="30">
        <v>0</v>
      </c>
      <c r="AB350" s="30">
        <v>0</v>
      </c>
      <c r="AC350" s="30">
        <v>0</v>
      </c>
      <c r="AD350" s="30">
        <v>1</v>
      </c>
      <c r="AE350" s="89" t="s">
        <v>68</v>
      </c>
      <c r="AF350" s="89" t="s">
        <v>68</v>
      </c>
      <c r="AG350" s="89" t="s">
        <v>133</v>
      </c>
      <c r="AH350" s="72" t="s">
        <v>68</v>
      </c>
      <c r="AI350" s="30">
        <v>6</v>
      </c>
      <c r="AJ350" s="89" t="s">
        <v>2168</v>
      </c>
      <c r="AK350" s="89" t="s">
        <v>2169</v>
      </c>
      <c r="AL350" s="91">
        <v>39332</v>
      </c>
      <c r="AM350" s="91"/>
      <c r="AN350" s="91"/>
      <c r="AO350" s="91"/>
      <c r="AP350" s="73" t="e">
        <f>MID(VLOOKUP(K350,#REF!,2,FALSE),1,2)</f>
        <v>#REF!</v>
      </c>
      <c r="AQ350" s="89">
        <f>DATE(2007,8,29)</f>
        <v>39323</v>
      </c>
      <c r="AR350" s="82">
        <f t="shared" si="26"/>
        <v>29</v>
      </c>
      <c r="AS350" s="83">
        <f t="shared" si="27"/>
        <v>8</v>
      </c>
      <c r="AT350" s="84">
        <f t="shared" si="28"/>
        <v>2007</v>
      </c>
      <c r="AU350" s="86"/>
      <c r="AV350" s="86"/>
      <c r="AW350" s="87"/>
      <c r="AX350" s="86"/>
      <c r="AY350" s="83"/>
      <c r="AZ350" s="84"/>
      <c r="BA350" s="86"/>
      <c r="BB350" s="86"/>
    </row>
    <row r="351" spans="1:54" ht="36.75" customHeight="1">
      <c r="A351" s="30"/>
      <c r="B351" s="30" t="s">
        <v>55</v>
      </c>
      <c r="C351" s="69" t="str">
        <f t="shared" si="25"/>
        <v>Closed</v>
      </c>
      <c r="D351" s="27" t="s">
        <v>2170</v>
      </c>
      <c r="E351" s="29" t="s">
        <v>2171</v>
      </c>
      <c r="F351" s="30" t="s">
        <v>233</v>
      </c>
      <c r="G351" s="89">
        <f>DATE(2007,8,29)</f>
        <v>39323</v>
      </c>
      <c r="H351" s="90">
        <v>1.5395833333333333</v>
      </c>
      <c r="I351" s="30" t="s">
        <v>86</v>
      </c>
      <c r="J351" s="89" t="s">
        <v>2172</v>
      </c>
      <c r="K351" s="30" t="s">
        <v>235</v>
      </c>
      <c r="L351" s="30" t="s">
        <v>2173</v>
      </c>
      <c r="M351" s="30" t="s">
        <v>63</v>
      </c>
      <c r="N351" s="30">
        <v>0</v>
      </c>
      <c r="O351" s="30" t="s">
        <v>64</v>
      </c>
      <c r="P351" s="89" t="s">
        <v>165</v>
      </c>
      <c r="Q351" s="89" t="s">
        <v>2174</v>
      </c>
      <c r="R351" s="89" t="s">
        <v>238</v>
      </c>
      <c r="S351" s="30">
        <v>0</v>
      </c>
      <c r="T351" s="233" t="s">
        <v>68</v>
      </c>
      <c r="U351" s="30">
        <v>0</v>
      </c>
      <c r="V351" s="233" t="s">
        <v>68</v>
      </c>
      <c r="W351" s="30">
        <v>0</v>
      </c>
      <c r="X351" s="30">
        <v>0</v>
      </c>
      <c r="Y351" s="30">
        <v>0</v>
      </c>
      <c r="Z351" s="233" t="s">
        <v>68</v>
      </c>
      <c r="AA351" s="30">
        <v>0</v>
      </c>
      <c r="AB351" s="30">
        <v>0</v>
      </c>
      <c r="AC351" s="30">
        <v>0</v>
      </c>
      <c r="AD351" s="30">
        <v>0</v>
      </c>
      <c r="AE351" s="89" t="s">
        <v>68</v>
      </c>
      <c r="AF351" s="89" t="s">
        <v>68</v>
      </c>
      <c r="AG351" s="89" t="s">
        <v>133</v>
      </c>
      <c r="AH351" s="72" t="s">
        <v>68</v>
      </c>
      <c r="AI351" s="30">
        <v>7</v>
      </c>
      <c r="AJ351" s="89" t="s">
        <v>2175</v>
      </c>
      <c r="AK351" s="89" t="s">
        <v>2176</v>
      </c>
      <c r="AL351" s="91">
        <v>39343</v>
      </c>
      <c r="AM351" s="91"/>
      <c r="AN351" s="91"/>
      <c r="AO351" s="91"/>
      <c r="AP351" s="73" t="e">
        <f>MID(VLOOKUP(K351,#REF!,2,FALSE),1,2)</f>
        <v>#REF!</v>
      </c>
      <c r="AQ351" s="89">
        <f>DATE(2007,8,29)</f>
        <v>39323</v>
      </c>
      <c r="AR351" s="82">
        <f t="shared" si="26"/>
        <v>29</v>
      </c>
      <c r="AS351" s="83">
        <f t="shared" si="27"/>
        <v>8</v>
      </c>
      <c r="AT351" s="84">
        <f t="shared" si="28"/>
        <v>2007</v>
      </c>
      <c r="AU351" s="86"/>
      <c r="AV351" s="86"/>
      <c r="AW351" s="87"/>
      <c r="AX351" s="86"/>
      <c r="AY351" s="83"/>
      <c r="AZ351" s="84"/>
      <c r="BA351" s="86"/>
      <c r="BB351" s="86"/>
    </row>
    <row r="352" spans="1:54" ht="36.75" customHeight="1">
      <c r="A352" s="30"/>
      <c r="B352" s="30" t="s">
        <v>55</v>
      </c>
      <c r="C352" s="69" t="str">
        <f t="shared" si="25"/>
        <v>Closed</v>
      </c>
      <c r="D352" s="27" t="s">
        <v>2177</v>
      </c>
      <c r="E352" s="29" t="s">
        <v>2178</v>
      </c>
      <c r="F352" s="30" t="s">
        <v>197</v>
      </c>
      <c r="G352" s="89">
        <f>DATE(2007,8,30)</f>
        <v>39324</v>
      </c>
      <c r="H352" s="90">
        <v>1.7368055555555557</v>
      </c>
      <c r="I352" s="30" t="s">
        <v>73</v>
      </c>
      <c r="J352" s="89" t="s">
        <v>2179</v>
      </c>
      <c r="K352" s="30" t="s">
        <v>200</v>
      </c>
      <c r="L352" s="30" t="s">
        <v>2180</v>
      </c>
      <c r="M352" s="30" t="s">
        <v>63</v>
      </c>
      <c r="N352" s="30">
        <v>0</v>
      </c>
      <c r="O352" s="30" t="s">
        <v>64</v>
      </c>
      <c r="P352" s="89" t="s">
        <v>165</v>
      </c>
      <c r="Q352" s="89" t="s">
        <v>202</v>
      </c>
      <c r="R352" s="89" t="s">
        <v>203</v>
      </c>
      <c r="S352" s="30">
        <v>0</v>
      </c>
      <c r="T352" s="233" t="s">
        <v>68</v>
      </c>
      <c r="U352" s="30">
        <v>0</v>
      </c>
      <c r="V352" s="233" t="s">
        <v>68</v>
      </c>
      <c r="W352" s="30">
        <v>0</v>
      </c>
      <c r="X352" s="30">
        <v>0</v>
      </c>
      <c r="Y352" s="30">
        <v>0</v>
      </c>
      <c r="Z352" s="233" t="s">
        <v>68</v>
      </c>
      <c r="AA352" s="30">
        <v>0</v>
      </c>
      <c r="AB352" s="30">
        <v>0</v>
      </c>
      <c r="AC352" s="30">
        <v>0</v>
      </c>
      <c r="AD352" s="30">
        <v>0</v>
      </c>
      <c r="AE352" s="89" t="s">
        <v>68</v>
      </c>
      <c r="AF352" s="89" t="s">
        <v>2181</v>
      </c>
      <c r="AG352" s="89" t="s">
        <v>133</v>
      </c>
      <c r="AH352" s="72" t="s">
        <v>68</v>
      </c>
      <c r="AI352" s="30">
        <v>5</v>
      </c>
      <c r="AJ352" s="89" t="s">
        <v>2182</v>
      </c>
      <c r="AK352" s="89" t="s">
        <v>2183</v>
      </c>
      <c r="AL352" s="91">
        <v>39790</v>
      </c>
      <c r="AM352" s="91"/>
      <c r="AN352" s="91"/>
      <c r="AO352" s="91"/>
      <c r="AP352" s="73" t="e">
        <f>MID(VLOOKUP(K352,#REF!,2,FALSE),1,2)</f>
        <v>#REF!</v>
      </c>
      <c r="AQ352" s="89">
        <f>DATE(2007,8,30)</f>
        <v>39324</v>
      </c>
      <c r="AR352" s="82">
        <f t="shared" si="26"/>
        <v>30</v>
      </c>
      <c r="AS352" s="83">
        <f t="shared" si="27"/>
        <v>8</v>
      </c>
      <c r="AT352" s="84">
        <f t="shared" si="28"/>
        <v>2007</v>
      </c>
      <c r="AU352" s="86"/>
      <c r="AV352" s="86"/>
      <c r="AW352" s="87"/>
      <c r="AX352" s="86"/>
      <c r="AY352" s="83"/>
      <c r="AZ352" s="84"/>
      <c r="BA352" s="86"/>
      <c r="BB352" s="86"/>
    </row>
    <row r="353" spans="1:54" ht="36.75" customHeight="1">
      <c r="A353" s="30"/>
      <c r="B353" s="30" t="s">
        <v>55</v>
      </c>
      <c r="C353" s="69" t="str">
        <f t="shared" si="25"/>
        <v>Closed</v>
      </c>
      <c r="D353" s="27" t="s">
        <v>2184</v>
      </c>
      <c r="E353" s="29" t="s">
        <v>2185</v>
      </c>
      <c r="F353" s="30" t="s">
        <v>423</v>
      </c>
      <c r="G353" s="89">
        <f>DATE(2007,9,1)</f>
        <v>39326</v>
      </c>
      <c r="H353" s="90">
        <v>1.3402777777777777</v>
      </c>
      <c r="I353" s="30" t="s">
        <v>198</v>
      </c>
      <c r="J353" s="89" t="s">
        <v>2186</v>
      </c>
      <c r="K353" s="30" t="s">
        <v>425</v>
      </c>
      <c r="L353" s="30" t="s">
        <v>2187</v>
      </c>
      <c r="M353" s="30" t="s">
        <v>63</v>
      </c>
      <c r="N353" s="30">
        <v>0</v>
      </c>
      <c r="O353" s="30" t="s">
        <v>64</v>
      </c>
      <c r="P353" s="89" t="s">
        <v>165</v>
      </c>
      <c r="Q353" s="89" t="s">
        <v>427</v>
      </c>
      <c r="R353" s="89" t="s">
        <v>427</v>
      </c>
      <c r="S353" s="30">
        <v>0</v>
      </c>
      <c r="T353" s="233">
        <v>0</v>
      </c>
      <c r="U353" s="30">
        <v>0</v>
      </c>
      <c r="V353" s="233">
        <v>0</v>
      </c>
      <c r="W353" s="30">
        <v>0</v>
      </c>
      <c r="X353" s="30">
        <v>0</v>
      </c>
      <c r="Y353" s="30">
        <v>7</v>
      </c>
      <c r="Z353" s="233">
        <v>0</v>
      </c>
      <c r="AA353" s="30">
        <v>0</v>
      </c>
      <c r="AB353" s="30">
        <v>0</v>
      </c>
      <c r="AC353" s="30">
        <v>0</v>
      </c>
      <c r="AD353" s="30">
        <v>7</v>
      </c>
      <c r="AE353" s="89" t="s">
        <v>68</v>
      </c>
      <c r="AF353" s="89" t="s">
        <v>2188</v>
      </c>
      <c r="AG353" s="89" t="s">
        <v>82</v>
      </c>
      <c r="AH353" s="72" t="s">
        <v>68</v>
      </c>
      <c r="AI353" s="30">
        <v>1</v>
      </c>
      <c r="AJ353" s="89" t="s">
        <v>68</v>
      </c>
      <c r="AK353" s="89" t="s">
        <v>68</v>
      </c>
      <c r="AL353" s="91">
        <v>39332</v>
      </c>
      <c r="AM353" s="91"/>
      <c r="AN353" s="91"/>
      <c r="AO353" s="91"/>
      <c r="AP353" s="73" t="e">
        <f>MID(VLOOKUP(K353,#REF!,2,FALSE),1,2)</f>
        <v>#REF!</v>
      </c>
      <c r="AQ353" s="89">
        <f>DATE(2007,9,1)</f>
        <v>39326</v>
      </c>
      <c r="AR353" s="82">
        <f t="shared" si="26"/>
        <v>1</v>
      </c>
      <c r="AS353" s="83">
        <f t="shared" si="27"/>
        <v>9</v>
      </c>
      <c r="AT353" s="84">
        <f t="shared" si="28"/>
        <v>2007</v>
      </c>
      <c r="AU353" s="86"/>
      <c r="AV353" s="86"/>
      <c r="AW353" s="87"/>
      <c r="AX353" s="86"/>
      <c r="AY353" s="83"/>
      <c r="AZ353" s="84"/>
      <c r="BA353" s="86"/>
      <c r="BB353" s="86"/>
    </row>
    <row r="354" spans="1:54" ht="36.75" customHeight="1">
      <c r="A354" s="30"/>
      <c r="B354" s="30" t="s">
        <v>55</v>
      </c>
      <c r="C354" s="69" t="str">
        <f t="shared" si="25"/>
        <v>Closed</v>
      </c>
      <c r="D354" s="27" t="s">
        <v>2189</v>
      </c>
      <c r="E354" s="29" t="s">
        <v>2190</v>
      </c>
      <c r="F354" s="30" t="s">
        <v>423</v>
      </c>
      <c r="G354" s="89">
        <f>DATE(2007,9,1)</f>
        <v>39326</v>
      </c>
      <c r="H354" s="90">
        <v>1.3416666666666666</v>
      </c>
      <c r="I354" s="30" t="s">
        <v>86</v>
      </c>
      <c r="J354" s="89" t="s">
        <v>2191</v>
      </c>
      <c r="K354" s="30" t="s">
        <v>425</v>
      </c>
      <c r="L354" s="30" t="s">
        <v>2192</v>
      </c>
      <c r="M354" s="30" t="s">
        <v>63</v>
      </c>
      <c r="N354" s="30">
        <v>0</v>
      </c>
      <c r="O354" s="30" t="s">
        <v>64</v>
      </c>
      <c r="P354" s="89" t="s">
        <v>165</v>
      </c>
      <c r="Q354" s="89" t="s">
        <v>427</v>
      </c>
      <c r="R354" s="89" t="s">
        <v>427</v>
      </c>
      <c r="S354" s="30">
        <v>0</v>
      </c>
      <c r="T354" s="233" t="s">
        <v>68</v>
      </c>
      <c r="U354" s="30">
        <v>0</v>
      </c>
      <c r="V354" s="233" t="s">
        <v>68</v>
      </c>
      <c r="W354" s="30">
        <v>0</v>
      </c>
      <c r="X354" s="30">
        <v>0</v>
      </c>
      <c r="Y354" s="30">
        <v>0</v>
      </c>
      <c r="Z354" s="233" t="s">
        <v>68</v>
      </c>
      <c r="AA354" s="30">
        <v>0</v>
      </c>
      <c r="AB354" s="30">
        <v>0</v>
      </c>
      <c r="AC354" s="30">
        <v>0</v>
      </c>
      <c r="AD354" s="30">
        <v>0</v>
      </c>
      <c r="AE354" s="89" t="s">
        <v>68</v>
      </c>
      <c r="AF354" s="89" t="s">
        <v>2193</v>
      </c>
      <c r="AG354" s="89" t="s">
        <v>133</v>
      </c>
      <c r="AH354" s="72" t="s">
        <v>68</v>
      </c>
      <c r="AI354" s="30">
        <v>0</v>
      </c>
      <c r="AJ354" s="89" t="s">
        <v>68</v>
      </c>
      <c r="AK354" s="89" t="s">
        <v>68</v>
      </c>
      <c r="AL354" s="91">
        <v>39332</v>
      </c>
      <c r="AM354" s="91"/>
      <c r="AN354" s="91"/>
      <c r="AO354" s="91"/>
      <c r="AP354" s="73" t="e">
        <f>MID(VLOOKUP(K354,#REF!,2,FALSE),1,2)</f>
        <v>#REF!</v>
      </c>
      <c r="AQ354" s="89">
        <f>DATE(2007,9,1)</f>
        <v>39326</v>
      </c>
      <c r="AR354" s="82">
        <f t="shared" si="26"/>
        <v>1</v>
      </c>
      <c r="AS354" s="83">
        <f t="shared" si="27"/>
        <v>9</v>
      </c>
      <c r="AT354" s="84">
        <f t="shared" si="28"/>
        <v>2007</v>
      </c>
      <c r="AU354" s="86"/>
      <c r="AV354" s="86"/>
      <c r="AW354" s="87"/>
      <c r="AX354" s="86"/>
      <c r="AY354" s="83"/>
      <c r="AZ354" s="84"/>
      <c r="BA354" s="86"/>
      <c r="BB354" s="86"/>
    </row>
    <row r="355" spans="1:54" ht="36.75" customHeight="1">
      <c r="A355" s="30"/>
      <c r="B355" s="30" t="s">
        <v>55</v>
      </c>
      <c r="C355" s="69" t="str">
        <f t="shared" si="25"/>
        <v>Closed</v>
      </c>
      <c r="D355" s="27" t="s">
        <v>2194</v>
      </c>
      <c r="E355" s="29" t="s">
        <v>2195</v>
      </c>
      <c r="F355" s="30" t="s">
        <v>1770</v>
      </c>
      <c r="G355" s="89">
        <f>DATE(2007,9,2)</f>
        <v>39327</v>
      </c>
      <c r="H355" s="90">
        <v>1.0118055555555556</v>
      </c>
      <c r="I355" s="30" t="s">
        <v>73</v>
      </c>
      <c r="J355" s="89" t="s">
        <v>2196</v>
      </c>
      <c r="K355" s="30" t="s">
        <v>1772</v>
      </c>
      <c r="L355" s="30" t="s">
        <v>2197</v>
      </c>
      <c r="M355" s="30" t="s">
        <v>63</v>
      </c>
      <c r="N355" s="30" t="s">
        <v>89</v>
      </c>
      <c r="O355" s="30" t="s">
        <v>77</v>
      </c>
      <c r="P355" s="89" t="s">
        <v>78</v>
      </c>
      <c r="Q355" s="89" t="s">
        <v>1774</v>
      </c>
      <c r="R355" s="89" t="s">
        <v>1775</v>
      </c>
      <c r="S355" s="30">
        <v>0</v>
      </c>
      <c r="T355" s="233">
        <v>0</v>
      </c>
      <c r="U355" s="30">
        <v>0</v>
      </c>
      <c r="V355" s="233">
        <v>0</v>
      </c>
      <c r="W355" s="30">
        <v>0</v>
      </c>
      <c r="X355" s="30">
        <v>0</v>
      </c>
      <c r="Y355" s="30">
        <v>0</v>
      </c>
      <c r="Z355" s="233">
        <v>0</v>
      </c>
      <c r="AA355" s="30">
        <v>0</v>
      </c>
      <c r="AB355" s="30">
        <v>0</v>
      </c>
      <c r="AC355" s="30">
        <v>0</v>
      </c>
      <c r="AD355" s="30">
        <v>0</v>
      </c>
      <c r="AE355" s="89" t="s">
        <v>394</v>
      </c>
      <c r="AF355" s="89" t="s">
        <v>2198</v>
      </c>
      <c r="AG355" s="89" t="s">
        <v>133</v>
      </c>
      <c r="AH355" s="72">
        <v>39331</v>
      </c>
      <c r="AI355" s="30">
        <v>4</v>
      </c>
      <c r="AJ355" s="89" t="s">
        <v>2199</v>
      </c>
      <c r="AK355" s="89" t="s">
        <v>2200</v>
      </c>
      <c r="AL355" s="91">
        <v>39364</v>
      </c>
      <c r="AM355" s="91"/>
      <c r="AN355" s="91"/>
      <c r="AO355" s="91"/>
      <c r="AP355" s="73" t="e">
        <f>MID(VLOOKUP(K355,#REF!,2,FALSE),1,2)</f>
        <v>#REF!</v>
      </c>
      <c r="AQ355" s="89">
        <f>DATE(2007,9,2)</f>
        <v>39327</v>
      </c>
      <c r="AR355" s="82">
        <f t="shared" si="26"/>
        <v>2</v>
      </c>
      <c r="AS355" s="83">
        <f t="shared" si="27"/>
        <v>9</v>
      </c>
      <c r="AT355" s="84">
        <f t="shared" si="28"/>
        <v>2007</v>
      </c>
      <c r="AU355" s="86"/>
      <c r="AV355" s="86"/>
      <c r="AW355" s="87"/>
      <c r="AX355" s="86"/>
      <c r="AY355" s="83"/>
      <c r="AZ355" s="84"/>
      <c r="BA355" s="86"/>
      <c r="BB355" s="86"/>
    </row>
    <row r="356" spans="1:54" ht="36.75" customHeight="1">
      <c r="A356" s="30"/>
      <c r="B356" s="30" t="s">
        <v>55</v>
      </c>
      <c r="C356" s="69" t="str">
        <f t="shared" si="25"/>
        <v>Closed</v>
      </c>
      <c r="D356" s="27" t="s">
        <v>2201</v>
      </c>
      <c r="E356" s="29" t="s">
        <v>2202</v>
      </c>
      <c r="F356" s="30" t="s">
        <v>233</v>
      </c>
      <c r="G356" s="89">
        <f>DATE(2007,9,3)</f>
        <v>39328</v>
      </c>
      <c r="H356" s="90">
        <v>1.3583333333333334</v>
      </c>
      <c r="I356" s="30" t="s">
        <v>73</v>
      </c>
      <c r="J356" s="89" t="s">
        <v>2203</v>
      </c>
      <c r="K356" s="30" t="s">
        <v>235</v>
      </c>
      <c r="L356" s="30" t="s">
        <v>2204</v>
      </c>
      <c r="M356" s="30" t="s">
        <v>63</v>
      </c>
      <c r="N356" s="30">
        <v>0</v>
      </c>
      <c r="O356" s="30" t="s">
        <v>64</v>
      </c>
      <c r="P356" s="89" t="s">
        <v>165</v>
      </c>
      <c r="Q356" s="89" t="s">
        <v>359</v>
      </c>
      <c r="R356" s="89" t="s">
        <v>238</v>
      </c>
      <c r="S356" s="30">
        <v>0</v>
      </c>
      <c r="T356" s="233" t="s">
        <v>68</v>
      </c>
      <c r="U356" s="30">
        <v>0</v>
      </c>
      <c r="V356" s="233" t="s">
        <v>68</v>
      </c>
      <c r="W356" s="30">
        <v>0</v>
      </c>
      <c r="X356" s="30">
        <v>0</v>
      </c>
      <c r="Y356" s="30">
        <v>0</v>
      </c>
      <c r="Z356" s="233" t="s">
        <v>68</v>
      </c>
      <c r="AA356" s="30">
        <v>0</v>
      </c>
      <c r="AB356" s="30">
        <v>0</v>
      </c>
      <c r="AC356" s="30">
        <v>0</v>
      </c>
      <c r="AD356" s="30">
        <v>0</v>
      </c>
      <c r="AE356" s="89" t="s">
        <v>68</v>
      </c>
      <c r="AF356" s="89" t="s">
        <v>2205</v>
      </c>
      <c r="AG356" s="89" t="s">
        <v>133</v>
      </c>
      <c r="AH356" s="72" t="s">
        <v>68</v>
      </c>
      <c r="AI356" s="30">
        <v>4</v>
      </c>
      <c r="AJ356" s="89" t="s">
        <v>2206</v>
      </c>
      <c r="AK356" s="89" t="s">
        <v>2207</v>
      </c>
      <c r="AL356" s="91">
        <v>39343</v>
      </c>
      <c r="AM356" s="91"/>
      <c r="AN356" s="91"/>
      <c r="AO356" s="91"/>
      <c r="AP356" s="73" t="e">
        <f>MID(VLOOKUP(K356,#REF!,2,FALSE),1,2)</f>
        <v>#REF!</v>
      </c>
      <c r="AQ356" s="89">
        <f>DATE(2007,9,3)</f>
        <v>39328</v>
      </c>
      <c r="AR356" s="82">
        <f t="shared" si="26"/>
        <v>3</v>
      </c>
      <c r="AS356" s="83">
        <f t="shared" si="27"/>
        <v>9</v>
      </c>
      <c r="AT356" s="84">
        <f t="shared" si="28"/>
        <v>2007</v>
      </c>
      <c r="AU356" s="86"/>
      <c r="AV356" s="86"/>
      <c r="AW356" s="87"/>
      <c r="AX356" s="86"/>
      <c r="AY356" s="83"/>
      <c r="AZ356" s="84"/>
      <c r="BA356" s="86"/>
      <c r="BB356" s="86"/>
    </row>
    <row r="357" spans="1:54" ht="36.75" customHeight="1">
      <c r="A357" s="30"/>
      <c r="B357" s="30" t="s">
        <v>55</v>
      </c>
      <c r="C357" s="69" t="str">
        <f t="shared" si="25"/>
        <v>Closed</v>
      </c>
      <c r="D357" s="27" t="s">
        <v>2208</v>
      </c>
      <c r="E357" s="29" t="s">
        <v>2209</v>
      </c>
      <c r="F357" s="30" t="s">
        <v>124</v>
      </c>
      <c r="G357" s="89">
        <f>DATE(2007,9,5)</f>
        <v>39330</v>
      </c>
      <c r="H357" s="90">
        <v>1.2437499999999999</v>
      </c>
      <c r="I357" s="30" t="s">
        <v>156</v>
      </c>
      <c r="J357" s="89" t="s">
        <v>2210</v>
      </c>
      <c r="K357" s="30" t="s">
        <v>127</v>
      </c>
      <c r="L357" s="30" t="s">
        <v>2211</v>
      </c>
      <c r="M357" s="30" t="s">
        <v>63</v>
      </c>
      <c r="N357" s="30">
        <v>0</v>
      </c>
      <c r="O357" s="30" t="s">
        <v>64</v>
      </c>
      <c r="P357" s="89" t="s">
        <v>1229</v>
      </c>
      <c r="Q357" s="89" t="s">
        <v>2212</v>
      </c>
      <c r="R357" s="89" t="s">
        <v>167</v>
      </c>
      <c r="S357" s="30">
        <v>0</v>
      </c>
      <c r="T357" s="233" t="s">
        <v>68</v>
      </c>
      <c r="U357" s="30">
        <v>0</v>
      </c>
      <c r="V357" s="233" t="s">
        <v>68</v>
      </c>
      <c r="W357" s="30">
        <v>0</v>
      </c>
      <c r="X357" s="30">
        <v>0</v>
      </c>
      <c r="Y357" s="30">
        <v>0</v>
      </c>
      <c r="Z357" s="233" t="s">
        <v>68</v>
      </c>
      <c r="AA357" s="30">
        <v>0</v>
      </c>
      <c r="AB357" s="30">
        <v>0</v>
      </c>
      <c r="AC357" s="30">
        <v>0</v>
      </c>
      <c r="AD357" s="30">
        <v>0</v>
      </c>
      <c r="AE357" s="89" t="s">
        <v>68</v>
      </c>
      <c r="AF357" s="89" t="s">
        <v>2213</v>
      </c>
      <c r="AG357" s="89" t="s">
        <v>133</v>
      </c>
      <c r="AH357" s="72" t="s">
        <v>68</v>
      </c>
      <c r="AI357" s="30">
        <v>1</v>
      </c>
      <c r="AJ357" s="89" t="s">
        <v>2214</v>
      </c>
      <c r="AK357" s="89" t="s">
        <v>2215</v>
      </c>
      <c r="AL357" s="91">
        <v>39345</v>
      </c>
      <c r="AM357" s="91"/>
      <c r="AN357" s="91"/>
      <c r="AO357" s="91"/>
      <c r="AP357" s="73" t="e">
        <f>MID(VLOOKUP(K357,#REF!,2,FALSE),1,2)</f>
        <v>#REF!</v>
      </c>
      <c r="AQ357" s="89">
        <f>DATE(2007,9,5)</f>
        <v>39330</v>
      </c>
      <c r="AR357" s="82">
        <f t="shared" si="26"/>
        <v>5</v>
      </c>
      <c r="AS357" s="83">
        <f t="shared" si="27"/>
        <v>9</v>
      </c>
      <c r="AT357" s="84">
        <f t="shared" si="28"/>
        <v>2007</v>
      </c>
      <c r="AU357" s="86"/>
      <c r="AV357" s="86"/>
      <c r="AW357" s="87"/>
      <c r="AX357" s="86"/>
      <c r="AY357" s="83"/>
      <c r="AZ357" s="84"/>
      <c r="BA357" s="86"/>
      <c r="BB357" s="86"/>
    </row>
    <row r="358" spans="1:54" ht="36.75" customHeight="1">
      <c r="A358" s="30"/>
      <c r="B358" s="30" t="s">
        <v>55</v>
      </c>
      <c r="C358" s="69" t="str">
        <f t="shared" si="25"/>
        <v>Closed</v>
      </c>
      <c r="D358" s="27" t="s">
        <v>2216</v>
      </c>
      <c r="E358" s="29" t="s">
        <v>2217</v>
      </c>
      <c r="F358" s="30" t="s">
        <v>835</v>
      </c>
      <c r="G358" s="89">
        <f>DATE(2007,9,7)</f>
        <v>39332</v>
      </c>
      <c r="H358" s="90">
        <v>1.5437500000000002</v>
      </c>
      <c r="I358" s="30" t="s">
        <v>73</v>
      </c>
      <c r="J358" s="89" t="s">
        <v>2218</v>
      </c>
      <c r="K358" s="30" t="s">
        <v>837</v>
      </c>
      <c r="L358" s="30" t="s">
        <v>2219</v>
      </c>
      <c r="M358" s="30" t="s">
        <v>63</v>
      </c>
      <c r="N358" s="30">
        <v>0</v>
      </c>
      <c r="O358" s="30" t="s">
        <v>77</v>
      </c>
      <c r="P358" s="89" t="s">
        <v>165</v>
      </c>
      <c r="Q358" s="89" t="s">
        <v>2162</v>
      </c>
      <c r="R358" s="89" t="s">
        <v>840</v>
      </c>
      <c r="S358" s="30">
        <v>0</v>
      </c>
      <c r="T358" s="233" t="s">
        <v>68</v>
      </c>
      <c r="U358" s="30">
        <v>0</v>
      </c>
      <c r="V358" s="233" t="s">
        <v>68</v>
      </c>
      <c r="W358" s="30">
        <v>0</v>
      </c>
      <c r="X358" s="30">
        <v>0</v>
      </c>
      <c r="Y358" s="30">
        <v>0</v>
      </c>
      <c r="Z358" s="233" t="s">
        <v>68</v>
      </c>
      <c r="AA358" s="30">
        <v>0</v>
      </c>
      <c r="AB358" s="30">
        <v>0</v>
      </c>
      <c r="AC358" s="30">
        <v>0</v>
      </c>
      <c r="AD358" s="30">
        <v>0</v>
      </c>
      <c r="AE358" s="89" t="s">
        <v>68</v>
      </c>
      <c r="AF358" s="89" t="s">
        <v>2220</v>
      </c>
      <c r="AG358" s="89" t="s">
        <v>352</v>
      </c>
      <c r="AH358" s="72" t="s">
        <v>68</v>
      </c>
      <c r="AI358" s="30">
        <v>1</v>
      </c>
      <c r="AJ358" s="89" t="s">
        <v>68</v>
      </c>
      <c r="AK358" s="89" t="s">
        <v>68</v>
      </c>
      <c r="AL358" s="91">
        <v>39594</v>
      </c>
      <c r="AM358" s="91"/>
      <c r="AN358" s="91"/>
      <c r="AO358" s="91"/>
      <c r="AP358" s="73" t="e">
        <f>MID(VLOOKUP(K358,#REF!,2,FALSE),1,2)</f>
        <v>#REF!</v>
      </c>
      <c r="AQ358" s="89">
        <f>DATE(2007,9,7)</f>
        <v>39332</v>
      </c>
      <c r="AR358" s="82">
        <f t="shared" si="26"/>
        <v>7</v>
      </c>
      <c r="AS358" s="83">
        <f t="shared" si="27"/>
        <v>9</v>
      </c>
      <c r="AT358" s="84">
        <f t="shared" si="28"/>
        <v>2007</v>
      </c>
      <c r="AU358" s="86"/>
      <c r="AV358" s="86"/>
      <c r="AW358" s="87"/>
      <c r="AX358" s="86"/>
      <c r="AY358" s="83"/>
      <c r="AZ358" s="84"/>
      <c r="BA358" s="86"/>
      <c r="BB358" s="86"/>
    </row>
    <row r="359" spans="1:54" ht="36.75" customHeight="1">
      <c r="A359" s="30"/>
      <c r="B359" s="30" t="s">
        <v>55</v>
      </c>
      <c r="C359" s="69" t="str">
        <f t="shared" si="25"/>
        <v>Closed</v>
      </c>
      <c r="D359" s="27" t="s">
        <v>2221</v>
      </c>
      <c r="E359" s="29" t="s">
        <v>2222</v>
      </c>
      <c r="F359" s="30" t="s">
        <v>1749</v>
      </c>
      <c r="G359" s="89">
        <f>DATE(2007,9,8)</f>
        <v>39333</v>
      </c>
      <c r="H359" s="90">
        <v>1.3694444444444445</v>
      </c>
      <c r="I359" s="30" t="s">
        <v>116</v>
      </c>
      <c r="J359" s="89" t="s">
        <v>2223</v>
      </c>
      <c r="K359" s="30" t="s">
        <v>1751</v>
      </c>
      <c r="L359" s="30" t="s">
        <v>2224</v>
      </c>
      <c r="M359" s="30" t="s">
        <v>63</v>
      </c>
      <c r="N359" s="30">
        <v>0</v>
      </c>
      <c r="O359" s="30" t="s">
        <v>64</v>
      </c>
      <c r="P359" s="89" t="s">
        <v>86</v>
      </c>
      <c r="Q359" s="89" t="s">
        <v>2225</v>
      </c>
      <c r="R359" s="89" t="s">
        <v>1982</v>
      </c>
      <c r="S359" s="30">
        <v>0</v>
      </c>
      <c r="T359" s="233">
        <v>0</v>
      </c>
      <c r="U359" s="30">
        <v>0</v>
      </c>
      <c r="V359" s="233">
        <v>0</v>
      </c>
      <c r="W359" s="30">
        <v>0</v>
      </c>
      <c r="X359" s="30">
        <v>0</v>
      </c>
      <c r="Y359" s="30">
        <v>0</v>
      </c>
      <c r="Z359" s="233">
        <v>1</v>
      </c>
      <c r="AA359" s="30">
        <v>1</v>
      </c>
      <c r="AB359" s="30">
        <v>0</v>
      </c>
      <c r="AC359" s="30">
        <v>0</v>
      </c>
      <c r="AD359" s="30">
        <v>2</v>
      </c>
      <c r="AE359" s="89" t="s">
        <v>68</v>
      </c>
      <c r="AF359" s="89"/>
      <c r="AG359" s="89" t="s">
        <v>248</v>
      </c>
      <c r="AH359" s="72" t="s">
        <v>68</v>
      </c>
      <c r="AI359" s="30">
        <v>3</v>
      </c>
      <c r="AJ359" s="89" t="s">
        <v>2226</v>
      </c>
      <c r="AK359" s="89" t="s">
        <v>68</v>
      </c>
      <c r="AL359" s="91">
        <v>39337</v>
      </c>
      <c r="AM359" s="91"/>
      <c r="AN359" s="91"/>
      <c r="AO359" s="91"/>
      <c r="AP359" s="73" t="e">
        <f>MID(VLOOKUP(K359,#REF!,2,FALSE),1,2)</f>
        <v>#REF!</v>
      </c>
      <c r="AQ359" s="89">
        <f>DATE(2007,9,8)</f>
        <v>39333</v>
      </c>
      <c r="AR359" s="82">
        <f t="shared" si="26"/>
        <v>8</v>
      </c>
      <c r="AS359" s="83">
        <f t="shared" si="27"/>
        <v>9</v>
      </c>
      <c r="AT359" s="84">
        <f t="shared" si="28"/>
        <v>2007</v>
      </c>
      <c r="AU359" s="86"/>
      <c r="AV359" s="86"/>
      <c r="AW359" s="87"/>
      <c r="AX359" s="86"/>
      <c r="AY359" s="83"/>
      <c r="AZ359" s="84"/>
      <c r="BA359" s="86"/>
      <c r="BB359" s="86"/>
    </row>
    <row r="360" spans="1:54" ht="36.75" customHeight="1">
      <c r="A360" s="30"/>
      <c r="B360" s="30" t="s">
        <v>55</v>
      </c>
      <c r="C360" s="69" t="str">
        <f t="shared" si="25"/>
        <v>Closed</v>
      </c>
      <c r="D360" s="27" t="s">
        <v>2227</v>
      </c>
      <c r="E360" s="29" t="s">
        <v>2228</v>
      </c>
      <c r="F360" s="30" t="s">
        <v>197</v>
      </c>
      <c r="G360" s="89">
        <f>DATE(2007,9,9)</f>
        <v>39334</v>
      </c>
      <c r="H360" s="90">
        <v>1.1513888888888888</v>
      </c>
      <c r="I360" s="30" t="s">
        <v>73</v>
      </c>
      <c r="J360" s="89" t="s">
        <v>2229</v>
      </c>
      <c r="K360" s="30" t="s">
        <v>200</v>
      </c>
      <c r="L360" s="30" t="s">
        <v>2230</v>
      </c>
      <c r="M360" s="30" t="s">
        <v>63</v>
      </c>
      <c r="N360" s="30">
        <v>0</v>
      </c>
      <c r="O360" s="30" t="s">
        <v>77</v>
      </c>
      <c r="P360" s="89" t="s">
        <v>78</v>
      </c>
      <c r="Q360" s="89" t="s">
        <v>1716</v>
      </c>
      <c r="R360" s="89" t="s">
        <v>203</v>
      </c>
      <c r="S360" s="30">
        <v>0</v>
      </c>
      <c r="T360" s="233" t="s">
        <v>68</v>
      </c>
      <c r="U360" s="30">
        <v>0</v>
      </c>
      <c r="V360" s="233" t="s">
        <v>68</v>
      </c>
      <c r="W360" s="30">
        <v>0</v>
      </c>
      <c r="X360" s="30">
        <v>0</v>
      </c>
      <c r="Y360" s="30">
        <v>0</v>
      </c>
      <c r="Z360" s="233" t="s">
        <v>68</v>
      </c>
      <c r="AA360" s="30">
        <v>0</v>
      </c>
      <c r="AB360" s="30">
        <v>0</v>
      </c>
      <c r="AC360" s="30">
        <v>0</v>
      </c>
      <c r="AD360" s="30">
        <v>0</v>
      </c>
      <c r="AE360" s="89" t="s">
        <v>68</v>
      </c>
      <c r="AF360" s="89"/>
      <c r="AG360" s="89" t="s">
        <v>352</v>
      </c>
      <c r="AH360" s="72" t="s">
        <v>68</v>
      </c>
      <c r="AI360" s="30">
        <v>6</v>
      </c>
      <c r="AJ360" s="89" t="s">
        <v>2231</v>
      </c>
      <c r="AK360" s="89" t="s">
        <v>2232</v>
      </c>
      <c r="AL360" s="91">
        <v>39941</v>
      </c>
      <c r="AM360" s="91"/>
      <c r="AN360" s="91"/>
      <c r="AO360" s="91"/>
      <c r="AP360" s="73" t="e">
        <f>MID(VLOOKUP(K360,#REF!,2,FALSE),1,2)</f>
        <v>#REF!</v>
      </c>
      <c r="AQ360" s="89">
        <f>DATE(2007,9,9)</f>
        <v>39334</v>
      </c>
      <c r="AR360" s="82">
        <f t="shared" si="26"/>
        <v>9</v>
      </c>
      <c r="AS360" s="83">
        <f t="shared" si="27"/>
        <v>9</v>
      </c>
      <c r="AT360" s="84">
        <f t="shared" si="28"/>
        <v>2007</v>
      </c>
      <c r="AU360" s="86"/>
      <c r="AV360" s="86"/>
      <c r="AW360" s="87"/>
      <c r="AX360" s="86"/>
      <c r="AY360" s="83"/>
      <c r="AZ360" s="84"/>
      <c r="BA360" s="86"/>
      <c r="BB360" s="86"/>
    </row>
    <row r="361" spans="1:54" ht="36.75" customHeight="1">
      <c r="A361" s="30"/>
      <c r="B361" s="30" t="s">
        <v>55</v>
      </c>
      <c r="C361" s="69" t="str">
        <f t="shared" si="25"/>
        <v>Closed</v>
      </c>
      <c r="D361" s="27" t="s">
        <v>2233</v>
      </c>
      <c r="E361" s="29" t="s">
        <v>2234</v>
      </c>
      <c r="F361" s="30" t="s">
        <v>423</v>
      </c>
      <c r="G361" s="89">
        <f>DATE(2007,9,10)</f>
        <v>39335</v>
      </c>
      <c r="H361" s="90">
        <v>1.6083333333333334</v>
      </c>
      <c r="I361" s="30" t="s">
        <v>86</v>
      </c>
      <c r="J361" s="89" t="s">
        <v>2235</v>
      </c>
      <c r="K361" s="30" t="s">
        <v>425</v>
      </c>
      <c r="L361" s="30" t="s">
        <v>2236</v>
      </c>
      <c r="M361" s="30" t="s">
        <v>63</v>
      </c>
      <c r="N361" s="30">
        <v>0</v>
      </c>
      <c r="O361" s="30" t="s">
        <v>77</v>
      </c>
      <c r="P361" s="89" t="s">
        <v>165</v>
      </c>
      <c r="Q361" s="89" t="s">
        <v>989</v>
      </c>
      <c r="R361" s="89" t="s">
        <v>989</v>
      </c>
      <c r="S361" s="30">
        <v>0</v>
      </c>
      <c r="T361" s="233" t="s">
        <v>68</v>
      </c>
      <c r="U361" s="30">
        <v>0</v>
      </c>
      <c r="V361" s="233" t="s">
        <v>68</v>
      </c>
      <c r="W361" s="30">
        <v>0</v>
      </c>
      <c r="X361" s="30">
        <v>0</v>
      </c>
      <c r="Y361" s="30">
        <v>0</v>
      </c>
      <c r="Z361" s="233" t="s">
        <v>68</v>
      </c>
      <c r="AA361" s="30">
        <v>0</v>
      </c>
      <c r="AB361" s="30">
        <v>0</v>
      </c>
      <c r="AC361" s="30">
        <v>0</v>
      </c>
      <c r="AD361" s="30">
        <v>0</v>
      </c>
      <c r="AE361" s="89" t="s">
        <v>68</v>
      </c>
      <c r="AF361" s="89"/>
      <c r="AG361" s="89" t="s">
        <v>874</v>
      </c>
      <c r="AH361" s="72" t="s">
        <v>68</v>
      </c>
      <c r="AI361" s="30">
        <v>0</v>
      </c>
      <c r="AJ361" s="89" t="s">
        <v>68</v>
      </c>
      <c r="AK361" s="89" t="s">
        <v>2237</v>
      </c>
      <c r="AL361" s="91">
        <v>39357</v>
      </c>
      <c r="AM361" s="91"/>
      <c r="AN361" s="91"/>
      <c r="AO361" s="91"/>
      <c r="AP361" s="73" t="e">
        <f>MID(VLOOKUP(K361,#REF!,2,FALSE),1,2)</f>
        <v>#REF!</v>
      </c>
      <c r="AQ361" s="89">
        <f>DATE(2007,9,10)</f>
        <v>39335</v>
      </c>
      <c r="AR361" s="82">
        <f t="shared" si="26"/>
        <v>10</v>
      </c>
      <c r="AS361" s="83">
        <f t="shared" si="27"/>
        <v>9</v>
      </c>
      <c r="AT361" s="84">
        <f t="shared" si="28"/>
        <v>2007</v>
      </c>
      <c r="AU361" s="86"/>
      <c r="AV361" s="86"/>
      <c r="AW361" s="87"/>
      <c r="AX361" s="86"/>
      <c r="AY361" s="83"/>
      <c r="AZ361" s="84"/>
      <c r="BA361" s="86"/>
      <c r="BB361" s="86"/>
    </row>
    <row r="362" spans="1:54" ht="36.75" customHeight="1">
      <c r="A362" s="30"/>
      <c r="B362" s="30" t="s">
        <v>55</v>
      </c>
      <c r="C362" s="69" t="str">
        <f t="shared" si="25"/>
        <v>Closed</v>
      </c>
      <c r="D362" s="27" t="s">
        <v>2238</v>
      </c>
      <c r="E362" s="29" t="s">
        <v>2239</v>
      </c>
      <c r="F362" s="30" t="s">
        <v>423</v>
      </c>
      <c r="G362" s="89">
        <f>DATE(2007,9,20)</f>
        <v>39345</v>
      </c>
      <c r="H362" s="90">
        <v>1.1965277777777779</v>
      </c>
      <c r="I362" s="30" t="s">
        <v>156</v>
      </c>
      <c r="J362" s="89" t="s">
        <v>2240</v>
      </c>
      <c r="K362" s="30" t="s">
        <v>425</v>
      </c>
      <c r="L362" s="30" t="s">
        <v>2241</v>
      </c>
      <c r="M362" s="30" t="s">
        <v>63</v>
      </c>
      <c r="N362" s="30">
        <v>0</v>
      </c>
      <c r="O362" s="30" t="s">
        <v>64</v>
      </c>
      <c r="P362" s="89" t="s">
        <v>78</v>
      </c>
      <c r="Q362" s="89" t="s">
        <v>989</v>
      </c>
      <c r="R362" s="89" t="s">
        <v>989</v>
      </c>
      <c r="S362" s="30">
        <v>0</v>
      </c>
      <c r="T362" s="233" t="s">
        <v>68</v>
      </c>
      <c r="U362" s="30">
        <v>0</v>
      </c>
      <c r="V362" s="233" t="s">
        <v>68</v>
      </c>
      <c r="W362" s="30">
        <v>0</v>
      </c>
      <c r="X362" s="30">
        <v>0</v>
      </c>
      <c r="Y362" s="30">
        <v>0</v>
      </c>
      <c r="Z362" s="233" t="s">
        <v>68</v>
      </c>
      <c r="AA362" s="30">
        <v>0</v>
      </c>
      <c r="AB362" s="30">
        <v>0</v>
      </c>
      <c r="AC362" s="30">
        <v>0</v>
      </c>
      <c r="AD362" s="30">
        <v>0</v>
      </c>
      <c r="AE362" s="89" t="s">
        <v>68</v>
      </c>
      <c r="AF362" s="89"/>
      <c r="AG362" s="89" t="s">
        <v>133</v>
      </c>
      <c r="AH362" s="72" t="s">
        <v>68</v>
      </c>
      <c r="AI362" s="30">
        <v>2</v>
      </c>
      <c r="AJ362" s="89" t="s">
        <v>68</v>
      </c>
      <c r="AK362" s="89" t="s">
        <v>712</v>
      </c>
      <c r="AL362" s="91">
        <v>39357</v>
      </c>
      <c r="AM362" s="91"/>
      <c r="AN362" s="91"/>
      <c r="AO362" s="91"/>
      <c r="AP362" s="73" t="e">
        <f>MID(VLOOKUP(K362,#REF!,2,FALSE),1,2)</f>
        <v>#REF!</v>
      </c>
      <c r="AQ362" s="89">
        <f>DATE(2007,9,20)</f>
        <v>39345</v>
      </c>
      <c r="AR362" s="82">
        <f t="shared" si="26"/>
        <v>20</v>
      </c>
      <c r="AS362" s="83">
        <f t="shared" si="27"/>
        <v>9</v>
      </c>
      <c r="AT362" s="84">
        <f t="shared" si="28"/>
        <v>2007</v>
      </c>
      <c r="AU362" s="86"/>
      <c r="AV362" s="86"/>
      <c r="AW362" s="87"/>
      <c r="AX362" s="86"/>
      <c r="AY362" s="83"/>
      <c r="AZ362" s="84"/>
      <c r="BA362" s="86"/>
      <c r="BB362" s="86"/>
    </row>
    <row r="363" spans="1:54" ht="36.75" customHeight="1">
      <c r="A363" s="30"/>
      <c r="B363" s="30" t="s">
        <v>55</v>
      </c>
      <c r="C363" s="69" t="str">
        <f t="shared" si="25"/>
        <v>Closed</v>
      </c>
      <c r="D363" s="27" t="s">
        <v>2242</v>
      </c>
      <c r="E363" s="29" t="s">
        <v>2243</v>
      </c>
      <c r="F363" s="30" t="s">
        <v>423</v>
      </c>
      <c r="G363" s="89">
        <f>DATE(2007,9,21)</f>
        <v>39346</v>
      </c>
      <c r="H363" s="90">
        <v>1.4652777777777777</v>
      </c>
      <c r="I363" s="30" t="s">
        <v>116</v>
      </c>
      <c r="J363" s="89" t="s">
        <v>2244</v>
      </c>
      <c r="K363" s="30" t="s">
        <v>425</v>
      </c>
      <c r="L363" s="30" t="s">
        <v>2245</v>
      </c>
      <c r="M363" s="30" t="s">
        <v>63</v>
      </c>
      <c r="N363" s="30">
        <v>0</v>
      </c>
      <c r="O363" s="30" t="s">
        <v>64</v>
      </c>
      <c r="P363" s="89" t="s">
        <v>78</v>
      </c>
      <c r="Q363" s="89" t="s">
        <v>989</v>
      </c>
      <c r="R363" s="89" t="s">
        <v>989</v>
      </c>
      <c r="S363" s="30">
        <v>0</v>
      </c>
      <c r="T363" s="233">
        <v>0</v>
      </c>
      <c r="U363" s="30">
        <v>2</v>
      </c>
      <c r="V363" s="233">
        <v>0</v>
      </c>
      <c r="W363" s="30">
        <v>0</v>
      </c>
      <c r="X363" s="30">
        <v>2</v>
      </c>
      <c r="Y363" s="30">
        <v>0</v>
      </c>
      <c r="Z363" s="233">
        <v>0</v>
      </c>
      <c r="AA363" s="30">
        <v>0</v>
      </c>
      <c r="AB363" s="30">
        <v>0</v>
      </c>
      <c r="AC363" s="30">
        <v>0</v>
      </c>
      <c r="AD363" s="30">
        <v>0</v>
      </c>
      <c r="AE363" s="89" t="s">
        <v>68</v>
      </c>
      <c r="AF363" s="89"/>
      <c r="AG363" s="89" t="s">
        <v>133</v>
      </c>
      <c r="AH363" s="72" t="s">
        <v>68</v>
      </c>
      <c r="AI363" s="30">
        <v>2</v>
      </c>
      <c r="AJ363" s="89" t="s">
        <v>2246</v>
      </c>
      <c r="AK363" s="89" t="s">
        <v>68</v>
      </c>
      <c r="AL363" s="91">
        <v>39357</v>
      </c>
      <c r="AM363" s="91"/>
      <c r="AN363" s="91"/>
      <c r="AO363" s="91"/>
      <c r="AP363" s="73" t="e">
        <f>MID(VLOOKUP(K363,#REF!,2,FALSE),1,2)</f>
        <v>#REF!</v>
      </c>
      <c r="AQ363" s="89">
        <f>DATE(2007,9,21)</f>
        <v>39346</v>
      </c>
      <c r="AR363" s="82">
        <f t="shared" si="26"/>
        <v>21</v>
      </c>
      <c r="AS363" s="83">
        <f t="shared" si="27"/>
        <v>9</v>
      </c>
      <c r="AT363" s="84">
        <f t="shared" si="28"/>
        <v>2007</v>
      </c>
      <c r="AU363" s="86"/>
      <c r="AV363" s="86"/>
      <c r="AW363" s="87"/>
      <c r="AX363" s="86"/>
      <c r="AY363" s="83"/>
      <c r="AZ363" s="84"/>
      <c r="BA363" s="86"/>
      <c r="BB363" s="86"/>
    </row>
    <row r="364" spans="1:54" ht="36.75" customHeight="1">
      <c r="A364" s="30"/>
      <c r="B364" s="30" t="s">
        <v>55</v>
      </c>
      <c r="C364" s="69" t="str">
        <f t="shared" si="25"/>
        <v>Closed</v>
      </c>
      <c r="D364" s="27" t="s">
        <v>2247</v>
      </c>
      <c r="E364" s="29" t="s">
        <v>2248</v>
      </c>
      <c r="F364" s="30" t="s">
        <v>423</v>
      </c>
      <c r="G364" s="89">
        <f>DATE(2007,10,2)</f>
        <v>39357</v>
      </c>
      <c r="H364" s="90">
        <v>1.4076388888888889</v>
      </c>
      <c r="I364" s="30" t="s">
        <v>116</v>
      </c>
      <c r="J364" s="89" t="s">
        <v>2249</v>
      </c>
      <c r="K364" s="30" t="s">
        <v>425</v>
      </c>
      <c r="L364" s="30" t="s">
        <v>2250</v>
      </c>
      <c r="M364" s="30" t="s">
        <v>63</v>
      </c>
      <c r="N364" s="30">
        <v>0</v>
      </c>
      <c r="O364" s="30" t="s">
        <v>64</v>
      </c>
      <c r="P364" s="89" t="s">
        <v>165</v>
      </c>
      <c r="Q364" s="89" t="s">
        <v>2251</v>
      </c>
      <c r="R364" s="89" t="s">
        <v>427</v>
      </c>
      <c r="S364" s="30">
        <v>0</v>
      </c>
      <c r="T364" s="233" t="s">
        <v>68</v>
      </c>
      <c r="U364" s="30">
        <v>0</v>
      </c>
      <c r="V364" s="233" t="s">
        <v>68</v>
      </c>
      <c r="W364" s="30">
        <v>0</v>
      </c>
      <c r="X364" s="30">
        <v>0</v>
      </c>
      <c r="Y364" s="30">
        <v>0</v>
      </c>
      <c r="Z364" s="233" t="s">
        <v>68</v>
      </c>
      <c r="AA364" s="30">
        <v>0</v>
      </c>
      <c r="AB364" s="30">
        <v>0</v>
      </c>
      <c r="AC364" s="30">
        <v>0</v>
      </c>
      <c r="AD364" s="30">
        <v>0</v>
      </c>
      <c r="AE364" s="89" t="s">
        <v>68</v>
      </c>
      <c r="AF364" s="89"/>
      <c r="AG364" s="89" t="s">
        <v>352</v>
      </c>
      <c r="AH364" s="72" t="s">
        <v>68</v>
      </c>
      <c r="AI364" s="30">
        <v>0</v>
      </c>
      <c r="AJ364" s="89" t="s">
        <v>68</v>
      </c>
      <c r="AK364" s="89" t="s">
        <v>68</v>
      </c>
      <c r="AL364" s="91">
        <v>39393</v>
      </c>
      <c r="AM364" s="91"/>
      <c r="AN364" s="91"/>
      <c r="AO364" s="91"/>
      <c r="AP364" s="73" t="e">
        <f>MID(VLOOKUP(K364,#REF!,2,FALSE),1,2)</f>
        <v>#REF!</v>
      </c>
      <c r="AQ364" s="89">
        <f>DATE(2007,10,2)</f>
        <v>39357</v>
      </c>
      <c r="AR364" s="82">
        <f t="shared" si="26"/>
        <v>2</v>
      </c>
      <c r="AS364" s="83">
        <f t="shared" si="27"/>
        <v>10</v>
      </c>
      <c r="AT364" s="84">
        <f t="shared" si="28"/>
        <v>2007</v>
      </c>
      <c r="AU364" s="86"/>
      <c r="AV364" s="86"/>
      <c r="AW364" s="87"/>
      <c r="AX364" s="86"/>
      <c r="AY364" s="83"/>
      <c r="AZ364" s="84"/>
      <c r="BA364" s="86"/>
      <c r="BB364" s="86"/>
    </row>
    <row r="365" spans="1:54" ht="36.75" customHeight="1">
      <c r="A365" s="30"/>
      <c r="B365" s="30" t="s">
        <v>55</v>
      </c>
      <c r="C365" s="69" t="str">
        <f t="shared" si="25"/>
        <v>Closed</v>
      </c>
      <c r="D365" s="27" t="s">
        <v>2252</v>
      </c>
      <c r="E365" s="29" t="s">
        <v>2253</v>
      </c>
      <c r="F365" s="30" t="s">
        <v>58</v>
      </c>
      <c r="G365" s="89">
        <f>DATE(2007,10,6)</f>
        <v>39361</v>
      </c>
      <c r="H365" s="90">
        <v>1.4833333333333334</v>
      </c>
      <c r="I365" s="30" t="s">
        <v>116</v>
      </c>
      <c r="J365" s="89" t="s">
        <v>2254</v>
      </c>
      <c r="K365" s="30" t="s">
        <v>61</v>
      </c>
      <c r="L365" s="30" t="s">
        <v>2255</v>
      </c>
      <c r="M365" s="30" t="s">
        <v>63</v>
      </c>
      <c r="N365" s="30" t="s">
        <v>99</v>
      </c>
      <c r="O365" s="30" t="s">
        <v>64</v>
      </c>
      <c r="P365" s="89" t="s">
        <v>462</v>
      </c>
      <c r="Q365" s="89" t="s">
        <v>66</v>
      </c>
      <c r="R365" s="89" t="s">
        <v>67</v>
      </c>
      <c r="S365" s="30">
        <v>0</v>
      </c>
      <c r="T365" s="233">
        <v>0</v>
      </c>
      <c r="U365" s="30">
        <v>1</v>
      </c>
      <c r="V365" s="233">
        <v>0</v>
      </c>
      <c r="W365" s="30">
        <v>0</v>
      </c>
      <c r="X365" s="30">
        <v>1</v>
      </c>
      <c r="Y365" s="30">
        <v>0</v>
      </c>
      <c r="Z365" s="233">
        <v>0</v>
      </c>
      <c r="AA365" s="30">
        <v>0</v>
      </c>
      <c r="AB365" s="30">
        <v>0</v>
      </c>
      <c r="AC365" s="30">
        <v>0</v>
      </c>
      <c r="AD365" s="30">
        <v>0</v>
      </c>
      <c r="AE365" s="89" t="s">
        <v>92</v>
      </c>
      <c r="AF365" s="89"/>
      <c r="AG365" s="89" t="s">
        <v>82</v>
      </c>
      <c r="AH365" s="72">
        <v>39363</v>
      </c>
      <c r="AI365" s="30">
        <v>2</v>
      </c>
      <c r="AJ365" s="89" t="s">
        <v>2256</v>
      </c>
      <c r="AK365" s="89" t="s">
        <v>2257</v>
      </c>
      <c r="AL365" s="91">
        <v>39632</v>
      </c>
      <c r="AM365" s="91"/>
      <c r="AN365" s="91"/>
      <c r="AO365" s="91"/>
      <c r="AP365" s="73" t="e">
        <f>MID(VLOOKUP(K365,#REF!,2,FALSE),1,2)</f>
        <v>#REF!</v>
      </c>
      <c r="AQ365" s="89">
        <f>DATE(2007,10,6)</f>
        <v>39361</v>
      </c>
      <c r="AR365" s="82">
        <f t="shared" si="26"/>
        <v>6</v>
      </c>
      <c r="AS365" s="83">
        <f t="shared" si="27"/>
        <v>10</v>
      </c>
      <c r="AT365" s="84">
        <f t="shared" si="28"/>
        <v>2007</v>
      </c>
      <c r="AU365" s="86"/>
      <c r="AV365" s="86"/>
      <c r="AW365" s="87"/>
      <c r="AX365" s="86"/>
      <c r="AY365" s="83"/>
      <c r="AZ365" s="84"/>
      <c r="BA365" s="86"/>
      <c r="BB365" s="86"/>
    </row>
    <row r="366" spans="1:54" ht="36.75" customHeight="1">
      <c r="A366" s="30"/>
      <c r="B366" s="30" t="s">
        <v>55</v>
      </c>
      <c r="C366" s="69" t="str">
        <f t="shared" si="25"/>
        <v>Closed</v>
      </c>
      <c r="D366" s="27" t="s">
        <v>2258</v>
      </c>
      <c r="E366" s="29" t="s">
        <v>2259</v>
      </c>
      <c r="F366" s="30" t="s">
        <v>197</v>
      </c>
      <c r="G366" s="89">
        <f>DATE(2007,10,12)</f>
        <v>39367</v>
      </c>
      <c r="H366" s="90">
        <v>1.3895833333333334</v>
      </c>
      <c r="I366" s="30" t="s">
        <v>278</v>
      </c>
      <c r="J366" s="89" t="s">
        <v>2260</v>
      </c>
      <c r="K366" s="30" t="s">
        <v>200</v>
      </c>
      <c r="L366" s="30" t="s">
        <v>2261</v>
      </c>
      <c r="M366" s="30" t="s">
        <v>63</v>
      </c>
      <c r="N366" s="30">
        <v>0</v>
      </c>
      <c r="O366" s="30" t="s">
        <v>77</v>
      </c>
      <c r="P366" s="89" t="s">
        <v>165</v>
      </c>
      <c r="Q366" s="89" t="s">
        <v>202</v>
      </c>
      <c r="R366" s="89" t="s">
        <v>203</v>
      </c>
      <c r="S366" s="30">
        <v>0</v>
      </c>
      <c r="T366" s="233">
        <v>3</v>
      </c>
      <c r="U366" s="30">
        <v>0</v>
      </c>
      <c r="V366" s="233">
        <v>0</v>
      </c>
      <c r="W366" s="30">
        <v>0</v>
      </c>
      <c r="X366" s="30">
        <v>3</v>
      </c>
      <c r="Y366" s="30">
        <v>0</v>
      </c>
      <c r="Z366" s="233">
        <v>0</v>
      </c>
      <c r="AA366" s="30">
        <v>0</v>
      </c>
      <c r="AB366" s="30">
        <v>0</v>
      </c>
      <c r="AC366" s="30">
        <v>0</v>
      </c>
      <c r="AD366" s="30">
        <v>0</v>
      </c>
      <c r="AE366" s="89" t="s">
        <v>68</v>
      </c>
      <c r="AF366" s="89"/>
      <c r="AG366" s="89" t="s">
        <v>82</v>
      </c>
      <c r="AH366" s="72" t="s">
        <v>68</v>
      </c>
      <c r="AI366" s="30">
        <v>2</v>
      </c>
      <c r="AJ366" s="89" t="s">
        <v>68</v>
      </c>
      <c r="AK366" s="89" t="s">
        <v>68</v>
      </c>
      <c r="AL366" s="91">
        <v>39777</v>
      </c>
      <c r="AM366" s="91"/>
      <c r="AN366" s="91"/>
      <c r="AO366" s="91"/>
      <c r="AP366" s="73" t="e">
        <f>MID(VLOOKUP(K366,#REF!,2,FALSE),1,2)</f>
        <v>#REF!</v>
      </c>
      <c r="AQ366" s="89">
        <f>DATE(2007,10,12)</f>
        <v>39367</v>
      </c>
      <c r="AR366" s="82">
        <f t="shared" si="26"/>
        <v>12</v>
      </c>
      <c r="AS366" s="83">
        <f t="shared" si="27"/>
        <v>10</v>
      </c>
      <c r="AT366" s="84">
        <f t="shared" si="28"/>
        <v>2007</v>
      </c>
      <c r="AU366" s="86"/>
      <c r="AV366" s="86"/>
      <c r="AW366" s="87"/>
      <c r="AX366" s="86"/>
      <c r="AY366" s="83"/>
      <c r="AZ366" s="84"/>
      <c r="BA366" s="86"/>
      <c r="BB366" s="86"/>
    </row>
    <row r="367" spans="1:54" ht="36.75" customHeight="1">
      <c r="A367" s="30"/>
      <c r="B367" s="30" t="s">
        <v>55</v>
      </c>
      <c r="C367" s="69" t="str">
        <f t="shared" si="25"/>
        <v>Closed</v>
      </c>
      <c r="D367" s="27" t="s">
        <v>2262</v>
      </c>
      <c r="E367" s="29" t="s">
        <v>2263</v>
      </c>
      <c r="F367" s="30" t="s">
        <v>138</v>
      </c>
      <c r="G367" s="89">
        <f>DATE(2007,10,19)</f>
        <v>39374</v>
      </c>
      <c r="H367" s="90">
        <v>1.625</v>
      </c>
      <c r="I367" s="30" t="s">
        <v>2264</v>
      </c>
      <c r="J367" s="89" t="s">
        <v>2265</v>
      </c>
      <c r="K367" s="30" t="s">
        <v>140</v>
      </c>
      <c r="L367" s="30" t="s">
        <v>2266</v>
      </c>
      <c r="M367" s="30" t="s">
        <v>63</v>
      </c>
      <c r="N367" s="30" t="s">
        <v>99</v>
      </c>
      <c r="O367" s="30" t="s">
        <v>64</v>
      </c>
      <c r="P367" s="89" t="s">
        <v>216</v>
      </c>
      <c r="Q367" s="89" t="s">
        <v>2267</v>
      </c>
      <c r="R367" s="89" t="s">
        <v>144</v>
      </c>
      <c r="S367" s="30">
        <v>0</v>
      </c>
      <c r="T367" s="233">
        <v>0</v>
      </c>
      <c r="U367" s="30">
        <v>0</v>
      </c>
      <c r="V367" s="233">
        <v>0</v>
      </c>
      <c r="W367" s="30">
        <v>0</v>
      </c>
      <c r="X367" s="30">
        <v>0</v>
      </c>
      <c r="Y367" s="30">
        <v>0</v>
      </c>
      <c r="Z367" s="233">
        <v>0</v>
      </c>
      <c r="AA367" s="30">
        <v>0</v>
      </c>
      <c r="AB367" s="30">
        <v>0</v>
      </c>
      <c r="AC367" s="30">
        <v>0</v>
      </c>
      <c r="AD367" s="30">
        <v>0</v>
      </c>
      <c r="AE367" s="89" t="s">
        <v>92</v>
      </c>
      <c r="AF367" s="89"/>
      <c r="AG367" s="89" t="s">
        <v>133</v>
      </c>
      <c r="AH367" s="72">
        <v>39349</v>
      </c>
      <c r="AI367" s="30">
        <v>5</v>
      </c>
      <c r="AJ367" s="89" t="s">
        <v>2268</v>
      </c>
      <c r="AK367" s="89" t="s">
        <v>2269</v>
      </c>
      <c r="AL367" s="91">
        <v>39378</v>
      </c>
      <c r="AM367" s="91"/>
      <c r="AN367" s="91"/>
      <c r="AO367" s="91"/>
      <c r="AP367" s="73" t="e">
        <f>MID(VLOOKUP(K367,#REF!,2,FALSE),1,2)</f>
        <v>#REF!</v>
      </c>
      <c r="AQ367" s="89">
        <f>DATE(2007,10,19)</f>
        <v>39374</v>
      </c>
      <c r="AR367" s="82">
        <f t="shared" si="26"/>
        <v>19</v>
      </c>
      <c r="AS367" s="83">
        <f t="shared" si="27"/>
        <v>10</v>
      </c>
      <c r="AT367" s="84">
        <f t="shared" si="28"/>
        <v>2007</v>
      </c>
      <c r="AU367" s="86"/>
      <c r="AV367" s="86"/>
      <c r="AW367" s="87"/>
      <c r="AX367" s="86"/>
      <c r="AY367" s="83"/>
      <c r="AZ367" s="84"/>
      <c r="BA367" s="86"/>
      <c r="BB367" s="86"/>
    </row>
    <row r="368" spans="1:54" ht="36.75" customHeight="1">
      <c r="A368" s="30"/>
      <c r="B368" s="30" t="s">
        <v>55</v>
      </c>
      <c r="C368" s="69" t="str">
        <f t="shared" si="25"/>
        <v>Closed</v>
      </c>
      <c r="D368" s="27" t="s">
        <v>2270</v>
      </c>
      <c r="E368" s="29" t="s">
        <v>2271</v>
      </c>
      <c r="F368" s="30" t="s">
        <v>233</v>
      </c>
      <c r="G368" s="89">
        <f>DATE(2007,10,25)</f>
        <v>39380</v>
      </c>
      <c r="H368" s="90">
        <v>1.1111111111111112</v>
      </c>
      <c r="I368" s="30" t="s">
        <v>86</v>
      </c>
      <c r="J368" s="89" t="s">
        <v>2272</v>
      </c>
      <c r="K368" s="30" t="s">
        <v>235</v>
      </c>
      <c r="L368" s="30" t="s">
        <v>2273</v>
      </c>
      <c r="M368" s="30" t="s">
        <v>129</v>
      </c>
      <c r="N368" s="30">
        <v>0</v>
      </c>
      <c r="O368" s="30" t="s">
        <v>86</v>
      </c>
      <c r="P368" s="89" t="s">
        <v>301</v>
      </c>
      <c r="Q368" s="89" t="s">
        <v>683</v>
      </c>
      <c r="R368" s="89" t="s">
        <v>683</v>
      </c>
      <c r="S368" s="30">
        <v>0</v>
      </c>
      <c r="T368" s="233" t="s">
        <v>68</v>
      </c>
      <c r="U368" s="30">
        <v>0</v>
      </c>
      <c r="V368" s="233" t="s">
        <v>68</v>
      </c>
      <c r="W368" s="30">
        <v>0</v>
      </c>
      <c r="X368" s="30">
        <v>0</v>
      </c>
      <c r="Y368" s="30">
        <v>0</v>
      </c>
      <c r="Z368" s="233" t="s">
        <v>68</v>
      </c>
      <c r="AA368" s="30">
        <v>0</v>
      </c>
      <c r="AB368" s="30">
        <v>0</v>
      </c>
      <c r="AC368" s="30">
        <v>0</v>
      </c>
      <c r="AD368" s="30">
        <v>0</v>
      </c>
      <c r="AE368" s="89" t="s">
        <v>68</v>
      </c>
      <c r="AF368" s="89"/>
      <c r="AG368" s="89" t="s">
        <v>133</v>
      </c>
      <c r="AH368" s="72" t="s">
        <v>68</v>
      </c>
      <c r="AI368" s="30">
        <v>10</v>
      </c>
      <c r="AJ368" s="89" t="s">
        <v>2274</v>
      </c>
      <c r="AK368" s="89" t="s">
        <v>2275</v>
      </c>
      <c r="AL368" s="91">
        <v>39400</v>
      </c>
      <c r="AM368" s="91"/>
      <c r="AN368" s="91"/>
      <c r="AO368" s="91"/>
      <c r="AP368" s="73" t="e">
        <f>MID(VLOOKUP(K368,#REF!,2,FALSE),1,2)</f>
        <v>#REF!</v>
      </c>
      <c r="AQ368" s="89">
        <f>DATE(2007,10,25)</f>
        <v>39380</v>
      </c>
      <c r="AR368" s="82">
        <f t="shared" si="26"/>
        <v>25</v>
      </c>
      <c r="AS368" s="83">
        <f t="shared" si="27"/>
        <v>10</v>
      </c>
      <c r="AT368" s="84">
        <f t="shared" si="28"/>
        <v>2007</v>
      </c>
      <c r="AU368" s="86"/>
      <c r="AV368" s="86"/>
      <c r="AW368" s="87"/>
      <c r="AX368" s="86"/>
      <c r="AY368" s="83"/>
      <c r="AZ368" s="84"/>
      <c r="BA368" s="86"/>
      <c r="BB368" s="86"/>
    </row>
    <row r="369" spans="1:54" ht="36.75" customHeight="1">
      <c r="A369" s="30"/>
      <c r="B369" s="30" t="s">
        <v>55</v>
      </c>
      <c r="C369" s="69" t="str">
        <f t="shared" si="25"/>
        <v>Closed</v>
      </c>
      <c r="D369" s="27" t="s">
        <v>2276</v>
      </c>
      <c r="E369" s="29" t="s">
        <v>2277</v>
      </c>
      <c r="F369" s="30" t="s">
        <v>197</v>
      </c>
      <c r="G369" s="89">
        <f>DATE(2007,10,29)</f>
        <v>39384</v>
      </c>
      <c r="H369" s="90">
        <v>1.7694444444444444</v>
      </c>
      <c r="I369" s="30" t="s">
        <v>116</v>
      </c>
      <c r="J369" s="89" t="s">
        <v>2278</v>
      </c>
      <c r="K369" s="30" t="s">
        <v>200</v>
      </c>
      <c r="L369" s="30" t="s">
        <v>2279</v>
      </c>
      <c r="M369" s="30" t="s">
        <v>63</v>
      </c>
      <c r="N369" s="30">
        <v>0</v>
      </c>
      <c r="O369" s="30" t="s">
        <v>64</v>
      </c>
      <c r="P369" s="89" t="s">
        <v>165</v>
      </c>
      <c r="Q369" s="89" t="s">
        <v>202</v>
      </c>
      <c r="R369" s="89" t="s">
        <v>203</v>
      </c>
      <c r="S369" s="30">
        <v>0</v>
      </c>
      <c r="T369" s="233">
        <v>0</v>
      </c>
      <c r="U369" s="30">
        <v>2</v>
      </c>
      <c r="V369" s="233">
        <v>0</v>
      </c>
      <c r="W369" s="30">
        <v>0</v>
      </c>
      <c r="X369" s="30">
        <v>2</v>
      </c>
      <c r="Y369" s="30">
        <v>0</v>
      </c>
      <c r="Z369" s="233">
        <v>0</v>
      </c>
      <c r="AA369" s="30">
        <v>0</v>
      </c>
      <c r="AB369" s="30">
        <v>0</v>
      </c>
      <c r="AC369" s="30">
        <v>0</v>
      </c>
      <c r="AD369" s="30">
        <v>0</v>
      </c>
      <c r="AE369" s="89" t="s">
        <v>68</v>
      </c>
      <c r="AF369" s="89"/>
      <c r="AG369" s="89" t="s">
        <v>133</v>
      </c>
      <c r="AH369" s="72" t="s">
        <v>68</v>
      </c>
      <c r="AI369" s="30">
        <v>3</v>
      </c>
      <c r="AJ369" s="89" t="s">
        <v>2280</v>
      </c>
      <c r="AK369" s="89" t="s">
        <v>68</v>
      </c>
      <c r="AL369" s="91">
        <v>39790</v>
      </c>
      <c r="AM369" s="91"/>
      <c r="AN369" s="91"/>
      <c r="AO369" s="91"/>
      <c r="AP369" s="73" t="e">
        <f>MID(VLOOKUP(K369,#REF!,2,FALSE),1,2)</f>
        <v>#REF!</v>
      </c>
      <c r="AQ369" s="89">
        <f>DATE(2007,10,29)</f>
        <v>39384</v>
      </c>
      <c r="AR369" s="82">
        <f t="shared" si="26"/>
        <v>29</v>
      </c>
      <c r="AS369" s="83">
        <f t="shared" si="27"/>
        <v>10</v>
      </c>
      <c r="AT369" s="84">
        <f t="shared" si="28"/>
        <v>2007</v>
      </c>
      <c r="AU369" s="86"/>
      <c r="AV369" s="86"/>
      <c r="AW369" s="87"/>
      <c r="AX369" s="86"/>
      <c r="AY369" s="83"/>
      <c r="AZ369" s="84"/>
      <c r="BA369" s="86"/>
      <c r="BB369" s="86"/>
    </row>
    <row r="370" spans="1:54" ht="36.75" customHeight="1">
      <c r="A370" s="30"/>
      <c r="B370" s="30" t="s">
        <v>55</v>
      </c>
      <c r="C370" s="69" t="str">
        <f t="shared" si="25"/>
        <v>Closed</v>
      </c>
      <c r="D370" s="27" t="s">
        <v>2281</v>
      </c>
      <c r="E370" s="29" t="s">
        <v>2282</v>
      </c>
      <c r="F370" s="30" t="s">
        <v>423</v>
      </c>
      <c r="G370" s="89">
        <f>DATE(2007,10,30)</f>
        <v>39385</v>
      </c>
      <c r="H370" s="90">
        <v>1.7541666666666669</v>
      </c>
      <c r="I370" s="30" t="s">
        <v>116</v>
      </c>
      <c r="J370" s="89" t="s">
        <v>2283</v>
      </c>
      <c r="K370" s="30" t="s">
        <v>425</v>
      </c>
      <c r="L370" s="30" t="s">
        <v>2284</v>
      </c>
      <c r="M370" s="30" t="s">
        <v>63</v>
      </c>
      <c r="N370" s="30">
        <v>0</v>
      </c>
      <c r="O370" s="30" t="s">
        <v>64</v>
      </c>
      <c r="P370" s="89" t="s">
        <v>65</v>
      </c>
      <c r="Q370" s="89" t="s">
        <v>427</v>
      </c>
      <c r="R370" s="89" t="s">
        <v>427</v>
      </c>
      <c r="S370" s="30">
        <v>0</v>
      </c>
      <c r="T370" s="233" t="s">
        <v>68</v>
      </c>
      <c r="U370" s="30">
        <v>0</v>
      </c>
      <c r="V370" s="233" t="s">
        <v>68</v>
      </c>
      <c r="W370" s="30">
        <v>0</v>
      </c>
      <c r="X370" s="30">
        <v>0</v>
      </c>
      <c r="Y370" s="30">
        <v>0</v>
      </c>
      <c r="Z370" s="233" t="s">
        <v>68</v>
      </c>
      <c r="AA370" s="30">
        <v>0</v>
      </c>
      <c r="AB370" s="30">
        <v>0</v>
      </c>
      <c r="AC370" s="30">
        <v>0</v>
      </c>
      <c r="AD370" s="30">
        <v>0</v>
      </c>
      <c r="AE370" s="89" t="s">
        <v>68</v>
      </c>
      <c r="AF370" s="89"/>
      <c r="AG370" s="89" t="s">
        <v>352</v>
      </c>
      <c r="AH370" s="72" t="s">
        <v>68</v>
      </c>
      <c r="AI370" s="30">
        <v>1</v>
      </c>
      <c r="AJ370" s="89" t="s">
        <v>68</v>
      </c>
      <c r="AK370" s="89" t="s">
        <v>68</v>
      </c>
      <c r="AL370" s="91">
        <v>39393</v>
      </c>
      <c r="AM370" s="91"/>
      <c r="AN370" s="91"/>
      <c r="AO370" s="91"/>
      <c r="AP370" s="73" t="e">
        <f>MID(VLOOKUP(K370,#REF!,2,FALSE),1,2)</f>
        <v>#REF!</v>
      </c>
      <c r="AQ370" s="89">
        <f>DATE(2007,10,30)</f>
        <v>39385</v>
      </c>
      <c r="AR370" s="82">
        <f t="shared" si="26"/>
        <v>30</v>
      </c>
      <c r="AS370" s="83">
        <f t="shared" si="27"/>
        <v>10</v>
      </c>
      <c r="AT370" s="84">
        <f t="shared" si="28"/>
        <v>2007</v>
      </c>
      <c r="AU370" s="86"/>
      <c r="AV370" s="86"/>
      <c r="AW370" s="87"/>
      <c r="AX370" s="86"/>
      <c r="AY370" s="83"/>
      <c r="AZ370" s="84"/>
      <c r="BA370" s="86"/>
      <c r="BB370" s="86"/>
    </row>
    <row r="371" spans="1:54" ht="36.75" customHeight="1">
      <c r="A371" s="30"/>
      <c r="B371" s="30" t="s">
        <v>55</v>
      </c>
      <c r="C371" s="69" t="str">
        <f t="shared" si="25"/>
        <v>Closed</v>
      </c>
      <c r="D371" s="27" t="s">
        <v>2285</v>
      </c>
      <c r="E371" s="29" t="s">
        <v>2286</v>
      </c>
      <c r="F371" s="30" t="s">
        <v>197</v>
      </c>
      <c r="G371" s="89">
        <f>DATE(2007,10,31)</f>
        <v>39386</v>
      </c>
      <c r="H371" s="90">
        <v>1.1215277777777777</v>
      </c>
      <c r="I371" s="30" t="s">
        <v>73</v>
      </c>
      <c r="J371" s="89" t="s">
        <v>2287</v>
      </c>
      <c r="K371" s="30" t="s">
        <v>200</v>
      </c>
      <c r="L371" s="30" t="s">
        <v>2288</v>
      </c>
      <c r="M371" s="30" t="s">
        <v>63</v>
      </c>
      <c r="N371" s="30">
        <v>0</v>
      </c>
      <c r="O371" s="30" t="s">
        <v>64</v>
      </c>
      <c r="P371" s="89" t="s">
        <v>78</v>
      </c>
      <c r="Q371" s="89" t="s">
        <v>1716</v>
      </c>
      <c r="R371" s="89" t="s">
        <v>203</v>
      </c>
      <c r="S371" s="30">
        <v>0</v>
      </c>
      <c r="T371" s="233" t="s">
        <v>68</v>
      </c>
      <c r="U371" s="30">
        <v>0</v>
      </c>
      <c r="V371" s="233" t="s">
        <v>68</v>
      </c>
      <c r="W371" s="30">
        <v>0</v>
      </c>
      <c r="X371" s="30">
        <v>0</v>
      </c>
      <c r="Y371" s="30">
        <v>0</v>
      </c>
      <c r="Z371" s="233" t="s">
        <v>68</v>
      </c>
      <c r="AA371" s="30">
        <v>0</v>
      </c>
      <c r="AB371" s="30">
        <v>0</v>
      </c>
      <c r="AC371" s="30">
        <v>0</v>
      </c>
      <c r="AD371" s="30">
        <v>0</v>
      </c>
      <c r="AE371" s="89" t="s">
        <v>68</v>
      </c>
      <c r="AF371" s="89"/>
      <c r="AG371" s="89" t="s">
        <v>82</v>
      </c>
      <c r="AH371" s="72" t="s">
        <v>68</v>
      </c>
      <c r="AI371" s="30">
        <v>1</v>
      </c>
      <c r="AJ371" s="89" t="s">
        <v>2289</v>
      </c>
      <c r="AK371" s="89" t="s">
        <v>2290</v>
      </c>
      <c r="AL371" s="91">
        <v>39945</v>
      </c>
      <c r="AM371" s="91"/>
      <c r="AN371" s="91"/>
      <c r="AO371" s="91"/>
      <c r="AP371" s="73" t="e">
        <f>MID(VLOOKUP(K371,#REF!,2,FALSE),1,2)</f>
        <v>#REF!</v>
      </c>
      <c r="AQ371" s="89">
        <f>DATE(2007,10,31)</f>
        <v>39386</v>
      </c>
      <c r="AR371" s="82">
        <f t="shared" si="26"/>
        <v>31</v>
      </c>
      <c r="AS371" s="83">
        <f t="shared" si="27"/>
        <v>10</v>
      </c>
      <c r="AT371" s="84">
        <f t="shared" si="28"/>
        <v>2007</v>
      </c>
      <c r="AU371" s="86"/>
      <c r="AV371" s="86"/>
      <c r="AW371" s="87"/>
      <c r="AX371" s="86"/>
      <c r="AY371" s="83"/>
      <c r="AZ371" s="84"/>
      <c r="BA371" s="86"/>
      <c r="BB371" s="86"/>
    </row>
    <row r="372" spans="1:54" ht="36.75" customHeight="1">
      <c r="A372" s="30"/>
      <c r="B372" s="30" t="s">
        <v>55</v>
      </c>
      <c r="C372" s="69" t="str">
        <f t="shared" si="25"/>
        <v>Closed</v>
      </c>
      <c r="D372" s="27" t="s">
        <v>2291</v>
      </c>
      <c r="E372" s="29" t="s">
        <v>2292</v>
      </c>
      <c r="F372" s="30" t="s">
        <v>233</v>
      </c>
      <c r="G372" s="89">
        <f>DATE(2007,11,1)</f>
        <v>39387</v>
      </c>
      <c r="H372" s="90">
        <v>1.6076388888888888</v>
      </c>
      <c r="I372" s="30" t="s">
        <v>86</v>
      </c>
      <c r="J372" s="89" t="s">
        <v>2293</v>
      </c>
      <c r="K372" s="30" t="s">
        <v>235</v>
      </c>
      <c r="L372" s="30" t="s">
        <v>2294</v>
      </c>
      <c r="M372" s="30" t="s">
        <v>129</v>
      </c>
      <c r="N372" s="30">
        <v>0</v>
      </c>
      <c r="O372" s="30" t="s">
        <v>77</v>
      </c>
      <c r="P372" s="89" t="s">
        <v>86</v>
      </c>
      <c r="Q372" s="89" t="s">
        <v>683</v>
      </c>
      <c r="R372" s="89" t="s">
        <v>683</v>
      </c>
      <c r="S372" s="30">
        <v>0</v>
      </c>
      <c r="T372" s="233" t="s">
        <v>68</v>
      </c>
      <c r="U372" s="30">
        <v>0</v>
      </c>
      <c r="V372" s="233" t="s">
        <v>68</v>
      </c>
      <c r="W372" s="30">
        <v>0</v>
      </c>
      <c r="X372" s="30">
        <v>0</v>
      </c>
      <c r="Y372" s="30">
        <v>0</v>
      </c>
      <c r="Z372" s="233" t="s">
        <v>68</v>
      </c>
      <c r="AA372" s="30">
        <v>0</v>
      </c>
      <c r="AB372" s="30">
        <v>0</v>
      </c>
      <c r="AC372" s="30">
        <v>0</v>
      </c>
      <c r="AD372" s="30">
        <v>0</v>
      </c>
      <c r="AE372" s="89" t="s">
        <v>68</v>
      </c>
      <c r="AF372" s="89"/>
      <c r="AG372" s="89" t="s">
        <v>133</v>
      </c>
      <c r="AH372" s="72" t="s">
        <v>68</v>
      </c>
      <c r="AI372" s="30">
        <v>1</v>
      </c>
      <c r="AJ372" s="89" t="s">
        <v>2295</v>
      </c>
      <c r="AK372" s="89" t="s">
        <v>2296</v>
      </c>
      <c r="AL372" s="91">
        <v>39400</v>
      </c>
      <c r="AM372" s="91"/>
      <c r="AN372" s="91"/>
      <c r="AO372" s="91"/>
      <c r="AP372" s="73" t="e">
        <f>MID(VLOOKUP(K372,#REF!,2,FALSE),1,2)</f>
        <v>#REF!</v>
      </c>
      <c r="AQ372" s="89">
        <f>DATE(2007,11,1)</f>
        <v>39387</v>
      </c>
      <c r="AR372" s="82">
        <f t="shared" si="26"/>
        <v>1</v>
      </c>
      <c r="AS372" s="83">
        <f t="shared" si="27"/>
        <v>11</v>
      </c>
      <c r="AT372" s="84">
        <f t="shared" si="28"/>
        <v>2007</v>
      </c>
      <c r="AU372" s="86"/>
      <c r="AV372" s="86"/>
      <c r="AW372" s="87"/>
      <c r="AX372" s="86"/>
      <c r="AY372" s="83"/>
      <c r="AZ372" s="84"/>
      <c r="BA372" s="86"/>
      <c r="BB372" s="86"/>
    </row>
    <row r="373" spans="1:54" ht="36.75" customHeight="1">
      <c r="A373" s="30"/>
      <c r="B373" s="30" t="s">
        <v>55</v>
      </c>
      <c r="C373" s="69" t="str">
        <f t="shared" si="25"/>
        <v>Closed</v>
      </c>
      <c r="D373" s="27" t="s">
        <v>2297</v>
      </c>
      <c r="E373" s="29" t="s">
        <v>2298</v>
      </c>
      <c r="F373" s="30" t="s">
        <v>835</v>
      </c>
      <c r="G373" s="89">
        <f>DATE(2007,11,2)</f>
        <v>39388</v>
      </c>
      <c r="H373" s="90">
        <v>1.3916666666666666</v>
      </c>
      <c r="I373" s="30" t="s">
        <v>156</v>
      </c>
      <c r="J373" s="89" t="s">
        <v>2299</v>
      </c>
      <c r="K373" s="30" t="s">
        <v>837</v>
      </c>
      <c r="L373" s="30" t="s">
        <v>2300</v>
      </c>
      <c r="M373" s="30" t="s">
        <v>63</v>
      </c>
      <c r="N373" s="30">
        <v>0</v>
      </c>
      <c r="O373" s="30" t="s">
        <v>77</v>
      </c>
      <c r="P373" s="89" t="s">
        <v>78</v>
      </c>
      <c r="Q373" s="89" t="s">
        <v>1349</v>
      </c>
      <c r="R373" s="89" t="s">
        <v>840</v>
      </c>
      <c r="S373" s="30">
        <v>0</v>
      </c>
      <c r="T373" s="233" t="s">
        <v>68</v>
      </c>
      <c r="U373" s="30">
        <v>0</v>
      </c>
      <c r="V373" s="233" t="s">
        <v>68</v>
      </c>
      <c r="W373" s="30">
        <v>0</v>
      </c>
      <c r="X373" s="30">
        <v>0</v>
      </c>
      <c r="Y373" s="30">
        <v>0</v>
      </c>
      <c r="Z373" s="233" t="s">
        <v>68</v>
      </c>
      <c r="AA373" s="30">
        <v>0</v>
      </c>
      <c r="AB373" s="30">
        <v>0</v>
      </c>
      <c r="AC373" s="30">
        <v>0</v>
      </c>
      <c r="AD373" s="30">
        <v>0</v>
      </c>
      <c r="AE373" s="89" t="s">
        <v>68</v>
      </c>
      <c r="AF373" s="89"/>
      <c r="AG373" s="89" t="s">
        <v>352</v>
      </c>
      <c r="AH373" s="72" t="s">
        <v>68</v>
      </c>
      <c r="AI373" s="30">
        <v>1</v>
      </c>
      <c r="AJ373" s="89" t="s">
        <v>68</v>
      </c>
      <c r="AK373" s="89" t="s">
        <v>68</v>
      </c>
      <c r="AL373" s="91">
        <v>39594</v>
      </c>
      <c r="AM373" s="91"/>
      <c r="AN373" s="91"/>
      <c r="AO373" s="91"/>
      <c r="AP373" s="73" t="e">
        <f>MID(VLOOKUP(K373,#REF!,2,FALSE),1,2)</f>
        <v>#REF!</v>
      </c>
      <c r="AQ373" s="89">
        <f>DATE(2007,11,2)</f>
        <v>39388</v>
      </c>
      <c r="AR373" s="82">
        <f t="shared" si="26"/>
        <v>2</v>
      </c>
      <c r="AS373" s="83">
        <f t="shared" si="27"/>
        <v>11</v>
      </c>
      <c r="AT373" s="84">
        <f t="shared" si="28"/>
        <v>2007</v>
      </c>
      <c r="AU373" s="86"/>
      <c r="AV373" s="86"/>
      <c r="AW373" s="87"/>
      <c r="AX373" s="86"/>
      <c r="AY373" s="83"/>
      <c r="AZ373" s="84"/>
      <c r="BA373" s="86"/>
      <c r="BB373" s="86"/>
    </row>
    <row r="374" spans="1:54" ht="36.75" customHeight="1">
      <c r="A374" s="30"/>
      <c r="B374" s="30" t="s">
        <v>55</v>
      </c>
      <c r="C374" s="69" t="str">
        <f t="shared" si="25"/>
        <v>Closed</v>
      </c>
      <c r="D374" s="27" t="s">
        <v>2301</v>
      </c>
      <c r="E374" s="29" t="s">
        <v>2298</v>
      </c>
      <c r="F374" s="30" t="s">
        <v>835</v>
      </c>
      <c r="G374" s="89">
        <f>DATE(2007,11,2)</f>
        <v>39388</v>
      </c>
      <c r="H374" s="90">
        <v>1.5736111111111111</v>
      </c>
      <c r="I374" s="30" t="s">
        <v>156</v>
      </c>
      <c r="J374" s="89" t="s">
        <v>2302</v>
      </c>
      <c r="K374" s="30" t="s">
        <v>837</v>
      </c>
      <c r="L374" s="30" t="s">
        <v>2300</v>
      </c>
      <c r="M374" s="30" t="s">
        <v>63</v>
      </c>
      <c r="N374" s="30">
        <v>0</v>
      </c>
      <c r="O374" s="30" t="s">
        <v>77</v>
      </c>
      <c r="P374" s="89" t="s">
        <v>165</v>
      </c>
      <c r="Q374" s="89" t="s">
        <v>2162</v>
      </c>
      <c r="R374" s="89" t="s">
        <v>840</v>
      </c>
      <c r="S374" s="30">
        <v>0</v>
      </c>
      <c r="T374" s="233" t="s">
        <v>68</v>
      </c>
      <c r="U374" s="30">
        <v>0</v>
      </c>
      <c r="V374" s="233" t="s">
        <v>68</v>
      </c>
      <c r="W374" s="30">
        <v>0</v>
      </c>
      <c r="X374" s="30">
        <v>0</v>
      </c>
      <c r="Y374" s="30">
        <v>0</v>
      </c>
      <c r="Z374" s="233" t="s">
        <v>68</v>
      </c>
      <c r="AA374" s="30">
        <v>0</v>
      </c>
      <c r="AB374" s="30">
        <v>0</v>
      </c>
      <c r="AC374" s="30">
        <v>0</v>
      </c>
      <c r="AD374" s="30">
        <v>0</v>
      </c>
      <c r="AE374" s="89" t="s">
        <v>68</v>
      </c>
      <c r="AF374" s="89"/>
      <c r="AG374" s="89" t="s">
        <v>352</v>
      </c>
      <c r="AH374" s="72" t="s">
        <v>68</v>
      </c>
      <c r="AI374" s="30">
        <v>1</v>
      </c>
      <c r="AJ374" s="89" t="s">
        <v>68</v>
      </c>
      <c r="AK374" s="89" t="s">
        <v>68</v>
      </c>
      <c r="AL374" s="91">
        <v>39594</v>
      </c>
      <c r="AM374" s="91"/>
      <c r="AN374" s="91"/>
      <c r="AO374" s="91"/>
      <c r="AP374" s="73" t="e">
        <f>MID(VLOOKUP(K374,#REF!,2,FALSE),1,2)</f>
        <v>#REF!</v>
      </c>
      <c r="AQ374" s="89">
        <f>DATE(2007,11,2)</f>
        <v>39388</v>
      </c>
      <c r="AR374" s="82">
        <f t="shared" si="26"/>
        <v>2</v>
      </c>
      <c r="AS374" s="83">
        <f t="shared" si="27"/>
        <v>11</v>
      </c>
      <c r="AT374" s="84">
        <f t="shared" si="28"/>
        <v>2007</v>
      </c>
      <c r="AU374" s="86"/>
      <c r="AV374" s="86"/>
      <c r="AW374" s="87"/>
      <c r="AX374" s="86"/>
      <c r="AY374" s="83"/>
      <c r="AZ374" s="84"/>
      <c r="BA374" s="86"/>
      <c r="BB374" s="86"/>
    </row>
    <row r="375" spans="1:54" ht="36.75" customHeight="1">
      <c r="A375" s="30"/>
      <c r="B375" s="30" t="s">
        <v>55</v>
      </c>
      <c r="C375" s="69" t="str">
        <f t="shared" si="25"/>
        <v>Closed</v>
      </c>
      <c r="D375" s="27" t="s">
        <v>2303</v>
      </c>
      <c r="E375" s="29" t="s">
        <v>2304</v>
      </c>
      <c r="F375" s="30" t="s">
        <v>58</v>
      </c>
      <c r="G375" s="89">
        <f>DATE(2007,11,3)</f>
        <v>39389</v>
      </c>
      <c r="H375" s="90">
        <v>1.5409722222222222</v>
      </c>
      <c r="I375" s="30" t="s">
        <v>73</v>
      </c>
      <c r="J375" s="89" t="s">
        <v>2305</v>
      </c>
      <c r="K375" s="30" t="s">
        <v>61</v>
      </c>
      <c r="L375" s="30" t="s">
        <v>2306</v>
      </c>
      <c r="M375" s="30" t="s">
        <v>63</v>
      </c>
      <c r="N375" s="30" t="s">
        <v>89</v>
      </c>
      <c r="O375" s="30" t="s">
        <v>90</v>
      </c>
      <c r="P375" s="89" t="s">
        <v>91</v>
      </c>
      <c r="Q375" s="89" t="s">
        <v>66</v>
      </c>
      <c r="R375" s="89" t="s">
        <v>67</v>
      </c>
      <c r="S375" s="30">
        <v>0</v>
      </c>
      <c r="T375" s="233">
        <v>0</v>
      </c>
      <c r="U375" s="30">
        <v>0</v>
      </c>
      <c r="V375" s="233">
        <v>0</v>
      </c>
      <c r="W375" s="30">
        <v>0</v>
      </c>
      <c r="X375" s="30">
        <v>0</v>
      </c>
      <c r="Y375" s="30">
        <v>0</v>
      </c>
      <c r="Z375" s="233">
        <v>0</v>
      </c>
      <c r="AA375" s="30">
        <v>0</v>
      </c>
      <c r="AB375" s="30">
        <v>0</v>
      </c>
      <c r="AC375" s="30">
        <v>0</v>
      </c>
      <c r="AD375" s="30">
        <v>0</v>
      </c>
      <c r="AE375" s="89" t="s">
        <v>92</v>
      </c>
      <c r="AF375" s="89"/>
      <c r="AG375" s="89" t="s">
        <v>69</v>
      </c>
      <c r="AH375" s="72">
        <v>39391</v>
      </c>
      <c r="AI375" s="30">
        <v>1</v>
      </c>
      <c r="AJ375" s="89" t="s">
        <v>2307</v>
      </c>
      <c r="AK375" s="89" t="s">
        <v>68</v>
      </c>
      <c r="AL375" s="91">
        <v>39630</v>
      </c>
      <c r="AM375" s="91"/>
      <c r="AN375" s="91"/>
      <c r="AO375" s="91"/>
      <c r="AP375" s="73" t="e">
        <f>MID(VLOOKUP(K375,#REF!,2,FALSE),1,2)</f>
        <v>#REF!</v>
      </c>
      <c r="AQ375" s="89">
        <f>DATE(2007,11,3)</f>
        <v>39389</v>
      </c>
      <c r="AR375" s="82">
        <f t="shared" si="26"/>
        <v>3</v>
      </c>
      <c r="AS375" s="83">
        <f t="shared" si="27"/>
        <v>11</v>
      </c>
      <c r="AT375" s="84">
        <f t="shared" si="28"/>
        <v>2007</v>
      </c>
      <c r="AU375" s="86"/>
      <c r="AV375" s="86"/>
      <c r="AW375" s="87"/>
      <c r="AX375" s="86"/>
      <c r="AY375" s="83"/>
      <c r="AZ375" s="84"/>
      <c r="BA375" s="86"/>
      <c r="BB375" s="86"/>
    </row>
    <row r="376" spans="1:54" ht="36.75" customHeight="1">
      <c r="A376" s="30"/>
      <c r="B376" s="30" t="s">
        <v>55</v>
      </c>
      <c r="C376" s="69" t="str">
        <f t="shared" si="25"/>
        <v>Closed</v>
      </c>
      <c r="D376" s="27" t="s">
        <v>2308</v>
      </c>
      <c r="E376" s="29" t="s">
        <v>2309</v>
      </c>
      <c r="F376" s="30" t="s">
        <v>451</v>
      </c>
      <c r="G376" s="89">
        <f>DATE(2007,11,4)</f>
        <v>39390</v>
      </c>
      <c r="H376" s="90">
        <v>1.9437500000000001</v>
      </c>
      <c r="I376" s="30" t="s">
        <v>73</v>
      </c>
      <c r="J376" s="89" t="s">
        <v>2310</v>
      </c>
      <c r="K376" s="30" t="s">
        <v>453</v>
      </c>
      <c r="L376" s="30" t="s">
        <v>2311</v>
      </c>
      <c r="M376" s="30" t="s">
        <v>63</v>
      </c>
      <c r="N376" s="30" t="s">
        <v>142</v>
      </c>
      <c r="O376" s="30" t="s">
        <v>77</v>
      </c>
      <c r="P376" s="89" t="s">
        <v>165</v>
      </c>
      <c r="Q376" s="89" t="s">
        <v>571</v>
      </c>
      <c r="R376" s="89" t="s">
        <v>572</v>
      </c>
      <c r="S376" s="30">
        <v>0</v>
      </c>
      <c r="T376" s="233">
        <v>0</v>
      </c>
      <c r="U376" s="30">
        <v>0</v>
      </c>
      <c r="V376" s="233">
        <v>0</v>
      </c>
      <c r="W376" s="30">
        <v>0</v>
      </c>
      <c r="X376" s="30">
        <v>0</v>
      </c>
      <c r="Y376" s="30">
        <v>0</v>
      </c>
      <c r="Z376" s="233">
        <v>0</v>
      </c>
      <c r="AA376" s="30">
        <v>0</v>
      </c>
      <c r="AB376" s="30">
        <v>0</v>
      </c>
      <c r="AC376" s="30">
        <v>0</v>
      </c>
      <c r="AD376" s="30">
        <v>0</v>
      </c>
      <c r="AE376" s="89" t="s">
        <v>394</v>
      </c>
      <c r="AF376" s="89"/>
      <c r="AG376" s="89" t="s">
        <v>133</v>
      </c>
      <c r="AH376" s="72" t="s">
        <v>68</v>
      </c>
      <c r="AI376" s="30">
        <v>2</v>
      </c>
      <c r="AJ376" s="89" t="s">
        <v>2312</v>
      </c>
      <c r="AK376" s="89" t="s">
        <v>68</v>
      </c>
      <c r="AL376" s="91">
        <v>39722</v>
      </c>
      <c r="AM376" s="91"/>
      <c r="AN376" s="91"/>
      <c r="AO376" s="91"/>
      <c r="AP376" s="73" t="e">
        <f>MID(VLOOKUP(K376,#REF!,2,FALSE),1,2)</f>
        <v>#REF!</v>
      </c>
      <c r="AQ376" s="89">
        <f>DATE(2007,11,4)</f>
        <v>39390</v>
      </c>
      <c r="AR376" s="82">
        <f t="shared" si="26"/>
        <v>4</v>
      </c>
      <c r="AS376" s="83">
        <f t="shared" si="27"/>
        <v>11</v>
      </c>
      <c r="AT376" s="84">
        <f t="shared" si="28"/>
        <v>2007</v>
      </c>
      <c r="AU376" s="86"/>
      <c r="AV376" s="86"/>
      <c r="AW376" s="87"/>
      <c r="AX376" s="86"/>
      <c r="AY376" s="83"/>
      <c r="AZ376" s="84"/>
      <c r="BA376" s="86"/>
      <c r="BB376" s="86"/>
    </row>
    <row r="377" spans="1:54" ht="36.75" customHeight="1">
      <c r="A377" s="30"/>
      <c r="B377" s="30" t="s">
        <v>55</v>
      </c>
      <c r="C377" s="69" t="str">
        <f t="shared" si="25"/>
        <v>Closed</v>
      </c>
      <c r="D377" s="27" t="s">
        <v>2313</v>
      </c>
      <c r="E377" s="29" t="s">
        <v>2314</v>
      </c>
      <c r="F377" s="30" t="s">
        <v>233</v>
      </c>
      <c r="G377" s="89">
        <f>DATE(2007,11,4)</f>
        <v>39390</v>
      </c>
      <c r="H377" s="90">
        <v>1.3958333333333333</v>
      </c>
      <c r="I377" s="30" t="s">
        <v>86</v>
      </c>
      <c r="J377" s="89" t="s">
        <v>2315</v>
      </c>
      <c r="K377" s="30" t="s">
        <v>235</v>
      </c>
      <c r="L377" s="30" t="s">
        <v>2316</v>
      </c>
      <c r="M377" s="30" t="s">
        <v>63</v>
      </c>
      <c r="N377" s="30">
        <v>0</v>
      </c>
      <c r="O377" s="30" t="s">
        <v>86</v>
      </c>
      <c r="P377" s="89" t="s">
        <v>301</v>
      </c>
      <c r="Q377" s="89" t="s">
        <v>718</v>
      </c>
      <c r="R377" s="89" t="s">
        <v>238</v>
      </c>
      <c r="S377" s="30">
        <v>0</v>
      </c>
      <c r="T377" s="233" t="s">
        <v>68</v>
      </c>
      <c r="U377" s="30">
        <v>0</v>
      </c>
      <c r="V377" s="233" t="s">
        <v>68</v>
      </c>
      <c r="W377" s="30">
        <v>0</v>
      </c>
      <c r="X377" s="30">
        <v>0</v>
      </c>
      <c r="Y377" s="30">
        <v>0</v>
      </c>
      <c r="Z377" s="233" t="s">
        <v>68</v>
      </c>
      <c r="AA377" s="30">
        <v>0</v>
      </c>
      <c r="AB377" s="30">
        <v>0</v>
      </c>
      <c r="AC377" s="30">
        <v>0</v>
      </c>
      <c r="AD377" s="30">
        <v>0</v>
      </c>
      <c r="AE377" s="89" t="s">
        <v>68</v>
      </c>
      <c r="AF377" s="89"/>
      <c r="AG377" s="89" t="s">
        <v>133</v>
      </c>
      <c r="AH377" s="72" t="s">
        <v>68</v>
      </c>
      <c r="AI377" s="30">
        <v>6</v>
      </c>
      <c r="AJ377" s="89" t="s">
        <v>2317</v>
      </c>
      <c r="AK377" s="89" t="s">
        <v>2318</v>
      </c>
      <c r="AL377" s="91">
        <v>39400</v>
      </c>
      <c r="AM377" s="91"/>
      <c r="AN377" s="91"/>
      <c r="AO377" s="91"/>
      <c r="AP377" s="73" t="e">
        <f>MID(VLOOKUP(K377,#REF!,2,FALSE),1,2)</f>
        <v>#REF!</v>
      </c>
      <c r="AQ377" s="89">
        <f>DATE(2007,11,4)</f>
        <v>39390</v>
      </c>
      <c r="AR377" s="82">
        <f t="shared" si="26"/>
        <v>4</v>
      </c>
      <c r="AS377" s="83">
        <f t="shared" si="27"/>
        <v>11</v>
      </c>
      <c r="AT377" s="84">
        <f t="shared" si="28"/>
        <v>2007</v>
      </c>
      <c r="AU377" s="86"/>
      <c r="AV377" s="86"/>
      <c r="AW377" s="87"/>
      <c r="AX377" s="86"/>
      <c r="AY377" s="83"/>
      <c r="AZ377" s="84"/>
      <c r="BA377" s="86"/>
      <c r="BB377" s="86"/>
    </row>
    <row r="378" spans="1:54" ht="36.75" customHeight="1">
      <c r="A378" s="30"/>
      <c r="B378" s="30" t="s">
        <v>55</v>
      </c>
      <c r="C378" s="69" t="str">
        <f t="shared" si="25"/>
        <v>Closed</v>
      </c>
      <c r="D378" s="27" t="s">
        <v>2319</v>
      </c>
      <c r="E378" s="29" t="s">
        <v>2320</v>
      </c>
      <c r="F378" s="30" t="s">
        <v>115</v>
      </c>
      <c r="G378" s="89">
        <f>DATE(2007,11,9)</f>
        <v>39395</v>
      </c>
      <c r="H378" s="90">
        <v>1.8402777777777777</v>
      </c>
      <c r="I378" s="30" t="s">
        <v>73</v>
      </c>
      <c r="J378" s="89" t="s">
        <v>2321</v>
      </c>
      <c r="K378" s="30" t="s">
        <v>118</v>
      </c>
      <c r="L378" s="30" t="s">
        <v>2322</v>
      </c>
      <c r="M378" s="30" t="s">
        <v>63</v>
      </c>
      <c r="N378" s="30">
        <v>0</v>
      </c>
      <c r="O378" s="30" t="s">
        <v>64</v>
      </c>
      <c r="P378" s="89" t="s">
        <v>65</v>
      </c>
      <c r="Q378" s="89" t="s">
        <v>120</v>
      </c>
      <c r="R378" s="89" t="s">
        <v>121</v>
      </c>
      <c r="S378" s="30">
        <v>0</v>
      </c>
      <c r="T378" s="233" t="s">
        <v>68</v>
      </c>
      <c r="U378" s="30">
        <v>0</v>
      </c>
      <c r="V378" s="233" t="s">
        <v>68</v>
      </c>
      <c r="W378" s="30">
        <v>0</v>
      </c>
      <c r="X378" s="30">
        <v>0</v>
      </c>
      <c r="Y378" s="30">
        <v>0</v>
      </c>
      <c r="Z378" s="233" t="s">
        <v>68</v>
      </c>
      <c r="AA378" s="30">
        <v>0</v>
      </c>
      <c r="AB378" s="30">
        <v>0</v>
      </c>
      <c r="AC378" s="30">
        <v>0</v>
      </c>
      <c r="AD378" s="30">
        <v>0</v>
      </c>
      <c r="AE378" s="89" t="s">
        <v>68</v>
      </c>
      <c r="AF378" s="89"/>
      <c r="AG378" s="89" t="s">
        <v>133</v>
      </c>
      <c r="AH378" s="72" t="s">
        <v>68</v>
      </c>
      <c r="AI378" s="30">
        <v>0</v>
      </c>
      <c r="AJ378" s="89" t="s">
        <v>68</v>
      </c>
      <c r="AK378" s="89" t="s">
        <v>68</v>
      </c>
      <c r="AL378" s="91">
        <v>39416</v>
      </c>
      <c r="AM378" s="91"/>
      <c r="AN378" s="91"/>
      <c r="AO378" s="91"/>
      <c r="AP378" s="73" t="e">
        <f>MID(VLOOKUP(K378,#REF!,2,FALSE),1,2)</f>
        <v>#REF!</v>
      </c>
      <c r="AQ378" s="89">
        <f>DATE(2007,11,9)</f>
        <v>39395</v>
      </c>
      <c r="AR378" s="82">
        <f t="shared" si="26"/>
        <v>9</v>
      </c>
      <c r="AS378" s="83">
        <f t="shared" si="27"/>
        <v>11</v>
      </c>
      <c r="AT378" s="84">
        <f t="shared" si="28"/>
        <v>2007</v>
      </c>
      <c r="AU378" s="86"/>
      <c r="AV378" s="86"/>
      <c r="AW378" s="87"/>
      <c r="AX378" s="86"/>
      <c r="AY378" s="83"/>
      <c r="AZ378" s="84"/>
      <c r="BA378" s="86"/>
      <c r="BB378" s="86"/>
    </row>
    <row r="379" spans="1:54" ht="36.75" customHeight="1">
      <c r="A379" s="30"/>
      <c r="B379" s="30" t="s">
        <v>55</v>
      </c>
      <c r="C379" s="69" t="str">
        <f t="shared" si="25"/>
        <v>Closed</v>
      </c>
      <c r="D379" s="27" t="s">
        <v>2323</v>
      </c>
      <c r="E379" s="29" t="s">
        <v>2324</v>
      </c>
      <c r="F379" s="30" t="s">
        <v>582</v>
      </c>
      <c r="G379" s="89">
        <f>DATE(2007,11,12)</f>
        <v>39398</v>
      </c>
      <c r="H379" s="90">
        <v>1.557638888888889</v>
      </c>
      <c r="I379" s="30" t="s">
        <v>278</v>
      </c>
      <c r="J379" s="89" t="s">
        <v>2325</v>
      </c>
      <c r="K379" s="30" t="s">
        <v>584</v>
      </c>
      <c r="L379" s="30" t="s">
        <v>2326</v>
      </c>
      <c r="M379" s="30" t="s">
        <v>63</v>
      </c>
      <c r="N379" s="30" t="s">
        <v>142</v>
      </c>
      <c r="O379" s="30" t="s">
        <v>77</v>
      </c>
      <c r="P379" s="89" t="s">
        <v>65</v>
      </c>
      <c r="Q379" s="89" t="s">
        <v>2021</v>
      </c>
      <c r="R379" s="89" t="s">
        <v>587</v>
      </c>
      <c r="S379" s="30">
        <v>0</v>
      </c>
      <c r="T379" s="233">
        <v>1</v>
      </c>
      <c r="U379" s="30">
        <v>0</v>
      </c>
      <c r="V379" s="233">
        <v>0</v>
      </c>
      <c r="W379" s="30">
        <v>0</v>
      </c>
      <c r="X379" s="30">
        <v>1</v>
      </c>
      <c r="Y379" s="30">
        <v>0</v>
      </c>
      <c r="Z379" s="233">
        <v>2</v>
      </c>
      <c r="AA379" s="30">
        <v>0</v>
      </c>
      <c r="AB379" s="30">
        <v>0</v>
      </c>
      <c r="AC379" s="30">
        <v>0</v>
      </c>
      <c r="AD379" s="30">
        <v>2</v>
      </c>
      <c r="AE379" s="89" t="s">
        <v>68</v>
      </c>
      <c r="AF379" s="89"/>
      <c r="AG379" s="89" t="s">
        <v>82</v>
      </c>
      <c r="AH379" s="72">
        <v>39399</v>
      </c>
      <c r="AI379" s="30">
        <v>0</v>
      </c>
      <c r="AJ379" s="89" t="s">
        <v>2327</v>
      </c>
      <c r="AK379" s="89" t="s">
        <v>1233</v>
      </c>
      <c r="AL379" s="91">
        <v>39402</v>
      </c>
      <c r="AM379" s="91"/>
      <c r="AN379" s="91"/>
      <c r="AO379" s="91"/>
      <c r="AP379" s="73" t="e">
        <f>MID(VLOOKUP(K379,#REF!,2,FALSE),1,2)</f>
        <v>#REF!</v>
      </c>
      <c r="AQ379" s="89">
        <f>DATE(2007,11,12)</f>
        <v>39398</v>
      </c>
      <c r="AR379" s="82">
        <f t="shared" si="26"/>
        <v>12</v>
      </c>
      <c r="AS379" s="83">
        <f t="shared" si="27"/>
        <v>11</v>
      </c>
      <c r="AT379" s="84">
        <f t="shared" si="28"/>
        <v>2007</v>
      </c>
      <c r="AU379" s="86"/>
      <c r="AV379" s="86"/>
      <c r="AW379" s="87"/>
      <c r="AX379" s="86"/>
      <c r="AY379" s="83"/>
      <c r="AZ379" s="84"/>
      <c r="BA379" s="86"/>
      <c r="BB379" s="86"/>
    </row>
    <row r="380" spans="1:54" ht="36.75" customHeight="1">
      <c r="A380" s="30"/>
      <c r="B380" s="30" t="s">
        <v>55</v>
      </c>
      <c r="C380" s="69" t="str">
        <f t="shared" si="25"/>
        <v>Closed</v>
      </c>
      <c r="D380" s="27" t="s">
        <v>2328</v>
      </c>
      <c r="E380" s="29" t="s">
        <v>2329</v>
      </c>
      <c r="F380" s="30" t="s">
        <v>233</v>
      </c>
      <c r="G380" s="89">
        <f>DATE(2007,11,13)</f>
        <v>39399</v>
      </c>
      <c r="H380" s="90">
        <v>1.5833333333333335</v>
      </c>
      <c r="I380" s="30" t="s">
        <v>278</v>
      </c>
      <c r="J380" s="89" t="s">
        <v>2330</v>
      </c>
      <c r="K380" s="30" t="s">
        <v>235</v>
      </c>
      <c r="L380" s="30" t="s">
        <v>2331</v>
      </c>
      <c r="M380" s="30" t="s">
        <v>63</v>
      </c>
      <c r="N380" s="30">
        <v>0</v>
      </c>
      <c r="O380" s="30" t="s">
        <v>64</v>
      </c>
      <c r="P380" s="89" t="s">
        <v>165</v>
      </c>
      <c r="Q380" s="89" t="s">
        <v>1521</v>
      </c>
      <c r="R380" s="89" t="s">
        <v>238</v>
      </c>
      <c r="S380" s="30">
        <v>0</v>
      </c>
      <c r="T380" s="233">
        <v>0</v>
      </c>
      <c r="U380" s="30">
        <v>0</v>
      </c>
      <c r="V380" s="233">
        <v>0</v>
      </c>
      <c r="W380" s="30">
        <v>0</v>
      </c>
      <c r="X380" s="30">
        <v>0</v>
      </c>
      <c r="Y380" s="30">
        <v>0</v>
      </c>
      <c r="Z380" s="233">
        <v>1</v>
      </c>
      <c r="AA380" s="30">
        <v>0</v>
      </c>
      <c r="AB380" s="30">
        <v>0</v>
      </c>
      <c r="AC380" s="30">
        <v>0</v>
      </c>
      <c r="AD380" s="30">
        <v>1</v>
      </c>
      <c r="AE380" s="89" t="s">
        <v>68</v>
      </c>
      <c r="AF380" s="89"/>
      <c r="AG380" s="89" t="s">
        <v>352</v>
      </c>
      <c r="AH380" s="72" t="s">
        <v>68</v>
      </c>
      <c r="AI380" s="30">
        <v>9</v>
      </c>
      <c r="AJ380" s="89" t="s">
        <v>2332</v>
      </c>
      <c r="AK380" s="89" t="s">
        <v>2333</v>
      </c>
      <c r="AL380" s="91">
        <v>39422</v>
      </c>
      <c r="AM380" s="91"/>
      <c r="AN380" s="91"/>
      <c r="AO380" s="91"/>
      <c r="AP380" s="73" t="e">
        <f>MID(VLOOKUP(K380,#REF!,2,FALSE),1,2)</f>
        <v>#REF!</v>
      </c>
      <c r="AQ380" s="89">
        <f>DATE(2007,11,13)</f>
        <v>39399</v>
      </c>
      <c r="AR380" s="82">
        <f t="shared" si="26"/>
        <v>13</v>
      </c>
      <c r="AS380" s="83">
        <f t="shared" si="27"/>
        <v>11</v>
      </c>
      <c r="AT380" s="84">
        <f t="shared" si="28"/>
        <v>2007</v>
      </c>
      <c r="AU380" s="86"/>
      <c r="AV380" s="86"/>
      <c r="AW380" s="87"/>
      <c r="AX380" s="86"/>
      <c r="AY380" s="83"/>
      <c r="AZ380" s="84"/>
      <c r="BA380" s="86"/>
      <c r="BB380" s="86"/>
    </row>
    <row r="381" spans="1:54" ht="36.75" customHeight="1">
      <c r="A381" s="30"/>
      <c r="B381" s="30" t="s">
        <v>55</v>
      </c>
      <c r="C381" s="69" t="str">
        <f t="shared" si="25"/>
        <v>Closed</v>
      </c>
      <c r="D381" s="27" t="s">
        <v>2334</v>
      </c>
      <c r="E381" s="29" t="s">
        <v>2335</v>
      </c>
      <c r="F381" s="30" t="s">
        <v>2336</v>
      </c>
      <c r="G381" s="89">
        <f>DATE(2007,11,15)</f>
        <v>39401</v>
      </c>
      <c r="H381" s="90">
        <v>1.5402777777777779</v>
      </c>
      <c r="I381" s="30" t="s">
        <v>116</v>
      </c>
      <c r="J381" s="89" t="s">
        <v>2337</v>
      </c>
      <c r="K381" s="30" t="s">
        <v>2338</v>
      </c>
      <c r="L381" s="30" t="s">
        <v>2339</v>
      </c>
      <c r="M381" s="30" t="s">
        <v>63</v>
      </c>
      <c r="N381" s="30">
        <v>0</v>
      </c>
      <c r="O381" s="30" t="s">
        <v>64</v>
      </c>
      <c r="P381" s="89" t="s">
        <v>65</v>
      </c>
      <c r="Q381" s="89" t="s">
        <v>2340</v>
      </c>
      <c r="R381" s="89" t="s">
        <v>2341</v>
      </c>
      <c r="S381" s="30">
        <v>0</v>
      </c>
      <c r="T381" s="233">
        <v>2</v>
      </c>
      <c r="U381" s="30">
        <v>0</v>
      </c>
      <c r="V381" s="233">
        <v>0</v>
      </c>
      <c r="W381" s="30">
        <v>0</v>
      </c>
      <c r="X381" s="30">
        <v>2</v>
      </c>
      <c r="Y381" s="30">
        <v>12</v>
      </c>
      <c r="Z381" s="233">
        <v>3</v>
      </c>
      <c r="AA381" s="30">
        <v>0</v>
      </c>
      <c r="AB381" s="30">
        <v>0</v>
      </c>
      <c r="AC381" s="30">
        <v>0</v>
      </c>
      <c r="AD381" s="30">
        <v>15</v>
      </c>
      <c r="AE381" s="89" t="s">
        <v>68</v>
      </c>
      <c r="AF381" s="89"/>
      <c r="AG381" s="89" t="s">
        <v>82</v>
      </c>
      <c r="AH381" s="72" t="s">
        <v>68</v>
      </c>
      <c r="AI381" s="30">
        <v>3</v>
      </c>
      <c r="AJ381" s="89" t="s">
        <v>2342</v>
      </c>
      <c r="AK381" s="89" t="s">
        <v>68</v>
      </c>
      <c r="AL381" s="91">
        <v>39406</v>
      </c>
      <c r="AM381" s="91"/>
      <c r="AN381" s="91"/>
      <c r="AO381" s="91"/>
      <c r="AP381" s="73" t="e">
        <f>MID(VLOOKUP(K381,#REF!,2,FALSE),1,2)</f>
        <v>#REF!</v>
      </c>
      <c r="AQ381" s="89">
        <f>DATE(2007,11,15)</f>
        <v>39401</v>
      </c>
      <c r="AR381" s="82">
        <f t="shared" si="26"/>
        <v>15</v>
      </c>
      <c r="AS381" s="83">
        <f t="shared" si="27"/>
        <v>11</v>
      </c>
      <c r="AT381" s="84">
        <f t="shared" si="28"/>
        <v>2007</v>
      </c>
      <c r="AU381" s="86"/>
      <c r="AV381" s="86"/>
      <c r="AW381" s="87"/>
      <c r="AX381" s="86"/>
      <c r="AY381" s="83"/>
      <c r="AZ381" s="84"/>
      <c r="BA381" s="86"/>
      <c r="BB381" s="86"/>
    </row>
    <row r="382" spans="1:54" ht="36.75" customHeight="1">
      <c r="A382" s="30"/>
      <c r="B382" s="30" t="s">
        <v>55</v>
      </c>
      <c r="C382" s="69" t="str">
        <f t="shared" si="25"/>
        <v>Closed</v>
      </c>
      <c r="D382" s="27" t="s">
        <v>2343</v>
      </c>
      <c r="E382" s="29" t="s">
        <v>2344</v>
      </c>
      <c r="F382" s="30" t="s">
        <v>423</v>
      </c>
      <c r="G382" s="89">
        <f>DATE(2007,11,19)</f>
        <v>39405</v>
      </c>
      <c r="H382" s="90">
        <v>1.6465277777777778</v>
      </c>
      <c r="I382" s="30" t="s">
        <v>73</v>
      </c>
      <c r="J382" s="89" t="s">
        <v>2345</v>
      </c>
      <c r="K382" s="30" t="s">
        <v>425</v>
      </c>
      <c r="L382" s="30" t="s">
        <v>2346</v>
      </c>
      <c r="M382" s="30" t="s">
        <v>63</v>
      </c>
      <c r="N382" s="30">
        <v>0</v>
      </c>
      <c r="O382" s="30" t="s">
        <v>77</v>
      </c>
      <c r="P382" s="89" t="s">
        <v>78</v>
      </c>
      <c r="Q382" s="89" t="s">
        <v>989</v>
      </c>
      <c r="R382" s="89" t="s">
        <v>989</v>
      </c>
      <c r="S382" s="30">
        <v>0</v>
      </c>
      <c r="T382" s="233" t="s">
        <v>68</v>
      </c>
      <c r="U382" s="30">
        <v>0</v>
      </c>
      <c r="V382" s="233" t="s">
        <v>68</v>
      </c>
      <c r="W382" s="30">
        <v>0</v>
      </c>
      <c r="X382" s="30">
        <v>0</v>
      </c>
      <c r="Y382" s="30">
        <v>0</v>
      </c>
      <c r="Z382" s="233" t="s">
        <v>68</v>
      </c>
      <c r="AA382" s="30">
        <v>0</v>
      </c>
      <c r="AB382" s="30">
        <v>0</v>
      </c>
      <c r="AC382" s="30">
        <v>0</v>
      </c>
      <c r="AD382" s="30">
        <v>0</v>
      </c>
      <c r="AE382" s="89" t="s">
        <v>68</v>
      </c>
      <c r="AF382" s="89"/>
      <c r="AG382" s="89" t="s">
        <v>133</v>
      </c>
      <c r="AH382" s="72" t="s">
        <v>68</v>
      </c>
      <c r="AI382" s="30">
        <v>0</v>
      </c>
      <c r="AJ382" s="89" t="s">
        <v>2347</v>
      </c>
      <c r="AK382" s="89" t="s">
        <v>2348</v>
      </c>
      <c r="AL382" s="91">
        <v>39413</v>
      </c>
      <c r="AM382" s="91"/>
      <c r="AN382" s="91"/>
      <c r="AO382" s="91"/>
      <c r="AP382" s="73" t="e">
        <f>MID(VLOOKUP(K382,#REF!,2,FALSE),1,2)</f>
        <v>#REF!</v>
      </c>
      <c r="AQ382" s="89">
        <f>DATE(2007,11,19)</f>
        <v>39405</v>
      </c>
      <c r="AR382" s="82">
        <f t="shared" si="26"/>
        <v>19</v>
      </c>
      <c r="AS382" s="83">
        <f t="shared" si="27"/>
        <v>11</v>
      </c>
      <c r="AT382" s="84">
        <f t="shared" si="28"/>
        <v>2007</v>
      </c>
      <c r="AU382" s="86"/>
      <c r="AV382" s="86"/>
      <c r="AW382" s="87"/>
      <c r="AX382" s="86"/>
      <c r="AY382" s="83"/>
      <c r="AZ382" s="84"/>
      <c r="BA382" s="86"/>
      <c r="BB382" s="86"/>
    </row>
    <row r="383" spans="1:54" ht="36.75" customHeight="1">
      <c r="A383" s="30"/>
      <c r="B383" s="30" t="s">
        <v>55</v>
      </c>
      <c r="C383" s="69" t="str">
        <f t="shared" si="25"/>
        <v>Closed</v>
      </c>
      <c r="D383" s="27" t="s">
        <v>2349</v>
      </c>
      <c r="E383" s="29" t="s">
        <v>2350</v>
      </c>
      <c r="F383" s="30" t="s">
        <v>58</v>
      </c>
      <c r="G383" s="89">
        <f>DATE(2007,11,21)</f>
        <v>39407</v>
      </c>
      <c r="H383" s="90">
        <v>1.5381944444444444</v>
      </c>
      <c r="I383" s="30" t="s">
        <v>116</v>
      </c>
      <c r="J383" s="89" t="s">
        <v>2351</v>
      </c>
      <c r="K383" s="30" t="s">
        <v>61</v>
      </c>
      <c r="L383" s="30" t="s">
        <v>2352</v>
      </c>
      <c r="M383" s="30" t="s">
        <v>63</v>
      </c>
      <c r="N383" s="30" t="s">
        <v>99</v>
      </c>
      <c r="O383" s="30" t="s">
        <v>64</v>
      </c>
      <c r="P383" s="89" t="s">
        <v>78</v>
      </c>
      <c r="Q383" s="89" t="s">
        <v>66</v>
      </c>
      <c r="R383" s="89" t="s">
        <v>67</v>
      </c>
      <c r="S383" s="30">
        <v>0</v>
      </c>
      <c r="T383" s="233">
        <v>0</v>
      </c>
      <c r="U383" s="30">
        <v>1</v>
      </c>
      <c r="V383" s="233">
        <v>0</v>
      </c>
      <c r="W383" s="30">
        <v>0</v>
      </c>
      <c r="X383" s="30">
        <v>1</v>
      </c>
      <c r="Y383" s="30">
        <v>0</v>
      </c>
      <c r="Z383" s="233">
        <v>0</v>
      </c>
      <c r="AA383" s="30">
        <v>0</v>
      </c>
      <c r="AB383" s="30">
        <v>0</v>
      </c>
      <c r="AC383" s="30">
        <v>0</v>
      </c>
      <c r="AD383" s="30">
        <v>0</v>
      </c>
      <c r="AE383" s="89" t="s">
        <v>92</v>
      </c>
      <c r="AF383" s="89"/>
      <c r="AG383" s="89" t="s">
        <v>82</v>
      </c>
      <c r="AH383" s="72">
        <v>39408</v>
      </c>
      <c r="AI383" s="30">
        <v>2</v>
      </c>
      <c r="AJ383" s="89" t="s">
        <v>2353</v>
      </c>
      <c r="AK383" s="89" t="s">
        <v>2354</v>
      </c>
      <c r="AL383" s="91">
        <v>39632</v>
      </c>
      <c r="AM383" s="91"/>
      <c r="AN383" s="91"/>
      <c r="AO383" s="91"/>
      <c r="AP383" s="73" t="e">
        <f>MID(VLOOKUP(K383,#REF!,2,FALSE),1,2)</f>
        <v>#REF!</v>
      </c>
      <c r="AQ383" s="89">
        <f>DATE(2007,11,21)</f>
        <v>39407</v>
      </c>
      <c r="AR383" s="82">
        <f t="shared" si="26"/>
        <v>21</v>
      </c>
      <c r="AS383" s="83">
        <f t="shared" si="27"/>
        <v>11</v>
      </c>
      <c r="AT383" s="84">
        <f t="shared" si="28"/>
        <v>2007</v>
      </c>
      <c r="AU383" s="86"/>
      <c r="AV383" s="86"/>
      <c r="AW383" s="87"/>
      <c r="AX383" s="86"/>
      <c r="AY383" s="83"/>
      <c r="AZ383" s="84"/>
      <c r="BA383" s="86"/>
      <c r="BB383" s="86"/>
    </row>
    <row r="384" spans="1:54" ht="36.75" customHeight="1">
      <c r="A384" s="30"/>
      <c r="B384" s="30" t="s">
        <v>55</v>
      </c>
      <c r="C384" s="69" t="str">
        <f t="shared" si="25"/>
        <v>Closed</v>
      </c>
      <c r="D384" s="27" t="s">
        <v>2355</v>
      </c>
      <c r="E384" s="29" t="s">
        <v>2356</v>
      </c>
      <c r="F384" s="30" t="s">
        <v>115</v>
      </c>
      <c r="G384" s="89">
        <f>DATE(2007,11,21)</f>
        <v>39407</v>
      </c>
      <c r="H384" s="90">
        <v>1.4097222222222223</v>
      </c>
      <c r="I384" s="30" t="s">
        <v>198</v>
      </c>
      <c r="J384" s="89" t="s">
        <v>2357</v>
      </c>
      <c r="K384" s="30" t="s">
        <v>118</v>
      </c>
      <c r="L384" s="30" t="s">
        <v>2358</v>
      </c>
      <c r="M384" s="30" t="s">
        <v>63</v>
      </c>
      <c r="N384" s="30">
        <v>0</v>
      </c>
      <c r="O384" s="30" t="s">
        <v>64</v>
      </c>
      <c r="P384" s="89" t="s">
        <v>65</v>
      </c>
      <c r="Q384" s="89" t="s">
        <v>2359</v>
      </c>
      <c r="R384" s="89" t="s">
        <v>2359</v>
      </c>
      <c r="S384" s="30">
        <v>0</v>
      </c>
      <c r="T384" s="233">
        <v>0</v>
      </c>
      <c r="U384" s="30">
        <v>0</v>
      </c>
      <c r="V384" s="233">
        <v>0</v>
      </c>
      <c r="W384" s="30">
        <v>0</v>
      </c>
      <c r="X384" s="30">
        <v>0</v>
      </c>
      <c r="Y384" s="30">
        <v>1</v>
      </c>
      <c r="Z384" s="233">
        <v>4</v>
      </c>
      <c r="AA384" s="30">
        <v>0</v>
      </c>
      <c r="AB384" s="30">
        <v>0</v>
      </c>
      <c r="AC384" s="30">
        <v>0</v>
      </c>
      <c r="AD384" s="30">
        <v>5</v>
      </c>
      <c r="AE384" s="89" t="s">
        <v>68</v>
      </c>
      <c r="AF384" s="89"/>
      <c r="AG384" s="89" t="s">
        <v>2083</v>
      </c>
      <c r="AH384" s="72" t="s">
        <v>68</v>
      </c>
      <c r="AI384" s="30">
        <v>0</v>
      </c>
      <c r="AJ384" s="89" t="s">
        <v>68</v>
      </c>
      <c r="AK384" s="89" t="s">
        <v>68</v>
      </c>
      <c r="AL384" s="91">
        <v>39429</v>
      </c>
      <c r="AM384" s="91"/>
      <c r="AN384" s="91"/>
      <c r="AO384" s="91"/>
      <c r="AP384" s="73" t="e">
        <f>MID(VLOOKUP(K384,#REF!,2,FALSE),1,2)</f>
        <v>#REF!</v>
      </c>
      <c r="AQ384" s="89">
        <f>DATE(2007,11,21)</f>
        <v>39407</v>
      </c>
      <c r="AR384" s="82">
        <f t="shared" si="26"/>
        <v>21</v>
      </c>
      <c r="AS384" s="83">
        <f t="shared" si="27"/>
        <v>11</v>
      </c>
      <c r="AT384" s="84">
        <f t="shared" si="28"/>
        <v>2007</v>
      </c>
      <c r="AU384" s="86"/>
      <c r="AV384" s="86"/>
      <c r="AW384" s="87"/>
      <c r="AX384" s="86"/>
      <c r="AY384" s="83"/>
      <c r="AZ384" s="84"/>
      <c r="BA384" s="86"/>
      <c r="BB384" s="86"/>
    </row>
    <row r="385" spans="1:54" ht="36.75" customHeight="1">
      <c r="A385" s="30"/>
      <c r="B385" s="30" t="s">
        <v>55</v>
      </c>
      <c r="C385" s="69" t="str">
        <f t="shared" si="25"/>
        <v>Closed</v>
      </c>
      <c r="D385" s="27" t="s">
        <v>2360</v>
      </c>
      <c r="E385" s="29" t="s">
        <v>2361</v>
      </c>
      <c r="F385" s="30" t="s">
        <v>124</v>
      </c>
      <c r="G385" s="89">
        <f>DATE(2007,11,21)</f>
        <v>39407</v>
      </c>
      <c r="H385" s="90">
        <v>1.4361111111111111</v>
      </c>
      <c r="I385" s="30" t="s">
        <v>198</v>
      </c>
      <c r="J385" s="89" t="s">
        <v>2362</v>
      </c>
      <c r="K385" s="30" t="s">
        <v>127</v>
      </c>
      <c r="L385" s="30" t="s">
        <v>2363</v>
      </c>
      <c r="M385" s="30" t="s">
        <v>255</v>
      </c>
      <c r="N385" s="30">
        <v>0</v>
      </c>
      <c r="O385" s="30" t="s">
        <v>64</v>
      </c>
      <c r="P385" s="89" t="s">
        <v>86</v>
      </c>
      <c r="Q385" s="89" t="s">
        <v>978</v>
      </c>
      <c r="R385" s="89" t="s">
        <v>131</v>
      </c>
      <c r="S385" s="30">
        <v>0</v>
      </c>
      <c r="T385" s="233" t="s">
        <v>68</v>
      </c>
      <c r="U385" s="30">
        <v>0</v>
      </c>
      <c r="V385" s="233" t="s">
        <v>68</v>
      </c>
      <c r="W385" s="30">
        <v>0</v>
      </c>
      <c r="X385" s="30">
        <v>0</v>
      </c>
      <c r="Y385" s="30">
        <v>0</v>
      </c>
      <c r="Z385" s="233" t="s">
        <v>68</v>
      </c>
      <c r="AA385" s="30">
        <v>0</v>
      </c>
      <c r="AB385" s="30">
        <v>0</v>
      </c>
      <c r="AC385" s="30">
        <v>0</v>
      </c>
      <c r="AD385" s="30">
        <v>0</v>
      </c>
      <c r="AE385" s="89" t="s">
        <v>68</v>
      </c>
      <c r="AF385" s="89"/>
      <c r="AG385" s="89" t="s">
        <v>367</v>
      </c>
      <c r="AH385" s="72" t="s">
        <v>68</v>
      </c>
      <c r="AI385" s="30">
        <v>3</v>
      </c>
      <c r="AJ385" s="89" t="s">
        <v>68</v>
      </c>
      <c r="AK385" s="89" t="s">
        <v>2364</v>
      </c>
      <c r="AL385" s="91">
        <v>39414</v>
      </c>
      <c r="AM385" s="91"/>
      <c r="AN385" s="91"/>
      <c r="AO385" s="91"/>
      <c r="AP385" s="73" t="e">
        <f>MID(VLOOKUP(K385,#REF!,2,FALSE),1,2)</f>
        <v>#REF!</v>
      </c>
      <c r="AQ385" s="89">
        <f>DATE(2007,11,21)</f>
        <v>39407</v>
      </c>
      <c r="AR385" s="82">
        <f t="shared" si="26"/>
        <v>21</v>
      </c>
      <c r="AS385" s="83">
        <f t="shared" si="27"/>
        <v>11</v>
      </c>
      <c r="AT385" s="84">
        <f t="shared" si="28"/>
        <v>2007</v>
      </c>
      <c r="AU385" s="86"/>
      <c r="AV385" s="86"/>
      <c r="AW385" s="87"/>
      <c r="AX385" s="86"/>
      <c r="AY385" s="83"/>
      <c r="AZ385" s="84"/>
      <c r="BA385" s="86"/>
      <c r="BB385" s="86"/>
    </row>
    <row r="386" spans="1:54" ht="36.75" customHeight="1">
      <c r="A386" s="30"/>
      <c r="B386" s="30" t="s">
        <v>55</v>
      </c>
      <c r="C386" s="69" t="str">
        <f t="shared" ref="C386:C449" si="29">IF(B386="Notification","Open",IF(B386="Interim Statement","In progress","Closed"))</f>
        <v>Closed</v>
      </c>
      <c r="D386" s="27" t="s">
        <v>2365</v>
      </c>
      <c r="E386" s="29" t="s">
        <v>2366</v>
      </c>
      <c r="F386" s="30" t="s">
        <v>138</v>
      </c>
      <c r="G386" s="89">
        <f>DATE(2007,11,24)</f>
        <v>39410</v>
      </c>
      <c r="H386" s="90">
        <v>1.6076388888888888</v>
      </c>
      <c r="I386" s="30" t="s">
        <v>125</v>
      </c>
      <c r="J386" s="89" t="s">
        <v>2367</v>
      </c>
      <c r="K386" s="30" t="s">
        <v>140</v>
      </c>
      <c r="L386" s="30" t="s">
        <v>2368</v>
      </c>
      <c r="M386" s="30" t="s">
        <v>63</v>
      </c>
      <c r="N386" s="30" t="s">
        <v>142</v>
      </c>
      <c r="O386" s="30" t="s">
        <v>77</v>
      </c>
      <c r="P386" s="89" t="s">
        <v>301</v>
      </c>
      <c r="Q386" s="89" t="s">
        <v>2007</v>
      </c>
      <c r="R386" s="89" t="s">
        <v>144</v>
      </c>
      <c r="S386" s="30">
        <v>0</v>
      </c>
      <c r="T386" s="233">
        <v>0</v>
      </c>
      <c r="U386" s="30">
        <v>0</v>
      </c>
      <c r="V386" s="233">
        <v>0</v>
      </c>
      <c r="W386" s="30">
        <v>0</v>
      </c>
      <c r="X386" s="30">
        <v>0</v>
      </c>
      <c r="Y386" s="30">
        <v>0</v>
      </c>
      <c r="Z386" s="233">
        <v>0</v>
      </c>
      <c r="AA386" s="30">
        <v>0</v>
      </c>
      <c r="AB386" s="30">
        <v>0</v>
      </c>
      <c r="AC386" s="30">
        <v>0</v>
      </c>
      <c r="AD386" s="30">
        <v>0</v>
      </c>
      <c r="AE386" s="89" t="s">
        <v>145</v>
      </c>
      <c r="AF386" s="89"/>
      <c r="AG386" s="89" t="s">
        <v>874</v>
      </c>
      <c r="AH386" s="72">
        <v>39421</v>
      </c>
      <c r="AI386" s="30">
        <v>5</v>
      </c>
      <c r="AJ386" s="89" t="s">
        <v>2369</v>
      </c>
      <c r="AK386" s="89" t="s">
        <v>2370</v>
      </c>
      <c r="AL386" s="91">
        <v>39587</v>
      </c>
      <c r="AM386" s="91"/>
      <c r="AN386" s="91"/>
      <c r="AO386" s="91"/>
      <c r="AP386" s="73" t="e">
        <f>MID(VLOOKUP(K386,#REF!,2,FALSE),1,2)</f>
        <v>#REF!</v>
      </c>
      <c r="AQ386" s="89">
        <f>DATE(2007,11,24)</f>
        <v>39410</v>
      </c>
      <c r="AR386" s="82">
        <f t="shared" ref="AR386:AR449" si="30">DAY(AQ386)</f>
        <v>24</v>
      </c>
      <c r="AS386" s="83">
        <f t="shared" ref="AS386:AS449" si="31">MONTH(AQ386)</f>
        <v>11</v>
      </c>
      <c r="AT386" s="84">
        <f t="shared" ref="AT386:AT449" si="32">YEAR(AQ386)</f>
        <v>2007</v>
      </c>
      <c r="AU386" s="86"/>
      <c r="AV386" s="86"/>
      <c r="AW386" s="87"/>
      <c r="AX386" s="86"/>
      <c r="AY386" s="83"/>
      <c r="AZ386" s="84"/>
      <c r="BA386" s="86"/>
      <c r="BB386" s="86"/>
    </row>
    <row r="387" spans="1:54" ht="36.75" customHeight="1">
      <c r="A387" s="30"/>
      <c r="B387" s="30" t="s">
        <v>55</v>
      </c>
      <c r="C387" s="69" t="str">
        <f t="shared" si="29"/>
        <v>Closed</v>
      </c>
      <c r="D387" s="27" t="s">
        <v>2371</v>
      </c>
      <c r="E387" s="29" t="s">
        <v>2372</v>
      </c>
      <c r="F387" s="30" t="s">
        <v>115</v>
      </c>
      <c r="G387" s="89">
        <f>DATE(2007,11,26)</f>
        <v>39412</v>
      </c>
      <c r="H387" s="90">
        <v>1.7097222222222221</v>
      </c>
      <c r="I387" s="30" t="s">
        <v>116</v>
      </c>
      <c r="J387" s="89" t="s">
        <v>2373</v>
      </c>
      <c r="K387" s="30" t="s">
        <v>118</v>
      </c>
      <c r="L387" s="30" t="s">
        <v>2374</v>
      </c>
      <c r="M387" s="30" t="s">
        <v>63</v>
      </c>
      <c r="N387" s="30">
        <v>0</v>
      </c>
      <c r="O387" s="30" t="s">
        <v>64</v>
      </c>
      <c r="P387" s="89" t="s">
        <v>165</v>
      </c>
      <c r="Q387" s="89" t="s">
        <v>120</v>
      </c>
      <c r="R387" s="89" t="s">
        <v>121</v>
      </c>
      <c r="S387" s="30">
        <v>0</v>
      </c>
      <c r="T387" s="233" t="s">
        <v>68</v>
      </c>
      <c r="U387" s="30">
        <v>0</v>
      </c>
      <c r="V387" s="233" t="s">
        <v>68</v>
      </c>
      <c r="W387" s="30">
        <v>0</v>
      </c>
      <c r="X387" s="30">
        <v>0</v>
      </c>
      <c r="Y387" s="30">
        <v>0</v>
      </c>
      <c r="Z387" s="233" t="s">
        <v>68</v>
      </c>
      <c r="AA387" s="30">
        <v>0</v>
      </c>
      <c r="AB387" s="30">
        <v>0</v>
      </c>
      <c r="AC387" s="30">
        <v>0</v>
      </c>
      <c r="AD387" s="30">
        <v>0</v>
      </c>
      <c r="AE387" s="89" t="s">
        <v>68</v>
      </c>
      <c r="AF387" s="89"/>
      <c r="AG387" s="89" t="s">
        <v>133</v>
      </c>
      <c r="AH387" s="72" t="s">
        <v>68</v>
      </c>
      <c r="AI387" s="30">
        <v>3</v>
      </c>
      <c r="AJ387" s="89" t="s">
        <v>2375</v>
      </c>
      <c r="AK387" s="89" t="s">
        <v>68</v>
      </c>
      <c r="AL387" s="91">
        <v>39429</v>
      </c>
      <c r="AM387" s="91"/>
      <c r="AN387" s="91"/>
      <c r="AO387" s="91"/>
      <c r="AP387" s="73" t="e">
        <f>MID(VLOOKUP(K387,#REF!,2,FALSE),1,2)</f>
        <v>#REF!</v>
      </c>
      <c r="AQ387" s="89">
        <f>DATE(2007,11,26)</f>
        <v>39412</v>
      </c>
      <c r="AR387" s="82">
        <f t="shared" si="30"/>
        <v>26</v>
      </c>
      <c r="AS387" s="83">
        <f t="shared" si="31"/>
        <v>11</v>
      </c>
      <c r="AT387" s="84">
        <f t="shared" si="32"/>
        <v>2007</v>
      </c>
      <c r="AU387" s="86"/>
      <c r="AV387" s="86"/>
      <c r="AW387" s="87"/>
      <c r="AX387" s="86"/>
      <c r="AY387" s="83"/>
      <c r="AZ387" s="84"/>
      <c r="BA387" s="86"/>
      <c r="BB387" s="86"/>
    </row>
    <row r="388" spans="1:54" ht="36.75" customHeight="1">
      <c r="A388" s="30"/>
      <c r="B388" s="30" t="s">
        <v>55</v>
      </c>
      <c r="C388" s="69" t="str">
        <f t="shared" si="29"/>
        <v>Closed</v>
      </c>
      <c r="D388" s="27" t="s">
        <v>2376</v>
      </c>
      <c r="E388" s="29" t="s">
        <v>2377</v>
      </c>
      <c r="F388" s="30" t="s">
        <v>423</v>
      </c>
      <c r="G388" s="89">
        <f>DATE(2007,11,27)</f>
        <v>39413</v>
      </c>
      <c r="H388" s="90">
        <v>1.7923611111111111</v>
      </c>
      <c r="I388" s="30" t="s">
        <v>73</v>
      </c>
      <c r="J388" s="89" t="s">
        <v>2378</v>
      </c>
      <c r="K388" s="30" t="s">
        <v>425</v>
      </c>
      <c r="L388" s="30" t="s">
        <v>2379</v>
      </c>
      <c r="M388" s="30" t="s">
        <v>63</v>
      </c>
      <c r="N388" s="30">
        <v>0</v>
      </c>
      <c r="O388" s="30" t="s">
        <v>77</v>
      </c>
      <c r="P388" s="89" t="s">
        <v>78</v>
      </c>
      <c r="Q388" s="89" t="s">
        <v>989</v>
      </c>
      <c r="R388" s="89" t="s">
        <v>989</v>
      </c>
      <c r="S388" s="30">
        <v>0</v>
      </c>
      <c r="T388" s="233" t="s">
        <v>68</v>
      </c>
      <c r="U388" s="30">
        <v>0</v>
      </c>
      <c r="V388" s="233" t="s">
        <v>68</v>
      </c>
      <c r="W388" s="30">
        <v>0</v>
      </c>
      <c r="X388" s="30">
        <v>0</v>
      </c>
      <c r="Y388" s="30">
        <v>0</v>
      </c>
      <c r="Z388" s="233" t="s">
        <v>68</v>
      </c>
      <c r="AA388" s="30">
        <v>0</v>
      </c>
      <c r="AB388" s="30">
        <v>0</v>
      </c>
      <c r="AC388" s="30">
        <v>0</v>
      </c>
      <c r="AD388" s="30">
        <v>0</v>
      </c>
      <c r="AE388" s="89" t="s">
        <v>68</v>
      </c>
      <c r="AF388" s="89"/>
      <c r="AG388" s="89" t="s">
        <v>352</v>
      </c>
      <c r="AH388" s="72" t="s">
        <v>68</v>
      </c>
      <c r="AI388" s="30">
        <v>2</v>
      </c>
      <c r="AJ388" s="89" t="s">
        <v>68</v>
      </c>
      <c r="AK388" s="89" t="s">
        <v>68</v>
      </c>
      <c r="AL388" s="91">
        <v>39435</v>
      </c>
      <c r="AM388" s="91"/>
      <c r="AN388" s="91"/>
      <c r="AO388" s="91"/>
      <c r="AP388" s="73" t="e">
        <f>MID(VLOOKUP(K388,#REF!,2,FALSE),1,2)</f>
        <v>#REF!</v>
      </c>
      <c r="AQ388" s="89">
        <f>DATE(2007,11,27)</f>
        <v>39413</v>
      </c>
      <c r="AR388" s="82">
        <f t="shared" si="30"/>
        <v>27</v>
      </c>
      <c r="AS388" s="83">
        <f t="shared" si="31"/>
        <v>11</v>
      </c>
      <c r="AT388" s="84">
        <f t="shared" si="32"/>
        <v>2007</v>
      </c>
      <c r="AU388" s="86"/>
      <c r="AV388" s="86"/>
      <c r="AW388" s="87"/>
      <c r="AX388" s="86"/>
      <c r="AY388" s="83"/>
      <c r="AZ388" s="84"/>
      <c r="BA388" s="86"/>
      <c r="BB388" s="86"/>
    </row>
    <row r="389" spans="1:54" ht="36.75" customHeight="1">
      <c r="A389" s="30"/>
      <c r="B389" s="30" t="s">
        <v>55</v>
      </c>
      <c r="C389" s="69" t="str">
        <f t="shared" si="29"/>
        <v>Closed</v>
      </c>
      <c r="D389" s="27" t="s">
        <v>2380</v>
      </c>
      <c r="E389" s="29" t="s">
        <v>2381</v>
      </c>
      <c r="F389" s="30" t="s">
        <v>1770</v>
      </c>
      <c r="G389" s="89">
        <f>DATE(2007,11,29)</f>
        <v>39415</v>
      </c>
      <c r="H389" s="90">
        <v>1.3888888888888888</v>
      </c>
      <c r="I389" s="30" t="s">
        <v>278</v>
      </c>
      <c r="J389" s="89" t="s">
        <v>2382</v>
      </c>
      <c r="K389" s="30" t="s">
        <v>1772</v>
      </c>
      <c r="L389" s="30" t="s">
        <v>2383</v>
      </c>
      <c r="M389" s="30" t="s">
        <v>63</v>
      </c>
      <c r="N389" s="30" t="s">
        <v>142</v>
      </c>
      <c r="O389" s="30" t="s">
        <v>64</v>
      </c>
      <c r="P389" s="89" t="s">
        <v>65</v>
      </c>
      <c r="Q389" s="89" t="s">
        <v>1774</v>
      </c>
      <c r="R389" s="89" t="s">
        <v>1775</v>
      </c>
      <c r="S389" s="30">
        <v>0</v>
      </c>
      <c r="T389" s="233">
        <v>2</v>
      </c>
      <c r="U389" s="30">
        <v>0</v>
      </c>
      <c r="V389" s="233">
        <v>0</v>
      </c>
      <c r="W389" s="30">
        <v>0</v>
      </c>
      <c r="X389" s="30">
        <v>2</v>
      </c>
      <c r="Y389" s="30">
        <v>0</v>
      </c>
      <c r="Z389" s="233">
        <v>0</v>
      </c>
      <c r="AA389" s="30">
        <v>0</v>
      </c>
      <c r="AB389" s="30">
        <v>0</v>
      </c>
      <c r="AC389" s="30">
        <v>0</v>
      </c>
      <c r="AD389" s="30">
        <v>0</v>
      </c>
      <c r="AE389" s="89" t="s">
        <v>92</v>
      </c>
      <c r="AF389" s="89"/>
      <c r="AG389" s="89" t="s">
        <v>82</v>
      </c>
      <c r="AH389" s="72">
        <v>39419</v>
      </c>
      <c r="AI389" s="30">
        <v>4</v>
      </c>
      <c r="AJ389" s="89" t="s">
        <v>2384</v>
      </c>
      <c r="AK389" s="89" t="s">
        <v>1233</v>
      </c>
      <c r="AL389" s="91">
        <v>39477</v>
      </c>
      <c r="AM389" s="91"/>
      <c r="AN389" s="91"/>
      <c r="AO389" s="91"/>
      <c r="AP389" s="73" t="e">
        <f>MID(VLOOKUP(K389,#REF!,2,FALSE),1,2)</f>
        <v>#REF!</v>
      </c>
      <c r="AQ389" s="89">
        <f>DATE(2007,11,29)</f>
        <v>39415</v>
      </c>
      <c r="AR389" s="82">
        <f t="shared" si="30"/>
        <v>29</v>
      </c>
      <c r="AS389" s="83">
        <f t="shared" si="31"/>
        <v>11</v>
      </c>
      <c r="AT389" s="84">
        <f t="shared" si="32"/>
        <v>2007</v>
      </c>
      <c r="AU389" s="86"/>
      <c r="AV389" s="86"/>
      <c r="AW389" s="87"/>
      <c r="AX389" s="86"/>
      <c r="AY389" s="83"/>
      <c r="AZ389" s="84"/>
      <c r="BA389" s="86"/>
      <c r="BB389" s="86"/>
    </row>
    <row r="390" spans="1:54" ht="36.75" customHeight="1">
      <c r="A390" s="30"/>
      <c r="B390" s="30" t="s">
        <v>55</v>
      </c>
      <c r="C390" s="69" t="str">
        <f t="shared" si="29"/>
        <v>Closed</v>
      </c>
      <c r="D390" s="27" t="s">
        <v>2385</v>
      </c>
      <c r="E390" s="29" t="s">
        <v>2386</v>
      </c>
      <c r="F390" s="30" t="s">
        <v>233</v>
      </c>
      <c r="G390" s="89">
        <f>DATE(2007,11,29)</f>
        <v>39415</v>
      </c>
      <c r="H390" s="90">
        <v>1.2048611111111112</v>
      </c>
      <c r="I390" s="30" t="s">
        <v>278</v>
      </c>
      <c r="J390" s="89" t="s">
        <v>2387</v>
      </c>
      <c r="K390" s="30" t="s">
        <v>235</v>
      </c>
      <c r="L390" s="30" t="s">
        <v>2388</v>
      </c>
      <c r="M390" s="30" t="s">
        <v>63</v>
      </c>
      <c r="N390" s="30">
        <v>0</v>
      </c>
      <c r="O390" s="30" t="s">
        <v>64</v>
      </c>
      <c r="P390" s="89" t="s">
        <v>165</v>
      </c>
      <c r="Q390" s="89" t="s">
        <v>1428</v>
      </c>
      <c r="R390" s="89" t="s">
        <v>238</v>
      </c>
      <c r="S390" s="30">
        <v>0</v>
      </c>
      <c r="T390" s="233">
        <v>1</v>
      </c>
      <c r="U390" s="30">
        <v>0</v>
      </c>
      <c r="V390" s="233">
        <v>0</v>
      </c>
      <c r="W390" s="30">
        <v>0</v>
      </c>
      <c r="X390" s="30">
        <v>1</v>
      </c>
      <c r="Y390" s="30">
        <v>0</v>
      </c>
      <c r="Z390" s="233">
        <v>0</v>
      </c>
      <c r="AA390" s="30">
        <v>0</v>
      </c>
      <c r="AB390" s="30">
        <v>0</v>
      </c>
      <c r="AC390" s="30">
        <v>0</v>
      </c>
      <c r="AD390" s="30">
        <v>0</v>
      </c>
      <c r="AE390" s="89" t="s">
        <v>68</v>
      </c>
      <c r="AF390" s="89"/>
      <c r="AG390" s="89" t="s">
        <v>82</v>
      </c>
      <c r="AH390" s="72" t="s">
        <v>68</v>
      </c>
      <c r="AI390" s="30">
        <v>5</v>
      </c>
      <c r="AJ390" s="89" t="s">
        <v>2389</v>
      </c>
      <c r="AK390" s="89" t="s">
        <v>2390</v>
      </c>
      <c r="AL390" s="91">
        <v>39422</v>
      </c>
      <c r="AM390" s="91"/>
      <c r="AN390" s="91"/>
      <c r="AO390" s="91"/>
      <c r="AP390" s="73" t="e">
        <f>MID(VLOOKUP(K390,#REF!,2,FALSE),1,2)</f>
        <v>#REF!</v>
      </c>
      <c r="AQ390" s="89">
        <f>DATE(2007,11,29)</f>
        <v>39415</v>
      </c>
      <c r="AR390" s="82">
        <f t="shared" si="30"/>
        <v>29</v>
      </c>
      <c r="AS390" s="83">
        <f t="shared" si="31"/>
        <v>11</v>
      </c>
      <c r="AT390" s="84">
        <f t="shared" si="32"/>
        <v>2007</v>
      </c>
      <c r="AU390" s="86"/>
      <c r="AV390" s="86"/>
      <c r="AW390" s="87"/>
      <c r="AX390" s="86"/>
      <c r="AY390" s="83"/>
      <c r="AZ390" s="84"/>
      <c r="BA390" s="86"/>
      <c r="BB390" s="86"/>
    </row>
    <row r="391" spans="1:54" ht="36.75" customHeight="1">
      <c r="A391" s="30"/>
      <c r="B391" s="30" t="s">
        <v>55</v>
      </c>
      <c r="C391" s="69" t="str">
        <f t="shared" si="29"/>
        <v>Closed</v>
      </c>
      <c r="D391" s="27" t="s">
        <v>2391</v>
      </c>
      <c r="E391" s="29" t="s">
        <v>2392</v>
      </c>
      <c r="F391" s="30" t="s">
        <v>423</v>
      </c>
      <c r="G391" s="89">
        <f>DATE(2007,12,1)</f>
        <v>39417</v>
      </c>
      <c r="H391" s="90">
        <v>1.4930555555555556</v>
      </c>
      <c r="I391" s="30" t="s">
        <v>73</v>
      </c>
      <c r="J391" s="89" t="s">
        <v>2393</v>
      </c>
      <c r="K391" s="30" t="s">
        <v>425</v>
      </c>
      <c r="L391" s="30" t="s">
        <v>2394</v>
      </c>
      <c r="M391" s="30" t="s">
        <v>63</v>
      </c>
      <c r="N391" s="30">
        <v>0</v>
      </c>
      <c r="O391" s="30" t="s">
        <v>64</v>
      </c>
      <c r="P391" s="89" t="s">
        <v>65</v>
      </c>
      <c r="Q391" s="89" t="s">
        <v>989</v>
      </c>
      <c r="R391" s="89" t="s">
        <v>989</v>
      </c>
      <c r="S391" s="30">
        <v>0</v>
      </c>
      <c r="T391" s="233" t="s">
        <v>68</v>
      </c>
      <c r="U391" s="30">
        <v>0</v>
      </c>
      <c r="V391" s="233" t="s">
        <v>68</v>
      </c>
      <c r="W391" s="30">
        <v>0</v>
      </c>
      <c r="X391" s="30">
        <v>0</v>
      </c>
      <c r="Y391" s="30">
        <v>0</v>
      </c>
      <c r="Z391" s="233" t="s">
        <v>68</v>
      </c>
      <c r="AA391" s="30">
        <v>0</v>
      </c>
      <c r="AB391" s="30">
        <v>0</v>
      </c>
      <c r="AC391" s="30">
        <v>0</v>
      </c>
      <c r="AD391" s="30">
        <v>0</v>
      </c>
      <c r="AE391" s="89" t="s">
        <v>68</v>
      </c>
      <c r="AF391" s="89"/>
      <c r="AG391" s="89" t="s">
        <v>133</v>
      </c>
      <c r="AH391" s="72" t="s">
        <v>68</v>
      </c>
      <c r="AI391" s="30">
        <v>4</v>
      </c>
      <c r="AJ391" s="89" t="s">
        <v>68</v>
      </c>
      <c r="AK391" s="89" t="s">
        <v>68</v>
      </c>
      <c r="AL391" s="91">
        <v>39435</v>
      </c>
      <c r="AM391" s="91"/>
      <c r="AN391" s="91"/>
      <c r="AO391" s="91"/>
      <c r="AP391" s="73" t="e">
        <f>MID(VLOOKUP(K391,#REF!,2,FALSE),1,2)</f>
        <v>#REF!</v>
      </c>
      <c r="AQ391" s="89">
        <f>DATE(2007,12,1)</f>
        <v>39417</v>
      </c>
      <c r="AR391" s="82">
        <f t="shared" si="30"/>
        <v>1</v>
      </c>
      <c r="AS391" s="83">
        <f t="shared" si="31"/>
        <v>12</v>
      </c>
      <c r="AT391" s="84">
        <f t="shared" si="32"/>
        <v>2007</v>
      </c>
      <c r="AU391" s="86"/>
      <c r="AV391" s="86"/>
      <c r="AW391" s="87"/>
      <c r="AX391" s="86"/>
      <c r="AY391" s="83"/>
      <c r="AZ391" s="84"/>
      <c r="BA391" s="86"/>
      <c r="BB391" s="86"/>
    </row>
    <row r="392" spans="1:54" ht="36.75" customHeight="1">
      <c r="A392" s="30"/>
      <c r="B392" s="30" t="s">
        <v>55</v>
      </c>
      <c r="C392" s="69" t="str">
        <f t="shared" si="29"/>
        <v>Closed</v>
      </c>
      <c r="D392" s="27" t="s">
        <v>2395</v>
      </c>
      <c r="E392" s="29" t="s">
        <v>2396</v>
      </c>
      <c r="F392" s="30" t="s">
        <v>115</v>
      </c>
      <c r="G392" s="89">
        <f>DATE(2007,12,3)</f>
        <v>39419</v>
      </c>
      <c r="H392" s="90">
        <v>1.3847222222222222</v>
      </c>
      <c r="I392" s="30" t="s">
        <v>116</v>
      </c>
      <c r="J392" s="89" t="s">
        <v>2397</v>
      </c>
      <c r="K392" s="30" t="s">
        <v>118</v>
      </c>
      <c r="L392" s="30" t="s">
        <v>2398</v>
      </c>
      <c r="M392" s="30" t="s">
        <v>63</v>
      </c>
      <c r="N392" s="30">
        <v>0</v>
      </c>
      <c r="O392" s="30" t="s">
        <v>64</v>
      </c>
      <c r="P392" s="89" t="s">
        <v>165</v>
      </c>
      <c r="Q392" s="89" t="s">
        <v>120</v>
      </c>
      <c r="R392" s="89" t="s">
        <v>121</v>
      </c>
      <c r="S392" s="30">
        <v>0</v>
      </c>
      <c r="T392" s="233">
        <v>0</v>
      </c>
      <c r="U392" s="30">
        <v>3</v>
      </c>
      <c r="V392" s="233">
        <v>0</v>
      </c>
      <c r="W392" s="30">
        <v>0</v>
      </c>
      <c r="X392" s="30">
        <v>3</v>
      </c>
      <c r="Y392" s="30">
        <v>0</v>
      </c>
      <c r="Z392" s="233">
        <v>0</v>
      </c>
      <c r="AA392" s="30">
        <v>0</v>
      </c>
      <c r="AB392" s="30">
        <v>0</v>
      </c>
      <c r="AC392" s="30">
        <v>0</v>
      </c>
      <c r="AD392" s="30">
        <v>0</v>
      </c>
      <c r="AE392" s="89" t="s">
        <v>68</v>
      </c>
      <c r="AF392" s="89"/>
      <c r="AG392" s="89" t="s">
        <v>352</v>
      </c>
      <c r="AH392" s="72" t="s">
        <v>68</v>
      </c>
      <c r="AI392" s="30">
        <v>0</v>
      </c>
      <c r="AJ392" s="89" t="s">
        <v>68</v>
      </c>
      <c r="AK392" s="89" t="s">
        <v>68</v>
      </c>
      <c r="AL392" s="91">
        <v>39436</v>
      </c>
      <c r="AM392" s="91"/>
      <c r="AN392" s="91"/>
      <c r="AO392" s="91"/>
      <c r="AP392" s="73" t="e">
        <f>MID(VLOOKUP(K392,#REF!,2,FALSE),1,2)</f>
        <v>#REF!</v>
      </c>
      <c r="AQ392" s="89">
        <f>DATE(2007,12,3)</f>
        <v>39419</v>
      </c>
      <c r="AR392" s="82">
        <f t="shared" si="30"/>
        <v>3</v>
      </c>
      <c r="AS392" s="83">
        <f t="shared" si="31"/>
        <v>12</v>
      </c>
      <c r="AT392" s="84">
        <f t="shared" si="32"/>
        <v>2007</v>
      </c>
      <c r="AU392" s="86"/>
      <c r="AV392" s="86"/>
      <c r="AW392" s="87"/>
      <c r="AX392" s="86"/>
      <c r="AY392" s="83"/>
      <c r="AZ392" s="84"/>
      <c r="BA392" s="86"/>
      <c r="BB392" s="86"/>
    </row>
    <row r="393" spans="1:54" ht="36.75" customHeight="1">
      <c r="A393" s="30"/>
      <c r="B393" s="30" t="s">
        <v>55</v>
      </c>
      <c r="C393" s="69" t="str">
        <f t="shared" si="29"/>
        <v>Closed</v>
      </c>
      <c r="D393" s="27" t="s">
        <v>2399</v>
      </c>
      <c r="E393" s="29" t="s">
        <v>2400</v>
      </c>
      <c r="F393" s="30" t="s">
        <v>233</v>
      </c>
      <c r="G393" s="89">
        <f>DATE(2007,12,5)</f>
        <v>39421</v>
      </c>
      <c r="H393" s="90">
        <v>1.0777777777777777</v>
      </c>
      <c r="I393" s="30" t="s">
        <v>198</v>
      </c>
      <c r="J393" s="89" t="s">
        <v>2401</v>
      </c>
      <c r="K393" s="30" t="s">
        <v>235</v>
      </c>
      <c r="L393" s="30" t="s">
        <v>2402</v>
      </c>
      <c r="M393" s="30" t="s">
        <v>63</v>
      </c>
      <c r="N393" s="30">
        <v>0</v>
      </c>
      <c r="O393" s="30" t="s">
        <v>86</v>
      </c>
      <c r="P393" s="89" t="s">
        <v>301</v>
      </c>
      <c r="Q393" s="89" t="s">
        <v>718</v>
      </c>
      <c r="R393" s="89" t="s">
        <v>238</v>
      </c>
      <c r="S393" s="30">
        <v>0</v>
      </c>
      <c r="T393" s="233" t="s">
        <v>68</v>
      </c>
      <c r="U393" s="30">
        <v>0</v>
      </c>
      <c r="V393" s="233" t="s">
        <v>68</v>
      </c>
      <c r="W393" s="30">
        <v>0</v>
      </c>
      <c r="X393" s="30">
        <v>0</v>
      </c>
      <c r="Y393" s="30">
        <v>0</v>
      </c>
      <c r="Z393" s="233" t="s">
        <v>68</v>
      </c>
      <c r="AA393" s="30">
        <v>0</v>
      </c>
      <c r="AB393" s="30">
        <v>0</v>
      </c>
      <c r="AC393" s="30">
        <v>0</v>
      </c>
      <c r="AD393" s="30">
        <v>0</v>
      </c>
      <c r="AE393" s="89" t="s">
        <v>68</v>
      </c>
      <c r="AF393" s="89"/>
      <c r="AG393" s="89" t="s">
        <v>352</v>
      </c>
      <c r="AH393" s="72" t="s">
        <v>68</v>
      </c>
      <c r="AI393" s="30">
        <v>7</v>
      </c>
      <c r="AJ393" s="89" t="s">
        <v>2403</v>
      </c>
      <c r="AK393" s="89" t="s">
        <v>2404</v>
      </c>
      <c r="AL393" s="91">
        <v>39435</v>
      </c>
      <c r="AM393" s="91"/>
      <c r="AN393" s="91"/>
      <c r="AO393" s="91"/>
      <c r="AP393" s="73" t="e">
        <f>MID(VLOOKUP(K393,#REF!,2,FALSE),1,2)</f>
        <v>#REF!</v>
      </c>
      <c r="AQ393" s="89">
        <f>DATE(2007,12,5)</f>
        <v>39421</v>
      </c>
      <c r="AR393" s="82">
        <f t="shared" si="30"/>
        <v>5</v>
      </c>
      <c r="AS393" s="83">
        <f t="shared" si="31"/>
        <v>12</v>
      </c>
      <c r="AT393" s="84">
        <f t="shared" si="32"/>
        <v>2007</v>
      </c>
      <c r="AU393" s="86"/>
      <c r="AV393" s="86"/>
      <c r="AW393" s="87"/>
      <c r="AX393" s="86"/>
      <c r="AY393" s="83"/>
      <c r="AZ393" s="84"/>
      <c r="BA393" s="86"/>
      <c r="BB393" s="86"/>
    </row>
    <row r="394" spans="1:54" ht="36.75" customHeight="1">
      <c r="A394" s="30"/>
      <c r="B394" s="30" t="s">
        <v>55</v>
      </c>
      <c r="C394" s="69" t="str">
        <f t="shared" si="29"/>
        <v>Closed</v>
      </c>
      <c r="D394" s="27" t="s">
        <v>2405</v>
      </c>
      <c r="E394" s="29" t="s">
        <v>2406</v>
      </c>
      <c r="F394" s="30" t="s">
        <v>423</v>
      </c>
      <c r="G394" s="89">
        <f>DATE(2007,12,6)</f>
        <v>39422</v>
      </c>
      <c r="H394" s="90">
        <v>1.7715277777777776</v>
      </c>
      <c r="I394" s="30" t="s">
        <v>73</v>
      </c>
      <c r="J394" s="89" t="s">
        <v>2407</v>
      </c>
      <c r="K394" s="30" t="s">
        <v>425</v>
      </c>
      <c r="L394" s="30" t="s">
        <v>2408</v>
      </c>
      <c r="M394" s="30" t="s">
        <v>63</v>
      </c>
      <c r="N394" s="30">
        <v>0</v>
      </c>
      <c r="O394" s="30" t="s">
        <v>77</v>
      </c>
      <c r="P394" s="89" t="s">
        <v>165</v>
      </c>
      <c r="Q394" s="89" t="s">
        <v>989</v>
      </c>
      <c r="R394" s="89" t="s">
        <v>989</v>
      </c>
      <c r="S394" s="30">
        <v>0</v>
      </c>
      <c r="T394" s="233" t="s">
        <v>68</v>
      </c>
      <c r="U394" s="30">
        <v>0</v>
      </c>
      <c r="V394" s="233" t="s">
        <v>68</v>
      </c>
      <c r="W394" s="30">
        <v>0</v>
      </c>
      <c r="X394" s="30">
        <v>0</v>
      </c>
      <c r="Y394" s="30">
        <v>0</v>
      </c>
      <c r="Z394" s="233" t="s">
        <v>68</v>
      </c>
      <c r="AA394" s="30">
        <v>0</v>
      </c>
      <c r="AB394" s="30">
        <v>0</v>
      </c>
      <c r="AC394" s="30">
        <v>0</v>
      </c>
      <c r="AD394" s="30">
        <v>0</v>
      </c>
      <c r="AE394" s="89" t="s">
        <v>68</v>
      </c>
      <c r="AF394" s="89"/>
      <c r="AG394" s="89" t="s">
        <v>133</v>
      </c>
      <c r="AH394" s="72" t="s">
        <v>68</v>
      </c>
      <c r="AI394" s="30">
        <v>1</v>
      </c>
      <c r="AJ394" s="89" t="s">
        <v>68</v>
      </c>
      <c r="AK394" s="89" t="s">
        <v>68</v>
      </c>
      <c r="AL394" s="91">
        <v>39435</v>
      </c>
      <c r="AM394" s="91"/>
      <c r="AN394" s="91"/>
      <c r="AO394" s="91"/>
      <c r="AP394" s="73" t="e">
        <f>MID(VLOOKUP(K394,#REF!,2,FALSE),1,2)</f>
        <v>#REF!</v>
      </c>
      <c r="AQ394" s="89">
        <f>DATE(2007,12,6)</f>
        <v>39422</v>
      </c>
      <c r="AR394" s="82">
        <f t="shared" si="30"/>
        <v>6</v>
      </c>
      <c r="AS394" s="83">
        <f t="shared" si="31"/>
        <v>12</v>
      </c>
      <c r="AT394" s="84">
        <f t="shared" si="32"/>
        <v>2007</v>
      </c>
      <c r="AU394" s="86"/>
      <c r="AV394" s="86"/>
      <c r="AW394" s="87"/>
      <c r="AX394" s="86"/>
      <c r="AY394" s="83"/>
      <c r="AZ394" s="84"/>
      <c r="BA394" s="86"/>
      <c r="BB394" s="86"/>
    </row>
    <row r="395" spans="1:54" ht="36.75" customHeight="1">
      <c r="A395" s="30"/>
      <c r="B395" s="30" t="s">
        <v>55</v>
      </c>
      <c r="C395" s="69" t="str">
        <f t="shared" si="29"/>
        <v>Closed</v>
      </c>
      <c r="D395" s="27" t="s">
        <v>2409</v>
      </c>
      <c r="E395" s="29" t="s">
        <v>2410</v>
      </c>
      <c r="F395" s="30" t="s">
        <v>1572</v>
      </c>
      <c r="G395" s="89">
        <f>DATE(2007,12,13)</f>
        <v>39429</v>
      </c>
      <c r="H395" s="90">
        <v>1.9673611111111109</v>
      </c>
      <c r="I395" s="30" t="s">
        <v>73</v>
      </c>
      <c r="J395" s="89" t="s">
        <v>2411</v>
      </c>
      <c r="K395" s="30" t="s">
        <v>1574</v>
      </c>
      <c r="L395" s="30" t="s">
        <v>2412</v>
      </c>
      <c r="M395" s="30" t="s">
        <v>63</v>
      </c>
      <c r="N395" s="30">
        <v>0</v>
      </c>
      <c r="O395" s="30" t="s">
        <v>77</v>
      </c>
      <c r="P395" s="89" t="s">
        <v>65</v>
      </c>
      <c r="Q395" s="89" t="s">
        <v>2413</v>
      </c>
      <c r="R395" s="89">
        <v>0</v>
      </c>
      <c r="S395" s="30">
        <v>0</v>
      </c>
      <c r="T395" s="233" t="s">
        <v>68</v>
      </c>
      <c r="U395" s="30">
        <v>0</v>
      </c>
      <c r="V395" s="233" t="s">
        <v>68</v>
      </c>
      <c r="W395" s="30">
        <v>0</v>
      </c>
      <c r="X395" s="30">
        <v>0</v>
      </c>
      <c r="Y395" s="30">
        <v>0</v>
      </c>
      <c r="Z395" s="233" t="s">
        <v>68</v>
      </c>
      <c r="AA395" s="30">
        <v>0</v>
      </c>
      <c r="AB395" s="30">
        <v>0</v>
      </c>
      <c r="AC395" s="30">
        <v>0</v>
      </c>
      <c r="AD395" s="30">
        <v>0</v>
      </c>
      <c r="AE395" s="89" t="s">
        <v>68</v>
      </c>
      <c r="AF395" s="89"/>
      <c r="AG395" s="89" t="s">
        <v>1507</v>
      </c>
      <c r="AH395" s="72" t="s">
        <v>68</v>
      </c>
      <c r="AI395" s="30">
        <v>3</v>
      </c>
      <c r="AJ395" s="89" t="s">
        <v>2414</v>
      </c>
      <c r="AK395" s="89" t="s">
        <v>2415</v>
      </c>
      <c r="AL395" s="91">
        <v>39437</v>
      </c>
      <c r="AM395" s="91"/>
      <c r="AN395" s="91"/>
      <c r="AO395" s="91"/>
      <c r="AP395" s="73" t="e">
        <f>MID(VLOOKUP(K395,#REF!,2,FALSE),1,2)</f>
        <v>#REF!</v>
      </c>
      <c r="AQ395" s="89">
        <f>DATE(2007,12,13)</f>
        <v>39429</v>
      </c>
      <c r="AR395" s="82">
        <f t="shared" si="30"/>
        <v>13</v>
      </c>
      <c r="AS395" s="83">
        <f t="shared" si="31"/>
        <v>12</v>
      </c>
      <c r="AT395" s="84">
        <f t="shared" si="32"/>
        <v>2007</v>
      </c>
      <c r="AU395" s="86"/>
      <c r="AV395" s="86"/>
      <c r="AW395" s="87"/>
      <c r="AX395" s="86"/>
      <c r="AY395" s="83"/>
      <c r="AZ395" s="84"/>
      <c r="BA395" s="86"/>
      <c r="BB395" s="86"/>
    </row>
    <row r="396" spans="1:54" ht="36.75" customHeight="1">
      <c r="A396" s="30"/>
      <c r="B396" s="30" t="s">
        <v>55</v>
      </c>
      <c r="C396" s="69" t="str">
        <f t="shared" si="29"/>
        <v>Closed</v>
      </c>
      <c r="D396" s="27" t="s">
        <v>2416</v>
      </c>
      <c r="E396" s="29" t="s">
        <v>2417</v>
      </c>
      <c r="F396" s="30" t="s">
        <v>138</v>
      </c>
      <c r="G396" s="89">
        <f>DATE(2007,12,13)</f>
        <v>39429</v>
      </c>
      <c r="H396" s="90">
        <v>1.3298611111111112</v>
      </c>
      <c r="I396" s="30" t="s">
        <v>2418</v>
      </c>
      <c r="J396" s="89" t="s">
        <v>2419</v>
      </c>
      <c r="K396" s="30" t="s">
        <v>140</v>
      </c>
      <c r="L396" s="30" t="s">
        <v>2420</v>
      </c>
      <c r="M396" s="30" t="s">
        <v>63</v>
      </c>
      <c r="N396" s="30" t="s">
        <v>142</v>
      </c>
      <c r="O396" s="30" t="s">
        <v>77</v>
      </c>
      <c r="P396" s="89" t="s">
        <v>165</v>
      </c>
      <c r="Q396" s="89" t="s">
        <v>2421</v>
      </c>
      <c r="R396" s="89" t="s">
        <v>144</v>
      </c>
      <c r="S396" s="30">
        <v>0</v>
      </c>
      <c r="T396" s="233">
        <v>0</v>
      </c>
      <c r="U396" s="30">
        <v>0</v>
      </c>
      <c r="V396" s="233">
        <v>0</v>
      </c>
      <c r="W396" s="30">
        <v>0</v>
      </c>
      <c r="X396" s="30">
        <v>0</v>
      </c>
      <c r="Y396" s="30">
        <v>0</v>
      </c>
      <c r="Z396" s="233">
        <v>0</v>
      </c>
      <c r="AA396" s="30">
        <v>0</v>
      </c>
      <c r="AB396" s="30">
        <v>0</v>
      </c>
      <c r="AC396" s="30">
        <v>0</v>
      </c>
      <c r="AD396" s="30">
        <v>0</v>
      </c>
      <c r="AE396" s="89" t="s">
        <v>92</v>
      </c>
      <c r="AF396" s="89"/>
      <c r="AG396" s="89" t="s">
        <v>133</v>
      </c>
      <c r="AH396" s="72">
        <v>39436</v>
      </c>
      <c r="AI396" s="30">
        <v>3</v>
      </c>
      <c r="AJ396" s="89" t="s">
        <v>2422</v>
      </c>
      <c r="AK396" s="89" t="s">
        <v>2423</v>
      </c>
      <c r="AL396" s="91">
        <v>39434</v>
      </c>
      <c r="AM396" s="91"/>
      <c r="AN396" s="91"/>
      <c r="AO396" s="91"/>
      <c r="AP396" s="73" t="e">
        <f>MID(VLOOKUP(K396,#REF!,2,FALSE),1,2)</f>
        <v>#REF!</v>
      </c>
      <c r="AQ396" s="89">
        <f>DATE(2007,12,13)</f>
        <v>39429</v>
      </c>
      <c r="AR396" s="82">
        <f t="shared" si="30"/>
        <v>13</v>
      </c>
      <c r="AS396" s="83">
        <f t="shared" si="31"/>
        <v>12</v>
      </c>
      <c r="AT396" s="84">
        <f t="shared" si="32"/>
        <v>2007</v>
      </c>
      <c r="AU396" s="86"/>
      <c r="AV396" s="86"/>
      <c r="AW396" s="87"/>
      <c r="AX396" s="86"/>
      <c r="AY396" s="83"/>
      <c r="AZ396" s="84"/>
      <c r="BA396" s="86"/>
      <c r="BB396" s="86"/>
    </row>
    <row r="397" spans="1:54" ht="36.75" customHeight="1">
      <c r="A397" s="30"/>
      <c r="B397" s="30" t="s">
        <v>55</v>
      </c>
      <c r="C397" s="69" t="str">
        <f t="shared" si="29"/>
        <v>Closed</v>
      </c>
      <c r="D397" s="27" t="s">
        <v>2424</v>
      </c>
      <c r="E397" s="29" t="s">
        <v>2425</v>
      </c>
      <c r="F397" s="30" t="s">
        <v>1770</v>
      </c>
      <c r="G397" s="89">
        <f>DATE(2007,12,14)</f>
        <v>39430</v>
      </c>
      <c r="H397" s="90">
        <v>1.8423611111111109</v>
      </c>
      <c r="I397" s="30" t="s">
        <v>278</v>
      </c>
      <c r="J397" s="89" t="s">
        <v>2426</v>
      </c>
      <c r="K397" s="30" t="s">
        <v>1772</v>
      </c>
      <c r="L397" s="30" t="s">
        <v>2427</v>
      </c>
      <c r="M397" s="30" t="s">
        <v>63</v>
      </c>
      <c r="N397" s="30" t="s">
        <v>142</v>
      </c>
      <c r="O397" s="30" t="s">
        <v>64</v>
      </c>
      <c r="P397" s="89" t="s">
        <v>165</v>
      </c>
      <c r="Q397" s="89" t="s">
        <v>1774</v>
      </c>
      <c r="R397" s="89" t="s">
        <v>1775</v>
      </c>
      <c r="S397" s="30">
        <v>1</v>
      </c>
      <c r="T397" s="233">
        <v>0</v>
      </c>
      <c r="U397" s="30">
        <v>0</v>
      </c>
      <c r="V397" s="233">
        <v>0</v>
      </c>
      <c r="W397" s="30">
        <v>0</v>
      </c>
      <c r="X397" s="30">
        <v>1</v>
      </c>
      <c r="Y397" s="30">
        <v>0</v>
      </c>
      <c r="Z397" s="233">
        <v>0</v>
      </c>
      <c r="AA397" s="30">
        <v>0</v>
      </c>
      <c r="AB397" s="30">
        <v>0</v>
      </c>
      <c r="AC397" s="30">
        <v>0</v>
      </c>
      <c r="AD397" s="30">
        <v>0</v>
      </c>
      <c r="AE397" s="89" t="s">
        <v>92</v>
      </c>
      <c r="AF397" s="89"/>
      <c r="AG397" s="89" t="s">
        <v>133</v>
      </c>
      <c r="AH397" s="72">
        <v>39435</v>
      </c>
      <c r="AI397" s="30">
        <v>4</v>
      </c>
      <c r="AJ397" s="89" t="s">
        <v>2428</v>
      </c>
      <c r="AK397" s="89" t="s">
        <v>68</v>
      </c>
      <c r="AL397" s="91">
        <v>39478</v>
      </c>
      <c r="AM397" s="91"/>
      <c r="AN397" s="91"/>
      <c r="AO397" s="91"/>
      <c r="AP397" s="73" t="e">
        <f>MID(VLOOKUP(K397,#REF!,2,FALSE),1,2)</f>
        <v>#REF!</v>
      </c>
      <c r="AQ397" s="89">
        <f>DATE(2007,12,14)</f>
        <v>39430</v>
      </c>
      <c r="AR397" s="82">
        <f t="shared" si="30"/>
        <v>14</v>
      </c>
      <c r="AS397" s="83">
        <f t="shared" si="31"/>
        <v>12</v>
      </c>
      <c r="AT397" s="84">
        <f t="shared" si="32"/>
        <v>2007</v>
      </c>
      <c r="AU397" s="86"/>
      <c r="AV397" s="86"/>
      <c r="AW397" s="87"/>
      <c r="AX397" s="86"/>
      <c r="AY397" s="83"/>
      <c r="AZ397" s="84"/>
      <c r="BA397" s="86"/>
      <c r="BB397" s="86"/>
    </row>
    <row r="398" spans="1:54" ht="36.75" customHeight="1">
      <c r="A398" s="30"/>
      <c r="B398" s="30" t="s">
        <v>55</v>
      </c>
      <c r="C398" s="69" t="str">
        <f t="shared" si="29"/>
        <v>Closed</v>
      </c>
      <c r="D398" s="27" t="s">
        <v>2429</v>
      </c>
      <c r="E398" s="29" t="s">
        <v>2430</v>
      </c>
      <c r="F398" s="30" t="s">
        <v>835</v>
      </c>
      <c r="G398" s="89">
        <f>DATE(2007,12,15)</f>
        <v>39431</v>
      </c>
      <c r="H398" s="90">
        <v>1.6041666666666665</v>
      </c>
      <c r="I398" s="30" t="s">
        <v>86</v>
      </c>
      <c r="J398" s="89" t="s">
        <v>2431</v>
      </c>
      <c r="K398" s="30" t="s">
        <v>837</v>
      </c>
      <c r="L398" s="30" t="s">
        <v>2432</v>
      </c>
      <c r="M398" s="30" t="s">
        <v>63</v>
      </c>
      <c r="N398" s="30">
        <v>0</v>
      </c>
      <c r="O398" s="30" t="s">
        <v>77</v>
      </c>
      <c r="P398" s="89" t="s">
        <v>86</v>
      </c>
      <c r="Q398" s="89" t="s">
        <v>839</v>
      </c>
      <c r="R398" s="89" t="s">
        <v>840</v>
      </c>
      <c r="S398" s="30">
        <v>0</v>
      </c>
      <c r="T398" s="233">
        <v>0</v>
      </c>
      <c r="U398" s="30">
        <v>0</v>
      </c>
      <c r="V398" s="233">
        <v>0</v>
      </c>
      <c r="W398" s="30">
        <v>0</v>
      </c>
      <c r="X398" s="30">
        <v>0</v>
      </c>
      <c r="Y398" s="30">
        <v>0</v>
      </c>
      <c r="Z398" s="233">
        <v>0</v>
      </c>
      <c r="AA398" s="30">
        <v>0</v>
      </c>
      <c r="AB398" s="30">
        <v>1</v>
      </c>
      <c r="AC398" s="30">
        <v>0</v>
      </c>
      <c r="AD398" s="30">
        <v>1</v>
      </c>
      <c r="AE398" s="89" t="s">
        <v>68</v>
      </c>
      <c r="AF398" s="89"/>
      <c r="AG398" s="89" t="s">
        <v>352</v>
      </c>
      <c r="AH398" s="72" t="s">
        <v>68</v>
      </c>
      <c r="AI398" s="30">
        <v>2</v>
      </c>
      <c r="AJ398" s="89" t="s">
        <v>68</v>
      </c>
      <c r="AK398" s="89" t="s">
        <v>68</v>
      </c>
      <c r="AL398" s="91">
        <v>39594</v>
      </c>
      <c r="AM398" s="91"/>
      <c r="AN398" s="91"/>
      <c r="AO398" s="91"/>
      <c r="AP398" s="73" t="e">
        <f>MID(VLOOKUP(K398,#REF!,2,FALSE),1,2)</f>
        <v>#REF!</v>
      </c>
      <c r="AQ398" s="89">
        <f>DATE(2007,12,15)</f>
        <v>39431</v>
      </c>
      <c r="AR398" s="82">
        <f t="shared" si="30"/>
        <v>15</v>
      </c>
      <c r="AS398" s="83">
        <f t="shared" si="31"/>
        <v>12</v>
      </c>
      <c r="AT398" s="84">
        <f t="shared" si="32"/>
        <v>2007</v>
      </c>
      <c r="AU398" s="86"/>
      <c r="AV398" s="86"/>
      <c r="AW398" s="87"/>
      <c r="AX398" s="86"/>
      <c r="AY398" s="83"/>
      <c r="AZ398" s="84"/>
      <c r="BA398" s="86"/>
      <c r="BB398" s="86"/>
    </row>
    <row r="399" spans="1:54" ht="36.75" customHeight="1">
      <c r="A399" s="30"/>
      <c r="B399" s="30" t="s">
        <v>55</v>
      </c>
      <c r="C399" s="69" t="str">
        <f t="shared" si="29"/>
        <v>Closed</v>
      </c>
      <c r="D399" s="27" t="s">
        <v>2433</v>
      </c>
      <c r="E399" s="29" t="s">
        <v>2434</v>
      </c>
      <c r="F399" s="30" t="s">
        <v>1572</v>
      </c>
      <c r="G399" s="89">
        <f>DATE(2007,12,15)</f>
        <v>39431</v>
      </c>
      <c r="H399" s="90">
        <v>1.8958333333333335</v>
      </c>
      <c r="I399" s="30" t="s">
        <v>73</v>
      </c>
      <c r="J399" s="89" t="s">
        <v>2435</v>
      </c>
      <c r="K399" s="30" t="s">
        <v>1574</v>
      </c>
      <c r="L399" s="30" t="s">
        <v>2436</v>
      </c>
      <c r="M399" s="30" t="s">
        <v>63</v>
      </c>
      <c r="N399" s="30">
        <v>0</v>
      </c>
      <c r="O399" s="30" t="s">
        <v>64</v>
      </c>
      <c r="P399" s="89" t="s">
        <v>78</v>
      </c>
      <c r="Q399" s="89" t="s">
        <v>2437</v>
      </c>
      <c r="R399" s="89">
        <v>0</v>
      </c>
      <c r="S399" s="30">
        <v>0</v>
      </c>
      <c r="T399" s="233" t="s">
        <v>68</v>
      </c>
      <c r="U399" s="30">
        <v>0</v>
      </c>
      <c r="V399" s="233" t="s">
        <v>68</v>
      </c>
      <c r="W399" s="30">
        <v>0</v>
      </c>
      <c r="X399" s="30">
        <v>0</v>
      </c>
      <c r="Y399" s="30">
        <v>0</v>
      </c>
      <c r="Z399" s="233" t="s">
        <v>68</v>
      </c>
      <c r="AA399" s="30">
        <v>0</v>
      </c>
      <c r="AB399" s="30">
        <v>0</v>
      </c>
      <c r="AC399" s="30">
        <v>0</v>
      </c>
      <c r="AD399" s="30">
        <v>0</v>
      </c>
      <c r="AE399" s="89" t="s">
        <v>68</v>
      </c>
      <c r="AF399" s="89"/>
      <c r="AG399" s="89" t="s">
        <v>352</v>
      </c>
      <c r="AH399" s="72" t="s">
        <v>68</v>
      </c>
      <c r="AI399" s="30">
        <v>3</v>
      </c>
      <c r="AJ399" s="89" t="s">
        <v>2438</v>
      </c>
      <c r="AK399" s="89" t="s">
        <v>2439</v>
      </c>
      <c r="AL399" s="91">
        <v>39437</v>
      </c>
      <c r="AM399" s="91"/>
      <c r="AN399" s="91"/>
      <c r="AO399" s="91"/>
      <c r="AP399" s="73" t="e">
        <f>MID(VLOOKUP(K399,#REF!,2,FALSE),1,2)</f>
        <v>#REF!</v>
      </c>
      <c r="AQ399" s="89">
        <f>DATE(2007,12,15)</f>
        <v>39431</v>
      </c>
      <c r="AR399" s="82">
        <f t="shared" si="30"/>
        <v>15</v>
      </c>
      <c r="AS399" s="83">
        <f t="shared" si="31"/>
        <v>12</v>
      </c>
      <c r="AT399" s="84">
        <f t="shared" si="32"/>
        <v>2007</v>
      </c>
      <c r="AU399" s="86"/>
      <c r="AV399" s="86"/>
      <c r="AW399" s="87"/>
      <c r="AX399" s="86"/>
      <c r="AY399" s="83"/>
      <c r="AZ399" s="84"/>
      <c r="BA399" s="86"/>
      <c r="BB399" s="86"/>
    </row>
    <row r="400" spans="1:54" ht="36.75" customHeight="1">
      <c r="A400" s="30"/>
      <c r="B400" s="30" t="s">
        <v>55</v>
      </c>
      <c r="C400" s="69" t="str">
        <f t="shared" si="29"/>
        <v>Closed</v>
      </c>
      <c r="D400" s="27" t="s">
        <v>2440</v>
      </c>
      <c r="E400" s="29" t="s">
        <v>2441</v>
      </c>
      <c r="F400" s="30" t="s">
        <v>1770</v>
      </c>
      <c r="G400" s="89">
        <f>DATE(2007,12,17)</f>
        <v>39433</v>
      </c>
      <c r="H400" s="90">
        <v>1.33125</v>
      </c>
      <c r="I400" s="30" t="s">
        <v>278</v>
      </c>
      <c r="J400" s="89" t="s">
        <v>2442</v>
      </c>
      <c r="K400" s="30" t="s">
        <v>1772</v>
      </c>
      <c r="L400" s="30" t="s">
        <v>2443</v>
      </c>
      <c r="M400" s="30" t="s">
        <v>63</v>
      </c>
      <c r="N400" s="30" t="s">
        <v>142</v>
      </c>
      <c r="O400" s="30" t="s">
        <v>64</v>
      </c>
      <c r="P400" s="89" t="s">
        <v>165</v>
      </c>
      <c r="Q400" s="89" t="s">
        <v>1774</v>
      </c>
      <c r="R400" s="89" t="s">
        <v>1775</v>
      </c>
      <c r="S400" s="30">
        <v>1</v>
      </c>
      <c r="T400" s="233">
        <v>0</v>
      </c>
      <c r="U400" s="30">
        <v>0</v>
      </c>
      <c r="V400" s="233">
        <v>0</v>
      </c>
      <c r="W400" s="30">
        <v>0</v>
      </c>
      <c r="X400" s="30">
        <v>1</v>
      </c>
      <c r="Y400" s="30">
        <v>0</v>
      </c>
      <c r="Z400" s="233">
        <v>0</v>
      </c>
      <c r="AA400" s="30">
        <v>0</v>
      </c>
      <c r="AB400" s="30">
        <v>0</v>
      </c>
      <c r="AC400" s="30">
        <v>0</v>
      </c>
      <c r="AD400" s="30">
        <v>0</v>
      </c>
      <c r="AE400" s="89" t="s">
        <v>92</v>
      </c>
      <c r="AF400" s="89"/>
      <c r="AG400" s="89" t="s">
        <v>133</v>
      </c>
      <c r="AH400" s="72">
        <v>39435</v>
      </c>
      <c r="AI400" s="30">
        <v>2</v>
      </c>
      <c r="AJ400" s="89" t="s">
        <v>2444</v>
      </c>
      <c r="AK400" s="89" t="s">
        <v>68</v>
      </c>
      <c r="AL400" s="91">
        <v>39478</v>
      </c>
      <c r="AM400" s="91"/>
      <c r="AN400" s="91"/>
      <c r="AO400" s="91"/>
      <c r="AP400" s="73" t="e">
        <f>MID(VLOOKUP(K400,#REF!,2,FALSE),1,2)</f>
        <v>#REF!</v>
      </c>
      <c r="AQ400" s="89">
        <f>DATE(2007,12,17)</f>
        <v>39433</v>
      </c>
      <c r="AR400" s="82">
        <f t="shared" si="30"/>
        <v>17</v>
      </c>
      <c r="AS400" s="83">
        <f t="shared" si="31"/>
        <v>12</v>
      </c>
      <c r="AT400" s="84">
        <f t="shared" si="32"/>
        <v>2007</v>
      </c>
      <c r="AU400" s="86"/>
      <c r="AV400" s="86"/>
      <c r="AW400" s="87"/>
      <c r="AX400" s="86"/>
      <c r="AY400" s="83"/>
      <c r="AZ400" s="84"/>
      <c r="BA400" s="86"/>
      <c r="BB400" s="86"/>
    </row>
    <row r="401" spans="1:54" ht="36.75" customHeight="1">
      <c r="A401" s="30"/>
      <c r="B401" s="30" t="s">
        <v>55</v>
      </c>
      <c r="C401" s="69" t="str">
        <f t="shared" si="29"/>
        <v>Closed</v>
      </c>
      <c r="D401" s="27" t="s">
        <v>2445</v>
      </c>
      <c r="E401" s="29" t="s">
        <v>2446</v>
      </c>
      <c r="F401" s="30" t="s">
        <v>638</v>
      </c>
      <c r="G401" s="89">
        <f>DATE(2007,12,18)</f>
        <v>39434</v>
      </c>
      <c r="H401" s="90">
        <v>1.5902777777777777</v>
      </c>
      <c r="I401" s="30" t="s">
        <v>278</v>
      </c>
      <c r="J401" s="89" t="s">
        <v>2447</v>
      </c>
      <c r="K401" s="30" t="s">
        <v>640</v>
      </c>
      <c r="L401" s="30" t="s">
        <v>2448</v>
      </c>
      <c r="M401" s="30" t="s">
        <v>63</v>
      </c>
      <c r="N401" s="30">
        <v>0</v>
      </c>
      <c r="O401" s="30" t="s">
        <v>64</v>
      </c>
      <c r="P401" s="89" t="s">
        <v>301</v>
      </c>
      <c r="Q401" s="89" t="s">
        <v>2016</v>
      </c>
      <c r="R401" s="89" t="s">
        <v>643</v>
      </c>
      <c r="S401" s="30">
        <v>0</v>
      </c>
      <c r="T401" s="233">
        <v>0</v>
      </c>
      <c r="U401" s="30">
        <v>0</v>
      </c>
      <c r="V401" s="233">
        <v>1</v>
      </c>
      <c r="W401" s="30">
        <v>0</v>
      </c>
      <c r="X401" s="30">
        <v>1</v>
      </c>
      <c r="Y401" s="30">
        <v>0</v>
      </c>
      <c r="Z401" s="233">
        <v>0</v>
      </c>
      <c r="AA401" s="30">
        <v>0</v>
      </c>
      <c r="AB401" s="30">
        <v>0</v>
      </c>
      <c r="AC401" s="30">
        <v>0</v>
      </c>
      <c r="AD401" s="30">
        <v>0</v>
      </c>
      <c r="AE401" s="89" t="s">
        <v>68</v>
      </c>
      <c r="AF401" s="89"/>
      <c r="AG401" s="89" t="s">
        <v>248</v>
      </c>
      <c r="AH401" s="72" t="s">
        <v>68</v>
      </c>
      <c r="AI401" s="30">
        <v>1</v>
      </c>
      <c r="AJ401" s="89" t="s">
        <v>68</v>
      </c>
      <c r="AK401" s="89" t="s">
        <v>68</v>
      </c>
      <c r="AL401" s="91">
        <v>39973</v>
      </c>
      <c r="AM401" s="91"/>
      <c r="AN401" s="91"/>
      <c r="AO401" s="91"/>
      <c r="AP401" s="73" t="e">
        <f>MID(VLOOKUP(K401,#REF!,2,FALSE),1,2)</f>
        <v>#REF!</v>
      </c>
      <c r="AQ401" s="89">
        <f>DATE(2007,12,18)</f>
        <v>39434</v>
      </c>
      <c r="AR401" s="82">
        <f t="shared" si="30"/>
        <v>18</v>
      </c>
      <c r="AS401" s="83">
        <f t="shared" si="31"/>
        <v>12</v>
      </c>
      <c r="AT401" s="84">
        <f t="shared" si="32"/>
        <v>2007</v>
      </c>
      <c r="AU401" s="86"/>
      <c r="AV401" s="86"/>
      <c r="AW401" s="87"/>
      <c r="AX401" s="86"/>
      <c r="AY401" s="83"/>
      <c r="AZ401" s="84"/>
      <c r="BA401" s="86"/>
      <c r="BB401" s="86"/>
    </row>
    <row r="402" spans="1:54" ht="36.75" customHeight="1">
      <c r="A402" s="30"/>
      <c r="B402" s="30" t="s">
        <v>55</v>
      </c>
      <c r="C402" s="69" t="str">
        <f t="shared" si="29"/>
        <v>Closed</v>
      </c>
      <c r="D402" s="27" t="s">
        <v>2449</v>
      </c>
      <c r="E402" s="29" t="s">
        <v>2450</v>
      </c>
      <c r="F402" s="30" t="s">
        <v>582</v>
      </c>
      <c r="G402" s="89">
        <f>DATE(2007,12,19)</f>
        <v>39435</v>
      </c>
      <c r="H402" s="90">
        <v>1.9708333333333332</v>
      </c>
      <c r="I402" s="30" t="s">
        <v>73</v>
      </c>
      <c r="J402" s="89" t="s">
        <v>2451</v>
      </c>
      <c r="K402" s="30" t="s">
        <v>584</v>
      </c>
      <c r="L402" s="30" t="s">
        <v>2452</v>
      </c>
      <c r="M402" s="30" t="s">
        <v>63</v>
      </c>
      <c r="N402" s="30">
        <v>0</v>
      </c>
      <c r="O402" s="30" t="s">
        <v>64</v>
      </c>
      <c r="P402" s="89" t="s">
        <v>78</v>
      </c>
      <c r="Q402" s="89" t="s">
        <v>2453</v>
      </c>
      <c r="R402" s="89" t="s">
        <v>587</v>
      </c>
      <c r="S402" s="30">
        <v>0</v>
      </c>
      <c r="T402" s="233" t="s">
        <v>68</v>
      </c>
      <c r="U402" s="30">
        <v>0</v>
      </c>
      <c r="V402" s="233" t="s">
        <v>68</v>
      </c>
      <c r="W402" s="30">
        <v>0</v>
      </c>
      <c r="X402" s="30">
        <v>0</v>
      </c>
      <c r="Y402" s="30">
        <v>0</v>
      </c>
      <c r="Z402" s="233" t="s">
        <v>68</v>
      </c>
      <c r="AA402" s="30">
        <v>0</v>
      </c>
      <c r="AB402" s="30">
        <v>0</v>
      </c>
      <c r="AC402" s="30">
        <v>0</v>
      </c>
      <c r="AD402" s="30">
        <v>0</v>
      </c>
      <c r="AE402" s="89" t="s">
        <v>68</v>
      </c>
      <c r="AF402" s="89"/>
      <c r="AG402" s="89" t="s">
        <v>82</v>
      </c>
      <c r="AH402" s="72" t="s">
        <v>68</v>
      </c>
      <c r="AI402" s="30">
        <v>0</v>
      </c>
      <c r="AJ402" s="89" t="s">
        <v>2454</v>
      </c>
      <c r="AK402" s="89" t="s">
        <v>68</v>
      </c>
      <c r="AL402" s="91">
        <v>39436</v>
      </c>
      <c r="AM402" s="91"/>
      <c r="AN402" s="91"/>
      <c r="AO402" s="91"/>
      <c r="AP402" s="73" t="e">
        <f>MID(VLOOKUP(K402,#REF!,2,FALSE),1,2)</f>
        <v>#REF!</v>
      </c>
      <c r="AQ402" s="89">
        <f>DATE(2007,12,19)</f>
        <v>39435</v>
      </c>
      <c r="AR402" s="82">
        <f t="shared" si="30"/>
        <v>19</v>
      </c>
      <c r="AS402" s="83">
        <f t="shared" si="31"/>
        <v>12</v>
      </c>
      <c r="AT402" s="84">
        <f t="shared" si="32"/>
        <v>2007</v>
      </c>
      <c r="AU402" s="86"/>
      <c r="AV402" s="86"/>
      <c r="AW402" s="87"/>
      <c r="AX402" s="86"/>
      <c r="AY402" s="83"/>
      <c r="AZ402" s="84"/>
      <c r="BA402" s="86"/>
      <c r="BB402" s="86"/>
    </row>
    <row r="403" spans="1:54" ht="36.75" customHeight="1">
      <c r="A403" s="30"/>
      <c r="B403" s="30" t="s">
        <v>55</v>
      </c>
      <c r="C403" s="69" t="str">
        <f t="shared" si="29"/>
        <v>Closed</v>
      </c>
      <c r="D403" s="27" t="s">
        <v>2455</v>
      </c>
      <c r="E403" s="29" t="s">
        <v>2456</v>
      </c>
      <c r="F403" s="30" t="s">
        <v>115</v>
      </c>
      <c r="G403" s="89">
        <f>DATE(2007,12,19)</f>
        <v>39435</v>
      </c>
      <c r="H403" s="90">
        <v>1.3854166666666667</v>
      </c>
      <c r="I403" s="30" t="s">
        <v>116</v>
      </c>
      <c r="J403" s="89" t="s">
        <v>2457</v>
      </c>
      <c r="K403" s="30" t="s">
        <v>118</v>
      </c>
      <c r="L403" s="30" t="s">
        <v>2458</v>
      </c>
      <c r="M403" s="30" t="s">
        <v>63</v>
      </c>
      <c r="N403" s="30">
        <v>0</v>
      </c>
      <c r="O403" s="30" t="s">
        <v>64</v>
      </c>
      <c r="P403" s="89" t="s">
        <v>462</v>
      </c>
      <c r="Q403" s="89" t="s">
        <v>120</v>
      </c>
      <c r="R403" s="89" t="s">
        <v>121</v>
      </c>
      <c r="S403" s="30">
        <v>0</v>
      </c>
      <c r="T403" s="233">
        <v>0</v>
      </c>
      <c r="U403" s="30">
        <v>1</v>
      </c>
      <c r="V403" s="233">
        <v>0</v>
      </c>
      <c r="W403" s="30">
        <v>0</v>
      </c>
      <c r="X403" s="30">
        <v>1</v>
      </c>
      <c r="Y403" s="30">
        <v>0</v>
      </c>
      <c r="Z403" s="233">
        <v>0</v>
      </c>
      <c r="AA403" s="30">
        <v>0</v>
      </c>
      <c r="AB403" s="30">
        <v>0</v>
      </c>
      <c r="AC403" s="30">
        <v>0</v>
      </c>
      <c r="AD403" s="30">
        <v>0</v>
      </c>
      <c r="AE403" s="89" t="s">
        <v>68</v>
      </c>
      <c r="AF403" s="89"/>
      <c r="AG403" s="89" t="s">
        <v>82</v>
      </c>
      <c r="AH403" s="72" t="s">
        <v>68</v>
      </c>
      <c r="AI403" s="30">
        <v>3</v>
      </c>
      <c r="AJ403" s="89" t="s">
        <v>68</v>
      </c>
      <c r="AK403" s="89" t="s">
        <v>68</v>
      </c>
      <c r="AL403" s="91">
        <v>39436</v>
      </c>
      <c r="AM403" s="91"/>
      <c r="AN403" s="91"/>
      <c r="AO403" s="91"/>
      <c r="AP403" s="73" t="e">
        <f>MID(VLOOKUP(K403,#REF!,2,FALSE),1,2)</f>
        <v>#REF!</v>
      </c>
      <c r="AQ403" s="89">
        <f>DATE(2007,12,19)</f>
        <v>39435</v>
      </c>
      <c r="AR403" s="82">
        <f t="shared" si="30"/>
        <v>19</v>
      </c>
      <c r="AS403" s="83">
        <f t="shared" si="31"/>
        <v>12</v>
      </c>
      <c r="AT403" s="84">
        <f t="shared" si="32"/>
        <v>2007</v>
      </c>
      <c r="AU403" s="86"/>
      <c r="AV403" s="86"/>
      <c r="AW403" s="87"/>
      <c r="AX403" s="86"/>
      <c r="AY403" s="83"/>
      <c r="AZ403" s="84"/>
      <c r="BA403" s="86"/>
      <c r="BB403" s="86"/>
    </row>
    <row r="404" spans="1:54" ht="36.75" customHeight="1">
      <c r="A404" s="30"/>
      <c r="B404" s="30" t="s">
        <v>55</v>
      </c>
      <c r="C404" s="69" t="str">
        <f t="shared" si="29"/>
        <v>Closed</v>
      </c>
      <c r="D404" s="27" t="s">
        <v>2459</v>
      </c>
      <c r="E404" s="29" t="s">
        <v>2460</v>
      </c>
      <c r="F404" s="30" t="s">
        <v>638</v>
      </c>
      <c r="G404" s="89">
        <f>DATE(2007,12,21)</f>
        <v>39437</v>
      </c>
      <c r="H404" s="90">
        <v>1.3138888888888889</v>
      </c>
      <c r="I404" s="30" t="s">
        <v>278</v>
      </c>
      <c r="J404" s="89" t="s">
        <v>2461</v>
      </c>
      <c r="K404" s="30" t="s">
        <v>640</v>
      </c>
      <c r="L404" s="30" t="s">
        <v>2462</v>
      </c>
      <c r="M404" s="30" t="s">
        <v>63</v>
      </c>
      <c r="N404" s="30">
        <v>0</v>
      </c>
      <c r="O404" s="30" t="s">
        <v>77</v>
      </c>
      <c r="P404" s="89" t="s">
        <v>165</v>
      </c>
      <c r="Q404" s="89" t="s">
        <v>642</v>
      </c>
      <c r="R404" s="89" t="s">
        <v>643</v>
      </c>
      <c r="S404" s="30">
        <v>0</v>
      </c>
      <c r="T404" s="233">
        <v>0</v>
      </c>
      <c r="U404" s="30">
        <v>0</v>
      </c>
      <c r="V404" s="233">
        <v>1</v>
      </c>
      <c r="W404" s="30">
        <v>0</v>
      </c>
      <c r="X404" s="30">
        <v>1</v>
      </c>
      <c r="Y404" s="30">
        <v>0</v>
      </c>
      <c r="Z404" s="233">
        <v>0</v>
      </c>
      <c r="AA404" s="30">
        <v>0</v>
      </c>
      <c r="AB404" s="30">
        <v>0</v>
      </c>
      <c r="AC404" s="30">
        <v>0</v>
      </c>
      <c r="AD404" s="30">
        <v>0</v>
      </c>
      <c r="AE404" s="89" t="s">
        <v>68</v>
      </c>
      <c r="AF404" s="89"/>
      <c r="AG404" s="89" t="s">
        <v>248</v>
      </c>
      <c r="AH404" s="72" t="s">
        <v>68</v>
      </c>
      <c r="AI404" s="30">
        <v>1</v>
      </c>
      <c r="AJ404" s="89" t="s">
        <v>68</v>
      </c>
      <c r="AK404" s="89" t="s">
        <v>68</v>
      </c>
      <c r="AL404" s="91">
        <v>39973</v>
      </c>
      <c r="AM404" s="91"/>
      <c r="AN404" s="91"/>
      <c r="AO404" s="91"/>
      <c r="AP404" s="73" t="e">
        <f>MID(VLOOKUP(K404,#REF!,2,FALSE),1,2)</f>
        <v>#REF!</v>
      </c>
      <c r="AQ404" s="89">
        <f>DATE(2007,12,21)</f>
        <v>39437</v>
      </c>
      <c r="AR404" s="82">
        <f t="shared" si="30"/>
        <v>21</v>
      </c>
      <c r="AS404" s="83">
        <f t="shared" si="31"/>
        <v>12</v>
      </c>
      <c r="AT404" s="84">
        <f t="shared" si="32"/>
        <v>2007</v>
      </c>
      <c r="AU404" s="86"/>
      <c r="AV404" s="86"/>
      <c r="AW404" s="87"/>
      <c r="AX404" s="86"/>
      <c r="AY404" s="83"/>
      <c r="AZ404" s="84"/>
      <c r="BA404" s="86"/>
      <c r="BB404" s="86"/>
    </row>
    <row r="405" spans="1:54" ht="36.75" customHeight="1">
      <c r="A405" s="30"/>
      <c r="B405" s="30" t="s">
        <v>55</v>
      </c>
      <c r="C405" s="69" t="str">
        <f t="shared" si="29"/>
        <v>Closed</v>
      </c>
      <c r="D405" s="27" t="s">
        <v>2463</v>
      </c>
      <c r="E405" s="29" t="s">
        <v>2464</v>
      </c>
      <c r="F405" s="30" t="s">
        <v>638</v>
      </c>
      <c r="G405" s="89">
        <f>DATE(2007,12,24)</f>
        <v>39440</v>
      </c>
      <c r="H405" s="90">
        <v>1.8458333333333332</v>
      </c>
      <c r="I405" s="30" t="s">
        <v>278</v>
      </c>
      <c r="J405" s="89" t="s">
        <v>2465</v>
      </c>
      <c r="K405" s="30" t="s">
        <v>640</v>
      </c>
      <c r="L405" s="30" t="s">
        <v>2466</v>
      </c>
      <c r="M405" s="30" t="s">
        <v>63</v>
      </c>
      <c r="N405" s="30">
        <v>0</v>
      </c>
      <c r="O405" s="30" t="s">
        <v>64</v>
      </c>
      <c r="P405" s="89" t="s">
        <v>165</v>
      </c>
      <c r="Q405" s="89" t="s">
        <v>642</v>
      </c>
      <c r="R405" s="89" t="s">
        <v>643</v>
      </c>
      <c r="S405" s="30">
        <v>0</v>
      </c>
      <c r="T405" s="233">
        <v>0</v>
      </c>
      <c r="U405" s="30">
        <v>0</v>
      </c>
      <c r="V405" s="233">
        <v>1</v>
      </c>
      <c r="W405" s="30">
        <v>0</v>
      </c>
      <c r="X405" s="30">
        <v>1</v>
      </c>
      <c r="Y405" s="30">
        <v>0</v>
      </c>
      <c r="Z405" s="233">
        <v>0</v>
      </c>
      <c r="AA405" s="30">
        <v>0</v>
      </c>
      <c r="AB405" s="30">
        <v>0</v>
      </c>
      <c r="AC405" s="30">
        <v>0</v>
      </c>
      <c r="AD405" s="30">
        <v>0</v>
      </c>
      <c r="AE405" s="89" t="s">
        <v>68</v>
      </c>
      <c r="AF405" s="89"/>
      <c r="AG405" s="89" t="s">
        <v>248</v>
      </c>
      <c r="AH405" s="72" t="s">
        <v>68</v>
      </c>
      <c r="AI405" s="30">
        <v>0</v>
      </c>
      <c r="AJ405" s="89" t="s">
        <v>68</v>
      </c>
      <c r="AK405" s="89" t="s">
        <v>68</v>
      </c>
      <c r="AL405" s="91">
        <v>39973</v>
      </c>
      <c r="AM405" s="91"/>
      <c r="AN405" s="91"/>
      <c r="AO405" s="91"/>
      <c r="AP405" s="73" t="e">
        <f>MID(VLOOKUP(K405,#REF!,2,FALSE),1,2)</f>
        <v>#REF!</v>
      </c>
      <c r="AQ405" s="89">
        <f>DATE(2007,12,24)</f>
        <v>39440</v>
      </c>
      <c r="AR405" s="82">
        <f t="shared" si="30"/>
        <v>24</v>
      </c>
      <c r="AS405" s="83">
        <f t="shared" si="31"/>
        <v>12</v>
      </c>
      <c r="AT405" s="84">
        <f t="shared" si="32"/>
        <v>2007</v>
      </c>
      <c r="AU405" s="86"/>
      <c r="AV405" s="86"/>
      <c r="AW405" s="87"/>
      <c r="AX405" s="86"/>
      <c r="AY405" s="83"/>
      <c r="AZ405" s="84"/>
      <c r="BA405" s="86"/>
      <c r="BB405" s="86"/>
    </row>
    <row r="406" spans="1:54" ht="36.75" customHeight="1">
      <c r="A406" s="30"/>
      <c r="B406" s="30" t="s">
        <v>55</v>
      </c>
      <c r="C406" s="69" t="str">
        <f t="shared" si="29"/>
        <v>Closed</v>
      </c>
      <c r="D406" s="27" t="s">
        <v>2467</v>
      </c>
      <c r="E406" s="29" t="s">
        <v>2468</v>
      </c>
      <c r="F406" s="30" t="s">
        <v>638</v>
      </c>
      <c r="G406" s="89">
        <f>DATE(2007,12,29)</f>
        <v>39445</v>
      </c>
      <c r="H406" s="90">
        <v>1.9458333333333333</v>
      </c>
      <c r="I406" s="30" t="s">
        <v>278</v>
      </c>
      <c r="J406" s="89" t="s">
        <v>2469</v>
      </c>
      <c r="K406" s="30" t="s">
        <v>640</v>
      </c>
      <c r="L406" s="30" t="s">
        <v>2470</v>
      </c>
      <c r="M406" s="30" t="s">
        <v>63</v>
      </c>
      <c r="N406" s="30">
        <v>0</v>
      </c>
      <c r="O406" s="30" t="s">
        <v>77</v>
      </c>
      <c r="P406" s="89" t="s">
        <v>78</v>
      </c>
      <c r="Q406" s="89" t="s">
        <v>642</v>
      </c>
      <c r="R406" s="89" t="s">
        <v>643</v>
      </c>
      <c r="S406" s="30">
        <v>0</v>
      </c>
      <c r="T406" s="233">
        <v>0</v>
      </c>
      <c r="U406" s="30">
        <v>0</v>
      </c>
      <c r="V406" s="233">
        <v>0</v>
      </c>
      <c r="W406" s="30">
        <v>1</v>
      </c>
      <c r="X406" s="30">
        <v>1</v>
      </c>
      <c r="Y406" s="30">
        <v>0</v>
      </c>
      <c r="Z406" s="233">
        <v>0</v>
      </c>
      <c r="AA406" s="30">
        <v>0</v>
      </c>
      <c r="AB406" s="30">
        <v>0</v>
      </c>
      <c r="AC406" s="30">
        <v>0</v>
      </c>
      <c r="AD406" s="30">
        <v>0</v>
      </c>
      <c r="AE406" s="89" t="s">
        <v>68</v>
      </c>
      <c r="AF406" s="89"/>
      <c r="AG406" s="89" t="s">
        <v>248</v>
      </c>
      <c r="AH406" s="72" t="s">
        <v>68</v>
      </c>
      <c r="AI406" s="30">
        <v>1</v>
      </c>
      <c r="AJ406" s="89" t="s">
        <v>68</v>
      </c>
      <c r="AK406" s="89" t="s">
        <v>68</v>
      </c>
      <c r="AL406" s="91">
        <v>39973</v>
      </c>
      <c r="AM406" s="91"/>
      <c r="AN406" s="91"/>
      <c r="AO406" s="91"/>
      <c r="AP406" s="73" t="e">
        <f>MID(VLOOKUP(K406,#REF!,2,FALSE),1,2)</f>
        <v>#REF!</v>
      </c>
      <c r="AQ406" s="89">
        <f>DATE(2007,12,29)</f>
        <v>39445</v>
      </c>
      <c r="AR406" s="82">
        <f t="shared" si="30"/>
        <v>29</v>
      </c>
      <c r="AS406" s="83">
        <f t="shared" si="31"/>
        <v>12</v>
      </c>
      <c r="AT406" s="84">
        <f t="shared" si="32"/>
        <v>2007</v>
      </c>
      <c r="AU406" s="86"/>
      <c r="AV406" s="86"/>
      <c r="AW406" s="87"/>
      <c r="AX406" s="86"/>
      <c r="AY406" s="83"/>
      <c r="AZ406" s="84"/>
      <c r="BA406" s="86"/>
      <c r="BB406" s="86"/>
    </row>
    <row r="407" spans="1:54" ht="36.75" customHeight="1">
      <c r="A407" s="30"/>
      <c r="B407" s="30" t="s">
        <v>55</v>
      </c>
      <c r="C407" s="69" t="str">
        <f t="shared" si="29"/>
        <v>Closed</v>
      </c>
      <c r="D407" s="27" t="s">
        <v>2471</v>
      </c>
      <c r="E407" s="29" t="s">
        <v>2472</v>
      </c>
      <c r="F407" s="30" t="s">
        <v>638</v>
      </c>
      <c r="G407" s="89">
        <f>DATE(2008,1,6)</f>
        <v>39453</v>
      </c>
      <c r="H407" s="90">
        <v>1.6840277777777777</v>
      </c>
      <c r="I407" s="30" t="s">
        <v>278</v>
      </c>
      <c r="J407" s="89" t="s">
        <v>2473</v>
      </c>
      <c r="K407" s="30" t="s">
        <v>640</v>
      </c>
      <c r="L407" s="30" t="s">
        <v>2474</v>
      </c>
      <c r="M407" s="30" t="s">
        <v>63</v>
      </c>
      <c r="N407" s="30">
        <v>0</v>
      </c>
      <c r="O407" s="30" t="s">
        <v>64</v>
      </c>
      <c r="P407" s="89" t="s">
        <v>165</v>
      </c>
      <c r="Q407" s="89" t="s">
        <v>642</v>
      </c>
      <c r="R407" s="89" t="s">
        <v>643</v>
      </c>
      <c r="S407" s="30">
        <v>0</v>
      </c>
      <c r="T407" s="233">
        <v>0</v>
      </c>
      <c r="U407" s="30">
        <v>0</v>
      </c>
      <c r="V407" s="233">
        <v>1</v>
      </c>
      <c r="W407" s="30">
        <v>0</v>
      </c>
      <c r="X407" s="30">
        <v>1</v>
      </c>
      <c r="Y407" s="30">
        <v>0</v>
      </c>
      <c r="Z407" s="233">
        <v>0</v>
      </c>
      <c r="AA407" s="30">
        <v>0</v>
      </c>
      <c r="AB407" s="30">
        <v>0</v>
      </c>
      <c r="AC407" s="30">
        <v>0</v>
      </c>
      <c r="AD407" s="30">
        <v>0</v>
      </c>
      <c r="AE407" s="89" t="s">
        <v>68</v>
      </c>
      <c r="AF407" s="89"/>
      <c r="AG407" s="89" t="s">
        <v>248</v>
      </c>
      <c r="AH407" s="72" t="s">
        <v>68</v>
      </c>
      <c r="AI407" s="30">
        <v>1</v>
      </c>
      <c r="AJ407" s="89" t="s">
        <v>68</v>
      </c>
      <c r="AK407" s="89" t="s">
        <v>68</v>
      </c>
      <c r="AL407" s="91">
        <v>39689</v>
      </c>
      <c r="AM407" s="91"/>
      <c r="AN407" s="91"/>
      <c r="AO407" s="91"/>
      <c r="AP407" s="73" t="e">
        <f>MID(VLOOKUP(K407,#REF!,2,FALSE),1,2)</f>
        <v>#REF!</v>
      </c>
      <c r="AQ407" s="89">
        <f>DATE(2008,1,6)</f>
        <v>39453</v>
      </c>
      <c r="AR407" s="82">
        <f t="shared" si="30"/>
        <v>6</v>
      </c>
      <c r="AS407" s="83">
        <f t="shared" si="31"/>
        <v>1</v>
      </c>
      <c r="AT407" s="84">
        <f t="shared" si="32"/>
        <v>2008</v>
      </c>
      <c r="AU407" s="86"/>
      <c r="AV407" s="86"/>
      <c r="AW407" s="87"/>
      <c r="AX407" s="86"/>
      <c r="AY407" s="83"/>
      <c r="AZ407" s="84"/>
      <c r="BA407" s="86"/>
      <c r="BB407" s="86"/>
    </row>
    <row r="408" spans="1:54" ht="36.75" customHeight="1">
      <c r="A408" s="30"/>
      <c r="B408" s="30" t="s">
        <v>55</v>
      </c>
      <c r="C408" s="69" t="str">
        <f t="shared" si="29"/>
        <v>Closed</v>
      </c>
      <c r="D408" s="27" t="s">
        <v>2475</v>
      </c>
      <c r="E408" s="29" t="s">
        <v>2476</v>
      </c>
      <c r="F408" s="30" t="s">
        <v>835</v>
      </c>
      <c r="G408" s="89">
        <f>DATE(2008,1,7)</f>
        <v>39454</v>
      </c>
      <c r="H408" s="90">
        <v>1.5215277777777778</v>
      </c>
      <c r="I408" s="30" t="s">
        <v>73</v>
      </c>
      <c r="J408" s="89" t="s">
        <v>2477</v>
      </c>
      <c r="K408" s="30" t="s">
        <v>837</v>
      </c>
      <c r="L408" s="30" t="s">
        <v>2478</v>
      </c>
      <c r="M408" s="30" t="s">
        <v>63</v>
      </c>
      <c r="N408" s="30">
        <v>0</v>
      </c>
      <c r="O408" s="30" t="s">
        <v>77</v>
      </c>
      <c r="P408" s="89" t="s">
        <v>165</v>
      </c>
      <c r="Q408" s="89" t="s">
        <v>2162</v>
      </c>
      <c r="R408" s="89" t="s">
        <v>840</v>
      </c>
      <c r="S408" s="30">
        <v>0</v>
      </c>
      <c r="T408" s="233" t="s">
        <v>68</v>
      </c>
      <c r="U408" s="30">
        <v>0</v>
      </c>
      <c r="V408" s="233" t="s">
        <v>68</v>
      </c>
      <c r="W408" s="30">
        <v>0</v>
      </c>
      <c r="X408" s="30">
        <v>0</v>
      </c>
      <c r="Y408" s="30">
        <v>0</v>
      </c>
      <c r="Z408" s="233" t="s">
        <v>68</v>
      </c>
      <c r="AA408" s="30">
        <v>0</v>
      </c>
      <c r="AB408" s="30">
        <v>0</v>
      </c>
      <c r="AC408" s="30">
        <v>0</v>
      </c>
      <c r="AD408" s="30">
        <v>0</v>
      </c>
      <c r="AE408" s="89" t="s">
        <v>68</v>
      </c>
      <c r="AF408" s="89"/>
      <c r="AG408" s="89" t="s">
        <v>352</v>
      </c>
      <c r="AH408" s="72" t="s">
        <v>68</v>
      </c>
      <c r="AI408" s="30">
        <v>0</v>
      </c>
      <c r="AJ408" s="89" t="s">
        <v>68</v>
      </c>
      <c r="AK408" s="89" t="s">
        <v>68</v>
      </c>
      <c r="AL408" s="91">
        <v>39594</v>
      </c>
      <c r="AM408" s="91"/>
      <c r="AN408" s="91"/>
      <c r="AO408" s="91"/>
      <c r="AP408" s="73" t="e">
        <f>MID(VLOOKUP(K408,#REF!,2,FALSE),1,2)</f>
        <v>#REF!</v>
      </c>
      <c r="AQ408" s="89">
        <f>DATE(2008,1,7)</f>
        <v>39454</v>
      </c>
      <c r="AR408" s="82">
        <f t="shared" si="30"/>
        <v>7</v>
      </c>
      <c r="AS408" s="83">
        <f t="shared" si="31"/>
        <v>1</v>
      </c>
      <c r="AT408" s="84">
        <f t="shared" si="32"/>
        <v>2008</v>
      </c>
      <c r="AU408" s="86"/>
      <c r="AV408" s="86"/>
      <c r="AW408" s="87"/>
      <c r="AX408" s="86"/>
      <c r="AY408" s="83"/>
      <c r="AZ408" s="84"/>
      <c r="BA408" s="86"/>
      <c r="BB408" s="86"/>
    </row>
    <row r="409" spans="1:54" ht="36.75" customHeight="1">
      <c r="A409" s="30"/>
      <c r="B409" s="30" t="s">
        <v>55</v>
      </c>
      <c r="C409" s="69" t="str">
        <f t="shared" si="29"/>
        <v>Closed</v>
      </c>
      <c r="D409" s="27" t="s">
        <v>2479</v>
      </c>
      <c r="E409" s="29" t="s">
        <v>2480</v>
      </c>
      <c r="F409" s="30" t="s">
        <v>423</v>
      </c>
      <c r="G409" s="89">
        <f>DATE(2008,1,9)</f>
        <v>39456</v>
      </c>
      <c r="H409" s="90">
        <v>1.6187499999999999</v>
      </c>
      <c r="I409" s="30" t="s">
        <v>198</v>
      </c>
      <c r="J409" s="89" t="s">
        <v>2481</v>
      </c>
      <c r="K409" s="30" t="s">
        <v>425</v>
      </c>
      <c r="L409" s="30" t="s">
        <v>2482</v>
      </c>
      <c r="M409" s="30" t="s">
        <v>63</v>
      </c>
      <c r="N409" s="30">
        <v>0</v>
      </c>
      <c r="O409" s="30" t="s">
        <v>77</v>
      </c>
      <c r="P409" s="89" t="s">
        <v>91</v>
      </c>
      <c r="Q409" s="89" t="s">
        <v>2483</v>
      </c>
      <c r="R409" s="89" t="s">
        <v>427</v>
      </c>
      <c r="S409" s="30">
        <v>0</v>
      </c>
      <c r="T409" s="233" t="s">
        <v>68</v>
      </c>
      <c r="U409" s="30">
        <v>0</v>
      </c>
      <c r="V409" s="233" t="s">
        <v>68</v>
      </c>
      <c r="W409" s="30">
        <v>0</v>
      </c>
      <c r="X409" s="30">
        <v>0</v>
      </c>
      <c r="Y409" s="30">
        <v>0</v>
      </c>
      <c r="Z409" s="233" t="s">
        <v>68</v>
      </c>
      <c r="AA409" s="30">
        <v>0</v>
      </c>
      <c r="AB409" s="30">
        <v>0</v>
      </c>
      <c r="AC409" s="30">
        <v>0</v>
      </c>
      <c r="AD409" s="30">
        <v>0</v>
      </c>
      <c r="AE409" s="89" t="s">
        <v>68</v>
      </c>
      <c r="AF409" s="89"/>
      <c r="AG409" s="89" t="s">
        <v>133</v>
      </c>
      <c r="AH409" s="72" t="s">
        <v>68</v>
      </c>
      <c r="AI409" s="30">
        <v>0</v>
      </c>
      <c r="AJ409" s="89" t="s">
        <v>68</v>
      </c>
      <c r="AK409" s="89" t="s">
        <v>68</v>
      </c>
      <c r="AL409" s="91">
        <v>39526</v>
      </c>
      <c r="AM409" s="91"/>
      <c r="AN409" s="91"/>
      <c r="AO409" s="91"/>
      <c r="AP409" s="73" t="e">
        <f>MID(VLOOKUP(K409,#REF!,2,FALSE),1,2)</f>
        <v>#REF!</v>
      </c>
      <c r="AQ409" s="89">
        <f>DATE(2008,1,9)</f>
        <v>39456</v>
      </c>
      <c r="AR409" s="82">
        <f t="shared" si="30"/>
        <v>9</v>
      </c>
      <c r="AS409" s="83">
        <f t="shared" si="31"/>
        <v>1</v>
      </c>
      <c r="AT409" s="84">
        <f t="shared" si="32"/>
        <v>2008</v>
      </c>
      <c r="AU409" s="86"/>
      <c r="AV409" s="86"/>
      <c r="AW409" s="87"/>
      <c r="AX409" s="86"/>
      <c r="AY409" s="83"/>
      <c r="AZ409" s="84"/>
      <c r="BA409" s="86"/>
      <c r="BB409" s="86"/>
    </row>
    <row r="410" spans="1:54" ht="36.75" customHeight="1">
      <c r="A410" s="30"/>
      <c r="B410" s="30" t="s">
        <v>55</v>
      </c>
      <c r="C410" s="69" t="str">
        <f t="shared" si="29"/>
        <v>Closed</v>
      </c>
      <c r="D410" s="27" t="s">
        <v>2484</v>
      </c>
      <c r="E410" s="29" t="s">
        <v>2485</v>
      </c>
      <c r="F410" s="30" t="s">
        <v>638</v>
      </c>
      <c r="G410" s="89">
        <f>DATE(2008,1,10)</f>
        <v>39457</v>
      </c>
      <c r="H410" s="90">
        <v>1.6430555555555557</v>
      </c>
      <c r="I410" s="30" t="s">
        <v>116</v>
      </c>
      <c r="J410" s="89" t="s">
        <v>2486</v>
      </c>
      <c r="K410" s="30" t="s">
        <v>640</v>
      </c>
      <c r="L410" s="30" t="s">
        <v>2487</v>
      </c>
      <c r="M410" s="30" t="s">
        <v>63</v>
      </c>
      <c r="N410" s="30">
        <v>0</v>
      </c>
      <c r="O410" s="30" t="s">
        <v>77</v>
      </c>
      <c r="P410" s="89" t="s">
        <v>78</v>
      </c>
      <c r="Q410" s="89" t="s">
        <v>642</v>
      </c>
      <c r="R410" s="89" t="s">
        <v>643</v>
      </c>
      <c r="S410" s="30">
        <v>0</v>
      </c>
      <c r="T410" s="233">
        <v>0</v>
      </c>
      <c r="U410" s="30">
        <v>1</v>
      </c>
      <c r="V410" s="233">
        <v>0</v>
      </c>
      <c r="W410" s="30">
        <v>0</v>
      </c>
      <c r="X410" s="30">
        <v>1</v>
      </c>
      <c r="Y410" s="30">
        <v>0</v>
      </c>
      <c r="Z410" s="233">
        <v>0</v>
      </c>
      <c r="AA410" s="30">
        <v>0</v>
      </c>
      <c r="AB410" s="30">
        <v>0</v>
      </c>
      <c r="AC410" s="30">
        <v>0</v>
      </c>
      <c r="AD410" s="30">
        <v>0</v>
      </c>
      <c r="AE410" s="89" t="s">
        <v>68</v>
      </c>
      <c r="AF410" s="89"/>
      <c r="AG410" s="89" t="s">
        <v>248</v>
      </c>
      <c r="AH410" s="72" t="s">
        <v>68</v>
      </c>
      <c r="AI410" s="30">
        <v>1</v>
      </c>
      <c r="AJ410" s="89" t="s">
        <v>1732</v>
      </c>
      <c r="AK410" s="89" t="s">
        <v>68</v>
      </c>
      <c r="AL410" s="91">
        <v>39517</v>
      </c>
      <c r="AM410" s="91"/>
      <c r="AN410" s="91"/>
      <c r="AO410" s="91"/>
      <c r="AP410" s="73" t="e">
        <f>MID(VLOOKUP(K410,#REF!,2,FALSE),1,2)</f>
        <v>#REF!</v>
      </c>
      <c r="AQ410" s="89">
        <f>DATE(2008,1,10)</f>
        <v>39457</v>
      </c>
      <c r="AR410" s="82">
        <f t="shared" si="30"/>
        <v>10</v>
      </c>
      <c r="AS410" s="83">
        <f t="shared" si="31"/>
        <v>1</v>
      </c>
      <c r="AT410" s="84">
        <f t="shared" si="32"/>
        <v>2008</v>
      </c>
      <c r="AU410" s="86"/>
      <c r="AV410" s="86"/>
      <c r="AW410" s="87"/>
      <c r="AX410" s="86"/>
      <c r="AY410" s="83"/>
      <c r="AZ410" s="84"/>
      <c r="BA410" s="86"/>
      <c r="BB410" s="86"/>
    </row>
    <row r="411" spans="1:54" ht="36.75" customHeight="1">
      <c r="A411" s="30"/>
      <c r="B411" s="30" t="s">
        <v>55</v>
      </c>
      <c r="C411" s="69" t="str">
        <f t="shared" si="29"/>
        <v>Closed</v>
      </c>
      <c r="D411" s="27" t="s">
        <v>2488</v>
      </c>
      <c r="E411" s="29" t="s">
        <v>2489</v>
      </c>
      <c r="F411" s="30" t="s">
        <v>835</v>
      </c>
      <c r="G411" s="89">
        <f>DATE(2008,1,10)</f>
        <v>39457</v>
      </c>
      <c r="H411" s="90">
        <v>1.4013888888888888</v>
      </c>
      <c r="I411" s="30" t="s">
        <v>278</v>
      </c>
      <c r="J411" s="89" t="s">
        <v>2490</v>
      </c>
      <c r="K411" s="30" t="s">
        <v>837</v>
      </c>
      <c r="L411" s="30" t="s">
        <v>2491</v>
      </c>
      <c r="M411" s="30" t="s">
        <v>63</v>
      </c>
      <c r="N411" s="30">
        <v>0</v>
      </c>
      <c r="O411" s="30" t="s">
        <v>64</v>
      </c>
      <c r="P411" s="89" t="s">
        <v>165</v>
      </c>
      <c r="Q411" s="89" t="s">
        <v>2162</v>
      </c>
      <c r="R411" s="89" t="s">
        <v>840</v>
      </c>
      <c r="S411" s="30">
        <v>0</v>
      </c>
      <c r="T411" s="233">
        <v>2</v>
      </c>
      <c r="U411" s="30">
        <v>0</v>
      </c>
      <c r="V411" s="233">
        <v>0</v>
      </c>
      <c r="W411" s="30">
        <v>0</v>
      </c>
      <c r="X411" s="30">
        <v>2</v>
      </c>
      <c r="Y411" s="30">
        <v>0</v>
      </c>
      <c r="Z411" s="233">
        <v>0</v>
      </c>
      <c r="AA411" s="30">
        <v>0</v>
      </c>
      <c r="AB411" s="30">
        <v>0</v>
      </c>
      <c r="AC411" s="30">
        <v>0</v>
      </c>
      <c r="AD411" s="30">
        <v>0</v>
      </c>
      <c r="AE411" s="89" t="s">
        <v>68</v>
      </c>
      <c r="AF411" s="89"/>
      <c r="AG411" s="89" t="s">
        <v>352</v>
      </c>
      <c r="AH411" s="72" t="s">
        <v>68</v>
      </c>
      <c r="AI411" s="30">
        <v>1</v>
      </c>
      <c r="AJ411" s="89" t="s">
        <v>68</v>
      </c>
      <c r="AK411" s="89" t="s">
        <v>68</v>
      </c>
      <c r="AL411" s="91">
        <v>39594</v>
      </c>
      <c r="AM411" s="91"/>
      <c r="AN411" s="91"/>
      <c r="AO411" s="91"/>
      <c r="AP411" s="73" t="e">
        <f>MID(VLOOKUP(K411,#REF!,2,FALSE),1,2)</f>
        <v>#REF!</v>
      </c>
      <c r="AQ411" s="89">
        <f>DATE(2008,1,10)</f>
        <v>39457</v>
      </c>
      <c r="AR411" s="82">
        <f t="shared" si="30"/>
        <v>10</v>
      </c>
      <c r="AS411" s="83">
        <f t="shared" si="31"/>
        <v>1</v>
      </c>
      <c r="AT411" s="84">
        <f t="shared" si="32"/>
        <v>2008</v>
      </c>
      <c r="AU411" s="86"/>
      <c r="AV411" s="86"/>
      <c r="AW411" s="87"/>
      <c r="AX411" s="86"/>
      <c r="AY411" s="83"/>
      <c r="AZ411" s="84"/>
      <c r="BA411" s="86"/>
      <c r="BB411" s="86"/>
    </row>
    <row r="412" spans="1:54" ht="36.75" customHeight="1">
      <c r="A412" s="30"/>
      <c r="B412" s="30" t="s">
        <v>55</v>
      </c>
      <c r="C412" s="69" t="str">
        <f t="shared" si="29"/>
        <v>Closed</v>
      </c>
      <c r="D412" s="27" t="s">
        <v>2492</v>
      </c>
      <c r="E412" s="29" t="s">
        <v>2493</v>
      </c>
      <c r="F412" s="30" t="s">
        <v>1938</v>
      </c>
      <c r="G412" s="89">
        <f>DATE(2008,1,10)</f>
        <v>39457</v>
      </c>
      <c r="H412" s="90">
        <v>1.9513888888888888</v>
      </c>
      <c r="I412" s="30" t="s">
        <v>73</v>
      </c>
      <c r="J412" s="89" t="s">
        <v>2494</v>
      </c>
      <c r="K412" s="30" t="s">
        <v>1940</v>
      </c>
      <c r="L412" s="30" t="s">
        <v>2495</v>
      </c>
      <c r="M412" s="30" t="s">
        <v>63</v>
      </c>
      <c r="N412" s="30">
        <v>0</v>
      </c>
      <c r="O412" s="30" t="s">
        <v>64</v>
      </c>
      <c r="P412" s="89" t="s">
        <v>78</v>
      </c>
      <c r="Q412" s="89" t="s">
        <v>1942</v>
      </c>
      <c r="R412" s="89" t="s">
        <v>1942</v>
      </c>
      <c r="S412" s="30">
        <v>0</v>
      </c>
      <c r="T412" s="233" t="s">
        <v>68</v>
      </c>
      <c r="U412" s="30">
        <v>0</v>
      </c>
      <c r="V412" s="233" t="s">
        <v>68</v>
      </c>
      <c r="W412" s="30">
        <v>0</v>
      </c>
      <c r="X412" s="30">
        <v>0</v>
      </c>
      <c r="Y412" s="30">
        <v>0</v>
      </c>
      <c r="Z412" s="233" t="s">
        <v>68</v>
      </c>
      <c r="AA412" s="30">
        <v>0</v>
      </c>
      <c r="AB412" s="30">
        <v>0</v>
      </c>
      <c r="AC412" s="30">
        <v>0</v>
      </c>
      <c r="AD412" s="30">
        <v>0</v>
      </c>
      <c r="AE412" s="89" t="s">
        <v>68</v>
      </c>
      <c r="AF412" s="89"/>
      <c r="AG412" s="89" t="s">
        <v>82</v>
      </c>
      <c r="AH412" s="72" t="s">
        <v>68</v>
      </c>
      <c r="AI412" s="30">
        <v>2</v>
      </c>
      <c r="AJ412" s="89" t="s">
        <v>2496</v>
      </c>
      <c r="AK412" s="89" t="s">
        <v>2497</v>
      </c>
      <c r="AL412" s="91">
        <v>39463</v>
      </c>
      <c r="AM412" s="91"/>
      <c r="AN412" s="91"/>
      <c r="AO412" s="91"/>
      <c r="AP412" s="73" t="e">
        <f>MID(VLOOKUP(K412,#REF!,2,FALSE),1,2)</f>
        <v>#REF!</v>
      </c>
      <c r="AQ412" s="89">
        <f>DATE(2008,1,10)</f>
        <v>39457</v>
      </c>
      <c r="AR412" s="82">
        <f t="shared" si="30"/>
        <v>10</v>
      </c>
      <c r="AS412" s="83">
        <f t="shared" si="31"/>
        <v>1</v>
      </c>
      <c r="AT412" s="84">
        <f t="shared" si="32"/>
        <v>2008</v>
      </c>
      <c r="AU412" s="86"/>
      <c r="AV412" s="86"/>
      <c r="AW412" s="87"/>
      <c r="AX412" s="86"/>
      <c r="AY412" s="83"/>
      <c r="AZ412" s="84"/>
      <c r="BA412" s="86"/>
      <c r="BB412" s="86"/>
    </row>
    <row r="413" spans="1:54" ht="36.75" customHeight="1">
      <c r="A413" s="30"/>
      <c r="B413" s="30" t="s">
        <v>55</v>
      </c>
      <c r="C413" s="69" t="str">
        <f t="shared" si="29"/>
        <v>Closed</v>
      </c>
      <c r="D413" s="27" t="s">
        <v>2498</v>
      </c>
      <c r="E413" s="29" t="s">
        <v>2499</v>
      </c>
      <c r="F413" s="30" t="s">
        <v>138</v>
      </c>
      <c r="G413" s="89">
        <f>DATE(2008,1,16)</f>
        <v>39463</v>
      </c>
      <c r="H413" s="90">
        <v>1.3631944444444444</v>
      </c>
      <c r="I413" s="30" t="s">
        <v>487</v>
      </c>
      <c r="J413" s="89" t="s">
        <v>2500</v>
      </c>
      <c r="K413" s="30" t="s">
        <v>140</v>
      </c>
      <c r="L413" s="30" t="s">
        <v>2501</v>
      </c>
      <c r="M413" s="30" t="s">
        <v>63</v>
      </c>
      <c r="N413" s="30" t="s">
        <v>142</v>
      </c>
      <c r="O413" s="30" t="s">
        <v>77</v>
      </c>
      <c r="P413" s="89" t="s">
        <v>91</v>
      </c>
      <c r="Q413" s="89" t="s">
        <v>143</v>
      </c>
      <c r="R413" s="89" t="s">
        <v>144</v>
      </c>
      <c r="S413" s="30">
        <v>0</v>
      </c>
      <c r="T413" s="233">
        <v>0</v>
      </c>
      <c r="U413" s="30">
        <v>0</v>
      </c>
      <c r="V413" s="233">
        <v>0</v>
      </c>
      <c r="W413" s="30">
        <v>0</v>
      </c>
      <c r="X413" s="30">
        <v>0</v>
      </c>
      <c r="Y413" s="30">
        <v>0</v>
      </c>
      <c r="Z413" s="233">
        <v>0</v>
      </c>
      <c r="AA413" s="30">
        <v>0</v>
      </c>
      <c r="AB413" s="30">
        <v>0</v>
      </c>
      <c r="AC413" s="30">
        <v>0</v>
      </c>
      <c r="AD413" s="30">
        <v>0</v>
      </c>
      <c r="AE413" s="89" t="s">
        <v>92</v>
      </c>
      <c r="AF413" s="89"/>
      <c r="AG413" s="89" t="s">
        <v>133</v>
      </c>
      <c r="AH413" s="72">
        <v>39471</v>
      </c>
      <c r="AI413" s="30">
        <v>3</v>
      </c>
      <c r="AJ413" s="89" t="s">
        <v>2502</v>
      </c>
      <c r="AK413" s="89" t="s">
        <v>2503</v>
      </c>
      <c r="AL413" s="91">
        <v>39469</v>
      </c>
      <c r="AM413" s="91"/>
      <c r="AN413" s="91"/>
      <c r="AO413" s="91"/>
      <c r="AP413" s="73" t="e">
        <f>MID(VLOOKUP(K413,#REF!,2,FALSE),1,2)</f>
        <v>#REF!</v>
      </c>
      <c r="AQ413" s="89">
        <f>DATE(2008,1,16)</f>
        <v>39463</v>
      </c>
      <c r="AR413" s="82">
        <f t="shared" si="30"/>
        <v>16</v>
      </c>
      <c r="AS413" s="83">
        <f t="shared" si="31"/>
        <v>1</v>
      </c>
      <c r="AT413" s="84">
        <f t="shared" si="32"/>
        <v>2008</v>
      </c>
      <c r="AU413" s="86"/>
      <c r="AV413" s="86"/>
      <c r="AW413" s="87"/>
      <c r="AX413" s="86"/>
      <c r="AY413" s="83"/>
      <c r="AZ413" s="84"/>
      <c r="BA413" s="86"/>
      <c r="BB413" s="86"/>
    </row>
    <row r="414" spans="1:54" ht="36.75" customHeight="1">
      <c r="A414" s="30"/>
      <c r="B414" s="30" t="s">
        <v>55</v>
      </c>
      <c r="C414" s="69" t="str">
        <f t="shared" si="29"/>
        <v>Closed</v>
      </c>
      <c r="D414" s="27" t="s">
        <v>2504</v>
      </c>
      <c r="E414" s="29" t="s">
        <v>2505</v>
      </c>
      <c r="F414" s="30" t="s">
        <v>233</v>
      </c>
      <c r="G414" s="89">
        <f>DATE(2008,1,20)</f>
        <v>39467</v>
      </c>
      <c r="H414" s="90">
        <v>1.6833333333333331</v>
      </c>
      <c r="I414" s="30" t="s">
        <v>278</v>
      </c>
      <c r="J414" s="89" t="s">
        <v>2506</v>
      </c>
      <c r="K414" s="30" t="s">
        <v>235</v>
      </c>
      <c r="L414" s="30" t="s">
        <v>2507</v>
      </c>
      <c r="M414" s="30" t="s">
        <v>63</v>
      </c>
      <c r="N414" s="30">
        <v>0</v>
      </c>
      <c r="O414" s="30" t="s">
        <v>64</v>
      </c>
      <c r="P414" s="89" t="s">
        <v>165</v>
      </c>
      <c r="Q414" s="89" t="s">
        <v>246</v>
      </c>
      <c r="R414" s="89" t="s">
        <v>238</v>
      </c>
      <c r="S414" s="30">
        <v>0</v>
      </c>
      <c r="T414" s="233" t="s">
        <v>68</v>
      </c>
      <c r="U414" s="30">
        <v>0</v>
      </c>
      <c r="V414" s="233" t="s">
        <v>68</v>
      </c>
      <c r="W414" s="30">
        <v>0</v>
      </c>
      <c r="X414" s="30">
        <v>0</v>
      </c>
      <c r="Y414" s="30">
        <v>0</v>
      </c>
      <c r="Z414" s="233" t="s">
        <v>68</v>
      </c>
      <c r="AA414" s="30">
        <v>0</v>
      </c>
      <c r="AB414" s="30">
        <v>0</v>
      </c>
      <c r="AC414" s="30">
        <v>0</v>
      </c>
      <c r="AD414" s="30">
        <v>0</v>
      </c>
      <c r="AE414" s="89" t="s">
        <v>68</v>
      </c>
      <c r="AF414" s="89"/>
      <c r="AG414" s="89" t="s">
        <v>352</v>
      </c>
      <c r="AH414" s="72" t="s">
        <v>68</v>
      </c>
      <c r="AI414" s="30">
        <v>5</v>
      </c>
      <c r="AJ414" s="89" t="s">
        <v>2508</v>
      </c>
      <c r="AK414" s="89" t="s">
        <v>2509</v>
      </c>
      <c r="AL414" s="91">
        <v>39484</v>
      </c>
      <c r="AM414" s="91"/>
      <c r="AN414" s="91"/>
      <c r="AO414" s="91"/>
      <c r="AP414" s="73" t="e">
        <f>MID(VLOOKUP(K414,#REF!,2,FALSE),1,2)</f>
        <v>#REF!</v>
      </c>
      <c r="AQ414" s="89">
        <f>DATE(2008,1,20)</f>
        <v>39467</v>
      </c>
      <c r="AR414" s="82">
        <f t="shared" si="30"/>
        <v>20</v>
      </c>
      <c r="AS414" s="83">
        <f t="shared" si="31"/>
        <v>1</v>
      </c>
      <c r="AT414" s="84">
        <f t="shared" si="32"/>
        <v>2008</v>
      </c>
      <c r="AU414" s="86"/>
      <c r="AV414" s="86"/>
      <c r="AW414" s="87"/>
      <c r="AX414" s="86"/>
      <c r="AY414" s="83"/>
      <c r="AZ414" s="84"/>
      <c r="BA414" s="86"/>
      <c r="BB414" s="86"/>
    </row>
    <row r="415" spans="1:54" ht="36.75" customHeight="1">
      <c r="A415" s="30"/>
      <c r="B415" s="30" t="s">
        <v>55</v>
      </c>
      <c r="C415" s="69" t="str">
        <f t="shared" si="29"/>
        <v>Closed</v>
      </c>
      <c r="D415" s="27" t="s">
        <v>2510</v>
      </c>
      <c r="E415" s="29" t="s">
        <v>2511</v>
      </c>
      <c r="F415" s="30" t="s">
        <v>233</v>
      </c>
      <c r="G415" s="89">
        <f>DATE(2008,1,22)</f>
        <v>39469</v>
      </c>
      <c r="H415" s="90">
        <v>1.7173611111111109</v>
      </c>
      <c r="I415" s="30" t="s">
        <v>116</v>
      </c>
      <c r="J415" s="89" t="s">
        <v>2512</v>
      </c>
      <c r="K415" s="30" t="s">
        <v>235</v>
      </c>
      <c r="L415" s="30" t="s">
        <v>2513</v>
      </c>
      <c r="M415" s="30" t="s">
        <v>63</v>
      </c>
      <c r="N415" s="30">
        <v>0</v>
      </c>
      <c r="O415" s="30" t="s">
        <v>64</v>
      </c>
      <c r="P415" s="89" t="s">
        <v>78</v>
      </c>
      <c r="Q415" s="89" t="s">
        <v>237</v>
      </c>
      <c r="R415" s="89" t="s">
        <v>238</v>
      </c>
      <c r="S415" s="30">
        <v>0</v>
      </c>
      <c r="T415" s="233">
        <v>0</v>
      </c>
      <c r="U415" s="30">
        <v>1</v>
      </c>
      <c r="V415" s="233">
        <v>0</v>
      </c>
      <c r="W415" s="30">
        <v>0</v>
      </c>
      <c r="X415" s="30">
        <v>1</v>
      </c>
      <c r="Y415" s="30">
        <v>0</v>
      </c>
      <c r="Z415" s="233">
        <v>0</v>
      </c>
      <c r="AA415" s="30">
        <v>0</v>
      </c>
      <c r="AB415" s="30">
        <v>0</v>
      </c>
      <c r="AC415" s="30">
        <v>0</v>
      </c>
      <c r="AD415" s="30">
        <v>0</v>
      </c>
      <c r="AE415" s="89" t="s">
        <v>68</v>
      </c>
      <c r="AF415" s="89"/>
      <c r="AG415" s="89" t="s">
        <v>82</v>
      </c>
      <c r="AH415" s="72" t="s">
        <v>68</v>
      </c>
      <c r="AI415" s="30">
        <v>4</v>
      </c>
      <c r="AJ415" s="89" t="s">
        <v>2514</v>
      </c>
      <c r="AK415" s="89" t="s">
        <v>2515</v>
      </c>
      <c r="AL415" s="91">
        <v>39496</v>
      </c>
      <c r="AM415" s="91"/>
      <c r="AN415" s="91"/>
      <c r="AO415" s="91"/>
      <c r="AP415" s="73" t="e">
        <f>MID(VLOOKUP(K415,#REF!,2,FALSE),1,2)</f>
        <v>#REF!</v>
      </c>
      <c r="AQ415" s="89">
        <f>DATE(2008,1,22)</f>
        <v>39469</v>
      </c>
      <c r="AR415" s="82">
        <f t="shared" si="30"/>
        <v>22</v>
      </c>
      <c r="AS415" s="83">
        <f t="shared" si="31"/>
        <v>1</v>
      </c>
      <c r="AT415" s="84">
        <f t="shared" si="32"/>
        <v>2008</v>
      </c>
      <c r="AU415" s="86"/>
      <c r="AV415" s="86"/>
      <c r="AW415" s="87"/>
      <c r="AX415" s="86"/>
      <c r="AY415" s="83"/>
      <c r="AZ415" s="84"/>
      <c r="BA415" s="86"/>
      <c r="BB415" s="86"/>
    </row>
    <row r="416" spans="1:54" ht="36.75" customHeight="1">
      <c r="A416" s="30"/>
      <c r="B416" s="30" t="s">
        <v>55</v>
      </c>
      <c r="C416" s="69" t="str">
        <f t="shared" si="29"/>
        <v>Closed</v>
      </c>
      <c r="D416" s="27" t="s">
        <v>2516</v>
      </c>
      <c r="E416" s="29" t="s">
        <v>2517</v>
      </c>
      <c r="F416" s="30" t="s">
        <v>423</v>
      </c>
      <c r="G416" s="89">
        <f>DATE(2008,1,23)</f>
        <v>39470</v>
      </c>
      <c r="H416" s="90">
        <v>1.4145833333333333</v>
      </c>
      <c r="I416" s="30" t="s">
        <v>156</v>
      </c>
      <c r="J416" s="89" t="s">
        <v>2518</v>
      </c>
      <c r="K416" s="30" t="s">
        <v>425</v>
      </c>
      <c r="L416" s="30" t="s">
        <v>2519</v>
      </c>
      <c r="M416" s="30" t="s">
        <v>63</v>
      </c>
      <c r="N416" s="30">
        <v>0</v>
      </c>
      <c r="O416" s="30" t="s">
        <v>77</v>
      </c>
      <c r="P416" s="89" t="s">
        <v>65</v>
      </c>
      <c r="Q416" s="89" t="s">
        <v>427</v>
      </c>
      <c r="R416" s="89" t="s">
        <v>427</v>
      </c>
      <c r="S416" s="30">
        <v>0</v>
      </c>
      <c r="T416" s="233" t="s">
        <v>68</v>
      </c>
      <c r="U416" s="30">
        <v>0</v>
      </c>
      <c r="V416" s="233" t="s">
        <v>68</v>
      </c>
      <c r="W416" s="30">
        <v>0</v>
      </c>
      <c r="X416" s="30">
        <v>0</v>
      </c>
      <c r="Y416" s="30">
        <v>0</v>
      </c>
      <c r="Z416" s="233" t="s">
        <v>68</v>
      </c>
      <c r="AA416" s="30">
        <v>0</v>
      </c>
      <c r="AB416" s="30">
        <v>0</v>
      </c>
      <c r="AC416" s="30">
        <v>0</v>
      </c>
      <c r="AD416" s="30">
        <v>0</v>
      </c>
      <c r="AE416" s="89" t="s">
        <v>68</v>
      </c>
      <c r="AF416" s="89"/>
      <c r="AG416" s="89" t="s">
        <v>874</v>
      </c>
      <c r="AH416" s="72" t="s">
        <v>68</v>
      </c>
      <c r="AI416" s="30">
        <v>2</v>
      </c>
      <c r="AJ416" s="89" t="s">
        <v>68</v>
      </c>
      <c r="AK416" s="89" t="s">
        <v>68</v>
      </c>
      <c r="AL416" s="91">
        <v>39554</v>
      </c>
      <c r="AM416" s="91"/>
      <c r="AN416" s="91"/>
      <c r="AO416" s="91"/>
      <c r="AP416" s="73" t="e">
        <f>MID(VLOOKUP(K416,#REF!,2,FALSE),1,2)</f>
        <v>#REF!</v>
      </c>
      <c r="AQ416" s="89">
        <f>DATE(2008,1,23)</f>
        <v>39470</v>
      </c>
      <c r="AR416" s="82">
        <f t="shared" si="30"/>
        <v>23</v>
      </c>
      <c r="AS416" s="83">
        <f t="shared" si="31"/>
        <v>1</v>
      </c>
      <c r="AT416" s="84">
        <f t="shared" si="32"/>
        <v>2008</v>
      </c>
      <c r="AU416" s="86"/>
      <c r="AV416" s="86"/>
      <c r="AW416" s="87"/>
      <c r="AX416" s="86"/>
      <c r="AY416" s="83"/>
      <c r="AZ416" s="84"/>
      <c r="BA416" s="86"/>
      <c r="BB416" s="86"/>
    </row>
    <row r="417" spans="1:54" ht="36.75" customHeight="1">
      <c r="A417" s="30"/>
      <c r="B417" s="30" t="s">
        <v>55</v>
      </c>
      <c r="C417" s="69" t="str">
        <f t="shared" si="29"/>
        <v>Closed</v>
      </c>
      <c r="D417" s="27" t="s">
        <v>2520</v>
      </c>
      <c r="E417" s="29" t="s">
        <v>2521</v>
      </c>
      <c r="F417" s="30" t="s">
        <v>115</v>
      </c>
      <c r="G417" s="89">
        <f>DATE(2008,1,25)</f>
        <v>39472</v>
      </c>
      <c r="H417" s="90">
        <v>1.0590277777777777</v>
      </c>
      <c r="I417" s="30" t="s">
        <v>116</v>
      </c>
      <c r="J417" s="89" t="s">
        <v>2522</v>
      </c>
      <c r="K417" s="30" t="s">
        <v>118</v>
      </c>
      <c r="L417" s="30" t="s">
        <v>2523</v>
      </c>
      <c r="M417" s="30" t="s">
        <v>63</v>
      </c>
      <c r="N417" s="30">
        <v>0</v>
      </c>
      <c r="O417" s="30" t="s">
        <v>64</v>
      </c>
      <c r="P417" s="89" t="s">
        <v>78</v>
      </c>
      <c r="Q417" s="89" t="s">
        <v>120</v>
      </c>
      <c r="R417" s="89" t="s">
        <v>121</v>
      </c>
      <c r="S417" s="30">
        <v>0</v>
      </c>
      <c r="T417" s="233">
        <v>0</v>
      </c>
      <c r="U417" s="30">
        <v>1</v>
      </c>
      <c r="V417" s="233">
        <v>0</v>
      </c>
      <c r="W417" s="30">
        <v>3</v>
      </c>
      <c r="X417" s="30">
        <v>4</v>
      </c>
      <c r="Y417" s="30">
        <v>0</v>
      </c>
      <c r="Z417" s="233">
        <v>0</v>
      </c>
      <c r="AA417" s="30">
        <v>0</v>
      </c>
      <c r="AB417" s="30">
        <v>0</v>
      </c>
      <c r="AC417" s="30">
        <v>0</v>
      </c>
      <c r="AD417" s="30">
        <v>0</v>
      </c>
      <c r="AE417" s="89" t="s">
        <v>68</v>
      </c>
      <c r="AF417" s="89"/>
      <c r="AG417" s="89" t="s">
        <v>82</v>
      </c>
      <c r="AH417" s="72" t="s">
        <v>68</v>
      </c>
      <c r="AI417" s="30">
        <v>0</v>
      </c>
      <c r="AJ417" s="89" t="s">
        <v>68</v>
      </c>
      <c r="AK417" s="89" t="s">
        <v>68</v>
      </c>
      <c r="AL417" s="91">
        <v>39482</v>
      </c>
      <c r="AM417" s="91"/>
      <c r="AN417" s="91"/>
      <c r="AO417" s="91"/>
      <c r="AP417" s="73" t="e">
        <f>MID(VLOOKUP(K417,#REF!,2,FALSE),1,2)</f>
        <v>#REF!</v>
      </c>
      <c r="AQ417" s="89">
        <f>DATE(2008,1,25)</f>
        <v>39472</v>
      </c>
      <c r="AR417" s="82">
        <f t="shared" si="30"/>
        <v>25</v>
      </c>
      <c r="AS417" s="83">
        <f t="shared" si="31"/>
        <v>1</v>
      </c>
      <c r="AT417" s="84">
        <f t="shared" si="32"/>
        <v>2008</v>
      </c>
      <c r="AU417" s="86"/>
      <c r="AV417" s="86"/>
      <c r="AW417" s="87"/>
      <c r="AX417" s="86"/>
      <c r="AY417" s="83"/>
      <c r="AZ417" s="84"/>
      <c r="BA417" s="86"/>
      <c r="BB417" s="86"/>
    </row>
    <row r="418" spans="1:54" ht="36.75" customHeight="1">
      <c r="A418" s="30"/>
      <c r="B418" s="30" t="s">
        <v>55</v>
      </c>
      <c r="C418" s="69" t="str">
        <f t="shared" si="29"/>
        <v>Closed</v>
      </c>
      <c r="D418" s="27" t="s">
        <v>2524</v>
      </c>
      <c r="E418" s="29" t="s">
        <v>2525</v>
      </c>
      <c r="F418" s="30" t="s">
        <v>233</v>
      </c>
      <c r="G418" s="89">
        <f>DATE(2008,1,25)</f>
        <v>39472</v>
      </c>
      <c r="H418" s="90">
        <v>1.4534722222222223</v>
      </c>
      <c r="I418" s="30" t="s">
        <v>73</v>
      </c>
      <c r="J418" s="89" t="s">
        <v>2526</v>
      </c>
      <c r="K418" s="30" t="s">
        <v>235</v>
      </c>
      <c r="L418" s="30" t="s">
        <v>2527</v>
      </c>
      <c r="M418" s="30" t="s">
        <v>63</v>
      </c>
      <c r="N418" s="30">
        <v>0</v>
      </c>
      <c r="O418" s="30" t="s">
        <v>64</v>
      </c>
      <c r="P418" s="89" t="s">
        <v>78</v>
      </c>
      <c r="Q418" s="89" t="s">
        <v>434</v>
      </c>
      <c r="R418" s="89" t="s">
        <v>238</v>
      </c>
      <c r="S418" s="30">
        <v>0</v>
      </c>
      <c r="T418" s="233" t="s">
        <v>68</v>
      </c>
      <c r="U418" s="30">
        <v>0</v>
      </c>
      <c r="V418" s="233" t="s">
        <v>68</v>
      </c>
      <c r="W418" s="30">
        <v>0</v>
      </c>
      <c r="X418" s="30">
        <v>0</v>
      </c>
      <c r="Y418" s="30">
        <v>0</v>
      </c>
      <c r="Z418" s="233" t="s">
        <v>68</v>
      </c>
      <c r="AA418" s="30">
        <v>0</v>
      </c>
      <c r="AB418" s="30">
        <v>0</v>
      </c>
      <c r="AC418" s="30">
        <v>0</v>
      </c>
      <c r="AD418" s="30">
        <v>0</v>
      </c>
      <c r="AE418" s="89" t="s">
        <v>68</v>
      </c>
      <c r="AF418" s="89"/>
      <c r="AG418" s="89" t="s">
        <v>352</v>
      </c>
      <c r="AH418" s="72" t="s">
        <v>68</v>
      </c>
      <c r="AI418" s="30">
        <v>9</v>
      </c>
      <c r="AJ418" s="89" t="s">
        <v>2528</v>
      </c>
      <c r="AK418" s="89" t="s">
        <v>2529</v>
      </c>
      <c r="AL418" s="91">
        <v>39483</v>
      </c>
      <c r="AM418" s="91"/>
      <c r="AN418" s="91"/>
      <c r="AO418" s="91"/>
      <c r="AP418" s="73" t="e">
        <f>MID(VLOOKUP(K418,#REF!,2,FALSE),1,2)</f>
        <v>#REF!</v>
      </c>
      <c r="AQ418" s="89">
        <f>DATE(2008,1,25)</f>
        <v>39472</v>
      </c>
      <c r="AR418" s="82">
        <f t="shared" si="30"/>
        <v>25</v>
      </c>
      <c r="AS418" s="83">
        <f t="shared" si="31"/>
        <v>1</v>
      </c>
      <c r="AT418" s="84">
        <f t="shared" si="32"/>
        <v>2008</v>
      </c>
      <c r="AU418" s="86"/>
      <c r="AV418" s="86"/>
      <c r="AW418" s="87"/>
      <c r="AX418" s="86"/>
      <c r="AY418" s="83"/>
      <c r="AZ418" s="84"/>
      <c r="BA418" s="86"/>
      <c r="BB418" s="86"/>
    </row>
    <row r="419" spans="1:54" ht="36.75" customHeight="1">
      <c r="A419" s="30"/>
      <c r="B419" s="30" t="s">
        <v>55</v>
      </c>
      <c r="C419" s="69" t="str">
        <f t="shared" si="29"/>
        <v>Closed</v>
      </c>
      <c r="D419" s="27" t="s">
        <v>2530</v>
      </c>
      <c r="E419" s="29" t="s">
        <v>2531</v>
      </c>
      <c r="F419" s="30" t="s">
        <v>638</v>
      </c>
      <c r="G419" s="89">
        <f>DATE(2008,1,26)</f>
        <v>39473</v>
      </c>
      <c r="H419" s="90">
        <v>1.7687499999999998</v>
      </c>
      <c r="I419" s="30" t="s">
        <v>278</v>
      </c>
      <c r="J419" s="89" t="s">
        <v>2532</v>
      </c>
      <c r="K419" s="30" t="s">
        <v>640</v>
      </c>
      <c r="L419" s="30" t="s">
        <v>2533</v>
      </c>
      <c r="M419" s="30" t="s">
        <v>63</v>
      </c>
      <c r="N419" s="30">
        <v>0</v>
      </c>
      <c r="O419" s="30" t="s">
        <v>64</v>
      </c>
      <c r="P419" s="89" t="s">
        <v>165</v>
      </c>
      <c r="Q419" s="89" t="s">
        <v>642</v>
      </c>
      <c r="R419" s="89" t="s">
        <v>643</v>
      </c>
      <c r="S419" s="30">
        <v>0</v>
      </c>
      <c r="T419" s="233">
        <v>0</v>
      </c>
      <c r="U419" s="30">
        <v>0</v>
      </c>
      <c r="V419" s="233">
        <v>1</v>
      </c>
      <c r="W419" s="30">
        <v>0</v>
      </c>
      <c r="X419" s="30">
        <v>1</v>
      </c>
      <c r="Y419" s="30">
        <v>0</v>
      </c>
      <c r="Z419" s="233">
        <v>0</v>
      </c>
      <c r="AA419" s="30">
        <v>0</v>
      </c>
      <c r="AB419" s="30">
        <v>0</v>
      </c>
      <c r="AC419" s="30">
        <v>0</v>
      </c>
      <c r="AD419" s="30">
        <v>0</v>
      </c>
      <c r="AE419" s="89" t="s">
        <v>68</v>
      </c>
      <c r="AF419" s="89"/>
      <c r="AG419" s="89" t="s">
        <v>248</v>
      </c>
      <c r="AH419" s="72" t="s">
        <v>68</v>
      </c>
      <c r="AI419" s="30">
        <v>1</v>
      </c>
      <c r="AJ419" s="89" t="s">
        <v>68</v>
      </c>
      <c r="AK419" s="89" t="s">
        <v>68</v>
      </c>
      <c r="AL419" s="91">
        <v>39688</v>
      </c>
      <c r="AM419" s="91"/>
      <c r="AN419" s="91"/>
      <c r="AO419" s="91"/>
      <c r="AP419" s="73" t="e">
        <f>MID(VLOOKUP(K419,#REF!,2,FALSE),1,2)</f>
        <v>#REF!</v>
      </c>
      <c r="AQ419" s="89">
        <f>DATE(2008,1,26)</f>
        <v>39473</v>
      </c>
      <c r="AR419" s="82">
        <f t="shared" si="30"/>
        <v>26</v>
      </c>
      <c r="AS419" s="83">
        <f t="shared" si="31"/>
        <v>1</v>
      </c>
      <c r="AT419" s="84">
        <f t="shared" si="32"/>
        <v>2008</v>
      </c>
      <c r="AU419" s="86"/>
      <c r="AV419" s="86"/>
      <c r="AW419" s="87"/>
      <c r="AX419" s="86"/>
      <c r="AY419" s="83"/>
      <c r="AZ419" s="84"/>
      <c r="BA419" s="86"/>
      <c r="BB419" s="86"/>
    </row>
    <row r="420" spans="1:54" ht="36.75" customHeight="1">
      <c r="A420" s="30"/>
      <c r="B420" s="30" t="s">
        <v>55</v>
      </c>
      <c r="C420" s="69" t="str">
        <f t="shared" si="29"/>
        <v>Closed</v>
      </c>
      <c r="D420" s="27" t="s">
        <v>2534</v>
      </c>
      <c r="E420" s="29" t="s">
        <v>2535</v>
      </c>
      <c r="F420" s="30" t="s">
        <v>233</v>
      </c>
      <c r="G420" s="89">
        <f>DATE(2008,2,1)</f>
        <v>39479</v>
      </c>
      <c r="H420" s="90">
        <v>1.2722222222222221</v>
      </c>
      <c r="I420" s="30" t="s">
        <v>73</v>
      </c>
      <c r="J420" s="89" t="s">
        <v>2536</v>
      </c>
      <c r="K420" s="30" t="s">
        <v>235</v>
      </c>
      <c r="L420" s="30" t="s">
        <v>2537</v>
      </c>
      <c r="M420" s="30" t="s">
        <v>63</v>
      </c>
      <c r="N420" s="30">
        <v>0</v>
      </c>
      <c r="O420" s="30" t="s">
        <v>64</v>
      </c>
      <c r="P420" s="89" t="s">
        <v>165</v>
      </c>
      <c r="Q420" s="89" t="s">
        <v>2538</v>
      </c>
      <c r="R420" s="89" t="s">
        <v>238</v>
      </c>
      <c r="S420" s="30">
        <v>0</v>
      </c>
      <c r="T420" s="233">
        <v>0</v>
      </c>
      <c r="U420" s="30">
        <v>0</v>
      </c>
      <c r="V420" s="233">
        <v>0</v>
      </c>
      <c r="W420" s="30">
        <v>0</v>
      </c>
      <c r="X420" s="30">
        <v>0</v>
      </c>
      <c r="Y420" s="30">
        <v>0</v>
      </c>
      <c r="Z420" s="233">
        <v>1</v>
      </c>
      <c r="AA420" s="30">
        <v>0</v>
      </c>
      <c r="AB420" s="30">
        <v>0</v>
      </c>
      <c r="AC420" s="30">
        <v>0</v>
      </c>
      <c r="AD420" s="30">
        <v>1</v>
      </c>
      <c r="AE420" s="89" t="s">
        <v>68</v>
      </c>
      <c r="AF420" s="89"/>
      <c r="AG420" s="89" t="s">
        <v>133</v>
      </c>
      <c r="AH420" s="72" t="s">
        <v>68</v>
      </c>
      <c r="AI420" s="30">
        <v>4</v>
      </c>
      <c r="AJ420" s="89" t="s">
        <v>2539</v>
      </c>
      <c r="AK420" s="89" t="s">
        <v>2540</v>
      </c>
      <c r="AL420" s="91">
        <v>39483</v>
      </c>
      <c r="AM420" s="91"/>
      <c r="AN420" s="91"/>
      <c r="AO420" s="91"/>
      <c r="AP420" s="73" t="e">
        <f>MID(VLOOKUP(K420,#REF!,2,FALSE),1,2)</f>
        <v>#REF!</v>
      </c>
      <c r="AQ420" s="89">
        <f>DATE(2008,2,1)</f>
        <v>39479</v>
      </c>
      <c r="AR420" s="82">
        <f t="shared" si="30"/>
        <v>1</v>
      </c>
      <c r="AS420" s="83">
        <f t="shared" si="31"/>
        <v>2</v>
      </c>
      <c r="AT420" s="84">
        <f t="shared" si="32"/>
        <v>2008</v>
      </c>
      <c r="AU420" s="86"/>
      <c r="AV420" s="86"/>
      <c r="AW420" s="87"/>
      <c r="AX420" s="86"/>
      <c r="AY420" s="83"/>
      <c r="AZ420" s="84"/>
      <c r="BA420" s="86"/>
      <c r="BB420" s="86"/>
    </row>
    <row r="421" spans="1:54" ht="36.75" customHeight="1">
      <c r="A421" s="30"/>
      <c r="B421" s="30" t="s">
        <v>55</v>
      </c>
      <c r="C421" s="69" t="str">
        <f t="shared" si="29"/>
        <v>Closed</v>
      </c>
      <c r="D421" s="27" t="s">
        <v>2541</v>
      </c>
      <c r="E421" s="29" t="s">
        <v>2542</v>
      </c>
      <c r="F421" s="30" t="s">
        <v>638</v>
      </c>
      <c r="G421" s="89">
        <f>DATE(2008,2,5)</f>
        <v>39483</v>
      </c>
      <c r="H421" s="90">
        <v>1.7083333333333335</v>
      </c>
      <c r="I421" s="30" t="s">
        <v>278</v>
      </c>
      <c r="J421" s="89" t="s">
        <v>2543</v>
      </c>
      <c r="K421" s="30" t="s">
        <v>640</v>
      </c>
      <c r="L421" s="30" t="s">
        <v>2544</v>
      </c>
      <c r="M421" s="30" t="s">
        <v>63</v>
      </c>
      <c r="N421" s="30">
        <v>0</v>
      </c>
      <c r="O421" s="30" t="s">
        <v>64</v>
      </c>
      <c r="P421" s="89" t="s">
        <v>65</v>
      </c>
      <c r="Q421" s="89" t="s">
        <v>642</v>
      </c>
      <c r="R421" s="89" t="s">
        <v>643</v>
      </c>
      <c r="S421" s="30">
        <v>0</v>
      </c>
      <c r="T421" s="233">
        <v>0</v>
      </c>
      <c r="U421" s="30">
        <v>0</v>
      </c>
      <c r="V421" s="233">
        <v>1</v>
      </c>
      <c r="W421" s="30">
        <v>0</v>
      </c>
      <c r="X421" s="30">
        <v>1</v>
      </c>
      <c r="Y421" s="30">
        <v>0</v>
      </c>
      <c r="Z421" s="233">
        <v>0</v>
      </c>
      <c r="AA421" s="30">
        <v>0</v>
      </c>
      <c r="AB421" s="30">
        <v>0</v>
      </c>
      <c r="AC421" s="30">
        <v>0</v>
      </c>
      <c r="AD421" s="30">
        <v>0</v>
      </c>
      <c r="AE421" s="89" t="s">
        <v>68</v>
      </c>
      <c r="AF421" s="89"/>
      <c r="AG421" s="89" t="s">
        <v>352</v>
      </c>
      <c r="AH421" s="72" t="s">
        <v>68</v>
      </c>
      <c r="AI421" s="30">
        <v>1</v>
      </c>
      <c r="AJ421" s="89" t="s">
        <v>68</v>
      </c>
      <c r="AK421" s="89" t="s">
        <v>68</v>
      </c>
      <c r="AL421" s="91">
        <v>39689</v>
      </c>
      <c r="AM421" s="91"/>
      <c r="AN421" s="91"/>
      <c r="AO421" s="91"/>
      <c r="AP421" s="73" t="e">
        <f>MID(VLOOKUP(K421,#REF!,2,FALSE),1,2)</f>
        <v>#REF!</v>
      </c>
      <c r="AQ421" s="89">
        <f>DATE(2008,2,5)</f>
        <v>39483</v>
      </c>
      <c r="AR421" s="82">
        <f t="shared" si="30"/>
        <v>5</v>
      </c>
      <c r="AS421" s="83">
        <f t="shared" si="31"/>
        <v>2</v>
      </c>
      <c r="AT421" s="84">
        <f t="shared" si="32"/>
        <v>2008</v>
      </c>
      <c r="AU421" s="86"/>
      <c r="AV421" s="86"/>
      <c r="AW421" s="87"/>
      <c r="AX421" s="86"/>
      <c r="AY421" s="83"/>
      <c r="AZ421" s="84"/>
      <c r="BA421" s="86"/>
      <c r="BB421" s="86"/>
    </row>
    <row r="422" spans="1:54" ht="36.75" customHeight="1">
      <c r="A422" s="30"/>
      <c r="B422" s="30" t="s">
        <v>55</v>
      </c>
      <c r="C422" s="69" t="str">
        <f t="shared" si="29"/>
        <v>Closed</v>
      </c>
      <c r="D422" s="27" t="s">
        <v>2545</v>
      </c>
      <c r="E422" s="29" t="s">
        <v>2546</v>
      </c>
      <c r="F422" s="30" t="s">
        <v>2547</v>
      </c>
      <c r="G422" s="89">
        <f>DATE(2008,2,5)</f>
        <v>39483</v>
      </c>
      <c r="H422" s="90">
        <v>1.1368055555555556</v>
      </c>
      <c r="I422" s="30" t="s">
        <v>198</v>
      </c>
      <c r="J422" s="89" t="s">
        <v>2548</v>
      </c>
      <c r="K422" s="30" t="s">
        <v>2549</v>
      </c>
      <c r="L422" s="30" t="s">
        <v>2550</v>
      </c>
      <c r="M422" s="30" t="s">
        <v>63</v>
      </c>
      <c r="N422" s="30">
        <v>0</v>
      </c>
      <c r="O422" s="30" t="s">
        <v>86</v>
      </c>
      <c r="P422" s="89" t="s">
        <v>2551</v>
      </c>
      <c r="Q422" s="89" t="s">
        <v>2552</v>
      </c>
      <c r="R422" s="89" t="s">
        <v>2553</v>
      </c>
      <c r="S422" s="30">
        <v>0</v>
      </c>
      <c r="T422" s="233" t="s">
        <v>68</v>
      </c>
      <c r="U422" s="30">
        <v>0</v>
      </c>
      <c r="V422" s="233" t="s">
        <v>68</v>
      </c>
      <c r="W422" s="30">
        <v>0</v>
      </c>
      <c r="X422" s="30">
        <v>0</v>
      </c>
      <c r="Y422" s="30">
        <v>0</v>
      </c>
      <c r="Z422" s="233" t="s">
        <v>68</v>
      </c>
      <c r="AA422" s="30">
        <v>0</v>
      </c>
      <c r="AB422" s="30">
        <v>0</v>
      </c>
      <c r="AC422" s="30">
        <v>0</v>
      </c>
      <c r="AD422" s="30">
        <v>0</v>
      </c>
      <c r="AE422" s="89" t="s">
        <v>68</v>
      </c>
      <c r="AF422" s="89"/>
      <c r="AG422" s="89" t="s">
        <v>2554</v>
      </c>
      <c r="AH422" s="72" t="s">
        <v>68</v>
      </c>
      <c r="AI422" s="30">
        <v>4</v>
      </c>
      <c r="AJ422" s="89" t="s">
        <v>2555</v>
      </c>
      <c r="AK422" s="89" t="s">
        <v>2556</v>
      </c>
      <c r="AL422" s="91">
        <v>39489</v>
      </c>
      <c r="AM422" s="91"/>
      <c r="AN422" s="91"/>
      <c r="AO422" s="91"/>
      <c r="AP422" s="73" t="e">
        <f>MID(VLOOKUP(K422,#REF!,2,FALSE),1,2)</f>
        <v>#REF!</v>
      </c>
      <c r="AQ422" s="89">
        <f>DATE(2008,2,5)</f>
        <v>39483</v>
      </c>
      <c r="AR422" s="82">
        <f t="shared" si="30"/>
        <v>5</v>
      </c>
      <c r="AS422" s="83">
        <f t="shared" si="31"/>
        <v>2</v>
      </c>
      <c r="AT422" s="84">
        <f t="shared" si="32"/>
        <v>2008</v>
      </c>
      <c r="AU422" s="86"/>
      <c r="AV422" s="86"/>
      <c r="AW422" s="87"/>
      <c r="AX422" s="86"/>
      <c r="AY422" s="83"/>
      <c r="AZ422" s="84"/>
      <c r="BA422" s="86"/>
      <c r="BB422" s="86"/>
    </row>
    <row r="423" spans="1:54" ht="36.75" customHeight="1">
      <c r="A423" s="30"/>
      <c r="B423" s="30" t="s">
        <v>55</v>
      </c>
      <c r="C423" s="69" t="str">
        <f t="shared" si="29"/>
        <v>Closed</v>
      </c>
      <c r="D423" s="27" t="s">
        <v>2557</v>
      </c>
      <c r="E423" s="29" t="s">
        <v>2558</v>
      </c>
      <c r="F423" s="30" t="s">
        <v>1572</v>
      </c>
      <c r="G423" s="89">
        <f>DATE(2008,2,5)</f>
        <v>39483</v>
      </c>
      <c r="H423" s="90">
        <v>1.46875</v>
      </c>
      <c r="I423" s="30" t="s">
        <v>278</v>
      </c>
      <c r="J423" s="89" t="s">
        <v>2559</v>
      </c>
      <c r="K423" s="30" t="s">
        <v>1574</v>
      </c>
      <c r="L423" s="30" t="s">
        <v>2560</v>
      </c>
      <c r="M423" s="30" t="s">
        <v>63</v>
      </c>
      <c r="N423" s="30">
        <v>0</v>
      </c>
      <c r="O423" s="30" t="s">
        <v>77</v>
      </c>
      <c r="P423" s="89" t="s">
        <v>91</v>
      </c>
      <c r="Q423" s="89" t="s">
        <v>2561</v>
      </c>
      <c r="R423" s="89" t="s">
        <v>2561</v>
      </c>
      <c r="S423" s="30">
        <v>0</v>
      </c>
      <c r="T423" s="233">
        <v>1</v>
      </c>
      <c r="U423" s="30">
        <v>0</v>
      </c>
      <c r="V423" s="233">
        <v>0</v>
      </c>
      <c r="W423" s="30">
        <v>0</v>
      </c>
      <c r="X423" s="30">
        <v>1</v>
      </c>
      <c r="Y423" s="30">
        <v>0</v>
      </c>
      <c r="Z423" s="233">
        <v>0</v>
      </c>
      <c r="AA423" s="30">
        <v>0</v>
      </c>
      <c r="AB423" s="30">
        <v>0</v>
      </c>
      <c r="AC423" s="30">
        <v>0</v>
      </c>
      <c r="AD423" s="30">
        <v>0</v>
      </c>
      <c r="AE423" s="89" t="s">
        <v>68</v>
      </c>
      <c r="AF423" s="89"/>
      <c r="AG423" s="89" t="s">
        <v>82</v>
      </c>
      <c r="AH423" s="72" t="s">
        <v>68</v>
      </c>
      <c r="AI423" s="30">
        <v>7</v>
      </c>
      <c r="AJ423" s="89" t="s">
        <v>2562</v>
      </c>
      <c r="AK423" s="89" t="s">
        <v>2563</v>
      </c>
      <c r="AL423" s="91">
        <v>39489</v>
      </c>
      <c r="AM423" s="91"/>
      <c r="AN423" s="91"/>
      <c r="AO423" s="91"/>
      <c r="AP423" s="73" t="e">
        <f>MID(VLOOKUP(K423,#REF!,2,FALSE),1,2)</f>
        <v>#REF!</v>
      </c>
      <c r="AQ423" s="89">
        <f>DATE(2008,2,5)</f>
        <v>39483</v>
      </c>
      <c r="AR423" s="82">
        <f t="shared" si="30"/>
        <v>5</v>
      </c>
      <c r="AS423" s="83">
        <f t="shared" si="31"/>
        <v>2</v>
      </c>
      <c r="AT423" s="84">
        <f t="shared" si="32"/>
        <v>2008</v>
      </c>
      <c r="AU423" s="86"/>
      <c r="AV423" s="86"/>
      <c r="AW423" s="87"/>
      <c r="AX423" s="86"/>
      <c r="AY423" s="83"/>
      <c r="AZ423" s="84"/>
      <c r="BA423" s="86"/>
      <c r="BB423" s="86"/>
    </row>
    <row r="424" spans="1:54" ht="36.75" customHeight="1">
      <c r="A424" s="30"/>
      <c r="B424" s="30" t="s">
        <v>55</v>
      </c>
      <c r="C424" s="69" t="str">
        <f t="shared" si="29"/>
        <v>Closed</v>
      </c>
      <c r="D424" s="27" t="s">
        <v>2564</v>
      </c>
      <c r="E424" s="29" t="s">
        <v>2565</v>
      </c>
      <c r="F424" s="30" t="s">
        <v>835</v>
      </c>
      <c r="G424" s="89">
        <f>DATE(2008,2,7)</f>
        <v>39485</v>
      </c>
      <c r="H424" s="90">
        <v>1.3680555555555556</v>
      </c>
      <c r="I424" s="30" t="s">
        <v>73</v>
      </c>
      <c r="J424" s="89" t="s">
        <v>2566</v>
      </c>
      <c r="K424" s="30" t="s">
        <v>837</v>
      </c>
      <c r="L424" s="30" t="s">
        <v>2567</v>
      </c>
      <c r="M424" s="30" t="s">
        <v>63</v>
      </c>
      <c r="N424" s="30">
        <v>0</v>
      </c>
      <c r="O424" s="30" t="s">
        <v>77</v>
      </c>
      <c r="P424" s="89" t="s">
        <v>78</v>
      </c>
      <c r="Q424" s="89" t="s">
        <v>1349</v>
      </c>
      <c r="R424" s="89" t="s">
        <v>840</v>
      </c>
      <c r="S424" s="30">
        <v>0</v>
      </c>
      <c r="T424" s="233" t="s">
        <v>68</v>
      </c>
      <c r="U424" s="30">
        <v>0</v>
      </c>
      <c r="V424" s="233" t="s">
        <v>68</v>
      </c>
      <c r="W424" s="30">
        <v>0</v>
      </c>
      <c r="X424" s="30">
        <v>0</v>
      </c>
      <c r="Y424" s="30">
        <v>0</v>
      </c>
      <c r="Z424" s="233" t="s">
        <v>68</v>
      </c>
      <c r="AA424" s="30">
        <v>0</v>
      </c>
      <c r="AB424" s="30">
        <v>0</v>
      </c>
      <c r="AC424" s="30">
        <v>0</v>
      </c>
      <c r="AD424" s="30">
        <v>0</v>
      </c>
      <c r="AE424" s="89" t="s">
        <v>68</v>
      </c>
      <c r="AF424" s="89"/>
      <c r="AG424" s="89" t="s">
        <v>352</v>
      </c>
      <c r="AH424" s="72" t="s">
        <v>68</v>
      </c>
      <c r="AI424" s="30">
        <v>0</v>
      </c>
      <c r="AJ424" s="89" t="s">
        <v>68</v>
      </c>
      <c r="AK424" s="89" t="s">
        <v>68</v>
      </c>
      <c r="AL424" s="91">
        <v>39594</v>
      </c>
      <c r="AM424" s="91"/>
      <c r="AN424" s="91"/>
      <c r="AO424" s="91"/>
      <c r="AP424" s="73" t="e">
        <f>MID(VLOOKUP(K424,#REF!,2,FALSE),1,2)</f>
        <v>#REF!</v>
      </c>
      <c r="AQ424" s="89">
        <f>DATE(2008,2,7)</f>
        <v>39485</v>
      </c>
      <c r="AR424" s="82">
        <f t="shared" si="30"/>
        <v>7</v>
      </c>
      <c r="AS424" s="83">
        <f t="shared" si="31"/>
        <v>2</v>
      </c>
      <c r="AT424" s="84">
        <f t="shared" si="32"/>
        <v>2008</v>
      </c>
      <c r="AU424" s="86"/>
      <c r="AV424" s="86"/>
      <c r="AW424" s="87"/>
      <c r="AX424" s="86"/>
      <c r="AY424" s="83"/>
      <c r="AZ424" s="84"/>
      <c r="BA424" s="86"/>
      <c r="BB424" s="86"/>
    </row>
    <row r="425" spans="1:54" ht="36.75" customHeight="1">
      <c r="A425" s="30"/>
      <c r="B425" s="30" t="s">
        <v>55</v>
      </c>
      <c r="C425" s="69" t="str">
        <f t="shared" si="29"/>
        <v>Closed</v>
      </c>
      <c r="D425" s="27" t="s">
        <v>2568</v>
      </c>
      <c r="E425" s="29" t="s">
        <v>2569</v>
      </c>
      <c r="F425" s="30" t="s">
        <v>58</v>
      </c>
      <c r="G425" s="89">
        <f>DATE(2008,2,8)</f>
        <v>39486</v>
      </c>
      <c r="H425" s="90">
        <v>1.4118055555555555</v>
      </c>
      <c r="I425" s="30" t="s">
        <v>73</v>
      </c>
      <c r="J425" s="89" t="s">
        <v>2570</v>
      </c>
      <c r="K425" s="30" t="s">
        <v>61</v>
      </c>
      <c r="L425" s="30" t="s">
        <v>2571</v>
      </c>
      <c r="M425" s="30" t="s">
        <v>63</v>
      </c>
      <c r="N425" s="30" t="s">
        <v>99</v>
      </c>
      <c r="O425" s="30" t="s">
        <v>90</v>
      </c>
      <c r="P425" s="89" t="s">
        <v>91</v>
      </c>
      <c r="Q425" s="89" t="s">
        <v>66</v>
      </c>
      <c r="R425" s="89" t="s">
        <v>67</v>
      </c>
      <c r="S425" s="30">
        <v>0</v>
      </c>
      <c r="T425" s="233">
        <v>0</v>
      </c>
      <c r="U425" s="30">
        <v>0</v>
      </c>
      <c r="V425" s="233">
        <v>0</v>
      </c>
      <c r="W425" s="30">
        <v>0</v>
      </c>
      <c r="X425" s="30">
        <v>0</v>
      </c>
      <c r="Y425" s="30">
        <v>0</v>
      </c>
      <c r="Z425" s="233">
        <v>0</v>
      </c>
      <c r="AA425" s="30">
        <v>0</v>
      </c>
      <c r="AB425" s="30">
        <v>0</v>
      </c>
      <c r="AC425" s="30">
        <v>0</v>
      </c>
      <c r="AD425" s="30">
        <v>0</v>
      </c>
      <c r="AE425" s="89" t="s">
        <v>92</v>
      </c>
      <c r="AF425" s="89"/>
      <c r="AG425" s="89" t="s">
        <v>69</v>
      </c>
      <c r="AH425" s="72">
        <v>39490</v>
      </c>
      <c r="AI425" s="30">
        <v>2</v>
      </c>
      <c r="AJ425" s="89" t="s">
        <v>2572</v>
      </c>
      <c r="AK425" s="89" t="s">
        <v>68</v>
      </c>
      <c r="AL425" s="91">
        <v>39490</v>
      </c>
      <c r="AM425" s="91"/>
      <c r="AN425" s="91"/>
      <c r="AO425" s="91"/>
      <c r="AP425" s="73" t="e">
        <f>MID(VLOOKUP(K425,#REF!,2,FALSE),1,2)</f>
        <v>#REF!</v>
      </c>
      <c r="AQ425" s="89">
        <f>DATE(2008,2,8)</f>
        <v>39486</v>
      </c>
      <c r="AR425" s="82">
        <f t="shared" si="30"/>
        <v>8</v>
      </c>
      <c r="AS425" s="83">
        <f t="shared" si="31"/>
        <v>2</v>
      </c>
      <c r="AT425" s="84">
        <f t="shared" si="32"/>
        <v>2008</v>
      </c>
      <c r="AU425" s="86"/>
      <c r="AV425" s="86"/>
      <c r="AW425" s="87"/>
      <c r="AX425" s="86"/>
      <c r="AY425" s="83"/>
      <c r="AZ425" s="84"/>
      <c r="BA425" s="86"/>
      <c r="BB425" s="86"/>
    </row>
    <row r="426" spans="1:54" ht="36.75" customHeight="1">
      <c r="A426" s="30"/>
      <c r="B426" s="30" t="s">
        <v>55</v>
      </c>
      <c r="C426" s="69" t="str">
        <f t="shared" si="29"/>
        <v>Closed</v>
      </c>
      <c r="D426" s="27" t="s">
        <v>2573</v>
      </c>
      <c r="E426" s="29" t="s">
        <v>2574</v>
      </c>
      <c r="F426" s="30" t="s">
        <v>233</v>
      </c>
      <c r="G426" s="89">
        <f>DATE(2008,2,16)</f>
        <v>39494</v>
      </c>
      <c r="H426" s="90">
        <v>1.5</v>
      </c>
      <c r="I426" s="30" t="s">
        <v>278</v>
      </c>
      <c r="J426" s="89" t="s">
        <v>2575</v>
      </c>
      <c r="K426" s="30" t="s">
        <v>235</v>
      </c>
      <c r="L426" s="30" t="s">
        <v>2576</v>
      </c>
      <c r="M426" s="30" t="s">
        <v>63</v>
      </c>
      <c r="N426" s="30">
        <v>0</v>
      </c>
      <c r="O426" s="30" t="s">
        <v>64</v>
      </c>
      <c r="P426" s="89" t="s">
        <v>86</v>
      </c>
      <c r="Q426" s="89" t="s">
        <v>2577</v>
      </c>
      <c r="R426" s="89" t="s">
        <v>2577</v>
      </c>
      <c r="S426" s="30">
        <v>0</v>
      </c>
      <c r="T426" s="233" t="s">
        <v>68</v>
      </c>
      <c r="U426" s="30">
        <v>0</v>
      </c>
      <c r="V426" s="233" t="s">
        <v>68</v>
      </c>
      <c r="W426" s="30">
        <v>0</v>
      </c>
      <c r="X426" s="30">
        <v>0</v>
      </c>
      <c r="Y426" s="30">
        <v>0</v>
      </c>
      <c r="Z426" s="233" t="s">
        <v>68</v>
      </c>
      <c r="AA426" s="30">
        <v>0</v>
      </c>
      <c r="AB426" s="30">
        <v>0</v>
      </c>
      <c r="AC426" s="30">
        <v>0</v>
      </c>
      <c r="AD426" s="30">
        <v>0</v>
      </c>
      <c r="AE426" s="89" t="s">
        <v>68</v>
      </c>
      <c r="AF426" s="89"/>
      <c r="AG426" s="89" t="s">
        <v>133</v>
      </c>
      <c r="AH426" s="72" t="s">
        <v>68</v>
      </c>
      <c r="AI426" s="30">
        <v>1</v>
      </c>
      <c r="AJ426" s="89" t="s">
        <v>68</v>
      </c>
      <c r="AK426" s="89" t="s">
        <v>68</v>
      </c>
      <c r="AL426" s="91">
        <v>39496</v>
      </c>
      <c r="AM426" s="91"/>
      <c r="AN426" s="91"/>
      <c r="AO426" s="91"/>
      <c r="AP426" s="73" t="e">
        <f>MID(VLOOKUP(K426,#REF!,2,FALSE),1,2)</f>
        <v>#REF!</v>
      </c>
      <c r="AQ426" s="89">
        <f>DATE(2008,2,16)</f>
        <v>39494</v>
      </c>
      <c r="AR426" s="82">
        <f t="shared" si="30"/>
        <v>16</v>
      </c>
      <c r="AS426" s="83">
        <f t="shared" si="31"/>
        <v>2</v>
      </c>
      <c r="AT426" s="84">
        <f t="shared" si="32"/>
        <v>2008</v>
      </c>
      <c r="AU426" s="86"/>
      <c r="AV426" s="86"/>
      <c r="AW426" s="87"/>
      <c r="AX426" s="86"/>
      <c r="AY426" s="83"/>
      <c r="AZ426" s="84"/>
      <c r="BA426" s="86"/>
      <c r="BB426" s="86"/>
    </row>
    <row r="427" spans="1:54" ht="36.75" customHeight="1">
      <c r="A427" s="30"/>
      <c r="B427" s="30" t="s">
        <v>55</v>
      </c>
      <c r="C427" s="69" t="str">
        <f t="shared" si="29"/>
        <v>Closed</v>
      </c>
      <c r="D427" s="27" t="s">
        <v>2578</v>
      </c>
      <c r="E427" s="29" t="s">
        <v>2579</v>
      </c>
      <c r="F427" s="30" t="s">
        <v>423</v>
      </c>
      <c r="G427" s="89">
        <f>DATE(2008,2,22)</f>
        <v>39500</v>
      </c>
      <c r="H427" s="90">
        <v>1.4861111111111112</v>
      </c>
      <c r="I427" s="30" t="s">
        <v>73</v>
      </c>
      <c r="J427" s="89" t="s">
        <v>2580</v>
      </c>
      <c r="K427" s="30" t="s">
        <v>425</v>
      </c>
      <c r="L427" s="30" t="s">
        <v>2581</v>
      </c>
      <c r="M427" s="30" t="s">
        <v>63</v>
      </c>
      <c r="N427" s="30">
        <v>0</v>
      </c>
      <c r="O427" s="30" t="s">
        <v>64</v>
      </c>
      <c r="P427" s="89" t="s">
        <v>78</v>
      </c>
      <c r="Q427" s="89" t="s">
        <v>2582</v>
      </c>
      <c r="R427" s="89" t="s">
        <v>989</v>
      </c>
      <c r="S427" s="30">
        <v>0</v>
      </c>
      <c r="T427" s="233" t="s">
        <v>68</v>
      </c>
      <c r="U427" s="30">
        <v>0</v>
      </c>
      <c r="V427" s="233" t="s">
        <v>68</v>
      </c>
      <c r="W427" s="30">
        <v>0</v>
      </c>
      <c r="X427" s="30">
        <v>0</v>
      </c>
      <c r="Y427" s="30">
        <v>0</v>
      </c>
      <c r="Z427" s="233" t="s">
        <v>68</v>
      </c>
      <c r="AA427" s="30">
        <v>0</v>
      </c>
      <c r="AB427" s="30">
        <v>0</v>
      </c>
      <c r="AC427" s="30">
        <v>0</v>
      </c>
      <c r="AD427" s="30">
        <v>0</v>
      </c>
      <c r="AE427" s="89" t="s">
        <v>68</v>
      </c>
      <c r="AF427" s="89"/>
      <c r="AG427" s="89" t="s">
        <v>133</v>
      </c>
      <c r="AH427" s="72" t="s">
        <v>68</v>
      </c>
      <c r="AI427" s="30">
        <v>0</v>
      </c>
      <c r="AJ427" s="89" t="s">
        <v>2583</v>
      </c>
      <c r="AK427" s="89" t="s">
        <v>2584</v>
      </c>
      <c r="AL427" s="91">
        <v>39526</v>
      </c>
      <c r="AM427" s="91"/>
      <c r="AN427" s="91"/>
      <c r="AO427" s="91"/>
      <c r="AP427" s="73" t="e">
        <f>MID(VLOOKUP(K427,#REF!,2,FALSE),1,2)</f>
        <v>#REF!</v>
      </c>
      <c r="AQ427" s="89">
        <f>DATE(2008,2,22)</f>
        <v>39500</v>
      </c>
      <c r="AR427" s="82">
        <f t="shared" si="30"/>
        <v>22</v>
      </c>
      <c r="AS427" s="83">
        <f t="shared" si="31"/>
        <v>2</v>
      </c>
      <c r="AT427" s="84">
        <f t="shared" si="32"/>
        <v>2008</v>
      </c>
      <c r="AU427" s="86"/>
      <c r="AV427" s="86"/>
      <c r="AW427" s="87"/>
      <c r="AX427" s="86"/>
      <c r="AY427" s="83"/>
      <c r="AZ427" s="84"/>
      <c r="BA427" s="86"/>
      <c r="BB427" s="86"/>
    </row>
    <row r="428" spans="1:54" ht="36.75" customHeight="1">
      <c r="A428" s="30"/>
      <c r="B428" s="30" t="s">
        <v>55</v>
      </c>
      <c r="C428" s="69" t="str">
        <f t="shared" si="29"/>
        <v>Closed</v>
      </c>
      <c r="D428" s="27" t="s">
        <v>2585</v>
      </c>
      <c r="E428" s="29" t="s">
        <v>2586</v>
      </c>
      <c r="F428" s="30" t="s">
        <v>638</v>
      </c>
      <c r="G428" s="89">
        <f>DATE(2008,2,22)</f>
        <v>39500</v>
      </c>
      <c r="H428" s="90">
        <v>1.8333333333333335</v>
      </c>
      <c r="I428" s="30" t="s">
        <v>156</v>
      </c>
      <c r="J428" s="89" t="s">
        <v>2587</v>
      </c>
      <c r="K428" s="30" t="s">
        <v>640</v>
      </c>
      <c r="L428" s="30" t="s">
        <v>2588</v>
      </c>
      <c r="M428" s="30" t="s">
        <v>63</v>
      </c>
      <c r="N428" s="30">
        <v>0</v>
      </c>
      <c r="O428" s="30" t="s">
        <v>86</v>
      </c>
      <c r="P428" s="89" t="s">
        <v>381</v>
      </c>
      <c r="Q428" s="89" t="s">
        <v>642</v>
      </c>
      <c r="R428" s="89" t="s">
        <v>643</v>
      </c>
      <c r="S428" s="30">
        <v>0</v>
      </c>
      <c r="T428" s="233">
        <v>0</v>
      </c>
      <c r="U428" s="30">
        <v>0</v>
      </c>
      <c r="V428" s="233">
        <v>0</v>
      </c>
      <c r="W428" s="30">
        <v>1</v>
      </c>
      <c r="X428" s="30">
        <v>1</v>
      </c>
      <c r="Y428" s="30">
        <v>0</v>
      </c>
      <c r="Z428" s="233">
        <v>0</v>
      </c>
      <c r="AA428" s="30">
        <v>0</v>
      </c>
      <c r="AB428" s="30">
        <v>0</v>
      </c>
      <c r="AC428" s="30">
        <v>0</v>
      </c>
      <c r="AD428" s="30">
        <v>0</v>
      </c>
      <c r="AE428" s="89" t="s">
        <v>68</v>
      </c>
      <c r="AF428" s="89"/>
      <c r="AG428" s="89" t="s">
        <v>248</v>
      </c>
      <c r="AH428" s="72" t="s">
        <v>68</v>
      </c>
      <c r="AI428" s="30">
        <v>1</v>
      </c>
      <c r="AJ428" s="89" t="s">
        <v>2589</v>
      </c>
      <c r="AK428" s="89" t="s">
        <v>68</v>
      </c>
      <c r="AL428" s="91">
        <v>39517</v>
      </c>
      <c r="AM428" s="91"/>
      <c r="AN428" s="91"/>
      <c r="AO428" s="91"/>
      <c r="AP428" s="73" t="e">
        <f>MID(VLOOKUP(K428,#REF!,2,FALSE),1,2)</f>
        <v>#REF!</v>
      </c>
      <c r="AQ428" s="89">
        <f>DATE(2008,2,22)</f>
        <v>39500</v>
      </c>
      <c r="AR428" s="82">
        <f t="shared" si="30"/>
        <v>22</v>
      </c>
      <c r="AS428" s="83">
        <f t="shared" si="31"/>
        <v>2</v>
      </c>
      <c r="AT428" s="84">
        <f t="shared" si="32"/>
        <v>2008</v>
      </c>
      <c r="AU428" s="86"/>
      <c r="AV428" s="86"/>
      <c r="AW428" s="87"/>
      <c r="AX428" s="86"/>
      <c r="AY428" s="83"/>
      <c r="AZ428" s="84"/>
      <c r="BA428" s="86"/>
      <c r="BB428" s="86"/>
    </row>
    <row r="429" spans="1:54" ht="36.75" customHeight="1">
      <c r="A429" s="30"/>
      <c r="B429" s="30" t="s">
        <v>55</v>
      </c>
      <c r="C429" s="69" t="str">
        <f t="shared" si="29"/>
        <v>Closed</v>
      </c>
      <c r="D429" s="27" t="s">
        <v>2590</v>
      </c>
      <c r="E429" s="29" t="s">
        <v>2591</v>
      </c>
      <c r="F429" s="30" t="s">
        <v>58</v>
      </c>
      <c r="G429" s="89">
        <f>DATE(2008,2,25)</f>
        <v>39503</v>
      </c>
      <c r="H429" s="90">
        <v>1.4118055555555555</v>
      </c>
      <c r="I429" s="30" t="s">
        <v>116</v>
      </c>
      <c r="J429" s="89" t="s">
        <v>2592</v>
      </c>
      <c r="K429" s="30" t="s">
        <v>61</v>
      </c>
      <c r="L429" s="30" t="s">
        <v>2593</v>
      </c>
      <c r="M429" s="30" t="s">
        <v>63</v>
      </c>
      <c r="N429" s="30" t="s">
        <v>99</v>
      </c>
      <c r="O429" s="30" t="s">
        <v>64</v>
      </c>
      <c r="P429" s="89" t="s">
        <v>78</v>
      </c>
      <c r="Q429" s="89" t="s">
        <v>66</v>
      </c>
      <c r="R429" s="89" t="s">
        <v>67</v>
      </c>
      <c r="S429" s="30">
        <v>0</v>
      </c>
      <c r="T429" s="233">
        <v>0</v>
      </c>
      <c r="U429" s="30">
        <v>1</v>
      </c>
      <c r="V429" s="233">
        <v>0</v>
      </c>
      <c r="W429" s="30">
        <v>0</v>
      </c>
      <c r="X429" s="30">
        <v>1</v>
      </c>
      <c r="Y429" s="30">
        <v>0</v>
      </c>
      <c r="Z429" s="233">
        <v>0</v>
      </c>
      <c r="AA429" s="30">
        <v>0</v>
      </c>
      <c r="AB429" s="30">
        <v>0</v>
      </c>
      <c r="AC429" s="30">
        <v>0</v>
      </c>
      <c r="AD429" s="30">
        <v>0</v>
      </c>
      <c r="AE429" s="89" t="s">
        <v>92</v>
      </c>
      <c r="AF429" s="89"/>
      <c r="AG429" s="89" t="s">
        <v>82</v>
      </c>
      <c r="AH429" s="72">
        <v>39504</v>
      </c>
      <c r="AI429" s="30">
        <v>1</v>
      </c>
      <c r="AJ429" s="89" t="s">
        <v>2594</v>
      </c>
      <c r="AK429" s="89" t="s">
        <v>68</v>
      </c>
      <c r="AL429" s="91">
        <v>39632</v>
      </c>
      <c r="AM429" s="91"/>
      <c r="AN429" s="91"/>
      <c r="AO429" s="91"/>
      <c r="AP429" s="73" t="e">
        <f>MID(VLOOKUP(K429,#REF!,2,FALSE),1,2)</f>
        <v>#REF!</v>
      </c>
      <c r="AQ429" s="89">
        <f>DATE(2008,2,25)</f>
        <v>39503</v>
      </c>
      <c r="AR429" s="82">
        <f t="shared" si="30"/>
        <v>25</v>
      </c>
      <c r="AS429" s="83">
        <f t="shared" si="31"/>
        <v>2</v>
      </c>
      <c r="AT429" s="84">
        <f t="shared" si="32"/>
        <v>2008</v>
      </c>
      <c r="AU429" s="86"/>
      <c r="AV429" s="86"/>
      <c r="AW429" s="87"/>
      <c r="AX429" s="86"/>
      <c r="AY429" s="83"/>
      <c r="AZ429" s="84"/>
      <c r="BA429" s="86"/>
      <c r="BB429" s="86"/>
    </row>
    <row r="430" spans="1:54" ht="36.75" customHeight="1">
      <c r="A430" s="30"/>
      <c r="B430" s="30" t="s">
        <v>55</v>
      </c>
      <c r="C430" s="69" t="str">
        <f t="shared" si="29"/>
        <v>Closed</v>
      </c>
      <c r="D430" s="27" t="s">
        <v>2595</v>
      </c>
      <c r="E430" s="29" t="s">
        <v>2596</v>
      </c>
      <c r="F430" s="30" t="s">
        <v>115</v>
      </c>
      <c r="G430" s="89">
        <f>DATE(2008,2,26)</f>
        <v>39504</v>
      </c>
      <c r="H430" s="90">
        <v>1.4305555555555556</v>
      </c>
      <c r="I430" s="30" t="s">
        <v>278</v>
      </c>
      <c r="J430" s="89" t="s">
        <v>2597</v>
      </c>
      <c r="K430" s="30" t="s">
        <v>118</v>
      </c>
      <c r="L430" s="30" t="s">
        <v>2598</v>
      </c>
      <c r="M430" s="30" t="s">
        <v>63</v>
      </c>
      <c r="N430" s="30">
        <v>0</v>
      </c>
      <c r="O430" s="30" t="s">
        <v>77</v>
      </c>
      <c r="P430" s="89" t="s">
        <v>65</v>
      </c>
      <c r="Q430" s="89" t="s">
        <v>120</v>
      </c>
      <c r="R430" s="89" t="s">
        <v>121</v>
      </c>
      <c r="S430" s="30">
        <v>0</v>
      </c>
      <c r="T430" s="233">
        <v>1</v>
      </c>
      <c r="U430" s="30">
        <v>0</v>
      </c>
      <c r="V430" s="233">
        <v>0</v>
      </c>
      <c r="W430" s="30">
        <v>0</v>
      </c>
      <c r="X430" s="30">
        <v>1</v>
      </c>
      <c r="Y430" s="30">
        <v>0</v>
      </c>
      <c r="Z430" s="233">
        <v>0</v>
      </c>
      <c r="AA430" s="30">
        <v>0</v>
      </c>
      <c r="AB430" s="30">
        <v>0</v>
      </c>
      <c r="AC430" s="30">
        <v>0</v>
      </c>
      <c r="AD430" s="30">
        <v>0</v>
      </c>
      <c r="AE430" s="89" t="s">
        <v>68</v>
      </c>
      <c r="AF430" s="89"/>
      <c r="AG430" s="89" t="s">
        <v>133</v>
      </c>
      <c r="AH430" s="72" t="s">
        <v>68</v>
      </c>
      <c r="AI430" s="30">
        <v>0</v>
      </c>
      <c r="AJ430" s="89" t="s">
        <v>68</v>
      </c>
      <c r="AK430" s="89" t="s">
        <v>68</v>
      </c>
      <c r="AL430" s="91">
        <v>39513</v>
      </c>
      <c r="AM430" s="91"/>
      <c r="AN430" s="91"/>
      <c r="AO430" s="91"/>
      <c r="AP430" s="73" t="e">
        <f>MID(VLOOKUP(K430,#REF!,2,FALSE),1,2)</f>
        <v>#REF!</v>
      </c>
      <c r="AQ430" s="89">
        <f>DATE(2008,2,26)</f>
        <v>39504</v>
      </c>
      <c r="AR430" s="82">
        <f t="shared" si="30"/>
        <v>26</v>
      </c>
      <c r="AS430" s="83">
        <f t="shared" si="31"/>
        <v>2</v>
      </c>
      <c r="AT430" s="84">
        <f t="shared" si="32"/>
        <v>2008</v>
      </c>
      <c r="AU430" s="86"/>
      <c r="AV430" s="86"/>
      <c r="AW430" s="87"/>
      <c r="AX430" s="86"/>
      <c r="AY430" s="83"/>
      <c r="AZ430" s="84"/>
      <c r="BA430" s="86"/>
      <c r="BB430" s="86"/>
    </row>
    <row r="431" spans="1:54" ht="36.75" customHeight="1">
      <c r="A431" s="30"/>
      <c r="B431" s="30" t="s">
        <v>55</v>
      </c>
      <c r="C431" s="69" t="str">
        <f t="shared" si="29"/>
        <v>Closed</v>
      </c>
      <c r="D431" s="27" t="s">
        <v>2599</v>
      </c>
      <c r="E431" s="29" t="s">
        <v>2600</v>
      </c>
      <c r="F431" s="30" t="s">
        <v>2601</v>
      </c>
      <c r="G431" s="89">
        <f>DATE(2008,2,28)</f>
        <v>39506</v>
      </c>
      <c r="H431" s="90">
        <v>1.9861111111111112</v>
      </c>
      <c r="I431" s="30" t="s">
        <v>125</v>
      </c>
      <c r="J431" s="89" t="s">
        <v>2602</v>
      </c>
      <c r="K431" s="30" t="s">
        <v>2603</v>
      </c>
      <c r="L431" s="30" t="s">
        <v>2604</v>
      </c>
      <c r="M431" s="30" t="s">
        <v>63</v>
      </c>
      <c r="N431" s="30">
        <v>0</v>
      </c>
      <c r="O431" s="30" t="s">
        <v>64</v>
      </c>
      <c r="P431" s="89" t="s">
        <v>65</v>
      </c>
      <c r="Q431" s="89" t="s">
        <v>2605</v>
      </c>
      <c r="R431" s="89" t="s">
        <v>2606</v>
      </c>
      <c r="S431" s="30">
        <v>9</v>
      </c>
      <c r="T431" s="233">
        <v>0</v>
      </c>
      <c r="U431" s="30">
        <v>0</v>
      </c>
      <c r="V431" s="233">
        <v>0</v>
      </c>
      <c r="W431" s="30">
        <v>0</v>
      </c>
      <c r="X431" s="30">
        <v>9</v>
      </c>
      <c r="Y431" s="30">
        <v>10</v>
      </c>
      <c r="Z431" s="233">
        <v>0</v>
      </c>
      <c r="AA431" s="30">
        <v>0</v>
      </c>
      <c r="AB431" s="30">
        <v>0</v>
      </c>
      <c r="AC431" s="30">
        <v>0</v>
      </c>
      <c r="AD431" s="30">
        <v>10</v>
      </c>
      <c r="AE431" s="89" t="s">
        <v>68</v>
      </c>
      <c r="AF431" s="89"/>
      <c r="AG431" s="89" t="s">
        <v>82</v>
      </c>
      <c r="AH431" s="72" t="s">
        <v>68</v>
      </c>
      <c r="AI431" s="30">
        <v>4</v>
      </c>
      <c r="AJ431" s="89" t="s">
        <v>68</v>
      </c>
      <c r="AK431" s="89" t="s">
        <v>68</v>
      </c>
      <c r="AL431" s="91">
        <v>39511</v>
      </c>
      <c r="AM431" s="91"/>
      <c r="AN431" s="91"/>
      <c r="AO431" s="91"/>
      <c r="AP431" s="73" t="e">
        <f>MID(VLOOKUP(K431,#REF!,2,FALSE),1,2)</f>
        <v>#REF!</v>
      </c>
      <c r="AQ431" s="89">
        <f>DATE(2008,2,28)</f>
        <v>39506</v>
      </c>
      <c r="AR431" s="82">
        <f t="shared" si="30"/>
        <v>28</v>
      </c>
      <c r="AS431" s="83">
        <f t="shared" si="31"/>
        <v>2</v>
      </c>
      <c r="AT431" s="84">
        <f t="shared" si="32"/>
        <v>2008</v>
      </c>
      <c r="AU431" s="86"/>
      <c r="AV431" s="86"/>
      <c r="AW431" s="87"/>
      <c r="AX431" s="86"/>
      <c r="AY431" s="83"/>
      <c r="AZ431" s="84"/>
      <c r="BA431" s="86"/>
      <c r="BB431" s="86"/>
    </row>
    <row r="432" spans="1:54" ht="36.75" customHeight="1">
      <c r="A432" s="30"/>
      <c r="B432" s="30" t="s">
        <v>55</v>
      </c>
      <c r="C432" s="69" t="str">
        <f t="shared" si="29"/>
        <v>Closed</v>
      </c>
      <c r="D432" s="27" t="s">
        <v>2607</v>
      </c>
      <c r="E432" s="29" t="s">
        <v>2608</v>
      </c>
      <c r="F432" s="30" t="s">
        <v>1938</v>
      </c>
      <c r="G432" s="89">
        <f>DATE(2008,2,28)</f>
        <v>39506</v>
      </c>
      <c r="H432" s="90">
        <v>1.4569444444444444</v>
      </c>
      <c r="I432" s="30" t="s">
        <v>116</v>
      </c>
      <c r="J432" s="89" t="s">
        <v>2609</v>
      </c>
      <c r="K432" s="30" t="s">
        <v>1940</v>
      </c>
      <c r="L432" s="30" t="s">
        <v>2610</v>
      </c>
      <c r="M432" s="30" t="s">
        <v>63</v>
      </c>
      <c r="N432" s="30">
        <v>0</v>
      </c>
      <c r="O432" s="30" t="s">
        <v>64</v>
      </c>
      <c r="P432" s="89" t="s">
        <v>165</v>
      </c>
      <c r="Q432" s="89" t="s">
        <v>1942</v>
      </c>
      <c r="R432" s="89" t="s">
        <v>1942</v>
      </c>
      <c r="S432" s="30">
        <v>0</v>
      </c>
      <c r="T432" s="233">
        <v>0</v>
      </c>
      <c r="U432" s="30">
        <v>1</v>
      </c>
      <c r="V432" s="233">
        <v>0</v>
      </c>
      <c r="W432" s="30">
        <v>0</v>
      </c>
      <c r="X432" s="30">
        <v>1</v>
      </c>
      <c r="Y432" s="30">
        <v>0</v>
      </c>
      <c r="Z432" s="233">
        <v>0</v>
      </c>
      <c r="AA432" s="30">
        <v>0</v>
      </c>
      <c r="AB432" s="30">
        <v>0</v>
      </c>
      <c r="AC432" s="30">
        <v>0</v>
      </c>
      <c r="AD432" s="30">
        <v>0</v>
      </c>
      <c r="AE432" s="89" t="s">
        <v>68</v>
      </c>
      <c r="AF432" s="89"/>
      <c r="AG432" s="89" t="s">
        <v>82</v>
      </c>
      <c r="AH432" s="72" t="s">
        <v>68</v>
      </c>
      <c r="AI432" s="30">
        <v>0</v>
      </c>
      <c r="AJ432" s="89" t="s">
        <v>68</v>
      </c>
      <c r="AK432" s="89" t="s">
        <v>2611</v>
      </c>
      <c r="AL432" s="91">
        <v>39514</v>
      </c>
      <c r="AM432" s="91"/>
      <c r="AN432" s="91"/>
      <c r="AO432" s="91"/>
      <c r="AP432" s="73" t="e">
        <f>MID(VLOOKUP(K432,#REF!,2,FALSE),1,2)</f>
        <v>#REF!</v>
      </c>
      <c r="AQ432" s="89">
        <f>DATE(2008,2,28)</f>
        <v>39506</v>
      </c>
      <c r="AR432" s="82">
        <f t="shared" si="30"/>
        <v>28</v>
      </c>
      <c r="AS432" s="83">
        <f t="shared" si="31"/>
        <v>2</v>
      </c>
      <c r="AT432" s="84">
        <f t="shared" si="32"/>
        <v>2008</v>
      </c>
      <c r="AU432" s="86"/>
      <c r="AV432" s="86"/>
      <c r="AW432" s="87"/>
      <c r="AX432" s="86"/>
      <c r="AY432" s="83"/>
      <c r="AZ432" s="84"/>
      <c r="BA432" s="86"/>
      <c r="BB432" s="86"/>
    </row>
    <row r="433" spans="1:54" ht="36.75" customHeight="1">
      <c r="A433" s="30"/>
      <c r="B433" s="30" t="s">
        <v>55</v>
      </c>
      <c r="C433" s="69" t="str">
        <f t="shared" si="29"/>
        <v>Closed</v>
      </c>
      <c r="D433" s="27" t="s">
        <v>2612</v>
      </c>
      <c r="E433" s="29" t="s">
        <v>2613</v>
      </c>
      <c r="F433" s="30" t="s">
        <v>58</v>
      </c>
      <c r="G433" s="89">
        <f>DATE(2008,3,1)</f>
        <v>39508</v>
      </c>
      <c r="H433" s="90">
        <v>1.2583333333333333</v>
      </c>
      <c r="I433" s="30" t="s">
        <v>73</v>
      </c>
      <c r="J433" s="89" t="s">
        <v>2614</v>
      </c>
      <c r="K433" s="30" t="s">
        <v>61</v>
      </c>
      <c r="L433" s="30" t="s">
        <v>2615</v>
      </c>
      <c r="M433" s="30" t="s">
        <v>63</v>
      </c>
      <c r="N433" s="30" t="s">
        <v>99</v>
      </c>
      <c r="O433" s="30" t="s">
        <v>90</v>
      </c>
      <c r="P433" s="89" t="s">
        <v>91</v>
      </c>
      <c r="Q433" s="89" t="s">
        <v>66</v>
      </c>
      <c r="R433" s="89" t="s">
        <v>2616</v>
      </c>
      <c r="S433" s="30">
        <v>0</v>
      </c>
      <c r="T433" s="233">
        <v>0</v>
      </c>
      <c r="U433" s="30">
        <v>0</v>
      </c>
      <c r="V433" s="233">
        <v>0</v>
      </c>
      <c r="W433" s="30">
        <v>0</v>
      </c>
      <c r="X433" s="30">
        <v>0</v>
      </c>
      <c r="Y433" s="30">
        <v>0</v>
      </c>
      <c r="Z433" s="233">
        <v>0</v>
      </c>
      <c r="AA433" s="30">
        <v>0</v>
      </c>
      <c r="AB433" s="30">
        <v>0</v>
      </c>
      <c r="AC433" s="30">
        <v>0</v>
      </c>
      <c r="AD433" s="30">
        <v>0</v>
      </c>
      <c r="AE433" s="89" t="s">
        <v>92</v>
      </c>
      <c r="AF433" s="89"/>
      <c r="AG433" s="89" t="s">
        <v>1417</v>
      </c>
      <c r="AH433" s="72">
        <v>39512</v>
      </c>
      <c r="AI433" s="30">
        <v>1</v>
      </c>
      <c r="AJ433" s="89" t="s">
        <v>2617</v>
      </c>
      <c r="AK433" s="89" t="s">
        <v>2618</v>
      </c>
      <c r="AL433" s="91">
        <v>39632</v>
      </c>
      <c r="AM433" s="91"/>
      <c r="AN433" s="91"/>
      <c r="AO433" s="91"/>
      <c r="AP433" s="73" t="e">
        <f>MID(VLOOKUP(K433,#REF!,2,FALSE),1,2)</f>
        <v>#REF!</v>
      </c>
      <c r="AQ433" s="89">
        <f>DATE(2008,3,1)</f>
        <v>39508</v>
      </c>
      <c r="AR433" s="82">
        <f t="shared" si="30"/>
        <v>1</v>
      </c>
      <c r="AS433" s="83">
        <f t="shared" si="31"/>
        <v>3</v>
      </c>
      <c r="AT433" s="84">
        <f t="shared" si="32"/>
        <v>2008</v>
      </c>
      <c r="AU433" s="86"/>
      <c r="AV433" s="86"/>
      <c r="AW433" s="87"/>
      <c r="AX433" s="86"/>
      <c r="AY433" s="83"/>
      <c r="AZ433" s="84"/>
      <c r="BA433" s="86"/>
      <c r="BB433" s="86"/>
    </row>
    <row r="434" spans="1:54" ht="36.75" customHeight="1">
      <c r="A434" s="30"/>
      <c r="B434" s="30" t="s">
        <v>55</v>
      </c>
      <c r="C434" s="69" t="str">
        <f t="shared" si="29"/>
        <v>Closed</v>
      </c>
      <c r="D434" s="27" t="s">
        <v>2619</v>
      </c>
      <c r="E434" s="29" t="s">
        <v>2620</v>
      </c>
      <c r="F434" s="30" t="s">
        <v>233</v>
      </c>
      <c r="G434" s="89">
        <f>DATE(2008,3,1)</f>
        <v>39508</v>
      </c>
      <c r="H434" s="90">
        <v>1.1041666666666667</v>
      </c>
      <c r="I434" s="30" t="s">
        <v>86</v>
      </c>
      <c r="J434" s="89" t="s">
        <v>2621</v>
      </c>
      <c r="K434" s="30" t="s">
        <v>235</v>
      </c>
      <c r="L434" s="30" t="s">
        <v>2622</v>
      </c>
      <c r="M434" s="30" t="s">
        <v>63</v>
      </c>
      <c r="N434" s="30">
        <v>0</v>
      </c>
      <c r="O434" s="30" t="s">
        <v>64</v>
      </c>
      <c r="P434" s="89" t="s">
        <v>78</v>
      </c>
      <c r="Q434" s="89" t="s">
        <v>2623</v>
      </c>
      <c r="R434" s="89" t="s">
        <v>238</v>
      </c>
      <c r="S434" s="30">
        <v>0</v>
      </c>
      <c r="T434" s="233" t="s">
        <v>68</v>
      </c>
      <c r="U434" s="30">
        <v>0</v>
      </c>
      <c r="V434" s="233" t="s">
        <v>68</v>
      </c>
      <c r="W434" s="30">
        <v>0</v>
      </c>
      <c r="X434" s="30">
        <v>0</v>
      </c>
      <c r="Y434" s="30">
        <v>0</v>
      </c>
      <c r="Z434" s="233" t="s">
        <v>68</v>
      </c>
      <c r="AA434" s="30">
        <v>0</v>
      </c>
      <c r="AB434" s="30">
        <v>0</v>
      </c>
      <c r="AC434" s="30">
        <v>0</v>
      </c>
      <c r="AD434" s="30">
        <v>0</v>
      </c>
      <c r="AE434" s="89" t="s">
        <v>68</v>
      </c>
      <c r="AF434" s="89"/>
      <c r="AG434" s="89" t="s">
        <v>133</v>
      </c>
      <c r="AH434" s="72" t="s">
        <v>68</v>
      </c>
      <c r="AI434" s="30">
        <v>10</v>
      </c>
      <c r="AJ434" s="89" t="s">
        <v>2624</v>
      </c>
      <c r="AK434" s="89" t="s">
        <v>2625</v>
      </c>
      <c r="AL434" s="91">
        <v>39517</v>
      </c>
      <c r="AM434" s="91"/>
      <c r="AN434" s="91"/>
      <c r="AO434" s="91"/>
      <c r="AP434" s="73" t="e">
        <f>MID(VLOOKUP(K434,#REF!,2,FALSE),1,2)</f>
        <v>#REF!</v>
      </c>
      <c r="AQ434" s="89">
        <f>DATE(2008,3,1)</f>
        <v>39508</v>
      </c>
      <c r="AR434" s="82">
        <f t="shared" si="30"/>
        <v>1</v>
      </c>
      <c r="AS434" s="83">
        <f t="shared" si="31"/>
        <v>3</v>
      </c>
      <c r="AT434" s="84">
        <f t="shared" si="32"/>
        <v>2008</v>
      </c>
      <c r="AU434" s="86"/>
      <c r="AV434" s="86"/>
      <c r="AW434" s="87"/>
      <c r="AX434" s="86"/>
      <c r="AY434" s="83"/>
      <c r="AZ434" s="84"/>
      <c r="BA434" s="86"/>
      <c r="BB434" s="86"/>
    </row>
    <row r="435" spans="1:54" ht="36.75" customHeight="1">
      <c r="A435" s="30"/>
      <c r="B435" s="30" t="s">
        <v>55</v>
      </c>
      <c r="C435" s="69" t="str">
        <f t="shared" si="29"/>
        <v>Closed</v>
      </c>
      <c r="D435" s="27" t="s">
        <v>2626</v>
      </c>
      <c r="E435" s="29" t="s">
        <v>2627</v>
      </c>
      <c r="F435" s="30" t="s">
        <v>1770</v>
      </c>
      <c r="G435" s="89">
        <f>DATE(2008,3,3)</f>
        <v>39510</v>
      </c>
      <c r="H435" s="90">
        <v>1.7104166666666667</v>
      </c>
      <c r="I435" s="30" t="s">
        <v>116</v>
      </c>
      <c r="J435" s="89" t="s">
        <v>2628</v>
      </c>
      <c r="K435" s="30" t="s">
        <v>1772</v>
      </c>
      <c r="L435" s="30" t="s">
        <v>2629</v>
      </c>
      <c r="M435" s="30" t="s">
        <v>63</v>
      </c>
      <c r="N435" s="30" t="s">
        <v>142</v>
      </c>
      <c r="O435" s="30" t="s">
        <v>64</v>
      </c>
      <c r="P435" s="89" t="s">
        <v>165</v>
      </c>
      <c r="Q435" s="89" t="s">
        <v>1774</v>
      </c>
      <c r="R435" s="89" t="s">
        <v>1775</v>
      </c>
      <c r="S435" s="30">
        <v>0</v>
      </c>
      <c r="T435" s="233">
        <v>0</v>
      </c>
      <c r="U435" s="30">
        <v>0</v>
      </c>
      <c r="V435" s="233">
        <v>0</v>
      </c>
      <c r="W435" s="30">
        <v>0</v>
      </c>
      <c r="X435" s="30">
        <v>0</v>
      </c>
      <c r="Y435" s="30">
        <v>0</v>
      </c>
      <c r="Z435" s="233">
        <v>0</v>
      </c>
      <c r="AA435" s="30">
        <v>1</v>
      </c>
      <c r="AB435" s="30">
        <v>0</v>
      </c>
      <c r="AC435" s="30">
        <v>0</v>
      </c>
      <c r="AD435" s="30">
        <v>1</v>
      </c>
      <c r="AE435" s="89" t="s">
        <v>92</v>
      </c>
      <c r="AF435" s="89"/>
      <c r="AG435" s="89" t="s">
        <v>133</v>
      </c>
      <c r="AH435" s="72">
        <v>39511</v>
      </c>
      <c r="AI435" s="30">
        <v>3</v>
      </c>
      <c r="AJ435" s="89" t="s">
        <v>2630</v>
      </c>
      <c r="AK435" s="89" t="s">
        <v>2631</v>
      </c>
      <c r="AL435" s="91">
        <v>39597</v>
      </c>
      <c r="AM435" s="91"/>
      <c r="AN435" s="91"/>
      <c r="AO435" s="91"/>
      <c r="AP435" s="73" t="e">
        <f>MID(VLOOKUP(K435,#REF!,2,FALSE),1,2)</f>
        <v>#REF!</v>
      </c>
      <c r="AQ435" s="89">
        <f>DATE(2008,3,3)</f>
        <v>39510</v>
      </c>
      <c r="AR435" s="82">
        <f t="shared" si="30"/>
        <v>3</v>
      </c>
      <c r="AS435" s="83">
        <f t="shared" si="31"/>
        <v>3</v>
      </c>
      <c r="AT435" s="84">
        <f t="shared" si="32"/>
        <v>2008</v>
      </c>
      <c r="AU435" s="86"/>
      <c r="AV435" s="86"/>
      <c r="AW435" s="87"/>
      <c r="AX435" s="86"/>
      <c r="AY435" s="83"/>
      <c r="AZ435" s="84"/>
      <c r="BA435" s="86"/>
      <c r="BB435" s="86"/>
    </row>
    <row r="436" spans="1:54" ht="36.75" customHeight="1">
      <c r="A436" s="30"/>
      <c r="B436" s="30" t="s">
        <v>55</v>
      </c>
      <c r="C436" s="69" t="str">
        <f t="shared" si="29"/>
        <v>Closed</v>
      </c>
      <c r="D436" s="27" t="s">
        <v>2632</v>
      </c>
      <c r="E436" s="29" t="s">
        <v>2633</v>
      </c>
      <c r="F436" s="30" t="s">
        <v>835</v>
      </c>
      <c r="G436" s="89">
        <f>DATE(2008,3,7)</f>
        <v>39514</v>
      </c>
      <c r="H436" s="90">
        <v>1.4895833333333333</v>
      </c>
      <c r="I436" s="30" t="s">
        <v>116</v>
      </c>
      <c r="J436" s="89" t="s">
        <v>2634</v>
      </c>
      <c r="K436" s="30" t="s">
        <v>837</v>
      </c>
      <c r="L436" s="30" t="s">
        <v>2635</v>
      </c>
      <c r="M436" s="30" t="s">
        <v>63</v>
      </c>
      <c r="N436" s="30">
        <v>0</v>
      </c>
      <c r="O436" s="30" t="s">
        <v>64</v>
      </c>
      <c r="P436" s="89" t="s">
        <v>165</v>
      </c>
      <c r="Q436" s="89" t="s">
        <v>2162</v>
      </c>
      <c r="R436" s="89" t="s">
        <v>840</v>
      </c>
      <c r="S436" s="30">
        <v>0</v>
      </c>
      <c r="T436" s="233" t="s">
        <v>68</v>
      </c>
      <c r="U436" s="30">
        <v>0</v>
      </c>
      <c r="V436" s="233" t="s">
        <v>68</v>
      </c>
      <c r="W436" s="30">
        <v>0</v>
      </c>
      <c r="X436" s="30">
        <v>0</v>
      </c>
      <c r="Y436" s="30">
        <v>0</v>
      </c>
      <c r="Z436" s="233" t="s">
        <v>68</v>
      </c>
      <c r="AA436" s="30">
        <v>0</v>
      </c>
      <c r="AB436" s="30">
        <v>0</v>
      </c>
      <c r="AC436" s="30">
        <v>0</v>
      </c>
      <c r="AD436" s="30">
        <v>0</v>
      </c>
      <c r="AE436" s="89" t="s">
        <v>68</v>
      </c>
      <c r="AF436" s="89"/>
      <c r="AG436" s="89" t="s">
        <v>352</v>
      </c>
      <c r="AH436" s="72" t="s">
        <v>68</v>
      </c>
      <c r="AI436" s="30">
        <v>1</v>
      </c>
      <c r="AJ436" s="89" t="s">
        <v>68</v>
      </c>
      <c r="AK436" s="89" t="s">
        <v>68</v>
      </c>
      <c r="AL436" s="91">
        <v>39594</v>
      </c>
      <c r="AM436" s="91"/>
      <c r="AN436" s="91"/>
      <c r="AO436" s="91"/>
      <c r="AP436" s="73" t="e">
        <f>MID(VLOOKUP(K436,#REF!,2,FALSE),1,2)</f>
        <v>#REF!</v>
      </c>
      <c r="AQ436" s="89">
        <f>DATE(2008,3,7)</f>
        <v>39514</v>
      </c>
      <c r="AR436" s="82">
        <f t="shared" si="30"/>
        <v>7</v>
      </c>
      <c r="AS436" s="83">
        <f t="shared" si="31"/>
        <v>3</v>
      </c>
      <c r="AT436" s="84">
        <f t="shared" si="32"/>
        <v>2008</v>
      </c>
      <c r="AU436" s="86"/>
      <c r="AV436" s="86"/>
      <c r="AW436" s="87"/>
      <c r="AX436" s="86"/>
      <c r="AY436" s="83"/>
      <c r="AZ436" s="84"/>
      <c r="BA436" s="86"/>
      <c r="BB436" s="86"/>
    </row>
    <row r="437" spans="1:54" ht="36.75" customHeight="1">
      <c r="A437" s="30"/>
      <c r="B437" s="30" t="s">
        <v>55</v>
      </c>
      <c r="C437" s="69" t="str">
        <f t="shared" si="29"/>
        <v>Closed</v>
      </c>
      <c r="D437" s="27" t="s">
        <v>2636</v>
      </c>
      <c r="E437" s="29" t="s">
        <v>2637</v>
      </c>
      <c r="F437" s="30" t="s">
        <v>124</v>
      </c>
      <c r="G437" s="89">
        <f>DATE(2008,3,8)</f>
        <v>39515</v>
      </c>
      <c r="H437" s="90">
        <v>1.0347222222222223</v>
      </c>
      <c r="I437" s="30" t="s">
        <v>86</v>
      </c>
      <c r="J437" s="89" t="s">
        <v>2638</v>
      </c>
      <c r="K437" s="30" t="s">
        <v>127</v>
      </c>
      <c r="L437" s="30" t="s">
        <v>2639</v>
      </c>
      <c r="M437" s="30" t="s">
        <v>63</v>
      </c>
      <c r="N437" s="30">
        <v>0</v>
      </c>
      <c r="O437" s="30" t="s">
        <v>64</v>
      </c>
      <c r="P437" s="89" t="s">
        <v>78</v>
      </c>
      <c r="Q437" s="89" t="s">
        <v>401</v>
      </c>
      <c r="R437" s="89" t="s">
        <v>167</v>
      </c>
      <c r="S437" s="30">
        <v>0</v>
      </c>
      <c r="T437" s="233" t="s">
        <v>68</v>
      </c>
      <c r="U437" s="30">
        <v>0</v>
      </c>
      <c r="V437" s="233" t="s">
        <v>68</v>
      </c>
      <c r="W437" s="30">
        <v>0</v>
      </c>
      <c r="X437" s="30">
        <v>0</v>
      </c>
      <c r="Y437" s="30">
        <v>0</v>
      </c>
      <c r="Z437" s="233" t="s">
        <v>68</v>
      </c>
      <c r="AA437" s="30">
        <v>0</v>
      </c>
      <c r="AB437" s="30">
        <v>0</v>
      </c>
      <c r="AC437" s="30">
        <v>0</v>
      </c>
      <c r="AD437" s="30">
        <v>0</v>
      </c>
      <c r="AE437" s="89" t="s">
        <v>68</v>
      </c>
      <c r="AF437" s="89"/>
      <c r="AG437" s="89" t="s">
        <v>133</v>
      </c>
      <c r="AH437" s="72" t="s">
        <v>68</v>
      </c>
      <c r="AI437" s="30">
        <v>2</v>
      </c>
      <c r="AJ437" s="89" t="s">
        <v>68</v>
      </c>
      <c r="AK437" s="89" t="s">
        <v>2640</v>
      </c>
      <c r="AL437" s="91">
        <v>39588</v>
      </c>
      <c r="AM437" s="91"/>
      <c r="AN437" s="91"/>
      <c r="AO437" s="91"/>
      <c r="AP437" s="73" t="e">
        <f>MID(VLOOKUP(K437,#REF!,2,FALSE),1,2)</f>
        <v>#REF!</v>
      </c>
      <c r="AQ437" s="89">
        <f>DATE(2008,3,8)</f>
        <v>39515</v>
      </c>
      <c r="AR437" s="82">
        <f t="shared" si="30"/>
        <v>8</v>
      </c>
      <c r="AS437" s="83">
        <f t="shared" si="31"/>
        <v>3</v>
      </c>
      <c r="AT437" s="84">
        <f t="shared" si="32"/>
        <v>2008</v>
      </c>
      <c r="AU437" s="86"/>
      <c r="AV437" s="86"/>
      <c r="AW437" s="87"/>
      <c r="AX437" s="86"/>
      <c r="AY437" s="83"/>
      <c r="AZ437" s="84"/>
      <c r="BA437" s="86"/>
      <c r="BB437" s="86"/>
    </row>
    <row r="438" spans="1:54" ht="36.75" customHeight="1">
      <c r="A438" s="30"/>
      <c r="B438" s="30" t="s">
        <v>55</v>
      </c>
      <c r="C438" s="69" t="str">
        <f t="shared" si="29"/>
        <v>Closed</v>
      </c>
      <c r="D438" s="27" t="s">
        <v>2641</v>
      </c>
      <c r="E438" s="29" t="s">
        <v>2642</v>
      </c>
      <c r="F438" s="30" t="s">
        <v>233</v>
      </c>
      <c r="G438" s="89">
        <f>DATE(2008,3,9)</f>
        <v>39516</v>
      </c>
      <c r="H438" s="90">
        <v>1.9722222222222223</v>
      </c>
      <c r="I438" s="30" t="s">
        <v>73</v>
      </c>
      <c r="J438" s="89" t="s">
        <v>2643</v>
      </c>
      <c r="K438" s="30" t="s">
        <v>235</v>
      </c>
      <c r="L438" s="30" t="s">
        <v>2644</v>
      </c>
      <c r="M438" s="30" t="s">
        <v>63</v>
      </c>
      <c r="N438" s="30">
        <v>0</v>
      </c>
      <c r="O438" s="30" t="s">
        <v>86</v>
      </c>
      <c r="P438" s="89" t="s">
        <v>301</v>
      </c>
      <c r="Q438" s="89" t="s">
        <v>675</v>
      </c>
      <c r="R438" s="89" t="s">
        <v>675</v>
      </c>
      <c r="S438" s="30">
        <v>0</v>
      </c>
      <c r="T438" s="233" t="s">
        <v>68</v>
      </c>
      <c r="U438" s="30">
        <v>0</v>
      </c>
      <c r="V438" s="233" t="s">
        <v>68</v>
      </c>
      <c r="W438" s="30">
        <v>0</v>
      </c>
      <c r="X438" s="30">
        <v>0</v>
      </c>
      <c r="Y438" s="30">
        <v>0</v>
      </c>
      <c r="Z438" s="233" t="s">
        <v>68</v>
      </c>
      <c r="AA438" s="30">
        <v>0</v>
      </c>
      <c r="AB438" s="30">
        <v>0</v>
      </c>
      <c r="AC438" s="30">
        <v>0</v>
      </c>
      <c r="AD438" s="30">
        <v>0</v>
      </c>
      <c r="AE438" s="89" t="s">
        <v>68</v>
      </c>
      <c r="AF438" s="89"/>
      <c r="AG438" s="89" t="s">
        <v>352</v>
      </c>
      <c r="AH438" s="72" t="s">
        <v>68</v>
      </c>
      <c r="AI438" s="30">
        <v>4</v>
      </c>
      <c r="AJ438" s="89" t="s">
        <v>2645</v>
      </c>
      <c r="AK438" s="89" t="s">
        <v>2646</v>
      </c>
      <c r="AL438" s="91">
        <v>39680</v>
      </c>
      <c r="AM438" s="91"/>
      <c r="AN438" s="91"/>
      <c r="AO438" s="91"/>
      <c r="AP438" s="73" t="e">
        <f>MID(VLOOKUP(K438,#REF!,2,FALSE),1,2)</f>
        <v>#REF!</v>
      </c>
      <c r="AQ438" s="89">
        <f>DATE(2008,3,9)</f>
        <v>39516</v>
      </c>
      <c r="AR438" s="82">
        <f t="shared" si="30"/>
        <v>9</v>
      </c>
      <c r="AS438" s="83">
        <f t="shared" si="31"/>
        <v>3</v>
      </c>
      <c r="AT438" s="84">
        <f t="shared" si="32"/>
        <v>2008</v>
      </c>
      <c r="AU438" s="86"/>
      <c r="AV438" s="86"/>
      <c r="AW438" s="87"/>
      <c r="AX438" s="86"/>
      <c r="AY438" s="83"/>
      <c r="AZ438" s="84"/>
      <c r="BA438" s="86"/>
      <c r="BB438" s="86"/>
    </row>
    <row r="439" spans="1:54" ht="36.75" customHeight="1">
      <c r="A439" s="30"/>
      <c r="B439" s="30" t="s">
        <v>55</v>
      </c>
      <c r="C439" s="69" t="str">
        <f t="shared" si="29"/>
        <v>Closed</v>
      </c>
      <c r="D439" s="27" t="s">
        <v>2647</v>
      </c>
      <c r="E439" s="29" t="s">
        <v>2648</v>
      </c>
      <c r="F439" s="30" t="s">
        <v>594</v>
      </c>
      <c r="G439" s="89">
        <f>DATE(2008,3,11)</f>
        <v>39518</v>
      </c>
      <c r="H439" s="90">
        <v>1.4166666666666667</v>
      </c>
      <c r="I439" s="30" t="s">
        <v>116</v>
      </c>
      <c r="J439" s="89" t="s">
        <v>2649</v>
      </c>
      <c r="K439" s="30" t="s">
        <v>596</v>
      </c>
      <c r="L439" s="30" t="s">
        <v>2650</v>
      </c>
      <c r="M439" s="30" t="s">
        <v>63</v>
      </c>
      <c r="N439" s="30">
        <v>0</v>
      </c>
      <c r="O439" s="30" t="s">
        <v>64</v>
      </c>
      <c r="P439" s="89" t="s">
        <v>165</v>
      </c>
      <c r="Q439" s="89" t="s">
        <v>598</v>
      </c>
      <c r="R439" s="89" t="s">
        <v>599</v>
      </c>
      <c r="S439" s="30">
        <v>0</v>
      </c>
      <c r="T439" s="233">
        <v>0</v>
      </c>
      <c r="U439" s="30">
        <v>4</v>
      </c>
      <c r="V439" s="233">
        <v>0</v>
      </c>
      <c r="W439" s="30">
        <v>0</v>
      </c>
      <c r="X439" s="30">
        <v>4</v>
      </c>
      <c r="Y439" s="30">
        <v>0</v>
      </c>
      <c r="Z439" s="233">
        <v>0</v>
      </c>
      <c r="AA439" s="30">
        <v>0</v>
      </c>
      <c r="AB439" s="30">
        <v>0</v>
      </c>
      <c r="AC439" s="30">
        <v>0</v>
      </c>
      <c r="AD439" s="30">
        <v>0</v>
      </c>
      <c r="AE439" s="89" t="s">
        <v>68</v>
      </c>
      <c r="AF439" s="89"/>
      <c r="AG439" s="89" t="s">
        <v>133</v>
      </c>
      <c r="AH439" s="72" t="s">
        <v>68</v>
      </c>
      <c r="AI439" s="30">
        <v>0</v>
      </c>
      <c r="AJ439" s="89" t="s">
        <v>68</v>
      </c>
      <c r="AK439" s="89" t="s">
        <v>68</v>
      </c>
      <c r="AL439" s="91">
        <v>39531</v>
      </c>
      <c r="AM439" s="91"/>
      <c r="AN439" s="91"/>
      <c r="AO439" s="91"/>
      <c r="AP439" s="73" t="e">
        <f>MID(VLOOKUP(K439,#REF!,2,FALSE),1,2)</f>
        <v>#REF!</v>
      </c>
      <c r="AQ439" s="89">
        <f>DATE(2008,3,11)</f>
        <v>39518</v>
      </c>
      <c r="AR439" s="82">
        <f t="shared" si="30"/>
        <v>11</v>
      </c>
      <c r="AS439" s="83">
        <f t="shared" si="31"/>
        <v>3</v>
      </c>
      <c r="AT439" s="84">
        <f t="shared" si="32"/>
        <v>2008</v>
      </c>
      <c r="AU439" s="86"/>
      <c r="AV439" s="86"/>
      <c r="AW439" s="87"/>
      <c r="AX439" s="86"/>
      <c r="AY439" s="83"/>
      <c r="AZ439" s="84"/>
      <c r="BA439" s="86"/>
      <c r="BB439" s="86"/>
    </row>
    <row r="440" spans="1:54" ht="36.75" customHeight="1">
      <c r="A440" s="30"/>
      <c r="B440" s="30" t="s">
        <v>55</v>
      </c>
      <c r="C440" s="69" t="str">
        <f t="shared" si="29"/>
        <v>Closed</v>
      </c>
      <c r="D440" s="27" t="s">
        <v>2651</v>
      </c>
      <c r="E440" s="29" t="s">
        <v>2652</v>
      </c>
      <c r="F440" s="30" t="s">
        <v>1572</v>
      </c>
      <c r="G440" s="89">
        <f>DATE(2008,3,13)</f>
        <v>39520</v>
      </c>
      <c r="H440" s="90">
        <v>1.125</v>
      </c>
      <c r="I440" s="30" t="s">
        <v>1040</v>
      </c>
      <c r="J440" s="89" t="s">
        <v>2653</v>
      </c>
      <c r="K440" s="30" t="s">
        <v>1574</v>
      </c>
      <c r="L440" s="30" t="s">
        <v>2654</v>
      </c>
      <c r="M440" s="30" t="s">
        <v>63</v>
      </c>
      <c r="N440" s="30">
        <v>0</v>
      </c>
      <c r="O440" s="30" t="s">
        <v>77</v>
      </c>
      <c r="P440" s="89" t="s">
        <v>78</v>
      </c>
      <c r="Q440" s="89" t="s">
        <v>2655</v>
      </c>
      <c r="R440" s="89">
        <v>0</v>
      </c>
      <c r="S440" s="30">
        <v>0</v>
      </c>
      <c r="T440" s="233" t="s">
        <v>68</v>
      </c>
      <c r="U440" s="30">
        <v>0</v>
      </c>
      <c r="V440" s="233" t="s">
        <v>68</v>
      </c>
      <c r="W440" s="30">
        <v>0</v>
      </c>
      <c r="X440" s="30">
        <v>0</v>
      </c>
      <c r="Y440" s="30">
        <v>0</v>
      </c>
      <c r="Z440" s="233" t="s">
        <v>68</v>
      </c>
      <c r="AA440" s="30">
        <v>0</v>
      </c>
      <c r="AB440" s="30">
        <v>0</v>
      </c>
      <c r="AC440" s="30">
        <v>0</v>
      </c>
      <c r="AD440" s="30">
        <v>0</v>
      </c>
      <c r="AE440" s="89" t="s">
        <v>68</v>
      </c>
      <c r="AF440" s="89"/>
      <c r="AG440" s="89" t="s">
        <v>352</v>
      </c>
      <c r="AH440" s="72" t="s">
        <v>68</v>
      </c>
      <c r="AI440" s="30">
        <v>4</v>
      </c>
      <c r="AJ440" s="89" t="s">
        <v>2656</v>
      </c>
      <c r="AK440" s="89" t="s">
        <v>2657</v>
      </c>
      <c r="AL440" s="91">
        <v>39524</v>
      </c>
      <c r="AM440" s="91"/>
      <c r="AN440" s="91"/>
      <c r="AO440" s="91"/>
      <c r="AP440" s="73" t="e">
        <f>MID(VLOOKUP(K440,#REF!,2,FALSE),1,2)</f>
        <v>#REF!</v>
      </c>
      <c r="AQ440" s="89">
        <f>DATE(2008,3,13)</f>
        <v>39520</v>
      </c>
      <c r="AR440" s="82">
        <f t="shared" si="30"/>
        <v>13</v>
      </c>
      <c r="AS440" s="83">
        <f t="shared" si="31"/>
        <v>3</v>
      </c>
      <c r="AT440" s="84">
        <f t="shared" si="32"/>
        <v>2008</v>
      </c>
      <c r="AU440" s="86"/>
      <c r="AV440" s="86"/>
      <c r="AW440" s="87"/>
      <c r="AX440" s="86"/>
      <c r="AY440" s="83"/>
      <c r="AZ440" s="84"/>
      <c r="BA440" s="86"/>
      <c r="BB440" s="86"/>
    </row>
    <row r="441" spans="1:54" ht="36.75" customHeight="1">
      <c r="A441" s="30"/>
      <c r="B441" s="30" t="s">
        <v>55</v>
      </c>
      <c r="C441" s="69" t="str">
        <f t="shared" si="29"/>
        <v>Closed</v>
      </c>
      <c r="D441" s="27" t="s">
        <v>2658</v>
      </c>
      <c r="E441" s="29" t="s">
        <v>2659</v>
      </c>
      <c r="F441" s="30" t="s">
        <v>638</v>
      </c>
      <c r="G441" s="89">
        <f>DATE(2008,3,14)</f>
        <v>39521</v>
      </c>
      <c r="H441" s="90">
        <v>1.8291666666666666</v>
      </c>
      <c r="I441" s="30" t="s">
        <v>116</v>
      </c>
      <c r="J441" s="89" t="s">
        <v>2660</v>
      </c>
      <c r="K441" s="30" t="s">
        <v>640</v>
      </c>
      <c r="L441" s="30" t="s">
        <v>2661</v>
      </c>
      <c r="M441" s="30" t="s">
        <v>63</v>
      </c>
      <c r="N441" s="30">
        <v>0</v>
      </c>
      <c r="O441" s="30" t="s">
        <v>77</v>
      </c>
      <c r="P441" s="89" t="s">
        <v>165</v>
      </c>
      <c r="Q441" s="89" t="s">
        <v>642</v>
      </c>
      <c r="R441" s="89" t="s">
        <v>643</v>
      </c>
      <c r="S441" s="30">
        <v>0</v>
      </c>
      <c r="T441" s="233">
        <v>0</v>
      </c>
      <c r="U441" s="30">
        <v>1</v>
      </c>
      <c r="V441" s="233">
        <v>0</v>
      </c>
      <c r="W441" s="30">
        <v>0</v>
      </c>
      <c r="X441" s="30">
        <v>1</v>
      </c>
      <c r="Y441" s="30">
        <v>0</v>
      </c>
      <c r="Z441" s="233">
        <v>0</v>
      </c>
      <c r="AA441" s="30">
        <v>0</v>
      </c>
      <c r="AB441" s="30">
        <v>0</v>
      </c>
      <c r="AC441" s="30">
        <v>0</v>
      </c>
      <c r="AD441" s="30">
        <v>0</v>
      </c>
      <c r="AE441" s="89" t="s">
        <v>68</v>
      </c>
      <c r="AF441" s="89"/>
      <c r="AG441" s="89" t="s">
        <v>248</v>
      </c>
      <c r="AH441" s="72" t="s">
        <v>68</v>
      </c>
      <c r="AI441" s="30">
        <v>0</v>
      </c>
      <c r="AJ441" s="89" t="s">
        <v>2662</v>
      </c>
      <c r="AK441" s="89" t="s">
        <v>68</v>
      </c>
      <c r="AL441" s="91">
        <v>39534</v>
      </c>
      <c r="AM441" s="91"/>
      <c r="AN441" s="91"/>
      <c r="AO441" s="91"/>
      <c r="AP441" s="73" t="e">
        <f>MID(VLOOKUP(K441,#REF!,2,FALSE),1,2)</f>
        <v>#REF!</v>
      </c>
      <c r="AQ441" s="89">
        <f>DATE(2008,3,14)</f>
        <v>39521</v>
      </c>
      <c r="AR441" s="82">
        <f t="shared" si="30"/>
        <v>14</v>
      </c>
      <c r="AS441" s="83">
        <f t="shared" si="31"/>
        <v>3</v>
      </c>
      <c r="AT441" s="84">
        <f t="shared" si="32"/>
        <v>2008</v>
      </c>
      <c r="AU441" s="86"/>
      <c r="AV441" s="86"/>
      <c r="AW441" s="87"/>
      <c r="AX441" s="86"/>
      <c r="AY441" s="83"/>
      <c r="AZ441" s="84"/>
      <c r="BA441" s="86"/>
      <c r="BB441" s="86"/>
    </row>
    <row r="442" spans="1:54" ht="36.75" customHeight="1">
      <c r="A442" s="30"/>
      <c r="B442" s="30" t="s">
        <v>55</v>
      </c>
      <c r="C442" s="69" t="str">
        <f t="shared" si="29"/>
        <v>Closed</v>
      </c>
      <c r="D442" s="27" t="s">
        <v>2663</v>
      </c>
      <c r="E442" s="29" t="s">
        <v>2664</v>
      </c>
      <c r="F442" s="30" t="s">
        <v>638</v>
      </c>
      <c r="G442" s="89">
        <f>DATE(2008,3,21)</f>
        <v>39528</v>
      </c>
      <c r="H442" s="90">
        <v>1.620138888888889</v>
      </c>
      <c r="I442" s="30" t="s">
        <v>278</v>
      </c>
      <c r="J442" s="89" t="s">
        <v>2665</v>
      </c>
      <c r="K442" s="30" t="s">
        <v>640</v>
      </c>
      <c r="L442" s="30" t="s">
        <v>2666</v>
      </c>
      <c r="M442" s="30" t="s">
        <v>63</v>
      </c>
      <c r="N442" s="30">
        <v>0</v>
      </c>
      <c r="O442" s="30" t="s">
        <v>64</v>
      </c>
      <c r="P442" s="89" t="s">
        <v>165</v>
      </c>
      <c r="Q442" s="89" t="s">
        <v>642</v>
      </c>
      <c r="R442" s="89" t="s">
        <v>643</v>
      </c>
      <c r="S442" s="30">
        <v>0</v>
      </c>
      <c r="T442" s="233">
        <v>0</v>
      </c>
      <c r="U442" s="30">
        <v>0</v>
      </c>
      <c r="V442" s="233">
        <v>1</v>
      </c>
      <c r="W442" s="30">
        <v>0</v>
      </c>
      <c r="X442" s="30">
        <v>1</v>
      </c>
      <c r="Y442" s="30">
        <v>0</v>
      </c>
      <c r="Z442" s="233">
        <v>0</v>
      </c>
      <c r="AA442" s="30">
        <v>0</v>
      </c>
      <c r="AB442" s="30">
        <v>0</v>
      </c>
      <c r="AC442" s="30">
        <v>0</v>
      </c>
      <c r="AD442" s="30">
        <v>0</v>
      </c>
      <c r="AE442" s="89" t="s">
        <v>68</v>
      </c>
      <c r="AF442" s="89"/>
      <c r="AG442" s="89" t="s">
        <v>248</v>
      </c>
      <c r="AH442" s="72" t="s">
        <v>68</v>
      </c>
      <c r="AI442" s="30">
        <v>1</v>
      </c>
      <c r="AJ442" s="89" t="s">
        <v>2667</v>
      </c>
      <c r="AK442" s="89" t="s">
        <v>68</v>
      </c>
      <c r="AL442" s="91">
        <v>39688</v>
      </c>
      <c r="AM442" s="91"/>
      <c r="AN442" s="91"/>
      <c r="AO442" s="91"/>
      <c r="AP442" s="73" t="e">
        <f>MID(VLOOKUP(K442,#REF!,2,FALSE),1,2)</f>
        <v>#REF!</v>
      </c>
      <c r="AQ442" s="89">
        <f>DATE(2008,3,21)</f>
        <v>39528</v>
      </c>
      <c r="AR442" s="82">
        <f t="shared" si="30"/>
        <v>21</v>
      </c>
      <c r="AS442" s="83">
        <f t="shared" si="31"/>
        <v>3</v>
      </c>
      <c r="AT442" s="84">
        <f t="shared" si="32"/>
        <v>2008</v>
      </c>
      <c r="AU442" s="86"/>
      <c r="AV442" s="86"/>
      <c r="AW442" s="87"/>
      <c r="AX442" s="86"/>
      <c r="AY442" s="83"/>
      <c r="AZ442" s="84"/>
      <c r="BA442" s="86"/>
      <c r="BB442" s="86"/>
    </row>
    <row r="443" spans="1:54" ht="36.75" customHeight="1">
      <c r="A443" s="30"/>
      <c r="B443" s="30" t="s">
        <v>55</v>
      </c>
      <c r="C443" s="69" t="str">
        <f t="shared" si="29"/>
        <v>Closed</v>
      </c>
      <c r="D443" s="27" t="s">
        <v>2668</v>
      </c>
      <c r="E443" s="29" t="s">
        <v>2669</v>
      </c>
      <c r="F443" s="30" t="s">
        <v>835</v>
      </c>
      <c r="G443" s="89">
        <f>DATE(2008,3,21)</f>
        <v>39528</v>
      </c>
      <c r="H443" s="90">
        <v>1.3895833333333334</v>
      </c>
      <c r="I443" s="30" t="s">
        <v>198</v>
      </c>
      <c r="J443" s="89" t="s">
        <v>2670</v>
      </c>
      <c r="K443" s="30" t="s">
        <v>837</v>
      </c>
      <c r="L443" s="30" t="s">
        <v>2671</v>
      </c>
      <c r="M443" s="30" t="s">
        <v>63</v>
      </c>
      <c r="N443" s="30">
        <v>0</v>
      </c>
      <c r="O443" s="30" t="s">
        <v>77</v>
      </c>
      <c r="P443" s="89" t="s">
        <v>78</v>
      </c>
      <c r="Q443" s="89" t="s">
        <v>1349</v>
      </c>
      <c r="R443" s="89" t="s">
        <v>840</v>
      </c>
      <c r="S443" s="30">
        <v>0</v>
      </c>
      <c r="T443" s="233" t="s">
        <v>68</v>
      </c>
      <c r="U443" s="30">
        <v>0</v>
      </c>
      <c r="V443" s="233" t="s">
        <v>68</v>
      </c>
      <c r="W443" s="30">
        <v>0</v>
      </c>
      <c r="X443" s="30">
        <v>0</v>
      </c>
      <c r="Y443" s="30">
        <v>0</v>
      </c>
      <c r="Z443" s="233" t="s">
        <v>68</v>
      </c>
      <c r="AA443" s="30">
        <v>0</v>
      </c>
      <c r="AB443" s="30">
        <v>0</v>
      </c>
      <c r="AC443" s="30">
        <v>0</v>
      </c>
      <c r="AD443" s="30">
        <v>0</v>
      </c>
      <c r="AE443" s="89" t="s">
        <v>68</v>
      </c>
      <c r="AF443" s="89"/>
      <c r="AG443" s="89" t="s">
        <v>352</v>
      </c>
      <c r="AH443" s="72" t="s">
        <v>68</v>
      </c>
      <c r="AI443" s="30">
        <v>0</v>
      </c>
      <c r="AJ443" s="89" t="s">
        <v>68</v>
      </c>
      <c r="AK443" s="89" t="s">
        <v>68</v>
      </c>
      <c r="AL443" s="91">
        <v>39594</v>
      </c>
      <c r="AM443" s="91"/>
      <c r="AN443" s="91"/>
      <c r="AO443" s="91"/>
      <c r="AP443" s="73" t="e">
        <f>MID(VLOOKUP(K443,#REF!,2,FALSE),1,2)</f>
        <v>#REF!</v>
      </c>
      <c r="AQ443" s="89">
        <f>DATE(2008,3,21)</f>
        <v>39528</v>
      </c>
      <c r="AR443" s="82">
        <f t="shared" si="30"/>
        <v>21</v>
      </c>
      <c r="AS443" s="83">
        <f t="shared" si="31"/>
        <v>3</v>
      </c>
      <c r="AT443" s="84">
        <f t="shared" si="32"/>
        <v>2008</v>
      </c>
      <c r="AU443" s="86"/>
      <c r="AV443" s="86"/>
      <c r="AW443" s="87"/>
      <c r="AX443" s="86"/>
      <c r="AY443" s="83"/>
      <c r="AZ443" s="84"/>
      <c r="BA443" s="86"/>
      <c r="BB443" s="86"/>
    </row>
    <row r="444" spans="1:54" ht="36.75" customHeight="1">
      <c r="A444" s="30"/>
      <c r="B444" s="30" t="s">
        <v>55</v>
      </c>
      <c r="C444" s="69" t="str">
        <f t="shared" si="29"/>
        <v>Closed</v>
      </c>
      <c r="D444" s="27" t="s">
        <v>2672</v>
      </c>
      <c r="E444" s="29" t="s">
        <v>2673</v>
      </c>
      <c r="F444" s="30" t="s">
        <v>197</v>
      </c>
      <c r="G444" s="89">
        <f>DATE(2008,3,24)</f>
        <v>39531</v>
      </c>
      <c r="H444" s="90">
        <v>1.6006944444444444</v>
      </c>
      <c r="I444" s="30" t="s">
        <v>73</v>
      </c>
      <c r="J444" s="89" t="s">
        <v>2674</v>
      </c>
      <c r="K444" s="30" t="s">
        <v>200</v>
      </c>
      <c r="L444" s="30" t="s">
        <v>2675</v>
      </c>
      <c r="M444" s="30" t="s">
        <v>63</v>
      </c>
      <c r="N444" s="30">
        <v>0</v>
      </c>
      <c r="O444" s="30" t="s">
        <v>77</v>
      </c>
      <c r="P444" s="89" t="s">
        <v>78</v>
      </c>
      <c r="Q444" s="89" t="s">
        <v>1716</v>
      </c>
      <c r="R444" s="89" t="s">
        <v>203</v>
      </c>
      <c r="S444" s="30">
        <v>0</v>
      </c>
      <c r="T444" s="233" t="s">
        <v>68</v>
      </c>
      <c r="U444" s="30">
        <v>0</v>
      </c>
      <c r="V444" s="233" t="s">
        <v>68</v>
      </c>
      <c r="W444" s="30">
        <v>0</v>
      </c>
      <c r="X444" s="30">
        <v>0</v>
      </c>
      <c r="Y444" s="30">
        <v>0</v>
      </c>
      <c r="Z444" s="233" t="s">
        <v>68</v>
      </c>
      <c r="AA444" s="30">
        <v>0</v>
      </c>
      <c r="AB444" s="30">
        <v>0</v>
      </c>
      <c r="AC444" s="30">
        <v>0</v>
      </c>
      <c r="AD444" s="30">
        <v>0</v>
      </c>
      <c r="AE444" s="89" t="s">
        <v>68</v>
      </c>
      <c r="AF444" s="89"/>
      <c r="AG444" s="89" t="s">
        <v>352</v>
      </c>
      <c r="AH444" s="72" t="s">
        <v>68</v>
      </c>
      <c r="AI444" s="30">
        <v>0</v>
      </c>
      <c r="AJ444" s="89" t="s">
        <v>68</v>
      </c>
      <c r="AK444" s="89" t="s">
        <v>68</v>
      </c>
      <c r="AL444" s="91">
        <v>39945</v>
      </c>
      <c r="AM444" s="91"/>
      <c r="AN444" s="91"/>
      <c r="AO444" s="91"/>
      <c r="AP444" s="73" t="e">
        <f>MID(VLOOKUP(K444,#REF!,2,FALSE),1,2)</f>
        <v>#REF!</v>
      </c>
      <c r="AQ444" s="89">
        <f>DATE(2008,3,24)</f>
        <v>39531</v>
      </c>
      <c r="AR444" s="82">
        <f t="shared" si="30"/>
        <v>24</v>
      </c>
      <c r="AS444" s="83">
        <f t="shared" si="31"/>
        <v>3</v>
      </c>
      <c r="AT444" s="84">
        <f t="shared" si="32"/>
        <v>2008</v>
      </c>
      <c r="AU444" s="86"/>
      <c r="AV444" s="86"/>
      <c r="AW444" s="87"/>
      <c r="AX444" s="86"/>
      <c r="AY444" s="83"/>
      <c r="AZ444" s="84"/>
      <c r="BA444" s="86"/>
      <c r="BB444" s="86"/>
    </row>
    <row r="445" spans="1:54" ht="36.75" customHeight="1">
      <c r="A445" s="30"/>
      <c r="B445" s="30" t="s">
        <v>55</v>
      </c>
      <c r="C445" s="69" t="str">
        <f t="shared" si="29"/>
        <v>Closed</v>
      </c>
      <c r="D445" s="27" t="s">
        <v>2676</v>
      </c>
      <c r="E445" s="29" t="s">
        <v>2677</v>
      </c>
      <c r="F445" s="30" t="s">
        <v>233</v>
      </c>
      <c r="G445" s="89">
        <f>DATE(2008,3,25)</f>
        <v>39532</v>
      </c>
      <c r="H445" s="90">
        <v>1.2763888888888888</v>
      </c>
      <c r="I445" s="30" t="s">
        <v>73</v>
      </c>
      <c r="J445" s="89" t="s">
        <v>2678</v>
      </c>
      <c r="K445" s="30" t="s">
        <v>235</v>
      </c>
      <c r="L445" s="30" t="s">
        <v>2679</v>
      </c>
      <c r="M445" s="30" t="s">
        <v>63</v>
      </c>
      <c r="N445" s="30">
        <v>0</v>
      </c>
      <c r="O445" s="30" t="s">
        <v>64</v>
      </c>
      <c r="P445" s="89" t="s">
        <v>78</v>
      </c>
      <c r="Q445" s="89" t="s">
        <v>237</v>
      </c>
      <c r="R445" s="89" t="s">
        <v>238</v>
      </c>
      <c r="S445" s="30">
        <v>0</v>
      </c>
      <c r="T445" s="233" t="s">
        <v>68</v>
      </c>
      <c r="U445" s="30">
        <v>0</v>
      </c>
      <c r="V445" s="233" t="s">
        <v>68</v>
      </c>
      <c r="W445" s="30">
        <v>0</v>
      </c>
      <c r="X445" s="30">
        <v>0</v>
      </c>
      <c r="Y445" s="30">
        <v>0</v>
      </c>
      <c r="Z445" s="233" t="s">
        <v>68</v>
      </c>
      <c r="AA445" s="30">
        <v>0</v>
      </c>
      <c r="AB445" s="30">
        <v>0</v>
      </c>
      <c r="AC445" s="30">
        <v>0</v>
      </c>
      <c r="AD445" s="30">
        <v>0</v>
      </c>
      <c r="AE445" s="89" t="s">
        <v>68</v>
      </c>
      <c r="AF445" s="89"/>
      <c r="AG445" s="89" t="s">
        <v>133</v>
      </c>
      <c r="AH445" s="72" t="s">
        <v>68</v>
      </c>
      <c r="AI445" s="30">
        <v>3</v>
      </c>
      <c r="AJ445" s="89" t="s">
        <v>2680</v>
      </c>
      <c r="AK445" s="89" t="s">
        <v>2681</v>
      </c>
      <c r="AL445" s="91">
        <v>39680</v>
      </c>
      <c r="AM445" s="91"/>
      <c r="AN445" s="91"/>
      <c r="AO445" s="91"/>
      <c r="AP445" s="73" t="e">
        <f>MID(VLOOKUP(K445,#REF!,2,FALSE),1,2)</f>
        <v>#REF!</v>
      </c>
      <c r="AQ445" s="89">
        <f>DATE(2008,3,25)</f>
        <v>39532</v>
      </c>
      <c r="AR445" s="82">
        <f t="shared" si="30"/>
        <v>25</v>
      </c>
      <c r="AS445" s="83">
        <f t="shared" si="31"/>
        <v>3</v>
      </c>
      <c r="AT445" s="84">
        <f t="shared" si="32"/>
        <v>2008</v>
      </c>
      <c r="AU445" s="86"/>
      <c r="AV445" s="86"/>
      <c r="AW445" s="87"/>
      <c r="AX445" s="86"/>
      <c r="AY445" s="83"/>
      <c r="AZ445" s="84"/>
      <c r="BA445" s="86"/>
      <c r="BB445" s="86"/>
    </row>
    <row r="446" spans="1:54" ht="36.75" customHeight="1">
      <c r="A446" s="30"/>
      <c r="B446" s="30" t="s">
        <v>55</v>
      </c>
      <c r="C446" s="69" t="str">
        <f t="shared" si="29"/>
        <v>Closed</v>
      </c>
      <c r="D446" s="27" t="s">
        <v>2682</v>
      </c>
      <c r="E446" s="29" t="s">
        <v>2683</v>
      </c>
      <c r="F446" s="30" t="s">
        <v>835</v>
      </c>
      <c r="G446" s="89">
        <f>DATE(2008,3,26)</f>
        <v>39533</v>
      </c>
      <c r="H446" s="90">
        <v>1.0541666666666667</v>
      </c>
      <c r="I446" s="30" t="s">
        <v>73</v>
      </c>
      <c r="J446" s="89" t="s">
        <v>2684</v>
      </c>
      <c r="K446" s="30" t="s">
        <v>837</v>
      </c>
      <c r="L446" s="30" t="s">
        <v>2685</v>
      </c>
      <c r="M446" s="30" t="s">
        <v>63</v>
      </c>
      <c r="N446" s="30">
        <v>0</v>
      </c>
      <c r="O446" s="30" t="s">
        <v>77</v>
      </c>
      <c r="P446" s="89" t="s">
        <v>78</v>
      </c>
      <c r="Q446" s="89" t="s">
        <v>1349</v>
      </c>
      <c r="R446" s="89" t="s">
        <v>840</v>
      </c>
      <c r="S446" s="30">
        <v>0</v>
      </c>
      <c r="T446" s="233" t="s">
        <v>68</v>
      </c>
      <c r="U446" s="30">
        <v>0</v>
      </c>
      <c r="V446" s="233" t="s">
        <v>68</v>
      </c>
      <c r="W446" s="30">
        <v>0</v>
      </c>
      <c r="X446" s="30">
        <v>0</v>
      </c>
      <c r="Y446" s="30">
        <v>0</v>
      </c>
      <c r="Z446" s="233" t="s">
        <v>68</v>
      </c>
      <c r="AA446" s="30">
        <v>0</v>
      </c>
      <c r="AB446" s="30">
        <v>0</v>
      </c>
      <c r="AC446" s="30">
        <v>0</v>
      </c>
      <c r="AD446" s="30">
        <v>0</v>
      </c>
      <c r="AE446" s="89" t="s">
        <v>68</v>
      </c>
      <c r="AF446" s="89"/>
      <c r="AG446" s="89" t="s">
        <v>352</v>
      </c>
      <c r="AH446" s="72" t="s">
        <v>68</v>
      </c>
      <c r="AI446" s="30">
        <v>0</v>
      </c>
      <c r="AJ446" s="89" t="s">
        <v>68</v>
      </c>
      <c r="AK446" s="89" t="s">
        <v>68</v>
      </c>
      <c r="AL446" s="91">
        <v>39594</v>
      </c>
      <c r="AM446" s="91"/>
      <c r="AN446" s="91"/>
      <c r="AO446" s="91"/>
      <c r="AP446" s="73" t="e">
        <f>MID(VLOOKUP(K446,#REF!,2,FALSE),1,2)</f>
        <v>#REF!</v>
      </c>
      <c r="AQ446" s="89">
        <f>DATE(2008,3,26)</f>
        <v>39533</v>
      </c>
      <c r="AR446" s="82">
        <f t="shared" si="30"/>
        <v>26</v>
      </c>
      <c r="AS446" s="83">
        <f t="shared" si="31"/>
        <v>3</v>
      </c>
      <c r="AT446" s="84">
        <f t="shared" si="32"/>
        <v>2008</v>
      </c>
      <c r="AU446" s="86"/>
      <c r="AV446" s="86"/>
      <c r="AW446" s="87"/>
      <c r="AX446" s="86"/>
      <c r="AY446" s="83"/>
      <c r="AZ446" s="84"/>
      <c r="BA446" s="86"/>
      <c r="BB446" s="86"/>
    </row>
    <row r="447" spans="1:54" ht="36.75" customHeight="1">
      <c r="A447" s="30"/>
      <c r="B447" s="30" t="s">
        <v>55</v>
      </c>
      <c r="C447" s="69" t="str">
        <f t="shared" si="29"/>
        <v>Closed</v>
      </c>
      <c r="D447" s="27" t="s">
        <v>2686</v>
      </c>
      <c r="E447" s="29" t="s">
        <v>2687</v>
      </c>
      <c r="F447" s="30" t="s">
        <v>233</v>
      </c>
      <c r="G447" s="89">
        <f>DATE(2008,3,31)</f>
        <v>39538</v>
      </c>
      <c r="H447" s="90">
        <v>1.6361111111111111</v>
      </c>
      <c r="I447" s="30" t="s">
        <v>116</v>
      </c>
      <c r="J447" s="89" t="s">
        <v>2688</v>
      </c>
      <c r="K447" s="30" t="s">
        <v>235</v>
      </c>
      <c r="L447" s="30" t="s">
        <v>2689</v>
      </c>
      <c r="M447" s="30" t="s">
        <v>63</v>
      </c>
      <c r="N447" s="30">
        <v>0</v>
      </c>
      <c r="O447" s="30" t="s">
        <v>77</v>
      </c>
      <c r="P447" s="89" t="s">
        <v>65</v>
      </c>
      <c r="Q447" s="89" t="s">
        <v>2690</v>
      </c>
      <c r="R447" s="89" t="s">
        <v>238</v>
      </c>
      <c r="S447" s="30">
        <v>0</v>
      </c>
      <c r="T447" s="233">
        <v>0</v>
      </c>
      <c r="U447" s="30">
        <v>1</v>
      </c>
      <c r="V447" s="233">
        <v>0</v>
      </c>
      <c r="W447" s="30">
        <v>0</v>
      </c>
      <c r="X447" s="30">
        <v>1</v>
      </c>
      <c r="Y447" s="30">
        <v>0</v>
      </c>
      <c r="Z447" s="233">
        <v>0</v>
      </c>
      <c r="AA447" s="30">
        <v>0</v>
      </c>
      <c r="AB447" s="30">
        <v>0</v>
      </c>
      <c r="AC447" s="30">
        <v>0</v>
      </c>
      <c r="AD447" s="30">
        <v>0</v>
      </c>
      <c r="AE447" s="89" t="s">
        <v>68</v>
      </c>
      <c r="AF447" s="89"/>
      <c r="AG447" s="89" t="s">
        <v>82</v>
      </c>
      <c r="AH447" s="72" t="s">
        <v>68</v>
      </c>
      <c r="AI447" s="30">
        <v>6</v>
      </c>
      <c r="AJ447" s="89" t="s">
        <v>2691</v>
      </c>
      <c r="AK447" s="89" t="s">
        <v>2692</v>
      </c>
      <c r="AL447" s="91">
        <v>39680</v>
      </c>
      <c r="AM447" s="91"/>
      <c r="AN447" s="91"/>
      <c r="AO447" s="91"/>
      <c r="AP447" s="73" t="e">
        <f>MID(VLOOKUP(K447,#REF!,2,FALSE),1,2)</f>
        <v>#REF!</v>
      </c>
      <c r="AQ447" s="89">
        <f>DATE(2008,3,31)</f>
        <v>39538</v>
      </c>
      <c r="AR447" s="82">
        <f t="shared" si="30"/>
        <v>31</v>
      </c>
      <c r="AS447" s="83">
        <f t="shared" si="31"/>
        <v>3</v>
      </c>
      <c r="AT447" s="84">
        <f t="shared" si="32"/>
        <v>2008</v>
      </c>
      <c r="AU447" s="86"/>
      <c r="AV447" s="86"/>
      <c r="AW447" s="87"/>
      <c r="AX447" s="86"/>
      <c r="AY447" s="83"/>
      <c r="AZ447" s="84"/>
      <c r="BA447" s="86"/>
      <c r="BB447" s="86"/>
    </row>
    <row r="448" spans="1:54" ht="36.75" customHeight="1">
      <c r="A448" s="30"/>
      <c r="B448" s="30" t="s">
        <v>55</v>
      </c>
      <c r="C448" s="69" t="str">
        <f t="shared" si="29"/>
        <v>Closed</v>
      </c>
      <c r="D448" s="27" t="s">
        <v>2693</v>
      </c>
      <c r="E448" s="29" t="s">
        <v>2694</v>
      </c>
      <c r="F448" s="30" t="s">
        <v>233</v>
      </c>
      <c r="G448" s="89">
        <f>DATE(2008,4,4)</f>
        <v>39542</v>
      </c>
      <c r="H448" s="90">
        <v>1.2270833333333333</v>
      </c>
      <c r="I448" s="30" t="s">
        <v>73</v>
      </c>
      <c r="J448" s="89" t="s">
        <v>2695</v>
      </c>
      <c r="K448" s="30" t="s">
        <v>235</v>
      </c>
      <c r="L448" s="30" t="s">
        <v>2696</v>
      </c>
      <c r="M448" s="30" t="s">
        <v>129</v>
      </c>
      <c r="N448" s="30">
        <v>0</v>
      </c>
      <c r="O448" s="30" t="s">
        <v>64</v>
      </c>
      <c r="P448" s="89" t="s">
        <v>86</v>
      </c>
      <c r="Q448" s="89" t="s">
        <v>2697</v>
      </c>
      <c r="R448" s="89" t="s">
        <v>2697</v>
      </c>
      <c r="S448" s="30">
        <v>0</v>
      </c>
      <c r="T448" s="233" t="s">
        <v>68</v>
      </c>
      <c r="U448" s="30">
        <v>0</v>
      </c>
      <c r="V448" s="233" t="s">
        <v>68</v>
      </c>
      <c r="W448" s="30">
        <v>0</v>
      </c>
      <c r="X448" s="30">
        <v>0</v>
      </c>
      <c r="Y448" s="30">
        <v>0</v>
      </c>
      <c r="Z448" s="233" t="s">
        <v>68</v>
      </c>
      <c r="AA448" s="30">
        <v>0</v>
      </c>
      <c r="AB448" s="30">
        <v>0</v>
      </c>
      <c r="AC448" s="30">
        <v>0</v>
      </c>
      <c r="AD448" s="30">
        <v>0</v>
      </c>
      <c r="AE448" s="89" t="s">
        <v>68</v>
      </c>
      <c r="AF448" s="89"/>
      <c r="AG448" s="89" t="s">
        <v>133</v>
      </c>
      <c r="AH448" s="72" t="s">
        <v>68</v>
      </c>
      <c r="AI448" s="30">
        <v>10</v>
      </c>
      <c r="AJ448" s="89" t="s">
        <v>2698</v>
      </c>
      <c r="AK448" s="89" t="s">
        <v>2699</v>
      </c>
      <c r="AL448" s="91">
        <v>39681</v>
      </c>
      <c r="AM448" s="91"/>
      <c r="AN448" s="91"/>
      <c r="AO448" s="91"/>
      <c r="AP448" s="73" t="e">
        <f>MID(VLOOKUP(K448,#REF!,2,FALSE),1,2)</f>
        <v>#REF!</v>
      </c>
      <c r="AQ448" s="89">
        <f>DATE(2008,4,4)</f>
        <v>39542</v>
      </c>
      <c r="AR448" s="82">
        <f t="shared" si="30"/>
        <v>4</v>
      </c>
      <c r="AS448" s="83">
        <f t="shared" si="31"/>
        <v>4</v>
      </c>
      <c r="AT448" s="84">
        <f t="shared" si="32"/>
        <v>2008</v>
      </c>
      <c r="AU448" s="86"/>
      <c r="AV448" s="86"/>
      <c r="AW448" s="87"/>
      <c r="AX448" s="86"/>
      <c r="AY448" s="83"/>
      <c r="AZ448" s="84"/>
      <c r="BA448" s="86"/>
      <c r="BB448" s="86"/>
    </row>
    <row r="449" spans="1:54" ht="36.75" customHeight="1">
      <c r="A449" s="30"/>
      <c r="B449" s="30" t="s">
        <v>55</v>
      </c>
      <c r="C449" s="69" t="str">
        <f t="shared" si="29"/>
        <v>Closed</v>
      </c>
      <c r="D449" s="27" t="s">
        <v>2700</v>
      </c>
      <c r="E449" s="29" t="s">
        <v>2701</v>
      </c>
      <c r="F449" s="30" t="s">
        <v>233</v>
      </c>
      <c r="G449" s="89">
        <f>DATE(2008,4,4)</f>
        <v>39542</v>
      </c>
      <c r="H449" s="90">
        <v>1.713888888888889</v>
      </c>
      <c r="I449" s="30" t="s">
        <v>86</v>
      </c>
      <c r="J449" s="89" t="s">
        <v>2702</v>
      </c>
      <c r="K449" s="30" t="s">
        <v>235</v>
      </c>
      <c r="L449" s="30" t="s">
        <v>2703</v>
      </c>
      <c r="M449" s="30" t="s">
        <v>63</v>
      </c>
      <c r="N449" s="30">
        <v>0</v>
      </c>
      <c r="O449" s="30" t="s">
        <v>64</v>
      </c>
      <c r="P449" s="89" t="s">
        <v>78</v>
      </c>
      <c r="Q449" s="89" t="s">
        <v>1014</v>
      </c>
      <c r="R449" s="89" t="s">
        <v>1014</v>
      </c>
      <c r="S449" s="30">
        <v>0</v>
      </c>
      <c r="T449" s="233">
        <v>0</v>
      </c>
      <c r="U449" s="30">
        <v>0</v>
      </c>
      <c r="V449" s="233">
        <v>0</v>
      </c>
      <c r="W449" s="30">
        <v>0</v>
      </c>
      <c r="X449" s="30">
        <v>0</v>
      </c>
      <c r="Y449" s="30">
        <v>0</v>
      </c>
      <c r="Z449" s="233">
        <v>0</v>
      </c>
      <c r="AA449" s="30">
        <v>0</v>
      </c>
      <c r="AB449" s="30">
        <v>0</v>
      </c>
      <c r="AC449" s="30">
        <v>1</v>
      </c>
      <c r="AD449" s="30">
        <v>1</v>
      </c>
      <c r="AE449" s="89" t="s">
        <v>68</v>
      </c>
      <c r="AF449" s="89"/>
      <c r="AG449" s="89" t="s">
        <v>133</v>
      </c>
      <c r="AH449" s="72" t="s">
        <v>68</v>
      </c>
      <c r="AI449" s="30">
        <v>3</v>
      </c>
      <c r="AJ449" s="89" t="s">
        <v>2704</v>
      </c>
      <c r="AK449" s="89" t="s">
        <v>2705</v>
      </c>
      <c r="AL449" s="91">
        <v>39681</v>
      </c>
      <c r="AM449" s="91"/>
      <c r="AN449" s="91"/>
      <c r="AO449" s="91"/>
      <c r="AP449" s="73" t="e">
        <f>MID(VLOOKUP(K449,#REF!,2,FALSE),1,2)</f>
        <v>#REF!</v>
      </c>
      <c r="AQ449" s="89">
        <f>DATE(2008,4,4)</f>
        <v>39542</v>
      </c>
      <c r="AR449" s="82">
        <f t="shared" si="30"/>
        <v>4</v>
      </c>
      <c r="AS449" s="83">
        <f t="shared" si="31"/>
        <v>4</v>
      </c>
      <c r="AT449" s="84">
        <f t="shared" si="32"/>
        <v>2008</v>
      </c>
      <c r="AU449" s="86"/>
      <c r="AV449" s="86"/>
      <c r="AW449" s="87"/>
      <c r="AX449" s="86"/>
      <c r="AY449" s="83"/>
      <c r="AZ449" s="84"/>
      <c r="BA449" s="86"/>
      <c r="BB449" s="86"/>
    </row>
    <row r="450" spans="1:54" ht="36.75" customHeight="1">
      <c r="A450" s="30"/>
      <c r="B450" s="30" t="s">
        <v>55</v>
      </c>
      <c r="C450" s="69" t="str">
        <f t="shared" ref="C450:C513" si="33">IF(B450="Notification","Open",IF(B450="Interim Statement","In progress","Closed"))</f>
        <v>Closed</v>
      </c>
      <c r="D450" s="27" t="s">
        <v>2706</v>
      </c>
      <c r="E450" s="29" t="s">
        <v>2707</v>
      </c>
      <c r="F450" s="30" t="s">
        <v>582</v>
      </c>
      <c r="G450" s="89">
        <f>DATE(2008,4,7)</f>
        <v>39545</v>
      </c>
      <c r="H450" s="90">
        <v>1.1729166666666666</v>
      </c>
      <c r="I450" s="30" t="s">
        <v>156</v>
      </c>
      <c r="J450" s="89" t="s">
        <v>2708</v>
      </c>
      <c r="K450" s="30" t="s">
        <v>584</v>
      </c>
      <c r="L450" s="30" t="s">
        <v>2709</v>
      </c>
      <c r="M450" s="30" t="s">
        <v>63</v>
      </c>
      <c r="N450" s="30" t="s">
        <v>142</v>
      </c>
      <c r="O450" s="30" t="s">
        <v>64</v>
      </c>
      <c r="P450" s="89" t="s">
        <v>301</v>
      </c>
      <c r="Q450" s="89" t="s">
        <v>587</v>
      </c>
      <c r="R450" s="89" t="s">
        <v>587</v>
      </c>
      <c r="S450" s="30">
        <v>0</v>
      </c>
      <c r="T450" s="233">
        <v>1</v>
      </c>
      <c r="U450" s="30">
        <v>0</v>
      </c>
      <c r="V450" s="233">
        <v>0</v>
      </c>
      <c r="W450" s="30">
        <v>0</v>
      </c>
      <c r="X450" s="30">
        <v>1</v>
      </c>
      <c r="Y450" s="30">
        <v>0</v>
      </c>
      <c r="Z450" s="233">
        <v>1</v>
      </c>
      <c r="AA450" s="30">
        <v>0</v>
      </c>
      <c r="AB450" s="30">
        <v>0</v>
      </c>
      <c r="AC450" s="30">
        <v>0</v>
      </c>
      <c r="AD450" s="30">
        <v>1</v>
      </c>
      <c r="AE450" s="89" t="s">
        <v>92</v>
      </c>
      <c r="AF450" s="89"/>
      <c r="AG450" s="89" t="s">
        <v>82</v>
      </c>
      <c r="AH450" s="72">
        <v>39547</v>
      </c>
      <c r="AI450" s="30">
        <v>0</v>
      </c>
      <c r="AJ450" s="89" t="s">
        <v>2710</v>
      </c>
      <c r="AK450" s="89" t="s">
        <v>1233</v>
      </c>
      <c r="AL450" s="91">
        <v>39547</v>
      </c>
      <c r="AM450" s="91"/>
      <c r="AN450" s="91"/>
      <c r="AO450" s="91"/>
      <c r="AP450" s="73" t="e">
        <f>MID(VLOOKUP(K450,#REF!,2,FALSE),1,2)</f>
        <v>#REF!</v>
      </c>
      <c r="AQ450" s="89">
        <f>DATE(2008,4,7)</f>
        <v>39545</v>
      </c>
      <c r="AR450" s="82">
        <f t="shared" ref="AR450:AR513" si="34">DAY(AQ450)</f>
        <v>7</v>
      </c>
      <c r="AS450" s="83">
        <f t="shared" ref="AS450:AS513" si="35">MONTH(AQ450)</f>
        <v>4</v>
      </c>
      <c r="AT450" s="84">
        <f t="shared" ref="AT450:AT513" si="36">YEAR(AQ450)</f>
        <v>2008</v>
      </c>
      <c r="AU450" s="86"/>
      <c r="AV450" s="86"/>
      <c r="AW450" s="87"/>
      <c r="AX450" s="86"/>
      <c r="AY450" s="83"/>
      <c r="AZ450" s="84"/>
      <c r="BA450" s="86"/>
      <c r="BB450" s="86"/>
    </row>
    <row r="451" spans="1:54" ht="36.75" customHeight="1">
      <c r="A451" s="30"/>
      <c r="B451" s="30" t="s">
        <v>55</v>
      </c>
      <c r="C451" s="69" t="str">
        <f t="shared" si="33"/>
        <v>Closed</v>
      </c>
      <c r="D451" s="27" t="s">
        <v>2711</v>
      </c>
      <c r="E451" s="29" t="s">
        <v>2712</v>
      </c>
      <c r="F451" s="30" t="s">
        <v>423</v>
      </c>
      <c r="G451" s="89">
        <f>DATE(2008,4,10)</f>
        <v>39548</v>
      </c>
      <c r="H451" s="90">
        <v>1.2729166666666667</v>
      </c>
      <c r="I451" s="30" t="s">
        <v>198</v>
      </c>
      <c r="J451" s="89" t="s">
        <v>2713</v>
      </c>
      <c r="K451" s="30" t="s">
        <v>425</v>
      </c>
      <c r="L451" s="30" t="s">
        <v>2714</v>
      </c>
      <c r="M451" s="30" t="s">
        <v>255</v>
      </c>
      <c r="N451" s="30">
        <v>0</v>
      </c>
      <c r="O451" s="30" t="s">
        <v>86</v>
      </c>
      <c r="P451" s="89" t="s">
        <v>86</v>
      </c>
      <c r="Q451" s="89" t="s">
        <v>2715</v>
      </c>
      <c r="R451" s="89" t="s">
        <v>2715</v>
      </c>
      <c r="S451" s="30">
        <v>0</v>
      </c>
      <c r="T451" s="233" t="s">
        <v>68</v>
      </c>
      <c r="U451" s="30">
        <v>0</v>
      </c>
      <c r="V451" s="233" t="s">
        <v>68</v>
      </c>
      <c r="W451" s="30">
        <v>0</v>
      </c>
      <c r="X451" s="30">
        <v>0</v>
      </c>
      <c r="Y451" s="30">
        <v>0</v>
      </c>
      <c r="Z451" s="233" t="s">
        <v>68</v>
      </c>
      <c r="AA451" s="30">
        <v>0</v>
      </c>
      <c r="AB451" s="30">
        <v>0</v>
      </c>
      <c r="AC451" s="30">
        <v>0</v>
      </c>
      <c r="AD451" s="30">
        <v>0</v>
      </c>
      <c r="AE451" s="89" t="s">
        <v>68</v>
      </c>
      <c r="AF451" s="89"/>
      <c r="AG451" s="89" t="s">
        <v>367</v>
      </c>
      <c r="AH451" s="72" t="s">
        <v>68</v>
      </c>
      <c r="AI451" s="30">
        <v>2</v>
      </c>
      <c r="AJ451" s="89" t="s">
        <v>68</v>
      </c>
      <c r="AK451" s="89" t="s">
        <v>68</v>
      </c>
      <c r="AL451" s="91">
        <v>39587</v>
      </c>
      <c r="AM451" s="91"/>
      <c r="AN451" s="91"/>
      <c r="AO451" s="91"/>
      <c r="AP451" s="73" t="e">
        <f>MID(VLOOKUP(K451,#REF!,2,FALSE),1,2)</f>
        <v>#REF!</v>
      </c>
      <c r="AQ451" s="89">
        <f>DATE(2008,4,10)</f>
        <v>39548</v>
      </c>
      <c r="AR451" s="82">
        <f t="shared" si="34"/>
        <v>10</v>
      </c>
      <c r="AS451" s="83">
        <f t="shared" si="35"/>
        <v>4</v>
      </c>
      <c r="AT451" s="84">
        <f t="shared" si="36"/>
        <v>2008</v>
      </c>
      <c r="AU451" s="86"/>
      <c r="AV451" s="86"/>
      <c r="AW451" s="87"/>
      <c r="AX451" s="86"/>
      <c r="AY451" s="83"/>
      <c r="AZ451" s="84"/>
      <c r="BA451" s="86"/>
      <c r="BB451" s="86"/>
    </row>
    <row r="452" spans="1:54" ht="36.75" customHeight="1">
      <c r="A452" s="30"/>
      <c r="B452" s="30" t="s">
        <v>55</v>
      </c>
      <c r="C452" s="69" t="str">
        <f t="shared" si="33"/>
        <v>Closed</v>
      </c>
      <c r="D452" s="27" t="s">
        <v>2716</v>
      </c>
      <c r="E452" s="29" t="s">
        <v>2717</v>
      </c>
      <c r="F452" s="30" t="s">
        <v>423</v>
      </c>
      <c r="G452" s="89">
        <f>DATE(2008,4,11)</f>
        <v>39549</v>
      </c>
      <c r="H452" s="90">
        <v>1.7437499999999999</v>
      </c>
      <c r="I452" s="30" t="s">
        <v>198</v>
      </c>
      <c r="J452" s="89" t="s">
        <v>2718</v>
      </c>
      <c r="K452" s="30" t="s">
        <v>425</v>
      </c>
      <c r="L452" s="30" t="s">
        <v>2719</v>
      </c>
      <c r="M452" s="30" t="s">
        <v>255</v>
      </c>
      <c r="N452" s="30">
        <v>0</v>
      </c>
      <c r="O452" s="30" t="s">
        <v>64</v>
      </c>
      <c r="P452" s="89" t="s">
        <v>86</v>
      </c>
      <c r="Q452" s="89" t="s">
        <v>1343</v>
      </c>
      <c r="R452" s="89" t="s">
        <v>1343</v>
      </c>
      <c r="S452" s="30">
        <v>3</v>
      </c>
      <c r="T452" s="233">
        <v>0</v>
      </c>
      <c r="U452" s="30">
        <v>0</v>
      </c>
      <c r="V452" s="233">
        <v>0</v>
      </c>
      <c r="W452" s="30">
        <v>0</v>
      </c>
      <c r="X452" s="30">
        <v>3</v>
      </c>
      <c r="Y452" s="30">
        <v>11</v>
      </c>
      <c r="Z452" s="233">
        <v>0</v>
      </c>
      <c r="AA452" s="30">
        <v>0</v>
      </c>
      <c r="AB452" s="30">
        <v>0</v>
      </c>
      <c r="AC452" s="30">
        <v>0</v>
      </c>
      <c r="AD452" s="30">
        <v>11</v>
      </c>
      <c r="AE452" s="89" t="s">
        <v>68</v>
      </c>
      <c r="AF452" s="89"/>
      <c r="AG452" s="89" t="s">
        <v>367</v>
      </c>
      <c r="AH452" s="72" t="s">
        <v>68</v>
      </c>
      <c r="AI452" s="30">
        <v>6</v>
      </c>
      <c r="AJ452" s="89" t="s">
        <v>68</v>
      </c>
      <c r="AK452" s="89" t="s">
        <v>68</v>
      </c>
      <c r="AL452" s="91">
        <v>39574</v>
      </c>
      <c r="AM452" s="91"/>
      <c r="AN452" s="91"/>
      <c r="AO452" s="91"/>
      <c r="AP452" s="73" t="e">
        <f>MID(VLOOKUP(K452,#REF!,2,FALSE),1,2)</f>
        <v>#REF!</v>
      </c>
      <c r="AQ452" s="89">
        <f>DATE(2008,4,11)</f>
        <v>39549</v>
      </c>
      <c r="AR452" s="82">
        <f t="shared" si="34"/>
        <v>11</v>
      </c>
      <c r="AS452" s="83">
        <f t="shared" si="35"/>
        <v>4</v>
      </c>
      <c r="AT452" s="84">
        <f t="shared" si="36"/>
        <v>2008</v>
      </c>
      <c r="AU452" s="86"/>
      <c r="AV452" s="86"/>
      <c r="AW452" s="87"/>
      <c r="AX452" s="86"/>
      <c r="AY452" s="83"/>
      <c r="AZ452" s="84"/>
      <c r="BA452" s="86"/>
      <c r="BB452" s="86"/>
    </row>
    <row r="453" spans="1:54" ht="36.75" customHeight="1">
      <c r="A453" s="30"/>
      <c r="B453" s="30" t="s">
        <v>55</v>
      </c>
      <c r="C453" s="69" t="str">
        <f t="shared" si="33"/>
        <v>Closed</v>
      </c>
      <c r="D453" s="27" t="s">
        <v>2720</v>
      </c>
      <c r="E453" s="29" t="s">
        <v>2721</v>
      </c>
      <c r="F453" s="30" t="s">
        <v>138</v>
      </c>
      <c r="G453" s="89">
        <f>DATE(2008,4,11)</f>
        <v>39549</v>
      </c>
      <c r="H453" s="90">
        <v>1.8368055555555554</v>
      </c>
      <c r="I453" s="30" t="s">
        <v>86</v>
      </c>
      <c r="J453" s="89" t="s">
        <v>2722</v>
      </c>
      <c r="K453" s="30" t="s">
        <v>140</v>
      </c>
      <c r="L453" s="30" t="s">
        <v>2723</v>
      </c>
      <c r="M453" s="30" t="s">
        <v>63</v>
      </c>
      <c r="N453" s="30" t="s">
        <v>99</v>
      </c>
      <c r="O453" s="30" t="s">
        <v>64</v>
      </c>
      <c r="P453" s="89" t="s">
        <v>165</v>
      </c>
      <c r="Q453" s="89" t="s">
        <v>2034</v>
      </c>
      <c r="R453" s="89" t="s">
        <v>144</v>
      </c>
      <c r="S453" s="30">
        <v>0</v>
      </c>
      <c r="T453" s="233">
        <v>0</v>
      </c>
      <c r="U453" s="30">
        <v>0</v>
      </c>
      <c r="V453" s="233">
        <v>0</v>
      </c>
      <c r="W453" s="30">
        <v>0</v>
      </c>
      <c r="X453" s="30">
        <v>0</v>
      </c>
      <c r="Y453" s="30">
        <v>0</v>
      </c>
      <c r="Z453" s="233">
        <v>0</v>
      </c>
      <c r="AA453" s="30">
        <v>0</v>
      </c>
      <c r="AB453" s="30">
        <v>0</v>
      </c>
      <c r="AC453" s="30">
        <v>0</v>
      </c>
      <c r="AD453" s="30">
        <v>0</v>
      </c>
      <c r="AE453" s="89" t="s">
        <v>68</v>
      </c>
      <c r="AF453" s="89"/>
      <c r="AG453" s="89" t="s">
        <v>133</v>
      </c>
      <c r="AH453" s="72">
        <v>39588</v>
      </c>
      <c r="AI453" s="30">
        <v>3</v>
      </c>
      <c r="AJ453" s="89" t="s">
        <v>2724</v>
      </c>
      <c r="AK453" s="89" t="s">
        <v>2725</v>
      </c>
      <c r="AL453" s="91">
        <v>39587</v>
      </c>
      <c r="AM453" s="91"/>
      <c r="AN453" s="91"/>
      <c r="AO453" s="91"/>
      <c r="AP453" s="73" t="e">
        <f>MID(VLOOKUP(K453,#REF!,2,FALSE),1,2)</f>
        <v>#REF!</v>
      </c>
      <c r="AQ453" s="89">
        <f>DATE(2008,4,11)</f>
        <v>39549</v>
      </c>
      <c r="AR453" s="82">
        <f t="shared" si="34"/>
        <v>11</v>
      </c>
      <c r="AS453" s="83">
        <f t="shared" si="35"/>
        <v>4</v>
      </c>
      <c r="AT453" s="84">
        <f t="shared" si="36"/>
        <v>2008</v>
      </c>
      <c r="AU453" s="86"/>
      <c r="AV453" s="86"/>
      <c r="AW453" s="87"/>
      <c r="AX453" s="86"/>
      <c r="AY453" s="83"/>
      <c r="AZ453" s="84"/>
      <c r="BA453" s="86"/>
      <c r="BB453" s="86"/>
    </row>
    <row r="454" spans="1:54" ht="36.75" customHeight="1">
      <c r="A454" s="30"/>
      <c r="B454" s="30" t="s">
        <v>55</v>
      </c>
      <c r="C454" s="69" t="str">
        <f t="shared" si="33"/>
        <v>Closed</v>
      </c>
      <c r="D454" s="27" t="s">
        <v>2726</v>
      </c>
      <c r="E454" s="29" t="s">
        <v>2727</v>
      </c>
      <c r="F454" s="30" t="s">
        <v>594</v>
      </c>
      <c r="G454" s="89">
        <f>DATE(2008,4,13)</f>
        <v>39551</v>
      </c>
      <c r="H454" s="90">
        <v>1.7576388888888888</v>
      </c>
      <c r="I454" s="30" t="s">
        <v>116</v>
      </c>
      <c r="J454" s="89" t="s">
        <v>2728</v>
      </c>
      <c r="K454" s="30" t="s">
        <v>596</v>
      </c>
      <c r="L454" s="30" t="s">
        <v>2729</v>
      </c>
      <c r="M454" s="30" t="s">
        <v>63</v>
      </c>
      <c r="N454" s="30">
        <v>0</v>
      </c>
      <c r="O454" s="30" t="s">
        <v>64</v>
      </c>
      <c r="P454" s="89" t="s">
        <v>165</v>
      </c>
      <c r="Q454" s="89" t="s">
        <v>598</v>
      </c>
      <c r="R454" s="89" t="s">
        <v>599</v>
      </c>
      <c r="S454" s="30">
        <v>0</v>
      </c>
      <c r="T454" s="233">
        <v>0</v>
      </c>
      <c r="U454" s="30">
        <v>1</v>
      </c>
      <c r="V454" s="233">
        <v>0</v>
      </c>
      <c r="W454" s="30">
        <v>0</v>
      </c>
      <c r="X454" s="30">
        <v>1</v>
      </c>
      <c r="Y454" s="30">
        <v>0</v>
      </c>
      <c r="Z454" s="233">
        <v>0</v>
      </c>
      <c r="AA454" s="30">
        <v>0</v>
      </c>
      <c r="AB454" s="30">
        <v>0</v>
      </c>
      <c r="AC454" s="30">
        <v>0</v>
      </c>
      <c r="AD454" s="30">
        <v>0</v>
      </c>
      <c r="AE454" s="89" t="s">
        <v>68</v>
      </c>
      <c r="AF454" s="89"/>
      <c r="AG454" s="89" t="s">
        <v>82</v>
      </c>
      <c r="AH454" s="72" t="s">
        <v>68</v>
      </c>
      <c r="AI454" s="30">
        <v>0</v>
      </c>
      <c r="AJ454" s="89" t="s">
        <v>68</v>
      </c>
      <c r="AK454" s="89" t="s">
        <v>68</v>
      </c>
      <c r="AL454" s="91">
        <v>39574</v>
      </c>
      <c r="AM454" s="91"/>
      <c r="AN454" s="91"/>
      <c r="AO454" s="91"/>
      <c r="AP454" s="73" t="e">
        <f>MID(VLOOKUP(K454,#REF!,2,FALSE),1,2)</f>
        <v>#REF!</v>
      </c>
      <c r="AQ454" s="89">
        <f>DATE(2008,4,13)</f>
        <v>39551</v>
      </c>
      <c r="AR454" s="82">
        <f t="shared" si="34"/>
        <v>13</v>
      </c>
      <c r="AS454" s="83">
        <f t="shared" si="35"/>
        <v>4</v>
      </c>
      <c r="AT454" s="84">
        <f t="shared" si="36"/>
        <v>2008</v>
      </c>
      <c r="AU454" s="86"/>
      <c r="AV454" s="86"/>
      <c r="AW454" s="87"/>
      <c r="AX454" s="86"/>
      <c r="AY454" s="83"/>
      <c r="AZ454" s="84"/>
      <c r="BA454" s="86"/>
      <c r="BB454" s="86"/>
    </row>
    <row r="455" spans="1:54" ht="36.75" customHeight="1">
      <c r="A455" s="30"/>
      <c r="B455" s="30" t="s">
        <v>55</v>
      </c>
      <c r="C455" s="69" t="str">
        <f t="shared" si="33"/>
        <v>Closed</v>
      </c>
      <c r="D455" s="27" t="s">
        <v>2730</v>
      </c>
      <c r="E455" s="29" t="s">
        <v>2731</v>
      </c>
      <c r="F455" s="30" t="s">
        <v>638</v>
      </c>
      <c r="G455" s="89">
        <f>DATE(2008,4,16)</f>
        <v>39554</v>
      </c>
      <c r="H455" s="90">
        <v>1.6166666666666667</v>
      </c>
      <c r="I455" s="30" t="s">
        <v>116</v>
      </c>
      <c r="J455" s="89" t="s">
        <v>2732</v>
      </c>
      <c r="K455" s="30" t="s">
        <v>640</v>
      </c>
      <c r="L455" s="30" t="s">
        <v>2733</v>
      </c>
      <c r="M455" s="30" t="s">
        <v>63</v>
      </c>
      <c r="N455" s="30">
        <v>0</v>
      </c>
      <c r="O455" s="30" t="s">
        <v>77</v>
      </c>
      <c r="P455" s="89" t="s">
        <v>165</v>
      </c>
      <c r="Q455" s="89" t="s">
        <v>642</v>
      </c>
      <c r="R455" s="89" t="s">
        <v>643</v>
      </c>
      <c r="S455" s="30">
        <v>0</v>
      </c>
      <c r="T455" s="233">
        <v>0</v>
      </c>
      <c r="U455" s="30">
        <v>1</v>
      </c>
      <c r="V455" s="233">
        <v>0</v>
      </c>
      <c r="W455" s="30">
        <v>0</v>
      </c>
      <c r="X455" s="30">
        <v>1</v>
      </c>
      <c r="Y455" s="30">
        <v>0</v>
      </c>
      <c r="Z455" s="233">
        <v>0</v>
      </c>
      <c r="AA455" s="30">
        <v>0</v>
      </c>
      <c r="AB455" s="30">
        <v>0</v>
      </c>
      <c r="AC455" s="30">
        <v>0</v>
      </c>
      <c r="AD455" s="30">
        <v>0</v>
      </c>
      <c r="AE455" s="89" t="s">
        <v>68</v>
      </c>
      <c r="AF455" s="89"/>
      <c r="AG455" s="89" t="s">
        <v>248</v>
      </c>
      <c r="AH455" s="72" t="s">
        <v>68</v>
      </c>
      <c r="AI455" s="30">
        <v>1</v>
      </c>
      <c r="AJ455" s="89" t="s">
        <v>2734</v>
      </c>
      <c r="AK455" s="89" t="s">
        <v>68</v>
      </c>
      <c r="AL455" s="91">
        <v>39561</v>
      </c>
      <c r="AM455" s="91"/>
      <c r="AN455" s="91"/>
      <c r="AO455" s="91"/>
      <c r="AP455" s="73" t="e">
        <f>MID(VLOOKUP(K455,#REF!,2,FALSE),1,2)</f>
        <v>#REF!</v>
      </c>
      <c r="AQ455" s="89">
        <f>DATE(2008,4,16)</f>
        <v>39554</v>
      </c>
      <c r="AR455" s="82">
        <f t="shared" si="34"/>
        <v>16</v>
      </c>
      <c r="AS455" s="83">
        <f t="shared" si="35"/>
        <v>4</v>
      </c>
      <c r="AT455" s="84">
        <f t="shared" si="36"/>
        <v>2008</v>
      </c>
      <c r="AU455" s="86"/>
      <c r="AV455" s="86"/>
      <c r="AW455" s="87"/>
      <c r="AX455" s="86"/>
      <c r="AY455" s="83"/>
      <c r="AZ455" s="84"/>
      <c r="BA455" s="86"/>
      <c r="BB455" s="86"/>
    </row>
    <row r="456" spans="1:54" ht="36.75" customHeight="1">
      <c r="A456" s="30"/>
      <c r="B456" s="30" t="s">
        <v>55</v>
      </c>
      <c r="C456" s="69" t="str">
        <f t="shared" si="33"/>
        <v>Closed</v>
      </c>
      <c r="D456" s="27" t="s">
        <v>2735</v>
      </c>
      <c r="E456" s="29" t="s">
        <v>2736</v>
      </c>
      <c r="F456" s="30" t="s">
        <v>233</v>
      </c>
      <c r="G456" s="89">
        <f>DATE(2008,4,16)</f>
        <v>39554</v>
      </c>
      <c r="H456" s="90">
        <v>1.3423611111111111</v>
      </c>
      <c r="I456" s="30" t="s">
        <v>116</v>
      </c>
      <c r="J456" s="89" t="s">
        <v>2737</v>
      </c>
      <c r="K456" s="30" t="s">
        <v>235</v>
      </c>
      <c r="L456" s="30" t="s">
        <v>2738</v>
      </c>
      <c r="M456" s="30" t="s">
        <v>63</v>
      </c>
      <c r="N456" s="30">
        <v>0</v>
      </c>
      <c r="O456" s="30" t="s">
        <v>64</v>
      </c>
      <c r="P456" s="89" t="s">
        <v>165</v>
      </c>
      <c r="Q456" s="89" t="s">
        <v>351</v>
      </c>
      <c r="R456" s="89" t="s">
        <v>238</v>
      </c>
      <c r="S456" s="30">
        <v>0</v>
      </c>
      <c r="T456" s="233">
        <v>0</v>
      </c>
      <c r="U456" s="30">
        <v>1</v>
      </c>
      <c r="V456" s="233">
        <v>0</v>
      </c>
      <c r="W456" s="30">
        <v>0</v>
      </c>
      <c r="X456" s="30">
        <v>1</v>
      </c>
      <c r="Y456" s="30">
        <v>0</v>
      </c>
      <c r="Z456" s="233">
        <v>0</v>
      </c>
      <c r="AA456" s="30">
        <v>0</v>
      </c>
      <c r="AB456" s="30">
        <v>0</v>
      </c>
      <c r="AC456" s="30">
        <v>0</v>
      </c>
      <c r="AD456" s="30">
        <v>0</v>
      </c>
      <c r="AE456" s="89" t="s">
        <v>68</v>
      </c>
      <c r="AF456" s="89"/>
      <c r="AG456" s="89" t="s">
        <v>82</v>
      </c>
      <c r="AH456" s="72" t="s">
        <v>68</v>
      </c>
      <c r="AI456" s="30">
        <v>4</v>
      </c>
      <c r="AJ456" s="89" t="s">
        <v>2739</v>
      </c>
      <c r="AK456" s="89" t="s">
        <v>2740</v>
      </c>
      <c r="AL456" s="91">
        <v>39682</v>
      </c>
      <c r="AM456" s="91"/>
      <c r="AN456" s="91"/>
      <c r="AO456" s="91"/>
      <c r="AP456" s="73" t="e">
        <f>MID(VLOOKUP(K456,#REF!,2,FALSE),1,2)</f>
        <v>#REF!</v>
      </c>
      <c r="AQ456" s="89">
        <f>DATE(2008,4,16)</f>
        <v>39554</v>
      </c>
      <c r="AR456" s="82">
        <f t="shared" si="34"/>
        <v>16</v>
      </c>
      <c r="AS456" s="83">
        <f t="shared" si="35"/>
        <v>4</v>
      </c>
      <c r="AT456" s="84">
        <f t="shared" si="36"/>
        <v>2008</v>
      </c>
      <c r="AU456" s="86"/>
      <c r="AV456" s="86"/>
      <c r="AW456" s="87"/>
      <c r="AX456" s="86"/>
      <c r="AY456" s="83"/>
      <c r="AZ456" s="84"/>
      <c r="BA456" s="86"/>
      <c r="BB456" s="86"/>
    </row>
    <row r="457" spans="1:54" ht="36.75" customHeight="1">
      <c r="A457" s="30"/>
      <c r="B457" s="30" t="s">
        <v>55</v>
      </c>
      <c r="C457" s="69" t="str">
        <f t="shared" si="33"/>
        <v>Closed</v>
      </c>
      <c r="D457" s="27" t="s">
        <v>2741</v>
      </c>
      <c r="E457" s="29" t="s">
        <v>2742</v>
      </c>
      <c r="F457" s="30" t="s">
        <v>638</v>
      </c>
      <c r="G457" s="89">
        <f>DATE(2008,4,22)</f>
        <v>39560</v>
      </c>
      <c r="H457" s="90">
        <v>1.5854166666666667</v>
      </c>
      <c r="I457" s="30" t="s">
        <v>278</v>
      </c>
      <c r="J457" s="89" t="s">
        <v>2743</v>
      </c>
      <c r="K457" s="30" t="s">
        <v>640</v>
      </c>
      <c r="L457" s="30" t="s">
        <v>2744</v>
      </c>
      <c r="M457" s="30" t="s">
        <v>63</v>
      </c>
      <c r="N457" s="30">
        <v>0</v>
      </c>
      <c r="O457" s="30" t="s">
        <v>77</v>
      </c>
      <c r="P457" s="89" t="s">
        <v>78</v>
      </c>
      <c r="Q457" s="89" t="s">
        <v>642</v>
      </c>
      <c r="R457" s="89" t="s">
        <v>643</v>
      </c>
      <c r="S457" s="30">
        <v>0</v>
      </c>
      <c r="T457" s="233">
        <v>0</v>
      </c>
      <c r="U457" s="30">
        <v>0</v>
      </c>
      <c r="V457" s="233">
        <v>1</v>
      </c>
      <c r="W457" s="30">
        <v>0</v>
      </c>
      <c r="X457" s="30">
        <v>1</v>
      </c>
      <c r="Y457" s="30">
        <v>0</v>
      </c>
      <c r="Z457" s="233">
        <v>0</v>
      </c>
      <c r="AA457" s="30">
        <v>0</v>
      </c>
      <c r="AB457" s="30">
        <v>0</v>
      </c>
      <c r="AC457" s="30">
        <v>0</v>
      </c>
      <c r="AD457" s="30">
        <v>0</v>
      </c>
      <c r="AE457" s="89" t="s">
        <v>68</v>
      </c>
      <c r="AF457" s="89"/>
      <c r="AG457" s="89" t="s">
        <v>248</v>
      </c>
      <c r="AH457" s="72" t="s">
        <v>68</v>
      </c>
      <c r="AI457" s="30">
        <v>1</v>
      </c>
      <c r="AJ457" s="89" t="s">
        <v>2745</v>
      </c>
      <c r="AK457" s="89" t="s">
        <v>68</v>
      </c>
      <c r="AL457" s="91">
        <v>39688</v>
      </c>
      <c r="AM457" s="91"/>
      <c r="AN457" s="91"/>
      <c r="AO457" s="91"/>
      <c r="AP457" s="73" t="e">
        <f>MID(VLOOKUP(K457,#REF!,2,FALSE),1,2)</f>
        <v>#REF!</v>
      </c>
      <c r="AQ457" s="89">
        <f>DATE(2008,4,22)</f>
        <v>39560</v>
      </c>
      <c r="AR457" s="82">
        <f t="shared" si="34"/>
        <v>22</v>
      </c>
      <c r="AS457" s="83">
        <f t="shared" si="35"/>
        <v>4</v>
      </c>
      <c r="AT457" s="84">
        <f t="shared" si="36"/>
        <v>2008</v>
      </c>
      <c r="AU457" s="86"/>
      <c r="AV457" s="86"/>
      <c r="AW457" s="87"/>
      <c r="AX457" s="86"/>
      <c r="AY457" s="83"/>
      <c r="AZ457" s="84"/>
      <c r="BA457" s="86"/>
      <c r="BB457" s="86"/>
    </row>
    <row r="458" spans="1:54" ht="36.75" customHeight="1">
      <c r="A458" s="30"/>
      <c r="B458" s="30" t="s">
        <v>55</v>
      </c>
      <c r="C458" s="69" t="str">
        <f t="shared" si="33"/>
        <v>Closed</v>
      </c>
      <c r="D458" s="27" t="s">
        <v>2746</v>
      </c>
      <c r="E458" s="29" t="s">
        <v>2747</v>
      </c>
      <c r="F458" s="30" t="s">
        <v>582</v>
      </c>
      <c r="G458" s="89">
        <f>DATE(2008,4,26)</f>
        <v>39564</v>
      </c>
      <c r="H458" s="90">
        <v>1.8791666666666669</v>
      </c>
      <c r="I458" s="30" t="s">
        <v>156</v>
      </c>
      <c r="J458" s="89" t="s">
        <v>2748</v>
      </c>
      <c r="K458" s="30" t="s">
        <v>584</v>
      </c>
      <c r="L458" s="30" t="s">
        <v>2749</v>
      </c>
      <c r="M458" s="30" t="s">
        <v>63</v>
      </c>
      <c r="N458" s="30">
        <v>0</v>
      </c>
      <c r="O458" s="30" t="s">
        <v>64</v>
      </c>
      <c r="P458" s="89" t="s">
        <v>462</v>
      </c>
      <c r="Q458" s="89" t="s">
        <v>2021</v>
      </c>
      <c r="R458" s="89" t="s">
        <v>587</v>
      </c>
      <c r="S458" s="30">
        <v>0</v>
      </c>
      <c r="T458" s="233" t="s">
        <v>68</v>
      </c>
      <c r="U458" s="30">
        <v>0</v>
      </c>
      <c r="V458" s="233" t="s">
        <v>68</v>
      </c>
      <c r="W458" s="30">
        <v>0</v>
      </c>
      <c r="X458" s="30">
        <v>0</v>
      </c>
      <c r="Y458" s="30">
        <v>0</v>
      </c>
      <c r="Z458" s="233" t="s">
        <v>68</v>
      </c>
      <c r="AA458" s="30">
        <v>0</v>
      </c>
      <c r="AB458" s="30">
        <v>0</v>
      </c>
      <c r="AC458" s="30">
        <v>0</v>
      </c>
      <c r="AD458" s="30">
        <v>0</v>
      </c>
      <c r="AE458" s="89" t="s">
        <v>68</v>
      </c>
      <c r="AF458" s="89"/>
      <c r="AG458" s="89" t="s">
        <v>82</v>
      </c>
      <c r="AH458" s="72" t="s">
        <v>68</v>
      </c>
      <c r="AI458" s="30">
        <v>5</v>
      </c>
      <c r="AJ458" s="89" t="s">
        <v>68</v>
      </c>
      <c r="AK458" s="89" t="s">
        <v>68</v>
      </c>
      <c r="AL458" s="91">
        <v>39567</v>
      </c>
      <c r="AM458" s="91"/>
      <c r="AN458" s="91"/>
      <c r="AO458" s="91"/>
      <c r="AP458" s="73" t="e">
        <f>MID(VLOOKUP(K458,#REF!,2,FALSE),1,2)</f>
        <v>#REF!</v>
      </c>
      <c r="AQ458" s="89">
        <f>DATE(2008,4,26)</f>
        <v>39564</v>
      </c>
      <c r="AR458" s="82">
        <f t="shared" si="34"/>
        <v>26</v>
      </c>
      <c r="AS458" s="83">
        <f t="shared" si="35"/>
        <v>4</v>
      </c>
      <c r="AT458" s="84">
        <f t="shared" si="36"/>
        <v>2008</v>
      </c>
      <c r="AU458" s="86"/>
      <c r="AV458" s="86"/>
      <c r="AW458" s="87"/>
      <c r="AX458" s="86"/>
      <c r="AY458" s="83"/>
      <c r="AZ458" s="84"/>
      <c r="BA458" s="86"/>
      <c r="BB458" s="86"/>
    </row>
    <row r="459" spans="1:54" ht="36.75" customHeight="1">
      <c r="A459" s="30"/>
      <c r="B459" s="30" t="s">
        <v>55</v>
      </c>
      <c r="C459" s="69" t="str">
        <f t="shared" si="33"/>
        <v>Closed</v>
      </c>
      <c r="D459" s="27" t="s">
        <v>2750</v>
      </c>
      <c r="E459" s="29" t="s">
        <v>2751</v>
      </c>
      <c r="F459" s="30" t="s">
        <v>115</v>
      </c>
      <c r="G459" s="89">
        <f>DATE(2008,4,26)</f>
        <v>39564</v>
      </c>
      <c r="H459" s="90">
        <v>1.2958333333333334</v>
      </c>
      <c r="I459" s="30" t="s">
        <v>86</v>
      </c>
      <c r="J459" s="89" t="s">
        <v>2752</v>
      </c>
      <c r="K459" s="30" t="s">
        <v>118</v>
      </c>
      <c r="L459" s="30" t="s">
        <v>2753</v>
      </c>
      <c r="M459" s="30" t="s">
        <v>63</v>
      </c>
      <c r="N459" s="30">
        <v>0</v>
      </c>
      <c r="O459" s="30" t="s">
        <v>64</v>
      </c>
      <c r="P459" s="89" t="s">
        <v>78</v>
      </c>
      <c r="Q459" s="89" t="s">
        <v>2754</v>
      </c>
      <c r="R459" s="89" t="s">
        <v>121</v>
      </c>
      <c r="S459" s="30">
        <v>0</v>
      </c>
      <c r="T459" s="233" t="s">
        <v>68</v>
      </c>
      <c r="U459" s="30">
        <v>0</v>
      </c>
      <c r="V459" s="233" t="s">
        <v>68</v>
      </c>
      <c r="W459" s="30">
        <v>0</v>
      </c>
      <c r="X459" s="30">
        <v>0</v>
      </c>
      <c r="Y459" s="30">
        <v>0</v>
      </c>
      <c r="Z459" s="233" t="s">
        <v>68</v>
      </c>
      <c r="AA459" s="30">
        <v>0</v>
      </c>
      <c r="AB459" s="30">
        <v>0</v>
      </c>
      <c r="AC459" s="30">
        <v>0</v>
      </c>
      <c r="AD459" s="30">
        <v>0</v>
      </c>
      <c r="AE459" s="89" t="s">
        <v>68</v>
      </c>
      <c r="AF459" s="89"/>
      <c r="AG459" s="89" t="s">
        <v>133</v>
      </c>
      <c r="AH459" s="72" t="s">
        <v>68</v>
      </c>
      <c r="AI459" s="30">
        <v>0</v>
      </c>
      <c r="AJ459" s="89" t="s">
        <v>68</v>
      </c>
      <c r="AK459" s="89" t="s">
        <v>68</v>
      </c>
      <c r="AL459" s="91">
        <v>39588</v>
      </c>
      <c r="AM459" s="91"/>
      <c r="AN459" s="91"/>
      <c r="AO459" s="91"/>
      <c r="AP459" s="73" t="e">
        <f>MID(VLOOKUP(K459,#REF!,2,FALSE),1,2)</f>
        <v>#REF!</v>
      </c>
      <c r="AQ459" s="89">
        <f>DATE(2008,4,26)</f>
        <v>39564</v>
      </c>
      <c r="AR459" s="82">
        <f t="shared" si="34"/>
        <v>26</v>
      </c>
      <c r="AS459" s="83">
        <f t="shared" si="35"/>
        <v>4</v>
      </c>
      <c r="AT459" s="84">
        <f t="shared" si="36"/>
        <v>2008</v>
      </c>
      <c r="AU459" s="86"/>
      <c r="AV459" s="86"/>
      <c r="AW459" s="87"/>
      <c r="AX459" s="86"/>
      <c r="AY459" s="83"/>
      <c r="AZ459" s="84"/>
      <c r="BA459" s="86"/>
      <c r="BB459" s="86"/>
    </row>
    <row r="460" spans="1:54" ht="36.75" customHeight="1">
      <c r="A460" s="30"/>
      <c r="B460" s="30" t="s">
        <v>55</v>
      </c>
      <c r="C460" s="69" t="str">
        <f t="shared" si="33"/>
        <v>Closed</v>
      </c>
      <c r="D460" s="27" t="s">
        <v>2755</v>
      </c>
      <c r="E460" s="29" t="s">
        <v>2756</v>
      </c>
      <c r="F460" s="30" t="s">
        <v>233</v>
      </c>
      <c r="G460" s="89">
        <f>DATE(2008,4,26)</f>
        <v>39564</v>
      </c>
      <c r="H460" s="90">
        <v>1.26875</v>
      </c>
      <c r="I460" s="30" t="s">
        <v>198</v>
      </c>
      <c r="J460" s="89" t="s">
        <v>2757</v>
      </c>
      <c r="K460" s="30" t="s">
        <v>235</v>
      </c>
      <c r="L460" s="30" t="s">
        <v>2758</v>
      </c>
      <c r="M460" s="30" t="s">
        <v>63</v>
      </c>
      <c r="N460" s="30">
        <v>0</v>
      </c>
      <c r="O460" s="30" t="s">
        <v>86</v>
      </c>
      <c r="P460" s="89" t="s">
        <v>78</v>
      </c>
      <c r="Q460" s="89" t="s">
        <v>2759</v>
      </c>
      <c r="R460" s="89" t="s">
        <v>238</v>
      </c>
      <c r="S460" s="30">
        <v>0</v>
      </c>
      <c r="T460" s="233" t="s">
        <v>68</v>
      </c>
      <c r="U460" s="30">
        <v>0</v>
      </c>
      <c r="V460" s="233" t="s">
        <v>68</v>
      </c>
      <c r="W460" s="30">
        <v>0</v>
      </c>
      <c r="X460" s="30">
        <v>0</v>
      </c>
      <c r="Y460" s="30">
        <v>0</v>
      </c>
      <c r="Z460" s="233" t="s">
        <v>68</v>
      </c>
      <c r="AA460" s="30">
        <v>0</v>
      </c>
      <c r="AB460" s="30">
        <v>0</v>
      </c>
      <c r="AC460" s="30">
        <v>0</v>
      </c>
      <c r="AD460" s="30">
        <v>0</v>
      </c>
      <c r="AE460" s="89" t="s">
        <v>68</v>
      </c>
      <c r="AF460" s="89"/>
      <c r="AG460" s="89" t="s">
        <v>352</v>
      </c>
      <c r="AH460" s="72" t="s">
        <v>68</v>
      </c>
      <c r="AI460" s="30">
        <v>7</v>
      </c>
      <c r="AJ460" s="89" t="s">
        <v>2760</v>
      </c>
      <c r="AK460" s="89" t="s">
        <v>2761</v>
      </c>
      <c r="AL460" s="91">
        <v>39682</v>
      </c>
      <c r="AM460" s="91"/>
      <c r="AN460" s="91"/>
      <c r="AO460" s="91"/>
      <c r="AP460" s="73" t="e">
        <f>MID(VLOOKUP(K460,#REF!,2,FALSE),1,2)</f>
        <v>#REF!</v>
      </c>
      <c r="AQ460" s="89">
        <f>DATE(2008,4,26)</f>
        <v>39564</v>
      </c>
      <c r="AR460" s="82">
        <f t="shared" si="34"/>
        <v>26</v>
      </c>
      <c r="AS460" s="83">
        <f t="shared" si="35"/>
        <v>4</v>
      </c>
      <c r="AT460" s="84">
        <f t="shared" si="36"/>
        <v>2008</v>
      </c>
      <c r="AU460" s="86"/>
      <c r="AV460" s="86"/>
      <c r="AW460" s="87"/>
      <c r="AX460" s="86"/>
      <c r="AY460" s="83"/>
      <c r="AZ460" s="84"/>
      <c r="BA460" s="86"/>
      <c r="BB460" s="86"/>
    </row>
    <row r="461" spans="1:54" ht="36.75" customHeight="1">
      <c r="A461" s="30"/>
      <c r="B461" s="30" t="s">
        <v>55</v>
      </c>
      <c r="C461" s="69" t="str">
        <f t="shared" si="33"/>
        <v>Closed</v>
      </c>
      <c r="D461" s="27" t="s">
        <v>2762</v>
      </c>
      <c r="E461" s="29" t="s">
        <v>2763</v>
      </c>
      <c r="F461" s="30" t="s">
        <v>835</v>
      </c>
      <c r="G461" s="89">
        <f>DATE(2008,4,29)</f>
        <v>39567</v>
      </c>
      <c r="H461" s="90">
        <v>1.3506944444444444</v>
      </c>
      <c r="I461" s="30" t="s">
        <v>116</v>
      </c>
      <c r="J461" s="89" t="s">
        <v>2764</v>
      </c>
      <c r="K461" s="30" t="s">
        <v>837</v>
      </c>
      <c r="L461" s="30" t="s">
        <v>2635</v>
      </c>
      <c r="M461" s="30" t="s">
        <v>63</v>
      </c>
      <c r="N461" s="30">
        <v>0</v>
      </c>
      <c r="O461" s="30" t="s">
        <v>64</v>
      </c>
      <c r="P461" s="89" t="s">
        <v>165</v>
      </c>
      <c r="Q461" s="89" t="s">
        <v>2162</v>
      </c>
      <c r="R461" s="89" t="s">
        <v>840</v>
      </c>
      <c r="S461" s="30">
        <v>0</v>
      </c>
      <c r="T461" s="233">
        <v>0</v>
      </c>
      <c r="U461" s="30">
        <v>1</v>
      </c>
      <c r="V461" s="233">
        <v>0</v>
      </c>
      <c r="W461" s="30">
        <v>0</v>
      </c>
      <c r="X461" s="30">
        <v>1</v>
      </c>
      <c r="Y461" s="30">
        <v>0</v>
      </c>
      <c r="Z461" s="233">
        <v>0</v>
      </c>
      <c r="AA461" s="30">
        <v>0</v>
      </c>
      <c r="AB461" s="30">
        <v>0</v>
      </c>
      <c r="AC461" s="30">
        <v>0</v>
      </c>
      <c r="AD461" s="30">
        <v>0</v>
      </c>
      <c r="AE461" s="89" t="s">
        <v>68</v>
      </c>
      <c r="AF461" s="89"/>
      <c r="AG461" s="89" t="s">
        <v>352</v>
      </c>
      <c r="AH461" s="72" t="s">
        <v>68</v>
      </c>
      <c r="AI461" s="30">
        <v>1</v>
      </c>
      <c r="AJ461" s="89" t="s">
        <v>68</v>
      </c>
      <c r="AK461" s="89" t="s">
        <v>68</v>
      </c>
      <c r="AL461" s="91">
        <v>39594</v>
      </c>
      <c r="AM461" s="91"/>
      <c r="AN461" s="91"/>
      <c r="AO461" s="91"/>
      <c r="AP461" s="73" t="e">
        <f>MID(VLOOKUP(K461,#REF!,2,FALSE),1,2)</f>
        <v>#REF!</v>
      </c>
      <c r="AQ461" s="89">
        <f>DATE(2008,4,29)</f>
        <v>39567</v>
      </c>
      <c r="AR461" s="82">
        <f t="shared" si="34"/>
        <v>29</v>
      </c>
      <c r="AS461" s="83">
        <f t="shared" si="35"/>
        <v>4</v>
      </c>
      <c r="AT461" s="84">
        <f t="shared" si="36"/>
        <v>2008</v>
      </c>
      <c r="AU461" s="86"/>
      <c r="AV461" s="86"/>
      <c r="AW461" s="87"/>
      <c r="AX461" s="86"/>
      <c r="AY461" s="83"/>
      <c r="AZ461" s="84"/>
      <c r="BA461" s="86"/>
      <c r="BB461" s="86"/>
    </row>
    <row r="462" spans="1:54" ht="36.75" customHeight="1">
      <c r="A462" s="30"/>
      <c r="B462" s="30" t="s">
        <v>55</v>
      </c>
      <c r="C462" s="69" t="str">
        <f t="shared" si="33"/>
        <v>Closed</v>
      </c>
      <c r="D462" s="27" t="s">
        <v>2765</v>
      </c>
      <c r="E462" s="29" t="s">
        <v>2766</v>
      </c>
      <c r="F462" s="30" t="s">
        <v>124</v>
      </c>
      <c r="G462" s="89">
        <f>DATE(2008,4,29)</f>
        <v>39567</v>
      </c>
      <c r="H462" s="90">
        <v>1.3895833333333334</v>
      </c>
      <c r="I462" s="30" t="s">
        <v>73</v>
      </c>
      <c r="J462" s="89" t="s">
        <v>2767</v>
      </c>
      <c r="K462" s="30" t="s">
        <v>127</v>
      </c>
      <c r="L462" s="30" t="s">
        <v>2768</v>
      </c>
      <c r="M462" s="30" t="s">
        <v>63</v>
      </c>
      <c r="N462" s="30">
        <v>0</v>
      </c>
      <c r="O462" s="30" t="s">
        <v>77</v>
      </c>
      <c r="P462" s="89" t="s">
        <v>78</v>
      </c>
      <c r="Q462" s="89" t="s">
        <v>401</v>
      </c>
      <c r="R462" s="89" t="s">
        <v>167</v>
      </c>
      <c r="S462" s="30">
        <v>0</v>
      </c>
      <c r="T462" s="233" t="s">
        <v>68</v>
      </c>
      <c r="U462" s="30">
        <v>0</v>
      </c>
      <c r="V462" s="233" t="s">
        <v>68</v>
      </c>
      <c r="W462" s="30">
        <v>0</v>
      </c>
      <c r="X462" s="30">
        <v>0</v>
      </c>
      <c r="Y462" s="30">
        <v>0</v>
      </c>
      <c r="Z462" s="233" t="s">
        <v>68</v>
      </c>
      <c r="AA462" s="30">
        <v>0</v>
      </c>
      <c r="AB462" s="30">
        <v>0</v>
      </c>
      <c r="AC462" s="30">
        <v>0</v>
      </c>
      <c r="AD462" s="30">
        <v>0</v>
      </c>
      <c r="AE462" s="89" t="s">
        <v>68</v>
      </c>
      <c r="AF462" s="89"/>
      <c r="AG462" s="89" t="s">
        <v>133</v>
      </c>
      <c r="AH462" s="72" t="s">
        <v>68</v>
      </c>
      <c r="AI462" s="30">
        <v>4</v>
      </c>
      <c r="AJ462" s="89" t="s">
        <v>68</v>
      </c>
      <c r="AK462" s="89" t="s">
        <v>68</v>
      </c>
      <c r="AL462" s="91">
        <v>39603</v>
      </c>
      <c r="AM462" s="91"/>
      <c r="AN462" s="91"/>
      <c r="AO462" s="91"/>
      <c r="AP462" s="73" t="e">
        <f>MID(VLOOKUP(K462,#REF!,2,FALSE),1,2)</f>
        <v>#REF!</v>
      </c>
      <c r="AQ462" s="89">
        <f>DATE(2008,4,29)</f>
        <v>39567</v>
      </c>
      <c r="AR462" s="82">
        <f t="shared" si="34"/>
        <v>29</v>
      </c>
      <c r="AS462" s="83">
        <f t="shared" si="35"/>
        <v>4</v>
      </c>
      <c r="AT462" s="84">
        <f t="shared" si="36"/>
        <v>2008</v>
      </c>
      <c r="AU462" s="86"/>
      <c r="AV462" s="86"/>
      <c r="AW462" s="87"/>
      <c r="AX462" s="86"/>
      <c r="AY462" s="83"/>
      <c r="AZ462" s="84"/>
      <c r="BA462" s="86"/>
      <c r="BB462" s="86"/>
    </row>
    <row r="463" spans="1:54" ht="36.75" customHeight="1">
      <c r="A463" s="30"/>
      <c r="B463" s="30" t="s">
        <v>55</v>
      </c>
      <c r="C463" s="69" t="str">
        <f t="shared" si="33"/>
        <v>Closed</v>
      </c>
      <c r="D463" s="27" t="s">
        <v>2769</v>
      </c>
      <c r="E463" s="29" t="s">
        <v>2770</v>
      </c>
      <c r="F463" s="30" t="s">
        <v>58</v>
      </c>
      <c r="G463" s="89">
        <f>DATE(2008,4,30)</f>
        <v>39568</v>
      </c>
      <c r="H463" s="90">
        <v>1.2944444444444445</v>
      </c>
      <c r="I463" s="30" t="s">
        <v>156</v>
      </c>
      <c r="J463" s="89" t="s">
        <v>2771</v>
      </c>
      <c r="K463" s="30" t="s">
        <v>61</v>
      </c>
      <c r="L463" s="30" t="s">
        <v>2772</v>
      </c>
      <c r="M463" s="30" t="s">
        <v>63</v>
      </c>
      <c r="N463" s="30" t="s">
        <v>89</v>
      </c>
      <c r="O463" s="30" t="s">
        <v>90</v>
      </c>
      <c r="P463" s="89" t="s">
        <v>91</v>
      </c>
      <c r="Q463" s="89" t="s">
        <v>66</v>
      </c>
      <c r="R463" s="89" t="s">
        <v>67</v>
      </c>
      <c r="S463" s="30">
        <v>0</v>
      </c>
      <c r="T463" s="233">
        <v>0</v>
      </c>
      <c r="U463" s="30">
        <v>0</v>
      </c>
      <c r="V463" s="233">
        <v>0</v>
      </c>
      <c r="W463" s="30">
        <v>0</v>
      </c>
      <c r="X463" s="30">
        <v>0</v>
      </c>
      <c r="Y463" s="30">
        <v>0</v>
      </c>
      <c r="Z463" s="233">
        <v>1</v>
      </c>
      <c r="AA463" s="30">
        <v>0</v>
      </c>
      <c r="AB463" s="30">
        <v>0</v>
      </c>
      <c r="AC463" s="30">
        <v>0</v>
      </c>
      <c r="AD463" s="30">
        <v>1</v>
      </c>
      <c r="AE463" s="89" t="s">
        <v>92</v>
      </c>
      <c r="AF463" s="89"/>
      <c r="AG463" s="89" t="s">
        <v>69</v>
      </c>
      <c r="AH463" s="72">
        <v>39575</v>
      </c>
      <c r="AI463" s="30">
        <v>1</v>
      </c>
      <c r="AJ463" s="89" t="s">
        <v>2773</v>
      </c>
      <c r="AK463" s="89" t="s">
        <v>2774</v>
      </c>
      <c r="AL463" s="91">
        <v>39632</v>
      </c>
      <c r="AM463" s="91"/>
      <c r="AN463" s="91"/>
      <c r="AO463" s="91"/>
      <c r="AP463" s="73" t="e">
        <f>MID(VLOOKUP(K463,#REF!,2,FALSE),1,2)</f>
        <v>#REF!</v>
      </c>
      <c r="AQ463" s="89">
        <f>DATE(2008,4,30)</f>
        <v>39568</v>
      </c>
      <c r="AR463" s="82">
        <f t="shared" si="34"/>
        <v>30</v>
      </c>
      <c r="AS463" s="83">
        <f t="shared" si="35"/>
        <v>4</v>
      </c>
      <c r="AT463" s="84">
        <f t="shared" si="36"/>
        <v>2008</v>
      </c>
      <c r="AU463" s="86"/>
      <c r="AV463" s="86"/>
      <c r="AW463" s="87"/>
      <c r="AX463" s="86"/>
      <c r="AY463" s="83"/>
      <c r="AZ463" s="84"/>
      <c r="BA463" s="86"/>
      <c r="BB463" s="86"/>
    </row>
    <row r="464" spans="1:54" ht="36.75" customHeight="1">
      <c r="A464" s="30"/>
      <c r="B464" s="30" t="s">
        <v>55</v>
      </c>
      <c r="C464" s="69" t="str">
        <f t="shared" si="33"/>
        <v>Closed</v>
      </c>
      <c r="D464" s="27" t="s">
        <v>2775</v>
      </c>
      <c r="E464" s="29" t="s">
        <v>2776</v>
      </c>
      <c r="F464" s="30" t="s">
        <v>233</v>
      </c>
      <c r="G464" s="89">
        <f>DATE(2008,5,3)</f>
        <v>39571</v>
      </c>
      <c r="H464" s="90">
        <v>1.6458333333333335</v>
      </c>
      <c r="I464" s="30" t="s">
        <v>73</v>
      </c>
      <c r="J464" s="89" t="s">
        <v>2777</v>
      </c>
      <c r="K464" s="30" t="s">
        <v>235</v>
      </c>
      <c r="L464" s="30" t="s">
        <v>2778</v>
      </c>
      <c r="M464" s="30" t="s">
        <v>63</v>
      </c>
      <c r="N464" s="30">
        <v>0</v>
      </c>
      <c r="O464" s="30" t="s">
        <v>64</v>
      </c>
      <c r="P464" s="89" t="s">
        <v>86</v>
      </c>
      <c r="Q464" s="89" t="s">
        <v>2779</v>
      </c>
      <c r="R464" s="89" t="s">
        <v>2779</v>
      </c>
      <c r="S464" s="30">
        <v>0</v>
      </c>
      <c r="T464" s="233" t="s">
        <v>68</v>
      </c>
      <c r="U464" s="30">
        <v>0</v>
      </c>
      <c r="V464" s="233" t="s">
        <v>68</v>
      </c>
      <c r="W464" s="30">
        <v>0</v>
      </c>
      <c r="X464" s="30">
        <v>0</v>
      </c>
      <c r="Y464" s="30">
        <v>0</v>
      </c>
      <c r="Z464" s="233" t="s">
        <v>68</v>
      </c>
      <c r="AA464" s="30">
        <v>0</v>
      </c>
      <c r="AB464" s="30">
        <v>0</v>
      </c>
      <c r="AC464" s="30">
        <v>0</v>
      </c>
      <c r="AD464" s="30">
        <v>0</v>
      </c>
      <c r="AE464" s="89" t="s">
        <v>68</v>
      </c>
      <c r="AF464" s="89"/>
      <c r="AG464" s="89" t="s">
        <v>248</v>
      </c>
      <c r="AH464" s="72" t="s">
        <v>68</v>
      </c>
      <c r="AI464" s="30">
        <v>5</v>
      </c>
      <c r="AJ464" s="89" t="s">
        <v>2780</v>
      </c>
      <c r="AK464" s="89" t="s">
        <v>2781</v>
      </c>
      <c r="AL464" s="91">
        <v>39682</v>
      </c>
      <c r="AM464" s="91"/>
      <c r="AN464" s="91"/>
      <c r="AO464" s="91"/>
      <c r="AP464" s="73" t="e">
        <f>MID(VLOOKUP(K464,#REF!,2,FALSE),1,2)</f>
        <v>#REF!</v>
      </c>
      <c r="AQ464" s="89">
        <f>DATE(2008,5,3)</f>
        <v>39571</v>
      </c>
      <c r="AR464" s="82">
        <f t="shared" si="34"/>
        <v>3</v>
      </c>
      <c r="AS464" s="83">
        <f t="shared" si="35"/>
        <v>5</v>
      </c>
      <c r="AT464" s="84">
        <f t="shared" si="36"/>
        <v>2008</v>
      </c>
      <c r="AU464" s="86"/>
      <c r="AV464" s="86"/>
      <c r="AW464" s="87"/>
      <c r="AX464" s="86"/>
      <c r="AY464" s="83"/>
      <c r="AZ464" s="84"/>
      <c r="BA464" s="86"/>
      <c r="BB464" s="86"/>
    </row>
    <row r="465" spans="1:54" ht="36.75" customHeight="1">
      <c r="A465" s="30"/>
      <c r="B465" s="30" t="s">
        <v>55</v>
      </c>
      <c r="C465" s="69" t="str">
        <f t="shared" si="33"/>
        <v>Closed</v>
      </c>
      <c r="D465" s="27" t="s">
        <v>2782</v>
      </c>
      <c r="E465" s="29" t="s">
        <v>2783</v>
      </c>
      <c r="F465" s="30" t="s">
        <v>594</v>
      </c>
      <c r="G465" s="89">
        <f>DATE(2008,5,4)</f>
        <v>39572</v>
      </c>
      <c r="H465" s="90">
        <v>1.7715277777777776</v>
      </c>
      <c r="I465" s="30" t="s">
        <v>156</v>
      </c>
      <c r="J465" s="89" t="s">
        <v>2784</v>
      </c>
      <c r="K465" s="30" t="s">
        <v>596</v>
      </c>
      <c r="L465" s="30" t="s">
        <v>2785</v>
      </c>
      <c r="M465" s="30" t="s">
        <v>129</v>
      </c>
      <c r="N465" s="30">
        <v>0</v>
      </c>
      <c r="O465" s="30" t="s">
        <v>64</v>
      </c>
      <c r="P465" s="89" t="s">
        <v>86</v>
      </c>
      <c r="Q465" s="89" t="s">
        <v>2786</v>
      </c>
      <c r="R465" s="89" t="s">
        <v>2787</v>
      </c>
      <c r="S465" s="30">
        <v>0</v>
      </c>
      <c r="T465" s="233" t="s">
        <v>68</v>
      </c>
      <c r="U465" s="30">
        <v>0</v>
      </c>
      <c r="V465" s="233" t="s">
        <v>68</v>
      </c>
      <c r="W465" s="30">
        <v>0</v>
      </c>
      <c r="X465" s="30">
        <v>0</v>
      </c>
      <c r="Y465" s="30">
        <v>0</v>
      </c>
      <c r="Z465" s="233" t="s">
        <v>68</v>
      </c>
      <c r="AA465" s="30">
        <v>0</v>
      </c>
      <c r="AB465" s="30">
        <v>0</v>
      </c>
      <c r="AC465" s="30">
        <v>0</v>
      </c>
      <c r="AD465" s="30">
        <v>0</v>
      </c>
      <c r="AE465" s="89" t="s">
        <v>68</v>
      </c>
      <c r="AF465" s="89"/>
      <c r="AG465" s="89" t="s">
        <v>367</v>
      </c>
      <c r="AH465" s="72" t="s">
        <v>68</v>
      </c>
      <c r="AI465" s="30">
        <v>0</v>
      </c>
      <c r="AJ465" s="89" t="s">
        <v>68</v>
      </c>
      <c r="AK465" s="89" t="s">
        <v>68</v>
      </c>
      <c r="AL465" s="91">
        <v>39574</v>
      </c>
      <c r="AM465" s="91"/>
      <c r="AN465" s="91"/>
      <c r="AO465" s="91"/>
      <c r="AP465" s="73" t="e">
        <f>MID(VLOOKUP(K465,#REF!,2,FALSE),1,2)</f>
        <v>#REF!</v>
      </c>
      <c r="AQ465" s="89">
        <f>DATE(2008,5,4)</f>
        <v>39572</v>
      </c>
      <c r="AR465" s="82">
        <f t="shared" si="34"/>
        <v>4</v>
      </c>
      <c r="AS465" s="83">
        <f t="shared" si="35"/>
        <v>5</v>
      </c>
      <c r="AT465" s="84">
        <f t="shared" si="36"/>
        <v>2008</v>
      </c>
      <c r="AU465" s="86"/>
      <c r="AV465" s="86"/>
      <c r="AW465" s="87"/>
      <c r="AX465" s="86"/>
      <c r="AY465" s="83"/>
      <c r="AZ465" s="84"/>
      <c r="BA465" s="86"/>
      <c r="BB465" s="86"/>
    </row>
    <row r="466" spans="1:54" ht="36.75" customHeight="1">
      <c r="A466" s="30"/>
      <c r="B466" s="30" t="s">
        <v>55</v>
      </c>
      <c r="C466" s="69" t="str">
        <f t="shared" si="33"/>
        <v>Closed</v>
      </c>
      <c r="D466" s="27" t="s">
        <v>2788</v>
      </c>
      <c r="E466" s="29" t="s">
        <v>2789</v>
      </c>
      <c r="F466" s="30" t="s">
        <v>638</v>
      </c>
      <c r="G466" s="89">
        <f>DATE(2008,5,6)</f>
        <v>39574</v>
      </c>
      <c r="H466" s="90">
        <v>1.8055555555555554</v>
      </c>
      <c r="I466" s="30" t="s">
        <v>278</v>
      </c>
      <c r="J466" s="89" t="s">
        <v>2790</v>
      </c>
      <c r="K466" s="30" t="s">
        <v>640</v>
      </c>
      <c r="L466" s="30" t="s">
        <v>2791</v>
      </c>
      <c r="M466" s="30" t="s">
        <v>63</v>
      </c>
      <c r="N466" s="30">
        <v>0</v>
      </c>
      <c r="O466" s="30" t="s">
        <v>77</v>
      </c>
      <c r="P466" s="89" t="s">
        <v>165</v>
      </c>
      <c r="Q466" s="89" t="s">
        <v>642</v>
      </c>
      <c r="R466" s="89" t="s">
        <v>643</v>
      </c>
      <c r="S466" s="30">
        <v>1</v>
      </c>
      <c r="T466" s="233">
        <v>0</v>
      </c>
      <c r="U466" s="30">
        <v>0</v>
      </c>
      <c r="V466" s="233">
        <v>0</v>
      </c>
      <c r="W466" s="30">
        <v>0</v>
      </c>
      <c r="X466" s="30">
        <v>1</v>
      </c>
      <c r="Y466" s="30">
        <v>0</v>
      </c>
      <c r="Z466" s="233">
        <v>0</v>
      </c>
      <c r="AA466" s="30">
        <v>0</v>
      </c>
      <c r="AB466" s="30">
        <v>0</v>
      </c>
      <c r="AC466" s="30">
        <v>0</v>
      </c>
      <c r="AD466" s="30">
        <v>0</v>
      </c>
      <c r="AE466" s="89" t="s">
        <v>68</v>
      </c>
      <c r="AF466" s="89"/>
      <c r="AG466" s="89" t="s">
        <v>248</v>
      </c>
      <c r="AH466" s="72" t="s">
        <v>68</v>
      </c>
      <c r="AI466" s="30">
        <v>0</v>
      </c>
      <c r="AJ466" s="89" t="s">
        <v>68</v>
      </c>
      <c r="AK466" s="89" t="s">
        <v>68</v>
      </c>
      <c r="AL466" s="91">
        <v>39689</v>
      </c>
      <c r="AM466" s="91"/>
      <c r="AN466" s="91"/>
      <c r="AO466" s="91"/>
      <c r="AP466" s="73" t="e">
        <f>MID(VLOOKUP(K466,#REF!,2,FALSE),1,2)</f>
        <v>#REF!</v>
      </c>
      <c r="AQ466" s="89">
        <f>DATE(2008,5,6)</f>
        <v>39574</v>
      </c>
      <c r="AR466" s="82">
        <f t="shared" si="34"/>
        <v>6</v>
      </c>
      <c r="AS466" s="83">
        <f t="shared" si="35"/>
        <v>5</v>
      </c>
      <c r="AT466" s="84">
        <f t="shared" si="36"/>
        <v>2008</v>
      </c>
      <c r="AU466" s="86"/>
      <c r="AV466" s="86"/>
      <c r="AW466" s="87"/>
      <c r="AX466" s="86"/>
      <c r="AY466" s="83"/>
      <c r="AZ466" s="84"/>
      <c r="BA466" s="86"/>
      <c r="BB466" s="86"/>
    </row>
    <row r="467" spans="1:54" ht="36.75" customHeight="1">
      <c r="A467" s="30"/>
      <c r="B467" s="30" t="s">
        <v>55</v>
      </c>
      <c r="C467" s="69" t="str">
        <f t="shared" si="33"/>
        <v>Closed</v>
      </c>
      <c r="D467" s="27" t="s">
        <v>2792</v>
      </c>
      <c r="E467" s="29" t="s">
        <v>2793</v>
      </c>
      <c r="F467" s="30" t="s">
        <v>835</v>
      </c>
      <c r="G467" s="89">
        <f>DATE(2008,5,8)</f>
        <v>39576</v>
      </c>
      <c r="H467" s="90">
        <v>1.4875</v>
      </c>
      <c r="I467" s="30" t="s">
        <v>116</v>
      </c>
      <c r="J467" s="89" t="s">
        <v>2794</v>
      </c>
      <c r="K467" s="30" t="s">
        <v>837</v>
      </c>
      <c r="L467" s="30" t="s">
        <v>2795</v>
      </c>
      <c r="M467" s="30" t="s">
        <v>63</v>
      </c>
      <c r="N467" s="30">
        <v>0</v>
      </c>
      <c r="O467" s="30" t="s">
        <v>64</v>
      </c>
      <c r="P467" s="89" t="s">
        <v>65</v>
      </c>
      <c r="Q467" s="89" t="s">
        <v>2796</v>
      </c>
      <c r="R467" s="89" t="s">
        <v>2797</v>
      </c>
      <c r="S467" s="30">
        <v>0</v>
      </c>
      <c r="T467" s="233">
        <v>0</v>
      </c>
      <c r="U467" s="30">
        <v>1</v>
      </c>
      <c r="V467" s="233">
        <v>0</v>
      </c>
      <c r="W467" s="30">
        <v>0</v>
      </c>
      <c r="X467" s="30">
        <v>1</v>
      </c>
      <c r="Y467" s="30">
        <v>0</v>
      </c>
      <c r="Z467" s="233">
        <v>0</v>
      </c>
      <c r="AA467" s="30">
        <v>0</v>
      </c>
      <c r="AB467" s="30">
        <v>0</v>
      </c>
      <c r="AC467" s="30">
        <v>0</v>
      </c>
      <c r="AD467" s="30">
        <v>0</v>
      </c>
      <c r="AE467" s="89" t="s">
        <v>68</v>
      </c>
      <c r="AF467" s="89"/>
      <c r="AG467" s="89" t="s">
        <v>352</v>
      </c>
      <c r="AH467" s="72" t="s">
        <v>68</v>
      </c>
      <c r="AI467" s="30">
        <v>1</v>
      </c>
      <c r="AJ467" s="89" t="s">
        <v>68</v>
      </c>
      <c r="AK467" s="89" t="s">
        <v>68</v>
      </c>
      <c r="AL467" s="91">
        <v>39594</v>
      </c>
      <c r="AM467" s="91"/>
      <c r="AN467" s="91"/>
      <c r="AO467" s="91"/>
      <c r="AP467" s="73" t="e">
        <f>MID(VLOOKUP(K467,#REF!,2,FALSE),1,2)</f>
        <v>#REF!</v>
      </c>
      <c r="AQ467" s="89">
        <f>DATE(2008,5,8)</f>
        <v>39576</v>
      </c>
      <c r="AR467" s="82">
        <f t="shared" si="34"/>
        <v>8</v>
      </c>
      <c r="AS467" s="83">
        <f t="shared" si="35"/>
        <v>5</v>
      </c>
      <c r="AT467" s="84">
        <f t="shared" si="36"/>
        <v>2008</v>
      </c>
      <c r="AU467" s="86"/>
      <c r="AV467" s="86"/>
      <c r="AW467" s="87"/>
      <c r="AX467" s="86"/>
      <c r="AY467" s="83"/>
      <c r="AZ467" s="84"/>
      <c r="BA467" s="86"/>
      <c r="BB467" s="86"/>
    </row>
    <row r="468" spans="1:54" ht="36.75" customHeight="1">
      <c r="A468" s="30"/>
      <c r="B468" s="30" t="s">
        <v>55</v>
      </c>
      <c r="C468" s="69" t="str">
        <f t="shared" si="33"/>
        <v>Closed</v>
      </c>
      <c r="D468" s="27" t="s">
        <v>2798</v>
      </c>
      <c r="E468" s="29" t="s">
        <v>2799</v>
      </c>
      <c r="F468" s="30" t="s">
        <v>638</v>
      </c>
      <c r="G468" s="89">
        <f>DATE(2008,5,9)</f>
        <v>39577</v>
      </c>
      <c r="H468" s="90">
        <v>1.9444444444444446</v>
      </c>
      <c r="I468" s="30" t="s">
        <v>116</v>
      </c>
      <c r="J468" s="89" t="s">
        <v>2800</v>
      </c>
      <c r="K468" s="30" t="s">
        <v>640</v>
      </c>
      <c r="L468" s="30" t="s">
        <v>2801</v>
      </c>
      <c r="M468" s="30" t="s">
        <v>63</v>
      </c>
      <c r="N468" s="30">
        <v>0</v>
      </c>
      <c r="O468" s="30" t="s">
        <v>64</v>
      </c>
      <c r="P468" s="89" t="s">
        <v>381</v>
      </c>
      <c r="Q468" s="89" t="s">
        <v>642</v>
      </c>
      <c r="R468" s="89" t="s">
        <v>643</v>
      </c>
      <c r="S468" s="30">
        <v>0</v>
      </c>
      <c r="T468" s="233">
        <v>0</v>
      </c>
      <c r="U468" s="30">
        <v>2</v>
      </c>
      <c r="V468" s="233">
        <v>0</v>
      </c>
      <c r="W468" s="30">
        <v>0</v>
      </c>
      <c r="X468" s="30">
        <v>2</v>
      </c>
      <c r="Y468" s="30">
        <v>0</v>
      </c>
      <c r="Z468" s="233">
        <v>0</v>
      </c>
      <c r="AA468" s="30">
        <v>0</v>
      </c>
      <c r="AB468" s="30">
        <v>0</v>
      </c>
      <c r="AC468" s="30">
        <v>0</v>
      </c>
      <c r="AD468" s="30">
        <v>0</v>
      </c>
      <c r="AE468" s="89" t="s">
        <v>68</v>
      </c>
      <c r="AF468" s="89"/>
      <c r="AG468" s="89" t="s">
        <v>248</v>
      </c>
      <c r="AH468" s="72" t="s">
        <v>68</v>
      </c>
      <c r="AI468" s="30">
        <v>1</v>
      </c>
      <c r="AJ468" s="89" t="s">
        <v>68</v>
      </c>
      <c r="AK468" s="89" t="s">
        <v>68</v>
      </c>
      <c r="AL468" s="91">
        <v>39584</v>
      </c>
      <c r="AM468" s="91"/>
      <c r="AN468" s="91"/>
      <c r="AO468" s="91"/>
      <c r="AP468" s="73" t="e">
        <f>MID(VLOOKUP(K468,#REF!,2,FALSE),1,2)</f>
        <v>#REF!</v>
      </c>
      <c r="AQ468" s="89">
        <f>DATE(2008,5,9)</f>
        <v>39577</v>
      </c>
      <c r="AR468" s="82">
        <f t="shared" si="34"/>
        <v>9</v>
      </c>
      <c r="AS468" s="83">
        <f t="shared" si="35"/>
        <v>5</v>
      </c>
      <c r="AT468" s="84">
        <f t="shared" si="36"/>
        <v>2008</v>
      </c>
      <c r="AU468" s="86"/>
      <c r="AV468" s="86"/>
      <c r="AW468" s="87"/>
      <c r="AX468" s="86"/>
      <c r="AY468" s="83"/>
      <c r="AZ468" s="84"/>
      <c r="BA468" s="86"/>
      <c r="BB468" s="86"/>
    </row>
    <row r="469" spans="1:54" ht="36.75" customHeight="1">
      <c r="A469" s="30"/>
      <c r="B469" s="30" t="s">
        <v>55</v>
      </c>
      <c r="C469" s="69" t="str">
        <f t="shared" si="33"/>
        <v>Closed</v>
      </c>
      <c r="D469" s="27" t="s">
        <v>2802</v>
      </c>
      <c r="E469" s="29" t="s">
        <v>2803</v>
      </c>
      <c r="F469" s="30" t="s">
        <v>1572</v>
      </c>
      <c r="G469" s="89">
        <f>DATE(2008,5,10)</f>
        <v>39578</v>
      </c>
      <c r="H469" s="90">
        <v>1.7048611111111112</v>
      </c>
      <c r="I469" s="30" t="s">
        <v>73</v>
      </c>
      <c r="J469" s="89" t="s">
        <v>2804</v>
      </c>
      <c r="K469" s="30" t="s">
        <v>1574</v>
      </c>
      <c r="L469" s="30" t="s">
        <v>2805</v>
      </c>
      <c r="M469" s="30" t="s">
        <v>63</v>
      </c>
      <c r="N469" s="30">
        <v>0</v>
      </c>
      <c r="O469" s="30" t="s">
        <v>77</v>
      </c>
      <c r="P469" s="89" t="s">
        <v>65</v>
      </c>
      <c r="Q469" s="89" t="s">
        <v>2413</v>
      </c>
      <c r="R469" s="89">
        <v>0</v>
      </c>
      <c r="S469" s="30">
        <v>1</v>
      </c>
      <c r="T469" s="233">
        <v>0</v>
      </c>
      <c r="U469" s="30">
        <v>0</v>
      </c>
      <c r="V469" s="233">
        <v>0</v>
      </c>
      <c r="W469" s="30">
        <v>0</v>
      </c>
      <c r="X469" s="30">
        <v>1</v>
      </c>
      <c r="Y469" s="30">
        <v>0</v>
      </c>
      <c r="Z469" s="233">
        <v>0</v>
      </c>
      <c r="AA469" s="30">
        <v>0</v>
      </c>
      <c r="AB469" s="30">
        <v>0</v>
      </c>
      <c r="AC469" s="30">
        <v>0</v>
      </c>
      <c r="AD469" s="30">
        <v>0</v>
      </c>
      <c r="AE469" s="89" t="s">
        <v>68</v>
      </c>
      <c r="AF469" s="89"/>
      <c r="AG469" s="89" t="s">
        <v>82</v>
      </c>
      <c r="AH469" s="72" t="s">
        <v>68</v>
      </c>
      <c r="AI469" s="30">
        <v>6</v>
      </c>
      <c r="AJ469" s="89" t="s">
        <v>2806</v>
      </c>
      <c r="AK469" s="89" t="s">
        <v>2807</v>
      </c>
      <c r="AL469" s="91">
        <v>39581</v>
      </c>
      <c r="AM469" s="91"/>
      <c r="AN469" s="91"/>
      <c r="AO469" s="91"/>
      <c r="AP469" s="73" t="e">
        <f>MID(VLOOKUP(K469,#REF!,2,FALSE),1,2)</f>
        <v>#REF!</v>
      </c>
      <c r="AQ469" s="89">
        <f>DATE(2008,5,10)</f>
        <v>39578</v>
      </c>
      <c r="AR469" s="82">
        <f t="shared" si="34"/>
        <v>10</v>
      </c>
      <c r="AS469" s="83">
        <f t="shared" si="35"/>
        <v>5</v>
      </c>
      <c r="AT469" s="84">
        <f t="shared" si="36"/>
        <v>2008</v>
      </c>
      <c r="AU469" s="86"/>
      <c r="AV469" s="86"/>
      <c r="AW469" s="87"/>
      <c r="AX469" s="86"/>
      <c r="AY469" s="83"/>
      <c r="AZ469" s="84"/>
      <c r="BA469" s="86"/>
      <c r="BB469" s="86"/>
    </row>
    <row r="470" spans="1:54" ht="36.75" customHeight="1">
      <c r="A470" s="30"/>
      <c r="B470" s="30" t="s">
        <v>55</v>
      </c>
      <c r="C470" s="69" t="str">
        <f t="shared" si="33"/>
        <v>Closed</v>
      </c>
      <c r="D470" s="27" t="s">
        <v>2808</v>
      </c>
      <c r="E470" s="29" t="s">
        <v>2809</v>
      </c>
      <c r="F470" s="30" t="s">
        <v>638</v>
      </c>
      <c r="G470" s="89">
        <f>DATE(2008,5,11)</f>
        <v>39579</v>
      </c>
      <c r="H470" s="90">
        <v>1.8284722222222221</v>
      </c>
      <c r="I470" s="30" t="s">
        <v>278</v>
      </c>
      <c r="J470" s="89" t="s">
        <v>2810</v>
      </c>
      <c r="K470" s="30" t="s">
        <v>640</v>
      </c>
      <c r="L470" s="30" t="s">
        <v>2811</v>
      </c>
      <c r="M470" s="30" t="s">
        <v>63</v>
      </c>
      <c r="N470" s="30">
        <v>0</v>
      </c>
      <c r="O470" s="30" t="s">
        <v>64</v>
      </c>
      <c r="P470" s="89" t="s">
        <v>65</v>
      </c>
      <c r="Q470" s="89" t="s">
        <v>642</v>
      </c>
      <c r="R470" s="89" t="s">
        <v>643</v>
      </c>
      <c r="S470" s="30">
        <v>0</v>
      </c>
      <c r="T470" s="233">
        <v>0</v>
      </c>
      <c r="U470" s="30">
        <v>0</v>
      </c>
      <c r="V470" s="233">
        <v>1</v>
      </c>
      <c r="W470" s="30">
        <v>0</v>
      </c>
      <c r="X470" s="30">
        <v>1</v>
      </c>
      <c r="Y470" s="30">
        <v>0</v>
      </c>
      <c r="Z470" s="233">
        <v>0</v>
      </c>
      <c r="AA470" s="30">
        <v>0</v>
      </c>
      <c r="AB470" s="30">
        <v>0</v>
      </c>
      <c r="AC470" s="30">
        <v>0</v>
      </c>
      <c r="AD470" s="30">
        <v>0</v>
      </c>
      <c r="AE470" s="89" t="s">
        <v>68</v>
      </c>
      <c r="AF470" s="89"/>
      <c r="AG470" s="89" t="s">
        <v>248</v>
      </c>
      <c r="AH470" s="72" t="s">
        <v>68</v>
      </c>
      <c r="AI470" s="30">
        <v>1</v>
      </c>
      <c r="AJ470" s="89" t="s">
        <v>68</v>
      </c>
      <c r="AK470" s="89" t="s">
        <v>68</v>
      </c>
      <c r="AL470" s="91">
        <v>39777</v>
      </c>
      <c r="AM470" s="91"/>
      <c r="AN470" s="91"/>
      <c r="AO470" s="91"/>
      <c r="AP470" s="73" t="e">
        <f>MID(VLOOKUP(K470,#REF!,2,FALSE),1,2)</f>
        <v>#REF!</v>
      </c>
      <c r="AQ470" s="89">
        <f>DATE(2008,5,11)</f>
        <v>39579</v>
      </c>
      <c r="AR470" s="82">
        <f t="shared" si="34"/>
        <v>11</v>
      </c>
      <c r="AS470" s="83">
        <f t="shared" si="35"/>
        <v>5</v>
      </c>
      <c r="AT470" s="84">
        <f t="shared" si="36"/>
        <v>2008</v>
      </c>
      <c r="AU470" s="86"/>
      <c r="AV470" s="86"/>
      <c r="AW470" s="87"/>
      <c r="AX470" s="86"/>
      <c r="AY470" s="83"/>
      <c r="AZ470" s="84"/>
      <c r="BA470" s="86"/>
      <c r="BB470" s="86"/>
    </row>
    <row r="471" spans="1:54" ht="36.75" customHeight="1">
      <c r="A471" s="30"/>
      <c r="B471" s="30" t="s">
        <v>55</v>
      </c>
      <c r="C471" s="69" t="str">
        <f t="shared" si="33"/>
        <v>Closed</v>
      </c>
      <c r="D471" s="27" t="s">
        <v>2812</v>
      </c>
      <c r="E471" s="29" t="s">
        <v>2813</v>
      </c>
      <c r="F471" s="30" t="s">
        <v>638</v>
      </c>
      <c r="G471" s="89">
        <f>DATE(2008,5,13)</f>
        <v>39581</v>
      </c>
      <c r="H471" s="90">
        <v>1.504861111111111</v>
      </c>
      <c r="I471" s="30" t="s">
        <v>278</v>
      </c>
      <c r="J471" s="89" t="s">
        <v>2814</v>
      </c>
      <c r="K471" s="30" t="s">
        <v>640</v>
      </c>
      <c r="L471" s="30" t="s">
        <v>2815</v>
      </c>
      <c r="M471" s="30" t="s">
        <v>63</v>
      </c>
      <c r="N471" s="30">
        <v>0</v>
      </c>
      <c r="O471" s="30" t="s">
        <v>64</v>
      </c>
      <c r="P471" s="89" t="s">
        <v>165</v>
      </c>
      <c r="Q471" s="89" t="s">
        <v>642</v>
      </c>
      <c r="R471" s="89" t="s">
        <v>643</v>
      </c>
      <c r="S471" s="30">
        <v>0</v>
      </c>
      <c r="T471" s="233">
        <v>1</v>
      </c>
      <c r="U471" s="30">
        <v>0</v>
      </c>
      <c r="V471" s="233">
        <v>0</v>
      </c>
      <c r="W471" s="30">
        <v>0</v>
      </c>
      <c r="X471" s="30">
        <v>1</v>
      </c>
      <c r="Y471" s="30">
        <v>0</v>
      </c>
      <c r="Z471" s="233">
        <v>0</v>
      </c>
      <c r="AA471" s="30">
        <v>0</v>
      </c>
      <c r="AB471" s="30">
        <v>0</v>
      </c>
      <c r="AC471" s="30">
        <v>0</v>
      </c>
      <c r="AD471" s="30">
        <v>0</v>
      </c>
      <c r="AE471" s="89" t="s">
        <v>68</v>
      </c>
      <c r="AF471" s="89"/>
      <c r="AG471" s="89" t="s">
        <v>248</v>
      </c>
      <c r="AH471" s="72" t="s">
        <v>68</v>
      </c>
      <c r="AI471" s="30">
        <v>1</v>
      </c>
      <c r="AJ471" s="89" t="s">
        <v>68</v>
      </c>
      <c r="AK471" s="89" t="s">
        <v>68</v>
      </c>
      <c r="AL471" s="91">
        <v>39689</v>
      </c>
      <c r="AM471" s="91"/>
      <c r="AN471" s="91"/>
      <c r="AO471" s="91"/>
      <c r="AP471" s="73" t="e">
        <f>MID(VLOOKUP(K471,#REF!,2,FALSE),1,2)</f>
        <v>#REF!</v>
      </c>
      <c r="AQ471" s="89">
        <f>DATE(2008,5,13)</f>
        <v>39581</v>
      </c>
      <c r="AR471" s="82">
        <f t="shared" si="34"/>
        <v>13</v>
      </c>
      <c r="AS471" s="83">
        <f t="shared" si="35"/>
        <v>5</v>
      </c>
      <c r="AT471" s="84">
        <f t="shared" si="36"/>
        <v>2008</v>
      </c>
      <c r="AU471" s="86"/>
      <c r="AV471" s="86"/>
      <c r="AW471" s="87"/>
      <c r="AX471" s="86"/>
      <c r="AY471" s="83"/>
      <c r="AZ471" s="84"/>
      <c r="BA471" s="86"/>
      <c r="BB471" s="86"/>
    </row>
    <row r="472" spans="1:54" ht="36.75" customHeight="1">
      <c r="A472" s="30"/>
      <c r="B472" s="30" t="s">
        <v>55</v>
      </c>
      <c r="C472" s="69" t="str">
        <f t="shared" si="33"/>
        <v>Closed</v>
      </c>
      <c r="D472" s="27" t="s">
        <v>2816</v>
      </c>
      <c r="E472" s="29" t="s">
        <v>2817</v>
      </c>
      <c r="F472" s="30" t="s">
        <v>638</v>
      </c>
      <c r="G472" s="89">
        <f>DATE(2008,5,13)</f>
        <v>39581</v>
      </c>
      <c r="H472" s="90">
        <v>1.6909722222222223</v>
      </c>
      <c r="I472" s="30" t="s">
        <v>278</v>
      </c>
      <c r="J472" s="89" t="s">
        <v>2818</v>
      </c>
      <c r="K472" s="30" t="s">
        <v>640</v>
      </c>
      <c r="L472" s="30" t="s">
        <v>2819</v>
      </c>
      <c r="M472" s="30" t="s">
        <v>63</v>
      </c>
      <c r="N472" s="30">
        <v>0</v>
      </c>
      <c r="O472" s="30" t="s">
        <v>86</v>
      </c>
      <c r="P472" s="89" t="s">
        <v>65</v>
      </c>
      <c r="Q472" s="89" t="s">
        <v>642</v>
      </c>
      <c r="R472" s="89" t="s">
        <v>643</v>
      </c>
      <c r="S472" s="30">
        <v>0</v>
      </c>
      <c r="T472" s="233">
        <v>0</v>
      </c>
      <c r="U472" s="30">
        <v>0</v>
      </c>
      <c r="V472" s="233">
        <v>0</v>
      </c>
      <c r="W472" s="30">
        <v>1</v>
      </c>
      <c r="X472" s="30">
        <v>1</v>
      </c>
      <c r="Y472" s="30">
        <v>0</v>
      </c>
      <c r="Z472" s="233">
        <v>0</v>
      </c>
      <c r="AA472" s="30">
        <v>0</v>
      </c>
      <c r="AB472" s="30">
        <v>0</v>
      </c>
      <c r="AC472" s="30">
        <v>0</v>
      </c>
      <c r="AD472" s="30">
        <v>0</v>
      </c>
      <c r="AE472" s="89" t="s">
        <v>68</v>
      </c>
      <c r="AF472" s="89"/>
      <c r="AG472" s="89" t="s">
        <v>248</v>
      </c>
      <c r="AH472" s="72" t="s">
        <v>68</v>
      </c>
      <c r="AI472" s="30">
        <v>1</v>
      </c>
      <c r="AJ472" s="89" t="s">
        <v>68</v>
      </c>
      <c r="AK472" s="89" t="s">
        <v>68</v>
      </c>
      <c r="AL472" s="91">
        <v>39689</v>
      </c>
      <c r="AM472" s="91"/>
      <c r="AN472" s="91"/>
      <c r="AO472" s="91"/>
      <c r="AP472" s="73" t="e">
        <f>MID(VLOOKUP(K472,#REF!,2,FALSE),1,2)</f>
        <v>#REF!</v>
      </c>
      <c r="AQ472" s="89">
        <f>DATE(2008,5,13)</f>
        <v>39581</v>
      </c>
      <c r="AR472" s="82">
        <f t="shared" si="34"/>
        <v>13</v>
      </c>
      <c r="AS472" s="83">
        <f t="shared" si="35"/>
        <v>5</v>
      </c>
      <c r="AT472" s="84">
        <f t="shared" si="36"/>
        <v>2008</v>
      </c>
      <c r="AU472" s="86"/>
      <c r="AV472" s="86"/>
      <c r="AW472" s="87"/>
      <c r="AX472" s="86"/>
      <c r="AY472" s="83"/>
      <c r="AZ472" s="84"/>
      <c r="BA472" s="86"/>
      <c r="BB472" s="86"/>
    </row>
    <row r="473" spans="1:54" ht="36.75" customHeight="1">
      <c r="A473" s="30"/>
      <c r="B473" s="30" t="s">
        <v>55</v>
      </c>
      <c r="C473" s="69" t="str">
        <f t="shared" si="33"/>
        <v>Closed</v>
      </c>
      <c r="D473" s="27" t="s">
        <v>2820</v>
      </c>
      <c r="E473" s="29" t="s">
        <v>2821</v>
      </c>
      <c r="F473" s="30" t="s">
        <v>423</v>
      </c>
      <c r="G473" s="89">
        <f>DATE(2008,5,14)</f>
        <v>39582</v>
      </c>
      <c r="H473" s="90">
        <v>1.8534722222222224</v>
      </c>
      <c r="I473" s="30" t="s">
        <v>116</v>
      </c>
      <c r="J473" s="89" t="s">
        <v>2822</v>
      </c>
      <c r="K473" s="30" t="s">
        <v>425</v>
      </c>
      <c r="L473" s="30" t="s">
        <v>2823</v>
      </c>
      <c r="M473" s="30" t="s">
        <v>63</v>
      </c>
      <c r="N473" s="30">
        <v>0</v>
      </c>
      <c r="O473" s="30" t="s">
        <v>64</v>
      </c>
      <c r="P473" s="89" t="s">
        <v>78</v>
      </c>
      <c r="Q473" s="89" t="s">
        <v>2582</v>
      </c>
      <c r="R473" s="89" t="s">
        <v>427</v>
      </c>
      <c r="S473" s="30">
        <v>0</v>
      </c>
      <c r="T473" s="233">
        <v>0</v>
      </c>
      <c r="U473" s="30">
        <v>0</v>
      </c>
      <c r="V473" s="233">
        <v>0</v>
      </c>
      <c r="W473" s="30">
        <v>0</v>
      </c>
      <c r="X473" s="30">
        <v>0</v>
      </c>
      <c r="Y473" s="30">
        <v>0</v>
      </c>
      <c r="Z473" s="233">
        <v>1</v>
      </c>
      <c r="AA473" s="30">
        <v>0</v>
      </c>
      <c r="AB473" s="30">
        <v>0</v>
      </c>
      <c r="AC473" s="30">
        <v>0</v>
      </c>
      <c r="AD473" s="30">
        <v>1</v>
      </c>
      <c r="AE473" s="89" t="s">
        <v>68</v>
      </c>
      <c r="AF473" s="89"/>
      <c r="AG473" s="89" t="s">
        <v>133</v>
      </c>
      <c r="AH473" s="72" t="s">
        <v>68</v>
      </c>
      <c r="AI473" s="30">
        <v>0</v>
      </c>
      <c r="AJ473" s="89" t="s">
        <v>68</v>
      </c>
      <c r="AK473" s="89" t="s">
        <v>68</v>
      </c>
      <c r="AL473" s="91">
        <v>39587</v>
      </c>
      <c r="AM473" s="91"/>
      <c r="AN473" s="91"/>
      <c r="AO473" s="91"/>
      <c r="AP473" s="73" t="e">
        <f>MID(VLOOKUP(K473,#REF!,2,FALSE),1,2)</f>
        <v>#REF!</v>
      </c>
      <c r="AQ473" s="89">
        <f>DATE(2008,5,14)</f>
        <v>39582</v>
      </c>
      <c r="AR473" s="82">
        <f t="shared" si="34"/>
        <v>14</v>
      </c>
      <c r="AS473" s="83">
        <f t="shared" si="35"/>
        <v>5</v>
      </c>
      <c r="AT473" s="84">
        <f t="shared" si="36"/>
        <v>2008</v>
      </c>
      <c r="AU473" s="86"/>
      <c r="AV473" s="86"/>
      <c r="AW473" s="87"/>
      <c r="AX473" s="86"/>
      <c r="AY473" s="83"/>
      <c r="AZ473" s="84"/>
      <c r="BA473" s="86"/>
      <c r="BB473" s="86"/>
    </row>
    <row r="474" spans="1:54" ht="36.75" customHeight="1">
      <c r="A474" s="30"/>
      <c r="B474" s="30" t="s">
        <v>55</v>
      </c>
      <c r="C474" s="69" t="str">
        <f t="shared" si="33"/>
        <v>Closed</v>
      </c>
      <c r="D474" s="27" t="s">
        <v>2824</v>
      </c>
      <c r="E474" s="29" t="s">
        <v>2825</v>
      </c>
      <c r="F474" s="30" t="s">
        <v>638</v>
      </c>
      <c r="G474" s="89">
        <f>DATE(2008,5,14)</f>
        <v>39582</v>
      </c>
      <c r="H474" s="90">
        <v>1.4534722222222223</v>
      </c>
      <c r="I474" s="30" t="s">
        <v>116</v>
      </c>
      <c r="J474" s="89" t="s">
        <v>2826</v>
      </c>
      <c r="K474" s="30" t="s">
        <v>640</v>
      </c>
      <c r="L474" s="30" t="s">
        <v>2827</v>
      </c>
      <c r="M474" s="30" t="s">
        <v>63</v>
      </c>
      <c r="N474" s="30">
        <v>0</v>
      </c>
      <c r="O474" s="30" t="s">
        <v>86</v>
      </c>
      <c r="P474" s="89" t="s">
        <v>301</v>
      </c>
      <c r="Q474" s="89" t="s">
        <v>2016</v>
      </c>
      <c r="R474" s="89" t="s">
        <v>643</v>
      </c>
      <c r="S474" s="30">
        <v>0</v>
      </c>
      <c r="T474" s="233">
        <v>0</v>
      </c>
      <c r="U474" s="30">
        <v>1</v>
      </c>
      <c r="V474" s="233">
        <v>0</v>
      </c>
      <c r="W474" s="30">
        <v>0</v>
      </c>
      <c r="X474" s="30">
        <v>1</v>
      </c>
      <c r="Y474" s="30">
        <v>0</v>
      </c>
      <c r="Z474" s="233">
        <v>0</v>
      </c>
      <c r="AA474" s="30">
        <v>0</v>
      </c>
      <c r="AB474" s="30">
        <v>0</v>
      </c>
      <c r="AC474" s="30">
        <v>0</v>
      </c>
      <c r="AD474" s="30">
        <v>0</v>
      </c>
      <c r="AE474" s="89" t="s">
        <v>68</v>
      </c>
      <c r="AF474" s="89"/>
      <c r="AG474" s="89" t="s">
        <v>248</v>
      </c>
      <c r="AH474" s="72" t="s">
        <v>68</v>
      </c>
      <c r="AI474" s="30">
        <v>1</v>
      </c>
      <c r="AJ474" s="89" t="s">
        <v>2828</v>
      </c>
      <c r="AK474" s="89" t="s">
        <v>68</v>
      </c>
      <c r="AL474" s="91">
        <v>39584</v>
      </c>
      <c r="AM474" s="91"/>
      <c r="AN474" s="91"/>
      <c r="AO474" s="91"/>
      <c r="AP474" s="73" t="e">
        <f>MID(VLOOKUP(K474,#REF!,2,FALSE),1,2)</f>
        <v>#REF!</v>
      </c>
      <c r="AQ474" s="89">
        <f>DATE(2008,5,14)</f>
        <v>39582</v>
      </c>
      <c r="AR474" s="82">
        <f t="shared" si="34"/>
        <v>14</v>
      </c>
      <c r="AS474" s="83">
        <f t="shared" si="35"/>
        <v>5</v>
      </c>
      <c r="AT474" s="84">
        <f t="shared" si="36"/>
        <v>2008</v>
      </c>
      <c r="AU474" s="86"/>
      <c r="AV474" s="86"/>
      <c r="AW474" s="87"/>
      <c r="AX474" s="86"/>
      <c r="AY474" s="83"/>
      <c r="AZ474" s="84"/>
      <c r="BA474" s="86"/>
      <c r="BB474" s="86"/>
    </row>
    <row r="475" spans="1:54" ht="36.75" customHeight="1">
      <c r="A475" s="30"/>
      <c r="B475" s="30" t="s">
        <v>55</v>
      </c>
      <c r="C475" s="69" t="str">
        <f t="shared" si="33"/>
        <v>Closed</v>
      </c>
      <c r="D475" s="27" t="s">
        <v>2829</v>
      </c>
      <c r="E475" s="29" t="s">
        <v>2830</v>
      </c>
      <c r="F475" s="30" t="s">
        <v>58</v>
      </c>
      <c r="G475" s="89">
        <f>DATE(2008,5,15)</f>
        <v>39583</v>
      </c>
      <c r="H475" s="90">
        <v>1.7277777777777779</v>
      </c>
      <c r="I475" s="30" t="s">
        <v>73</v>
      </c>
      <c r="J475" s="89" t="s">
        <v>2831</v>
      </c>
      <c r="K475" s="30" t="s">
        <v>61</v>
      </c>
      <c r="L475" s="30" t="s">
        <v>2832</v>
      </c>
      <c r="M475" s="30" t="s">
        <v>63</v>
      </c>
      <c r="N475" s="30">
        <v>0</v>
      </c>
      <c r="O475" s="30" t="s">
        <v>90</v>
      </c>
      <c r="P475" s="89" t="s">
        <v>91</v>
      </c>
      <c r="Q475" s="89" t="s">
        <v>66</v>
      </c>
      <c r="R475" s="89" t="s">
        <v>2616</v>
      </c>
      <c r="S475" s="30">
        <v>0</v>
      </c>
      <c r="T475" s="233" t="s">
        <v>68</v>
      </c>
      <c r="U475" s="30">
        <v>0</v>
      </c>
      <c r="V475" s="233" t="s">
        <v>68</v>
      </c>
      <c r="W475" s="30">
        <v>0</v>
      </c>
      <c r="X475" s="30">
        <v>0</v>
      </c>
      <c r="Y475" s="30">
        <v>0</v>
      </c>
      <c r="Z475" s="233" t="s">
        <v>68</v>
      </c>
      <c r="AA475" s="30">
        <v>0</v>
      </c>
      <c r="AB475" s="30">
        <v>0</v>
      </c>
      <c r="AC475" s="30">
        <v>0</v>
      </c>
      <c r="AD475" s="30">
        <v>0</v>
      </c>
      <c r="AE475" s="89" t="s">
        <v>68</v>
      </c>
      <c r="AF475" s="89"/>
      <c r="AG475" s="89" t="s">
        <v>1417</v>
      </c>
      <c r="AH475" s="72" t="s">
        <v>68</v>
      </c>
      <c r="AI475" s="30">
        <v>0</v>
      </c>
      <c r="AJ475" s="89" t="s">
        <v>68</v>
      </c>
      <c r="AK475" s="89" t="s">
        <v>68</v>
      </c>
      <c r="AL475" s="91">
        <v>39633</v>
      </c>
      <c r="AM475" s="91"/>
      <c r="AN475" s="91"/>
      <c r="AO475" s="91"/>
      <c r="AP475" s="73" t="e">
        <f>MID(VLOOKUP(K475,#REF!,2,FALSE),1,2)</f>
        <v>#REF!</v>
      </c>
      <c r="AQ475" s="89">
        <f>DATE(2008,5,15)</f>
        <v>39583</v>
      </c>
      <c r="AR475" s="82">
        <f t="shared" si="34"/>
        <v>15</v>
      </c>
      <c r="AS475" s="83">
        <f t="shared" si="35"/>
        <v>5</v>
      </c>
      <c r="AT475" s="84">
        <f t="shared" si="36"/>
        <v>2008</v>
      </c>
      <c r="AU475" s="86"/>
      <c r="AV475" s="86"/>
      <c r="AW475" s="87"/>
      <c r="AX475" s="86"/>
      <c r="AY475" s="83"/>
      <c r="AZ475" s="84"/>
      <c r="BA475" s="86"/>
      <c r="BB475" s="86"/>
    </row>
    <row r="476" spans="1:54" ht="36.75" customHeight="1">
      <c r="A476" s="30"/>
      <c r="B476" s="30" t="s">
        <v>55</v>
      </c>
      <c r="C476" s="69" t="str">
        <f t="shared" si="33"/>
        <v>Closed</v>
      </c>
      <c r="D476" s="27" t="s">
        <v>2833</v>
      </c>
      <c r="E476" s="29" t="s">
        <v>2834</v>
      </c>
      <c r="F476" s="30" t="s">
        <v>835</v>
      </c>
      <c r="G476" s="89">
        <f>DATE(2008,5,16)</f>
        <v>39584</v>
      </c>
      <c r="H476" s="90">
        <v>1.4048611111111111</v>
      </c>
      <c r="I476" s="30" t="s">
        <v>116</v>
      </c>
      <c r="J476" s="89" t="s">
        <v>2835</v>
      </c>
      <c r="K476" s="30" t="s">
        <v>837</v>
      </c>
      <c r="L476" s="30" t="s">
        <v>2836</v>
      </c>
      <c r="M476" s="30" t="s">
        <v>63</v>
      </c>
      <c r="N476" s="30">
        <v>0</v>
      </c>
      <c r="O476" s="30" t="s">
        <v>64</v>
      </c>
      <c r="P476" s="89" t="s">
        <v>165</v>
      </c>
      <c r="Q476" s="89" t="s">
        <v>2162</v>
      </c>
      <c r="R476" s="89" t="s">
        <v>840</v>
      </c>
      <c r="S476" s="30">
        <v>0</v>
      </c>
      <c r="T476" s="233" t="s">
        <v>68</v>
      </c>
      <c r="U476" s="30">
        <v>0</v>
      </c>
      <c r="V476" s="233" t="s">
        <v>68</v>
      </c>
      <c r="W476" s="30">
        <v>0</v>
      </c>
      <c r="X476" s="30">
        <v>0</v>
      </c>
      <c r="Y476" s="30">
        <v>0</v>
      </c>
      <c r="Z476" s="233" t="s">
        <v>68</v>
      </c>
      <c r="AA476" s="30">
        <v>0</v>
      </c>
      <c r="AB476" s="30">
        <v>0</v>
      </c>
      <c r="AC476" s="30">
        <v>0</v>
      </c>
      <c r="AD476" s="30">
        <v>0</v>
      </c>
      <c r="AE476" s="89" t="s">
        <v>68</v>
      </c>
      <c r="AF476" s="89"/>
      <c r="AG476" s="89" t="s">
        <v>352</v>
      </c>
      <c r="AH476" s="72" t="s">
        <v>68</v>
      </c>
      <c r="AI476" s="30">
        <v>1</v>
      </c>
      <c r="AJ476" s="89" t="s">
        <v>68</v>
      </c>
      <c r="AK476" s="89" t="s">
        <v>68</v>
      </c>
      <c r="AL476" s="91">
        <v>39953</v>
      </c>
      <c r="AM476" s="91"/>
      <c r="AN476" s="91"/>
      <c r="AO476" s="91"/>
      <c r="AP476" s="73" t="e">
        <f>MID(VLOOKUP(K476,#REF!,2,FALSE),1,2)</f>
        <v>#REF!</v>
      </c>
      <c r="AQ476" s="89">
        <f>DATE(2008,5,16)</f>
        <v>39584</v>
      </c>
      <c r="AR476" s="82">
        <f t="shared" si="34"/>
        <v>16</v>
      </c>
      <c r="AS476" s="83">
        <f t="shared" si="35"/>
        <v>5</v>
      </c>
      <c r="AT476" s="84">
        <f t="shared" si="36"/>
        <v>2008</v>
      </c>
      <c r="AU476" s="86"/>
      <c r="AV476" s="86"/>
      <c r="AW476" s="87"/>
      <c r="AX476" s="86"/>
      <c r="AY476" s="83"/>
      <c r="AZ476" s="84"/>
      <c r="BA476" s="86"/>
      <c r="BB476" s="86"/>
    </row>
    <row r="477" spans="1:54" ht="36.75" customHeight="1">
      <c r="A477" s="30"/>
      <c r="B477" s="30" t="s">
        <v>55</v>
      </c>
      <c r="C477" s="69" t="str">
        <f t="shared" si="33"/>
        <v>Closed</v>
      </c>
      <c r="D477" s="27" t="s">
        <v>2837</v>
      </c>
      <c r="E477" s="29" t="s">
        <v>2838</v>
      </c>
      <c r="F477" s="30" t="s">
        <v>423</v>
      </c>
      <c r="G477" s="89">
        <f>DATE(2008,5,19)</f>
        <v>39587</v>
      </c>
      <c r="H477" s="90">
        <v>1.2</v>
      </c>
      <c r="I477" s="30" t="s">
        <v>198</v>
      </c>
      <c r="J477" s="89" t="s">
        <v>2839</v>
      </c>
      <c r="K477" s="30" t="s">
        <v>425</v>
      </c>
      <c r="L477" s="30" t="s">
        <v>2840</v>
      </c>
      <c r="M477" s="30" t="s">
        <v>63</v>
      </c>
      <c r="N477" s="30">
        <v>0</v>
      </c>
      <c r="O477" s="30" t="s">
        <v>77</v>
      </c>
      <c r="P477" s="89" t="s">
        <v>2841</v>
      </c>
      <c r="Q477" s="89" t="s">
        <v>2483</v>
      </c>
      <c r="R477" s="89" t="s">
        <v>427</v>
      </c>
      <c r="S477" s="30">
        <v>0</v>
      </c>
      <c r="T477" s="233">
        <v>1</v>
      </c>
      <c r="U477" s="30">
        <v>0</v>
      </c>
      <c r="V477" s="233">
        <v>0</v>
      </c>
      <c r="W477" s="30">
        <v>0</v>
      </c>
      <c r="X477" s="30">
        <v>1</v>
      </c>
      <c r="Y477" s="30">
        <v>0</v>
      </c>
      <c r="Z477" s="233">
        <v>0</v>
      </c>
      <c r="AA477" s="30">
        <v>0</v>
      </c>
      <c r="AB477" s="30">
        <v>0</v>
      </c>
      <c r="AC477" s="30">
        <v>0</v>
      </c>
      <c r="AD477" s="30">
        <v>0</v>
      </c>
      <c r="AE477" s="89" t="s">
        <v>68</v>
      </c>
      <c r="AF477" s="89"/>
      <c r="AG477" s="89" t="s">
        <v>82</v>
      </c>
      <c r="AH477" s="72" t="s">
        <v>68</v>
      </c>
      <c r="AI477" s="30">
        <v>7</v>
      </c>
      <c r="AJ477" s="89" t="s">
        <v>68</v>
      </c>
      <c r="AK477" s="89" t="s">
        <v>68</v>
      </c>
      <c r="AL477" s="91">
        <v>39597</v>
      </c>
      <c r="AM477" s="91"/>
      <c r="AN477" s="91"/>
      <c r="AO477" s="91"/>
      <c r="AP477" s="73" t="e">
        <f>MID(VLOOKUP(K477,#REF!,2,FALSE),1,2)</f>
        <v>#REF!</v>
      </c>
      <c r="AQ477" s="89">
        <f>DATE(2008,5,19)</f>
        <v>39587</v>
      </c>
      <c r="AR477" s="82">
        <f t="shared" si="34"/>
        <v>19</v>
      </c>
      <c r="AS477" s="83">
        <f t="shared" si="35"/>
        <v>5</v>
      </c>
      <c r="AT477" s="84">
        <f t="shared" si="36"/>
        <v>2008</v>
      </c>
      <c r="AU477" s="86"/>
      <c r="AV477" s="86"/>
      <c r="AW477" s="87"/>
      <c r="AX477" s="86"/>
      <c r="AY477" s="83"/>
      <c r="AZ477" s="84"/>
      <c r="BA477" s="86"/>
      <c r="BB477" s="86"/>
    </row>
    <row r="478" spans="1:54" ht="36.75" customHeight="1">
      <c r="A478" s="30"/>
      <c r="B478" s="30" t="s">
        <v>55</v>
      </c>
      <c r="C478" s="69" t="str">
        <f t="shared" si="33"/>
        <v>Closed</v>
      </c>
      <c r="D478" s="27" t="s">
        <v>2842</v>
      </c>
      <c r="E478" s="29" t="s">
        <v>2843</v>
      </c>
      <c r="F478" s="30" t="s">
        <v>58</v>
      </c>
      <c r="G478" s="89">
        <f>DATE(2008,5,23)</f>
        <v>39591</v>
      </c>
      <c r="H478" s="90">
        <v>1.6354166666666665</v>
      </c>
      <c r="I478" s="30" t="s">
        <v>86</v>
      </c>
      <c r="J478" s="89" t="s">
        <v>2844</v>
      </c>
      <c r="K478" s="30" t="s">
        <v>61</v>
      </c>
      <c r="L478" s="30" t="s">
        <v>2845</v>
      </c>
      <c r="M478" s="30" t="s">
        <v>63</v>
      </c>
      <c r="N478" s="30" t="s">
        <v>142</v>
      </c>
      <c r="O478" s="30" t="s">
        <v>77</v>
      </c>
      <c r="P478" s="89" t="s">
        <v>165</v>
      </c>
      <c r="Q478" s="89" t="s">
        <v>66</v>
      </c>
      <c r="R478" s="89" t="s">
        <v>67</v>
      </c>
      <c r="S478" s="30">
        <v>0</v>
      </c>
      <c r="T478" s="233">
        <v>0</v>
      </c>
      <c r="U478" s="30">
        <v>0</v>
      </c>
      <c r="V478" s="233">
        <v>0</v>
      </c>
      <c r="W478" s="30">
        <v>0</v>
      </c>
      <c r="X478" s="30">
        <v>0</v>
      </c>
      <c r="Y478" s="30">
        <v>0</v>
      </c>
      <c r="Z478" s="233">
        <v>0</v>
      </c>
      <c r="AA478" s="30">
        <v>0</v>
      </c>
      <c r="AB478" s="30">
        <v>0</v>
      </c>
      <c r="AC478" s="30">
        <v>0</v>
      </c>
      <c r="AD478" s="30">
        <v>0</v>
      </c>
      <c r="AE478" s="89" t="s">
        <v>92</v>
      </c>
      <c r="AF478" s="89"/>
      <c r="AG478" s="89" t="s">
        <v>395</v>
      </c>
      <c r="AH478" s="72">
        <v>39681</v>
      </c>
      <c r="AI478" s="30">
        <v>2</v>
      </c>
      <c r="AJ478" s="89" t="s">
        <v>2846</v>
      </c>
      <c r="AK478" s="89" t="s">
        <v>2847</v>
      </c>
      <c r="AL478" s="91">
        <v>39681</v>
      </c>
      <c r="AM478" s="91"/>
      <c r="AN478" s="91"/>
      <c r="AO478" s="91"/>
      <c r="AP478" s="73" t="e">
        <f>MID(VLOOKUP(K478,#REF!,2,FALSE),1,2)</f>
        <v>#REF!</v>
      </c>
      <c r="AQ478" s="89">
        <f>DATE(2008,5,23)</f>
        <v>39591</v>
      </c>
      <c r="AR478" s="82">
        <f t="shared" si="34"/>
        <v>23</v>
      </c>
      <c r="AS478" s="83">
        <f t="shared" si="35"/>
        <v>5</v>
      </c>
      <c r="AT478" s="84">
        <f t="shared" si="36"/>
        <v>2008</v>
      </c>
      <c r="AU478" s="86"/>
      <c r="AV478" s="86"/>
      <c r="AW478" s="87"/>
      <c r="AX478" s="86"/>
      <c r="AY478" s="83"/>
      <c r="AZ478" s="84"/>
      <c r="BA478" s="86"/>
      <c r="BB478" s="86"/>
    </row>
    <row r="479" spans="1:54" ht="36.75" customHeight="1">
      <c r="A479" s="30"/>
      <c r="B479" s="30" t="s">
        <v>55</v>
      </c>
      <c r="C479" s="69" t="str">
        <f t="shared" si="33"/>
        <v>Closed</v>
      </c>
      <c r="D479" s="27" t="s">
        <v>2848</v>
      </c>
      <c r="E479" s="29" t="s">
        <v>2849</v>
      </c>
      <c r="F479" s="30" t="s">
        <v>233</v>
      </c>
      <c r="G479" s="89">
        <f>DATE(2008,5,23)</f>
        <v>39591</v>
      </c>
      <c r="H479" s="90">
        <v>1.9076388888888891</v>
      </c>
      <c r="I479" s="30" t="s">
        <v>278</v>
      </c>
      <c r="J479" s="89" t="s">
        <v>2850</v>
      </c>
      <c r="K479" s="30" t="s">
        <v>235</v>
      </c>
      <c r="L479" s="30" t="s">
        <v>2851</v>
      </c>
      <c r="M479" s="30" t="s">
        <v>63</v>
      </c>
      <c r="N479" s="30">
        <v>0</v>
      </c>
      <c r="O479" s="30" t="s">
        <v>64</v>
      </c>
      <c r="P479" s="89" t="s">
        <v>165</v>
      </c>
      <c r="Q479" s="89" t="s">
        <v>1428</v>
      </c>
      <c r="R479" s="89" t="s">
        <v>238</v>
      </c>
      <c r="S479" s="30">
        <v>0</v>
      </c>
      <c r="T479" s="233">
        <v>0</v>
      </c>
      <c r="U479" s="30">
        <v>0</v>
      </c>
      <c r="V479" s="233">
        <v>0</v>
      </c>
      <c r="W479" s="30">
        <v>0</v>
      </c>
      <c r="X479" s="30">
        <v>0</v>
      </c>
      <c r="Y479" s="30">
        <v>0</v>
      </c>
      <c r="Z479" s="233">
        <v>1</v>
      </c>
      <c r="AA479" s="30">
        <v>0</v>
      </c>
      <c r="AB479" s="30">
        <v>0</v>
      </c>
      <c r="AC479" s="30">
        <v>0</v>
      </c>
      <c r="AD479" s="30">
        <v>1</v>
      </c>
      <c r="AE479" s="89" t="s">
        <v>68</v>
      </c>
      <c r="AF479" s="89"/>
      <c r="AG479" s="89" t="s">
        <v>352</v>
      </c>
      <c r="AH479" s="72" t="s">
        <v>68</v>
      </c>
      <c r="AI479" s="30">
        <v>3</v>
      </c>
      <c r="AJ479" s="89" t="s">
        <v>2852</v>
      </c>
      <c r="AK479" s="89" t="s">
        <v>2853</v>
      </c>
      <c r="AL479" s="91">
        <v>39682</v>
      </c>
      <c r="AM479" s="91"/>
      <c r="AN479" s="91"/>
      <c r="AO479" s="91"/>
      <c r="AP479" s="73" t="e">
        <f>MID(VLOOKUP(K479,#REF!,2,FALSE),1,2)</f>
        <v>#REF!</v>
      </c>
      <c r="AQ479" s="89">
        <f>DATE(2008,5,23)</f>
        <v>39591</v>
      </c>
      <c r="AR479" s="82">
        <f t="shared" si="34"/>
        <v>23</v>
      </c>
      <c r="AS479" s="83">
        <f t="shared" si="35"/>
        <v>5</v>
      </c>
      <c r="AT479" s="84">
        <f t="shared" si="36"/>
        <v>2008</v>
      </c>
      <c r="AU479" s="86"/>
      <c r="AV479" s="86"/>
      <c r="AW479" s="87"/>
      <c r="AX479" s="86"/>
      <c r="AY479" s="83"/>
      <c r="AZ479" s="84"/>
      <c r="BA479" s="86"/>
      <c r="BB479" s="86"/>
    </row>
    <row r="480" spans="1:54" ht="36.75" customHeight="1">
      <c r="A480" s="30"/>
      <c r="B480" s="30" t="s">
        <v>55</v>
      </c>
      <c r="C480" s="69" t="str">
        <f t="shared" si="33"/>
        <v>Closed</v>
      </c>
      <c r="D480" s="27" t="s">
        <v>2854</v>
      </c>
      <c r="E480" s="29" t="s">
        <v>2855</v>
      </c>
      <c r="F480" s="30" t="s">
        <v>638</v>
      </c>
      <c r="G480" s="89">
        <f>DATE(2008,5,24)</f>
        <v>39592</v>
      </c>
      <c r="H480" s="90">
        <v>1.7000000000000002</v>
      </c>
      <c r="I480" s="30" t="s">
        <v>278</v>
      </c>
      <c r="J480" s="89" t="s">
        <v>2856</v>
      </c>
      <c r="K480" s="30" t="s">
        <v>640</v>
      </c>
      <c r="L480" s="30" t="s">
        <v>2857</v>
      </c>
      <c r="M480" s="30" t="s">
        <v>63</v>
      </c>
      <c r="N480" s="30">
        <v>0</v>
      </c>
      <c r="O480" s="30" t="s">
        <v>64</v>
      </c>
      <c r="P480" s="89" t="s">
        <v>65</v>
      </c>
      <c r="Q480" s="89" t="s">
        <v>642</v>
      </c>
      <c r="R480" s="89" t="s">
        <v>643</v>
      </c>
      <c r="S480" s="30">
        <v>0</v>
      </c>
      <c r="T480" s="233">
        <v>0</v>
      </c>
      <c r="U480" s="30">
        <v>0</v>
      </c>
      <c r="V480" s="233">
        <v>1</v>
      </c>
      <c r="W480" s="30">
        <v>0</v>
      </c>
      <c r="X480" s="30">
        <v>1</v>
      </c>
      <c r="Y480" s="30">
        <v>0</v>
      </c>
      <c r="Z480" s="233">
        <v>0</v>
      </c>
      <c r="AA480" s="30">
        <v>0</v>
      </c>
      <c r="AB480" s="30">
        <v>0</v>
      </c>
      <c r="AC480" s="30">
        <v>0</v>
      </c>
      <c r="AD480" s="30">
        <v>0</v>
      </c>
      <c r="AE480" s="89" t="s">
        <v>68</v>
      </c>
      <c r="AF480" s="89"/>
      <c r="AG480" s="89" t="s">
        <v>248</v>
      </c>
      <c r="AH480" s="72" t="s">
        <v>68</v>
      </c>
      <c r="AI480" s="30">
        <v>2</v>
      </c>
      <c r="AJ480" s="89" t="s">
        <v>68</v>
      </c>
      <c r="AK480" s="89" t="s">
        <v>68</v>
      </c>
      <c r="AL480" s="91">
        <v>39689</v>
      </c>
      <c r="AM480" s="91"/>
      <c r="AN480" s="91"/>
      <c r="AO480" s="91"/>
      <c r="AP480" s="73" t="e">
        <f>MID(VLOOKUP(K480,#REF!,2,FALSE),1,2)</f>
        <v>#REF!</v>
      </c>
      <c r="AQ480" s="89">
        <f>DATE(2008,5,24)</f>
        <v>39592</v>
      </c>
      <c r="AR480" s="82">
        <f t="shared" si="34"/>
        <v>24</v>
      </c>
      <c r="AS480" s="83">
        <f t="shared" si="35"/>
        <v>5</v>
      </c>
      <c r="AT480" s="84">
        <f t="shared" si="36"/>
        <v>2008</v>
      </c>
      <c r="AU480" s="86"/>
      <c r="AV480" s="86"/>
      <c r="AW480" s="87"/>
      <c r="AX480" s="86"/>
      <c r="AY480" s="83"/>
      <c r="AZ480" s="84"/>
      <c r="BA480" s="86"/>
      <c r="BB480" s="86"/>
    </row>
    <row r="481" spans="1:54" ht="36.75" customHeight="1">
      <c r="A481" s="30"/>
      <c r="B481" s="30" t="s">
        <v>55</v>
      </c>
      <c r="C481" s="69" t="str">
        <f t="shared" si="33"/>
        <v>Closed</v>
      </c>
      <c r="D481" s="27" t="s">
        <v>2858</v>
      </c>
      <c r="E481" s="29" t="s">
        <v>2859</v>
      </c>
      <c r="F481" s="30" t="s">
        <v>638</v>
      </c>
      <c r="G481" s="89">
        <f>DATE(2008,5,24)</f>
        <v>39592</v>
      </c>
      <c r="H481" s="90">
        <v>1.8277777777777779</v>
      </c>
      <c r="I481" s="30" t="s">
        <v>278</v>
      </c>
      <c r="J481" s="89" t="s">
        <v>2860</v>
      </c>
      <c r="K481" s="30" t="s">
        <v>640</v>
      </c>
      <c r="L481" s="30" t="s">
        <v>2861</v>
      </c>
      <c r="M481" s="30" t="s">
        <v>63</v>
      </c>
      <c r="N481" s="30">
        <v>0</v>
      </c>
      <c r="O481" s="30" t="s">
        <v>64</v>
      </c>
      <c r="P481" s="89" t="s">
        <v>165</v>
      </c>
      <c r="Q481" s="89" t="s">
        <v>642</v>
      </c>
      <c r="R481" s="89" t="s">
        <v>643</v>
      </c>
      <c r="S481" s="30">
        <v>0</v>
      </c>
      <c r="T481" s="233">
        <v>0</v>
      </c>
      <c r="U481" s="30">
        <v>0</v>
      </c>
      <c r="V481" s="233">
        <v>1</v>
      </c>
      <c r="W481" s="30">
        <v>0</v>
      </c>
      <c r="X481" s="30">
        <v>1</v>
      </c>
      <c r="Y481" s="30">
        <v>0</v>
      </c>
      <c r="Z481" s="233">
        <v>0</v>
      </c>
      <c r="AA481" s="30">
        <v>0</v>
      </c>
      <c r="AB481" s="30">
        <v>0</v>
      </c>
      <c r="AC481" s="30">
        <v>0</v>
      </c>
      <c r="AD481" s="30">
        <v>0</v>
      </c>
      <c r="AE481" s="89" t="s">
        <v>68</v>
      </c>
      <c r="AF481" s="89"/>
      <c r="AG481" s="89" t="s">
        <v>248</v>
      </c>
      <c r="AH481" s="72" t="s">
        <v>68</v>
      </c>
      <c r="AI481" s="30">
        <v>1</v>
      </c>
      <c r="AJ481" s="89" t="s">
        <v>68</v>
      </c>
      <c r="AK481" s="89" t="s">
        <v>68</v>
      </c>
      <c r="AL481" s="91">
        <v>39689</v>
      </c>
      <c r="AM481" s="91"/>
      <c r="AN481" s="91"/>
      <c r="AO481" s="91"/>
      <c r="AP481" s="73" t="e">
        <f>MID(VLOOKUP(K481,#REF!,2,FALSE),1,2)</f>
        <v>#REF!</v>
      </c>
      <c r="AQ481" s="89">
        <f>DATE(2008,5,24)</f>
        <v>39592</v>
      </c>
      <c r="AR481" s="82">
        <f t="shared" si="34"/>
        <v>24</v>
      </c>
      <c r="AS481" s="83">
        <f t="shared" si="35"/>
        <v>5</v>
      </c>
      <c r="AT481" s="84">
        <f t="shared" si="36"/>
        <v>2008</v>
      </c>
      <c r="AU481" s="86"/>
      <c r="AV481" s="86"/>
      <c r="AW481" s="87"/>
      <c r="AX481" s="86"/>
      <c r="AY481" s="83"/>
      <c r="AZ481" s="84"/>
      <c r="BA481" s="86"/>
      <c r="BB481" s="86"/>
    </row>
    <row r="482" spans="1:54" ht="36.75" customHeight="1">
      <c r="A482" s="30"/>
      <c r="B482" s="30" t="s">
        <v>55</v>
      </c>
      <c r="C482" s="69" t="str">
        <f t="shared" si="33"/>
        <v>Closed</v>
      </c>
      <c r="D482" s="27" t="s">
        <v>2862</v>
      </c>
      <c r="E482" s="29" t="s">
        <v>2863</v>
      </c>
      <c r="F482" s="30" t="s">
        <v>1572</v>
      </c>
      <c r="G482" s="89">
        <f>DATE(2008,5,26)</f>
        <v>39594</v>
      </c>
      <c r="H482" s="90">
        <v>1.6354166666666665</v>
      </c>
      <c r="I482" s="30" t="s">
        <v>73</v>
      </c>
      <c r="J482" s="89" t="s">
        <v>2864</v>
      </c>
      <c r="K482" s="30" t="s">
        <v>1574</v>
      </c>
      <c r="L482" s="30" t="s">
        <v>2865</v>
      </c>
      <c r="M482" s="30" t="s">
        <v>63</v>
      </c>
      <c r="N482" s="30">
        <v>0</v>
      </c>
      <c r="O482" s="30" t="s">
        <v>77</v>
      </c>
      <c r="P482" s="89" t="s">
        <v>165</v>
      </c>
      <c r="Q482" s="89" t="s">
        <v>2413</v>
      </c>
      <c r="R482" s="89">
        <v>0</v>
      </c>
      <c r="S482" s="30">
        <v>0</v>
      </c>
      <c r="T482" s="233" t="s">
        <v>68</v>
      </c>
      <c r="U482" s="30">
        <v>0</v>
      </c>
      <c r="V482" s="233" t="s">
        <v>68</v>
      </c>
      <c r="W482" s="30">
        <v>0</v>
      </c>
      <c r="X482" s="30">
        <v>0</v>
      </c>
      <c r="Y482" s="30">
        <v>0</v>
      </c>
      <c r="Z482" s="233" t="s">
        <v>68</v>
      </c>
      <c r="AA482" s="30">
        <v>0</v>
      </c>
      <c r="AB482" s="30">
        <v>0</v>
      </c>
      <c r="AC482" s="30">
        <v>0</v>
      </c>
      <c r="AD482" s="30">
        <v>0</v>
      </c>
      <c r="AE482" s="89" t="s">
        <v>68</v>
      </c>
      <c r="AF482" s="89"/>
      <c r="AG482" s="89" t="s">
        <v>1507</v>
      </c>
      <c r="AH482" s="72" t="s">
        <v>68</v>
      </c>
      <c r="AI482" s="30">
        <v>5</v>
      </c>
      <c r="AJ482" s="89" t="s">
        <v>2866</v>
      </c>
      <c r="AK482" s="89" t="s">
        <v>2867</v>
      </c>
      <c r="AL482" s="91">
        <v>39597</v>
      </c>
      <c r="AM482" s="91"/>
      <c r="AN482" s="91"/>
      <c r="AO482" s="91"/>
      <c r="AP482" s="73" t="e">
        <f>MID(VLOOKUP(K482,#REF!,2,FALSE),1,2)</f>
        <v>#REF!</v>
      </c>
      <c r="AQ482" s="89">
        <f>DATE(2008,5,26)</f>
        <v>39594</v>
      </c>
      <c r="AR482" s="82">
        <f t="shared" si="34"/>
        <v>26</v>
      </c>
      <c r="AS482" s="83">
        <f t="shared" si="35"/>
        <v>5</v>
      </c>
      <c r="AT482" s="84">
        <f t="shared" si="36"/>
        <v>2008</v>
      </c>
      <c r="AU482" s="86"/>
      <c r="AV482" s="86"/>
      <c r="AW482" s="87"/>
      <c r="AX482" s="86"/>
      <c r="AY482" s="83"/>
      <c r="AZ482" s="84"/>
      <c r="BA482" s="86"/>
      <c r="BB482" s="86"/>
    </row>
    <row r="483" spans="1:54" ht="36.75" customHeight="1">
      <c r="A483" s="30"/>
      <c r="B483" s="30" t="s">
        <v>55</v>
      </c>
      <c r="C483" s="69" t="str">
        <f t="shared" si="33"/>
        <v>Closed</v>
      </c>
      <c r="D483" s="27" t="s">
        <v>2868</v>
      </c>
      <c r="E483" s="29" t="s">
        <v>2869</v>
      </c>
      <c r="F483" s="30" t="s">
        <v>638</v>
      </c>
      <c r="G483" s="89">
        <f>DATE(2008,5,27)</f>
        <v>39595</v>
      </c>
      <c r="H483" s="90">
        <v>1.75</v>
      </c>
      <c r="I483" s="30" t="s">
        <v>116</v>
      </c>
      <c r="J483" s="89" t="s">
        <v>2870</v>
      </c>
      <c r="K483" s="30" t="s">
        <v>640</v>
      </c>
      <c r="L483" s="30" t="s">
        <v>2871</v>
      </c>
      <c r="M483" s="30" t="s">
        <v>63</v>
      </c>
      <c r="N483" s="30">
        <v>0</v>
      </c>
      <c r="O483" s="30" t="s">
        <v>64</v>
      </c>
      <c r="P483" s="89" t="s">
        <v>165</v>
      </c>
      <c r="Q483" s="89" t="s">
        <v>642</v>
      </c>
      <c r="R483" s="89" t="s">
        <v>643</v>
      </c>
      <c r="S483" s="30">
        <v>0</v>
      </c>
      <c r="T483" s="233">
        <v>0</v>
      </c>
      <c r="U483" s="30">
        <v>1</v>
      </c>
      <c r="V483" s="233">
        <v>0</v>
      </c>
      <c r="W483" s="30">
        <v>0</v>
      </c>
      <c r="X483" s="30">
        <v>1</v>
      </c>
      <c r="Y483" s="30">
        <v>0</v>
      </c>
      <c r="Z483" s="233">
        <v>0</v>
      </c>
      <c r="AA483" s="30">
        <v>0</v>
      </c>
      <c r="AB483" s="30">
        <v>0</v>
      </c>
      <c r="AC483" s="30">
        <v>0</v>
      </c>
      <c r="AD483" s="30">
        <v>0</v>
      </c>
      <c r="AE483" s="89" t="s">
        <v>68</v>
      </c>
      <c r="AF483" s="89"/>
      <c r="AG483" s="89" t="s">
        <v>248</v>
      </c>
      <c r="AH483" s="72" t="s">
        <v>68</v>
      </c>
      <c r="AI483" s="30">
        <v>1</v>
      </c>
      <c r="AJ483" s="89" t="s">
        <v>68</v>
      </c>
      <c r="AK483" s="89" t="s">
        <v>68</v>
      </c>
      <c r="AL483" s="91">
        <v>39609</v>
      </c>
      <c r="AM483" s="91"/>
      <c r="AN483" s="91"/>
      <c r="AO483" s="91"/>
      <c r="AP483" s="73" t="e">
        <f>MID(VLOOKUP(K483,#REF!,2,FALSE),1,2)</f>
        <v>#REF!</v>
      </c>
      <c r="AQ483" s="89">
        <f>DATE(2008,5,27)</f>
        <v>39595</v>
      </c>
      <c r="AR483" s="82">
        <f t="shared" si="34"/>
        <v>27</v>
      </c>
      <c r="AS483" s="83">
        <f t="shared" si="35"/>
        <v>5</v>
      </c>
      <c r="AT483" s="84">
        <f t="shared" si="36"/>
        <v>2008</v>
      </c>
      <c r="AU483" s="86"/>
      <c r="AV483" s="86"/>
      <c r="AW483" s="87"/>
      <c r="AX483" s="86"/>
      <c r="AY483" s="83"/>
      <c r="AZ483" s="84"/>
      <c r="BA483" s="86"/>
      <c r="BB483" s="86"/>
    </row>
    <row r="484" spans="1:54" ht="36.75" customHeight="1">
      <c r="A484" s="30"/>
      <c r="B484" s="30" t="s">
        <v>55</v>
      </c>
      <c r="C484" s="69" t="str">
        <f t="shared" si="33"/>
        <v>Closed</v>
      </c>
      <c r="D484" s="27" t="s">
        <v>2872</v>
      </c>
      <c r="E484" s="29" t="s">
        <v>2873</v>
      </c>
      <c r="F484" s="30" t="s">
        <v>233</v>
      </c>
      <c r="G484" s="89">
        <f>DATE(2008,5,28)</f>
        <v>39596</v>
      </c>
      <c r="H484" s="90">
        <v>1.8083333333333331</v>
      </c>
      <c r="I484" s="30" t="s">
        <v>86</v>
      </c>
      <c r="J484" s="89" t="s">
        <v>2874</v>
      </c>
      <c r="K484" s="30" t="s">
        <v>235</v>
      </c>
      <c r="L484" s="30" t="s">
        <v>2875</v>
      </c>
      <c r="M484" s="30" t="s">
        <v>63</v>
      </c>
      <c r="N484" s="30">
        <v>0</v>
      </c>
      <c r="O484" s="30" t="s">
        <v>64</v>
      </c>
      <c r="P484" s="89" t="s">
        <v>165</v>
      </c>
      <c r="Q484" s="89" t="s">
        <v>2876</v>
      </c>
      <c r="R484" s="89" t="s">
        <v>238</v>
      </c>
      <c r="S484" s="30">
        <v>0</v>
      </c>
      <c r="T484" s="233" t="s">
        <v>68</v>
      </c>
      <c r="U484" s="30">
        <v>0</v>
      </c>
      <c r="V484" s="233" t="s">
        <v>68</v>
      </c>
      <c r="W484" s="30">
        <v>0</v>
      </c>
      <c r="X484" s="30">
        <v>0</v>
      </c>
      <c r="Y484" s="30">
        <v>0</v>
      </c>
      <c r="Z484" s="233" t="s">
        <v>68</v>
      </c>
      <c r="AA484" s="30">
        <v>0</v>
      </c>
      <c r="AB484" s="30">
        <v>0</v>
      </c>
      <c r="AC484" s="30">
        <v>0</v>
      </c>
      <c r="AD484" s="30">
        <v>0</v>
      </c>
      <c r="AE484" s="89" t="s">
        <v>68</v>
      </c>
      <c r="AF484" s="89"/>
      <c r="AG484" s="89" t="s">
        <v>133</v>
      </c>
      <c r="AH484" s="72" t="s">
        <v>68</v>
      </c>
      <c r="AI484" s="30">
        <v>7</v>
      </c>
      <c r="AJ484" s="89" t="s">
        <v>2877</v>
      </c>
      <c r="AK484" s="89" t="s">
        <v>2878</v>
      </c>
      <c r="AL484" s="91">
        <v>39682</v>
      </c>
      <c r="AM484" s="91"/>
      <c r="AN484" s="91"/>
      <c r="AO484" s="91"/>
      <c r="AP484" s="73" t="e">
        <f>MID(VLOOKUP(K484,#REF!,2,FALSE),1,2)</f>
        <v>#REF!</v>
      </c>
      <c r="AQ484" s="89">
        <f>DATE(2008,5,28)</f>
        <v>39596</v>
      </c>
      <c r="AR484" s="82">
        <f t="shared" si="34"/>
        <v>28</v>
      </c>
      <c r="AS484" s="83">
        <f t="shared" si="35"/>
        <v>5</v>
      </c>
      <c r="AT484" s="84">
        <f t="shared" si="36"/>
        <v>2008</v>
      </c>
      <c r="AU484" s="86"/>
      <c r="AV484" s="86"/>
      <c r="AW484" s="87"/>
      <c r="AX484" s="86"/>
      <c r="AY484" s="83"/>
      <c r="AZ484" s="84"/>
      <c r="BA484" s="86"/>
      <c r="BB484" s="86"/>
    </row>
    <row r="485" spans="1:54" ht="36.75" customHeight="1">
      <c r="A485" s="30"/>
      <c r="B485" s="30" t="s">
        <v>55</v>
      </c>
      <c r="C485" s="69" t="str">
        <f t="shared" si="33"/>
        <v>Closed</v>
      </c>
      <c r="D485" s="27" t="s">
        <v>2879</v>
      </c>
      <c r="E485" s="29" t="s">
        <v>2880</v>
      </c>
      <c r="F485" s="30" t="s">
        <v>423</v>
      </c>
      <c r="G485" s="89">
        <f>DATE(2008,6,2)</f>
        <v>39601</v>
      </c>
      <c r="H485" s="90">
        <v>1.6673611111111111</v>
      </c>
      <c r="I485" s="30" t="s">
        <v>278</v>
      </c>
      <c r="J485" s="89" t="s">
        <v>2881</v>
      </c>
      <c r="K485" s="30" t="s">
        <v>425</v>
      </c>
      <c r="L485" s="30" t="s">
        <v>2882</v>
      </c>
      <c r="M485" s="30" t="s">
        <v>255</v>
      </c>
      <c r="N485" s="30">
        <v>0</v>
      </c>
      <c r="O485" s="30" t="s">
        <v>86</v>
      </c>
      <c r="P485" s="89" t="s">
        <v>86</v>
      </c>
      <c r="Q485" s="89" t="s">
        <v>2883</v>
      </c>
      <c r="R485" s="89" t="s">
        <v>2883</v>
      </c>
      <c r="S485" s="30">
        <v>0</v>
      </c>
      <c r="T485" s="233">
        <v>0</v>
      </c>
      <c r="U485" s="30">
        <v>0</v>
      </c>
      <c r="V485" s="233">
        <v>0</v>
      </c>
      <c r="W485" s="30">
        <v>0</v>
      </c>
      <c r="X485" s="30">
        <v>0</v>
      </c>
      <c r="Y485" s="30">
        <v>1</v>
      </c>
      <c r="Z485" s="233">
        <v>0</v>
      </c>
      <c r="AA485" s="30">
        <v>0</v>
      </c>
      <c r="AB485" s="30">
        <v>0</v>
      </c>
      <c r="AC485" s="30">
        <v>0</v>
      </c>
      <c r="AD485" s="30">
        <v>1</v>
      </c>
      <c r="AE485" s="89" t="s">
        <v>68</v>
      </c>
      <c r="AF485" s="89"/>
      <c r="AG485" s="89" t="s">
        <v>133</v>
      </c>
      <c r="AH485" s="72" t="s">
        <v>68</v>
      </c>
      <c r="AI485" s="30">
        <v>5</v>
      </c>
      <c r="AJ485" s="89" t="s">
        <v>68</v>
      </c>
      <c r="AK485" s="89" t="s">
        <v>68</v>
      </c>
      <c r="AL485" s="91">
        <v>39666</v>
      </c>
      <c r="AM485" s="91"/>
      <c r="AN485" s="91"/>
      <c r="AO485" s="91"/>
      <c r="AP485" s="73" t="e">
        <f>MID(VLOOKUP(K485,#REF!,2,FALSE),1,2)</f>
        <v>#REF!</v>
      </c>
      <c r="AQ485" s="89">
        <f>DATE(2008,6,2)</f>
        <v>39601</v>
      </c>
      <c r="AR485" s="82">
        <f t="shared" si="34"/>
        <v>2</v>
      </c>
      <c r="AS485" s="83">
        <f t="shared" si="35"/>
        <v>6</v>
      </c>
      <c r="AT485" s="84">
        <f t="shared" si="36"/>
        <v>2008</v>
      </c>
      <c r="AU485" s="86"/>
      <c r="AV485" s="86"/>
      <c r="AW485" s="87"/>
      <c r="AX485" s="86"/>
      <c r="AY485" s="83"/>
      <c r="AZ485" s="84"/>
      <c r="BA485" s="86"/>
      <c r="BB485" s="86"/>
    </row>
    <row r="486" spans="1:54" ht="36.75" customHeight="1">
      <c r="A486" s="30"/>
      <c r="B486" s="30" t="s">
        <v>55</v>
      </c>
      <c r="C486" s="69" t="str">
        <f t="shared" si="33"/>
        <v>Closed</v>
      </c>
      <c r="D486" s="27" t="s">
        <v>2884</v>
      </c>
      <c r="E486" s="29" t="s">
        <v>2885</v>
      </c>
      <c r="F486" s="30" t="s">
        <v>115</v>
      </c>
      <c r="G486" s="89">
        <f>DATE(2008,6,2)</f>
        <v>39601</v>
      </c>
      <c r="H486" s="90">
        <v>1.5694444444444444</v>
      </c>
      <c r="I486" s="30" t="s">
        <v>116</v>
      </c>
      <c r="J486" s="89" t="s">
        <v>2886</v>
      </c>
      <c r="K486" s="30" t="s">
        <v>118</v>
      </c>
      <c r="L486" s="30" t="s">
        <v>2887</v>
      </c>
      <c r="M486" s="30" t="s">
        <v>63</v>
      </c>
      <c r="N486" s="30">
        <v>0</v>
      </c>
      <c r="O486" s="30" t="s">
        <v>64</v>
      </c>
      <c r="P486" s="89" t="s">
        <v>165</v>
      </c>
      <c r="Q486" s="89" t="s">
        <v>120</v>
      </c>
      <c r="R486" s="89" t="s">
        <v>121</v>
      </c>
      <c r="S486" s="30">
        <v>0</v>
      </c>
      <c r="T486" s="233">
        <v>0</v>
      </c>
      <c r="U486" s="30">
        <v>7</v>
      </c>
      <c r="V486" s="233">
        <v>0</v>
      </c>
      <c r="W486" s="30">
        <v>0</v>
      </c>
      <c r="X486" s="30">
        <v>7</v>
      </c>
      <c r="Y486" s="30">
        <v>0</v>
      </c>
      <c r="Z486" s="233">
        <v>0</v>
      </c>
      <c r="AA486" s="30">
        <v>3</v>
      </c>
      <c r="AB486" s="30">
        <v>0</v>
      </c>
      <c r="AC486" s="30">
        <v>0</v>
      </c>
      <c r="AD486" s="30">
        <v>3</v>
      </c>
      <c r="AE486" s="89" t="s">
        <v>68</v>
      </c>
      <c r="AF486" s="89"/>
      <c r="AG486" s="89" t="s">
        <v>82</v>
      </c>
      <c r="AH486" s="72" t="s">
        <v>68</v>
      </c>
      <c r="AI486" s="30">
        <v>3</v>
      </c>
      <c r="AJ486" s="89" t="s">
        <v>2888</v>
      </c>
      <c r="AK486" s="89" t="s">
        <v>68</v>
      </c>
      <c r="AL486" s="91">
        <v>39636</v>
      </c>
      <c r="AM486" s="91"/>
      <c r="AN486" s="91"/>
      <c r="AO486" s="91"/>
      <c r="AP486" s="73" t="e">
        <f>MID(VLOOKUP(K486,#REF!,2,FALSE),1,2)</f>
        <v>#REF!</v>
      </c>
      <c r="AQ486" s="89">
        <f>DATE(2008,6,2)</f>
        <v>39601</v>
      </c>
      <c r="AR486" s="82">
        <f t="shared" si="34"/>
        <v>2</v>
      </c>
      <c r="AS486" s="83">
        <f t="shared" si="35"/>
        <v>6</v>
      </c>
      <c r="AT486" s="84">
        <f t="shared" si="36"/>
        <v>2008</v>
      </c>
      <c r="AU486" s="86"/>
      <c r="AV486" s="86"/>
      <c r="AW486" s="87"/>
      <c r="AX486" s="86"/>
      <c r="AY486" s="83"/>
      <c r="AZ486" s="84"/>
      <c r="BA486" s="86"/>
      <c r="BB486" s="86"/>
    </row>
    <row r="487" spans="1:54" ht="36.75" customHeight="1">
      <c r="A487" s="30"/>
      <c r="B487" s="30" t="s">
        <v>55</v>
      </c>
      <c r="C487" s="69" t="str">
        <f t="shared" si="33"/>
        <v>Closed</v>
      </c>
      <c r="D487" s="27" t="s">
        <v>2889</v>
      </c>
      <c r="E487" s="29" t="s">
        <v>2890</v>
      </c>
      <c r="F487" s="30" t="s">
        <v>1749</v>
      </c>
      <c r="G487" s="89">
        <f>DATE(2008,6,3)</f>
        <v>39602</v>
      </c>
      <c r="H487" s="90">
        <v>1.7319444444444443</v>
      </c>
      <c r="I487" s="30" t="s">
        <v>116</v>
      </c>
      <c r="J487" s="89" t="s">
        <v>2891</v>
      </c>
      <c r="K487" s="30" t="s">
        <v>1751</v>
      </c>
      <c r="L487" s="30" t="s">
        <v>2892</v>
      </c>
      <c r="M487" s="30" t="s">
        <v>63</v>
      </c>
      <c r="N487" s="30">
        <v>0</v>
      </c>
      <c r="O487" s="30" t="s">
        <v>64</v>
      </c>
      <c r="P487" s="89" t="s">
        <v>86</v>
      </c>
      <c r="Q487" s="89" t="s">
        <v>1753</v>
      </c>
      <c r="R487" s="89" t="s">
        <v>1754</v>
      </c>
      <c r="S487" s="30">
        <v>0</v>
      </c>
      <c r="T487" s="233">
        <v>0</v>
      </c>
      <c r="U487" s="30">
        <v>1</v>
      </c>
      <c r="V487" s="233">
        <v>0</v>
      </c>
      <c r="W487" s="30">
        <v>0</v>
      </c>
      <c r="X487" s="30">
        <v>1</v>
      </c>
      <c r="Y487" s="30">
        <v>0</v>
      </c>
      <c r="Z487" s="233">
        <v>0</v>
      </c>
      <c r="AA487" s="30">
        <v>0</v>
      </c>
      <c r="AB487" s="30">
        <v>0</v>
      </c>
      <c r="AC487" s="30">
        <v>0</v>
      </c>
      <c r="AD487" s="30">
        <v>0</v>
      </c>
      <c r="AE487" s="89" t="s">
        <v>68</v>
      </c>
      <c r="AF487" s="89"/>
      <c r="AG487" s="89" t="s">
        <v>248</v>
      </c>
      <c r="AH487" s="72" t="s">
        <v>68</v>
      </c>
      <c r="AI487" s="30">
        <v>4</v>
      </c>
      <c r="AJ487" s="89" t="s">
        <v>2893</v>
      </c>
      <c r="AK487" s="89" t="s">
        <v>68</v>
      </c>
      <c r="AL487" s="91">
        <v>39605</v>
      </c>
      <c r="AM487" s="91"/>
      <c r="AN487" s="91"/>
      <c r="AO487" s="91"/>
      <c r="AP487" s="73" t="e">
        <f>MID(VLOOKUP(K487,#REF!,2,FALSE),1,2)</f>
        <v>#REF!</v>
      </c>
      <c r="AQ487" s="89">
        <f>DATE(2008,6,3)</f>
        <v>39602</v>
      </c>
      <c r="AR487" s="82">
        <f t="shared" si="34"/>
        <v>3</v>
      </c>
      <c r="AS487" s="83">
        <f t="shared" si="35"/>
        <v>6</v>
      </c>
      <c r="AT487" s="84">
        <f t="shared" si="36"/>
        <v>2008</v>
      </c>
      <c r="AU487" s="86"/>
      <c r="AV487" s="86"/>
      <c r="AW487" s="87"/>
      <c r="AX487" s="86"/>
      <c r="AY487" s="83"/>
      <c r="AZ487" s="84"/>
      <c r="BA487" s="86"/>
      <c r="BB487" s="86"/>
    </row>
    <row r="488" spans="1:54" ht="36.75" customHeight="1">
      <c r="A488" s="30"/>
      <c r="B488" s="30" t="s">
        <v>55</v>
      </c>
      <c r="C488" s="69" t="str">
        <f t="shared" si="33"/>
        <v>Closed</v>
      </c>
      <c r="D488" s="27" t="s">
        <v>2894</v>
      </c>
      <c r="E488" s="29" t="s">
        <v>2895</v>
      </c>
      <c r="F488" s="30" t="s">
        <v>638</v>
      </c>
      <c r="G488" s="89">
        <f>DATE(2008,6,3)</f>
        <v>39602</v>
      </c>
      <c r="H488" s="90">
        <v>1.5270833333333333</v>
      </c>
      <c r="I488" s="30" t="s">
        <v>116</v>
      </c>
      <c r="J488" s="89" t="s">
        <v>2896</v>
      </c>
      <c r="K488" s="30" t="s">
        <v>640</v>
      </c>
      <c r="L488" s="30" t="s">
        <v>2897</v>
      </c>
      <c r="M488" s="30" t="s">
        <v>63</v>
      </c>
      <c r="N488" s="30">
        <v>0</v>
      </c>
      <c r="O488" s="30" t="s">
        <v>77</v>
      </c>
      <c r="P488" s="89" t="s">
        <v>165</v>
      </c>
      <c r="Q488" s="89" t="s">
        <v>642</v>
      </c>
      <c r="R488" s="89" t="s">
        <v>643</v>
      </c>
      <c r="S488" s="30">
        <v>0</v>
      </c>
      <c r="T488" s="233">
        <v>0</v>
      </c>
      <c r="U488" s="30">
        <v>1</v>
      </c>
      <c r="V488" s="233">
        <v>0</v>
      </c>
      <c r="W488" s="30">
        <v>0</v>
      </c>
      <c r="X488" s="30">
        <v>1</v>
      </c>
      <c r="Y488" s="30">
        <v>0</v>
      </c>
      <c r="Z488" s="233">
        <v>0</v>
      </c>
      <c r="AA488" s="30">
        <v>0</v>
      </c>
      <c r="AB488" s="30">
        <v>0</v>
      </c>
      <c r="AC488" s="30">
        <v>0</v>
      </c>
      <c r="AD488" s="30">
        <v>0</v>
      </c>
      <c r="AE488" s="89" t="s">
        <v>68</v>
      </c>
      <c r="AF488" s="89"/>
      <c r="AG488" s="89" t="s">
        <v>248</v>
      </c>
      <c r="AH488" s="72" t="s">
        <v>68</v>
      </c>
      <c r="AI488" s="30">
        <v>1</v>
      </c>
      <c r="AJ488" s="89" t="s">
        <v>68</v>
      </c>
      <c r="AK488" s="89" t="s">
        <v>68</v>
      </c>
      <c r="AL488" s="91">
        <v>39609</v>
      </c>
      <c r="AM488" s="91"/>
      <c r="AN488" s="91"/>
      <c r="AO488" s="91"/>
      <c r="AP488" s="73" t="e">
        <f>MID(VLOOKUP(K488,#REF!,2,FALSE),1,2)</f>
        <v>#REF!</v>
      </c>
      <c r="AQ488" s="89">
        <f>DATE(2008,6,3)</f>
        <v>39602</v>
      </c>
      <c r="AR488" s="82">
        <f t="shared" si="34"/>
        <v>3</v>
      </c>
      <c r="AS488" s="83">
        <f t="shared" si="35"/>
        <v>6</v>
      </c>
      <c r="AT488" s="84">
        <f t="shared" si="36"/>
        <v>2008</v>
      </c>
      <c r="AU488" s="86"/>
      <c r="AV488" s="86"/>
      <c r="AW488" s="87"/>
      <c r="AX488" s="86"/>
      <c r="AY488" s="83"/>
      <c r="AZ488" s="84"/>
      <c r="BA488" s="86"/>
      <c r="BB488" s="86"/>
    </row>
    <row r="489" spans="1:54" ht="36.75" customHeight="1">
      <c r="A489" s="30"/>
      <c r="B489" s="30" t="s">
        <v>55</v>
      </c>
      <c r="C489" s="69" t="str">
        <f t="shared" si="33"/>
        <v>Closed</v>
      </c>
      <c r="D489" s="27" t="s">
        <v>2898</v>
      </c>
      <c r="E489" s="29" t="s">
        <v>2899</v>
      </c>
      <c r="F489" s="30" t="s">
        <v>638</v>
      </c>
      <c r="G489" s="89">
        <f>DATE(2008,6,3)</f>
        <v>39602</v>
      </c>
      <c r="H489" s="90">
        <v>1.8312499999999998</v>
      </c>
      <c r="I489" s="30" t="s">
        <v>116</v>
      </c>
      <c r="J489" s="89" t="s">
        <v>2900</v>
      </c>
      <c r="K489" s="30" t="s">
        <v>640</v>
      </c>
      <c r="L489" s="30" t="s">
        <v>2901</v>
      </c>
      <c r="M489" s="30" t="s">
        <v>63</v>
      </c>
      <c r="N489" s="30">
        <v>0</v>
      </c>
      <c r="O489" s="30" t="s">
        <v>64</v>
      </c>
      <c r="P489" s="89" t="s">
        <v>78</v>
      </c>
      <c r="Q489" s="89" t="s">
        <v>642</v>
      </c>
      <c r="R489" s="89" t="s">
        <v>643</v>
      </c>
      <c r="S489" s="30">
        <v>0</v>
      </c>
      <c r="T489" s="233">
        <v>0</v>
      </c>
      <c r="U489" s="30">
        <v>1</v>
      </c>
      <c r="V489" s="233">
        <v>0</v>
      </c>
      <c r="W489" s="30">
        <v>0</v>
      </c>
      <c r="X489" s="30">
        <v>1</v>
      </c>
      <c r="Y489" s="30">
        <v>0</v>
      </c>
      <c r="Z489" s="233">
        <v>0</v>
      </c>
      <c r="AA489" s="30">
        <v>0</v>
      </c>
      <c r="AB489" s="30">
        <v>0</v>
      </c>
      <c r="AC489" s="30">
        <v>0</v>
      </c>
      <c r="AD489" s="30">
        <v>0</v>
      </c>
      <c r="AE489" s="89" t="s">
        <v>68</v>
      </c>
      <c r="AF489" s="89"/>
      <c r="AG489" s="89" t="s">
        <v>248</v>
      </c>
      <c r="AH489" s="72" t="s">
        <v>68</v>
      </c>
      <c r="AI489" s="30">
        <v>1</v>
      </c>
      <c r="AJ489" s="89" t="s">
        <v>68</v>
      </c>
      <c r="AK489" s="89" t="s">
        <v>68</v>
      </c>
      <c r="AL489" s="91">
        <v>39609</v>
      </c>
      <c r="AM489" s="91"/>
      <c r="AN489" s="91"/>
      <c r="AO489" s="91"/>
      <c r="AP489" s="73" t="e">
        <f>MID(VLOOKUP(K489,#REF!,2,FALSE),1,2)</f>
        <v>#REF!</v>
      </c>
      <c r="AQ489" s="89">
        <f>DATE(2008,6,3)</f>
        <v>39602</v>
      </c>
      <c r="AR489" s="82">
        <f t="shared" si="34"/>
        <v>3</v>
      </c>
      <c r="AS489" s="83">
        <f t="shared" si="35"/>
        <v>6</v>
      </c>
      <c r="AT489" s="84">
        <f t="shared" si="36"/>
        <v>2008</v>
      </c>
      <c r="AU489" s="86"/>
      <c r="AV489" s="86"/>
      <c r="AW489" s="87"/>
      <c r="AX489" s="86"/>
      <c r="AY489" s="83"/>
      <c r="AZ489" s="84"/>
      <c r="BA489" s="86"/>
      <c r="BB489" s="86"/>
    </row>
    <row r="490" spans="1:54" ht="36.75" customHeight="1">
      <c r="A490" s="30"/>
      <c r="B490" s="30" t="s">
        <v>55</v>
      </c>
      <c r="C490" s="69" t="str">
        <f t="shared" si="33"/>
        <v>Closed</v>
      </c>
      <c r="D490" s="27" t="s">
        <v>2902</v>
      </c>
      <c r="E490" s="29" t="s">
        <v>2903</v>
      </c>
      <c r="F490" s="30" t="s">
        <v>377</v>
      </c>
      <c r="G490" s="89">
        <f>DATE(2008,6,3)</f>
        <v>39602</v>
      </c>
      <c r="H490" s="90">
        <v>1.3083333333333333</v>
      </c>
      <c r="I490" s="30" t="s">
        <v>198</v>
      </c>
      <c r="J490" s="89" t="s">
        <v>2904</v>
      </c>
      <c r="K490" s="30" t="s">
        <v>379</v>
      </c>
      <c r="L490" s="30" t="s">
        <v>2905</v>
      </c>
      <c r="M490" s="30" t="s">
        <v>63</v>
      </c>
      <c r="N490" s="30">
        <v>0</v>
      </c>
      <c r="O490" s="30" t="s">
        <v>77</v>
      </c>
      <c r="P490" s="89" t="s">
        <v>381</v>
      </c>
      <c r="Q490" s="89" t="s">
        <v>2906</v>
      </c>
      <c r="R490" s="89" t="s">
        <v>382</v>
      </c>
      <c r="S490" s="30">
        <v>0</v>
      </c>
      <c r="T490" s="233" t="s">
        <v>68</v>
      </c>
      <c r="U490" s="30">
        <v>0</v>
      </c>
      <c r="V490" s="233" t="s">
        <v>68</v>
      </c>
      <c r="W490" s="30">
        <v>0</v>
      </c>
      <c r="X490" s="30">
        <v>0</v>
      </c>
      <c r="Y490" s="30">
        <v>0</v>
      </c>
      <c r="Z490" s="233" t="s">
        <v>68</v>
      </c>
      <c r="AA490" s="30">
        <v>0</v>
      </c>
      <c r="AB490" s="30">
        <v>0</v>
      </c>
      <c r="AC490" s="30">
        <v>0</v>
      </c>
      <c r="AD490" s="30">
        <v>0</v>
      </c>
      <c r="AE490" s="89" t="s">
        <v>68</v>
      </c>
      <c r="AF490" s="89"/>
      <c r="AG490" s="89" t="s">
        <v>352</v>
      </c>
      <c r="AH490" s="72" t="s">
        <v>68</v>
      </c>
      <c r="AI490" s="30">
        <v>5</v>
      </c>
      <c r="AJ490" s="89" t="s">
        <v>68</v>
      </c>
      <c r="AK490" s="89" t="s">
        <v>68</v>
      </c>
      <c r="AL490" s="91">
        <v>39757</v>
      </c>
      <c r="AM490" s="91"/>
      <c r="AN490" s="91"/>
      <c r="AO490" s="91"/>
      <c r="AP490" s="73" t="e">
        <f>MID(VLOOKUP(K490,#REF!,2,FALSE),1,2)</f>
        <v>#REF!</v>
      </c>
      <c r="AQ490" s="89">
        <f>DATE(2008,6,3)</f>
        <v>39602</v>
      </c>
      <c r="AR490" s="82">
        <f t="shared" si="34"/>
        <v>3</v>
      </c>
      <c r="AS490" s="83">
        <f t="shared" si="35"/>
        <v>6</v>
      </c>
      <c r="AT490" s="84">
        <f t="shared" si="36"/>
        <v>2008</v>
      </c>
      <c r="AU490" s="86"/>
      <c r="AV490" s="86"/>
      <c r="AW490" s="87"/>
      <c r="AX490" s="86"/>
      <c r="AY490" s="83"/>
      <c r="AZ490" s="84"/>
      <c r="BA490" s="86"/>
      <c r="BB490" s="86"/>
    </row>
    <row r="491" spans="1:54" ht="36.75" customHeight="1">
      <c r="A491" s="30"/>
      <c r="B491" s="30" t="s">
        <v>55</v>
      </c>
      <c r="C491" s="69" t="str">
        <f t="shared" si="33"/>
        <v>Closed</v>
      </c>
      <c r="D491" s="27" t="s">
        <v>2907</v>
      </c>
      <c r="E491" s="29" t="s">
        <v>2908</v>
      </c>
      <c r="F491" s="30" t="s">
        <v>138</v>
      </c>
      <c r="G491" s="89">
        <f>DATE(2008,6,4)</f>
        <v>39603</v>
      </c>
      <c r="H491" s="90">
        <v>1.375</v>
      </c>
      <c r="I491" s="30" t="s">
        <v>73</v>
      </c>
      <c r="J491" s="89" t="s">
        <v>2909</v>
      </c>
      <c r="K491" s="30" t="s">
        <v>140</v>
      </c>
      <c r="L491" s="30" t="s">
        <v>2910</v>
      </c>
      <c r="M491" s="30" t="s">
        <v>63</v>
      </c>
      <c r="N491" s="30" t="s">
        <v>89</v>
      </c>
      <c r="O491" s="30" t="s">
        <v>64</v>
      </c>
      <c r="P491" s="89" t="s">
        <v>165</v>
      </c>
      <c r="Q491" s="89" t="s">
        <v>2034</v>
      </c>
      <c r="R491" s="89" t="s">
        <v>144</v>
      </c>
      <c r="S491" s="30">
        <v>0</v>
      </c>
      <c r="T491" s="233">
        <v>0</v>
      </c>
      <c r="U491" s="30">
        <v>0</v>
      </c>
      <c r="V491" s="233">
        <v>0</v>
      </c>
      <c r="W491" s="30">
        <v>0</v>
      </c>
      <c r="X491" s="30">
        <v>0</v>
      </c>
      <c r="Y491" s="30">
        <v>0</v>
      </c>
      <c r="Z491" s="233">
        <v>0</v>
      </c>
      <c r="AA491" s="30">
        <v>0</v>
      </c>
      <c r="AB491" s="30">
        <v>0</v>
      </c>
      <c r="AC491" s="30">
        <v>0</v>
      </c>
      <c r="AD491" s="30">
        <v>0</v>
      </c>
      <c r="AE491" s="89" t="s">
        <v>394</v>
      </c>
      <c r="AF491" s="89"/>
      <c r="AG491" s="89" t="s">
        <v>133</v>
      </c>
      <c r="AH491" s="72">
        <v>39643</v>
      </c>
      <c r="AI491" s="30">
        <v>3</v>
      </c>
      <c r="AJ491" s="89" t="s">
        <v>2911</v>
      </c>
      <c r="AK491" s="89" t="s">
        <v>2912</v>
      </c>
      <c r="AL491" s="91">
        <v>39643</v>
      </c>
      <c r="AM491" s="91"/>
      <c r="AN491" s="91"/>
      <c r="AO491" s="91"/>
      <c r="AP491" s="73" t="e">
        <f>MID(VLOOKUP(K491,#REF!,2,FALSE),1,2)</f>
        <v>#REF!</v>
      </c>
      <c r="AQ491" s="89">
        <f>DATE(2008,6,4)</f>
        <v>39603</v>
      </c>
      <c r="AR491" s="82">
        <f t="shared" si="34"/>
        <v>4</v>
      </c>
      <c r="AS491" s="83">
        <f t="shared" si="35"/>
        <v>6</v>
      </c>
      <c r="AT491" s="84">
        <f t="shared" si="36"/>
        <v>2008</v>
      </c>
      <c r="AU491" s="86"/>
      <c r="AV491" s="86"/>
      <c r="AW491" s="87"/>
      <c r="AX491" s="86"/>
      <c r="AY491" s="83"/>
      <c r="AZ491" s="84"/>
      <c r="BA491" s="86"/>
      <c r="BB491" s="86"/>
    </row>
    <row r="492" spans="1:54" ht="36.75" customHeight="1">
      <c r="A492" s="30"/>
      <c r="B492" s="30" t="s">
        <v>55</v>
      </c>
      <c r="C492" s="69" t="str">
        <f t="shared" si="33"/>
        <v>Closed</v>
      </c>
      <c r="D492" s="27" t="s">
        <v>2913</v>
      </c>
      <c r="E492" s="29" t="s">
        <v>2914</v>
      </c>
      <c r="F492" s="30" t="s">
        <v>423</v>
      </c>
      <c r="G492" s="89">
        <f>DATE(2008,6,6)</f>
        <v>39605</v>
      </c>
      <c r="H492" s="90">
        <v>1.3145833333333332</v>
      </c>
      <c r="I492" s="30" t="s">
        <v>73</v>
      </c>
      <c r="J492" s="89" t="s">
        <v>2915</v>
      </c>
      <c r="K492" s="30" t="s">
        <v>425</v>
      </c>
      <c r="L492" s="30" t="s">
        <v>2916</v>
      </c>
      <c r="M492" s="30" t="s">
        <v>63</v>
      </c>
      <c r="N492" s="30">
        <v>0</v>
      </c>
      <c r="O492" s="30" t="s">
        <v>77</v>
      </c>
      <c r="P492" s="89" t="s">
        <v>165</v>
      </c>
      <c r="Q492" s="89" t="s">
        <v>427</v>
      </c>
      <c r="R492" s="89" t="s">
        <v>427</v>
      </c>
      <c r="S492" s="30">
        <v>0</v>
      </c>
      <c r="T492" s="233" t="s">
        <v>68</v>
      </c>
      <c r="U492" s="30">
        <v>0</v>
      </c>
      <c r="V492" s="233" t="s">
        <v>68</v>
      </c>
      <c r="W492" s="30">
        <v>0</v>
      </c>
      <c r="X492" s="30">
        <v>0</v>
      </c>
      <c r="Y492" s="30">
        <v>0</v>
      </c>
      <c r="Z492" s="233" t="s">
        <v>68</v>
      </c>
      <c r="AA492" s="30">
        <v>0</v>
      </c>
      <c r="AB492" s="30">
        <v>0</v>
      </c>
      <c r="AC492" s="30">
        <v>0</v>
      </c>
      <c r="AD492" s="30">
        <v>0</v>
      </c>
      <c r="AE492" s="89" t="s">
        <v>68</v>
      </c>
      <c r="AF492" s="89"/>
      <c r="AG492" s="89" t="s">
        <v>874</v>
      </c>
      <c r="AH492" s="72" t="s">
        <v>68</v>
      </c>
      <c r="AI492" s="30">
        <v>0</v>
      </c>
      <c r="AJ492" s="89" t="s">
        <v>68</v>
      </c>
      <c r="AK492" s="89" t="s">
        <v>68</v>
      </c>
      <c r="AL492" s="91">
        <v>39666</v>
      </c>
      <c r="AM492" s="91"/>
      <c r="AN492" s="91"/>
      <c r="AO492" s="91"/>
      <c r="AP492" s="73" t="e">
        <f>MID(VLOOKUP(K492,#REF!,2,FALSE),1,2)</f>
        <v>#REF!</v>
      </c>
      <c r="AQ492" s="89">
        <f>DATE(2008,6,6)</f>
        <v>39605</v>
      </c>
      <c r="AR492" s="82">
        <f t="shared" si="34"/>
        <v>6</v>
      </c>
      <c r="AS492" s="83">
        <f t="shared" si="35"/>
        <v>6</v>
      </c>
      <c r="AT492" s="84">
        <f t="shared" si="36"/>
        <v>2008</v>
      </c>
      <c r="AU492" s="86"/>
      <c r="AV492" s="86"/>
      <c r="AW492" s="87"/>
      <c r="AX492" s="86"/>
      <c r="AY492" s="83"/>
      <c r="AZ492" s="84"/>
      <c r="BA492" s="86"/>
      <c r="BB492" s="86"/>
    </row>
    <row r="493" spans="1:54" ht="36.75" customHeight="1">
      <c r="A493" s="30"/>
      <c r="B493" s="30" t="s">
        <v>55</v>
      </c>
      <c r="C493" s="69" t="str">
        <f t="shared" si="33"/>
        <v>Closed</v>
      </c>
      <c r="D493" s="27" t="s">
        <v>2917</v>
      </c>
      <c r="E493" s="29" t="s">
        <v>2918</v>
      </c>
      <c r="F493" s="30" t="s">
        <v>594</v>
      </c>
      <c r="G493" s="89">
        <f>DATE(2008,6,6)</f>
        <v>39605</v>
      </c>
      <c r="H493" s="90">
        <v>1.4861111111111112</v>
      </c>
      <c r="I493" s="30" t="s">
        <v>73</v>
      </c>
      <c r="J493" s="89" t="s">
        <v>2919</v>
      </c>
      <c r="K493" s="30" t="s">
        <v>596</v>
      </c>
      <c r="L493" s="30" t="s">
        <v>2920</v>
      </c>
      <c r="M493" s="30" t="s">
        <v>63</v>
      </c>
      <c r="N493" s="30">
        <v>0</v>
      </c>
      <c r="O493" s="30" t="s">
        <v>64</v>
      </c>
      <c r="P493" s="89" t="s">
        <v>165</v>
      </c>
      <c r="Q493" s="89" t="s">
        <v>598</v>
      </c>
      <c r="R493" s="89" t="s">
        <v>599</v>
      </c>
      <c r="S493" s="30">
        <v>0</v>
      </c>
      <c r="T493" s="233">
        <v>0</v>
      </c>
      <c r="U493" s="30">
        <v>0</v>
      </c>
      <c r="V493" s="233">
        <v>0</v>
      </c>
      <c r="W493" s="30">
        <v>0</v>
      </c>
      <c r="X493" s="30">
        <v>0</v>
      </c>
      <c r="Y493" s="30">
        <v>0</v>
      </c>
      <c r="Z493" s="233">
        <v>1</v>
      </c>
      <c r="AA493" s="30">
        <v>0</v>
      </c>
      <c r="AB493" s="30">
        <v>0</v>
      </c>
      <c r="AC493" s="30">
        <v>0</v>
      </c>
      <c r="AD493" s="30">
        <v>1</v>
      </c>
      <c r="AE493" s="89" t="s">
        <v>68</v>
      </c>
      <c r="AF493" s="89"/>
      <c r="AG493" s="89" t="s">
        <v>133</v>
      </c>
      <c r="AH493" s="72" t="s">
        <v>68</v>
      </c>
      <c r="AI493" s="30">
        <v>2</v>
      </c>
      <c r="AJ493" s="89" t="s">
        <v>68</v>
      </c>
      <c r="AK493" s="89" t="s">
        <v>68</v>
      </c>
      <c r="AL493" s="91">
        <v>39785</v>
      </c>
      <c r="AM493" s="91"/>
      <c r="AN493" s="91"/>
      <c r="AO493" s="91"/>
      <c r="AP493" s="73" t="e">
        <f>MID(VLOOKUP(K493,#REF!,2,FALSE),1,2)</f>
        <v>#REF!</v>
      </c>
      <c r="AQ493" s="89">
        <f>DATE(2008,6,6)</f>
        <v>39605</v>
      </c>
      <c r="AR493" s="82">
        <f t="shared" si="34"/>
        <v>6</v>
      </c>
      <c r="AS493" s="83">
        <f t="shared" si="35"/>
        <v>6</v>
      </c>
      <c r="AT493" s="84">
        <f t="shared" si="36"/>
        <v>2008</v>
      </c>
      <c r="AU493" s="86"/>
      <c r="AV493" s="86"/>
      <c r="AW493" s="87"/>
      <c r="AX493" s="86"/>
      <c r="AY493" s="83"/>
      <c r="AZ493" s="84"/>
      <c r="BA493" s="86"/>
      <c r="BB493" s="86"/>
    </row>
    <row r="494" spans="1:54" ht="36.75" customHeight="1">
      <c r="A494" s="30"/>
      <c r="B494" s="30" t="s">
        <v>55</v>
      </c>
      <c r="C494" s="69" t="str">
        <f t="shared" si="33"/>
        <v>Closed</v>
      </c>
      <c r="D494" s="27" t="s">
        <v>2921</v>
      </c>
      <c r="E494" s="29" t="s">
        <v>2922</v>
      </c>
      <c r="F494" s="30" t="s">
        <v>58</v>
      </c>
      <c r="G494" s="89">
        <f>DATE(2008,6,8)</f>
        <v>39607</v>
      </c>
      <c r="H494" s="90">
        <v>1.2416666666666667</v>
      </c>
      <c r="I494" s="30" t="s">
        <v>156</v>
      </c>
      <c r="J494" s="89" t="s">
        <v>2923</v>
      </c>
      <c r="K494" s="30" t="s">
        <v>61</v>
      </c>
      <c r="L494" s="30" t="s">
        <v>2924</v>
      </c>
      <c r="M494" s="30" t="s">
        <v>63</v>
      </c>
      <c r="N494" s="30" t="s">
        <v>142</v>
      </c>
      <c r="O494" s="30" t="s">
        <v>90</v>
      </c>
      <c r="P494" s="89" t="s">
        <v>381</v>
      </c>
      <c r="Q494" s="89" t="s">
        <v>66</v>
      </c>
      <c r="R494" s="89" t="s">
        <v>67</v>
      </c>
      <c r="S494" s="30">
        <v>0</v>
      </c>
      <c r="T494" s="233">
        <v>0</v>
      </c>
      <c r="U494" s="30">
        <v>0</v>
      </c>
      <c r="V494" s="233">
        <v>0</v>
      </c>
      <c r="W494" s="30">
        <v>0</v>
      </c>
      <c r="X494" s="30">
        <v>0</v>
      </c>
      <c r="Y494" s="30">
        <v>0</v>
      </c>
      <c r="Z494" s="233">
        <v>0</v>
      </c>
      <c r="AA494" s="30">
        <v>0</v>
      </c>
      <c r="AB494" s="30">
        <v>0</v>
      </c>
      <c r="AC494" s="30">
        <v>0</v>
      </c>
      <c r="AD494" s="30">
        <v>0</v>
      </c>
      <c r="AE494" s="89" t="s">
        <v>394</v>
      </c>
      <c r="AF494" s="89"/>
      <c r="AG494" s="89" t="s">
        <v>69</v>
      </c>
      <c r="AH494" s="72">
        <v>39617</v>
      </c>
      <c r="AI494" s="30">
        <v>2</v>
      </c>
      <c r="AJ494" s="89" t="s">
        <v>2925</v>
      </c>
      <c r="AK494" s="89" t="s">
        <v>2926</v>
      </c>
      <c r="AL494" s="91">
        <v>39643</v>
      </c>
      <c r="AM494" s="91"/>
      <c r="AN494" s="91"/>
      <c r="AO494" s="91"/>
      <c r="AP494" s="73" t="e">
        <f>MID(VLOOKUP(K494,#REF!,2,FALSE),1,2)</f>
        <v>#REF!</v>
      </c>
      <c r="AQ494" s="89">
        <f>DATE(2008,6,8)</f>
        <v>39607</v>
      </c>
      <c r="AR494" s="82">
        <f t="shared" si="34"/>
        <v>8</v>
      </c>
      <c r="AS494" s="83">
        <f t="shared" si="35"/>
        <v>6</v>
      </c>
      <c r="AT494" s="84">
        <f t="shared" si="36"/>
        <v>2008</v>
      </c>
      <c r="AU494" s="86"/>
      <c r="AV494" s="86"/>
      <c r="AW494" s="87"/>
      <c r="AX494" s="86"/>
      <c r="AY494" s="83"/>
      <c r="AZ494" s="84"/>
      <c r="BA494" s="86"/>
      <c r="BB494" s="86"/>
    </row>
    <row r="495" spans="1:54" ht="36.75" customHeight="1">
      <c r="A495" s="30"/>
      <c r="B495" s="30" t="s">
        <v>55</v>
      </c>
      <c r="C495" s="69" t="str">
        <f t="shared" si="33"/>
        <v>Closed</v>
      </c>
      <c r="D495" s="27" t="s">
        <v>2927</v>
      </c>
      <c r="E495" s="29" t="s">
        <v>2928</v>
      </c>
      <c r="F495" s="30" t="s">
        <v>138</v>
      </c>
      <c r="G495" s="89">
        <f>DATE(2008,6,9)</f>
        <v>39608</v>
      </c>
      <c r="H495" s="90">
        <v>1.4444444444444444</v>
      </c>
      <c r="I495" s="30" t="s">
        <v>104</v>
      </c>
      <c r="J495" s="89" t="s">
        <v>2929</v>
      </c>
      <c r="K495" s="30" t="s">
        <v>140</v>
      </c>
      <c r="L495" s="30" t="s">
        <v>2930</v>
      </c>
      <c r="M495" s="30" t="s">
        <v>63</v>
      </c>
      <c r="N495" s="30" t="s">
        <v>142</v>
      </c>
      <c r="O495" s="30" t="s">
        <v>77</v>
      </c>
      <c r="P495" s="89" t="s">
        <v>2931</v>
      </c>
      <c r="Q495" s="89" t="s">
        <v>2932</v>
      </c>
      <c r="R495" s="89" t="s">
        <v>144</v>
      </c>
      <c r="S495" s="30">
        <v>0</v>
      </c>
      <c r="T495" s="233">
        <v>0</v>
      </c>
      <c r="U495" s="30">
        <v>0</v>
      </c>
      <c r="V495" s="233">
        <v>0</v>
      </c>
      <c r="W495" s="30">
        <v>0</v>
      </c>
      <c r="X495" s="30">
        <v>0</v>
      </c>
      <c r="Y495" s="30">
        <v>0</v>
      </c>
      <c r="Z495" s="233">
        <v>0</v>
      </c>
      <c r="AA495" s="30">
        <v>0</v>
      </c>
      <c r="AB495" s="30">
        <v>0</v>
      </c>
      <c r="AC495" s="30">
        <v>0</v>
      </c>
      <c r="AD495" s="30">
        <v>0</v>
      </c>
      <c r="AE495" s="89" t="s">
        <v>68</v>
      </c>
      <c r="AF495" s="89"/>
      <c r="AG495" s="89" t="s">
        <v>133</v>
      </c>
      <c r="AH495" s="72">
        <v>39644</v>
      </c>
      <c r="AI495" s="30">
        <v>2</v>
      </c>
      <c r="AJ495" s="89" t="s">
        <v>2933</v>
      </c>
      <c r="AK495" s="89" t="s">
        <v>2934</v>
      </c>
      <c r="AL495" s="91">
        <v>39643</v>
      </c>
      <c r="AM495" s="91"/>
      <c r="AN495" s="91"/>
      <c r="AO495" s="91"/>
      <c r="AP495" s="73" t="e">
        <f>MID(VLOOKUP(K495,#REF!,2,FALSE),1,2)</f>
        <v>#REF!</v>
      </c>
      <c r="AQ495" s="89">
        <f>DATE(2008,6,9)</f>
        <v>39608</v>
      </c>
      <c r="AR495" s="82">
        <f t="shared" si="34"/>
        <v>9</v>
      </c>
      <c r="AS495" s="83">
        <f t="shared" si="35"/>
        <v>6</v>
      </c>
      <c r="AT495" s="84">
        <f t="shared" si="36"/>
        <v>2008</v>
      </c>
      <c r="AU495" s="86"/>
      <c r="AV495" s="86"/>
      <c r="AW495" s="87"/>
      <c r="AX495" s="86"/>
      <c r="AY495" s="83"/>
      <c r="AZ495" s="84"/>
      <c r="BA495" s="86"/>
      <c r="BB495" s="86"/>
    </row>
    <row r="496" spans="1:54" ht="36.75" customHeight="1">
      <c r="A496" s="30"/>
      <c r="B496" s="30" t="s">
        <v>55</v>
      </c>
      <c r="C496" s="69" t="str">
        <f t="shared" si="33"/>
        <v>Closed</v>
      </c>
      <c r="D496" s="27" t="s">
        <v>2935</v>
      </c>
      <c r="E496" s="29" t="s">
        <v>2936</v>
      </c>
      <c r="F496" s="30" t="s">
        <v>138</v>
      </c>
      <c r="G496" s="89">
        <f>DATE(2008,6,9)</f>
        <v>39608</v>
      </c>
      <c r="H496" s="90">
        <v>1.8125</v>
      </c>
      <c r="I496" s="30" t="s">
        <v>104</v>
      </c>
      <c r="J496" s="89" t="s">
        <v>2937</v>
      </c>
      <c r="K496" s="30" t="s">
        <v>140</v>
      </c>
      <c r="L496" s="30" t="s">
        <v>2938</v>
      </c>
      <c r="M496" s="30" t="s">
        <v>63</v>
      </c>
      <c r="N496" s="30" t="s">
        <v>99</v>
      </c>
      <c r="O496" s="30" t="s">
        <v>77</v>
      </c>
      <c r="P496" s="89" t="s">
        <v>216</v>
      </c>
      <c r="Q496" s="89" t="s">
        <v>2267</v>
      </c>
      <c r="R496" s="89" t="s">
        <v>144</v>
      </c>
      <c r="S496" s="30">
        <v>0</v>
      </c>
      <c r="T496" s="233">
        <v>0</v>
      </c>
      <c r="U496" s="30">
        <v>0</v>
      </c>
      <c r="V496" s="233">
        <v>0</v>
      </c>
      <c r="W496" s="30">
        <v>0</v>
      </c>
      <c r="X496" s="30">
        <v>0</v>
      </c>
      <c r="Y496" s="30">
        <v>0</v>
      </c>
      <c r="Z496" s="233">
        <v>0</v>
      </c>
      <c r="AA496" s="30">
        <v>0</v>
      </c>
      <c r="AB496" s="30">
        <v>0</v>
      </c>
      <c r="AC496" s="30">
        <v>0</v>
      </c>
      <c r="AD496" s="30">
        <v>0</v>
      </c>
      <c r="AE496" s="89" t="s">
        <v>92</v>
      </c>
      <c r="AF496" s="89"/>
      <c r="AG496" s="89" t="s">
        <v>133</v>
      </c>
      <c r="AH496" s="72">
        <v>39644</v>
      </c>
      <c r="AI496" s="30">
        <v>7</v>
      </c>
      <c r="AJ496" s="89" t="s">
        <v>2939</v>
      </c>
      <c r="AK496" s="89" t="s">
        <v>2940</v>
      </c>
      <c r="AL496" s="91">
        <v>39643</v>
      </c>
      <c r="AM496" s="91"/>
      <c r="AN496" s="91"/>
      <c r="AO496" s="91"/>
      <c r="AP496" s="73" t="e">
        <f>MID(VLOOKUP(K496,#REF!,2,FALSE),1,2)</f>
        <v>#REF!</v>
      </c>
      <c r="AQ496" s="89">
        <f>DATE(2008,6,9)</f>
        <v>39608</v>
      </c>
      <c r="AR496" s="82">
        <f t="shared" si="34"/>
        <v>9</v>
      </c>
      <c r="AS496" s="83">
        <f t="shared" si="35"/>
        <v>6</v>
      </c>
      <c r="AT496" s="84">
        <f t="shared" si="36"/>
        <v>2008</v>
      </c>
      <c r="AU496" s="86"/>
      <c r="AV496" s="86"/>
      <c r="AW496" s="87"/>
      <c r="AX496" s="86"/>
      <c r="AY496" s="83"/>
      <c r="AZ496" s="84"/>
      <c r="BA496" s="86"/>
      <c r="BB496" s="86"/>
    </row>
    <row r="497" spans="1:54" ht="36.75" customHeight="1">
      <c r="A497" s="30"/>
      <c r="B497" s="30" t="s">
        <v>55</v>
      </c>
      <c r="C497" s="69" t="str">
        <f t="shared" si="33"/>
        <v>Closed</v>
      </c>
      <c r="D497" s="27" t="s">
        <v>2941</v>
      </c>
      <c r="E497" s="29" t="s">
        <v>2942</v>
      </c>
      <c r="F497" s="30" t="s">
        <v>2336</v>
      </c>
      <c r="G497" s="89">
        <f>DATE(2008,6,10)</f>
        <v>39609</v>
      </c>
      <c r="H497" s="90">
        <v>1.6659722222222222</v>
      </c>
      <c r="I497" s="30" t="s">
        <v>116</v>
      </c>
      <c r="J497" s="89" t="s">
        <v>2943</v>
      </c>
      <c r="K497" s="30" t="s">
        <v>2338</v>
      </c>
      <c r="L497" s="30" t="s">
        <v>2944</v>
      </c>
      <c r="M497" s="30" t="s">
        <v>63</v>
      </c>
      <c r="N497" s="30">
        <v>0</v>
      </c>
      <c r="O497" s="30" t="s">
        <v>64</v>
      </c>
      <c r="P497" s="89" t="s">
        <v>65</v>
      </c>
      <c r="Q497" s="89" t="s">
        <v>2945</v>
      </c>
      <c r="R497" s="89" t="s">
        <v>2341</v>
      </c>
      <c r="S497" s="30">
        <v>0</v>
      </c>
      <c r="T497" s="233">
        <v>0</v>
      </c>
      <c r="U497" s="30">
        <v>1</v>
      </c>
      <c r="V497" s="233">
        <v>0</v>
      </c>
      <c r="W497" s="30">
        <v>0</v>
      </c>
      <c r="X497" s="30">
        <v>1</v>
      </c>
      <c r="Y497" s="30">
        <v>0</v>
      </c>
      <c r="Z497" s="233">
        <v>0</v>
      </c>
      <c r="AA497" s="30">
        <v>0</v>
      </c>
      <c r="AB497" s="30">
        <v>0</v>
      </c>
      <c r="AC497" s="30">
        <v>0</v>
      </c>
      <c r="AD497" s="30">
        <v>0</v>
      </c>
      <c r="AE497" s="89" t="s">
        <v>68</v>
      </c>
      <c r="AF497" s="89"/>
      <c r="AG497" s="89" t="s">
        <v>82</v>
      </c>
      <c r="AH497" s="72" t="s">
        <v>68</v>
      </c>
      <c r="AI497" s="30">
        <v>5</v>
      </c>
      <c r="AJ497" s="89" t="s">
        <v>68</v>
      </c>
      <c r="AK497" s="89" t="s">
        <v>2946</v>
      </c>
      <c r="AL497" s="91">
        <v>39751</v>
      </c>
      <c r="AM497" s="91"/>
      <c r="AN497" s="91"/>
      <c r="AO497" s="91"/>
      <c r="AP497" s="73" t="e">
        <f>MID(VLOOKUP(K497,#REF!,2,FALSE),1,2)</f>
        <v>#REF!</v>
      </c>
      <c r="AQ497" s="89">
        <f>DATE(2008,6,10)</f>
        <v>39609</v>
      </c>
      <c r="AR497" s="82">
        <f t="shared" si="34"/>
        <v>10</v>
      </c>
      <c r="AS497" s="83">
        <f t="shared" si="35"/>
        <v>6</v>
      </c>
      <c r="AT497" s="84">
        <f t="shared" si="36"/>
        <v>2008</v>
      </c>
      <c r="AU497" s="86"/>
      <c r="AV497" s="86"/>
      <c r="AW497" s="87"/>
      <c r="AX497" s="86"/>
      <c r="AY497" s="83"/>
      <c r="AZ497" s="84"/>
      <c r="BA497" s="86"/>
      <c r="BB497" s="86"/>
    </row>
    <row r="498" spans="1:54" ht="36.75" customHeight="1">
      <c r="A498" s="30"/>
      <c r="B498" s="30" t="s">
        <v>55</v>
      </c>
      <c r="C498" s="69" t="str">
        <f t="shared" si="33"/>
        <v>Closed</v>
      </c>
      <c r="D498" s="27" t="s">
        <v>2947</v>
      </c>
      <c r="E498" s="29" t="s">
        <v>2948</v>
      </c>
      <c r="F498" s="30" t="s">
        <v>594</v>
      </c>
      <c r="G498" s="89">
        <f>DATE(2008,6,12)</f>
        <v>39611</v>
      </c>
      <c r="H498" s="90">
        <v>1.84375</v>
      </c>
      <c r="I498" s="30" t="s">
        <v>116</v>
      </c>
      <c r="J498" s="89" t="s">
        <v>2949</v>
      </c>
      <c r="K498" s="30" t="s">
        <v>596</v>
      </c>
      <c r="L498" s="30" t="s">
        <v>2950</v>
      </c>
      <c r="M498" s="30" t="s">
        <v>63</v>
      </c>
      <c r="N498" s="30">
        <v>0</v>
      </c>
      <c r="O498" s="30" t="s">
        <v>64</v>
      </c>
      <c r="P498" s="89" t="s">
        <v>165</v>
      </c>
      <c r="Q498" s="89" t="s">
        <v>598</v>
      </c>
      <c r="R498" s="89" t="s">
        <v>599</v>
      </c>
      <c r="S498" s="30">
        <v>0</v>
      </c>
      <c r="T498" s="233">
        <v>0</v>
      </c>
      <c r="U498" s="30">
        <v>1</v>
      </c>
      <c r="V498" s="233">
        <v>0</v>
      </c>
      <c r="W498" s="30">
        <v>0</v>
      </c>
      <c r="X498" s="30">
        <v>1</v>
      </c>
      <c r="Y498" s="30">
        <v>0</v>
      </c>
      <c r="Z498" s="233">
        <v>0</v>
      </c>
      <c r="AA498" s="30">
        <v>1</v>
      </c>
      <c r="AB498" s="30">
        <v>0</v>
      </c>
      <c r="AC498" s="30">
        <v>0</v>
      </c>
      <c r="AD498" s="30">
        <v>1</v>
      </c>
      <c r="AE498" s="89" t="s">
        <v>68</v>
      </c>
      <c r="AF498" s="89"/>
      <c r="AG498" s="89" t="s">
        <v>133</v>
      </c>
      <c r="AH498" s="72" t="s">
        <v>68</v>
      </c>
      <c r="AI498" s="30">
        <v>0</v>
      </c>
      <c r="AJ498" s="89" t="s">
        <v>68</v>
      </c>
      <c r="AK498" s="89" t="s">
        <v>68</v>
      </c>
      <c r="AL498" s="91">
        <v>39791</v>
      </c>
      <c r="AM498" s="91"/>
      <c r="AN498" s="91"/>
      <c r="AO498" s="91"/>
      <c r="AP498" s="73" t="e">
        <f>MID(VLOOKUP(K498,#REF!,2,FALSE),1,2)</f>
        <v>#REF!</v>
      </c>
      <c r="AQ498" s="89">
        <f>DATE(2008,6,12)</f>
        <v>39611</v>
      </c>
      <c r="AR498" s="82">
        <f t="shared" si="34"/>
        <v>12</v>
      </c>
      <c r="AS498" s="83">
        <f t="shared" si="35"/>
        <v>6</v>
      </c>
      <c r="AT498" s="84">
        <f t="shared" si="36"/>
        <v>2008</v>
      </c>
      <c r="AU498" s="86"/>
      <c r="AV498" s="86"/>
      <c r="AW498" s="87"/>
      <c r="AX498" s="86"/>
      <c r="AY498" s="83"/>
      <c r="AZ498" s="84"/>
      <c r="BA498" s="86"/>
      <c r="BB498" s="86"/>
    </row>
    <row r="499" spans="1:54" ht="36.75" customHeight="1">
      <c r="A499" s="30"/>
      <c r="B499" s="30" t="s">
        <v>55</v>
      </c>
      <c r="C499" s="69" t="str">
        <f t="shared" si="33"/>
        <v>Closed</v>
      </c>
      <c r="D499" s="27" t="s">
        <v>2951</v>
      </c>
      <c r="E499" s="29" t="s">
        <v>2952</v>
      </c>
      <c r="F499" s="30" t="s">
        <v>233</v>
      </c>
      <c r="G499" s="89">
        <f>DATE(2008,6,12)</f>
        <v>39611</v>
      </c>
      <c r="H499" s="90">
        <v>1.5868055555555556</v>
      </c>
      <c r="I499" s="30" t="s">
        <v>73</v>
      </c>
      <c r="J499" s="89" t="s">
        <v>2953</v>
      </c>
      <c r="K499" s="30" t="s">
        <v>235</v>
      </c>
      <c r="L499" s="30" t="s">
        <v>2954</v>
      </c>
      <c r="M499" s="30" t="s">
        <v>63</v>
      </c>
      <c r="N499" s="30">
        <v>0</v>
      </c>
      <c r="O499" s="30" t="s">
        <v>64</v>
      </c>
      <c r="P499" s="89" t="s">
        <v>78</v>
      </c>
      <c r="Q499" s="89" t="s">
        <v>434</v>
      </c>
      <c r="R499" s="89" t="s">
        <v>238</v>
      </c>
      <c r="S499" s="30">
        <v>0</v>
      </c>
      <c r="T499" s="233" t="s">
        <v>68</v>
      </c>
      <c r="U499" s="30">
        <v>0</v>
      </c>
      <c r="V499" s="233" t="s">
        <v>68</v>
      </c>
      <c r="W499" s="30">
        <v>0</v>
      </c>
      <c r="X499" s="30">
        <v>0</v>
      </c>
      <c r="Y499" s="30">
        <v>0</v>
      </c>
      <c r="Z499" s="233" t="s">
        <v>68</v>
      </c>
      <c r="AA499" s="30">
        <v>0</v>
      </c>
      <c r="AB499" s="30">
        <v>0</v>
      </c>
      <c r="AC499" s="30">
        <v>0</v>
      </c>
      <c r="AD499" s="30">
        <v>0</v>
      </c>
      <c r="AE499" s="89" t="s">
        <v>68</v>
      </c>
      <c r="AF499" s="89"/>
      <c r="AG499" s="89" t="s">
        <v>133</v>
      </c>
      <c r="AH499" s="72" t="s">
        <v>68</v>
      </c>
      <c r="AI499" s="30">
        <v>7</v>
      </c>
      <c r="AJ499" s="89" t="s">
        <v>2955</v>
      </c>
      <c r="AK499" s="89" t="s">
        <v>2956</v>
      </c>
      <c r="AL499" s="91">
        <v>39682</v>
      </c>
      <c r="AM499" s="91"/>
      <c r="AN499" s="91"/>
      <c r="AO499" s="91"/>
      <c r="AP499" s="73" t="e">
        <f>MID(VLOOKUP(K499,#REF!,2,FALSE),1,2)</f>
        <v>#REF!</v>
      </c>
      <c r="AQ499" s="89">
        <f>DATE(2008,6,12)</f>
        <v>39611</v>
      </c>
      <c r="AR499" s="82">
        <f t="shared" si="34"/>
        <v>12</v>
      </c>
      <c r="AS499" s="83">
        <f t="shared" si="35"/>
        <v>6</v>
      </c>
      <c r="AT499" s="84">
        <f t="shared" si="36"/>
        <v>2008</v>
      </c>
      <c r="AU499" s="86"/>
      <c r="AV499" s="86"/>
      <c r="AW499" s="87"/>
      <c r="AX499" s="86"/>
      <c r="AY499" s="83"/>
      <c r="AZ499" s="84"/>
      <c r="BA499" s="86"/>
      <c r="BB499" s="86"/>
    </row>
    <row r="500" spans="1:54" ht="36.75" customHeight="1">
      <c r="A500" s="30"/>
      <c r="B500" s="30" t="s">
        <v>55</v>
      </c>
      <c r="C500" s="69" t="str">
        <f t="shared" si="33"/>
        <v>Closed</v>
      </c>
      <c r="D500" s="27" t="s">
        <v>2957</v>
      </c>
      <c r="E500" s="29" t="s">
        <v>2958</v>
      </c>
      <c r="F500" s="30" t="s">
        <v>58</v>
      </c>
      <c r="G500" s="89">
        <f>DATE(2008,6,13)</f>
        <v>39612</v>
      </c>
      <c r="H500" s="90">
        <v>1.5763888888888888</v>
      </c>
      <c r="I500" s="30" t="s">
        <v>198</v>
      </c>
      <c r="J500" s="89" t="s">
        <v>2959</v>
      </c>
      <c r="K500" s="30" t="s">
        <v>61</v>
      </c>
      <c r="L500" s="30" t="s">
        <v>2960</v>
      </c>
      <c r="M500" s="30" t="s">
        <v>255</v>
      </c>
      <c r="N500" s="30" t="s">
        <v>99</v>
      </c>
      <c r="O500" s="30" t="s">
        <v>64</v>
      </c>
      <c r="P500" s="89" t="s">
        <v>165</v>
      </c>
      <c r="Q500" s="89" t="s">
        <v>2961</v>
      </c>
      <c r="R500" s="89" t="s">
        <v>2962</v>
      </c>
      <c r="S500" s="30">
        <v>0</v>
      </c>
      <c r="T500" s="233">
        <v>0</v>
      </c>
      <c r="U500" s="30">
        <v>0</v>
      </c>
      <c r="V500" s="233">
        <v>0</v>
      </c>
      <c r="W500" s="30">
        <v>0</v>
      </c>
      <c r="X500" s="30">
        <v>0</v>
      </c>
      <c r="Y500" s="30">
        <v>2</v>
      </c>
      <c r="Z500" s="233">
        <v>0</v>
      </c>
      <c r="AA500" s="30">
        <v>0</v>
      </c>
      <c r="AB500" s="30">
        <v>0</v>
      </c>
      <c r="AC500" s="30">
        <v>0</v>
      </c>
      <c r="AD500" s="30">
        <v>2</v>
      </c>
      <c r="AE500" s="89" t="s">
        <v>92</v>
      </c>
      <c r="AF500" s="89"/>
      <c r="AG500" s="89" t="s">
        <v>367</v>
      </c>
      <c r="AH500" s="72">
        <v>39617</v>
      </c>
      <c r="AI500" s="30">
        <v>5</v>
      </c>
      <c r="AJ500" s="89" t="s">
        <v>2963</v>
      </c>
      <c r="AK500" s="89" t="s">
        <v>2964</v>
      </c>
      <c r="AL500" s="91">
        <v>39639</v>
      </c>
      <c r="AM500" s="91"/>
      <c r="AN500" s="91"/>
      <c r="AO500" s="91"/>
      <c r="AP500" s="73" t="e">
        <f>MID(VLOOKUP(K500,#REF!,2,FALSE),1,2)</f>
        <v>#REF!</v>
      </c>
      <c r="AQ500" s="89">
        <f>DATE(2008,6,13)</f>
        <v>39612</v>
      </c>
      <c r="AR500" s="82">
        <f t="shared" si="34"/>
        <v>13</v>
      </c>
      <c r="AS500" s="83">
        <f t="shared" si="35"/>
        <v>6</v>
      </c>
      <c r="AT500" s="84">
        <f t="shared" si="36"/>
        <v>2008</v>
      </c>
      <c r="AU500" s="86"/>
      <c r="AV500" s="86"/>
      <c r="AW500" s="87"/>
      <c r="AX500" s="86"/>
      <c r="AY500" s="83"/>
      <c r="AZ500" s="84"/>
      <c r="BA500" s="86"/>
      <c r="BB500" s="86"/>
    </row>
    <row r="501" spans="1:54" ht="36.75" customHeight="1">
      <c r="A501" s="30"/>
      <c r="B501" s="30" t="s">
        <v>55</v>
      </c>
      <c r="C501" s="69" t="str">
        <f t="shared" si="33"/>
        <v>Closed</v>
      </c>
      <c r="D501" s="27" t="s">
        <v>2965</v>
      </c>
      <c r="E501" s="29" t="s">
        <v>2966</v>
      </c>
      <c r="F501" s="30" t="s">
        <v>1938</v>
      </c>
      <c r="G501" s="89">
        <f>DATE(2008,6,14)</f>
        <v>39613</v>
      </c>
      <c r="H501" s="90">
        <v>1.3958333333333333</v>
      </c>
      <c r="I501" s="30" t="s">
        <v>116</v>
      </c>
      <c r="J501" s="89" t="s">
        <v>2967</v>
      </c>
      <c r="K501" s="30" t="s">
        <v>1940</v>
      </c>
      <c r="L501" s="30" t="s">
        <v>2968</v>
      </c>
      <c r="M501" s="30" t="s">
        <v>63</v>
      </c>
      <c r="N501" s="30">
        <v>0</v>
      </c>
      <c r="O501" s="30" t="s">
        <v>64</v>
      </c>
      <c r="P501" s="89" t="s">
        <v>165</v>
      </c>
      <c r="Q501" s="89" t="s">
        <v>1942</v>
      </c>
      <c r="R501" s="89" t="s">
        <v>1942</v>
      </c>
      <c r="S501" s="30">
        <v>0</v>
      </c>
      <c r="T501" s="233" t="s">
        <v>68</v>
      </c>
      <c r="U501" s="30">
        <v>0</v>
      </c>
      <c r="V501" s="233" t="s">
        <v>68</v>
      </c>
      <c r="W501" s="30">
        <v>0</v>
      </c>
      <c r="X501" s="30">
        <v>0</v>
      </c>
      <c r="Y501" s="30">
        <v>0</v>
      </c>
      <c r="Z501" s="233" t="s">
        <v>68</v>
      </c>
      <c r="AA501" s="30">
        <v>0</v>
      </c>
      <c r="AB501" s="30">
        <v>0</v>
      </c>
      <c r="AC501" s="30">
        <v>0</v>
      </c>
      <c r="AD501" s="30">
        <v>0</v>
      </c>
      <c r="AE501" s="89" t="s">
        <v>68</v>
      </c>
      <c r="AF501" s="89"/>
      <c r="AG501" s="89" t="s">
        <v>133</v>
      </c>
      <c r="AH501" s="72" t="s">
        <v>68</v>
      </c>
      <c r="AI501" s="30">
        <v>2</v>
      </c>
      <c r="AJ501" s="89" t="s">
        <v>2969</v>
      </c>
      <c r="AK501" s="89" t="s">
        <v>2970</v>
      </c>
      <c r="AL501" s="91">
        <v>39619</v>
      </c>
      <c r="AM501" s="91"/>
      <c r="AN501" s="91"/>
      <c r="AO501" s="91"/>
      <c r="AP501" s="73" t="e">
        <f>MID(VLOOKUP(K501,#REF!,2,FALSE),1,2)</f>
        <v>#REF!</v>
      </c>
      <c r="AQ501" s="89">
        <f>DATE(2008,6,14)</f>
        <v>39613</v>
      </c>
      <c r="AR501" s="82">
        <f t="shared" si="34"/>
        <v>14</v>
      </c>
      <c r="AS501" s="83">
        <f t="shared" si="35"/>
        <v>6</v>
      </c>
      <c r="AT501" s="84">
        <f t="shared" si="36"/>
        <v>2008</v>
      </c>
      <c r="AU501" s="86"/>
      <c r="AV501" s="86"/>
      <c r="AW501" s="87"/>
      <c r="AX501" s="86"/>
      <c r="AY501" s="83"/>
      <c r="AZ501" s="84"/>
      <c r="BA501" s="86"/>
      <c r="BB501" s="86"/>
    </row>
    <row r="502" spans="1:54" ht="36.75" customHeight="1">
      <c r="A502" s="30"/>
      <c r="B502" s="30" t="s">
        <v>55</v>
      </c>
      <c r="C502" s="69" t="str">
        <f t="shared" si="33"/>
        <v>Closed</v>
      </c>
      <c r="D502" s="27" t="s">
        <v>2971</v>
      </c>
      <c r="E502" s="29" t="s">
        <v>2972</v>
      </c>
      <c r="F502" s="30" t="s">
        <v>2336</v>
      </c>
      <c r="G502" s="89">
        <f>DATE(2008,6,16)</f>
        <v>39615</v>
      </c>
      <c r="H502" s="90">
        <v>1.0840277777777778</v>
      </c>
      <c r="I502" s="30" t="s">
        <v>73</v>
      </c>
      <c r="J502" s="89" t="s">
        <v>2973</v>
      </c>
      <c r="K502" s="30" t="s">
        <v>2338</v>
      </c>
      <c r="L502" s="30" t="s">
        <v>2974</v>
      </c>
      <c r="M502" s="30" t="s">
        <v>63</v>
      </c>
      <c r="N502" s="30">
        <v>0</v>
      </c>
      <c r="O502" s="30" t="s">
        <v>64</v>
      </c>
      <c r="P502" s="89" t="s">
        <v>78</v>
      </c>
      <c r="Q502" s="89" t="s">
        <v>2975</v>
      </c>
      <c r="R502" s="89" t="s">
        <v>2341</v>
      </c>
      <c r="S502" s="30">
        <v>0</v>
      </c>
      <c r="T502" s="233">
        <v>0</v>
      </c>
      <c r="U502" s="30">
        <v>0</v>
      </c>
      <c r="V502" s="233">
        <v>0</v>
      </c>
      <c r="W502" s="30">
        <v>0</v>
      </c>
      <c r="X502" s="30">
        <v>0</v>
      </c>
      <c r="Y502" s="30">
        <v>0</v>
      </c>
      <c r="Z502" s="233">
        <v>0</v>
      </c>
      <c r="AA502" s="30">
        <v>0</v>
      </c>
      <c r="AB502" s="30">
        <v>0</v>
      </c>
      <c r="AC502" s="30">
        <v>0</v>
      </c>
      <c r="AD502" s="30">
        <v>0</v>
      </c>
      <c r="AE502" s="89" t="s">
        <v>68</v>
      </c>
      <c r="AF502" s="89"/>
      <c r="AG502" s="89" t="s">
        <v>133</v>
      </c>
      <c r="AH502" s="72" t="s">
        <v>68</v>
      </c>
      <c r="AI502" s="30">
        <v>5</v>
      </c>
      <c r="AJ502" s="89" t="s">
        <v>68</v>
      </c>
      <c r="AK502" s="89" t="s">
        <v>712</v>
      </c>
      <c r="AL502" s="91">
        <v>39752</v>
      </c>
      <c r="AM502" s="91"/>
      <c r="AN502" s="91"/>
      <c r="AO502" s="91"/>
      <c r="AP502" s="73" t="e">
        <f>MID(VLOOKUP(K502,#REF!,2,FALSE),1,2)</f>
        <v>#REF!</v>
      </c>
      <c r="AQ502" s="89">
        <f>DATE(2008,6,16)</f>
        <v>39615</v>
      </c>
      <c r="AR502" s="82">
        <f t="shared" si="34"/>
        <v>16</v>
      </c>
      <c r="AS502" s="83">
        <f t="shared" si="35"/>
        <v>6</v>
      </c>
      <c r="AT502" s="84">
        <f t="shared" si="36"/>
        <v>2008</v>
      </c>
      <c r="AU502" s="86"/>
      <c r="AV502" s="86"/>
      <c r="AW502" s="87"/>
      <c r="AX502" s="86"/>
      <c r="AY502" s="83"/>
      <c r="AZ502" s="84"/>
      <c r="BA502" s="86"/>
      <c r="BB502" s="86"/>
    </row>
    <row r="503" spans="1:54" ht="36.75" customHeight="1">
      <c r="A503" s="30"/>
      <c r="B503" s="30" t="s">
        <v>55</v>
      </c>
      <c r="C503" s="69" t="str">
        <f t="shared" si="33"/>
        <v>Closed</v>
      </c>
      <c r="D503" s="27" t="s">
        <v>2976</v>
      </c>
      <c r="E503" s="29" t="s">
        <v>2977</v>
      </c>
      <c r="F503" s="30" t="s">
        <v>138</v>
      </c>
      <c r="G503" s="89">
        <f>DATE(2008,6,17)</f>
        <v>39616</v>
      </c>
      <c r="H503" s="90">
        <v>1.3263888888888888</v>
      </c>
      <c r="I503" s="30" t="s">
        <v>2264</v>
      </c>
      <c r="J503" s="89" t="s">
        <v>2978</v>
      </c>
      <c r="K503" s="30" t="s">
        <v>140</v>
      </c>
      <c r="L503" s="30" t="s">
        <v>2979</v>
      </c>
      <c r="M503" s="30" t="s">
        <v>63</v>
      </c>
      <c r="N503" s="30" t="s">
        <v>99</v>
      </c>
      <c r="O503" s="30" t="s">
        <v>64</v>
      </c>
      <c r="P503" s="89" t="s">
        <v>216</v>
      </c>
      <c r="Q503" s="89" t="s">
        <v>2267</v>
      </c>
      <c r="R503" s="89" t="s">
        <v>144</v>
      </c>
      <c r="S503" s="30">
        <v>0</v>
      </c>
      <c r="T503" s="233">
        <v>0</v>
      </c>
      <c r="U503" s="30">
        <v>0</v>
      </c>
      <c r="V503" s="233">
        <v>0</v>
      </c>
      <c r="W503" s="30">
        <v>0</v>
      </c>
      <c r="X503" s="30">
        <v>0</v>
      </c>
      <c r="Y503" s="30">
        <v>0</v>
      </c>
      <c r="Z503" s="233">
        <v>0</v>
      </c>
      <c r="AA503" s="30">
        <v>0</v>
      </c>
      <c r="AB503" s="30">
        <v>0</v>
      </c>
      <c r="AC503" s="30">
        <v>0</v>
      </c>
      <c r="AD503" s="30">
        <v>0</v>
      </c>
      <c r="AE503" s="89" t="s">
        <v>68</v>
      </c>
      <c r="AF503" s="89"/>
      <c r="AG503" s="89" t="s">
        <v>133</v>
      </c>
      <c r="AH503" s="72">
        <v>39644</v>
      </c>
      <c r="AI503" s="30">
        <v>5</v>
      </c>
      <c r="AJ503" s="89" t="s">
        <v>2980</v>
      </c>
      <c r="AK503" s="89" t="s">
        <v>2981</v>
      </c>
      <c r="AL503" s="91">
        <v>39643</v>
      </c>
      <c r="AM503" s="91"/>
      <c r="AN503" s="91"/>
      <c r="AO503" s="91"/>
      <c r="AP503" s="73" t="e">
        <f>MID(VLOOKUP(K503,#REF!,2,FALSE),1,2)</f>
        <v>#REF!</v>
      </c>
      <c r="AQ503" s="89">
        <f>DATE(2008,6,17)</f>
        <v>39616</v>
      </c>
      <c r="AR503" s="82">
        <f t="shared" si="34"/>
        <v>17</v>
      </c>
      <c r="AS503" s="83">
        <f t="shared" si="35"/>
        <v>6</v>
      </c>
      <c r="AT503" s="84">
        <f t="shared" si="36"/>
        <v>2008</v>
      </c>
      <c r="AU503" s="86"/>
      <c r="AV503" s="86"/>
      <c r="AW503" s="87"/>
      <c r="AX503" s="86"/>
      <c r="AY503" s="83"/>
      <c r="AZ503" s="84"/>
      <c r="BA503" s="86"/>
      <c r="BB503" s="86"/>
    </row>
    <row r="504" spans="1:54" ht="36.75" customHeight="1">
      <c r="A504" s="30"/>
      <c r="B504" s="30" t="s">
        <v>55</v>
      </c>
      <c r="C504" s="69" t="str">
        <f t="shared" si="33"/>
        <v>Closed</v>
      </c>
      <c r="D504" s="27" t="s">
        <v>2982</v>
      </c>
      <c r="E504" s="29" t="s">
        <v>2983</v>
      </c>
      <c r="F504" s="30" t="s">
        <v>638</v>
      </c>
      <c r="G504" s="89">
        <f>DATE(2008,6,22)</f>
        <v>39621</v>
      </c>
      <c r="H504" s="90">
        <v>1.2256944444444444</v>
      </c>
      <c r="I504" s="30" t="s">
        <v>278</v>
      </c>
      <c r="J504" s="89" t="s">
        <v>2984</v>
      </c>
      <c r="K504" s="30" t="s">
        <v>640</v>
      </c>
      <c r="L504" s="30" t="s">
        <v>2985</v>
      </c>
      <c r="M504" s="30" t="s">
        <v>63</v>
      </c>
      <c r="N504" s="30">
        <v>0</v>
      </c>
      <c r="O504" s="30" t="s">
        <v>64</v>
      </c>
      <c r="P504" s="89" t="s">
        <v>65</v>
      </c>
      <c r="Q504" s="89" t="s">
        <v>642</v>
      </c>
      <c r="R504" s="89" t="s">
        <v>643</v>
      </c>
      <c r="S504" s="30">
        <v>0</v>
      </c>
      <c r="T504" s="233">
        <v>0</v>
      </c>
      <c r="U504" s="30">
        <v>0</v>
      </c>
      <c r="V504" s="233">
        <v>1</v>
      </c>
      <c r="W504" s="30">
        <v>0</v>
      </c>
      <c r="X504" s="30">
        <v>1</v>
      </c>
      <c r="Y504" s="30">
        <v>0</v>
      </c>
      <c r="Z504" s="233">
        <v>0</v>
      </c>
      <c r="AA504" s="30">
        <v>0</v>
      </c>
      <c r="AB504" s="30">
        <v>0</v>
      </c>
      <c r="AC504" s="30">
        <v>0</v>
      </c>
      <c r="AD504" s="30">
        <v>0</v>
      </c>
      <c r="AE504" s="89" t="s">
        <v>68</v>
      </c>
      <c r="AF504" s="89"/>
      <c r="AG504" s="89" t="s">
        <v>248</v>
      </c>
      <c r="AH504" s="72" t="s">
        <v>68</v>
      </c>
      <c r="AI504" s="30">
        <v>1</v>
      </c>
      <c r="AJ504" s="89" t="s">
        <v>68</v>
      </c>
      <c r="AK504" s="89" t="s">
        <v>68</v>
      </c>
      <c r="AL504" s="91">
        <v>39689</v>
      </c>
      <c r="AM504" s="91"/>
      <c r="AN504" s="91"/>
      <c r="AO504" s="91"/>
      <c r="AP504" s="73" t="e">
        <f>MID(VLOOKUP(K504,#REF!,2,FALSE),1,2)</f>
        <v>#REF!</v>
      </c>
      <c r="AQ504" s="89">
        <f>DATE(2008,6,22)</f>
        <v>39621</v>
      </c>
      <c r="AR504" s="82">
        <f t="shared" si="34"/>
        <v>22</v>
      </c>
      <c r="AS504" s="83">
        <f t="shared" si="35"/>
        <v>6</v>
      </c>
      <c r="AT504" s="84">
        <f t="shared" si="36"/>
        <v>2008</v>
      </c>
      <c r="AU504" s="86"/>
      <c r="AV504" s="86"/>
      <c r="AW504" s="87"/>
      <c r="AX504" s="86"/>
      <c r="AY504" s="83"/>
      <c r="AZ504" s="84"/>
      <c r="BA504" s="86"/>
      <c r="BB504" s="86"/>
    </row>
    <row r="505" spans="1:54" ht="36.75" customHeight="1">
      <c r="A505" s="30"/>
      <c r="B505" s="30" t="s">
        <v>55</v>
      </c>
      <c r="C505" s="69" t="str">
        <f t="shared" si="33"/>
        <v>Closed</v>
      </c>
      <c r="D505" s="27" t="s">
        <v>2986</v>
      </c>
      <c r="E505" s="29" t="s">
        <v>2987</v>
      </c>
      <c r="F505" s="30" t="s">
        <v>638</v>
      </c>
      <c r="G505" s="89">
        <f>DATE(2008,6,24)</f>
        <v>39623</v>
      </c>
      <c r="H505" s="90">
        <v>1.5666666666666667</v>
      </c>
      <c r="I505" s="30" t="s">
        <v>278</v>
      </c>
      <c r="J505" s="89" t="s">
        <v>2988</v>
      </c>
      <c r="K505" s="30" t="s">
        <v>640</v>
      </c>
      <c r="L505" s="30" t="s">
        <v>2989</v>
      </c>
      <c r="M505" s="30" t="s">
        <v>63</v>
      </c>
      <c r="N505" s="30">
        <v>0</v>
      </c>
      <c r="O505" s="30" t="s">
        <v>64</v>
      </c>
      <c r="P505" s="89" t="s">
        <v>165</v>
      </c>
      <c r="Q505" s="89" t="s">
        <v>642</v>
      </c>
      <c r="R505" s="89" t="s">
        <v>643</v>
      </c>
      <c r="S505" s="30">
        <v>0</v>
      </c>
      <c r="T505" s="233">
        <v>0</v>
      </c>
      <c r="U505" s="30">
        <v>0</v>
      </c>
      <c r="V505" s="233">
        <v>1</v>
      </c>
      <c r="W505" s="30">
        <v>0</v>
      </c>
      <c r="X505" s="30">
        <v>1</v>
      </c>
      <c r="Y505" s="30">
        <v>0</v>
      </c>
      <c r="Z505" s="233">
        <v>0</v>
      </c>
      <c r="AA505" s="30">
        <v>0</v>
      </c>
      <c r="AB505" s="30">
        <v>0</v>
      </c>
      <c r="AC505" s="30">
        <v>0</v>
      </c>
      <c r="AD505" s="30">
        <v>0</v>
      </c>
      <c r="AE505" s="89" t="s">
        <v>68</v>
      </c>
      <c r="AF505" s="89"/>
      <c r="AG505" s="89" t="s">
        <v>248</v>
      </c>
      <c r="AH505" s="72" t="s">
        <v>68</v>
      </c>
      <c r="AI505" s="30">
        <v>2</v>
      </c>
      <c r="AJ505" s="89" t="s">
        <v>68</v>
      </c>
      <c r="AK505" s="89" t="s">
        <v>68</v>
      </c>
      <c r="AL505" s="91">
        <v>39689</v>
      </c>
      <c r="AM505" s="91"/>
      <c r="AN505" s="91"/>
      <c r="AO505" s="91"/>
      <c r="AP505" s="73" t="e">
        <f>MID(VLOOKUP(K505,#REF!,2,FALSE),1,2)</f>
        <v>#REF!</v>
      </c>
      <c r="AQ505" s="89">
        <f>DATE(2008,6,24)</f>
        <v>39623</v>
      </c>
      <c r="AR505" s="82">
        <f t="shared" si="34"/>
        <v>24</v>
      </c>
      <c r="AS505" s="83">
        <f t="shared" si="35"/>
        <v>6</v>
      </c>
      <c r="AT505" s="84">
        <f t="shared" si="36"/>
        <v>2008</v>
      </c>
      <c r="AU505" s="86"/>
      <c r="AV505" s="86"/>
      <c r="AW505" s="87"/>
      <c r="AX505" s="86"/>
      <c r="AY505" s="83"/>
      <c r="AZ505" s="84"/>
      <c r="BA505" s="86"/>
      <c r="BB505" s="86"/>
    </row>
    <row r="506" spans="1:54" ht="36.75" customHeight="1">
      <c r="A506" s="30"/>
      <c r="B506" s="30" t="s">
        <v>55</v>
      </c>
      <c r="C506" s="69" t="str">
        <f t="shared" si="33"/>
        <v>Closed</v>
      </c>
      <c r="D506" s="27" t="s">
        <v>2990</v>
      </c>
      <c r="E506" s="29" t="s">
        <v>2991</v>
      </c>
      <c r="F506" s="30" t="s">
        <v>115</v>
      </c>
      <c r="G506" s="89">
        <f>DATE(2008,6,24)</f>
        <v>39623</v>
      </c>
      <c r="H506" s="90">
        <v>1.5208333333333335</v>
      </c>
      <c r="I506" s="30" t="s">
        <v>125</v>
      </c>
      <c r="J506" s="89" t="s">
        <v>2992</v>
      </c>
      <c r="K506" s="30" t="s">
        <v>118</v>
      </c>
      <c r="L506" s="30" t="s">
        <v>2993</v>
      </c>
      <c r="M506" s="30" t="s">
        <v>63</v>
      </c>
      <c r="N506" s="30">
        <v>0</v>
      </c>
      <c r="O506" s="30" t="s">
        <v>64</v>
      </c>
      <c r="P506" s="89" t="s">
        <v>165</v>
      </c>
      <c r="Q506" s="89" t="s">
        <v>2994</v>
      </c>
      <c r="R506" s="89" t="s">
        <v>2995</v>
      </c>
      <c r="S506" s="30">
        <v>0</v>
      </c>
      <c r="T506" s="233" t="s">
        <v>68</v>
      </c>
      <c r="U506" s="30">
        <v>0</v>
      </c>
      <c r="V506" s="233" t="s">
        <v>68</v>
      </c>
      <c r="W506" s="30">
        <v>0</v>
      </c>
      <c r="X506" s="30">
        <v>0</v>
      </c>
      <c r="Y506" s="30">
        <v>0</v>
      </c>
      <c r="Z506" s="233" t="s">
        <v>68</v>
      </c>
      <c r="AA506" s="30">
        <v>0</v>
      </c>
      <c r="AB506" s="30">
        <v>0</v>
      </c>
      <c r="AC506" s="30">
        <v>0</v>
      </c>
      <c r="AD506" s="30">
        <v>0</v>
      </c>
      <c r="AE506" s="89" t="s">
        <v>68</v>
      </c>
      <c r="AF506" s="89"/>
      <c r="AG506" s="89" t="s">
        <v>133</v>
      </c>
      <c r="AH506" s="72" t="s">
        <v>68</v>
      </c>
      <c r="AI506" s="30">
        <v>3</v>
      </c>
      <c r="AJ506" s="89" t="s">
        <v>68</v>
      </c>
      <c r="AK506" s="89" t="s">
        <v>68</v>
      </c>
      <c r="AL506" s="91">
        <v>39636</v>
      </c>
      <c r="AM506" s="91"/>
      <c r="AN506" s="91"/>
      <c r="AO506" s="91"/>
      <c r="AP506" s="73" t="e">
        <f>MID(VLOOKUP(K506,#REF!,2,FALSE),1,2)</f>
        <v>#REF!</v>
      </c>
      <c r="AQ506" s="89">
        <f>DATE(2008,6,24)</f>
        <v>39623</v>
      </c>
      <c r="AR506" s="82">
        <f t="shared" si="34"/>
        <v>24</v>
      </c>
      <c r="AS506" s="83">
        <f t="shared" si="35"/>
        <v>6</v>
      </c>
      <c r="AT506" s="84">
        <f t="shared" si="36"/>
        <v>2008</v>
      </c>
      <c r="AU506" s="86"/>
      <c r="AV506" s="86"/>
      <c r="AW506" s="87"/>
      <c r="AX506" s="86"/>
      <c r="AY506" s="83"/>
      <c r="AZ506" s="84"/>
      <c r="BA506" s="86"/>
      <c r="BB506" s="86"/>
    </row>
    <row r="507" spans="1:54" ht="36.75" customHeight="1">
      <c r="A507" s="30"/>
      <c r="B507" s="30" t="s">
        <v>55</v>
      </c>
      <c r="C507" s="69" t="str">
        <f t="shared" si="33"/>
        <v>Closed</v>
      </c>
      <c r="D507" s="27" t="s">
        <v>2996</v>
      </c>
      <c r="E507" s="29" t="s">
        <v>2997</v>
      </c>
      <c r="F507" s="30" t="s">
        <v>233</v>
      </c>
      <c r="G507" s="89">
        <f>DATE(2008,6,24)</f>
        <v>39623</v>
      </c>
      <c r="H507" s="90">
        <v>1.0104166666666667</v>
      </c>
      <c r="I507" s="30" t="s">
        <v>156</v>
      </c>
      <c r="J507" s="89" t="s">
        <v>2998</v>
      </c>
      <c r="K507" s="30" t="s">
        <v>235</v>
      </c>
      <c r="L507" s="30" t="s">
        <v>2999</v>
      </c>
      <c r="M507" s="30" t="s">
        <v>63</v>
      </c>
      <c r="N507" s="30">
        <v>0</v>
      </c>
      <c r="O507" s="30" t="s">
        <v>64</v>
      </c>
      <c r="P507" s="89" t="s">
        <v>165</v>
      </c>
      <c r="Q507" s="89" t="s">
        <v>1428</v>
      </c>
      <c r="R507" s="89" t="s">
        <v>238</v>
      </c>
      <c r="S507" s="30">
        <v>0</v>
      </c>
      <c r="T507" s="233" t="s">
        <v>68</v>
      </c>
      <c r="U507" s="30">
        <v>0</v>
      </c>
      <c r="V507" s="233" t="s">
        <v>68</v>
      </c>
      <c r="W507" s="30">
        <v>0</v>
      </c>
      <c r="X507" s="30">
        <v>0</v>
      </c>
      <c r="Y507" s="30">
        <v>0</v>
      </c>
      <c r="Z507" s="233" t="s">
        <v>68</v>
      </c>
      <c r="AA507" s="30">
        <v>0</v>
      </c>
      <c r="AB507" s="30">
        <v>0</v>
      </c>
      <c r="AC507" s="30">
        <v>0</v>
      </c>
      <c r="AD507" s="30">
        <v>0</v>
      </c>
      <c r="AE507" s="89" t="s">
        <v>68</v>
      </c>
      <c r="AF507" s="89"/>
      <c r="AG507" s="89" t="s">
        <v>352</v>
      </c>
      <c r="AH507" s="72" t="s">
        <v>68</v>
      </c>
      <c r="AI507" s="30">
        <v>8</v>
      </c>
      <c r="AJ507" s="89" t="s">
        <v>3000</v>
      </c>
      <c r="AK507" s="89" t="s">
        <v>3001</v>
      </c>
      <c r="AL507" s="91">
        <v>39682</v>
      </c>
      <c r="AM507" s="91"/>
      <c r="AN507" s="91"/>
      <c r="AO507" s="91"/>
      <c r="AP507" s="73" t="e">
        <f>MID(VLOOKUP(K507,#REF!,2,FALSE),1,2)</f>
        <v>#REF!</v>
      </c>
      <c r="AQ507" s="89">
        <f>DATE(2008,6,24)</f>
        <v>39623</v>
      </c>
      <c r="AR507" s="82">
        <f t="shared" si="34"/>
        <v>24</v>
      </c>
      <c r="AS507" s="83">
        <f t="shared" si="35"/>
        <v>6</v>
      </c>
      <c r="AT507" s="84">
        <f t="shared" si="36"/>
        <v>2008</v>
      </c>
      <c r="AU507" s="86"/>
      <c r="AV507" s="86"/>
      <c r="AW507" s="87"/>
      <c r="AX507" s="86"/>
      <c r="AY507" s="83"/>
      <c r="AZ507" s="84"/>
      <c r="BA507" s="86"/>
      <c r="BB507" s="86"/>
    </row>
    <row r="508" spans="1:54" ht="36.75" customHeight="1">
      <c r="A508" s="30"/>
      <c r="B508" s="30" t="s">
        <v>55</v>
      </c>
      <c r="C508" s="69" t="str">
        <f t="shared" si="33"/>
        <v>Closed</v>
      </c>
      <c r="D508" s="27" t="s">
        <v>3002</v>
      </c>
      <c r="E508" s="29" t="s">
        <v>3003</v>
      </c>
      <c r="F508" s="30" t="s">
        <v>58</v>
      </c>
      <c r="G508" s="89">
        <f>DATE(2008,6,25)</f>
        <v>39624</v>
      </c>
      <c r="H508" s="90">
        <v>1.682638888888889</v>
      </c>
      <c r="I508" s="30" t="s">
        <v>116</v>
      </c>
      <c r="J508" s="89" t="s">
        <v>3004</v>
      </c>
      <c r="K508" s="30" t="s">
        <v>61</v>
      </c>
      <c r="L508" s="30" t="s">
        <v>3005</v>
      </c>
      <c r="M508" s="30" t="s">
        <v>63</v>
      </c>
      <c r="N508" s="30" t="s">
        <v>99</v>
      </c>
      <c r="O508" s="30" t="s">
        <v>64</v>
      </c>
      <c r="P508" s="89" t="s">
        <v>165</v>
      </c>
      <c r="Q508" s="89" t="s">
        <v>66</v>
      </c>
      <c r="R508" s="89" t="s">
        <v>67</v>
      </c>
      <c r="S508" s="30">
        <v>0</v>
      </c>
      <c r="T508" s="233">
        <v>0</v>
      </c>
      <c r="U508" s="30">
        <v>1</v>
      </c>
      <c r="V508" s="233">
        <v>0</v>
      </c>
      <c r="W508" s="30">
        <v>0</v>
      </c>
      <c r="X508" s="30">
        <v>1</v>
      </c>
      <c r="Y508" s="30">
        <v>0</v>
      </c>
      <c r="Z508" s="233">
        <v>0</v>
      </c>
      <c r="AA508" s="30">
        <v>0</v>
      </c>
      <c r="AB508" s="30">
        <v>0</v>
      </c>
      <c r="AC508" s="30">
        <v>0</v>
      </c>
      <c r="AD508" s="30">
        <v>0</v>
      </c>
      <c r="AE508" s="89" t="s">
        <v>92</v>
      </c>
      <c r="AF508" s="89"/>
      <c r="AG508" s="89" t="s">
        <v>82</v>
      </c>
      <c r="AH508" s="72">
        <v>39644</v>
      </c>
      <c r="AI508" s="30">
        <v>1</v>
      </c>
      <c r="AJ508" s="89" t="s">
        <v>3006</v>
      </c>
      <c r="AK508" s="89" t="s">
        <v>68</v>
      </c>
      <c r="AL508" s="91">
        <v>39643</v>
      </c>
      <c r="AM508" s="91"/>
      <c r="AN508" s="91"/>
      <c r="AO508" s="91"/>
      <c r="AP508" s="73" t="e">
        <f>MID(VLOOKUP(K508,#REF!,2,FALSE),1,2)</f>
        <v>#REF!</v>
      </c>
      <c r="AQ508" s="89">
        <f>DATE(2008,6,25)</f>
        <v>39624</v>
      </c>
      <c r="AR508" s="82">
        <f t="shared" si="34"/>
        <v>25</v>
      </c>
      <c r="AS508" s="83">
        <f t="shared" si="35"/>
        <v>6</v>
      </c>
      <c r="AT508" s="84">
        <f t="shared" si="36"/>
        <v>2008</v>
      </c>
      <c r="AU508" s="86"/>
      <c r="AV508" s="86"/>
      <c r="AW508" s="87"/>
      <c r="AX508" s="86"/>
      <c r="AY508" s="83"/>
      <c r="AZ508" s="84"/>
      <c r="BA508" s="86"/>
      <c r="BB508" s="86"/>
    </row>
    <row r="509" spans="1:54" ht="36.75" customHeight="1">
      <c r="A509" s="30"/>
      <c r="B509" s="30" t="s">
        <v>55</v>
      </c>
      <c r="C509" s="69" t="str">
        <f t="shared" si="33"/>
        <v>Closed</v>
      </c>
      <c r="D509" s="27" t="s">
        <v>3007</v>
      </c>
      <c r="E509" s="29" t="s">
        <v>3008</v>
      </c>
      <c r="F509" s="30" t="s">
        <v>233</v>
      </c>
      <c r="G509" s="89">
        <f>DATE(2008,6,29)</f>
        <v>39628</v>
      </c>
      <c r="H509" s="90">
        <v>1.9652777777777777</v>
      </c>
      <c r="I509" s="30" t="s">
        <v>73</v>
      </c>
      <c r="J509" s="89" t="s">
        <v>3009</v>
      </c>
      <c r="K509" s="30" t="s">
        <v>235</v>
      </c>
      <c r="L509" s="30" t="s">
        <v>3010</v>
      </c>
      <c r="M509" s="30" t="s">
        <v>255</v>
      </c>
      <c r="N509" s="30">
        <v>0</v>
      </c>
      <c r="O509" s="30" t="s">
        <v>64</v>
      </c>
      <c r="P509" s="89" t="s">
        <v>86</v>
      </c>
      <c r="Q509" s="89" t="s">
        <v>316</v>
      </c>
      <c r="R509" s="89" t="s">
        <v>316</v>
      </c>
      <c r="S509" s="30">
        <v>0</v>
      </c>
      <c r="T509" s="233" t="s">
        <v>68</v>
      </c>
      <c r="U509" s="30">
        <v>0</v>
      </c>
      <c r="V509" s="233" t="s">
        <v>68</v>
      </c>
      <c r="W509" s="30">
        <v>0</v>
      </c>
      <c r="X509" s="30">
        <v>0</v>
      </c>
      <c r="Y509" s="30">
        <v>0</v>
      </c>
      <c r="Z509" s="233" t="s">
        <v>68</v>
      </c>
      <c r="AA509" s="30">
        <v>0</v>
      </c>
      <c r="AB509" s="30">
        <v>0</v>
      </c>
      <c r="AC509" s="30">
        <v>0</v>
      </c>
      <c r="AD509" s="30">
        <v>0</v>
      </c>
      <c r="AE509" s="89" t="s">
        <v>68</v>
      </c>
      <c r="AF509" s="89"/>
      <c r="AG509" s="89" t="s">
        <v>133</v>
      </c>
      <c r="AH509" s="72" t="s">
        <v>68</v>
      </c>
      <c r="AI509" s="30">
        <v>5</v>
      </c>
      <c r="AJ509" s="89" t="s">
        <v>3011</v>
      </c>
      <c r="AK509" s="89" t="s">
        <v>3012</v>
      </c>
      <c r="AL509" s="91">
        <v>39682</v>
      </c>
      <c r="AM509" s="91"/>
      <c r="AN509" s="91"/>
      <c r="AO509" s="91"/>
      <c r="AP509" s="73" t="e">
        <f>MID(VLOOKUP(K509,#REF!,2,FALSE),1,2)</f>
        <v>#REF!</v>
      </c>
      <c r="AQ509" s="89">
        <f>DATE(2008,6,29)</f>
        <v>39628</v>
      </c>
      <c r="AR509" s="82">
        <f t="shared" si="34"/>
        <v>29</v>
      </c>
      <c r="AS509" s="83">
        <f t="shared" si="35"/>
        <v>6</v>
      </c>
      <c r="AT509" s="84">
        <f t="shared" si="36"/>
        <v>2008</v>
      </c>
      <c r="AU509" s="86"/>
      <c r="AV509" s="86"/>
      <c r="AW509" s="87"/>
      <c r="AX509" s="86"/>
      <c r="AY509" s="83"/>
      <c r="AZ509" s="84"/>
      <c r="BA509" s="86"/>
      <c r="BB509" s="86"/>
    </row>
    <row r="510" spans="1:54" ht="36.75" customHeight="1">
      <c r="A510" s="30"/>
      <c r="B510" s="30" t="s">
        <v>55</v>
      </c>
      <c r="C510" s="69" t="str">
        <f t="shared" si="33"/>
        <v>Closed</v>
      </c>
      <c r="D510" s="27" t="s">
        <v>3013</v>
      </c>
      <c r="E510" s="29" t="s">
        <v>3014</v>
      </c>
      <c r="F510" s="30" t="s">
        <v>638</v>
      </c>
      <c r="G510" s="89">
        <f>DATE(2008,6,30)</f>
        <v>39629</v>
      </c>
      <c r="H510" s="90">
        <v>1.879861111111111</v>
      </c>
      <c r="I510" s="30" t="s">
        <v>278</v>
      </c>
      <c r="J510" s="89" t="s">
        <v>3015</v>
      </c>
      <c r="K510" s="30" t="s">
        <v>640</v>
      </c>
      <c r="L510" s="30" t="s">
        <v>3016</v>
      </c>
      <c r="M510" s="30" t="s">
        <v>63</v>
      </c>
      <c r="N510" s="30">
        <v>0</v>
      </c>
      <c r="O510" s="30" t="s">
        <v>77</v>
      </c>
      <c r="P510" s="89" t="s">
        <v>78</v>
      </c>
      <c r="Q510" s="89" t="s">
        <v>642</v>
      </c>
      <c r="R510" s="89" t="s">
        <v>643</v>
      </c>
      <c r="S510" s="30">
        <v>0</v>
      </c>
      <c r="T510" s="233">
        <v>0</v>
      </c>
      <c r="U510" s="30">
        <v>0</v>
      </c>
      <c r="V510" s="233">
        <v>1</v>
      </c>
      <c r="W510" s="30">
        <v>0</v>
      </c>
      <c r="X510" s="30">
        <v>1</v>
      </c>
      <c r="Y510" s="30">
        <v>0</v>
      </c>
      <c r="Z510" s="233">
        <v>0</v>
      </c>
      <c r="AA510" s="30">
        <v>0</v>
      </c>
      <c r="AB510" s="30">
        <v>0</v>
      </c>
      <c r="AC510" s="30">
        <v>0</v>
      </c>
      <c r="AD510" s="30">
        <v>0</v>
      </c>
      <c r="AE510" s="89" t="s">
        <v>68</v>
      </c>
      <c r="AF510" s="89"/>
      <c r="AG510" s="89" t="s">
        <v>248</v>
      </c>
      <c r="AH510" s="72" t="s">
        <v>68</v>
      </c>
      <c r="AI510" s="30">
        <v>1</v>
      </c>
      <c r="AJ510" s="89" t="s">
        <v>68</v>
      </c>
      <c r="AK510" s="89" t="s">
        <v>68</v>
      </c>
      <c r="AL510" s="91">
        <v>39689</v>
      </c>
      <c r="AM510" s="91"/>
      <c r="AN510" s="91"/>
      <c r="AO510" s="91"/>
      <c r="AP510" s="73" t="e">
        <f>MID(VLOOKUP(K510,#REF!,2,FALSE),1,2)</f>
        <v>#REF!</v>
      </c>
      <c r="AQ510" s="89">
        <f>DATE(2008,6,30)</f>
        <v>39629</v>
      </c>
      <c r="AR510" s="82">
        <f t="shared" si="34"/>
        <v>30</v>
      </c>
      <c r="AS510" s="83">
        <f t="shared" si="35"/>
        <v>6</v>
      </c>
      <c r="AT510" s="84">
        <f t="shared" si="36"/>
        <v>2008</v>
      </c>
      <c r="AU510" s="86"/>
      <c r="AV510" s="86"/>
      <c r="AW510" s="87"/>
      <c r="AX510" s="86"/>
      <c r="AY510" s="83"/>
      <c r="AZ510" s="84"/>
      <c r="BA510" s="86"/>
      <c r="BB510" s="86"/>
    </row>
    <row r="511" spans="1:54" ht="36.75" customHeight="1">
      <c r="A511" s="30"/>
      <c r="B511" s="30" t="s">
        <v>55</v>
      </c>
      <c r="C511" s="69" t="str">
        <f t="shared" si="33"/>
        <v>Closed</v>
      </c>
      <c r="D511" s="27" t="s">
        <v>3017</v>
      </c>
      <c r="E511" s="29" t="s">
        <v>3018</v>
      </c>
      <c r="F511" s="30" t="s">
        <v>233</v>
      </c>
      <c r="G511" s="89">
        <f>DATE(2008,7,1)</f>
        <v>39630</v>
      </c>
      <c r="H511" s="90">
        <v>1.6749999999999998</v>
      </c>
      <c r="I511" s="30" t="s">
        <v>116</v>
      </c>
      <c r="J511" s="89" t="s">
        <v>3019</v>
      </c>
      <c r="K511" s="30" t="s">
        <v>235</v>
      </c>
      <c r="L511" s="30" t="s">
        <v>3020</v>
      </c>
      <c r="M511" s="30" t="s">
        <v>63</v>
      </c>
      <c r="N511" s="30">
        <v>0</v>
      </c>
      <c r="O511" s="30" t="s">
        <v>64</v>
      </c>
      <c r="P511" s="89" t="s">
        <v>165</v>
      </c>
      <c r="Q511" s="89" t="s">
        <v>246</v>
      </c>
      <c r="R511" s="89" t="s">
        <v>238</v>
      </c>
      <c r="S511" s="30">
        <v>0</v>
      </c>
      <c r="T511" s="233" t="s">
        <v>68</v>
      </c>
      <c r="U511" s="30">
        <v>0</v>
      </c>
      <c r="V511" s="233" t="s">
        <v>68</v>
      </c>
      <c r="W511" s="30">
        <v>0</v>
      </c>
      <c r="X511" s="30">
        <v>0</v>
      </c>
      <c r="Y511" s="30">
        <v>0</v>
      </c>
      <c r="Z511" s="233" t="s">
        <v>68</v>
      </c>
      <c r="AA511" s="30">
        <v>0</v>
      </c>
      <c r="AB511" s="30">
        <v>0</v>
      </c>
      <c r="AC511" s="30">
        <v>0</v>
      </c>
      <c r="AD511" s="30">
        <v>0</v>
      </c>
      <c r="AE511" s="89" t="s">
        <v>68</v>
      </c>
      <c r="AF511" s="89"/>
      <c r="AG511" s="89" t="s">
        <v>133</v>
      </c>
      <c r="AH511" s="72" t="s">
        <v>68</v>
      </c>
      <c r="AI511" s="30">
        <v>2</v>
      </c>
      <c r="AJ511" s="89" t="s">
        <v>3021</v>
      </c>
      <c r="AK511" s="89" t="s">
        <v>3022</v>
      </c>
      <c r="AL511" s="91">
        <v>39682</v>
      </c>
      <c r="AM511" s="91"/>
      <c r="AN511" s="91"/>
      <c r="AO511" s="91"/>
      <c r="AP511" s="73" t="e">
        <f>MID(VLOOKUP(K511,#REF!,2,FALSE),1,2)</f>
        <v>#REF!</v>
      </c>
      <c r="AQ511" s="89">
        <f>DATE(2008,7,1)</f>
        <v>39630</v>
      </c>
      <c r="AR511" s="82">
        <f t="shared" si="34"/>
        <v>1</v>
      </c>
      <c r="AS511" s="83">
        <f t="shared" si="35"/>
        <v>7</v>
      </c>
      <c r="AT511" s="84">
        <f t="shared" si="36"/>
        <v>2008</v>
      </c>
      <c r="AU511" s="86"/>
      <c r="AV511" s="86"/>
      <c r="AW511" s="87"/>
      <c r="AX511" s="86"/>
      <c r="AY511" s="83"/>
      <c r="AZ511" s="84"/>
      <c r="BA511" s="86"/>
      <c r="BB511" s="86"/>
    </row>
    <row r="512" spans="1:54" ht="36.75" customHeight="1">
      <c r="A512" s="30"/>
      <c r="B512" s="30" t="s">
        <v>55</v>
      </c>
      <c r="C512" s="69" t="str">
        <f t="shared" si="33"/>
        <v>Closed</v>
      </c>
      <c r="D512" s="27" t="s">
        <v>3023</v>
      </c>
      <c r="E512" s="29" t="s">
        <v>3024</v>
      </c>
      <c r="F512" s="30" t="s">
        <v>1770</v>
      </c>
      <c r="G512" s="89">
        <f>DATE(2008,7,3)</f>
        <v>39632</v>
      </c>
      <c r="H512" s="90">
        <v>1.2833333333333332</v>
      </c>
      <c r="I512" s="30" t="s">
        <v>198</v>
      </c>
      <c r="J512" s="89" t="s">
        <v>3025</v>
      </c>
      <c r="K512" s="30" t="s">
        <v>1772</v>
      </c>
      <c r="L512" s="30" t="s">
        <v>3026</v>
      </c>
      <c r="M512" s="30" t="s">
        <v>63</v>
      </c>
      <c r="N512" s="30" t="s">
        <v>142</v>
      </c>
      <c r="O512" s="30" t="s">
        <v>64</v>
      </c>
      <c r="P512" s="89" t="s">
        <v>216</v>
      </c>
      <c r="Q512" s="89" t="s">
        <v>1774</v>
      </c>
      <c r="R512" s="89" t="s">
        <v>1775</v>
      </c>
      <c r="S512" s="30">
        <v>0</v>
      </c>
      <c r="T512" s="233">
        <v>0</v>
      </c>
      <c r="U512" s="30">
        <v>0</v>
      </c>
      <c r="V512" s="233">
        <v>0</v>
      </c>
      <c r="W512" s="30">
        <v>0</v>
      </c>
      <c r="X512" s="30">
        <v>0</v>
      </c>
      <c r="Y512" s="30">
        <v>2</v>
      </c>
      <c r="Z512" s="233">
        <v>0</v>
      </c>
      <c r="AA512" s="30">
        <v>0</v>
      </c>
      <c r="AB512" s="30">
        <v>0</v>
      </c>
      <c r="AC512" s="30">
        <v>0</v>
      </c>
      <c r="AD512" s="30">
        <v>2</v>
      </c>
      <c r="AE512" s="89" t="s">
        <v>92</v>
      </c>
      <c r="AF512" s="89"/>
      <c r="AG512" s="89" t="s">
        <v>874</v>
      </c>
      <c r="AH512" s="72">
        <v>39633</v>
      </c>
      <c r="AI512" s="30">
        <v>4</v>
      </c>
      <c r="AJ512" s="89" t="s">
        <v>3027</v>
      </c>
      <c r="AK512" s="89" t="s">
        <v>3028</v>
      </c>
      <c r="AL512" s="91">
        <v>39713</v>
      </c>
      <c r="AM512" s="91"/>
      <c r="AN512" s="91"/>
      <c r="AO512" s="91"/>
      <c r="AP512" s="73" t="e">
        <f>MID(VLOOKUP(K512,#REF!,2,FALSE),1,2)</f>
        <v>#REF!</v>
      </c>
      <c r="AQ512" s="89">
        <f>DATE(2008,7,3)</f>
        <v>39632</v>
      </c>
      <c r="AR512" s="82">
        <f t="shared" si="34"/>
        <v>3</v>
      </c>
      <c r="AS512" s="83">
        <f t="shared" si="35"/>
        <v>7</v>
      </c>
      <c r="AT512" s="84">
        <f t="shared" si="36"/>
        <v>2008</v>
      </c>
      <c r="AU512" s="86"/>
      <c r="AV512" s="86"/>
      <c r="AW512" s="87"/>
      <c r="AX512" s="86"/>
      <c r="AY512" s="83"/>
      <c r="AZ512" s="84"/>
      <c r="BA512" s="86"/>
      <c r="BB512" s="86"/>
    </row>
    <row r="513" spans="1:54" ht="36.75" customHeight="1">
      <c r="A513" s="30"/>
      <c r="B513" s="30" t="s">
        <v>55</v>
      </c>
      <c r="C513" s="69" t="str">
        <f t="shared" si="33"/>
        <v>Closed</v>
      </c>
      <c r="D513" s="27" t="s">
        <v>3029</v>
      </c>
      <c r="E513" s="29" t="s">
        <v>3030</v>
      </c>
      <c r="F513" s="30" t="s">
        <v>638</v>
      </c>
      <c r="G513" s="89">
        <f>DATE(2008,7,4)</f>
        <v>39633</v>
      </c>
      <c r="H513" s="90">
        <v>1.9159722222222224</v>
      </c>
      <c r="I513" s="30" t="s">
        <v>86</v>
      </c>
      <c r="J513" s="89" t="s">
        <v>3031</v>
      </c>
      <c r="K513" s="30" t="s">
        <v>640</v>
      </c>
      <c r="L513" s="30" t="s">
        <v>3032</v>
      </c>
      <c r="M513" s="30" t="s">
        <v>63</v>
      </c>
      <c r="N513" s="30">
        <v>0</v>
      </c>
      <c r="O513" s="30" t="s">
        <v>77</v>
      </c>
      <c r="P513" s="89" t="s">
        <v>216</v>
      </c>
      <c r="Q513" s="89" t="s">
        <v>3033</v>
      </c>
      <c r="R513" s="89" t="s">
        <v>643</v>
      </c>
      <c r="S513" s="30">
        <v>0</v>
      </c>
      <c r="T513" s="233" t="s">
        <v>68</v>
      </c>
      <c r="U513" s="30">
        <v>0</v>
      </c>
      <c r="V513" s="233" t="s">
        <v>68</v>
      </c>
      <c r="W513" s="30">
        <v>0</v>
      </c>
      <c r="X513" s="30">
        <v>0</v>
      </c>
      <c r="Y513" s="30">
        <v>0</v>
      </c>
      <c r="Z513" s="233" t="s">
        <v>68</v>
      </c>
      <c r="AA513" s="30">
        <v>0</v>
      </c>
      <c r="AB513" s="30">
        <v>0</v>
      </c>
      <c r="AC513" s="30">
        <v>0</v>
      </c>
      <c r="AD513" s="30">
        <v>0</v>
      </c>
      <c r="AE513" s="89" t="s">
        <v>68</v>
      </c>
      <c r="AF513" s="89"/>
      <c r="AG513" s="89" t="s">
        <v>395</v>
      </c>
      <c r="AH513" s="72" t="s">
        <v>68</v>
      </c>
      <c r="AI513" s="30">
        <v>3</v>
      </c>
      <c r="AJ513" s="89" t="s">
        <v>3034</v>
      </c>
      <c r="AK513" s="89" t="s">
        <v>3035</v>
      </c>
      <c r="AL513" s="91">
        <v>39923</v>
      </c>
      <c r="AM513" s="91"/>
      <c r="AN513" s="91"/>
      <c r="AO513" s="91"/>
      <c r="AP513" s="73" t="e">
        <f>MID(VLOOKUP(K513,#REF!,2,FALSE),1,2)</f>
        <v>#REF!</v>
      </c>
      <c r="AQ513" s="89">
        <f>DATE(2008,7,4)</f>
        <v>39633</v>
      </c>
      <c r="AR513" s="82">
        <f t="shared" si="34"/>
        <v>4</v>
      </c>
      <c r="AS513" s="83">
        <f t="shared" si="35"/>
        <v>7</v>
      </c>
      <c r="AT513" s="84">
        <f t="shared" si="36"/>
        <v>2008</v>
      </c>
      <c r="AU513" s="86"/>
      <c r="AV513" s="86"/>
      <c r="AW513" s="87"/>
      <c r="AX513" s="86"/>
      <c r="AY513" s="83"/>
      <c r="AZ513" s="84"/>
      <c r="BA513" s="86"/>
      <c r="BB513" s="86"/>
    </row>
    <row r="514" spans="1:54" ht="36.75" customHeight="1">
      <c r="A514" s="30"/>
      <c r="B514" s="30" t="s">
        <v>55</v>
      </c>
      <c r="C514" s="69" t="str">
        <f t="shared" ref="C514:C577" si="37">IF(B514="Notification","Open",IF(B514="Interim Statement","In progress","Closed"))</f>
        <v>Closed</v>
      </c>
      <c r="D514" s="27" t="s">
        <v>3036</v>
      </c>
      <c r="E514" s="29" t="s">
        <v>3037</v>
      </c>
      <c r="F514" s="30" t="s">
        <v>638</v>
      </c>
      <c r="G514" s="89">
        <f>DATE(2008,7,5)</f>
        <v>39634</v>
      </c>
      <c r="H514" s="90">
        <v>1.4972222222222222</v>
      </c>
      <c r="I514" s="30" t="s">
        <v>73</v>
      </c>
      <c r="J514" s="89" t="s">
        <v>3038</v>
      </c>
      <c r="K514" s="30" t="s">
        <v>640</v>
      </c>
      <c r="L514" s="30" t="s">
        <v>3039</v>
      </c>
      <c r="M514" s="30" t="s">
        <v>63</v>
      </c>
      <c r="N514" s="30">
        <v>0</v>
      </c>
      <c r="O514" s="30" t="s">
        <v>77</v>
      </c>
      <c r="P514" s="89" t="s">
        <v>65</v>
      </c>
      <c r="Q514" s="89" t="s">
        <v>642</v>
      </c>
      <c r="R514" s="89" t="s">
        <v>643</v>
      </c>
      <c r="S514" s="30">
        <v>0</v>
      </c>
      <c r="T514" s="233" t="s">
        <v>68</v>
      </c>
      <c r="U514" s="30">
        <v>0</v>
      </c>
      <c r="V514" s="233" t="s">
        <v>68</v>
      </c>
      <c r="W514" s="30">
        <v>0</v>
      </c>
      <c r="X514" s="30">
        <v>0</v>
      </c>
      <c r="Y514" s="30">
        <v>0</v>
      </c>
      <c r="Z514" s="233" t="s">
        <v>68</v>
      </c>
      <c r="AA514" s="30">
        <v>0</v>
      </c>
      <c r="AB514" s="30">
        <v>0</v>
      </c>
      <c r="AC514" s="30">
        <v>0</v>
      </c>
      <c r="AD514" s="30">
        <v>0</v>
      </c>
      <c r="AE514" s="89" t="s">
        <v>68</v>
      </c>
      <c r="AF514" s="89"/>
      <c r="AG514" s="89" t="s">
        <v>352</v>
      </c>
      <c r="AH514" s="72" t="s">
        <v>68</v>
      </c>
      <c r="AI514" s="30">
        <v>1</v>
      </c>
      <c r="AJ514" s="89" t="s">
        <v>68</v>
      </c>
      <c r="AK514" s="89" t="s">
        <v>68</v>
      </c>
      <c r="AL514" s="91">
        <v>39777</v>
      </c>
      <c r="AM514" s="91"/>
      <c r="AN514" s="91"/>
      <c r="AO514" s="91"/>
      <c r="AP514" s="73" t="e">
        <f>MID(VLOOKUP(K514,#REF!,2,FALSE),1,2)</f>
        <v>#REF!</v>
      </c>
      <c r="AQ514" s="89">
        <f>DATE(2008,7,5)</f>
        <v>39634</v>
      </c>
      <c r="AR514" s="82">
        <f t="shared" ref="AR514:AR577" si="38">DAY(AQ514)</f>
        <v>5</v>
      </c>
      <c r="AS514" s="83">
        <f t="shared" ref="AS514:AS577" si="39">MONTH(AQ514)</f>
        <v>7</v>
      </c>
      <c r="AT514" s="84">
        <f t="shared" ref="AT514:AT577" si="40">YEAR(AQ514)</f>
        <v>2008</v>
      </c>
      <c r="AU514" s="86"/>
      <c r="AV514" s="86"/>
      <c r="AW514" s="87"/>
      <c r="AX514" s="86"/>
      <c r="AY514" s="83"/>
      <c r="AZ514" s="84"/>
      <c r="BA514" s="86"/>
      <c r="BB514" s="86"/>
    </row>
    <row r="515" spans="1:54" ht="36.75" customHeight="1">
      <c r="A515" s="30"/>
      <c r="B515" s="30" t="s">
        <v>55</v>
      </c>
      <c r="C515" s="69" t="str">
        <f t="shared" si="37"/>
        <v>Closed</v>
      </c>
      <c r="D515" s="27" t="s">
        <v>3040</v>
      </c>
      <c r="E515" s="29" t="s">
        <v>3041</v>
      </c>
      <c r="F515" s="30" t="s">
        <v>58</v>
      </c>
      <c r="G515" s="89">
        <f>DATE(2008,7,7)</f>
        <v>39636</v>
      </c>
      <c r="H515" s="90">
        <v>1.9451388888888888</v>
      </c>
      <c r="I515" s="30" t="s">
        <v>116</v>
      </c>
      <c r="J515" s="89" t="s">
        <v>3042</v>
      </c>
      <c r="K515" s="30" t="s">
        <v>61</v>
      </c>
      <c r="L515" s="30" t="s">
        <v>3043</v>
      </c>
      <c r="M515" s="30" t="s">
        <v>63</v>
      </c>
      <c r="N515" s="30" t="s">
        <v>99</v>
      </c>
      <c r="O515" s="30" t="s">
        <v>64</v>
      </c>
      <c r="P515" s="89" t="s">
        <v>381</v>
      </c>
      <c r="Q515" s="89" t="s">
        <v>66</v>
      </c>
      <c r="R515" s="89" t="s">
        <v>67</v>
      </c>
      <c r="S515" s="30">
        <v>0</v>
      </c>
      <c r="T515" s="233">
        <v>0</v>
      </c>
      <c r="U515" s="30">
        <v>1</v>
      </c>
      <c r="V515" s="233">
        <v>0</v>
      </c>
      <c r="W515" s="30">
        <v>0</v>
      </c>
      <c r="X515" s="30">
        <v>1</v>
      </c>
      <c r="Y515" s="30">
        <v>0</v>
      </c>
      <c r="Z515" s="233">
        <v>0</v>
      </c>
      <c r="AA515" s="30">
        <v>0</v>
      </c>
      <c r="AB515" s="30">
        <v>0</v>
      </c>
      <c r="AC515" s="30">
        <v>0</v>
      </c>
      <c r="AD515" s="30">
        <v>0</v>
      </c>
      <c r="AE515" s="89" t="s">
        <v>92</v>
      </c>
      <c r="AF515" s="89"/>
      <c r="AG515" s="89" t="s">
        <v>82</v>
      </c>
      <c r="AH515" s="72">
        <v>39638</v>
      </c>
      <c r="AI515" s="30">
        <v>2</v>
      </c>
      <c r="AJ515" s="89" t="s">
        <v>3044</v>
      </c>
      <c r="AK515" s="89" t="s">
        <v>3045</v>
      </c>
      <c r="AL515" s="91">
        <v>39643</v>
      </c>
      <c r="AM515" s="91"/>
      <c r="AN515" s="91"/>
      <c r="AO515" s="91"/>
      <c r="AP515" s="73" t="e">
        <f>MID(VLOOKUP(K515,#REF!,2,FALSE),1,2)</f>
        <v>#REF!</v>
      </c>
      <c r="AQ515" s="89">
        <f>DATE(2008,7,7)</f>
        <v>39636</v>
      </c>
      <c r="AR515" s="82">
        <f t="shared" si="38"/>
        <v>7</v>
      </c>
      <c r="AS515" s="83">
        <f t="shared" si="39"/>
        <v>7</v>
      </c>
      <c r="AT515" s="84">
        <f t="shared" si="40"/>
        <v>2008</v>
      </c>
      <c r="AU515" s="86"/>
      <c r="AV515" s="86"/>
      <c r="AW515" s="87"/>
      <c r="AX515" s="86"/>
      <c r="AY515" s="83"/>
      <c r="AZ515" s="84"/>
      <c r="BA515" s="86"/>
      <c r="BB515" s="86"/>
    </row>
    <row r="516" spans="1:54" ht="36.75" customHeight="1">
      <c r="A516" s="30"/>
      <c r="B516" s="30" t="s">
        <v>55</v>
      </c>
      <c r="C516" s="69" t="str">
        <f t="shared" si="37"/>
        <v>Closed</v>
      </c>
      <c r="D516" s="27" t="s">
        <v>3046</v>
      </c>
      <c r="E516" s="29" t="s">
        <v>3047</v>
      </c>
      <c r="F516" s="30" t="s">
        <v>115</v>
      </c>
      <c r="G516" s="89">
        <f>DATE(2008,7,7)</f>
        <v>39636</v>
      </c>
      <c r="H516" s="90">
        <v>1.4270833333333333</v>
      </c>
      <c r="I516" s="30" t="s">
        <v>116</v>
      </c>
      <c r="J516" s="89" t="s">
        <v>3048</v>
      </c>
      <c r="K516" s="30" t="s">
        <v>118</v>
      </c>
      <c r="L516" s="30" t="s">
        <v>3049</v>
      </c>
      <c r="M516" s="30" t="s">
        <v>63</v>
      </c>
      <c r="N516" s="30">
        <v>0</v>
      </c>
      <c r="O516" s="30" t="s">
        <v>64</v>
      </c>
      <c r="P516" s="89" t="s">
        <v>216</v>
      </c>
      <c r="Q516" s="89" t="s">
        <v>3050</v>
      </c>
      <c r="R516" s="89" t="s">
        <v>121</v>
      </c>
      <c r="S516" s="30">
        <v>0</v>
      </c>
      <c r="T516" s="233" t="s">
        <v>68</v>
      </c>
      <c r="U516" s="30">
        <v>0</v>
      </c>
      <c r="V516" s="233" t="s">
        <v>68</v>
      </c>
      <c r="W516" s="30">
        <v>0</v>
      </c>
      <c r="X516" s="30">
        <v>0</v>
      </c>
      <c r="Y516" s="30">
        <v>0</v>
      </c>
      <c r="Z516" s="233" t="s">
        <v>68</v>
      </c>
      <c r="AA516" s="30">
        <v>0</v>
      </c>
      <c r="AB516" s="30">
        <v>0</v>
      </c>
      <c r="AC516" s="30">
        <v>0</v>
      </c>
      <c r="AD516" s="30">
        <v>0</v>
      </c>
      <c r="AE516" s="89" t="s">
        <v>68</v>
      </c>
      <c r="AF516" s="89"/>
      <c r="AG516" s="89" t="s">
        <v>395</v>
      </c>
      <c r="AH516" s="72" t="s">
        <v>68</v>
      </c>
      <c r="AI516" s="30">
        <v>2</v>
      </c>
      <c r="AJ516" s="89" t="s">
        <v>3051</v>
      </c>
      <c r="AK516" s="89" t="s">
        <v>68</v>
      </c>
      <c r="AL516" s="91">
        <v>39646</v>
      </c>
      <c r="AM516" s="91"/>
      <c r="AN516" s="91"/>
      <c r="AO516" s="91"/>
      <c r="AP516" s="73" t="e">
        <f>MID(VLOOKUP(K516,#REF!,2,FALSE),1,2)</f>
        <v>#REF!</v>
      </c>
      <c r="AQ516" s="89">
        <f>DATE(2008,7,7)</f>
        <v>39636</v>
      </c>
      <c r="AR516" s="82">
        <f t="shared" si="38"/>
        <v>7</v>
      </c>
      <c r="AS516" s="83">
        <f t="shared" si="39"/>
        <v>7</v>
      </c>
      <c r="AT516" s="84">
        <f t="shared" si="40"/>
        <v>2008</v>
      </c>
      <c r="AU516" s="86"/>
      <c r="AV516" s="86"/>
      <c r="AW516" s="87"/>
      <c r="AX516" s="86"/>
      <c r="AY516" s="83"/>
      <c r="AZ516" s="84"/>
      <c r="BA516" s="86"/>
      <c r="BB516" s="86"/>
    </row>
    <row r="517" spans="1:54" ht="36.75" customHeight="1">
      <c r="A517" s="30"/>
      <c r="B517" s="30" t="s">
        <v>55</v>
      </c>
      <c r="C517" s="69" t="str">
        <f t="shared" si="37"/>
        <v>Closed</v>
      </c>
      <c r="D517" s="27" t="s">
        <v>3052</v>
      </c>
      <c r="E517" s="29" t="s">
        <v>3053</v>
      </c>
      <c r="F517" s="30" t="s">
        <v>582</v>
      </c>
      <c r="G517" s="89">
        <f>DATE(2008,7,9)</f>
        <v>39638</v>
      </c>
      <c r="H517" s="90">
        <v>1.6749999999999998</v>
      </c>
      <c r="I517" s="30" t="s">
        <v>73</v>
      </c>
      <c r="J517" s="89" t="s">
        <v>3054</v>
      </c>
      <c r="K517" s="30" t="s">
        <v>584</v>
      </c>
      <c r="L517" s="30" t="s">
        <v>3055</v>
      </c>
      <c r="M517" s="30" t="s">
        <v>63</v>
      </c>
      <c r="N517" s="30" t="s">
        <v>142</v>
      </c>
      <c r="O517" s="30" t="s">
        <v>77</v>
      </c>
      <c r="P517" s="89" t="s">
        <v>462</v>
      </c>
      <c r="Q517" s="89" t="s">
        <v>2021</v>
      </c>
      <c r="R517" s="89" t="s">
        <v>587</v>
      </c>
      <c r="S517" s="30">
        <v>0</v>
      </c>
      <c r="T517" s="233">
        <v>0</v>
      </c>
      <c r="U517" s="30">
        <v>0</v>
      </c>
      <c r="V517" s="233">
        <v>0</v>
      </c>
      <c r="W517" s="30">
        <v>0</v>
      </c>
      <c r="X517" s="30">
        <v>0</v>
      </c>
      <c r="Y517" s="30">
        <v>0</v>
      </c>
      <c r="Z517" s="233">
        <v>0</v>
      </c>
      <c r="AA517" s="30">
        <v>0</v>
      </c>
      <c r="AB517" s="30">
        <v>0</v>
      </c>
      <c r="AC517" s="30">
        <v>0</v>
      </c>
      <c r="AD517" s="30">
        <v>0</v>
      </c>
      <c r="AE517" s="89" t="s">
        <v>394</v>
      </c>
      <c r="AF517" s="89"/>
      <c r="AG517" s="89" t="s">
        <v>133</v>
      </c>
      <c r="AH517" s="72">
        <v>39665</v>
      </c>
      <c r="AI517" s="30">
        <v>1</v>
      </c>
      <c r="AJ517" s="89" t="s">
        <v>3056</v>
      </c>
      <c r="AK517" s="89" t="s">
        <v>1233</v>
      </c>
      <c r="AL517" s="91">
        <v>39665</v>
      </c>
      <c r="AM517" s="91"/>
      <c r="AN517" s="91"/>
      <c r="AO517" s="91"/>
      <c r="AP517" s="73" t="e">
        <f>MID(VLOOKUP(K517,#REF!,2,FALSE),1,2)</f>
        <v>#REF!</v>
      </c>
      <c r="AQ517" s="89">
        <f>DATE(2008,7,9)</f>
        <v>39638</v>
      </c>
      <c r="AR517" s="82">
        <f t="shared" si="38"/>
        <v>9</v>
      </c>
      <c r="AS517" s="83">
        <f t="shared" si="39"/>
        <v>7</v>
      </c>
      <c r="AT517" s="84">
        <f t="shared" si="40"/>
        <v>2008</v>
      </c>
      <c r="AU517" s="86"/>
      <c r="AV517" s="86"/>
      <c r="AW517" s="87"/>
      <c r="AX517" s="86"/>
      <c r="AY517" s="83"/>
      <c r="AZ517" s="84"/>
      <c r="BA517" s="86"/>
      <c r="BB517" s="86"/>
    </row>
    <row r="518" spans="1:54" ht="36.75" customHeight="1">
      <c r="A518" s="30"/>
      <c r="B518" s="30" t="s">
        <v>55</v>
      </c>
      <c r="C518" s="69" t="str">
        <f t="shared" si="37"/>
        <v>Closed</v>
      </c>
      <c r="D518" s="27" t="s">
        <v>3057</v>
      </c>
      <c r="E518" s="29" t="s">
        <v>3058</v>
      </c>
      <c r="F518" s="30" t="s">
        <v>835</v>
      </c>
      <c r="G518" s="89">
        <f>DATE(2008,7,14)</f>
        <v>39643</v>
      </c>
      <c r="H518" s="90">
        <v>1.8854166666666665</v>
      </c>
      <c r="I518" s="30" t="s">
        <v>278</v>
      </c>
      <c r="J518" s="89" t="s">
        <v>3059</v>
      </c>
      <c r="K518" s="30" t="s">
        <v>837</v>
      </c>
      <c r="L518" s="30" t="s">
        <v>3060</v>
      </c>
      <c r="M518" s="30" t="s">
        <v>63</v>
      </c>
      <c r="N518" s="30">
        <v>0</v>
      </c>
      <c r="O518" s="30" t="s">
        <v>77</v>
      </c>
      <c r="P518" s="89" t="s">
        <v>91</v>
      </c>
      <c r="Q518" s="89" t="s">
        <v>3061</v>
      </c>
      <c r="R518" s="89" t="s">
        <v>840</v>
      </c>
      <c r="S518" s="30">
        <v>0</v>
      </c>
      <c r="T518" s="233">
        <v>1</v>
      </c>
      <c r="U518" s="30">
        <v>0</v>
      </c>
      <c r="V518" s="233">
        <v>0</v>
      </c>
      <c r="W518" s="30">
        <v>0</v>
      </c>
      <c r="X518" s="30">
        <v>1</v>
      </c>
      <c r="Y518" s="30">
        <v>0</v>
      </c>
      <c r="Z518" s="233">
        <v>1</v>
      </c>
      <c r="AA518" s="30">
        <v>0</v>
      </c>
      <c r="AB518" s="30">
        <v>0</v>
      </c>
      <c r="AC518" s="30">
        <v>0</v>
      </c>
      <c r="AD518" s="30">
        <v>1</v>
      </c>
      <c r="AE518" s="89" t="s">
        <v>68</v>
      </c>
      <c r="AF518" s="89"/>
      <c r="AG518" s="89" t="s">
        <v>352</v>
      </c>
      <c r="AH518" s="72" t="s">
        <v>68</v>
      </c>
      <c r="AI518" s="30">
        <v>3</v>
      </c>
      <c r="AJ518" s="89" t="s">
        <v>68</v>
      </c>
      <c r="AK518" s="89" t="s">
        <v>68</v>
      </c>
      <c r="AL518" s="91">
        <v>39953</v>
      </c>
      <c r="AM518" s="91"/>
      <c r="AN518" s="91"/>
      <c r="AO518" s="91"/>
      <c r="AP518" s="73" t="e">
        <f>MID(VLOOKUP(K518,#REF!,2,FALSE),1,2)</f>
        <v>#REF!</v>
      </c>
      <c r="AQ518" s="89">
        <f>DATE(2008,7,14)</f>
        <v>39643</v>
      </c>
      <c r="AR518" s="82">
        <f t="shared" si="38"/>
        <v>14</v>
      </c>
      <c r="AS518" s="83">
        <f t="shared" si="39"/>
        <v>7</v>
      </c>
      <c r="AT518" s="84">
        <f t="shared" si="40"/>
        <v>2008</v>
      </c>
      <c r="AU518" s="86"/>
      <c r="AV518" s="86"/>
      <c r="AW518" s="87"/>
      <c r="AX518" s="86"/>
      <c r="AY518" s="83"/>
      <c r="AZ518" s="84"/>
      <c r="BA518" s="86"/>
      <c r="BB518" s="86"/>
    </row>
    <row r="519" spans="1:54" ht="36.75" customHeight="1">
      <c r="A519" s="30"/>
      <c r="B519" s="30" t="s">
        <v>55</v>
      </c>
      <c r="C519" s="69" t="str">
        <f t="shared" si="37"/>
        <v>Closed</v>
      </c>
      <c r="D519" s="27" t="s">
        <v>3062</v>
      </c>
      <c r="E519" s="29" t="s">
        <v>3063</v>
      </c>
      <c r="F519" s="30" t="s">
        <v>638</v>
      </c>
      <c r="G519" s="89">
        <f>DATE(2008,7,16)</f>
        <v>39645</v>
      </c>
      <c r="H519" s="90">
        <v>1.5229166666666667</v>
      </c>
      <c r="I519" s="30" t="s">
        <v>278</v>
      </c>
      <c r="J519" s="89" t="s">
        <v>3064</v>
      </c>
      <c r="K519" s="30" t="s">
        <v>640</v>
      </c>
      <c r="L519" s="30" t="s">
        <v>3065</v>
      </c>
      <c r="M519" s="30" t="s">
        <v>63</v>
      </c>
      <c r="N519" s="30">
        <v>0</v>
      </c>
      <c r="O519" s="30" t="s">
        <v>64</v>
      </c>
      <c r="P519" s="89" t="s">
        <v>65</v>
      </c>
      <c r="Q519" s="89" t="s">
        <v>642</v>
      </c>
      <c r="R519" s="89" t="s">
        <v>643</v>
      </c>
      <c r="S519" s="30">
        <v>0</v>
      </c>
      <c r="T519" s="233">
        <v>0</v>
      </c>
      <c r="U519" s="30">
        <v>0</v>
      </c>
      <c r="V519" s="233">
        <v>1</v>
      </c>
      <c r="W519" s="30">
        <v>0</v>
      </c>
      <c r="X519" s="30">
        <v>1</v>
      </c>
      <c r="Y519" s="30">
        <v>0</v>
      </c>
      <c r="Z519" s="233">
        <v>0</v>
      </c>
      <c r="AA519" s="30">
        <v>0</v>
      </c>
      <c r="AB519" s="30">
        <v>0</v>
      </c>
      <c r="AC519" s="30">
        <v>0</v>
      </c>
      <c r="AD519" s="30">
        <v>0</v>
      </c>
      <c r="AE519" s="89" t="s">
        <v>68</v>
      </c>
      <c r="AF519" s="89"/>
      <c r="AG519" s="89" t="s">
        <v>248</v>
      </c>
      <c r="AH519" s="72" t="s">
        <v>68</v>
      </c>
      <c r="AI519" s="30">
        <v>1</v>
      </c>
      <c r="AJ519" s="89" t="s">
        <v>68</v>
      </c>
      <c r="AK519" s="89" t="s">
        <v>68</v>
      </c>
      <c r="AL519" s="91">
        <v>39770</v>
      </c>
      <c r="AM519" s="91"/>
      <c r="AN519" s="91"/>
      <c r="AO519" s="91"/>
      <c r="AP519" s="73" t="e">
        <f>MID(VLOOKUP(K519,#REF!,2,FALSE),1,2)</f>
        <v>#REF!</v>
      </c>
      <c r="AQ519" s="89">
        <f>DATE(2008,7,16)</f>
        <v>39645</v>
      </c>
      <c r="AR519" s="82">
        <f t="shared" si="38"/>
        <v>16</v>
      </c>
      <c r="AS519" s="83">
        <f t="shared" si="39"/>
        <v>7</v>
      </c>
      <c r="AT519" s="84">
        <f t="shared" si="40"/>
        <v>2008</v>
      </c>
      <c r="AU519" s="86"/>
      <c r="AV519" s="86"/>
      <c r="AW519" s="87"/>
      <c r="AX519" s="86"/>
      <c r="AY519" s="83"/>
      <c r="AZ519" s="84"/>
      <c r="BA519" s="86"/>
      <c r="BB519" s="86"/>
    </row>
    <row r="520" spans="1:54" ht="36.75" customHeight="1">
      <c r="A520" s="30"/>
      <c r="B520" s="30" t="s">
        <v>55</v>
      </c>
      <c r="C520" s="69" t="str">
        <f t="shared" si="37"/>
        <v>Closed</v>
      </c>
      <c r="D520" s="27" t="s">
        <v>3066</v>
      </c>
      <c r="E520" s="29" t="s">
        <v>3067</v>
      </c>
      <c r="F520" s="30" t="s">
        <v>835</v>
      </c>
      <c r="G520" s="89">
        <f>DATE(2008,7,22)</f>
        <v>39651</v>
      </c>
      <c r="H520" s="90">
        <v>1.65625</v>
      </c>
      <c r="I520" s="30" t="s">
        <v>73</v>
      </c>
      <c r="J520" s="89" t="s">
        <v>3068</v>
      </c>
      <c r="K520" s="30" t="s">
        <v>837</v>
      </c>
      <c r="L520" s="30" t="s">
        <v>3069</v>
      </c>
      <c r="M520" s="30" t="s">
        <v>63</v>
      </c>
      <c r="N520" s="30">
        <v>0</v>
      </c>
      <c r="O520" s="30" t="s">
        <v>77</v>
      </c>
      <c r="P520" s="89" t="s">
        <v>78</v>
      </c>
      <c r="Q520" s="89" t="s">
        <v>1349</v>
      </c>
      <c r="R520" s="89" t="s">
        <v>840</v>
      </c>
      <c r="S520" s="30">
        <v>0</v>
      </c>
      <c r="T520" s="233" t="s">
        <v>68</v>
      </c>
      <c r="U520" s="30">
        <v>0</v>
      </c>
      <c r="V520" s="233" t="s">
        <v>68</v>
      </c>
      <c r="W520" s="30">
        <v>0</v>
      </c>
      <c r="X520" s="30">
        <v>0</v>
      </c>
      <c r="Y520" s="30">
        <v>0</v>
      </c>
      <c r="Z520" s="233" t="s">
        <v>68</v>
      </c>
      <c r="AA520" s="30">
        <v>0</v>
      </c>
      <c r="AB520" s="30">
        <v>0</v>
      </c>
      <c r="AC520" s="30">
        <v>0</v>
      </c>
      <c r="AD520" s="30">
        <v>0</v>
      </c>
      <c r="AE520" s="89" t="s">
        <v>68</v>
      </c>
      <c r="AF520" s="89"/>
      <c r="AG520" s="89" t="s">
        <v>352</v>
      </c>
      <c r="AH520" s="72" t="s">
        <v>68</v>
      </c>
      <c r="AI520" s="30">
        <v>3</v>
      </c>
      <c r="AJ520" s="89" t="s">
        <v>68</v>
      </c>
      <c r="AK520" s="89" t="s">
        <v>68</v>
      </c>
      <c r="AL520" s="91">
        <v>39953</v>
      </c>
      <c r="AM520" s="91"/>
      <c r="AN520" s="91"/>
      <c r="AO520" s="91"/>
      <c r="AP520" s="73" t="e">
        <f>MID(VLOOKUP(K520,#REF!,2,FALSE),1,2)</f>
        <v>#REF!</v>
      </c>
      <c r="AQ520" s="89">
        <f>DATE(2008,7,22)</f>
        <v>39651</v>
      </c>
      <c r="AR520" s="82">
        <f t="shared" si="38"/>
        <v>22</v>
      </c>
      <c r="AS520" s="83">
        <f t="shared" si="39"/>
        <v>7</v>
      </c>
      <c r="AT520" s="84">
        <f t="shared" si="40"/>
        <v>2008</v>
      </c>
      <c r="AU520" s="86"/>
      <c r="AV520" s="86"/>
      <c r="AW520" s="87"/>
      <c r="AX520" s="86"/>
      <c r="AY520" s="83"/>
      <c r="AZ520" s="84"/>
      <c r="BA520" s="86"/>
      <c r="BB520" s="86"/>
    </row>
    <row r="521" spans="1:54" ht="36.75" customHeight="1">
      <c r="A521" s="30"/>
      <c r="B521" s="30" t="s">
        <v>55</v>
      </c>
      <c r="C521" s="69" t="str">
        <f t="shared" si="37"/>
        <v>Closed</v>
      </c>
      <c r="D521" s="27" t="s">
        <v>3070</v>
      </c>
      <c r="E521" s="29" t="s">
        <v>3071</v>
      </c>
      <c r="F521" s="30" t="s">
        <v>124</v>
      </c>
      <c r="G521" s="89">
        <f>DATE(2008,7,25)</f>
        <v>39654</v>
      </c>
      <c r="H521" s="90">
        <v>1.5972222222222223</v>
      </c>
      <c r="I521" s="30" t="s">
        <v>73</v>
      </c>
      <c r="J521" s="89" t="s">
        <v>3072</v>
      </c>
      <c r="K521" s="30" t="s">
        <v>127</v>
      </c>
      <c r="L521" s="30" t="s">
        <v>3073</v>
      </c>
      <c r="M521" s="30" t="s">
        <v>63</v>
      </c>
      <c r="N521" s="30">
        <v>0</v>
      </c>
      <c r="O521" s="30" t="s">
        <v>64</v>
      </c>
      <c r="P521" s="89" t="s">
        <v>78</v>
      </c>
      <c r="Q521" s="89" t="s">
        <v>401</v>
      </c>
      <c r="R521" s="89" t="s">
        <v>167</v>
      </c>
      <c r="S521" s="30">
        <v>0</v>
      </c>
      <c r="T521" s="233" t="s">
        <v>68</v>
      </c>
      <c r="U521" s="30">
        <v>0</v>
      </c>
      <c r="V521" s="233" t="s">
        <v>68</v>
      </c>
      <c r="W521" s="30">
        <v>0</v>
      </c>
      <c r="X521" s="30">
        <v>0</v>
      </c>
      <c r="Y521" s="30">
        <v>0</v>
      </c>
      <c r="Z521" s="233" t="s">
        <v>68</v>
      </c>
      <c r="AA521" s="30">
        <v>0</v>
      </c>
      <c r="AB521" s="30">
        <v>0</v>
      </c>
      <c r="AC521" s="30">
        <v>0</v>
      </c>
      <c r="AD521" s="30">
        <v>0</v>
      </c>
      <c r="AE521" s="89" t="s">
        <v>68</v>
      </c>
      <c r="AF521" s="89"/>
      <c r="AG521" s="89" t="s">
        <v>133</v>
      </c>
      <c r="AH521" s="72" t="s">
        <v>68</v>
      </c>
      <c r="AI521" s="30">
        <v>2</v>
      </c>
      <c r="AJ521" s="89" t="s">
        <v>3074</v>
      </c>
      <c r="AK521" s="89" t="s">
        <v>3075</v>
      </c>
      <c r="AL521" s="91">
        <v>39685</v>
      </c>
      <c r="AM521" s="91"/>
      <c r="AN521" s="91"/>
      <c r="AO521" s="91"/>
      <c r="AP521" s="73" t="e">
        <f>MID(VLOOKUP(K521,#REF!,2,FALSE),1,2)</f>
        <v>#REF!</v>
      </c>
      <c r="AQ521" s="89">
        <f>DATE(2008,7,25)</f>
        <v>39654</v>
      </c>
      <c r="AR521" s="82">
        <f t="shared" si="38"/>
        <v>25</v>
      </c>
      <c r="AS521" s="83">
        <f t="shared" si="39"/>
        <v>7</v>
      </c>
      <c r="AT521" s="84">
        <f t="shared" si="40"/>
        <v>2008</v>
      </c>
      <c r="AU521" s="86"/>
      <c r="AV521" s="86"/>
      <c r="AW521" s="87"/>
      <c r="AX521" s="86"/>
      <c r="AY521" s="83"/>
      <c r="AZ521" s="84"/>
      <c r="BA521" s="86"/>
      <c r="BB521" s="86"/>
    </row>
    <row r="522" spans="1:54" ht="36.75" customHeight="1">
      <c r="A522" s="30"/>
      <c r="B522" s="30" t="s">
        <v>55</v>
      </c>
      <c r="C522" s="69" t="str">
        <f t="shared" si="37"/>
        <v>Closed</v>
      </c>
      <c r="D522" s="27" t="s">
        <v>3076</v>
      </c>
      <c r="E522" s="29" t="s">
        <v>3077</v>
      </c>
      <c r="F522" s="30" t="s">
        <v>124</v>
      </c>
      <c r="G522" s="89">
        <f>DATE(2008,7,27)</f>
        <v>39656</v>
      </c>
      <c r="H522" s="90">
        <v>1.8333333333333335</v>
      </c>
      <c r="I522" s="30" t="s">
        <v>125</v>
      </c>
      <c r="J522" s="89" t="s">
        <v>3078</v>
      </c>
      <c r="K522" s="30" t="s">
        <v>127</v>
      </c>
      <c r="L522" s="30" t="s">
        <v>3079</v>
      </c>
      <c r="M522" s="30" t="s">
        <v>63</v>
      </c>
      <c r="N522" s="30">
        <v>0</v>
      </c>
      <c r="O522" s="30" t="s">
        <v>64</v>
      </c>
      <c r="P522" s="89" t="s">
        <v>165</v>
      </c>
      <c r="Q522" s="89" t="s">
        <v>229</v>
      </c>
      <c r="R522" s="89" t="s">
        <v>167</v>
      </c>
      <c r="S522" s="30">
        <v>0</v>
      </c>
      <c r="T522" s="233" t="s">
        <v>68</v>
      </c>
      <c r="U522" s="30">
        <v>0</v>
      </c>
      <c r="V522" s="233" t="s">
        <v>68</v>
      </c>
      <c r="W522" s="30">
        <v>0</v>
      </c>
      <c r="X522" s="30">
        <v>0</v>
      </c>
      <c r="Y522" s="30">
        <v>0</v>
      </c>
      <c r="Z522" s="233" t="s">
        <v>68</v>
      </c>
      <c r="AA522" s="30">
        <v>0</v>
      </c>
      <c r="AB522" s="30">
        <v>0</v>
      </c>
      <c r="AC522" s="30">
        <v>0</v>
      </c>
      <c r="AD522" s="30">
        <v>0</v>
      </c>
      <c r="AE522" s="89" t="s">
        <v>68</v>
      </c>
      <c r="AF522" s="89"/>
      <c r="AG522" s="89" t="s">
        <v>133</v>
      </c>
      <c r="AH522" s="72" t="s">
        <v>68</v>
      </c>
      <c r="AI522" s="30">
        <v>1</v>
      </c>
      <c r="AJ522" s="89" t="s">
        <v>68</v>
      </c>
      <c r="AK522" s="89" t="s">
        <v>68</v>
      </c>
      <c r="AL522" s="91">
        <v>39834</v>
      </c>
      <c r="AM522" s="91"/>
      <c r="AN522" s="91"/>
      <c r="AO522" s="91"/>
      <c r="AP522" s="73" t="e">
        <f>MID(VLOOKUP(K522,#REF!,2,FALSE),1,2)</f>
        <v>#REF!</v>
      </c>
      <c r="AQ522" s="89">
        <f>DATE(2008,7,27)</f>
        <v>39656</v>
      </c>
      <c r="AR522" s="82">
        <f t="shared" si="38"/>
        <v>27</v>
      </c>
      <c r="AS522" s="83">
        <f t="shared" si="39"/>
        <v>7</v>
      </c>
      <c r="AT522" s="84">
        <f t="shared" si="40"/>
        <v>2008</v>
      </c>
      <c r="AU522" s="86"/>
      <c r="AV522" s="86"/>
      <c r="AW522" s="87"/>
      <c r="AX522" s="86"/>
      <c r="AY522" s="83"/>
      <c r="AZ522" s="84"/>
      <c r="BA522" s="86"/>
      <c r="BB522" s="86"/>
    </row>
    <row r="523" spans="1:54" ht="36.75" customHeight="1">
      <c r="A523" s="30"/>
      <c r="B523" s="30" t="s">
        <v>55</v>
      </c>
      <c r="C523" s="69" t="str">
        <f t="shared" si="37"/>
        <v>Closed</v>
      </c>
      <c r="D523" s="27" t="s">
        <v>3080</v>
      </c>
      <c r="E523" s="29" t="s">
        <v>3081</v>
      </c>
      <c r="F523" s="30" t="s">
        <v>233</v>
      </c>
      <c r="G523" s="89">
        <f>DATE(2008,7,27)</f>
        <v>39656</v>
      </c>
      <c r="H523" s="90">
        <v>1.4722222222222223</v>
      </c>
      <c r="I523" s="30" t="s">
        <v>278</v>
      </c>
      <c r="J523" s="89" t="s">
        <v>3082</v>
      </c>
      <c r="K523" s="30" t="s">
        <v>235</v>
      </c>
      <c r="L523" s="30" t="s">
        <v>3083</v>
      </c>
      <c r="M523" s="30" t="s">
        <v>63</v>
      </c>
      <c r="N523" s="30">
        <v>0</v>
      </c>
      <c r="O523" s="30" t="s">
        <v>64</v>
      </c>
      <c r="P523" s="89" t="s">
        <v>65</v>
      </c>
      <c r="Q523" s="89" t="s">
        <v>3084</v>
      </c>
      <c r="R523" s="89" t="s">
        <v>238</v>
      </c>
      <c r="S523" s="30">
        <v>0</v>
      </c>
      <c r="T523" s="233" t="s">
        <v>68</v>
      </c>
      <c r="U523" s="30">
        <v>0</v>
      </c>
      <c r="V523" s="233" t="s">
        <v>68</v>
      </c>
      <c r="W523" s="30">
        <v>0</v>
      </c>
      <c r="X523" s="30">
        <v>0</v>
      </c>
      <c r="Y523" s="30">
        <v>0</v>
      </c>
      <c r="Z523" s="233" t="s">
        <v>68</v>
      </c>
      <c r="AA523" s="30">
        <v>0</v>
      </c>
      <c r="AB523" s="30">
        <v>0</v>
      </c>
      <c r="AC523" s="30">
        <v>0</v>
      </c>
      <c r="AD523" s="30">
        <v>0</v>
      </c>
      <c r="AE523" s="89" t="s">
        <v>68</v>
      </c>
      <c r="AF523" s="89"/>
      <c r="AG523" s="89" t="s">
        <v>133</v>
      </c>
      <c r="AH523" s="72" t="s">
        <v>68</v>
      </c>
      <c r="AI523" s="30">
        <v>5</v>
      </c>
      <c r="AJ523" s="89" t="s">
        <v>3085</v>
      </c>
      <c r="AK523" s="89" t="s">
        <v>3086</v>
      </c>
      <c r="AL523" s="91">
        <v>39682</v>
      </c>
      <c r="AM523" s="91"/>
      <c r="AN523" s="91"/>
      <c r="AO523" s="91"/>
      <c r="AP523" s="73" t="e">
        <f>MID(VLOOKUP(K523,#REF!,2,FALSE),1,2)</f>
        <v>#REF!</v>
      </c>
      <c r="AQ523" s="89">
        <f>DATE(2008,7,27)</f>
        <v>39656</v>
      </c>
      <c r="AR523" s="82">
        <f t="shared" si="38"/>
        <v>27</v>
      </c>
      <c r="AS523" s="83">
        <f t="shared" si="39"/>
        <v>7</v>
      </c>
      <c r="AT523" s="84">
        <f t="shared" si="40"/>
        <v>2008</v>
      </c>
      <c r="AU523" s="86"/>
      <c r="AV523" s="86"/>
      <c r="AW523" s="87"/>
      <c r="AX523" s="86"/>
      <c r="AY523" s="83"/>
      <c r="AZ523" s="84"/>
      <c r="BA523" s="86"/>
      <c r="BB523" s="86"/>
    </row>
    <row r="524" spans="1:54" ht="36.75" customHeight="1">
      <c r="A524" s="30"/>
      <c r="B524" s="30" t="s">
        <v>55</v>
      </c>
      <c r="C524" s="69" t="str">
        <f t="shared" si="37"/>
        <v>Closed</v>
      </c>
      <c r="D524" s="27" t="s">
        <v>3087</v>
      </c>
      <c r="E524" s="29" t="s">
        <v>3088</v>
      </c>
      <c r="F524" s="30" t="s">
        <v>451</v>
      </c>
      <c r="G524" s="89">
        <f>DATE(2008,7,28)</f>
        <v>39657</v>
      </c>
      <c r="H524" s="90">
        <v>1.7777777777777777</v>
      </c>
      <c r="I524" s="30" t="s">
        <v>116</v>
      </c>
      <c r="J524" s="89" t="s">
        <v>3089</v>
      </c>
      <c r="K524" s="30" t="s">
        <v>453</v>
      </c>
      <c r="L524" s="30" t="s">
        <v>3090</v>
      </c>
      <c r="M524" s="30" t="s">
        <v>63</v>
      </c>
      <c r="N524" s="30" t="s">
        <v>99</v>
      </c>
      <c r="O524" s="30" t="s">
        <v>64</v>
      </c>
      <c r="P524" s="89" t="s">
        <v>165</v>
      </c>
      <c r="Q524" s="89" t="s">
        <v>665</v>
      </c>
      <c r="R524" s="89" t="s">
        <v>572</v>
      </c>
      <c r="S524" s="30">
        <v>0</v>
      </c>
      <c r="T524" s="233">
        <v>0</v>
      </c>
      <c r="U524" s="30">
        <v>1</v>
      </c>
      <c r="V524" s="233">
        <v>0</v>
      </c>
      <c r="W524" s="30">
        <v>0</v>
      </c>
      <c r="X524" s="30">
        <v>1</v>
      </c>
      <c r="Y524" s="30">
        <v>0</v>
      </c>
      <c r="Z524" s="233">
        <v>1</v>
      </c>
      <c r="AA524" s="30">
        <v>0</v>
      </c>
      <c r="AB524" s="30">
        <v>0</v>
      </c>
      <c r="AC524" s="30">
        <v>0</v>
      </c>
      <c r="AD524" s="30">
        <v>1</v>
      </c>
      <c r="AE524" s="89" t="s">
        <v>68</v>
      </c>
      <c r="AF524" s="89"/>
      <c r="AG524" s="89" t="s">
        <v>82</v>
      </c>
      <c r="AH524" s="72" t="s">
        <v>68</v>
      </c>
      <c r="AI524" s="30">
        <v>2</v>
      </c>
      <c r="AJ524" s="89" t="s">
        <v>3091</v>
      </c>
      <c r="AK524" s="89" t="s">
        <v>68</v>
      </c>
      <c r="AL524" s="91">
        <v>40445</v>
      </c>
      <c r="AM524" s="91"/>
      <c r="AN524" s="91"/>
      <c r="AO524" s="91"/>
      <c r="AP524" s="73" t="e">
        <f>MID(VLOOKUP(K524,#REF!,2,FALSE),1,2)</f>
        <v>#REF!</v>
      </c>
      <c r="AQ524" s="89">
        <f>DATE(2008,7,28)</f>
        <v>39657</v>
      </c>
      <c r="AR524" s="82">
        <f t="shared" si="38"/>
        <v>28</v>
      </c>
      <c r="AS524" s="83">
        <f t="shared" si="39"/>
        <v>7</v>
      </c>
      <c r="AT524" s="84">
        <f t="shared" si="40"/>
        <v>2008</v>
      </c>
      <c r="AU524" s="86"/>
      <c r="AV524" s="86"/>
      <c r="AW524" s="87"/>
      <c r="AX524" s="86"/>
      <c r="AY524" s="83"/>
      <c r="AZ524" s="84"/>
      <c r="BA524" s="86"/>
      <c r="BB524" s="86"/>
    </row>
    <row r="525" spans="1:54" ht="36.75" customHeight="1">
      <c r="A525" s="30"/>
      <c r="B525" s="30" t="s">
        <v>55</v>
      </c>
      <c r="C525" s="69" t="str">
        <f t="shared" si="37"/>
        <v>Closed</v>
      </c>
      <c r="D525" s="27" t="s">
        <v>3092</v>
      </c>
      <c r="E525" s="29" t="s">
        <v>3093</v>
      </c>
      <c r="F525" s="30" t="s">
        <v>138</v>
      </c>
      <c r="G525" s="89">
        <f>DATE(2008,7,29)</f>
        <v>39658</v>
      </c>
      <c r="H525" s="90">
        <v>1.7777777777777777</v>
      </c>
      <c r="I525" s="30" t="s">
        <v>59</v>
      </c>
      <c r="J525" s="89" t="s">
        <v>3094</v>
      </c>
      <c r="K525" s="30" t="s">
        <v>140</v>
      </c>
      <c r="L525" s="30" t="s">
        <v>3095</v>
      </c>
      <c r="M525" s="30" t="s">
        <v>63</v>
      </c>
      <c r="N525" s="30" t="s">
        <v>89</v>
      </c>
      <c r="O525" s="30" t="s">
        <v>77</v>
      </c>
      <c r="P525" s="89" t="s">
        <v>3096</v>
      </c>
      <c r="Q525" s="89" t="s">
        <v>2932</v>
      </c>
      <c r="R525" s="89" t="s">
        <v>144</v>
      </c>
      <c r="S525" s="30">
        <v>0</v>
      </c>
      <c r="T525" s="233">
        <v>0</v>
      </c>
      <c r="U525" s="30">
        <v>0</v>
      </c>
      <c r="V525" s="233">
        <v>0</v>
      </c>
      <c r="W525" s="30">
        <v>0</v>
      </c>
      <c r="X525" s="30">
        <v>0</v>
      </c>
      <c r="Y525" s="30">
        <v>0</v>
      </c>
      <c r="Z525" s="233">
        <v>0</v>
      </c>
      <c r="AA525" s="30">
        <v>0</v>
      </c>
      <c r="AB525" s="30">
        <v>0</v>
      </c>
      <c r="AC525" s="30">
        <v>0</v>
      </c>
      <c r="AD525" s="30">
        <v>0</v>
      </c>
      <c r="AE525" s="89" t="s">
        <v>68</v>
      </c>
      <c r="AF525" s="89"/>
      <c r="AG525" s="89" t="s">
        <v>133</v>
      </c>
      <c r="AH525" s="72">
        <v>39722</v>
      </c>
      <c r="AI525" s="30">
        <v>3</v>
      </c>
      <c r="AJ525" s="89" t="s">
        <v>3097</v>
      </c>
      <c r="AK525" s="89" t="s">
        <v>3098</v>
      </c>
      <c r="AL525" s="91">
        <v>39722</v>
      </c>
      <c r="AM525" s="91"/>
      <c r="AN525" s="91"/>
      <c r="AO525" s="91"/>
      <c r="AP525" s="73" t="e">
        <f>MID(VLOOKUP(K525,#REF!,2,FALSE),1,2)</f>
        <v>#REF!</v>
      </c>
      <c r="AQ525" s="89">
        <f>DATE(2008,7,29)</f>
        <v>39658</v>
      </c>
      <c r="AR525" s="82">
        <f t="shared" si="38"/>
        <v>29</v>
      </c>
      <c r="AS525" s="83">
        <f t="shared" si="39"/>
        <v>7</v>
      </c>
      <c r="AT525" s="84">
        <f t="shared" si="40"/>
        <v>2008</v>
      </c>
      <c r="AU525" s="86"/>
      <c r="AV525" s="86"/>
      <c r="AW525" s="87"/>
      <c r="AX525" s="86"/>
      <c r="AY525" s="83"/>
      <c r="AZ525" s="84"/>
      <c r="BA525" s="86"/>
      <c r="BB525" s="86"/>
    </row>
    <row r="526" spans="1:54" ht="36.75" customHeight="1">
      <c r="A526" s="30"/>
      <c r="B526" s="30" t="s">
        <v>55</v>
      </c>
      <c r="C526" s="69" t="str">
        <f t="shared" si="37"/>
        <v>Closed</v>
      </c>
      <c r="D526" s="27" t="s">
        <v>3099</v>
      </c>
      <c r="E526" s="29" t="s">
        <v>3100</v>
      </c>
      <c r="F526" s="30" t="s">
        <v>423</v>
      </c>
      <c r="G526" s="89">
        <f>DATE(2008,7,30)</f>
        <v>39659</v>
      </c>
      <c r="H526" s="90">
        <v>1.9368055555555554</v>
      </c>
      <c r="I526" s="30" t="s">
        <v>125</v>
      </c>
      <c r="J526" s="89" t="s">
        <v>3101</v>
      </c>
      <c r="K526" s="30" t="s">
        <v>425</v>
      </c>
      <c r="L526" s="30" t="s">
        <v>3102</v>
      </c>
      <c r="M526" s="30" t="s">
        <v>63</v>
      </c>
      <c r="N526" s="30">
        <v>0</v>
      </c>
      <c r="O526" s="30" t="s">
        <v>64</v>
      </c>
      <c r="P526" s="89" t="s">
        <v>65</v>
      </c>
      <c r="Q526" s="89" t="s">
        <v>427</v>
      </c>
      <c r="R526" s="89" t="s">
        <v>3103</v>
      </c>
      <c r="S526" s="30">
        <v>0</v>
      </c>
      <c r="T526" s="233" t="s">
        <v>68</v>
      </c>
      <c r="U526" s="30">
        <v>0</v>
      </c>
      <c r="V526" s="233" t="s">
        <v>68</v>
      </c>
      <c r="W526" s="30">
        <v>0</v>
      </c>
      <c r="X526" s="30">
        <v>0</v>
      </c>
      <c r="Y526" s="30">
        <v>0</v>
      </c>
      <c r="Z526" s="233" t="s">
        <v>68</v>
      </c>
      <c r="AA526" s="30">
        <v>0</v>
      </c>
      <c r="AB526" s="30">
        <v>0</v>
      </c>
      <c r="AC526" s="30">
        <v>0</v>
      </c>
      <c r="AD526" s="30">
        <v>0</v>
      </c>
      <c r="AE526" s="89" t="s">
        <v>68</v>
      </c>
      <c r="AF526" s="89"/>
      <c r="AG526" s="89" t="s">
        <v>874</v>
      </c>
      <c r="AH526" s="72" t="s">
        <v>68</v>
      </c>
      <c r="AI526" s="30">
        <v>3</v>
      </c>
      <c r="AJ526" s="89" t="s">
        <v>68</v>
      </c>
      <c r="AK526" s="89" t="s">
        <v>68</v>
      </c>
      <c r="AL526" s="91">
        <v>39724</v>
      </c>
      <c r="AM526" s="91"/>
      <c r="AN526" s="91"/>
      <c r="AO526" s="91"/>
      <c r="AP526" s="73" t="e">
        <f>MID(VLOOKUP(K526,#REF!,2,FALSE),1,2)</f>
        <v>#REF!</v>
      </c>
      <c r="AQ526" s="89">
        <f>DATE(2008,7,30)</f>
        <v>39659</v>
      </c>
      <c r="AR526" s="82">
        <f t="shared" si="38"/>
        <v>30</v>
      </c>
      <c r="AS526" s="83">
        <f t="shared" si="39"/>
        <v>7</v>
      </c>
      <c r="AT526" s="84">
        <f t="shared" si="40"/>
        <v>2008</v>
      </c>
      <c r="AU526" s="86"/>
      <c r="AV526" s="86"/>
      <c r="AW526" s="87"/>
      <c r="AX526" s="86"/>
      <c r="AY526" s="83"/>
      <c r="AZ526" s="84"/>
      <c r="BA526" s="86"/>
      <c r="BB526" s="86"/>
    </row>
    <row r="527" spans="1:54" ht="36.75" customHeight="1">
      <c r="A527" s="30"/>
      <c r="B527" s="30" t="s">
        <v>55</v>
      </c>
      <c r="C527" s="69" t="str">
        <f t="shared" si="37"/>
        <v>Closed</v>
      </c>
      <c r="D527" s="27" t="s">
        <v>3104</v>
      </c>
      <c r="E527" s="29" t="s">
        <v>3105</v>
      </c>
      <c r="F527" s="30" t="s">
        <v>638</v>
      </c>
      <c r="G527" s="89">
        <f>DATE(2008,7,30)</f>
        <v>39659</v>
      </c>
      <c r="H527" s="90">
        <v>1.3020833333333333</v>
      </c>
      <c r="I527" s="30" t="s">
        <v>278</v>
      </c>
      <c r="J527" s="89" t="s">
        <v>3106</v>
      </c>
      <c r="K527" s="30" t="s">
        <v>640</v>
      </c>
      <c r="L527" s="30" t="s">
        <v>3107</v>
      </c>
      <c r="M527" s="30" t="s">
        <v>63</v>
      </c>
      <c r="N527" s="30">
        <v>0</v>
      </c>
      <c r="O527" s="30" t="s">
        <v>86</v>
      </c>
      <c r="P527" s="89" t="s">
        <v>78</v>
      </c>
      <c r="Q527" s="89" t="s">
        <v>642</v>
      </c>
      <c r="R527" s="89" t="s">
        <v>643</v>
      </c>
      <c r="S527" s="30">
        <v>0</v>
      </c>
      <c r="T527" s="233">
        <v>0</v>
      </c>
      <c r="U527" s="30">
        <v>0</v>
      </c>
      <c r="V527" s="233">
        <v>0</v>
      </c>
      <c r="W527" s="30">
        <v>1</v>
      </c>
      <c r="X527" s="30">
        <v>1</v>
      </c>
      <c r="Y527" s="30">
        <v>0</v>
      </c>
      <c r="Z527" s="233">
        <v>0</v>
      </c>
      <c r="AA527" s="30">
        <v>0</v>
      </c>
      <c r="AB527" s="30">
        <v>0</v>
      </c>
      <c r="AC527" s="30">
        <v>0</v>
      </c>
      <c r="AD527" s="30">
        <v>0</v>
      </c>
      <c r="AE527" s="89" t="s">
        <v>68</v>
      </c>
      <c r="AF527" s="89"/>
      <c r="AG527" s="89" t="s">
        <v>248</v>
      </c>
      <c r="AH527" s="72" t="s">
        <v>68</v>
      </c>
      <c r="AI527" s="30">
        <v>1</v>
      </c>
      <c r="AJ527" s="89" t="s">
        <v>3108</v>
      </c>
      <c r="AK527" s="89" t="s">
        <v>68</v>
      </c>
      <c r="AL527" s="91">
        <v>39771</v>
      </c>
      <c r="AM527" s="91"/>
      <c r="AN527" s="91"/>
      <c r="AO527" s="91"/>
      <c r="AP527" s="73" t="e">
        <f>MID(VLOOKUP(K527,#REF!,2,FALSE),1,2)</f>
        <v>#REF!</v>
      </c>
      <c r="AQ527" s="89">
        <f>DATE(2008,7,30)</f>
        <v>39659</v>
      </c>
      <c r="AR527" s="82">
        <f t="shared" si="38"/>
        <v>30</v>
      </c>
      <c r="AS527" s="83">
        <f t="shared" si="39"/>
        <v>7</v>
      </c>
      <c r="AT527" s="84">
        <f t="shared" si="40"/>
        <v>2008</v>
      </c>
      <c r="AU527" s="86"/>
      <c r="AV527" s="86"/>
      <c r="AW527" s="87"/>
      <c r="AX527" s="86"/>
      <c r="AY527" s="83"/>
      <c r="AZ527" s="84"/>
      <c r="BA527" s="86"/>
      <c r="BB527" s="86"/>
    </row>
    <row r="528" spans="1:54" ht="36.75" customHeight="1">
      <c r="A528" s="30"/>
      <c r="B528" s="30" t="s">
        <v>55</v>
      </c>
      <c r="C528" s="69" t="str">
        <f t="shared" si="37"/>
        <v>Closed</v>
      </c>
      <c r="D528" s="27" t="s">
        <v>3109</v>
      </c>
      <c r="E528" s="29" t="s">
        <v>3110</v>
      </c>
      <c r="F528" s="30" t="s">
        <v>638</v>
      </c>
      <c r="G528" s="89">
        <f>DATE(2008,7,30)</f>
        <v>39659</v>
      </c>
      <c r="H528" s="90">
        <v>1.7534722222222223</v>
      </c>
      <c r="I528" s="30" t="s">
        <v>278</v>
      </c>
      <c r="J528" s="89" t="s">
        <v>3111</v>
      </c>
      <c r="K528" s="30" t="s">
        <v>640</v>
      </c>
      <c r="L528" s="30" t="s">
        <v>3112</v>
      </c>
      <c r="M528" s="30" t="s">
        <v>63</v>
      </c>
      <c r="N528" s="30">
        <v>0</v>
      </c>
      <c r="O528" s="30" t="s">
        <v>64</v>
      </c>
      <c r="P528" s="89" t="s">
        <v>165</v>
      </c>
      <c r="Q528" s="89" t="s">
        <v>642</v>
      </c>
      <c r="R528" s="89" t="s">
        <v>643</v>
      </c>
      <c r="S528" s="30">
        <v>0</v>
      </c>
      <c r="T528" s="233">
        <v>0</v>
      </c>
      <c r="U528" s="30">
        <v>0</v>
      </c>
      <c r="V528" s="233">
        <v>1</v>
      </c>
      <c r="W528" s="30">
        <v>0</v>
      </c>
      <c r="X528" s="30">
        <v>1</v>
      </c>
      <c r="Y528" s="30">
        <v>0</v>
      </c>
      <c r="Z528" s="233">
        <v>0</v>
      </c>
      <c r="AA528" s="30">
        <v>0</v>
      </c>
      <c r="AB528" s="30">
        <v>0</v>
      </c>
      <c r="AC528" s="30">
        <v>0</v>
      </c>
      <c r="AD528" s="30">
        <v>0</v>
      </c>
      <c r="AE528" s="89" t="s">
        <v>68</v>
      </c>
      <c r="AF528" s="89"/>
      <c r="AG528" s="89" t="s">
        <v>248</v>
      </c>
      <c r="AH528" s="72" t="s">
        <v>68</v>
      </c>
      <c r="AI528" s="30">
        <v>1</v>
      </c>
      <c r="AJ528" s="89" t="s">
        <v>68</v>
      </c>
      <c r="AK528" s="89" t="s">
        <v>68</v>
      </c>
      <c r="AL528" s="91">
        <v>39771</v>
      </c>
      <c r="AM528" s="91"/>
      <c r="AN528" s="91"/>
      <c r="AO528" s="91"/>
      <c r="AP528" s="73" t="e">
        <f>MID(VLOOKUP(K528,#REF!,2,FALSE),1,2)</f>
        <v>#REF!</v>
      </c>
      <c r="AQ528" s="89">
        <f>DATE(2008,7,30)</f>
        <v>39659</v>
      </c>
      <c r="AR528" s="82">
        <f t="shared" si="38"/>
        <v>30</v>
      </c>
      <c r="AS528" s="83">
        <f t="shared" si="39"/>
        <v>7</v>
      </c>
      <c r="AT528" s="84">
        <f t="shared" si="40"/>
        <v>2008</v>
      </c>
      <c r="AU528" s="86"/>
      <c r="AV528" s="86"/>
      <c r="AW528" s="87"/>
      <c r="AX528" s="86"/>
      <c r="AY528" s="83"/>
      <c r="AZ528" s="84"/>
      <c r="BA528" s="86"/>
      <c r="BB528" s="86"/>
    </row>
    <row r="529" spans="1:54" ht="36.75" customHeight="1">
      <c r="A529" s="30"/>
      <c r="B529" s="30" t="s">
        <v>55</v>
      </c>
      <c r="C529" s="69" t="str">
        <f t="shared" si="37"/>
        <v>Closed</v>
      </c>
      <c r="D529" s="27" t="s">
        <v>3113</v>
      </c>
      <c r="E529" s="29" t="s">
        <v>3114</v>
      </c>
      <c r="F529" s="30" t="s">
        <v>1938</v>
      </c>
      <c r="G529" s="89">
        <f>DATE(2008,7,31)</f>
        <v>39660</v>
      </c>
      <c r="H529" s="90">
        <v>1.7083333333333335</v>
      </c>
      <c r="I529" s="30" t="s">
        <v>116</v>
      </c>
      <c r="J529" s="89" t="s">
        <v>3115</v>
      </c>
      <c r="K529" s="30" t="s">
        <v>1940</v>
      </c>
      <c r="L529" s="30" t="s">
        <v>3116</v>
      </c>
      <c r="M529" s="30" t="s">
        <v>63</v>
      </c>
      <c r="N529" s="30">
        <v>0</v>
      </c>
      <c r="O529" s="30" t="s">
        <v>64</v>
      </c>
      <c r="P529" s="89" t="s">
        <v>165</v>
      </c>
      <c r="Q529" s="89" t="s">
        <v>1942</v>
      </c>
      <c r="R529" s="89" t="s">
        <v>1942</v>
      </c>
      <c r="S529" s="30">
        <v>0</v>
      </c>
      <c r="T529" s="233" t="s">
        <v>68</v>
      </c>
      <c r="U529" s="30">
        <v>0</v>
      </c>
      <c r="V529" s="233" t="s">
        <v>68</v>
      </c>
      <c r="W529" s="30">
        <v>0</v>
      </c>
      <c r="X529" s="30">
        <v>0</v>
      </c>
      <c r="Y529" s="30">
        <v>0</v>
      </c>
      <c r="Z529" s="233" t="s">
        <v>68</v>
      </c>
      <c r="AA529" s="30">
        <v>0</v>
      </c>
      <c r="AB529" s="30">
        <v>0</v>
      </c>
      <c r="AC529" s="30">
        <v>0</v>
      </c>
      <c r="AD529" s="30">
        <v>0</v>
      </c>
      <c r="AE529" s="89" t="s">
        <v>68</v>
      </c>
      <c r="AF529" s="89"/>
      <c r="AG529" s="89" t="s">
        <v>133</v>
      </c>
      <c r="AH529" s="72" t="s">
        <v>68</v>
      </c>
      <c r="AI529" s="30">
        <v>2</v>
      </c>
      <c r="AJ529" s="89" t="s">
        <v>3117</v>
      </c>
      <c r="AK529" s="89" t="s">
        <v>3118</v>
      </c>
      <c r="AL529" s="91">
        <v>39667</v>
      </c>
      <c r="AM529" s="91"/>
      <c r="AN529" s="91"/>
      <c r="AO529" s="91"/>
      <c r="AP529" s="73" t="e">
        <f>MID(VLOOKUP(K529,#REF!,2,FALSE),1,2)</f>
        <v>#REF!</v>
      </c>
      <c r="AQ529" s="89">
        <f>DATE(2008,7,31)</f>
        <v>39660</v>
      </c>
      <c r="AR529" s="82">
        <f t="shared" si="38"/>
        <v>31</v>
      </c>
      <c r="AS529" s="83">
        <f t="shared" si="39"/>
        <v>7</v>
      </c>
      <c r="AT529" s="84">
        <f t="shared" si="40"/>
        <v>2008</v>
      </c>
      <c r="AU529" s="86"/>
      <c r="AV529" s="86"/>
      <c r="AW529" s="87"/>
      <c r="AX529" s="86"/>
      <c r="AY529" s="83"/>
      <c r="AZ529" s="84"/>
      <c r="BA529" s="86"/>
      <c r="BB529" s="86"/>
    </row>
    <row r="530" spans="1:54" ht="36.75" customHeight="1">
      <c r="A530" s="30"/>
      <c r="B530" s="30" t="s">
        <v>55</v>
      </c>
      <c r="C530" s="69" t="str">
        <f t="shared" si="37"/>
        <v>Closed</v>
      </c>
      <c r="D530" s="27" t="s">
        <v>3119</v>
      </c>
      <c r="E530" s="29" t="s">
        <v>3120</v>
      </c>
      <c r="F530" s="30" t="s">
        <v>835</v>
      </c>
      <c r="G530" s="89">
        <f>DATE(2008,8,2)</f>
        <v>39662</v>
      </c>
      <c r="H530" s="90">
        <v>1.6055555555555556</v>
      </c>
      <c r="I530" s="30" t="s">
        <v>73</v>
      </c>
      <c r="J530" s="89" t="s">
        <v>3121</v>
      </c>
      <c r="K530" s="30" t="s">
        <v>837</v>
      </c>
      <c r="L530" s="30" t="s">
        <v>3122</v>
      </c>
      <c r="M530" s="30" t="s">
        <v>63</v>
      </c>
      <c r="N530" s="30">
        <v>0</v>
      </c>
      <c r="O530" s="30" t="s">
        <v>64</v>
      </c>
      <c r="P530" s="89" t="s">
        <v>65</v>
      </c>
      <c r="Q530" s="89" t="s">
        <v>2162</v>
      </c>
      <c r="R530" s="89" t="s">
        <v>840</v>
      </c>
      <c r="S530" s="30">
        <v>0</v>
      </c>
      <c r="T530" s="233">
        <v>0</v>
      </c>
      <c r="U530" s="30">
        <v>0</v>
      </c>
      <c r="V530" s="233">
        <v>0</v>
      </c>
      <c r="W530" s="30">
        <v>0</v>
      </c>
      <c r="X530" s="30">
        <v>0</v>
      </c>
      <c r="Y530" s="30">
        <v>1</v>
      </c>
      <c r="Z530" s="233">
        <v>0</v>
      </c>
      <c r="AA530" s="30">
        <v>0</v>
      </c>
      <c r="AB530" s="30">
        <v>0</v>
      </c>
      <c r="AC530" s="30">
        <v>0</v>
      </c>
      <c r="AD530" s="30">
        <v>1</v>
      </c>
      <c r="AE530" s="89" t="s">
        <v>68</v>
      </c>
      <c r="AF530" s="89"/>
      <c r="AG530" s="89" t="s">
        <v>133</v>
      </c>
      <c r="AH530" s="72" t="s">
        <v>68</v>
      </c>
      <c r="AI530" s="30">
        <v>0</v>
      </c>
      <c r="AJ530" s="89" t="s">
        <v>68</v>
      </c>
      <c r="AK530" s="89" t="s">
        <v>68</v>
      </c>
      <c r="AL530" s="91">
        <v>39953</v>
      </c>
      <c r="AM530" s="91"/>
      <c r="AN530" s="91"/>
      <c r="AO530" s="91"/>
      <c r="AP530" s="73" t="e">
        <f>MID(VLOOKUP(K530,#REF!,2,FALSE),1,2)</f>
        <v>#REF!</v>
      </c>
      <c r="AQ530" s="89">
        <f>DATE(2008,8,2)</f>
        <v>39662</v>
      </c>
      <c r="AR530" s="82">
        <f t="shared" si="38"/>
        <v>2</v>
      </c>
      <c r="AS530" s="83">
        <f t="shared" si="39"/>
        <v>8</v>
      </c>
      <c r="AT530" s="84">
        <f t="shared" si="40"/>
        <v>2008</v>
      </c>
      <c r="AU530" s="86"/>
      <c r="AV530" s="86"/>
      <c r="AW530" s="87"/>
      <c r="AX530" s="86"/>
      <c r="AY530" s="83"/>
      <c r="AZ530" s="84"/>
      <c r="BA530" s="86"/>
      <c r="BB530" s="86"/>
    </row>
    <row r="531" spans="1:54" ht="36.75" customHeight="1">
      <c r="A531" s="30"/>
      <c r="B531" s="30" t="s">
        <v>55</v>
      </c>
      <c r="C531" s="69" t="str">
        <f t="shared" si="37"/>
        <v>Closed</v>
      </c>
      <c r="D531" s="27" t="s">
        <v>3123</v>
      </c>
      <c r="E531" s="29" t="s">
        <v>3124</v>
      </c>
      <c r="F531" s="30" t="s">
        <v>423</v>
      </c>
      <c r="G531" s="89">
        <f>DATE(2008,8,8)</f>
        <v>39668</v>
      </c>
      <c r="H531" s="90">
        <v>1.4375</v>
      </c>
      <c r="I531" s="30" t="s">
        <v>156</v>
      </c>
      <c r="J531" s="89" t="s">
        <v>3125</v>
      </c>
      <c r="K531" s="30" t="s">
        <v>425</v>
      </c>
      <c r="L531" s="30" t="s">
        <v>3126</v>
      </c>
      <c r="M531" s="30" t="s">
        <v>63</v>
      </c>
      <c r="N531" s="30">
        <v>0</v>
      </c>
      <c r="O531" s="30" t="s">
        <v>77</v>
      </c>
      <c r="P531" s="89" t="s">
        <v>3096</v>
      </c>
      <c r="Q531" s="89" t="s">
        <v>3127</v>
      </c>
      <c r="R531" s="89" t="s">
        <v>427</v>
      </c>
      <c r="S531" s="30">
        <v>7</v>
      </c>
      <c r="T531" s="233">
        <v>0</v>
      </c>
      <c r="U531" s="30">
        <v>0</v>
      </c>
      <c r="V531" s="233">
        <v>0</v>
      </c>
      <c r="W531" s="30">
        <v>0</v>
      </c>
      <c r="X531" s="30">
        <v>7</v>
      </c>
      <c r="Y531" s="30">
        <v>84</v>
      </c>
      <c r="Z531" s="233">
        <v>4</v>
      </c>
      <c r="AA531" s="30">
        <v>0</v>
      </c>
      <c r="AB531" s="30">
        <v>0</v>
      </c>
      <c r="AC531" s="30">
        <v>0</v>
      </c>
      <c r="AD531" s="30">
        <v>88</v>
      </c>
      <c r="AE531" s="89" t="s">
        <v>68</v>
      </c>
      <c r="AF531" s="89"/>
      <c r="AG531" s="89" t="s">
        <v>82</v>
      </c>
      <c r="AH531" s="72" t="s">
        <v>68</v>
      </c>
      <c r="AI531" s="30">
        <v>5</v>
      </c>
      <c r="AJ531" s="89" t="s">
        <v>3128</v>
      </c>
      <c r="AK531" s="89" t="s">
        <v>3129</v>
      </c>
      <c r="AL531" s="91">
        <v>39677</v>
      </c>
      <c r="AM531" s="91"/>
      <c r="AN531" s="91"/>
      <c r="AO531" s="91"/>
      <c r="AP531" s="73" t="e">
        <f>MID(VLOOKUP(K531,#REF!,2,FALSE),1,2)</f>
        <v>#REF!</v>
      </c>
      <c r="AQ531" s="89">
        <f>DATE(2008,8,8)</f>
        <v>39668</v>
      </c>
      <c r="AR531" s="82">
        <f t="shared" si="38"/>
        <v>8</v>
      </c>
      <c r="AS531" s="83">
        <f t="shared" si="39"/>
        <v>8</v>
      </c>
      <c r="AT531" s="84">
        <f t="shared" si="40"/>
        <v>2008</v>
      </c>
      <c r="AU531" s="86"/>
      <c r="AV531" s="86"/>
      <c r="AW531" s="87"/>
      <c r="AX531" s="86"/>
      <c r="AY531" s="83"/>
      <c r="AZ531" s="84"/>
      <c r="BA531" s="86"/>
      <c r="BB531" s="86"/>
    </row>
    <row r="532" spans="1:54" ht="36.75" customHeight="1">
      <c r="A532" s="30"/>
      <c r="B532" s="30" t="s">
        <v>55</v>
      </c>
      <c r="C532" s="69" t="str">
        <f t="shared" si="37"/>
        <v>Closed</v>
      </c>
      <c r="D532" s="27" t="s">
        <v>3130</v>
      </c>
      <c r="E532" s="29" t="s">
        <v>3131</v>
      </c>
      <c r="F532" s="30" t="s">
        <v>377</v>
      </c>
      <c r="G532" s="89">
        <f>DATE(2008,8,8)</f>
        <v>39668</v>
      </c>
      <c r="H532" s="90">
        <v>1.3958333333333333</v>
      </c>
      <c r="I532" s="30" t="s">
        <v>156</v>
      </c>
      <c r="J532" s="89" t="s">
        <v>3132</v>
      </c>
      <c r="K532" s="30" t="s">
        <v>379</v>
      </c>
      <c r="L532" s="30" t="s">
        <v>3133</v>
      </c>
      <c r="M532" s="30" t="s">
        <v>63</v>
      </c>
      <c r="N532" s="30">
        <v>0</v>
      </c>
      <c r="O532" s="30" t="s">
        <v>77</v>
      </c>
      <c r="P532" s="89" t="s">
        <v>3134</v>
      </c>
      <c r="Q532" s="89" t="s">
        <v>3135</v>
      </c>
      <c r="R532" s="89" t="s">
        <v>382</v>
      </c>
      <c r="S532" s="30">
        <v>0</v>
      </c>
      <c r="T532" s="233">
        <v>1</v>
      </c>
      <c r="U532" s="30">
        <v>0</v>
      </c>
      <c r="V532" s="233">
        <v>0</v>
      </c>
      <c r="W532" s="30">
        <v>0</v>
      </c>
      <c r="X532" s="30">
        <v>1</v>
      </c>
      <c r="Y532" s="30">
        <v>0</v>
      </c>
      <c r="Z532" s="233">
        <v>2</v>
      </c>
      <c r="AA532" s="30">
        <v>0</v>
      </c>
      <c r="AB532" s="30">
        <v>0</v>
      </c>
      <c r="AC532" s="30">
        <v>0</v>
      </c>
      <c r="AD532" s="30">
        <v>2</v>
      </c>
      <c r="AE532" s="89" t="s">
        <v>68</v>
      </c>
      <c r="AF532" s="89"/>
      <c r="AG532" s="89" t="s">
        <v>82</v>
      </c>
      <c r="AH532" s="72" t="s">
        <v>68</v>
      </c>
      <c r="AI532" s="30">
        <v>3</v>
      </c>
      <c r="AJ532" s="89" t="s">
        <v>68</v>
      </c>
      <c r="AK532" s="89" t="s">
        <v>68</v>
      </c>
      <c r="AL532" s="91">
        <v>39678</v>
      </c>
      <c r="AM532" s="91"/>
      <c r="AN532" s="91"/>
      <c r="AO532" s="91"/>
      <c r="AP532" s="73" t="e">
        <f>MID(VLOOKUP(K532,#REF!,2,FALSE),1,2)</f>
        <v>#REF!</v>
      </c>
      <c r="AQ532" s="89">
        <f>DATE(2008,8,8)</f>
        <v>39668</v>
      </c>
      <c r="AR532" s="82">
        <f t="shared" si="38"/>
        <v>8</v>
      </c>
      <c r="AS532" s="83">
        <f t="shared" si="39"/>
        <v>8</v>
      </c>
      <c r="AT532" s="84">
        <f t="shared" si="40"/>
        <v>2008</v>
      </c>
      <c r="AU532" s="86"/>
      <c r="AV532" s="86"/>
      <c r="AW532" s="87"/>
      <c r="AX532" s="86"/>
      <c r="AY532" s="83"/>
      <c r="AZ532" s="84"/>
      <c r="BA532" s="86"/>
      <c r="BB532" s="86"/>
    </row>
    <row r="533" spans="1:54" ht="36.75" customHeight="1">
      <c r="A533" s="30"/>
      <c r="B533" s="30" t="s">
        <v>55</v>
      </c>
      <c r="C533" s="69" t="str">
        <f t="shared" si="37"/>
        <v>Closed</v>
      </c>
      <c r="D533" s="27" t="s">
        <v>3136</v>
      </c>
      <c r="E533" s="29" t="s">
        <v>3137</v>
      </c>
      <c r="F533" s="30" t="s">
        <v>835</v>
      </c>
      <c r="G533" s="89">
        <f>DATE(2008,8,14)</f>
        <v>39674</v>
      </c>
      <c r="H533" s="90">
        <v>1.6527777777777777</v>
      </c>
      <c r="I533" s="30" t="s">
        <v>116</v>
      </c>
      <c r="J533" s="89" t="s">
        <v>3138</v>
      </c>
      <c r="K533" s="30" t="s">
        <v>837</v>
      </c>
      <c r="L533" s="30" t="s">
        <v>3139</v>
      </c>
      <c r="M533" s="30" t="s">
        <v>63</v>
      </c>
      <c r="N533" s="30">
        <v>0</v>
      </c>
      <c r="O533" s="30" t="s">
        <v>64</v>
      </c>
      <c r="P533" s="89" t="s">
        <v>165</v>
      </c>
      <c r="Q533" s="89" t="s">
        <v>2162</v>
      </c>
      <c r="R533" s="89" t="s">
        <v>840</v>
      </c>
      <c r="S533" s="30">
        <v>0</v>
      </c>
      <c r="T533" s="233">
        <v>0</v>
      </c>
      <c r="U533" s="30">
        <v>5</v>
      </c>
      <c r="V533" s="233">
        <v>0</v>
      </c>
      <c r="W533" s="30">
        <v>0</v>
      </c>
      <c r="X533" s="30">
        <v>5</v>
      </c>
      <c r="Y533" s="30">
        <v>0</v>
      </c>
      <c r="Z533" s="233">
        <v>0</v>
      </c>
      <c r="AA533" s="30">
        <v>0</v>
      </c>
      <c r="AB533" s="30">
        <v>0</v>
      </c>
      <c r="AC533" s="30">
        <v>0</v>
      </c>
      <c r="AD533" s="30">
        <v>0</v>
      </c>
      <c r="AE533" s="89" t="s">
        <v>68</v>
      </c>
      <c r="AF533" s="89"/>
      <c r="AG533" s="89" t="s">
        <v>352</v>
      </c>
      <c r="AH533" s="72" t="s">
        <v>68</v>
      </c>
      <c r="AI533" s="30">
        <v>1</v>
      </c>
      <c r="AJ533" s="89" t="s">
        <v>68</v>
      </c>
      <c r="AK533" s="89" t="s">
        <v>68</v>
      </c>
      <c r="AL533" s="91">
        <v>39953</v>
      </c>
      <c r="AM533" s="91"/>
      <c r="AN533" s="91"/>
      <c r="AO533" s="91"/>
      <c r="AP533" s="73" t="e">
        <f>MID(VLOOKUP(K533,#REF!,2,FALSE),1,2)</f>
        <v>#REF!</v>
      </c>
      <c r="AQ533" s="89">
        <f>DATE(2008,8,14)</f>
        <v>39674</v>
      </c>
      <c r="AR533" s="82">
        <f t="shared" si="38"/>
        <v>14</v>
      </c>
      <c r="AS533" s="83">
        <f t="shared" si="39"/>
        <v>8</v>
      </c>
      <c r="AT533" s="84">
        <f t="shared" si="40"/>
        <v>2008</v>
      </c>
      <c r="AU533" s="86"/>
      <c r="AV533" s="86"/>
      <c r="AW533" s="87"/>
      <c r="AX533" s="86"/>
      <c r="AY533" s="83"/>
      <c r="AZ533" s="84"/>
      <c r="BA533" s="86"/>
      <c r="BB533" s="86"/>
    </row>
    <row r="534" spans="1:54" ht="36.75" customHeight="1">
      <c r="A534" s="30"/>
      <c r="B534" s="30" t="s">
        <v>55</v>
      </c>
      <c r="C534" s="69" t="str">
        <f t="shared" si="37"/>
        <v>Closed</v>
      </c>
      <c r="D534" s="27" t="s">
        <v>3140</v>
      </c>
      <c r="E534" s="29" t="s">
        <v>3141</v>
      </c>
      <c r="F534" s="30" t="s">
        <v>197</v>
      </c>
      <c r="G534" s="89">
        <f>DATE(2008,8,16)</f>
        <v>39676</v>
      </c>
      <c r="H534" s="90">
        <v>1.7645833333333334</v>
      </c>
      <c r="I534" s="30" t="s">
        <v>73</v>
      </c>
      <c r="J534" s="89" t="s">
        <v>3142</v>
      </c>
      <c r="K534" s="30" t="s">
        <v>200</v>
      </c>
      <c r="L534" s="30" t="s">
        <v>3143</v>
      </c>
      <c r="M534" s="30" t="s">
        <v>63</v>
      </c>
      <c r="N534" s="30">
        <v>0</v>
      </c>
      <c r="O534" s="30" t="s">
        <v>77</v>
      </c>
      <c r="P534" s="89" t="s">
        <v>78</v>
      </c>
      <c r="Q534" s="89" t="s">
        <v>3144</v>
      </c>
      <c r="R534" s="89" t="s">
        <v>203</v>
      </c>
      <c r="S534" s="30">
        <v>0</v>
      </c>
      <c r="T534" s="233" t="s">
        <v>68</v>
      </c>
      <c r="U534" s="30">
        <v>0</v>
      </c>
      <c r="V534" s="233" t="s">
        <v>68</v>
      </c>
      <c r="W534" s="30">
        <v>0</v>
      </c>
      <c r="X534" s="30">
        <v>0</v>
      </c>
      <c r="Y534" s="30">
        <v>0</v>
      </c>
      <c r="Z534" s="233" t="s">
        <v>68</v>
      </c>
      <c r="AA534" s="30">
        <v>0</v>
      </c>
      <c r="AB534" s="30">
        <v>0</v>
      </c>
      <c r="AC534" s="30">
        <v>0</v>
      </c>
      <c r="AD534" s="30">
        <v>0</v>
      </c>
      <c r="AE534" s="89" t="s">
        <v>68</v>
      </c>
      <c r="AF534" s="89"/>
      <c r="AG534" s="89" t="s">
        <v>874</v>
      </c>
      <c r="AH534" s="72" t="s">
        <v>68</v>
      </c>
      <c r="AI534" s="30">
        <v>8</v>
      </c>
      <c r="AJ534" s="89" t="s">
        <v>3145</v>
      </c>
      <c r="AK534" s="89" t="s">
        <v>68</v>
      </c>
      <c r="AL534" s="91">
        <v>40611</v>
      </c>
      <c r="AM534" s="91"/>
      <c r="AN534" s="91"/>
      <c r="AO534" s="91"/>
      <c r="AP534" s="73" t="e">
        <f>MID(VLOOKUP(K534,#REF!,2,FALSE),1,2)</f>
        <v>#REF!</v>
      </c>
      <c r="AQ534" s="89">
        <f>DATE(2008,8,16)</f>
        <v>39676</v>
      </c>
      <c r="AR534" s="82">
        <f t="shared" si="38"/>
        <v>16</v>
      </c>
      <c r="AS534" s="83">
        <f t="shared" si="39"/>
        <v>8</v>
      </c>
      <c r="AT534" s="84">
        <f t="shared" si="40"/>
        <v>2008</v>
      </c>
      <c r="AU534" s="86"/>
      <c r="AV534" s="86"/>
      <c r="AW534" s="87"/>
      <c r="AX534" s="86"/>
      <c r="AY534" s="83"/>
      <c r="AZ534" s="84"/>
      <c r="BA534" s="86"/>
      <c r="BB534" s="86"/>
    </row>
    <row r="535" spans="1:54" ht="36.75" customHeight="1">
      <c r="A535" s="30"/>
      <c r="B535" s="30" t="s">
        <v>55</v>
      </c>
      <c r="C535" s="69" t="str">
        <f t="shared" si="37"/>
        <v>Closed</v>
      </c>
      <c r="D535" s="27" t="s">
        <v>3146</v>
      </c>
      <c r="E535" s="29" t="s">
        <v>3147</v>
      </c>
      <c r="F535" s="30" t="s">
        <v>3148</v>
      </c>
      <c r="G535" s="89">
        <f>DATE(2008,8,20)</f>
        <v>39680</v>
      </c>
      <c r="H535" s="90">
        <v>1.6256944444444446</v>
      </c>
      <c r="I535" s="30" t="s">
        <v>116</v>
      </c>
      <c r="J535" s="89" t="s">
        <v>3149</v>
      </c>
      <c r="K535" s="30" t="s">
        <v>3150</v>
      </c>
      <c r="L535" s="30" t="s">
        <v>3151</v>
      </c>
      <c r="M535" s="30" t="s">
        <v>63</v>
      </c>
      <c r="N535" s="30">
        <v>0</v>
      </c>
      <c r="O535" s="30" t="s">
        <v>64</v>
      </c>
      <c r="P535" s="89" t="s">
        <v>78</v>
      </c>
      <c r="Q535" s="89" t="s">
        <v>3152</v>
      </c>
      <c r="R535" s="89" t="s">
        <v>3153</v>
      </c>
      <c r="S535" s="30">
        <v>0</v>
      </c>
      <c r="T535" s="233">
        <v>0</v>
      </c>
      <c r="U535" s="30">
        <v>1</v>
      </c>
      <c r="V535" s="233">
        <v>0</v>
      </c>
      <c r="W535" s="30">
        <v>0</v>
      </c>
      <c r="X535" s="30">
        <v>1</v>
      </c>
      <c r="Y535" s="30">
        <v>0</v>
      </c>
      <c r="Z535" s="233">
        <v>0</v>
      </c>
      <c r="AA535" s="30">
        <v>1</v>
      </c>
      <c r="AB535" s="30">
        <v>0</v>
      </c>
      <c r="AC535" s="30">
        <v>0</v>
      </c>
      <c r="AD535" s="30">
        <v>1</v>
      </c>
      <c r="AE535" s="89" t="s">
        <v>68</v>
      </c>
      <c r="AF535" s="89"/>
      <c r="AG535" s="89" t="s">
        <v>82</v>
      </c>
      <c r="AH535" s="72" t="s">
        <v>68</v>
      </c>
      <c r="AI535" s="30">
        <v>2</v>
      </c>
      <c r="AJ535" s="89" t="s">
        <v>3154</v>
      </c>
      <c r="AK535" s="89" t="s">
        <v>3155</v>
      </c>
      <c r="AL535" s="91">
        <v>39685</v>
      </c>
      <c r="AM535" s="91"/>
      <c r="AN535" s="91"/>
      <c r="AO535" s="91"/>
      <c r="AP535" s="73" t="e">
        <f>MID(VLOOKUP(K535,#REF!,2,FALSE),1,2)</f>
        <v>#REF!</v>
      </c>
      <c r="AQ535" s="89">
        <f>DATE(2008,8,20)</f>
        <v>39680</v>
      </c>
      <c r="AR535" s="82">
        <f t="shared" si="38"/>
        <v>20</v>
      </c>
      <c r="AS535" s="83">
        <f t="shared" si="39"/>
        <v>8</v>
      </c>
      <c r="AT535" s="84">
        <f t="shared" si="40"/>
        <v>2008</v>
      </c>
      <c r="AU535" s="86"/>
      <c r="AV535" s="86"/>
      <c r="AW535" s="87"/>
      <c r="AX535" s="86"/>
      <c r="AY535" s="83"/>
      <c r="AZ535" s="84"/>
      <c r="BA535" s="86"/>
      <c r="BB535" s="86"/>
    </row>
    <row r="536" spans="1:54" ht="36.75" customHeight="1">
      <c r="A536" s="30"/>
      <c r="B536" s="30" t="s">
        <v>55</v>
      </c>
      <c r="C536" s="69" t="str">
        <f t="shared" si="37"/>
        <v>Closed</v>
      </c>
      <c r="D536" s="27" t="s">
        <v>3156</v>
      </c>
      <c r="E536" s="29" t="s">
        <v>3157</v>
      </c>
      <c r="F536" s="30" t="s">
        <v>594</v>
      </c>
      <c r="G536" s="89">
        <f>DATE(2008,8,22)</f>
        <v>39682</v>
      </c>
      <c r="H536" s="90">
        <v>1.4583333333333333</v>
      </c>
      <c r="I536" s="30" t="s">
        <v>73</v>
      </c>
      <c r="J536" s="89" t="s">
        <v>3158</v>
      </c>
      <c r="K536" s="30" t="s">
        <v>596</v>
      </c>
      <c r="L536" s="30" t="s">
        <v>3159</v>
      </c>
      <c r="M536" s="30" t="s">
        <v>63</v>
      </c>
      <c r="N536" s="30">
        <v>0</v>
      </c>
      <c r="O536" s="30" t="s">
        <v>64</v>
      </c>
      <c r="P536" s="89" t="s">
        <v>165</v>
      </c>
      <c r="Q536" s="89" t="s">
        <v>598</v>
      </c>
      <c r="R536" s="89" t="s">
        <v>599</v>
      </c>
      <c r="S536" s="30">
        <v>1</v>
      </c>
      <c r="T536" s="233">
        <v>0</v>
      </c>
      <c r="U536" s="30">
        <v>0</v>
      </c>
      <c r="V536" s="233">
        <v>0</v>
      </c>
      <c r="W536" s="30">
        <v>0</v>
      </c>
      <c r="X536" s="30">
        <v>1</v>
      </c>
      <c r="Y536" s="30">
        <v>41</v>
      </c>
      <c r="Z536" s="233">
        <v>0</v>
      </c>
      <c r="AA536" s="30">
        <v>0</v>
      </c>
      <c r="AB536" s="30">
        <v>0</v>
      </c>
      <c r="AC536" s="30">
        <v>0</v>
      </c>
      <c r="AD536" s="30">
        <v>41</v>
      </c>
      <c r="AE536" s="89" t="s">
        <v>68</v>
      </c>
      <c r="AF536" s="89"/>
      <c r="AG536" s="89" t="s">
        <v>82</v>
      </c>
      <c r="AH536" s="72" t="s">
        <v>68</v>
      </c>
      <c r="AI536" s="30">
        <v>4</v>
      </c>
      <c r="AJ536" s="89" t="s">
        <v>68</v>
      </c>
      <c r="AK536" s="89" t="s">
        <v>68</v>
      </c>
      <c r="AL536" s="91">
        <v>39785</v>
      </c>
      <c r="AM536" s="91"/>
      <c r="AN536" s="91"/>
      <c r="AO536" s="91"/>
      <c r="AP536" s="73" t="e">
        <f>MID(VLOOKUP(K536,#REF!,2,FALSE),1,2)</f>
        <v>#REF!</v>
      </c>
      <c r="AQ536" s="89">
        <f>DATE(2008,8,22)</f>
        <v>39682</v>
      </c>
      <c r="AR536" s="82">
        <f t="shared" si="38"/>
        <v>22</v>
      </c>
      <c r="AS536" s="83">
        <f t="shared" si="39"/>
        <v>8</v>
      </c>
      <c r="AT536" s="84">
        <f t="shared" si="40"/>
        <v>2008</v>
      </c>
      <c r="AU536" s="86"/>
      <c r="AV536" s="86"/>
      <c r="AW536" s="87"/>
      <c r="AX536" s="86"/>
      <c r="AY536" s="83"/>
      <c r="AZ536" s="84"/>
      <c r="BA536" s="86"/>
      <c r="BB536" s="86"/>
    </row>
    <row r="537" spans="1:54" ht="36.75" customHeight="1">
      <c r="A537" s="30"/>
      <c r="B537" s="30" t="s">
        <v>55</v>
      </c>
      <c r="C537" s="69" t="str">
        <f t="shared" si="37"/>
        <v>Closed</v>
      </c>
      <c r="D537" s="27" t="s">
        <v>3160</v>
      </c>
      <c r="E537" s="29" t="s">
        <v>3161</v>
      </c>
      <c r="F537" s="30" t="s">
        <v>58</v>
      </c>
      <c r="G537" s="89">
        <f>DATE(2008,8,26)</f>
        <v>39686</v>
      </c>
      <c r="H537" s="90">
        <v>1.4465277777777779</v>
      </c>
      <c r="I537" s="30" t="s">
        <v>116</v>
      </c>
      <c r="J537" s="89" t="s">
        <v>3162</v>
      </c>
      <c r="K537" s="30" t="s">
        <v>61</v>
      </c>
      <c r="L537" s="30" t="s">
        <v>3163</v>
      </c>
      <c r="M537" s="30" t="s">
        <v>63</v>
      </c>
      <c r="N537" s="30" t="s">
        <v>99</v>
      </c>
      <c r="O537" s="30" t="s">
        <v>64</v>
      </c>
      <c r="P537" s="89" t="s">
        <v>301</v>
      </c>
      <c r="Q537" s="89" t="s">
        <v>3164</v>
      </c>
      <c r="R537" s="89" t="s">
        <v>67</v>
      </c>
      <c r="S537" s="30">
        <v>0</v>
      </c>
      <c r="T537" s="233">
        <v>0</v>
      </c>
      <c r="U537" s="30">
        <v>1</v>
      </c>
      <c r="V537" s="233">
        <v>0</v>
      </c>
      <c r="W537" s="30">
        <v>0</v>
      </c>
      <c r="X537" s="30">
        <v>1</v>
      </c>
      <c r="Y537" s="30">
        <v>0</v>
      </c>
      <c r="Z537" s="233">
        <v>0</v>
      </c>
      <c r="AA537" s="30">
        <v>0</v>
      </c>
      <c r="AB537" s="30">
        <v>0</v>
      </c>
      <c r="AC537" s="30">
        <v>0</v>
      </c>
      <c r="AD537" s="30">
        <v>0</v>
      </c>
      <c r="AE537" s="89" t="s">
        <v>92</v>
      </c>
      <c r="AF537" s="89"/>
      <c r="AG537" s="89" t="s">
        <v>82</v>
      </c>
      <c r="AH537" s="72">
        <v>39688</v>
      </c>
      <c r="AI537" s="30">
        <v>3</v>
      </c>
      <c r="AJ537" s="89" t="s">
        <v>3165</v>
      </c>
      <c r="AK537" s="89" t="s">
        <v>3166</v>
      </c>
      <c r="AL537" s="91">
        <v>39688</v>
      </c>
      <c r="AM537" s="91"/>
      <c r="AN537" s="91"/>
      <c r="AO537" s="91"/>
      <c r="AP537" s="73" t="e">
        <f>MID(VLOOKUP(K537,#REF!,2,FALSE),1,2)</f>
        <v>#REF!</v>
      </c>
      <c r="AQ537" s="89">
        <f>DATE(2008,8,26)</f>
        <v>39686</v>
      </c>
      <c r="AR537" s="82">
        <f t="shared" si="38"/>
        <v>26</v>
      </c>
      <c r="AS537" s="83">
        <f t="shared" si="39"/>
        <v>8</v>
      </c>
      <c r="AT537" s="84">
        <f t="shared" si="40"/>
        <v>2008</v>
      </c>
      <c r="AU537" s="86"/>
      <c r="AV537" s="86"/>
      <c r="AW537" s="87"/>
      <c r="AX537" s="86"/>
      <c r="AY537" s="83"/>
      <c r="AZ537" s="84"/>
      <c r="BA537" s="86"/>
      <c r="BB537" s="86"/>
    </row>
    <row r="538" spans="1:54" ht="36.75" customHeight="1">
      <c r="A538" s="30"/>
      <c r="B538" s="30" t="s">
        <v>55</v>
      </c>
      <c r="C538" s="69" t="str">
        <f t="shared" si="37"/>
        <v>Closed</v>
      </c>
      <c r="D538" s="27" t="s">
        <v>3167</v>
      </c>
      <c r="E538" s="29" t="s">
        <v>3168</v>
      </c>
      <c r="F538" s="30" t="s">
        <v>638</v>
      </c>
      <c r="G538" s="89">
        <f>DATE(2008,8,29)</f>
        <v>39689</v>
      </c>
      <c r="H538" s="90">
        <v>1.5354166666666667</v>
      </c>
      <c r="I538" s="30" t="s">
        <v>278</v>
      </c>
      <c r="J538" s="89" t="s">
        <v>3169</v>
      </c>
      <c r="K538" s="30" t="s">
        <v>640</v>
      </c>
      <c r="L538" s="30" t="s">
        <v>3170</v>
      </c>
      <c r="M538" s="30" t="s">
        <v>63</v>
      </c>
      <c r="N538" s="30">
        <v>0</v>
      </c>
      <c r="O538" s="30" t="s">
        <v>86</v>
      </c>
      <c r="P538" s="89" t="s">
        <v>165</v>
      </c>
      <c r="Q538" s="89" t="s">
        <v>642</v>
      </c>
      <c r="R538" s="89" t="s">
        <v>643</v>
      </c>
      <c r="S538" s="30">
        <v>0</v>
      </c>
      <c r="T538" s="233">
        <v>0</v>
      </c>
      <c r="U538" s="30">
        <v>0</v>
      </c>
      <c r="V538" s="233">
        <v>1</v>
      </c>
      <c r="W538" s="30">
        <v>0</v>
      </c>
      <c r="X538" s="30">
        <v>1</v>
      </c>
      <c r="Y538" s="30">
        <v>0</v>
      </c>
      <c r="Z538" s="233">
        <v>0</v>
      </c>
      <c r="AA538" s="30">
        <v>0</v>
      </c>
      <c r="AB538" s="30">
        <v>0</v>
      </c>
      <c r="AC538" s="30">
        <v>0</v>
      </c>
      <c r="AD538" s="30">
        <v>0</v>
      </c>
      <c r="AE538" s="89" t="s">
        <v>68</v>
      </c>
      <c r="AF538" s="89"/>
      <c r="AG538" s="89" t="s">
        <v>248</v>
      </c>
      <c r="AH538" s="72" t="s">
        <v>68</v>
      </c>
      <c r="AI538" s="30">
        <v>1</v>
      </c>
      <c r="AJ538" s="89" t="s">
        <v>68</v>
      </c>
      <c r="AK538" s="89" t="s">
        <v>68</v>
      </c>
      <c r="AL538" s="91">
        <v>39772</v>
      </c>
      <c r="AM538" s="91"/>
      <c r="AN538" s="91"/>
      <c r="AO538" s="91"/>
      <c r="AP538" s="73" t="e">
        <f>MID(VLOOKUP(K538,#REF!,2,FALSE),1,2)</f>
        <v>#REF!</v>
      </c>
      <c r="AQ538" s="89">
        <f>DATE(2008,8,29)</f>
        <v>39689</v>
      </c>
      <c r="AR538" s="82">
        <f t="shared" si="38"/>
        <v>29</v>
      </c>
      <c r="AS538" s="83">
        <f t="shared" si="39"/>
        <v>8</v>
      </c>
      <c r="AT538" s="84">
        <f t="shared" si="40"/>
        <v>2008</v>
      </c>
      <c r="AU538" s="86"/>
      <c r="AV538" s="86"/>
      <c r="AW538" s="87"/>
      <c r="AX538" s="86"/>
      <c r="AY538" s="83"/>
      <c r="AZ538" s="84"/>
      <c r="BA538" s="86"/>
      <c r="BB538" s="86"/>
    </row>
    <row r="539" spans="1:54" ht="36.75" customHeight="1">
      <c r="A539" s="30"/>
      <c r="B539" s="30" t="s">
        <v>55</v>
      </c>
      <c r="C539" s="69" t="str">
        <f t="shared" si="37"/>
        <v>Closed</v>
      </c>
      <c r="D539" s="27" t="s">
        <v>3171</v>
      </c>
      <c r="E539" s="29" t="s">
        <v>3172</v>
      </c>
      <c r="F539" s="30" t="s">
        <v>124</v>
      </c>
      <c r="G539" s="89">
        <f>DATE(2008,8,29)</f>
        <v>39689</v>
      </c>
      <c r="H539" s="90">
        <v>1.9861111111111112</v>
      </c>
      <c r="I539" s="30" t="s">
        <v>156</v>
      </c>
      <c r="J539" s="89" t="s">
        <v>3173</v>
      </c>
      <c r="K539" s="30" t="s">
        <v>127</v>
      </c>
      <c r="L539" s="30" t="s">
        <v>3174</v>
      </c>
      <c r="M539" s="30" t="s">
        <v>255</v>
      </c>
      <c r="N539" s="30">
        <v>0</v>
      </c>
      <c r="O539" s="30" t="s">
        <v>86</v>
      </c>
      <c r="P539" s="89" t="s">
        <v>86</v>
      </c>
      <c r="Q539" s="89" t="s">
        <v>978</v>
      </c>
      <c r="R539" s="89" t="s">
        <v>3175</v>
      </c>
      <c r="S539" s="30">
        <v>0</v>
      </c>
      <c r="T539" s="233" t="s">
        <v>68</v>
      </c>
      <c r="U539" s="30">
        <v>0</v>
      </c>
      <c r="V539" s="233" t="s">
        <v>68</v>
      </c>
      <c r="W539" s="30">
        <v>0</v>
      </c>
      <c r="X539" s="30">
        <v>0</v>
      </c>
      <c r="Y539" s="30">
        <v>0</v>
      </c>
      <c r="Z539" s="233" t="s">
        <v>68</v>
      </c>
      <c r="AA539" s="30">
        <v>0</v>
      </c>
      <c r="AB539" s="30">
        <v>0</v>
      </c>
      <c r="AC539" s="30">
        <v>0</v>
      </c>
      <c r="AD539" s="30">
        <v>0</v>
      </c>
      <c r="AE539" s="89" t="s">
        <v>68</v>
      </c>
      <c r="AF539" s="89"/>
      <c r="AG539" s="89" t="s">
        <v>367</v>
      </c>
      <c r="AH539" s="72" t="s">
        <v>68</v>
      </c>
      <c r="AI539" s="30">
        <v>5</v>
      </c>
      <c r="AJ539" s="89" t="s">
        <v>3176</v>
      </c>
      <c r="AK539" s="89" t="s">
        <v>68</v>
      </c>
      <c r="AL539" s="91">
        <v>39706</v>
      </c>
      <c r="AM539" s="91"/>
      <c r="AN539" s="91"/>
      <c r="AO539" s="91"/>
      <c r="AP539" s="73" t="e">
        <f>MID(VLOOKUP(K539,#REF!,2,FALSE),1,2)</f>
        <v>#REF!</v>
      </c>
      <c r="AQ539" s="89">
        <f>DATE(2008,8,29)</f>
        <v>39689</v>
      </c>
      <c r="AR539" s="82">
        <f t="shared" si="38"/>
        <v>29</v>
      </c>
      <c r="AS539" s="83">
        <f t="shared" si="39"/>
        <v>8</v>
      </c>
      <c r="AT539" s="84">
        <f t="shared" si="40"/>
        <v>2008</v>
      </c>
      <c r="AU539" s="86"/>
      <c r="AV539" s="86"/>
      <c r="AW539" s="87"/>
      <c r="AX539" s="86"/>
      <c r="AY539" s="83"/>
      <c r="AZ539" s="84"/>
      <c r="BA539" s="86"/>
      <c r="BB539" s="86"/>
    </row>
    <row r="540" spans="1:54" ht="36.75" customHeight="1">
      <c r="A540" s="30"/>
      <c r="B540" s="30" t="s">
        <v>55</v>
      </c>
      <c r="C540" s="69" t="str">
        <f t="shared" si="37"/>
        <v>Closed</v>
      </c>
      <c r="D540" s="27" t="s">
        <v>3177</v>
      </c>
      <c r="E540" s="29" t="s">
        <v>3178</v>
      </c>
      <c r="F540" s="30" t="s">
        <v>124</v>
      </c>
      <c r="G540" s="89">
        <f>DATE(2008,8,31)</f>
        <v>39691</v>
      </c>
      <c r="H540" s="90">
        <v>1.5625</v>
      </c>
      <c r="I540" s="30" t="s">
        <v>431</v>
      </c>
      <c r="J540" s="89" t="s">
        <v>3179</v>
      </c>
      <c r="K540" s="30" t="s">
        <v>127</v>
      </c>
      <c r="L540" s="30" t="s">
        <v>3180</v>
      </c>
      <c r="M540" s="30" t="s">
        <v>63</v>
      </c>
      <c r="N540" s="30">
        <v>0</v>
      </c>
      <c r="O540" s="30" t="s">
        <v>64</v>
      </c>
      <c r="P540" s="89" t="s">
        <v>165</v>
      </c>
      <c r="Q540" s="89" t="s">
        <v>3181</v>
      </c>
      <c r="R540" s="89" t="s">
        <v>167</v>
      </c>
      <c r="S540" s="30">
        <v>0</v>
      </c>
      <c r="T540" s="233" t="s">
        <v>68</v>
      </c>
      <c r="U540" s="30">
        <v>0</v>
      </c>
      <c r="V540" s="233" t="s">
        <v>68</v>
      </c>
      <c r="W540" s="30">
        <v>0</v>
      </c>
      <c r="X540" s="30">
        <v>0</v>
      </c>
      <c r="Y540" s="30">
        <v>0</v>
      </c>
      <c r="Z540" s="233" t="s">
        <v>68</v>
      </c>
      <c r="AA540" s="30">
        <v>0</v>
      </c>
      <c r="AB540" s="30">
        <v>0</v>
      </c>
      <c r="AC540" s="30">
        <v>0</v>
      </c>
      <c r="AD540" s="30">
        <v>0</v>
      </c>
      <c r="AE540" s="89" t="s">
        <v>68</v>
      </c>
      <c r="AF540" s="89"/>
      <c r="AG540" s="89" t="s">
        <v>133</v>
      </c>
      <c r="AH540" s="72" t="s">
        <v>68</v>
      </c>
      <c r="AI540" s="30">
        <v>0</v>
      </c>
      <c r="AJ540" s="89" t="s">
        <v>3182</v>
      </c>
      <c r="AK540" s="89" t="s">
        <v>3183</v>
      </c>
      <c r="AL540" s="91">
        <v>39727</v>
      </c>
      <c r="AM540" s="91"/>
      <c r="AN540" s="91"/>
      <c r="AO540" s="91"/>
      <c r="AP540" s="73" t="e">
        <f>MID(VLOOKUP(K540,#REF!,2,FALSE),1,2)</f>
        <v>#REF!</v>
      </c>
      <c r="AQ540" s="89">
        <f>DATE(2008,8,31)</f>
        <v>39691</v>
      </c>
      <c r="AR540" s="82">
        <f t="shared" si="38"/>
        <v>31</v>
      </c>
      <c r="AS540" s="83">
        <f t="shared" si="39"/>
        <v>8</v>
      </c>
      <c r="AT540" s="84">
        <f t="shared" si="40"/>
        <v>2008</v>
      </c>
      <c r="AU540" s="86"/>
      <c r="AV540" s="86"/>
      <c r="AW540" s="87"/>
      <c r="AX540" s="86"/>
      <c r="AY540" s="83"/>
      <c r="AZ540" s="84"/>
      <c r="BA540" s="86"/>
      <c r="BB540" s="86"/>
    </row>
    <row r="541" spans="1:54" ht="36.75" customHeight="1">
      <c r="A541" s="30"/>
      <c r="B541" s="30" t="s">
        <v>55</v>
      </c>
      <c r="C541" s="69" t="str">
        <f t="shared" si="37"/>
        <v>Closed</v>
      </c>
      <c r="D541" s="27" t="s">
        <v>3184</v>
      </c>
      <c r="E541" s="29" t="s">
        <v>3185</v>
      </c>
      <c r="F541" s="30" t="s">
        <v>638</v>
      </c>
      <c r="G541" s="89">
        <f>DATE(2008,9,1)</f>
        <v>39692</v>
      </c>
      <c r="H541" s="90">
        <v>1.7166666666666668</v>
      </c>
      <c r="I541" s="30" t="s">
        <v>156</v>
      </c>
      <c r="J541" s="89" t="s">
        <v>3186</v>
      </c>
      <c r="K541" s="30" t="s">
        <v>640</v>
      </c>
      <c r="L541" s="30" t="s">
        <v>3187</v>
      </c>
      <c r="M541" s="30" t="s">
        <v>63</v>
      </c>
      <c r="N541" s="30">
        <v>0</v>
      </c>
      <c r="O541" s="30" t="s">
        <v>77</v>
      </c>
      <c r="P541" s="89" t="s">
        <v>381</v>
      </c>
      <c r="Q541" s="89" t="s">
        <v>642</v>
      </c>
      <c r="R541" s="89" t="s">
        <v>643</v>
      </c>
      <c r="S541" s="30">
        <v>0</v>
      </c>
      <c r="T541" s="233">
        <v>1</v>
      </c>
      <c r="U541" s="30">
        <v>0</v>
      </c>
      <c r="V541" s="233">
        <v>0</v>
      </c>
      <c r="W541" s="30">
        <v>0</v>
      </c>
      <c r="X541" s="30">
        <v>1</v>
      </c>
      <c r="Y541" s="30">
        <v>0</v>
      </c>
      <c r="Z541" s="233">
        <v>0</v>
      </c>
      <c r="AA541" s="30">
        <v>0</v>
      </c>
      <c r="AB541" s="30">
        <v>0</v>
      </c>
      <c r="AC541" s="30">
        <v>0</v>
      </c>
      <c r="AD541" s="30">
        <v>0</v>
      </c>
      <c r="AE541" s="89" t="s">
        <v>68</v>
      </c>
      <c r="AF541" s="89"/>
      <c r="AG541" s="89" t="s">
        <v>82</v>
      </c>
      <c r="AH541" s="72" t="s">
        <v>68</v>
      </c>
      <c r="AI541" s="30">
        <v>1</v>
      </c>
      <c r="AJ541" s="89" t="s">
        <v>3188</v>
      </c>
      <c r="AK541" s="89" t="s">
        <v>68</v>
      </c>
      <c r="AL541" s="91">
        <v>39772</v>
      </c>
      <c r="AM541" s="91"/>
      <c r="AN541" s="91"/>
      <c r="AO541" s="91"/>
      <c r="AP541" s="73" t="e">
        <f>MID(VLOOKUP(K541,#REF!,2,FALSE),1,2)</f>
        <v>#REF!</v>
      </c>
      <c r="AQ541" s="89">
        <f>DATE(2008,9,1)</f>
        <v>39692</v>
      </c>
      <c r="AR541" s="82">
        <f t="shared" si="38"/>
        <v>1</v>
      </c>
      <c r="AS541" s="83">
        <f t="shared" si="39"/>
        <v>9</v>
      </c>
      <c r="AT541" s="84">
        <f t="shared" si="40"/>
        <v>2008</v>
      </c>
      <c r="AU541" s="86"/>
      <c r="AV541" s="86"/>
      <c r="AW541" s="87"/>
      <c r="AX541" s="86"/>
      <c r="AY541" s="83"/>
      <c r="AZ541" s="84"/>
      <c r="BA541" s="86"/>
      <c r="BB541" s="86"/>
    </row>
    <row r="542" spans="1:54" ht="36.75" customHeight="1">
      <c r="A542" s="30"/>
      <c r="B542" s="30" t="s">
        <v>55</v>
      </c>
      <c r="C542" s="69" t="str">
        <f t="shared" si="37"/>
        <v>Closed</v>
      </c>
      <c r="D542" s="27" t="s">
        <v>3189</v>
      </c>
      <c r="E542" s="29" t="s">
        <v>3190</v>
      </c>
      <c r="F542" s="30" t="s">
        <v>377</v>
      </c>
      <c r="G542" s="89">
        <f>DATE(2008,9,1)</f>
        <v>39692</v>
      </c>
      <c r="H542" s="90">
        <v>1.4756944444444444</v>
      </c>
      <c r="I542" s="30" t="s">
        <v>278</v>
      </c>
      <c r="J542" s="89" t="s">
        <v>3191</v>
      </c>
      <c r="K542" s="30" t="s">
        <v>379</v>
      </c>
      <c r="L542" s="30" t="s">
        <v>3192</v>
      </c>
      <c r="M542" s="30" t="s">
        <v>63</v>
      </c>
      <c r="N542" s="30">
        <v>0</v>
      </c>
      <c r="O542" s="30" t="s">
        <v>77</v>
      </c>
      <c r="P542" s="89" t="s">
        <v>165</v>
      </c>
      <c r="Q542" s="89" t="s">
        <v>3193</v>
      </c>
      <c r="R542" s="89" t="s">
        <v>382</v>
      </c>
      <c r="S542" s="30">
        <v>0</v>
      </c>
      <c r="T542" s="233">
        <v>2</v>
      </c>
      <c r="U542" s="30">
        <v>0</v>
      </c>
      <c r="V542" s="233">
        <v>0</v>
      </c>
      <c r="W542" s="30">
        <v>0</v>
      </c>
      <c r="X542" s="30">
        <v>2</v>
      </c>
      <c r="Y542" s="30">
        <v>0</v>
      </c>
      <c r="Z542" s="233">
        <v>0</v>
      </c>
      <c r="AA542" s="30">
        <v>0</v>
      </c>
      <c r="AB542" s="30">
        <v>0</v>
      </c>
      <c r="AC542" s="30">
        <v>0</v>
      </c>
      <c r="AD542" s="30">
        <v>0</v>
      </c>
      <c r="AE542" s="89" t="s">
        <v>68</v>
      </c>
      <c r="AF542" s="89"/>
      <c r="AG542" s="89" t="s">
        <v>82</v>
      </c>
      <c r="AH542" s="72" t="s">
        <v>68</v>
      </c>
      <c r="AI542" s="30">
        <v>2</v>
      </c>
      <c r="AJ542" s="89" t="s">
        <v>68</v>
      </c>
      <c r="AK542" s="89" t="s">
        <v>68</v>
      </c>
      <c r="AL542" s="91">
        <v>39699</v>
      </c>
      <c r="AM542" s="91"/>
      <c r="AN542" s="91"/>
      <c r="AO542" s="91"/>
      <c r="AP542" s="73" t="e">
        <f>MID(VLOOKUP(K542,#REF!,2,FALSE),1,2)</f>
        <v>#REF!</v>
      </c>
      <c r="AQ542" s="89">
        <f>DATE(2008,9,1)</f>
        <v>39692</v>
      </c>
      <c r="AR542" s="82">
        <f t="shared" si="38"/>
        <v>1</v>
      </c>
      <c r="AS542" s="83">
        <f t="shared" si="39"/>
        <v>9</v>
      </c>
      <c r="AT542" s="84">
        <f t="shared" si="40"/>
        <v>2008</v>
      </c>
      <c r="AU542" s="86"/>
      <c r="AV542" s="86"/>
      <c r="AW542" s="87"/>
      <c r="AX542" s="86"/>
      <c r="AY542" s="83"/>
      <c r="AZ542" s="84"/>
      <c r="BA542" s="86"/>
      <c r="BB542" s="86"/>
    </row>
    <row r="543" spans="1:54" ht="36.75" customHeight="1">
      <c r="A543" s="30"/>
      <c r="B543" s="30" t="s">
        <v>55</v>
      </c>
      <c r="C543" s="69" t="str">
        <f t="shared" si="37"/>
        <v>Closed</v>
      </c>
      <c r="D543" s="27" t="s">
        <v>3194</v>
      </c>
      <c r="E543" s="29" t="s">
        <v>3195</v>
      </c>
      <c r="F543" s="30" t="s">
        <v>197</v>
      </c>
      <c r="G543" s="89">
        <f>DATE(2008,9,6)</f>
        <v>39697</v>
      </c>
      <c r="H543" s="90">
        <v>1.3555555555555556</v>
      </c>
      <c r="I543" s="30" t="s">
        <v>73</v>
      </c>
      <c r="J543" s="89" t="s">
        <v>3196</v>
      </c>
      <c r="K543" s="30" t="s">
        <v>200</v>
      </c>
      <c r="L543" s="30" t="s">
        <v>3197</v>
      </c>
      <c r="M543" s="30" t="s">
        <v>63</v>
      </c>
      <c r="N543" s="30">
        <v>0</v>
      </c>
      <c r="O543" s="30" t="s">
        <v>77</v>
      </c>
      <c r="P543" s="89" t="s">
        <v>78</v>
      </c>
      <c r="Q543" s="89" t="s">
        <v>1716</v>
      </c>
      <c r="R543" s="89" t="s">
        <v>203</v>
      </c>
      <c r="S543" s="30">
        <v>0</v>
      </c>
      <c r="T543" s="233" t="s">
        <v>68</v>
      </c>
      <c r="U543" s="30">
        <v>0</v>
      </c>
      <c r="V543" s="233" t="s">
        <v>68</v>
      </c>
      <c r="W543" s="30">
        <v>0</v>
      </c>
      <c r="X543" s="30">
        <v>0</v>
      </c>
      <c r="Y543" s="30">
        <v>0</v>
      </c>
      <c r="Z543" s="233" t="s">
        <v>68</v>
      </c>
      <c r="AA543" s="30">
        <v>0</v>
      </c>
      <c r="AB543" s="30">
        <v>0</v>
      </c>
      <c r="AC543" s="30">
        <v>0</v>
      </c>
      <c r="AD543" s="30">
        <v>0</v>
      </c>
      <c r="AE543" s="89" t="s">
        <v>68</v>
      </c>
      <c r="AF543" s="89"/>
      <c r="AG543" s="89" t="s">
        <v>352</v>
      </c>
      <c r="AH543" s="72" t="s">
        <v>68</v>
      </c>
      <c r="AI543" s="30">
        <v>3</v>
      </c>
      <c r="AJ543" s="89" t="s">
        <v>3198</v>
      </c>
      <c r="AK543" s="89" t="s">
        <v>68</v>
      </c>
      <c r="AL543" s="91">
        <v>40611</v>
      </c>
      <c r="AM543" s="91"/>
      <c r="AN543" s="91"/>
      <c r="AO543" s="91"/>
      <c r="AP543" s="73" t="e">
        <f>MID(VLOOKUP(K543,#REF!,2,FALSE),1,2)</f>
        <v>#REF!</v>
      </c>
      <c r="AQ543" s="89">
        <f>DATE(2008,9,6)</f>
        <v>39697</v>
      </c>
      <c r="AR543" s="82">
        <f t="shared" si="38"/>
        <v>6</v>
      </c>
      <c r="AS543" s="83">
        <f t="shared" si="39"/>
        <v>9</v>
      </c>
      <c r="AT543" s="84">
        <f t="shared" si="40"/>
        <v>2008</v>
      </c>
      <c r="AU543" s="86"/>
      <c r="AV543" s="86"/>
      <c r="AW543" s="87"/>
      <c r="AX543" s="86"/>
      <c r="AY543" s="83"/>
      <c r="AZ543" s="84"/>
      <c r="BA543" s="86"/>
      <c r="BB543" s="86"/>
    </row>
    <row r="544" spans="1:54" ht="36.75" customHeight="1">
      <c r="A544" s="30"/>
      <c r="B544" s="30" t="s">
        <v>55</v>
      </c>
      <c r="C544" s="69" t="str">
        <f t="shared" si="37"/>
        <v>Closed</v>
      </c>
      <c r="D544" s="27" t="s">
        <v>3199</v>
      </c>
      <c r="E544" s="29" t="s">
        <v>3200</v>
      </c>
      <c r="F544" s="30" t="s">
        <v>835</v>
      </c>
      <c r="G544" s="89">
        <f>DATE(2008,9,6)</f>
        <v>39697</v>
      </c>
      <c r="H544" s="90">
        <v>1.4604166666666667</v>
      </c>
      <c r="I544" s="30" t="s">
        <v>116</v>
      </c>
      <c r="J544" s="89" t="s">
        <v>3201</v>
      </c>
      <c r="K544" s="30" t="s">
        <v>837</v>
      </c>
      <c r="L544" s="30" t="s">
        <v>3202</v>
      </c>
      <c r="M544" s="30" t="s">
        <v>63</v>
      </c>
      <c r="N544" s="30">
        <v>0</v>
      </c>
      <c r="O544" s="30" t="s">
        <v>77</v>
      </c>
      <c r="P544" s="89" t="s">
        <v>165</v>
      </c>
      <c r="Q544" s="89" t="s">
        <v>2796</v>
      </c>
      <c r="R544" s="89" t="s">
        <v>2797</v>
      </c>
      <c r="S544" s="30">
        <v>0</v>
      </c>
      <c r="T544" s="233">
        <v>0</v>
      </c>
      <c r="U544" s="30">
        <v>4</v>
      </c>
      <c r="V544" s="233">
        <v>0</v>
      </c>
      <c r="W544" s="30">
        <v>0</v>
      </c>
      <c r="X544" s="30">
        <v>4</v>
      </c>
      <c r="Y544" s="30">
        <v>0</v>
      </c>
      <c r="Z544" s="233">
        <v>0</v>
      </c>
      <c r="AA544" s="30">
        <v>1</v>
      </c>
      <c r="AB544" s="30">
        <v>0</v>
      </c>
      <c r="AC544" s="30">
        <v>0</v>
      </c>
      <c r="AD544" s="30">
        <v>1</v>
      </c>
      <c r="AE544" s="89" t="s">
        <v>68</v>
      </c>
      <c r="AF544" s="89"/>
      <c r="AG544" s="89" t="s">
        <v>352</v>
      </c>
      <c r="AH544" s="72" t="s">
        <v>68</v>
      </c>
      <c r="AI544" s="30">
        <v>0</v>
      </c>
      <c r="AJ544" s="89" t="s">
        <v>68</v>
      </c>
      <c r="AK544" s="89" t="s">
        <v>68</v>
      </c>
      <c r="AL544" s="91">
        <v>39953</v>
      </c>
      <c r="AM544" s="91"/>
      <c r="AN544" s="91"/>
      <c r="AO544" s="91"/>
      <c r="AP544" s="73" t="e">
        <f>MID(VLOOKUP(K544,#REF!,2,FALSE),1,2)</f>
        <v>#REF!</v>
      </c>
      <c r="AQ544" s="89">
        <f>DATE(2008,9,6)</f>
        <v>39697</v>
      </c>
      <c r="AR544" s="82">
        <f t="shared" si="38"/>
        <v>6</v>
      </c>
      <c r="AS544" s="83">
        <f t="shared" si="39"/>
        <v>9</v>
      </c>
      <c r="AT544" s="84">
        <f t="shared" si="40"/>
        <v>2008</v>
      </c>
      <c r="AU544" s="86"/>
      <c r="AV544" s="86"/>
      <c r="AW544" s="87"/>
      <c r="AX544" s="86"/>
      <c r="AY544" s="83"/>
      <c r="AZ544" s="84"/>
      <c r="BA544" s="86"/>
      <c r="BB544" s="86"/>
    </row>
    <row r="545" spans="1:54" ht="36.75" customHeight="1">
      <c r="A545" s="30"/>
      <c r="B545" s="30" t="s">
        <v>55</v>
      </c>
      <c r="C545" s="69" t="str">
        <f t="shared" si="37"/>
        <v>Closed</v>
      </c>
      <c r="D545" s="27" t="s">
        <v>3203</v>
      </c>
      <c r="E545" s="29" t="s">
        <v>3204</v>
      </c>
      <c r="F545" s="30" t="s">
        <v>835</v>
      </c>
      <c r="G545" s="89">
        <f>DATE(2008,9,9)</f>
        <v>39700</v>
      </c>
      <c r="H545" s="90">
        <v>1.5368055555555555</v>
      </c>
      <c r="I545" s="30" t="s">
        <v>73</v>
      </c>
      <c r="J545" s="89" t="s">
        <v>3205</v>
      </c>
      <c r="K545" s="30" t="s">
        <v>837</v>
      </c>
      <c r="L545" s="30" t="s">
        <v>3206</v>
      </c>
      <c r="M545" s="30" t="s">
        <v>63</v>
      </c>
      <c r="N545" s="30">
        <v>0</v>
      </c>
      <c r="O545" s="30" t="s">
        <v>77</v>
      </c>
      <c r="P545" s="89" t="s">
        <v>78</v>
      </c>
      <c r="Q545" s="89" t="s">
        <v>1349</v>
      </c>
      <c r="R545" s="89" t="s">
        <v>840</v>
      </c>
      <c r="S545" s="30">
        <v>0</v>
      </c>
      <c r="T545" s="233" t="s">
        <v>68</v>
      </c>
      <c r="U545" s="30">
        <v>0</v>
      </c>
      <c r="V545" s="233" t="s">
        <v>68</v>
      </c>
      <c r="W545" s="30">
        <v>0</v>
      </c>
      <c r="X545" s="30">
        <v>0</v>
      </c>
      <c r="Y545" s="30">
        <v>0</v>
      </c>
      <c r="Z545" s="233" t="s">
        <v>68</v>
      </c>
      <c r="AA545" s="30">
        <v>0</v>
      </c>
      <c r="AB545" s="30">
        <v>0</v>
      </c>
      <c r="AC545" s="30">
        <v>0</v>
      </c>
      <c r="AD545" s="30">
        <v>0</v>
      </c>
      <c r="AE545" s="89" t="s">
        <v>68</v>
      </c>
      <c r="AF545" s="89"/>
      <c r="AG545" s="89" t="s">
        <v>352</v>
      </c>
      <c r="AH545" s="72" t="s">
        <v>68</v>
      </c>
      <c r="AI545" s="30">
        <v>0</v>
      </c>
      <c r="AJ545" s="89" t="s">
        <v>68</v>
      </c>
      <c r="AK545" s="89" t="s">
        <v>68</v>
      </c>
      <c r="AL545" s="91">
        <v>39953</v>
      </c>
      <c r="AM545" s="91"/>
      <c r="AN545" s="91"/>
      <c r="AO545" s="91"/>
      <c r="AP545" s="73" t="e">
        <f>MID(VLOOKUP(K545,#REF!,2,FALSE),1,2)</f>
        <v>#REF!</v>
      </c>
      <c r="AQ545" s="89">
        <f>DATE(2008,9,9)</f>
        <v>39700</v>
      </c>
      <c r="AR545" s="82">
        <f t="shared" si="38"/>
        <v>9</v>
      </c>
      <c r="AS545" s="83">
        <f t="shared" si="39"/>
        <v>9</v>
      </c>
      <c r="AT545" s="84">
        <f t="shared" si="40"/>
        <v>2008</v>
      </c>
      <c r="AU545" s="86"/>
      <c r="AV545" s="86"/>
      <c r="AW545" s="87"/>
      <c r="AX545" s="86"/>
      <c r="AY545" s="83"/>
      <c r="AZ545" s="84"/>
      <c r="BA545" s="86"/>
      <c r="BB545" s="86"/>
    </row>
    <row r="546" spans="1:54" ht="36.75" customHeight="1">
      <c r="A546" s="30"/>
      <c r="B546" s="30" t="s">
        <v>55</v>
      </c>
      <c r="C546" s="69" t="str">
        <f t="shared" si="37"/>
        <v>Closed</v>
      </c>
      <c r="D546" s="27" t="s">
        <v>3207</v>
      </c>
      <c r="E546" s="29" t="s">
        <v>3208</v>
      </c>
      <c r="F546" s="30" t="s">
        <v>638</v>
      </c>
      <c r="G546" s="89">
        <f>DATE(2008,9,10)</f>
        <v>39701</v>
      </c>
      <c r="H546" s="90">
        <v>1.6347222222222222</v>
      </c>
      <c r="I546" s="30" t="s">
        <v>278</v>
      </c>
      <c r="J546" s="89" t="s">
        <v>3209</v>
      </c>
      <c r="K546" s="30" t="s">
        <v>640</v>
      </c>
      <c r="L546" s="30" t="s">
        <v>3210</v>
      </c>
      <c r="M546" s="30" t="s">
        <v>63</v>
      </c>
      <c r="N546" s="30">
        <v>0</v>
      </c>
      <c r="O546" s="30" t="s">
        <v>77</v>
      </c>
      <c r="P546" s="89" t="s">
        <v>78</v>
      </c>
      <c r="Q546" s="89" t="s">
        <v>3211</v>
      </c>
      <c r="R546" s="89" t="s">
        <v>643</v>
      </c>
      <c r="S546" s="30">
        <v>0</v>
      </c>
      <c r="T546" s="233">
        <v>0</v>
      </c>
      <c r="U546" s="30">
        <v>0</v>
      </c>
      <c r="V546" s="233">
        <v>1</v>
      </c>
      <c r="W546" s="30">
        <v>0</v>
      </c>
      <c r="X546" s="30">
        <v>1</v>
      </c>
      <c r="Y546" s="30">
        <v>0</v>
      </c>
      <c r="Z546" s="233">
        <v>0</v>
      </c>
      <c r="AA546" s="30">
        <v>0</v>
      </c>
      <c r="AB546" s="30">
        <v>0</v>
      </c>
      <c r="AC546" s="30">
        <v>0</v>
      </c>
      <c r="AD546" s="30">
        <v>0</v>
      </c>
      <c r="AE546" s="89" t="s">
        <v>68</v>
      </c>
      <c r="AF546" s="89"/>
      <c r="AG546" s="89" t="s">
        <v>248</v>
      </c>
      <c r="AH546" s="72" t="s">
        <v>68</v>
      </c>
      <c r="AI546" s="30">
        <v>1</v>
      </c>
      <c r="AJ546" s="89" t="s">
        <v>68</v>
      </c>
      <c r="AK546" s="89" t="s">
        <v>68</v>
      </c>
      <c r="AL546" s="91">
        <v>39777</v>
      </c>
      <c r="AM546" s="91"/>
      <c r="AN546" s="91"/>
      <c r="AO546" s="91"/>
      <c r="AP546" s="73" t="e">
        <f>MID(VLOOKUP(K546,#REF!,2,FALSE),1,2)</f>
        <v>#REF!</v>
      </c>
      <c r="AQ546" s="89">
        <f>DATE(2008,9,10)</f>
        <v>39701</v>
      </c>
      <c r="AR546" s="82">
        <f t="shared" si="38"/>
        <v>10</v>
      </c>
      <c r="AS546" s="83">
        <f t="shared" si="39"/>
        <v>9</v>
      </c>
      <c r="AT546" s="84">
        <f t="shared" si="40"/>
        <v>2008</v>
      </c>
      <c r="AU546" s="86"/>
      <c r="AV546" s="86"/>
      <c r="AW546" s="87"/>
      <c r="AX546" s="86"/>
      <c r="AY546" s="83"/>
      <c r="AZ546" s="84"/>
      <c r="BA546" s="86"/>
      <c r="BB546" s="86"/>
    </row>
    <row r="547" spans="1:54" ht="36.75" customHeight="1">
      <c r="A547" s="30"/>
      <c r="B547" s="30" t="s">
        <v>55</v>
      </c>
      <c r="C547" s="69" t="str">
        <f t="shared" si="37"/>
        <v>Closed</v>
      </c>
      <c r="D547" s="27" t="s">
        <v>3212</v>
      </c>
      <c r="E547" s="29" t="s">
        <v>3213</v>
      </c>
      <c r="F547" s="30" t="s">
        <v>115</v>
      </c>
      <c r="G547" s="89">
        <f>DATE(2008,9,11)</f>
        <v>39702</v>
      </c>
      <c r="H547" s="90">
        <v>1.6597222222222223</v>
      </c>
      <c r="I547" s="30" t="s">
        <v>125</v>
      </c>
      <c r="J547" s="89" t="s">
        <v>3214</v>
      </c>
      <c r="K547" s="30" t="s">
        <v>118</v>
      </c>
      <c r="L547" s="30" t="s">
        <v>3215</v>
      </c>
      <c r="M547" s="30" t="s">
        <v>63</v>
      </c>
      <c r="N547" s="30">
        <v>0</v>
      </c>
      <c r="O547" s="30" t="s">
        <v>64</v>
      </c>
      <c r="P547" s="89" t="s">
        <v>78</v>
      </c>
      <c r="Q547" s="89" t="s">
        <v>1014</v>
      </c>
      <c r="R547" s="89" t="s">
        <v>1014</v>
      </c>
      <c r="S547" s="30">
        <v>0</v>
      </c>
      <c r="T547" s="233" t="s">
        <v>68</v>
      </c>
      <c r="U547" s="30">
        <v>0</v>
      </c>
      <c r="V547" s="233" t="s">
        <v>68</v>
      </c>
      <c r="W547" s="30">
        <v>0</v>
      </c>
      <c r="X547" s="30">
        <v>0</v>
      </c>
      <c r="Y547" s="30">
        <v>0</v>
      </c>
      <c r="Z547" s="233" t="s">
        <v>68</v>
      </c>
      <c r="AA547" s="30">
        <v>0</v>
      </c>
      <c r="AB547" s="30">
        <v>0</v>
      </c>
      <c r="AC547" s="30">
        <v>0</v>
      </c>
      <c r="AD547" s="30">
        <v>0</v>
      </c>
      <c r="AE547" s="89" t="s">
        <v>68</v>
      </c>
      <c r="AF547" s="89"/>
      <c r="AG547" s="89" t="s">
        <v>82</v>
      </c>
      <c r="AH547" s="72" t="s">
        <v>68</v>
      </c>
      <c r="AI547" s="30">
        <v>6</v>
      </c>
      <c r="AJ547" s="89" t="s">
        <v>3216</v>
      </c>
      <c r="AK547" s="89" t="s">
        <v>68</v>
      </c>
      <c r="AL547" s="91">
        <v>39716</v>
      </c>
      <c r="AM547" s="91"/>
      <c r="AN547" s="91"/>
      <c r="AO547" s="91"/>
      <c r="AP547" s="73" t="e">
        <f>MID(VLOOKUP(K547,#REF!,2,FALSE),1,2)</f>
        <v>#REF!</v>
      </c>
      <c r="AQ547" s="89">
        <f>DATE(2008,9,11)</f>
        <v>39702</v>
      </c>
      <c r="AR547" s="82">
        <f t="shared" si="38"/>
        <v>11</v>
      </c>
      <c r="AS547" s="83">
        <f t="shared" si="39"/>
        <v>9</v>
      </c>
      <c r="AT547" s="84">
        <f t="shared" si="40"/>
        <v>2008</v>
      </c>
      <c r="AU547" s="86"/>
      <c r="AV547" s="86"/>
      <c r="AW547" s="87"/>
      <c r="AX547" s="86"/>
      <c r="AY547" s="83"/>
      <c r="AZ547" s="84"/>
      <c r="BA547" s="86"/>
      <c r="BB547" s="86"/>
    </row>
    <row r="548" spans="1:54" ht="36.75" customHeight="1">
      <c r="A548" s="30"/>
      <c r="B548" s="30" t="s">
        <v>55</v>
      </c>
      <c r="C548" s="69" t="str">
        <f t="shared" si="37"/>
        <v>Closed</v>
      </c>
      <c r="D548" s="27" t="s">
        <v>3217</v>
      </c>
      <c r="E548" s="29" t="s">
        <v>3218</v>
      </c>
      <c r="F548" s="30" t="s">
        <v>197</v>
      </c>
      <c r="G548" s="89">
        <f>DATE(2008,9,12)</f>
        <v>39703</v>
      </c>
      <c r="H548" s="90">
        <v>1.9430555555555555</v>
      </c>
      <c r="I548" s="30" t="s">
        <v>73</v>
      </c>
      <c r="J548" s="89" t="s">
        <v>3219</v>
      </c>
      <c r="K548" s="30" t="s">
        <v>200</v>
      </c>
      <c r="L548" s="30" t="s">
        <v>3220</v>
      </c>
      <c r="M548" s="30" t="s">
        <v>63</v>
      </c>
      <c r="N548" s="30">
        <v>0</v>
      </c>
      <c r="O548" s="30" t="s">
        <v>90</v>
      </c>
      <c r="P548" s="89" t="s">
        <v>78</v>
      </c>
      <c r="Q548" s="89" t="s">
        <v>1716</v>
      </c>
      <c r="R548" s="89" t="s">
        <v>203</v>
      </c>
      <c r="S548" s="30">
        <v>0</v>
      </c>
      <c r="T548" s="233" t="s">
        <v>68</v>
      </c>
      <c r="U548" s="30">
        <v>0</v>
      </c>
      <c r="V548" s="233" t="s">
        <v>68</v>
      </c>
      <c r="W548" s="30">
        <v>0</v>
      </c>
      <c r="X548" s="30">
        <v>0</v>
      </c>
      <c r="Y548" s="30">
        <v>0</v>
      </c>
      <c r="Z548" s="233" t="s">
        <v>68</v>
      </c>
      <c r="AA548" s="30">
        <v>0</v>
      </c>
      <c r="AB548" s="30">
        <v>0</v>
      </c>
      <c r="AC548" s="30">
        <v>0</v>
      </c>
      <c r="AD548" s="30">
        <v>0</v>
      </c>
      <c r="AE548" s="89" t="s">
        <v>68</v>
      </c>
      <c r="AF548" s="89"/>
      <c r="AG548" s="89" t="s">
        <v>352</v>
      </c>
      <c r="AH548" s="72" t="s">
        <v>68</v>
      </c>
      <c r="AI548" s="30">
        <v>1</v>
      </c>
      <c r="AJ548" s="89" t="s">
        <v>3221</v>
      </c>
      <c r="AK548" s="89" t="s">
        <v>3222</v>
      </c>
      <c r="AL548" s="91">
        <v>39941</v>
      </c>
      <c r="AM548" s="91"/>
      <c r="AN548" s="91"/>
      <c r="AO548" s="91"/>
      <c r="AP548" s="73" t="e">
        <f>MID(VLOOKUP(K548,#REF!,2,FALSE),1,2)</f>
        <v>#REF!</v>
      </c>
      <c r="AQ548" s="89">
        <f>DATE(2008,9,12)</f>
        <v>39703</v>
      </c>
      <c r="AR548" s="82">
        <f t="shared" si="38"/>
        <v>12</v>
      </c>
      <c r="AS548" s="83">
        <f t="shared" si="39"/>
        <v>9</v>
      </c>
      <c r="AT548" s="84">
        <f t="shared" si="40"/>
        <v>2008</v>
      </c>
      <c r="AU548" s="86"/>
      <c r="AV548" s="86"/>
      <c r="AW548" s="87"/>
      <c r="AX548" s="86"/>
      <c r="AY548" s="83"/>
      <c r="AZ548" s="84"/>
      <c r="BA548" s="86"/>
      <c r="BB548" s="86"/>
    </row>
    <row r="549" spans="1:54" ht="36.75" customHeight="1">
      <c r="A549" s="30"/>
      <c r="B549" s="30" t="s">
        <v>55</v>
      </c>
      <c r="C549" s="69" t="str">
        <f t="shared" si="37"/>
        <v>Closed</v>
      </c>
      <c r="D549" s="27" t="s">
        <v>3223</v>
      </c>
      <c r="E549" s="29" t="s">
        <v>3224</v>
      </c>
      <c r="F549" s="30" t="s">
        <v>638</v>
      </c>
      <c r="G549" s="89">
        <f>DATE(2008,9,12)</f>
        <v>39703</v>
      </c>
      <c r="H549" s="90">
        <v>1.8256944444444443</v>
      </c>
      <c r="I549" s="30" t="s">
        <v>278</v>
      </c>
      <c r="J549" s="89" t="s">
        <v>3225</v>
      </c>
      <c r="K549" s="30" t="s">
        <v>640</v>
      </c>
      <c r="L549" s="30" t="s">
        <v>3226</v>
      </c>
      <c r="M549" s="30" t="s">
        <v>63</v>
      </c>
      <c r="N549" s="30">
        <v>0</v>
      </c>
      <c r="O549" s="30" t="s">
        <v>77</v>
      </c>
      <c r="P549" s="89" t="s">
        <v>78</v>
      </c>
      <c r="Q549" s="89" t="s">
        <v>642</v>
      </c>
      <c r="R549" s="89" t="s">
        <v>643</v>
      </c>
      <c r="S549" s="30">
        <v>0</v>
      </c>
      <c r="T549" s="233">
        <v>0</v>
      </c>
      <c r="U549" s="30">
        <v>0</v>
      </c>
      <c r="V549" s="233">
        <v>1</v>
      </c>
      <c r="W549" s="30">
        <v>0</v>
      </c>
      <c r="X549" s="30">
        <v>1</v>
      </c>
      <c r="Y549" s="30">
        <v>0</v>
      </c>
      <c r="Z549" s="233">
        <v>0</v>
      </c>
      <c r="AA549" s="30">
        <v>0</v>
      </c>
      <c r="AB549" s="30">
        <v>0</v>
      </c>
      <c r="AC549" s="30">
        <v>0</v>
      </c>
      <c r="AD549" s="30">
        <v>0</v>
      </c>
      <c r="AE549" s="89" t="s">
        <v>68</v>
      </c>
      <c r="AF549" s="89"/>
      <c r="AG549" s="89" t="s">
        <v>248</v>
      </c>
      <c r="AH549" s="72" t="s">
        <v>68</v>
      </c>
      <c r="AI549" s="30">
        <v>1</v>
      </c>
      <c r="AJ549" s="89" t="s">
        <v>68</v>
      </c>
      <c r="AK549" s="89" t="s">
        <v>68</v>
      </c>
      <c r="AL549" s="91">
        <v>39777</v>
      </c>
      <c r="AM549" s="91"/>
      <c r="AN549" s="91"/>
      <c r="AO549" s="91"/>
      <c r="AP549" s="73" t="e">
        <f>MID(VLOOKUP(K549,#REF!,2,FALSE),1,2)</f>
        <v>#REF!</v>
      </c>
      <c r="AQ549" s="89">
        <f>DATE(2008,9,12)</f>
        <v>39703</v>
      </c>
      <c r="AR549" s="82">
        <f t="shared" si="38"/>
        <v>12</v>
      </c>
      <c r="AS549" s="83">
        <f t="shared" si="39"/>
        <v>9</v>
      </c>
      <c r="AT549" s="84">
        <f t="shared" si="40"/>
        <v>2008</v>
      </c>
      <c r="AU549" s="86"/>
      <c r="AV549" s="86"/>
      <c r="AW549" s="87"/>
      <c r="AX549" s="86"/>
      <c r="AY549" s="83"/>
      <c r="AZ549" s="84"/>
      <c r="BA549" s="86"/>
      <c r="BB549" s="86"/>
    </row>
    <row r="550" spans="1:54" ht="36.75" customHeight="1">
      <c r="A550" s="30"/>
      <c r="B550" s="30" t="s">
        <v>55</v>
      </c>
      <c r="C550" s="69" t="str">
        <f t="shared" si="37"/>
        <v>Closed</v>
      </c>
      <c r="D550" s="27" t="s">
        <v>3227</v>
      </c>
      <c r="E550" s="29" t="s">
        <v>3228</v>
      </c>
      <c r="F550" s="30" t="s">
        <v>423</v>
      </c>
      <c r="G550" s="89">
        <f>DATE(2008,9,13)</f>
        <v>39704</v>
      </c>
      <c r="H550" s="90">
        <v>1.0979166666666667</v>
      </c>
      <c r="I550" s="30" t="s">
        <v>198</v>
      </c>
      <c r="J550" s="89" t="s">
        <v>3229</v>
      </c>
      <c r="K550" s="30" t="s">
        <v>425</v>
      </c>
      <c r="L550" s="30" t="s">
        <v>3230</v>
      </c>
      <c r="M550" s="30" t="s">
        <v>63</v>
      </c>
      <c r="N550" s="30">
        <v>0</v>
      </c>
      <c r="O550" s="30" t="s">
        <v>64</v>
      </c>
      <c r="P550" s="89" t="s">
        <v>78</v>
      </c>
      <c r="Q550" s="89" t="s">
        <v>2582</v>
      </c>
      <c r="R550" s="89" t="s">
        <v>3103</v>
      </c>
      <c r="S550" s="30">
        <v>0</v>
      </c>
      <c r="T550" s="233">
        <v>1</v>
      </c>
      <c r="U550" s="30">
        <v>0</v>
      </c>
      <c r="V550" s="233">
        <v>0</v>
      </c>
      <c r="W550" s="30">
        <v>0</v>
      </c>
      <c r="X550" s="30">
        <v>1</v>
      </c>
      <c r="Y550" s="30">
        <v>0</v>
      </c>
      <c r="Z550" s="233">
        <v>0</v>
      </c>
      <c r="AA550" s="30">
        <v>0</v>
      </c>
      <c r="AB550" s="30">
        <v>0</v>
      </c>
      <c r="AC550" s="30">
        <v>0</v>
      </c>
      <c r="AD550" s="30">
        <v>0</v>
      </c>
      <c r="AE550" s="89" t="s">
        <v>68</v>
      </c>
      <c r="AF550" s="89"/>
      <c r="AG550" s="89" t="s">
        <v>82</v>
      </c>
      <c r="AH550" s="72" t="s">
        <v>68</v>
      </c>
      <c r="AI550" s="30">
        <v>0</v>
      </c>
      <c r="AJ550" s="89" t="s">
        <v>68</v>
      </c>
      <c r="AK550" s="89" t="s">
        <v>68</v>
      </c>
      <c r="AL550" s="91">
        <v>39724</v>
      </c>
      <c r="AM550" s="91"/>
      <c r="AN550" s="91"/>
      <c r="AO550" s="91"/>
      <c r="AP550" s="73" t="e">
        <f>MID(VLOOKUP(K550,#REF!,2,FALSE),1,2)</f>
        <v>#REF!</v>
      </c>
      <c r="AQ550" s="89">
        <f>DATE(2008,9,13)</f>
        <v>39704</v>
      </c>
      <c r="AR550" s="82">
        <f t="shared" si="38"/>
        <v>13</v>
      </c>
      <c r="AS550" s="83">
        <f t="shared" si="39"/>
        <v>9</v>
      </c>
      <c r="AT550" s="84">
        <f t="shared" si="40"/>
        <v>2008</v>
      </c>
      <c r="AU550" s="86"/>
      <c r="AV550" s="86"/>
      <c r="AW550" s="87"/>
      <c r="AX550" s="86"/>
      <c r="AY550" s="83"/>
      <c r="AZ550" s="84"/>
      <c r="BA550" s="86"/>
      <c r="BB550" s="86"/>
    </row>
    <row r="551" spans="1:54" ht="36.75" customHeight="1">
      <c r="A551" s="30"/>
      <c r="B551" s="30" t="s">
        <v>55</v>
      </c>
      <c r="C551" s="69" t="str">
        <f t="shared" si="37"/>
        <v>Closed</v>
      </c>
      <c r="D551" s="27" t="s">
        <v>3231</v>
      </c>
      <c r="E551" s="29" t="s">
        <v>3232</v>
      </c>
      <c r="F551" s="30" t="s">
        <v>233</v>
      </c>
      <c r="G551" s="89">
        <f>DATE(2008,9,13)</f>
        <v>39704</v>
      </c>
      <c r="H551" s="90">
        <v>1.6090277777777779</v>
      </c>
      <c r="I551" s="30" t="s">
        <v>116</v>
      </c>
      <c r="J551" s="89" t="s">
        <v>3233</v>
      </c>
      <c r="K551" s="30" t="s">
        <v>235</v>
      </c>
      <c r="L551" s="30" t="s">
        <v>3234</v>
      </c>
      <c r="M551" s="30" t="s">
        <v>255</v>
      </c>
      <c r="N551" s="30">
        <v>0</v>
      </c>
      <c r="O551" s="30" t="s">
        <v>64</v>
      </c>
      <c r="P551" s="89" t="s">
        <v>86</v>
      </c>
      <c r="Q551" s="89" t="s">
        <v>1894</v>
      </c>
      <c r="R551" s="89" t="s">
        <v>1893</v>
      </c>
      <c r="S551" s="30">
        <v>0</v>
      </c>
      <c r="T551" s="233">
        <v>0</v>
      </c>
      <c r="U551" s="30">
        <v>1</v>
      </c>
      <c r="V551" s="233">
        <v>0</v>
      </c>
      <c r="W551" s="30">
        <v>0</v>
      </c>
      <c r="X551" s="30">
        <v>1</v>
      </c>
      <c r="Y551" s="30">
        <v>0</v>
      </c>
      <c r="Z551" s="233">
        <v>0</v>
      </c>
      <c r="AA551" s="30">
        <v>0</v>
      </c>
      <c r="AB551" s="30">
        <v>0</v>
      </c>
      <c r="AC551" s="30">
        <v>0</v>
      </c>
      <c r="AD551" s="30">
        <v>0</v>
      </c>
      <c r="AE551" s="89" t="s">
        <v>68</v>
      </c>
      <c r="AF551" s="89"/>
      <c r="AG551" s="89" t="s">
        <v>82</v>
      </c>
      <c r="AH551" s="72" t="s">
        <v>68</v>
      </c>
      <c r="AI551" s="30">
        <v>1</v>
      </c>
      <c r="AJ551" s="89" t="s">
        <v>3235</v>
      </c>
      <c r="AK551" s="89" t="s">
        <v>3236</v>
      </c>
      <c r="AL551" s="91">
        <v>39734</v>
      </c>
      <c r="AM551" s="91"/>
      <c r="AN551" s="91"/>
      <c r="AO551" s="91"/>
      <c r="AP551" s="73" t="e">
        <f>MID(VLOOKUP(K551,#REF!,2,FALSE),1,2)</f>
        <v>#REF!</v>
      </c>
      <c r="AQ551" s="89">
        <f>DATE(2008,9,13)</f>
        <v>39704</v>
      </c>
      <c r="AR551" s="82">
        <f t="shared" si="38"/>
        <v>13</v>
      </c>
      <c r="AS551" s="83">
        <f t="shared" si="39"/>
        <v>9</v>
      </c>
      <c r="AT551" s="84">
        <f t="shared" si="40"/>
        <v>2008</v>
      </c>
      <c r="AU551" s="86"/>
      <c r="AV551" s="86"/>
      <c r="AW551" s="87"/>
      <c r="AX551" s="86"/>
      <c r="AY551" s="83"/>
      <c r="AZ551" s="84"/>
      <c r="BA551" s="86"/>
      <c r="BB551" s="86"/>
    </row>
    <row r="552" spans="1:54" ht="36.75" customHeight="1">
      <c r="A552" s="30"/>
      <c r="B552" s="30" t="s">
        <v>55</v>
      </c>
      <c r="C552" s="69" t="str">
        <f t="shared" si="37"/>
        <v>Closed</v>
      </c>
      <c r="D552" s="27" t="s">
        <v>3237</v>
      </c>
      <c r="E552" s="29" t="s">
        <v>3238</v>
      </c>
      <c r="F552" s="30" t="s">
        <v>638</v>
      </c>
      <c r="G552" s="89">
        <f>DATE(2008,9,25)</f>
        <v>39716</v>
      </c>
      <c r="H552" s="90">
        <v>1.5562499999999999</v>
      </c>
      <c r="I552" s="30" t="s">
        <v>278</v>
      </c>
      <c r="J552" s="89" t="s">
        <v>3239</v>
      </c>
      <c r="K552" s="30" t="s">
        <v>640</v>
      </c>
      <c r="L552" s="30" t="s">
        <v>3240</v>
      </c>
      <c r="M552" s="30" t="s">
        <v>63</v>
      </c>
      <c r="N552" s="30">
        <v>0</v>
      </c>
      <c r="O552" s="30" t="s">
        <v>64</v>
      </c>
      <c r="P552" s="89" t="s">
        <v>165</v>
      </c>
      <c r="Q552" s="89" t="s">
        <v>642</v>
      </c>
      <c r="R552" s="89" t="s">
        <v>643</v>
      </c>
      <c r="S552" s="30">
        <v>0</v>
      </c>
      <c r="T552" s="233">
        <v>0</v>
      </c>
      <c r="U552" s="30">
        <v>0</v>
      </c>
      <c r="V552" s="233">
        <v>1</v>
      </c>
      <c r="W552" s="30">
        <v>0</v>
      </c>
      <c r="X552" s="30">
        <v>1</v>
      </c>
      <c r="Y552" s="30">
        <v>0</v>
      </c>
      <c r="Z552" s="233">
        <v>0</v>
      </c>
      <c r="AA552" s="30">
        <v>0</v>
      </c>
      <c r="AB552" s="30">
        <v>0</v>
      </c>
      <c r="AC552" s="30">
        <v>0</v>
      </c>
      <c r="AD552" s="30">
        <v>0</v>
      </c>
      <c r="AE552" s="89" t="s">
        <v>68</v>
      </c>
      <c r="AF552" s="89"/>
      <c r="AG552" s="89" t="s">
        <v>248</v>
      </c>
      <c r="AH552" s="72" t="s">
        <v>68</v>
      </c>
      <c r="AI552" s="30">
        <v>1</v>
      </c>
      <c r="AJ552" s="89" t="s">
        <v>68</v>
      </c>
      <c r="AK552" s="89" t="s">
        <v>68</v>
      </c>
      <c r="AL552" s="91">
        <v>39777</v>
      </c>
      <c r="AM552" s="91"/>
      <c r="AN552" s="91"/>
      <c r="AO552" s="91"/>
      <c r="AP552" s="73" t="e">
        <f>MID(VLOOKUP(K552,#REF!,2,FALSE),1,2)</f>
        <v>#REF!</v>
      </c>
      <c r="AQ552" s="89">
        <f>DATE(2008,9,25)</f>
        <v>39716</v>
      </c>
      <c r="AR552" s="82">
        <f t="shared" si="38"/>
        <v>25</v>
      </c>
      <c r="AS552" s="83">
        <f t="shared" si="39"/>
        <v>9</v>
      </c>
      <c r="AT552" s="84">
        <f t="shared" si="40"/>
        <v>2008</v>
      </c>
      <c r="AU552" s="86"/>
      <c r="AV552" s="86"/>
      <c r="AW552" s="87"/>
      <c r="AX552" s="86"/>
      <c r="AY552" s="83"/>
      <c r="AZ552" s="84"/>
      <c r="BA552" s="86"/>
      <c r="BB552" s="86"/>
    </row>
    <row r="553" spans="1:54" ht="36.75" customHeight="1">
      <c r="A553" s="30"/>
      <c r="B553" s="30" t="s">
        <v>55</v>
      </c>
      <c r="C553" s="69" t="str">
        <f t="shared" si="37"/>
        <v>Closed</v>
      </c>
      <c r="D553" s="27" t="s">
        <v>3241</v>
      </c>
      <c r="E553" s="29" t="s">
        <v>3242</v>
      </c>
      <c r="F553" s="30" t="s">
        <v>638</v>
      </c>
      <c r="G553" s="89">
        <f>DATE(2008,9,25)</f>
        <v>39716</v>
      </c>
      <c r="H553" s="90">
        <v>1.7013888888888888</v>
      </c>
      <c r="I553" s="30" t="s">
        <v>156</v>
      </c>
      <c r="J553" s="89" t="s">
        <v>3243</v>
      </c>
      <c r="K553" s="30" t="s">
        <v>640</v>
      </c>
      <c r="L553" s="30" t="s">
        <v>3244</v>
      </c>
      <c r="M553" s="30" t="s">
        <v>63</v>
      </c>
      <c r="N553" s="30">
        <v>0</v>
      </c>
      <c r="O553" s="30" t="s">
        <v>77</v>
      </c>
      <c r="P553" s="89" t="s">
        <v>86</v>
      </c>
      <c r="Q553" s="89" t="s">
        <v>3245</v>
      </c>
      <c r="R553" s="89" t="s">
        <v>3246</v>
      </c>
      <c r="S553" s="30">
        <v>0</v>
      </c>
      <c r="T553" s="233" t="s">
        <v>68</v>
      </c>
      <c r="U553" s="30">
        <v>0</v>
      </c>
      <c r="V553" s="233" t="s">
        <v>68</v>
      </c>
      <c r="W553" s="30">
        <v>0</v>
      </c>
      <c r="X553" s="30">
        <v>0</v>
      </c>
      <c r="Y553" s="30">
        <v>0</v>
      </c>
      <c r="Z553" s="233" t="s">
        <v>68</v>
      </c>
      <c r="AA553" s="30">
        <v>0</v>
      </c>
      <c r="AB553" s="30">
        <v>0</v>
      </c>
      <c r="AC553" s="30">
        <v>0</v>
      </c>
      <c r="AD553" s="30">
        <v>0</v>
      </c>
      <c r="AE553" s="89" t="s">
        <v>68</v>
      </c>
      <c r="AF553" s="89"/>
      <c r="AG553" s="89" t="s">
        <v>133</v>
      </c>
      <c r="AH553" s="72" t="s">
        <v>68</v>
      </c>
      <c r="AI553" s="30">
        <v>1</v>
      </c>
      <c r="AJ553" s="89" t="s">
        <v>3247</v>
      </c>
      <c r="AK553" s="89" t="s">
        <v>68</v>
      </c>
      <c r="AL553" s="91">
        <v>39923</v>
      </c>
      <c r="AM553" s="91"/>
      <c r="AN553" s="91"/>
      <c r="AO553" s="91"/>
      <c r="AP553" s="73" t="e">
        <f>MID(VLOOKUP(K553,#REF!,2,FALSE),1,2)</f>
        <v>#REF!</v>
      </c>
      <c r="AQ553" s="89">
        <f>DATE(2008,9,25)</f>
        <v>39716</v>
      </c>
      <c r="AR553" s="82">
        <f t="shared" si="38"/>
        <v>25</v>
      </c>
      <c r="AS553" s="83">
        <f t="shared" si="39"/>
        <v>9</v>
      </c>
      <c r="AT553" s="84">
        <f t="shared" si="40"/>
        <v>2008</v>
      </c>
      <c r="AU553" s="86"/>
      <c r="AV553" s="86"/>
      <c r="AW553" s="87"/>
      <c r="AX553" s="86"/>
      <c r="AY553" s="83"/>
      <c r="AZ553" s="84"/>
      <c r="BA553" s="86"/>
      <c r="BB553" s="86"/>
    </row>
    <row r="554" spans="1:54" ht="36.75" customHeight="1">
      <c r="A554" s="30"/>
      <c r="B554" s="30" t="s">
        <v>55</v>
      </c>
      <c r="C554" s="69" t="str">
        <f t="shared" si="37"/>
        <v>Closed</v>
      </c>
      <c r="D554" s="27" t="s">
        <v>3248</v>
      </c>
      <c r="E554" s="29" t="s">
        <v>3249</v>
      </c>
      <c r="F554" s="30" t="s">
        <v>58</v>
      </c>
      <c r="G554" s="89">
        <f>DATE(2008,9,25)</f>
        <v>39716</v>
      </c>
      <c r="H554" s="90">
        <v>1.6791666666666667</v>
      </c>
      <c r="I554" s="30" t="s">
        <v>116</v>
      </c>
      <c r="J554" s="89" t="s">
        <v>3250</v>
      </c>
      <c r="K554" s="30" t="s">
        <v>61</v>
      </c>
      <c r="L554" s="30" t="s">
        <v>3251</v>
      </c>
      <c r="M554" s="30" t="s">
        <v>63</v>
      </c>
      <c r="N554" s="30">
        <v>0</v>
      </c>
      <c r="O554" s="30" t="s">
        <v>64</v>
      </c>
      <c r="P554" s="89" t="s">
        <v>65</v>
      </c>
      <c r="Q554" s="89" t="s">
        <v>66</v>
      </c>
      <c r="R554" s="89" t="s">
        <v>67</v>
      </c>
      <c r="S554" s="30">
        <v>0</v>
      </c>
      <c r="T554" s="233">
        <v>0</v>
      </c>
      <c r="U554" s="30">
        <v>2</v>
      </c>
      <c r="V554" s="233">
        <v>0</v>
      </c>
      <c r="W554" s="30">
        <v>0</v>
      </c>
      <c r="X554" s="30">
        <v>2</v>
      </c>
      <c r="Y554" s="30">
        <v>0</v>
      </c>
      <c r="Z554" s="233">
        <v>0</v>
      </c>
      <c r="AA554" s="30">
        <v>0</v>
      </c>
      <c r="AB554" s="30">
        <v>0</v>
      </c>
      <c r="AC554" s="30">
        <v>0</v>
      </c>
      <c r="AD554" s="30">
        <v>0</v>
      </c>
      <c r="AE554" s="89" t="s">
        <v>68</v>
      </c>
      <c r="AF554" s="89"/>
      <c r="AG554" s="89" t="s">
        <v>82</v>
      </c>
      <c r="AH554" s="72" t="s">
        <v>68</v>
      </c>
      <c r="AI554" s="30">
        <v>0</v>
      </c>
      <c r="AJ554" s="89" t="s">
        <v>3252</v>
      </c>
      <c r="AK554" s="89" t="s">
        <v>68</v>
      </c>
      <c r="AL554" s="91">
        <v>39734</v>
      </c>
      <c r="AM554" s="91"/>
      <c r="AN554" s="91"/>
      <c r="AO554" s="91"/>
      <c r="AP554" s="73" t="e">
        <f>MID(VLOOKUP(K554,#REF!,2,FALSE),1,2)</f>
        <v>#REF!</v>
      </c>
      <c r="AQ554" s="89">
        <f>DATE(2008,9,25)</f>
        <v>39716</v>
      </c>
      <c r="AR554" s="82">
        <f t="shared" si="38"/>
        <v>25</v>
      </c>
      <c r="AS554" s="83">
        <f t="shared" si="39"/>
        <v>9</v>
      </c>
      <c r="AT554" s="84">
        <f t="shared" si="40"/>
        <v>2008</v>
      </c>
      <c r="AU554" s="86"/>
      <c r="AV554" s="86"/>
      <c r="AW554" s="87"/>
      <c r="AX554" s="86"/>
      <c r="AY554" s="83"/>
      <c r="AZ554" s="84"/>
      <c r="BA554" s="86"/>
      <c r="BB554" s="86"/>
    </row>
    <row r="555" spans="1:54" ht="36.75" customHeight="1">
      <c r="A555" s="30"/>
      <c r="B555" s="30" t="s">
        <v>55</v>
      </c>
      <c r="C555" s="69" t="str">
        <f t="shared" si="37"/>
        <v>Closed</v>
      </c>
      <c r="D555" s="27" t="s">
        <v>3253</v>
      </c>
      <c r="E555" s="29" t="s">
        <v>3254</v>
      </c>
      <c r="F555" s="30" t="s">
        <v>638</v>
      </c>
      <c r="G555" s="89">
        <f>DATE(2008,9,28)</f>
        <v>39719</v>
      </c>
      <c r="H555" s="90">
        <v>1.5659722222222223</v>
      </c>
      <c r="I555" s="30" t="s">
        <v>278</v>
      </c>
      <c r="J555" s="89" t="s">
        <v>3255</v>
      </c>
      <c r="K555" s="30" t="s">
        <v>640</v>
      </c>
      <c r="L555" s="30" t="s">
        <v>3256</v>
      </c>
      <c r="M555" s="30" t="s">
        <v>63</v>
      </c>
      <c r="N555" s="30">
        <v>0</v>
      </c>
      <c r="O555" s="30" t="s">
        <v>64</v>
      </c>
      <c r="P555" s="89" t="s">
        <v>165</v>
      </c>
      <c r="Q555" s="89" t="s">
        <v>642</v>
      </c>
      <c r="R555" s="89" t="s">
        <v>643</v>
      </c>
      <c r="S555" s="30">
        <v>0</v>
      </c>
      <c r="T555" s="233">
        <v>0</v>
      </c>
      <c r="U555" s="30">
        <v>0</v>
      </c>
      <c r="V555" s="233">
        <v>1</v>
      </c>
      <c r="W555" s="30">
        <v>0</v>
      </c>
      <c r="X555" s="30">
        <v>1</v>
      </c>
      <c r="Y555" s="30">
        <v>0</v>
      </c>
      <c r="Z555" s="233">
        <v>0</v>
      </c>
      <c r="AA555" s="30">
        <v>0</v>
      </c>
      <c r="AB555" s="30">
        <v>0</v>
      </c>
      <c r="AC555" s="30">
        <v>0</v>
      </c>
      <c r="AD555" s="30">
        <v>0</v>
      </c>
      <c r="AE555" s="89" t="s">
        <v>68</v>
      </c>
      <c r="AF555" s="89"/>
      <c r="AG555" s="89" t="s">
        <v>248</v>
      </c>
      <c r="AH555" s="72" t="s">
        <v>68</v>
      </c>
      <c r="AI555" s="30">
        <v>1</v>
      </c>
      <c r="AJ555" s="89" t="s">
        <v>68</v>
      </c>
      <c r="AK555" s="89" t="s">
        <v>68</v>
      </c>
      <c r="AL555" s="91">
        <v>39777</v>
      </c>
      <c r="AM555" s="91"/>
      <c r="AN555" s="91"/>
      <c r="AO555" s="91"/>
      <c r="AP555" s="73" t="e">
        <f>MID(VLOOKUP(K555,#REF!,2,FALSE),1,2)</f>
        <v>#REF!</v>
      </c>
      <c r="AQ555" s="89">
        <f>DATE(2008,9,28)</f>
        <v>39719</v>
      </c>
      <c r="AR555" s="82">
        <f t="shared" si="38"/>
        <v>28</v>
      </c>
      <c r="AS555" s="83">
        <f t="shared" si="39"/>
        <v>9</v>
      </c>
      <c r="AT555" s="84">
        <f t="shared" si="40"/>
        <v>2008</v>
      </c>
      <c r="AU555" s="86"/>
      <c r="AV555" s="86"/>
      <c r="AW555" s="87"/>
      <c r="AX555" s="86"/>
      <c r="AY555" s="83"/>
      <c r="AZ555" s="84"/>
      <c r="BA555" s="86"/>
      <c r="BB555" s="86"/>
    </row>
    <row r="556" spans="1:54" ht="36.75" customHeight="1">
      <c r="A556" s="30"/>
      <c r="B556" s="30" t="s">
        <v>55</v>
      </c>
      <c r="C556" s="69" t="str">
        <f t="shared" si="37"/>
        <v>Closed</v>
      </c>
      <c r="D556" s="27" t="s">
        <v>3257</v>
      </c>
      <c r="E556" s="29" t="s">
        <v>3258</v>
      </c>
      <c r="F556" s="30" t="s">
        <v>638</v>
      </c>
      <c r="G556" s="89">
        <f>DATE(2008,10,2)</f>
        <v>39723</v>
      </c>
      <c r="H556" s="90">
        <v>1.7583333333333333</v>
      </c>
      <c r="I556" s="30" t="s">
        <v>278</v>
      </c>
      <c r="J556" s="89" t="s">
        <v>3259</v>
      </c>
      <c r="K556" s="30" t="s">
        <v>640</v>
      </c>
      <c r="L556" s="30" t="s">
        <v>3260</v>
      </c>
      <c r="M556" s="30" t="s">
        <v>63</v>
      </c>
      <c r="N556" s="30">
        <v>0</v>
      </c>
      <c r="O556" s="30" t="s">
        <v>64</v>
      </c>
      <c r="P556" s="89" t="s">
        <v>165</v>
      </c>
      <c r="Q556" s="89" t="s">
        <v>3246</v>
      </c>
      <c r="R556" s="89" t="s">
        <v>3246</v>
      </c>
      <c r="S556" s="30">
        <v>0</v>
      </c>
      <c r="T556" s="233">
        <v>0</v>
      </c>
      <c r="U556" s="30">
        <v>0</v>
      </c>
      <c r="V556" s="233">
        <v>1</v>
      </c>
      <c r="W556" s="30">
        <v>0</v>
      </c>
      <c r="X556" s="30">
        <v>1</v>
      </c>
      <c r="Y556" s="30">
        <v>0</v>
      </c>
      <c r="Z556" s="233">
        <v>0</v>
      </c>
      <c r="AA556" s="30">
        <v>0</v>
      </c>
      <c r="AB556" s="30">
        <v>0</v>
      </c>
      <c r="AC556" s="30">
        <v>0</v>
      </c>
      <c r="AD556" s="30">
        <v>0</v>
      </c>
      <c r="AE556" s="89" t="s">
        <v>68</v>
      </c>
      <c r="AF556" s="89"/>
      <c r="AG556" s="89" t="s">
        <v>248</v>
      </c>
      <c r="AH556" s="72" t="s">
        <v>68</v>
      </c>
      <c r="AI556" s="30">
        <v>2</v>
      </c>
      <c r="AJ556" s="89" t="s">
        <v>68</v>
      </c>
      <c r="AK556" s="89" t="s">
        <v>68</v>
      </c>
      <c r="AL556" s="91">
        <v>39876</v>
      </c>
      <c r="AM556" s="91"/>
      <c r="AN556" s="91"/>
      <c r="AO556" s="91"/>
      <c r="AP556" s="73" t="e">
        <f>MID(VLOOKUP(K556,#REF!,2,FALSE),1,2)</f>
        <v>#REF!</v>
      </c>
      <c r="AQ556" s="89">
        <f>DATE(2008,10,2)</f>
        <v>39723</v>
      </c>
      <c r="AR556" s="82">
        <f t="shared" si="38"/>
        <v>2</v>
      </c>
      <c r="AS556" s="83">
        <f t="shared" si="39"/>
        <v>10</v>
      </c>
      <c r="AT556" s="84">
        <f t="shared" si="40"/>
        <v>2008</v>
      </c>
      <c r="AU556" s="86"/>
      <c r="AV556" s="86"/>
      <c r="AW556" s="87"/>
      <c r="AX556" s="86"/>
      <c r="AY556" s="83"/>
      <c r="AZ556" s="84"/>
      <c r="BA556" s="86"/>
      <c r="BB556" s="86"/>
    </row>
    <row r="557" spans="1:54" ht="36.75" customHeight="1">
      <c r="A557" s="30"/>
      <c r="B557" s="30" t="s">
        <v>55</v>
      </c>
      <c r="C557" s="69" t="str">
        <f t="shared" si="37"/>
        <v>Closed</v>
      </c>
      <c r="D557" s="27" t="s">
        <v>3261</v>
      </c>
      <c r="E557" s="29" t="s">
        <v>3262</v>
      </c>
      <c r="F557" s="30" t="s">
        <v>835</v>
      </c>
      <c r="G557" s="89">
        <f>DATE(2008,10,6)</f>
        <v>39727</v>
      </c>
      <c r="H557" s="90">
        <v>1.4347222222222222</v>
      </c>
      <c r="I557" s="30" t="s">
        <v>198</v>
      </c>
      <c r="J557" s="89" t="s">
        <v>3263</v>
      </c>
      <c r="K557" s="30" t="s">
        <v>837</v>
      </c>
      <c r="L557" s="30" t="s">
        <v>3264</v>
      </c>
      <c r="M557" s="30" t="s">
        <v>63</v>
      </c>
      <c r="N557" s="30">
        <v>0</v>
      </c>
      <c r="O557" s="30" t="s">
        <v>64</v>
      </c>
      <c r="P557" s="89" t="s">
        <v>1216</v>
      </c>
      <c r="Q557" s="89" t="s">
        <v>3265</v>
      </c>
      <c r="R557" s="89" t="s">
        <v>840</v>
      </c>
      <c r="S557" s="30">
        <v>1</v>
      </c>
      <c r="T557" s="233">
        <v>3</v>
      </c>
      <c r="U557" s="30">
        <v>0</v>
      </c>
      <c r="V557" s="233">
        <v>0</v>
      </c>
      <c r="W557" s="30">
        <v>0</v>
      </c>
      <c r="X557" s="30">
        <v>4</v>
      </c>
      <c r="Y557" s="30">
        <v>4</v>
      </c>
      <c r="Z557" s="233">
        <v>0</v>
      </c>
      <c r="AA557" s="30">
        <v>0</v>
      </c>
      <c r="AB557" s="30">
        <v>0</v>
      </c>
      <c r="AC557" s="30">
        <v>0</v>
      </c>
      <c r="AD557" s="30">
        <v>4</v>
      </c>
      <c r="AE557" s="89" t="s">
        <v>68</v>
      </c>
      <c r="AF557" s="89"/>
      <c r="AG557" s="89" t="s">
        <v>82</v>
      </c>
      <c r="AH557" s="72" t="s">
        <v>68</v>
      </c>
      <c r="AI557" s="30">
        <v>5</v>
      </c>
      <c r="AJ557" s="89" t="s">
        <v>68</v>
      </c>
      <c r="AK557" s="89" t="s">
        <v>68</v>
      </c>
      <c r="AL557" s="91">
        <v>39728</v>
      </c>
      <c r="AM557" s="91"/>
      <c r="AN557" s="91"/>
      <c r="AO557" s="91"/>
      <c r="AP557" s="73" t="e">
        <f>MID(VLOOKUP(K557,#REF!,2,FALSE),1,2)</f>
        <v>#REF!</v>
      </c>
      <c r="AQ557" s="89">
        <f>DATE(2008,10,6)</f>
        <v>39727</v>
      </c>
      <c r="AR557" s="82">
        <f t="shared" si="38"/>
        <v>6</v>
      </c>
      <c r="AS557" s="83">
        <f t="shared" si="39"/>
        <v>10</v>
      </c>
      <c r="AT557" s="84">
        <f t="shared" si="40"/>
        <v>2008</v>
      </c>
      <c r="AU557" s="86"/>
      <c r="AV557" s="86"/>
      <c r="AW557" s="87"/>
      <c r="AX557" s="86"/>
      <c r="AY557" s="83"/>
      <c r="AZ557" s="84"/>
      <c r="BA557" s="86"/>
      <c r="BB557" s="86"/>
    </row>
    <row r="558" spans="1:54" ht="36.75" customHeight="1">
      <c r="A558" s="30"/>
      <c r="B558" s="30" t="s">
        <v>55</v>
      </c>
      <c r="C558" s="69" t="str">
        <f t="shared" si="37"/>
        <v>Closed</v>
      </c>
      <c r="D558" s="27" t="s">
        <v>3266</v>
      </c>
      <c r="E558" s="29" t="s">
        <v>3267</v>
      </c>
      <c r="F558" s="30" t="s">
        <v>638</v>
      </c>
      <c r="G558" s="89">
        <f>DATE(2008,10,12)</f>
        <v>39733</v>
      </c>
      <c r="H558" s="90">
        <v>1.5520833333333335</v>
      </c>
      <c r="I558" s="30" t="s">
        <v>278</v>
      </c>
      <c r="J558" s="89" t="s">
        <v>3268</v>
      </c>
      <c r="K558" s="30" t="s">
        <v>640</v>
      </c>
      <c r="L558" s="30" t="s">
        <v>3269</v>
      </c>
      <c r="M558" s="30" t="s">
        <v>63</v>
      </c>
      <c r="N558" s="30">
        <v>0</v>
      </c>
      <c r="O558" s="30" t="s">
        <v>77</v>
      </c>
      <c r="P558" s="89" t="s">
        <v>91</v>
      </c>
      <c r="Q558" s="89" t="s">
        <v>3246</v>
      </c>
      <c r="R558" s="89" t="s">
        <v>3246</v>
      </c>
      <c r="S558" s="30">
        <v>0</v>
      </c>
      <c r="T558" s="233">
        <v>0</v>
      </c>
      <c r="U558" s="30">
        <v>0</v>
      </c>
      <c r="V558" s="233">
        <v>1</v>
      </c>
      <c r="W558" s="30">
        <v>0</v>
      </c>
      <c r="X558" s="30">
        <v>1</v>
      </c>
      <c r="Y558" s="30">
        <v>0</v>
      </c>
      <c r="Z558" s="233">
        <v>0</v>
      </c>
      <c r="AA558" s="30">
        <v>0</v>
      </c>
      <c r="AB558" s="30">
        <v>0</v>
      </c>
      <c r="AC558" s="30">
        <v>0</v>
      </c>
      <c r="AD558" s="30">
        <v>0</v>
      </c>
      <c r="AE558" s="89" t="s">
        <v>68</v>
      </c>
      <c r="AF558" s="89"/>
      <c r="AG558" s="89" t="s">
        <v>248</v>
      </c>
      <c r="AH558" s="72" t="s">
        <v>68</v>
      </c>
      <c r="AI558" s="30">
        <v>3</v>
      </c>
      <c r="AJ558" s="89" t="s">
        <v>68</v>
      </c>
      <c r="AK558" s="89" t="s">
        <v>68</v>
      </c>
      <c r="AL558" s="91">
        <v>39896</v>
      </c>
      <c r="AM558" s="91"/>
      <c r="AN558" s="91"/>
      <c r="AO558" s="91"/>
      <c r="AP558" s="73" t="e">
        <f>MID(VLOOKUP(K558,#REF!,2,FALSE),1,2)</f>
        <v>#REF!</v>
      </c>
      <c r="AQ558" s="89">
        <f>DATE(2008,10,12)</f>
        <v>39733</v>
      </c>
      <c r="AR558" s="82">
        <f t="shared" si="38"/>
        <v>12</v>
      </c>
      <c r="AS558" s="83">
        <f t="shared" si="39"/>
        <v>10</v>
      </c>
      <c r="AT558" s="84">
        <f t="shared" si="40"/>
        <v>2008</v>
      </c>
      <c r="AU558" s="86"/>
      <c r="AV558" s="86"/>
      <c r="AW558" s="87"/>
      <c r="AX558" s="86"/>
      <c r="AY558" s="83"/>
      <c r="AZ558" s="84"/>
      <c r="BA558" s="86"/>
      <c r="BB558" s="86"/>
    </row>
    <row r="559" spans="1:54" ht="36.75" customHeight="1">
      <c r="A559" s="30"/>
      <c r="B559" s="30" t="s">
        <v>55</v>
      </c>
      <c r="C559" s="69" t="str">
        <f t="shared" si="37"/>
        <v>Closed</v>
      </c>
      <c r="D559" s="27" t="s">
        <v>3270</v>
      </c>
      <c r="E559" s="29" t="s">
        <v>3271</v>
      </c>
      <c r="F559" s="30" t="s">
        <v>638</v>
      </c>
      <c r="G559" s="89">
        <f>DATE(2008,10,13)</f>
        <v>39734</v>
      </c>
      <c r="H559" s="90">
        <v>1.5131944444444443</v>
      </c>
      <c r="I559" s="30" t="s">
        <v>278</v>
      </c>
      <c r="J559" s="89" t="s">
        <v>3272</v>
      </c>
      <c r="K559" s="30" t="s">
        <v>640</v>
      </c>
      <c r="L559" s="30" t="s">
        <v>3273</v>
      </c>
      <c r="M559" s="30" t="s">
        <v>63</v>
      </c>
      <c r="N559" s="30">
        <v>0</v>
      </c>
      <c r="O559" s="30" t="s">
        <v>77</v>
      </c>
      <c r="P559" s="89" t="s">
        <v>65</v>
      </c>
      <c r="Q559" s="89" t="s">
        <v>642</v>
      </c>
      <c r="R559" s="89" t="s">
        <v>643</v>
      </c>
      <c r="S559" s="30">
        <v>0</v>
      </c>
      <c r="T559" s="233">
        <v>0</v>
      </c>
      <c r="U559" s="30">
        <v>0</v>
      </c>
      <c r="V559" s="233">
        <v>1</v>
      </c>
      <c r="W559" s="30">
        <v>0</v>
      </c>
      <c r="X559" s="30">
        <v>1</v>
      </c>
      <c r="Y559" s="30">
        <v>0</v>
      </c>
      <c r="Z559" s="233">
        <v>0</v>
      </c>
      <c r="AA559" s="30">
        <v>0</v>
      </c>
      <c r="AB559" s="30">
        <v>0</v>
      </c>
      <c r="AC559" s="30">
        <v>0</v>
      </c>
      <c r="AD559" s="30">
        <v>0</v>
      </c>
      <c r="AE559" s="89" t="s">
        <v>68</v>
      </c>
      <c r="AF559" s="89"/>
      <c r="AG559" s="89" t="s">
        <v>248</v>
      </c>
      <c r="AH559" s="72" t="s">
        <v>68</v>
      </c>
      <c r="AI559" s="30">
        <v>1</v>
      </c>
      <c r="AJ559" s="89" t="s">
        <v>68</v>
      </c>
      <c r="AK559" s="89" t="s">
        <v>68</v>
      </c>
      <c r="AL559" s="91">
        <v>39777</v>
      </c>
      <c r="AM559" s="91"/>
      <c r="AN559" s="91"/>
      <c r="AO559" s="91"/>
      <c r="AP559" s="73" t="e">
        <f>MID(VLOOKUP(K559,#REF!,2,FALSE),1,2)</f>
        <v>#REF!</v>
      </c>
      <c r="AQ559" s="89">
        <f>DATE(2008,10,13)</f>
        <v>39734</v>
      </c>
      <c r="AR559" s="82">
        <f t="shared" si="38"/>
        <v>13</v>
      </c>
      <c r="AS559" s="83">
        <f t="shared" si="39"/>
        <v>10</v>
      </c>
      <c r="AT559" s="84">
        <f t="shared" si="40"/>
        <v>2008</v>
      </c>
      <c r="AU559" s="86"/>
      <c r="AV559" s="86"/>
      <c r="AW559" s="87"/>
      <c r="AX559" s="86"/>
      <c r="AY559" s="83"/>
      <c r="AZ559" s="84"/>
      <c r="BA559" s="86"/>
      <c r="BB559" s="86"/>
    </row>
    <row r="560" spans="1:54" ht="36.75" customHeight="1">
      <c r="A560" s="30"/>
      <c r="B560" s="30" t="s">
        <v>55</v>
      </c>
      <c r="C560" s="69" t="str">
        <f t="shared" si="37"/>
        <v>Closed</v>
      </c>
      <c r="D560" s="27" t="s">
        <v>3274</v>
      </c>
      <c r="E560" s="29" t="s">
        <v>3275</v>
      </c>
      <c r="F560" s="30" t="s">
        <v>638</v>
      </c>
      <c r="G560" s="89">
        <f>DATE(2008,10,14)</f>
        <v>39735</v>
      </c>
      <c r="H560" s="90">
        <v>1.6152777777777778</v>
      </c>
      <c r="I560" s="30" t="s">
        <v>278</v>
      </c>
      <c r="J560" s="89" t="s">
        <v>3276</v>
      </c>
      <c r="K560" s="30" t="s">
        <v>640</v>
      </c>
      <c r="L560" s="30" t="s">
        <v>3277</v>
      </c>
      <c r="M560" s="30" t="s">
        <v>63</v>
      </c>
      <c r="N560" s="30">
        <v>0</v>
      </c>
      <c r="O560" s="30" t="s">
        <v>77</v>
      </c>
      <c r="P560" s="89" t="s">
        <v>165</v>
      </c>
      <c r="Q560" s="89" t="s">
        <v>642</v>
      </c>
      <c r="R560" s="89" t="s">
        <v>643</v>
      </c>
      <c r="S560" s="30">
        <v>0</v>
      </c>
      <c r="T560" s="233">
        <v>0</v>
      </c>
      <c r="U560" s="30">
        <v>0</v>
      </c>
      <c r="V560" s="233">
        <v>1</v>
      </c>
      <c r="W560" s="30">
        <v>0</v>
      </c>
      <c r="X560" s="30">
        <v>1</v>
      </c>
      <c r="Y560" s="30">
        <v>0</v>
      </c>
      <c r="Z560" s="233">
        <v>0</v>
      </c>
      <c r="AA560" s="30">
        <v>0</v>
      </c>
      <c r="AB560" s="30">
        <v>0</v>
      </c>
      <c r="AC560" s="30">
        <v>0</v>
      </c>
      <c r="AD560" s="30">
        <v>0</v>
      </c>
      <c r="AE560" s="89" t="s">
        <v>68</v>
      </c>
      <c r="AF560" s="89"/>
      <c r="AG560" s="89" t="s">
        <v>248</v>
      </c>
      <c r="AH560" s="72" t="s">
        <v>68</v>
      </c>
      <c r="AI560" s="30">
        <v>1</v>
      </c>
      <c r="AJ560" s="89" t="s">
        <v>68</v>
      </c>
      <c r="AK560" s="89" t="s">
        <v>68</v>
      </c>
      <c r="AL560" s="91">
        <v>39902</v>
      </c>
      <c r="AM560" s="91"/>
      <c r="AN560" s="91"/>
      <c r="AO560" s="91"/>
      <c r="AP560" s="73" t="e">
        <f>MID(VLOOKUP(K560,#REF!,2,FALSE),1,2)</f>
        <v>#REF!</v>
      </c>
      <c r="AQ560" s="89">
        <f>DATE(2008,10,14)</f>
        <v>39735</v>
      </c>
      <c r="AR560" s="82">
        <f t="shared" si="38"/>
        <v>14</v>
      </c>
      <c r="AS560" s="83">
        <f t="shared" si="39"/>
        <v>10</v>
      </c>
      <c r="AT560" s="84">
        <f t="shared" si="40"/>
        <v>2008</v>
      </c>
      <c r="AU560" s="86"/>
      <c r="AV560" s="86"/>
      <c r="AW560" s="87"/>
      <c r="AX560" s="86"/>
      <c r="AY560" s="83"/>
      <c r="AZ560" s="84"/>
      <c r="BA560" s="86"/>
      <c r="BB560" s="86"/>
    </row>
    <row r="561" spans="1:54" ht="36.75" customHeight="1">
      <c r="A561" s="30"/>
      <c r="B561" s="30" t="s">
        <v>55</v>
      </c>
      <c r="C561" s="69" t="str">
        <f t="shared" si="37"/>
        <v>Closed</v>
      </c>
      <c r="D561" s="27" t="s">
        <v>3278</v>
      </c>
      <c r="E561" s="29" t="s">
        <v>3279</v>
      </c>
      <c r="F561" s="30" t="s">
        <v>638</v>
      </c>
      <c r="G561" s="89">
        <f>DATE(2008,10,15)</f>
        <v>39736</v>
      </c>
      <c r="H561" s="90">
        <v>1.320138888888889</v>
      </c>
      <c r="I561" s="30" t="s">
        <v>278</v>
      </c>
      <c r="J561" s="89" t="s">
        <v>3280</v>
      </c>
      <c r="K561" s="30" t="s">
        <v>640</v>
      </c>
      <c r="L561" s="30" t="s">
        <v>3281</v>
      </c>
      <c r="M561" s="30" t="s">
        <v>63</v>
      </c>
      <c r="N561" s="30">
        <v>0</v>
      </c>
      <c r="O561" s="30" t="s">
        <v>86</v>
      </c>
      <c r="P561" s="89" t="s">
        <v>165</v>
      </c>
      <c r="Q561" s="89" t="s">
        <v>642</v>
      </c>
      <c r="R561" s="89" t="s">
        <v>643</v>
      </c>
      <c r="S561" s="30">
        <v>0</v>
      </c>
      <c r="T561" s="233">
        <v>0</v>
      </c>
      <c r="U561" s="30">
        <v>0</v>
      </c>
      <c r="V561" s="233">
        <v>1</v>
      </c>
      <c r="W561" s="30">
        <v>0</v>
      </c>
      <c r="X561" s="30">
        <v>1</v>
      </c>
      <c r="Y561" s="30">
        <v>0</v>
      </c>
      <c r="Z561" s="233">
        <v>0</v>
      </c>
      <c r="AA561" s="30">
        <v>0</v>
      </c>
      <c r="AB561" s="30">
        <v>0</v>
      </c>
      <c r="AC561" s="30">
        <v>0</v>
      </c>
      <c r="AD561" s="30">
        <v>0</v>
      </c>
      <c r="AE561" s="89" t="s">
        <v>68</v>
      </c>
      <c r="AF561" s="89"/>
      <c r="AG561" s="89" t="s">
        <v>248</v>
      </c>
      <c r="AH561" s="72" t="s">
        <v>68</v>
      </c>
      <c r="AI561" s="30">
        <v>1</v>
      </c>
      <c r="AJ561" s="89" t="s">
        <v>68</v>
      </c>
      <c r="AK561" s="89" t="s">
        <v>68</v>
      </c>
      <c r="AL561" s="91">
        <v>39778</v>
      </c>
      <c r="AM561" s="91"/>
      <c r="AN561" s="91"/>
      <c r="AO561" s="91"/>
      <c r="AP561" s="73" t="e">
        <f>MID(VLOOKUP(K561,#REF!,2,FALSE),1,2)</f>
        <v>#REF!</v>
      </c>
      <c r="AQ561" s="89">
        <f>DATE(2008,10,15)</f>
        <v>39736</v>
      </c>
      <c r="AR561" s="82">
        <f t="shared" si="38"/>
        <v>15</v>
      </c>
      <c r="AS561" s="83">
        <f t="shared" si="39"/>
        <v>10</v>
      </c>
      <c r="AT561" s="84">
        <f t="shared" si="40"/>
        <v>2008</v>
      </c>
      <c r="AU561" s="86"/>
      <c r="AV561" s="86"/>
      <c r="AW561" s="87"/>
      <c r="AX561" s="86"/>
      <c r="AY561" s="83"/>
      <c r="AZ561" s="84"/>
      <c r="BA561" s="86"/>
      <c r="BB561" s="86"/>
    </row>
    <row r="562" spans="1:54" ht="36.75" customHeight="1">
      <c r="A562" s="30"/>
      <c r="B562" s="30" t="s">
        <v>55</v>
      </c>
      <c r="C562" s="69" t="str">
        <f t="shared" si="37"/>
        <v>Closed</v>
      </c>
      <c r="D562" s="27" t="s">
        <v>3282</v>
      </c>
      <c r="E562" s="29" t="s">
        <v>3283</v>
      </c>
      <c r="F562" s="30" t="s">
        <v>197</v>
      </c>
      <c r="G562" s="89">
        <f>DATE(2008,10,18)</f>
        <v>39739</v>
      </c>
      <c r="H562" s="90">
        <v>1.0534722222222221</v>
      </c>
      <c r="I562" s="30" t="s">
        <v>73</v>
      </c>
      <c r="J562" s="89" t="s">
        <v>3284</v>
      </c>
      <c r="K562" s="30" t="s">
        <v>200</v>
      </c>
      <c r="L562" s="30" t="s">
        <v>3285</v>
      </c>
      <c r="M562" s="30" t="s">
        <v>63</v>
      </c>
      <c r="N562" s="30">
        <v>0</v>
      </c>
      <c r="O562" s="30" t="s">
        <v>77</v>
      </c>
      <c r="P562" s="89" t="s">
        <v>78</v>
      </c>
      <c r="Q562" s="89" t="s">
        <v>1716</v>
      </c>
      <c r="R562" s="89" t="s">
        <v>203</v>
      </c>
      <c r="S562" s="30">
        <v>0</v>
      </c>
      <c r="T562" s="233" t="s">
        <v>68</v>
      </c>
      <c r="U562" s="30">
        <v>0</v>
      </c>
      <c r="V562" s="233" t="s">
        <v>68</v>
      </c>
      <c r="W562" s="30">
        <v>0</v>
      </c>
      <c r="X562" s="30">
        <v>0</v>
      </c>
      <c r="Y562" s="30">
        <v>0</v>
      </c>
      <c r="Z562" s="233" t="s">
        <v>68</v>
      </c>
      <c r="AA562" s="30">
        <v>0</v>
      </c>
      <c r="AB562" s="30">
        <v>0</v>
      </c>
      <c r="AC562" s="30">
        <v>0</v>
      </c>
      <c r="AD562" s="30">
        <v>0</v>
      </c>
      <c r="AE562" s="89" t="s">
        <v>68</v>
      </c>
      <c r="AF562" s="89"/>
      <c r="AG562" s="89" t="s">
        <v>352</v>
      </c>
      <c r="AH562" s="72" t="s">
        <v>68</v>
      </c>
      <c r="AI562" s="30">
        <v>6</v>
      </c>
      <c r="AJ562" s="89" t="s">
        <v>3286</v>
      </c>
      <c r="AK562" s="89" t="s">
        <v>3287</v>
      </c>
      <c r="AL562" s="91">
        <v>39945</v>
      </c>
      <c r="AM562" s="91"/>
      <c r="AN562" s="91"/>
      <c r="AO562" s="91"/>
      <c r="AP562" s="73" t="e">
        <f>MID(VLOOKUP(K562,#REF!,2,FALSE),1,2)</f>
        <v>#REF!</v>
      </c>
      <c r="AQ562" s="89">
        <f>DATE(2008,10,18)</f>
        <v>39739</v>
      </c>
      <c r="AR562" s="82">
        <f t="shared" si="38"/>
        <v>18</v>
      </c>
      <c r="AS562" s="83">
        <f t="shared" si="39"/>
        <v>10</v>
      </c>
      <c r="AT562" s="84">
        <f t="shared" si="40"/>
        <v>2008</v>
      </c>
      <c r="AU562" s="86"/>
      <c r="AV562" s="86"/>
      <c r="AW562" s="87"/>
      <c r="AX562" s="86"/>
      <c r="AY562" s="83"/>
      <c r="AZ562" s="84"/>
      <c r="BA562" s="86"/>
      <c r="BB562" s="86"/>
    </row>
    <row r="563" spans="1:54" ht="36.75" customHeight="1">
      <c r="A563" s="30"/>
      <c r="B563" s="30" t="s">
        <v>55</v>
      </c>
      <c r="C563" s="69" t="str">
        <f t="shared" si="37"/>
        <v>Closed</v>
      </c>
      <c r="D563" s="27" t="s">
        <v>3288</v>
      </c>
      <c r="E563" s="29" t="s">
        <v>3289</v>
      </c>
      <c r="F563" s="30" t="s">
        <v>638</v>
      </c>
      <c r="G563" s="89">
        <f>DATE(2008,10,18)</f>
        <v>39739</v>
      </c>
      <c r="H563" s="90">
        <v>1.3374999999999999</v>
      </c>
      <c r="I563" s="30" t="s">
        <v>116</v>
      </c>
      <c r="J563" s="89" t="s">
        <v>3290</v>
      </c>
      <c r="K563" s="30" t="s">
        <v>640</v>
      </c>
      <c r="L563" s="30" t="s">
        <v>3291</v>
      </c>
      <c r="M563" s="30" t="s">
        <v>63</v>
      </c>
      <c r="N563" s="30">
        <v>0</v>
      </c>
      <c r="O563" s="30" t="s">
        <v>77</v>
      </c>
      <c r="P563" s="89" t="s">
        <v>78</v>
      </c>
      <c r="Q563" s="89" t="s">
        <v>642</v>
      </c>
      <c r="R563" s="89" t="s">
        <v>643</v>
      </c>
      <c r="S563" s="30">
        <v>0</v>
      </c>
      <c r="T563" s="233">
        <v>0</v>
      </c>
      <c r="U563" s="30">
        <v>1</v>
      </c>
      <c r="V563" s="233">
        <v>0</v>
      </c>
      <c r="W563" s="30">
        <v>0</v>
      </c>
      <c r="X563" s="30">
        <v>1</v>
      </c>
      <c r="Y563" s="30">
        <v>0</v>
      </c>
      <c r="Z563" s="233">
        <v>0</v>
      </c>
      <c r="AA563" s="30">
        <v>0</v>
      </c>
      <c r="AB563" s="30">
        <v>0</v>
      </c>
      <c r="AC563" s="30">
        <v>0</v>
      </c>
      <c r="AD563" s="30">
        <v>0</v>
      </c>
      <c r="AE563" s="89" t="s">
        <v>68</v>
      </c>
      <c r="AF563" s="89"/>
      <c r="AG563" s="89" t="s">
        <v>248</v>
      </c>
      <c r="AH563" s="72" t="s">
        <v>68</v>
      </c>
      <c r="AI563" s="30">
        <v>1</v>
      </c>
      <c r="AJ563" s="89" t="s">
        <v>68</v>
      </c>
      <c r="AK563" s="89" t="s">
        <v>68</v>
      </c>
      <c r="AL563" s="91">
        <v>39778</v>
      </c>
      <c r="AM563" s="91"/>
      <c r="AN563" s="91"/>
      <c r="AO563" s="91"/>
      <c r="AP563" s="73" t="e">
        <f>MID(VLOOKUP(K563,#REF!,2,FALSE),1,2)</f>
        <v>#REF!</v>
      </c>
      <c r="AQ563" s="89">
        <f>DATE(2008,10,18)</f>
        <v>39739</v>
      </c>
      <c r="AR563" s="82">
        <f t="shared" si="38"/>
        <v>18</v>
      </c>
      <c r="AS563" s="83">
        <f t="shared" si="39"/>
        <v>10</v>
      </c>
      <c r="AT563" s="84">
        <f t="shared" si="40"/>
        <v>2008</v>
      </c>
      <c r="AU563" s="86"/>
      <c r="AV563" s="86"/>
      <c r="AW563" s="87"/>
      <c r="AX563" s="86"/>
      <c r="AY563" s="83"/>
      <c r="AZ563" s="84"/>
      <c r="BA563" s="86"/>
      <c r="BB563" s="86"/>
    </row>
    <row r="564" spans="1:54" ht="36.75" customHeight="1">
      <c r="A564" s="30"/>
      <c r="B564" s="30" t="s">
        <v>55</v>
      </c>
      <c r="C564" s="69" t="str">
        <f t="shared" si="37"/>
        <v>Closed</v>
      </c>
      <c r="D564" s="27" t="s">
        <v>3292</v>
      </c>
      <c r="E564" s="29" t="s">
        <v>3293</v>
      </c>
      <c r="F564" s="30" t="s">
        <v>638</v>
      </c>
      <c r="G564" s="89">
        <f>DATE(2008,10,20)</f>
        <v>39741</v>
      </c>
      <c r="H564" s="90">
        <v>1.5243055555555556</v>
      </c>
      <c r="I564" s="30" t="s">
        <v>116</v>
      </c>
      <c r="J564" s="89" t="s">
        <v>3294</v>
      </c>
      <c r="K564" s="30" t="s">
        <v>640</v>
      </c>
      <c r="L564" s="30" t="s">
        <v>3295</v>
      </c>
      <c r="M564" s="30" t="s">
        <v>63</v>
      </c>
      <c r="N564" s="30">
        <v>0</v>
      </c>
      <c r="O564" s="30" t="s">
        <v>77</v>
      </c>
      <c r="P564" s="89" t="s">
        <v>165</v>
      </c>
      <c r="Q564" s="89" t="s">
        <v>642</v>
      </c>
      <c r="R564" s="89" t="s">
        <v>643</v>
      </c>
      <c r="S564" s="30">
        <v>0</v>
      </c>
      <c r="T564" s="233">
        <v>0</v>
      </c>
      <c r="U564" s="30">
        <v>1</v>
      </c>
      <c r="V564" s="233">
        <v>0</v>
      </c>
      <c r="W564" s="30">
        <v>0</v>
      </c>
      <c r="X564" s="30">
        <v>1</v>
      </c>
      <c r="Y564" s="30">
        <v>0</v>
      </c>
      <c r="Z564" s="233">
        <v>0</v>
      </c>
      <c r="AA564" s="30">
        <v>0</v>
      </c>
      <c r="AB564" s="30">
        <v>0</v>
      </c>
      <c r="AC564" s="30">
        <v>0</v>
      </c>
      <c r="AD564" s="30">
        <v>0</v>
      </c>
      <c r="AE564" s="89" t="s">
        <v>68</v>
      </c>
      <c r="AF564" s="89"/>
      <c r="AG564" s="89" t="s">
        <v>248</v>
      </c>
      <c r="AH564" s="72" t="s">
        <v>68</v>
      </c>
      <c r="AI564" s="30">
        <v>1</v>
      </c>
      <c r="AJ564" s="89" t="s">
        <v>68</v>
      </c>
      <c r="AK564" s="89" t="s">
        <v>68</v>
      </c>
      <c r="AL564" s="91">
        <v>39778</v>
      </c>
      <c r="AM564" s="91"/>
      <c r="AN564" s="91"/>
      <c r="AO564" s="91"/>
      <c r="AP564" s="73" t="e">
        <f>MID(VLOOKUP(K564,#REF!,2,FALSE),1,2)</f>
        <v>#REF!</v>
      </c>
      <c r="AQ564" s="89">
        <f>DATE(2008,10,20)</f>
        <v>39741</v>
      </c>
      <c r="AR564" s="82">
        <f t="shared" si="38"/>
        <v>20</v>
      </c>
      <c r="AS564" s="83">
        <f t="shared" si="39"/>
        <v>10</v>
      </c>
      <c r="AT564" s="84">
        <f t="shared" si="40"/>
        <v>2008</v>
      </c>
      <c r="AU564" s="86"/>
      <c r="AV564" s="86"/>
      <c r="AW564" s="87"/>
      <c r="AX564" s="86"/>
      <c r="AY564" s="83"/>
      <c r="AZ564" s="84"/>
      <c r="BA564" s="86"/>
      <c r="BB564" s="86"/>
    </row>
    <row r="565" spans="1:54" ht="36.75" customHeight="1">
      <c r="A565" s="30"/>
      <c r="B565" s="30" t="s">
        <v>55</v>
      </c>
      <c r="C565" s="69" t="str">
        <f t="shared" si="37"/>
        <v>Closed</v>
      </c>
      <c r="D565" s="27" t="s">
        <v>3296</v>
      </c>
      <c r="E565" s="29" t="s">
        <v>3297</v>
      </c>
      <c r="F565" s="30" t="s">
        <v>58</v>
      </c>
      <c r="G565" s="89">
        <f>DATE(2008,10,20)</f>
        <v>39741</v>
      </c>
      <c r="H565" s="90">
        <v>1.6986111111111111</v>
      </c>
      <c r="I565" s="30" t="s">
        <v>104</v>
      </c>
      <c r="J565" s="89" t="s">
        <v>3298</v>
      </c>
      <c r="K565" s="30" t="s">
        <v>61</v>
      </c>
      <c r="L565" s="30" t="s">
        <v>3299</v>
      </c>
      <c r="M565" s="30" t="s">
        <v>63</v>
      </c>
      <c r="N565" s="30" t="s">
        <v>89</v>
      </c>
      <c r="O565" s="30" t="s">
        <v>77</v>
      </c>
      <c r="P565" s="89" t="s">
        <v>165</v>
      </c>
      <c r="Q565" s="89" t="s">
        <v>66</v>
      </c>
      <c r="R565" s="89" t="s">
        <v>67</v>
      </c>
      <c r="S565" s="30">
        <v>0</v>
      </c>
      <c r="T565" s="233">
        <v>0</v>
      </c>
      <c r="U565" s="30">
        <v>0</v>
      </c>
      <c r="V565" s="233">
        <v>0</v>
      </c>
      <c r="W565" s="30">
        <v>0</v>
      </c>
      <c r="X565" s="30">
        <v>0</v>
      </c>
      <c r="Y565" s="30">
        <v>0</v>
      </c>
      <c r="Z565" s="233">
        <v>0</v>
      </c>
      <c r="AA565" s="30">
        <v>0</v>
      </c>
      <c r="AB565" s="30">
        <v>0</v>
      </c>
      <c r="AC565" s="30">
        <v>0</v>
      </c>
      <c r="AD565" s="30">
        <v>0</v>
      </c>
      <c r="AE565" s="89" t="s">
        <v>92</v>
      </c>
      <c r="AF565" s="89"/>
      <c r="AG565" s="89" t="s">
        <v>69</v>
      </c>
      <c r="AH565" s="72">
        <v>39756</v>
      </c>
      <c r="AI565" s="30">
        <v>4</v>
      </c>
      <c r="AJ565" s="89" t="s">
        <v>3300</v>
      </c>
      <c r="AK565" s="89" t="s">
        <v>3301</v>
      </c>
      <c r="AL565" s="91">
        <v>39897</v>
      </c>
      <c r="AM565" s="91"/>
      <c r="AN565" s="91"/>
      <c r="AO565" s="91"/>
      <c r="AP565" s="73" t="e">
        <f>MID(VLOOKUP(K565,#REF!,2,FALSE),1,2)</f>
        <v>#REF!</v>
      </c>
      <c r="AQ565" s="89">
        <f>DATE(2008,10,20)</f>
        <v>39741</v>
      </c>
      <c r="AR565" s="82">
        <f t="shared" si="38"/>
        <v>20</v>
      </c>
      <c r="AS565" s="83">
        <f t="shared" si="39"/>
        <v>10</v>
      </c>
      <c r="AT565" s="84">
        <f t="shared" si="40"/>
        <v>2008</v>
      </c>
      <c r="AU565" s="86"/>
      <c r="AV565" s="86"/>
      <c r="AW565" s="87"/>
      <c r="AX565" s="86"/>
      <c r="AY565" s="83"/>
      <c r="AZ565" s="84"/>
      <c r="BA565" s="86"/>
      <c r="BB565" s="86"/>
    </row>
    <row r="566" spans="1:54" ht="36.75" customHeight="1">
      <c r="A566" s="30"/>
      <c r="B566" s="30" t="s">
        <v>55</v>
      </c>
      <c r="C566" s="69" t="str">
        <f t="shared" si="37"/>
        <v>Closed</v>
      </c>
      <c r="D566" s="27" t="s">
        <v>3302</v>
      </c>
      <c r="E566" s="29" t="s">
        <v>3303</v>
      </c>
      <c r="F566" s="30" t="s">
        <v>2336</v>
      </c>
      <c r="G566" s="89">
        <f>DATE(2008,10,20)</f>
        <v>39741</v>
      </c>
      <c r="H566" s="90">
        <v>1.8937499999999998</v>
      </c>
      <c r="I566" s="30" t="s">
        <v>198</v>
      </c>
      <c r="J566" s="89" t="s">
        <v>3304</v>
      </c>
      <c r="K566" s="30" t="s">
        <v>2338</v>
      </c>
      <c r="L566" s="30" t="s">
        <v>3305</v>
      </c>
      <c r="M566" s="30" t="s">
        <v>63</v>
      </c>
      <c r="N566" s="30">
        <v>0</v>
      </c>
      <c r="O566" s="30" t="s">
        <v>77</v>
      </c>
      <c r="P566" s="89" t="s">
        <v>1216</v>
      </c>
      <c r="Q566" s="89" t="s">
        <v>3306</v>
      </c>
      <c r="R566" s="89" t="s">
        <v>2341</v>
      </c>
      <c r="S566" s="30">
        <v>0</v>
      </c>
      <c r="T566" s="233">
        <v>0</v>
      </c>
      <c r="U566" s="30">
        <v>0</v>
      </c>
      <c r="V566" s="233">
        <v>0</v>
      </c>
      <c r="W566" s="30">
        <v>0</v>
      </c>
      <c r="X566" s="30">
        <v>0</v>
      </c>
      <c r="Y566" s="30">
        <v>1</v>
      </c>
      <c r="Z566" s="233">
        <v>1</v>
      </c>
      <c r="AA566" s="30">
        <v>0</v>
      </c>
      <c r="AB566" s="30">
        <v>0</v>
      </c>
      <c r="AC566" s="30">
        <v>0</v>
      </c>
      <c r="AD566" s="30">
        <v>2</v>
      </c>
      <c r="AE566" s="89" t="s">
        <v>68</v>
      </c>
      <c r="AF566" s="89"/>
      <c r="AG566" s="89" t="s">
        <v>133</v>
      </c>
      <c r="AH566" s="72" t="s">
        <v>68</v>
      </c>
      <c r="AI566" s="30">
        <v>3</v>
      </c>
      <c r="AJ566" s="89" t="s">
        <v>3307</v>
      </c>
      <c r="AK566" s="89" t="s">
        <v>3308</v>
      </c>
      <c r="AL566" s="91">
        <v>39751</v>
      </c>
      <c r="AM566" s="91"/>
      <c r="AN566" s="91"/>
      <c r="AO566" s="91"/>
      <c r="AP566" s="73" t="e">
        <f>MID(VLOOKUP(K566,#REF!,2,FALSE),1,2)</f>
        <v>#REF!</v>
      </c>
      <c r="AQ566" s="89">
        <f>DATE(2008,10,20)</f>
        <v>39741</v>
      </c>
      <c r="AR566" s="82">
        <f t="shared" si="38"/>
        <v>20</v>
      </c>
      <c r="AS566" s="83">
        <f t="shared" si="39"/>
        <v>10</v>
      </c>
      <c r="AT566" s="84">
        <f t="shared" si="40"/>
        <v>2008</v>
      </c>
      <c r="AU566" s="86"/>
      <c r="AV566" s="86"/>
      <c r="AW566" s="87"/>
      <c r="AX566" s="86"/>
      <c r="AY566" s="83"/>
      <c r="AZ566" s="84"/>
      <c r="BA566" s="86"/>
      <c r="BB566" s="86"/>
    </row>
    <row r="567" spans="1:54" ht="36.75" customHeight="1">
      <c r="A567" s="30"/>
      <c r="B567" s="30" t="s">
        <v>55</v>
      </c>
      <c r="C567" s="69" t="str">
        <f t="shared" si="37"/>
        <v>Closed</v>
      </c>
      <c r="D567" s="27" t="s">
        <v>3309</v>
      </c>
      <c r="E567" s="29" t="s">
        <v>3310</v>
      </c>
      <c r="F567" s="30" t="s">
        <v>233</v>
      </c>
      <c r="G567" s="89">
        <f>DATE(2008,10,21)</f>
        <v>39742</v>
      </c>
      <c r="H567" s="90">
        <v>1.4756944444444444</v>
      </c>
      <c r="I567" s="30" t="s">
        <v>116</v>
      </c>
      <c r="J567" s="89" t="s">
        <v>3311</v>
      </c>
      <c r="K567" s="30" t="s">
        <v>235</v>
      </c>
      <c r="L567" s="30" t="s">
        <v>3312</v>
      </c>
      <c r="M567" s="30" t="s">
        <v>63</v>
      </c>
      <c r="N567" s="30">
        <v>0</v>
      </c>
      <c r="O567" s="30" t="s">
        <v>64</v>
      </c>
      <c r="P567" s="89" t="s">
        <v>165</v>
      </c>
      <c r="Q567" s="89" t="s">
        <v>2174</v>
      </c>
      <c r="R567" s="89" t="s">
        <v>238</v>
      </c>
      <c r="S567" s="30">
        <v>0</v>
      </c>
      <c r="T567" s="233" t="s">
        <v>68</v>
      </c>
      <c r="U567" s="30">
        <v>0</v>
      </c>
      <c r="V567" s="233" t="s">
        <v>68</v>
      </c>
      <c r="W567" s="30">
        <v>0</v>
      </c>
      <c r="X567" s="30">
        <v>0</v>
      </c>
      <c r="Y567" s="30">
        <v>0</v>
      </c>
      <c r="Z567" s="233" t="s">
        <v>68</v>
      </c>
      <c r="AA567" s="30">
        <v>0</v>
      </c>
      <c r="AB567" s="30">
        <v>0</v>
      </c>
      <c r="AC567" s="30">
        <v>0</v>
      </c>
      <c r="AD567" s="30">
        <v>0</v>
      </c>
      <c r="AE567" s="89" t="s">
        <v>68</v>
      </c>
      <c r="AF567" s="89"/>
      <c r="AG567" s="89" t="s">
        <v>352</v>
      </c>
      <c r="AH567" s="72" t="s">
        <v>68</v>
      </c>
      <c r="AI567" s="30">
        <v>8</v>
      </c>
      <c r="AJ567" s="89" t="s">
        <v>3313</v>
      </c>
      <c r="AK567" s="89" t="s">
        <v>3314</v>
      </c>
      <c r="AL567" s="91">
        <v>39759</v>
      </c>
      <c r="AM567" s="91"/>
      <c r="AN567" s="91"/>
      <c r="AO567" s="91"/>
      <c r="AP567" s="73" t="e">
        <f>MID(VLOOKUP(K567,#REF!,2,FALSE),1,2)</f>
        <v>#REF!</v>
      </c>
      <c r="AQ567" s="89">
        <f>DATE(2008,10,21)</f>
        <v>39742</v>
      </c>
      <c r="AR567" s="82">
        <f t="shared" si="38"/>
        <v>21</v>
      </c>
      <c r="AS567" s="83">
        <f t="shared" si="39"/>
        <v>10</v>
      </c>
      <c r="AT567" s="84">
        <f t="shared" si="40"/>
        <v>2008</v>
      </c>
      <c r="AU567" s="86"/>
      <c r="AV567" s="86"/>
      <c r="AW567" s="87"/>
      <c r="AX567" s="86"/>
      <c r="AY567" s="83"/>
      <c r="AZ567" s="84"/>
      <c r="BA567" s="86"/>
      <c r="BB567" s="86"/>
    </row>
    <row r="568" spans="1:54" ht="36.75" customHeight="1">
      <c r="A568" s="30"/>
      <c r="B568" s="30" t="s">
        <v>55</v>
      </c>
      <c r="C568" s="69" t="str">
        <f t="shared" si="37"/>
        <v>Closed</v>
      </c>
      <c r="D568" s="27" t="s">
        <v>3315</v>
      </c>
      <c r="E568" s="29" t="s">
        <v>3316</v>
      </c>
      <c r="F568" s="30" t="s">
        <v>197</v>
      </c>
      <c r="G568" s="89">
        <f>DATE(2008,10,22)</f>
        <v>39743</v>
      </c>
      <c r="H568" s="90">
        <v>1.4006944444444445</v>
      </c>
      <c r="I568" s="30" t="s">
        <v>73</v>
      </c>
      <c r="J568" s="89" t="s">
        <v>3317</v>
      </c>
      <c r="K568" s="30" t="s">
        <v>200</v>
      </c>
      <c r="L568" s="30" t="s">
        <v>3318</v>
      </c>
      <c r="M568" s="30" t="s">
        <v>63</v>
      </c>
      <c r="N568" s="30">
        <v>0</v>
      </c>
      <c r="O568" s="30" t="s">
        <v>90</v>
      </c>
      <c r="P568" s="89" t="s">
        <v>78</v>
      </c>
      <c r="Q568" s="89" t="s">
        <v>3144</v>
      </c>
      <c r="R568" s="89" t="s">
        <v>203</v>
      </c>
      <c r="S568" s="30">
        <v>0</v>
      </c>
      <c r="T568" s="233" t="s">
        <v>68</v>
      </c>
      <c r="U568" s="30">
        <v>0</v>
      </c>
      <c r="V568" s="233" t="s">
        <v>68</v>
      </c>
      <c r="W568" s="30">
        <v>0</v>
      </c>
      <c r="X568" s="30">
        <v>0</v>
      </c>
      <c r="Y568" s="30">
        <v>0</v>
      </c>
      <c r="Z568" s="233" t="s">
        <v>68</v>
      </c>
      <c r="AA568" s="30">
        <v>0</v>
      </c>
      <c r="AB568" s="30">
        <v>0</v>
      </c>
      <c r="AC568" s="30">
        <v>0</v>
      </c>
      <c r="AD568" s="30">
        <v>0</v>
      </c>
      <c r="AE568" s="89" t="s">
        <v>68</v>
      </c>
      <c r="AF568" s="89"/>
      <c r="AG568" s="89" t="s">
        <v>352</v>
      </c>
      <c r="AH568" s="72" t="s">
        <v>68</v>
      </c>
      <c r="AI568" s="30">
        <v>4</v>
      </c>
      <c r="AJ568" s="89" t="s">
        <v>3319</v>
      </c>
      <c r="AK568" s="89" t="s">
        <v>3320</v>
      </c>
      <c r="AL568" s="91">
        <v>39941</v>
      </c>
      <c r="AM568" s="91"/>
      <c r="AN568" s="91"/>
      <c r="AO568" s="91"/>
      <c r="AP568" s="73" t="e">
        <f>MID(VLOOKUP(K568,#REF!,2,FALSE),1,2)</f>
        <v>#REF!</v>
      </c>
      <c r="AQ568" s="89">
        <f>DATE(2008,10,22)</f>
        <v>39743</v>
      </c>
      <c r="AR568" s="82">
        <f t="shared" si="38"/>
        <v>22</v>
      </c>
      <c r="AS568" s="83">
        <f t="shared" si="39"/>
        <v>10</v>
      </c>
      <c r="AT568" s="84">
        <f t="shared" si="40"/>
        <v>2008</v>
      </c>
      <c r="AU568" s="86"/>
      <c r="AV568" s="86"/>
      <c r="AW568" s="87"/>
      <c r="AX568" s="86"/>
      <c r="AY568" s="83"/>
      <c r="AZ568" s="84"/>
      <c r="BA568" s="86"/>
      <c r="BB568" s="86"/>
    </row>
    <row r="569" spans="1:54" ht="36.75" customHeight="1">
      <c r="A569" s="30"/>
      <c r="B569" s="30" t="s">
        <v>55</v>
      </c>
      <c r="C569" s="69" t="str">
        <f t="shared" si="37"/>
        <v>Closed</v>
      </c>
      <c r="D569" s="27" t="s">
        <v>3321</v>
      </c>
      <c r="E569" s="29" t="s">
        <v>3322</v>
      </c>
      <c r="F569" s="30" t="s">
        <v>638</v>
      </c>
      <c r="G569" s="89">
        <f>DATE(2008,10,23)</f>
        <v>39744</v>
      </c>
      <c r="H569" s="90">
        <v>1.5201388888888889</v>
      </c>
      <c r="I569" s="30" t="s">
        <v>104</v>
      </c>
      <c r="J569" s="89" t="s">
        <v>3323</v>
      </c>
      <c r="K569" s="30" t="s">
        <v>640</v>
      </c>
      <c r="L569" s="30" t="s">
        <v>3324</v>
      </c>
      <c r="M569" s="30" t="s">
        <v>63</v>
      </c>
      <c r="N569" s="30">
        <v>0</v>
      </c>
      <c r="O569" s="30" t="s">
        <v>77</v>
      </c>
      <c r="P569" s="89" t="s">
        <v>78</v>
      </c>
      <c r="Q569" s="89" t="s">
        <v>3211</v>
      </c>
      <c r="R569" s="89" t="s">
        <v>643</v>
      </c>
      <c r="S569" s="30">
        <v>0</v>
      </c>
      <c r="T569" s="233" t="s">
        <v>68</v>
      </c>
      <c r="U569" s="30">
        <v>0</v>
      </c>
      <c r="V569" s="233" t="s">
        <v>68</v>
      </c>
      <c r="W569" s="30">
        <v>0</v>
      </c>
      <c r="X569" s="30">
        <v>0</v>
      </c>
      <c r="Y569" s="30">
        <v>0</v>
      </c>
      <c r="Z569" s="233" t="s">
        <v>68</v>
      </c>
      <c r="AA569" s="30">
        <v>0</v>
      </c>
      <c r="AB569" s="30">
        <v>0</v>
      </c>
      <c r="AC569" s="30">
        <v>0</v>
      </c>
      <c r="AD569" s="30">
        <v>0</v>
      </c>
      <c r="AE569" s="89" t="s">
        <v>68</v>
      </c>
      <c r="AF569" s="89"/>
      <c r="AG569" s="89" t="s">
        <v>248</v>
      </c>
      <c r="AH569" s="72" t="s">
        <v>68</v>
      </c>
      <c r="AI569" s="30">
        <v>4</v>
      </c>
      <c r="AJ569" s="89" t="s">
        <v>68</v>
      </c>
      <c r="AK569" s="89" t="s">
        <v>68</v>
      </c>
      <c r="AL569" s="91">
        <v>39923</v>
      </c>
      <c r="AM569" s="91"/>
      <c r="AN569" s="91"/>
      <c r="AO569" s="91"/>
      <c r="AP569" s="73" t="e">
        <f>MID(VLOOKUP(K569,#REF!,2,FALSE),1,2)</f>
        <v>#REF!</v>
      </c>
      <c r="AQ569" s="89">
        <f>DATE(2008,10,23)</f>
        <v>39744</v>
      </c>
      <c r="AR569" s="82">
        <f t="shared" si="38"/>
        <v>23</v>
      </c>
      <c r="AS569" s="83">
        <f t="shared" si="39"/>
        <v>10</v>
      </c>
      <c r="AT569" s="84">
        <f t="shared" si="40"/>
        <v>2008</v>
      </c>
      <c r="AU569" s="86"/>
      <c r="AV569" s="86"/>
      <c r="AW569" s="87"/>
      <c r="AX569" s="86"/>
      <c r="AY569" s="83"/>
      <c r="AZ569" s="84"/>
      <c r="BA569" s="86"/>
      <c r="BB569" s="86"/>
    </row>
    <row r="570" spans="1:54" ht="36.75" customHeight="1">
      <c r="A570" s="30"/>
      <c r="B570" s="30" t="s">
        <v>55</v>
      </c>
      <c r="C570" s="69" t="str">
        <f t="shared" si="37"/>
        <v>Closed</v>
      </c>
      <c r="D570" s="27" t="s">
        <v>3325</v>
      </c>
      <c r="E570" s="29" t="s">
        <v>3326</v>
      </c>
      <c r="F570" s="30" t="s">
        <v>638</v>
      </c>
      <c r="G570" s="89">
        <f>DATE(2008,10,24)</f>
        <v>39745</v>
      </c>
      <c r="H570" s="90">
        <v>1.2694444444444444</v>
      </c>
      <c r="I570" s="30" t="s">
        <v>73</v>
      </c>
      <c r="J570" s="89" t="s">
        <v>3327</v>
      </c>
      <c r="K570" s="30" t="s">
        <v>640</v>
      </c>
      <c r="L570" s="30" t="s">
        <v>3328</v>
      </c>
      <c r="M570" s="30" t="s">
        <v>63</v>
      </c>
      <c r="N570" s="30">
        <v>0</v>
      </c>
      <c r="O570" s="30" t="s">
        <v>77</v>
      </c>
      <c r="P570" s="89" t="s">
        <v>78</v>
      </c>
      <c r="Q570" s="89" t="s">
        <v>642</v>
      </c>
      <c r="R570" s="89" t="s">
        <v>643</v>
      </c>
      <c r="S570" s="30">
        <v>0</v>
      </c>
      <c r="T570" s="233" t="s">
        <v>68</v>
      </c>
      <c r="U570" s="30">
        <v>0</v>
      </c>
      <c r="V570" s="233" t="s">
        <v>68</v>
      </c>
      <c r="W570" s="30">
        <v>0</v>
      </c>
      <c r="X570" s="30">
        <v>0</v>
      </c>
      <c r="Y570" s="30">
        <v>0</v>
      </c>
      <c r="Z570" s="233" t="s">
        <v>68</v>
      </c>
      <c r="AA570" s="30">
        <v>0</v>
      </c>
      <c r="AB570" s="30">
        <v>0</v>
      </c>
      <c r="AC570" s="30">
        <v>0</v>
      </c>
      <c r="AD570" s="30">
        <v>0</v>
      </c>
      <c r="AE570" s="89" t="s">
        <v>68</v>
      </c>
      <c r="AF570" s="89"/>
      <c r="AG570" s="89" t="s">
        <v>133</v>
      </c>
      <c r="AH570" s="72" t="s">
        <v>68</v>
      </c>
      <c r="AI570" s="30">
        <v>5</v>
      </c>
      <c r="AJ570" s="89" t="s">
        <v>3329</v>
      </c>
      <c r="AK570" s="89" t="s">
        <v>68</v>
      </c>
      <c r="AL570" s="91">
        <v>40112</v>
      </c>
      <c r="AM570" s="91"/>
      <c r="AN570" s="91"/>
      <c r="AO570" s="91"/>
      <c r="AP570" s="73" t="e">
        <f>MID(VLOOKUP(K570,#REF!,2,FALSE),1,2)</f>
        <v>#REF!</v>
      </c>
      <c r="AQ570" s="89">
        <f>DATE(2008,10,24)</f>
        <v>39745</v>
      </c>
      <c r="AR570" s="82">
        <f t="shared" si="38"/>
        <v>24</v>
      </c>
      <c r="AS570" s="83">
        <f t="shared" si="39"/>
        <v>10</v>
      </c>
      <c r="AT570" s="84">
        <f t="shared" si="40"/>
        <v>2008</v>
      </c>
      <c r="AU570" s="86"/>
      <c r="AV570" s="86"/>
      <c r="AW570" s="87"/>
      <c r="AX570" s="86"/>
      <c r="AY570" s="83"/>
      <c r="AZ570" s="84"/>
      <c r="BA570" s="86"/>
      <c r="BB570" s="86"/>
    </row>
    <row r="571" spans="1:54" ht="36.75" customHeight="1">
      <c r="A571" s="30"/>
      <c r="B571" s="30" t="s">
        <v>55</v>
      </c>
      <c r="C571" s="69" t="str">
        <f t="shared" si="37"/>
        <v>Closed</v>
      </c>
      <c r="D571" s="27" t="s">
        <v>3330</v>
      </c>
      <c r="E571" s="29" t="s">
        <v>3331</v>
      </c>
      <c r="F571" s="30" t="s">
        <v>1770</v>
      </c>
      <c r="G571" s="89">
        <f>DATE(2008,10,25)</f>
        <v>39746</v>
      </c>
      <c r="H571" s="90">
        <v>1.8472222222222223</v>
      </c>
      <c r="I571" s="30" t="s">
        <v>278</v>
      </c>
      <c r="J571" s="89" t="s">
        <v>3332</v>
      </c>
      <c r="K571" s="30" t="s">
        <v>1772</v>
      </c>
      <c r="L571" s="30" t="s">
        <v>3333</v>
      </c>
      <c r="M571" s="30" t="s">
        <v>63</v>
      </c>
      <c r="N571" s="30" t="s">
        <v>142</v>
      </c>
      <c r="O571" s="30" t="s">
        <v>64</v>
      </c>
      <c r="P571" s="89" t="s">
        <v>165</v>
      </c>
      <c r="Q571" s="89" t="s">
        <v>1774</v>
      </c>
      <c r="R571" s="89" t="s">
        <v>1775</v>
      </c>
      <c r="S571" s="30">
        <v>0</v>
      </c>
      <c r="T571" s="233">
        <v>1</v>
      </c>
      <c r="U571" s="30">
        <v>0</v>
      </c>
      <c r="V571" s="233">
        <v>0</v>
      </c>
      <c r="W571" s="30">
        <v>0</v>
      </c>
      <c r="X571" s="30">
        <v>1</v>
      </c>
      <c r="Y571" s="30">
        <v>0</v>
      </c>
      <c r="Z571" s="233">
        <v>0</v>
      </c>
      <c r="AA571" s="30">
        <v>0</v>
      </c>
      <c r="AB571" s="30">
        <v>0</v>
      </c>
      <c r="AC571" s="30">
        <v>0</v>
      </c>
      <c r="AD571" s="30">
        <v>0</v>
      </c>
      <c r="AE571" s="89" t="s">
        <v>92</v>
      </c>
      <c r="AF571" s="89"/>
      <c r="AG571" s="89" t="s">
        <v>82</v>
      </c>
      <c r="AH571" s="72">
        <v>39752</v>
      </c>
      <c r="AI571" s="30">
        <v>4</v>
      </c>
      <c r="AJ571" s="89" t="s">
        <v>3334</v>
      </c>
      <c r="AK571" s="89" t="s">
        <v>1233</v>
      </c>
      <c r="AL571" s="91">
        <v>39772</v>
      </c>
      <c r="AM571" s="91"/>
      <c r="AN571" s="91"/>
      <c r="AO571" s="91"/>
      <c r="AP571" s="73" t="e">
        <f>MID(VLOOKUP(K571,#REF!,2,FALSE),1,2)</f>
        <v>#REF!</v>
      </c>
      <c r="AQ571" s="89">
        <f>DATE(2008,10,25)</f>
        <v>39746</v>
      </c>
      <c r="AR571" s="82">
        <f t="shared" si="38"/>
        <v>25</v>
      </c>
      <c r="AS571" s="83">
        <f t="shared" si="39"/>
        <v>10</v>
      </c>
      <c r="AT571" s="84">
        <f t="shared" si="40"/>
        <v>2008</v>
      </c>
      <c r="AU571" s="86"/>
      <c r="AV571" s="86"/>
      <c r="AW571" s="87"/>
      <c r="AX571" s="86"/>
      <c r="AY571" s="83"/>
      <c r="AZ571" s="84"/>
      <c r="BA571" s="86"/>
      <c r="BB571" s="86"/>
    </row>
    <row r="572" spans="1:54" ht="36.75" customHeight="1">
      <c r="A572" s="30"/>
      <c r="B572" s="30" t="s">
        <v>55</v>
      </c>
      <c r="C572" s="69" t="str">
        <f t="shared" si="37"/>
        <v>Closed</v>
      </c>
      <c r="D572" s="27" t="s">
        <v>3335</v>
      </c>
      <c r="E572" s="29" t="s">
        <v>3336</v>
      </c>
      <c r="F572" s="30" t="s">
        <v>197</v>
      </c>
      <c r="G572" s="89">
        <f>DATE(2008,10,31)</f>
        <v>39752</v>
      </c>
      <c r="H572" s="90">
        <v>1.9277777777777776</v>
      </c>
      <c r="I572" s="30" t="s">
        <v>73</v>
      </c>
      <c r="J572" s="89" t="s">
        <v>3337</v>
      </c>
      <c r="K572" s="30" t="s">
        <v>200</v>
      </c>
      <c r="L572" s="30" t="s">
        <v>3338</v>
      </c>
      <c r="M572" s="30" t="s">
        <v>63</v>
      </c>
      <c r="N572" s="30">
        <v>0</v>
      </c>
      <c r="O572" s="30" t="s">
        <v>77</v>
      </c>
      <c r="P572" s="89" t="s">
        <v>78</v>
      </c>
      <c r="Q572" s="89" t="s">
        <v>1716</v>
      </c>
      <c r="R572" s="89" t="s">
        <v>203</v>
      </c>
      <c r="S572" s="30">
        <v>0</v>
      </c>
      <c r="T572" s="233" t="s">
        <v>68</v>
      </c>
      <c r="U572" s="30">
        <v>0</v>
      </c>
      <c r="V572" s="233" t="s">
        <v>68</v>
      </c>
      <c r="W572" s="30">
        <v>0</v>
      </c>
      <c r="X572" s="30">
        <v>0</v>
      </c>
      <c r="Y572" s="30">
        <v>0</v>
      </c>
      <c r="Z572" s="233" t="s">
        <v>68</v>
      </c>
      <c r="AA572" s="30">
        <v>0</v>
      </c>
      <c r="AB572" s="30">
        <v>0</v>
      </c>
      <c r="AC572" s="30">
        <v>0</v>
      </c>
      <c r="AD572" s="30">
        <v>0</v>
      </c>
      <c r="AE572" s="89" t="s">
        <v>68</v>
      </c>
      <c r="AF572" s="89"/>
      <c r="AG572" s="89" t="s">
        <v>82</v>
      </c>
      <c r="AH572" s="72" t="s">
        <v>68</v>
      </c>
      <c r="AI572" s="30">
        <v>4</v>
      </c>
      <c r="AJ572" s="89" t="s">
        <v>3339</v>
      </c>
      <c r="AK572" s="89" t="s">
        <v>68</v>
      </c>
      <c r="AL572" s="91">
        <v>39944</v>
      </c>
      <c r="AM572" s="91"/>
      <c r="AN572" s="91"/>
      <c r="AO572" s="91"/>
      <c r="AP572" s="73" t="e">
        <f>MID(VLOOKUP(K572,#REF!,2,FALSE),1,2)</f>
        <v>#REF!</v>
      </c>
      <c r="AQ572" s="89">
        <f>DATE(2008,10,31)</f>
        <v>39752</v>
      </c>
      <c r="AR572" s="82">
        <f t="shared" si="38"/>
        <v>31</v>
      </c>
      <c r="AS572" s="83">
        <f t="shared" si="39"/>
        <v>10</v>
      </c>
      <c r="AT572" s="84">
        <f t="shared" si="40"/>
        <v>2008</v>
      </c>
      <c r="AU572" s="86"/>
      <c r="AV572" s="86"/>
      <c r="AW572" s="87"/>
      <c r="AX572" s="86"/>
      <c r="AY572" s="83"/>
      <c r="AZ572" s="84"/>
      <c r="BA572" s="86"/>
      <c r="BB572" s="86"/>
    </row>
    <row r="573" spans="1:54" ht="36.75" customHeight="1">
      <c r="A573" s="30"/>
      <c r="B573" s="30" t="s">
        <v>55</v>
      </c>
      <c r="C573" s="69" t="str">
        <f t="shared" si="37"/>
        <v>Closed</v>
      </c>
      <c r="D573" s="27" t="s">
        <v>3340</v>
      </c>
      <c r="E573" s="29" t="s">
        <v>3341</v>
      </c>
      <c r="F573" s="30" t="s">
        <v>638</v>
      </c>
      <c r="G573" s="89">
        <f>DATE(2008,11,2)</f>
        <v>39754</v>
      </c>
      <c r="H573" s="90">
        <v>1.9236111111111112</v>
      </c>
      <c r="I573" s="30" t="s">
        <v>278</v>
      </c>
      <c r="J573" s="89" t="s">
        <v>3342</v>
      </c>
      <c r="K573" s="30" t="s">
        <v>640</v>
      </c>
      <c r="L573" s="30" t="s">
        <v>3343</v>
      </c>
      <c r="M573" s="30" t="s">
        <v>63</v>
      </c>
      <c r="N573" s="30">
        <v>0</v>
      </c>
      <c r="O573" s="30" t="s">
        <v>86</v>
      </c>
      <c r="P573" s="89" t="s">
        <v>65</v>
      </c>
      <c r="Q573" s="89" t="s">
        <v>642</v>
      </c>
      <c r="R573" s="89" t="s">
        <v>643</v>
      </c>
      <c r="S573" s="30">
        <v>0</v>
      </c>
      <c r="T573" s="233">
        <v>0</v>
      </c>
      <c r="U573" s="30">
        <v>0</v>
      </c>
      <c r="V573" s="233">
        <v>1</v>
      </c>
      <c r="W573" s="30">
        <v>0</v>
      </c>
      <c r="X573" s="30">
        <v>1</v>
      </c>
      <c r="Y573" s="30">
        <v>0</v>
      </c>
      <c r="Z573" s="233">
        <v>0</v>
      </c>
      <c r="AA573" s="30">
        <v>0</v>
      </c>
      <c r="AB573" s="30">
        <v>0</v>
      </c>
      <c r="AC573" s="30">
        <v>0</v>
      </c>
      <c r="AD573" s="30">
        <v>0</v>
      </c>
      <c r="AE573" s="89" t="s">
        <v>68</v>
      </c>
      <c r="AF573" s="89"/>
      <c r="AG573" s="89" t="s">
        <v>248</v>
      </c>
      <c r="AH573" s="72" t="s">
        <v>68</v>
      </c>
      <c r="AI573" s="30">
        <v>1</v>
      </c>
      <c r="AJ573" s="89" t="s">
        <v>68</v>
      </c>
      <c r="AK573" s="89" t="s">
        <v>68</v>
      </c>
      <c r="AL573" s="91">
        <v>39778</v>
      </c>
      <c r="AM573" s="91"/>
      <c r="AN573" s="91"/>
      <c r="AO573" s="91"/>
      <c r="AP573" s="73" t="e">
        <f>MID(VLOOKUP(K573,#REF!,2,FALSE),1,2)</f>
        <v>#REF!</v>
      </c>
      <c r="AQ573" s="89">
        <f>DATE(2008,11,2)</f>
        <v>39754</v>
      </c>
      <c r="AR573" s="82">
        <f t="shared" si="38"/>
        <v>2</v>
      </c>
      <c r="AS573" s="83">
        <f t="shared" si="39"/>
        <v>11</v>
      </c>
      <c r="AT573" s="84">
        <f t="shared" si="40"/>
        <v>2008</v>
      </c>
      <c r="AU573" s="86"/>
      <c r="AV573" s="86"/>
      <c r="AW573" s="87"/>
      <c r="AX573" s="86"/>
      <c r="AY573" s="83"/>
      <c r="AZ573" s="84"/>
      <c r="BA573" s="86"/>
      <c r="BB573" s="86"/>
    </row>
    <row r="574" spans="1:54" ht="36.75" customHeight="1">
      <c r="A574" s="30"/>
      <c r="B574" s="30" t="s">
        <v>55</v>
      </c>
      <c r="C574" s="69" t="str">
        <f t="shared" si="37"/>
        <v>Closed</v>
      </c>
      <c r="D574" s="27" t="s">
        <v>3344</v>
      </c>
      <c r="E574" s="29" t="s">
        <v>3345</v>
      </c>
      <c r="F574" s="30" t="s">
        <v>638</v>
      </c>
      <c r="G574" s="89">
        <f>DATE(2008,11,3)</f>
        <v>39755</v>
      </c>
      <c r="H574" s="90">
        <v>1.8534722222222224</v>
      </c>
      <c r="I574" s="30" t="s">
        <v>278</v>
      </c>
      <c r="J574" s="89" t="s">
        <v>3346</v>
      </c>
      <c r="K574" s="30" t="s">
        <v>640</v>
      </c>
      <c r="L574" s="30" t="s">
        <v>3347</v>
      </c>
      <c r="M574" s="30" t="s">
        <v>63</v>
      </c>
      <c r="N574" s="30">
        <v>0</v>
      </c>
      <c r="O574" s="30" t="s">
        <v>77</v>
      </c>
      <c r="P574" s="89" t="s">
        <v>165</v>
      </c>
      <c r="Q574" s="89" t="s">
        <v>642</v>
      </c>
      <c r="R574" s="89" t="s">
        <v>643</v>
      </c>
      <c r="S574" s="30">
        <v>0</v>
      </c>
      <c r="T574" s="233">
        <v>0</v>
      </c>
      <c r="U574" s="30">
        <v>0</v>
      </c>
      <c r="V574" s="233">
        <v>1</v>
      </c>
      <c r="W574" s="30">
        <v>0</v>
      </c>
      <c r="X574" s="30">
        <v>1</v>
      </c>
      <c r="Y574" s="30">
        <v>0</v>
      </c>
      <c r="Z574" s="233">
        <v>0</v>
      </c>
      <c r="AA574" s="30">
        <v>0</v>
      </c>
      <c r="AB574" s="30">
        <v>0</v>
      </c>
      <c r="AC574" s="30">
        <v>0</v>
      </c>
      <c r="AD574" s="30">
        <v>0</v>
      </c>
      <c r="AE574" s="89" t="s">
        <v>68</v>
      </c>
      <c r="AF574" s="89"/>
      <c r="AG574" s="89" t="s">
        <v>248</v>
      </c>
      <c r="AH574" s="72" t="s">
        <v>68</v>
      </c>
      <c r="AI574" s="30">
        <v>1</v>
      </c>
      <c r="AJ574" s="89" t="s">
        <v>68</v>
      </c>
      <c r="AK574" s="89" t="s">
        <v>68</v>
      </c>
      <c r="AL574" s="91">
        <v>39778</v>
      </c>
      <c r="AM574" s="91"/>
      <c r="AN574" s="91"/>
      <c r="AO574" s="91"/>
      <c r="AP574" s="73" t="e">
        <f>MID(VLOOKUP(K574,#REF!,2,FALSE),1,2)</f>
        <v>#REF!</v>
      </c>
      <c r="AQ574" s="89">
        <f>DATE(2008,11,3)</f>
        <v>39755</v>
      </c>
      <c r="AR574" s="82">
        <f t="shared" si="38"/>
        <v>3</v>
      </c>
      <c r="AS574" s="83">
        <f t="shared" si="39"/>
        <v>11</v>
      </c>
      <c r="AT574" s="84">
        <f t="shared" si="40"/>
        <v>2008</v>
      </c>
      <c r="AU574" s="86"/>
      <c r="AV574" s="86"/>
      <c r="AW574" s="87"/>
      <c r="AX574" s="86"/>
      <c r="AY574" s="83"/>
      <c r="AZ574" s="84"/>
      <c r="BA574" s="86"/>
      <c r="BB574" s="86"/>
    </row>
    <row r="575" spans="1:54" ht="36.75" customHeight="1">
      <c r="A575" s="30"/>
      <c r="B575" s="30" t="s">
        <v>55</v>
      </c>
      <c r="C575" s="69" t="str">
        <f t="shared" si="37"/>
        <v>Closed</v>
      </c>
      <c r="D575" s="27" t="s">
        <v>3348</v>
      </c>
      <c r="E575" s="29" t="s">
        <v>3349</v>
      </c>
      <c r="F575" s="30" t="s">
        <v>233</v>
      </c>
      <c r="G575" s="89">
        <f>DATE(2008,11,3)</f>
        <v>39755</v>
      </c>
      <c r="H575" s="90">
        <v>1.5208333333333335</v>
      </c>
      <c r="I575" s="30" t="s">
        <v>116</v>
      </c>
      <c r="J575" s="89" t="s">
        <v>3350</v>
      </c>
      <c r="K575" s="30" t="s">
        <v>235</v>
      </c>
      <c r="L575" s="30" t="s">
        <v>3351</v>
      </c>
      <c r="M575" s="30" t="s">
        <v>63</v>
      </c>
      <c r="N575" s="30">
        <v>0</v>
      </c>
      <c r="O575" s="30" t="s">
        <v>64</v>
      </c>
      <c r="P575" s="89" t="s">
        <v>165</v>
      </c>
      <c r="Q575" s="89" t="s">
        <v>3352</v>
      </c>
      <c r="R575" s="89" t="s">
        <v>238</v>
      </c>
      <c r="S575" s="30">
        <v>0</v>
      </c>
      <c r="T575" s="233">
        <v>0</v>
      </c>
      <c r="U575" s="30">
        <v>1</v>
      </c>
      <c r="V575" s="233">
        <v>0</v>
      </c>
      <c r="W575" s="30">
        <v>0</v>
      </c>
      <c r="X575" s="30">
        <v>1</v>
      </c>
      <c r="Y575" s="30">
        <v>0</v>
      </c>
      <c r="Z575" s="233">
        <v>0</v>
      </c>
      <c r="AA575" s="30">
        <v>0</v>
      </c>
      <c r="AB575" s="30">
        <v>0</v>
      </c>
      <c r="AC575" s="30">
        <v>0</v>
      </c>
      <c r="AD575" s="30">
        <v>0</v>
      </c>
      <c r="AE575" s="89" t="s">
        <v>68</v>
      </c>
      <c r="AF575" s="89"/>
      <c r="AG575" s="89" t="s">
        <v>82</v>
      </c>
      <c r="AH575" s="72" t="s">
        <v>68</v>
      </c>
      <c r="AI575" s="30">
        <v>5</v>
      </c>
      <c r="AJ575" s="89" t="s">
        <v>3353</v>
      </c>
      <c r="AK575" s="89" t="s">
        <v>3354</v>
      </c>
      <c r="AL575" s="91">
        <v>39799</v>
      </c>
      <c r="AM575" s="91"/>
      <c r="AN575" s="91"/>
      <c r="AO575" s="91"/>
      <c r="AP575" s="73" t="e">
        <f>MID(VLOOKUP(K575,#REF!,2,FALSE),1,2)</f>
        <v>#REF!</v>
      </c>
      <c r="AQ575" s="89">
        <f>DATE(2008,11,3)</f>
        <v>39755</v>
      </c>
      <c r="AR575" s="82">
        <f t="shared" si="38"/>
        <v>3</v>
      </c>
      <c r="AS575" s="83">
        <f t="shared" si="39"/>
        <v>11</v>
      </c>
      <c r="AT575" s="84">
        <f t="shared" si="40"/>
        <v>2008</v>
      </c>
      <c r="AU575" s="86"/>
      <c r="AV575" s="86"/>
      <c r="AW575" s="87"/>
      <c r="AX575" s="86"/>
      <c r="AY575" s="83"/>
      <c r="AZ575" s="84"/>
      <c r="BA575" s="86"/>
      <c r="BB575" s="86"/>
    </row>
    <row r="576" spans="1:54" ht="36.75" customHeight="1">
      <c r="A576" s="30"/>
      <c r="B576" s="30" t="s">
        <v>55</v>
      </c>
      <c r="C576" s="69" t="str">
        <f t="shared" si="37"/>
        <v>Closed</v>
      </c>
      <c r="D576" s="27" t="s">
        <v>3355</v>
      </c>
      <c r="E576" s="29" t="s">
        <v>3356</v>
      </c>
      <c r="F576" s="30" t="s">
        <v>582</v>
      </c>
      <c r="G576" s="89">
        <f>DATE(2008,11,5)</f>
        <v>39757</v>
      </c>
      <c r="H576" s="90">
        <v>1.0145833333333334</v>
      </c>
      <c r="I576" s="30" t="s">
        <v>198</v>
      </c>
      <c r="J576" s="89" t="s">
        <v>3357</v>
      </c>
      <c r="K576" s="30" t="s">
        <v>584</v>
      </c>
      <c r="L576" s="30" t="s">
        <v>3358</v>
      </c>
      <c r="M576" s="30" t="s">
        <v>63</v>
      </c>
      <c r="N576" s="30" t="s">
        <v>142</v>
      </c>
      <c r="O576" s="30" t="s">
        <v>77</v>
      </c>
      <c r="P576" s="89" t="s">
        <v>78</v>
      </c>
      <c r="Q576" s="89" t="s">
        <v>3359</v>
      </c>
      <c r="R576" s="89" t="s">
        <v>587</v>
      </c>
      <c r="S576" s="30">
        <v>0</v>
      </c>
      <c r="T576" s="233">
        <v>0</v>
      </c>
      <c r="U576" s="30">
        <v>0</v>
      </c>
      <c r="V576" s="233">
        <v>0</v>
      </c>
      <c r="W576" s="30">
        <v>0</v>
      </c>
      <c r="X576" s="30">
        <v>0</v>
      </c>
      <c r="Y576" s="30">
        <v>0</v>
      </c>
      <c r="Z576" s="233">
        <v>0</v>
      </c>
      <c r="AA576" s="30">
        <v>0</v>
      </c>
      <c r="AB576" s="30">
        <v>0</v>
      </c>
      <c r="AC576" s="30">
        <v>0</v>
      </c>
      <c r="AD576" s="30">
        <v>0</v>
      </c>
      <c r="AE576" s="89" t="s">
        <v>145</v>
      </c>
      <c r="AF576" s="89"/>
      <c r="AG576" s="89" t="s">
        <v>82</v>
      </c>
      <c r="AH576" s="72">
        <v>39758</v>
      </c>
      <c r="AI576" s="30">
        <v>0</v>
      </c>
      <c r="AJ576" s="89" t="s">
        <v>3360</v>
      </c>
      <c r="AK576" s="89" t="s">
        <v>1233</v>
      </c>
      <c r="AL576" s="91">
        <v>39758</v>
      </c>
      <c r="AM576" s="91"/>
      <c r="AN576" s="91"/>
      <c r="AO576" s="91"/>
      <c r="AP576" s="73" t="e">
        <f>MID(VLOOKUP(K576,#REF!,2,FALSE),1,2)</f>
        <v>#REF!</v>
      </c>
      <c r="AQ576" s="89">
        <f>DATE(2008,11,5)</f>
        <v>39757</v>
      </c>
      <c r="AR576" s="82">
        <f t="shared" si="38"/>
        <v>5</v>
      </c>
      <c r="AS576" s="83">
        <f t="shared" si="39"/>
        <v>11</v>
      </c>
      <c r="AT576" s="84">
        <f t="shared" si="40"/>
        <v>2008</v>
      </c>
      <c r="AU576" s="86"/>
      <c r="AV576" s="86"/>
      <c r="AW576" s="87"/>
      <c r="AX576" s="86"/>
      <c r="AY576" s="83"/>
      <c r="AZ576" s="84"/>
      <c r="BA576" s="86"/>
      <c r="BB576" s="86"/>
    </row>
    <row r="577" spans="1:54" ht="36.75" customHeight="1">
      <c r="A577" s="30"/>
      <c r="B577" s="30" t="s">
        <v>55</v>
      </c>
      <c r="C577" s="69" t="str">
        <f t="shared" si="37"/>
        <v>Closed</v>
      </c>
      <c r="D577" s="27" t="s">
        <v>3361</v>
      </c>
      <c r="E577" s="29" t="s">
        <v>3362</v>
      </c>
      <c r="F577" s="30" t="s">
        <v>638</v>
      </c>
      <c r="G577" s="89">
        <f>DATE(2008,11,8)</f>
        <v>39760</v>
      </c>
      <c r="H577" s="90">
        <v>1.6187499999999999</v>
      </c>
      <c r="I577" s="30" t="s">
        <v>278</v>
      </c>
      <c r="J577" s="89" t="s">
        <v>3363</v>
      </c>
      <c r="K577" s="30" t="s">
        <v>640</v>
      </c>
      <c r="L577" s="30" t="s">
        <v>3364</v>
      </c>
      <c r="M577" s="30" t="s">
        <v>63</v>
      </c>
      <c r="N577" s="30">
        <v>0</v>
      </c>
      <c r="O577" s="30" t="s">
        <v>77</v>
      </c>
      <c r="P577" s="89" t="s">
        <v>165</v>
      </c>
      <c r="Q577" s="89" t="s">
        <v>642</v>
      </c>
      <c r="R577" s="89" t="s">
        <v>643</v>
      </c>
      <c r="S577" s="30">
        <v>0</v>
      </c>
      <c r="T577" s="233">
        <v>0</v>
      </c>
      <c r="U577" s="30">
        <v>0</v>
      </c>
      <c r="V577" s="233">
        <v>1</v>
      </c>
      <c r="W577" s="30">
        <v>0</v>
      </c>
      <c r="X577" s="30">
        <v>1</v>
      </c>
      <c r="Y577" s="30">
        <v>0</v>
      </c>
      <c r="Z577" s="233">
        <v>0</v>
      </c>
      <c r="AA577" s="30">
        <v>0</v>
      </c>
      <c r="AB577" s="30">
        <v>0</v>
      </c>
      <c r="AC577" s="30">
        <v>0</v>
      </c>
      <c r="AD577" s="30">
        <v>0</v>
      </c>
      <c r="AE577" s="89" t="s">
        <v>68</v>
      </c>
      <c r="AF577" s="89"/>
      <c r="AG577" s="89" t="s">
        <v>248</v>
      </c>
      <c r="AH577" s="72" t="s">
        <v>68</v>
      </c>
      <c r="AI577" s="30">
        <v>1</v>
      </c>
      <c r="AJ577" s="89" t="s">
        <v>68</v>
      </c>
      <c r="AK577" s="89" t="s">
        <v>68</v>
      </c>
      <c r="AL577" s="91">
        <v>39778</v>
      </c>
      <c r="AM577" s="91"/>
      <c r="AN577" s="91"/>
      <c r="AO577" s="91"/>
      <c r="AP577" s="73" t="e">
        <f>MID(VLOOKUP(K577,#REF!,2,FALSE),1,2)</f>
        <v>#REF!</v>
      </c>
      <c r="AQ577" s="89">
        <f>DATE(2008,11,8)</f>
        <v>39760</v>
      </c>
      <c r="AR577" s="82">
        <f t="shared" si="38"/>
        <v>8</v>
      </c>
      <c r="AS577" s="83">
        <f t="shared" si="39"/>
        <v>11</v>
      </c>
      <c r="AT577" s="84">
        <f t="shared" si="40"/>
        <v>2008</v>
      </c>
      <c r="AU577" s="86"/>
      <c r="AV577" s="86"/>
      <c r="AW577" s="87"/>
      <c r="AX577" s="86"/>
      <c r="AY577" s="83"/>
      <c r="AZ577" s="84"/>
      <c r="BA577" s="86"/>
      <c r="BB577" s="86"/>
    </row>
    <row r="578" spans="1:54" ht="36.75" customHeight="1">
      <c r="A578" s="30"/>
      <c r="B578" s="30" t="s">
        <v>55</v>
      </c>
      <c r="C578" s="69" t="str">
        <f t="shared" ref="C578:C641" si="41">IF(B578="Notification","Open",IF(B578="Interim Statement","In progress","Closed"))</f>
        <v>Closed</v>
      </c>
      <c r="D578" s="27" t="s">
        <v>3365</v>
      </c>
      <c r="E578" s="29" t="s">
        <v>3366</v>
      </c>
      <c r="F578" s="30" t="s">
        <v>638</v>
      </c>
      <c r="G578" s="89">
        <f>DATE(2008,11,9)</f>
        <v>39761</v>
      </c>
      <c r="H578" s="90">
        <v>1.4111111111111112</v>
      </c>
      <c r="I578" s="30" t="s">
        <v>116</v>
      </c>
      <c r="J578" s="89" t="s">
        <v>3367</v>
      </c>
      <c r="K578" s="30" t="s">
        <v>640</v>
      </c>
      <c r="L578" s="30" t="s">
        <v>3368</v>
      </c>
      <c r="M578" s="30" t="s">
        <v>63</v>
      </c>
      <c r="N578" s="30">
        <v>0</v>
      </c>
      <c r="O578" s="30" t="s">
        <v>64</v>
      </c>
      <c r="P578" s="89" t="s">
        <v>165</v>
      </c>
      <c r="Q578" s="89" t="s">
        <v>642</v>
      </c>
      <c r="R578" s="89" t="s">
        <v>643</v>
      </c>
      <c r="S578" s="30">
        <v>0</v>
      </c>
      <c r="T578" s="233">
        <v>0</v>
      </c>
      <c r="U578" s="30">
        <v>1</v>
      </c>
      <c r="V578" s="233">
        <v>0</v>
      </c>
      <c r="W578" s="30">
        <v>0</v>
      </c>
      <c r="X578" s="30">
        <v>1</v>
      </c>
      <c r="Y578" s="30">
        <v>0</v>
      </c>
      <c r="Z578" s="233">
        <v>0</v>
      </c>
      <c r="AA578" s="30">
        <v>0</v>
      </c>
      <c r="AB578" s="30">
        <v>0</v>
      </c>
      <c r="AC578" s="30">
        <v>0</v>
      </c>
      <c r="AD578" s="30">
        <v>0</v>
      </c>
      <c r="AE578" s="89" t="s">
        <v>68</v>
      </c>
      <c r="AF578" s="89"/>
      <c r="AG578" s="89" t="s">
        <v>248</v>
      </c>
      <c r="AH578" s="72" t="s">
        <v>68</v>
      </c>
      <c r="AI578" s="30">
        <v>1</v>
      </c>
      <c r="AJ578" s="89" t="s">
        <v>68</v>
      </c>
      <c r="AK578" s="89" t="s">
        <v>68</v>
      </c>
      <c r="AL578" s="91">
        <v>39778</v>
      </c>
      <c r="AM578" s="91"/>
      <c r="AN578" s="91"/>
      <c r="AO578" s="91"/>
      <c r="AP578" s="73" t="e">
        <f>MID(VLOOKUP(K578,#REF!,2,FALSE),1,2)</f>
        <v>#REF!</v>
      </c>
      <c r="AQ578" s="89">
        <f>DATE(2008,11,9)</f>
        <v>39761</v>
      </c>
      <c r="AR578" s="82">
        <f t="shared" ref="AR578:AR641" si="42">DAY(AQ578)</f>
        <v>9</v>
      </c>
      <c r="AS578" s="83">
        <f t="shared" ref="AS578:AS641" si="43">MONTH(AQ578)</f>
        <v>11</v>
      </c>
      <c r="AT578" s="84">
        <f t="shared" ref="AT578:AT641" si="44">YEAR(AQ578)</f>
        <v>2008</v>
      </c>
      <c r="AU578" s="86"/>
      <c r="AV578" s="86"/>
      <c r="AW578" s="87"/>
      <c r="AX578" s="86"/>
      <c r="AY578" s="83"/>
      <c r="AZ578" s="84"/>
      <c r="BA578" s="86"/>
      <c r="BB578" s="86"/>
    </row>
    <row r="579" spans="1:54" ht="36.75" customHeight="1">
      <c r="A579" s="30"/>
      <c r="B579" s="30" t="s">
        <v>55</v>
      </c>
      <c r="C579" s="69" t="str">
        <f t="shared" si="41"/>
        <v>Closed</v>
      </c>
      <c r="D579" s="27" t="s">
        <v>3369</v>
      </c>
      <c r="E579" s="29" t="s">
        <v>3370</v>
      </c>
      <c r="F579" s="30" t="s">
        <v>423</v>
      </c>
      <c r="G579" s="89">
        <f>DATE(2008,11,10)</f>
        <v>39762</v>
      </c>
      <c r="H579" s="90">
        <v>1.5395833333333333</v>
      </c>
      <c r="I579" s="30" t="s">
        <v>198</v>
      </c>
      <c r="J579" s="89" t="s">
        <v>3371</v>
      </c>
      <c r="K579" s="30" t="s">
        <v>425</v>
      </c>
      <c r="L579" s="30" t="s">
        <v>3372</v>
      </c>
      <c r="M579" s="30" t="s">
        <v>63</v>
      </c>
      <c r="N579" s="30">
        <v>0</v>
      </c>
      <c r="O579" s="30" t="s">
        <v>64</v>
      </c>
      <c r="P579" s="89" t="s">
        <v>1912</v>
      </c>
      <c r="Q579" s="89" t="s">
        <v>2483</v>
      </c>
      <c r="R579" s="89" t="s">
        <v>3103</v>
      </c>
      <c r="S579" s="30">
        <v>0</v>
      </c>
      <c r="T579" s="233">
        <v>0</v>
      </c>
      <c r="U579" s="30">
        <v>0</v>
      </c>
      <c r="V579" s="233">
        <v>0</v>
      </c>
      <c r="W579" s="30">
        <v>0</v>
      </c>
      <c r="X579" s="30">
        <v>0</v>
      </c>
      <c r="Y579" s="30">
        <v>4</v>
      </c>
      <c r="Z579" s="233">
        <v>0</v>
      </c>
      <c r="AA579" s="30">
        <v>0</v>
      </c>
      <c r="AB579" s="30">
        <v>0</v>
      </c>
      <c r="AC579" s="30">
        <v>0</v>
      </c>
      <c r="AD579" s="30">
        <v>4</v>
      </c>
      <c r="AE579" s="89" t="s">
        <v>68</v>
      </c>
      <c r="AF579" s="89"/>
      <c r="AG579" s="89" t="s">
        <v>133</v>
      </c>
      <c r="AH579" s="72" t="s">
        <v>68</v>
      </c>
      <c r="AI579" s="30">
        <v>1</v>
      </c>
      <c r="AJ579" s="89" t="s">
        <v>68</v>
      </c>
      <c r="AK579" s="89" t="s">
        <v>3373</v>
      </c>
      <c r="AL579" s="91">
        <v>39781</v>
      </c>
      <c r="AM579" s="91"/>
      <c r="AN579" s="91"/>
      <c r="AO579" s="91"/>
      <c r="AP579" s="73" t="e">
        <f>MID(VLOOKUP(K579,#REF!,2,FALSE),1,2)</f>
        <v>#REF!</v>
      </c>
      <c r="AQ579" s="89">
        <f>DATE(2008,11,10)</f>
        <v>39762</v>
      </c>
      <c r="AR579" s="82">
        <f t="shared" si="42"/>
        <v>10</v>
      </c>
      <c r="AS579" s="83">
        <f t="shared" si="43"/>
        <v>11</v>
      </c>
      <c r="AT579" s="84">
        <f t="shared" si="44"/>
        <v>2008</v>
      </c>
      <c r="AU579" s="86"/>
      <c r="AV579" s="86"/>
      <c r="AW579" s="87"/>
      <c r="AX579" s="86"/>
      <c r="AY579" s="83"/>
      <c r="AZ579" s="84"/>
      <c r="BA579" s="86"/>
      <c r="BB579" s="86"/>
    </row>
    <row r="580" spans="1:54" ht="36.75" customHeight="1">
      <c r="A580" s="30"/>
      <c r="B580" s="30" t="s">
        <v>55</v>
      </c>
      <c r="C580" s="69" t="str">
        <f t="shared" si="41"/>
        <v>Closed</v>
      </c>
      <c r="D580" s="27" t="s">
        <v>3374</v>
      </c>
      <c r="E580" s="29" t="s">
        <v>3375</v>
      </c>
      <c r="F580" s="30" t="s">
        <v>638</v>
      </c>
      <c r="G580" s="89">
        <f>DATE(2008,11,10)</f>
        <v>39762</v>
      </c>
      <c r="H580" s="90">
        <v>1.3993055555555556</v>
      </c>
      <c r="I580" s="30" t="s">
        <v>116</v>
      </c>
      <c r="J580" s="89" t="s">
        <v>3376</v>
      </c>
      <c r="K580" s="30" t="s">
        <v>640</v>
      </c>
      <c r="L580" s="30" t="s">
        <v>3377</v>
      </c>
      <c r="M580" s="30" t="s">
        <v>63</v>
      </c>
      <c r="N580" s="30">
        <v>0</v>
      </c>
      <c r="O580" s="30" t="s">
        <v>64</v>
      </c>
      <c r="P580" s="89" t="s">
        <v>165</v>
      </c>
      <c r="Q580" s="89" t="s">
        <v>642</v>
      </c>
      <c r="R580" s="89" t="s">
        <v>643</v>
      </c>
      <c r="S580" s="30">
        <v>0</v>
      </c>
      <c r="T580" s="233">
        <v>0</v>
      </c>
      <c r="U580" s="30">
        <v>1</v>
      </c>
      <c r="V580" s="233">
        <v>0</v>
      </c>
      <c r="W580" s="30">
        <v>0</v>
      </c>
      <c r="X580" s="30">
        <v>1</v>
      </c>
      <c r="Y580" s="30">
        <v>0</v>
      </c>
      <c r="Z580" s="233">
        <v>0</v>
      </c>
      <c r="AA580" s="30">
        <v>0</v>
      </c>
      <c r="AB580" s="30">
        <v>0</v>
      </c>
      <c r="AC580" s="30">
        <v>0</v>
      </c>
      <c r="AD580" s="30">
        <v>0</v>
      </c>
      <c r="AE580" s="89" t="s">
        <v>68</v>
      </c>
      <c r="AF580" s="89"/>
      <c r="AG580" s="89" t="s">
        <v>248</v>
      </c>
      <c r="AH580" s="72" t="s">
        <v>68</v>
      </c>
      <c r="AI580" s="30">
        <v>1</v>
      </c>
      <c r="AJ580" s="89" t="s">
        <v>68</v>
      </c>
      <c r="AK580" s="89" t="s">
        <v>68</v>
      </c>
      <c r="AL580" s="91">
        <v>39778</v>
      </c>
      <c r="AM580" s="91"/>
      <c r="AN580" s="91"/>
      <c r="AO580" s="91"/>
      <c r="AP580" s="73" t="e">
        <f>MID(VLOOKUP(K580,#REF!,2,FALSE),1,2)</f>
        <v>#REF!</v>
      </c>
      <c r="AQ580" s="89">
        <f>DATE(2008,11,10)</f>
        <v>39762</v>
      </c>
      <c r="AR580" s="82">
        <f t="shared" si="42"/>
        <v>10</v>
      </c>
      <c r="AS580" s="83">
        <f t="shared" si="43"/>
        <v>11</v>
      </c>
      <c r="AT580" s="84">
        <f t="shared" si="44"/>
        <v>2008</v>
      </c>
      <c r="AU580" s="86"/>
      <c r="AV580" s="86"/>
      <c r="AW580" s="87"/>
      <c r="AX580" s="86"/>
      <c r="AY580" s="83"/>
      <c r="AZ580" s="84"/>
      <c r="BA580" s="86"/>
      <c r="BB580" s="86"/>
    </row>
    <row r="581" spans="1:54" ht="36.75" customHeight="1">
      <c r="A581" s="30"/>
      <c r="B581" s="30" t="s">
        <v>55</v>
      </c>
      <c r="C581" s="69" t="str">
        <f t="shared" si="41"/>
        <v>Closed</v>
      </c>
      <c r="D581" s="27" t="s">
        <v>3378</v>
      </c>
      <c r="E581" s="29" t="s">
        <v>3379</v>
      </c>
      <c r="F581" s="30" t="s">
        <v>638</v>
      </c>
      <c r="G581" s="89">
        <f>DATE(2008,11,10)</f>
        <v>39762</v>
      </c>
      <c r="H581" s="90">
        <v>1.6284722222222223</v>
      </c>
      <c r="I581" s="30" t="s">
        <v>104</v>
      </c>
      <c r="J581" s="89" t="s">
        <v>3380</v>
      </c>
      <c r="K581" s="30" t="s">
        <v>640</v>
      </c>
      <c r="L581" s="30" t="s">
        <v>3381</v>
      </c>
      <c r="M581" s="30" t="s">
        <v>63</v>
      </c>
      <c r="N581" s="30">
        <v>0</v>
      </c>
      <c r="O581" s="30" t="s">
        <v>77</v>
      </c>
      <c r="P581" s="89" t="s">
        <v>165</v>
      </c>
      <c r="Q581" s="89" t="s">
        <v>3246</v>
      </c>
      <c r="R581" s="89" t="s">
        <v>3246</v>
      </c>
      <c r="S581" s="30">
        <v>0</v>
      </c>
      <c r="T581" s="233" t="s">
        <v>68</v>
      </c>
      <c r="U581" s="30">
        <v>0</v>
      </c>
      <c r="V581" s="233" t="s">
        <v>68</v>
      </c>
      <c r="W581" s="30">
        <v>0</v>
      </c>
      <c r="X581" s="30">
        <v>0</v>
      </c>
      <c r="Y581" s="30">
        <v>0</v>
      </c>
      <c r="Z581" s="233" t="s">
        <v>68</v>
      </c>
      <c r="AA581" s="30">
        <v>0</v>
      </c>
      <c r="AB581" s="30">
        <v>0</v>
      </c>
      <c r="AC581" s="30">
        <v>0</v>
      </c>
      <c r="AD581" s="30">
        <v>0</v>
      </c>
      <c r="AE581" s="89" t="s">
        <v>68</v>
      </c>
      <c r="AF581" s="89"/>
      <c r="AG581" s="89" t="s">
        <v>248</v>
      </c>
      <c r="AH581" s="72" t="s">
        <v>68</v>
      </c>
      <c r="AI581" s="30">
        <v>1</v>
      </c>
      <c r="AJ581" s="89" t="s">
        <v>3382</v>
      </c>
      <c r="AK581" s="89" t="s">
        <v>68</v>
      </c>
      <c r="AL581" s="91">
        <v>39896</v>
      </c>
      <c r="AM581" s="91"/>
      <c r="AN581" s="91"/>
      <c r="AO581" s="91"/>
      <c r="AP581" s="73" t="e">
        <f>MID(VLOOKUP(K581,#REF!,2,FALSE),1,2)</f>
        <v>#REF!</v>
      </c>
      <c r="AQ581" s="89">
        <f>DATE(2008,11,10)</f>
        <v>39762</v>
      </c>
      <c r="AR581" s="82">
        <f t="shared" si="42"/>
        <v>10</v>
      </c>
      <c r="AS581" s="83">
        <f t="shared" si="43"/>
        <v>11</v>
      </c>
      <c r="AT581" s="84">
        <f t="shared" si="44"/>
        <v>2008</v>
      </c>
      <c r="AU581" s="86"/>
      <c r="AV581" s="86"/>
      <c r="AW581" s="87"/>
      <c r="AX581" s="86"/>
      <c r="AY581" s="83"/>
      <c r="AZ581" s="84"/>
      <c r="BA581" s="86"/>
      <c r="BB581" s="86"/>
    </row>
    <row r="582" spans="1:54" ht="36.75" customHeight="1">
      <c r="A582" s="30"/>
      <c r="B582" s="30" t="s">
        <v>55</v>
      </c>
      <c r="C582" s="69" t="str">
        <f t="shared" si="41"/>
        <v>Closed</v>
      </c>
      <c r="D582" s="27" t="s">
        <v>3383</v>
      </c>
      <c r="E582" s="29" t="s">
        <v>3384</v>
      </c>
      <c r="F582" s="30" t="s">
        <v>233</v>
      </c>
      <c r="G582" s="89">
        <f>DATE(2008,11,10)</f>
        <v>39762</v>
      </c>
      <c r="H582" s="90">
        <v>1.10625</v>
      </c>
      <c r="I582" s="30" t="s">
        <v>73</v>
      </c>
      <c r="J582" s="89" t="s">
        <v>3385</v>
      </c>
      <c r="K582" s="30" t="s">
        <v>235</v>
      </c>
      <c r="L582" s="30" t="s">
        <v>3386</v>
      </c>
      <c r="M582" s="30" t="s">
        <v>63</v>
      </c>
      <c r="N582" s="30">
        <v>0</v>
      </c>
      <c r="O582" s="30" t="s">
        <v>64</v>
      </c>
      <c r="P582" s="89" t="s">
        <v>165</v>
      </c>
      <c r="Q582" s="89" t="s">
        <v>1428</v>
      </c>
      <c r="R582" s="89" t="s">
        <v>238</v>
      </c>
      <c r="S582" s="30">
        <v>0</v>
      </c>
      <c r="T582" s="233" t="s">
        <v>68</v>
      </c>
      <c r="U582" s="30">
        <v>0</v>
      </c>
      <c r="V582" s="233" t="s">
        <v>68</v>
      </c>
      <c r="W582" s="30">
        <v>0</v>
      </c>
      <c r="X582" s="30">
        <v>0</v>
      </c>
      <c r="Y582" s="30">
        <v>0</v>
      </c>
      <c r="Z582" s="233" t="s">
        <v>68</v>
      </c>
      <c r="AA582" s="30">
        <v>0</v>
      </c>
      <c r="AB582" s="30">
        <v>0</v>
      </c>
      <c r="AC582" s="30">
        <v>0</v>
      </c>
      <c r="AD582" s="30">
        <v>0</v>
      </c>
      <c r="AE582" s="89" t="s">
        <v>68</v>
      </c>
      <c r="AF582" s="89"/>
      <c r="AG582" s="89" t="s">
        <v>133</v>
      </c>
      <c r="AH582" s="72" t="s">
        <v>68</v>
      </c>
      <c r="AI582" s="30">
        <v>10</v>
      </c>
      <c r="AJ582" s="89" t="s">
        <v>3387</v>
      </c>
      <c r="AK582" s="89" t="s">
        <v>3388</v>
      </c>
      <c r="AL582" s="91">
        <v>39799</v>
      </c>
      <c r="AM582" s="91"/>
      <c r="AN582" s="91"/>
      <c r="AO582" s="91"/>
      <c r="AP582" s="73" t="e">
        <f>MID(VLOOKUP(K582,#REF!,2,FALSE),1,2)</f>
        <v>#REF!</v>
      </c>
      <c r="AQ582" s="89">
        <f>DATE(2008,11,10)</f>
        <v>39762</v>
      </c>
      <c r="AR582" s="82">
        <f t="shared" si="42"/>
        <v>10</v>
      </c>
      <c r="AS582" s="83">
        <f t="shared" si="43"/>
        <v>11</v>
      </c>
      <c r="AT582" s="84">
        <f t="shared" si="44"/>
        <v>2008</v>
      </c>
      <c r="AU582" s="86"/>
      <c r="AV582" s="86"/>
      <c r="AW582" s="87"/>
      <c r="AX582" s="86"/>
      <c r="AY582" s="83"/>
      <c r="AZ582" s="84"/>
      <c r="BA582" s="86"/>
      <c r="BB582" s="86"/>
    </row>
    <row r="583" spans="1:54" ht="36.75" customHeight="1">
      <c r="A583" s="30"/>
      <c r="B583" s="30" t="s">
        <v>55</v>
      </c>
      <c r="C583" s="69" t="str">
        <f t="shared" si="41"/>
        <v>Closed</v>
      </c>
      <c r="D583" s="27" t="s">
        <v>3389</v>
      </c>
      <c r="E583" s="29" t="s">
        <v>3390</v>
      </c>
      <c r="F583" s="30" t="s">
        <v>1770</v>
      </c>
      <c r="G583" s="89">
        <f>DATE(2008,11,14)</f>
        <v>39766</v>
      </c>
      <c r="H583" s="90">
        <v>1.2395833333333333</v>
      </c>
      <c r="I583" s="30" t="s">
        <v>198</v>
      </c>
      <c r="J583" s="89" t="s">
        <v>3391</v>
      </c>
      <c r="K583" s="30" t="s">
        <v>1772</v>
      </c>
      <c r="L583" s="30" t="s">
        <v>3392</v>
      </c>
      <c r="M583" s="30" t="s">
        <v>63</v>
      </c>
      <c r="N583" s="30" t="s">
        <v>89</v>
      </c>
      <c r="O583" s="30" t="s">
        <v>64</v>
      </c>
      <c r="P583" s="89" t="s">
        <v>2931</v>
      </c>
      <c r="Q583" s="89" t="s">
        <v>3393</v>
      </c>
      <c r="R583" s="89" t="s">
        <v>1775</v>
      </c>
      <c r="S583" s="30">
        <v>0</v>
      </c>
      <c r="T583" s="233">
        <v>0</v>
      </c>
      <c r="U583" s="30">
        <v>0</v>
      </c>
      <c r="V583" s="233">
        <v>0</v>
      </c>
      <c r="W583" s="30">
        <v>0</v>
      </c>
      <c r="X583" s="30">
        <v>0</v>
      </c>
      <c r="Y583" s="30">
        <v>0</v>
      </c>
      <c r="Z583" s="233">
        <v>0</v>
      </c>
      <c r="AA583" s="30">
        <v>0</v>
      </c>
      <c r="AB583" s="30">
        <v>0</v>
      </c>
      <c r="AC583" s="30">
        <v>0</v>
      </c>
      <c r="AD583" s="30">
        <v>0</v>
      </c>
      <c r="AE583" s="89" t="s">
        <v>92</v>
      </c>
      <c r="AF583" s="89"/>
      <c r="AG583" s="89" t="s">
        <v>133</v>
      </c>
      <c r="AH583" s="72">
        <v>39822</v>
      </c>
      <c r="AI583" s="30">
        <v>0</v>
      </c>
      <c r="AJ583" s="89" t="s">
        <v>3394</v>
      </c>
      <c r="AK583" s="89" t="s">
        <v>3395</v>
      </c>
      <c r="AL583" s="91">
        <v>39822</v>
      </c>
      <c r="AM583" s="91"/>
      <c r="AN583" s="91"/>
      <c r="AO583" s="91"/>
      <c r="AP583" s="73" t="e">
        <f>MID(VLOOKUP(K583,#REF!,2,FALSE),1,2)</f>
        <v>#REF!</v>
      </c>
      <c r="AQ583" s="89">
        <f>DATE(2008,11,14)</f>
        <v>39766</v>
      </c>
      <c r="AR583" s="82">
        <f t="shared" si="42"/>
        <v>14</v>
      </c>
      <c r="AS583" s="83">
        <f t="shared" si="43"/>
        <v>11</v>
      </c>
      <c r="AT583" s="84">
        <f t="shared" si="44"/>
        <v>2008</v>
      </c>
      <c r="AU583" s="86"/>
      <c r="AV583" s="86"/>
      <c r="AW583" s="87"/>
      <c r="AX583" s="86"/>
      <c r="AY583" s="83"/>
      <c r="AZ583" s="84"/>
      <c r="BA583" s="86"/>
      <c r="BB583" s="86"/>
    </row>
    <row r="584" spans="1:54" ht="36.75" customHeight="1">
      <c r="A584" s="30"/>
      <c r="B584" s="30" t="s">
        <v>55</v>
      </c>
      <c r="C584" s="69" t="str">
        <f t="shared" si="41"/>
        <v>Closed</v>
      </c>
      <c r="D584" s="27" t="s">
        <v>3396</v>
      </c>
      <c r="E584" s="29" t="s">
        <v>3397</v>
      </c>
      <c r="F584" s="30" t="s">
        <v>582</v>
      </c>
      <c r="G584" s="89">
        <f>DATE(2008,11,22)</f>
        <v>39774</v>
      </c>
      <c r="H584" s="90">
        <v>1.1625000000000001</v>
      </c>
      <c r="I584" s="30" t="s">
        <v>73</v>
      </c>
      <c r="J584" s="89" t="s">
        <v>3398</v>
      </c>
      <c r="K584" s="30" t="s">
        <v>584</v>
      </c>
      <c r="L584" s="30" t="s">
        <v>3399</v>
      </c>
      <c r="M584" s="30" t="s">
        <v>63</v>
      </c>
      <c r="N584" s="30" t="s">
        <v>99</v>
      </c>
      <c r="O584" s="30" t="s">
        <v>64</v>
      </c>
      <c r="P584" s="89" t="s">
        <v>301</v>
      </c>
      <c r="Q584" s="89" t="s">
        <v>3400</v>
      </c>
      <c r="R584" s="89" t="s">
        <v>587</v>
      </c>
      <c r="S584" s="30">
        <v>0</v>
      </c>
      <c r="T584" s="233">
        <v>1</v>
      </c>
      <c r="U584" s="30">
        <v>0</v>
      </c>
      <c r="V584" s="233">
        <v>0</v>
      </c>
      <c r="W584" s="30">
        <v>0</v>
      </c>
      <c r="X584" s="30">
        <v>1</v>
      </c>
      <c r="Y584" s="30">
        <v>0</v>
      </c>
      <c r="Z584" s="233">
        <v>1</v>
      </c>
      <c r="AA584" s="30">
        <v>0</v>
      </c>
      <c r="AB584" s="30">
        <v>0</v>
      </c>
      <c r="AC584" s="30">
        <v>0</v>
      </c>
      <c r="AD584" s="30">
        <v>1</v>
      </c>
      <c r="AE584" s="89" t="s">
        <v>394</v>
      </c>
      <c r="AF584" s="89"/>
      <c r="AG584" s="89" t="s">
        <v>82</v>
      </c>
      <c r="AH584" s="72">
        <v>39778</v>
      </c>
      <c r="AI584" s="30">
        <v>0</v>
      </c>
      <c r="AJ584" s="89" t="s">
        <v>3401</v>
      </c>
      <c r="AK584" s="89" t="s">
        <v>1233</v>
      </c>
      <c r="AL584" s="91">
        <v>39777</v>
      </c>
      <c r="AM584" s="91"/>
      <c r="AN584" s="91"/>
      <c r="AO584" s="91"/>
      <c r="AP584" s="73" t="e">
        <f>MID(VLOOKUP(K584,#REF!,2,FALSE),1,2)</f>
        <v>#REF!</v>
      </c>
      <c r="AQ584" s="89">
        <f>DATE(2008,11,22)</f>
        <v>39774</v>
      </c>
      <c r="AR584" s="82">
        <f t="shared" si="42"/>
        <v>22</v>
      </c>
      <c r="AS584" s="83">
        <f t="shared" si="43"/>
        <v>11</v>
      </c>
      <c r="AT584" s="84">
        <f t="shared" si="44"/>
        <v>2008</v>
      </c>
      <c r="AU584" s="86"/>
      <c r="AV584" s="86"/>
      <c r="AW584" s="87"/>
      <c r="AX584" s="86"/>
      <c r="AY584" s="83"/>
      <c r="AZ584" s="84"/>
      <c r="BA584" s="86"/>
      <c r="BB584" s="86"/>
    </row>
    <row r="585" spans="1:54" ht="36.75" customHeight="1">
      <c r="A585" s="30"/>
      <c r="B585" s="30" t="s">
        <v>55</v>
      </c>
      <c r="C585" s="69" t="str">
        <f t="shared" si="41"/>
        <v>Closed</v>
      </c>
      <c r="D585" s="27" t="s">
        <v>3402</v>
      </c>
      <c r="E585" s="29" t="s">
        <v>3403</v>
      </c>
      <c r="F585" s="30" t="s">
        <v>638</v>
      </c>
      <c r="G585" s="89">
        <f>DATE(2008,11,22)</f>
        <v>39774</v>
      </c>
      <c r="H585" s="90">
        <v>1.625</v>
      </c>
      <c r="I585" s="30" t="s">
        <v>278</v>
      </c>
      <c r="J585" s="89" t="s">
        <v>3404</v>
      </c>
      <c r="K585" s="30" t="s">
        <v>640</v>
      </c>
      <c r="L585" s="30" t="s">
        <v>3405</v>
      </c>
      <c r="M585" s="30" t="s">
        <v>63</v>
      </c>
      <c r="N585" s="30">
        <v>0</v>
      </c>
      <c r="O585" s="30" t="s">
        <v>64</v>
      </c>
      <c r="P585" s="89" t="s">
        <v>165</v>
      </c>
      <c r="Q585" s="89" t="s">
        <v>642</v>
      </c>
      <c r="R585" s="89" t="s">
        <v>643</v>
      </c>
      <c r="S585" s="30">
        <v>0</v>
      </c>
      <c r="T585" s="233">
        <v>0</v>
      </c>
      <c r="U585" s="30">
        <v>0</v>
      </c>
      <c r="V585" s="233">
        <v>1</v>
      </c>
      <c r="W585" s="30">
        <v>0</v>
      </c>
      <c r="X585" s="30">
        <v>1</v>
      </c>
      <c r="Y585" s="30">
        <v>0</v>
      </c>
      <c r="Z585" s="233">
        <v>0</v>
      </c>
      <c r="AA585" s="30">
        <v>0</v>
      </c>
      <c r="AB585" s="30">
        <v>0</v>
      </c>
      <c r="AC585" s="30">
        <v>0</v>
      </c>
      <c r="AD585" s="30">
        <v>0</v>
      </c>
      <c r="AE585" s="89" t="s">
        <v>68</v>
      </c>
      <c r="AF585" s="89"/>
      <c r="AG585" s="89" t="s">
        <v>248</v>
      </c>
      <c r="AH585" s="72" t="s">
        <v>68</v>
      </c>
      <c r="AI585" s="30">
        <v>1</v>
      </c>
      <c r="AJ585" s="89" t="s">
        <v>68</v>
      </c>
      <c r="AK585" s="89" t="s">
        <v>68</v>
      </c>
      <c r="AL585" s="91">
        <v>39778</v>
      </c>
      <c r="AM585" s="91"/>
      <c r="AN585" s="91"/>
      <c r="AO585" s="91"/>
      <c r="AP585" s="73" t="e">
        <f>MID(VLOOKUP(K585,#REF!,2,FALSE),1,2)</f>
        <v>#REF!</v>
      </c>
      <c r="AQ585" s="89">
        <f>DATE(2008,11,22)</f>
        <v>39774</v>
      </c>
      <c r="AR585" s="82">
        <f t="shared" si="42"/>
        <v>22</v>
      </c>
      <c r="AS585" s="83">
        <f t="shared" si="43"/>
        <v>11</v>
      </c>
      <c r="AT585" s="84">
        <f t="shared" si="44"/>
        <v>2008</v>
      </c>
      <c r="AU585" s="86"/>
      <c r="AV585" s="86"/>
      <c r="AW585" s="87"/>
      <c r="AX585" s="86"/>
      <c r="AY585" s="83"/>
      <c r="AZ585" s="84"/>
      <c r="BA585" s="86"/>
      <c r="BB585" s="86"/>
    </row>
    <row r="586" spans="1:54" ht="36.75" customHeight="1">
      <c r="A586" s="30"/>
      <c r="B586" s="30" t="s">
        <v>55</v>
      </c>
      <c r="C586" s="69" t="str">
        <f t="shared" si="41"/>
        <v>Closed</v>
      </c>
      <c r="D586" s="27" t="s">
        <v>3406</v>
      </c>
      <c r="E586" s="29" t="s">
        <v>3407</v>
      </c>
      <c r="F586" s="30" t="s">
        <v>638</v>
      </c>
      <c r="G586" s="89">
        <f>DATE(2008,11,22)</f>
        <v>39774</v>
      </c>
      <c r="H586" s="90">
        <v>1.8569444444444443</v>
      </c>
      <c r="I586" s="30" t="s">
        <v>278</v>
      </c>
      <c r="J586" s="89" t="s">
        <v>3408</v>
      </c>
      <c r="K586" s="30" t="s">
        <v>640</v>
      </c>
      <c r="L586" s="30" t="s">
        <v>3409</v>
      </c>
      <c r="M586" s="30" t="s">
        <v>63</v>
      </c>
      <c r="N586" s="30">
        <v>0</v>
      </c>
      <c r="O586" s="30" t="s">
        <v>77</v>
      </c>
      <c r="P586" s="89" t="s">
        <v>165</v>
      </c>
      <c r="Q586" s="89" t="s">
        <v>642</v>
      </c>
      <c r="R586" s="89" t="s">
        <v>643</v>
      </c>
      <c r="S586" s="30">
        <v>0</v>
      </c>
      <c r="T586" s="233">
        <v>0</v>
      </c>
      <c r="U586" s="30">
        <v>0</v>
      </c>
      <c r="V586" s="233">
        <v>1</v>
      </c>
      <c r="W586" s="30">
        <v>0</v>
      </c>
      <c r="X586" s="30">
        <v>1</v>
      </c>
      <c r="Y586" s="30">
        <v>0</v>
      </c>
      <c r="Z586" s="233">
        <v>0</v>
      </c>
      <c r="AA586" s="30">
        <v>0</v>
      </c>
      <c r="AB586" s="30">
        <v>0</v>
      </c>
      <c r="AC586" s="30">
        <v>0</v>
      </c>
      <c r="AD586" s="30">
        <v>0</v>
      </c>
      <c r="AE586" s="89" t="s">
        <v>68</v>
      </c>
      <c r="AF586" s="89"/>
      <c r="AG586" s="89" t="s">
        <v>248</v>
      </c>
      <c r="AH586" s="72" t="s">
        <v>68</v>
      </c>
      <c r="AI586" s="30">
        <v>1</v>
      </c>
      <c r="AJ586" s="89" t="s">
        <v>3410</v>
      </c>
      <c r="AK586" s="89" t="s">
        <v>68</v>
      </c>
      <c r="AL586" s="91">
        <v>39778</v>
      </c>
      <c r="AM586" s="91"/>
      <c r="AN586" s="91"/>
      <c r="AO586" s="91"/>
      <c r="AP586" s="73" t="e">
        <f>MID(VLOOKUP(K586,#REF!,2,FALSE),1,2)</f>
        <v>#REF!</v>
      </c>
      <c r="AQ586" s="89">
        <f>DATE(2008,11,22)</f>
        <v>39774</v>
      </c>
      <c r="AR586" s="82">
        <f t="shared" si="42"/>
        <v>22</v>
      </c>
      <c r="AS586" s="83">
        <f t="shared" si="43"/>
        <v>11</v>
      </c>
      <c r="AT586" s="84">
        <f t="shared" si="44"/>
        <v>2008</v>
      </c>
      <c r="AU586" s="86"/>
      <c r="AV586" s="86"/>
      <c r="AW586" s="87"/>
      <c r="AX586" s="86"/>
      <c r="AY586" s="83"/>
      <c r="AZ586" s="84"/>
      <c r="BA586" s="86"/>
      <c r="BB586" s="86"/>
    </row>
    <row r="587" spans="1:54" ht="36.75" customHeight="1">
      <c r="A587" s="30"/>
      <c r="B587" s="30" t="s">
        <v>55</v>
      </c>
      <c r="C587" s="69" t="str">
        <f t="shared" si="41"/>
        <v>Closed</v>
      </c>
      <c r="D587" s="27" t="s">
        <v>3411</v>
      </c>
      <c r="E587" s="29" t="s">
        <v>3412</v>
      </c>
      <c r="F587" s="30" t="s">
        <v>72</v>
      </c>
      <c r="G587" s="89">
        <f>DATE(2008,11,22)</f>
        <v>39774</v>
      </c>
      <c r="H587" s="90">
        <v>1.6979166666666665</v>
      </c>
      <c r="I587" s="30" t="s">
        <v>73</v>
      </c>
      <c r="J587" s="89" t="s">
        <v>3413</v>
      </c>
      <c r="K587" s="30" t="s">
        <v>75</v>
      </c>
      <c r="L587" s="30" t="s">
        <v>3414</v>
      </c>
      <c r="M587" s="30" t="s">
        <v>63</v>
      </c>
      <c r="N587" s="30">
        <v>0</v>
      </c>
      <c r="O587" s="30" t="s">
        <v>77</v>
      </c>
      <c r="P587" s="89" t="s">
        <v>78</v>
      </c>
      <c r="Q587" s="89" t="s">
        <v>79</v>
      </c>
      <c r="R587" s="89" t="s">
        <v>80</v>
      </c>
      <c r="S587" s="30">
        <v>0</v>
      </c>
      <c r="T587" s="233" t="s">
        <v>68</v>
      </c>
      <c r="U587" s="30">
        <v>0</v>
      </c>
      <c r="V587" s="233" t="s">
        <v>68</v>
      </c>
      <c r="W587" s="30">
        <v>0</v>
      </c>
      <c r="X587" s="30">
        <v>0</v>
      </c>
      <c r="Y587" s="30">
        <v>0</v>
      </c>
      <c r="Z587" s="233" t="s">
        <v>68</v>
      </c>
      <c r="AA587" s="30">
        <v>0</v>
      </c>
      <c r="AB587" s="30">
        <v>0</v>
      </c>
      <c r="AC587" s="30">
        <v>0</v>
      </c>
      <c r="AD587" s="30">
        <v>0</v>
      </c>
      <c r="AE587" s="89" t="s">
        <v>68</v>
      </c>
      <c r="AF587" s="89"/>
      <c r="AG587" s="89" t="s">
        <v>69</v>
      </c>
      <c r="AH587" s="72" t="s">
        <v>68</v>
      </c>
      <c r="AI587" s="30">
        <v>4</v>
      </c>
      <c r="AJ587" s="89" t="s">
        <v>3415</v>
      </c>
      <c r="AK587" s="89" t="s">
        <v>68</v>
      </c>
      <c r="AL587" s="91">
        <v>40458</v>
      </c>
      <c r="AM587" s="91"/>
      <c r="AN587" s="91"/>
      <c r="AO587" s="91"/>
      <c r="AP587" s="73" t="e">
        <f>MID(VLOOKUP(K587,#REF!,2,FALSE),1,2)</f>
        <v>#REF!</v>
      </c>
      <c r="AQ587" s="89">
        <f>DATE(2008,11,22)</f>
        <v>39774</v>
      </c>
      <c r="AR587" s="82">
        <f t="shared" si="42"/>
        <v>22</v>
      </c>
      <c r="AS587" s="83">
        <f t="shared" si="43"/>
        <v>11</v>
      </c>
      <c r="AT587" s="84">
        <f t="shared" si="44"/>
        <v>2008</v>
      </c>
      <c r="AU587" s="86"/>
      <c r="AV587" s="86"/>
      <c r="AW587" s="87"/>
      <c r="AX587" s="86"/>
      <c r="AY587" s="83"/>
      <c r="AZ587" s="84"/>
      <c r="BA587" s="86"/>
      <c r="BB587" s="86"/>
    </row>
    <row r="588" spans="1:54" ht="36.75" customHeight="1">
      <c r="A588" s="30"/>
      <c r="B588" s="30" t="s">
        <v>55</v>
      </c>
      <c r="C588" s="69" t="str">
        <f t="shared" si="41"/>
        <v>Closed</v>
      </c>
      <c r="D588" s="27" t="s">
        <v>3416</v>
      </c>
      <c r="E588" s="29" t="s">
        <v>3417</v>
      </c>
      <c r="F588" s="30" t="s">
        <v>233</v>
      </c>
      <c r="G588" s="89">
        <f>DATE(2008,11,22)</f>
        <v>39774</v>
      </c>
      <c r="H588" s="90">
        <v>1.7777777777777777</v>
      </c>
      <c r="I588" s="30" t="s">
        <v>116</v>
      </c>
      <c r="J588" s="89" t="s">
        <v>3418</v>
      </c>
      <c r="K588" s="30" t="s">
        <v>235</v>
      </c>
      <c r="L588" s="30" t="s">
        <v>3419</v>
      </c>
      <c r="M588" s="30" t="s">
        <v>63</v>
      </c>
      <c r="N588" s="30">
        <v>0</v>
      </c>
      <c r="O588" s="30" t="s">
        <v>64</v>
      </c>
      <c r="P588" s="89" t="s">
        <v>165</v>
      </c>
      <c r="Q588" s="89" t="s">
        <v>2538</v>
      </c>
      <c r="R588" s="89" t="s">
        <v>238</v>
      </c>
      <c r="S588" s="30">
        <v>0</v>
      </c>
      <c r="T588" s="233">
        <v>0</v>
      </c>
      <c r="U588" s="30">
        <v>2</v>
      </c>
      <c r="V588" s="233">
        <v>0</v>
      </c>
      <c r="W588" s="30">
        <v>0</v>
      </c>
      <c r="X588" s="30">
        <v>2</v>
      </c>
      <c r="Y588" s="30">
        <v>0</v>
      </c>
      <c r="Z588" s="233">
        <v>0</v>
      </c>
      <c r="AA588" s="30">
        <v>0</v>
      </c>
      <c r="AB588" s="30">
        <v>0</v>
      </c>
      <c r="AC588" s="30">
        <v>0</v>
      </c>
      <c r="AD588" s="30">
        <v>0</v>
      </c>
      <c r="AE588" s="89" t="s">
        <v>68</v>
      </c>
      <c r="AF588" s="89"/>
      <c r="AG588" s="89" t="s">
        <v>82</v>
      </c>
      <c r="AH588" s="72" t="s">
        <v>68</v>
      </c>
      <c r="AI588" s="30">
        <v>8</v>
      </c>
      <c r="AJ588" s="89" t="s">
        <v>3420</v>
      </c>
      <c r="AK588" s="89" t="s">
        <v>3421</v>
      </c>
      <c r="AL588" s="91">
        <v>39790</v>
      </c>
      <c r="AM588" s="91"/>
      <c r="AN588" s="91"/>
      <c r="AO588" s="91"/>
      <c r="AP588" s="73" t="e">
        <f>MID(VLOOKUP(K588,#REF!,2,FALSE),1,2)</f>
        <v>#REF!</v>
      </c>
      <c r="AQ588" s="89">
        <f>DATE(2008,11,22)</f>
        <v>39774</v>
      </c>
      <c r="AR588" s="82">
        <f t="shared" si="42"/>
        <v>22</v>
      </c>
      <c r="AS588" s="83">
        <f t="shared" si="43"/>
        <v>11</v>
      </c>
      <c r="AT588" s="84">
        <f t="shared" si="44"/>
        <v>2008</v>
      </c>
      <c r="AU588" s="86"/>
      <c r="AV588" s="86"/>
      <c r="AW588" s="87"/>
      <c r="AX588" s="86"/>
      <c r="AY588" s="83"/>
      <c r="AZ588" s="84"/>
      <c r="BA588" s="86"/>
      <c r="BB588" s="86"/>
    </row>
    <row r="589" spans="1:54" ht="36.75" customHeight="1">
      <c r="A589" s="30"/>
      <c r="B589" s="30" t="s">
        <v>55</v>
      </c>
      <c r="C589" s="69" t="str">
        <f t="shared" si="41"/>
        <v>Closed</v>
      </c>
      <c r="D589" s="27" t="s">
        <v>3422</v>
      </c>
      <c r="E589" s="29" t="s">
        <v>3423</v>
      </c>
      <c r="F589" s="30" t="s">
        <v>423</v>
      </c>
      <c r="G589" s="89">
        <f>DATE(2008,11,23)</f>
        <v>39775</v>
      </c>
      <c r="H589" s="90">
        <v>1.4840277777777777</v>
      </c>
      <c r="I589" s="30" t="s">
        <v>116</v>
      </c>
      <c r="J589" s="89" t="s">
        <v>3424</v>
      </c>
      <c r="K589" s="30" t="s">
        <v>425</v>
      </c>
      <c r="L589" s="30" t="s">
        <v>3425</v>
      </c>
      <c r="M589" s="30" t="s">
        <v>63</v>
      </c>
      <c r="N589" s="30">
        <v>0</v>
      </c>
      <c r="O589" s="30" t="s">
        <v>64</v>
      </c>
      <c r="P589" s="89" t="s">
        <v>165</v>
      </c>
      <c r="Q589" s="89" t="s">
        <v>427</v>
      </c>
      <c r="R589" s="89" t="s">
        <v>3103</v>
      </c>
      <c r="S589" s="30">
        <v>0</v>
      </c>
      <c r="T589" s="233" t="s">
        <v>68</v>
      </c>
      <c r="U589" s="30">
        <v>0</v>
      </c>
      <c r="V589" s="233" t="s">
        <v>68</v>
      </c>
      <c r="W589" s="30">
        <v>0</v>
      </c>
      <c r="X589" s="30">
        <v>0</v>
      </c>
      <c r="Y589" s="30">
        <v>0</v>
      </c>
      <c r="Z589" s="233" t="s">
        <v>68</v>
      </c>
      <c r="AA589" s="30">
        <v>0</v>
      </c>
      <c r="AB589" s="30">
        <v>0</v>
      </c>
      <c r="AC589" s="30">
        <v>0</v>
      </c>
      <c r="AD589" s="30">
        <v>0</v>
      </c>
      <c r="AE589" s="89" t="s">
        <v>68</v>
      </c>
      <c r="AF589" s="89"/>
      <c r="AG589" s="89" t="s">
        <v>352</v>
      </c>
      <c r="AH589" s="72" t="s">
        <v>68</v>
      </c>
      <c r="AI589" s="30">
        <v>2</v>
      </c>
      <c r="AJ589" s="89" t="s">
        <v>68</v>
      </c>
      <c r="AK589" s="89" t="s">
        <v>68</v>
      </c>
      <c r="AL589" s="91">
        <v>39792</v>
      </c>
      <c r="AM589" s="91"/>
      <c r="AN589" s="91"/>
      <c r="AO589" s="91"/>
      <c r="AP589" s="73" t="e">
        <f>MID(VLOOKUP(K589,#REF!,2,FALSE),1,2)</f>
        <v>#REF!</v>
      </c>
      <c r="AQ589" s="89">
        <f>DATE(2008,11,23)</f>
        <v>39775</v>
      </c>
      <c r="AR589" s="82">
        <f t="shared" si="42"/>
        <v>23</v>
      </c>
      <c r="AS589" s="83">
        <f t="shared" si="43"/>
        <v>11</v>
      </c>
      <c r="AT589" s="84">
        <f t="shared" si="44"/>
        <v>2008</v>
      </c>
      <c r="AU589" s="86"/>
      <c r="AV589" s="86"/>
      <c r="AW589" s="87"/>
      <c r="AX589" s="86"/>
      <c r="AY589" s="83"/>
      <c r="AZ589" s="84"/>
      <c r="BA589" s="86"/>
      <c r="BB589" s="86"/>
    </row>
    <row r="590" spans="1:54" ht="36.75" customHeight="1">
      <c r="A590" s="30"/>
      <c r="B590" s="30" t="s">
        <v>55</v>
      </c>
      <c r="C590" s="69" t="str">
        <f t="shared" si="41"/>
        <v>Closed</v>
      </c>
      <c r="D590" s="27" t="s">
        <v>3426</v>
      </c>
      <c r="E590" s="29" t="s">
        <v>3427</v>
      </c>
      <c r="F590" s="30" t="s">
        <v>582</v>
      </c>
      <c r="G590" s="89">
        <f>DATE(2008,11,25)</f>
        <v>39777</v>
      </c>
      <c r="H590" s="90">
        <v>1.0590277777777777</v>
      </c>
      <c r="I590" s="30" t="s">
        <v>198</v>
      </c>
      <c r="J590" s="89" t="s">
        <v>3428</v>
      </c>
      <c r="K590" s="30" t="s">
        <v>584</v>
      </c>
      <c r="L590" s="30" t="s">
        <v>3429</v>
      </c>
      <c r="M590" s="30" t="s">
        <v>63</v>
      </c>
      <c r="N590" s="30">
        <v>0</v>
      </c>
      <c r="O590" s="30" t="s">
        <v>77</v>
      </c>
      <c r="P590" s="89" t="s">
        <v>3430</v>
      </c>
      <c r="Q590" s="89" t="s">
        <v>3359</v>
      </c>
      <c r="R590" s="89" t="s">
        <v>587</v>
      </c>
      <c r="S590" s="30">
        <v>0</v>
      </c>
      <c r="T590" s="233">
        <v>0</v>
      </c>
      <c r="U590" s="30">
        <v>0</v>
      </c>
      <c r="V590" s="233">
        <v>0</v>
      </c>
      <c r="W590" s="30">
        <v>0</v>
      </c>
      <c r="X590" s="30">
        <v>0</v>
      </c>
      <c r="Y590" s="30">
        <v>0</v>
      </c>
      <c r="Z590" s="233">
        <v>2</v>
      </c>
      <c r="AA590" s="30">
        <v>0</v>
      </c>
      <c r="AB590" s="30">
        <v>0</v>
      </c>
      <c r="AC590" s="30">
        <v>0</v>
      </c>
      <c r="AD590" s="30">
        <v>2</v>
      </c>
      <c r="AE590" s="89" t="s">
        <v>68</v>
      </c>
      <c r="AF590" s="89"/>
      <c r="AG590" s="89" t="s">
        <v>133</v>
      </c>
      <c r="AH590" s="72" t="s">
        <v>68</v>
      </c>
      <c r="AI590" s="30">
        <v>1</v>
      </c>
      <c r="AJ590" s="89" t="s">
        <v>68</v>
      </c>
      <c r="AK590" s="89" t="s">
        <v>68</v>
      </c>
      <c r="AL590" s="91">
        <v>39777</v>
      </c>
      <c r="AM590" s="91"/>
      <c r="AN590" s="91"/>
      <c r="AO590" s="91"/>
      <c r="AP590" s="73" t="e">
        <f>MID(VLOOKUP(K590,#REF!,2,FALSE),1,2)</f>
        <v>#REF!</v>
      </c>
      <c r="AQ590" s="89">
        <f>DATE(2008,11,25)</f>
        <v>39777</v>
      </c>
      <c r="AR590" s="82">
        <f t="shared" si="42"/>
        <v>25</v>
      </c>
      <c r="AS590" s="83">
        <f t="shared" si="43"/>
        <v>11</v>
      </c>
      <c r="AT590" s="84">
        <f t="shared" si="44"/>
        <v>2008</v>
      </c>
      <c r="AU590" s="86"/>
      <c r="AV590" s="86"/>
      <c r="AW590" s="87"/>
      <c r="AX590" s="86"/>
      <c r="AY590" s="83"/>
      <c r="AZ590" s="84"/>
      <c r="BA590" s="86"/>
      <c r="BB590" s="86"/>
    </row>
    <row r="591" spans="1:54" ht="36.75" customHeight="1">
      <c r="A591" s="30"/>
      <c r="B591" s="30" t="s">
        <v>55</v>
      </c>
      <c r="C591" s="69" t="str">
        <f t="shared" si="41"/>
        <v>Closed</v>
      </c>
      <c r="D591" s="27" t="s">
        <v>3431</v>
      </c>
      <c r="E591" s="29" t="s">
        <v>3432</v>
      </c>
      <c r="F591" s="30" t="s">
        <v>638</v>
      </c>
      <c r="G591" s="89">
        <f>DATE(2008,11,26)</f>
        <v>39778</v>
      </c>
      <c r="H591" s="90">
        <v>1.6395833333333334</v>
      </c>
      <c r="I591" s="30" t="s">
        <v>278</v>
      </c>
      <c r="J591" s="89" t="s">
        <v>3433</v>
      </c>
      <c r="K591" s="30" t="s">
        <v>640</v>
      </c>
      <c r="L591" s="30" t="s">
        <v>3434</v>
      </c>
      <c r="M591" s="30" t="s">
        <v>63</v>
      </c>
      <c r="N591" s="30">
        <v>0</v>
      </c>
      <c r="O591" s="30" t="s">
        <v>64</v>
      </c>
      <c r="P591" s="89" t="s">
        <v>165</v>
      </c>
      <c r="Q591" s="89" t="s">
        <v>642</v>
      </c>
      <c r="R591" s="89" t="s">
        <v>643</v>
      </c>
      <c r="S591" s="30">
        <v>0</v>
      </c>
      <c r="T591" s="233">
        <v>0</v>
      </c>
      <c r="U591" s="30">
        <v>0</v>
      </c>
      <c r="V591" s="233">
        <v>1</v>
      </c>
      <c r="W591" s="30">
        <v>0</v>
      </c>
      <c r="X591" s="30">
        <v>1</v>
      </c>
      <c r="Y591" s="30">
        <v>0</v>
      </c>
      <c r="Z591" s="233">
        <v>0</v>
      </c>
      <c r="AA591" s="30">
        <v>0</v>
      </c>
      <c r="AB591" s="30">
        <v>0</v>
      </c>
      <c r="AC591" s="30">
        <v>0</v>
      </c>
      <c r="AD591" s="30">
        <v>0</v>
      </c>
      <c r="AE591" s="89" t="s">
        <v>68</v>
      </c>
      <c r="AF591" s="89"/>
      <c r="AG591" s="89" t="s">
        <v>248</v>
      </c>
      <c r="AH591" s="72" t="s">
        <v>68</v>
      </c>
      <c r="AI591" s="30">
        <v>1</v>
      </c>
      <c r="AJ591" s="89" t="s">
        <v>68</v>
      </c>
      <c r="AK591" s="89" t="s">
        <v>68</v>
      </c>
      <c r="AL591" s="91">
        <v>39896</v>
      </c>
      <c r="AM591" s="91"/>
      <c r="AN591" s="91"/>
      <c r="AO591" s="91"/>
      <c r="AP591" s="73" t="e">
        <f>MID(VLOOKUP(K591,#REF!,2,FALSE),1,2)</f>
        <v>#REF!</v>
      </c>
      <c r="AQ591" s="89">
        <f>DATE(2008,11,26)</f>
        <v>39778</v>
      </c>
      <c r="AR591" s="82">
        <f t="shared" si="42"/>
        <v>26</v>
      </c>
      <c r="AS591" s="83">
        <f t="shared" si="43"/>
        <v>11</v>
      </c>
      <c r="AT591" s="84">
        <f t="shared" si="44"/>
        <v>2008</v>
      </c>
      <c r="AU591" s="86"/>
      <c r="AV591" s="86"/>
      <c r="AW591" s="87"/>
      <c r="AX591" s="86"/>
      <c r="AY591" s="83"/>
      <c r="AZ591" s="84"/>
      <c r="BA591" s="86"/>
      <c r="BB591" s="86"/>
    </row>
    <row r="592" spans="1:54" ht="36.75" customHeight="1">
      <c r="A592" s="30"/>
      <c r="B592" s="30" t="s">
        <v>55</v>
      </c>
      <c r="C592" s="69" t="str">
        <f t="shared" si="41"/>
        <v>Closed</v>
      </c>
      <c r="D592" s="27" t="s">
        <v>3435</v>
      </c>
      <c r="E592" s="29" t="s">
        <v>3436</v>
      </c>
      <c r="F592" s="30" t="s">
        <v>638</v>
      </c>
      <c r="G592" s="89">
        <f>DATE(2008,11,29)</f>
        <v>39781</v>
      </c>
      <c r="H592" s="90">
        <v>1.125</v>
      </c>
      <c r="I592" s="30" t="s">
        <v>278</v>
      </c>
      <c r="J592" s="89" t="s">
        <v>3437</v>
      </c>
      <c r="K592" s="30" t="s">
        <v>640</v>
      </c>
      <c r="L592" s="30" t="s">
        <v>3438</v>
      </c>
      <c r="M592" s="30" t="s">
        <v>63</v>
      </c>
      <c r="N592" s="30">
        <v>0</v>
      </c>
      <c r="O592" s="30" t="s">
        <v>77</v>
      </c>
      <c r="P592" s="89" t="s">
        <v>78</v>
      </c>
      <c r="Q592" s="89" t="s">
        <v>3439</v>
      </c>
      <c r="R592" s="89" t="s">
        <v>643</v>
      </c>
      <c r="S592" s="30">
        <v>0</v>
      </c>
      <c r="T592" s="233">
        <v>1</v>
      </c>
      <c r="U592" s="30">
        <v>0</v>
      </c>
      <c r="V592" s="233">
        <v>0</v>
      </c>
      <c r="W592" s="30">
        <v>0</v>
      </c>
      <c r="X592" s="30">
        <v>1</v>
      </c>
      <c r="Y592" s="30">
        <v>0</v>
      </c>
      <c r="Z592" s="233">
        <v>0</v>
      </c>
      <c r="AA592" s="30">
        <v>0</v>
      </c>
      <c r="AB592" s="30">
        <v>0</v>
      </c>
      <c r="AC592" s="30">
        <v>0</v>
      </c>
      <c r="AD592" s="30">
        <v>0</v>
      </c>
      <c r="AE592" s="89" t="s">
        <v>68</v>
      </c>
      <c r="AF592" s="89"/>
      <c r="AG592" s="89" t="s">
        <v>248</v>
      </c>
      <c r="AH592" s="72" t="s">
        <v>68</v>
      </c>
      <c r="AI592" s="30">
        <v>1</v>
      </c>
      <c r="AJ592" s="89" t="s">
        <v>68</v>
      </c>
      <c r="AK592" s="89" t="s">
        <v>68</v>
      </c>
      <c r="AL592" s="91">
        <v>39896</v>
      </c>
      <c r="AM592" s="91"/>
      <c r="AN592" s="91"/>
      <c r="AO592" s="91"/>
      <c r="AP592" s="73" t="e">
        <f>MID(VLOOKUP(K592,#REF!,2,FALSE),1,2)</f>
        <v>#REF!</v>
      </c>
      <c r="AQ592" s="89">
        <f>DATE(2008,11,29)</f>
        <v>39781</v>
      </c>
      <c r="AR592" s="82">
        <f t="shared" si="42"/>
        <v>29</v>
      </c>
      <c r="AS592" s="83">
        <f t="shared" si="43"/>
        <v>11</v>
      </c>
      <c r="AT592" s="84">
        <f t="shared" si="44"/>
        <v>2008</v>
      </c>
      <c r="AU592" s="86"/>
      <c r="AV592" s="86"/>
      <c r="AW592" s="87"/>
      <c r="AX592" s="86"/>
      <c r="AY592" s="83"/>
      <c r="AZ592" s="84"/>
      <c r="BA592" s="86"/>
      <c r="BB592" s="86"/>
    </row>
    <row r="593" spans="1:54" ht="36.75" customHeight="1">
      <c r="A593" s="30"/>
      <c r="B593" s="30" t="s">
        <v>55</v>
      </c>
      <c r="C593" s="69" t="str">
        <f t="shared" si="41"/>
        <v>Closed</v>
      </c>
      <c r="D593" s="27" t="s">
        <v>3440</v>
      </c>
      <c r="E593" s="29" t="s">
        <v>3441</v>
      </c>
      <c r="F593" s="30" t="s">
        <v>1938</v>
      </c>
      <c r="G593" s="89">
        <f>DATE(2008,12,2)</f>
        <v>39784</v>
      </c>
      <c r="H593" s="90">
        <v>1.40625</v>
      </c>
      <c r="I593" s="30" t="s">
        <v>116</v>
      </c>
      <c r="J593" s="89" t="s">
        <v>3442</v>
      </c>
      <c r="K593" s="30" t="s">
        <v>1940</v>
      </c>
      <c r="L593" s="30" t="s">
        <v>3443</v>
      </c>
      <c r="M593" s="30" t="s">
        <v>63</v>
      </c>
      <c r="N593" s="30">
        <v>0</v>
      </c>
      <c r="O593" s="30" t="s">
        <v>64</v>
      </c>
      <c r="P593" s="89" t="s">
        <v>301</v>
      </c>
      <c r="Q593" s="89" t="s">
        <v>1942</v>
      </c>
      <c r="R593" s="89" t="s">
        <v>1942</v>
      </c>
      <c r="S593" s="30">
        <v>0</v>
      </c>
      <c r="T593" s="233" t="s">
        <v>68</v>
      </c>
      <c r="U593" s="30">
        <v>0</v>
      </c>
      <c r="V593" s="233" t="s">
        <v>68</v>
      </c>
      <c r="W593" s="30">
        <v>0</v>
      </c>
      <c r="X593" s="30">
        <v>0</v>
      </c>
      <c r="Y593" s="30">
        <v>0</v>
      </c>
      <c r="Z593" s="233" t="s">
        <v>68</v>
      </c>
      <c r="AA593" s="30">
        <v>0</v>
      </c>
      <c r="AB593" s="30">
        <v>0</v>
      </c>
      <c r="AC593" s="30">
        <v>0</v>
      </c>
      <c r="AD593" s="30">
        <v>0</v>
      </c>
      <c r="AE593" s="89" t="s">
        <v>68</v>
      </c>
      <c r="AF593" s="89"/>
      <c r="AG593" s="89" t="s">
        <v>1507</v>
      </c>
      <c r="AH593" s="72" t="s">
        <v>68</v>
      </c>
      <c r="AI593" s="30">
        <v>2</v>
      </c>
      <c r="AJ593" s="89" t="s">
        <v>68</v>
      </c>
      <c r="AK593" s="89" t="s">
        <v>68</v>
      </c>
      <c r="AL593" s="91">
        <v>39791</v>
      </c>
      <c r="AM593" s="91"/>
      <c r="AN593" s="91"/>
      <c r="AO593" s="91"/>
      <c r="AP593" s="73" t="e">
        <f>MID(VLOOKUP(K593,#REF!,2,FALSE),1,2)</f>
        <v>#REF!</v>
      </c>
      <c r="AQ593" s="89">
        <f>DATE(2008,12,2)</f>
        <v>39784</v>
      </c>
      <c r="AR593" s="82">
        <f t="shared" si="42"/>
        <v>2</v>
      </c>
      <c r="AS593" s="83">
        <f t="shared" si="43"/>
        <v>12</v>
      </c>
      <c r="AT593" s="84">
        <f t="shared" si="44"/>
        <v>2008</v>
      </c>
      <c r="AU593" s="86"/>
      <c r="AV593" s="86"/>
      <c r="AW593" s="87"/>
      <c r="AX593" s="86"/>
      <c r="AY593" s="83"/>
      <c r="AZ593" s="84"/>
      <c r="BA593" s="86"/>
      <c r="BB593" s="86"/>
    </row>
    <row r="594" spans="1:54" ht="36.75" customHeight="1">
      <c r="A594" s="30"/>
      <c r="B594" s="30" t="s">
        <v>55</v>
      </c>
      <c r="C594" s="69" t="str">
        <f t="shared" si="41"/>
        <v>Closed</v>
      </c>
      <c r="D594" s="27" t="s">
        <v>3444</v>
      </c>
      <c r="E594" s="29" t="s">
        <v>3445</v>
      </c>
      <c r="F594" s="30" t="s">
        <v>1749</v>
      </c>
      <c r="G594" s="89">
        <f>DATE(2008,12,4)</f>
        <v>39786</v>
      </c>
      <c r="H594" s="90">
        <v>1.5520833333333335</v>
      </c>
      <c r="I594" s="30" t="s">
        <v>73</v>
      </c>
      <c r="J594" s="89" t="s">
        <v>3446</v>
      </c>
      <c r="K594" s="30" t="s">
        <v>1751</v>
      </c>
      <c r="L594" s="30" t="s">
        <v>3447</v>
      </c>
      <c r="M594" s="30" t="s">
        <v>63</v>
      </c>
      <c r="N594" s="30">
        <v>0</v>
      </c>
      <c r="O594" s="30" t="s">
        <v>64</v>
      </c>
      <c r="P594" s="89" t="s">
        <v>78</v>
      </c>
      <c r="Q594" s="89" t="s">
        <v>3448</v>
      </c>
      <c r="R594" s="89" t="s">
        <v>3448</v>
      </c>
      <c r="S594" s="30">
        <v>0</v>
      </c>
      <c r="T594" s="233" t="s">
        <v>68</v>
      </c>
      <c r="U594" s="30">
        <v>0</v>
      </c>
      <c r="V594" s="233" t="s">
        <v>68</v>
      </c>
      <c r="W594" s="30">
        <v>0</v>
      </c>
      <c r="X594" s="30">
        <v>0</v>
      </c>
      <c r="Y594" s="30">
        <v>0</v>
      </c>
      <c r="Z594" s="233" t="s">
        <v>68</v>
      </c>
      <c r="AA594" s="30">
        <v>0</v>
      </c>
      <c r="AB594" s="30">
        <v>0</v>
      </c>
      <c r="AC594" s="30">
        <v>0</v>
      </c>
      <c r="AD594" s="30">
        <v>0</v>
      </c>
      <c r="AE594" s="89" t="s">
        <v>68</v>
      </c>
      <c r="AF594" s="89"/>
      <c r="AG594" s="89" t="s">
        <v>248</v>
      </c>
      <c r="AH594" s="72" t="s">
        <v>68</v>
      </c>
      <c r="AI594" s="30">
        <v>7</v>
      </c>
      <c r="AJ594" s="89" t="s">
        <v>3449</v>
      </c>
      <c r="AK594" s="89" t="s">
        <v>3450</v>
      </c>
      <c r="AL594" s="91">
        <v>39819</v>
      </c>
      <c r="AM594" s="91"/>
      <c r="AN594" s="91"/>
      <c r="AO594" s="91"/>
      <c r="AP594" s="73" t="e">
        <f>MID(VLOOKUP(K594,#REF!,2,FALSE),1,2)</f>
        <v>#REF!</v>
      </c>
      <c r="AQ594" s="89">
        <f>DATE(2008,12,4)</f>
        <v>39786</v>
      </c>
      <c r="AR594" s="82">
        <f t="shared" si="42"/>
        <v>4</v>
      </c>
      <c r="AS594" s="83">
        <f t="shared" si="43"/>
        <v>12</v>
      </c>
      <c r="AT594" s="84">
        <f t="shared" si="44"/>
        <v>2008</v>
      </c>
      <c r="AU594" s="86"/>
      <c r="AV594" s="86"/>
      <c r="AW594" s="87"/>
      <c r="AX594" s="86"/>
      <c r="AY594" s="83"/>
      <c r="AZ594" s="84"/>
      <c r="BA594" s="86"/>
      <c r="BB594" s="86"/>
    </row>
    <row r="595" spans="1:54" ht="36.75" customHeight="1">
      <c r="A595" s="30"/>
      <c r="B595" s="30" t="s">
        <v>55</v>
      </c>
      <c r="C595" s="69" t="str">
        <f t="shared" si="41"/>
        <v>Closed</v>
      </c>
      <c r="D595" s="27" t="s">
        <v>3451</v>
      </c>
      <c r="E595" s="29" t="s">
        <v>3452</v>
      </c>
      <c r="F595" s="30" t="s">
        <v>233</v>
      </c>
      <c r="G595" s="89">
        <f>DATE(2008,12,7)</f>
        <v>39789</v>
      </c>
      <c r="H595" s="90">
        <v>1.7291666666666665</v>
      </c>
      <c r="I595" s="30" t="s">
        <v>278</v>
      </c>
      <c r="J595" s="89" t="s">
        <v>3453</v>
      </c>
      <c r="K595" s="30" t="s">
        <v>235</v>
      </c>
      <c r="L595" s="30" t="s">
        <v>3454</v>
      </c>
      <c r="M595" s="30" t="s">
        <v>63</v>
      </c>
      <c r="N595" s="30">
        <v>0</v>
      </c>
      <c r="O595" s="30" t="s">
        <v>86</v>
      </c>
      <c r="P595" s="89" t="s">
        <v>65</v>
      </c>
      <c r="Q595" s="89" t="s">
        <v>3084</v>
      </c>
      <c r="R595" s="89" t="s">
        <v>238</v>
      </c>
      <c r="S595" s="30">
        <v>0</v>
      </c>
      <c r="T595" s="233">
        <v>0</v>
      </c>
      <c r="U595" s="30">
        <v>0</v>
      </c>
      <c r="V595" s="233">
        <v>0</v>
      </c>
      <c r="W595" s="30">
        <v>0</v>
      </c>
      <c r="X595" s="30">
        <v>0</v>
      </c>
      <c r="Y595" s="30">
        <v>0</v>
      </c>
      <c r="Z595" s="233">
        <v>1</v>
      </c>
      <c r="AA595" s="30">
        <v>0</v>
      </c>
      <c r="AB595" s="30">
        <v>0</v>
      </c>
      <c r="AC595" s="30">
        <v>0</v>
      </c>
      <c r="AD595" s="30">
        <v>1</v>
      </c>
      <c r="AE595" s="89" t="s">
        <v>68</v>
      </c>
      <c r="AF595" s="89"/>
      <c r="AG595" s="89" t="s">
        <v>133</v>
      </c>
      <c r="AH595" s="72" t="s">
        <v>68</v>
      </c>
      <c r="AI595" s="30">
        <v>6</v>
      </c>
      <c r="AJ595" s="89" t="s">
        <v>3455</v>
      </c>
      <c r="AK595" s="89" t="s">
        <v>3456</v>
      </c>
      <c r="AL595" s="91">
        <v>39804</v>
      </c>
      <c r="AM595" s="91"/>
      <c r="AN595" s="91"/>
      <c r="AO595" s="91"/>
      <c r="AP595" s="73" t="e">
        <f>MID(VLOOKUP(K595,#REF!,2,FALSE),1,2)</f>
        <v>#REF!</v>
      </c>
      <c r="AQ595" s="89">
        <f>DATE(2008,12,7)</f>
        <v>39789</v>
      </c>
      <c r="AR595" s="82">
        <f t="shared" si="42"/>
        <v>7</v>
      </c>
      <c r="AS595" s="83">
        <f t="shared" si="43"/>
        <v>12</v>
      </c>
      <c r="AT595" s="84">
        <f t="shared" si="44"/>
        <v>2008</v>
      </c>
      <c r="AU595" s="86"/>
      <c r="AV595" s="86"/>
      <c r="AW595" s="87"/>
      <c r="AX595" s="86"/>
      <c r="AY595" s="83"/>
      <c r="AZ595" s="84"/>
      <c r="BA595" s="86"/>
      <c r="BB595" s="86"/>
    </row>
    <row r="596" spans="1:54" ht="36.75" customHeight="1">
      <c r="A596" s="30"/>
      <c r="B596" s="30" t="s">
        <v>55</v>
      </c>
      <c r="C596" s="69" t="str">
        <f t="shared" si="41"/>
        <v>Closed</v>
      </c>
      <c r="D596" s="27" t="s">
        <v>3457</v>
      </c>
      <c r="E596" s="29" t="s">
        <v>3458</v>
      </c>
      <c r="F596" s="30" t="s">
        <v>423</v>
      </c>
      <c r="G596" s="89">
        <f>DATE(2008,12,12)</f>
        <v>39794</v>
      </c>
      <c r="H596" s="90">
        <v>1.4826388888888888</v>
      </c>
      <c r="I596" s="30" t="s">
        <v>116</v>
      </c>
      <c r="J596" s="89" t="s">
        <v>3459</v>
      </c>
      <c r="K596" s="30" t="s">
        <v>425</v>
      </c>
      <c r="L596" s="30" t="s">
        <v>3460</v>
      </c>
      <c r="M596" s="30" t="s">
        <v>63</v>
      </c>
      <c r="N596" s="30">
        <v>0</v>
      </c>
      <c r="O596" s="30" t="s">
        <v>64</v>
      </c>
      <c r="P596" s="89" t="s">
        <v>216</v>
      </c>
      <c r="Q596" s="89" t="s">
        <v>3461</v>
      </c>
      <c r="R596" s="89" t="s">
        <v>3103</v>
      </c>
      <c r="S596" s="30">
        <v>0</v>
      </c>
      <c r="T596" s="233">
        <v>0</v>
      </c>
      <c r="U596" s="30">
        <v>0</v>
      </c>
      <c r="V596" s="233">
        <v>0</v>
      </c>
      <c r="W596" s="30">
        <v>0</v>
      </c>
      <c r="X596" s="30">
        <v>0</v>
      </c>
      <c r="Y596" s="30">
        <v>0</v>
      </c>
      <c r="Z596" s="233">
        <v>0</v>
      </c>
      <c r="AA596" s="30">
        <v>1</v>
      </c>
      <c r="AB596" s="30">
        <v>0</v>
      </c>
      <c r="AC596" s="30">
        <v>0</v>
      </c>
      <c r="AD596" s="30">
        <v>1</v>
      </c>
      <c r="AE596" s="89" t="s">
        <v>68</v>
      </c>
      <c r="AF596" s="89"/>
      <c r="AG596" s="89" t="s">
        <v>133</v>
      </c>
      <c r="AH596" s="72" t="s">
        <v>68</v>
      </c>
      <c r="AI596" s="30">
        <v>0</v>
      </c>
      <c r="AJ596" s="89" t="s">
        <v>68</v>
      </c>
      <c r="AK596" s="89" t="s">
        <v>68</v>
      </c>
      <c r="AL596" s="91">
        <v>39834</v>
      </c>
      <c r="AM596" s="91"/>
      <c r="AN596" s="91"/>
      <c r="AO596" s="91"/>
      <c r="AP596" s="73" t="e">
        <f>MID(VLOOKUP(K596,#REF!,2,FALSE),1,2)</f>
        <v>#REF!</v>
      </c>
      <c r="AQ596" s="89">
        <f>DATE(2008,12,12)</f>
        <v>39794</v>
      </c>
      <c r="AR596" s="82">
        <f t="shared" si="42"/>
        <v>12</v>
      </c>
      <c r="AS596" s="83">
        <f t="shared" si="43"/>
        <v>12</v>
      </c>
      <c r="AT596" s="84">
        <f t="shared" si="44"/>
        <v>2008</v>
      </c>
      <c r="AU596" s="86"/>
      <c r="AV596" s="86"/>
      <c r="AW596" s="87"/>
      <c r="AX596" s="86"/>
      <c r="AY596" s="83"/>
      <c r="AZ596" s="84"/>
      <c r="BA596" s="86"/>
      <c r="BB596" s="86"/>
    </row>
    <row r="597" spans="1:54" ht="36.75" customHeight="1">
      <c r="A597" s="30"/>
      <c r="B597" s="30" t="s">
        <v>55</v>
      </c>
      <c r="C597" s="69" t="str">
        <f t="shared" si="41"/>
        <v>Closed</v>
      </c>
      <c r="D597" s="27" t="s">
        <v>3462</v>
      </c>
      <c r="E597" s="29" t="s">
        <v>3463</v>
      </c>
      <c r="F597" s="30" t="s">
        <v>638</v>
      </c>
      <c r="G597" s="89">
        <f>DATE(2008,12,13)</f>
        <v>39795</v>
      </c>
      <c r="H597" s="90">
        <v>1.320138888888889</v>
      </c>
      <c r="I597" s="30" t="s">
        <v>116</v>
      </c>
      <c r="J597" s="89" t="s">
        <v>3464</v>
      </c>
      <c r="K597" s="30" t="s">
        <v>640</v>
      </c>
      <c r="L597" s="30" t="s">
        <v>3465</v>
      </c>
      <c r="M597" s="30" t="s">
        <v>63</v>
      </c>
      <c r="N597" s="30">
        <v>0</v>
      </c>
      <c r="O597" s="30" t="s">
        <v>77</v>
      </c>
      <c r="P597" s="89" t="s">
        <v>165</v>
      </c>
      <c r="Q597" s="89" t="s">
        <v>642</v>
      </c>
      <c r="R597" s="89" t="s">
        <v>643</v>
      </c>
      <c r="S597" s="30">
        <v>0</v>
      </c>
      <c r="T597" s="233">
        <v>0</v>
      </c>
      <c r="U597" s="30">
        <v>1</v>
      </c>
      <c r="V597" s="233">
        <v>0</v>
      </c>
      <c r="W597" s="30">
        <v>0</v>
      </c>
      <c r="X597" s="30">
        <v>1</v>
      </c>
      <c r="Y597" s="30">
        <v>0</v>
      </c>
      <c r="Z597" s="233">
        <v>0</v>
      </c>
      <c r="AA597" s="30">
        <v>0</v>
      </c>
      <c r="AB597" s="30">
        <v>0</v>
      </c>
      <c r="AC597" s="30">
        <v>0</v>
      </c>
      <c r="AD597" s="30">
        <v>0</v>
      </c>
      <c r="AE597" s="89" t="s">
        <v>68</v>
      </c>
      <c r="AF597" s="89"/>
      <c r="AG597" s="89" t="s">
        <v>248</v>
      </c>
      <c r="AH597" s="72" t="s">
        <v>68</v>
      </c>
      <c r="AI597" s="30">
        <v>1</v>
      </c>
      <c r="AJ597" s="89" t="s">
        <v>68</v>
      </c>
      <c r="AK597" s="89" t="s">
        <v>68</v>
      </c>
      <c r="AL597" s="91">
        <v>39923</v>
      </c>
      <c r="AM597" s="91"/>
      <c r="AN597" s="91"/>
      <c r="AO597" s="91"/>
      <c r="AP597" s="73" t="e">
        <f>MID(VLOOKUP(K597,#REF!,2,FALSE),1,2)</f>
        <v>#REF!</v>
      </c>
      <c r="AQ597" s="89">
        <f>DATE(2008,12,13)</f>
        <v>39795</v>
      </c>
      <c r="AR597" s="82">
        <f t="shared" si="42"/>
        <v>13</v>
      </c>
      <c r="AS597" s="83">
        <f t="shared" si="43"/>
        <v>12</v>
      </c>
      <c r="AT597" s="84">
        <f t="shared" si="44"/>
        <v>2008</v>
      </c>
      <c r="AU597" s="86"/>
      <c r="AV597" s="86"/>
      <c r="AW597" s="87"/>
      <c r="AX597" s="86"/>
      <c r="AY597" s="83"/>
      <c r="AZ597" s="84"/>
      <c r="BA597" s="86"/>
      <c r="BB597" s="86"/>
    </row>
    <row r="598" spans="1:54" ht="36.75" customHeight="1">
      <c r="A598" s="30"/>
      <c r="B598" s="30" t="s">
        <v>55</v>
      </c>
      <c r="C598" s="69" t="str">
        <f t="shared" si="41"/>
        <v>Closed</v>
      </c>
      <c r="D598" s="27" t="s">
        <v>3466</v>
      </c>
      <c r="E598" s="29" t="s">
        <v>3467</v>
      </c>
      <c r="F598" s="30" t="s">
        <v>638</v>
      </c>
      <c r="G598" s="89">
        <f>DATE(2008,12,13)</f>
        <v>39795</v>
      </c>
      <c r="H598" s="90">
        <v>1.40625</v>
      </c>
      <c r="I598" s="30" t="s">
        <v>278</v>
      </c>
      <c r="J598" s="89" t="s">
        <v>3468</v>
      </c>
      <c r="K598" s="30" t="s">
        <v>640</v>
      </c>
      <c r="L598" s="30" t="s">
        <v>3469</v>
      </c>
      <c r="M598" s="30" t="s">
        <v>63</v>
      </c>
      <c r="N598" s="30">
        <v>0</v>
      </c>
      <c r="O598" s="30" t="s">
        <v>64</v>
      </c>
      <c r="P598" s="89" t="s">
        <v>78</v>
      </c>
      <c r="Q598" s="89" t="s">
        <v>642</v>
      </c>
      <c r="R598" s="89" t="s">
        <v>643</v>
      </c>
      <c r="S598" s="30">
        <v>0</v>
      </c>
      <c r="T598" s="233">
        <v>0</v>
      </c>
      <c r="U598" s="30">
        <v>0</v>
      </c>
      <c r="V598" s="233">
        <v>1</v>
      </c>
      <c r="W598" s="30">
        <v>0</v>
      </c>
      <c r="X598" s="30">
        <v>1</v>
      </c>
      <c r="Y598" s="30">
        <v>0</v>
      </c>
      <c r="Z598" s="233">
        <v>0</v>
      </c>
      <c r="AA598" s="30">
        <v>0</v>
      </c>
      <c r="AB598" s="30">
        <v>0</v>
      </c>
      <c r="AC598" s="30">
        <v>0</v>
      </c>
      <c r="AD598" s="30">
        <v>0</v>
      </c>
      <c r="AE598" s="89" t="s">
        <v>68</v>
      </c>
      <c r="AF598" s="89"/>
      <c r="AG598" s="89" t="s">
        <v>248</v>
      </c>
      <c r="AH598" s="72" t="s">
        <v>68</v>
      </c>
      <c r="AI598" s="30">
        <v>1</v>
      </c>
      <c r="AJ598" s="89" t="s">
        <v>68</v>
      </c>
      <c r="AK598" s="89" t="s">
        <v>68</v>
      </c>
      <c r="AL598" s="91">
        <v>39923</v>
      </c>
      <c r="AM598" s="91"/>
      <c r="AN598" s="91"/>
      <c r="AO598" s="91"/>
      <c r="AP598" s="73" t="e">
        <f>MID(VLOOKUP(K598,#REF!,2,FALSE),1,2)</f>
        <v>#REF!</v>
      </c>
      <c r="AQ598" s="89">
        <f>DATE(2008,12,13)</f>
        <v>39795</v>
      </c>
      <c r="AR598" s="82">
        <f t="shared" si="42"/>
        <v>13</v>
      </c>
      <c r="AS598" s="83">
        <f t="shared" si="43"/>
        <v>12</v>
      </c>
      <c r="AT598" s="84">
        <f t="shared" si="44"/>
        <v>2008</v>
      </c>
      <c r="AU598" s="86"/>
      <c r="AV598" s="86"/>
      <c r="AW598" s="87"/>
      <c r="AX598" s="86"/>
      <c r="AY598" s="83"/>
      <c r="AZ598" s="84"/>
      <c r="BA598" s="86"/>
      <c r="BB598" s="86"/>
    </row>
    <row r="599" spans="1:54" ht="36.75" customHeight="1">
      <c r="A599" s="30"/>
      <c r="B599" s="30" t="s">
        <v>55</v>
      </c>
      <c r="C599" s="69" t="str">
        <f t="shared" si="41"/>
        <v>Closed</v>
      </c>
      <c r="D599" s="27" t="s">
        <v>3470</v>
      </c>
      <c r="E599" s="29" t="s">
        <v>3471</v>
      </c>
      <c r="F599" s="30" t="s">
        <v>1572</v>
      </c>
      <c r="G599" s="89">
        <f>DATE(2008,12,16)</f>
        <v>39798</v>
      </c>
      <c r="H599" s="90">
        <v>1.85</v>
      </c>
      <c r="I599" s="30" t="s">
        <v>59</v>
      </c>
      <c r="J599" s="89" t="s">
        <v>3472</v>
      </c>
      <c r="K599" s="30" t="s">
        <v>1574</v>
      </c>
      <c r="L599" s="30" t="s">
        <v>3473</v>
      </c>
      <c r="M599" s="30" t="s">
        <v>63</v>
      </c>
      <c r="N599" s="30">
        <v>0</v>
      </c>
      <c r="O599" s="30" t="s">
        <v>77</v>
      </c>
      <c r="P599" s="89" t="s">
        <v>165</v>
      </c>
      <c r="Q599" s="89" t="s">
        <v>2413</v>
      </c>
      <c r="R599" s="89">
        <v>0</v>
      </c>
      <c r="S599" s="30">
        <v>0</v>
      </c>
      <c r="T599" s="233" t="s">
        <v>68</v>
      </c>
      <c r="U599" s="30">
        <v>0</v>
      </c>
      <c r="V599" s="233" t="s">
        <v>68</v>
      </c>
      <c r="W599" s="30">
        <v>0</v>
      </c>
      <c r="X599" s="30">
        <v>0</v>
      </c>
      <c r="Y599" s="30">
        <v>0</v>
      </c>
      <c r="Z599" s="233" t="s">
        <v>68</v>
      </c>
      <c r="AA599" s="30">
        <v>0</v>
      </c>
      <c r="AB599" s="30">
        <v>0</v>
      </c>
      <c r="AC599" s="30">
        <v>0</v>
      </c>
      <c r="AD599" s="30">
        <v>0</v>
      </c>
      <c r="AE599" s="89" t="s">
        <v>68</v>
      </c>
      <c r="AF599" s="89"/>
      <c r="AG599" s="89" t="s">
        <v>1683</v>
      </c>
      <c r="AH599" s="72" t="s">
        <v>68</v>
      </c>
      <c r="AI599" s="30">
        <v>4</v>
      </c>
      <c r="AJ599" s="89" t="s">
        <v>3474</v>
      </c>
      <c r="AK599" s="89" t="s">
        <v>3475</v>
      </c>
      <c r="AL599" s="91">
        <v>39801</v>
      </c>
      <c r="AM599" s="91"/>
      <c r="AN599" s="91"/>
      <c r="AO599" s="91"/>
      <c r="AP599" s="73" t="e">
        <f>MID(VLOOKUP(K599,#REF!,2,FALSE),1,2)</f>
        <v>#REF!</v>
      </c>
      <c r="AQ599" s="89">
        <f>DATE(2008,12,16)</f>
        <v>39798</v>
      </c>
      <c r="AR599" s="82">
        <f t="shared" si="42"/>
        <v>16</v>
      </c>
      <c r="AS599" s="83">
        <f t="shared" si="43"/>
        <v>12</v>
      </c>
      <c r="AT599" s="84">
        <f t="shared" si="44"/>
        <v>2008</v>
      </c>
      <c r="AU599" s="86"/>
      <c r="AV599" s="86"/>
      <c r="AW599" s="87"/>
      <c r="AX599" s="86"/>
      <c r="AY599" s="83"/>
      <c r="AZ599" s="84"/>
      <c r="BA599" s="86"/>
      <c r="BB599" s="86"/>
    </row>
    <row r="600" spans="1:54" ht="36.75" customHeight="1">
      <c r="A600" s="30"/>
      <c r="B600" s="30" t="s">
        <v>55</v>
      </c>
      <c r="C600" s="69" t="str">
        <f t="shared" si="41"/>
        <v>Closed</v>
      </c>
      <c r="D600" s="27" t="s">
        <v>3476</v>
      </c>
      <c r="E600" s="29" t="s">
        <v>3477</v>
      </c>
      <c r="F600" s="30" t="s">
        <v>423</v>
      </c>
      <c r="G600" s="89">
        <f>DATE(2008,12,17)</f>
        <v>39799</v>
      </c>
      <c r="H600" s="90">
        <v>1.7173611111111109</v>
      </c>
      <c r="I600" s="30" t="s">
        <v>116</v>
      </c>
      <c r="J600" s="89" t="s">
        <v>3478</v>
      </c>
      <c r="K600" s="30" t="s">
        <v>425</v>
      </c>
      <c r="L600" s="30" t="s">
        <v>3479</v>
      </c>
      <c r="M600" s="30" t="s">
        <v>63</v>
      </c>
      <c r="N600" s="30">
        <v>0</v>
      </c>
      <c r="O600" s="30" t="s">
        <v>64</v>
      </c>
      <c r="P600" s="89" t="s">
        <v>165</v>
      </c>
      <c r="Q600" s="89" t="s">
        <v>427</v>
      </c>
      <c r="R600" s="89" t="s">
        <v>3103</v>
      </c>
      <c r="S600" s="30">
        <v>0</v>
      </c>
      <c r="T600" s="233">
        <v>0</v>
      </c>
      <c r="U600" s="30">
        <v>0</v>
      </c>
      <c r="V600" s="233">
        <v>0</v>
      </c>
      <c r="W600" s="30">
        <v>0</v>
      </c>
      <c r="X600" s="30">
        <v>0</v>
      </c>
      <c r="Y600" s="30">
        <v>3</v>
      </c>
      <c r="Z600" s="233">
        <v>0</v>
      </c>
      <c r="AA600" s="30">
        <v>0</v>
      </c>
      <c r="AB600" s="30">
        <v>0</v>
      </c>
      <c r="AC600" s="30">
        <v>0</v>
      </c>
      <c r="AD600" s="30">
        <v>3</v>
      </c>
      <c r="AE600" s="89" t="s">
        <v>68</v>
      </c>
      <c r="AF600" s="89"/>
      <c r="AG600" s="89" t="s">
        <v>874</v>
      </c>
      <c r="AH600" s="72" t="s">
        <v>68</v>
      </c>
      <c r="AI600" s="30">
        <v>3</v>
      </c>
      <c r="AJ600" s="89" t="s">
        <v>68</v>
      </c>
      <c r="AK600" s="89" t="s">
        <v>68</v>
      </c>
      <c r="AL600" s="91">
        <v>39834</v>
      </c>
      <c r="AM600" s="91"/>
      <c r="AN600" s="91"/>
      <c r="AO600" s="91"/>
      <c r="AP600" s="73" t="e">
        <f>MID(VLOOKUP(K600,#REF!,2,FALSE),1,2)</f>
        <v>#REF!</v>
      </c>
      <c r="AQ600" s="89">
        <f>DATE(2008,12,17)</f>
        <v>39799</v>
      </c>
      <c r="AR600" s="82">
        <f t="shared" si="42"/>
        <v>17</v>
      </c>
      <c r="AS600" s="83">
        <f t="shared" si="43"/>
        <v>12</v>
      </c>
      <c r="AT600" s="84">
        <f t="shared" si="44"/>
        <v>2008</v>
      </c>
      <c r="AU600" s="86"/>
      <c r="AV600" s="86"/>
      <c r="AW600" s="87"/>
      <c r="AX600" s="86"/>
      <c r="AY600" s="83"/>
      <c r="AZ600" s="84"/>
      <c r="BA600" s="86"/>
      <c r="BB600" s="86"/>
    </row>
    <row r="601" spans="1:54" ht="36.75" customHeight="1">
      <c r="A601" s="30"/>
      <c r="B601" s="30" t="s">
        <v>55</v>
      </c>
      <c r="C601" s="69" t="str">
        <f t="shared" si="41"/>
        <v>Closed</v>
      </c>
      <c r="D601" s="27" t="s">
        <v>3480</v>
      </c>
      <c r="E601" s="29" t="s">
        <v>3481</v>
      </c>
      <c r="F601" s="30" t="s">
        <v>233</v>
      </c>
      <c r="G601" s="89">
        <f>DATE(2008,12,18)</f>
        <v>39800</v>
      </c>
      <c r="H601" s="90">
        <v>1.7486111111111109</v>
      </c>
      <c r="I601" s="30" t="s">
        <v>156</v>
      </c>
      <c r="J601" s="89" t="s">
        <v>3482</v>
      </c>
      <c r="K601" s="30" t="s">
        <v>235</v>
      </c>
      <c r="L601" s="30" t="s">
        <v>3483</v>
      </c>
      <c r="M601" s="30" t="s">
        <v>63</v>
      </c>
      <c r="N601" s="30">
        <v>0</v>
      </c>
      <c r="O601" s="30" t="s">
        <v>64</v>
      </c>
      <c r="P601" s="89" t="s">
        <v>165</v>
      </c>
      <c r="Q601" s="89" t="s">
        <v>446</v>
      </c>
      <c r="R601" s="89" t="s">
        <v>238</v>
      </c>
      <c r="S601" s="30">
        <v>0</v>
      </c>
      <c r="T601" s="233" t="s">
        <v>68</v>
      </c>
      <c r="U601" s="30">
        <v>0</v>
      </c>
      <c r="V601" s="233" t="s">
        <v>68</v>
      </c>
      <c r="W601" s="30">
        <v>0</v>
      </c>
      <c r="X601" s="30">
        <v>0</v>
      </c>
      <c r="Y601" s="30">
        <v>0</v>
      </c>
      <c r="Z601" s="233" t="s">
        <v>68</v>
      </c>
      <c r="AA601" s="30">
        <v>0</v>
      </c>
      <c r="AB601" s="30">
        <v>0</v>
      </c>
      <c r="AC601" s="30">
        <v>0</v>
      </c>
      <c r="AD601" s="30">
        <v>0</v>
      </c>
      <c r="AE601" s="89" t="s">
        <v>68</v>
      </c>
      <c r="AF601" s="89"/>
      <c r="AG601" s="89" t="s">
        <v>133</v>
      </c>
      <c r="AH601" s="72" t="s">
        <v>68</v>
      </c>
      <c r="AI601" s="30">
        <v>3</v>
      </c>
      <c r="AJ601" s="89" t="s">
        <v>3484</v>
      </c>
      <c r="AK601" s="89" t="s">
        <v>3485</v>
      </c>
      <c r="AL601" s="91">
        <v>39861</v>
      </c>
      <c r="AM601" s="91"/>
      <c r="AN601" s="91"/>
      <c r="AO601" s="91"/>
      <c r="AP601" s="73" t="e">
        <f>MID(VLOOKUP(K601,#REF!,2,FALSE),1,2)</f>
        <v>#REF!</v>
      </c>
      <c r="AQ601" s="89">
        <f>DATE(2008,12,18)</f>
        <v>39800</v>
      </c>
      <c r="AR601" s="82">
        <f t="shared" si="42"/>
        <v>18</v>
      </c>
      <c r="AS601" s="83">
        <f t="shared" si="43"/>
        <v>12</v>
      </c>
      <c r="AT601" s="84">
        <f t="shared" si="44"/>
        <v>2008</v>
      </c>
      <c r="AU601" s="86"/>
      <c r="AV601" s="86"/>
      <c r="AW601" s="87"/>
      <c r="AX601" s="86"/>
      <c r="AY601" s="83"/>
      <c r="AZ601" s="84"/>
      <c r="BA601" s="86"/>
      <c r="BB601" s="86"/>
    </row>
    <row r="602" spans="1:54" ht="36.75" customHeight="1">
      <c r="A602" s="30"/>
      <c r="B602" s="30" t="s">
        <v>55</v>
      </c>
      <c r="C602" s="69" t="str">
        <f t="shared" si="41"/>
        <v>Closed</v>
      </c>
      <c r="D602" s="27" t="s">
        <v>3486</v>
      </c>
      <c r="E602" s="29" t="s">
        <v>3487</v>
      </c>
      <c r="F602" s="30" t="s">
        <v>233</v>
      </c>
      <c r="G602" s="89">
        <f>DATE(2008,12,19)</f>
        <v>39801</v>
      </c>
      <c r="H602" s="90">
        <v>1.4333333333333333</v>
      </c>
      <c r="I602" s="30" t="s">
        <v>156</v>
      </c>
      <c r="J602" s="89" t="s">
        <v>3488</v>
      </c>
      <c r="K602" s="30" t="s">
        <v>235</v>
      </c>
      <c r="L602" s="30" t="s">
        <v>3489</v>
      </c>
      <c r="M602" s="30" t="s">
        <v>63</v>
      </c>
      <c r="N602" s="30">
        <v>0</v>
      </c>
      <c r="O602" s="30" t="s">
        <v>77</v>
      </c>
      <c r="P602" s="89" t="s">
        <v>78</v>
      </c>
      <c r="Q602" s="89" t="s">
        <v>237</v>
      </c>
      <c r="R602" s="89" t="s">
        <v>238</v>
      </c>
      <c r="S602" s="30">
        <v>0</v>
      </c>
      <c r="T602" s="233" t="s">
        <v>68</v>
      </c>
      <c r="U602" s="30">
        <v>0</v>
      </c>
      <c r="V602" s="233" t="s">
        <v>68</v>
      </c>
      <c r="W602" s="30">
        <v>0</v>
      </c>
      <c r="X602" s="30">
        <v>0</v>
      </c>
      <c r="Y602" s="30">
        <v>0</v>
      </c>
      <c r="Z602" s="233" t="s">
        <v>68</v>
      </c>
      <c r="AA602" s="30">
        <v>0</v>
      </c>
      <c r="AB602" s="30">
        <v>0</v>
      </c>
      <c r="AC602" s="30">
        <v>0</v>
      </c>
      <c r="AD602" s="30">
        <v>0</v>
      </c>
      <c r="AE602" s="89" t="s">
        <v>68</v>
      </c>
      <c r="AF602" s="89"/>
      <c r="AG602" s="89" t="s">
        <v>248</v>
      </c>
      <c r="AH602" s="72" t="s">
        <v>68</v>
      </c>
      <c r="AI602" s="30">
        <v>3</v>
      </c>
      <c r="AJ602" s="89" t="s">
        <v>3490</v>
      </c>
      <c r="AK602" s="89" t="s">
        <v>3491</v>
      </c>
      <c r="AL602" s="91">
        <v>39819</v>
      </c>
      <c r="AM602" s="91"/>
      <c r="AN602" s="91"/>
      <c r="AO602" s="91"/>
      <c r="AP602" s="73" t="e">
        <f>MID(VLOOKUP(K602,#REF!,2,FALSE),1,2)</f>
        <v>#REF!</v>
      </c>
      <c r="AQ602" s="89">
        <f>DATE(2008,12,19)</f>
        <v>39801</v>
      </c>
      <c r="AR602" s="82">
        <f t="shared" si="42"/>
        <v>19</v>
      </c>
      <c r="AS602" s="83">
        <f t="shared" si="43"/>
        <v>12</v>
      </c>
      <c r="AT602" s="84">
        <f t="shared" si="44"/>
        <v>2008</v>
      </c>
      <c r="AU602" s="86"/>
      <c r="AV602" s="86"/>
      <c r="AW602" s="87"/>
      <c r="AX602" s="86"/>
      <c r="AY602" s="83"/>
      <c r="AZ602" s="84"/>
      <c r="BA602" s="86"/>
      <c r="BB602" s="86"/>
    </row>
    <row r="603" spans="1:54" ht="36.75" customHeight="1">
      <c r="A603" s="30"/>
      <c r="B603" s="30" t="s">
        <v>55</v>
      </c>
      <c r="C603" s="69" t="str">
        <f t="shared" si="41"/>
        <v>Closed</v>
      </c>
      <c r="D603" s="27" t="s">
        <v>3492</v>
      </c>
      <c r="E603" s="29" t="s">
        <v>3493</v>
      </c>
      <c r="F603" s="30" t="s">
        <v>197</v>
      </c>
      <c r="G603" s="89">
        <f>DATE(2008,12,20)</f>
        <v>39802</v>
      </c>
      <c r="H603" s="90">
        <v>1.1944444444444444</v>
      </c>
      <c r="I603" s="30" t="s">
        <v>73</v>
      </c>
      <c r="J603" s="89" t="s">
        <v>3494</v>
      </c>
      <c r="K603" s="30" t="s">
        <v>200</v>
      </c>
      <c r="L603" s="30" t="s">
        <v>3495</v>
      </c>
      <c r="M603" s="30" t="s">
        <v>63</v>
      </c>
      <c r="N603" s="30">
        <v>0</v>
      </c>
      <c r="O603" s="30" t="s">
        <v>64</v>
      </c>
      <c r="P603" s="89" t="s">
        <v>78</v>
      </c>
      <c r="Q603" s="89" t="s">
        <v>1716</v>
      </c>
      <c r="R603" s="89" t="s">
        <v>203</v>
      </c>
      <c r="S603" s="30">
        <v>0</v>
      </c>
      <c r="T603" s="233" t="s">
        <v>68</v>
      </c>
      <c r="U603" s="30">
        <v>0</v>
      </c>
      <c r="V603" s="233" t="s">
        <v>68</v>
      </c>
      <c r="W603" s="30">
        <v>0</v>
      </c>
      <c r="X603" s="30">
        <v>0</v>
      </c>
      <c r="Y603" s="30">
        <v>0</v>
      </c>
      <c r="Z603" s="233" t="s">
        <v>68</v>
      </c>
      <c r="AA603" s="30">
        <v>0</v>
      </c>
      <c r="AB603" s="30">
        <v>0</v>
      </c>
      <c r="AC603" s="30">
        <v>0</v>
      </c>
      <c r="AD603" s="30">
        <v>0</v>
      </c>
      <c r="AE603" s="89" t="s">
        <v>68</v>
      </c>
      <c r="AF603" s="89"/>
      <c r="AG603" s="89" t="s">
        <v>133</v>
      </c>
      <c r="AH603" s="72" t="s">
        <v>68</v>
      </c>
      <c r="AI603" s="30">
        <v>0</v>
      </c>
      <c r="AJ603" s="89" t="s">
        <v>68</v>
      </c>
      <c r="AK603" s="89" t="s">
        <v>68</v>
      </c>
      <c r="AL603" s="91">
        <v>39945</v>
      </c>
      <c r="AM603" s="91"/>
      <c r="AN603" s="91"/>
      <c r="AO603" s="91"/>
      <c r="AP603" s="73" t="e">
        <f>MID(VLOOKUP(K603,#REF!,2,FALSE),1,2)</f>
        <v>#REF!</v>
      </c>
      <c r="AQ603" s="89">
        <f>DATE(2008,12,20)</f>
        <v>39802</v>
      </c>
      <c r="AR603" s="82">
        <f t="shared" si="42"/>
        <v>20</v>
      </c>
      <c r="AS603" s="83">
        <f t="shared" si="43"/>
        <v>12</v>
      </c>
      <c r="AT603" s="84">
        <f t="shared" si="44"/>
        <v>2008</v>
      </c>
      <c r="AU603" s="86"/>
      <c r="AV603" s="86"/>
      <c r="AW603" s="87"/>
      <c r="AX603" s="86"/>
      <c r="AY603" s="83"/>
      <c r="AZ603" s="84"/>
      <c r="BA603" s="86"/>
      <c r="BB603" s="86"/>
    </row>
    <row r="604" spans="1:54" ht="36.75" customHeight="1">
      <c r="A604" s="30"/>
      <c r="B604" s="30" t="s">
        <v>55</v>
      </c>
      <c r="C604" s="69" t="str">
        <f t="shared" si="41"/>
        <v>Closed</v>
      </c>
      <c r="D604" s="27" t="s">
        <v>3496</v>
      </c>
      <c r="E604" s="29" t="s">
        <v>3497</v>
      </c>
      <c r="F604" s="30" t="s">
        <v>638</v>
      </c>
      <c r="G604" s="89">
        <f>DATE(2008,12,20)</f>
        <v>39802</v>
      </c>
      <c r="H604" s="90">
        <v>1.2229166666666667</v>
      </c>
      <c r="I604" s="30" t="s">
        <v>116</v>
      </c>
      <c r="J604" s="89" t="s">
        <v>3498</v>
      </c>
      <c r="K604" s="30" t="s">
        <v>640</v>
      </c>
      <c r="L604" s="30" t="s">
        <v>3499</v>
      </c>
      <c r="M604" s="30" t="s">
        <v>63</v>
      </c>
      <c r="N604" s="30">
        <v>0</v>
      </c>
      <c r="O604" s="30" t="s">
        <v>77</v>
      </c>
      <c r="P604" s="89" t="s">
        <v>78</v>
      </c>
      <c r="Q604" s="89" t="s">
        <v>642</v>
      </c>
      <c r="R604" s="89" t="s">
        <v>643</v>
      </c>
      <c r="S604" s="30">
        <v>0</v>
      </c>
      <c r="T604" s="233">
        <v>0</v>
      </c>
      <c r="U604" s="30">
        <v>1</v>
      </c>
      <c r="V604" s="233">
        <v>0</v>
      </c>
      <c r="W604" s="30">
        <v>0</v>
      </c>
      <c r="X604" s="30">
        <v>1</v>
      </c>
      <c r="Y604" s="30">
        <v>0</v>
      </c>
      <c r="Z604" s="233">
        <v>0</v>
      </c>
      <c r="AA604" s="30">
        <v>0</v>
      </c>
      <c r="AB604" s="30">
        <v>0</v>
      </c>
      <c r="AC604" s="30">
        <v>0</v>
      </c>
      <c r="AD604" s="30">
        <v>0</v>
      </c>
      <c r="AE604" s="89" t="s">
        <v>68</v>
      </c>
      <c r="AF604" s="89"/>
      <c r="AG604" s="89" t="s">
        <v>248</v>
      </c>
      <c r="AH604" s="72" t="s">
        <v>68</v>
      </c>
      <c r="AI604" s="30">
        <v>1</v>
      </c>
      <c r="AJ604" s="89" t="s">
        <v>68</v>
      </c>
      <c r="AK604" s="89" t="s">
        <v>68</v>
      </c>
      <c r="AL604" s="91">
        <v>39923</v>
      </c>
      <c r="AM604" s="91"/>
      <c r="AN604" s="91"/>
      <c r="AO604" s="91"/>
      <c r="AP604" s="73" t="e">
        <f>MID(VLOOKUP(K604,#REF!,2,FALSE),1,2)</f>
        <v>#REF!</v>
      </c>
      <c r="AQ604" s="89">
        <f>DATE(2008,12,20)</f>
        <v>39802</v>
      </c>
      <c r="AR604" s="82">
        <f t="shared" si="42"/>
        <v>20</v>
      </c>
      <c r="AS604" s="83">
        <f t="shared" si="43"/>
        <v>12</v>
      </c>
      <c r="AT604" s="84">
        <f t="shared" si="44"/>
        <v>2008</v>
      </c>
      <c r="AU604" s="86"/>
      <c r="AV604" s="86"/>
      <c r="AW604" s="87"/>
      <c r="AX604" s="86"/>
      <c r="AY604" s="83"/>
      <c r="AZ604" s="84"/>
      <c r="BA604" s="86"/>
      <c r="BB604" s="86"/>
    </row>
    <row r="605" spans="1:54" ht="36.75" customHeight="1">
      <c r="A605" s="30"/>
      <c r="B605" s="30" t="s">
        <v>55</v>
      </c>
      <c r="C605" s="69" t="str">
        <f t="shared" si="41"/>
        <v>Closed</v>
      </c>
      <c r="D605" s="27" t="s">
        <v>3500</v>
      </c>
      <c r="E605" s="29" t="s">
        <v>3501</v>
      </c>
      <c r="F605" s="30" t="s">
        <v>2547</v>
      </c>
      <c r="G605" s="89">
        <f>DATE(2008,12,20)</f>
        <v>39802</v>
      </c>
      <c r="H605" s="90">
        <v>1.3951388888888889</v>
      </c>
      <c r="I605" s="30" t="s">
        <v>198</v>
      </c>
      <c r="J605" s="89" t="s">
        <v>3502</v>
      </c>
      <c r="K605" s="30" t="s">
        <v>2549</v>
      </c>
      <c r="L605" s="30" t="s">
        <v>3503</v>
      </c>
      <c r="M605" s="30" t="s">
        <v>63</v>
      </c>
      <c r="N605" s="30">
        <v>0</v>
      </c>
      <c r="O605" s="30" t="s">
        <v>77</v>
      </c>
      <c r="P605" s="89" t="s">
        <v>78</v>
      </c>
      <c r="Q605" s="89" t="s">
        <v>3504</v>
      </c>
      <c r="R605" s="89">
        <v>0</v>
      </c>
      <c r="S605" s="30">
        <v>0</v>
      </c>
      <c r="T605" s="233">
        <v>2</v>
      </c>
      <c r="U605" s="30">
        <v>0</v>
      </c>
      <c r="V605" s="233">
        <v>0</v>
      </c>
      <c r="W605" s="30">
        <v>0</v>
      </c>
      <c r="X605" s="30">
        <v>2</v>
      </c>
      <c r="Y605" s="30">
        <v>0</v>
      </c>
      <c r="Z605" s="233">
        <v>0</v>
      </c>
      <c r="AA605" s="30">
        <v>0</v>
      </c>
      <c r="AB605" s="30">
        <v>0</v>
      </c>
      <c r="AC605" s="30">
        <v>0</v>
      </c>
      <c r="AD605" s="30">
        <v>0</v>
      </c>
      <c r="AE605" s="89" t="s">
        <v>68</v>
      </c>
      <c r="AF605" s="89"/>
      <c r="AG605" s="89" t="s">
        <v>82</v>
      </c>
      <c r="AH605" s="72" t="s">
        <v>68</v>
      </c>
      <c r="AI605" s="30">
        <v>4</v>
      </c>
      <c r="AJ605" s="89" t="s">
        <v>3505</v>
      </c>
      <c r="AK605" s="89" t="s">
        <v>68</v>
      </c>
      <c r="AL605" s="91">
        <v>39803</v>
      </c>
      <c r="AM605" s="91"/>
      <c r="AN605" s="91"/>
      <c r="AO605" s="91"/>
      <c r="AP605" s="73" t="e">
        <f>MID(VLOOKUP(K605,#REF!,2,FALSE),1,2)</f>
        <v>#REF!</v>
      </c>
      <c r="AQ605" s="89">
        <f>DATE(2008,12,20)</f>
        <v>39802</v>
      </c>
      <c r="AR605" s="82">
        <f t="shared" si="42"/>
        <v>20</v>
      </c>
      <c r="AS605" s="83">
        <f t="shared" si="43"/>
        <v>12</v>
      </c>
      <c r="AT605" s="84">
        <f t="shared" si="44"/>
        <v>2008</v>
      </c>
      <c r="AU605" s="86"/>
      <c r="AV605" s="86"/>
      <c r="AW605" s="87"/>
      <c r="AX605" s="86"/>
      <c r="AY605" s="83"/>
      <c r="AZ605" s="84"/>
      <c r="BA605" s="86"/>
      <c r="BB605" s="86"/>
    </row>
    <row r="606" spans="1:54" ht="36.75" customHeight="1">
      <c r="A606" s="30"/>
      <c r="B606" s="30" t="s">
        <v>55</v>
      </c>
      <c r="C606" s="69" t="str">
        <f t="shared" si="41"/>
        <v>Closed</v>
      </c>
      <c r="D606" s="27" t="s">
        <v>3506</v>
      </c>
      <c r="E606" s="29" t="s">
        <v>3507</v>
      </c>
      <c r="F606" s="30" t="s">
        <v>138</v>
      </c>
      <c r="G606" s="89">
        <f>DATE(2008,12,21)</f>
        <v>39803</v>
      </c>
      <c r="H606" s="90">
        <v>1.5979166666666667</v>
      </c>
      <c r="I606" s="30" t="s">
        <v>73</v>
      </c>
      <c r="J606" s="89" t="s">
        <v>3508</v>
      </c>
      <c r="K606" s="30" t="s">
        <v>140</v>
      </c>
      <c r="L606" s="30" t="s">
        <v>3509</v>
      </c>
      <c r="M606" s="30" t="s">
        <v>63</v>
      </c>
      <c r="N606" s="30" t="s">
        <v>142</v>
      </c>
      <c r="O606" s="30" t="s">
        <v>77</v>
      </c>
      <c r="P606" s="89" t="s">
        <v>78</v>
      </c>
      <c r="Q606" s="89" t="s">
        <v>3510</v>
      </c>
      <c r="R606" s="89" t="s">
        <v>144</v>
      </c>
      <c r="S606" s="30">
        <v>0</v>
      </c>
      <c r="T606" s="233">
        <v>0</v>
      </c>
      <c r="U606" s="30">
        <v>0</v>
      </c>
      <c r="V606" s="233">
        <v>0</v>
      </c>
      <c r="W606" s="30">
        <v>0</v>
      </c>
      <c r="X606" s="30">
        <v>0</v>
      </c>
      <c r="Y606" s="30">
        <v>0</v>
      </c>
      <c r="Z606" s="233">
        <v>0</v>
      </c>
      <c r="AA606" s="30">
        <v>0</v>
      </c>
      <c r="AB606" s="30">
        <v>0</v>
      </c>
      <c r="AC606" s="30">
        <v>0</v>
      </c>
      <c r="AD606" s="30">
        <v>0</v>
      </c>
      <c r="AE606" s="89" t="s">
        <v>92</v>
      </c>
      <c r="AF606" s="89"/>
      <c r="AG606" s="89" t="s">
        <v>133</v>
      </c>
      <c r="AH606" s="72">
        <v>40185</v>
      </c>
      <c r="AI606" s="30">
        <v>5</v>
      </c>
      <c r="AJ606" s="89" t="s">
        <v>3511</v>
      </c>
      <c r="AK606" s="89" t="s">
        <v>3512</v>
      </c>
      <c r="AL606" s="91">
        <v>39829</v>
      </c>
      <c r="AM606" s="91"/>
      <c r="AN606" s="91"/>
      <c r="AO606" s="91"/>
      <c r="AP606" s="73" t="e">
        <f>MID(VLOOKUP(K606,#REF!,2,FALSE),1,2)</f>
        <v>#REF!</v>
      </c>
      <c r="AQ606" s="89">
        <f>DATE(2008,12,21)</f>
        <v>39803</v>
      </c>
      <c r="AR606" s="82">
        <f t="shared" si="42"/>
        <v>21</v>
      </c>
      <c r="AS606" s="83">
        <f t="shared" si="43"/>
        <v>12</v>
      </c>
      <c r="AT606" s="84">
        <f t="shared" si="44"/>
        <v>2008</v>
      </c>
      <c r="AU606" s="86"/>
      <c r="AV606" s="86"/>
      <c r="AW606" s="87"/>
      <c r="AX606" s="86"/>
      <c r="AY606" s="83"/>
      <c r="AZ606" s="84"/>
      <c r="BA606" s="86"/>
      <c r="BB606" s="86"/>
    </row>
    <row r="607" spans="1:54" ht="36.75" customHeight="1">
      <c r="A607" s="30"/>
      <c r="B607" s="30" t="s">
        <v>55</v>
      </c>
      <c r="C607" s="69" t="str">
        <f t="shared" si="41"/>
        <v>Closed</v>
      </c>
      <c r="D607" s="27" t="s">
        <v>3513</v>
      </c>
      <c r="E607" s="29" t="s">
        <v>3514</v>
      </c>
      <c r="F607" s="30" t="s">
        <v>58</v>
      </c>
      <c r="G607" s="89">
        <f>DATE(2008,12,30)</f>
        <v>39812</v>
      </c>
      <c r="H607" s="90">
        <v>1.5416666666666665</v>
      </c>
      <c r="I607" s="30" t="s">
        <v>86</v>
      </c>
      <c r="J607" s="89" t="s">
        <v>3515</v>
      </c>
      <c r="K607" s="30" t="s">
        <v>61</v>
      </c>
      <c r="L607" s="30" t="s">
        <v>3516</v>
      </c>
      <c r="M607" s="30" t="s">
        <v>63</v>
      </c>
      <c r="N607" s="30" t="s">
        <v>142</v>
      </c>
      <c r="O607" s="30" t="s">
        <v>64</v>
      </c>
      <c r="P607" s="89" t="s">
        <v>462</v>
      </c>
      <c r="Q607" s="89" t="s">
        <v>66</v>
      </c>
      <c r="R607" s="89" t="s">
        <v>67</v>
      </c>
      <c r="S607" s="30">
        <v>0</v>
      </c>
      <c r="T607" s="233">
        <v>0</v>
      </c>
      <c r="U607" s="30">
        <v>0</v>
      </c>
      <c r="V607" s="233">
        <v>0</v>
      </c>
      <c r="W607" s="30">
        <v>0</v>
      </c>
      <c r="X607" s="30">
        <v>0</v>
      </c>
      <c r="Y607" s="30">
        <v>0</v>
      </c>
      <c r="Z607" s="233">
        <v>0</v>
      </c>
      <c r="AA607" s="30">
        <v>0</v>
      </c>
      <c r="AB607" s="30">
        <v>0</v>
      </c>
      <c r="AC607" s="30">
        <v>0</v>
      </c>
      <c r="AD607" s="30">
        <v>0</v>
      </c>
      <c r="AE607" s="89" t="s">
        <v>92</v>
      </c>
      <c r="AF607" s="89"/>
      <c r="AG607" s="89" t="s">
        <v>69</v>
      </c>
      <c r="AH607" s="72">
        <v>39839</v>
      </c>
      <c r="AI607" s="30">
        <v>2</v>
      </c>
      <c r="AJ607" s="89" t="s">
        <v>3517</v>
      </c>
      <c r="AK607" s="89" t="s">
        <v>3518</v>
      </c>
      <c r="AL607" s="91">
        <v>39905</v>
      </c>
      <c r="AM607" s="91"/>
      <c r="AN607" s="91"/>
      <c r="AO607" s="91"/>
      <c r="AP607" s="73" t="e">
        <f>MID(VLOOKUP(K607,#REF!,2,FALSE),1,2)</f>
        <v>#REF!</v>
      </c>
      <c r="AQ607" s="89">
        <f>DATE(2008,12,30)</f>
        <v>39812</v>
      </c>
      <c r="AR607" s="82">
        <f t="shared" si="42"/>
        <v>30</v>
      </c>
      <c r="AS607" s="83">
        <f t="shared" si="43"/>
        <v>12</v>
      </c>
      <c r="AT607" s="84">
        <f t="shared" si="44"/>
        <v>2008</v>
      </c>
      <c r="AU607" s="86"/>
      <c r="AV607" s="86"/>
      <c r="AW607" s="87"/>
      <c r="AX607" s="86"/>
      <c r="AY607" s="83"/>
      <c r="AZ607" s="84"/>
      <c r="BA607" s="86"/>
      <c r="BB607" s="86"/>
    </row>
    <row r="608" spans="1:54" ht="36.75" customHeight="1">
      <c r="A608" s="30"/>
      <c r="B608" s="30" t="s">
        <v>55</v>
      </c>
      <c r="C608" s="69" t="str">
        <f t="shared" si="41"/>
        <v>Closed</v>
      </c>
      <c r="D608" s="27" t="s">
        <v>3519</v>
      </c>
      <c r="E608" s="29" t="s">
        <v>3520</v>
      </c>
      <c r="F608" s="30" t="s">
        <v>638</v>
      </c>
      <c r="G608" s="89">
        <f>DATE(2009,1,1)</f>
        <v>39814</v>
      </c>
      <c r="H608" s="90">
        <v>1.3423611111111111</v>
      </c>
      <c r="I608" s="30" t="s">
        <v>278</v>
      </c>
      <c r="J608" s="89" t="s">
        <v>3521</v>
      </c>
      <c r="K608" s="30" t="s">
        <v>640</v>
      </c>
      <c r="L608" s="30" t="s">
        <v>3522</v>
      </c>
      <c r="M608" s="30" t="s">
        <v>63</v>
      </c>
      <c r="N608" s="30">
        <v>0</v>
      </c>
      <c r="O608" s="30" t="s">
        <v>77</v>
      </c>
      <c r="P608" s="89" t="s">
        <v>165</v>
      </c>
      <c r="Q608" s="89" t="s">
        <v>642</v>
      </c>
      <c r="R608" s="89" t="s">
        <v>643</v>
      </c>
      <c r="S608" s="30">
        <v>0</v>
      </c>
      <c r="T608" s="233">
        <v>0</v>
      </c>
      <c r="U608" s="30">
        <v>0</v>
      </c>
      <c r="V608" s="233">
        <v>0</v>
      </c>
      <c r="W608" s="30">
        <v>1</v>
      </c>
      <c r="X608" s="30">
        <v>1</v>
      </c>
      <c r="Y608" s="30">
        <v>0</v>
      </c>
      <c r="Z608" s="233">
        <v>0</v>
      </c>
      <c r="AA608" s="30">
        <v>0</v>
      </c>
      <c r="AB608" s="30">
        <v>0</v>
      </c>
      <c r="AC608" s="30">
        <v>0</v>
      </c>
      <c r="AD608" s="30">
        <v>0</v>
      </c>
      <c r="AE608" s="89" t="s">
        <v>68</v>
      </c>
      <c r="AF608" s="89"/>
      <c r="AG608" s="89" t="s">
        <v>248</v>
      </c>
      <c r="AH608" s="72" t="s">
        <v>68</v>
      </c>
      <c r="AI608" s="30">
        <v>1</v>
      </c>
      <c r="AJ608" s="89" t="s">
        <v>68</v>
      </c>
      <c r="AK608" s="89" t="s">
        <v>68</v>
      </c>
      <c r="AL608" s="91">
        <v>39947</v>
      </c>
      <c r="AM608" s="91"/>
      <c r="AN608" s="91"/>
      <c r="AO608" s="91"/>
      <c r="AP608" s="73" t="e">
        <f>MID(VLOOKUP(K608,#REF!,2,FALSE),1,2)</f>
        <v>#REF!</v>
      </c>
      <c r="AQ608" s="89">
        <f>DATE(2009,1,1)</f>
        <v>39814</v>
      </c>
      <c r="AR608" s="82">
        <f t="shared" si="42"/>
        <v>1</v>
      </c>
      <c r="AS608" s="83">
        <f t="shared" si="43"/>
        <v>1</v>
      </c>
      <c r="AT608" s="84">
        <f t="shared" si="44"/>
        <v>2009</v>
      </c>
      <c r="AU608" s="86"/>
      <c r="AV608" s="86"/>
      <c r="AW608" s="87"/>
      <c r="AX608" s="86"/>
      <c r="AY608" s="83"/>
      <c r="AZ608" s="84"/>
      <c r="BA608" s="86"/>
      <c r="BB608" s="86"/>
    </row>
    <row r="609" spans="1:54" ht="36.75" customHeight="1">
      <c r="A609" s="30"/>
      <c r="B609" s="30" t="s">
        <v>55</v>
      </c>
      <c r="C609" s="69" t="str">
        <f t="shared" si="41"/>
        <v>Closed</v>
      </c>
      <c r="D609" s="27" t="s">
        <v>3523</v>
      </c>
      <c r="E609" s="29" t="s">
        <v>3524</v>
      </c>
      <c r="F609" s="30" t="s">
        <v>423</v>
      </c>
      <c r="G609" s="89">
        <f>DATE(2009,1,8)</f>
        <v>39821</v>
      </c>
      <c r="H609" s="90">
        <v>1.2861111111111112</v>
      </c>
      <c r="I609" s="30" t="s">
        <v>116</v>
      </c>
      <c r="J609" s="89" t="s">
        <v>3525</v>
      </c>
      <c r="K609" s="30" t="s">
        <v>425</v>
      </c>
      <c r="L609" s="30" t="s">
        <v>3526</v>
      </c>
      <c r="M609" s="30" t="s">
        <v>63</v>
      </c>
      <c r="N609" s="30">
        <v>0</v>
      </c>
      <c r="O609" s="30" t="s">
        <v>64</v>
      </c>
      <c r="P609" s="89" t="s">
        <v>165</v>
      </c>
      <c r="Q609" s="89" t="s">
        <v>427</v>
      </c>
      <c r="R609" s="89" t="s">
        <v>3103</v>
      </c>
      <c r="S609" s="30">
        <v>0</v>
      </c>
      <c r="T609" s="233" t="s">
        <v>68</v>
      </c>
      <c r="U609" s="30">
        <v>0</v>
      </c>
      <c r="V609" s="233" t="s">
        <v>68</v>
      </c>
      <c r="W609" s="30">
        <v>0</v>
      </c>
      <c r="X609" s="30">
        <v>0</v>
      </c>
      <c r="Y609" s="30">
        <v>0</v>
      </c>
      <c r="Z609" s="233" t="s">
        <v>68</v>
      </c>
      <c r="AA609" s="30">
        <v>0</v>
      </c>
      <c r="AB609" s="30">
        <v>0</v>
      </c>
      <c r="AC609" s="30">
        <v>0</v>
      </c>
      <c r="AD609" s="30">
        <v>0</v>
      </c>
      <c r="AE609" s="89" t="s">
        <v>68</v>
      </c>
      <c r="AF609" s="89"/>
      <c r="AG609" s="89" t="s">
        <v>352</v>
      </c>
      <c r="AH609" s="72" t="s">
        <v>68</v>
      </c>
      <c r="AI609" s="30">
        <v>2</v>
      </c>
      <c r="AJ609" s="89" t="s">
        <v>68</v>
      </c>
      <c r="AK609" s="89" t="s">
        <v>68</v>
      </c>
      <c r="AL609" s="91">
        <v>39856</v>
      </c>
      <c r="AM609" s="91"/>
      <c r="AN609" s="91"/>
      <c r="AO609" s="91"/>
      <c r="AP609" s="73" t="e">
        <f>MID(VLOOKUP(K609,#REF!,2,FALSE),1,2)</f>
        <v>#REF!</v>
      </c>
      <c r="AQ609" s="89">
        <f>DATE(2009,1,8)</f>
        <v>39821</v>
      </c>
      <c r="AR609" s="82">
        <f t="shared" si="42"/>
        <v>8</v>
      </c>
      <c r="AS609" s="83">
        <f t="shared" si="43"/>
        <v>1</v>
      </c>
      <c r="AT609" s="84">
        <f t="shared" si="44"/>
        <v>2009</v>
      </c>
      <c r="AU609" s="86"/>
      <c r="AV609" s="86"/>
      <c r="AW609" s="87"/>
      <c r="AX609" s="86"/>
      <c r="AY609" s="83"/>
      <c r="AZ609" s="84"/>
      <c r="BA609" s="86"/>
      <c r="BB609" s="86"/>
    </row>
    <row r="610" spans="1:54" ht="36.75" customHeight="1">
      <c r="A610" s="30"/>
      <c r="B610" s="30" t="s">
        <v>55</v>
      </c>
      <c r="C610" s="69" t="str">
        <f t="shared" si="41"/>
        <v>Closed</v>
      </c>
      <c r="D610" s="27" t="s">
        <v>3527</v>
      </c>
      <c r="E610" s="29" t="s">
        <v>3528</v>
      </c>
      <c r="F610" s="30" t="s">
        <v>638</v>
      </c>
      <c r="G610" s="89">
        <f>DATE(2009,1,14)</f>
        <v>39827</v>
      </c>
      <c r="H610" s="90">
        <v>1.45625</v>
      </c>
      <c r="I610" s="30" t="s">
        <v>116</v>
      </c>
      <c r="J610" s="89" t="s">
        <v>3529</v>
      </c>
      <c r="K610" s="30" t="s">
        <v>640</v>
      </c>
      <c r="L610" s="30" t="s">
        <v>3530</v>
      </c>
      <c r="M610" s="30" t="s">
        <v>63</v>
      </c>
      <c r="N610" s="30">
        <v>0</v>
      </c>
      <c r="O610" s="30" t="s">
        <v>77</v>
      </c>
      <c r="P610" s="89" t="s">
        <v>165</v>
      </c>
      <c r="Q610" s="89" t="s">
        <v>642</v>
      </c>
      <c r="R610" s="89" t="s">
        <v>643</v>
      </c>
      <c r="S610" s="30">
        <v>0</v>
      </c>
      <c r="T610" s="233">
        <v>0</v>
      </c>
      <c r="U610" s="30">
        <v>1</v>
      </c>
      <c r="V610" s="233">
        <v>0</v>
      </c>
      <c r="W610" s="30">
        <v>0</v>
      </c>
      <c r="X610" s="30">
        <v>1</v>
      </c>
      <c r="Y610" s="30">
        <v>0</v>
      </c>
      <c r="Z610" s="233">
        <v>0</v>
      </c>
      <c r="AA610" s="30">
        <v>0</v>
      </c>
      <c r="AB610" s="30">
        <v>0</v>
      </c>
      <c r="AC610" s="30">
        <v>0</v>
      </c>
      <c r="AD610" s="30">
        <v>0</v>
      </c>
      <c r="AE610" s="89" t="s">
        <v>68</v>
      </c>
      <c r="AF610" s="89"/>
      <c r="AG610" s="89" t="s">
        <v>248</v>
      </c>
      <c r="AH610" s="72" t="s">
        <v>68</v>
      </c>
      <c r="AI610" s="30">
        <v>1</v>
      </c>
      <c r="AJ610" s="89" t="s">
        <v>68</v>
      </c>
      <c r="AK610" s="89" t="s">
        <v>68</v>
      </c>
      <c r="AL610" s="91">
        <v>39947</v>
      </c>
      <c r="AM610" s="91"/>
      <c r="AN610" s="91"/>
      <c r="AO610" s="91"/>
      <c r="AP610" s="73" t="e">
        <f>MID(VLOOKUP(K610,#REF!,2,FALSE),1,2)</f>
        <v>#REF!</v>
      </c>
      <c r="AQ610" s="89">
        <f>DATE(2009,1,14)</f>
        <v>39827</v>
      </c>
      <c r="AR610" s="82">
        <f t="shared" si="42"/>
        <v>14</v>
      </c>
      <c r="AS610" s="83">
        <f t="shared" si="43"/>
        <v>1</v>
      </c>
      <c r="AT610" s="84">
        <f t="shared" si="44"/>
        <v>2009</v>
      </c>
      <c r="AU610" s="86"/>
      <c r="AV610" s="86"/>
      <c r="AW610" s="87"/>
      <c r="AX610" s="86"/>
      <c r="AY610" s="83"/>
      <c r="AZ610" s="84"/>
      <c r="BA610" s="86"/>
      <c r="BB610" s="86"/>
    </row>
    <row r="611" spans="1:54" ht="36.75" customHeight="1">
      <c r="A611" s="30"/>
      <c r="B611" s="30" t="s">
        <v>55</v>
      </c>
      <c r="C611" s="69" t="str">
        <f t="shared" si="41"/>
        <v>Closed</v>
      </c>
      <c r="D611" s="27" t="s">
        <v>3531</v>
      </c>
      <c r="E611" s="29" t="s">
        <v>3532</v>
      </c>
      <c r="F611" s="30" t="s">
        <v>3148</v>
      </c>
      <c r="G611" s="89">
        <f>DATE(2009,1,16)</f>
        <v>39829</v>
      </c>
      <c r="H611" s="90">
        <v>1.3576388888888888</v>
      </c>
      <c r="I611" s="30" t="s">
        <v>59</v>
      </c>
      <c r="J611" s="89" t="s">
        <v>3533</v>
      </c>
      <c r="K611" s="30" t="s">
        <v>3150</v>
      </c>
      <c r="L611" s="30" t="s">
        <v>3534</v>
      </c>
      <c r="M611" s="30" t="s">
        <v>63</v>
      </c>
      <c r="N611" s="30">
        <v>0</v>
      </c>
      <c r="O611" s="30" t="s">
        <v>77</v>
      </c>
      <c r="P611" s="89" t="s">
        <v>165</v>
      </c>
      <c r="Q611" s="89" t="s">
        <v>3152</v>
      </c>
      <c r="R611" s="89" t="s">
        <v>3153</v>
      </c>
      <c r="S611" s="30">
        <v>0</v>
      </c>
      <c r="T611" s="233" t="s">
        <v>68</v>
      </c>
      <c r="U611" s="30">
        <v>0</v>
      </c>
      <c r="V611" s="233" t="s">
        <v>68</v>
      </c>
      <c r="W611" s="30">
        <v>0</v>
      </c>
      <c r="X611" s="30">
        <v>0</v>
      </c>
      <c r="Y611" s="30">
        <v>0</v>
      </c>
      <c r="Z611" s="233" t="s">
        <v>68</v>
      </c>
      <c r="AA611" s="30">
        <v>0</v>
      </c>
      <c r="AB611" s="30">
        <v>0</v>
      </c>
      <c r="AC611" s="30">
        <v>0</v>
      </c>
      <c r="AD611" s="30">
        <v>0</v>
      </c>
      <c r="AE611" s="89" t="s">
        <v>68</v>
      </c>
      <c r="AF611" s="89"/>
      <c r="AG611" s="89" t="s">
        <v>1507</v>
      </c>
      <c r="AH611" s="72" t="s">
        <v>68</v>
      </c>
      <c r="AI611" s="30">
        <v>1</v>
      </c>
      <c r="AJ611" s="89" t="s">
        <v>68</v>
      </c>
      <c r="AK611" s="89" t="s">
        <v>68</v>
      </c>
      <c r="AL611" s="91">
        <v>39836</v>
      </c>
      <c r="AM611" s="91"/>
      <c r="AN611" s="91"/>
      <c r="AO611" s="91"/>
      <c r="AP611" s="73" t="e">
        <f>MID(VLOOKUP(K611,#REF!,2,FALSE),1,2)</f>
        <v>#REF!</v>
      </c>
      <c r="AQ611" s="89">
        <f>DATE(2009,1,16)</f>
        <v>39829</v>
      </c>
      <c r="AR611" s="82">
        <f t="shared" si="42"/>
        <v>16</v>
      </c>
      <c r="AS611" s="83">
        <f t="shared" si="43"/>
        <v>1</v>
      </c>
      <c r="AT611" s="84">
        <f t="shared" si="44"/>
        <v>2009</v>
      </c>
      <c r="AU611" s="86"/>
      <c r="AV611" s="86"/>
      <c r="AW611" s="87"/>
      <c r="AX611" s="86"/>
      <c r="AY611" s="83"/>
      <c r="AZ611" s="84"/>
      <c r="BA611" s="86"/>
      <c r="BB611" s="86"/>
    </row>
    <row r="612" spans="1:54" ht="36.75" customHeight="1">
      <c r="A612" s="30"/>
      <c r="B612" s="30" t="s">
        <v>55</v>
      </c>
      <c r="C612" s="69" t="str">
        <f t="shared" si="41"/>
        <v>Closed</v>
      </c>
      <c r="D612" s="27" t="s">
        <v>3535</v>
      </c>
      <c r="E612" s="29" t="s">
        <v>3536</v>
      </c>
      <c r="F612" s="30" t="s">
        <v>638</v>
      </c>
      <c r="G612" s="89">
        <f>DATE(2009,1,20)</f>
        <v>39833</v>
      </c>
      <c r="H612" s="90">
        <v>1.5062500000000001</v>
      </c>
      <c r="I612" s="30" t="s">
        <v>104</v>
      </c>
      <c r="J612" s="89" t="s">
        <v>3537</v>
      </c>
      <c r="K612" s="30" t="s">
        <v>640</v>
      </c>
      <c r="L612" s="30" t="s">
        <v>3538</v>
      </c>
      <c r="M612" s="30" t="s">
        <v>63</v>
      </c>
      <c r="N612" s="30">
        <v>0</v>
      </c>
      <c r="O612" s="30" t="s">
        <v>77</v>
      </c>
      <c r="P612" s="89" t="s">
        <v>216</v>
      </c>
      <c r="Q612" s="89" t="s">
        <v>3539</v>
      </c>
      <c r="R612" s="89" t="s">
        <v>3246</v>
      </c>
      <c r="S612" s="30">
        <v>0</v>
      </c>
      <c r="T612" s="233" t="s">
        <v>68</v>
      </c>
      <c r="U612" s="30">
        <v>0</v>
      </c>
      <c r="V612" s="233" t="s">
        <v>68</v>
      </c>
      <c r="W612" s="30">
        <v>0</v>
      </c>
      <c r="X612" s="30">
        <v>0</v>
      </c>
      <c r="Y612" s="30">
        <v>0</v>
      </c>
      <c r="Z612" s="233" t="s">
        <v>68</v>
      </c>
      <c r="AA612" s="30">
        <v>0</v>
      </c>
      <c r="AB612" s="30">
        <v>0</v>
      </c>
      <c r="AC612" s="30">
        <v>0</v>
      </c>
      <c r="AD612" s="30">
        <v>0</v>
      </c>
      <c r="AE612" s="89" t="s">
        <v>68</v>
      </c>
      <c r="AF612" s="89"/>
      <c r="AG612" s="89" t="s">
        <v>248</v>
      </c>
      <c r="AH612" s="72" t="s">
        <v>68</v>
      </c>
      <c r="AI612" s="30">
        <v>1</v>
      </c>
      <c r="AJ612" s="89" t="s">
        <v>3540</v>
      </c>
      <c r="AK612" s="89" t="s">
        <v>68</v>
      </c>
      <c r="AL612" s="91">
        <v>39947</v>
      </c>
      <c r="AM612" s="91"/>
      <c r="AN612" s="91"/>
      <c r="AO612" s="91"/>
      <c r="AP612" s="73" t="e">
        <f>MID(VLOOKUP(K612,#REF!,2,FALSE),1,2)</f>
        <v>#REF!</v>
      </c>
      <c r="AQ612" s="89">
        <f>DATE(2009,1,20)</f>
        <v>39833</v>
      </c>
      <c r="AR612" s="82">
        <f t="shared" si="42"/>
        <v>20</v>
      </c>
      <c r="AS612" s="83">
        <f t="shared" si="43"/>
        <v>1</v>
      </c>
      <c r="AT612" s="84">
        <f t="shared" si="44"/>
        <v>2009</v>
      </c>
      <c r="AU612" s="86"/>
      <c r="AV612" s="86"/>
      <c r="AW612" s="87"/>
      <c r="AX612" s="86"/>
      <c r="AY612" s="83"/>
      <c r="AZ612" s="84"/>
      <c r="BA612" s="86"/>
      <c r="BB612" s="86"/>
    </row>
    <row r="613" spans="1:54" ht="36.75" customHeight="1">
      <c r="A613" s="30"/>
      <c r="B613" s="30" t="s">
        <v>55</v>
      </c>
      <c r="C613" s="69" t="str">
        <f t="shared" si="41"/>
        <v>Closed</v>
      </c>
      <c r="D613" s="27" t="s">
        <v>3541</v>
      </c>
      <c r="E613" s="29" t="s">
        <v>3542</v>
      </c>
      <c r="F613" s="30" t="s">
        <v>638</v>
      </c>
      <c r="G613" s="89">
        <f>DATE(2009,1,20)</f>
        <v>39833</v>
      </c>
      <c r="H613" s="90">
        <v>1.5736111111111111</v>
      </c>
      <c r="I613" s="30" t="s">
        <v>278</v>
      </c>
      <c r="J613" s="89" t="s">
        <v>3543</v>
      </c>
      <c r="K613" s="30" t="s">
        <v>640</v>
      </c>
      <c r="L613" s="30" t="s">
        <v>3544</v>
      </c>
      <c r="M613" s="30" t="s">
        <v>63</v>
      </c>
      <c r="N613" s="30">
        <v>0</v>
      </c>
      <c r="O613" s="30" t="s">
        <v>64</v>
      </c>
      <c r="P613" s="89" t="s">
        <v>165</v>
      </c>
      <c r="Q613" s="89" t="s">
        <v>642</v>
      </c>
      <c r="R613" s="89" t="s">
        <v>643</v>
      </c>
      <c r="S613" s="30">
        <v>0</v>
      </c>
      <c r="T613" s="233">
        <v>0</v>
      </c>
      <c r="U613" s="30">
        <v>0</v>
      </c>
      <c r="V613" s="233">
        <v>1</v>
      </c>
      <c r="W613" s="30">
        <v>0</v>
      </c>
      <c r="X613" s="30">
        <v>1</v>
      </c>
      <c r="Y613" s="30">
        <v>0</v>
      </c>
      <c r="Z613" s="233">
        <v>0</v>
      </c>
      <c r="AA613" s="30">
        <v>0</v>
      </c>
      <c r="AB613" s="30">
        <v>0</v>
      </c>
      <c r="AC613" s="30">
        <v>0</v>
      </c>
      <c r="AD613" s="30">
        <v>0</v>
      </c>
      <c r="AE613" s="89" t="s">
        <v>68</v>
      </c>
      <c r="AF613" s="89"/>
      <c r="AG613" s="89" t="s">
        <v>248</v>
      </c>
      <c r="AH613" s="72" t="s">
        <v>68</v>
      </c>
      <c r="AI613" s="30">
        <v>1</v>
      </c>
      <c r="AJ613" s="89" t="s">
        <v>3545</v>
      </c>
      <c r="AK613" s="89" t="s">
        <v>68</v>
      </c>
      <c r="AL613" s="91">
        <v>39947</v>
      </c>
      <c r="AM613" s="91"/>
      <c r="AN613" s="91"/>
      <c r="AO613" s="91"/>
      <c r="AP613" s="73" t="e">
        <f>MID(VLOOKUP(K613,#REF!,2,FALSE),1,2)</f>
        <v>#REF!</v>
      </c>
      <c r="AQ613" s="89">
        <f>DATE(2009,1,20)</f>
        <v>39833</v>
      </c>
      <c r="AR613" s="82">
        <f t="shared" si="42"/>
        <v>20</v>
      </c>
      <c r="AS613" s="83">
        <f t="shared" si="43"/>
        <v>1</v>
      </c>
      <c r="AT613" s="84">
        <f t="shared" si="44"/>
        <v>2009</v>
      </c>
      <c r="AU613" s="86"/>
      <c r="AV613" s="86"/>
      <c r="AW613" s="87"/>
      <c r="AX613" s="86"/>
      <c r="AY613" s="83"/>
      <c r="AZ613" s="84"/>
      <c r="BA613" s="86"/>
      <c r="BB613" s="86"/>
    </row>
    <row r="614" spans="1:54" ht="36.75" customHeight="1">
      <c r="A614" s="30"/>
      <c r="B614" s="30" t="s">
        <v>55</v>
      </c>
      <c r="C614" s="69" t="str">
        <f t="shared" si="41"/>
        <v>Closed</v>
      </c>
      <c r="D614" s="27" t="s">
        <v>3546</v>
      </c>
      <c r="E614" s="29" t="s">
        <v>3547</v>
      </c>
      <c r="F614" s="30" t="s">
        <v>638</v>
      </c>
      <c r="G614" s="89">
        <f>DATE(2009,1,22)</f>
        <v>39835</v>
      </c>
      <c r="H614" s="90">
        <v>1.29375</v>
      </c>
      <c r="I614" s="30" t="s">
        <v>278</v>
      </c>
      <c r="J614" s="89" t="s">
        <v>3548</v>
      </c>
      <c r="K614" s="30" t="s">
        <v>640</v>
      </c>
      <c r="L614" s="30" t="s">
        <v>3549</v>
      </c>
      <c r="M614" s="30" t="s">
        <v>63</v>
      </c>
      <c r="N614" s="30">
        <v>0</v>
      </c>
      <c r="O614" s="30" t="s">
        <v>64</v>
      </c>
      <c r="P614" s="89" t="s">
        <v>165</v>
      </c>
      <c r="Q614" s="89" t="s">
        <v>642</v>
      </c>
      <c r="R614" s="89" t="s">
        <v>643</v>
      </c>
      <c r="S614" s="30">
        <v>0</v>
      </c>
      <c r="T614" s="233">
        <v>0</v>
      </c>
      <c r="U614" s="30">
        <v>0</v>
      </c>
      <c r="V614" s="233">
        <v>1</v>
      </c>
      <c r="W614" s="30">
        <v>0</v>
      </c>
      <c r="X614" s="30">
        <v>1</v>
      </c>
      <c r="Y614" s="30">
        <v>0</v>
      </c>
      <c r="Z614" s="233">
        <v>0</v>
      </c>
      <c r="AA614" s="30">
        <v>0</v>
      </c>
      <c r="AB614" s="30">
        <v>0</v>
      </c>
      <c r="AC614" s="30">
        <v>0</v>
      </c>
      <c r="AD614" s="30">
        <v>0</v>
      </c>
      <c r="AE614" s="89" t="s">
        <v>68</v>
      </c>
      <c r="AF614" s="89"/>
      <c r="AG614" s="89" t="s">
        <v>248</v>
      </c>
      <c r="AH614" s="72" t="s">
        <v>68</v>
      </c>
      <c r="AI614" s="30">
        <v>1</v>
      </c>
      <c r="AJ614" s="89" t="s">
        <v>68</v>
      </c>
      <c r="AK614" s="89" t="s">
        <v>68</v>
      </c>
      <c r="AL614" s="91">
        <v>39947</v>
      </c>
      <c r="AM614" s="91"/>
      <c r="AN614" s="91"/>
      <c r="AO614" s="91"/>
      <c r="AP614" s="73" t="e">
        <f>MID(VLOOKUP(K614,#REF!,2,FALSE),1,2)</f>
        <v>#REF!</v>
      </c>
      <c r="AQ614" s="89">
        <f>DATE(2009,1,22)</f>
        <v>39835</v>
      </c>
      <c r="AR614" s="82">
        <f t="shared" si="42"/>
        <v>22</v>
      </c>
      <c r="AS614" s="83">
        <f t="shared" si="43"/>
        <v>1</v>
      </c>
      <c r="AT614" s="84">
        <f t="shared" si="44"/>
        <v>2009</v>
      </c>
      <c r="AU614" s="86"/>
      <c r="AV614" s="86"/>
      <c r="AW614" s="87"/>
      <c r="AX614" s="86"/>
      <c r="AY614" s="83"/>
      <c r="AZ614" s="84"/>
      <c r="BA614" s="86"/>
      <c r="BB614" s="86"/>
    </row>
    <row r="615" spans="1:54" ht="36.75" customHeight="1">
      <c r="A615" s="30"/>
      <c r="B615" s="30" t="s">
        <v>55</v>
      </c>
      <c r="C615" s="69" t="str">
        <f t="shared" si="41"/>
        <v>Closed</v>
      </c>
      <c r="D615" s="27" t="s">
        <v>3550</v>
      </c>
      <c r="E615" s="29" t="s">
        <v>3551</v>
      </c>
      <c r="F615" s="30" t="s">
        <v>377</v>
      </c>
      <c r="G615" s="89">
        <f>DATE(2009,1,24)</f>
        <v>39837</v>
      </c>
      <c r="H615" s="90">
        <v>1.8361111111111112</v>
      </c>
      <c r="I615" s="30" t="s">
        <v>86</v>
      </c>
      <c r="J615" s="89" t="s">
        <v>3552</v>
      </c>
      <c r="K615" s="30" t="s">
        <v>379</v>
      </c>
      <c r="L615" s="30" t="s">
        <v>3553</v>
      </c>
      <c r="M615" s="30" t="s">
        <v>63</v>
      </c>
      <c r="N615" s="30">
        <v>0</v>
      </c>
      <c r="O615" s="30" t="s">
        <v>64</v>
      </c>
      <c r="P615" s="89" t="s">
        <v>65</v>
      </c>
      <c r="Q615" s="89" t="s">
        <v>382</v>
      </c>
      <c r="R615" s="89" t="s">
        <v>2906</v>
      </c>
      <c r="S615" s="30">
        <v>0</v>
      </c>
      <c r="T615" s="233" t="s">
        <v>68</v>
      </c>
      <c r="U615" s="30">
        <v>0</v>
      </c>
      <c r="V615" s="233" t="s">
        <v>68</v>
      </c>
      <c r="W615" s="30">
        <v>0</v>
      </c>
      <c r="X615" s="30">
        <v>0</v>
      </c>
      <c r="Y615" s="30">
        <v>0</v>
      </c>
      <c r="Z615" s="233" t="s">
        <v>68</v>
      </c>
      <c r="AA615" s="30">
        <v>0</v>
      </c>
      <c r="AB615" s="30">
        <v>0</v>
      </c>
      <c r="AC615" s="30">
        <v>0</v>
      </c>
      <c r="AD615" s="30">
        <v>0</v>
      </c>
      <c r="AE615" s="89" t="s">
        <v>68</v>
      </c>
      <c r="AF615" s="89"/>
      <c r="AG615" s="89" t="s">
        <v>352</v>
      </c>
      <c r="AH615" s="72" t="s">
        <v>68</v>
      </c>
      <c r="AI615" s="30">
        <v>6</v>
      </c>
      <c r="AJ615" s="89" t="s">
        <v>68</v>
      </c>
      <c r="AK615" s="89" t="s">
        <v>68</v>
      </c>
      <c r="AL615" s="91">
        <v>39841</v>
      </c>
      <c r="AM615" s="91"/>
      <c r="AN615" s="91"/>
      <c r="AO615" s="91"/>
      <c r="AP615" s="73" t="e">
        <f>MID(VLOOKUP(K615,#REF!,2,FALSE),1,2)</f>
        <v>#REF!</v>
      </c>
      <c r="AQ615" s="89">
        <f>DATE(2009,1,24)</f>
        <v>39837</v>
      </c>
      <c r="AR615" s="82">
        <f t="shared" si="42"/>
        <v>24</v>
      </c>
      <c r="AS615" s="83">
        <f t="shared" si="43"/>
        <v>1</v>
      </c>
      <c r="AT615" s="84">
        <f t="shared" si="44"/>
        <v>2009</v>
      </c>
      <c r="AU615" s="86"/>
      <c r="AV615" s="86"/>
      <c r="AW615" s="87"/>
      <c r="AX615" s="86"/>
      <c r="AY615" s="83"/>
      <c r="AZ615" s="84"/>
      <c r="BA615" s="86"/>
      <c r="BB615" s="86"/>
    </row>
    <row r="616" spans="1:54" ht="36.75" customHeight="1">
      <c r="A616" s="30"/>
      <c r="B616" s="30" t="s">
        <v>55</v>
      </c>
      <c r="C616" s="69" t="str">
        <f t="shared" si="41"/>
        <v>Closed</v>
      </c>
      <c r="D616" s="27" t="s">
        <v>3554</v>
      </c>
      <c r="E616" s="29" t="s">
        <v>3555</v>
      </c>
      <c r="F616" s="30" t="s">
        <v>835</v>
      </c>
      <c r="G616" s="89">
        <f>DATE(2009,1,25)</f>
        <v>39838</v>
      </c>
      <c r="H616" s="90">
        <v>1.5666666666666667</v>
      </c>
      <c r="I616" s="30" t="s">
        <v>116</v>
      </c>
      <c r="J616" s="89" t="s">
        <v>3556</v>
      </c>
      <c r="K616" s="30" t="s">
        <v>837</v>
      </c>
      <c r="L616" s="30" t="s">
        <v>3557</v>
      </c>
      <c r="M616" s="30" t="s">
        <v>63</v>
      </c>
      <c r="N616" s="30">
        <v>0</v>
      </c>
      <c r="O616" s="30" t="s">
        <v>64</v>
      </c>
      <c r="P616" s="89" t="s">
        <v>165</v>
      </c>
      <c r="Q616" s="89" t="s">
        <v>2162</v>
      </c>
      <c r="R616" s="89" t="s">
        <v>840</v>
      </c>
      <c r="S616" s="30">
        <v>0</v>
      </c>
      <c r="T616" s="233">
        <v>0</v>
      </c>
      <c r="U616" s="30">
        <v>2</v>
      </c>
      <c r="V616" s="233">
        <v>0</v>
      </c>
      <c r="W616" s="30">
        <v>0</v>
      </c>
      <c r="X616" s="30">
        <v>2</v>
      </c>
      <c r="Y616" s="30">
        <v>0</v>
      </c>
      <c r="Z616" s="233">
        <v>0</v>
      </c>
      <c r="AA616" s="30">
        <v>1</v>
      </c>
      <c r="AB616" s="30">
        <v>0</v>
      </c>
      <c r="AC616" s="30">
        <v>0</v>
      </c>
      <c r="AD616" s="30">
        <v>1</v>
      </c>
      <c r="AE616" s="89" t="s">
        <v>68</v>
      </c>
      <c r="AF616" s="89"/>
      <c r="AG616" s="89" t="s">
        <v>352</v>
      </c>
      <c r="AH616" s="72" t="s">
        <v>68</v>
      </c>
      <c r="AI616" s="30">
        <v>0</v>
      </c>
      <c r="AJ616" s="89" t="s">
        <v>68</v>
      </c>
      <c r="AK616" s="89" t="s">
        <v>68</v>
      </c>
      <c r="AL616" s="91">
        <v>39953</v>
      </c>
      <c r="AM616" s="91"/>
      <c r="AN616" s="91"/>
      <c r="AO616" s="91"/>
      <c r="AP616" s="73" t="e">
        <f>MID(VLOOKUP(K616,#REF!,2,FALSE),1,2)</f>
        <v>#REF!</v>
      </c>
      <c r="AQ616" s="89">
        <f>DATE(2009,1,25)</f>
        <v>39838</v>
      </c>
      <c r="AR616" s="82">
        <f t="shared" si="42"/>
        <v>25</v>
      </c>
      <c r="AS616" s="83">
        <f t="shared" si="43"/>
        <v>1</v>
      </c>
      <c r="AT616" s="84">
        <f t="shared" si="44"/>
        <v>2009</v>
      </c>
      <c r="AU616" s="86"/>
      <c r="AV616" s="86"/>
      <c r="AW616" s="87"/>
      <c r="AX616" s="86"/>
      <c r="AY616" s="83"/>
      <c r="AZ616" s="84"/>
      <c r="BA616" s="86"/>
      <c r="BB616" s="86"/>
    </row>
    <row r="617" spans="1:54" ht="36.75" customHeight="1">
      <c r="A617" s="30"/>
      <c r="B617" s="30" t="s">
        <v>55</v>
      </c>
      <c r="C617" s="69" t="str">
        <f t="shared" si="41"/>
        <v>Closed</v>
      </c>
      <c r="D617" s="27" t="s">
        <v>3558</v>
      </c>
      <c r="E617" s="29" t="s">
        <v>3559</v>
      </c>
      <c r="F617" s="30" t="s">
        <v>233</v>
      </c>
      <c r="G617" s="89">
        <f>DATE(2009,1,27)</f>
        <v>39840</v>
      </c>
      <c r="H617" s="90">
        <v>1.2604166666666667</v>
      </c>
      <c r="I617" s="30" t="s">
        <v>73</v>
      </c>
      <c r="J617" s="89" t="s">
        <v>3560</v>
      </c>
      <c r="K617" s="30" t="s">
        <v>235</v>
      </c>
      <c r="L617" s="30" t="s">
        <v>3561</v>
      </c>
      <c r="M617" s="30" t="s">
        <v>63</v>
      </c>
      <c r="N617" s="30">
        <v>0</v>
      </c>
      <c r="O617" s="30" t="s">
        <v>64</v>
      </c>
      <c r="P617" s="89" t="s">
        <v>78</v>
      </c>
      <c r="Q617" s="89" t="s">
        <v>237</v>
      </c>
      <c r="R617" s="89" t="s">
        <v>238</v>
      </c>
      <c r="S617" s="30">
        <v>0</v>
      </c>
      <c r="T617" s="233" t="s">
        <v>68</v>
      </c>
      <c r="U617" s="30">
        <v>0</v>
      </c>
      <c r="V617" s="233" t="s">
        <v>68</v>
      </c>
      <c r="W617" s="30">
        <v>0</v>
      </c>
      <c r="X617" s="30">
        <v>0</v>
      </c>
      <c r="Y617" s="30">
        <v>0</v>
      </c>
      <c r="Z617" s="233" t="s">
        <v>68</v>
      </c>
      <c r="AA617" s="30">
        <v>0</v>
      </c>
      <c r="AB617" s="30">
        <v>0</v>
      </c>
      <c r="AC617" s="30">
        <v>0</v>
      </c>
      <c r="AD617" s="30">
        <v>0</v>
      </c>
      <c r="AE617" s="89" t="s">
        <v>68</v>
      </c>
      <c r="AF617" s="89"/>
      <c r="AG617" s="89" t="s">
        <v>82</v>
      </c>
      <c r="AH617" s="72" t="s">
        <v>68</v>
      </c>
      <c r="AI617" s="30">
        <v>10</v>
      </c>
      <c r="AJ617" s="89" t="s">
        <v>3562</v>
      </c>
      <c r="AK617" s="89" t="s">
        <v>3563</v>
      </c>
      <c r="AL617" s="91">
        <v>39842</v>
      </c>
      <c r="AM617" s="91"/>
      <c r="AN617" s="91"/>
      <c r="AO617" s="91"/>
      <c r="AP617" s="73" t="e">
        <f>MID(VLOOKUP(K617,#REF!,2,FALSE),1,2)</f>
        <v>#REF!</v>
      </c>
      <c r="AQ617" s="89">
        <f>DATE(2009,1,27)</f>
        <v>39840</v>
      </c>
      <c r="AR617" s="82">
        <f t="shared" si="42"/>
        <v>27</v>
      </c>
      <c r="AS617" s="83">
        <f t="shared" si="43"/>
        <v>1</v>
      </c>
      <c r="AT617" s="84">
        <f t="shared" si="44"/>
        <v>2009</v>
      </c>
      <c r="AU617" s="86"/>
      <c r="AV617" s="86"/>
      <c r="AW617" s="87"/>
      <c r="AX617" s="86"/>
      <c r="AY617" s="83"/>
      <c r="AZ617" s="84"/>
      <c r="BA617" s="86"/>
      <c r="BB617" s="86"/>
    </row>
    <row r="618" spans="1:54" ht="36.75" customHeight="1">
      <c r="A618" s="30"/>
      <c r="B618" s="30" t="s">
        <v>55</v>
      </c>
      <c r="C618" s="69" t="str">
        <f t="shared" si="41"/>
        <v>Closed</v>
      </c>
      <c r="D618" s="27" t="s">
        <v>3564</v>
      </c>
      <c r="E618" s="29" t="s">
        <v>3565</v>
      </c>
      <c r="F618" s="30" t="s">
        <v>638</v>
      </c>
      <c r="G618" s="89">
        <f>DATE(2009,1,30)</f>
        <v>39843</v>
      </c>
      <c r="H618" s="90">
        <v>1.8319444444444444</v>
      </c>
      <c r="I618" s="30" t="s">
        <v>116</v>
      </c>
      <c r="J618" s="89" t="s">
        <v>3566</v>
      </c>
      <c r="K618" s="30" t="s">
        <v>640</v>
      </c>
      <c r="L618" s="30" t="s">
        <v>3567</v>
      </c>
      <c r="M618" s="30" t="s">
        <v>63</v>
      </c>
      <c r="N618" s="30">
        <v>0</v>
      </c>
      <c r="O618" s="30" t="s">
        <v>77</v>
      </c>
      <c r="P618" s="89" t="s">
        <v>165</v>
      </c>
      <c r="Q618" s="89" t="s">
        <v>3246</v>
      </c>
      <c r="R618" s="89" t="s">
        <v>3246</v>
      </c>
      <c r="S618" s="30">
        <v>0</v>
      </c>
      <c r="T618" s="233">
        <v>0</v>
      </c>
      <c r="U618" s="30">
        <v>1</v>
      </c>
      <c r="V618" s="233">
        <v>0</v>
      </c>
      <c r="W618" s="30">
        <v>0</v>
      </c>
      <c r="X618" s="30">
        <v>1</v>
      </c>
      <c r="Y618" s="30">
        <v>0</v>
      </c>
      <c r="Z618" s="233">
        <v>0</v>
      </c>
      <c r="AA618" s="30">
        <v>0</v>
      </c>
      <c r="AB618" s="30">
        <v>0</v>
      </c>
      <c r="AC618" s="30">
        <v>0</v>
      </c>
      <c r="AD618" s="30">
        <v>0</v>
      </c>
      <c r="AE618" s="89" t="s">
        <v>68</v>
      </c>
      <c r="AF618" s="89"/>
      <c r="AG618" s="89" t="s">
        <v>248</v>
      </c>
      <c r="AH618" s="72" t="s">
        <v>68</v>
      </c>
      <c r="AI618" s="30">
        <v>1</v>
      </c>
      <c r="AJ618" s="89" t="s">
        <v>68</v>
      </c>
      <c r="AK618" s="89" t="s">
        <v>68</v>
      </c>
      <c r="AL618" s="91">
        <v>39951</v>
      </c>
      <c r="AM618" s="91"/>
      <c r="AN618" s="91"/>
      <c r="AO618" s="91"/>
      <c r="AP618" s="73" t="e">
        <f>MID(VLOOKUP(K618,#REF!,2,FALSE),1,2)</f>
        <v>#REF!</v>
      </c>
      <c r="AQ618" s="89">
        <f>DATE(2009,1,30)</f>
        <v>39843</v>
      </c>
      <c r="AR618" s="82">
        <f t="shared" si="42"/>
        <v>30</v>
      </c>
      <c r="AS618" s="83">
        <f t="shared" si="43"/>
        <v>1</v>
      </c>
      <c r="AT618" s="84">
        <f t="shared" si="44"/>
        <v>2009</v>
      </c>
      <c r="AU618" s="86"/>
      <c r="AV618" s="86"/>
      <c r="AW618" s="87"/>
      <c r="AX618" s="86"/>
      <c r="AY618" s="83"/>
      <c r="AZ618" s="84"/>
      <c r="BA618" s="86"/>
      <c r="BB618" s="86"/>
    </row>
    <row r="619" spans="1:54" ht="36.75" customHeight="1">
      <c r="A619" s="30"/>
      <c r="B619" s="30" t="s">
        <v>55</v>
      </c>
      <c r="C619" s="69" t="str">
        <f t="shared" si="41"/>
        <v>Closed</v>
      </c>
      <c r="D619" s="27" t="s">
        <v>3568</v>
      </c>
      <c r="E619" s="29" t="s">
        <v>3569</v>
      </c>
      <c r="F619" s="30" t="s">
        <v>638</v>
      </c>
      <c r="G619" s="89">
        <f>DATE(2009,2,2)</f>
        <v>39846</v>
      </c>
      <c r="H619" s="90">
        <v>1.8256944444444443</v>
      </c>
      <c r="I619" s="30" t="s">
        <v>198</v>
      </c>
      <c r="J619" s="89" t="s">
        <v>3570</v>
      </c>
      <c r="K619" s="30" t="s">
        <v>640</v>
      </c>
      <c r="L619" s="30" t="s">
        <v>3571</v>
      </c>
      <c r="M619" s="30" t="s">
        <v>63</v>
      </c>
      <c r="N619" s="30">
        <v>0</v>
      </c>
      <c r="O619" s="30" t="s">
        <v>64</v>
      </c>
      <c r="P619" s="89" t="s">
        <v>216</v>
      </c>
      <c r="Q619" s="89" t="s">
        <v>3033</v>
      </c>
      <c r="R619" s="89" t="s">
        <v>643</v>
      </c>
      <c r="S619" s="30">
        <v>0</v>
      </c>
      <c r="T619" s="233" t="s">
        <v>68</v>
      </c>
      <c r="U619" s="30">
        <v>0</v>
      </c>
      <c r="V619" s="233" t="s">
        <v>68</v>
      </c>
      <c r="W619" s="30">
        <v>0</v>
      </c>
      <c r="X619" s="30">
        <v>0</v>
      </c>
      <c r="Y619" s="30">
        <v>0</v>
      </c>
      <c r="Z619" s="233" t="s">
        <v>68</v>
      </c>
      <c r="AA619" s="30">
        <v>0</v>
      </c>
      <c r="AB619" s="30">
        <v>0</v>
      </c>
      <c r="AC619" s="30">
        <v>0</v>
      </c>
      <c r="AD619" s="30">
        <v>0</v>
      </c>
      <c r="AE619" s="89" t="s">
        <v>68</v>
      </c>
      <c r="AF619" s="89"/>
      <c r="AG619" s="89" t="s">
        <v>352</v>
      </c>
      <c r="AH619" s="72" t="s">
        <v>68</v>
      </c>
      <c r="AI619" s="30">
        <v>3</v>
      </c>
      <c r="AJ619" s="89" t="s">
        <v>3572</v>
      </c>
      <c r="AK619" s="89" t="s">
        <v>68</v>
      </c>
      <c r="AL619" s="91">
        <v>39951</v>
      </c>
      <c r="AM619" s="91"/>
      <c r="AN619" s="91"/>
      <c r="AO619" s="91"/>
      <c r="AP619" s="73" t="e">
        <f>MID(VLOOKUP(K619,#REF!,2,FALSE),1,2)</f>
        <v>#REF!</v>
      </c>
      <c r="AQ619" s="89">
        <f>DATE(2009,2,2)</f>
        <v>39846</v>
      </c>
      <c r="AR619" s="82">
        <f t="shared" si="42"/>
        <v>2</v>
      </c>
      <c r="AS619" s="83">
        <f t="shared" si="43"/>
        <v>2</v>
      </c>
      <c r="AT619" s="84">
        <f t="shared" si="44"/>
        <v>2009</v>
      </c>
      <c r="AU619" s="86"/>
      <c r="AV619" s="86"/>
      <c r="AW619" s="87"/>
      <c r="AX619" s="86"/>
      <c r="AY619" s="83"/>
      <c r="AZ619" s="84"/>
      <c r="BA619" s="86"/>
      <c r="BB619" s="86"/>
    </row>
    <row r="620" spans="1:54" ht="36.75" customHeight="1">
      <c r="A620" s="30"/>
      <c r="B620" s="30" t="s">
        <v>55</v>
      </c>
      <c r="C620" s="69" t="str">
        <f t="shared" si="41"/>
        <v>Closed</v>
      </c>
      <c r="D620" s="27" t="s">
        <v>3573</v>
      </c>
      <c r="E620" s="29" t="s">
        <v>3574</v>
      </c>
      <c r="F620" s="30" t="s">
        <v>115</v>
      </c>
      <c r="G620" s="89">
        <f>DATE(2009,2,3)</f>
        <v>39847</v>
      </c>
      <c r="H620" s="90">
        <v>1.5611111111111111</v>
      </c>
      <c r="I620" s="30" t="s">
        <v>116</v>
      </c>
      <c r="J620" s="89" t="s">
        <v>3575</v>
      </c>
      <c r="K620" s="30" t="s">
        <v>118</v>
      </c>
      <c r="L620" s="30" t="s">
        <v>3576</v>
      </c>
      <c r="M620" s="30" t="s">
        <v>63</v>
      </c>
      <c r="N620" s="30">
        <v>0</v>
      </c>
      <c r="O620" s="30" t="s">
        <v>64</v>
      </c>
      <c r="P620" s="89" t="s">
        <v>165</v>
      </c>
      <c r="Q620" s="89" t="s">
        <v>120</v>
      </c>
      <c r="R620" s="89" t="s">
        <v>121</v>
      </c>
      <c r="S620" s="30">
        <v>0</v>
      </c>
      <c r="T620" s="233" t="s">
        <v>68</v>
      </c>
      <c r="U620" s="30">
        <v>0</v>
      </c>
      <c r="V620" s="233" t="s">
        <v>68</v>
      </c>
      <c r="W620" s="30">
        <v>0</v>
      </c>
      <c r="X620" s="30">
        <v>0</v>
      </c>
      <c r="Y620" s="30">
        <v>0</v>
      </c>
      <c r="Z620" s="233" t="s">
        <v>68</v>
      </c>
      <c r="AA620" s="30">
        <v>0</v>
      </c>
      <c r="AB620" s="30">
        <v>0</v>
      </c>
      <c r="AC620" s="30">
        <v>0</v>
      </c>
      <c r="AD620" s="30">
        <v>0</v>
      </c>
      <c r="AE620" s="89" t="s">
        <v>68</v>
      </c>
      <c r="AF620" s="89"/>
      <c r="AG620" s="89" t="s">
        <v>395</v>
      </c>
      <c r="AH620" s="72" t="s">
        <v>68</v>
      </c>
      <c r="AI620" s="30">
        <v>3</v>
      </c>
      <c r="AJ620" s="89" t="s">
        <v>3577</v>
      </c>
      <c r="AK620" s="89" t="s">
        <v>68</v>
      </c>
      <c r="AL620" s="91">
        <v>39969</v>
      </c>
      <c r="AM620" s="91"/>
      <c r="AN620" s="91"/>
      <c r="AO620" s="91"/>
      <c r="AP620" s="73" t="e">
        <f>MID(VLOOKUP(K620,#REF!,2,FALSE),1,2)</f>
        <v>#REF!</v>
      </c>
      <c r="AQ620" s="89">
        <f>DATE(2009,2,3)</f>
        <v>39847</v>
      </c>
      <c r="AR620" s="82">
        <f t="shared" si="42"/>
        <v>3</v>
      </c>
      <c r="AS620" s="83">
        <f t="shared" si="43"/>
        <v>2</v>
      </c>
      <c r="AT620" s="84">
        <f t="shared" si="44"/>
        <v>2009</v>
      </c>
      <c r="AU620" s="86"/>
      <c r="AV620" s="86"/>
      <c r="AW620" s="87"/>
      <c r="AX620" s="86"/>
      <c r="AY620" s="83"/>
      <c r="AZ620" s="84"/>
      <c r="BA620" s="86"/>
      <c r="BB620" s="86"/>
    </row>
    <row r="621" spans="1:54" ht="36.75" customHeight="1">
      <c r="A621" s="30"/>
      <c r="B621" s="30" t="s">
        <v>55</v>
      </c>
      <c r="C621" s="69" t="str">
        <f t="shared" si="41"/>
        <v>Closed</v>
      </c>
      <c r="D621" s="27" t="s">
        <v>3578</v>
      </c>
      <c r="E621" s="29" t="s">
        <v>3579</v>
      </c>
      <c r="F621" s="30" t="s">
        <v>835</v>
      </c>
      <c r="G621" s="89">
        <f>DATE(2009,2,4)</f>
        <v>39848</v>
      </c>
      <c r="H621" s="90">
        <v>1.3645833333333333</v>
      </c>
      <c r="I621" s="30" t="s">
        <v>73</v>
      </c>
      <c r="J621" s="89" t="s">
        <v>3580</v>
      </c>
      <c r="K621" s="30" t="s">
        <v>837</v>
      </c>
      <c r="L621" s="30" t="s">
        <v>3581</v>
      </c>
      <c r="M621" s="30" t="s">
        <v>63</v>
      </c>
      <c r="N621" s="30">
        <v>0</v>
      </c>
      <c r="O621" s="30" t="s">
        <v>77</v>
      </c>
      <c r="P621" s="89" t="s">
        <v>78</v>
      </c>
      <c r="Q621" s="89" t="s">
        <v>1349</v>
      </c>
      <c r="R621" s="89" t="s">
        <v>840</v>
      </c>
      <c r="S621" s="30">
        <v>0</v>
      </c>
      <c r="T621" s="233" t="s">
        <v>68</v>
      </c>
      <c r="U621" s="30">
        <v>0</v>
      </c>
      <c r="V621" s="233" t="s">
        <v>68</v>
      </c>
      <c r="W621" s="30">
        <v>0</v>
      </c>
      <c r="X621" s="30">
        <v>0</v>
      </c>
      <c r="Y621" s="30">
        <v>0</v>
      </c>
      <c r="Z621" s="233" t="s">
        <v>68</v>
      </c>
      <c r="AA621" s="30">
        <v>0</v>
      </c>
      <c r="AB621" s="30">
        <v>0</v>
      </c>
      <c r="AC621" s="30">
        <v>0</v>
      </c>
      <c r="AD621" s="30">
        <v>0</v>
      </c>
      <c r="AE621" s="89" t="s">
        <v>68</v>
      </c>
      <c r="AF621" s="89"/>
      <c r="AG621" s="89" t="s">
        <v>352</v>
      </c>
      <c r="AH621" s="72" t="s">
        <v>68</v>
      </c>
      <c r="AI621" s="30">
        <v>0</v>
      </c>
      <c r="AJ621" s="89" t="s">
        <v>68</v>
      </c>
      <c r="AK621" s="89" t="s">
        <v>68</v>
      </c>
      <c r="AL621" s="91">
        <v>39955</v>
      </c>
      <c r="AM621" s="91"/>
      <c r="AN621" s="91"/>
      <c r="AO621" s="91"/>
      <c r="AP621" s="73" t="e">
        <f>MID(VLOOKUP(K621,#REF!,2,FALSE),1,2)</f>
        <v>#REF!</v>
      </c>
      <c r="AQ621" s="89">
        <f>DATE(2009,2,4)</f>
        <v>39848</v>
      </c>
      <c r="AR621" s="82">
        <f t="shared" si="42"/>
        <v>4</v>
      </c>
      <c r="AS621" s="83">
        <f t="shared" si="43"/>
        <v>2</v>
      </c>
      <c r="AT621" s="84">
        <f t="shared" si="44"/>
        <v>2009</v>
      </c>
      <c r="AU621" s="86"/>
      <c r="AV621" s="86"/>
      <c r="AW621" s="87"/>
      <c r="AX621" s="86"/>
      <c r="AY621" s="83"/>
      <c r="AZ621" s="84"/>
      <c r="BA621" s="86"/>
      <c r="BB621" s="86"/>
    </row>
    <row r="622" spans="1:54" ht="36.75" customHeight="1">
      <c r="A622" s="30"/>
      <c r="B622" s="30" t="s">
        <v>55</v>
      </c>
      <c r="C622" s="69" t="str">
        <f t="shared" si="41"/>
        <v>Closed</v>
      </c>
      <c r="D622" s="27" t="s">
        <v>3582</v>
      </c>
      <c r="E622" s="29" t="s">
        <v>3583</v>
      </c>
      <c r="F622" s="30" t="s">
        <v>58</v>
      </c>
      <c r="G622" s="89">
        <f>DATE(2009,2,11)</f>
        <v>39855</v>
      </c>
      <c r="H622" s="90">
        <v>1.6333333333333333</v>
      </c>
      <c r="I622" s="30" t="s">
        <v>116</v>
      </c>
      <c r="J622" s="89" t="s">
        <v>3584</v>
      </c>
      <c r="K622" s="30" t="s">
        <v>61</v>
      </c>
      <c r="L622" s="30" t="s">
        <v>3585</v>
      </c>
      <c r="M622" s="30" t="s">
        <v>63</v>
      </c>
      <c r="N622" s="30" t="s">
        <v>99</v>
      </c>
      <c r="O622" s="30" t="s">
        <v>64</v>
      </c>
      <c r="P622" s="89" t="s">
        <v>78</v>
      </c>
      <c r="Q622" s="89" t="s">
        <v>66</v>
      </c>
      <c r="R622" s="89" t="s">
        <v>67</v>
      </c>
      <c r="S622" s="30">
        <v>0</v>
      </c>
      <c r="T622" s="233">
        <v>0</v>
      </c>
      <c r="U622" s="30">
        <v>2</v>
      </c>
      <c r="V622" s="233">
        <v>0</v>
      </c>
      <c r="W622" s="30">
        <v>0</v>
      </c>
      <c r="X622" s="30">
        <v>2</v>
      </c>
      <c r="Y622" s="30">
        <v>0</v>
      </c>
      <c r="Z622" s="233">
        <v>0</v>
      </c>
      <c r="AA622" s="30">
        <v>1</v>
      </c>
      <c r="AB622" s="30">
        <v>0</v>
      </c>
      <c r="AC622" s="30">
        <v>0</v>
      </c>
      <c r="AD622" s="30">
        <v>1</v>
      </c>
      <c r="AE622" s="89" t="s">
        <v>92</v>
      </c>
      <c r="AF622" s="89"/>
      <c r="AG622" s="89" t="s">
        <v>82</v>
      </c>
      <c r="AH622" s="72">
        <v>39850</v>
      </c>
      <c r="AI622" s="30">
        <v>2</v>
      </c>
      <c r="AJ622" s="89" t="s">
        <v>3586</v>
      </c>
      <c r="AK622" s="89" t="s">
        <v>3587</v>
      </c>
      <c r="AL622" s="91">
        <v>39903</v>
      </c>
      <c r="AM622" s="91"/>
      <c r="AN622" s="91"/>
      <c r="AO622" s="91"/>
      <c r="AP622" s="73" t="e">
        <f>MID(VLOOKUP(K622,#REF!,2,FALSE),1,2)</f>
        <v>#REF!</v>
      </c>
      <c r="AQ622" s="89">
        <f>DATE(2009,2,11)</f>
        <v>39855</v>
      </c>
      <c r="AR622" s="82">
        <f t="shared" si="42"/>
        <v>11</v>
      </c>
      <c r="AS622" s="83">
        <f t="shared" si="43"/>
        <v>2</v>
      </c>
      <c r="AT622" s="84">
        <f t="shared" si="44"/>
        <v>2009</v>
      </c>
      <c r="AU622" s="86"/>
      <c r="AV622" s="86"/>
      <c r="AW622" s="87"/>
      <c r="AX622" s="86"/>
      <c r="AY622" s="83"/>
      <c r="AZ622" s="84"/>
      <c r="BA622" s="86"/>
      <c r="BB622" s="86"/>
    </row>
    <row r="623" spans="1:54" ht="36.75" customHeight="1">
      <c r="A623" s="30"/>
      <c r="B623" s="30" t="s">
        <v>55</v>
      </c>
      <c r="C623" s="69" t="str">
        <f t="shared" si="41"/>
        <v>Closed</v>
      </c>
      <c r="D623" s="27" t="s">
        <v>3588</v>
      </c>
      <c r="E623" s="29" t="s">
        <v>3589</v>
      </c>
      <c r="F623" s="30" t="s">
        <v>638</v>
      </c>
      <c r="G623" s="89">
        <f>DATE(2009,2,12)</f>
        <v>39856</v>
      </c>
      <c r="H623" s="90">
        <v>1.9215277777777779</v>
      </c>
      <c r="I623" s="30" t="s">
        <v>104</v>
      </c>
      <c r="J623" s="89" t="s">
        <v>3590</v>
      </c>
      <c r="K623" s="30" t="s">
        <v>640</v>
      </c>
      <c r="L623" s="30" t="s">
        <v>3591</v>
      </c>
      <c r="M623" s="30" t="s">
        <v>63</v>
      </c>
      <c r="N623" s="30">
        <v>0</v>
      </c>
      <c r="O623" s="30" t="s">
        <v>77</v>
      </c>
      <c r="P623" s="89" t="s">
        <v>1229</v>
      </c>
      <c r="Q623" s="89" t="s">
        <v>3592</v>
      </c>
      <c r="R623" s="89" t="s">
        <v>643</v>
      </c>
      <c r="S623" s="30">
        <v>0</v>
      </c>
      <c r="T623" s="233" t="s">
        <v>68</v>
      </c>
      <c r="U623" s="30">
        <v>0</v>
      </c>
      <c r="V623" s="233" t="s">
        <v>68</v>
      </c>
      <c r="W623" s="30">
        <v>0</v>
      </c>
      <c r="X623" s="30">
        <v>0</v>
      </c>
      <c r="Y623" s="30">
        <v>0</v>
      </c>
      <c r="Z623" s="233" t="s">
        <v>68</v>
      </c>
      <c r="AA623" s="30">
        <v>0</v>
      </c>
      <c r="AB623" s="30">
        <v>0</v>
      </c>
      <c r="AC623" s="30">
        <v>0</v>
      </c>
      <c r="AD623" s="30">
        <v>0</v>
      </c>
      <c r="AE623" s="89" t="s">
        <v>68</v>
      </c>
      <c r="AF623" s="89"/>
      <c r="AG623" s="89" t="s">
        <v>248</v>
      </c>
      <c r="AH623" s="72" t="s">
        <v>68</v>
      </c>
      <c r="AI623" s="30">
        <v>3</v>
      </c>
      <c r="AJ623" s="89" t="s">
        <v>3593</v>
      </c>
      <c r="AK623" s="89" t="s">
        <v>68</v>
      </c>
      <c r="AL623" s="91">
        <v>39951</v>
      </c>
      <c r="AM623" s="91"/>
      <c r="AN623" s="91"/>
      <c r="AO623" s="91"/>
      <c r="AP623" s="73" t="e">
        <f>MID(VLOOKUP(K623,#REF!,2,FALSE),1,2)</f>
        <v>#REF!</v>
      </c>
      <c r="AQ623" s="89">
        <f>DATE(2009,2,12)</f>
        <v>39856</v>
      </c>
      <c r="AR623" s="82">
        <f t="shared" si="42"/>
        <v>12</v>
      </c>
      <c r="AS623" s="83">
        <f t="shared" si="43"/>
        <v>2</v>
      </c>
      <c r="AT623" s="84">
        <f t="shared" si="44"/>
        <v>2009</v>
      </c>
      <c r="AU623" s="86"/>
      <c r="AV623" s="86"/>
      <c r="AW623" s="87"/>
      <c r="AX623" s="86"/>
      <c r="AY623" s="83"/>
      <c r="AZ623" s="84"/>
      <c r="BA623" s="86"/>
      <c r="BB623" s="86"/>
    </row>
    <row r="624" spans="1:54" ht="36.75" customHeight="1">
      <c r="A624" s="30"/>
      <c r="B624" s="30" t="s">
        <v>55</v>
      </c>
      <c r="C624" s="69" t="str">
        <f t="shared" si="41"/>
        <v>Closed</v>
      </c>
      <c r="D624" s="27" t="s">
        <v>3594</v>
      </c>
      <c r="E624" s="29" t="s">
        <v>3595</v>
      </c>
      <c r="F624" s="30" t="s">
        <v>124</v>
      </c>
      <c r="G624" s="89">
        <f>DATE(2009,2,12)</f>
        <v>39856</v>
      </c>
      <c r="H624" s="90">
        <v>1.3583333333333334</v>
      </c>
      <c r="I624" s="30" t="s">
        <v>59</v>
      </c>
      <c r="J624" s="89" t="s">
        <v>3596</v>
      </c>
      <c r="K624" s="30" t="s">
        <v>127</v>
      </c>
      <c r="L624" s="30" t="s">
        <v>3597</v>
      </c>
      <c r="M624" s="30" t="s">
        <v>63</v>
      </c>
      <c r="N624" s="30">
        <v>0</v>
      </c>
      <c r="O624" s="30" t="s">
        <v>77</v>
      </c>
      <c r="P624" s="89" t="s">
        <v>165</v>
      </c>
      <c r="Q624" s="89" t="s">
        <v>3598</v>
      </c>
      <c r="R624" s="89" t="s">
        <v>167</v>
      </c>
      <c r="S624" s="30">
        <v>0</v>
      </c>
      <c r="T624" s="233" t="s">
        <v>68</v>
      </c>
      <c r="U624" s="30">
        <v>0</v>
      </c>
      <c r="V624" s="233" t="s">
        <v>68</v>
      </c>
      <c r="W624" s="30">
        <v>0</v>
      </c>
      <c r="X624" s="30">
        <v>0</v>
      </c>
      <c r="Y624" s="30">
        <v>0</v>
      </c>
      <c r="Z624" s="233" t="s">
        <v>68</v>
      </c>
      <c r="AA624" s="30">
        <v>0</v>
      </c>
      <c r="AB624" s="30">
        <v>0</v>
      </c>
      <c r="AC624" s="30">
        <v>0</v>
      </c>
      <c r="AD624" s="30">
        <v>0</v>
      </c>
      <c r="AE624" s="89" t="s">
        <v>68</v>
      </c>
      <c r="AF624" s="89"/>
      <c r="AG624" s="89" t="s">
        <v>69</v>
      </c>
      <c r="AH624" s="72" t="s">
        <v>68</v>
      </c>
      <c r="AI624" s="30">
        <v>1</v>
      </c>
      <c r="AJ624" s="89" t="s">
        <v>68</v>
      </c>
      <c r="AK624" s="89" t="s">
        <v>3599</v>
      </c>
      <c r="AL624" s="91">
        <v>39911</v>
      </c>
      <c r="AM624" s="91"/>
      <c r="AN624" s="91"/>
      <c r="AO624" s="91"/>
      <c r="AP624" s="73" t="e">
        <f>MID(VLOOKUP(K624,#REF!,2,FALSE),1,2)</f>
        <v>#REF!</v>
      </c>
      <c r="AQ624" s="89">
        <f>DATE(2009,2,12)</f>
        <v>39856</v>
      </c>
      <c r="AR624" s="82">
        <f t="shared" si="42"/>
        <v>12</v>
      </c>
      <c r="AS624" s="83">
        <f t="shared" si="43"/>
        <v>2</v>
      </c>
      <c r="AT624" s="84">
        <f t="shared" si="44"/>
        <v>2009</v>
      </c>
      <c r="AU624" s="86"/>
      <c r="AV624" s="86"/>
      <c r="AW624" s="87"/>
      <c r="AX624" s="86"/>
      <c r="AY624" s="83"/>
      <c r="AZ624" s="84"/>
      <c r="BA624" s="86"/>
      <c r="BB624" s="86"/>
    </row>
    <row r="625" spans="1:54" ht="36.75" customHeight="1">
      <c r="A625" s="30"/>
      <c r="B625" s="30" t="s">
        <v>55</v>
      </c>
      <c r="C625" s="69" t="str">
        <f t="shared" si="41"/>
        <v>Closed</v>
      </c>
      <c r="D625" s="27" t="s">
        <v>3600</v>
      </c>
      <c r="E625" s="29" t="s">
        <v>3601</v>
      </c>
      <c r="F625" s="30" t="s">
        <v>3148</v>
      </c>
      <c r="G625" s="89">
        <f>DATE(2009,2,12)</f>
        <v>39856</v>
      </c>
      <c r="H625" s="90">
        <v>1.5583333333333333</v>
      </c>
      <c r="I625" s="30" t="s">
        <v>116</v>
      </c>
      <c r="J625" s="89" t="s">
        <v>3602</v>
      </c>
      <c r="K625" s="30" t="s">
        <v>3150</v>
      </c>
      <c r="L625" s="30" t="s">
        <v>3603</v>
      </c>
      <c r="M625" s="30" t="s">
        <v>63</v>
      </c>
      <c r="N625" s="30">
        <v>0</v>
      </c>
      <c r="O625" s="30" t="s">
        <v>64</v>
      </c>
      <c r="P625" s="89" t="s">
        <v>165</v>
      </c>
      <c r="Q625" s="89" t="s">
        <v>3152</v>
      </c>
      <c r="R625" s="89" t="s">
        <v>3153</v>
      </c>
      <c r="S625" s="30">
        <v>0</v>
      </c>
      <c r="T625" s="233">
        <v>0</v>
      </c>
      <c r="U625" s="30">
        <v>1</v>
      </c>
      <c r="V625" s="233">
        <v>0</v>
      </c>
      <c r="W625" s="30">
        <v>0</v>
      </c>
      <c r="X625" s="30">
        <v>1</v>
      </c>
      <c r="Y625" s="30">
        <v>0</v>
      </c>
      <c r="Z625" s="233">
        <v>0</v>
      </c>
      <c r="AA625" s="30">
        <v>0</v>
      </c>
      <c r="AB625" s="30">
        <v>0</v>
      </c>
      <c r="AC625" s="30">
        <v>0</v>
      </c>
      <c r="AD625" s="30">
        <v>0</v>
      </c>
      <c r="AE625" s="89" t="s">
        <v>68</v>
      </c>
      <c r="AF625" s="89"/>
      <c r="AG625" s="89" t="s">
        <v>133</v>
      </c>
      <c r="AH625" s="72" t="s">
        <v>68</v>
      </c>
      <c r="AI625" s="30">
        <v>2</v>
      </c>
      <c r="AJ625" s="89" t="s">
        <v>68</v>
      </c>
      <c r="AK625" s="89" t="s">
        <v>68</v>
      </c>
      <c r="AL625" s="91">
        <v>39862</v>
      </c>
      <c r="AM625" s="91"/>
      <c r="AN625" s="91"/>
      <c r="AO625" s="91"/>
      <c r="AP625" s="73" t="e">
        <f>MID(VLOOKUP(K625,#REF!,2,FALSE),1,2)</f>
        <v>#REF!</v>
      </c>
      <c r="AQ625" s="89">
        <f>DATE(2009,2,12)</f>
        <v>39856</v>
      </c>
      <c r="AR625" s="82">
        <f t="shared" si="42"/>
        <v>12</v>
      </c>
      <c r="AS625" s="83">
        <f t="shared" si="43"/>
        <v>2</v>
      </c>
      <c r="AT625" s="84">
        <f t="shared" si="44"/>
        <v>2009</v>
      </c>
      <c r="AU625" s="86"/>
      <c r="AV625" s="86"/>
      <c r="AW625" s="87"/>
      <c r="AX625" s="86"/>
      <c r="AY625" s="83"/>
      <c r="AZ625" s="84"/>
      <c r="BA625" s="86"/>
      <c r="BB625" s="86"/>
    </row>
    <row r="626" spans="1:54" ht="36.75" customHeight="1">
      <c r="A626" s="30"/>
      <c r="B626" s="30" t="s">
        <v>55</v>
      </c>
      <c r="C626" s="69" t="str">
        <f t="shared" si="41"/>
        <v>Closed</v>
      </c>
      <c r="D626" s="27" t="s">
        <v>3604</v>
      </c>
      <c r="E626" s="29" t="s">
        <v>3605</v>
      </c>
      <c r="F626" s="30" t="s">
        <v>638</v>
      </c>
      <c r="G626" s="89">
        <f>DATE(2009,2,14)</f>
        <v>39858</v>
      </c>
      <c r="H626" s="90">
        <v>1.5902777777777777</v>
      </c>
      <c r="I626" s="30" t="s">
        <v>104</v>
      </c>
      <c r="J626" s="89" t="s">
        <v>3606</v>
      </c>
      <c r="K626" s="30" t="s">
        <v>640</v>
      </c>
      <c r="L626" s="30" t="s">
        <v>3607</v>
      </c>
      <c r="M626" s="30" t="s">
        <v>63</v>
      </c>
      <c r="N626" s="30">
        <v>0</v>
      </c>
      <c r="O626" s="30" t="s">
        <v>77</v>
      </c>
      <c r="P626" s="89" t="s">
        <v>165</v>
      </c>
      <c r="Q626" s="89" t="s">
        <v>3246</v>
      </c>
      <c r="R626" s="89" t="s">
        <v>3246</v>
      </c>
      <c r="S626" s="30">
        <v>0</v>
      </c>
      <c r="T626" s="233" t="s">
        <v>68</v>
      </c>
      <c r="U626" s="30">
        <v>0</v>
      </c>
      <c r="V626" s="233" t="s">
        <v>68</v>
      </c>
      <c r="W626" s="30">
        <v>0</v>
      </c>
      <c r="X626" s="30">
        <v>0</v>
      </c>
      <c r="Y626" s="30">
        <v>0</v>
      </c>
      <c r="Z626" s="233" t="s">
        <v>68</v>
      </c>
      <c r="AA626" s="30">
        <v>0</v>
      </c>
      <c r="AB626" s="30">
        <v>0</v>
      </c>
      <c r="AC626" s="30">
        <v>0</v>
      </c>
      <c r="AD626" s="30">
        <v>0</v>
      </c>
      <c r="AE626" s="89" t="s">
        <v>68</v>
      </c>
      <c r="AF626" s="89"/>
      <c r="AG626" s="89" t="s">
        <v>248</v>
      </c>
      <c r="AH626" s="72" t="s">
        <v>68</v>
      </c>
      <c r="AI626" s="30">
        <v>3</v>
      </c>
      <c r="AJ626" s="89" t="s">
        <v>3608</v>
      </c>
      <c r="AK626" s="89" t="s">
        <v>68</v>
      </c>
      <c r="AL626" s="91">
        <v>39951</v>
      </c>
      <c r="AM626" s="91"/>
      <c r="AN626" s="91"/>
      <c r="AO626" s="91"/>
      <c r="AP626" s="73" t="e">
        <f>MID(VLOOKUP(K626,#REF!,2,FALSE),1,2)</f>
        <v>#REF!</v>
      </c>
      <c r="AQ626" s="89">
        <f>DATE(2009,2,14)</f>
        <v>39858</v>
      </c>
      <c r="AR626" s="82">
        <f t="shared" si="42"/>
        <v>14</v>
      </c>
      <c r="AS626" s="83">
        <f t="shared" si="43"/>
        <v>2</v>
      </c>
      <c r="AT626" s="84">
        <f t="shared" si="44"/>
        <v>2009</v>
      </c>
      <c r="AU626" s="86"/>
      <c r="AV626" s="86"/>
      <c r="AW626" s="87"/>
      <c r="AX626" s="86"/>
      <c r="AY626" s="83"/>
      <c r="AZ626" s="84"/>
      <c r="BA626" s="86"/>
      <c r="BB626" s="86"/>
    </row>
    <row r="627" spans="1:54" ht="36.75" customHeight="1">
      <c r="A627" s="30"/>
      <c r="B627" s="30" t="s">
        <v>55</v>
      </c>
      <c r="C627" s="69" t="str">
        <f t="shared" si="41"/>
        <v>Closed</v>
      </c>
      <c r="D627" s="27" t="s">
        <v>3609</v>
      </c>
      <c r="E627" s="29" t="s">
        <v>3610</v>
      </c>
      <c r="F627" s="30" t="s">
        <v>423</v>
      </c>
      <c r="G627" s="89">
        <f>DATE(2009,2,16)</f>
        <v>39860</v>
      </c>
      <c r="H627" s="90">
        <v>1.3763888888888889</v>
      </c>
      <c r="I627" s="30" t="s">
        <v>198</v>
      </c>
      <c r="J627" s="89" t="s">
        <v>3611</v>
      </c>
      <c r="K627" s="30" t="s">
        <v>425</v>
      </c>
      <c r="L627" s="30" t="s">
        <v>3612</v>
      </c>
      <c r="M627" s="30" t="s">
        <v>63</v>
      </c>
      <c r="N627" s="30">
        <v>0</v>
      </c>
      <c r="O627" s="30" t="s">
        <v>64</v>
      </c>
      <c r="P627" s="89" t="s">
        <v>165</v>
      </c>
      <c r="Q627" s="89" t="s">
        <v>427</v>
      </c>
      <c r="R627" s="89" t="s">
        <v>3103</v>
      </c>
      <c r="S627" s="30">
        <v>0</v>
      </c>
      <c r="T627" s="233" t="s">
        <v>68</v>
      </c>
      <c r="U627" s="30">
        <v>0</v>
      </c>
      <c r="V627" s="233" t="s">
        <v>68</v>
      </c>
      <c r="W627" s="30">
        <v>0</v>
      </c>
      <c r="X627" s="30">
        <v>0</v>
      </c>
      <c r="Y627" s="30">
        <v>0</v>
      </c>
      <c r="Z627" s="233" t="s">
        <v>68</v>
      </c>
      <c r="AA627" s="30">
        <v>0</v>
      </c>
      <c r="AB627" s="30">
        <v>0</v>
      </c>
      <c r="AC627" s="30">
        <v>0</v>
      </c>
      <c r="AD627" s="30">
        <v>0</v>
      </c>
      <c r="AE627" s="89" t="s">
        <v>68</v>
      </c>
      <c r="AF627" s="89"/>
      <c r="AG627" s="89" t="s">
        <v>133</v>
      </c>
      <c r="AH627" s="72" t="s">
        <v>68</v>
      </c>
      <c r="AI627" s="30">
        <v>4</v>
      </c>
      <c r="AJ627" s="89" t="s">
        <v>3613</v>
      </c>
      <c r="AK627" s="89" t="s">
        <v>3614</v>
      </c>
      <c r="AL627" s="91">
        <v>39867</v>
      </c>
      <c r="AM627" s="91"/>
      <c r="AN627" s="91"/>
      <c r="AO627" s="91"/>
      <c r="AP627" s="73" t="e">
        <f>MID(VLOOKUP(K627,#REF!,2,FALSE),1,2)</f>
        <v>#REF!</v>
      </c>
      <c r="AQ627" s="89">
        <f>DATE(2009,2,16)</f>
        <v>39860</v>
      </c>
      <c r="AR627" s="82">
        <f t="shared" si="42"/>
        <v>16</v>
      </c>
      <c r="AS627" s="83">
        <f t="shared" si="43"/>
        <v>2</v>
      </c>
      <c r="AT627" s="84">
        <f t="shared" si="44"/>
        <v>2009</v>
      </c>
      <c r="AU627" s="86"/>
      <c r="AV627" s="86"/>
      <c r="AW627" s="87"/>
      <c r="AX627" s="86"/>
      <c r="AY627" s="83"/>
      <c r="AZ627" s="84"/>
      <c r="BA627" s="86"/>
      <c r="BB627" s="86"/>
    </row>
    <row r="628" spans="1:54" ht="36.75" customHeight="1">
      <c r="A628" s="30"/>
      <c r="B628" s="30" t="s">
        <v>55</v>
      </c>
      <c r="C628" s="69" t="str">
        <f t="shared" si="41"/>
        <v>Closed</v>
      </c>
      <c r="D628" s="27" t="s">
        <v>3615</v>
      </c>
      <c r="E628" s="29" t="s">
        <v>3616</v>
      </c>
      <c r="F628" s="30" t="s">
        <v>1749</v>
      </c>
      <c r="G628" s="89">
        <f>DATE(2009,2,18)</f>
        <v>39862</v>
      </c>
      <c r="H628" s="90">
        <v>1.3916666666666666</v>
      </c>
      <c r="I628" s="30" t="s">
        <v>86</v>
      </c>
      <c r="J628" s="89" t="s">
        <v>3617</v>
      </c>
      <c r="K628" s="30" t="s">
        <v>1751</v>
      </c>
      <c r="L628" s="30" t="s">
        <v>3618</v>
      </c>
      <c r="M628" s="30" t="s">
        <v>63</v>
      </c>
      <c r="N628" s="30">
        <v>0</v>
      </c>
      <c r="O628" s="30" t="s">
        <v>77</v>
      </c>
      <c r="P628" s="89" t="s">
        <v>78</v>
      </c>
      <c r="Q628" s="89" t="s">
        <v>1981</v>
      </c>
      <c r="R628" s="89" t="s">
        <v>3619</v>
      </c>
      <c r="S628" s="30">
        <v>0</v>
      </c>
      <c r="T628" s="233" t="s">
        <v>68</v>
      </c>
      <c r="U628" s="30">
        <v>0</v>
      </c>
      <c r="V628" s="233" t="s">
        <v>68</v>
      </c>
      <c r="W628" s="30">
        <v>0</v>
      </c>
      <c r="X628" s="30">
        <v>0</v>
      </c>
      <c r="Y628" s="30">
        <v>0</v>
      </c>
      <c r="Z628" s="233" t="s">
        <v>68</v>
      </c>
      <c r="AA628" s="30">
        <v>0</v>
      </c>
      <c r="AB628" s="30">
        <v>0</v>
      </c>
      <c r="AC628" s="30">
        <v>0</v>
      </c>
      <c r="AD628" s="30">
        <v>0</v>
      </c>
      <c r="AE628" s="89" t="s">
        <v>68</v>
      </c>
      <c r="AF628" s="89"/>
      <c r="AG628" s="89" t="s">
        <v>248</v>
      </c>
      <c r="AH628" s="72" t="s">
        <v>68</v>
      </c>
      <c r="AI628" s="30">
        <v>5</v>
      </c>
      <c r="AJ628" s="89" t="s">
        <v>3620</v>
      </c>
      <c r="AK628" s="89" t="s">
        <v>68</v>
      </c>
      <c r="AL628" s="91">
        <v>39874</v>
      </c>
      <c r="AM628" s="91"/>
      <c r="AN628" s="91"/>
      <c r="AO628" s="91"/>
      <c r="AP628" s="73" t="e">
        <f>MID(VLOOKUP(K628,#REF!,2,FALSE),1,2)</f>
        <v>#REF!</v>
      </c>
      <c r="AQ628" s="89">
        <f>DATE(2009,2,18)</f>
        <v>39862</v>
      </c>
      <c r="AR628" s="82">
        <f t="shared" si="42"/>
        <v>18</v>
      </c>
      <c r="AS628" s="83">
        <f t="shared" si="43"/>
        <v>2</v>
      </c>
      <c r="AT628" s="84">
        <f t="shared" si="44"/>
        <v>2009</v>
      </c>
      <c r="AU628" s="86"/>
      <c r="AV628" s="86"/>
      <c r="AW628" s="87"/>
      <c r="AX628" s="86"/>
      <c r="AY628" s="83"/>
      <c r="AZ628" s="84"/>
      <c r="BA628" s="86"/>
      <c r="BB628" s="86"/>
    </row>
    <row r="629" spans="1:54" ht="36.75" customHeight="1">
      <c r="A629" s="30"/>
      <c r="B629" s="30" t="s">
        <v>55</v>
      </c>
      <c r="C629" s="69" t="str">
        <f t="shared" si="41"/>
        <v>Closed</v>
      </c>
      <c r="D629" s="27" t="s">
        <v>3621</v>
      </c>
      <c r="E629" s="29" t="s">
        <v>3622</v>
      </c>
      <c r="F629" s="30" t="s">
        <v>638</v>
      </c>
      <c r="G629" s="89">
        <f>DATE(2009,2,22)</f>
        <v>39866</v>
      </c>
      <c r="H629" s="90">
        <v>1.7368055555555557</v>
      </c>
      <c r="I629" s="30" t="s">
        <v>278</v>
      </c>
      <c r="J629" s="89" t="s">
        <v>3623</v>
      </c>
      <c r="K629" s="30" t="s">
        <v>640</v>
      </c>
      <c r="L629" s="30" t="s">
        <v>3624</v>
      </c>
      <c r="M629" s="30" t="s">
        <v>63</v>
      </c>
      <c r="N629" s="30">
        <v>0</v>
      </c>
      <c r="O629" s="30" t="s">
        <v>64</v>
      </c>
      <c r="P629" s="89" t="s">
        <v>165</v>
      </c>
      <c r="Q629" s="89" t="s">
        <v>642</v>
      </c>
      <c r="R629" s="89" t="s">
        <v>643</v>
      </c>
      <c r="S629" s="30">
        <v>0</v>
      </c>
      <c r="T629" s="233">
        <v>0</v>
      </c>
      <c r="U629" s="30">
        <v>0</v>
      </c>
      <c r="V629" s="233">
        <v>1</v>
      </c>
      <c r="W629" s="30">
        <v>0</v>
      </c>
      <c r="X629" s="30">
        <v>1</v>
      </c>
      <c r="Y629" s="30">
        <v>0</v>
      </c>
      <c r="Z629" s="233">
        <v>0</v>
      </c>
      <c r="AA629" s="30">
        <v>0</v>
      </c>
      <c r="AB629" s="30">
        <v>0</v>
      </c>
      <c r="AC629" s="30">
        <v>0</v>
      </c>
      <c r="AD629" s="30">
        <v>0</v>
      </c>
      <c r="AE629" s="89" t="s">
        <v>68</v>
      </c>
      <c r="AF629" s="89"/>
      <c r="AG629" s="89" t="s">
        <v>248</v>
      </c>
      <c r="AH629" s="72" t="s">
        <v>68</v>
      </c>
      <c r="AI629" s="30">
        <v>1</v>
      </c>
      <c r="AJ629" s="89" t="s">
        <v>68</v>
      </c>
      <c r="AK629" s="89" t="s">
        <v>68</v>
      </c>
      <c r="AL629" s="91">
        <v>39951</v>
      </c>
      <c r="AM629" s="91"/>
      <c r="AN629" s="91"/>
      <c r="AO629" s="91"/>
      <c r="AP629" s="73" t="e">
        <f>MID(VLOOKUP(K629,#REF!,2,FALSE),1,2)</f>
        <v>#REF!</v>
      </c>
      <c r="AQ629" s="89">
        <f>DATE(2009,2,22)</f>
        <v>39866</v>
      </c>
      <c r="AR629" s="82">
        <f t="shared" si="42"/>
        <v>22</v>
      </c>
      <c r="AS629" s="83">
        <f t="shared" si="43"/>
        <v>2</v>
      </c>
      <c r="AT629" s="84">
        <f t="shared" si="44"/>
        <v>2009</v>
      </c>
      <c r="AU629" s="86"/>
      <c r="AV629" s="86"/>
      <c r="AW629" s="87"/>
      <c r="AX629" s="86"/>
      <c r="AY629" s="83"/>
      <c r="AZ629" s="84"/>
      <c r="BA629" s="86"/>
      <c r="BB629" s="86"/>
    </row>
    <row r="630" spans="1:54" ht="36.75" customHeight="1">
      <c r="A630" s="30"/>
      <c r="B630" s="30" t="s">
        <v>55</v>
      </c>
      <c r="C630" s="69" t="str">
        <f t="shared" si="41"/>
        <v>Closed</v>
      </c>
      <c r="D630" s="27" t="s">
        <v>3625</v>
      </c>
      <c r="E630" s="29" t="s">
        <v>3626</v>
      </c>
      <c r="F630" s="30" t="s">
        <v>638</v>
      </c>
      <c r="G630" s="89">
        <f>DATE(2009,2,23)</f>
        <v>39867</v>
      </c>
      <c r="H630" s="90">
        <v>1.5208333333333335</v>
      </c>
      <c r="I630" s="30" t="s">
        <v>73</v>
      </c>
      <c r="J630" s="89" t="s">
        <v>3627</v>
      </c>
      <c r="K630" s="30" t="s">
        <v>640</v>
      </c>
      <c r="L630" s="30" t="s">
        <v>3628</v>
      </c>
      <c r="M630" s="30" t="s">
        <v>63</v>
      </c>
      <c r="N630" s="30">
        <v>0</v>
      </c>
      <c r="O630" s="30" t="s">
        <v>64</v>
      </c>
      <c r="P630" s="89" t="s">
        <v>165</v>
      </c>
      <c r="Q630" s="89" t="s">
        <v>3246</v>
      </c>
      <c r="R630" s="89" t="s">
        <v>3246</v>
      </c>
      <c r="S630" s="30">
        <v>0</v>
      </c>
      <c r="T630" s="233" t="s">
        <v>68</v>
      </c>
      <c r="U630" s="30">
        <v>0</v>
      </c>
      <c r="V630" s="233" t="s">
        <v>68</v>
      </c>
      <c r="W630" s="30">
        <v>0</v>
      </c>
      <c r="X630" s="30">
        <v>0</v>
      </c>
      <c r="Y630" s="30">
        <v>0</v>
      </c>
      <c r="Z630" s="233" t="s">
        <v>68</v>
      </c>
      <c r="AA630" s="30">
        <v>0</v>
      </c>
      <c r="AB630" s="30">
        <v>0</v>
      </c>
      <c r="AC630" s="30">
        <v>0</v>
      </c>
      <c r="AD630" s="30">
        <v>0</v>
      </c>
      <c r="AE630" s="89" t="s">
        <v>68</v>
      </c>
      <c r="AF630" s="89"/>
      <c r="AG630" s="89" t="s">
        <v>133</v>
      </c>
      <c r="AH630" s="72" t="s">
        <v>68</v>
      </c>
      <c r="AI630" s="30">
        <v>1</v>
      </c>
      <c r="AJ630" s="89" t="s">
        <v>68</v>
      </c>
      <c r="AK630" s="89" t="s">
        <v>68</v>
      </c>
      <c r="AL630" s="91">
        <v>39951</v>
      </c>
      <c r="AM630" s="91"/>
      <c r="AN630" s="91"/>
      <c r="AO630" s="91"/>
      <c r="AP630" s="73" t="e">
        <f>MID(VLOOKUP(K630,#REF!,2,FALSE),1,2)</f>
        <v>#REF!</v>
      </c>
      <c r="AQ630" s="89">
        <f>DATE(2009,2,23)</f>
        <v>39867</v>
      </c>
      <c r="AR630" s="82">
        <f t="shared" si="42"/>
        <v>23</v>
      </c>
      <c r="AS630" s="83">
        <f t="shared" si="43"/>
        <v>2</v>
      </c>
      <c r="AT630" s="84">
        <f t="shared" si="44"/>
        <v>2009</v>
      </c>
      <c r="AU630" s="86"/>
      <c r="AV630" s="86"/>
      <c r="AW630" s="87"/>
      <c r="AX630" s="86"/>
      <c r="AY630" s="83"/>
      <c r="AZ630" s="84"/>
      <c r="BA630" s="86"/>
      <c r="BB630" s="86"/>
    </row>
    <row r="631" spans="1:54" ht="36.75" customHeight="1">
      <c r="A631" s="30"/>
      <c r="B631" s="30" t="s">
        <v>55</v>
      </c>
      <c r="C631" s="69" t="str">
        <f t="shared" si="41"/>
        <v>Closed</v>
      </c>
      <c r="D631" s="27" t="s">
        <v>3629</v>
      </c>
      <c r="E631" s="29" t="s">
        <v>3630</v>
      </c>
      <c r="F631" s="30" t="s">
        <v>124</v>
      </c>
      <c r="G631" s="89">
        <f>DATE(2009,2,25)</f>
        <v>39869</v>
      </c>
      <c r="H631" s="90">
        <v>1.3854166666666667</v>
      </c>
      <c r="I631" s="30" t="s">
        <v>198</v>
      </c>
      <c r="J631" s="89" t="s">
        <v>3631</v>
      </c>
      <c r="K631" s="30" t="s">
        <v>127</v>
      </c>
      <c r="L631" s="30" t="s">
        <v>3632</v>
      </c>
      <c r="M631" s="30" t="s">
        <v>63</v>
      </c>
      <c r="N631" s="30">
        <v>0</v>
      </c>
      <c r="O631" s="30" t="s">
        <v>77</v>
      </c>
      <c r="P631" s="89" t="s">
        <v>3633</v>
      </c>
      <c r="Q631" s="89" t="s">
        <v>3634</v>
      </c>
      <c r="R631" s="89" t="s">
        <v>167</v>
      </c>
      <c r="S631" s="30">
        <v>0</v>
      </c>
      <c r="T631" s="233" t="s">
        <v>68</v>
      </c>
      <c r="U631" s="30">
        <v>0</v>
      </c>
      <c r="V631" s="233" t="s">
        <v>68</v>
      </c>
      <c r="W631" s="30">
        <v>0</v>
      </c>
      <c r="X631" s="30">
        <v>0</v>
      </c>
      <c r="Y631" s="30">
        <v>0</v>
      </c>
      <c r="Z631" s="233" t="s">
        <v>68</v>
      </c>
      <c r="AA631" s="30">
        <v>0</v>
      </c>
      <c r="AB631" s="30">
        <v>0</v>
      </c>
      <c r="AC631" s="30">
        <v>0</v>
      </c>
      <c r="AD631" s="30">
        <v>0</v>
      </c>
      <c r="AE631" s="89" t="s">
        <v>68</v>
      </c>
      <c r="AF631" s="89"/>
      <c r="AG631" s="89" t="s">
        <v>82</v>
      </c>
      <c r="AH631" s="72" t="s">
        <v>68</v>
      </c>
      <c r="AI631" s="30">
        <v>3</v>
      </c>
      <c r="AJ631" s="89" t="s">
        <v>3635</v>
      </c>
      <c r="AK631" s="89" t="s">
        <v>68</v>
      </c>
      <c r="AL631" s="91">
        <v>39890</v>
      </c>
      <c r="AM631" s="91"/>
      <c r="AN631" s="91"/>
      <c r="AO631" s="91"/>
      <c r="AP631" s="73" t="e">
        <f>MID(VLOOKUP(K631,#REF!,2,FALSE),1,2)</f>
        <v>#REF!</v>
      </c>
      <c r="AQ631" s="89">
        <f>DATE(2009,2,25)</f>
        <v>39869</v>
      </c>
      <c r="AR631" s="82">
        <f t="shared" si="42"/>
        <v>25</v>
      </c>
      <c r="AS631" s="83">
        <f t="shared" si="43"/>
        <v>2</v>
      </c>
      <c r="AT631" s="84">
        <f t="shared" si="44"/>
        <v>2009</v>
      </c>
      <c r="AU631" s="86"/>
      <c r="AV631" s="86"/>
      <c r="AW631" s="87"/>
      <c r="AX631" s="86"/>
      <c r="AY631" s="83"/>
      <c r="AZ631" s="84"/>
      <c r="BA631" s="86"/>
      <c r="BB631" s="86"/>
    </row>
    <row r="632" spans="1:54" ht="36.75" customHeight="1">
      <c r="A632" s="30"/>
      <c r="B632" s="30" t="s">
        <v>55</v>
      </c>
      <c r="C632" s="69" t="str">
        <f t="shared" si="41"/>
        <v>Closed</v>
      </c>
      <c r="D632" s="27" t="s">
        <v>3636</v>
      </c>
      <c r="E632" s="29" t="s">
        <v>3637</v>
      </c>
      <c r="F632" s="30" t="s">
        <v>197</v>
      </c>
      <c r="G632" s="89">
        <f>DATE(2009,3,4)</f>
        <v>39876</v>
      </c>
      <c r="H632" s="90">
        <v>1.5326388888888889</v>
      </c>
      <c r="I632" s="30" t="s">
        <v>86</v>
      </c>
      <c r="J632" s="89" t="s">
        <v>3638</v>
      </c>
      <c r="K632" s="30" t="s">
        <v>200</v>
      </c>
      <c r="L632" s="30" t="s">
        <v>3639</v>
      </c>
      <c r="M632" s="30" t="s">
        <v>63</v>
      </c>
      <c r="N632" s="30">
        <v>0</v>
      </c>
      <c r="O632" s="30" t="s">
        <v>77</v>
      </c>
      <c r="P632" s="89" t="s">
        <v>381</v>
      </c>
      <c r="Q632" s="89" t="s">
        <v>3640</v>
      </c>
      <c r="R632" s="89" t="s">
        <v>203</v>
      </c>
      <c r="S632" s="30">
        <v>0</v>
      </c>
      <c r="T632" s="233" t="s">
        <v>68</v>
      </c>
      <c r="U632" s="30">
        <v>0</v>
      </c>
      <c r="V632" s="233" t="s">
        <v>68</v>
      </c>
      <c r="W632" s="30">
        <v>0</v>
      </c>
      <c r="X632" s="30">
        <v>0</v>
      </c>
      <c r="Y632" s="30">
        <v>0</v>
      </c>
      <c r="Z632" s="233" t="s">
        <v>68</v>
      </c>
      <c r="AA632" s="30">
        <v>0</v>
      </c>
      <c r="AB632" s="30">
        <v>0</v>
      </c>
      <c r="AC632" s="30">
        <v>0</v>
      </c>
      <c r="AD632" s="30">
        <v>0</v>
      </c>
      <c r="AE632" s="89" t="s">
        <v>68</v>
      </c>
      <c r="AF632" s="89"/>
      <c r="AG632" s="89" t="s">
        <v>82</v>
      </c>
      <c r="AH632" s="72" t="s">
        <v>68</v>
      </c>
      <c r="AI632" s="30">
        <v>3</v>
      </c>
      <c r="AJ632" s="89" t="s">
        <v>3641</v>
      </c>
      <c r="AK632" s="89" t="s">
        <v>68</v>
      </c>
      <c r="AL632" s="91">
        <v>39941</v>
      </c>
      <c r="AM632" s="91"/>
      <c r="AN632" s="91"/>
      <c r="AO632" s="91"/>
      <c r="AP632" s="73" t="e">
        <f>MID(VLOOKUP(K632,#REF!,2,FALSE),1,2)</f>
        <v>#REF!</v>
      </c>
      <c r="AQ632" s="89">
        <f>DATE(2009,3,4)</f>
        <v>39876</v>
      </c>
      <c r="AR632" s="82">
        <f t="shared" si="42"/>
        <v>4</v>
      </c>
      <c r="AS632" s="83">
        <f t="shared" si="43"/>
        <v>3</v>
      </c>
      <c r="AT632" s="84">
        <f t="shared" si="44"/>
        <v>2009</v>
      </c>
      <c r="AU632" s="86"/>
      <c r="AV632" s="86"/>
      <c r="AW632" s="87"/>
      <c r="AX632" s="86"/>
      <c r="AY632" s="83"/>
      <c r="AZ632" s="84"/>
      <c r="BA632" s="86"/>
      <c r="BB632" s="86"/>
    </row>
    <row r="633" spans="1:54" ht="36.75" customHeight="1">
      <c r="A633" s="30"/>
      <c r="B633" s="30" t="s">
        <v>55</v>
      </c>
      <c r="C633" s="69" t="str">
        <f t="shared" si="41"/>
        <v>Closed</v>
      </c>
      <c r="D633" s="27" t="s">
        <v>3642</v>
      </c>
      <c r="E633" s="29" t="s">
        <v>3643</v>
      </c>
      <c r="F633" s="30" t="s">
        <v>638</v>
      </c>
      <c r="G633" s="89">
        <f>DATE(2009,3,4)</f>
        <v>39876</v>
      </c>
      <c r="H633" s="90">
        <v>1.9090277777777778</v>
      </c>
      <c r="I633" s="30" t="s">
        <v>278</v>
      </c>
      <c r="J633" s="89" t="s">
        <v>3644</v>
      </c>
      <c r="K633" s="30" t="s">
        <v>640</v>
      </c>
      <c r="L633" s="30" t="s">
        <v>3645</v>
      </c>
      <c r="M633" s="30" t="s">
        <v>63</v>
      </c>
      <c r="N633" s="30">
        <v>0</v>
      </c>
      <c r="O633" s="30" t="s">
        <v>77</v>
      </c>
      <c r="P633" s="89" t="s">
        <v>165</v>
      </c>
      <c r="Q633" s="89" t="s">
        <v>642</v>
      </c>
      <c r="R633" s="89" t="s">
        <v>643</v>
      </c>
      <c r="S633" s="30">
        <v>0</v>
      </c>
      <c r="T633" s="233">
        <v>0</v>
      </c>
      <c r="U633" s="30">
        <v>0</v>
      </c>
      <c r="V633" s="233">
        <v>0</v>
      </c>
      <c r="W633" s="30">
        <v>1</v>
      </c>
      <c r="X633" s="30">
        <v>1</v>
      </c>
      <c r="Y633" s="30">
        <v>0</v>
      </c>
      <c r="Z633" s="233">
        <v>0</v>
      </c>
      <c r="AA633" s="30">
        <v>0</v>
      </c>
      <c r="AB633" s="30">
        <v>0</v>
      </c>
      <c r="AC633" s="30">
        <v>0</v>
      </c>
      <c r="AD633" s="30">
        <v>0</v>
      </c>
      <c r="AE633" s="89" t="s">
        <v>68</v>
      </c>
      <c r="AF633" s="89"/>
      <c r="AG633" s="89" t="s">
        <v>248</v>
      </c>
      <c r="AH633" s="72" t="s">
        <v>68</v>
      </c>
      <c r="AI633" s="30">
        <v>1</v>
      </c>
      <c r="AJ633" s="89" t="s">
        <v>68</v>
      </c>
      <c r="AK633" s="89" t="s">
        <v>68</v>
      </c>
      <c r="AL633" s="91">
        <v>39951</v>
      </c>
      <c r="AM633" s="91"/>
      <c r="AN633" s="91"/>
      <c r="AO633" s="91"/>
      <c r="AP633" s="73" t="e">
        <f>MID(VLOOKUP(K633,#REF!,2,FALSE),1,2)</f>
        <v>#REF!</v>
      </c>
      <c r="AQ633" s="89">
        <f>DATE(2009,3,4)</f>
        <v>39876</v>
      </c>
      <c r="AR633" s="82">
        <f t="shared" si="42"/>
        <v>4</v>
      </c>
      <c r="AS633" s="83">
        <f t="shared" si="43"/>
        <v>3</v>
      </c>
      <c r="AT633" s="84">
        <f t="shared" si="44"/>
        <v>2009</v>
      </c>
      <c r="AU633" s="86"/>
      <c r="AV633" s="86"/>
      <c r="AW633" s="87"/>
      <c r="AX633" s="86"/>
      <c r="AY633" s="83"/>
      <c r="AZ633" s="84"/>
      <c r="BA633" s="86"/>
      <c r="BB633" s="86"/>
    </row>
    <row r="634" spans="1:54" ht="36.75" customHeight="1">
      <c r="A634" s="30"/>
      <c r="B634" s="30" t="s">
        <v>55</v>
      </c>
      <c r="C634" s="69" t="str">
        <f t="shared" si="41"/>
        <v>Closed</v>
      </c>
      <c r="D634" s="27" t="s">
        <v>3646</v>
      </c>
      <c r="E634" s="29" t="s">
        <v>3647</v>
      </c>
      <c r="F634" s="30" t="s">
        <v>115</v>
      </c>
      <c r="G634" s="89">
        <f>DATE(2009,3,7)</f>
        <v>39879</v>
      </c>
      <c r="H634" s="90">
        <v>1.9756944444444446</v>
      </c>
      <c r="I634" s="30" t="s">
        <v>278</v>
      </c>
      <c r="J634" s="89" t="s">
        <v>3648</v>
      </c>
      <c r="K634" s="30" t="s">
        <v>118</v>
      </c>
      <c r="L634" s="30" t="s">
        <v>3649</v>
      </c>
      <c r="M634" s="30" t="s">
        <v>63</v>
      </c>
      <c r="N634" s="30">
        <v>0</v>
      </c>
      <c r="O634" s="30" t="s">
        <v>64</v>
      </c>
      <c r="P634" s="89" t="s">
        <v>216</v>
      </c>
      <c r="Q634" s="89" t="s">
        <v>3050</v>
      </c>
      <c r="R634" s="89" t="s">
        <v>121</v>
      </c>
      <c r="S634" s="30">
        <v>0</v>
      </c>
      <c r="T634" s="233">
        <v>0</v>
      </c>
      <c r="U634" s="30">
        <v>0</v>
      </c>
      <c r="V634" s="233">
        <v>2</v>
      </c>
      <c r="W634" s="30">
        <v>0</v>
      </c>
      <c r="X634" s="30">
        <v>2</v>
      </c>
      <c r="Y634" s="30">
        <v>0</v>
      </c>
      <c r="Z634" s="233">
        <v>0</v>
      </c>
      <c r="AA634" s="30">
        <v>0</v>
      </c>
      <c r="AB634" s="30">
        <v>3</v>
      </c>
      <c r="AC634" s="30">
        <v>0</v>
      </c>
      <c r="AD634" s="30">
        <v>3</v>
      </c>
      <c r="AE634" s="89" t="s">
        <v>68</v>
      </c>
      <c r="AF634" s="89"/>
      <c r="AG634" s="89" t="s">
        <v>82</v>
      </c>
      <c r="AH634" s="72" t="s">
        <v>68</v>
      </c>
      <c r="AI634" s="30">
        <v>6</v>
      </c>
      <c r="AJ634" s="89" t="s">
        <v>3650</v>
      </c>
      <c r="AK634" s="89" t="s">
        <v>68</v>
      </c>
      <c r="AL634" s="91">
        <v>39882</v>
      </c>
      <c r="AM634" s="91"/>
      <c r="AN634" s="91"/>
      <c r="AO634" s="91"/>
      <c r="AP634" s="73" t="e">
        <f>MID(VLOOKUP(K634,#REF!,2,FALSE),1,2)</f>
        <v>#REF!</v>
      </c>
      <c r="AQ634" s="89">
        <f>DATE(2009,3,7)</f>
        <v>39879</v>
      </c>
      <c r="AR634" s="82">
        <f t="shared" si="42"/>
        <v>7</v>
      </c>
      <c r="AS634" s="83">
        <f t="shared" si="43"/>
        <v>3</v>
      </c>
      <c r="AT634" s="84">
        <f t="shared" si="44"/>
        <v>2009</v>
      </c>
      <c r="AU634" s="86"/>
      <c r="AV634" s="86"/>
      <c r="AW634" s="87"/>
      <c r="AX634" s="86"/>
      <c r="AY634" s="83"/>
      <c r="AZ634" s="84"/>
      <c r="BA634" s="86"/>
      <c r="BB634" s="86"/>
    </row>
    <row r="635" spans="1:54" ht="36.75" customHeight="1">
      <c r="A635" s="30"/>
      <c r="B635" s="30" t="s">
        <v>55</v>
      </c>
      <c r="C635" s="69" t="str">
        <f t="shared" si="41"/>
        <v>Closed</v>
      </c>
      <c r="D635" s="27" t="s">
        <v>3651</v>
      </c>
      <c r="E635" s="29" t="s">
        <v>3652</v>
      </c>
      <c r="F635" s="30" t="s">
        <v>58</v>
      </c>
      <c r="G635" s="89">
        <f>DATE(2009,3,9)</f>
        <v>39881</v>
      </c>
      <c r="H635" s="90">
        <v>1.8624999999999998</v>
      </c>
      <c r="I635" s="30" t="s">
        <v>73</v>
      </c>
      <c r="J635" s="89" t="s">
        <v>3653</v>
      </c>
      <c r="K635" s="30" t="s">
        <v>61</v>
      </c>
      <c r="L635" s="30" t="s">
        <v>3654</v>
      </c>
      <c r="M635" s="30" t="s">
        <v>63</v>
      </c>
      <c r="N635" s="30" t="s">
        <v>142</v>
      </c>
      <c r="O635" s="30" t="s">
        <v>90</v>
      </c>
      <c r="P635" s="89" t="s">
        <v>78</v>
      </c>
      <c r="Q635" s="89" t="s">
        <v>66</v>
      </c>
      <c r="R635" s="89" t="s">
        <v>67</v>
      </c>
      <c r="S635" s="30">
        <v>0</v>
      </c>
      <c r="T635" s="233">
        <v>0</v>
      </c>
      <c r="U635" s="30">
        <v>0</v>
      </c>
      <c r="V635" s="233">
        <v>0</v>
      </c>
      <c r="W635" s="30">
        <v>0</v>
      </c>
      <c r="X635" s="30">
        <v>0</v>
      </c>
      <c r="Y635" s="30">
        <v>0</v>
      </c>
      <c r="Z635" s="233">
        <v>0</v>
      </c>
      <c r="AA635" s="30">
        <v>0</v>
      </c>
      <c r="AB635" s="30">
        <v>0</v>
      </c>
      <c r="AC635" s="30">
        <v>0</v>
      </c>
      <c r="AD635" s="30">
        <v>0</v>
      </c>
      <c r="AE635" s="89" t="s">
        <v>394</v>
      </c>
      <c r="AF635" s="89"/>
      <c r="AG635" s="89" t="s">
        <v>69</v>
      </c>
      <c r="AH635" s="72">
        <v>39897</v>
      </c>
      <c r="AI635" s="30">
        <v>1</v>
      </c>
      <c r="AJ635" s="89" t="s">
        <v>3655</v>
      </c>
      <c r="AK635" s="89" t="s">
        <v>3656</v>
      </c>
      <c r="AL635" s="91">
        <v>40373</v>
      </c>
      <c r="AM635" s="91"/>
      <c r="AN635" s="91"/>
      <c r="AO635" s="91"/>
      <c r="AP635" s="73" t="e">
        <f>MID(VLOOKUP(K635,#REF!,2,FALSE),1,2)</f>
        <v>#REF!</v>
      </c>
      <c r="AQ635" s="89">
        <f>DATE(2009,3,9)</f>
        <v>39881</v>
      </c>
      <c r="AR635" s="82">
        <f t="shared" si="42"/>
        <v>9</v>
      </c>
      <c r="AS635" s="83">
        <f t="shared" si="43"/>
        <v>3</v>
      </c>
      <c r="AT635" s="84">
        <f t="shared" si="44"/>
        <v>2009</v>
      </c>
      <c r="AU635" s="86"/>
      <c r="AV635" s="86"/>
      <c r="AW635" s="87"/>
      <c r="AX635" s="86"/>
      <c r="AY635" s="83"/>
      <c r="AZ635" s="84"/>
      <c r="BA635" s="86"/>
      <c r="BB635" s="86"/>
    </row>
    <row r="636" spans="1:54" ht="36.75" customHeight="1">
      <c r="A636" s="30"/>
      <c r="B636" s="30" t="s">
        <v>55</v>
      </c>
      <c r="C636" s="69" t="str">
        <f t="shared" si="41"/>
        <v>Closed</v>
      </c>
      <c r="D636" s="27" t="s">
        <v>3657</v>
      </c>
      <c r="E636" s="29" t="s">
        <v>3658</v>
      </c>
      <c r="F636" s="30" t="s">
        <v>233</v>
      </c>
      <c r="G636" s="89">
        <f>DATE(2009,3,10)</f>
        <v>39882</v>
      </c>
      <c r="H636" s="90">
        <v>1.4180555555555556</v>
      </c>
      <c r="I636" s="30" t="s">
        <v>73</v>
      </c>
      <c r="J636" s="89" t="s">
        <v>3659</v>
      </c>
      <c r="K636" s="30" t="s">
        <v>235</v>
      </c>
      <c r="L636" s="30" t="s">
        <v>3660</v>
      </c>
      <c r="M636" s="30" t="s">
        <v>129</v>
      </c>
      <c r="N636" s="30">
        <v>0</v>
      </c>
      <c r="O636" s="30" t="s">
        <v>64</v>
      </c>
      <c r="P636" s="89" t="s">
        <v>165</v>
      </c>
      <c r="Q636" s="89" t="s">
        <v>2697</v>
      </c>
      <c r="R636" s="89" t="s">
        <v>2697</v>
      </c>
      <c r="S636" s="30">
        <v>0</v>
      </c>
      <c r="T636" s="233" t="s">
        <v>68</v>
      </c>
      <c r="U636" s="30">
        <v>0</v>
      </c>
      <c r="V636" s="233" t="s">
        <v>68</v>
      </c>
      <c r="W636" s="30">
        <v>0</v>
      </c>
      <c r="X636" s="30">
        <v>0</v>
      </c>
      <c r="Y636" s="30">
        <v>0</v>
      </c>
      <c r="Z636" s="233" t="s">
        <v>68</v>
      </c>
      <c r="AA636" s="30">
        <v>0</v>
      </c>
      <c r="AB636" s="30">
        <v>0</v>
      </c>
      <c r="AC636" s="30">
        <v>0</v>
      </c>
      <c r="AD636" s="30">
        <v>0</v>
      </c>
      <c r="AE636" s="89" t="s">
        <v>68</v>
      </c>
      <c r="AF636" s="89"/>
      <c r="AG636" s="89" t="s">
        <v>248</v>
      </c>
      <c r="AH636" s="72" t="s">
        <v>68</v>
      </c>
      <c r="AI636" s="30">
        <v>7</v>
      </c>
      <c r="AJ636" s="89" t="s">
        <v>3661</v>
      </c>
      <c r="AK636" s="89" t="s">
        <v>3662</v>
      </c>
      <c r="AL636" s="91">
        <v>39889</v>
      </c>
      <c r="AM636" s="91"/>
      <c r="AN636" s="91"/>
      <c r="AO636" s="91"/>
      <c r="AP636" s="73" t="e">
        <f>MID(VLOOKUP(K636,#REF!,2,FALSE),1,2)</f>
        <v>#REF!</v>
      </c>
      <c r="AQ636" s="89">
        <f>DATE(2009,3,10)</f>
        <v>39882</v>
      </c>
      <c r="AR636" s="82">
        <f t="shared" si="42"/>
        <v>10</v>
      </c>
      <c r="AS636" s="83">
        <f t="shared" si="43"/>
        <v>3</v>
      </c>
      <c r="AT636" s="84">
        <f t="shared" si="44"/>
        <v>2009</v>
      </c>
      <c r="AU636" s="86"/>
      <c r="AV636" s="86"/>
      <c r="AW636" s="87"/>
      <c r="AX636" s="86"/>
      <c r="AY636" s="83"/>
      <c r="AZ636" s="84"/>
      <c r="BA636" s="86"/>
      <c r="BB636" s="86"/>
    </row>
    <row r="637" spans="1:54" ht="36.75" customHeight="1">
      <c r="A637" s="30"/>
      <c r="B637" s="30" t="s">
        <v>55</v>
      </c>
      <c r="C637" s="69" t="str">
        <f t="shared" si="41"/>
        <v>Closed</v>
      </c>
      <c r="D637" s="27" t="s">
        <v>3663</v>
      </c>
      <c r="E637" s="29" t="s">
        <v>3664</v>
      </c>
      <c r="F637" s="30" t="s">
        <v>3148</v>
      </c>
      <c r="G637" s="89">
        <f>DATE(2009,3,11)</f>
        <v>39883</v>
      </c>
      <c r="H637" s="90">
        <v>1.5868055555555556</v>
      </c>
      <c r="I637" s="30" t="s">
        <v>198</v>
      </c>
      <c r="J637" s="89" t="s">
        <v>3665</v>
      </c>
      <c r="K637" s="30" t="s">
        <v>3150</v>
      </c>
      <c r="L637" s="30" t="s">
        <v>3666</v>
      </c>
      <c r="M637" s="30" t="s">
        <v>63</v>
      </c>
      <c r="N637" s="30">
        <v>0</v>
      </c>
      <c r="O637" s="30" t="s">
        <v>64</v>
      </c>
      <c r="P637" s="89" t="s">
        <v>301</v>
      </c>
      <c r="Q637" s="89" t="s">
        <v>3152</v>
      </c>
      <c r="R637" s="89" t="s">
        <v>3153</v>
      </c>
      <c r="S637" s="30">
        <v>0</v>
      </c>
      <c r="T637" s="233">
        <v>0</v>
      </c>
      <c r="U637" s="30">
        <v>0</v>
      </c>
      <c r="V637" s="233">
        <v>0</v>
      </c>
      <c r="W637" s="30">
        <v>0</v>
      </c>
      <c r="X637" s="30">
        <v>0</v>
      </c>
      <c r="Y637" s="30">
        <v>0</v>
      </c>
      <c r="Z637" s="233">
        <v>2</v>
      </c>
      <c r="AA637" s="30">
        <v>0</v>
      </c>
      <c r="AB637" s="30">
        <v>0</v>
      </c>
      <c r="AC637" s="30">
        <v>0</v>
      </c>
      <c r="AD637" s="30">
        <v>2</v>
      </c>
      <c r="AE637" s="89" t="s">
        <v>68</v>
      </c>
      <c r="AF637" s="89"/>
      <c r="AG637" s="89" t="s">
        <v>1507</v>
      </c>
      <c r="AH637" s="72" t="s">
        <v>68</v>
      </c>
      <c r="AI637" s="30">
        <v>6</v>
      </c>
      <c r="AJ637" s="89" t="s">
        <v>3667</v>
      </c>
      <c r="AK637" s="89" t="s">
        <v>68</v>
      </c>
      <c r="AL637" s="91">
        <v>39889</v>
      </c>
      <c r="AM637" s="91"/>
      <c r="AN637" s="91"/>
      <c r="AO637" s="91"/>
      <c r="AP637" s="73" t="e">
        <f>MID(VLOOKUP(K637,#REF!,2,FALSE),1,2)</f>
        <v>#REF!</v>
      </c>
      <c r="AQ637" s="89">
        <f>DATE(2009,3,11)</f>
        <v>39883</v>
      </c>
      <c r="AR637" s="82">
        <f t="shared" si="42"/>
        <v>11</v>
      </c>
      <c r="AS637" s="83">
        <f t="shared" si="43"/>
        <v>3</v>
      </c>
      <c r="AT637" s="84">
        <f t="shared" si="44"/>
        <v>2009</v>
      </c>
      <c r="AU637" s="86"/>
      <c r="AV637" s="86"/>
      <c r="AW637" s="87"/>
      <c r="AX637" s="86"/>
      <c r="AY637" s="83"/>
      <c r="AZ637" s="84"/>
      <c r="BA637" s="86"/>
      <c r="BB637" s="86"/>
    </row>
    <row r="638" spans="1:54" ht="36.75" customHeight="1">
      <c r="A638" s="30"/>
      <c r="B638" s="30" t="s">
        <v>55</v>
      </c>
      <c r="C638" s="69" t="str">
        <f t="shared" si="41"/>
        <v>Closed</v>
      </c>
      <c r="D638" s="27" t="s">
        <v>3668</v>
      </c>
      <c r="E638" s="29" t="s">
        <v>3669</v>
      </c>
      <c r="F638" s="30" t="s">
        <v>1572</v>
      </c>
      <c r="G638" s="89">
        <f>DATE(2009,3,14)</f>
        <v>39886</v>
      </c>
      <c r="H638" s="90">
        <v>1.9097222222222223</v>
      </c>
      <c r="I638" s="30" t="s">
        <v>73</v>
      </c>
      <c r="J638" s="89" t="s">
        <v>3670</v>
      </c>
      <c r="K638" s="30" t="s">
        <v>1574</v>
      </c>
      <c r="L638" s="30" t="s">
        <v>3671</v>
      </c>
      <c r="M638" s="30" t="s">
        <v>63</v>
      </c>
      <c r="N638" s="30">
        <v>0</v>
      </c>
      <c r="O638" s="30" t="s">
        <v>77</v>
      </c>
      <c r="P638" s="89" t="s">
        <v>165</v>
      </c>
      <c r="Q638" s="89" t="s">
        <v>2413</v>
      </c>
      <c r="R638" s="89">
        <v>0</v>
      </c>
      <c r="S638" s="30">
        <v>0</v>
      </c>
      <c r="T638" s="233" t="s">
        <v>68</v>
      </c>
      <c r="U638" s="30">
        <v>0</v>
      </c>
      <c r="V638" s="233" t="s">
        <v>68</v>
      </c>
      <c r="W638" s="30">
        <v>0</v>
      </c>
      <c r="X638" s="30">
        <v>0</v>
      </c>
      <c r="Y638" s="30">
        <v>0</v>
      </c>
      <c r="Z638" s="233" t="s">
        <v>68</v>
      </c>
      <c r="AA638" s="30">
        <v>0</v>
      </c>
      <c r="AB638" s="30">
        <v>0</v>
      </c>
      <c r="AC638" s="30">
        <v>0</v>
      </c>
      <c r="AD638" s="30">
        <v>0</v>
      </c>
      <c r="AE638" s="89" t="s">
        <v>68</v>
      </c>
      <c r="AF638" s="89"/>
      <c r="AG638" s="89" t="s">
        <v>352</v>
      </c>
      <c r="AH638" s="72" t="s">
        <v>68</v>
      </c>
      <c r="AI638" s="30">
        <v>3</v>
      </c>
      <c r="AJ638" s="89" t="s">
        <v>3672</v>
      </c>
      <c r="AK638" s="89" t="s">
        <v>3673</v>
      </c>
      <c r="AL638" s="91">
        <v>39904</v>
      </c>
      <c r="AM638" s="91"/>
      <c r="AN638" s="91"/>
      <c r="AO638" s="91"/>
      <c r="AP638" s="73" t="e">
        <f>MID(VLOOKUP(K638,#REF!,2,FALSE),1,2)</f>
        <v>#REF!</v>
      </c>
      <c r="AQ638" s="89">
        <f>DATE(2009,3,16)</f>
        <v>39888</v>
      </c>
      <c r="AR638" s="82">
        <f t="shared" si="42"/>
        <v>16</v>
      </c>
      <c r="AS638" s="83">
        <f t="shared" si="43"/>
        <v>3</v>
      </c>
      <c r="AT638" s="84">
        <f t="shared" si="44"/>
        <v>2009</v>
      </c>
      <c r="AU638" s="86"/>
      <c r="AV638" s="86"/>
      <c r="AW638" s="87"/>
      <c r="AX638" s="86"/>
      <c r="AY638" s="83"/>
      <c r="AZ638" s="84"/>
      <c r="BA638" s="86"/>
      <c r="BB638" s="86"/>
    </row>
    <row r="639" spans="1:54" ht="36.75" customHeight="1">
      <c r="A639" s="30"/>
      <c r="B639" s="30" t="s">
        <v>55</v>
      </c>
      <c r="C639" s="69" t="str">
        <f t="shared" si="41"/>
        <v>Closed</v>
      </c>
      <c r="D639" s="27" t="s">
        <v>3674</v>
      </c>
      <c r="E639" s="29" t="s">
        <v>3675</v>
      </c>
      <c r="F639" s="30" t="s">
        <v>233</v>
      </c>
      <c r="G639" s="89">
        <f>DATE(2009,3,22)</f>
        <v>39894</v>
      </c>
      <c r="H639" s="90">
        <v>1.40625</v>
      </c>
      <c r="I639" s="30" t="s">
        <v>59</v>
      </c>
      <c r="J639" s="89" t="s">
        <v>3676</v>
      </c>
      <c r="K639" s="30" t="s">
        <v>235</v>
      </c>
      <c r="L639" s="30" t="s">
        <v>3677</v>
      </c>
      <c r="M639" s="30" t="s">
        <v>63</v>
      </c>
      <c r="N639" s="30">
        <v>0</v>
      </c>
      <c r="O639" s="30" t="s">
        <v>64</v>
      </c>
      <c r="P639" s="89" t="s">
        <v>65</v>
      </c>
      <c r="Q639" s="89" t="s">
        <v>3678</v>
      </c>
      <c r="R639" s="89" t="s">
        <v>238</v>
      </c>
      <c r="S639" s="30">
        <v>0</v>
      </c>
      <c r="T639" s="233" t="s">
        <v>68</v>
      </c>
      <c r="U639" s="30">
        <v>0</v>
      </c>
      <c r="V639" s="233" t="s">
        <v>68</v>
      </c>
      <c r="W639" s="30">
        <v>0</v>
      </c>
      <c r="X639" s="30">
        <v>0</v>
      </c>
      <c r="Y639" s="30">
        <v>0</v>
      </c>
      <c r="Z639" s="233" t="s">
        <v>68</v>
      </c>
      <c r="AA639" s="30">
        <v>0</v>
      </c>
      <c r="AB639" s="30">
        <v>0</v>
      </c>
      <c r="AC639" s="30">
        <v>0</v>
      </c>
      <c r="AD639" s="30">
        <v>0</v>
      </c>
      <c r="AE639" s="89" t="s">
        <v>68</v>
      </c>
      <c r="AF639" s="89"/>
      <c r="AG639" s="89" t="s">
        <v>133</v>
      </c>
      <c r="AH639" s="72" t="s">
        <v>68</v>
      </c>
      <c r="AI639" s="30">
        <v>6</v>
      </c>
      <c r="AJ639" s="89" t="s">
        <v>3679</v>
      </c>
      <c r="AK639" s="89" t="s">
        <v>3680</v>
      </c>
      <c r="AL639" s="91">
        <v>39919</v>
      </c>
      <c r="AM639" s="91"/>
      <c r="AN639" s="91"/>
      <c r="AO639" s="91"/>
      <c r="AP639" s="73" t="e">
        <f>MID(VLOOKUP(K639,#REF!,2,FALSE),1,2)</f>
        <v>#REF!</v>
      </c>
      <c r="AQ639" s="89">
        <f>DATE(2009,3,22)</f>
        <v>39894</v>
      </c>
      <c r="AR639" s="82">
        <f t="shared" si="42"/>
        <v>22</v>
      </c>
      <c r="AS639" s="83">
        <f t="shared" si="43"/>
        <v>3</v>
      </c>
      <c r="AT639" s="84">
        <f t="shared" si="44"/>
        <v>2009</v>
      </c>
      <c r="AU639" s="86"/>
      <c r="AV639" s="86"/>
      <c r="AW639" s="87"/>
      <c r="AX639" s="86"/>
      <c r="AY639" s="83"/>
      <c r="AZ639" s="84"/>
      <c r="BA639" s="86"/>
      <c r="BB639" s="86"/>
    </row>
    <row r="640" spans="1:54" ht="36.75" customHeight="1">
      <c r="A640" s="30"/>
      <c r="B640" s="30" t="s">
        <v>55</v>
      </c>
      <c r="C640" s="69" t="str">
        <f t="shared" si="41"/>
        <v>Closed</v>
      </c>
      <c r="D640" s="27" t="s">
        <v>3681</v>
      </c>
      <c r="E640" s="29" t="s">
        <v>3682</v>
      </c>
      <c r="F640" s="30" t="s">
        <v>835</v>
      </c>
      <c r="G640" s="89">
        <f>DATE(2009,3,23)</f>
        <v>39895</v>
      </c>
      <c r="H640" s="90">
        <v>1.1666666666666667</v>
      </c>
      <c r="I640" s="30" t="s">
        <v>73</v>
      </c>
      <c r="J640" s="89" t="s">
        <v>3683</v>
      </c>
      <c r="K640" s="30" t="s">
        <v>837</v>
      </c>
      <c r="L640" s="30" t="s">
        <v>3684</v>
      </c>
      <c r="M640" s="30" t="s">
        <v>63</v>
      </c>
      <c r="N640" s="30">
        <v>0</v>
      </c>
      <c r="O640" s="30" t="s">
        <v>77</v>
      </c>
      <c r="P640" s="89" t="s">
        <v>78</v>
      </c>
      <c r="Q640" s="89" t="s">
        <v>1349</v>
      </c>
      <c r="R640" s="89" t="s">
        <v>840</v>
      </c>
      <c r="S640" s="30">
        <v>0</v>
      </c>
      <c r="T640" s="233" t="s">
        <v>68</v>
      </c>
      <c r="U640" s="30">
        <v>0</v>
      </c>
      <c r="V640" s="233" t="s">
        <v>68</v>
      </c>
      <c r="W640" s="30">
        <v>0</v>
      </c>
      <c r="X640" s="30">
        <v>0</v>
      </c>
      <c r="Y640" s="30">
        <v>0</v>
      </c>
      <c r="Z640" s="233" t="s">
        <v>68</v>
      </c>
      <c r="AA640" s="30">
        <v>0</v>
      </c>
      <c r="AB640" s="30">
        <v>0</v>
      </c>
      <c r="AC640" s="30">
        <v>0</v>
      </c>
      <c r="AD640" s="30">
        <v>0</v>
      </c>
      <c r="AE640" s="89" t="s">
        <v>68</v>
      </c>
      <c r="AF640" s="89"/>
      <c r="AG640" s="89" t="s">
        <v>352</v>
      </c>
      <c r="AH640" s="72" t="s">
        <v>68</v>
      </c>
      <c r="AI640" s="30">
        <v>0</v>
      </c>
      <c r="AJ640" s="89" t="s">
        <v>68</v>
      </c>
      <c r="AK640" s="89" t="s">
        <v>68</v>
      </c>
      <c r="AL640" s="91">
        <v>39955</v>
      </c>
      <c r="AM640" s="91"/>
      <c r="AN640" s="91"/>
      <c r="AO640" s="91"/>
      <c r="AP640" s="73" t="e">
        <f>MID(VLOOKUP(K640,#REF!,2,FALSE),1,2)</f>
        <v>#REF!</v>
      </c>
      <c r="AQ640" s="89">
        <f>DATE(2009,3,23)</f>
        <v>39895</v>
      </c>
      <c r="AR640" s="82">
        <f t="shared" si="42"/>
        <v>23</v>
      </c>
      <c r="AS640" s="83">
        <f t="shared" si="43"/>
        <v>3</v>
      </c>
      <c r="AT640" s="84">
        <f t="shared" si="44"/>
        <v>2009</v>
      </c>
      <c r="AU640" s="86"/>
      <c r="AV640" s="86"/>
      <c r="AW640" s="87"/>
      <c r="AX640" s="86"/>
      <c r="AY640" s="83"/>
      <c r="AZ640" s="84"/>
      <c r="BA640" s="86"/>
      <c r="BB640" s="86"/>
    </row>
    <row r="641" spans="1:54" ht="36.75" customHeight="1">
      <c r="A641" s="30"/>
      <c r="B641" s="30" t="s">
        <v>55</v>
      </c>
      <c r="C641" s="69" t="str">
        <f t="shared" si="41"/>
        <v>Closed</v>
      </c>
      <c r="D641" s="27" t="s">
        <v>3685</v>
      </c>
      <c r="E641" s="29" t="s">
        <v>3686</v>
      </c>
      <c r="F641" s="30" t="s">
        <v>638</v>
      </c>
      <c r="G641" s="89">
        <f>DATE(2009,3,24)</f>
        <v>39896</v>
      </c>
      <c r="H641" s="90">
        <v>1.5902777777777777</v>
      </c>
      <c r="I641" s="30" t="s">
        <v>116</v>
      </c>
      <c r="J641" s="89" t="s">
        <v>3687</v>
      </c>
      <c r="K641" s="30" t="s">
        <v>640</v>
      </c>
      <c r="L641" s="30" t="s">
        <v>3688</v>
      </c>
      <c r="M641" s="30" t="s">
        <v>63</v>
      </c>
      <c r="N641" s="30">
        <v>0</v>
      </c>
      <c r="O641" s="30" t="s">
        <v>77</v>
      </c>
      <c r="P641" s="89" t="s">
        <v>165</v>
      </c>
      <c r="Q641" s="89" t="s">
        <v>642</v>
      </c>
      <c r="R641" s="89" t="s">
        <v>643</v>
      </c>
      <c r="S641" s="30">
        <v>0</v>
      </c>
      <c r="T641" s="233">
        <v>0</v>
      </c>
      <c r="U641" s="30">
        <v>1</v>
      </c>
      <c r="V641" s="233">
        <v>0</v>
      </c>
      <c r="W641" s="30">
        <v>0</v>
      </c>
      <c r="X641" s="30">
        <v>1</v>
      </c>
      <c r="Y641" s="30">
        <v>0</v>
      </c>
      <c r="Z641" s="233">
        <v>0</v>
      </c>
      <c r="AA641" s="30">
        <v>0</v>
      </c>
      <c r="AB641" s="30">
        <v>0</v>
      </c>
      <c r="AC641" s="30">
        <v>0</v>
      </c>
      <c r="AD641" s="30">
        <v>0</v>
      </c>
      <c r="AE641" s="89" t="s">
        <v>68</v>
      </c>
      <c r="AF641" s="89"/>
      <c r="AG641" s="89" t="s">
        <v>248</v>
      </c>
      <c r="AH641" s="72" t="s">
        <v>68</v>
      </c>
      <c r="AI641" s="30">
        <v>1</v>
      </c>
      <c r="AJ641" s="89" t="s">
        <v>68</v>
      </c>
      <c r="AK641" s="89" t="s">
        <v>68</v>
      </c>
      <c r="AL641" s="91">
        <v>39951</v>
      </c>
      <c r="AM641" s="91"/>
      <c r="AN641" s="91"/>
      <c r="AO641" s="91"/>
      <c r="AP641" s="73" t="e">
        <f>MID(VLOOKUP(K641,#REF!,2,FALSE),1,2)</f>
        <v>#REF!</v>
      </c>
      <c r="AQ641" s="89">
        <f>DATE(2009,3,24)</f>
        <v>39896</v>
      </c>
      <c r="AR641" s="82">
        <f t="shared" si="42"/>
        <v>24</v>
      </c>
      <c r="AS641" s="83">
        <f t="shared" si="43"/>
        <v>3</v>
      </c>
      <c r="AT641" s="84">
        <f t="shared" si="44"/>
        <v>2009</v>
      </c>
      <c r="AU641" s="86"/>
      <c r="AV641" s="86"/>
      <c r="AW641" s="87"/>
      <c r="AX641" s="86"/>
      <c r="AY641" s="83"/>
      <c r="AZ641" s="84"/>
      <c r="BA641" s="86"/>
      <c r="BB641" s="86"/>
    </row>
    <row r="642" spans="1:54" ht="36.75" customHeight="1">
      <c r="A642" s="30"/>
      <c r="B642" s="30" t="s">
        <v>55</v>
      </c>
      <c r="C642" s="69" t="str">
        <f t="shared" ref="C642:C705" si="45">IF(B642="Notification","Open",IF(B642="Interim Statement","In progress","Closed"))</f>
        <v>Closed</v>
      </c>
      <c r="D642" s="27" t="s">
        <v>3689</v>
      </c>
      <c r="E642" s="29" t="s">
        <v>3690</v>
      </c>
      <c r="F642" s="30" t="s">
        <v>638</v>
      </c>
      <c r="G642" s="89">
        <f>DATE(2009,3,24)</f>
        <v>39896</v>
      </c>
      <c r="H642" s="90">
        <v>1.9340277777777777</v>
      </c>
      <c r="I642" s="30" t="s">
        <v>116</v>
      </c>
      <c r="J642" s="89" t="s">
        <v>3691</v>
      </c>
      <c r="K642" s="30" t="s">
        <v>640</v>
      </c>
      <c r="L642" s="30" t="s">
        <v>3692</v>
      </c>
      <c r="M642" s="30" t="s">
        <v>63</v>
      </c>
      <c r="N642" s="30">
        <v>0</v>
      </c>
      <c r="O642" s="30" t="s">
        <v>64</v>
      </c>
      <c r="P642" s="89" t="s">
        <v>165</v>
      </c>
      <c r="Q642" s="89" t="s">
        <v>642</v>
      </c>
      <c r="R642" s="89" t="s">
        <v>643</v>
      </c>
      <c r="S642" s="30">
        <v>0</v>
      </c>
      <c r="T642" s="233">
        <v>0</v>
      </c>
      <c r="U642" s="30">
        <v>1</v>
      </c>
      <c r="V642" s="233">
        <v>0</v>
      </c>
      <c r="W642" s="30">
        <v>0</v>
      </c>
      <c r="X642" s="30">
        <v>1</v>
      </c>
      <c r="Y642" s="30">
        <v>0</v>
      </c>
      <c r="Z642" s="233">
        <v>0</v>
      </c>
      <c r="AA642" s="30">
        <v>0</v>
      </c>
      <c r="AB642" s="30">
        <v>0</v>
      </c>
      <c r="AC642" s="30">
        <v>0</v>
      </c>
      <c r="AD642" s="30">
        <v>0</v>
      </c>
      <c r="AE642" s="89" t="s">
        <v>68</v>
      </c>
      <c r="AF642" s="89"/>
      <c r="AG642" s="89" t="s">
        <v>248</v>
      </c>
      <c r="AH642" s="72" t="s">
        <v>68</v>
      </c>
      <c r="AI642" s="30">
        <v>1</v>
      </c>
      <c r="AJ642" s="89" t="s">
        <v>3693</v>
      </c>
      <c r="AK642" s="89" t="s">
        <v>68</v>
      </c>
      <c r="AL642" s="91">
        <v>39951</v>
      </c>
      <c r="AM642" s="91"/>
      <c r="AN642" s="91"/>
      <c r="AO642" s="91"/>
      <c r="AP642" s="73" t="e">
        <f>MID(VLOOKUP(K642,#REF!,2,FALSE),1,2)</f>
        <v>#REF!</v>
      </c>
      <c r="AQ642" s="89">
        <f>DATE(2009,3,24)</f>
        <v>39896</v>
      </c>
      <c r="AR642" s="82">
        <f t="shared" ref="AR642:AR705" si="46">DAY(AQ642)</f>
        <v>24</v>
      </c>
      <c r="AS642" s="83">
        <f t="shared" ref="AS642:AS705" si="47">MONTH(AQ642)</f>
        <v>3</v>
      </c>
      <c r="AT642" s="84">
        <f t="shared" ref="AT642:AT705" si="48">YEAR(AQ642)</f>
        <v>2009</v>
      </c>
      <c r="AU642" s="86"/>
      <c r="AV642" s="86"/>
      <c r="AW642" s="87"/>
      <c r="AX642" s="86"/>
      <c r="AY642" s="83"/>
      <c r="AZ642" s="84"/>
      <c r="BA642" s="86"/>
      <c r="BB642" s="86"/>
    </row>
    <row r="643" spans="1:54" ht="36.75" customHeight="1">
      <c r="A643" s="30"/>
      <c r="B643" s="30" t="s">
        <v>55</v>
      </c>
      <c r="C643" s="69" t="str">
        <f t="shared" si="45"/>
        <v>Closed</v>
      </c>
      <c r="D643" s="27" t="s">
        <v>3694</v>
      </c>
      <c r="E643" s="29" t="s">
        <v>3695</v>
      </c>
      <c r="F643" s="30" t="s">
        <v>58</v>
      </c>
      <c r="G643" s="89">
        <f>DATE(2009,3,25)</f>
        <v>39897</v>
      </c>
      <c r="H643" s="90">
        <v>1.4465277777777779</v>
      </c>
      <c r="I643" s="30" t="s">
        <v>116</v>
      </c>
      <c r="J643" s="89" t="s">
        <v>3696</v>
      </c>
      <c r="K643" s="30" t="s">
        <v>61</v>
      </c>
      <c r="L643" s="30" t="s">
        <v>3697</v>
      </c>
      <c r="M643" s="30" t="s">
        <v>63</v>
      </c>
      <c r="N643" s="30" t="s">
        <v>99</v>
      </c>
      <c r="O643" s="30" t="s">
        <v>64</v>
      </c>
      <c r="P643" s="89" t="s">
        <v>78</v>
      </c>
      <c r="Q643" s="89" t="s">
        <v>66</v>
      </c>
      <c r="R643" s="89" t="s">
        <v>67</v>
      </c>
      <c r="S643" s="30">
        <v>0</v>
      </c>
      <c r="T643" s="233">
        <v>0</v>
      </c>
      <c r="U643" s="30">
        <v>1</v>
      </c>
      <c r="V643" s="233">
        <v>0</v>
      </c>
      <c r="W643" s="30">
        <v>0</v>
      </c>
      <c r="X643" s="30">
        <v>1</v>
      </c>
      <c r="Y643" s="30">
        <v>0</v>
      </c>
      <c r="Z643" s="233">
        <v>0</v>
      </c>
      <c r="AA643" s="30">
        <v>0</v>
      </c>
      <c r="AB643" s="30">
        <v>0</v>
      </c>
      <c r="AC643" s="30">
        <v>0</v>
      </c>
      <c r="AD643" s="30">
        <v>0</v>
      </c>
      <c r="AE643" s="89" t="s">
        <v>92</v>
      </c>
      <c r="AF643" s="89"/>
      <c r="AG643" s="89" t="s">
        <v>82</v>
      </c>
      <c r="AH643" s="72">
        <v>39904</v>
      </c>
      <c r="AI643" s="30">
        <v>1</v>
      </c>
      <c r="AJ643" s="89" t="s">
        <v>3698</v>
      </c>
      <c r="AK643" s="89" t="s">
        <v>68</v>
      </c>
      <c r="AL643" s="91">
        <v>39930</v>
      </c>
      <c r="AM643" s="91"/>
      <c r="AN643" s="91"/>
      <c r="AO643" s="91"/>
      <c r="AP643" s="73" t="e">
        <f>MID(VLOOKUP(K643,#REF!,2,FALSE),1,2)</f>
        <v>#REF!</v>
      </c>
      <c r="AQ643" s="89">
        <f>DATE(2009,3,25)</f>
        <v>39897</v>
      </c>
      <c r="AR643" s="82">
        <f t="shared" si="46"/>
        <v>25</v>
      </c>
      <c r="AS643" s="83">
        <f t="shared" si="47"/>
        <v>3</v>
      </c>
      <c r="AT643" s="84">
        <f t="shared" si="48"/>
        <v>2009</v>
      </c>
      <c r="AU643" s="86"/>
      <c r="AV643" s="86"/>
      <c r="AW643" s="87"/>
      <c r="AX643" s="86"/>
      <c r="AY643" s="83"/>
      <c r="AZ643" s="84"/>
      <c r="BA643" s="86"/>
      <c r="BB643" s="86"/>
    </row>
    <row r="644" spans="1:54" ht="36.75" customHeight="1">
      <c r="A644" s="30"/>
      <c r="B644" s="30" t="s">
        <v>55</v>
      </c>
      <c r="C644" s="69" t="str">
        <f t="shared" si="45"/>
        <v>Closed</v>
      </c>
      <c r="D644" s="27" t="s">
        <v>3699</v>
      </c>
      <c r="E644" s="29" t="s">
        <v>3700</v>
      </c>
      <c r="F644" s="30" t="s">
        <v>233</v>
      </c>
      <c r="G644" s="89">
        <f>DATE(2009,3,27)</f>
        <v>39899</v>
      </c>
      <c r="H644" s="90">
        <v>1.7243055555555555</v>
      </c>
      <c r="I644" s="30" t="s">
        <v>104</v>
      </c>
      <c r="J644" s="89" t="s">
        <v>3701</v>
      </c>
      <c r="K644" s="30" t="s">
        <v>235</v>
      </c>
      <c r="L644" s="30" t="s">
        <v>3702</v>
      </c>
      <c r="M644" s="30" t="s">
        <v>129</v>
      </c>
      <c r="N644" s="30">
        <v>0</v>
      </c>
      <c r="O644" s="30" t="s">
        <v>64</v>
      </c>
      <c r="P644" s="89" t="s">
        <v>86</v>
      </c>
      <c r="Q644" s="89" t="s">
        <v>1960</v>
      </c>
      <c r="R644" s="89" t="s">
        <v>683</v>
      </c>
      <c r="S644" s="30">
        <v>0</v>
      </c>
      <c r="T644" s="233" t="s">
        <v>68</v>
      </c>
      <c r="U644" s="30">
        <v>0</v>
      </c>
      <c r="V644" s="233" t="s">
        <v>68</v>
      </c>
      <c r="W644" s="30">
        <v>0</v>
      </c>
      <c r="X644" s="30">
        <v>0</v>
      </c>
      <c r="Y644" s="30">
        <v>0</v>
      </c>
      <c r="Z644" s="233" t="s">
        <v>68</v>
      </c>
      <c r="AA644" s="30">
        <v>0</v>
      </c>
      <c r="AB644" s="30">
        <v>0</v>
      </c>
      <c r="AC644" s="30">
        <v>0</v>
      </c>
      <c r="AD644" s="30">
        <v>0</v>
      </c>
      <c r="AE644" s="89" t="s">
        <v>68</v>
      </c>
      <c r="AF644" s="89"/>
      <c r="AG644" s="89" t="s">
        <v>133</v>
      </c>
      <c r="AH644" s="72" t="s">
        <v>68</v>
      </c>
      <c r="AI644" s="30">
        <v>6</v>
      </c>
      <c r="AJ644" s="89" t="s">
        <v>3703</v>
      </c>
      <c r="AK644" s="89" t="s">
        <v>3704</v>
      </c>
      <c r="AL644" s="91">
        <v>39919</v>
      </c>
      <c r="AM644" s="91"/>
      <c r="AN644" s="91"/>
      <c r="AO644" s="91"/>
      <c r="AP644" s="73" t="e">
        <f>MID(VLOOKUP(K644,#REF!,2,FALSE),1,2)</f>
        <v>#REF!</v>
      </c>
      <c r="AQ644" s="89">
        <f>DATE(2009,3,27)</f>
        <v>39899</v>
      </c>
      <c r="AR644" s="82">
        <f t="shared" si="46"/>
        <v>27</v>
      </c>
      <c r="AS644" s="83">
        <f t="shared" si="47"/>
        <v>3</v>
      </c>
      <c r="AT644" s="84">
        <f t="shared" si="48"/>
        <v>2009</v>
      </c>
      <c r="AU644" s="86"/>
      <c r="AV644" s="86"/>
      <c r="AW644" s="87"/>
      <c r="AX644" s="86"/>
      <c r="AY644" s="83"/>
      <c r="AZ644" s="84"/>
      <c r="BA644" s="86"/>
      <c r="BB644" s="86"/>
    </row>
    <row r="645" spans="1:54" ht="36.75" customHeight="1">
      <c r="A645" s="30"/>
      <c r="B645" s="30" t="s">
        <v>55</v>
      </c>
      <c r="C645" s="69" t="str">
        <f t="shared" si="45"/>
        <v>Closed</v>
      </c>
      <c r="D645" s="27" t="s">
        <v>3705</v>
      </c>
      <c r="E645" s="29" t="s">
        <v>3706</v>
      </c>
      <c r="F645" s="30" t="s">
        <v>1938</v>
      </c>
      <c r="G645" s="89">
        <f>DATE(2009,3,29)</f>
        <v>39901</v>
      </c>
      <c r="H645" s="90">
        <v>1.8541666666666665</v>
      </c>
      <c r="I645" s="30" t="s">
        <v>198</v>
      </c>
      <c r="J645" s="89" t="s">
        <v>3707</v>
      </c>
      <c r="K645" s="30" t="s">
        <v>1940</v>
      </c>
      <c r="L645" s="30" t="s">
        <v>3708</v>
      </c>
      <c r="M645" s="30" t="s">
        <v>63</v>
      </c>
      <c r="N645" s="30">
        <v>0</v>
      </c>
      <c r="O645" s="30" t="s">
        <v>77</v>
      </c>
      <c r="P645" s="89" t="s">
        <v>91</v>
      </c>
      <c r="Q645" s="89" t="s">
        <v>1942</v>
      </c>
      <c r="R645" s="89" t="s">
        <v>1942</v>
      </c>
      <c r="S645" s="30">
        <v>0</v>
      </c>
      <c r="T645" s="233" t="s">
        <v>68</v>
      </c>
      <c r="U645" s="30">
        <v>0</v>
      </c>
      <c r="V645" s="233" t="s">
        <v>68</v>
      </c>
      <c r="W645" s="30">
        <v>0</v>
      </c>
      <c r="X645" s="30">
        <v>0</v>
      </c>
      <c r="Y645" s="30">
        <v>0</v>
      </c>
      <c r="Z645" s="233" t="s">
        <v>68</v>
      </c>
      <c r="AA645" s="30">
        <v>0</v>
      </c>
      <c r="AB645" s="30">
        <v>0</v>
      </c>
      <c r="AC645" s="30">
        <v>0</v>
      </c>
      <c r="AD645" s="30">
        <v>0</v>
      </c>
      <c r="AE645" s="89" t="s">
        <v>68</v>
      </c>
      <c r="AF645" s="89"/>
      <c r="AG645" s="89" t="s">
        <v>133</v>
      </c>
      <c r="AH645" s="72" t="s">
        <v>68</v>
      </c>
      <c r="AI645" s="30">
        <v>2</v>
      </c>
      <c r="AJ645" s="89" t="s">
        <v>3709</v>
      </c>
      <c r="AK645" s="89" t="s">
        <v>3710</v>
      </c>
      <c r="AL645" s="91">
        <v>39905</v>
      </c>
      <c r="AM645" s="91"/>
      <c r="AN645" s="91"/>
      <c r="AO645" s="91"/>
      <c r="AP645" s="73" t="e">
        <f>MID(VLOOKUP(K645,#REF!,2,FALSE),1,2)</f>
        <v>#REF!</v>
      </c>
      <c r="AQ645" s="89">
        <f>DATE(2009,3,29)</f>
        <v>39901</v>
      </c>
      <c r="AR645" s="82">
        <f t="shared" si="46"/>
        <v>29</v>
      </c>
      <c r="AS645" s="83">
        <f t="shared" si="47"/>
        <v>3</v>
      </c>
      <c r="AT645" s="84">
        <f t="shared" si="48"/>
        <v>2009</v>
      </c>
      <c r="AU645" s="86"/>
      <c r="AV645" s="86"/>
      <c r="AW645" s="87"/>
      <c r="AX645" s="86"/>
      <c r="AY645" s="83"/>
      <c r="AZ645" s="84"/>
      <c r="BA645" s="86"/>
      <c r="BB645" s="86"/>
    </row>
    <row r="646" spans="1:54" ht="36.75" customHeight="1">
      <c r="A646" s="30"/>
      <c r="B646" s="30" t="s">
        <v>55</v>
      </c>
      <c r="C646" s="69" t="str">
        <f t="shared" si="45"/>
        <v>Closed</v>
      </c>
      <c r="D646" s="27" t="s">
        <v>3711</v>
      </c>
      <c r="E646" s="29" t="s">
        <v>3712</v>
      </c>
      <c r="F646" s="30" t="s">
        <v>3148</v>
      </c>
      <c r="G646" s="89">
        <f>DATE(2009,3,29)</f>
        <v>39901</v>
      </c>
      <c r="H646" s="90">
        <v>1.2291666666666667</v>
      </c>
      <c r="I646" s="30" t="s">
        <v>116</v>
      </c>
      <c r="J646" s="89" t="s">
        <v>3713</v>
      </c>
      <c r="K646" s="30" t="s">
        <v>3150</v>
      </c>
      <c r="L646" s="30" t="s">
        <v>3714</v>
      </c>
      <c r="M646" s="30" t="s">
        <v>63</v>
      </c>
      <c r="N646" s="30">
        <v>0</v>
      </c>
      <c r="O646" s="30" t="s">
        <v>64</v>
      </c>
      <c r="P646" s="89" t="s">
        <v>165</v>
      </c>
      <c r="Q646" s="89" t="s">
        <v>3152</v>
      </c>
      <c r="R646" s="89" t="s">
        <v>3153</v>
      </c>
      <c r="S646" s="30">
        <v>0</v>
      </c>
      <c r="T646" s="233">
        <v>0</v>
      </c>
      <c r="U646" s="30">
        <v>2</v>
      </c>
      <c r="V646" s="233">
        <v>0</v>
      </c>
      <c r="W646" s="30">
        <v>0</v>
      </c>
      <c r="X646" s="30">
        <v>2</v>
      </c>
      <c r="Y646" s="30">
        <v>0</v>
      </c>
      <c r="Z646" s="233">
        <v>0</v>
      </c>
      <c r="AA646" s="30">
        <v>0</v>
      </c>
      <c r="AB646" s="30">
        <v>0</v>
      </c>
      <c r="AC646" s="30">
        <v>0</v>
      </c>
      <c r="AD646" s="30">
        <v>0</v>
      </c>
      <c r="AE646" s="89" t="s">
        <v>68</v>
      </c>
      <c r="AF646" s="89"/>
      <c r="AG646" s="89" t="s">
        <v>133</v>
      </c>
      <c r="AH646" s="72" t="s">
        <v>68</v>
      </c>
      <c r="AI646" s="30">
        <v>3</v>
      </c>
      <c r="AJ646" s="89" t="s">
        <v>68</v>
      </c>
      <c r="AK646" s="89" t="s">
        <v>68</v>
      </c>
      <c r="AL646" s="91">
        <v>39906</v>
      </c>
      <c r="AM646" s="91"/>
      <c r="AN646" s="91"/>
      <c r="AO646" s="91"/>
      <c r="AP646" s="73" t="e">
        <f>MID(VLOOKUP(K646,#REF!,2,FALSE),1,2)</f>
        <v>#REF!</v>
      </c>
      <c r="AQ646" s="89">
        <f>DATE(2009,3,29)</f>
        <v>39901</v>
      </c>
      <c r="AR646" s="82">
        <f t="shared" si="46"/>
        <v>29</v>
      </c>
      <c r="AS646" s="83">
        <f t="shared" si="47"/>
        <v>3</v>
      </c>
      <c r="AT646" s="84">
        <f t="shared" si="48"/>
        <v>2009</v>
      </c>
      <c r="AU646" s="86"/>
      <c r="AV646" s="86"/>
      <c r="AW646" s="87"/>
      <c r="AX646" s="86"/>
      <c r="AY646" s="83"/>
      <c r="AZ646" s="84"/>
      <c r="BA646" s="86"/>
      <c r="BB646" s="86"/>
    </row>
    <row r="647" spans="1:54" ht="36.75" customHeight="1">
      <c r="A647" s="30"/>
      <c r="B647" s="30" t="s">
        <v>55</v>
      </c>
      <c r="C647" s="69" t="str">
        <f t="shared" si="45"/>
        <v>Closed</v>
      </c>
      <c r="D647" s="27" t="s">
        <v>3715</v>
      </c>
      <c r="E647" s="29" t="s">
        <v>3716</v>
      </c>
      <c r="F647" s="30" t="s">
        <v>233</v>
      </c>
      <c r="G647" s="89">
        <f>DATE(2009,3,30)</f>
        <v>39902</v>
      </c>
      <c r="H647" s="90">
        <v>1.5451388888888888</v>
      </c>
      <c r="I647" s="30" t="s">
        <v>278</v>
      </c>
      <c r="J647" s="89" t="s">
        <v>3717</v>
      </c>
      <c r="K647" s="30" t="s">
        <v>235</v>
      </c>
      <c r="L647" s="30" t="s">
        <v>3718</v>
      </c>
      <c r="M647" s="30" t="s">
        <v>63</v>
      </c>
      <c r="N647" s="30">
        <v>0</v>
      </c>
      <c r="O647" s="30" t="s">
        <v>64</v>
      </c>
      <c r="P647" s="89" t="s">
        <v>165</v>
      </c>
      <c r="Q647" s="89" t="s">
        <v>3719</v>
      </c>
      <c r="R647" s="89" t="s">
        <v>238</v>
      </c>
      <c r="S647" s="30">
        <v>0</v>
      </c>
      <c r="T647" s="233" t="s">
        <v>68</v>
      </c>
      <c r="U647" s="30">
        <v>0</v>
      </c>
      <c r="V647" s="233" t="s">
        <v>68</v>
      </c>
      <c r="W647" s="30">
        <v>0</v>
      </c>
      <c r="X647" s="30">
        <v>0</v>
      </c>
      <c r="Y647" s="30">
        <v>0</v>
      </c>
      <c r="Z647" s="233" t="s">
        <v>68</v>
      </c>
      <c r="AA647" s="30">
        <v>0</v>
      </c>
      <c r="AB647" s="30">
        <v>0</v>
      </c>
      <c r="AC647" s="30">
        <v>0</v>
      </c>
      <c r="AD647" s="30">
        <v>0</v>
      </c>
      <c r="AE647" s="89" t="s">
        <v>68</v>
      </c>
      <c r="AF647" s="89"/>
      <c r="AG647" s="89" t="s">
        <v>133</v>
      </c>
      <c r="AH647" s="72" t="s">
        <v>68</v>
      </c>
      <c r="AI647" s="30">
        <v>3</v>
      </c>
      <c r="AJ647" s="89" t="s">
        <v>3720</v>
      </c>
      <c r="AK647" s="89" t="s">
        <v>3721</v>
      </c>
      <c r="AL647" s="91">
        <v>39919</v>
      </c>
      <c r="AM647" s="91"/>
      <c r="AN647" s="91"/>
      <c r="AO647" s="91"/>
      <c r="AP647" s="73" t="e">
        <f>MID(VLOOKUP(K647,#REF!,2,FALSE),1,2)</f>
        <v>#REF!</v>
      </c>
      <c r="AQ647" s="89">
        <f>DATE(2009,3,30)</f>
        <v>39902</v>
      </c>
      <c r="AR647" s="82">
        <f t="shared" si="46"/>
        <v>30</v>
      </c>
      <c r="AS647" s="83">
        <f t="shared" si="47"/>
        <v>3</v>
      </c>
      <c r="AT647" s="84">
        <f t="shared" si="48"/>
        <v>2009</v>
      </c>
      <c r="AU647" s="86"/>
      <c r="AV647" s="86"/>
      <c r="AW647" s="87"/>
      <c r="AX647" s="86"/>
      <c r="AY647" s="83"/>
      <c r="AZ647" s="84"/>
      <c r="BA647" s="86"/>
      <c r="BB647" s="86"/>
    </row>
    <row r="648" spans="1:54" ht="36.75" customHeight="1">
      <c r="A648" s="30"/>
      <c r="B648" s="30" t="s">
        <v>55</v>
      </c>
      <c r="C648" s="69" t="str">
        <f t="shared" si="45"/>
        <v>Closed</v>
      </c>
      <c r="D648" s="27" t="s">
        <v>3722</v>
      </c>
      <c r="E648" s="29" t="s">
        <v>3723</v>
      </c>
      <c r="F648" s="30" t="s">
        <v>423</v>
      </c>
      <c r="G648" s="89">
        <f>DATE(2009,4,1)</f>
        <v>39904</v>
      </c>
      <c r="H648" s="90">
        <v>1.2930555555555556</v>
      </c>
      <c r="I648" s="30" t="s">
        <v>73</v>
      </c>
      <c r="J648" s="89" t="s">
        <v>3724</v>
      </c>
      <c r="K648" s="30" t="s">
        <v>425</v>
      </c>
      <c r="L648" s="30" t="s">
        <v>3725</v>
      </c>
      <c r="M648" s="30" t="s">
        <v>63</v>
      </c>
      <c r="N648" s="30">
        <v>0</v>
      </c>
      <c r="O648" s="30" t="s">
        <v>77</v>
      </c>
      <c r="P648" s="89" t="s">
        <v>91</v>
      </c>
      <c r="Q648" s="89" t="s">
        <v>427</v>
      </c>
      <c r="R648" s="89" t="s">
        <v>3103</v>
      </c>
      <c r="S648" s="30">
        <v>0</v>
      </c>
      <c r="T648" s="233" t="s">
        <v>68</v>
      </c>
      <c r="U648" s="30">
        <v>0</v>
      </c>
      <c r="V648" s="233" t="s">
        <v>68</v>
      </c>
      <c r="W648" s="30">
        <v>0</v>
      </c>
      <c r="X648" s="30">
        <v>0</v>
      </c>
      <c r="Y648" s="30">
        <v>0</v>
      </c>
      <c r="Z648" s="233" t="s">
        <v>68</v>
      </c>
      <c r="AA648" s="30">
        <v>0</v>
      </c>
      <c r="AB648" s="30">
        <v>0</v>
      </c>
      <c r="AC648" s="30">
        <v>0</v>
      </c>
      <c r="AD648" s="30">
        <v>0</v>
      </c>
      <c r="AE648" s="89" t="s">
        <v>68</v>
      </c>
      <c r="AF648" s="89"/>
      <c r="AG648" s="89" t="s">
        <v>874</v>
      </c>
      <c r="AH648" s="72" t="s">
        <v>68</v>
      </c>
      <c r="AI648" s="30">
        <v>1</v>
      </c>
      <c r="AJ648" s="89" t="s">
        <v>3726</v>
      </c>
      <c r="AK648" s="89" t="s">
        <v>3727</v>
      </c>
      <c r="AL648" s="91">
        <v>39990</v>
      </c>
      <c r="AM648" s="91"/>
      <c r="AN648" s="91"/>
      <c r="AO648" s="91"/>
      <c r="AP648" s="73" t="e">
        <f>MID(VLOOKUP(K648,#REF!,2,FALSE),1,2)</f>
        <v>#REF!</v>
      </c>
      <c r="AQ648" s="89">
        <f>DATE(2009,4,1)</f>
        <v>39904</v>
      </c>
      <c r="AR648" s="82">
        <f t="shared" si="46"/>
        <v>1</v>
      </c>
      <c r="AS648" s="83">
        <f t="shared" si="47"/>
        <v>4</v>
      </c>
      <c r="AT648" s="84">
        <f t="shared" si="48"/>
        <v>2009</v>
      </c>
      <c r="AU648" s="86"/>
      <c r="AV648" s="86"/>
      <c r="AW648" s="87"/>
      <c r="AX648" s="86"/>
      <c r="AY648" s="83"/>
      <c r="AZ648" s="84"/>
      <c r="BA648" s="86"/>
      <c r="BB648" s="86"/>
    </row>
    <row r="649" spans="1:54" ht="36.75" customHeight="1">
      <c r="A649" s="30"/>
      <c r="B649" s="30" t="s">
        <v>55</v>
      </c>
      <c r="C649" s="69" t="str">
        <f t="shared" si="45"/>
        <v>Closed</v>
      </c>
      <c r="D649" s="27" t="s">
        <v>3728</v>
      </c>
      <c r="E649" s="29" t="s">
        <v>3729</v>
      </c>
      <c r="F649" s="30" t="s">
        <v>2336</v>
      </c>
      <c r="G649" s="89">
        <f>DATE(2009,4,6)</f>
        <v>39909</v>
      </c>
      <c r="H649" s="90">
        <v>1.6180555555555556</v>
      </c>
      <c r="I649" s="30" t="s">
        <v>116</v>
      </c>
      <c r="J649" s="89" t="s">
        <v>3730</v>
      </c>
      <c r="K649" s="30" t="s">
        <v>2338</v>
      </c>
      <c r="L649" s="30" t="s">
        <v>3731</v>
      </c>
      <c r="M649" s="30" t="s">
        <v>63</v>
      </c>
      <c r="N649" s="30">
        <v>0</v>
      </c>
      <c r="O649" s="30" t="s">
        <v>64</v>
      </c>
      <c r="P649" s="89" t="s">
        <v>165</v>
      </c>
      <c r="Q649" s="89" t="s">
        <v>3732</v>
      </c>
      <c r="R649" s="89" t="s">
        <v>2341</v>
      </c>
      <c r="S649" s="30">
        <v>1</v>
      </c>
      <c r="T649" s="233">
        <v>0</v>
      </c>
      <c r="U649" s="30">
        <v>1</v>
      </c>
      <c r="V649" s="233">
        <v>0</v>
      </c>
      <c r="W649" s="30">
        <v>0</v>
      </c>
      <c r="X649" s="30">
        <v>2</v>
      </c>
      <c r="Y649" s="30">
        <v>18</v>
      </c>
      <c r="Z649" s="233">
        <v>4</v>
      </c>
      <c r="AA649" s="30">
        <v>0</v>
      </c>
      <c r="AB649" s="30">
        <v>0</v>
      </c>
      <c r="AC649" s="30">
        <v>0</v>
      </c>
      <c r="AD649" s="30">
        <v>22</v>
      </c>
      <c r="AE649" s="89" t="s">
        <v>68</v>
      </c>
      <c r="AF649" s="89"/>
      <c r="AG649" s="89" t="s">
        <v>82</v>
      </c>
      <c r="AH649" s="72" t="s">
        <v>68</v>
      </c>
      <c r="AI649" s="30">
        <v>5</v>
      </c>
      <c r="AJ649" s="89" t="s">
        <v>3733</v>
      </c>
      <c r="AK649" s="89" t="s">
        <v>3734</v>
      </c>
      <c r="AL649" s="91">
        <v>39917</v>
      </c>
      <c r="AM649" s="91"/>
      <c r="AN649" s="91"/>
      <c r="AO649" s="91"/>
      <c r="AP649" s="73" t="e">
        <f>MID(VLOOKUP(K649,#REF!,2,FALSE),1,2)</f>
        <v>#REF!</v>
      </c>
      <c r="AQ649" s="89">
        <f>DATE(2009,4,6)</f>
        <v>39909</v>
      </c>
      <c r="AR649" s="82">
        <f t="shared" si="46"/>
        <v>6</v>
      </c>
      <c r="AS649" s="83">
        <f t="shared" si="47"/>
        <v>4</v>
      </c>
      <c r="AT649" s="84">
        <f t="shared" si="48"/>
        <v>2009</v>
      </c>
      <c r="AU649" s="86"/>
      <c r="AV649" s="86"/>
      <c r="AW649" s="87"/>
      <c r="AX649" s="86"/>
      <c r="AY649" s="83"/>
      <c r="AZ649" s="84"/>
      <c r="BA649" s="86"/>
      <c r="BB649" s="86"/>
    </row>
    <row r="650" spans="1:54" ht="36.75" customHeight="1">
      <c r="A650" s="30"/>
      <c r="B650" s="30" t="s">
        <v>55</v>
      </c>
      <c r="C650" s="69" t="str">
        <f t="shared" si="45"/>
        <v>Closed</v>
      </c>
      <c r="D650" s="27" t="s">
        <v>3735</v>
      </c>
      <c r="E650" s="29" t="s">
        <v>3736</v>
      </c>
      <c r="F650" s="30" t="s">
        <v>3148</v>
      </c>
      <c r="G650" s="89">
        <f>DATE(2009,4,6)</f>
        <v>39909</v>
      </c>
      <c r="H650" s="90">
        <v>1.5125000000000002</v>
      </c>
      <c r="I650" s="30" t="s">
        <v>116</v>
      </c>
      <c r="J650" s="89" t="s">
        <v>3737</v>
      </c>
      <c r="K650" s="30" t="s">
        <v>3150</v>
      </c>
      <c r="L650" s="30" t="s">
        <v>3738</v>
      </c>
      <c r="M650" s="30" t="s">
        <v>63</v>
      </c>
      <c r="N650" s="30">
        <v>0</v>
      </c>
      <c r="O650" s="30" t="s">
        <v>64</v>
      </c>
      <c r="P650" s="89" t="s">
        <v>165</v>
      </c>
      <c r="Q650" s="89" t="s">
        <v>3152</v>
      </c>
      <c r="R650" s="89" t="s">
        <v>3153</v>
      </c>
      <c r="S650" s="30">
        <v>0</v>
      </c>
      <c r="T650" s="233">
        <v>0</v>
      </c>
      <c r="U650" s="30">
        <v>2</v>
      </c>
      <c r="V650" s="233">
        <v>0</v>
      </c>
      <c r="W650" s="30">
        <v>0</v>
      </c>
      <c r="X650" s="30">
        <v>2</v>
      </c>
      <c r="Y650" s="30">
        <v>0</v>
      </c>
      <c r="Z650" s="233">
        <v>0</v>
      </c>
      <c r="AA650" s="30">
        <v>0</v>
      </c>
      <c r="AB650" s="30">
        <v>0</v>
      </c>
      <c r="AC650" s="30">
        <v>0</v>
      </c>
      <c r="AD650" s="30">
        <v>0</v>
      </c>
      <c r="AE650" s="89" t="s">
        <v>68</v>
      </c>
      <c r="AF650" s="89"/>
      <c r="AG650" s="89" t="s">
        <v>133</v>
      </c>
      <c r="AH650" s="72" t="s">
        <v>68</v>
      </c>
      <c r="AI650" s="30">
        <v>1</v>
      </c>
      <c r="AJ650" s="89" t="s">
        <v>68</v>
      </c>
      <c r="AK650" s="89" t="s">
        <v>68</v>
      </c>
      <c r="AL650" s="91">
        <v>39911</v>
      </c>
      <c r="AM650" s="91"/>
      <c r="AN650" s="91"/>
      <c r="AO650" s="91"/>
      <c r="AP650" s="73" t="e">
        <f>MID(VLOOKUP(K650,#REF!,2,FALSE),1,2)</f>
        <v>#REF!</v>
      </c>
      <c r="AQ650" s="89">
        <f>DATE(2009,4,6)</f>
        <v>39909</v>
      </c>
      <c r="AR650" s="82">
        <f t="shared" si="46"/>
        <v>6</v>
      </c>
      <c r="AS650" s="83">
        <f t="shared" si="47"/>
        <v>4</v>
      </c>
      <c r="AT650" s="84">
        <f t="shared" si="48"/>
        <v>2009</v>
      </c>
      <c r="AU650" s="86"/>
      <c r="AV650" s="86"/>
      <c r="AW650" s="87"/>
      <c r="AX650" s="86"/>
      <c r="AY650" s="83"/>
      <c r="AZ650" s="84"/>
      <c r="BA650" s="86"/>
      <c r="BB650" s="86"/>
    </row>
    <row r="651" spans="1:54" ht="36.75" customHeight="1">
      <c r="A651" s="30"/>
      <c r="B651" s="30" t="s">
        <v>55</v>
      </c>
      <c r="C651" s="69" t="str">
        <f t="shared" si="45"/>
        <v>Closed</v>
      </c>
      <c r="D651" s="27" t="s">
        <v>3739</v>
      </c>
      <c r="E651" s="29" t="s">
        <v>3740</v>
      </c>
      <c r="F651" s="30" t="s">
        <v>638</v>
      </c>
      <c r="G651" s="89">
        <f>DATE(2009,4,7)</f>
        <v>39910</v>
      </c>
      <c r="H651" s="90">
        <v>1.8361111111111112</v>
      </c>
      <c r="I651" s="30" t="s">
        <v>278</v>
      </c>
      <c r="J651" s="89" t="s">
        <v>3741</v>
      </c>
      <c r="K651" s="30" t="s">
        <v>640</v>
      </c>
      <c r="L651" s="30" t="s">
        <v>3742</v>
      </c>
      <c r="M651" s="30" t="s">
        <v>63</v>
      </c>
      <c r="N651" s="30">
        <v>0</v>
      </c>
      <c r="O651" s="30" t="s">
        <v>77</v>
      </c>
      <c r="P651" s="89" t="s">
        <v>65</v>
      </c>
      <c r="Q651" s="89" t="s">
        <v>642</v>
      </c>
      <c r="R651" s="89" t="s">
        <v>643</v>
      </c>
      <c r="S651" s="30">
        <v>0</v>
      </c>
      <c r="T651" s="233">
        <v>0</v>
      </c>
      <c r="U651" s="30">
        <v>0</v>
      </c>
      <c r="V651" s="233">
        <v>0</v>
      </c>
      <c r="W651" s="30">
        <v>1</v>
      </c>
      <c r="X651" s="30">
        <v>1</v>
      </c>
      <c r="Y651" s="30">
        <v>0</v>
      </c>
      <c r="Z651" s="233">
        <v>0</v>
      </c>
      <c r="AA651" s="30">
        <v>0</v>
      </c>
      <c r="AB651" s="30">
        <v>0</v>
      </c>
      <c r="AC651" s="30">
        <v>0</v>
      </c>
      <c r="AD651" s="30">
        <v>0</v>
      </c>
      <c r="AE651" s="89" t="s">
        <v>68</v>
      </c>
      <c r="AF651" s="89"/>
      <c r="AG651" s="89" t="s">
        <v>248</v>
      </c>
      <c r="AH651" s="72" t="s">
        <v>68</v>
      </c>
      <c r="AI651" s="30">
        <v>0</v>
      </c>
      <c r="AJ651" s="89" t="s">
        <v>3743</v>
      </c>
      <c r="AK651" s="89" t="s">
        <v>68</v>
      </c>
      <c r="AL651" s="91">
        <v>39951</v>
      </c>
      <c r="AM651" s="91"/>
      <c r="AN651" s="91"/>
      <c r="AO651" s="91"/>
      <c r="AP651" s="73" t="e">
        <f>MID(VLOOKUP(K651,#REF!,2,FALSE),1,2)</f>
        <v>#REF!</v>
      </c>
      <c r="AQ651" s="89">
        <f>DATE(2009,4,7)</f>
        <v>39910</v>
      </c>
      <c r="AR651" s="82">
        <f t="shared" si="46"/>
        <v>7</v>
      </c>
      <c r="AS651" s="83">
        <f t="shared" si="47"/>
        <v>4</v>
      </c>
      <c r="AT651" s="84">
        <f t="shared" si="48"/>
        <v>2009</v>
      </c>
      <c r="AU651" s="86"/>
      <c r="AV651" s="86"/>
      <c r="AW651" s="87"/>
      <c r="AX651" s="86"/>
      <c r="AY651" s="83"/>
      <c r="AZ651" s="84"/>
      <c r="BA651" s="86"/>
      <c r="BB651" s="86"/>
    </row>
    <row r="652" spans="1:54" ht="36.75" customHeight="1">
      <c r="A652" s="30"/>
      <c r="B652" s="30" t="s">
        <v>55</v>
      </c>
      <c r="C652" s="69" t="str">
        <f t="shared" si="45"/>
        <v>Closed</v>
      </c>
      <c r="D652" s="27" t="s">
        <v>3744</v>
      </c>
      <c r="E652" s="29" t="s">
        <v>3745</v>
      </c>
      <c r="F652" s="30" t="s">
        <v>197</v>
      </c>
      <c r="G652" s="89">
        <f>DATE(2009,4,8)</f>
        <v>39911</v>
      </c>
      <c r="H652" s="90">
        <v>1.6319444444444444</v>
      </c>
      <c r="I652" s="30" t="s">
        <v>73</v>
      </c>
      <c r="J652" s="89" t="s">
        <v>3746</v>
      </c>
      <c r="K652" s="30" t="s">
        <v>200</v>
      </c>
      <c r="L652" s="30" t="s">
        <v>3747</v>
      </c>
      <c r="M652" s="30" t="s">
        <v>63</v>
      </c>
      <c r="N652" s="30">
        <v>0</v>
      </c>
      <c r="O652" s="30" t="s">
        <v>64</v>
      </c>
      <c r="P652" s="89" t="s">
        <v>78</v>
      </c>
      <c r="Q652" s="89" t="s">
        <v>1716</v>
      </c>
      <c r="R652" s="89" t="s">
        <v>203</v>
      </c>
      <c r="S652" s="30">
        <v>0</v>
      </c>
      <c r="T652" s="233" t="s">
        <v>68</v>
      </c>
      <c r="U652" s="30">
        <v>0</v>
      </c>
      <c r="V652" s="233" t="s">
        <v>68</v>
      </c>
      <c r="W652" s="30">
        <v>0</v>
      </c>
      <c r="X652" s="30">
        <v>0</v>
      </c>
      <c r="Y652" s="30">
        <v>0</v>
      </c>
      <c r="Z652" s="233" t="s">
        <v>68</v>
      </c>
      <c r="AA652" s="30">
        <v>0</v>
      </c>
      <c r="AB652" s="30">
        <v>0</v>
      </c>
      <c r="AC652" s="30">
        <v>0</v>
      </c>
      <c r="AD652" s="30">
        <v>0</v>
      </c>
      <c r="AE652" s="89" t="s">
        <v>68</v>
      </c>
      <c r="AF652" s="89"/>
      <c r="AG652" s="89" t="s">
        <v>352</v>
      </c>
      <c r="AH652" s="72" t="s">
        <v>68</v>
      </c>
      <c r="AI652" s="30">
        <v>10</v>
      </c>
      <c r="AJ652" s="89" t="s">
        <v>3748</v>
      </c>
      <c r="AK652" s="89" t="s">
        <v>3749</v>
      </c>
      <c r="AL652" s="91">
        <v>39945</v>
      </c>
      <c r="AM652" s="91"/>
      <c r="AN652" s="91"/>
      <c r="AO652" s="91"/>
      <c r="AP652" s="73" t="e">
        <f>MID(VLOOKUP(K652,#REF!,2,FALSE),1,2)</f>
        <v>#REF!</v>
      </c>
      <c r="AQ652" s="89">
        <f>DATE(2009,4,8)</f>
        <v>39911</v>
      </c>
      <c r="AR652" s="82">
        <f t="shared" si="46"/>
        <v>8</v>
      </c>
      <c r="AS652" s="83">
        <f t="shared" si="47"/>
        <v>4</v>
      </c>
      <c r="AT652" s="84">
        <f t="shared" si="48"/>
        <v>2009</v>
      </c>
      <c r="AU652" s="86"/>
      <c r="AV652" s="86"/>
      <c r="AW652" s="87"/>
      <c r="AX652" s="86"/>
      <c r="AY652" s="83"/>
      <c r="AZ652" s="84"/>
      <c r="BA652" s="86"/>
      <c r="BB652" s="86"/>
    </row>
    <row r="653" spans="1:54" ht="36.75" customHeight="1">
      <c r="A653" s="30"/>
      <c r="B653" s="30" t="s">
        <v>55</v>
      </c>
      <c r="C653" s="69" t="str">
        <f t="shared" si="45"/>
        <v>Closed</v>
      </c>
      <c r="D653" s="27" t="s">
        <v>3750</v>
      </c>
      <c r="E653" s="29" t="s">
        <v>3751</v>
      </c>
      <c r="F653" s="30" t="s">
        <v>197</v>
      </c>
      <c r="G653" s="89">
        <f>DATE(2009,4,9)</f>
        <v>39912</v>
      </c>
      <c r="H653" s="90">
        <v>1.2868055555555555</v>
      </c>
      <c r="I653" s="30" t="s">
        <v>73</v>
      </c>
      <c r="J653" s="89" t="s">
        <v>3752</v>
      </c>
      <c r="K653" s="30" t="s">
        <v>200</v>
      </c>
      <c r="L653" s="30" t="s">
        <v>3753</v>
      </c>
      <c r="M653" s="30" t="s">
        <v>63</v>
      </c>
      <c r="N653" s="30">
        <v>0</v>
      </c>
      <c r="O653" s="30" t="s">
        <v>77</v>
      </c>
      <c r="P653" s="89" t="s">
        <v>78</v>
      </c>
      <c r="Q653" s="89" t="s">
        <v>1716</v>
      </c>
      <c r="R653" s="89" t="s">
        <v>203</v>
      </c>
      <c r="S653" s="30">
        <v>0</v>
      </c>
      <c r="T653" s="233" t="s">
        <v>68</v>
      </c>
      <c r="U653" s="30">
        <v>0</v>
      </c>
      <c r="V653" s="233" t="s">
        <v>68</v>
      </c>
      <c r="W653" s="30">
        <v>0</v>
      </c>
      <c r="X653" s="30">
        <v>0</v>
      </c>
      <c r="Y653" s="30">
        <v>0</v>
      </c>
      <c r="Z653" s="233" t="s">
        <v>68</v>
      </c>
      <c r="AA653" s="30">
        <v>0</v>
      </c>
      <c r="AB653" s="30">
        <v>0</v>
      </c>
      <c r="AC653" s="30">
        <v>0</v>
      </c>
      <c r="AD653" s="30">
        <v>0</v>
      </c>
      <c r="AE653" s="89" t="s">
        <v>68</v>
      </c>
      <c r="AF653" s="89"/>
      <c r="AG653" s="89" t="s">
        <v>82</v>
      </c>
      <c r="AH653" s="72" t="s">
        <v>68</v>
      </c>
      <c r="AI653" s="30">
        <v>0</v>
      </c>
      <c r="AJ653" s="89" t="s">
        <v>68</v>
      </c>
      <c r="AK653" s="89" t="s">
        <v>3754</v>
      </c>
      <c r="AL653" s="91">
        <v>39945</v>
      </c>
      <c r="AM653" s="91"/>
      <c r="AN653" s="91"/>
      <c r="AO653" s="91"/>
      <c r="AP653" s="73" t="e">
        <f>MID(VLOOKUP(K653,#REF!,2,FALSE),1,2)</f>
        <v>#REF!</v>
      </c>
      <c r="AQ653" s="89">
        <f>DATE(2009,4,9)</f>
        <v>39912</v>
      </c>
      <c r="AR653" s="82">
        <f t="shared" si="46"/>
        <v>9</v>
      </c>
      <c r="AS653" s="83">
        <f t="shared" si="47"/>
        <v>4</v>
      </c>
      <c r="AT653" s="84">
        <f t="shared" si="48"/>
        <v>2009</v>
      </c>
      <c r="AU653" s="86"/>
      <c r="AV653" s="86"/>
      <c r="AW653" s="87"/>
      <c r="AX653" s="86"/>
      <c r="AY653" s="83"/>
      <c r="AZ653" s="84"/>
      <c r="BA653" s="86"/>
      <c r="BB653" s="86"/>
    </row>
    <row r="654" spans="1:54" ht="36.75" customHeight="1">
      <c r="A654" s="30"/>
      <c r="B654" s="30" t="s">
        <v>55</v>
      </c>
      <c r="C654" s="69" t="str">
        <f t="shared" si="45"/>
        <v>Closed</v>
      </c>
      <c r="D654" s="27" t="s">
        <v>3755</v>
      </c>
      <c r="E654" s="29" t="s">
        <v>3756</v>
      </c>
      <c r="F654" s="30" t="s">
        <v>835</v>
      </c>
      <c r="G654" s="89">
        <f>DATE(2009,4,14)</f>
        <v>39917</v>
      </c>
      <c r="H654" s="90">
        <v>1.5534722222222221</v>
      </c>
      <c r="I654" s="30" t="s">
        <v>104</v>
      </c>
      <c r="J654" s="89" t="s">
        <v>3757</v>
      </c>
      <c r="K654" s="30" t="s">
        <v>837</v>
      </c>
      <c r="L654" s="30" t="s">
        <v>3758</v>
      </c>
      <c r="M654" s="30" t="s">
        <v>63</v>
      </c>
      <c r="N654" s="30">
        <v>0</v>
      </c>
      <c r="O654" s="30" t="s">
        <v>77</v>
      </c>
      <c r="P654" s="89" t="s">
        <v>65</v>
      </c>
      <c r="Q654" s="89" t="s">
        <v>2162</v>
      </c>
      <c r="R654" s="89" t="s">
        <v>840</v>
      </c>
      <c r="S654" s="30">
        <v>0</v>
      </c>
      <c r="T654" s="233" t="s">
        <v>68</v>
      </c>
      <c r="U654" s="30">
        <v>0</v>
      </c>
      <c r="V654" s="233" t="s">
        <v>68</v>
      </c>
      <c r="W654" s="30">
        <v>0</v>
      </c>
      <c r="X654" s="30">
        <v>0</v>
      </c>
      <c r="Y654" s="30">
        <v>0</v>
      </c>
      <c r="Z654" s="233" t="s">
        <v>68</v>
      </c>
      <c r="AA654" s="30">
        <v>0</v>
      </c>
      <c r="AB654" s="30">
        <v>0</v>
      </c>
      <c r="AC654" s="30">
        <v>0</v>
      </c>
      <c r="AD654" s="30">
        <v>0</v>
      </c>
      <c r="AE654" s="89" t="s">
        <v>68</v>
      </c>
      <c r="AF654" s="89"/>
      <c r="AG654" s="89" t="s">
        <v>352</v>
      </c>
      <c r="AH654" s="72" t="s">
        <v>68</v>
      </c>
      <c r="AI654" s="30">
        <v>4</v>
      </c>
      <c r="AJ654" s="89" t="s">
        <v>68</v>
      </c>
      <c r="AK654" s="89" t="s">
        <v>68</v>
      </c>
      <c r="AL654" s="91">
        <v>39955</v>
      </c>
      <c r="AM654" s="91"/>
      <c r="AN654" s="91"/>
      <c r="AO654" s="91"/>
      <c r="AP654" s="73" t="e">
        <f>MID(VLOOKUP(K654,#REF!,2,FALSE),1,2)</f>
        <v>#REF!</v>
      </c>
      <c r="AQ654" s="89">
        <f>DATE(2009,4,14)</f>
        <v>39917</v>
      </c>
      <c r="AR654" s="82">
        <f t="shared" si="46"/>
        <v>14</v>
      </c>
      <c r="AS654" s="83">
        <f t="shared" si="47"/>
        <v>4</v>
      </c>
      <c r="AT654" s="84">
        <f t="shared" si="48"/>
        <v>2009</v>
      </c>
      <c r="AU654" s="86"/>
      <c r="AV654" s="86"/>
      <c r="AW654" s="87"/>
      <c r="AX654" s="86"/>
      <c r="AY654" s="83"/>
      <c r="AZ654" s="84"/>
      <c r="BA654" s="86"/>
      <c r="BB654" s="86"/>
    </row>
    <row r="655" spans="1:54" ht="36.75" customHeight="1">
      <c r="A655" s="30"/>
      <c r="B655" s="30" t="s">
        <v>55</v>
      </c>
      <c r="C655" s="69" t="str">
        <f t="shared" si="45"/>
        <v>Closed</v>
      </c>
      <c r="D655" s="27" t="s">
        <v>3759</v>
      </c>
      <c r="E655" s="29" t="s">
        <v>3760</v>
      </c>
      <c r="F655" s="30" t="s">
        <v>3148</v>
      </c>
      <c r="G655" s="89">
        <f>DATE(2009,4,15)</f>
        <v>39918</v>
      </c>
      <c r="H655" s="90">
        <v>1.39375</v>
      </c>
      <c r="I655" s="30" t="s">
        <v>278</v>
      </c>
      <c r="J655" s="89" t="s">
        <v>3761</v>
      </c>
      <c r="K655" s="30" t="s">
        <v>3150</v>
      </c>
      <c r="L655" s="30" t="s">
        <v>3762</v>
      </c>
      <c r="M655" s="30" t="s">
        <v>63</v>
      </c>
      <c r="N655" s="30">
        <v>0</v>
      </c>
      <c r="O655" s="30" t="s">
        <v>64</v>
      </c>
      <c r="P655" s="89" t="s">
        <v>78</v>
      </c>
      <c r="Q655" s="89" t="s">
        <v>3152</v>
      </c>
      <c r="R655" s="89" t="s">
        <v>3153</v>
      </c>
      <c r="S655" s="30">
        <v>0</v>
      </c>
      <c r="T655" s="233">
        <v>1</v>
      </c>
      <c r="U655" s="30">
        <v>0</v>
      </c>
      <c r="V655" s="233">
        <v>0</v>
      </c>
      <c r="W655" s="30">
        <v>0</v>
      </c>
      <c r="X655" s="30">
        <v>1</v>
      </c>
      <c r="Y655" s="30">
        <v>0</v>
      </c>
      <c r="Z655" s="233">
        <v>0</v>
      </c>
      <c r="AA655" s="30">
        <v>0</v>
      </c>
      <c r="AB655" s="30">
        <v>0</v>
      </c>
      <c r="AC655" s="30">
        <v>0</v>
      </c>
      <c r="AD655" s="30">
        <v>0</v>
      </c>
      <c r="AE655" s="89" t="s">
        <v>68</v>
      </c>
      <c r="AF655" s="89"/>
      <c r="AG655" s="89" t="s">
        <v>1507</v>
      </c>
      <c r="AH655" s="72" t="s">
        <v>68</v>
      </c>
      <c r="AI655" s="30">
        <v>1</v>
      </c>
      <c r="AJ655" s="89" t="s">
        <v>68</v>
      </c>
      <c r="AK655" s="89" t="s">
        <v>68</v>
      </c>
      <c r="AL655" s="91">
        <v>39923</v>
      </c>
      <c r="AM655" s="91"/>
      <c r="AN655" s="91"/>
      <c r="AO655" s="91"/>
      <c r="AP655" s="73" t="e">
        <f>MID(VLOOKUP(K655,#REF!,2,FALSE),1,2)</f>
        <v>#REF!</v>
      </c>
      <c r="AQ655" s="89">
        <f>DATE(2009,4,15)</f>
        <v>39918</v>
      </c>
      <c r="AR655" s="82">
        <f t="shared" si="46"/>
        <v>15</v>
      </c>
      <c r="AS655" s="83">
        <f t="shared" si="47"/>
        <v>4</v>
      </c>
      <c r="AT655" s="84">
        <f t="shared" si="48"/>
        <v>2009</v>
      </c>
      <c r="AU655" s="86"/>
      <c r="AV655" s="86"/>
      <c r="AW655" s="87"/>
      <c r="AX655" s="86"/>
      <c r="AY655" s="83"/>
      <c r="AZ655" s="84"/>
      <c r="BA655" s="86"/>
      <c r="BB655" s="86"/>
    </row>
    <row r="656" spans="1:54" ht="36.75" customHeight="1">
      <c r="A656" s="30"/>
      <c r="B656" s="30" t="s">
        <v>55</v>
      </c>
      <c r="C656" s="69" t="str">
        <f t="shared" si="45"/>
        <v>Closed</v>
      </c>
      <c r="D656" s="27" t="s">
        <v>3763</v>
      </c>
      <c r="E656" s="29" t="s">
        <v>3764</v>
      </c>
      <c r="F656" s="30" t="s">
        <v>582</v>
      </c>
      <c r="G656" s="89">
        <f>DATE(2009,4,16)</f>
        <v>39919</v>
      </c>
      <c r="H656" s="90">
        <v>1.9277777777777776</v>
      </c>
      <c r="I656" s="30" t="s">
        <v>198</v>
      </c>
      <c r="J656" s="89" t="s">
        <v>3765</v>
      </c>
      <c r="K656" s="30" t="s">
        <v>584</v>
      </c>
      <c r="L656" s="30" t="s">
        <v>3766</v>
      </c>
      <c r="M656" s="30" t="s">
        <v>63</v>
      </c>
      <c r="N656" s="30">
        <v>0</v>
      </c>
      <c r="O656" s="30" t="s">
        <v>77</v>
      </c>
      <c r="P656" s="89" t="s">
        <v>216</v>
      </c>
      <c r="Q656" s="89" t="s">
        <v>3767</v>
      </c>
      <c r="R656" s="89" t="s">
        <v>587</v>
      </c>
      <c r="S656" s="30">
        <v>0</v>
      </c>
      <c r="T656" s="233">
        <v>0</v>
      </c>
      <c r="U656" s="30">
        <v>0</v>
      </c>
      <c r="V656" s="233">
        <v>0</v>
      </c>
      <c r="W656" s="30">
        <v>0</v>
      </c>
      <c r="X656" s="30">
        <v>0</v>
      </c>
      <c r="Y656" s="30">
        <v>0</v>
      </c>
      <c r="Z656" s="233">
        <v>1</v>
      </c>
      <c r="AA656" s="30">
        <v>0</v>
      </c>
      <c r="AB656" s="30">
        <v>0</v>
      </c>
      <c r="AC656" s="30">
        <v>0</v>
      </c>
      <c r="AD656" s="30">
        <v>1</v>
      </c>
      <c r="AE656" s="89" t="s">
        <v>68</v>
      </c>
      <c r="AF656" s="89"/>
      <c r="AG656" s="89" t="s">
        <v>133</v>
      </c>
      <c r="AH656" s="72" t="s">
        <v>68</v>
      </c>
      <c r="AI656" s="30">
        <v>3</v>
      </c>
      <c r="AJ656" s="89" t="s">
        <v>68</v>
      </c>
      <c r="AK656" s="89" t="s">
        <v>68</v>
      </c>
      <c r="AL656" s="91">
        <v>39925</v>
      </c>
      <c r="AM656" s="91"/>
      <c r="AN656" s="91"/>
      <c r="AO656" s="91"/>
      <c r="AP656" s="73" t="e">
        <f>MID(VLOOKUP(K656,#REF!,2,FALSE),1,2)</f>
        <v>#REF!</v>
      </c>
      <c r="AQ656" s="89">
        <f>DATE(2009,4,16)</f>
        <v>39919</v>
      </c>
      <c r="AR656" s="82">
        <f t="shared" si="46"/>
        <v>16</v>
      </c>
      <c r="AS656" s="83">
        <f t="shared" si="47"/>
        <v>4</v>
      </c>
      <c r="AT656" s="84">
        <f t="shared" si="48"/>
        <v>2009</v>
      </c>
      <c r="AU656" s="86"/>
      <c r="AV656" s="86"/>
      <c r="AW656" s="87"/>
      <c r="AX656" s="86"/>
      <c r="AY656" s="83"/>
      <c r="AZ656" s="84"/>
      <c r="BA656" s="86"/>
      <c r="BB656" s="86"/>
    </row>
    <row r="657" spans="1:54" ht="36.75" customHeight="1">
      <c r="A657" s="30"/>
      <c r="B657" s="30" t="s">
        <v>55</v>
      </c>
      <c r="C657" s="69" t="str">
        <f t="shared" si="45"/>
        <v>Closed</v>
      </c>
      <c r="D657" s="27" t="s">
        <v>3768</v>
      </c>
      <c r="E657" s="29" t="s">
        <v>3769</v>
      </c>
      <c r="F657" s="30" t="s">
        <v>638</v>
      </c>
      <c r="G657" s="89">
        <f>DATE(2009,4,17)</f>
        <v>39920</v>
      </c>
      <c r="H657" s="90">
        <v>1.8069444444444445</v>
      </c>
      <c r="I657" s="30" t="s">
        <v>104</v>
      </c>
      <c r="J657" s="89" t="s">
        <v>3770</v>
      </c>
      <c r="K657" s="30" t="s">
        <v>640</v>
      </c>
      <c r="L657" s="30" t="s">
        <v>3771</v>
      </c>
      <c r="M657" s="30" t="s">
        <v>63</v>
      </c>
      <c r="N657" s="30">
        <v>0</v>
      </c>
      <c r="O657" s="30" t="s">
        <v>77</v>
      </c>
      <c r="P657" s="89" t="s">
        <v>165</v>
      </c>
      <c r="Q657" s="89" t="s">
        <v>642</v>
      </c>
      <c r="R657" s="89" t="s">
        <v>643</v>
      </c>
      <c r="S657" s="30">
        <v>0</v>
      </c>
      <c r="T657" s="233" t="s">
        <v>68</v>
      </c>
      <c r="U657" s="30">
        <v>0</v>
      </c>
      <c r="V657" s="233" t="s">
        <v>68</v>
      </c>
      <c r="W657" s="30">
        <v>0</v>
      </c>
      <c r="X657" s="30">
        <v>0</v>
      </c>
      <c r="Y657" s="30">
        <v>0</v>
      </c>
      <c r="Z657" s="233" t="s">
        <v>68</v>
      </c>
      <c r="AA657" s="30">
        <v>0</v>
      </c>
      <c r="AB657" s="30">
        <v>0</v>
      </c>
      <c r="AC657" s="30">
        <v>0</v>
      </c>
      <c r="AD657" s="30">
        <v>0</v>
      </c>
      <c r="AE657" s="89" t="s">
        <v>68</v>
      </c>
      <c r="AF657" s="89"/>
      <c r="AG657" s="89" t="s">
        <v>352</v>
      </c>
      <c r="AH657" s="72" t="s">
        <v>68</v>
      </c>
      <c r="AI657" s="30">
        <v>1</v>
      </c>
      <c r="AJ657" s="89" t="s">
        <v>3772</v>
      </c>
      <c r="AK657" s="89" t="s">
        <v>68</v>
      </c>
      <c r="AL657" s="91">
        <v>39951</v>
      </c>
      <c r="AM657" s="91"/>
      <c r="AN657" s="91"/>
      <c r="AO657" s="91"/>
      <c r="AP657" s="73" t="e">
        <f>MID(VLOOKUP(K657,#REF!,2,FALSE),1,2)</f>
        <v>#REF!</v>
      </c>
      <c r="AQ657" s="89">
        <f>DATE(2009,4,17)</f>
        <v>39920</v>
      </c>
      <c r="AR657" s="82">
        <f t="shared" si="46"/>
        <v>17</v>
      </c>
      <c r="AS657" s="83">
        <f t="shared" si="47"/>
        <v>4</v>
      </c>
      <c r="AT657" s="84">
        <f t="shared" si="48"/>
        <v>2009</v>
      </c>
      <c r="AU657" s="86"/>
      <c r="AV657" s="86"/>
      <c r="AW657" s="87"/>
      <c r="AX657" s="86"/>
      <c r="AY657" s="83"/>
      <c r="AZ657" s="84"/>
      <c r="BA657" s="86"/>
      <c r="BB657" s="86"/>
    </row>
    <row r="658" spans="1:54" ht="36.75" customHeight="1">
      <c r="A658" s="30"/>
      <c r="B658" s="30" t="s">
        <v>55</v>
      </c>
      <c r="C658" s="69" t="str">
        <f t="shared" si="45"/>
        <v>Closed</v>
      </c>
      <c r="D658" s="27" t="s">
        <v>3773</v>
      </c>
      <c r="E658" s="29" t="s">
        <v>3774</v>
      </c>
      <c r="F658" s="30" t="s">
        <v>835</v>
      </c>
      <c r="G658" s="89">
        <f>DATE(2009,4,21)</f>
        <v>39924</v>
      </c>
      <c r="H658" s="90">
        <v>1.6124999999999998</v>
      </c>
      <c r="I658" s="30" t="s">
        <v>73</v>
      </c>
      <c r="J658" s="89" t="s">
        <v>3775</v>
      </c>
      <c r="K658" s="30" t="s">
        <v>837</v>
      </c>
      <c r="L658" s="30" t="s">
        <v>3776</v>
      </c>
      <c r="M658" s="30" t="s">
        <v>63</v>
      </c>
      <c r="N658" s="30">
        <v>0</v>
      </c>
      <c r="O658" s="30" t="s">
        <v>77</v>
      </c>
      <c r="P658" s="89" t="s">
        <v>78</v>
      </c>
      <c r="Q658" s="89" t="s">
        <v>3777</v>
      </c>
      <c r="R658" s="89" t="s">
        <v>840</v>
      </c>
      <c r="S658" s="30">
        <v>0</v>
      </c>
      <c r="T658" s="233" t="s">
        <v>68</v>
      </c>
      <c r="U658" s="30">
        <v>0</v>
      </c>
      <c r="V658" s="233" t="s">
        <v>68</v>
      </c>
      <c r="W658" s="30">
        <v>0</v>
      </c>
      <c r="X658" s="30">
        <v>0</v>
      </c>
      <c r="Y658" s="30">
        <v>0</v>
      </c>
      <c r="Z658" s="233" t="s">
        <v>68</v>
      </c>
      <c r="AA658" s="30">
        <v>0</v>
      </c>
      <c r="AB658" s="30">
        <v>0</v>
      </c>
      <c r="AC658" s="30">
        <v>0</v>
      </c>
      <c r="AD658" s="30">
        <v>0</v>
      </c>
      <c r="AE658" s="89" t="s">
        <v>68</v>
      </c>
      <c r="AF658" s="89"/>
      <c r="AG658" s="89" t="s">
        <v>352</v>
      </c>
      <c r="AH658" s="72" t="s">
        <v>68</v>
      </c>
      <c r="AI658" s="30">
        <v>1</v>
      </c>
      <c r="AJ658" s="89" t="s">
        <v>68</v>
      </c>
      <c r="AK658" s="89" t="s">
        <v>68</v>
      </c>
      <c r="AL658" s="91">
        <v>39955</v>
      </c>
      <c r="AM658" s="91"/>
      <c r="AN658" s="91"/>
      <c r="AO658" s="91"/>
      <c r="AP658" s="73" t="e">
        <f>MID(VLOOKUP(K658,#REF!,2,FALSE),1,2)</f>
        <v>#REF!</v>
      </c>
      <c r="AQ658" s="89">
        <f>DATE(2009,4,21)</f>
        <v>39924</v>
      </c>
      <c r="AR658" s="82">
        <f t="shared" si="46"/>
        <v>21</v>
      </c>
      <c r="AS658" s="83">
        <f t="shared" si="47"/>
        <v>4</v>
      </c>
      <c r="AT658" s="84">
        <f t="shared" si="48"/>
        <v>2009</v>
      </c>
      <c r="AU658" s="86"/>
      <c r="AV658" s="86"/>
      <c r="AW658" s="87"/>
      <c r="AX658" s="86"/>
      <c r="AY658" s="83"/>
      <c r="AZ658" s="84"/>
      <c r="BA658" s="86"/>
      <c r="BB658" s="86"/>
    </row>
    <row r="659" spans="1:54" ht="36.75" customHeight="1">
      <c r="A659" s="30"/>
      <c r="B659" s="30" t="s">
        <v>55</v>
      </c>
      <c r="C659" s="69" t="str">
        <f t="shared" si="45"/>
        <v>Closed</v>
      </c>
      <c r="D659" s="27" t="s">
        <v>3778</v>
      </c>
      <c r="E659" s="29" t="s">
        <v>3779</v>
      </c>
      <c r="F659" s="30" t="s">
        <v>423</v>
      </c>
      <c r="G659" s="89">
        <f>DATE(2009,4,24)</f>
        <v>39927</v>
      </c>
      <c r="H659" s="90">
        <v>1.1736111111111112</v>
      </c>
      <c r="I659" s="30" t="s">
        <v>73</v>
      </c>
      <c r="J659" s="89" t="s">
        <v>3780</v>
      </c>
      <c r="K659" s="30" t="s">
        <v>425</v>
      </c>
      <c r="L659" s="30" t="s">
        <v>3781</v>
      </c>
      <c r="M659" s="30" t="s">
        <v>63</v>
      </c>
      <c r="N659" s="30">
        <v>0</v>
      </c>
      <c r="O659" s="30" t="s">
        <v>77</v>
      </c>
      <c r="P659" s="89" t="s">
        <v>78</v>
      </c>
      <c r="Q659" s="89" t="s">
        <v>3782</v>
      </c>
      <c r="R659" s="89" t="s">
        <v>3103</v>
      </c>
      <c r="S659" s="30">
        <v>0</v>
      </c>
      <c r="T659" s="233" t="s">
        <v>68</v>
      </c>
      <c r="U659" s="30">
        <v>0</v>
      </c>
      <c r="V659" s="233" t="s">
        <v>68</v>
      </c>
      <c r="W659" s="30">
        <v>0</v>
      </c>
      <c r="X659" s="30">
        <v>0</v>
      </c>
      <c r="Y659" s="30">
        <v>0</v>
      </c>
      <c r="Z659" s="233" t="s">
        <v>68</v>
      </c>
      <c r="AA659" s="30">
        <v>0</v>
      </c>
      <c r="AB659" s="30">
        <v>0</v>
      </c>
      <c r="AC659" s="30">
        <v>0</v>
      </c>
      <c r="AD659" s="30">
        <v>0</v>
      </c>
      <c r="AE659" s="89" t="s">
        <v>68</v>
      </c>
      <c r="AF659" s="89"/>
      <c r="AG659" s="89" t="s">
        <v>352</v>
      </c>
      <c r="AH659" s="72" t="s">
        <v>68</v>
      </c>
      <c r="AI659" s="30">
        <v>1</v>
      </c>
      <c r="AJ659" s="89" t="s">
        <v>68</v>
      </c>
      <c r="AK659" s="89" t="s">
        <v>68</v>
      </c>
      <c r="AL659" s="91">
        <v>39990</v>
      </c>
      <c r="AM659" s="91"/>
      <c r="AN659" s="91"/>
      <c r="AO659" s="91"/>
      <c r="AP659" s="73" t="e">
        <f>MID(VLOOKUP(K659,#REF!,2,FALSE),1,2)</f>
        <v>#REF!</v>
      </c>
      <c r="AQ659" s="89">
        <f>DATE(2009,4,24)</f>
        <v>39927</v>
      </c>
      <c r="AR659" s="82">
        <f t="shared" si="46"/>
        <v>24</v>
      </c>
      <c r="AS659" s="83">
        <f t="shared" si="47"/>
        <v>4</v>
      </c>
      <c r="AT659" s="84">
        <f t="shared" si="48"/>
        <v>2009</v>
      </c>
      <c r="AU659" s="86"/>
      <c r="AV659" s="86"/>
      <c r="AW659" s="87"/>
      <c r="AX659" s="86"/>
      <c r="AY659" s="83"/>
      <c r="AZ659" s="84"/>
      <c r="BA659" s="86"/>
      <c r="BB659" s="86"/>
    </row>
    <row r="660" spans="1:54" ht="36.75" customHeight="1">
      <c r="A660" s="30"/>
      <c r="B660" s="30" t="s">
        <v>55</v>
      </c>
      <c r="C660" s="69" t="str">
        <f t="shared" si="45"/>
        <v>Closed</v>
      </c>
      <c r="D660" s="27" t="s">
        <v>3783</v>
      </c>
      <c r="E660" s="29" t="s">
        <v>3784</v>
      </c>
      <c r="F660" s="30" t="s">
        <v>58</v>
      </c>
      <c r="G660" s="89">
        <f>DATE(2009,4,25)</f>
        <v>39928</v>
      </c>
      <c r="H660" s="90">
        <v>1.5472222222222221</v>
      </c>
      <c r="I660" s="30" t="s">
        <v>116</v>
      </c>
      <c r="J660" s="89" t="s">
        <v>3785</v>
      </c>
      <c r="K660" s="30" t="s">
        <v>61</v>
      </c>
      <c r="L660" s="30" t="s">
        <v>3786</v>
      </c>
      <c r="M660" s="30" t="s">
        <v>63</v>
      </c>
      <c r="N660" s="30" t="s">
        <v>99</v>
      </c>
      <c r="O660" s="30" t="s">
        <v>64</v>
      </c>
      <c r="P660" s="89" t="s">
        <v>78</v>
      </c>
      <c r="Q660" s="89" t="s">
        <v>66</v>
      </c>
      <c r="R660" s="89" t="s">
        <v>67</v>
      </c>
      <c r="S660" s="30">
        <v>0</v>
      </c>
      <c r="T660" s="233">
        <v>0</v>
      </c>
      <c r="U660" s="30">
        <v>1</v>
      </c>
      <c r="V660" s="233">
        <v>0</v>
      </c>
      <c r="W660" s="30">
        <v>0</v>
      </c>
      <c r="X660" s="30">
        <v>1</v>
      </c>
      <c r="Y660" s="30">
        <v>0</v>
      </c>
      <c r="Z660" s="233">
        <v>0</v>
      </c>
      <c r="AA660" s="30">
        <v>0</v>
      </c>
      <c r="AB660" s="30">
        <v>0</v>
      </c>
      <c r="AC660" s="30">
        <v>0</v>
      </c>
      <c r="AD660" s="30">
        <v>0</v>
      </c>
      <c r="AE660" s="89" t="s">
        <v>92</v>
      </c>
      <c r="AF660" s="89"/>
      <c r="AG660" s="89" t="s">
        <v>82</v>
      </c>
      <c r="AH660" s="72" t="s">
        <v>68</v>
      </c>
      <c r="AI660" s="30">
        <v>1</v>
      </c>
      <c r="AJ660" s="89" t="s">
        <v>3787</v>
      </c>
      <c r="AK660" s="89" t="s">
        <v>3788</v>
      </c>
      <c r="AL660" s="91">
        <v>39932</v>
      </c>
      <c r="AM660" s="91"/>
      <c r="AN660" s="91"/>
      <c r="AO660" s="91"/>
      <c r="AP660" s="73" t="e">
        <f>MID(VLOOKUP(K660,#REF!,2,FALSE),1,2)</f>
        <v>#REF!</v>
      </c>
      <c r="AQ660" s="89">
        <f>DATE(2009,4,25)</f>
        <v>39928</v>
      </c>
      <c r="AR660" s="82">
        <f t="shared" si="46"/>
        <v>25</v>
      </c>
      <c r="AS660" s="83">
        <f t="shared" si="47"/>
        <v>4</v>
      </c>
      <c r="AT660" s="84">
        <f t="shared" si="48"/>
        <v>2009</v>
      </c>
      <c r="AU660" s="86"/>
      <c r="AV660" s="86"/>
      <c r="AW660" s="87"/>
      <c r="AX660" s="86"/>
      <c r="AY660" s="83"/>
      <c r="AZ660" s="84"/>
      <c r="BA660" s="86"/>
      <c r="BB660" s="86"/>
    </row>
    <row r="661" spans="1:54" ht="36.75" customHeight="1">
      <c r="A661" s="30"/>
      <c r="B661" s="30" t="s">
        <v>55</v>
      </c>
      <c r="C661" s="69" t="str">
        <f t="shared" si="45"/>
        <v>Closed</v>
      </c>
      <c r="D661" s="27" t="s">
        <v>3789</v>
      </c>
      <c r="E661" s="29" t="s">
        <v>3790</v>
      </c>
      <c r="F661" s="30" t="s">
        <v>138</v>
      </c>
      <c r="G661" s="89">
        <f>DATE(2009,5,2)</f>
        <v>39935</v>
      </c>
      <c r="H661" s="90">
        <v>1.6388888888888888</v>
      </c>
      <c r="I661" s="30" t="s">
        <v>487</v>
      </c>
      <c r="J661" s="89" t="s">
        <v>3791</v>
      </c>
      <c r="K661" s="30" t="s">
        <v>140</v>
      </c>
      <c r="L661" s="30" t="s">
        <v>3792</v>
      </c>
      <c r="M661" s="30" t="s">
        <v>63</v>
      </c>
      <c r="N661" s="30" t="s">
        <v>142</v>
      </c>
      <c r="O661" s="30" t="s">
        <v>90</v>
      </c>
      <c r="P661" s="89" t="s">
        <v>91</v>
      </c>
      <c r="Q661" s="89" t="s">
        <v>3793</v>
      </c>
      <c r="R661" s="89" t="s">
        <v>144</v>
      </c>
      <c r="S661" s="30">
        <v>0</v>
      </c>
      <c r="T661" s="233">
        <v>0</v>
      </c>
      <c r="U661" s="30">
        <v>0</v>
      </c>
      <c r="V661" s="233">
        <v>0</v>
      </c>
      <c r="W661" s="30">
        <v>0</v>
      </c>
      <c r="X661" s="30">
        <v>0</v>
      </c>
      <c r="Y661" s="30">
        <v>0</v>
      </c>
      <c r="Z661" s="233">
        <v>0</v>
      </c>
      <c r="AA661" s="30">
        <v>0</v>
      </c>
      <c r="AB661" s="30">
        <v>0</v>
      </c>
      <c r="AC661" s="30">
        <v>0</v>
      </c>
      <c r="AD661" s="30">
        <v>0</v>
      </c>
      <c r="AE661" s="89" t="s">
        <v>68</v>
      </c>
      <c r="AF661" s="89"/>
      <c r="AG661" s="89" t="s">
        <v>133</v>
      </c>
      <c r="AH661" s="72">
        <v>39940</v>
      </c>
      <c r="AI661" s="30">
        <v>2</v>
      </c>
      <c r="AJ661" s="89" t="s">
        <v>3794</v>
      </c>
      <c r="AK661" s="89" t="s">
        <v>3795</v>
      </c>
      <c r="AL661" s="91">
        <v>39944</v>
      </c>
      <c r="AM661" s="91"/>
      <c r="AN661" s="91"/>
      <c r="AO661" s="91"/>
      <c r="AP661" s="73" t="e">
        <f>MID(VLOOKUP(K661,#REF!,2,FALSE),1,2)</f>
        <v>#REF!</v>
      </c>
      <c r="AQ661" s="89">
        <f>DATE(2009,5,2)</f>
        <v>39935</v>
      </c>
      <c r="AR661" s="82">
        <f t="shared" si="46"/>
        <v>2</v>
      </c>
      <c r="AS661" s="83">
        <f t="shared" si="47"/>
        <v>5</v>
      </c>
      <c r="AT661" s="84">
        <f t="shared" si="48"/>
        <v>2009</v>
      </c>
      <c r="AU661" s="86"/>
      <c r="AV661" s="86"/>
      <c r="AW661" s="87"/>
      <c r="AX661" s="86"/>
      <c r="AY661" s="83"/>
      <c r="AZ661" s="84"/>
      <c r="BA661" s="86"/>
      <c r="BB661" s="86"/>
    </row>
    <row r="662" spans="1:54" ht="36.75" customHeight="1">
      <c r="A662" s="30"/>
      <c r="B662" s="30" t="s">
        <v>55</v>
      </c>
      <c r="C662" s="69" t="str">
        <f t="shared" si="45"/>
        <v>Closed</v>
      </c>
      <c r="D662" s="27" t="s">
        <v>3796</v>
      </c>
      <c r="E662" s="29" t="s">
        <v>3797</v>
      </c>
      <c r="F662" s="30" t="s">
        <v>233</v>
      </c>
      <c r="G662" s="89">
        <f>DATE(2009,5,6)</f>
        <v>39939</v>
      </c>
      <c r="H662" s="90">
        <v>1.7291666666666665</v>
      </c>
      <c r="I662" s="30" t="s">
        <v>116</v>
      </c>
      <c r="J662" s="89" t="s">
        <v>3798</v>
      </c>
      <c r="K662" s="30" t="s">
        <v>235</v>
      </c>
      <c r="L662" s="30" t="s">
        <v>3799</v>
      </c>
      <c r="M662" s="30" t="s">
        <v>63</v>
      </c>
      <c r="N662" s="30">
        <v>0</v>
      </c>
      <c r="O662" s="30" t="s">
        <v>64</v>
      </c>
      <c r="P662" s="89" t="s">
        <v>165</v>
      </c>
      <c r="Q662" s="89" t="s">
        <v>1428</v>
      </c>
      <c r="R662" s="89" t="s">
        <v>238</v>
      </c>
      <c r="S662" s="30">
        <v>0</v>
      </c>
      <c r="T662" s="233">
        <v>0</v>
      </c>
      <c r="U662" s="30">
        <v>1</v>
      </c>
      <c r="V662" s="233">
        <v>0</v>
      </c>
      <c r="W662" s="30">
        <v>0</v>
      </c>
      <c r="X662" s="30">
        <v>1</v>
      </c>
      <c r="Y662" s="30">
        <v>0</v>
      </c>
      <c r="Z662" s="233">
        <v>0</v>
      </c>
      <c r="AA662" s="30">
        <v>0</v>
      </c>
      <c r="AB662" s="30">
        <v>0</v>
      </c>
      <c r="AC662" s="30">
        <v>0</v>
      </c>
      <c r="AD662" s="30">
        <v>0</v>
      </c>
      <c r="AE662" s="89" t="s">
        <v>68</v>
      </c>
      <c r="AF662" s="89"/>
      <c r="AG662" s="89" t="s">
        <v>82</v>
      </c>
      <c r="AH662" s="72" t="s">
        <v>68</v>
      </c>
      <c r="AI662" s="30">
        <v>3</v>
      </c>
      <c r="AJ662" s="89" t="s">
        <v>3800</v>
      </c>
      <c r="AK662" s="89" t="s">
        <v>3801</v>
      </c>
      <c r="AL662" s="91">
        <v>39952</v>
      </c>
      <c r="AM662" s="91"/>
      <c r="AN662" s="91"/>
      <c r="AO662" s="91"/>
      <c r="AP662" s="73" t="e">
        <f>MID(VLOOKUP(K662,#REF!,2,FALSE),1,2)</f>
        <v>#REF!</v>
      </c>
      <c r="AQ662" s="89">
        <f>DATE(2009,5,6)</f>
        <v>39939</v>
      </c>
      <c r="AR662" s="82">
        <f t="shared" si="46"/>
        <v>6</v>
      </c>
      <c r="AS662" s="83">
        <f t="shared" si="47"/>
        <v>5</v>
      </c>
      <c r="AT662" s="84">
        <f t="shared" si="48"/>
        <v>2009</v>
      </c>
      <c r="AU662" s="86"/>
      <c r="AV662" s="86"/>
      <c r="AW662" s="87"/>
      <c r="AX662" s="86"/>
      <c r="AY662" s="83"/>
      <c r="AZ662" s="84"/>
      <c r="BA662" s="86"/>
      <c r="BB662" s="86"/>
    </row>
    <row r="663" spans="1:54" ht="36.75" customHeight="1">
      <c r="A663" s="30"/>
      <c r="B663" s="30" t="s">
        <v>55</v>
      </c>
      <c r="C663" s="69" t="str">
        <f t="shared" si="45"/>
        <v>Closed</v>
      </c>
      <c r="D663" s="27" t="s">
        <v>3802</v>
      </c>
      <c r="E663" s="29" t="s">
        <v>3803</v>
      </c>
      <c r="F663" s="30" t="s">
        <v>835</v>
      </c>
      <c r="G663" s="89">
        <f>DATE(2009,5,8)</f>
        <v>39941</v>
      </c>
      <c r="H663" s="90">
        <v>1.4875</v>
      </c>
      <c r="I663" s="30" t="s">
        <v>116</v>
      </c>
      <c r="J663" s="89" t="s">
        <v>3804</v>
      </c>
      <c r="K663" s="30" t="s">
        <v>837</v>
      </c>
      <c r="L663" s="30" t="s">
        <v>3805</v>
      </c>
      <c r="M663" s="30" t="s">
        <v>63</v>
      </c>
      <c r="N663" s="30">
        <v>0</v>
      </c>
      <c r="O663" s="30" t="s">
        <v>64</v>
      </c>
      <c r="P663" s="89" t="s">
        <v>165</v>
      </c>
      <c r="Q663" s="89" t="s">
        <v>2162</v>
      </c>
      <c r="R663" s="89" t="s">
        <v>840</v>
      </c>
      <c r="S663" s="30">
        <v>0</v>
      </c>
      <c r="T663" s="233">
        <v>1</v>
      </c>
      <c r="U663" s="30">
        <v>0</v>
      </c>
      <c r="V663" s="233">
        <v>0</v>
      </c>
      <c r="W663" s="30">
        <v>0</v>
      </c>
      <c r="X663" s="30">
        <v>1</v>
      </c>
      <c r="Y663" s="30">
        <v>0</v>
      </c>
      <c r="Z663" s="233">
        <v>0</v>
      </c>
      <c r="AA663" s="30">
        <v>0</v>
      </c>
      <c r="AB663" s="30">
        <v>0</v>
      </c>
      <c r="AC663" s="30">
        <v>0</v>
      </c>
      <c r="AD663" s="30">
        <v>0</v>
      </c>
      <c r="AE663" s="89" t="s">
        <v>68</v>
      </c>
      <c r="AF663" s="89"/>
      <c r="AG663" s="89" t="s">
        <v>352</v>
      </c>
      <c r="AH663" s="72" t="s">
        <v>68</v>
      </c>
      <c r="AI663" s="30">
        <v>0</v>
      </c>
      <c r="AJ663" s="89" t="s">
        <v>68</v>
      </c>
      <c r="AK663" s="89" t="s">
        <v>68</v>
      </c>
      <c r="AL663" s="91">
        <v>39955</v>
      </c>
      <c r="AM663" s="91"/>
      <c r="AN663" s="91"/>
      <c r="AO663" s="91"/>
      <c r="AP663" s="73" t="e">
        <f>MID(VLOOKUP(K663,#REF!,2,FALSE),1,2)</f>
        <v>#REF!</v>
      </c>
      <c r="AQ663" s="89">
        <f>DATE(2009,5,8)</f>
        <v>39941</v>
      </c>
      <c r="AR663" s="82">
        <f t="shared" si="46"/>
        <v>8</v>
      </c>
      <c r="AS663" s="83">
        <f t="shared" si="47"/>
        <v>5</v>
      </c>
      <c r="AT663" s="84">
        <f t="shared" si="48"/>
        <v>2009</v>
      </c>
      <c r="AU663" s="86"/>
      <c r="AV663" s="86"/>
      <c r="AW663" s="87"/>
      <c r="AX663" s="86"/>
      <c r="AY663" s="83"/>
      <c r="AZ663" s="84"/>
      <c r="BA663" s="86"/>
      <c r="BB663" s="86"/>
    </row>
    <row r="664" spans="1:54" ht="36.75" customHeight="1">
      <c r="A664" s="30"/>
      <c r="B664" s="30" t="s">
        <v>55</v>
      </c>
      <c r="C664" s="69" t="str">
        <f t="shared" si="45"/>
        <v>Closed</v>
      </c>
      <c r="D664" s="27" t="s">
        <v>3806</v>
      </c>
      <c r="E664" s="29" t="s">
        <v>3807</v>
      </c>
      <c r="F664" s="30" t="s">
        <v>423</v>
      </c>
      <c r="G664" s="89">
        <f>DATE(2009,5,16)</f>
        <v>39949</v>
      </c>
      <c r="H664" s="90">
        <v>1.9097222222222223</v>
      </c>
      <c r="I664" s="30" t="s">
        <v>198</v>
      </c>
      <c r="J664" s="89" t="s">
        <v>3808</v>
      </c>
      <c r="K664" s="30" t="s">
        <v>425</v>
      </c>
      <c r="L664" s="30" t="s">
        <v>3809</v>
      </c>
      <c r="M664" s="30" t="s">
        <v>63</v>
      </c>
      <c r="N664" s="30">
        <v>0</v>
      </c>
      <c r="O664" s="30" t="s">
        <v>90</v>
      </c>
      <c r="P664" s="89" t="s">
        <v>91</v>
      </c>
      <c r="Q664" s="89" t="s">
        <v>2582</v>
      </c>
      <c r="R664" s="89" t="s">
        <v>3103</v>
      </c>
      <c r="S664" s="30">
        <v>0</v>
      </c>
      <c r="T664" s="233" t="s">
        <v>68</v>
      </c>
      <c r="U664" s="30">
        <v>0</v>
      </c>
      <c r="V664" s="233" t="s">
        <v>68</v>
      </c>
      <c r="W664" s="30">
        <v>0</v>
      </c>
      <c r="X664" s="30">
        <v>0</v>
      </c>
      <c r="Y664" s="30">
        <v>0</v>
      </c>
      <c r="Z664" s="233" t="s">
        <v>68</v>
      </c>
      <c r="AA664" s="30">
        <v>0</v>
      </c>
      <c r="AB664" s="30">
        <v>0</v>
      </c>
      <c r="AC664" s="30">
        <v>0</v>
      </c>
      <c r="AD664" s="30">
        <v>0</v>
      </c>
      <c r="AE664" s="89" t="s">
        <v>68</v>
      </c>
      <c r="AF664" s="89"/>
      <c r="AG664" s="89" t="s">
        <v>3810</v>
      </c>
      <c r="AH664" s="72" t="s">
        <v>68</v>
      </c>
      <c r="AI664" s="30">
        <v>1</v>
      </c>
      <c r="AJ664" s="89" t="s">
        <v>68</v>
      </c>
      <c r="AK664" s="89" t="s">
        <v>68</v>
      </c>
      <c r="AL664" s="91">
        <v>40169</v>
      </c>
      <c r="AM664" s="91"/>
      <c r="AN664" s="91"/>
      <c r="AO664" s="91"/>
      <c r="AP664" s="73" t="e">
        <f>MID(VLOOKUP(K664,#REF!,2,FALSE),1,2)</f>
        <v>#REF!</v>
      </c>
      <c r="AQ664" s="89">
        <f>DATE(2009,5,16)</f>
        <v>39949</v>
      </c>
      <c r="AR664" s="82">
        <f t="shared" si="46"/>
        <v>16</v>
      </c>
      <c r="AS664" s="83">
        <f t="shared" si="47"/>
        <v>5</v>
      </c>
      <c r="AT664" s="84">
        <f t="shared" si="48"/>
        <v>2009</v>
      </c>
      <c r="AU664" s="86"/>
      <c r="AV664" s="86"/>
      <c r="AW664" s="87"/>
      <c r="AX664" s="86"/>
      <c r="AY664" s="83"/>
      <c r="AZ664" s="84"/>
      <c r="BA664" s="86"/>
      <c r="BB664" s="86"/>
    </row>
    <row r="665" spans="1:54" ht="36.75" customHeight="1">
      <c r="A665" s="30"/>
      <c r="B665" s="30" t="s">
        <v>55</v>
      </c>
      <c r="C665" s="69" t="str">
        <f t="shared" si="45"/>
        <v>Closed</v>
      </c>
      <c r="D665" s="27" t="s">
        <v>3811</v>
      </c>
      <c r="E665" s="29" t="s">
        <v>3812</v>
      </c>
      <c r="F665" s="30" t="s">
        <v>115</v>
      </c>
      <c r="G665" s="89">
        <f>DATE(2009,5,20)</f>
        <v>39953</v>
      </c>
      <c r="H665" s="90">
        <v>1.0277777777777777</v>
      </c>
      <c r="I665" s="30" t="s">
        <v>198</v>
      </c>
      <c r="J665" s="89" t="s">
        <v>3813</v>
      </c>
      <c r="K665" s="30" t="s">
        <v>118</v>
      </c>
      <c r="L665" s="30" t="s">
        <v>3814</v>
      </c>
      <c r="M665" s="30" t="s">
        <v>63</v>
      </c>
      <c r="N665" s="30">
        <v>0</v>
      </c>
      <c r="O665" s="30" t="s">
        <v>64</v>
      </c>
      <c r="P665" s="89" t="s">
        <v>78</v>
      </c>
      <c r="Q665" s="89" t="s">
        <v>3815</v>
      </c>
      <c r="R665" s="89" t="s">
        <v>121</v>
      </c>
      <c r="S665" s="30">
        <v>0</v>
      </c>
      <c r="T665" s="233" t="s">
        <v>68</v>
      </c>
      <c r="U665" s="30">
        <v>0</v>
      </c>
      <c r="V665" s="233" t="s">
        <v>68</v>
      </c>
      <c r="W665" s="30">
        <v>0</v>
      </c>
      <c r="X665" s="30">
        <v>0</v>
      </c>
      <c r="Y665" s="30">
        <v>0</v>
      </c>
      <c r="Z665" s="233" t="s">
        <v>68</v>
      </c>
      <c r="AA665" s="30">
        <v>0</v>
      </c>
      <c r="AB665" s="30">
        <v>0</v>
      </c>
      <c r="AC665" s="30">
        <v>0</v>
      </c>
      <c r="AD665" s="30">
        <v>0</v>
      </c>
      <c r="AE665" s="89" t="s">
        <v>68</v>
      </c>
      <c r="AF665" s="89"/>
      <c r="AG665" s="89" t="s">
        <v>82</v>
      </c>
      <c r="AH665" s="72" t="s">
        <v>68</v>
      </c>
      <c r="AI665" s="30">
        <v>4</v>
      </c>
      <c r="AJ665" s="89" t="s">
        <v>3816</v>
      </c>
      <c r="AK665" s="89" t="s">
        <v>3817</v>
      </c>
      <c r="AL665" s="91">
        <v>39969</v>
      </c>
      <c r="AM665" s="91"/>
      <c r="AN665" s="91"/>
      <c r="AO665" s="91"/>
      <c r="AP665" s="73" t="e">
        <f>MID(VLOOKUP(K665,#REF!,2,FALSE),1,2)</f>
        <v>#REF!</v>
      </c>
      <c r="AQ665" s="89">
        <f>DATE(2009,5,20)</f>
        <v>39953</v>
      </c>
      <c r="AR665" s="82">
        <f t="shared" si="46"/>
        <v>20</v>
      </c>
      <c r="AS665" s="83">
        <f t="shared" si="47"/>
        <v>5</v>
      </c>
      <c r="AT665" s="84">
        <f t="shared" si="48"/>
        <v>2009</v>
      </c>
      <c r="AU665" s="86"/>
      <c r="AV665" s="86"/>
      <c r="AW665" s="87"/>
      <c r="AX665" s="86"/>
      <c r="AY665" s="83"/>
      <c r="AZ665" s="84"/>
      <c r="BA665" s="86"/>
      <c r="BB665" s="86"/>
    </row>
    <row r="666" spans="1:54" ht="36.75" customHeight="1">
      <c r="A666" s="30"/>
      <c r="B666" s="30" t="s">
        <v>55</v>
      </c>
      <c r="C666" s="69" t="str">
        <f t="shared" si="45"/>
        <v>Closed</v>
      </c>
      <c r="D666" s="27" t="s">
        <v>3818</v>
      </c>
      <c r="E666" s="29" t="s">
        <v>3819</v>
      </c>
      <c r="F666" s="30" t="s">
        <v>1770</v>
      </c>
      <c r="G666" s="89">
        <f>DATE(2009,5,23)</f>
        <v>39956</v>
      </c>
      <c r="H666" s="90">
        <v>1.5291666666666668</v>
      </c>
      <c r="I666" s="30" t="s">
        <v>278</v>
      </c>
      <c r="J666" s="89" t="s">
        <v>3820</v>
      </c>
      <c r="K666" s="30" t="s">
        <v>1772</v>
      </c>
      <c r="L666" s="30" t="s">
        <v>3821</v>
      </c>
      <c r="M666" s="30" t="s">
        <v>63</v>
      </c>
      <c r="N666" s="30" t="s">
        <v>89</v>
      </c>
      <c r="O666" s="30" t="s">
        <v>77</v>
      </c>
      <c r="P666" s="89" t="s">
        <v>165</v>
      </c>
      <c r="Q666" s="89" t="s">
        <v>1774</v>
      </c>
      <c r="R666" s="89" t="s">
        <v>1775</v>
      </c>
      <c r="S666" s="30">
        <v>0</v>
      </c>
      <c r="T666" s="233">
        <v>0</v>
      </c>
      <c r="U666" s="30">
        <v>0</v>
      </c>
      <c r="V666" s="233">
        <v>0</v>
      </c>
      <c r="W666" s="30">
        <v>0</v>
      </c>
      <c r="X666" s="30">
        <v>0</v>
      </c>
      <c r="Y666" s="30">
        <v>1</v>
      </c>
      <c r="Z666" s="233">
        <v>1</v>
      </c>
      <c r="AA666" s="30">
        <v>0</v>
      </c>
      <c r="AB666" s="30">
        <v>0</v>
      </c>
      <c r="AC666" s="30">
        <v>0</v>
      </c>
      <c r="AD666" s="30">
        <v>2</v>
      </c>
      <c r="AE666" s="89" t="s">
        <v>394</v>
      </c>
      <c r="AF666" s="89"/>
      <c r="AG666" s="89" t="s">
        <v>874</v>
      </c>
      <c r="AH666" s="72">
        <v>39958</v>
      </c>
      <c r="AI666" s="30">
        <v>6</v>
      </c>
      <c r="AJ666" s="89" t="s">
        <v>3822</v>
      </c>
      <c r="AK666" s="89" t="s">
        <v>1233</v>
      </c>
      <c r="AL666" s="91">
        <v>40003</v>
      </c>
      <c r="AM666" s="91"/>
      <c r="AN666" s="91"/>
      <c r="AO666" s="91"/>
      <c r="AP666" s="73" t="e">
        <f>MID(VLOOKUP(K666,#REF!,2,FALSE),1,2)</f>
        <v>#REF!</v>
      </c>
      <c r="AQ666" s="89">
        <f>DATE(2009,5,23)</f>
        <v>39956</v>
      </c>
      <c r="AR666" s="82">
        <f t="shared" si="46"/>
        <v>23</v>
      </c>
      <c r="AS666" s="83">
        <f t="shared" si="47"/>
        <v>5</v>
      </c>
      <c r="AT666" s="84">
        <f t="shared" si="48"/>
        <v>2009</v>
      </c>
      <c r="AU666" s="86"/>
      <c r="AV666" s="86"/>
      <c r="AW666" s="87"/>
      <c r="AX666" s="86"/>
      <c r="AY666" s="83"/>
      <c r="AZ666" s="84"/>
      <c r="BA666" s="86"/>
      <c r="BB666" s="86"/>
    </row>
    <row r="667" spans="1:54" ht="36.75" customHeight="1">
      <c r="A667" s="30"/>
      <c r="B667" s="30" t="s">
        <v>55</v>
      </c>
      <c r="C667" s="69" t="str">
        <f t="shared" si="45"/>
        <v>Closed</v>
      </c>
      <c r="D667" s="27" t="s">
        <v>3823</v>
      </c>
      <c r="E667" s="29" t="s">
        <v>3824</v>
      </c>
      <c r="F667" s="30" t="s">
        <v>1749</v>
      </c>
      <c r="G667" s="89">
        <f>DATE(2009,5,24)</f>
        <v>39957</v>
      </c>
      <c r="H667" s="90">
        <v>1.7743055555555554</v>
      </c>
      <c r="I667" s="30" t="s">
        <v>116</v>
      </c>
      <c r="J667" s="89" t="s">
        <v>3825</v>
      </c>
      <c r="K667" s="30" t="s">
        <v>1751</v>
      </c>
      <c r="L667" s="30" t="s">
        <v>3826</v>
      </c>
      <c r="M667" s="30" t="s">
        <v>63</v>
      </c>
      <c r="N667" s="30">
        <v>0</v>
      </c>
      <c r="O667" s="30" t="s">
        <v>64</v>
      </c>
      <c r="P667" s="89" t="s">
        <v>86</v>
      </c>
      <c r="Q667" s="89" t="s">
        <v>1753</v>
      </c>
      <c r="R667" s="89" t="s">
        <v>3619</v>
      </c>
      <c r="S667" s="30">
        <v>0</v>
      </c>
      <c r="T667" s="233">
        <v>0</v>
      </c>
      <c r="U667" s="30">
        <v>1</v>
      </c>
      <c r="V667" s="233">
        <v>0</v>
      </c>
      <c r="W667" s="30">
        <v>0</v>
      </c>
      <c r="X667" s="30">
        <v>1</v>
      </c>
      <c r="Y667" s="30">
        <v>0</v>
      </c>
      <c r="Z667" s="233">
        <v>0</v>
      </c>
      <c r="AA667" s="30">
        <v>0</v>
      </c>
      <c r="AB667" s="30">
        <v>0</v>
      </c>
      <c r="AC667" s="30">
        <v>0</v>
      </c>
      <c r="AD667" s="30">
        <v>0</v>
      </c>
      <c r="AE667" s="89" t="s">
        <v>68</v>
      </c>
      <c r="AF667" s="89"/>
      <c r="AG667" s="89" t="s">
        <v>248</v>
      </c>
      <c r="AH667" s="72" t="s">
        <v>68</v>
      </c>
      <c r="AI667" s="30">
        <v>6</v>
      </c>
      <c r="AJ667" s="89" t="s">
        <v>3827</v>
      </c>
      <c r="AK667" s="89" t="s">
        <v>68</v>
      </c>
      <c r="AL667" s="91">
        <v>39961</v>
      </c>
      <c r="AM667" s="91"/>
      <c r="AN667" s="91"/>
      <c r="AO667" s="91"/>
      <c r="AP667" s="73" t="e">
        <f>MID(VLOOKUP(K667,#REF!,2,FALSE),1,2)</f>
        <v>#REF!</v>
      </c>
      <c r="AQ667" s="89">
        <f>DATE(2009,5,24)</f>
        <v>39957</v>
      </c>
      <c r="AR667" s="82">
        <f t="shared" si="46"/>
        <v>24</v>
      </c>
      <c r="AS667" s="83">
        <f t="shared" si="47"/>
        <v>5</v>
      </c>
      <c r="AT667" s="84">
        <f t="shared" si="48"/>
        <v>2009</v>
      </c>
      <c r="AU667" s="86"/>
      <c r="AV667" s="86"/>
      <c r="AW667" s="87"/>
      <c r="AX667" s="86"/>
      <c r="AY667" s="83"/>
      <c r="AZ667" s="84"/>
      <c r="BA667" s="86"/>
      <c r="BB667" s="86"/>
    </row>
    <row r="668" spans="1:54" ht="36.75" customHeight="1">
      <c r="A668" s="30"/>
      <c r="B668" s="30" t="s">
        <v>55</v>
      </c>
      <c r="C668" s="69" t="str">
        <f t="shared" si="45"/>
        <v>Closed</v>
      </c>
      <c r="D668" s="27" t="s">
        <v>3828</v>
      </c>
      <c r="E668" s="29" t="s">
        <v>3829</v>
      </c>
      <c r="F668" s="30" t="s">
        <v>58</v>
      </c>
      <c r="G668" s="89">
        <f>DATE(2009,5,24)</f>
        <v>39957</v>
      </c>
      <c r="H668" s="90">
        <v>1.6027777777777779</v>
      </c>
      <c r="I668" s="30" t="s">
        <v>116</v>
      </c>
      <c r="J668" s="89" t="s">
        <v>3830</v>
      </c>
      <c r="K668" s="30" t="s">
        <v>61</v>
      </c>
      <c r="L668" s="30" t="s">
        <v>3831</v>
      </c>
      <c r="M668" s="30" t="s">
        <v>63</v>
      </c>
      <c r="N668" s="30" t="s">
        <v>99</v>
      </c>
      <c r="O668" s="30" t="s">
        <v>64</v>
      </c>
      <c r="P668" s="89" t="s">
        <v>78</v>
      </c>
      <c r="Q668" s="89" t="s">
        <v>66</v>
      </c>
      <c r="R668" s="89" t="s">
        <v>67</v>
      </c>
      <c r="S668" s="30">
        <v>0</v>
      </c>
      <c r="T668" s="233">
        <v>0</v>
      </c>
      <c r="U668" s="30">
        <v>1</v>
      </c>
      <c r="V668" s="233">
        <v>0</v>
      </c>
      <c r="W668" s="30">
        <v>0</v>
      </c>
      <c r="X668" s="30">
        <v>1</v>
      </c>
      <c r="Y668" s="30">
        <v>0</v>
      </c>
      <c r="Z668" s="233">
        <v>0</v>
      </c>
      <c r="AA668" s="30">
        <v>0</v>
      </c>
      <c r="AB668" s="30">
        <v>0</v>
      </c>
      <c r="AC668" s="30">
        <v>0</v>
      </c>
      <c r="AD668" s="30">
        <v>0</v>
      </c>
      <c r="AE668" s="89" t="s">
        <v>92</v>
      </c>
      <c r="AF668" s="89"/>
      <c r="AG668" s="89" t="s">
        <v>82</v>
      </c>
      <c r="AH668" s="72">
        <v>39965</v>
      </c>
      <c r="AI668" s="30">
        <v>1</v>
      </c>
      <c r="AJ668" s="89" t="s">
        <v>3832</v>
      </c>
      <c r="AK668" s="89" t="s">
        <v>68</v>
      </c>
      <c r="AL668" s="91">
        <v>39965</v>
      </c>
      <c r="AM668" s="91"/>
      <c r="AN668" s="91"/>
      <c r="AO668" s="91"/>
      <c r="AP668" s="73" t="e">
        <f>MID(VLOOKUP(K668,#REF!,2,FALSE),1,2)</f>
        <v>#REF!</v>
      </c>
      <c r="AQ668" s="89">
        <f>DATE(2009,5,24)</f>
        <v>39957</v>
      </c>
      <c r="AR668" s="82">
        <f t="shared" si="46"/>
        <v>24</v>
      </c>
      <c r="AS668" s="83">
        <f t="shared" si="47"/>
        <v>5</v>
      </c>
      <c r="AT668" s="84">
        <f t="shared" si="48"/>
        <v>2009</v>
      </c>
      <c r="AU668" s="86"/>
      <c r="AV668" s="86"/>
      <c r="AW668" s="87"/>
      <c r="AX668" s="86"/>
      <c r="AY668" s="83"/>
      <c r="AZ668" s="84"/>
      <c r="BA668" s="86"/>
      <c r="BB668" s="86"/>
    </row>
    <row r="669" spans="1:54" ht="36.75" customHeight="1">
      <c r="A669" s="30"/>
      <c r="B669" s="30" t="s">
        <v>55</v>
      </c>
      <c r="C669" s="69" t="str">
        <f t="shared" si="45"/>
        <v>Closed</v>
      </c>
      <c r="D669" s="27" t="s">
        <v>3833</v>
      </c>
      <c r="E669" s="29" t="s">
        <v>3834</v>
      </c>
      <c r="F669" s="30" t="s">
        <v>124</v>
      </c>
      <c r="G669" s="89">
        <f>DATE(2009,5,25)</f>
        <v>39958</v>
      </c>
      <c r="H669" s="90">
        <v>1.0173611111111112</v>
      </c>
      <c r="I669" s="30" t="s">
        <v>73</v>
      </c>
      <c r="J669" s="89" t="s">
        <v>3835</v>
      </c>
      <c r="K669" s="30" t="s">
        <v>127</v>
      </c>
      <c r="L669" s="30" t="s">
        <v>3836</v>
      </c>
      <c r="M669" s="30" t="s">
        <v>63</v>
      </c>
      <c r="N669" s="30">
        <v>0</v>
      </c>
      <c r="O669" s="30" t="s">
        <v>77</v>
      </c>
      <c r="P669" s="89" t="s">
        <v>78</v>
      </c>
      <c r="Q669" s="89" t="s">
        <v>401</v>
      </c>
      <c r="R669" s="89" t="s">
        <v>167</v>
      </c>
      <c r="S669" s="30">
        <v>0</v>
      </c>
      <c r="T669" s="233" t="s">
        <v>68</v>
      </c>
      <c r="U669" s="30">
        <v>0</v>
      </c>
      <c r="V669" s="233" t="s">
        <v>68</v>
      </c>
      <c r="W669" s="30">
        <v>0</v>
      </c>
      <c r="X669" s="30">
        <v>0</v>
      </c>
      <c r="Y669" s="30">
        <v>0</v>
      </c>
      <c r="Z669" s="233" t="s">
        <v>68</v>
      </c>
      <c r="AA669" s="30">
        <v>0</v>
      </c>
      <c r="AB669" s="30">
        <v>0</v>
      </c>
      <c r="AC669" s="30">
        <v>0</v>
      </c>
      <c r="AD669" s="30">
        <v>0</v>
      </c>
      <c r="AE669" s="89" t="s">
        <v>68</v>
      </c>
      <c r="AF669" s="89"/>
      <c r="AG669" s="89" t="s">
        <v>133</v>
      </c>
      <c r="AH669" s="72" t="s">
        <v>68</v>
      </c>
      <c r="AI669" s="30">
        <v>1</v>
      </c>
      <c r="AJ669" s="89" t="s">
        <v>3837</v>
      </c>
      <c r="AK669" s="89" t="s">
        <v>68</v>
      </c>
      <c r="AL669" s="91">
        <v>40098</v>
      </c>
      <c r="AM669" s="91"/>
      <c r="AN669" s="91"/>
      <c r="AO669" s="91"/>
      <c r="AP669" s="73" t="e">
        <f>MID(VLOOKUP(K669,#REF!,2,FALSE),1,2)</f>
        <v>#REF!</v>
      </c>
      <c r="AQ669" s="89">
        <f>DATE(2009,5,25)</f>
        <v>39958</v>
      </c>
      <c r="AR669" s="82">
        <f t="shared" si="46"/>
        <v>25</v>
      </c>
      <c r="AS669" s="83">
        <f t="shared" si="47"/>
        <v>5</v>
      </c>
      <c r="AT669" s="84">
        <f t="shared" si="48"/>
        <v>2009</v>
      </c>
      <c r="AU669" s="86"/>
      <c r="AV669" s="86"/>
      <c r="AW669" s="87"/>
      <c r="AX669" s="86"/>
      <c r="AY669" s="83"/>
      <c r="AZ669" s="84"/>
      <c r="BA669" s="86"/>
      <c r="BB669" s="86"/>
    </row>
    <row r="670" spans="1:54" ht="36.75" customHeight="1">
      <c r="A670" s="30"/>
      <c r="B670" s="30" t="s">
        <v>55</v>
      </c>
      <c r="C670" s="69" t="str">
        <f t="shared" si="45"/>
        <v>Closed</v>
      </c>
      <c r="D670" s="27" t="s">
        <v>3838</v>
      </c>
      <c r="E670" s="29" t="s">
        <v>3839</v>
      </c>
      <c r="F670" s="30" t="s">
        <v>233</v>
      </c>
      <c r="G670" s="89">
        <f>DATE(2009,6,1)</f>
        <v>39965</v>
      </c>
      <c r="H670" s="90">
        <v>1.588888888888889</v>
      </c>
      <c r="I670" s="30" t="s">
        <v>73</v>
      </c>
      <c r="J670" s="89" t="s">
        <v>3840</v>
      </c>
      <c r="K670" s="30" t="s">
        <v>235</v>
      </c>
      <c r="L670" s="30" t="s">
        <v>3841</v>
      </c>
      <c r="M670" s="30" t="s">
        <v>63</v>
      </c>
      <c r="N670" s="30">
        <v>0</v>
      </c>
      <c r="O670" s="30" t="s">
        <v>64</v>
      </c>
      <c r="P670" s="89" t="s">
        <v>165</v>
      </c>
      <c r="Q670" s="89" t="s">
        <v>3352</v>
      </c>
      <c r="R670" s="89" t="s">
        <v>238</v>
      </c>
      <c r="S670" s="30">
        <v>0</v>
      </c>
      <c r="T670" s="233" t="s">
        <v>68</v>
      </c>
      <c r="U670" s="30">
        <v>0</v>
      </c>
      <c r="V670" s="233" t="s">
        <v>68</v>
      </c>
      <c r="W670" s="30">
        <v>0</v>
      </c>
      <c r="X670" s="30">
        <v>0</v>
      </c>
      <c r="Y670" s="30">
        <v>0</v>
      </c>
      <c r="Z670" s="233" t="s">
        <v>68</v>
      </c>
      <c r="AA670" s="30">
        <v>0</v>
      </c>
      <c r="AB670" s="30">
        <v>0</v>
      </c>
      <c r="AC670" s="30">
        <v>0</v>
      </c>
      <c r="AD670" s="30">
        <v>0</v>
      </c>
      <c r="AE670" s="89" t="s">
        <v>68</v>
      </c>
      <c r="AF670" s="89"/>
      <c r="AG670" s="89" t="s">
        <v>133</v>
      </c>
      <c r="AH670" s="72" t="s">
        <v>68</v>
      </c>
      <c r="AI670" s="30">
        <v>5</v>
      </c>
      <c r="AJ670" s="89" t="s">
        <v>3842</v>
      </c>
      <c r="AK670" s="89" t="s">
        <v>3843</v>
      </c>
      <c r="AL670" s="91">
        <v>39982</v>
      </c>
      <c r="AM670" s="91"/>
      <c r="AN670" s="91"/>
      <c r="AO670" s="91"/>
      <c r="AP670" s="73" t="e">
        <f>MID(VLOOKUP(K670,#REF!,2,FALSE),1,2)</f>
        <v>#REF!</v>
      </c>
      <c r="AQ670" s="89">
        <f>DATE(2009,6,1)</f>
        <v>39965</v>
      </c>
      <c r="AR670" s="82">
        <f t="shared" si="46"/>
        <v>1</v>
      </c>
      <c r="AS670" s="83">
        <f t="shared" si="47"/>
        <v>6</v>
      </c>
      <c r="AT670" s="84">
        <f t="shared" si="48"/>
        <v>2009</v>
      </c>
      <c r="AU670" s="86"/>
      <c r="AV670" s="86"/>
      <c r="AW670" s="87"/>
      <c r="AX670" s="86"/>
      <c r="AY670" s="83"/>
      <c r="AZ670" s="84"/>
      <c r="BA670" s="86"/>
      <c r="BB670" s="86"/>
    </row>
    <row r="671" spans="1:54" ht="36.75" customHeight="1">
      <c r="A671" s="30"/>
      <c r="B671" s="30" t="s">
        <v>55</v>
      </c>
      <c r="C671" s="69" t="str">
        <f t="shared" si="45"/>
        <v>Closed</v>
      </c>
      <c r="D671" s="27" t="s">
        <v>3844</v>
      </c>
      <c r="E671" s="29" t="s">
        <v>3845</v>
      </c>
      <c r="F671" s="30" t="s">
        <v>638</v>
      </c>
      <c r="G671" s="89">
        <f>DATE(2009,6,5)</f>
        <v>39969</v>
      </c>
      <c r="H671" s="90">
        <v>1.9458333333333333</v>
      </c>
      <c r="I671" s="30" t="s">
        <v>116</v>
      </c>
      <c r="J671" s="89" t="s">
        <v>3846</v>
      </c>
      <c r="K671" s="30" t="s">
        <v>640</v>
      </c>
      <c r="L671" s="30" t="s">
        <v>3847</v>
      </c>
      <c r="M671" s="30" t="s">
        <v>63</v>
      </c>
      <c r="N671" s="30">
        <v>0</v>
      </c>
      <c r="O671" s="30" t="s">
        <v>77</v>
      </c>
      <c r="P671" s="89" t="s">
        <v>78</v>
      </c>
      <c r="Q671" s="89" t="s">
        <v>642</v>
      </c>
      <c r="R671" s="89" t="s">
        <v>643</v>
      </c>
      <c r="S671" s="30">
        <v>0</v>
      </c>
      <c r="T671" s="233">
        <v>0</v>
      </c>
      <c r="U671" s="30">
        <v>1</v>
      </c>
      <c r="V671" s="233">
        <v>0</v>
      </c>
      <c r="W671" s="30">
        <v>0</v>
      </c>
      <c r="X671" s="30">
        <v>1</v>
      </c>
      <c r="Y671" s="30">
        <v>0</v>
      </c>
      <c r="Z671" s="233">
        <v>0</v>
      </c>
      <c r="AA671" s="30">
        <v>0</v>
      </c>
      <c r="AB671" s="30">
        <v>0</v>
      </c>
      <c r="AC671" s="30">
        <v>0</v>
      </c>
      <c r="AD671" s="30">
        <v>0</v>
      </c>
      <c r="AE671" s="89" t="s">
        <v>68</v>
      </c>
      <c r="AF671" s="89"/>
      <c r="AG671" s="89" t="s">
        <v>248</v>
      </c>
      <c r="AH671" s="72" t="s">
        <v>68</v>
      </c>
      <c r="AI671" s="30">
        <v>1</v>
      </c>
      <c r="AJ671" s="89" t="s">
        <v>3848</v>
      </c>
      <c r="AK671" s="89" t="s">
        <v>68</v>
      </c>
      <c r="AL671" s="91">
        <v>40075</v>
      </c>
      <c r="AM671" s="91"/>
      <c r="AN671" s="91"/>
      <c r="AO671" s="91"/>
      <c r="AP671" s="73" t="e">
        <f>MID(VLOOKUP(K671,#REF!,2,FALSE),1,2)</f>
        <v>#REF!</v>
      </c>
      <c r="AQ671" s="89">
        <f>DATE(2009,6,5)</f>
        <v>39969</v>
      </c>
      <c r="AR671" s="82">
        <f t="shared" si="46"/>
        <v>5</v>
      </c>
      <c r="AS671" s="83">
        <f t="shared" si="47"/>
        <v>6</v>
      </c>
      <c r="AT671" s="84">
        <f t="shared" si="48"/>
        <v>2009</v>
      </c>
      <c r="AU671" s="86"/>
      <c r="AV671" s="86"/>
      <c r="AW671" s="87"/>
      <c r="AX671" s="86"/>
      <c r="AY671" s="83"/>
      <c r="AZ671" s="84"/>
      <c r="BA671" s="86"/>
      <c r="BB671" s="86"/>
    </row>
    <row r="672" spans="1:54" ht="36.75" customHeight="1">
      <c r="A672" s="30"/>
      <c r="B672" s="30" t="s">
        <v>55</v>
      </c>
      <c r="C672" s="69" t="str">
        <f t="shared" si="45"/>
        <v>Closed</v>
      </c>
      <c r="D672" s="27" t="s">
        <v>3849</v>
      </c>
      <c r="E672" s="29" t="s">
        <v>3850</v>
      </c>
      <c r="F672" s="30" t="s">
        <v>124</v>
      </c>
      <c r="G672" s="89">
        <f>DATE(2009,6,7)</f>
        <v>39971</v>
      </c>
      <c r="H672" s="90">
        <v>1.5659722222222223</v>
      </c>
      <c r="I672" s="30" t="s">
        <v>125</v>
      </c>
      <c r="J672" s="89" t="s">
        <v>3851</v>
      </c>
      <c r="K672" s="30" t="s">
        <v>127</v>
      </c>
      <c r="L672" s="30" t="s">
        <v>3852</v>
      </c>
      <c r="M672" s="30" t="s">
        <v>63</v>
      </c>
      <c r="N672" s="30">
        <v>0</v>
      </c>
      <c r="O672" s="30" t="s">
        <v>77</v>
      </c>
      <c r="P672" s="89" t="s">
        <v>165</v>
      </c>
      <c r="Q672" s="89" t="s">
        <v>3181</v>
      </c>
      <c r="R672" s="89" t="s">
        <v>167</v>
      </c>
      <c r="S672" s="30">
        <v>0</v>
      </c>
      <c r="T672" s="233" t="s">
        <v>68</v>
      </c>
      <c r="U672" s="30">
        <v>0</v>
      </c>
      <c r="V672" s="233" t="s">
        <v>68</v>
      </c>
      <c r="W672" s="30">
        <v>0</v>
      </c>
      <c r="X672" s="30">
        <v>0</v>
      </c>
      <c r="Y672" s="30">
        <v>0</v>
      </c>
      <c r="Z672" s="233" t="s">
        <v>68</v>
      </c>
      <c r="AA672" s="30">
        <v>0</v>
      </c>
      <c r="AB672" s="30">
        <v>0</v>
      </c>
      <c r="AC672" s="30">
        <v>0</v>
      </c>
      <c r="AD672" s="30">
        <v>0</v>
      </c>
      <c r="AE672" s="89" t="s">
        <v>68</v>
      </c>
      <c r="AF672" s="89"/>
      <c r="AG672" s="89" t="s">
        <v>133</v>
      </c>
      <c r="AH672" s="72" t="s">
        <v>68</v>
      </c>
      <c r="AI672" s="30">
        <v>4</v>
      </c>
      <c r="AJ672" s="89" t="s">
        <v>68</v>
      </c>
      <c r="AK672" s="89" t="s">
        <v>68</v>
      </c>
      <c r="AL672" s="91">
        <v>39996</v>
      </c>
      <c r="AM672" s="91"/>
      <c r="AN672" s="91"/>
      <c r="AO672" s="91"/>
      <c r="AP672" s="73" t="e">
        <f>MID(VLOOKUP(K672,#REF!,2,FALSE),1,2)</f>
        <v>#REF!</v>
      </c>
      <c r="AQ672" s="89">
        <f>DATE(2009,6,7)</f>
        <v>39971</v>
      </c>
      <c r="AR672" s="82">
        <f t="shared" si="46"/>
        <v>7</v>
      </c>
      <c r="AS672" s="83">
        <f t="shared" si="47"/>
        <v>6</v>
      </c>
      <c r="AT672" s="84">
        <f t="shared" si="48"/>
        <v>2009</v>
      </c>
      <c r="AU672" s="86"/>
      <c r="AV672" s="86"/>
      <c r="AW672" s="87"/>
      <c r="AX672" s="86"/>
      <c r="AY672" s="83"/>
      <c r="AZ672" s="84"/>
      <c r="BA672" s="86"/>
      <c r="BB672" s="86"/>
    </row>
    <row r="673" spans="1:54" ht="36.75" customHeight="1">
      <c r="A673" s="30"/>
      <c r="B673" s="30" t="s">
        <v>55</v>
      </c>
      <c r="C673" s="69" t="str">
        <f t="shared" si="45"/>
        <v>Closed</v>
      </c>
      <c r="D673" s="27" t="s">
        <v>3853</v>
      </c>
      <c r="E673" s="29" t="s">
        <v>3854</v>
      </c>
      <c r="F673" s="30" t="s">
        <v>58</v>
      </c>
      <c r="G673" s="89">
        <f>DATE(2009,6,16)</f>
        <v>39980</v>
      </c>
      <c r="H673" s="90">
        <v>1.8687499999999999</v>
      </c>
      <c r="I673" s="30" t="s">
        <v>73</v>
      </c>
      <c r="J673" s="89" t="s">
        <v>3855</v>
      </c>
      <c r="K673" s="30" t="s">
        <v>61</v>
      </c>
      <c r="L673" s="30" t="s">
        <v>3856</v>
      </c>
      <c r="M673" s="30" t="s">
        <v>63</v>
      </c>
      <c r="N673" s="30" t="s">
        <v>89</v>
      </c>
      <c r="O673" s="30" t="s">
        <v>77</v>
      </c>
      <c r="P673" s="89" t="s">
        <v>78</v>
      </c>
      <c r="Q673" s="89" t="s">
        <v>66</v>
      </c>
      <c r="R673" s="89" t="s">
        <v>67</v>
      </c>
      <c r="S673" s="30">
        <v>0</v>
      </c>
      <c r="T673" s="233">
        <v>0</v>
      </c>
      <c r="U673" s="30">
        <v>0</v>
      </c>
      <c r="V673" s="233">
        <v>0</v>
      </c>
      <c r="W673" s="30">
        <v>0</v>
      </c>
      <c r="X673" s="30">
        <v>0</v>
      </c>
      <c r="Y673" s="30">
        <v>0</v>
      </c>
      <c r="Z673" s="233">
        <v>0</v>
      </c>
      <c r="AA673" s="30">
        <v>0</v>
      </c>
      <c r="AB673" s="30">
        <v>0</v>
      </c>
      <c r="AC673" s="30">
        <v>0</v>
      </c>
      <c r="AD673" s="30">
        <v>0</v>
      </c>
      <c r="AE673" s="89" t="s">
        <v>145</v>
      </c>
      <c r="AF673" s="89"/>
      <c r="AG673" s="89" t="s">
        <v>82</v>
      </c>
      <c r="AH673" s="72">
        <v>39986</v>
      </c>
      <c r="AI673" s="30">
        <v>5</v>
      </c>
      <c r="AJ673" s="89" t="s">
        <v>3857</v>
      </c>
      <c r="AK673" s="89" t="s">
        <v>3858</v>
      </c>
      <c r="AL673" s="91">
        <v>39993</v>
      </c>
      <c r="AM673" s="91"/>
      <c r="AN673" s="91"/>
      <c r="AO673" s="91"/>
      <c r="AP673" s="73" t="e">
        <f>MID(VLOOKUP(K673,#REF!,2,FALSE),1,2)</f>
        <v>#REF!</v>
      </c>
      <c r="AQ673" s="89">
        <f>DATE(2009,6,16)</f>
        <v>39980</v>
      </c>
      <c r="AR673" s="82">
        <f t="shared" si="46"/>
        <v>16</v>
      </c>
      <c r="AS673" s="83">
        <f t="shared" si="47"/>
        <v>6</v>
      </c>
      <c r="AT673" s="84">
        <f t="shared" si="48"/>
        <v>2009</v>
      </c>
      <c r="AU673" s="86"/>
      <c r="AV673" s="86"/>
      <c r="AW673" s="87"/>
      <c r="AX673" s="86"/>
      <c r="AY673" s="83"/>
      <c r="AZ673" s="84"/>
      <c r="BA673" s="86"/>
      <c r="BB673" s="86"/>
    </row>
    <row r="674" spans="1:54" ht="36.75" customHeight="1">
      <c r="A674" s="30"/>
      <c r="B674" s="30" t="s">
        <v>55</v>
      </c>
      <c r="C674" s="69" t="str">
        <f t="shared" si="45"/>
        <v>Closed</v>
      </c>
      <c r="D674" s="27" t="s">
        <v>3859</v>
      </c>
      <c r="E674" s="29" t="s">
        <v>3860</v>
      </c>
      <c r="F674" s="30" t="s">
        <v>638</v>
      </c>
      <c r="G674" s="89">
        <f>DATE(2009,6,18)</f>
        <v>39982</v>
      </c>
      <c r="H674" s="90">
        <v>1.3444444444444446</v>
      </c>
      <c r="I674" s="30" t="s">
        <v>104</v>
      </c>
      <c r="J674" s="89" t="s">
        <v>3861</v>
      </c>
      <c r="K674" s="30" t="s">
        <v>640</v>
      </c>
      <c r="L674" s="30" t="s">
        <v>3862</v>
      </c>
      <c r="M674" s="30" t="s">
        <v>63</v>
      </c>
      <c r="N674" s="30">
        <v>0</v>
      </c>
      <c r="O674" s="30" t="s">
        <v>77</v>
      </c>
      <c r="P674" s="89" t="s">
        <v>1216</v>
      </c>
      <c r="Q674" s="89" t="s">
        <v>3033</v>
      </c>
      <c r="R674" s="89" t="s">
        <v>643</v>
      </c>
      <c r="S674" s="30">
        <v>0</v>
      </c>
      <c r="T674" s="233" t="s">
        <v>68</v>
      </c>
      <c r="U674" s="30">
        <v>0</v>
      </c>
      <c r="V674" s="233" t="s">
        <v>68</v>
      </c>
      <c r="W674" s="30">
        <v>0</v>
      </c>
      <c r="X674" s="30">
        <v>0</v>
      </c>
      <c r="Y674" s="30">
        <v>0</v>
      </c>
      <c r="Z674" s="233" t="s">
        <v>68</v>
      </c>
      <c r="AA674" s="30">
        <v>0</v>
      </c>
      <c r="AB674" s="30">
        <v>0</v>
      </c>
      <c r="AC674" s="30">
        <v>0</v>
      </c>
      <c r="AD674" s="30">
        <v>0</v>
      </c>
      <c r="AE674" s="89" t="s">
        <v>68</v>
      </c>
      <c r="AF674" s="89"/>
      <c r="AG674" s="89" t="s">
        <v>248</v>
      </c>
      <c r="AH674" s="72" t="s">
        <v>68</v>
      </c>
      <c r="AI674" s="30">
        <v>1</v>
      </c>
      <c r="AJ674" s="89" t="s">
        <v>3863</v>
      </c>
      <c r="AK674" s="89" t="s">
        <v>68</v>
      </c>
      <c r="AL674" s="91">
        <v>40077</v>
      </c>
      <c r="AM674" s="91"/>
      <c r="AN674" s="91"/>
      <c r="AO674" s="91"/>
      <c r="AP674" s="73" t="e">
        <f>MID(VLOOKUP(K674,#REF!,2,FALSE),1,2)</f>
        <v>#REF!</v>
      </c>
      <c r="AQ674" s="89">
        <f>DATE(2009,6,18)</f>
        <v>39982</v>
      </c>
      <c r="AR674" s="82">
        <f t="shared" si="46"/>
        <v>18</v>
      </c>
      <c r="AS674" s="83">
        <f t="shared" si="47"/>
        <v>6</v>
      </c>
      <c r="AT674" s="84">
        <f t="shared" si="48"/>
        <v>2009</v>
      </c>
      <c r="AU674" s="86"/>
      <c r="AV674" s="86"/>
      <c r="AW674" s="87"/>
      <c r="AX674" s="86"/>
      <c r="AY674" s="83"/>
      <c r="AZ674" s="84"/>
      <c r="BA674" s="86"/>
      <c r="BB674" s="86"/>
    </row>
    <row r="675" spans="1:54" ht="36.75" customHeight="1">
      <c r="A675" s="30"/>
      <c r="B675" s="30" t="s">
        <v>55</v>
      </c>
      <c r="C675" s="69" t="str">
        <f t="shared" si="45"/>
        <v>Closed</v>
      </c>
      <c r="D675" s="27" t="s">
        <v>3864</v>
      </c>
      <c r="E675" s="29" t="s">
        <v>3865</v>
      </c>
      <c r="F675" s="30" t="s">
        <v>835</v>
      </c>
      <c r="G675" s="89">
        <f>DATE(2009,6,19)</f>
        <v>39983</v>
      </c>
      <c r="H675" s="90">
        <v>1.6784722222222221</v>
      </c>
      <c r="I675" s="30" t="s">
        <v>116</v>
      </c>
      <c r="J675" s="89" t="s">
        <v>3866</v>
      </c>
      <c r="K675" s="30" t="s">
        <v>837</v>
      </c>
      <c r="L675" s="30" t="s">
        <v>3867</v>
      </c>
      <c r="M675" s="30" t="s">
        <v>63</v>
      </c>
      <c r="N675" s="30">
        <v>0</v>
      </c>
      <c r="O675" s="30" t="s">
        <v>64</v>
      </c>
      <c r="P675" s="89" t="s">
        <v>165</v>
      </c>
      <c r="Q675" s="89" t="s">
        <v>2162</v>
      </c>
      <c r="R675" s="89" t="s">
        <v>840</v>
      </c>
      <c r="S675" s="30">
        <v>0</v>
      </c>
      <c r="T675" s="233">
        <v>0</v>
      </c>
      <c r="U675" s="30">
        <v>1</v>
      </c>
      <c r="V675" s="233">
        <v>0</v>
      </c>
      <c r="W675" s="30">
        <v>0</v>
      </c>
      <c r="X675" s="30">
        <v>1</v>
      </c>
      <c r="Y675" s="30">
        <v>0</v>
      </c>
      <c r="Z675" s="233">
        <v>0</v>
      </c>
      <c r="AA675" s="30">
        <v>0</v>
      </c>
      <c r="AB675" s="30">
        <v>0</v>
      </c>
      <c r="AC675" s="30">
        <v>0</v>
      </c>
      <c r="AD675" s="30">
        <v>0</v>
      </c>
      <c r="AE675" s="89" t="s">
        <v>68</v>
      </c>
      <c r="AF675" s="89"/>
      <c r="AG675" s="89" t="s">
        <v>352</v>
      </c>
      <c r="AH675" s="72" t="s">
        <v>68</v>
      </c>
      <c r="AI675" s="30">
        <v>0</v>
      </c>
      <c r="AJ675" s="89" t="s">
        <v>68</v>
      </c>
      <c r="AK675" s="89" t="s">
        <v>68</v>
      </c>
      <c r="AL675" s="91">
        <v>39989</v>
      </c>
      <c r="AM675" s="91"/>
      <c r="AN675" s="91"/>
      <c r="AO675" s="91"/>
      <c r="AP675" s="73" t="e">
        <f>MID(VLOOKUP(K675,#REF!,2,FALSE),1,2)</f>
        <v>#REF!</v>
      </c>
      <c r="AQ675" s="89">
        <f>DATE(2009,6,19)</f>
        <v>39983</v>
      </c>
      <c r="AR675" s="82">
        <f t="shared" si="46"/>
        <v>19</v>
      </c>
      <c r="AS675" s="83">
        <f t="shared" si="47"/>
        <v>6</v>
      </c>
      <c r="AT675" s="84">
        <f t="shared" si="48"/>
        <v>2009</v>
      </c>
      <c r="AU675" s="86"/>
      <c r="AV675" s="86"/>
      <c r="AW675" s="87"/>
      <c r="AX675" s="86"/>
      <c r="AY675" s="83"/>
      <c r="AZ675" s="84"/>
      <c r="BA675" s="86"/>
      <c r="BB675" s="86"/>
    </row>
    <row r="676" spans="1:54" ht="36.75" customHeight="1">
      <c r="A676" s="30"/>
      <c r="B676" s="30" t="s">
        <v>55</v>
      </c>
      <c r="C676" s="69" t="str">
        <f t="shared" si="45"/>
        <v>Closed</v>
      </c>
      <c r="D676" s="27" t="s">
        <v>3868</v>
      </c>
      <c r="E676" s="29" t="s">
        <v>3869</v>
      </c>
      <c r="F676" s="30" t="s">
        <v>423</v>
      </c>
      <c r="G676" s="89">
        <f>DATE(2009,6,22)</f>
        <v>39986</v>
      </c>
      <c r="H676" s="90">
        <v>1.0291666666666666</v>
      </c>
      <c r="I676" s="30" t="s">
        <v>73</v>
      </c>
      <c r="J676" s="89" t="s">
        <v>3870</v>
      </c>
      <c r="K676" s="30" t="s">
        <v>425</v>
      </c>
      <c r="L676" s="30" t="s">
        <v>3871</v>
      </c>
      <c r="M676" s="30" t="s">
        <v>63</v>
      </c>
      <c r="N676" s="30">
        <v>0</v>
      </c>
      <c r="O676" s="30" t="s">
        <v>77</v>
      </c>
      <c r="P676" s="89" t="s">
        <v>78</v>
      </c>
      <c r="Q676" s="89" t="s">
        <v>3782</v>
      </c>
      <c r="R676" s="89" t="s">
        <v>3103</v>
      </c>
      <c r="S676" s="30">
        <v>0</v>
      </c>
      <c r="T676" s="233" t="s">
        <v>68</v>
      </c>
      <c r="U676" s="30">
        <v>0</v>
      </c>
      <c r="V676" s="233" t="s">
        <v>68</v>
      </c>
      <c r="W676" s="30">
        <v>0</v>
      </c>
      <c r="X676" s="30">
        <v>0</v>
      </c>
      <c r="Y676" s="30">
        <v>0</v>
      </c>
      <c r="Z676" s="233" t="s">
        <v>68</v>
      </c>
      <c r="AA676" s="30">
        <v>0</v>
      </c>
      <c r="AB676" s="30">
        <v>0</v>
      </c>
      <c r="AC676" s="30">
        <v>0</v>
      </c>
      <c r="AD676" s="30">
        <v>0</v>
      </c>
      <c r="AE676" s="89" t="s">
        <v>68</v>
      </c>
      <c r="AF676" s="89"/>
      <c r="AG676" s="89" t="s">
        <v>874</v>
      </c>
      <c r="AH676" s="72" t="s">
        <v>68</v>
      </c>
      <c r="AI676" s="30">
        <v>2</v>
      </c>
      <c r="AJ676" s="89" t="s">
        <v>3872</v>
      </c>
      <c r="AK676" s="89" t="s">
        <v>3873</v>
      </c>
      <c r="AL676" s="91">
        <v>39990</v>
      </c>
      <c r="AM676" s="91"/>
      <c r="AN676" s="91"/>
      <c r="AO676" s="91"/>
      <c r="AP676" s="73" t="e">
        <f>MID(VLOOKUP(K676,#REF!,2,FALSE),1,2)</f>
        <v>#REF!</v>
      </c>
      <c r="AQ676" s="89">
        <f>DATE(2009,6,22)</f>
        <v>39986</v>
      </c>
      <c r="AR676" s="82">
        <f t="shared" si="46"/>
        <v>22</v>
      </c>
      <c r="AS676" s="83">
        <f t="shared" si="47"/>
        <v>6</v>
      </c>
      <c r="AT676" s="84">
        <f t="shared" si="48"/>
        <v>2009</v>
      </c>
      <c r="AU676" s="86"/>
      <c r="AV676" s="86"/>
      <c r="AW676" s="87"/>
      <c r="AX676" s="86"/>
      <c r="AY676" s="83"/>
      <c r="AZ676" s="84"/>
      <c r="BA676" s="86"/>
      <c r="BB676" s="86"/>
    </row>
    <row r="677" spans="1:54" ht="36.75" customHeight="1">
      <c r="A677" s="30"/>
      <c r="B677" s="30" t="s">
        <v>55</v>
      </c>
      <c r="C677" s="69" t="str">
        <f t="shared" si="45"/>
        <v>Closed</v>
      </c>
      <c r="D677" s="27" t="s">
        <v>3874</v>
      </c>
      <c r="E677" s="29" t="s">
        <v>3875</v>
      </c>
      <c r="F677" s="30" t="s">
        <v>638</v>
      </c>
      <c r="G677" s="89">
        <f>DATE(2009,6,22)</f>
        <v>39986</v>
      </c>
      <c r="H677" s="90">
        <v>1.3888888888888888</v>
      </c>
      <c r="I677" s="30" t="s">
        <v>116</v>
      </c>
      <c r="J677" s="89" t="s">
        <v>3876</v>
      </c>
      <c r="K677" s="30" t="s">
        <v>640</v>
      </c>
      <c r="L677" s="30" t="s">
        <v>3877</v>
      </c>
      <c r="M677" s="30" t="s">
        <v>63</v>
      </c>
      <c r="N677" s="30">
        <v>0</v>
      </c>
      <c r="O677" s="30" t="s">
        <v>77</v>
      </c>
      <c r="P677" s="89" t="s">
        <v>165</v>
      </c>
      <c r="Q677" s="89" t="s">
        <v>3246</v>
      </c>
      <c r="R677" s="89" t="s">
        <v>3246</v>
      </c>
      <c r="S677" s="30">
        <v>0</v>
      </c>
      <c r="T677" s="233">
        <v>0</v>
      </c>
      <c r="U677" s="30">
        <v>1</v>
      </c>
      <c r="V677" s="233">
        <v>0</v>
      </c>
      <c r="W677" s="30">
        <v>0</v>
      </c>
      <c r="X677" s="30">
        <v>1</v>
      </c>
      <c r="Y677" s="30">
        <v>0</v>
      </c>
      <c r="Z677" s="233">
        <v>0</v>
      </c>
      <c r="AA677" s="30">
        <v>0</v>
      </c>
      <c r="AB677" s="30">
        <v>0</v>
      </c>
      <c r="AC677" s="30">
        <v>0</v>
      </c>
      <c r="AD677" s="30">
        <v>0</v>
      </c>
      <c r="AE677" s="89" t="s">
        <v>68</v>
      </c>
      <c r="AF677" s="89"/>
      <c r="AG677" s="89" t="s">
        <v>248</v>
      </c>
      <c r="AH677" s="72" t="s">
        <v>68</v>
      </c>
      <c r="AI677" s="30">
        <v>1</v>
      </c>
      <c r="AJ677" s="89" t="s">
        <v>68</v>
      </c>
      <c r="AK677" s="89" t="s">
        <v>68</v>
      </c>
      <c r="AL677" s="91">
        <v>40076</v>
      </c>
      <c r="AM677" s="91"/>
      <c r="AN677" s="91"/>
      <c r="AO677" s="91"/>
      <c r="AP677" s="73" t="e">
        <f>MID(VLOOKUP(K677,#REF!,2,FALSE),1,2)</f>
        <v>#REF!</v>
      </c>
      <c r="AQ677" s="89">
        <f>DATE(2009,6,22)</f>
        <v>39986</v>
      </c>
      <c r="AR677" s="82">
        <f t="shared" si="46"/>
        <v>22</v>
      </c>
      <c r="AS677" s="83">
        <f t="shared" si="47"/>
        <v>6</v>
      </c>
      <c r="AT677" s="84">
        <f t="shared" si="48"/>
        <v>2009</v>
      </c>
      <c r="AU677" s="86"/>
      <c r="AV677" s="86"/>
      <c r="AW677" s="87"/>
      <c r="AX677" s="86"/>
      <c r="AY677" s="83"/>
      <c r="AZ677" s="84"/>
      <c r="BA677" s="86"/>
      <c r="BB677" s="86"/>
    </row>
    <row r="678" spans="1:54" ht="36.75" customHeight="1">
      <c r="A678" s="30"/>
      <c r="B678" s="30" t="s">
        <v>55</v>
      </c>
      <c r="C678" s="69" t="str">
        <f t="shared" si="45"/>
        <v>Closed</v>
      </c>
      <c r="D678" s="27" t="s">
        <v>3878</v>
      </c>
      <c r="E678" s="29" t="s">
        <v>3879</v>
      </c>
      <c r="F678" s="30" t="s">
        <v>423</v>
      </c>
      <c r="G678" s="89">
        <f>DATE(2009,6,23)</f>
        <v>39987</v>
      </c>
      <c r="H678" s="90">
        <v>1.1881944444444446</v>
      </c>
      <c r="I678" s="30" t="s">
        <v>198</v>
      </c>
      <c r="J678" s="89" t="s">
        <v>3880</v>
      </c>
      <c r="K678" s="30" t="s">
        <v>425</v>
      </c>
      <c r="L678" s="30" t="s">
        <v>3881</v>
      </c>
      <c r="M678" s="30" t="s">
        <v>63</v>
      </c>
      <c r="N678" s="30">
        <v>0</v>
      </c>
      <c r="O678" s="30" t="s">
        <v>77</v>
      </c>
      <c r="P678" s="89" t="s">
        <v>3134</v>
      </c>
      <c r="Q678" s="89" t="s">
        <v>554</v>
      </c>
      <c r="R678" s="89" t="s">
        <v>3103</v>
      </c>
      <c r="S678" s="30">
        <v>0</v>
      </c>
      <c r="T678" s="233" t="s">
        <v>68</v>
      </c>
      <c r="U678" s="30">
        <v>0</v>
      </c>
      <c r="V678" s="233" t="s">
        <v>68</v>
      </c>
      <c r="W678" s="30">
        <v>0</v>
      </c>
      <c r="X678" s="30">
        <v>0</v>
      </c>
      <c r="Y678" s="30">
        <v>0</v>
      </c>
      <c r="Z678" s="233" t="s">
        <v>68</v>
      </c>
      <c r="AA678" s="30">
        <v>0</v>
      </c>
      <c r="AB678" s="30">
        <v>0</v>
      </c>
      <c r="AC678" s="30">
        <v>0</v>
      </c>
      <c r="AD678" s="30">
        <v>0</v>
      </c>
      <c r="AE678" s="89" t="s">
        <v>68</v>
      </c>
      <c r="AF678" s="89"/>
      <c r="AG678" s="89" t="s">
        <v>1457</v>
      </c>
      <c r="AH678" s="72" t="s">
        <v>68</v>
      </c>
      <c r="AI678" s="30">
        <v>5</v>
      </c>
      <c r="AJ678" s="89" t="s">
        <v>3882</v>
      </c>
      <c r="AK678" s="89" t="s">
        <v>3883</v>
      </c>
      <c r="AL678" s="91">
        <v>40065</v>
      </c>
      <c r="AM678" s="91"/>
      <c r="AN678" s="91"/>
      <c r="AO678" s="91"/>
      <c r="AP678" s="73" t="e">
        <f>MID(VLOOKUP(K678,#REF!,2,FALSE),1,2)</f>
        <v>#REF!</v>
      </c>
      <c r="AQ678" s="89">
        <f>DATE(2009,6,23)</f>
        <v>39987</v>
      </c>
      <c r="AR678" s="82">
        <f t="shared" si="46"/>
        <v>23</v>
      </c>
      <c r="AS678" s="83">
        <f t="shared" si="47"/>
        <v>6</v>
      </c>
      <c r="AT678" s="84">
        <f t="shared" si="48"/>
        <v>2009</v>
      </c>
      <c r="AU678" s="86"/>
      <c r="AV678" s="86"/>
      <c r="AW678" s="87"/>
      <c r="AX678" s="86"/>
      <c r="AY678" s="83"/>
      <c r="AZ678" s="84"/>
      <c r="BA678" s="86"/>
      <c r="BB678" s="86"/>
    </row>
    <row r="679" spans="1:54" ht="36.75" customHeight="1">
      <c r="A679" s="30"/>
      <c r="B679" s="30" t="s">
        <v>55</v>
      </c>
      <c r="C679" s="69" t="str">
        <f t="shared" si="45"/>
        <v>Closed</v>
      </c>
      <c r="D679" s="27" t="s">
        <v>3884</v>
      </c>
      <c r="E679" s="29" t="s">
        <v>3885</v>
      </c>
      <c r="F679" s="30" t="s">
        <v>638</v>
      </c>
      <c r="G679" s="89">
        <f>DATE(2009,6,26)</f>
        <v>39990</v>
      </c>
      <c r="H679" s="90">
        <v>1.3180555555555555</v>
      </c>
      <c r="I679" s="30" t="s">
        <v>198</v>
      </c>
      <c r="J679" s="89" t="s">
        <v>3886</v>
      </c>
      <c r="K679" s="30" t="s">
        <v>640</v>
      </c>
      <c r="L679" s="30" t="s">
        <v>3887</v>
      </c>
      <c r="M679" s="30" t="s">
        <v>63</v>
      </c>
      <c r="N679" s="30">
        <v>0</v>
      </c>
      <c r="O679" s="30" t="s">
        <v>77</v>
      </c>
      <c r="P679" s="89" t="s">
        <v>86</v>
      </c>
      <c r="Q679" s="89" t="s">
        <v>642</v>
      </c>
      <c r="R679" s="89" t="s">
        <v>643</v>
      </c>
      <c r="S679" s="30">
        <v>0</v>
      </c>
      <c r="T679" s="233" t="s">
        <v>68</v>
      </c>
      <c r="U679" s="30">
        <v>0</v>
      </c>
      <c r="V679" s="233" t="s">
        <v>68</v>
      </c>
      <c r="W679" s="30">
        <v>0</v>
      </c>
      <c r="X679" s="30">
        <v>0</v>
      </c>
      <c r="Y679" s="30">
        <v>0</v>
      </c>
      <c r="Z679" s="233" t="s">
        <v>68</v>
      </c>
      <c r="AA679" s="30">
        <v>0</v>
      </c>
      <c r="AB679" s="30">
        <v>0</v>
      </c>
      <c r="AC679" s="30">
        <v>0</v>
      </c>
      <c r="AD679" s="30">
        <v>0</v>
      </c>
      <c r="AE679" s="89" t="s">
        <v>68</v>
      </c>
      <c r="AF679" s="89"/>
      <c r="AG679" s="89" t="s">
        <v>133</v>
      </c>
      <c r="AH679" s="72" t="s">
        <v>68</v>
      </c>
      <c r="AI679" s="30">
        <v>1</v>
      </c>
      <c r="AJ679" s="89" t="s">
        <v>3888</v>
      </c>
      <c r="AK679" s="89" t="s">
        <v>68</v>
      </c>
      <c r="AL679" s="91">
        <v>40076</v>
      </c>
      <c r="AM679" s="91"/>
      <c r="AN679" s="91"/>
      <c r="AO679" s="91"/>
      <c r="AP679" s="73" t="e">
        <f>MID(VLOOKUP(K679,#REF!,2,FALSE),1,2)</f>
        <v>#REF!</v>
      </c>
      <c r="AQ679" s="89">
        <f>DATE(2009,6,26)</f>
        <v>39990</v>
      </c>
      <c r="AR679" s="82">
        <f t="shared" si="46"/>
        <v>26</v>
      </c>
      <c r="AS679" s="83">
        <f t="shared" si="47"/>
        <v>6</v>
      </c>
      <c r="AT679" s="84">
        <f t="shared" si="48"/>
        <v>2009</v>
      </c>
      <c r="AU679" s="86"/>
      <c r="AV679" s="86"/>
      <c r="AW679" s="87"/>
      <c r="AX679" s="86"/>
      <c r="AY679" s="83"/>
      <c r="AZ679" s="84"/>
      <c r="BA679" s="86"/>
      <c r="BB679" s="86"/>
    </row>
    <row r="680" spans="1:54" ht="36.75" customHeight="1">
      <c r="A680" s="30"/>
      <c r="B680" s="30" t="s">
        <v>55</v>
      </c>
      <c r="C680" s="69" t="str">
        <f t="shared" si="45"/>
        <v>Closed</v>
      </c>
      <c r="D680" s="27" t="s">
        <v>3889</v>
      </c>
      <c r="E680" s="29" t="s">
        <v>3890</v>
      </c>
      <c r="F680" s="30" t="s">
        <v>638</v>
      </c>
      <c r="G680" s="89">
        <f>DATE(2009,6,26)</f>
        <v>39990</v>
      </c>
      <c r="H680" s="90">
        <v>1.4368055555555554</v>
      </c>
      <c r="I680" s="30" t="s">
        <v>104</v>
      </c>
      <c r="J680" s="89" t="s">
        <v>3891</v>
      </c>
      <c r="K680" s="30" t="s">
        <v>640</v>
      </c>
      <c r="L680" s="30" t="s">
        <v>3892</v>
      </c>
      <c r="M680" s="30" t="s">
        <v>63</v>
      </c>
      <c r="N680" s="30">
        <v>0</v>
      </c>
      <c r="O680" s="30" t="s">
        <v>77</v>
      </c>
      <c r="P680" s="89" t="s">
        <v>86</v>
      </c>
      <c r="Q680" s="89" t="s">
        <v>642</v>
      </c>
      <c r="R680" s="89" t="s">
        <v>643</v>
      </c>
      <c r="S680" s="30">
        <v>0</v>
      </c>
      <c r="T680" s="233" t="s">
        <v>68</v>
      </c>
      <c r="U680" s="30">
        <v>0</v>
      </c>
      <c r="V680" s="233" t="s">
        <v>68</v>
      </c>
      <c r="W680" s="30">
        <v>0</v>
      </c>
      <c r="X680" s="30">
        <v>0</v>
      </c>
      <c r="Y680" s="30">
        <v>0</v>
      </c>
      <c r="Z680" s="233" t="s">
        <v>68</v>
      </c>
      <c r="AA680" s="30">
        <v>0</v>
      </c>
      <c r="AB680" s="30">
        <v>0</v>
      </c>
      <c r="AC680" s="30">
        <v>0</v>
      </c>
      <c r="AD680" s="30">
        <v>0</v>
      </c>
      <c r="AE680" s="89" t="s">
        <v>68</v>
      </c>
      <c r="AF680" s="89"/>
      <c r="AG680" s="89" t="s">
        <v>248</v>
      </c>
      <c r="AH680" s="72" t="s">
        <v>68</v>
      </c>
      <c r="AI680" s="30">
        <v>1</v>
      </c>
      <c r="AJ680" s="89" t="s">
        <v>3893</v>
      </c>
      <c r="AK680" s="89" t="s">
        <v>68</v>
      </c>
      <c r="AL680" s="91">
        <v>40077</v>
      </c>
      <c r="AM680" s="91"/>
      <c r="AN680" s="91"/>
      <c r="AO680" s="91"/>
      <c r="AP680" s="73" t="e">
        <f>MID(VLOOKUP(K680,#REF!,2,FALSE),1,2)</f>
        <v>#REF!</v>
      </c>
      <c r="AQ680" s="89">
        <f>DATE(2009,6,26)</f>
        <v>39990</v>
      </c>
      <c r="AR680" s="82">
        <f t="shared" si="46"/>
        <v>26</v>
      </c>
      <c r="AS680" s="83">
        <f t="shared" si="47"/>
        <v>6</v>
      </c>
      <c r="AT680" s="84">
        <f t="shared" si="48"/>
        <v>2009</v>
      </c>
      <c r="AU680" s="86"/>
      <c r="AV680" s="86"/>
      <c r="AW680" s="87"/>
      <c r="AX680" s="86"/>
      <c r="AY680" s="83"/>
      <c r="AZ680" s="84"/>
      <c r="BA680" s="86"/>
      <c r="BB680" s="86"/>
    </row>
    <row r="681" spans="1:54" ht="36.75" customHeight="1">
      <c r="A681" s="30"/>
      <c r="B681" s="30" t="s">
        <v>55</v>
      </c>
      <c r="C681" s="69" t="str">
        <f t="shared" si="45"/>
        <v>Closed</v>
      </c>
      <c r="D681" s="27" t="s">
        <v>3894</v>
      </c>
      <c r="E681" s="29" t="s">
        <v>3895</v>
      </c>
      <c r="F681" s="30" t="s">
        <v>423</v>
      </c>
      <c r="G681" s="89">
        <f>DATE(2009,6,27)</f>
        <v>39991</v>
      </c>
      <c r="H681" s="90">
        <v>1.4937499999999999</v>
      </c>
      <c r="I681" s="30" t="s">
        <v>104</v>
      </c>
      <c r="J681" s="89" t="s">
        <v>3896</v>
      </c>
      <c r="K681" s="30" t="s">
        <v>425</v>
      </c>
      <c r="L681" s="30" t="s">
        <v>3897</v>
      </c>
      <c r="M681" s="30" t="s">
        <v>63</v>
      </c>
      <c r="N681" s="30">
        <v>0</v>
      </c>
      <c r="O681" s="30" t="s">
        <v>77</v>
      </c>
      <c r="P681" s="89" t="s">
        <v>65</v>
      </c>
      <c r="Q681" s="89" t="s">
        <v>427</v>
      </c>
      <c r="R681" s="89" t="s">
        <v>3103</v>
      </c>
      <c r="S681" s="30">
        <v>0</v>
      </c>
      <c r="T681" s="233" t="s">
        <v>68</v>
      </c>
      <c r="U681" s="30">
        <v>0</v>
      </c>
      <c r="V681" s="233" t="s">
        <v>68</v>
      </c>
      <c r="W681" s="30">
        <v>0</v>
      </c>
      <c r="X681" s="30">
        <v>0</v>
      </c>
      <c r="Y681" s="30">
        <v>0</v>
      </c>
      <c r="Z681" s="233" t="s">
        <v>68</v>
      </c>
      <c r="AA681" s="30">
        <v>0</v>
      </c>
      <c r="AB681" s="30">
        <v>0</v>
      </c>
      <c r="AC681" s="30">
        <v>0</v>
      </c>
      <c r="AD681" s="30">
        <v>0</v>
      </c>
      <c r="AE681" s="89" t="s">
        <v>68</v>
      </c>
      <c r="AF681" s="89"/>
      <c r="AG681" s="89" t="s">
        <v>133</v>
      </c>
      <c r="AH681" s="72" t="s">
        <v>68</v>
      </c>
      <c r="AI681" s="30">
        <v>0</v>
      </c>
      <c r="AJ681" s="89" t="s">
        <v>3898</v>
      </c>
      <c r="AK681" s="89" t="s">
        <v>68</v>
      </c>
      <c r="AL681" s="91">
        <v>40065</v>
      </c>
      <c r="AM681" s="91"/>
      <c r="AN681" s="91"/>
      <c r="AO681" s="91"/>
      <c r="AP681" s="73" t="e">
        <f>MID(VLOOKUP(K681,#REF!,2,FALSE),1,2)</f>
        <v>#REF!</v>
      </c>
      <c r="AQ681" s="89">
        <f>DATE(2009,6,27)</f>
        <v>39991</v>
      </c>
      <c r="AR681" s="82">
        <f t="shared" si="46"/>
        <v>27</v>
      </c>
      <c r="AS681" s="83">
        <f t="shared" si="47"/>
        <v>6</v>
      </c>
      <c r="AT681" s="84">
        <f t="shared" si="48"/>
        <v>2009</v>
      </c>
      <c r="AU681" s="86"/>
      <c r="AV681" s="86"/>
      <c r="AW681" s="87"/>
      <c r="AX681" s="86"/>
      <c r="AY681" s="83"/>
      <c r="AZ681" s="84"/>
      <c r="BA681" s="86"/>
      <c r="BB681" s="86"/>
    </row>
    <row r="682" spans="1:54" ht="36.75" customHeight="1">
      <c r="A682" s="30"/>
      <c r="B682" s="30" t="s">
        <v>55</v>
      </c>
      <c r="C682" s="69" t="str">
        <f t="shared" si="45"/>
        <v>Closed</v>
      </c>
      <c r="D682" s="27" t="s">
        <v>3899</v>
      </c>
      <c r="E682" s="29" t="s">
        <v>3900</v>
      </c>
      <c r="F682" s="30" t="s">
        <v>582</v>
      </c>
      <c r="G682" s="89">
        <f>DATE(2009,6,27)</f>
        <v>39991</v>
      </c>
      <c r="H682" s="90">
        <v>1.8506944444444446</v>
      </c>
      <c r="I682" s="30" t="s">
        <v>125</v>
      </c>
      <c r="J682" s="89" t="s">
        <v>3901</v>
      </c>
      <c r="K682" s="30" t="s">
        <v>584</v>
      </c>
      <c r="L682" s="30" t="s">
        <v>3902</v>
      </c>
      <c r="M682" s="30" t="s">
        <v>63</v>
      </c>
      <c r="N682" s="30">
        <v>0</v>
      </c>
      <c r="O682" s="30" t="s">
        <v>64</v>
      </c>
      <c r="P682" s="89" t="s">
        <v>165</v>
      </c>
      <c r="Q682" s="89" t="s">
        <v>3903</v>
      </c>
      <c r="R682" s="89" t="s">
        <v>587</v>
      </c>
      <c r="S682" s="30">
        <v>0</v>
      </c>
      <c r="T682" s="233">
        <v>0</v>
      </c>
      <c r="U682" s="30">
        <v>0</v>
      </c>
      <c r="V682" s="233">
        <v>0</v>
      </c>
      <c r="W682" s="30">
        <v>0</v>
      </c>
      <c r="X682" s="30">
        <v>0</v>
      </c>
      <c r="Y682" s="30">
        <v>0</v>
      </c>
      <c r="Z682" s="233">
        <v>0</v>
      </c>
      <c r="AA682" s="30">
        <v>0</v>
      </c>
      <c r="AB682" s="30">
        <v>0</v>
      </c>
      <c r="AC682" s="30">
        <v>0</v>
      </c>
      <c r="AD682" s="30">
        <v>0</v>
      </c>
      <c r="AE682" s="89" t="s">
        <v>68</v>
      </c>
      <c r="AF682" s="89"/>
      <c r="AG682" s="89" t="s">
        <v>133</v>
      </c>
      <c r="AH682" s="72" t="s">
        <v>68</v>
      </c>
      <c r="AI682" s="30">
        <v>3</v>
      </c>
      <c r="AJ682" s="89" t="s">
        <v>3904</v>
      </c>
      <c r="AK682" s="89" t="s">
        <v>1233</v>
      </c>
      <c r="AL682" s="91">
        <v>39995</v>
      </c>
      <c r="AM682" s="91"/>
      <c r="AN682" s="91"/>
      <c r="AO682" s="91"/>
      <c r="AP682" s="73" t="e">
        <f>MID(VLOOKUP(K682,#REF!,2,FALSE),1,2)</f>
        <v>#REF!</v>
      </c>
      <c r="AQ682" s="89">
        <f>DATE(2009,6,27)</f>
        <v>39991</v>
      </c>
      <c r="AR682" s="82">
        <f t="shared" si="46"/>
        <v>27</v>
      </c>
      <c r="AS682" s="83">
        <f t="shared" si="47"/>
        <v>6</v>
      </c>
      <c r="AT682" s="84">
        <f t="shared" si="48"/>
        <v>2009</v>
      </c>
      <c r="AU682" s="86"/>
      <c r="AV682" s="86"/>
      <c r="AW682" s="87"/>
      <c r="AX682" s="86"/>
      <c r="AY682" s="83"/>
      <c r="AZ682" s="84"/>
      <c r="BA682" s="86"/>
      <c r="BB682" s="86"/>
    </row>
    <row r="683" spans="1:54" ht="36.75" customHeight="1">
      <c r="A683" s="30"/>
      <c r="B683" s="30" t="s">
        <v>55</v>
      </c>
      <c r="C683" s="69" t="str">
        <f t="shared" si="45"/>
        <v>Closed</v>
      </c>
      <c r="D683" s="27" t="s">
        <v>3905</v>
      </c>
      <c r="E683" s="29" t="s">
        <v>3906</v>
      </c>
      <c r="F683" s="30" t="s">
        <v>377</v>
      </c>
      <c r="G683" s="89">
        <f>DATE(2009,6,29)</f>
        <v>39993</v>
      </c>
      <c r="H683" s="90">
        <v>1.9916666666666667</v>
      </c>
      <c r="I683" s="30" t="s">
        <v>73</v>
      </c>
      <c r="J683" s="89" t="s">
        <v>3907</v>
      </c>
      <c r="K683" s="30" t="s">
        <v>379</v>
      </c>
      <c r="L683" s="30" t="s">
        <v>3908</v>
      </c>
      <c r="M683" s="30" t="s">
        <v>63</v>
      </c>
      <c r="N683" s="30" t="s">
        <v>89</v>
      </c>
      <c r="O683" s="30" t="s">
        <v>77</v>
      </c>
      <c r="P683" s="89" t="s">
        <v>78</v>
      </c>
      <c r="Q683" s="89" t="s">
        <v>3909</v>
      </c>
      <c r="R683" s="89" t="s">
        <v>382</v>
      </c>
      <c r="S683" s="30">
        <v>0</v>
      </c>
      <c r="T683" s="233">
        <v>0</v>
      </c>
      <c r="U683" s="30">
        <v>0</v>
      </c>
      <c r="V683" s="233">
        <v>0</v>
      </c>
      <c r="W683" s="30">
        <v>32</v>
      </c>
      <c r="X683" s="30">
        <v>32</v>
      </c>
      <c r="Y683" s="30">
        <v>0</v>
      </c>
      <c r="Z683" s="233">
        <v>0</v>
      </c>
      <c r="AA683" s="30">
        <v>0</v>
      </c>
      <c r="AB683" s="30">
        <v>0</v>
      </c>
      <c r="AC683" s="30">
        <v>126</v>
      </c>
      <c r="AD683" s="30">
        <v>126</v>
      </c>
      <c r="AE683" s="89" t="s">
        <v>145</v>
      </c>
      <c r="AF683" s="89"/>
      <c r="AG683" s="89" t="s">
        <v>82</v>
      </c>
      <c r="AH683" s="72">
        <v>39993</v>
      </c>
      <c r="AI683" s="30">
        <v>13</v>
      </c>
      <c r="AJ683" s="89" t="s">
        <v>3910</v>
      </c>
      <c r="AK683" s="89" t="s">
        <v>3911</v>
      </c>
      <c r="AL683" s="91">
        <v>39996</v>
      </c>
      <c r="AM683" s="91"/>
      <c r="AN683" s="91"/>
      <c r="AO683" s="91"/>
      <c r="AP683" s="73" t="e">
        <f>MID(VLOOKUP(K683,#REF!,2,FALSE),1,2)</f>
        <v>#REF!</v>
      </c>
      <c r="AQ683" s="89">
        <f>DATE(2009,6,29)</f>
        <v>39993</v>
      </c>
      <c r="AR683" s="82">
        <f t="shared" si="46"/>
        <v>29</v>
      </c>
      <c r="AS683" s="83">
        <f t="shared" si="47"/>
        <v>6</v>
      </c>
      <c r="AT683" s="84">
        <f t="shared" si="48"/>
        <v>2009</v>
      </c>
      <c r="AU683" s="86"/>
      <c r="AV683" s="86"/>
      <c r="AW683" s="87"/>
      <c r="AX683" s="86"/>
      <c r="AY683" s="83"/>
      <c r="AZ683" s="84"/>
      <c r="BA683" s="86"/>
      <c r="BB683" s="86"/>
    </row>
    <row r="684" spans="1:54" ht="36.75" customHeight="1">
      <c r="A684" s="30"/>
      <c r="B684" s="30" t="s">
        <v>55</v>
      </c>
      <c r="C684" s="69" t="str">
        <f t="shared" si="45"/>
        <v>Closed</v>
      </c>
      <c r="D684" s="27" t="s">
        <v>3912</v>
      </c>
      <c r="E684" s="29" t="s">
        <v>3913</v>
      </c>
      <c r="F684" s="30" t="s">
        <v>423</v>
      </c>
      <c r="G684" s="89">
        <f>DATE(2009,7,1)</f>
        <v>39995</v>
      </c>
      <c r="H684" s="90">
        <v>1.4305555555555556</v>
      </c>
      <c r="I684" s="30" t="s">
        <v>116</v>
      </c>
      <c r="J684" s="89" t="s">
        <v>3914</v>
      </c>
      <c r="K684" s="30" t="s">
        <v>425</v>
      </c>
      <c r="L684" s="30" t="s">
        <v>3915</v>
      </c>
      <c r="M684" s="30" t="s">
        <v>63</v>
      </c>
      <c r="N684" s="30">
        <v>0</v>
      </c>
      <c r="O684" s="30" t="s">
        <v>64</v>
      </c>
      <c r="P684" s="89" t="s">
        <v>65</v>
      </c>
      <c r="Q684" s="89" t="s">
        <v>427</v>
      </c>
      <c r="R684" s="89" t="s">
        <v>3103</v>
      </c>
      <c r="S684" s="30">
        <v>0</v>
      </c>
      <c r="T684" s="233" t="s">
        <v>68</v>
      </c>
      <c r="U684" s="30">
        <v>0</v>
      </c>
      <c r="V684" s="233" t="s">
        <v>68</v>
      </c>
      <c r="W684" s="30">
        <v>0</v>
      </c>
      <c r="X684" s="30">
        <v>0</v>
      </c>
      <c r="Y684" s="30">
        <v>0</v>
      </c>
      <c r="Z684" s="233" t="s">
        <v>68</v>
      </c>
      <c r="AA684" s="30">
        <v>0</v>
      </c>
      <c r="AB684" s="30">
        <v>0</v>
      </c>
      <c r="AC684" s="30">
        <v>0</v>
      </c>
      <c r="AD684" s="30">
        <v>0</v>
      </c>
      <c r="AE684" s="89" t="s">
        <v>68</v>
      </c>
      <c r="AF684" s="89"/>
      <c r="AG684" s="89" t="s">
        <v>352</v>
      </c>
      <c r="AH684" s="72" t="s">
        <v>68</v>
      </c>
      <c r="AI684" s="30">
        <v>0</v>
      </c>
      <c r="AJ684" s="89" t="s">
        <v>68</v>
      </c>
      <c r="AK684" s="89" t="s">
        <v>68</v>
      </c>
      <c r="AL684" s="91">
        <v>40065</v>
      </c>
      <c r="AM684" s="91"/>
      <c r="AN684" s="91"/>
      <c r="AO684" s="91"/>
      <c r="AP684" s="73" t="e">
        <f>MID(VLOOKUP(K684,#REF!,2,FALSE),1,2)</f>
        <v>#REF!</v>
      </c>
      <c r="AQ684" s="89">
        <f>DATE(2009,7,1)</f>
        <v>39995</v>
      </c>
      <c r="AR684" s="82">
        <f t="shared" si="46"/>
        <v>1</v>
      </c>
      <c r="AS684" s="83">
        <f t="shared" si="47"/>
        <v>7</v>
      </c>
      <c r="AT684" s="84">
        <f t="shared" si="48"/>
        <v>2009</v>
      </c>
      <c r="AU684" s="86"/>
      <c r="AV684" s="86"/>
      <c r="AW684" s="87"/>
      <c r="AX684" s="86"/>
      <c r="AY684" s="83"/>
      <c r="AZ684" s="84"/>
      <c r="BA684" s="86"/>
      <c r="BB684" s="86"/>
    </row>
    <row r="685" spans="1:54" ht="36.75" customHeight="1">
      <c r="A685" s="30"/>
      <c r="B685" s="30" t="s">
        <v>55</v>
      </c>
      <c r="C685" s="69" t="str">
        <f t="shared" si="45"/>
        <v>Closed</v>
      </c>
      <c r="D685" s="27" t="s">
        <v>3916</v>
      </c>
      <c r="E685" s="29" t="s">
        <v>3917</v>
      </c>
      <c r="F685" s="30" t="s">
        <v>423</v>
      </c>
      <c r="G685" s="89">
        <f>DATE(2009,7,1)</f>
        <v>39995</v>
      </c>
      <c r="H685" s="90">
        <v>1.5138888888888888</v>
      </c>
      <c r="I685" s="30" t="s">
        <v>73</v>
      </c>
      <c r="J685" s="89" t="s">
        <v>3918</v>
      </c>
      <c r="K685" s="30" t="s">
        <v>425</v>
      </c>
      <c r="L685" s="30" t="s">
        <v>3919</v>
      </c>
      <c r="M685" s="30" t="s">
        <v>63</v>
      </c>
      <c r="N685" s="30">
        <v>0</v>
      </c>
      <c r="O685" s="30" t="s">
        <v>64</v>
      </c>
      <c r="P685" s="89" t="s">
        <v>78</v>
      </c>
      <c r="Q685" s="89" t="s">
        <v>3920</v>
      </c>
      <c r="R685" s="89" t="s">
        <v>3103</v>
      </c>
      <c r="S685" s="30">
        <v>0</v>
      </c>
      <c r="T685" s="233" t="s">
        <v>68</v>
      </c>
      <c r="U685" s="30">
        <v>0</v>
      </c>
      <c r="V685" s="233" t="s">
        <v>68</v>
      </c>
      <c r="W685" s="30">
        <v>0</v>
      </c>
      <c r="X685" s="30">
        <v>0</v>
      </c>
      <c r="Y685" s="30">
        <v>0</v>
      </c>
      <c r="Z685" s="233" t="s">
        <v>68</v>
      </c>
      <c r="AA685" s="30">
        <v>0</v>
      </c>
      <c r="AB685" s="30">
        <v>0</v>
      </c>
      <c r="AC685" s="30">
        <v>0</v>
      </c>
      <c r="AD685" s="30">
        <v>0</v>
      </c>
      <c r="AE685" s="89" t="s">
        <v>68</v>
      </c>
      <c r="AF685" s="89"/>
      <c r="AG685" s="89" t="s">
        <v>133</v>
      </c>
      <c r="AH685" s="72" t="s">
        <v>68</v>
      </c>
      <c r="AI685" s="30">
        <v>2</v>
      </c>
      <c r="AJ685" s="89" t="s">
        <v>3921</v>
      </c>
      <c r="AK685" s="89" t="s">
        <v>3922</v>
      </c>
      <c r="AL685" s="91">
        <v>40287</v>
      </c>
      <c r="AM685" s="91"/>
      <c r="AN685" s="91"/>
      <c r="AO685" s="91"/>
      <c r="AP685" s="73" t="e">
        <f>MID(VLOOKUP(K685,#REF!,2,FALSE),1,2)</f>
        <v>#REF!</v>
      </c>
      <c r="AQ685" s="89">
        <f>DATE(2009,7,1)</f>
        <v>39995</v>
      </c>
      <c r="AR685" s="82">
        <f t="shared" si="46"/>
        <v>1</v>
      </c>
      <c r="AS685" s="83">
        <f t="shared" si="47"/>
        <v>7</v>
      </c>
      <c r="AT685" s="84">
        <f t="shared" si="48"/>
        <v>2009</v>
      </c>
      <c r="AU685" s="86"/>
      <c r="AV685" s="86"/>
      <c r="AW685" s="87"/>
      <c r="AX685" s="86"/>
      <c r="AY685" s="83"/>
      <c r="AZ685" s="84"/>
      <c r="BA685" s="86"/>
      <c r="BB685" s="86"/>
    </row>
    <row r="686" spans="1:54" ht="36.75" customHeight="1">
      <c r="A686" s="30"/>
      <c r="B686" s="30" t="s">
        <v>55</v>
      </c>
      <c r="C686" s="69" t="str">
        <f t="shared" si="45"/>
        <v>Closed</v>
      </c>
      <c r="D686" s="27" t="s">
        <v>3923</v>
      </c>
      <c r="E686" s="29" t="s">
        <v>3924</v>
      </c>
      <c r="F686" s="30" t="s">
        <v>115</v>
      </c>
      <c r="G686" s="89">
        <f>DATE(2009,7,3)</f>
        <v>39997</v>
      </c>
      <c r="H686" s="90">
        <v>1.8624999999999998</v>
      </c>
      <c r="I686" s="30" t="s">
        <v>156</v>
      </c>
      <c r="J686" s="89" t="s">
        <v>3925</v>
      </c>
      <c r="K686" s="30" t="s">
        <v>118</v>
      </c>
      <c r="L686" s="30" t="s">
        <v>3926</v>
      </c>
      <c r="M686" s="30" t="s">
        <v>63</v>
      </c>
      <c r="N686" s="30">
        <v>0</v>
      </c>
      <c r="O686" s="30" t="s">
        <v>64</v>
      </c>
      <c r="P686" s="89" t="s">
        <v>65</v>
      </c>
      <c r="Q686" s="89" t="s">
        <v>120</v>
      </c>
      <c r="R686" s="89" t="s">
        <v>121</v>
      </c>
      <c r="S686" s="30">
        <v>0</v>
      </c>
      <c r="T686" s="233">
        <v>0</v>
      </c>
      <c r="U686" s="30">
        <v>0</v>
      </c>
      <c r="V686" s="233">
        <v>0</v>
      </c>
      <c r="W686" s="30">
        <v>0</v>
      </c>
      <c r="X686" s="30">
        <v>0</v>
      </c>
      <c r="Y686" s="30">
        <v>1</v>
      </c>
      <c r="Z686" s="233">
        <v>0</v>
      </c>
      <c r="AA686" s="30">
        <v>0</v>
      </c>
      <c r="AB686" s="30">
        <v>0</v>
      </c>
      <c r="AC686" s="30">
        <v>0</v>
      </c>
      <c r="AD686" s="30">
        <v>1</v>
      </c>
      <c r="AE686" s="89" t="s">
        <v>68</v>
      </c>
      <c r="AF686" s="89"/>
      <c r="AG686" s="89" t="s">
        <v>82</v>
      </c>
      <c r="AH686" s="72" t="s">
        <v>68</v>
      </c>
      <c r="AI686" s="30">
        <v>3</v>
      </c>
      <c r="AJ686" s="89" t="s">
        <v>3927</v>
      </c>
      <c r="AK686" s="89" t="s">
        <v>3928</v>
      </c>
      <c r="AL686" s="91">
        <v>40018</v>
      </c>
      <c r="AM686" s="91"/>
      <c r="AN686" s="91"/>
      <c r="AO686" s="91"/>
      <c r="AP686" s="73" t="e">
        <f>MID(VLOOKUP(K686,#REF!,2,FALSE),1,2)</f>
        <v>#REF!</v>
      </c>
      <c r="AQ686" s="89">
        <f>DATE(2009,7,3)</f>
        <v>39997</v>
      </c>
      <c r="AR686" s="82">
        <f t="shared" si="46"/>
        <v>3</v>
      </c>
      <c r="AS686" s="83">
        <f t="shared" si="47"/>
        <v>7</v>
      </c>
      <c r="AT686" s="84">
        <f t="shared" si="48"/>
        <v>2009</v>
      </c>
      <c r="AU686" s="86"/>
      <c r="AV686" s="86"/>
      <c r="AW686" s="87"/>
      <c r="AX686" s="86"/>
      <c r="AY686" s="83"/>
      <c r="AZ686" s="84"/>
      <c r="BA686" s="86"/>
      <c r="BB686" s="86"/>
    </row>
    <row r="687" spans="1:54" ht="36.75" customHeight="1">
      <c r="A687" s="30"/>
      <c r="B687" s="30" t="s">
        <v>55</v>
      </c>
      <c r="C687" s="69" t="str">
        <f t="shared" si="45"/>
        <v>Closed</v>
      </c>
      <c r="D687" s="27" t="s">
        <v>3929</v>
      </c>
      <c r="E687" s="29" t="s">
        <v>3930</v>
      </c>
      <c r="F687" s="30" t="s">
        <v>1938</v>
      </c>
      <c r="G687" s="89">
        <f>DATE(2009,7,3)</f>
        <v>39997</v>
      </c>
      <c r="H687" s="90">
        <v>1.2083333333333333</v>
      </c>
      <c r="I687" s="30" t="s">
        <v>73</v>
      </c>
      <c r="J687" s="89" t="s">
        <v>3931</v>
      </c>
      <c r="K687" s="30" t="s">
        <v>1940</v>
      </c>
      <c r="L687" s="30" t="s">
        <v>3932</v>
      </c>
      <c r="M687" s="30" t="s">
        <v>63</v>
      </c>
      <c r="N687" s="30">
        <v>0</v>
      </c>
      <c r="O687" s="30" t="s">
        <v>64</v>
      </c>
      <c r="P687" s="89" t="s">
        <v>301</v>
      </c>
      <c r="Q687" s="89" t="s">
        <v>1942</v>
      </c>
      <c r="R687" s="89" t="s">
        <v>1942</v>
      </c>
      <c r="S687" s="30">
        <v>0</v>
      </c>
      <c r="T687" s="233" t="s">
        <v>68</v>
      </c>
      <c r="U687" s="30">
        <v>0</v>
      </c>
      <c r="V687" s="233" t="s">
        <v>68</v>
      </c>
      <c r="W687" s="30">
        <v>0</v>
      </c>
      <c r="X687" s="30">
        <v>0</v>
      </c>
      <c r="Y687" s="30">
        <v>0</v>
      </c>
      <c r="Z687" s="233" t="s">
        <v>68</v>
      </c>
      <c r="AA687" s="30">
        <v>0</v>
      </c>
      <c r="AB687" s="30">
        <v>0</v>
      </c>
      <c r="AC687" s="30">
        <v>0</v>
      </c>
      <c r="AD687" s="30">
        <v>0</v>
      </c>
      <c r="AE687" s="89" t="s">
        <v>68</v>
      </c>
      <c r="AF687" s="89"/>
      <c r="AG687" s="89" t="s">
        <v>133</v>
      </c>
      <c r="AH687" s="72" t="s">
        <v>68</v>
      </c>
      <c r="AI687" s="30">
        <v>2</v>
      </c>
      <c r="AJ687" s="89" t="s">
        <v>3933</v>
      </c>
      <c r="AK687" s="89" t="s">
        <v>3934</v>
      </c>
      <c r="AL687" s="91">
        <v>40001</v>
      </c>
      <c r="AM687" s="91"/>
      <c r="AN687" s="91"/>
      <c r="AO687" s="91"/>
      <c r="AP687" s="73" t="e">
        <f>MID(VLOOKUP(K687,#REF!,2,FALSE),1,2)</f>
        <v>#REF!</v>
      </c>
      <c r="AQ687" s="89">
        <f>DATE(2009,7,3)</f>
        <v>39997</v>
      </c>
      <c r="AR687" s="82">
        <f t="shared" si="46"/>
        <v>3</v>
      </c>
      <c r="AS687" s="83">
        <f t="shared" si="47"/>
        <v>7</v>
      </c>
      <c r="AT687" s="84">
        <f t="shared" si="48"/>
        <v>2009</v>
      </c>
      <c r="AU687" s="86"/>
      <c r="AV687" s="86"/>
      <c r="AW687" s="87"/>
      <c r="AX687" s="86"/>
      <c r="AY687" s="83"/>
      <c r="AZ687" s="84"/>
      <c r="BA687" s="86"/>
      <c r="BB687" s="86"/>
    </row>
    <row r="688" spans="1:54" ht="36.75" customHeight="1">
      <c r="A688" s="30"/>
      <c r="B688" s="30" t="s">
        <v>55</v>
      </c>
      <c r="C688" s="69" t="str">
        <f t="shared" si="45"/>
        <v>Closed</v>
      </c>
      <c r="D688" s="27" t="s">
        <v>3935</v>
      </c>
      <c r="E688" s="29" t="s">
        <v>3936</v>
      </c>
      <c r="F688" s="30" t="s">
        <v>233</v>
      </c>
      <c r="G688" s="89">
        <f>DATE(2009,7,4)</f>
        <v>39998</v>
      </c>
      <c r="H688" s="90">
        <v>1.6680555555555556</v>
      </c>
      <c r="I688" s="30" t="s">
        <v>86</v>
      </c>
      <c r="J688" s="89" t="s">
        <v>3937</v>
      </c>
      <c r="K688" s="30" t="s">
        <v>235</v>
      </c>
      <c r="L688" s="30" t="s">
        <v>3938</v>
      </c>
      <c r="M688" s="30" t="s">
        <v>63</v>
      </c>
      <c r="N688" s="30" t="s">
        <v>142</v>
      </c>
      <c r="O688" s="30" t="s">
        <v>64</v>
      </c>
      <c r="P688" s="89" t="s">
        <v>553</v>
      </c>
      <c r="Q688" s="89" t="s">
        <v>3939</v>
      </c>
      <c r="R688" s="89" t="s">
        <v>238</v>
      </c>
      <c r="S688" s="30">
        <v>0</v>
      </c>
      <c r="T688" s="233">
        <v>0</v>
      </c>
      <c r="U688" s="30">
        <v>0</v>
      </c>
      <c r="V688" s="233">
        <v>0</v>
      </c>
      <c r="W688" s="30">
        <v>0</v>
      </c>
      <c r="X688" s="30">
        <v>0</v>
      </c>
      <c r="Y688" s="30">
        <v>0</v>
      </c>
      <c r="Z688" s="233">
        <v>0</v>
      </c>
      <c r="AA688" s="30">
        <v>0</v>
      </c>
      <c r="AB688" s="30">
        <v>0</v>
      </c>
      <c r="AC688" s="30">
        <v>0</v>
      </c>
      <c r="AD688" s="30">
        <v>0</v>
      </c>
      <c r="AE688" s="89" t="s">
        <v>68</v>
      </c>
      <c r="AF688" s="89"/>
      <c r="AG688" s="89" t="s">
        <v>133</v>
      </c>
      <c r="AH688" s="72" t="s">
        <v>68</v>
      </c>
      <c r="AI688" s="30">
        <v>3</v>
      </c>
      <c r="AJ688" s="89" t="s">
        <v>3940</v>
      </c>
      <c r="AK688" s="89" t="s">
        <v>3941</v>
      </c>
      <c r="AL688" s="91">
        <v>40046</v>
      </c>
      <c r="AM688" s="91"/>
      <c r="AN688" s="91"/>
      <c r="AO688" s="91"/>
      <c r="AP688" s="73" t="e">
        <f>MID(VLOOKUP(K688,#REF!,2,FALSE),1,2)</f>
        <v>#REF!</v>
      </c>
      <c r="AQ688" s="89">
        <f>DATE(2009,7,4)</f>
        <v>39998</v>
      </c>
      <c r="AR688" s="82">
        <f t="shared" si="46"/>
        <v>4</v>
      </c>
      <c r="AS688" s="83">
        <f t="shared" si="47"/>
        <v>7</v>
      </c>
      <c r="AT688" s="84">
        <f t="shared" si="48"/>
        <v>2009</v>
      </c>
      <c r="AU688" s="86"/>
      <c r="AV688" s="86"/>
      <c r="AW688" s="87"/>
      <c r="AX688" s="86"/>
      <c r="AY688" s="83"/>
      <c r="AZ688" s="84"/>
      <c r="BA688" s="86"/>
      <c r="BB688" s="86"/>
    </row>
    <row r="689" spans="1:54" ht="36.75" customHeight="1">
      <c r="A689" s="30"/>
      <c r="B689" s="30" t="s">
        <v>55</v>
      </c>
      <c r="C689" s="69" t="str">
        <f t="shared" si="45"/>
        <v>Closed</v>
      </c>
      <c r="D689" s="27" t="s">
        <v>3942</v>
      </c>
      <c r="E689" s="29" t="s">
        <v>3943</v>
      </c>
      <c r="F689" s="30" t="s">
        <v>638</v>
      </c>
      <c r="G689" s="89">
        <f>DATE(2009,7,6)</f>
        <v>40000</v>
      </c>
      <c r="H689" s="90">
        <v>1.7090277777777776</v>
      </c>
      <c r="I689" s="30" t="s">
        <v>116</v>
      </c>
      <c r="J689" s="89" t="s">
        <v>3944</v>
      </c>
      <c r="K689" s="30" t="s">
        <v>640</v>
      </c>
      <c r="L689" s="30" t="s">
        <v>3945</v>
      </c>
      <c r="M689" s="30" t="s">
        <v>63</v>
      </c>
      <c r="N689" s="30">
        <v>0</v>
      </c>
      <c r="O689" s="30" t="s">
        <v>64</v>
      </c>
      <c r="P689" s="89" t="s">
        <v>65</v>
      </c>
      <c r="Q689" s="89" t="s">
        <v>642</v>
      </c>
      <c r="R689" s="89" t="s">
        <v>643</v>
      </c>
      <c r="S689" s="30">
        <v>0</v>
      </c>
      <c r="T689" s="233">
        <v>0</v>
      </c>
      <c r="U689" s="30">
        <v>1</v>
      </c>
      <c r="V689" s="233">
        <v>0</v>
      </c>
      <c r="W689" s="30">
        <v>0</v>
      </c>
      <c r="X689" s="30">
        <v>1</v>
      </c>
      <c r="Y689" s="30">
        <v>0</v>
      </c>
      <c r="Z689" s="233">
        <v>0</v>
      </c>
      <c r="AA689" s="30">
        <v>0</v>
      </c>
      <c r="AB689" s="30">
        <v>0</v>
      </c>
      <c r="AC689" s="30">
        <v>0</v>
      </c>
      <c r="AD689" s="30">
        <v>0</v>
      </c>
      <c r="AE689" s="89" t="s">
        <v>68</v>
      </c>
      <c r="AF689" s="89"/>
      <c r="AG689" s="89" t="s">
        <v>248</v>
      </c>
      <c r="AH689" s="72" t="s">
        <v>68</v>
      </c>
      <c r="AI689" s="30">
        <v>1</v>
      </c>
      <c r="AJ689" s="89" t="s">
        <v>68</v>
      </c>
      <c r="AK689" s="89" t="s">
        <v>68</v>
      </c>
      <c r="AL689" s="91">
        <v>40076</v>
      </c>
      <c r="AM689" s="91"/>
      <c r="AN689" s="91"/>
      <c r="AO689" s="91"/>
      <c r="AP689" s="73" t="e">
        <f>MID(VLOOKUP(K689,#REF!,2,FALSE),1,2)</f>
        <v>#REF!</v>
      </c>
      <c r="AQ689" s="89">
        <f>DATE(2009,7,6)</f>
        <v>40000</v>
      </c>
      <c r="AR689" s="82">
        <f t="shared" si="46"/>
        <v>6</v>
      </c>
      <c r="AS689" s="83">
        <f t="shared" si="47"/>
        <v>7</v>
      </c>
      <c r="AT689" s="84">
        <f t="shared" si="48"/>
        <v>2009</v>
      </c>
      <c r="AU689" s="86"/>
      <c r="AV689" s="86"/>
      <c r="AW689" s="87"/>
      <c r="AX689" s="86"/>
      <c r="AY689" s="83"/>
      <c r="AZ689" s="84"/>
      <c r="BA689" s="86"/>
      <c r="BB689" s="86"/>
    </row>
    <row r="690" spans="1:54" ht="36.75" customHeight="1">
      <c r="A690" s="30"/>
      <c r="B690" s="30" t="s">
        <v>55</v>
      </c>
      <c r="C690" s="69" t="str">
        <f t="shared" si="45"/>
        <v>Closed</v>
      </c>
      <c r="D690" s="27" t="s">
        <v>3946</v>
      </c>
      <c r="E690" s="29" t="s">
        <v>3947</v>
      </c>
      <c r="F690" s="30" t="s">
        <v>451</v>
      </c>
      <c r="G690" s="89">
        <f>DATE(2009,7,8)</f>
        <v>40002</v>
      </c>
      <c r="H690" s="90">
        <v>1.59375</v>
      </c>
      <c r="I690" s="30" t="s">
        <v>125</v>
      </c>
      <c r="J690" s="89" t="s">
        <v>3948</v>
      </c>
      <c r="K690" s="30" t="s">
        <v>453</v>
      </c>
      <c r="L690" s="30" t="s">
        <v>3949</v>
      </c>
      <c r="M690" s="30" t="s">
        <v>63</v>
      </c>
      <c r="N690" s="30" t="s">
        <v>99</v>
      </c>
      <c r="O690" s="30" t="s">
        <v>77</v>
      </c>
      <c r="P690" s="89" t="s">
        <v>65</v>
      </c>
      <c r="Q690" s="89" t="s">
        <v>571</v>
      </c>
      <c r="R690" s="89" t="s">
        <v>572</v>
      </c>
      <c r="S690" s="30">
        <v>0</v>
      </c>
      <c r="T690" s="233">
        <v>0</v>
      </c>
      <c r="U690" s="30">
        <v>0</v>
      </c>
      <c r="V690" s="233">
        <v>0</v>
      </c>
      <c r="W690" s="30">
        <v>0</v>
      </c>
      <c r="X690" s="30">
        <v>0</v>
      </c>
      <c r="Y690" s="30">
        <v>0</v>
      </c>
      <c r="Z690" s="233">
        <v>0</v>
      </c>
      <c r="AA690" s="30">
        <v>0</v>
      </c>
      <c r="AB690" s="30">
        <v>0</v>
      </c>
      <c r="AC690" s="30">
        <v>0</v>
      </c>
      <c r="AD690" s="30">
        <v>0</v>
      </c>
      <c r="AE690" s="89" t="s">
        <v>394</v>
      </c>
      <c r="AF690" s="89"/>
      <c r="AG690" s="89" t="s">
        <v>352</v>
      </c>
      <c r="AH690" s="72">
        <v>41122</v>
      </c>
      <c r="AI690" s="30">
        <v>1</v>
      </c>
      <c r="AJ690" s="89" t="s">
        <v>3950</v>
      </c>
      <c r="AK690" s="89" t="s">
        <v>1233</v>
      </c>
      <c r="AL690" s="91">
        <v>40689</v>
      </c>
      <c r="AM690" s="91"/>
      <c r="AN690" s="91"/>
      <c r="AO690" s="91"/>
      <c r="AP690" s="73" t="e">
        <f>MID(VLOOKUP(K690,#REF!,2,FALSE),1,2)</f>
        <v>#REF!</v>
      </c>
      <c r="AQ690" s="89">
        <f>DATE(2009,7,8)</f>
        <v>40002</v>
      </c>
      <c r="AR690" s="82">
        <f t="shared" si="46"/>
        <v>8</v>
      </c>
      <c r="AS690" s="83">
        <f t="shared" si="47"/>
        <v>7</v>
      </c>
      <c r="AT690" s="84">
        <f t="shared" si="48"/>
        <v>2009</v>
      </c>
      <c r="AU690" s="86"/>
      <c r="AV690" s="86"/>
      <c r="AW690" s="87"/>
      <c r="AX690" s="86"/>
      <c r="AY690" s="83"/>
      <c r="AZ690" s="84"/>
      <c r="BA690" s="86"/>
      <c r="BB690" s="86"/>
    </row>
    <row r="691" spans="1:54" ht="36.75" customHeight="1">
      <c r="A691" s="30"/>
      <c r="B691" s="30" t="s">
        <v>55</v>
      </c>
      <c r="C691" s="69" t="str">
        <f t="shared" si="45"/>
        <v>Closed</v>
      </c>
      <c r="D691" s="27" t="s">
        <v>3951</v>
      </c>
      <c r="E691" s="29" t="s">
        <v>3952</v>
      </c>
      <c r="F691" s="30" t="s">
        <v>638</v>
      </c>
      <c r="G691" s="89">
        <f>DATE(2009,7,8)</f>
        <v>40002</v>
      </c>
      <c r="H691" s="90">
        <v>1.7645833333333334</v>
      </c>
      <c r="I691" s="30" t="s">
        <v>116</v>
      </c>
      <c r="J691" s="89" t="s">
        <v>3953</v>
      </c>
      <c r="K691" s="30" t="s">
        <v>640</v>
      </c>
      <c r="L691" s="30" t="s">
        <v>3954</v>
      </c>
      <c r="M691" s="30" t="s">
        <v>63</v>
      </c>
      <c r="N691" s="30">
        <v>0</v>
      </c>
      <c r="O691" s="30" t="s">
        <v>86</v>
      </c>
      <c r="P691" s="89" t="s">
        <v>78</v>
      </c>
      <c r="Q691" s="89" t="s">
        <v>3246</v>
      </c>
      <c r="R691" s="89" t="s">
        <v>3246</v>
      </c>
      <c r="S691" s="30">
        <v>0</v>
      </c>
      <c r="T691" s="233">
        <v>0</v>
      </c>
      <c r="U691" s="30">
        <v>1</v>
      </c>
      <c r="V691" s="233">
        <v>0</v>
      </c>
      <c r="W691" s="30">
        <v>0</v>
      </c>
      <c r="X691" s="30">
        <v>1</v>
      </c>
      <c r="Y691" s="30">
        <v>0</v>
      </c>
      <c r="Z691" s="233">
        <v>0</v>
      </c>
      <c r="AA691" s="30">
        <v>0</v>
      </c>
      <c r="AB691" s="30">
        <v>0</v>
      </c>
      <c r="AC691" s="30">
        <v>0</v>
      </c>
      <c r="AD691" s="30">
        <v>0</v>
      </c>
      <c r="AE691" s="89" t="s">
        <v>68</v>
      </c>
      <c r="AF691" s="89"/>
      <c r="AG691" s="89" t="s">
        <v>248</v>
      </c>
      <c r="AH691" s="72" t="s">
        <v>68</v>
      </c>
      <c r="AI691" s="30">
        <v>1</v>
      </c>
      <c r="AJ691" s="89" t="s">
        <v>3955</v>
      </c>
      <c r="AK691" s="89" t="s">
        <v>68</v>
      </c>
      <c r="AL691" s="91">
        <v>40076</v>
      </c>
      <c r="AM691" s="91"/>
      <c r="AN691" s="91"/>
      <c r="AO691" s="91"/>
      <c r="AP691" s="73" t="e">
        <f>MID(VLOOKUP(K691,#REF!,2,FALSE),1,2)</f>
        <v>#REF!</v>
      </c>
      <c r="AQ691" s="89">
        <f>DATE(2009,7,8)</f>
        <v>40002</v>
      </c>
      <c r="AR691" s="82">
        <f t="shared" si="46"/>
        <v>8</v>
      </c>
      <c r="AS691" s="83">
        <f t="shared" si="47"/>
        <v>7</v>
      </c>
      <c r="AT691" s="84">
        <f t="shared" si="48"/>
        <v>2009</v>
      </c>
      <c r="AU691" s="86"/>
      <c r="AV691" s="86"/>
      <c r="AW691" s="87"/>
      <c r="AX691" s="86"/>
      <c r="AY691" s="83"/>
      <c r="AZ691" s="84"/>
      <c r="BA691" s="86"/>
      <c r="BB691" s="86"/>
    </row>
    <row r="692" spans="1:54" ht="36.75" customHeight="1">
      <c r="A692" s="30"/>
      <c r="B692" s="30" t="s">
        <v>55</v>
      </c>
      <c r="C692" s="69" t="str">
        <f t="shared" si="45"/>
        <v>Closed</v>
      </c>
      <c r="D692" s="27" t="s">
        <v>3956</v>
      </c>
      <c r="E692" s="29" t="s">
        <v>3957</v>
      </c>
      <c r="F692" s="30" t="s">
        <v>594</v>
      </c>
      <c r="G692" s="89">
        <f>DATE(2009,7,8)</f>
        <v>40002</v>
      </c>
      <c r="H692" s="90">
        <v>1.5666666666666667</v>
      </c>
      <c r="I692" s="30" t="s">
        <v>278</v>
      </c>
      <c r="J692" s="89" t="s">
        <v>3958</v>
      </c>
      <c r="K692" s="30" t="s">
        <v>596</v>
      </c>
      <c r="L692" s="30" t="s">
        <v>3959</v>
      </c>
      <c r="M692" s="30" t="s">
        <v>255</v>
      </c>
      <c r="N692" s="30">
        <v>0</v>
      </c>
      <c r="O692" s="30" t="s">
        <v>64</v>
      </c>
      <c r="P692" s="89" t="s">
        <v>165</v>
      </c>
      <c r="Q692" s="89" t="s">
        <v>3960</v>
      </c>
      <c r="R692" s="89" t="s">
        <v>3960</v>
      </c>
      <c r="S692" s="30">
        <v>0</v>
      </c>
      <c r="T692" s="233">
        <v>0</v>
      </c>
      <c r="U692" s="30">
        <v>0</v>
      </c>
      <c r="V692" s="233">
        <v>1</v>
      </c>
      <c r="W692" s="30">
        <v>0</v>
      </c>
      <c r="X692" s="30">
        <v>1</v>
      </c>
      <c r="Y692" s="30">
        <v>0</v>
      </c>
      <c r="Z692" s="233">
        <v>0</v>
      </c>
      <c r="AA692" s="30">
        <v>0</v>
      </c>
      <c r="AB692" s="30">
        <v>1</v>
      </c>
      <c r="AC692" s="30">
        <v>0</v>
      </c>
      <c r="AD692" s="30">
        <v>1</v>
      </c>
      <c r="AE692" s="89" t="s">
        <v>68</v>
      </c>
      <c r="AF692" s="89"/>
      <c r="AG692" s="89" t="s">
        <v>367</v>
      </c>
      <c r="AH692" s="72" t="s">
        <v>68</v>
      </c>
      <c r="AI692" s="30">
        <v>7</v>
      </c>
      <c r="AJ692" s="89" t="s">
        <v>68</v>
      </c>
      <c r="AK692" s="89" t="s">
        <v>68</v>
      </c>
      <c r="AL692" s="91">
        <v>40018</v>
      </c>
      <c r="AM692" s="91"/>
      <c r="AN692" s="91"/>
      <c r="AO692" s="91"/>
      <c r="AP692" s="73" t="e">
        <f>MID(VLOOKUP(K692,#REF!,2,FALSE),1,2)</f>
        <v>#REF!</v>
      </c>
      <c r="AQ692" s="89">
        <f>DATE(2009,7,8)</f>
        <v>40002</v>
      </c>
      <c r="AR692" s="82">
        <f t="shared" si="46"/>
        <v>8</v>
      </c>
      <c r="AS692" s="83">
        <f t="shared" si="47"/>
        <v>7</v>
      </c>
      <c r="AT692" s="84">
        <f t="shared" si="48"/>
        <v>2009</v>
      </c>
      <c r="AU692" s="86"/>
      <c r="AV692" s="86"/>
      <c r="AW692" s="87"/>
      <c r="AX692" s="86"/>
      <c r="AY692" s="83"/>
      <c r="AZ692" s="84"/>
      <c r="BA692" s="86"/>
      <c r="BB692" s="86"/>
    </row>
    <row r="693" spans="1:54" ht="36.75" customHeight="1">
      <c r="A693" s="30"/>
      <c r="B693" s="30" t="s">
        <v>55</v>
      </c>
      <c r="C693" s="69" t="str">
        <f t="shared" si="45"/>
        <v>Closed</v>
      </c>
      <c r="D693" s="27" t="s">
        <v>3961</v>
      </c>
      <c r="E693" s="29" t="s">
        <v>3962</v>
      </c>
      <c r="F693" s="30" t="s">
        <v>638</v>
      </c>
      <c r="G693" s="89">
        <f>DATE(2009,7,13)</f>
        <v>40007</v>
      </c>
      <c r="H693" s="90">
        <v>1.7805555555555554</v>
      </c>
      <c r="I693" s="30" t="s">
        <v>116</v>
      </c>
      <c r="J693" s="89" t="s">
        <v>3963</v>
      </c>
      <c r="K693" s="30" t="s">
        <v>640</v>
      </c>
      <c r="L693" s="30" t="s">
        <v>3964</v>
      </c>
      <c r="M693" s="30" t="s">
        <v>63</v>
      </c>
      <c r="N693" s="30">
        <v>0</v>
      </c>
      <c r="O693" s="30" t="s">
        <v>64</v>
      </c>
      <c r="P693" s="89" t="s">
        <v>165</v>
      </c>
      <c r="Q693" s="89" t="s">
        <v>642</v>
      </c>
      <c r="R693" s="89" t="s">
        <v>643</v>
      </c>
      <c r="S693" s="30">
        <v>0</v>
      </c>
      <c r="T693" s="233">
        <v>0</v>
      </c>
      <c r="U693" s="30">
        <v>0</v>
      </c>
      <c r="V693" s="233">
        <v>0</v>
      </c>
      <c r="W693" s="30">
        <v>0</v>
      </c>
      <c r="X693" s="30">
        <v>0</v>
      </c>
      <c r="Y693" s="30">
        <v>0</v>
      </c>
      <c r="Z693" s="233">
        <v>0</v>
      </c>
      <c r="AA693" s="30">
        <v>0</v>
      </c>
      <c r="AB693" s="30">
        <v>0</v>
      </c>
      <c r="AC693" s="30">
        <v>0</v>
      </c>
      <c r="AD693" s="30">
        <v>0</v>
      </c>
      <c r="AE693" s="89" t="s">
        <v>68</v>
      </c>
      <c r="AF693" s="89"/>
      <c r="AG693" s="89" t="s">
        <v>248</v>
      </c>
      <c r="AH693" s="72" t="s">
        <v>68</v>
      </c>
      <c r="AI693" s="30">
        <v>0</v>
      </c>
      <c r="AJ693" s="89" t="s">
        <v>68</v>
      </c>
      <c r="AK693" s="89" t="s">
        <v>68</v>
      </c>
      <c r="AL693" s="91">
        <v>40077</v>
      </c>
      <c r="AM693" s="91"/>
      <c r="AN693" s="91"/>
      <c r="AO693" s="91"/>
      <c r="AP693" s="73" t="e">
        <f>MID(VLOOKUP(K693,#REF!,2,FALSE),1,2)</f>
        <v>#REF!</v>
      </c>
      <c r="AQ693" s="89">
        <f>DATE(2009,7,13)</f>
        <v>40007</v>
      </c>
      <c r="AR693" s="82">
        <f t="shared" si="46"/>
        <v>13</v>
      </c>
      <c r="AS693" s="83">
        <f t="shared" si="47"/>
        <v>7</v>
      </c>
      <c r="AT693" s="84">
        <f t="shared" si="48"/>
        <v>2009</v>
      </c>
      <c r="AU693" s="86"/>
      <c r="AV693" s="86"/>
      <c r="AW693" s="87"/>
      <c r="AX693" s="86"/>
      <c r="AY693" s="83"/>
      <c r="AZ693" s="84"/>
      <c r="BA693" s="86"/>
      <c r="BB693" s="86"/>
    </row>
    <row r="694" spans="1:54" ht="36.75" customHeight="1">
      <c r="A694" s="30"/>
      <c r="B694" s="30" t="s">
        <v>55</v>
      </c>
      <c r="C694" s="69" t="str">
        <f t="shared" si="45"/>
        <v>Closed</v>
      </c>
      <c r="D694" s="27" t="s">
        <v>3965</v>
      </c>
      <c r="E694" s="29" t="s">
        <v>3966</v>
      </c>
      <c r="F694" s="30" t="s">
        <v>58</v>
      </c>
      <c r="G694" s="89">
        <f>DATE(2009,7,14)</f>
        <v>40008</v>
      </c>
      <c r="H694" s="90">
        <v>1.4701388888888889</v>
      </c>
      <c r="I694" s="30" t="s">
        <v>116</v>
      </c>
      <c r="J694" s="89" t="s">
        <v>3967</v>
      </c>
      <c r="K694" s="30" t="s">
        <v>61</v>
      </c>
      <c r="L694" s="30" t="s">
        <v>3968</v>
      </c>
      <c r="M694" s="30" t="s">
        <v>63</v>
      </c>
      <c r="N694" s="30" t="s">
        <v>99</v>
      </c>
      <c r="O694" s="30" t="s">
        <v>64</v>
      </c>
      <c r="P694" s="89" t="s">
        <v>78</v>
      </c>
      <c r="Q694" s="89" t="s">
        <v>66</v>
      </c>
      <c r="R694" s="89" t="s">
        <v>67</v>
      </c>
      <c r="S694" s="30">
        <v>0</v>
      </c>
      <c r="T694" s="233">
        <v>0</v>
      </c>
      <c r="U694" s="30">
        <v>1</v>
      </c>
      <c r="V694" s="233">
        <v>0</v>
      </c>
      <c r="W694" s="30">
        <v>0</v>
      </c>
      <c r="X694" s="30">
        <v>1</v>
      </c>
      <c r="Y694" s="30">
        <v>0</v>
      </c>
      <c r="Z694" s="233">
        <v>0</v>
      </c>
      <c r="AA694" s="30">
        <v>1</v>
      </c>
      <c r="AB694" s="30">
        <v>0</v>
      </c>
      <c r="AC694" s="30">
        <v>0</v>
      </c>
      <c r="AD694" s="30">
        <v>1</v>
      </c>
      <c r="AE694" s="89" t="s">
        <v>92</v>
      </c>
      <c r="AF694" s="89"/>
      <c r="AG694" s="89" t="s">
        <v>82</v>
      </c>
      <c r="AH694" s="72">
        <v>40009</v>
      </c>
      <c r="AI694" s="30">
        <v>1</v>
      </c>
      <c r="AJ694" s="89" t="s">
        <v>3969</v>
      </c>
      <c r="AK694" s="89" t="s">
        <v>3970</v>
      </c>
      <c r="AL694" s="91">
        <v>40011</v>
      </c>
      <c r="AM694" s="91"/>
      <c r="AN694" s="91"/>
      <c r="AO694" s="91"/>
      <c r="AP694" s="73" t="e">
        <f>MID(VLOOKUP(K694,#REF!,2,FALSE),1,2)</f>
        <v>#REF!</v>
      </c>
      <c r="AQ694" s="89">
        <f>DATE(2009,7,14)</f>
        <v>40008</v>
      </c>
      <c r="AR694" s="82">
        <f t="shared" si="46"/>
        <v>14</v>
      </c>
      <c r="AS694" s="83">
        <f t="shared" si="47"/>
        <v>7</v>
      </c>
      <c r="AT694" s="84">
        <f t="shared" si="48"/>
        <v>2009</v>
      </c>
      <c r="AU694" s="86"/>
      <c r="AV694" s="86"/>
      <c r="AW694" s="87"/>
      <c r="AX694" s="86"/>
      <c r="AY694" s="83"/>
      <c r="AZ694" s="84"/>
      <c r="BA694" s="86"/>
      <c r="BB694" s="86"/>
    </row>
    <row r="695" spans="1:54" ht="36.75" customHeight="1">
      <c r="A695" s="30"/>
      <c r="B695" s="30" t="s">
        <v>55</v>
      </c>
      <c r="C695" s="69" t="str">
        <f t="shared" si="45"/>
        <v>Closed</v>
      </c>
      <c r="D695" s="27" t="s">
        <v>3971</v>
      </c>
      <c r="E695" s="29" t="s">
        <v>3972</v>
      </c>
      <c r="F695" s="30" t="s">
        <v>124</v>
      </c>
      <c r="G695" s="89">
        <f>DATE(2009,7,15)</f>
        <v>40009</v>
      </c>
      <c r="H695" s="90">
        <v>1.4027777777777777</v>
      </c>
      <c r="I695" s="30" t="s">
        <v>116</v>
      </c>
      <c r="J695" s="89" t="s">
        <v>3973</v>
      </c>
      <c r="K695" s="30" t="s">
        <v>127</v>
      </c>
      <c r="L695" s="30" t="s">
        <v>3974</v>
      </c>
      <c r="M695" s="30" t="s">
        <v>63</v>
      </c>
      <c r="N695" s="30">
        <v>0</v>
      </c>
      <c r="O695" s="30" t="s">
        <v>64</v>
      </c>
      <c r="P695" s="89" t="s">
        <v>165</v>
      </c>
      <c r="Q695" s="89" t="s">
        <v>3598</v>
      </c>
      <c r="R695" s="89" t="s">
        <v>167</v>
      </c>
      <c r="S695" s="30">
        <v>0</v>
      </c>
      <c r="T695" s="233">
        <v>0</v>
      </c>
      <c r="U695" s="30">
        <v>1</v>
      </c>
      <c r="V695" s="233">
        <v>0</v>
      </c>
      <c r="W695" s="30">
        <v>0</v>
      </c>
      <c r="X695" s="30">
        <v>1</v>
      </c>
      <c r="Y695" s="30">
        <v>0</v>
      </c>
      <c r="Z695" s="233">
        <v>0</v>
      </c>
      <c r="AA695" s="30">
        <v>0</v>
      </c>
      <c r="AB695" s="30">
        <v>0</v>
      </c>
      <c r="AC695" s="30">
        <v>0</v>
      </c>
      <c r="AD695" s="30">
        <v>0</v>
      </c>
      <c r="AE695" s="89" t="s">
        <v>68</v>
      </c>
      <c r="AF695" s="89"/>
      <c r="AG695" s="89" t="s">
        <v>1507</v>
      </c>
      <c r="AH695" s="72" t="s">
        <v>68</v>
      </c>
      <c r="AI695" s="30">
        <v>1</v>
      </c>
      <c r="AJ695" s="89" t="s">
        <v>68</v>
      </c>
      <c r="AK695" s="89" t="s">
        <v>68</v>
      </c>
      <c r="AL695" s="91">
        <v>40325</v>
      </c>
      <c r="AM695" s="91"/>
      <c r="AN695" s="91"/>
      <c r="AO695" s="91"/>
      <c r="AP695" s="73" t="e">
        <f>MID(VLOOKUP(K695,#REF!,2,FALSE),1,2)</f>
        <v>#REF!</v>
      </c>
      <c r="AQ695" s="89">
        <f>DATE(2009,7,15)</f>
        <v>40009</v>
      </c>
      <c r="AR695" s="82">
        <f t="shared" si="46"/>
        <v>15</v>
      </c>
      <c r="AS695" s="83">
        <f t="shared" si="47"/>
        <v>7</v>
      </c>
      <c r="AT695" s="84">
        <f t="shared" si="48"/>
        <v>2009</v>
      </c>
      <c r="AU695" s="86"/>
      <c r="AV695" s="86"/>
      <c r="AW695" s="87"/>
      <c r="AX695" s="86"/>
      <c r="AY695" s="83"/>
      <c r="AZ695" s="84"/>
      <c r="BA695" s="86"/>
      <c r="BB695" s="86"/>
    </row>
    <row r="696" spans="1:54" ht="36.75" customHeight="1">
      <c r="A696" s="30"/>
      <c r="B696" s="30" t="s">
        <v>55</v>
      </c>
      <c r="C696" s="69" t="str">
        <f t="shared" si="45"/>
        <v>Closed</v>
      </c>
      <c r="D696" s="27" t="s">
        <v>3975</v>
      </c>
      <c r="E696" s="29" t="s">
        <v>3976</v>
      </c>
      <c r="F696" s="30" t="s">
        <v>582</v>
      </c>
      <c r="G696" s="89">
        <f>DATE(2009,7,17)</f>
        <v>40011</v>
      </c>
      <c r="H696" s="90">
        <v>1.0138888888888888</v>
      </c>
      <c r="I696" s="30" t="s">
        <v>73</v>
      </c>
      <c r="J696" s="89" t="s">
        <v>3977</v>
      </c>
      <c r="K696" s="30" t="s">
        <v>584</v>
      </c>
      <c r="L696" s="30" t="s">
        <v>3978</v>
      </c>
      <c r="M696" s="30" t="s">
        <v>63</v>
      </c>
      <c r="N696" s="30">
        <v>0</v>
      </c>
      <c r="O696" s="30" t="s">
        <v>64</v>
      </c>
      <c r="P696" s="89" t="s">
        <v>78</v>
      </c>
      <c r="Q696" s="89" t="s">
        <v>586</v>
      </c>
      <c r="R696" s="89" t="s">
        <v>587</v>
      </c>
      <c r="S696" s="30">
        <v>0</v>
      </c>
      <c r="T696" s="233">
        <v>0</v>
      </c>
      <c r="U696" s="30">
        <v>0</v>
      </c>
      <c r="V696" s="233">
        <v>0</v>
      </c>
      <c r="W696" s="30">
        <v>0</v>
      </c>
      <c r="X696" s="30">
        <v>0</v>
      </c>
      <c r="Y696" s="30">
        <v>0</v>
      </c>
      <c r="Z696" s="233">
        <v>0</v>
      </c>
      <c r="AA696" s="30">
        <v>0</v>
      </c>
      <c r="AB696" s="30">
        <v>0</v>
      </c>
      <c r="AC696" s="30">
        <v>0</v>
      </c>
      <c r="AD696" s="30">
        <v>0</v>
      </c>
      <c r="AE696" s="89" t="s">
        <v>394</v>
      </c>
      <c r="AF696" s="89"/>
      <c r="AG696" s="89" t="s">
        <v>133</v>
      </c>
      <c r="AH696" s="72">
        <v>40011</v>
      </c>
      <c r="AI696" s="30">
        <v>1</v>
      </c>
      <c r="AJ696" s="89" t="s">
        <v>3979</v>
      </c>
      <c r="AK696" s="89" t="s">
        <v>1233</v>
      </c>
      <c r="AL696" s="91">
        <v>40011</v>
      </c>
      <c r="AM696" s="91"/>
      <c r="AN696" s="91"/>
      <c r="AO696" s="91"/>
      <c r="AP696" s="73" t="e">
        <f>MID(VLOOKUP(K696,#REF!,2,FALSE),1,2)</f>
        <v>#REF!</v>
      </c>
      <c r="AQ696" s="89">
        <f>DATE(2009,7,17)</f>
        <v>40011</v>
      </c>
      <c r="AR696" s="82">
        <f t="shared" si="46"/>
        <v>17</v>
      </c>
      <c r="AS696" s="83">
        <f t="shared" si="47"/>
        <v>7</v>
      </c>
      <c r="AT696" s="84">
        <f t="shared" si="48"/>
        <v>2009</v>
      </c>
      <c r="AU696" s="86"/>
      <c r="AV696" s="86"/>
      <c r="AW696" s="87"/>
      <c r="AX696" s="86"/>
      <c r="AY696" s="83"/>
      <c r="AZ696" s="84"/>
      <c r="BA696" s="86"/>
      <c r="BB696" s="86"/>
    </row>
    <row r="697" spans="1:54" ht="36.75" customHeight="1">
      <c r="A697" s="30"/>
      <c r="B697" s="30" t="s">
        <v>55</v>
      </c>
      <c r="C697" s="69" t="str">
        <f t="shared" si="45"/>
        <v>Closed</v>
      </c>
      <c r="D697" s="27" t="s">
        <v>3980</v>
      </c>
      <c r="E697" s="29" t="s">
        <v>3981</v>
      </c>
      <c r="F697" s="30" t="s">
        <v>58</v>
      </c>
      <c r="G697" s="89">
        <f>DATE(2009,7,17)</f>
        <v>40011</v>
      </c>
      <c r="H697" s="90">
        <v>1.4097222222222223</v>
      </c>
      <c r="I697" s="30" t="s">
        <v>116</v>
      </c>
      <c r="J697" s="89" t="s">
        <v>3982</v>
      </c>
      <c r="K697" s="30" t="s">
        <v>61</v>
      </c>
      <c r="L697" s="30" t="s">
        <v>3983</v>
      </c>
      <c r="M697" s="30" t="s">
        <v>63</v>
      </c>
      <c r="N697" s="30">
        <v>0</v>
      </c>
      <c r="O697" s="30" t="s">
        <v>64</v>
      </c>
      <c r="P697" s="89" t="s">
        <v>78</v>
      </c>
      <c r="Q697" s="89" t="s">
        <v>66</v>
      </c>
      <c r="R697" s="89" t="s">
        <v>67</v>
      </c>
      <c r="S697" s="30">
        <v>0</v>
      </c>
      <c r="T697" s="233">
        <v>0</v>
      </c>
      <c r="U697" s="30">
        <v>1</v>
      </c>
      <c r="V697" s="233">
        <v>0</v>
      </c>
      <c r="W697" s="30">
        <v>0</v>
      </c>
      <c r="X697" s="30">
        <v>1</v>
      </c>
      <c r="Y697" s="30">
        <v>0</v>
      </c>
      <c r="Z697" s="233">
        <v>0</v>
      </c>
      <c r="AA697" s="30">
        <v>0</v>
      </c>
      <c r="AB697" s="30">
        <v>0</v>
      </c>
      <c r="AC697" s="30">
        <v>0</v>
      </c>
      <c r="AD697" s="30">
        <v>0</v>
      </c>
      <c r="AE697" s="89" t="s">
        <v>68</v>
      </c>
      <c r="AF697" s="89"/>
      <c r="AG697" s="89" t="s">
        <v>82</v>
      </c>
      <c r="AH697" s="72" t="s">
        <v>68</v>
      </c>
      <c r="AI697" s="30">
        <v>1</v>
      </c>
      <c r="AJ697" s="89" t="s">
        <v>3984</v>
      </c>
      <c r="AK697" s="89" t="s">
        <v>3985</v>
      </c>
      <c r="AL697" s="91">
        <v>40031</v>
      </c>
      <c r="AM697" s="91"/>
      <c r="AN697" s="91"/>
      <c r="AO697" s="91"/>
      <c r="AP697" s="73" t="e">
        <f>MID(VLOOKUP(K697,#REF!,2,FALSE),1,2)</f>
        <v>#REF!</v>
      </c>
      <c r="AQ697" s="89">
        <f>DATE(2009,7,17)</f>
        <v>40011</v>
      </c>
      <c r="AR697" s="82">
        <f t="shared" si="46"/>
        <v>17</v>
      </c>
      <c r="AS697" s="83">
        <f t="shared" si="47"/>
        <v>7</v>
      </c>
      <c r="AT697" s="84">
        <f t="shared" si="48"/>
        <v>2009</v>
      </c>
      <c r="AU697" s="86"/>
      <c r="AV697" s="86"/>
      <c r="AW697" s="87"/>
      <c r="AX697" s="86"/>
      <c r="AY697" s="83"/>
      <c r="AZ697" s="84"/>
      <c r="BA697" s="86"/>
      <c r="BB697" s="86"/>
    </row>
    <row r="698" spans="1:54" ht="36.75" customHeight="1">
      <c r="A698" s="30"/>
      <c r="B698" s="30" t="s">
        <v>55</v>
      </c>
      <c r="C698" s="69" t="str">
        <f t="shared" si="45"/>
        <v>Closed</v>
      </c>
      <c r="D698" s="27" t="s">
        <v>3986</v>
      </c>
      <c r="E698" s="29" t="s">
        <v>3987</v>
      </c>
      <c r="F698" s="30" t="s">
        <v>638</v>
      </c>
      <c r="G698" s="89">
        <f>DATE(2009,7,27)</f>
        <v>40021</v>
      </c>
      <c r="H698" s="90">
        <v>1.8444444444444446</v>
      </c>
      <c r="I698" s="30" t="s">
        <v>104</v>
      </c>
      <c r="J698" s="89" t="s">
        <v>3988</v>
      </c>
      <c r="K698" s="30" t="s">
        <v>640</v>
      </c>
      <c r="L698" s="30" t="s">
        <v>3989</v>
      </c>
      <c r="M698" s="30" t="s">
        <v>63</v>
      </c>
      <c r="N698" s="30">
        <v>0</v>
      </c>
      <c r="O698" s="30" t="s">
        <v>77</v>
      </c>
      <c r="P698" s="89" t="s">
        <v>165</v>
      </c>
      <c r="Q698" s="89" t="s">
        <v>642</v>
      </c>
      <c r="R698" s="89" t="s">
        <v>643</v>
      </c>
      <c r="S698" s="30">
        <v>0</v>
      </c>
      <c r="T698" s="233" t="s">
        <v>68</v>
      </c>
      <c r="U698" s="30">
        <v>0</v>
      </c>
      <c r="V698" s="233" t="s">
        <v>68</v>
      </c>
      <c r="W698" s="30">
        <v>0</v>
      </c>
      <c r="X698" s="30">
        <v>0</v>
      </c>
      <c r="Y698" s="30">
        <v>0</v>
      </c>
      <c r="Z698" s="233" t="s">
        <v>68</v>
      </c>
      <c r="AA698" s="30">
        <v>0</v>
      </c>
      <c r="AB698" s="30">
        <v>0</v>
      </c>
      <c r="AC698" s="30">
        <v>0</v>
      </c>
      <c r="AD698" s="30">
        <v>0</v>
      </c>
      <c r="AE698" s="89" t="s">
        <v>68</v>
      </c>
      <c r="AF698" s="89"/>
      <c r="AG698" s="89" t="s">
        <v>248</v>
      </c>
      <c r="AH698" s="72" t="s">
        <v>68</v>
      </c>
      <c r="AI698" s="30">
        <v>1</v>
      </c>
      <c r="AJ698" s="89" t="s">
        <v>3990</v>
      </c>
      <c r="AK698" s="89" t="s">
        <v>68</v>
      </c>
      <c r="AL698" s="91">
        <v>40142</v>
      </c>
      <c r="AM698" s="91"/>
      <c r="AN698" s="91"/>
      <c r="AO698" s="91"/>
      <c r="AP698" s="73" t="e">
        <f>MID(VLOOKUP(K698,#REF!,2,FALSE),1,2)</f>
        <v>#REF!</v>
      </c>
      <c r="AQ698" s="89">
        <f>DATE(2009,7,27)</f>
        <v>40021</v>
      </c>
      <c r="AR698" s="82">
        <f t="shared" si="46"/>
        <v>27</v>
      </c>
      <c r="AS698" s="83">
        <f t="shared" si="47"/>
        <v>7</v>
      </c>
      <c r="AT698" s="84">
        <f t="shared" si="48"/>
        <v>2009</v>
      </c>
      <c r="AU698" s="86"/>
      <c r="AV698" s="86"/>
      <c r="AW698" s="87"/>
      <c r="AX698" s="86"/>
      <c r="AY698" s="83"/>
      <c r="AZ698" s="84"/>
      <c r="BA698" s="86"/>
      <c r="BB698" s="86"/>
    </row>
    <row r="699" spans="1:54" ht="36.75" customHeight="1">
      <c r="A699" s="30"/>
      <c r="B699" s="30" t="s">
        <v>55</v>
      </c>
      <c r="C699" s="69" t="str">
        <f t="shared" si="45"/>
        <v>Closed</v>
      </c>
      <c r="D699" s="27" t="s">
        <v>3991</v>
      </c>
      <c r="E699" s="29" t="s">
        <v>3992</v>
      </c>
      <c r="F699" s="30" t="s">
        <v>2336</v>
      </c>
      <c r="G699" s="89">
        <f>DATE(2009,8,4)</f>
        <v>40029</v>
      </c>
      <c r="H699" s="90">
        <v>1.4444444444444444</v>
      </c>
      <c r="I699" s="30" t="s">
        <v>73</v>
      </c>
      <c r="J699" s="89" t="s">
        <v>3993</v>
      </c>
      <c r="K699" s="30" t="s">
        <v>2338</v>
      </c>
      <c r="L699" s="30" t="s">
        <v>3994</v>
      </c>
      <c r="M699" s="30" t="s">
        <v>63</v>
      </c>
      <c r="N699" s="30">
        <v>0</v>
      </c>
      <c r="O699" s="30" t="s">
        <v>64</v>
      </c>
      <c r="P699" s="89" t="s">
        <v>65</v>
      </c>
      <c r="Q699" s="89" t="s">
        <v>2945</v>
      </c>
      <c r="R699" s="89" t="s">
        <v>2341</v>
      </c>
      <c r="S699" s="30">
        <v>0</v>
      </c>
      <c r="T699" s="233" t="s">
        <v>68</v>
      </c>
      <c r="U699" s="30">
        <v>0</v>
      </c>
      <c r="V699" s="233" t="s">
        <v>68</v>
      </c>
      <c r="W699" s="30">
        <v>0</v>
      </c>
      <c r="X699" s="30">
        <v>0</v>
      </c>
      <c r="Y699" s="30">
        <v>0</v>
      </c>
      <c r="Z699" s="233" t="s">
        <v>68</v>
      </c>
      <c r="AA699" s="30">
        <v>0</v>
      </c>
      <c r="AB699" s="30">
        <v>0</v>
      </c>
      <c r="AC699" s="30">
        <v>0</v>
      </c>
      <c r="AD699" s="30">
        <v>0</v>
      </c>
      <c r="AE699" s="89" t="s">
        <v>68</v>
      </c>
      <c r="AF699" s="89"/>
      <c r="AG699" s="89" t="s">
        <v>352</v>
      </c>
      <c r="AH699" s="72" t="s">
        <v>68</v>
      </c>
      <c r="AI699" s="30">
        <v>10</v>
      </c>
      <c r="AJ699" s="89" t="s">
        <v>3995</v>
      </c>
      <c r="AK699" s="89" t="s">
        <v>3996</v>
      </c>
      <c r="AL699" s="91">
        <v>40070</v>
      </c>
      <c r="AM699" s="91"/>
      <c r="AN699" s="91"/>
      <c r="AO699" s="91"/>
      <c r="AP699" s="73" t="e">
        <f>MID(VLOOKUP(K699,#REF!,2,FALSE),1,2)</f>
        <v>#REF!</v>
      </c>
      <c r="AQ699" s="89">
        <f>DATE(2009,8,4)</f>
        <v>40029</v>
      </c>
      <c r="AR699" s="82">
        <f t="shared" si="46"/>
        <v>4</v>
      </c>
      <c r="AS699" s="83">
        <f t="shared" si="47"/>
        <v>8</v>
      </c>
      <c r="AT699" s="84">
        <f t="shared" si="48"/>
        <v>2009</v>
      </c>
      <c r="AU699" s="86"/>
      <c r="AV699" s="86"/>
      <c r="AW699" s="87"/>
      <c r="AX699" s="86"/>
      <c r="AY699" s="83"/>
      <c r="AZ699" s="84"/>
      <c r="BA699" s="86"/>
      <c r="BB699" s="86"/>
    </row>
    <row r="700" spans="1:54" ht="36.75" customHeight="1">
      <c r="A700" s="30"/>
      <c r="B700" s="30" t="s">
        <v>55</v>
      </c>
      <c r="C700" s="69" t="str">
        <f t="shared" si="45"/>
        <v>Closed</v>
      </c>
      <c r="D700" s="27" t="s">
        <v>3997</v>
      </c>
      <c r="E700" s="29" t="s">
        <v>3998</v>
      </c>
      <c r="F700" s="30" t="s">
        <v>233</v>
      </c>
      <c r="G700" s="89">
        <f>DATE(2009,8,5)</f>
        <v>40030</v>
      </c>
      <c r="H700" s="90">
        <v>1.4208333333333334</v>
      </c>
      <c r="I700" s="30" t="s">
        <v>116</v>
      </c>
      <c r="J700" s="89" t="s">
        <v>3999</v>
      </c>
      <c r="K700" s="30" t="s">
        <v>235</v>
      </c>
      <c r="L700" s="30" t="s">
        <v>4000</v>
      </c>
      <c r="M700" s="30" t="s">
        <v>255</v>
      </c>
      <c r="N700" s="30">
        <v>0</v>
      </c>
      <c r="O700" s="30" t="s">
        <v>77</v>
      </c>
      <c r="P700" s="89" t="s">
        <v>86</v>
      </c>
      <c r="Q700" s="89" t="s">
        <v>337</v>
      </c>
      <c r="R700" s="89" t="s">
        <v>337</v>
      </c>
      <c r="S700" s="30">
        <v>0</v>
      </c>
      <c r="T700" s="233">
        <v>0</v>
      </c>
      <c r="U700" s="30">
        <v>0</v>
      </c>
      <c r="V700" s="233">
        <v>0</v>
      </c>
      <c r="W700" s="30">
        <v>0</v>
      </c>
      <c r="X700" s="30">
        <v>0</v>
      </c>
      <c r="Y700" s="30">
        <v>0</v>
      </c>
      <c r="Z700" s="233">
        <v>0</v>
      </c>
      <c r="AA700" s="30">
        <v>1</v>
      </c>
      <c r="AB700" s="30">
        <v>0</v>
      </c>
      <c r="AC700" s="30">
        <v>0</v>
      </c>
      <c r="AD700" s="30">
        <v>1</v>
      </c>
      <c r="AE700" s="89" t="s">
        <v>68</v>
      </c>
      <c r="AF700" s="89"/>
      <c r="AG700" s="89" t="s">
        <v>133</v>
      </c>
      <c r="AH700" s="72" t="s">
        <v>68</v>
      </c>
      <c r="AI700" s="30">
        <v>2</v>
      </c>
      <c r="AJ700" s="89" t="s">
        <v>4001</v>
      </c>
      <c r="AK700" s="89" t="s">
        <v>4002</v>
      </c>
      <c r="AL700" s="91">
        <v>40046</v>
      </c>
      <c r="AM700" s="91"/>
      <c r="AN700" s="91"/>
      <c r="AO700" s="91"/>
      <c r="AP700" s="73" t="e">
        <f>MID(VLOOKUP(K700,#REF!,2,FALSE),1,2)</f>
        <v>#REF!</v>
      </c>
      <c r="AQ700" s="89">
        <f>DATE(2009,8,5)</f>
        <v>40030</v>
      </c>
      <c r="AR700" s="82">
        <f t="shared" si="46"/>
        <v>5</v>
      </c>
      <c r="AS700" s="83">
        <f t="shared" si="47"/>
        <v>8</v>
      </c>
      <c r="AT700" s="84">
        <f t="shared" si="48"/>
        <v>2009</v>
      </c>
      <c r="AU700" s="86"/>
      <c r="AV700" s="86"/>
      <c r="AW700" s="87"/>
      <c r="AX700" s="86"/>
      <c r="AY700" s="83"/>
      <c r="AZ700" s="84"/>
      <c r="BA700" s="86"/>
      <c r="BB700" s="86"/>
    </row>
    <row r="701" spans="1:54" ht="36.75" customHeight="1">
      <c r="A701" s="30"/>
      <c r="B701" s="30" t="s">
        <v>55</v>
      </c>
      <c r="C701" s="69" t="str">
        <f t="shared" si="45"/>
        <v>Closed</v>
      </c>
      <c r="D701" s="27" t="s">
        <v>4003</v>
      </c>
      <c r="E701" s="29" t="s">
        <v>4004</v>
      </c>
      <c r="F701" s="30" t="s">
        <v>582</v>
      </c>
      <c r="G701" s="89">
        <f>DATE(2009,8,7)</f>
        <v>40032</v>
      </c>
      <c r="H701" s="90">
        <v>1.629861111111111</v>
      </c>
      <c r="I701" s="30" t="s">
        <v>73</v>
      </c>
      <c r="J701" s="89" t="s">
        <v>4005</v>
      </c>
      <c r="K701" s="30" t="s">
        <v>584</v>
      </c>
      <c r="L701" s="30" t="s">
        <v>4006</v>
      </c>
      <c r="M701" s="30" t="s">
        <v>63</v>
      </c>
      <c r="N701" s="30">
        <v>0</v>
      </c>
      <c r="O701" s="30" t="s">
        <v>64</v>
      </c>
      <c r="P701" s="89" t="s">
        <v>78</v>
      </c>
      <c r="Q701" s="89" t="s">
        <v>586</v>
      </c>
      <c r="R701" s="89" t="s">
        <v>587</v>
      </c>
      <c r="S701" s="30">
        <v>0</v>
      </c>
      <c r="T701" s="233" t="s">
        <v>68</v>
      </c>
      <c r="U701" s="30">
        <v>0</v>
      </c>
      <c r="V701" s="233" t="s">
        <v>68</v>
      </c>
      <c r="W701" s="30">
        <v>0</v>
      </c>
      <c r="X701" s="30">
        <v>0</v>
      </c>
      <c r="Y701" s="30">
        <v>0</v>
      </c>
      <c r="Z701" s="233" t="s">
        <v>68</v>
      </c>
      <c r="AA701" s="30">
        <v>0</v>
      </c>
      <c r="AB701" s="30">
        <v>0</v>
      </c>
      <c r="AC701" s="30">
        <v>0</v>
      </c>
      <c r="AD701" s="30">
        <v>0</v>
      </c>
      <c r="AE701" s="89" t="s">
        <v>68</v>
      </c>
      <c r="AF701" s="89"/>
      <c r="AG701" s="89" t="s">
        <v>133</v>
      </c>
      <c r="AH701" s="72" t="s">
        <v>68</v>
      </c>
      <c r="AI701" s="30">
        <v>2</v>
      </c>
      <c r="AJ701" s="89" t="s">
        <v>68</v>
      </c>
      <c r="AK701" s="89" t="s">
        <v>68</v>
      </c>
      <c r="AL701" s="91">
        <v>40051</v>
      </c>
      <c r="AM701" s="91"/>
      <c r="AN701" s="91"/>
      <c r="AO701" s="91"/>
      <c r="AP701" s="73" t="e">
        <f>MID(VLOOKUP(K701,#REF!,2,FALSE),1,2)</f>
        <v>#REF!</v>
      </c>
      <c r="AQ701" s="89">
        <f>DATE(2009,8,7)</f>
        <v>40032</v>
      </c>
      <c r="AR701" s="82">
        <f t="shared" si="46"/>
        <v>7</v>
      </c>
      <c r="AS701" s="83">
        <f t="shared" si="47"/>
        <v>8</v>
      </c>
      <c r="AT701" s="84">
        <f t="shared" si="48"/>
        <v>2009</v>
      </c>
      <c r="AU701" s="86"/>
      <c r="AV701" s="86"/>
      <c r="AW701" s="87"/>
      <c r="AX701" s="86"/>
      <c r="AY701" s="83"/>
      <c r="AZ701" s="84"/>
      <c r="BA701" s="86"/>
      <c r="BB701" s="86"/>
    </row>
    <row r="702" spans="1:54" ht="36.75" customHeight="1">
      <c r="A702" s="30"/>
      <c r="B702" s="30" t="s">
        <v>55</v>
      </c>
      <c r="C702" s="69" t="str">
        <f t="shared" si="45"/>
        <v>Closed</v>
      </c>
      <c r="D702" s="27" t="s">
        <v>4007</v>
      </c>
      <c r="E702" s="29" t="s">
        <v>4008</v>
      </c>
      <c r="F702" s="30" t="s">
        <v>835</v>
      </c>
      <c r="G702" s="89">
        <f>DATE(2009,8,7)</f>
        <v>40032</v>
      </c>
      <c r="H702" s="90">
        <v>1.1631944444444444</v>
      </c>
      <c r="I702" s="30" t="s">
        <v>116</v>
      </c>
      <c r="J702" s="89" t="s">
        <v>4009</v>
      </c>
      <c r="K702" s="30" t="s">
        <v>837</v>
      </c>
      <c r="L702" s="30" t="s">
        <v>4010</v>
      </c>
      <c r="M702" s="30" t="s">
        <v>63</v>
      </c>
      <c r="N702" s="30">
        <v>0</v>
      </c>
      <c r="O702" s="30" t="s">
        <v>77</v>
      </c>
      <c r="P702" s="89" t="s">
        <v>65</v>
      </c>
      <c r="Q702" s="89" t="s">
        <v>2162</v>
      </c>
      <c r="R702" s="89" t="s">
        <v>840</v>
      </c>
      <c r="S702" s="30">
        <v>0</v>
      </c>
      <c r="T702" s="233">
        <v>0</v>
      </c>
      <c r="U702" s="30">
        <v>1</v>
      </c>
      <c r="V702" s="233">
        <v>0</v>
      </c>
      <c r="W702" s="30">
        <v>0</v>
      </c>
      <c r="X702" s="30">
        <v>1</v>
      </c>
      <c r="Y702" s="30">
        <v>0</v>
      </c>
      <c r="Z702" s="233">
        <v>0</v>
      </c>
      <c r="AA702" s="30">
        <v>2</v>
      </c>
      <c r="AB702" s="30">
        <v>0</v>
      </c>
      <c r="AC702" s="30">
        <v>0</v>
      </c>
      <c r="AD702" s="30">
        <v>2</v>
      </c>
      <c r="AE702" s="89" t="s">
        <v>68</v>
      </c>
      <c r="AF702" s="89"/>
      <c r="AG702" s="89" t="s">
        <v>352</v>
      </c>
      <c r="AH702" s="72" t="s">
        <v>68</v>
      </c>
      <c r="AI702" s="30">
        <v>0</v>
      </c>
      <c r="AJ702" s="89" t="s">
        <v>68</v>
      </c>
      <c r="AK702" s="89" t="s">
        <v>68</v>
      </c>
      <c r="AL702" s="91">
        <v>40049</v>
      </c>
      <c r="AM702" s="91"/>
      <c r="AN702" s="91"/>
      <c r="AO702" s="91"/>
      <c r="AP702" s="73" t="e">
        <f>MID(VLOOKUP(K702,#REF!,2,FALSE),1,2)</f>
        <v>#REF!</v>
      </c>
      <c r="AQ702" s="89">
        <f>DATE(2009,8,7)</f>
        <v>40032</v>
      </c>
      <c r="AR702" s="82">
        <f t="shared" si="46"/>
        <v>7</v>
      </c>
      <c r="AS702" s="83">
        <f t="shared" si="47"/>
        <v>8</v>
      </c>
      <c r="AT702" s="84">
        <f t="shared" si="48"/>
        <v>2009</v>
      </c>
      <c r="AU702" s="86"/>
      <c r="AV702" s="86"/>
      <c r="AW702" s="87"/>
      <c r="AX702" s="86"/>
      <c r="AY702" s="83"/>
      <c r="AZ702" s="84"/>
      <c r="BA702" s="86"/>
      <c r="BB702" s="86"/>
    </row>
    <row r="703" spans="1:54" ht="36.75" customHeight="1">
      <c r="A703" s="30"/>
      <c r="B703" s="30" t="s">
        <v>55</v>
      </c>
      <c r="C703" s="69" t="str">
        <f t="shared" si="45"/>
        <v>Closed</v>
      </c>
      <c r="D703" s="27" t="s">
        <v>4011</v>
      </c>
      <c r="E703" s="29" t="s">
        <v>4012</v>
      </c>
      <c r="F703" s="30" t="s">
        <v>835</v>
      </c>
      <c r="G703" s="89">
        <f>DATE(2009,8,13)</f>
        <v>40038</v>
      </c>
      <c r="H703" s="90">
        <v>1.5555555555555556</v>
      </c>
      <c r="I703" s="30" t="s">
        <v>73</v>
      </c>
      <c r="J703" s="89" t="s">
        <v>4013</v>
      </c>
      <c r="K703" s="30" t="s">
        <v>837</v>
      </c>
      <c r="L703" s="30" t="s">
        <v>4014</v>
      </c>
      <c r="M703" s="30" t="s">
        <v>63</v>
      </c>
      <c r="N703" s="30">
        <v>0</v>
      </c>
      <c r="O703" s="30" t="s">
        <v>64</v>
      </c>
      <c r="P703" s="89" t="s">
        <v>301</v>
      </c>
      <c r="Q703" s="89" t="s">
        <v>839</v>
      </c>
      <c r="R703" s="89" t="s">
        <v>840</v>
      </c>
      <c r="S703" s="30">
        <v>0</v>
      </c>
      <c r="T703" s="233">
        <v>0</v>
      </c>
      <c r="U703" s="30">
        <v>0</v>
      </c>
      <c r="V703" s="233">
        <v>0</v>
      </c>
      <c r="W703" s="30">
        <v>0</v>
      </c>
      <c r="X703" s="30">
        <v>0</v>
      </c>
      <c r="Y703" s="30">
        <v>0</v>
      </c>
      <c r="Z703" s="233">
        <v>1</v>
      </c>
      <c r="AA703" s="30">
        <v>0</v>
      </c>
      <c r="AB703" s="30">
        <v>0</v>
      </c>
      <c r="AC703" s="30">
        <v>0</v>
      </c>
      <c r="AD703" s="30">
        <v>1</v>
      </c>
      <c r="AE703" s="89" t="s">
        <v>68</v>
      </c>
      <c r="AF703" s="89"/>
      <c r="AG703" s="89" t="s">
        <v>352</v>
      </c>
      <c r="AH703" s="72" t="s">
        <v>68</v>
      </c>
      <c r="AI703" s="30">
        <v>1</v>
      </c>
      <c r="AJ703" s="89" t="s">
        <v>68</v>
      </c>
      <c r="AK703" s="89" t="s">
        <v>68</v>
      </c>
      <c r="AL703" s="91">
        <v>40049</v>
      </c>
      <c r="AM703" s="91"/>
      <c r="AN703" s="91"/>
      <c r="AO703" s="91"/>
      <c r="AP703" s="73" t="e">
        <f>MID(VLOOKUP(K703,#REF!,2,FALSE),1,2)</f>
        <v>#REF!</v>
      </c>
      <c r="AQ703" s="89">
        <f>DATE(2009,8,13)</f>
        <v>40038</v>
      </c>
      <c r="AR703" s="82">
        <f t="shared" si="46"/>
        <v>13</v>
      </c>
      <c r="AS703" s="83">
        <f t="shared" si="47"/>
        <v>8</v>
      </c>
      <c r="AT703" s="84">
        <f t="shared" si="48"/>
        <v>2009</v>
      </c>
      <c r="AU703" s="86"/>
      <c r="AV703" s="86"/>
      <c r="AW703" s="87"/>
      <c r="AX703" s="86"/>
      <c r="AY703" s="83"/>
      <c r="AZ703" s="84"/>
      <c r="BA703" s="86"/>
      <c r="BB703" s="86"/>
    </row>
    <row r="704" spans="1:54" ht="36.75" customHeight="1">
      <c r="A704" s="30"/>
      <c r="B704" s="30" t="s">
        <v>55</v>
      </c>
      <c r="C704" s="69" t="str">
        <f t="shared" si="45"/>
        <v>Closed</v>
      </c>
      <c r="D704" s="27" t="s">
        <v>4015</v>
      </c>
      <c r="E704" s="29" t="s">
        <v>4016</v>
      </c>
      <c r="F704" s="30" t="s">
        <v>423</v>
      </c>
      <c r="G704" s="89">
        <f>DATE(2009,8,17)</f>
        <v>40042</v>
      </c>
      <c r="H704" s="90">
        <v>1.6743055555555557</v>
      </c>
      <c r="I704" s="30" t="s">
        <v>86</v>
      </c>
      <c r="J704" s="89" t="s">
        <v>4017</v>
      </c>
      <c r="K704" s="30" t="s">
        <v>425</v>
      </c>
      <c r="L704" s="30" t="s">
        <v>4018</v>
      </c>
      <c r="M704" s="30" t="s">
        <v>255</v>
      </c>
      <c r="N704" s="30">
        <v>0</v>
      </c>
      <c r="O704" s="30" t="s">
        <v>86</v>
      </c>
      <c r="P704" s="89" t="s">
        <v>86</v>
      </c>
      <c r="Q704" s="89" t="s">
        <v>2715</v>
      </c>
      <c r="R704" s="89" t="s">
        <v>2715</v>
      </c>
      <c r="S704" s="30">
        <v>0</v>
      </c>
      <c r="T704" s="233" t="s">
        <v>68</v>
      </c>
      <c r="U704" s="30">
        <v>0</v>
      </c>
      <c r="V704" s="233" t="s">
        <v>68</v>
      </c>
      <c r="W704" s="30">
        <v>0</v>
      </c>
      <c r="X704" s="30">
        <v>0</v>
      </c>
      <c r="Y704" s="30">
        <v>0</v>
      </c>
      <c r="Z704" s="233" t="s">
        <v>68</v>
      </c>
      <c r="AA704" s="30">
        <v>0</v>
      </c>
      <c r="AB704" s="30">
        <v>0</v>
      </c>
      <c r="AC704" s="30">
        <v>0</v>
      </c>
      <c r="AD704" s="30">
        <v>0</v>
      </c>
      <c r="AE704" s="89" t="s">
        <v>68</v>
      </c>
      <c r="AF704" s="89"/>
      <c r="AG704" s="89" t="s">
        <v>367</v>
      </c>
      <c r="AH704" s="72" t="s">
        <v>68</v>
      </c>
      <c r="AI704" s="30">
        <v>3</v>
      </c>
      <c r="AJ704" s="89" t="s">
        <v>4019</v>
      </c>
      <c r="AK704" s="89" t="s">
        <v>4020</v>
      </c>
      <c r="AL704" s="91">
        <v>40065</v>
      </c>
      <c r="AM704" s="91"/>
      <c r="AN704" s="91"/>
      <c r="AO704" s="91"/>
      <c r="AP704" s="73" t="e">
        <f>MID(VLOOKUP(K704,#REF!,2,FALSE),1,2)</f>
        <v>#REF!</v>
      </c>
      <c r="AQ704" s="89">
        <f>DATE(2009,8,17)</f>
        <v>40042</v>
      </c>
      <c r="AR704" s="82">
        <f t="shared" si="46"/>
        <v>17</v>
      </c>
      <c r="AS704" s="83">
        <f t="shared" si="47"/>
        <v>8</v>
      </c>
      <c r="AT704" s="84">
        <f t="shared" si="48"/>
        <v>2009</v>
      </c>
      <c r="AU704" s="86"/>
      <c r="AV704" s="86"/>
      <c r="AW704" s="87"/>
      <c r="AX704" s="86"/>
      <c r="AY704" s="83"/>
      <c r="AZ704" s="84"/>
      <c r="BA704" s="86"/>
      <c r="BB704" s="86"/>
    </row>
    <row r="705" spans="1:54" ht="36.75" customHeight="1">
      <c r="A705" s="30"/>
      <c r="B705" s="30" t="s">
        <v>55</v>
      </c>
      <c r="C705" s="69" t="str">
        <f t="shared" si="45"/>
        <v>Closed</v>
      </c>
      <c r="D705" s="27" t="s">
        <v>4021</v>
      </c>
      <c r="E705" s="29" t="s">
        <v>4022</v>
      </c>
      <c r="F705" s="30" t="s">
        <v>1938</v>
      </c>
      <c r="G705" s="89">
        <f>DATE(2009,8,21)</f>
        <v>40046</v>
      </c>
      <c r="H705" s="90">
        <v>1.7534722222222223</v>
      </c>
      <c r="I705" s="30" t="s">
        <v>86</v>
      </c>
      <c r="J705" s="89" t="s">
        <v>4023</v>
      </c>
      <c r="K705" s="30" t="s">
        <v>1940</v>
      </c>
      <c r="L705" s="30" t="s">
        <v>4024</v>
      </c>
      <c r="M705" s="30" t="s">
        <v>63</v>
      </c>
      <c r="N705" s="30">
        <v>0</v>
      </c>
      <c r="O705" s="30" t="s">
        <v>64</v>
      </c>
      <c r="P705" s="89" t="s">
        <v>86</v>
      </c>
      <c r="Q705" s="89" t="s">
        <v>1942</v>
      </c>
      <c r="R705" s="89" t="s">
        <v>1942</v>
      </c>
      <c r="S705" s="30">
        <v>0</v>
      </c>
      <c r="T705" s="233" t="s">
        <v>68</v>
      </c>
      <c r="U705" s="30">
        <v>0</v>
      </c>
      <c r="V705" s="233" t="s">
        <v>68</v>
      </c>
      <c r="W705" s="30">
        <v>0</v>
      </c>
      <c r="X705" s="30">
        <v>0</v>
      </c>
      <c r="Y705" s="30">
        <v>0</v>
      </c>
      <c r="Z705" s="233" t="s">
        <v>68</v>
      </c>
      <c r="AA705" s="30">
        <v>0</v>
      </c>
      <c r="AB705" s="30">
        <v>0</v>
      </c>
      <c r="AC705" s="30">
        <v>0</v>
      </c>
      <c r="AD705" s="30">
        <v>0</v>
      </c>
      <c r="AE705" s="89" t="s">
        <v>68</v>
      </c>
      <c r="AF705" s="89"/>
      <c r="AG705" s="89" t="s">
        <v>82</v>
      </c>
      <c r="AH705" s="72" t="s">
        <v>68</v>
      </c>
      <c r="AI705" s="30">
        <v>10</v>
      </c>
      <c r="AJ705" s="89" t="s">
        <v>4025</v>
      </c>
      <c r="AK705" s="89" t="s">
        <v>4026</v>
      </c>
      <c r="AL705" s="91">
        <v>40050</v>
      </c>
      <c r="AM705" s="91"/>
      <c r="AN705" s="91"/>
      <c r="AO705" s="91"/>
      <c r="AP705" s="73" t="e">
        <f>MID(VLOOKUP(K705,#REF!,2,FALSE),1,2)</f>
        <v>#REF!</v>
      </c>
      <c r="AQ705" s="89">
        <f>DATE(2009,8,21)</f>
        <v>40046</v>
      </c>
      <c r="AR705" s="82">
        <f t="shared" si="46"/>
        <v>21</v>
      </c>
      <c r="AS705" s="83">
        <f t="shared" si="47"/>
        <v>8</v>
      </c>
      <c r="AT705" s="84">
        <f t="shared" si="48"/>
        <v>2009</v>
      </c>
      <c r="AU705" s="86"/>
      <c r="AV705" s="86"/>
      <c r="AW705" s="87"/>
      <c r="AX705" s="86"/>
      <c r="AY705" s="83"/>
      <c r="AZ705" s="84"/>
      <c r="BA705" s="86"/>
      <c r="BB705" s="86"/>
    </row>
    <row r="706" spans="1:54" ht="36.75" customHeight="1">
      <c r="A706" s="30"/>
      <c r="B706" s="30" t="s">
        <v>55</v>
      </c>
      <c r="C706" s="69" t="str">
        <f t="shared" ref="C706:C769" si="49">IF(B706="Notification","Open",IF(B706="Interim Statement","In progress","Closed"))</f>
        <v>Closed</v>
      </c>
      <c r="D706" s="27" t="s">
        <v>4027</v>
      </c>
      <c r="E706" s="29" t="s">
        <v>4028</v>
      </c>
      <c r="F706" s="30" t="s">
        <v>835</v>
      </c>
      <c r="G706" s="89">
        <f>DATE(2009,8,23)</f>
        <v>40048</v>
      </c>
      <c r="H706" s="90">
        <v>1.8875000000000002</v>
      </c>
      <c r="I706" s="30" t="s">
        <v>104</v>
      </c>
      <c r="J706" s="89" t="s">
        <v>4029</v>
      </c>
      <c r="K706" s="30" t="s">
        <v>837</v>
      </c>
      <c r="L706" s="30" t="s">
        <v>4030</v>
      </c>
      <c r="M706" s="30" t="s">
        <v>63</v>
      </c>
      <c r="N706" s="30">
        <v>0</v>
      </c>
      <c r="O706" s="30" t="s">
        <v>77</v>
      </c>
      <c r="P706" s="89" t="s">
        <v>216</v>
      </c>
      <c r="Q706" s="89" t="s">
        <v>4031</v>
      </c>
      <c r="R706" s="89" t="s">
        <v>840</v>
      </c>
      <c r="S706" s="30">
        <v>0</v>
      </c>
      <c r="T706" s="233" t="s">
        <v>68</v>
      </c>
      <c r="U706" s="30">
        <v>0</v>
      </c>
      <c r="V706" s="233" t="s">
        <v>68</v>
      </c>
      <c r="W706" s="30">
        <v>0</v>
      </c>
      <c r="X706" s="30">
        <v>0</v>
      </c>
      <c r="Y706" s="30">
        <v>0</v>
      </c>
      <c r="Z706" s="233" t="s">
        <v>68</v>
      </c>
      <c r="AA706" s="30">
        <v>0</v>
      </c>
      <c r="AB706" s="30">
        <v>0</v>
      </c>
      <c r="AC706" s="30">
        <v>0</v>
      </c>
      <c r="AD706" s="30">
        <v>0</v>
      </c>
      <c r="AE706" s="89" t="s">
        <v>68</v>
      </c>
      <c r="AF706" s="89"/>
      <c r="AG706" s="89" t="s">
        <v>352</v>
      </c>
      <c r="AH706" s="72" t="s">
        <v>68</v>
      </c>
      <c r="AI706" s="30">
        <v>1</v>
      </c>
      <c r="AJ706" s="89" t="s">
        <v>68</v>
      </c>
      <c r="AK706" s="89" t="s">
        <v>68</v>
      </c>
      <c r="AL706" s="91">
        <v>40049</v>
      </c>
      <c r="AM706" s="91"/>
      <c r="AN706" s="91"/>
      <c r="AO706" s="91"/>
      <c r="AP706" s="73" t="e">
        <f>MID(VLOOKUP(K706,#REF!,2,FALSE),1,2)</f>
        <v>#REF!</v>
      </c>
      <c r="AQ706" s="89">
        <f>DATE(2009,8,23)</f>
        <v>40048</v>
      </c>
      <c r="AR706" s="82">
        <f t="shared" ref="AR706:AR769" si="50">DAY(AQ706)</f>
        <v>23</v>
      </c>
      <c r="AS706" s="83">
        <f t="shared" ref="AS706:AS769" si="51">MONTH(AQ706)</f>
        <v>8</v>
      </c>
      <c r="AT706" s="84">
        <f t="shared" ref="AT706:AT769" si="52">YEAR(AQ706)</f>
        <v>2009</v>
      </c>
      <c r="AU706" s="86"/>
      <c r="AV706" s="86"/>
      <c r="AW706" s="87"/>
      <c r="AX706" s="86"/>
      <c r="AY706" s="83"/>
      <c r="AZ706" s="84"/>
      <c r="BA706" s="86"/>
      <c r="BB706" s="86"/>
    </row>
    <row r="707" spans="1:54" ht="36.75" customHeight="1">
      <c r="A707" s="30"/>
      <c r="B707" s="30" t="s">
        <v>55</v>
      </c>
      <c r="C707" s="69" t="str">
        <f t="shared" si="49"/>
        <v>Closed</v>
      </c>
      <c r="D707" s="27" t="s">
        <v>4032</v>
      </c>
      <c r="E707" s="29" t="s">
        <v>4033</v>
      </c>
      <c r="F707" s="30" t="s">
        <v>638</v>
      </c>
      <c r="G707" s="89">
        <f>DATE(2009,8,24)</f>
        <v>40049</v>
      </c>
      <c r="H707" s="90">
        <v>1.7062499999999998</v>
      </c>
      <c r="I707" s="30" t="s">
        <v>278</v>
      </c>
      <c r="J707" s="89" t="s">
        <v>4034</v>
      </c>
      <c r="K707" s="30" t="s">
        <v>640</v>
      </c>
      <c r="L707" s="30" t="s">
        <v>4035</v>
      </c>
      <c r="M707" s="30" t="s">
        <v>63</v>
      </c>
      <c r="N707" s="30">
        <v>0</v>
      </c>
      <c r="O707" s="30" t="s">
        <v>77</v>
      </c>
      <c r="P707" s="89" t="s">
        <v>86</v>
      </c>
      <c r="Q707" s="89" t="s">
        <v>642</v>
      </c>
      <c r="R707" s="89" t="s">
        <v>643</v>
      </c>
      <c r="S707" s="30">
        <v>0</v>
      </c>
      <c r="T707" s="233">
        <v>0</v>
      </c>
      <c r="U707" s="30">
        <v>0</v>
      </c>
      <c r="V707" s="233">
        <v>0</v>
      </c>
      <c r="W707" s="30">
        <v>1</v>
      </c>
      <c r="X707" s="30">
        <v>1</v>
      </c>
      <c r="Y707" s="30">
        <v>0</v>
      </c>
      <c r="Z707" s="233">
        <v>0</v>
      </c>
      <c r="AA707" s="30">
        <v>0</v>
      </c>
      <c r="AB707" s="30">
        <v>0</v>
      </c>
      <c r="AC707" s="30">
        <v>0</v>
      </c>
      <c r="AD707" s="30">
        <v>0</v>
      </c>
      <c r="AE707" s="89" t="s">
        <v>68</v>
      </c>
      <c r="AF707" s="89"/>
      <c r="AG707" s="89" t="s">
        <v>248</v>
      </c>
      <c r="AH707" s="72" t="s">
        <v>68</v>
      </c>
      <c r="AI707" s="30">
        <v>1</v>
      </c>
      <c r="AJ707" s="89" t="s">
        <v>4036</v>
      </c>
      <c r="AK707" s="89" t="s">
        <v>4037</v>
      </c>
      <c r="AL707" s="91">
        <v>40142</v>
      </c>
      <c r="AM707" s="91"/>
      <c r="AN707" s="91"/>
      <c r="AO707" s="91"/>
      <c r="AP707" s="73" t="e">
        <f>MID(VLOOKUP(K707,#REF!,2,FALSE),1,2)</f>
        <v>#REF!</v>
      </c>
      <c r="AQ707" s="89">
        <f>DATE(2009,8,24)</f>
        <v>40049</v>
      </c>
      <c r="AR707" s="82">
        <f t="shared" si="50"/>
        <v>24</v>
      </c>
      <c r="AS707" s="83">
        <f t="shared" si="51"/>
        <v>8</v>
      </c>
      <c r="AT707" s="84">
        <f t="shared" si="52"/>
        <v>2009</v>
      </c>
      <c r="AU707" s="86"/>
      <c r="AV707" s="86"/>
      <c r="AW707" s="87"/>
      <c r="AX707" s="86"/>
      <c r="AY707" s="83"/>
      <c r="AZ707" s="84"/>
      <c r="BA707" s="86"/>
      <c r="BB707" s="86"/>
    </row>
    <row r="708" spans="1:54" ht="36.75" customHeight="1">
      <c r="A708" s="30"/>
      <c r="B708" s="30" t="s">
        <v>55</v>
      </c>
      <c r="C708" s="69" t="str">
        <f t="shared" si="49"/>
        <v>Closed</v>
      </c>
      <c r="D708" s="27" t="s">
        <v>4038</v>
      </c>
      <c r="E708" s="29" t="s">
        <v>4039</v>
      </c>
      <c r="F708" s="30" t="s">
        <v>233</v>
      </c>
      <c r="G708" s="89">
        <f>DATE(2009,8,25)</f>
        <v>40050</v>
      </c>
      <c r="H708" s="90">
        <v>1.9993055555555554</v>
      </c>
      <c r="I708" s="30" t="s">
        <v>73</v>
      </c>
      <c r="J708" s="89" t="s">
        <v>4040</v>
      </c>
      <c r="K708" s="30" t="s">
        <v>235</v>
      </c>
      <c r="L708" s="30" t="s">
        <v>4041</v>
      </c>
      <c r="M708" s="30" t="s">
        <v>63</v>
      </c>
      <c r="N708" s="30">
        <v>0</v>
      </c>
      <c r="O708" s="30" t="s">
        <v>64</v>
      </c>
      <c r="P708" s="89" t="s">
        <v>78</v>
      </c>
      <c r="Q708" s="89" t="s">
        <v>4042</v>
      </c>
      <c r="R708" s="89" t="s">
        <v>238</v>
      </c>
      <c r="S708" s="30">
        <v>0</v>
      </c>
      <c r="T708" s="233" t="s">
        <v>68</v>
      </c>
      <c r="U708" s="30">
        <v>0</v>
      </c>
      <c r="V708" s="233" t="s">
        <v>68</v>
      </c>
      <c r="W708" s="30">
        <v>0</v>
      </c>
      <c r="X708" s="30">
        <v>0</v>
      </c>
      <c r="Y708" s="30">
        <v>0</v>
      </c>
      <c r="Z708" s="233" t="s">
        <v>68</v>
      </c>
      <c r="AA708" s="30">
        <v>0</v>
      </c>
      <c r="AB708" s="30">
        <v>0</v>
      </c>
      <c r="AC708" s="30">
        <v>0</v>
      </c>
      <c r="AD708" s="30">
        <v>0</v>
      </c>
      <c r="AE708" s="89" t="s">
        <v>68</v>
      </c>
      <c r="AF708" s="89"/>
      <c r="AG708" s="89" t="s">
        <v>133</v>
      </c>
      <c r="AH708" s="72" t="s">
        <v>68</v>
      </c>
      <c r="AI708" s="30">
        <v>4</v>
      </c>
      <c r="AJ708" s="89" t="s">
        <v>4043</v>
      </c>
      <c r="AK708" s="89" t="s">
        <v>4044</v>
      </c>
      <c r="AL708" s="91">
        <v>40060</v>
      </c>
      <c r="AM708" s="91"/>
      <c r="AN708" s="91"/>
      <c r="AO708" s="91"/>
      <c r="AP708" s="73" t="e">
        <f>MID(VLOOKUP(K708,#REF!,2,FALSE),1,2)</f>
        <v>#REF!</v>
      </c>
      <c r="AQ708" s="89">
        <f>DATE(2009,8,25)</f>
        <v>40050</v>
      </c>
      <c r="AR708" s="82">
        <f t="shared" si="50"/>
        <v>25</v>
      </c>
      <c r="AS708" s="83">
        <f t="shared" si="51"/>
        <v>8</v>
      </c>
      <c r="AT708" s="84">
        <f t="shared" si="52"/>
        <v>2009</v>
      </c>
      <c r="AU708" s="86"/>
      <c r="AV708" s="86"/>
      <c r="AW708" s="87"/>
      <c r="AX708" s="86"/>
      <c r="AY708" s="83"/>
      <c r="AZ708" s="84"/>
      <c r="BA708" s="86"/>
      <c r="BB708" s="86"/>
    </row>
    <row r="709" spans="1:54" ht="36.75" customHeight="1">
      <c r="A709" s="30"/>
      <c r="B709" s="30" t="s">
        <v>55</v>
      </c>
      <c r="C709" s="69" t="str">
        <f t="shared" si="49"/>
        <v>Closed</v>
      </c>
      <c r="D709" s="27" t="s">
        <v>4045</v>
      </c>
      <c r="E709" s="29" t="s">
        <v>4046</v>
      </c>
      <c r="F709" s="30" t="s">
        <v>1749</v>
      </c>
      <c r="G709" s="89">
        <f>DATE(2009,8,26)</f>
        <v>40051</v>
      </c>
      <c r="H709" s="90">
        <v>1.4034722222222222</v>
      </c>
      <c r="I709" s="30" t="s">
        <v>116</v>
      </c>
      <c r="J709" s="89" t="s">
        <v>4047</v>
      </c>
      <c r="K709" s="30" t="s">
        <v>1751</v>
      </c>
      <c r="L709" s="30" t="s">
        <v>4048</v>
      </c>
      <c r="M709" s="30" t="s">
        <v>63</v>
      </c>
      <c r="N709" s="30">
        <v>0</v>
      </c>
      <c r="O709" s="30" t="s">
        <v>64</v>
      </c>
      <c r="P709" s="89" t="s">
        <v>86</v>
      </c>
      <c r="Q709" s="89" t="s">
        <v>1753</v>
      </c>
      <c r="R709" s="89" t="s">
        <v>3619</v>
      </c>
      <c r="S709" s="30">
        <v>0</v>
      </c>
      <c r="T709" s="233">
        <v>0</v>
      </c>
      <c r="U709" s="30">
        <v>1</v>
      </c>
      <c r="V709" s="233">
        <v>0</v>
      </c>
      <c r="W709" s="30">
        <v>0</v>
      </c>
      <c r="X709" s="30">
        <v>1</v>
      </c>
      <c r="Y709" s="30">
        <v>0</v>
      </c>
      <c r="Z709" s="233">
        <v>0</v>
      </c>
      <c r="AA709" s="30">
        <v>0</v>
      </c>
      <c r="AB709" s="30">
        <v>0</v>
      </c>
      <c r="AC709" s="30">
        <v>0</v>
      </c>
      <c r="AD709" s="30">
        <v>0</v>
      </c>
      <c r="AE709" s="89" t="s">
        <v>68</v>
      </c>
      <c r="AF709" s="89"/>
      <c r="AG709" s="89" t="s">
        <v>248</v>
      </c>
      <c r="AH709" s="72" t="s">
        <v>68</v>
      </c>
      <c r="AI709" s="30">
        <v>5</v>
      </c>
      <c r="AJ709" s="89" t="s">
        <v>4049</v>
      </c>
      <c r="AK709" s="89" t="s">
        <v>68</v>
      </c>
      <c r="AL709" s="91">
        <v>40058</v>
      </c>
      <c r="AM709" s="91"/>
      <c r="AN709" s="91"/>
      <c r="AO709" s="91"/>
      <c r="AP709" s="73" t="e">
        <f>MID(VLOOKUP(K709,#REF!,2,FALSE),1,2)</f>
        <v>#REF!</v>
      </c>
      <c r="AQ709" s="89">
        <f>DATE(2009,8,26)</f>
        <v>40051</v>
      </c>
      <c r="AR709" s="82">
        <f t="shared" si="50"/>
        <v>26</v>
      </c>
      <c r="AS709" s="83">
        <f t="shared" si="51"/>
        <v>8</v>
      </c>
      <c r="AT709" s="84">
        <f t="shared" si="52"/>
        <v>2009</v>
      </c>
      <c r="AU709" s="86"/>
      <c r="AV709" s="86"/>
      <c r="AW709" s="87"/>
      <c r="AX709" s="86"/>
      <c r="AY709" s="83"/>
      <c r="AZ709" s="84"/>
      <c r="BA709" s="86"/>
      <c r="BB709" s="86"/>
    </row>
    <row r="710" spans="1:54" ht="36.75" customHeight="1">
      <c r="A710" s="30"/>
      <c r="B710" s="30" t="s">
        <v>55</v>
      </c>
      <c r="C710" s="69" t="str">
        <f t="shared" si="49"/>
        <v>Closed</v>
      </c>
      <c r="D710" s="27" t="s">
        <v>4050</v>
      </c>
      <c r="E710" s="29" t="s">
        <v>4051</v>
      </c>
      <c r="F710" s="30" t="s">
        <v>638</v>
      </c>
      <c r="G710" s="89">
        <f>DATE(2009,8,28)</f>
        <v>40053</v>
      </c>
      <c r="H710" s="90">
        <v>1.5687500000000001</v>
      </c>
      <c r="I710" s="30" t="s">
        <v>73</v>
      </c>
      <c r="J710" s="89" t="s">
        <v>4052</v>
      </c>
      <c r="K710" s="30" t="s">
        <v>640</v>
      </c>
      <c r="L710" s="30" t="s">
        <v>4053</v>
      </c>
      <c r="M710" s="30" t="s">
        <v>63</v>
      </c>
      <c r="N710" s="30">
        <v>0</v>
      </c>
      <c r="O710" s="30" t="s">
        <v>77</v>
      </c>
      <c r="P710" s="89" t="s">
        <v>165</v>
      </c>
      <c r="Q710" s="89" t="s">
        <v>642</v>
      </c>
      <c r="R710" s="89" t="s">
        <v>643</v>
      </c>
      <c r="S710" s="30">
        <v>0</v>
      </c>
      <c r="T710" s="233" t="s">
        <v>68</v>
      </c>
      <c r="U710" s="30">
        <v>0</v>
      </c>
      <c r="V710" s="233" t="s">
        <v>68</v>
      </c>
      <c r="W710" s="30">
        <v>0</v>
      </c>
      <c r="X710" s="30">
        <v>0</v>
      </c>
      <c r="Y710" s="30">
        <v>0</v>
      </c>
      <c r="Z710" s="233" t="s">
        <v>68</v>
      </c>
      <c r="AA710" s="30">
        <v>0</v>
      </c>
      <c r="AB710" s="30">
        <v>0</v>
      </c>
      <c r="AC710" s="30">
        <v>0</v>
      </c>
      <c r="AD710" s="30">
        <v>0</v>
      </c>
      <c r="AE710" s="89" t="s">
        <v>68</v>
      </c>
      <c r="AF710" s="89"/>
      <c r="AG710" s="89" t="s">
        <v>352</v>
      </c>
      <c r="AH710" s="72" t="s">
        <v>68</v>
      </c>
      <c r="AI710" s="30">
        <v>1</v>
      </c>
      <c r="AJ710" s="89" t="s">
        <v>68</v>
      </c>
      <c r="AK710" s="89" t="s">
        <v>68</v>
      </c>
      <c r="AL710" s="91">
        <v>40142</v>
      </c>
      <c r="AM710" s="91"/>
      <c r="AN710" s="91"/>
      <c r="AO710" s="91"/>
      <c r="AP710" s="73" t="e">
        <f>MID(VLOOKUP(K710,#REF!,2,FALSE),1,2)</f>
        <v>#REF!</v>
      </c>
      <c r="AQ710" s="89">
        <f>DATE(2009,8,28)</f>
        <v>40053</v>
      </c>
      <c r="AR710" s="82">
        <f t="shared" si="50"/>
        <v>28</v>
      </c>
      <c r="AS710" s="83">
        <f t="shared" si="51"/>
        <v>8</v>
      </c>
      <c r="AT710" s="84">
        <f t="shared" si="52"/>
        <v>2009</v>
      </c>
      <c r="AU710" s="86"/>
      <c r="AV710" s="86"/>
      <c r="AW710" s="87"/>
      <c r="AX710" s="86"/>
      <c r="AY710" s="83"/>
      <c r="AZ710" s="84"/>
      <c r="BA710" s="86"/>
      <c r="BB710" s="86"/>
    </row>
    <row r="711" spans="1:54" ht="36.75" customHeight="1">
      <c r="A711" s="30"/>
      <c r="B711" s="30" t="s">
        <v>55</v>
      </c>
      <c r="C711" s="69" t="str">
        <f t="shared" si="49"/>
        <v>Closed</v>
      </c>
      <c r="D711" s="27" t="s">
        <v>4054</v>
      </c>
      <c r="E711" s="29" t="s">
        <v>4055</v>
      </c>
      <c r="F711" s="30" t="s">
        <v>2336</v>
      </c>
      <c r="G711" s="89">
        <f>DATE(2009,8,30)</f>
        <v>40055</v>
      </c>
      <c r="H711" s="90">
        <v>1.39375</v>
      </c>
      <c r="I711" s="30" t="s">
        <v>116</v>
      </c>
      <c r="J711" s="89" t="s">
        <v>4056</v>
      </c>
      <c r="K711" s="30" t="s">
        <v>2338</v>
      </c>
      <c r="L711" s="30" t="s">
        <v>4057</v>
      </c>
      <c r="M711" s="30" t="s">
        <v>63</v>
      </c>
      <c r="N711" s="30">
        <v>0</v>
      </c>
      <c r="O711" s="30" t="s">
        <v>77</v>
      </c>
      <c r="P711" s="89" t="s">
        <v>381</v>
      </c>
      <c r="Q711" s="89" t="s">
        <v>4058</v>
      </c>
      <c r="R711" s="89" t="s">
        <v>2341</v>
      </c>
      <c r="S711" s="30">
        <v>0</v>
      </c>
      <c r="T711" s="233">
        <v>0</v>
      </c>
      <c r="U711" s="30">
        <v>2</v>
      </c>
      <c r="V711" s="233">
        <v>0</v>
      </c>
      <c r="W711" s="30">
        <v>0</v>
      </c>
      <c r="X711" s="30">
        <v>2</v>
      </c>
      <c r="Y711" s="30">
        <v>0</v>
      </c>
      <c r="Z711" s="233">
        <v>0</v>
      </c>
      <c r="AA711" s="30">
        <v>1</v>
      </c>
      <c r="AB711" s="30">
        <v>0</v>
      </c>
      <c r="AC711" s="30">
        <v>0</v>
      </c>
      <c r="AD711" s="30">
        <v>1</v>
      </c>
      <c r="AE711" s="89" t="s">
        <v>68</v>
      </c>
      <c r="AF711" s="89"/>
      <c r="AG711" s="89" t="s">
        <v>82</v>
      </c>
      <c r="AH711" s="72" t="s">
        <v>68</v>
      </c>
      <c r="AI711" s="30">
        <v>4</v>
      </c>
      <c r="AJ711" s="89" t="s">
        <v>4059</v>
      </c>
      <c r="AK711" s="89" t="s">
        <v>4060</v>
      </c>
      <c r="AL711" s="91">
        <v>40070</v>
      </c>
      <c r="AM711" s="91"/>
      <c r="AN711" s="91"/>
      <c r="AO711" s="91"/>
      <c r="AP711" s="73" t="e">
        <f>MID(VLOOKUP(K711,#REF!,2,FALSE),1,2)</f>
        <v>#REF!</v>
      </c>
      <c r="AQ711" s="89">
        <f>DATE(2009,8,30)</f>
        <v>40055</v>
      </c>
      <c r="AR711" s="82">
        <f t="shared" si="50"/>
        <v>30</v>
      </c>
      <c r="AS711" s="83">
        <f t="shared" si="51"/>
        <v>8</v>
      </c>
      <c r="AT711" s="84">
        <f t="shared" si="52"/>
        <v>2009</v>
      </c>
      <c r="AU711" s="86"/>
      <c r="AV711" s="86"/>
      <c r="AW711" s="87"/>
      <c r="AX711" s="86"/>
      <c r="AY711" s="83"/>
      <c r="AZ711" s="84"/>
      <c r="BA711" s="86"/>
      <c r="BB711" s="86"/>
    </row>
    <row r="712" spans="1:54" ht="36.75" customHeight="1">
      <c r="A712" s="30"/>
      <c r="B712" s="30" t="s">
        <v>55</v>
      </c>
      <c r="C712" s="69" t="str">
        <f t="shared" si="49"/>
        <v>Closed</v>
      </c>
      <c r="D712" s="27" t="s">
        <v>4061</v>
      </c>
      <c r="E712" s="29" t="s">
        <v>4062</v>
      </c>
      <c r="F712" s="30" t="s">
        <v>638</v>
      </c>
      <c r="G712" s="89">
        <f>DATE(2009,8,31)</f>
        <v>40056</v>
      </c>
      <c r="H712" s="90">
        <v>1.7597222222222224</v>
      </c>
      <c r="I712" s="30" t="s">
        <v>104</v>
      </c>
      <c r="J712" s="89" t="s">
        <v>4063</v>
      </c>
      <c r="K712" s="30" t="s">
        <v>640</v>
      </c>
      <c r="L712" s="30" t="s">
        <v>4064</v>
      </c>
      <c r="M712" s="30" t="s">
        <v>63</v>
      </c>
      <c r="N712" s="30">
        <v>0</v>
      </c>
      <c r="O712" s="30" t="s">
        <v>77</v>
      </c>
      <c r="P712" s="89" t="s">
        <v>165</v>
      </c>
      <c r="Q712" s="89" t="s">
        <v>642</v>
      </c>
      <c r="R712" s="89" t="s">
        <v>643</v>
      </c>
      <c r="S712" s="30">
        <v>0</v>
      </c>
      <c r="T712" s="233" t="s">
        <v>68</v>
      </c>
      <c r="U712" s="30">
        <v>0</v>
      </c>
      <c r="V712" s="233" t="s">
        <v>68</v>
      </c>
      <c r="W712" s="30">
        <v>0</v>
      </c>
      <c r="X712" s="30">
        <v>0</v>
      </c>
      <c r="Y712" s="30">
        <v>0</v>
      </c>
      <c r="Z712" s="233" t="s">
        <v>68</v>
      </c>
      <c r="AA712" s="30">
        <v>0</v>
      </c>
      <c r="AB712" s="30">
        <v>0</v>
      </c>
      <c r="AC712" s="30">
        <v>0</v>
      </c>
      <c r="AD712" s="30">
        <v>0</v>
      </c>
      <c r="AE712" s="89" t="s">
        <v>68</v>
      </c>
      <c r="AF712" s="89"/>
      <c r="AG712" s="89" t="s">
        <v>248</v>
      </c>
      <c r="AH712" s="72" t="s">
        <v>68</v>
      </c>
      <c r="AI712" s="30">
        <v>1</v>
      </c>
      <c r="AJ712" s="89" t="s">
        <v>4065</v>
      </c>
      <c r="AK712" s="89" t="s">
        <v>68</v>
      </c>
      <c r="AL712" s="91">
        <v>40142</v>
      </c>
      <c r="AM712" s="91"/>
      <c r="AN712" s="91"/>
      <c r="AO712" s="91"/>
      <c r="AP712" s="73" t="e">
        <f>MID(VLOOKUP(K712,#REF!,2,FALSE),1,2)</f>
        <v>#REF!</v>
      </c>
      <c r="AQ712" s="89">
        <f>DATE(2009,8,31)</f>
        <v>40056</v>
      </c>
      <c r="AR712" s="82">
        <f t="shared" si="50"/>
        <v>31</v>
      </c>
      <c r="AS712" s="83">
        <f t="shared" si="51"/>
        <v>8</v>
      </c>
      <c r="AT712" s="84">
        <f t="shared" si="52"/>
        <v>2009</v>
      </c>
      <c r="AU712" s="86"/>
      <c r="AV712" s="86"/>
      <c r="AW712" s="87"/>
      <c r="AX712" s="86"/>
      <c r="AY712" s="83"/>
      <c r="AZ712" s="84"/>
      <c r="BA712" s="86"/>
      <c r="BB712" s="86"/>
    </row>
    <row r="713" spans="1:54" ht="36.75" customHeight="1">
      <c r="A713" s="30"/>
      <c r="B713" s="30" t="s">
        <v>55</v>
      </c>
      <c r="C713" s="69" t="str">
        <f t="shared" si="49"/>
        <v>Closed</v>
      </c>
      <c r="D713" s="27" t="s">
        <v>4066</v>
      </c>
      <c r="E713" s="29" t="s">
        <v>4067</v>
      </c>
      <c r="F713" s="30" t="s">
        <v>197</v>
      </c>
      <c r="G713" s="89">
        <f>DATE(2009,9,1)</f>
        <v>40057</v>
      </c>
      <c r="H713" s="90">
        <v>1.2208333333333332</v>
      </c>
      <c r="I713" s="30" t="s">
        <v>73</v>
      </c>
      <c r="J713" s="89" t="s">
        <v>4068</v>
      </c>
      <c r="K713" s="30" t="s">
        <v>200</v>
      </c>
      <c r="L713" s="30" t="s">
        <v>4069</v>
      </c>
      <c r="M713" s="30" t="s">
        <v>63</v>
      </c>
      <c r="N713" s="30">
        <v>0</v>
      </c>
      <c r="O713" s="30" t="s">
        <v>77</v>
      </c>
      <c r="P713" s="89" t="s">
        <v>78</v>
      </c>
      <c r="Q713" s="89" t="s">
        <v>1716</v>
      </c>
      <c r="R713" s="89" t="s">
        <v>203</v>
      </c>
      <c r="S713" s="30">
        <v>0</v>
      </c>
      <c r="T713" s="233">
        <v>0</v>
      </c>
      <c r="U713" s="30">
        <v>0</v>
      </c>
      <c r="V713" s="233">
        <v>0</v>
      </c>
      <c r="W713" s="30">
        <v>0</v>
      </c>
      <c r="X713" s="30">
        <v>0</v>
      </c>
      <c r="Y713" s="30">
        <v>0</v>
      </c>
      <c r="Z713" s="233">
        <v>0</v>
      </c>
      <c r="AA713" s="30">
        <v>0</v>
      </c>
      <c r="AB713" s="30">
        <v>0</v>
      </c>
      <c r="AC713" s="30">
        <v>0</v>
      </c>
      <c r="AD713" s="30">
        <v>0</v>
      </c>
      <c r="AE713" s="89" t="s">
        <v>68</v>
      </c>
      <c r="AF713" s="89"/>
      <c r="AG713" s="89" t="s">
        <v>874</v>
      </c>
      <c r="AH713" s="72" t="s">
        <v>68</v>
      </c>
      <c r="AI713" s="30">
        <v>0</v>
      </c>
      <c r="AJ713" s="89" t="s">
        <v>4070</v>
      </c>
      <c r="AK713" s="89" t="s">
        <v>1233</v>
      </c>
      <c r="AL713" s="91">
        <v>40611</v>
      </c>
      <c r="AM713" s="91"/>
      <c r="AN713" s="91"/>
      <c r="AO713" s="91"/>
      <c r="AP713" s="73" t="e">
        <f>MID(VLOOKUP(K713,#REF!,2,FALSE),1,2)</f>
        <v>#REF!</v>
      </c>
      <c r="AQ713" s="89">
        <f>DATE(2009,9,1)</f>
        <v>40057</v>
      </c>
      <c r="AR713" s="82">
        <f t="shared" si="50"/>
        <v>1</v>
      </c>
      <c r="AS713" s="83">
        <f t="shared" si="51"/>
        <v>9</v>
      </c>
      <c r="AT713" s="84">
        <f t="shared" si="52"/>
        <v>2009</v>
      </c>
      <c r="AU713" s="86"/>
      <c r="AV713" s="86"/>
      <c r="AW713" s="87"/>
      <c r="AX713" s="86"/>
      <c r="AY713" s="83"/>
      <c r="AZ713" s="84"/>
      <c r="BA713" s="86"/>
      <c r="BB713" s="86"/>
    </row>
    <row r="714" spans="1:54" ht="36.75" customHeight="1">
      <c r="A714" s="30"/>
      <c r="B714" s="30" t="s">
        <v>55</v>
      </c>
      <c r="C714" s="69" t="str">
        <f t="shared" si="49"/>
        <v>Closed</v>
      </c>
      <c r="D714" s="27" t="s">
        <v>4071</v>
      </c>
      <c r="E714" s="29" t="s">
        <v>4072</v>
      </c>
      <c r="F714" s="30" t="s">
        <v>423</v>
      </c>
      <c r="G714" s="89">
        <f>DATE(2009,9,1)</f>
        <v>40057</v>
      </c>
      <c r="H714" s="90">
        <v>1.6736111111111112</v>
      </c>
      <c r="I714" s="30" t="s">
        <v>198</v>
      </c>
      <c r="J714" s="89" t="s">
        <v>4073</v>
      </c>
      <c r="K714" s="30" t="s">
        <v>425</v>
      </c>
      <c r="L714" s="30" t="s">
        <v>4074</v>
      </c>
      <c r="M714" s="30" t="s">
        <v>63</v>
      </c>
      <c r="N714" s="30">
        <v>0</v>
      </c>
      <c r="O714" s="30" t="s">
        <v>64</v>
      </c>
      <c r="P714" s="89" t="s">
        <v>1912</v>
      </c>
      <c r="Q714" s="89" t="s">
        <v>554</v>
      </c>
      <c r="R714" s="89" t="s">
        <v>3103</v>
      </c>
      <c r="S714" s="30">
        <v>0</v>
      </c>
      <c r="T714" s="233" t="s">
        <v>68</v>
      </c>
      <c r="U714" s="30">
        <v>0</v>
      </c>
      <c r="V714" s="233" t="s">
        <v>68</v>
      </c>
      <c r="W714" s="30">
        <v>0</v>
      </c>
      <c r="X714" s="30">
        <v>0</v>
      </c>
      <c r="Y714" s="30">
        <v>0</v>
      </c>
      <c r="Z714" s="233" t="s">
        <v>68</v>
      </c>
      <c r="AA714" s="30">
        <v>0</v>
      </c>
      <c r="AB714" s="30">
        <v>0</v>
      </c>
      <c r="AC714" s="30">
        <v>0</v>
      </c>
      <c r="AD714" s="30">
        <v>0</v>
      </c>
      <c r="AE714" s="89" t="s">
        <v>68</v>
      </c>
      <c r="AF714" s="89"/>
      <c r="AG714" s="89" t="s">
        <v>133</v>
      </c>
      <c r="AH714" s="72" t="s">
        <v>68</v>
      </c>
      <c r="AI714" s="30">
        <v>3</v>
      </c>
      <c r="AJ714" s="89" t="s">
        <v>4075</v>
      </c>
      <c r="AK714" s="89" t="s">
        <v>68</v>
      </c>
      <c r="AL714" s="91">
        <v>40065</v>
      </c>
      <c r="AM714" s="91"/>
      <c r="AN714" s="91"/>
      <c r="AO714" s="91"/>
      <c r="AP714" s="73" t="e">
        <f>MID(VLOOKUP(K714,#REF!,2,FALSE),1,2)</f>
        <v>#REF!</v>
      </c>
      <c r="AQ714" s="89">
        <f>DATE(2009,9,1)</f>
        <v>40057</v>
      </c>
      <c r="AR714" s="82">
        <f t="shared" si="50"/>
        <v>1</v>
      </c>
      <c r="AS714" s="83">
        <f t="shared" si="51"/>
        <v>9</v>
      </c>
      <c r="AT714" s="84">
        <f t="shared" si="52"/>
        <v>2009</v>
      </c>
      <c r="AU714" s="86"/>
      <c r="AV714" s="86"/>
      <c r="AW714" s="87"/>
      <c r="AX714" s="86"/>
      <c r="AY714" s="83"/>
      <c r="AZ714" s="84"/>
      <c r="BA714" s="86"/>
      <c r="BB714" s="86"/>
    </row>
    <row r="715" spans="1:54" ht="36.75" customHeight="1">
      <c r="A715" s="30"/>
      <c r="B715" s="30" t="s">
        <v>55</v>
      </c>
      <c r="C715" s="69" t="str">
        <f t="shared" si="49"/>
        <v>Closed</v>
      </c>
      <c r="D715" s="27" t="s">
        <v>4076</v>
      </c>
      <c r="E715" s="29" t="s">
        <v>4077</v>
      </c>
      <c r="F715" s="30" t="s">
        <v>594</v>
      </c>
      <c r="G715" s="89">
        <f>DATE(2009,9,1)</f>
        <v>40057</v>
      </c>
      <c r="H715" s="90">
        <v>1.2465277777777777</v>
      </c>
      <c r="I715" s="30" t="s">
        <v>116</v>
      </c>
      <c r="J715" s="89" t="s">
        <v>4078</v>
      </c>
      <c r="K715" s="30" t="s">
        <v>596</v>
      </c>
      <c r="L715" s="30" t="s">
        <v>4079</v>
      </c>
      <c r="M715" s="30" t="s">
        <v>63</v>
      </c>
      <c r="N715" s="30">
        <v>0</v>
      </c>
      <c r="O715" s="30" t="s">
        <v>64</v>
      </c>
      <c r="P715" s="89" t="s">
        <v>165</v>
      </c>
      <c r="Q715" s="89" t="s">
        <v>598</v>
      </c>
      <c r="R715" s="89" t="s">
        <v>599</v>
      </c>
      <c r="S715" s="30">
        <v>0</v>
      </c>
      <c r="T715" s="233">
        <v>0</v>
      </c>
      <c r="U715" s="30">
        <v>6</v>
      </c>
      <c r="V715" s="233">
        <v>0</v>
      </c>
      <c r="W715" s="30">
        <v>0</v>
      </c>
      <c r="X715" s="30">
        <v>6</v>
      </c>
      <c r="Y715" s="30">
        <v>0</v>
      </c>
      <c r="Z715" s="233">
        <v>0</v>
      </c>
      <c r="AA715" s="30">
        <v>1</v>
      </c>
      <c r="AB715" s="30">
        <v>0</v>
      </c>
      <c r="AC715" s="30">
        <v>0</v>
      </c>
      <c r="AD715" s="30">
        <v>1</v>
      </c>
      <c r="AE715" s="89" t="s">
        <v>68</v>
      </c>
      <c r="AF715" s="89"/>
      <c r="AG715" s="89" t="s">
        <v>69</v>
      </c>
      <c r="AH715" s="72" t="s">
        <v>68</v>
      </c>
      <c r="AI715" s="30">
        <v>3</v>
      </c>
      <c r="AJ715" s="89" t="s">
        <v>68</v>
      </c>
      <c r="AK715" s="89" t="s">
        <v>68</v>
      </c>
      <c r="AL715" s="91">
        <v>40059</v>
      </c>
      <c r="AM715" s="91"/>
      <c r="AN715" s="91"/>
      <c r="AO715" s="91"/>
      <c r="AP715" s="73" t="e">
        <f>MID(VLOOKUP(K715,#REF!,2,FALSE),1,2)</f>
        <v>#REF!</v>
      </c>
      <c r="AQ715" s="89">
        <f>DATE(2009,9,1)</f>
        <v>40057</v>
      </c>
      <c r="AR715" s="82">
        <f t="shared" si="50"/>
        <v>1</v>
      </c>
      <c r="AS715" s="83">
        <f t="shared" si="51"/>
        <v>9</v>
      </c>
      <c r="AT715" s="84">
        <f t="shared" si="52"/>
        <v>2009</v>
      </c>
      <c r="AU715" s="86"/>
      <c r="AV715" s="86"/>
      <c r="AW715" s="87"/>
      <c r="AX715" s="86"/>
      <c r="AY715" s="83"/>
      <c r="AZ715" s="84"/>
      <c r="BA715" s="86"/>
      <c r="BB715" s="86"/>
    </row>
    <row r="716" spans="1:54" ht="36.75" customHeight="1">
      <c r="A716" s="30"/>
      <c r="B716" s="30" t="s">
        <v>55</v>
      </c>
      <c r="C716" s="69" t="str">
        <f t="shared" si="49"/>
        <v>Closed</v>
      </c>
      <c r="D716" s="27" t="s">
        <v>4080</v>
      </c>
      <c r="E716" s="29" t="s">
        <v>4081</v>
      </c>
      <c r="F716" s="30" t="s">
        <v>1938</v>
      </c>
      <c r="G716" s="89">
        <f>DATE(2009,9,2)</f>
        <v>40058</v>
      </c>
      <c r="H716" s="90">
        <v>1.5625</v>
      </c>
      <c r="I716" s="30" t="s">
        <v>86</v>
      </c>
      <c r="J716" s="89" t="s">
        <v>4082</v>
      </c>
      <c r="K716" s="30" t="s">
        <v>1940</v>
      </c>
      <c r="L716" s="30" t="s">
        <v>4083</v>
      </c>
      <c r="M716" s="30" t="s">
        <v>63</v>
      </c>
      <c r="N716" s="30">
        <v>0</v>
      </c>
      <c r="O716" s="30" t="s">
        <v>64</v>
      </c>
      <c r="P716" s="89" t="s">
        <v>65</v>
      </c>
      <c r="Q716" s="89" t="s">
        <v>1942</v>
      </c>
      <c r="R716" s="89" t="s">
        <v>1942</v>
      </c>
      <c r="S716" s="30">
        <v>0</v>
      </c>
      <c r="T716" s="233" t="s">
        <v>68</v>
      </c>
      <c r="U716" s="30">
        <v>0</v>
      </c>
      <c r="V716" s="233" t="s">
        <v>68</v>
      </c>
      <c r="W716" s="30">
        <v>0</v>
      </c>
      <c r="X716" s="30">
        <v>0</v>
      </c>
      <c r="Y716" s="30">
        <v>0</v>
      </c>
      <c r="Z716" s="233" t="s">
        <v>68</v>
      </c>
      <c r="AA716" s="30">
        <v>0</v>
      </c>
      <c r="AB716" s="30">
        <v>0</v>
      </c>
      <c r="AC716" s="30">
        <v>0</v>
      </c>
      <c r="AD716" s="30">
        <v>0</v>
      </c>
      <c r="AE716" s="89" t="s">
        <v>68</v>
      </c>
      <c r="AF716" s="89"/>
      <c r="AG716" s="89" t="s">
        <v>133</v>
      </c>
      <c r="AH716" s="72" t="s">
        <v>68</v>
      </c>
      <c r="AI716" s="30">
        <v>1</v>
      </c>
      <c r="AJ716" s="89" t="s">
        <v>4084</v>
      </c>
      <c r="AK716" s="89" t="s">
        <v>4085</v>
      </c>
      <c r="AL716" s="91">
        <v>40065</v>
      </c>
      <c r="AM716" s="91"/>
      <c r="AN716" s="91"/>
      <c r="AO716" s="91"/>
      <c r="AP716" s="73" t="e">
        <f>MID(VLOOKUP(K716,#REF!,2,FALSE),1,2)</f>
        <v>#REF!</v>
      </c>
      <c r="AQ716" s="89">
        <f>DATE(2009,9,2)</f>
        <v>40058</v>
      </c>
      <c r="AR716" s="82">
        <f t="shared" si="50"/>
        <v>2</v>
      </c>
      <c r="AS716" s="83">
        <f t="shared" si="51"/>
        <v>9</v>
      </c>
      <c r="AT716" s="84">
        <f t="shared" si="52"/>
        <v>2009</v>
      </c>
      <c r="AU716" s="86"/>
      <c r="AV716" s="86"/>
      <c r="AW716" s="87"/>
      <c r="AX716" s="86"/>
      <c r="AY716" s="83"/>
      <c r="AZ716" s="84"/>
      <c r="BA716" s="86"/>
      <c r="BB716" s="86"/>
    </row>
    <row r="717" spans="1:54" ht="36.75" customHeight="1">
      <c r="A717" s="30"/>
      <c r="B717" s="30" t="s">
        <v>55</v>
      </c>
      <c r="C717" s="69" t="str">
        <f t="shared" si="49"/>
        <v>Closed</v>
      </c>
      <c r="D717" s="27" t="s">
        <v>4086</v>
      </c>
      <c r="E717" s="29" t="s">
        <v>4087</v>
      </c>
      <c r="F717" s="30" t="s">
        <v>423</v>
      </c>
      <c r="G717" s="89">
        <f>DATE(2009,9,3)</f>
        <v>40059</v>
      </c>
      <c r="H717" s="90">
        <v>1.3541666666666667</v>
      </c>
      <c r="I717" s="30" t="s">
        <v>73</v>
      </c>
      <c r="J717" s="89" t="s">
        <v>4088</v>
      </c>
      <c r="K717" s="30" t="s">
        <v>425</v>
      </c>
      <c r="L717" s="30" t="s">
        <v>4089</v>
      </c>
      <c r="M717" s="30" t="s">
        <v>63</v>
      </c>
      <c r="N717" s="30">
        <v>0</v>
      </c>
      <c r="O717" s="30" t="s">
        <v>86</v>
      </c>
      <c r="P717" s="89" t="s">
        <v>91</v>
      </c>
      <c r="Q717" s="89" t="s">
        <v>2582</v>
      </c>
      <c r="R717" s="89" t="s">
        <v>4090</v>
      </c>
      <c r="S717" s="30">
        <v>0</v>
      </c>
      <c r="T717" s="233" t="s">
        <v>68</v>
      </c>
      <c r="U717" s="30">
        <v>0</v>
      </c>
      <c r="V717" s="233" t="s">
        <v>68</v>
      </c>
      <c r="W717" s="30">
        <v>0</v>
      </c>
      <c r="X717" s="30">
        <v>0</v>
      </c>
      <c r="Y717" s="30">
        <v>0</v>
      </c>
      <c r="Z717" s="233" t="s">
        <v>68</v>
      </c>
      <c r="AA717" s="30">
        <v>0</v>
      </c>
      <c r="AB717" s="30">
        <v>0</v>
      </c>
      <c r="AC717" s="30">
        <v>0</v>
      </c>
      <c r="AD717" s="30">
        <v>0</v>
      </c>
      <c r="AE717" s="89" t="s">
        <v>68</v>
      </c>
      <c r="AF717" s="89"/>
      <c r="AG717" s="89" t="s">
        <v>1417</v>
      </c>
      <c r="AH717" s="72" t="s">
        <v>68</v>
      </c>
      <c r="AI717" s="30">
        <v>0</v>
      </c>
      <c r="AJ717" s="89" t="s">
        <v>4091</v>
      </c>
      <c r="AK717" s="89" t="s">
        <v>4092</v>
      </c>
      <c r="AL717" s="91">
        <v>40120</v>
      </c>
      <c r="AM717" s="91"/>
      <c r="AN717" s="91"/>
      <c r="AO717" s="91"/>
      <c r="AP717" s="73" t="e">
        <f>MID(VLOOKUP(K717,#REF!,2,FALSE),1,2)</f>
        <v>#REF!</v>
      </c>
      <c r="AQ717" s="89">
        <f>DATE(2009,9,3)</f>
        <v>40059</v>
      </c>
      <c r="AR717" s="82">
        <f t="shared" si="50"/>
        <v>3</v>
      </c>
      <c r="AS717" s="83">
        <f t="shared" si="51"/>
        <v>9</v>
      </c>
      <c r="AT717" s="84">
        <f t="shared" si="52"/>
        <v>2009</v>
      </c>
      <c r="AU717" s="86"/>
      <c r="AV717" s="86"/>
      <c r="AW717" s="87"/>
      <c r="AX717" s="86"/>
      <c r="AY717" s="83"/>
      <c r="AZ717" s="84"/>
      <c r="BA717" s="86"/>
      <c r="BB717" s="86"/>
    </row>
    <row r="718" spans="1:54" ht="36.75" customHeight="1">
      <c r="A718" s="30"/>
      <c r="B718" s="30" t="s">
        <v>55</v>
      </c>
      <c r="C718" s="69" t="str">
        <f t="shared" si="49"/>
        <v>Closed</v>
      </c>
      <c r="D718" s="27" t="s">
        <v>4093</v>
      </c>
      <c r="E718" s="29" t="s">
        <v>4094</v>
      </c>
      <c r="F718" s="30" t="s">
        <v>835</v>
      </c>
      <c r="G718" s="89">
        <f>DATE(2009,9,5)</f>
        <v>40061</v>
      </c>
      <c r="H718" s="90">
        <v>1.3909722222222223</v>
      </c>
      <c r="I718" s="30" t="s">
        <v>104</v>
      </c>
      <c r="J718" s="89" t="s">
        <v>4095</v>
      </c>
      <c r="K718" s="30" t="s">
        <v>837</v>
      </c>
      <c r="L718" s="30" t="s">
        <v>4096</v>
      </c>
      <c r="M718" s="30" t="s">
        <v>63</v>
      </c>
      <c r="N718" s="30">
        <v>0</v>
      </c>
      <c r="O718" s="30" t="s">
        <v>77</v>
      </c>
      <c r="P718" s="89" t="s">
        <v>1216</v>
      </c>
      <c r="Q718" s="89" t="s">
        <v>3265</v>
      </c>
      <c r="R718" s="89" t="s">
        <v>840</v>
      </c>
      <c r="S718" s="30">
        <v>0</v>
      </c>
      <c r="T718" s="233" t="s">
        <v>68</v>
      </c>
      <c r="U718" s="30">
        <v>0</v>
      </c>
      <c r="V718" s="233" t="s">
        <v>68</v>
      </c>
      <c r="W718" s="30">
        <v>0</v>
      </c>
      <c r="X718" s="30">
        <v>0</v>
      </c>
      <c r="Y718" s="30">
        <v>0</v>
      </c>
      <c r="Z718" s="233" t="s">
        <v>68</v>
      </c>
      <c r="AA718" s="30">
        <v>0</v>
      </c>
      <c r="AB718" s="30">
        <v>0</v>
      </c>
      <c r="AC718" s="30">
        <v>0</v>
      </c>
      <c r="AD718" s="30">
        <v>0</v>
      </c>
      <c r="AE718" s="89" t="s">
        <v>68</v>
      </c>
      <c r="AF718" s="89"/>
      <c r="AG718" s="89" t="s">
        <v>352</v>
      </c>
      <c r="AH718" s="72" t="s">
        <v>68</v>
      </c>
      <c r="AI718" s="30">
        <v>5</v>
      </c>
      <c r="AJ718" s="89" t="s">
        <v>68</v>
      </c>
      <c r="AK718" s="89" t="s">
        <v>68</v>
      </c>
      <c r="AL718" s="91">
        <v>40262</v>
      </c>
      <c r="AM718" s="91"/>
      <c r="AN718" s="91"/>
      <c r="AO718" s="91"/>
      <c r="AP718" s="73" t="e">
        <f>MID(VLOOKUP(K718,#REF!,2,FALSE),1,2)</f>
        <v>#REF!</v>
      </c>
      <c r="AQ718" s="89">
        <f>DATE(2009,9,5)</f>
        <v>40061</v>
      </c>
      <c r="AR718" s="82">
        <f t="shared" si="50"/>
        <v>5</v>
      </c>
      <c r="AS718" s="83">
        <f t="shared" si="51"/>
        <v>9</v>
      </c>
      <c r="AT718" s="84">
        <f t="shared" si="52"/>
        <v>2009</v>
      </c>
      <c r="AU718" s="86"/>
      <c r="AV718" s="86"/>
      <c r="AW718" s="87"/>
      <c r="AX718" s="86"/>
      <c r="AY718" s="83"/>
      <c r="AZ718" s="84"/>
      <c r="BA718" s="86"/>
      <c r="BB718" s="86"/>
    </row>
    <row r="719" spans="1:54" ht="36.75" customHeight="1">
      <c r="A719" s="30"/>
      <c r="B719" s="30" t="s">
        <v>55</v>
      </c>
      <c r="C719" s="69" t="str">
        <f t="shared" si="49"/>
        <v>Closed</v>
      </c>
      <c r="D719" s="27" t="s">
        <v>4097</v>
      </c>
      <c r="E719" s="29" t="s">
        <v>4098</v>
      </c>
      <c r="F719" s="30" t="s">
        <v>3148</v>
      </c>
      <c r="G719" s="89">
        <f>DATE(2009,9,5)</f>
        <v>40061</v>
      </c>
      <c r="H719" s="90">
        <v>1.1111111111111112</v>
      </c>
      <c r="I719" s="30" t="s">
        <v>116</v>
      </c>
      <c r="J719" s="89" t="s">
        <v>4099</v>
      </c>
      <c r="K719" s="30" t="s">
        <v>3150</v>
      </c>
      <c r="L719" s="30" t="s">
        <v>4100</v>
      </c>
      <c r="M719" s="30" t="s">
        <v>63</v>
      </c>
      <c r="N719" s="30">
        <v>0</v>
      </c>
      <c r="O719" s="30" t="s">
        <v>64</v>
      </c>
      <c r="P719" s="89" t="s">
        <v>78</v>
      </c>
      <c r="Q719" s="89" t="s">
        <v>3152</v>
      </c>
      <c r="R719" s="89" t="s">
        <v>3153</v>
      </c>
      <c r="S719" s="30">
        <v>0</v>
      </c>
      <c r="T719" s="233">
        <v>0</v>
      </c>
      <c r="U719" s="30">
        <v>1</v>
      </c>
      <c r="V719" s="233">
        <v>0</v>
      </c>
      <c r="W719" s="30">
        <v>0</v>
      </c>
      <c r="X719" s="30">
        <v>1</v>
      </c>
      <c r="Y719" s="30">
        <v>0</v>
      </c>
      <c r="Z719" s="233">
        <v>0</v>
      </c>
      <c r="AA719" s="30">
        <v>0</v>
      </c>
      <c r="AB719" s="30">
        <v>0</v>
      </c>
      <c r="AC719" s="30">
        <v>0</v>
      </c>
      <c r="AD719" s="30">
        <v>0</v>
      </c>
      <c r="AE719" s="89" t="s">
        <v>68</v>
      </c>
      <c r="AF719" s="89"/>
      <c r="AG719" s="89" t="s">
        <v>248</v>
      </c>
      <c r="AH719" s="72" t="s">
        <v>68</v>
      </c>
      <c r="AI719" s="30">
        <v>1</v>
      </c>
      <c r="AJ719" s="89" t="s">
        <v>68</v>
      </c>
      <c r="AK719" s="89" t="s">
        <v>68</v>
      </c>
      <c r="AL719" s="91">
        <v>40067</v>
      </c>
      <c r="AM719" s="91"/>
      <c r="AN719" s="91"/>
      <c r="AO719" s="91"/>
      <c r="AP719" s="73" t="e">
        <f>MID(VLOOKUP(K719,#REF!,2,FALSE),1,2)</f>
        <v>#REF!</v>
      </c>
      <c r="AQ719" s="89">
        <f>DATE(2009,9,5)</f>
        <v>40061</v>
      </c>
      <c r="AR719" s="82">
        <f t="shared" si="50"/>
        <v>5</v>
      </c>
      <c r="AS719" s="83">
        <f t="shared" si="51"/>
        <v>9</v>
      </c>
      <c r="AT719" s="84">
        <f t="shared" si="52"/>
        <v>2009</v>
      </c>
      <c r="AU719" s="86"/>
      <c r="AV719" s="86"/>
      <c r="AW719" s="87"/>
      <c r="AX719" s="86"/>
      <c r="AY719" s="83"/>
      <c r="AZ719" s="84"/>
      <c r="BA719" s="86"/>
      <c r="BB719" s="86"/>
    </row>
    <row r="720" spans="1:54" ht="36.75" customHeight="1">
      <c r="A720" s="30"/>
      <c r="B720" s="30" t="s">
        <v>55</v>
      </c>
      <c r="C720" s="69" t="str">
        <f t="shared" si="49"/>
        <v>Closed</v>
      </c>
      <c r="D720" s="27" t="s">
        <v>4101</v>
      </c>
      <c r="E720" s="29" t="s">
        <v>4102</v>
      </c>
      <c r="F720" s="30" t="s">
        <v>1572</v>
      </c>
      <c r="G720" s="89">
        <f>DATE(2009,9,8)</f>
        <v>40064</v>
      </c>
      <c r="H720" s="90">
        <v>1.8611111111111112</v>
      </c>
      <c r="I720" s="30" t="s">
        <v>1040</v>
      </c>
      <c r="J720" s="89" t="s">
        <v>4103</v>
      </c>
      <c r="K720" s="30" t="s">
        <v>1574</v>
      </c>
      <c r="L720" s="30" t="s">
        <v>4104</v>
      </c>
      <c r="M720" s="30" t="s">
        <v>63</v>
      </c>
      <c r="N720" s="30">
        <v>0</v>
      </c>
      <c r="O720" s="30" t="s">
        <v>77</v>
      </c>
      <c r="P720" s="89" t="s">
        <v>165</v>
      </c>
      <c r="Q720" s="89" t="s">
        <v>2413</v>
      </c>
      <c r="R720" s="89">
        <v>0</v>
      </c>
      <c r="S720" s="30">
        <v>0</v>
      </c>
      <c r="T720" s="233" t="s">
        <v>68</v>
      </c>
      <c r="U720" s="30">
        <v>0</v>
      </c>
      <c r="V720" s="233" t="s">
        <v>68</v>
      </c>
      <c r="W720" s="30">
        <v>0</v>
      </c>
      <c r="X720" s="30">
        <v>0</v>
      </c>
      <c r="Y720" s="30">
        <v>0</v>
      </c>
      <c r="Z720" s="233" t="s">
        <v>68</v>
      </c>
      <c r="AA720" s="30">
        <v>0</v>
      </c>
      <c r="AB720" s="30">
        <v>0</v>
      </c>
      <c r="AC720" s="30">
        <v>0</v>
      </c>
      <c r="AD720" s="30">
        <v>0</v>
      </c>
      <c r="AE720" s="89" t="s">
        <v>68</v>
      </c>
      <c r="AF720" s="89"/>
      <c r="AG720" s="89" t="s">
        <v>1683</v>
      </c>
      <c r="AH720" s="72" t="s">
        <v>68</v>
      </c>
      <c r="AI720" s="30">
        <v>1</v>
      </c>
      <c r="AJ720" s="89" t="s">
        <v>4105</v>
      </c>
      <c r="AK720" s="89" t="s">
        <v>4106</v>
      </c>
      <c r="AL720" s="91">
        <v>40087</v>
      </c>
      <c r="AM720" s="91"/>
      <c r="AN720" s="91"/>
      <c r="AO720" s="91"/>
      <c r="AP720" s="73" t="e">
        <f>MID(VLOOKUP(K720,#REF!,2,FALSE),1,2)</f>
        <v>#REF!</v>
      </c>
      <c r="AQ720" s="89">
        <f>DATE(2009,9,8)</f>
        <v>40064</v>
      </c>
      <c r="AR720" s="82">
        <f t="shared" si="50"/>
        <v>8</v>
      </c>
      <c r="AS720" s="83">
        <f t="shared" si="51"/>
        <v>9</v>
      </c>
      <c r="AT720" s="84">
        <f t="shared" si="52"/>
        <v>2009</v>
      </c>
      <c r="AU720" s="86"/>
      <c r="AV720" s="86"/>
      <c r="AW720" s="87"/>
      <c r="AX720" s="86"/>
      <c r="AY720" s="83"/>
      <c r="AZ720" s="84"/>
      <c r="BA720" s="86"/>
      <c r="BB720" s="86"/>
    </row>
    <row r="721" spans="1:54" ht="36.75" customHeight="1">
      <c r="A721" s="30"/>
      <c r="B721" s="30" t="s">
        <v>55</v>
      </c>
      <c r="C721" s="69" t="str">
        <f t="shared" si="49"/>
        <v>Closed</v>
      </c>
      <c r="D721" s="27" t="s">
        <v>4107</v>
      </c>
      <c r="E721" s="29" t="s">
        <v>4108</v>
      </c>
      <c r="F721" s="30" t="s">
        <v>124</v>
      </c>
      <c r="G721" s="89">
        <f>DATE(2009,9,10)</f>
        <v>40066</v>
      </c>
      <c r="H721" s="90">
        <v>1.2534722222222223</v>
      </c>
      <c r="I721" s="30" t="s">
        <v>86</v>
      </c>
      <c r="J721" s="89" t="s">
        <v>4109</v>
      </c>
      <c r="K721" s="30" t="s">
        <v>127</v>
      </c>
      <c r="L721" s="30" t="s">
        <v>4110</v>
      </c>
      <c r="M721" s="30" t="s">
        <v>129</v>
      </c>
      <c r="N721" s="30">
        <v>0</v>
      </c>
      <c r="O721" s="30" t="s">
        <v>86</v>
      </c>
      <c r="P721" s="89" t="s">
        <v>86</v>
      </c>
      <c r="Q721" s="89" t="s">
        <v>130</v>
      </c>
      <c r="R721" s="89" t="s">
        <v>131</v>
      </c>
      <c r="S721" s="30">
        <v>0</v>
      </c>
      <c r="T721" s="233" t="s">
        <v>68</v>
      </c>
      <c r="U721" s="30">
        <v>0</v>
      </c>
      <c r="V721" s="233" t="s">
        <v>68</v>
      </c>
      <c r="W721" s="30">
        <v>0</v>
      </c>
      <c r="X721" s="30">
        <v>0</v>
      </c>
      <c r="Y721" s="30">
        <v>0</v>
      </c>
      <c r="Z721" s="233" t="s">
        <v>68</v>
      </c>
      <c r="AA721" s="30">
        <v>0</v>
      </c>
      <c r="AB721" s="30">
        <v>0</v>
      </c>
      <c r="AC721" s="30">
        <v>0</v>
      </c>
      <c r="AD721" s="30">
        <v>0</v>
      </c>
      <c r="AE721" s="89" t="s">
        <v>68</v>
      </c>
      <c r="AF721" s="89"/>
      <c r="AG721" s="89" t="s">
        <v>367</v>
      </c>
      <c r="AH721" s="72" t="s">
        <v>68</v>
      </c>
      <c r="AI721" s="30">
        <v>4</v>
      </c>
      <c r="AJ721" s="89" t="s">
        <v>4111</v>
      </c>
      <c r="AK721" s="89" t="s">
        <v>68</v>
      </c>
      <c r="AL721" s="91">
        <v>40091</v>
      </c>
      <c r="AM721" s="91"/>
      <c r="AN721" s="91"/>
      <c r="AO721" s="91"/>
      <c r="AP721" s="73" t="e">
        <f>MID(VLOOKUP(K721,#REF!,2,FALSE),1,2)</f>
        <v>#REF!</v>
      </c>
      <c r="AQ721" s="89">
        <f>DATE(2009,9,10)</f>
        <v>40066</v>
      </c>
      <c r="AR721" s="82">
        <f t="shared" si="50"/>
        <v>10</v>
      </c>
      <c r="AS721" s="83">
        <f t="shared" si="51"/>
        <v>9</v>
      </c>
      <c r="AT721" s="84">
        <f t="shared" si="52"/>
        <v>2009</v>
      </c>
      <c r="AU721" s="86"/>
      <c r="AV721" s="86"/>
      <c r="AW721" s="87"/>
      <c r="AX721" s="86"/>
      <c r="AY721" s="83"/>
      <c r="AZ721" s="84"/>
      <c r="BA721" s="86"/>
      <c r="BB721" s="86"/>
    </row>
    <row r="722" spans="1:54" ht="36.75" customHeight="1">
      <c r="A722" s="30"/>
      <c r="B722" s="30" t="s">
        <v>55</v>
      </c>
      <c r="C722" s="69" t="str">
        <f t="shared" si="49"/>
        <v>Closed</v>
      </c>
      <c r="D722" s="27" t="s">
        <v>4112</v>
      </c>
      <c r="E722" s="29" t="s">
        <v>4113</v>
      </c>
      <c r="F722" s="30" t="s">
        <v>124</v>
      </c>
      <c r="G722" s="89">
        <f>DATE(2009,9,10)</f>
        <v>40066</v>
      </c>
      <c r="H722" s="90">
        <v>1.7020833333333334</v>
      </c>
      <c r="I722" s="30" t="s">
        <v>86</v>
      </c>
      <c r="J722" s="89" t="s">
        <v>4114</v>
      </c>
      <c r="K722" s="30" t="s">
        <v>127</v>
      </c>
      <c r="L722" s="30" t="s">
        <v>4115</v>
      </c>
      <c r="M722" s="30" t="s">
        <v>63</v>
      </c>
      <c r="N722" s="30">
        <v>0</v>
      </c>
      <c r="O722" s="30" t="s">
        <v>77</v>
      </c>
      <c r="P722" s="89" t="s">
        <v>216</v>
      </c>
      <c r="Q722" s="89" t="s">
        <v>4116</v>
      </c>
      <c r="R722" s="89" t="s">
        <v>167</v>
      </c>
      <c r="S722" s="30">
        <v>0</v>
      </c>
      <c r="T722" s="233" t="s">
        <v>68</v>
      </c>
      <c r="U722" s="30">
        <v>0</v>
      </c>
      <c r="V722" s="233" t="s">
        <v>68</v>
      </c>
      <c r="W722" s="30">
        <v>0</v>
      </c>
      <c r="X722" s="30">
        <v>0</v>
      </c>
      <c r="Y722" s="30">
        <v>0</v>
      </c>
      <c r="Z722" s="233" t="s">
        <v>68</v>
      </c>
      <c r="AA722" s="30">
        <v>0</v>
      </c>
      <c r="AB722" s="30">
        <v>0</v>
      </c>
      <c r="AC722" s="30">
        <v>0</v>
      </c>
      <c r="AD722" s="30">
        <v>0</v>
      </c>
      <c r="AE722" s="89" t="s">
        <v>68</v>
      </c>
      <c r="AF722" s="89"/>
      <c r="AG722" s="89" t="s">
        <v>874</v>
      </c>
      <c r="AH722" s="72" t="s">
        <v>68</v>
      </c>
      <c r="AI722" s="30">
        <v>2</v>
      </c>
      <c r="AJ722" s="89" t="s">
        <v>68</v>
      </c>
      <c r="AK722" s="89" t="s">
        <v>68</v>
      </c>
      <c r="AL722" s="91">
        <v>40123</v>
      </c>
      <c r="AM722" s="91"/>
      <c r="AN722" s="91"/>
      <c r="AO722" s="91"/>
      <c r="AP722" s="73" t="e">
        <f>MID(VLOOKUP(K722,#REF!,2,FALSE),1,2)</f>
        <v>#REF!</v>
      </c>
      <c r="AQ722" s="89">
        <f>DATE(2009,9,10)</f>
        <v>40066</v>
      </c>
      <c r="AR722" s="82">
        <f t="shared" si="50"/>
        <v>10</v>
      </c>
      <c r="AS722" s="83">
        <f t="shared" si="51"/>
        <v>9</v>
      </c>
      <c r="AT722" s="84">
        <f t="shared" si="52"/>
        <v>2009</v>
      </c>
      <c r="AU722" s="86"/>
      <c r="AV722" s="86"/>
      <c r="AW722" s="87"/>
      <c r="AX722" s="86"/>
      <c r="AY722" s="83"/>
      <c r="AZ722" s="84"/>
      <c r="BA722" s="86"/>
      <c r="BB722" s="86"/>
    </row>
    <row r="723" spans="1:54" ht="36.75" customHeight="1">
      <c r="A723" s="30"/>
      <c r="B723" s="30" t="s">
        <v>55</v>
      </c>
      <c r="C723" s="69" t="str">
        <f t="shared" si="49"/>
        <v>Closed</v>
      </c>
      <c r="D723" s="27" t="s">
        <v>4117</v>
      </c>
      <c r="E723" s="29" t="s">
        <v>4118</v>
      </c>
      <c r="F723" s="30" t="s">
        <v>423</v>
      </c>
      <c r="G723" s="89">
        <f>DATE(2009,9,15)</f>
        <v>40071</v>
      </c>
      <c r="H723" s="90">
        <v>1.6124999999999998</v>
      </c>
      <c r="I723" s="30" t="s">
        <v>116</v>
      </c>
      <c r="J723" s="89" t="s">
        <v>4119</v>
      </c>
      <c r="K723" s="30" t="s">
        <v>425</v>
      </c>
      <c r="L723" s="30" t="s">
        <v>4120</v>
      </c>
      <c r="M723" s="30" t="s">
        <v>63</v>
      </c>
      <c r="N723" s="30">
        <v>0</v>
      </c>
      <c r="O723" s="30" t="s">
        <v>64</v>
      </c>
      <c r="P723" s="89" t="s">
        <v>78</v>
      </c>
      <c r="Q723" s="89" t="s">
        <v>2582</v>
      </c>
      <c r="R723" s="89" t="s">
        <v>3103</v>
      </c>
      <c r="S723" s="30">
        <v>0</v>
      </c>
      <c r="T723" s="233">
        <v>0</v>
      </c>
      <c r="U723" s="30">
        <v>1</v>
      </c>
      <c r="V723" s="233">
        <v>0</v>
      </c>
      <c r="W723" s="30">
        <v>0</v>
      </c>
      <c r="X723" s="30">
        <v>1</v>
      </c>
      <c r="Y723" s="30">
        <v>0</v>
      </c>
      <c r="Z723" s="233">
        <v>0</v>
      </c>
      <c r="AA723" s="30">
        <v>0</v>
      </c>
      <c r="AB723" s="30">
        <v>0</v>
      </c>
      <c r="AC723" s="30">
        <v>0</v>
      </c>
      <c r="AD723" s="30">
        <v>0</v>
      </c>
      <c r="AE723" s="89" t="s">
        <v>68</v>
      </c>
      <c r="AF723" s="89"/>
      <c r="AG723" s="89" t="s">
        <v>352</v>
      </c>
      <c r="AH723" s="72" t="s">
        <v>68</v>
      </c>
      <c r="AI723" s="30">
        <v>0</v>
      </c>
      <c r="AJ723" s="89" t="s">
        <v>68</v>
      </c>
      <c r="AK723" s="89" t="s">
        <v>2348</v>
      </c>
      <c r="AL723" s="91">
        <v>40109</v>
      </c>
      <c r="AM723" s="91"/>
      <c r="AN723" s="91"/>
      <c r="AO723" s="91"/>
      <c r="AP723" s="73" t="e">
        <f>MID(VLOOKUP(K723,#REF!,2,FALSE),1,2)</f>
        <v>#REF!</v>
      </c>
      <c r="AQ723" s="89">
        <f>DATE(2009,9,15)</f>
        <v>40071</v>
      </c>
      <c r="AR723" s="82">
        <f t="shared" si="50"/>
        <v>15</v>
      </c>
      <c r="AS723" s="83">
        <f t="shared" si="51"/>
        <v>9</v>
      </c>
      <c r="AT723" s="84">
        <f t="shared" si="52"/>
        <v>2009</v>
      </c>
      <c r="AU723" s="86"/>
      <c r="AV723" s="86"/>
      <c r="AW723" s="87"/>
      <c r="AX723" s="86"/>
      <c r="AY723" s="83"/>
      <c r="AZ723" s="84"/>
      <c r="BA723" s="86"/>
      <c r="BB723" s="86"/>
    </row>
    <row r="724" spans="1:54" ht="36.75" customHeight="1">
      <c r="A724" s="30"/>
      <c r="B724" s="30" t="s">
        <v>55</v>
      </c>
      <c r="C724" s="69" t="str">
        <f t="shared" si="49"/>
        <v>Closed</v>
      </c>
      <c r="D724" s="27" t="s">
        <v>4121</v>
      </c>
      <c r="E724" s="29" t="s">
        <v>4122</v>
      </c>
      <c r="F724" s="30" t="s">
        <v>233</v>
      </c>
      <c r="G724" s="89">
        <f>DATE(2009,9,15)</f>
        <v>40071</v>
      </c>
      <c r="H724" s="90">
        <v>1.5111111111111111</v>
      </c>
      <c r="I724" s="30" t="s">
        <v>198</v>
      </c>
      <c r="J724" s="89" t="s">
        <v>4123</v>
      </c>
      <c r="K724" s="30" t="s">
        <v>235</v>
      </c>
      <c r="L724" s="30" t="s">
        <v>4124</v>
      </c>
      <c r="M724" s="30" t="s">
        <v>255</v>
      </c>
      <c r="N724" s="30">
        <v>0</v>
      </c>
      <c r="O724" s="30" t="s">
        <v>64</v>
      </c>
      <c r="P724" s="89" t="s">
        <v>86</v>
      </c>
      <c r="Q724" s="89" t="s">
        <v>4125</v>
      </c>
      <c r="R724" s="89" t="s">
        <v>4125</v>
      </c>
      <c r="S724" s="30">
        <v>0</v>
      </c>
      <c r="T724" s="233" t="s">
        <v>68</v>
      </c>
      <c r="U724" s="30">
        <v>0</v>
      </c>
      <c r="V724" s="233" t="s">
        <v>68</v>
      </c>
      <c r="W724" s="30">
        <v>0</v>
      </c>
      <c r="X724" s="30">
        <v>0</v>
      </c>
      <c r="Y724" s="30">
        <v>0</v>
      </c>
      <c r="Z724" s="233" t="s">
        <v>68</v>
      </c>
      <c r="AA724" s="30">
        <v>0</v>
      </c>
      <c r="AB724" s="30">
        <v>0</v>
      </c>
      <c r="AC724" s="30">
        <v>0</v>
      </c>
      <c r="AD724" s="30">
        <v>0</v>
      </c>
      <c r="AE724" s="89" t="s">
        <v>68</v>
      </c>
      <c r="AF724" s="89"/>
      <c r="AG724" s="89" t="s">
        <v>133</v>
      </c>
      <c r="AH724" s="72" t="s">
        <v>68</v>
      </c>
      <c r="AI724" s="30">
        <v>2</v>
      </c>
      <c r="AJ724" s="89" t="s">
        <v>4126</v>
      </c>
      <c r="AK724" s="89" t="s">
        <v>4127</v>
      </c>
      <c r="AL724" s="91">
        <v>40095</v>
      </c>
      <c r="AM724" s="91"/>
      <c r="AN724" s="91"/>
      <c r="AO724" s="91"/>
      <c r="AP724" s="73" t="e">
        <f>MID(VLOOKUP(K724,#REF!,2,FALSE),1,2)</f>
        <v>#REF!</v>
      </c>
      <c r="AQ724" s="89">
        <f>DATE(2009,9,15)</f>
        <v>40071</v>
      </c>
      <c r="AR724" s="82">
        <f t="shared" si="50"/>
        <v>15</v>
      </c>
      <c r="AS724" s="83">
        <f t="shared" si="51"/>
        <v>9</v>
      </c>
      <c r="AT724" s="84">
        <f t="shared" si="52"/>
        <v>2009</v>
      </c>
      <c r="AU724" s="86"/>
      <c r="AV724" s="86"/>
      <c r="AW724" s="87"/>
      <c r="AX724" s="86"/>
      <c r="AY724" s="83"/>
      <c r="AZ724" s="84"/>
      <c r="BA724" s="86"/>
      <c r="BB724" s="86"/>
    </row>
    <row r="725" spans="1:54" ht="36.75" customHeight="1">
      <c r="A725" s="30"/>
      <c r="B725" s="30" t="s">
        <v>55</v>
      </c>
      <c r="C725" s="69" t="str">
        <f t="shared" si="49"/>
        <v>Closed</v>
      </c>
      <c r="D725" s="27" t="s">
        <v>4128</v>
      </c>
      <c r="E725" s="29" t="s">
        <v>4129</v>
      </c>
      <c r="F725" s="30" t="s">
        <v>638</v>
      </c>
      <c r="G725" s="89">
        <f>DATE(2009,9,17)</f>
        <v>40073</v>
      </c>
      <c r="H725" s="90">
        <v>1.6666666666666665</v>
      </c>
      <c r="I725" s="30" t="s">
        <v>73</v>
      </c>
      <c r="J725" s="89" t="s">
        <v>4130</v>
      </c>
      <c r="K725" s="30" t="s">
        <v>640</v>
      </c>
      <c r="L725" s="30" t="s">
        <v>4131</v>
      </c>
      <c r="M725" s="30" t="s">
        <v>63</v>
      </c>
      <c r="N725" s="30">
        <v>0</v>
      </c>
      <c r="O725" s="30" t="s">
        <v>64</v>
      </c>
      <c r="P725" s="89" t="s">
        <v>78</v>
      </c>
      <c r="Q725" s="89" t="s">
        <v>642</v>
      </c>
      <c r="R725" s="89" t="s">
        <v>643</v>
      </c>
      <c r="S725" s="30">
        <v>0</v>
      </c>
      <c r="T725" s="233" t="s">
        <v>68</v>
      </c>
      <c r="U725" s="30">
        <v>0</v>
      </c>
      <c r="V725" s="233" t="s">
        <v>68</v>
      </c>
      <c r="W725" s="30">
        <v>0</v>
      </c>
      <c r="X725" s="30">
        <v>0</v>
      </c>
      <c r="Y725" s="30">
        <v>0</v>
      </c>
      <c r="Z725" s="233" t="s">
        <v>68</v>
      </c>
      <c r="AA725" s="30">
        <v>0</v>
      </c>
      <c r="AB725" s="30">
        <v>0</v>
      </c>
      <c r="AC725" s="30">
        <v>0</v>
      </c>
      <c r="AD725" s="30">
        <v>0</v>
      </c>
      <c r="AE725" s="89" t="s">
        <v>68</v>
      </c>
      <c r="AF725" s="89"/>
      <c r="AG725" s="89" t="s">
        <v>352</v>
      </c>
      <c r="AH725" s="72" t="s">
        <v>68</v>
      </c>
      <c r="AI725" s="30">
        <v>1</v>
      </c>
      <c r="AJ725" s="89" t="s">
        <v>4132</v>
      </c>
      <c r="AK725" s="89" t="s">
        <v>68</v>
      </c>
      <c r="AL725" s="91">
        <v>40147</v>
      </c>
      <c r="AM725" s="91"/>
      <c r="AN725" s="91"/>
      <c r="AO725" s="91"/>
      <c r="AP725" s="73" t="e">
        <f>MID(VLOOKUP(K725,#REF!,2,FALSE),1,2)</f>
        <v>#REF!</v>
      </c>
      <c r="AQ725" s="89">
        <f>DATE(2009,9,17)</f>
        <v>40073</v>
      </c>
      <c r="AR725" s="82">
        <f t="shared" si="50"/>
        <v>17</v>
      </c>
      <c r="AS725" s="83">
        <f t="shared" si="51"/>
        <v>9</v>
      </c>
      <c r="AT725" s="84">
        <f t="shared" si="52"/>
        <v>2009</v>
      </c>
      <c r="AU725" s="86"/>
      <c r="AV725" s="86"/>
      <c r="AW725" s="87"/>
      <c r="AX725" s="86"/>
      <c r="AY725" s="83"/>
      <c r="AZ725" s="84"/>
      <c r="BA725" s="86"/>
      <c r="BB725" s="86"/>
    </row>
    <row r="726" spans="1:54" ht="36.75" customHeight="1">
      <c r="A726" s="30"/>
      <c r="B726" s="30" t="s">
        <v>55</v>
      </c>
      <c r="C726" s="69" t="str">
        <f t="shared" si="49"/>
        <v>Closed</v>
      </c>
      <c r="D726" s="27" t="s">
        <v>4133</v>
      </c>
      <c r="E726" s="29" t="s">
        <v>4134</v>
      </c>
      <c r="F726" s="30" t="s">
        <v>58</v>
      </c>
      <c r="G726" s="89">
        <f>DATE(2009,9,17)</f>
        <v>40073</v>
      </c>
      <c r="H726" s="90">
        <v>1.5506944444444444</v>
      </c>
      <c r="I726" s="30" t="s">
        <v>73</v>
      </c>
      <c r="J726" s="89" t="s">
        <v>4135</v>
      </c>
      <c r="K726" s="30" t="s">
        <v>61</v>
      </c>
      <c r="L726" s="30" t="s">
        <v>4136</v>
      </c>
      <c r="M726" s="30" t="s">
        <v>63</v>
      </c>
      <c r="N726" s="30" t="s">
        <v>99</v>
      </c>
      <c r="O726" s="30" t="s">
        <v>90</v>
      </c>
      <c r="P726" s="89" t="s">
        <v>78</v>
      </c>
      <c r="Q726" s="89" t="s">
        <v>66</v>
      </c>
      <c r="R726" s="89" t="s">
        <v>67</v>
      </c>
      <c r="S726" s="30">
        <v>0</v>
      </c>
      <c r="T726" s="233">
        <v>0</v>
      </c>
      <c r="U726" s="30">
        <v>0</v>
      </c>
      <c r="V726" s="233">
        <v>0</v>
      </c>
      <c r="W726" s="30">
        <v>0</v>
      </c>
      <c r="X726" s="30">
        <v>0</v>
      </c>
      <c r="Y726" s="30">
        <v>0</v>
      </c>
      <c r="Z726" s="233">
        <v>0</v>
      </c>
      <c r="AA726" s="30">
        <v>0</v>
      </c>
      <c r="AB726" s="30">
        <v>0</v>
      </c>
      <c r="AC726" s="30">
        <v>0</v>
      </c>
      <c r="AD726" s="30">
        <v>0</v>
      </c>
      <c r="AE726" s="89" t="s">
        <v>92</v>
      </c>
      <c r="AF726" s="89"/>
      <c r="AG726" s="89" t="s">
        <v>69</v>
      </c>
      <c r="AH726" s="72">
        <v>40121</v>
      </c>
      <c r="AI726" s="30">
        <v>1</v>
      </c>
      <c r="AJ726" s="89" t="s">
        <v>4137</v>
      </c>
      <c r="AK726" s="89" t="s">
        <v>4138</v>
      </c>
      <c r="AL726" s="91">
        <v>40115</v>
      </c>
      <c r="AM726" s="91"/>
      <c r="AN726" s="91"/>
      <c r="AO726" s="91"/>
      <c r="AP726" s="73" t="e">
        <f>MID(VLOOKUP(K726,#REF!,2,FALSE),1,2)</f>
        <v>#REF!</v>
      </c>
      <c r="AQ726" s="89">
        <f>DATE(2009,9,17)</f>
        <v>40073</v>
      </c>
      <c r="AR726" s="82">
        <f t="shared" si="50"/>
        <v>17</v>
      </c>
      <c r="AS726" s="83">
        <f t="shared" si="51"/>
        <v>9</v>
      </c>
      <c r="AT726" s="84">
        <f t="shared" si="52"/>
        <v>2009</v>
      </c>
      <c r="AU726" s="86"/>
      <c r="AV726" s="86"/>
      <c r="AW726" s="87"/>
      <c r="AX726" s="86"/>
      <c r="AY726" s="83"/>
      <c r="AZ726" s="84"/>
      <c r="BA726" s="86"/>
      <c r="BB726" s="86"/>
    </row>
    <row r="727" spans="1:54" ht="36.75" customHeight="1">
      <c r="A727" s="30"/>
      <c r="B727" s="30" t="s">
        <v>55</v>
      </c>
      <c r="C727" s="69" t="str">
        <f t="shared" si="49"/>
        <v>Closed</v>
      </c>
      <c r="D727" s="27" t="s">
        <v>4139</v>
      </c>
      <c r="E727" s="29" t="s">
        <v>4140</v>
      </c>
      <c r="F727" s="30" t="s">
        <v>197</v>
      </c>
      <c r="G727" s="89">
        <f>DATE(2009,9,19)</f>
        <v>40075</v>
      </c>
      <c r="H727" s="90">
        <v>1.838888888888889</v>
      </c>
      <c r="I727" s="30" t="s">
        <v>198</v>
      </c>
      <c r="J727" s="89" t="s">
        <v>4141</v>
      </c>
      <c r="K727" s="30" t="s">
        <v>200</v>
      </c>
      <c r="L727" s="30" t="s">
        <v>4142</v>
      </c>
      <c r="M727" s="30" t="s">
        <v>63</v>
      </c>
      <c r="N727" s="30" t="s">
        <v>142</v>
      </c>
      <c r="O727" s="30" t="s">
        <v>64</v>
      </c>
      <c r="P727" s="89" t="s">
        <v>553</v>
      </c>
      <c r="Q727" s="89" t="s">
        <v>4143</v>
      </c>
      <c r="R727" s="89" t="s">
        <v>203</v>
      </c>
      <c r="S727" s="30">
        <v>0</v>
      </c>
      <c r="T727" s="233">
        <v>0</v>
      </c>
      <c r="U727" s="30">
        <v>0</v>
      </c>
      <c r="V727" s="233">
        <v>0</v>
      </c>
      <c r="W727" s="30">
        <v>0</v>
      </c>
      <c r="X727" s="30">
        <v>0</v>
      </c>
      <c r="Y727" s="30">
        <v>0</v>
      </c>
      <c r="Z727" s="233">
        <v>0</v>
      </c>
      <c r="AA727" s="30">
        <v>0</v>
      </c>
      <c r="AB727" s="30">
        <v>0</v>
      </c>
      <c r="AC727" s="30">
        <v>0</v>
      </c>
      <c r="AD727" s="30">
        <v>0</v>
      </c>
      <c r="AE727" s="89" t="s">
        <v>394</v>
      </c>
      <c r="AF727" s="89"/>
      <c r="AG727" s="89" t="s">
        <v>874</v>
      </c>
      <c r="AH727" s="72">
        <v>40608</v>
      </c>
      <c r="AI727" s="30">
        <v>14</v>
      </c>
      <c r="AJ727" s="89" t="s">
        <v>4144</v>
      </c>
      <c r="AK727" s="89" t="s">
        <v>1233</v>
      </c>
      <c r="AL727" s="91">
        <v>40611</v>
      </c>
      <c r="AM727" s="91"/>
      <c r="AN727" s="91"/>
      <c r="AO727" s="91"/>
      <c r="AP727" s="73" t="e">
        <f>MID(VLOOKUP(K727,#REF!,2,FALSE),1,2)</f>
        <v>#REF!</v>
      </c>
      <c r="AQ727" s="89">
        <f>DATE(2009,9,19)</f>
        <v>40075</v>
      </c>
      <c r="AR727" s="82">
        <f t="shared" si="50"/>
        <v>19</v>
      </c>
      <c r="AS727" s="83">
        <f t="shared" si="51"/>
        <v>9</v>
      </c>
      <c r="AT727" s="84">
        <f t="shared" si="52"/>
        <v>2009</v>
      </c>
      <c r="AU727" s="86"/>
      <c r="AV727" s="86"/>
      <c r="AW727" s="87"/>
      <c r="AX727" s="86"/>
      <c r="AY727" s="83"/>
      <c r="AZ727" s="84"/>
      <c r="BA727" s="86"/>
      <c r="BB727" s="86"/>
    </row>
    <row r="728" spans="1:54" ht="36.75" customHeight="1">
      <c r="A728" s="30"/>
      <c r="B728" s="30" t="s">
        <v>55</v>
      </c>
      <c r="C728" s="69" t="str">
        <f t="shared" si="49"/>
        <v>Closed</v>
      </c>
      <c r="D728" s="27" t="s">
        <v>4145</v>
      </c>
      <c r="E728" s="29" t="s">
        <v>4146</v>
      </c>
      <c r="F728" s="30" t="s">
        <v>451</v>
      </c>
      <c r="G728" s="89">
        <f>DATE(2009,9,19)</f>
        <v>40075</v>
      </c>
      <c r="H728" s="90">
        <v>1.2861111111111112</v>
      </c>
      <c r="I728" s="30" t="s">
        <v>116</v>
      </c>
      <c r="J728" s="89" t="s">
        <v>4147</v>
      </c>
      <c r="K728" s="30" t="s">
        <v>453</v>
      </c>
      <c r="L728" s="30" t="s">
        <v>4148</v>
      </c>
      <c r="M728" s="30" t="s">
        <v>63</v>
      </c>
      <c r="N728" s="30" t="s">
        <v>99</v>
      </c>
      <c r="O728" s="30" t="s">
        <v>64</v>
      </c>
      <c r="P728" s="89" t="s">
        <v>65</v>
      </c>
      <c r="Q728" s="89" t="s">
        <v>571</v>
      </c>
      <c r="R728" s="89" t="s">
        <v>572</v>
      </c>
      <c r="S728" s="30">
        <v>0</v>
      </c>
      <c r="T728" s="233">
        <v>1</v>
      </c>
      <c r="U728" s="30">
        <v>1</v>
      </c>
      <c r="V728" s="233">
        <v>0</v>
      </c>
      <c r="W728" s="30">
        <v>0</v>
      </c>
      <c r="X728" s="30">
        <v>2</v>
      </c>
      <c r="Y728" s="30">
        <v>0</v>
      </c>
      <c r="Z728" s="233">
        <v>1</v>
      </c>
      <c r="AA728" s="30">
        <v>0</v>
      </c>
      <c r="AB728" s="30">
        <v>0</v>
      </c>
      <c r="AC728" s="30">
        <v>0</v>
      </c>
      <c r="AD728" s="30">
        <v>1</v>
      </c>
      <c r="AE728" s="89" t="s">
        <v>145</v>
      </c>
      <c r="AF728" s="89"/>
      <c r="AG728" s="89" t="s">
        <v>82</v>
      </c>
      <c r="AH728" s="72">
        <v>40075</v>
      </c>
      <c r="AI728" s="30">
        <v>2</v>
      </c>
      <c r="AJ728" s="89" t="s">
        <v>4149</v>
      </c>
      <c r="AK728" s="89" t="s">
        <v>4150</v>
      </c>
      <c r="AL728" s="91">
        <v>40095</v>
      </c>
      <c r="AM728" s="91"/>
      <c r="AN728" s="91"/>
      <c r="AO728" s="91"/>
      <c r="AP728" s="73" t="e">
        <f>MID(VLOOKUP(K728,#REF!,2,FALSE),1,2)</f>
        <v>#REF!</v>
      </c>
      <c r="AQ728" s="89">
        <f>DATE(2009,9,19)</f>
        <v>40075</v>
      </c>
      <c r="AR728" s="82">
        <f t="shared" si="50"/>
        <v>19</v>
      </c>
      <c r="AS728" s="83">
        <f t="shared" si="51"/>
        <v>9</v>
      </c>
      <c r="AT728" s="84">
        <f t="shared" si="52"/>
        <v>2009</v>
      </c>
      <c r="AU728" s="86"/>
      <c r="AV728" s="86"/>
      <c r="AW728" s="87"/>
      <c r="AX728" s="86"/>
      <c r="AY728" s="83"/>
      <c r="AZ728" s="84"/>
      <c r="BA728" s="86"/>
      <c r="BB728" s="86"/>
    </row>
    <row r="729" spans="1:54" ht="36.75" customHeight="1">
      <c r="A729" s="30"/>
      <c r="B729" s="30" t="s">
        <v>55</v>
      </c>
      <c r="C729" s="69" t="str">
        <f t="shared" si="49"/>
        <v>Closed</v>
      </c>
      <c r="D729" s="27" t="s">
        <v>4151</v>
      </c>
      <c r="E729" s="29" t="s">
        <v>4152</v>
      </c>
      <c r="F729" s="30" t="s">
        <v>1572</v>
      </c>
      <c r="G729" s="89">
        <f>DATE(2009,9,21)</f>
        <v>40077</v>
      </c>
      <c r="H729" s="90">
        <v>1.1041666666666667</v>
      </c>
      <c r="I729" s="30" t="s">
        <v>73</v>
      </c>
      <c r="J729" s="89" t="s">
        <v>4153</v>
      </c>
      <c r="K729" s="30" t="s">
        <v>1574</v>
      </c>
      <c r="L729" s="30" t="s">
        <v>4154</v>
      </c>
      <c r="M729" s="30" t="s">
        <v>63</v>
      </c>
      <c r="N729" s="30">
        <v>0</v>
      </c>
      <c r="O729" s="30" t="s">
        <v>64</v>
      </c>
      <c r="P729" s="89" t="s">
        <v>65</v>
      </c>
      <c r="Q729" s="89" t="s">
        <v>2413</v>
      </c>
      <c r="R729" s="89">
        <v>0</v>
      </c>
      <c r="S729" s="30">
        <v>0</v>
      </c>
      <c r="T729" s="233" t="s">
        <v>68</v>
      </c>
      <c r="U729" s="30">
        <v>0</v>
      </c>
      <c r="V729" s="233" t="s">
        <v>68</v>
      </c>
      <c r="W729" s="30">
        <v>0</v>
      </c>
      <c r="X729" s="30">
        <v>0</v>
      </c>
      <c r="Y729" s="30">
        <v>0</v>
      </c>
      <c r="Z729" s="233" t="s">
        <v>68</v>
      </c>
      <c r="AA729" s="30">
        <v>0</v>
      </c>
      <c r="AB729" s="30">
        <v>0</v>
      </c>
      <c r="AC729" s="30">
        <v>0</v>
      </c>
      <c r="AD729" s="30">
        <v>0</v>
      </c>
      <c r="AE729" s="89" t="s">
        <v>68</v>
      </c>
      <c r="AF729" s="89"/>
      <c r="AG729" s="89" t="s">
        <v>82</v>
      </c>
      <c r="AH729" s="72" t="s">
        <v>68</v>
      </c>
      <c r="AI729" s="30">
        <v>3</v>
      </c>
      <c r="AJ729" s="89" t="s">
        <v>4155</v>
      </c>
      <c r="AK729" s="89" t="s">
        <v>4156</v>
      </c>
      <c r="AL729" s="91">
        <v>40087</v>
      </c>
      <c r="AM729" s="91"/>
      <c r="AN729" s="91"/>
      <c r="AO729" s="91"/>
      <c r="AP729" s="73" t="e">
        <f>MID(VLOOKUP(K729,#REF!,2,FALSE),1,2)</f>
        <v>#REF!</v>
      </c>
      <c r="AQ729" s="89">
        <f>DATE(2009,9,21)</f>
        <v>40077</v>
      </c>
      <c r="AR729" s="82">
        <f t="shared" si="50"/>
        <v>21</v>
      </c>
      <c r="AS729" s="83">
        <f t="shared" si="51"/>
        <v>9</v>
      </c>
      <c r="AT729" s="84">
        <f t="shared" si="52"/>
        <v>2009</v>
      </c>
      <c r="AU729" s="86"/>
      <c r="AV729" s="86"/>
      <c r="AW729" s="87"/>
      <c r="AX729" s="86"/>
      <c r="AY729" s="83"/>
      <c r="AZ729" s="84"/>
      <c r="BA729" s="86"/>
      <c r="BB729" s="86"/>
    </row>
    <row r="730" spans="1:54" ht="36.75" customHeight="1">
      <c r="A730" s="30"/>
      <c r="B730" s="30" t="s">
        <v>55</v>
      </c>
      <c r="C730" s="69" t="str">
        <f t="shared" si="49"/>
        <v>Closed</v>
      </c>
      <c r="D730" s="27" t="s">
        <v>4157</v>
      </c>
      <c r="E730" s="29" t="s">
        <v>4158</v>
      </c>
      <c r="F730" s="30" t="s">
        <v>233</v>
      </c>
      <c r="G730" s="89">
        <f>DATE(2009,9,23)</f>
        <v>40079</v>
      </c>
      <c r="H730" s="90">
        <v>1.7743055555555554</v>
      </c>
      <c r="I730" s="30" t="s">
        <v>86</v>
      </c>
      <c r="J730" s="89" t="s">
        <v>4159</v>
      </c>
      <c r="K730" s="30" t="s">
        <v>235</v>
      </c>
      <c r="L730" s="30" t="s">
        <v>4160</v>
      </c>
      <c r="M730" s="30" t="s">
        <v>63</v>
      </c>
      <c r="N730" s="30">
        <v>0</v>
      </c>
      <c r="O730" s="30" t="s">
        <v>77</v>
      </c>
      <c r="P730" s="89" t="s">
        <v>462</v>
      </c>
      <c r="Q730" s="89" t="s">
        <v>4161</v>
      </c>
      <c r="R730" s="89" t="s">
        <v>238</v>
      </c>
      <c r="S730" s="30">
        <v>0</v>
      </c>
      <c r="T730" s="233" t="s">
        <v>68</v>
      </c>
      <c r="U730" s="30">
        <v>0</v>
      </c>
      <c r="V730" s="233" t="s">
        <v>68</v>
      </c>
      <c r="W730" s="30">
        <v>0</v>
      </c>
      <c r="X730" s="30">
        <v>0</v>
      </c>
      <c r="Y730" s="30">
        <v>0</v>
      </c>
      <c r="Z730" s="233" t="s">
        <v>68</v>
      </c>
      <c r="AA730" s="30">
        <v>0</v>
      </c>
      <c r="AB730" s="30">
        <v>0</v>
      </c>
      <c r="AC730" s="30">
        <v>0</v>
      </c>
      <c r="AD730" s="30">
        <v>0</v>
      </c>
      <c r="AE730" s="89" t="s">
        <v>68</v>
      </c>
      <c r="AF730" s="89"/>
      <c r="AG730" s="89" t="s">
        <v>133</v>
      </c>
      <c r="AH730" s="72" t="s">
        <v>68</v>
      </c>
      <c r="AI730" s="30">
        <v>7</v>
      </c>
      <c r="AJ730" s="89" t="s">
        <v>4162</v>
      </c>
      <c r="AK730" s="89" t="s">
        <v>4163</v>
      </c>
      <c r="AL730" s="91">
        <v>40101</v>
      </c>
      <c r="AM730" s="91"/>
      <c r="AN730" s="91"/>
      <c r="AO730" s="91"/>
      <c r="AP730" s="73" t="e">
        <f>MID(VLOOKUP(K730,#REF!,2,FALSE),1,2)</f>
        <v>#REF!</v>
      </c>
      <c r="AQ730" s="89">
        <f>DATE(2009,9,23)</f>
        <v>40079</v>
      </c>
      <c r="AR730" s="82">
        <f t="shared" si="50"/>
        <v>23</v>
      </c>
      <c r="AS730" s="83">
        <f t="shared" si="51"/>
        <v>9</v>
      </c>
      <c r="AT730" s="84">
        <f t="shared" si="52"/>
        <v>2009</v>
      </c>
      <c r="AU730" s="86"/>
      <c r="AV730" s="86"/>
      <c r="AW730" s="87"/>
      <c r="AX730" s="86"/>
      <c r="AY730" s="83"/>
      <c r="AZ730" s="84"/>
      <c r="BA730" s="86"/>
      <c r="BB730" s="86"/>
    </row>
    <row r="731" spans="1:54" ht="36.75" customHeight="1">
      <c r="A731" s="30"/>
      <c r="B731" s="30" t="s">
        <v>55</v>
      </c>
      <c r="C731" s="69" t="str">
        <f t="shared" si="49"/>
        <v>Closed</v>
      </c>
      <c r="D731" s="27" t="s">
        <v>4164</v>
      </c>
      <c r="E731" s="29" t="s">
        <v>4165</v>
      </c>
      <c r="F731" s="30" t="s">
        <v>638</v>
      </c>
      <c r="G731" s="89">
        <f>DATE(2009,9,24)</f>
        <v>40080</v>
      </c>
      <c r="H731" s="90">
        <v>1.5763888888888888</v>
      </c>
      <c r="I731" s="30" t="s">
        <v>1040</v>
      </c>
      <c r="J731" s="89" t="s">
        <v>4166</v>
      </c>
      <c r="K731" s="30" t="s">
        <v>640</v>
      </c>
      <c r="L731" s="30" t="s">
        <v>4167</v>
      </c>
      <c r="M731" s="30" t="s">
        <v>63</v>
      </c>
      <c r="N731" s="30">
        <v>0</v>
      </c>
      <c r="O731" s="30" t="s">
        <v>86</v>
      </c>
      <c r="P731" s="89" t="s">
        <v>165</v>
      </c>
      <c r="Q731" s="89" t="s">
        <v>3246</v>
      </c>
      <c r="R731" s="89" t="s">
        <v>3246</v>
      </c>
      <c r="S731" s="30">
        <v>0</v>
      </c>
      <c r="T731" s="233" t="s">
        <v>68</v>
      </c>
      <c r="U731" s="30">
        <v>0</v>
      </c>
      <c r="V731" s="233" t="s">
        <v>68</v>
      </c>
      <c r="W731" s="30">
        <v>0</v>
      </c>
      <c r="X731" s="30">
        <v>0</v>
      </c>
      <c r="Y731" s="30">
        <v>0</v>
      </c>
      <c r="Z731" s="233" t="s">
        <v>68</v>
      </c>
      <c r="AA731" s="30">
        <v>0</v>
      </c>
      <c r="AB731" s="30">
        <v>0</v>
      </c>
      <c r="AC731" s="30">
        <v>0</v>
      </c>
      <c r="AD731" s="30">
        <v>0</v>
      </c>
      <c r="AE731" s="89" t="s">
        <v>68</v>
      </c>
      <c r="AF731" s="89"/>
      <c r="AG731" s="89" t="s">
        <v>248</v>
      </c>
      <c r="AH731" s="72" t="s">
        <v>68</v>
      </c>
      <c r="AI731" s="30">
        <v>3</v>
      </c>
      <c r="AJ731" s="89" t="s">
        <v>4168</v>
      </c>
      <c r="AK731" s="89" t="s">
        <v>68</v>
      </c>
      <c r="AL731" s="91">
        <v>40142</v>
      </c>
      <c r="AM731" s="91"/>
      <c r="AN731" s="91"/>
      <c r="AO731" s="91"/>
      <c r="AP731" s="73" t="e">
        <f>MID(VLOOKUP(K731,#REF!,2,FALSE),1,2)</f>
        <v>#REF!</v>
      </c>
      <c r="AQ731" s="89">
        <f>DATE(2009,9,24)</f>
        <v>40080</v>
      </c>
      <c r="AR731" s="82">
        <f t="shared" si="50"/>
        <v>24</v>
      </c>
      <c r="AS731" s="83">
        <f t="shared" si="51"/>
        <v>9</v>
      </c>
      <c r="AT731" s="84">
        <f t="shared" si="52"/>
        <v>2009</v>
      </c>
      <c r="AU731" s="86"/>
      <c r="AV731" s="86"/>
      <c r="AW731" s="87"/>
      <c r="AX731" s="86"/>
      <c r="AY731" s="83"/>
      <c r="AZ731" s="84"/>
      <c r="BA731" s="86"/>
      <c r="BB731" s="86"/>
    </row>
    <row r="732" spans="1:54" ht="36.75" customHeight="1">
      <c r="A732" s="30"/>
      <c r="B732" s="30" t="s">
        <v>55</v>
      </c>
      <c r="C732" s="69" t="str">
        <f t="shared" si="49"/>
        <v>Closed</v>
      </c>
      <c r="D732" s="27" t="s">
        <v>4169</v>
      </c>
      <c r="E732" s="29" t="s">
        <v>4170</v>
      </c>
      <c r="F732" s="30" t="s">
        <v>72</v>
      </c>
      <c r="G732" s="89">
        <f>DATE(2009,9,24)</f>
        <v>40080</v>
      </c>
      <c r="H732" s="90">
        <v>1.9375</v>
      </c>
      <c r="I732" s="30" t="s">
        <v>198</v>
      </c>
      <c r="J732" s="89" t="s">
        <v>4171</v>
      </c>
      <c r="K732" s="30" t="s">
        <v>75</v>
      </c>
      <c r="L732" s="30" t="s">
        <v>4172</v>
      </c>
      <c r="M732" s="30" t="s">
        <v>63</v>
      </c>
      <c r="N732" s="30" t="s">
        <v>89</v>
      </c>
      <c r="O732" s="30" t="s">
        <v>64</v>
      </c>
      <c r="P732" s="89" t="s">
        <v>78</v>
      </c>
      <c r="Q732" s="89" t="s">
        <v>4173</v>
      </c>
      <c r="R732" s="89" t="s">
        <v>80</v>
      </c>
      <c r="S732" s="30">
        <v>0</v>
      </c>
      <c r="T732" s="233">
        <v>1</v>
      </c>
      <c r="U732" s="30">
        <v>0</v>
      </c>
      <c r="V732" s="233">
        <v>0</v>
      </c>
      <c r="W732" s="30">
        <v>0</v>
      </c>
      <c r="X732" s="30">
        <v>1</v>
      </c>
      <c r="Y732" s="30">
        <v>0</v>
      </c>
      <c r="Z732" s="233">
        <v>1</v>
      </c>
      <c r="AA732" s="30">
        <v>0</v>
      </c>
      <c r="AB732" s="30">
        <v>0</v>
      </c>
      <c r="AC732" s="30">
        <v>0</v>
      </c>
      <c r="AD732" s="30">
        <v>1</v>
      </c>
      <c r="AE732" s="89" t="s">
        <v>68</v>
      </c>
      <c r="AF732" s="89"/>
      <c r="AG732" s="89" t="s">
        <v>82</v>
      </c>
      <c r="AH732" s="72">
        <v>40080</v>
      </c>
      <c r="AI732" s="30">
        <v>4</v>
      </c>
      <c r="AJ732" s="89" t="s">
        <v>4174</v>
      </c>
      <c r="AK732" s="89" t="s">
        <v>4175</v>
      </c>
      <c r="AL732" s="91">
        <v>40245</v>
      </c>
      <c r="AM732" s="91"/>
      <c r="AN732" s="91"/>
      <c r="AO732" s="91"/>
      <c r="AP732" s="73" t="e">
        <f>MID(VLOOKUP(K732,#REF!,2,FALSE),1,2)</f>
        <v>#REF!</v>
      </c>
      <c r="AQ732" s="89">
        <f>DATE(2009,9,24)</f>
        <v>40080</v>
      </c>
      <c r="AR732" s="82">
        <f t="shared" si="50"/>
        <v>24</v>
      </c>
      <c r="AS732" s="83">
        <f t="shared" si="51"/>
        <v>9</v>
      </c>
      <c r="AT732" s="84">
        <f t="shared" si="52"/>
        <v>2009</v>
      </c>
      <c r="AU732" s="86"/>
      <c r="AV732" s="86"/>
      <c r="AW732" s="87"/>
      <c r="AX732" s="86"/>
      <c r="AY732" s="83"/>
      <c r="AZ732" s="84"/>
      <c r="BA732" s="86"/>
      <c r="BB732" s="86"/>
    </row>
    <row r="733" spans="1:54" ht="36.75" customHeight="1">
      <c r="A733" s="30"/>
      <c r="B733" s="30" t="s">
        <v>55</v>
      </c>
      <c r="C733" s="69" t="str">
        <f t="shared" si="49"/>
        <v>Closed</v>
      </c>
      <c r="D733" s="27" t="s">
        <v>4176</v>
      </c>
      <c r="E733" s="29" t="s">
        <v>4177</v>
      </c>
      <c r="F733" s="30" t="s">
        <v>115</v>
      </c>
      <c r="G733" s="89">
        <f>DATE(2009,9,25)</f>
        <v>40081</v>
      </c>
      <c r="H733" s="90">
        <v>1.5319444444444446</v>
      </c>
      <c r="I733" s="30" t="s">
        <v>116</v>
      </c>
      <c r="J733" s="89" t="s">
        <v>4178</v>
      </c>
      <c r="K733" s="30" t="s">
        <v>118</v>
      </c>
      <c r="L733" s="30" t="s">
        <v>4179</v>
      </c>
      <c r="M733" s="30" t="s">
        <v>63</v>
      </c>
      <c r="N733" s="30">
        <v>0</v>
      </c>
      <c r="O733" s="30" t="s">
        <v>64</v>
      </c>
      <c r="P733" s="89" t="s">
        <v>78</v>
      </c>
      <c r="Q733" s="89" t="s">
        <v>120</v>
      </c>
      <c r="R733" s="89" t="s">
        <v>121</v>
      </c>
      <c r="S733" s="30">
        <v>0</v>
      </c>
      <c r="T733" s="233" t="s">
        <v>68</v>
      </c>
      <c r="U733" s="30">
        <v>0</v>
      </c>
      <c r="V733" s="233" t="s">
        <v>68</v>
      </c>
      <c r="W733" s="30">
        <v>0</v>
      </c>
      <c r="X733" s="30">
        <v>0</v>
      </c>
      <c r="Y733" s="30">
        <v>0</v>
      </c>
      <c r="Z733" s="233" t="s">
        <v>68</v>
      </c>
      <c r="AA733" s="30">
        <v>0</v>
      </c>
      <c r="AB733" s="30">
        <v>0</v>
      </c>
      <c r="AC733" s="30">
        <v>0</v>
      </c>
      <c r="AD733" s="30">
        <v>0</v>
      </c>
      <c r="AE733" s="89" t="s">
        <v>68</v>
      </c>
      <c r="AF733" s="89"/>
      <c r="AG733" s="89" t="s">
        <v>352</v>
      </c>
      <c r="AH733" s="72" t="s">
        <v>68</v>
      </c>
      <c r="AI733" s="30">
        <v>3</v>
      </c>
      <c r="AJ733" s="89" t="s">
        <v>68</v>
      </c>
      <c r="AK733" s="89" t="s">
        <v>68</v>
      </c>
      <c r="AL733" s="91">
        <v>40123</v>
      </c>
      <c r="AM733" s="91"/>
      <c r="AN733" s="91"/>
      <c r="AO733" s="91"/>
      <c r="AP733" s="73" t="e">
        <f>MID(VLOOKUP(K733,#REF!,2,FALSE),1,2)</f>
        <v>#REF!</v>
      </c>
      <c r="AQ733" s="89">
        <f>DATE(2009,9,25)</f>
        <v>40081</v>
      </c>
      <c r="AR733" s="82">
        <f t="shared" si="50"/>
        <v>25</v>
      </c>
      <c r="AS733" s="83">
        <f t="shared" si="51"/>
        <v>9</v>
      </c>
      <c r="AT733" s="84">
        <f t="shared" si="52"/>
        <v>2009</v>
      </c>
      <c r="AU733" s="86"/>
      <c r="AV733" s="86"/>
      <c r="AW733" s="87"/>
      <c r="AX733" s="86"/>
      <c r="AY733" s="83"/>
      <c r="AZ733" s="84"/>
      <c r="BA733" s="86"/>
      <c r="BB733" s="86"/>
    </row>
    <row r="734" spans="1:54" ht="36.75" customHeight="1">
      <c r="A734" s="30"/>
      <c r="B734" s="30" t="s">
        <v>55</v>
      </c>
      <c r="C734" s="69" t="str">
        <f t="shared" si="49"/>
        <v>Closed</v>
      </c>
      <c r="D734" s="27" t="s">
        <v>4180</v>
      </c>
      <c r="E734" s="29" t="s">
        <v>4181</v>
      </c>
      <c r="F734" s="30" t="s">
        <v>638</v>
      </c>
      <c r="G734" s="89">
        <f>DATE(2009,9,28)</f>
        <v>40084</v>
      </c>
      <c r="H734" s="90">
        <v>1.5659722222222223</v>
      </c>
      <c r="I734" s="30" t="s">
        <v>116</v>
      </c>
      <c r="J734" s="89" t="s">
        <v>4182</v>
      </c>
      <c r="K734" s="30" t="s">
        <v>640</v>
      </c>
      <c r="L734" s="30" t="s">
        <v>4183</v>
      </c>
      <c r="M734" s="30" t="s">
        <v>63</v>
      </c>
      <c r="N734" s="30">
        <v>0</v>
      </c>
      <c r="O734" s="30" t="s">
        <v>64</v>
      </c>
      <c r="P734" s="89" t="s">
        <v>165</v>
      </c>
      <c r="Q734" s="89" t="s">
        <v>3246</v>
      </c>
      <c r="R734" s="89" t="s">
        <v>3246</v>
      </c>
      <c r="S734" s="30">
        <v>0</v>
      </c>
      <c r="T734" s="233">
        <v>0</v>
      </c>
      <c r="U734" s="30">
        <v>1</v>
      </c>
      <c r="V734" s="233">
        <v>0</v>
      </c>
      <c r="W734" s="30">
        <v>0</v>
      </c>
      <c r="X734" s="30">
        <v>1</v>
      </c>
      <c r="Y734" s="30">
        <v>0</v>
      </c>
      <c r="Z734" s="233">
        <v>0</v>
      </c>
      <c r="AA734" s="30">
        <v>1</v>
      </c>
      <c r="AB734" s="30">
        <v>0</v>
      </c>
      <c r="AC734" s="30">
        <v>0</v>
      </c>
      <c r="AD734" s="30">
        <v>1</v>
      </c>
      <c r="AE734" s="89" t="s">
        <v>68</v>
      </c>
      <c r="AF734" s="89"/>
      <c r="AG734" s="89" t="s">
        <v>248</v>
      </c>
      <c r="AH734" s="72" t="s">
        <v>68</v>
      </c>
      <c r="AI734" s="30">
        <v>0</v>
      </c>
      <c r="AJ734" s="89" t="s">
        <v>4184</v>
      </c>
      <c r="AK734" s="89" t="s">
        <v>68</v>
      </c>
      <c r="AL734" s="91">
        <v>40147</v>
      </c>
      <c r="AM734" s="91"/>
      <c r="AN734" s="91"/>
      <c r="AO734" s="91"/>
      <c r="AP734" s="73" t="e">
        <f>MID(VLOOKUP(K734,#REF!,2,FALSE),1,2)</f>
        <v>#REF!</v>
      </c>
      <c r="AQ734" s="89">
        <f>DATE(2009,9,28)</f>
        <v>40084</v>
      </c>
      <c r="AR734" s="82">
        <f t="shared" si="50"/>
        <v>28</v>
      </c>
      <c r="AS734" s="83">
        <f t="shared" si="51"/>
        <v>9</v>
      </c>
      <c r="AT734" s="84">
        <f t="shared" si="52"/>
        <v>2009</v>
      </c>
      <c r="AU734" s="86"/>
      <c r="AV734" s="86"/>
      <c r="AW734" s="87"/>
      <c r="AX734" s="86"/>
      <c r="AY734" s="83"/>
      <c r="AZ734" s="84"/>
      <c r="BA734" s="86"/>
      <c r="BB734" s="86"/>
    </row>
    <row r="735" spans="1:54" ht="36.75" customHeight="1">
      <c r="A735" s="30"/>
      <c r="B735" s="30" t="s">
        <v>55</v>
      </c>
      <c r="C735" s="69" t="str">
        <f t="shared" si="49"/>
        <v>Closed</v>
      </c>
      <c r="D735" s="27" t="s">
        <v>4185</v>
      </c>
      <c r="E735" s="29" t="s">
        <v>4186</v>
      </c>
      <c r="F735" s="30" t="s">
        <v>233</v>
      </c>
      <c r="G735" s="89">
        <f>DATE(2009,9,28)</f>
        <v>40084</v>
      </c>
      <c r="H735" s="90">
        <v>1.7013888888888888</v>
      </c>
      <c r="I735" s="30" t="s">
        <v>73</v>
      </c>
      <c r="J735" s="89" t="s">
        <v>4187</v>
      </c>
      <c r="K735" s="30" t="s">
        <v>235</v>
      </c>
      <c r="L735" s="30" t="s">
        <v>4188</v>
      </c>
      <c r="M735" s="30" t="s">
        <v>63</v>
      </c>
      <c r="N735" s="30">
        <v>0</v>
      </c>
      <c r="O735" s="30" t="s">
        <v>64</v>
      </c>
      <c r="P735" s="89" t="s">
        <v>165</v>
      </c>
      <c r="Q735" s="89" t="s">
        <v>4189</v>
      </c>
      <c r="R735" s="89" t="s">
        <v>4189</v>
      </c>
      <c r="S735" s="30">
        <v>0</v>
      </c>
      <c r="T735" s="233" t="s">
        <v>68</v>
      </c>
      <c r="U735" s="30">
        <v>0</v>
      </c>
      <c r="V735" s="233" t="s">
        <v>68</v>
      </c>
      <c r="W735" s="30">
        <v>0</v>
      </c>
      <c r="X735" s="30">
        <v>0</v>
      </c>
      <c r="Y735" s="30">
        <v>0</v>
      </c>
      <c r="Z735" s="233" t="s">
        <v>68</v>
      </c>
      <c r="AA735" s="30">
        <v>0</v>
      </c>
      <c r="AB735" s="30">
        <v>0</v>
      </c>
      <c r="AC735" s="30">
        <v>0</v>
      </c>
      <c r="AD735" s="30">
        <v>0</v>
      </c>
      <c r="AE735" s="89" t="s">
        <v>68</v>
      </c>
      <c r="AF735" s="89"/>
      <c r="AG735" s="89" t="s">
        <v>248</v>
      </c>
      <c r="AH735" s="72" t="s">
        <v>68</v>
      </c>
      <c r="AI735" s="30">
        <v>5</v>
      </c>
      <c r="AJ735" s="89" t="s">
        <v>4190</v>
      </c>
      <c r="AK735" s="89" t="s">
        <v>4191</v>
      </c>
      <c r="AL735" s="91">
        <v>40101</v>
      </c>
      <c r="AM735" s="91"/>
      <c r="AN735" s="91"/>
      <c r="AO735" s="91"/>
      <c r="AP735" s="73" t="e">
        <f>MID(VLOOKUP(K735,#REF!,2,FALSE),1,2)</f>
        <v>#REF!</v>
      </c>
      <c r="AQ735" s="89">
        <f>DATE(2009,9,28)</f>
        <v>40084</v>
      </c>
      <c r="AR735" s="82">
        <f t="shared" si="50"/>
        <v>28</v>
      </c>
      <c r="AS735" s="83">
        <f t="shared" si="51"/>
        <v>9</v>
      </c>
      <c r="AT735" s="84">
        <f t="shared" si="52"/>
        <v>2009</v>
      </c>
      <c r="AU735" s="86"/>
      <c r="AV735" s="86"/>
      <c r="AW735" s="87"/>
      <c r="AX735" s="86"/>
      <c r="AY735" s="83"/>
      <c r="AZ735" s="84"/>
      <c r="BA735" s="86"/>
      <c r="BB735" s="86"/>
    </row>
    <row r="736" spans="1:54" ht="36.75" customHeight="1">
      <c r="A736" s="30"/>
      <c r="B736" s="30" t="s">
        <v>55</v>
      </c>
      <c r="C736" s="69" t="str">
        <f t="shared" si="49"/>
        <v>Closed</v>
      </c>
      <c r="D736" s="27" t="s">
        <v>4192</v>
      </c>
      <c r="E736" s="29" t="s">
        <v>4193</v>
      </c>
      <c r="F736" s="30" t="s">
        <v>233</v>
      </c>
      <c r="G736" s="89">
        <f>DATE(2009,9,29)</f>
        <v>40085</v>
      </c>
      <c r="H736" s="90">
        <v>1.5874999999999999</v>
      </c>
      <c r="I736" s="30" t="s">
        <v>116</v>
      </c>
      <c r="J736" s="89" t="s">
        <v>4194</v>
      </c>
      <c r="K736" s="30" t="s">
        <v>235</v>
      </c>
      <c r="L736" s="30" t="s">
        <v>4195</v>
      </c>
      <c r="M736" s="30" t="s">
        <v>63</v>
      </c>
      <c r="N736" s="30">
        <v>0</v>
      </c>
      <c r="O736" s="30" t="s">
        <v>64</v>
      </c>
      <c r="P736" s="89" t="s">
        <v>165</v>
      </c>
      <c r="Q736" s="89" t="s">
        <v>4196</v>
      </c>
      <c r="R736" s="89" t="s">
        <v>238</v>
      </c>
      <c r="S736" s="30">
        <v>0</v>
      </c>
      <c r="T736" s="233">
        <v>0</v>
      </c>
      <c r="U736" s="30">
        <v>3</v>
      </c>
      <c r="V736" s="233">
        <v>0</v>
      </c>
      <c r="W736" s="30">
        <v>0</v>
      </c>
      <c r="X736" s="30">
        <v>3</v>
      </c>
      <c r="Y736" s="30">
        <v>0</v>
      </c>
      <c r="Z736" s="233">
        <v>0</v>
      </c>
      <c r="AA736" s="30">
        <v>0</v>
      </c>
      <c r="AB736" s="30">
        <v>0</v>
      </c>
      <c r="AC736" s="30">
        <v>0</v>
      </c>
      <c r="AD736" s="30">
        <v>0</v>
      </c>
      <c r="AE736" s="89" t="s">
        <v>68</v>
      </c>
      <c r="AF736" s="89"/>
      <c r="AG736" s="89" t="s">
        <v>82</v>
      </c>
      <c r="AH736" s="72" t="s">
        <v>68</v>
      </c>
      <c r="AI736" s="30">
        <v>6</v>
      </c>
      <c r="AJ736" s="89" t="s">
        <v>4197</v>
      </c>
      <c r="AK736" s="89" t="s">
        <v>4198</v>
      </c>
      <c r="AL736" s="91">
        <v>40095</v>
      </c>
      <c r="AM736" s="91"/>
      <c r="AN736" s="91"/>
      <c r="AO736" s="91"/>
      <c r="AP736" s="73" t="e">
        <f>MID(VLOOKUP(K736,#REF!,2,FALSE),1,2)</f>
        <v>#REF!</v>
      </c>
      <c r="AQ736" s="89">
        <f>DATE(2009,9,29)</f>
        <v>40085</v>
      </c>
      <c r="AR736" s="82">
        <f t="shared" si="50"/>
        <v>29</v>
      </c>
      <c r="AS736" s="83">
        <f t="shared" si="51"/>
        <v>9</v>
      </c>
      <c r="AT736" s="84">
        <f t="shared" si="52"/>
        <v>2009</v>
      </c>
      <c r="AU736" s="86"/>
      <c r="AV736" s="86"/>
      <c r="AW736" s="87"/>
      <c r="AX736" s="86"/>
      <c r="AY736" s="83"/>
      <c r="AZ736" s="84"/>
      <c r="BA736" s="86"/>
      <c r="BB736" s="86"/>
    </row>
    <row r="737" spans="1:54" ht="36.75" customHeight="1">
      <c r="A737" s="30"/>
      <c r="B737" s="30" t="s">
        <v>55</v>
      </c>
      <c r="C737" s="69" t="str">
        <f t="shared" si="49"/>
        <v>Closed</v>
      </c>
      <c r="D737" s="27" t="s">
        <v>4199</v>
      </c>
      <c r="E737" s="29" t="s">
        <v>4200</v>
      </c>
      <c r="F737" s="30" t="s">
        <v>58</v>
      </c>
      <c r="G737" s="89">
        <f>DATE(2009,10,1)</f>
        <v>40087</v>
      </c>
      <c r="H737" s="90">
        <v>1.5201388888888889</v>
      </c>
      <c r="I737" s="30" t="s">
        <v>86</v>
      </c>
      <c r="J737" s="89" t="s">
        <v>4201</v>
      </c>
      <c r="K737" s="30" t="s">
        <v>61</v>
      </c>
      <c r="L737" s="30" t="s">
        <v>4202</v>
      </c>
      <c r="M737" s="30" t="s">
        <v>63</v>
      </c>
      <c r="N737" s="30" t="s">
        <v>142</v>
      </c>
      <c r="O737" s="30" t="s">
        <v>77</v>
      </c>
      <c r="P737" s="89" t="s">
        <v>553</v>
      </c>
      <c r="Q737" s="89" t="s">
        <v>4203</v>
      </c>
      <c r="R737" s="89" t="s">
        <v>67</v>
      </c>
      <c r="S737" s="30">
        <v>0</v>
      </c>
      <c r="T737" s="233">
        <v>0</v>
      </c>
      <c r="U737" s="30">
        <v>0</v>
      </c>
      <c r="V737" s="233">
        <v>0</v>
      </c>
      <c r="W737" s="30">
        <v>0</v>
      </c>
      <c r="X737" s="30">
        <v>0</v>
      </c>
      <c r="Y737" s="30">
        <v>0</v>
      </c>
      <c r="Z737" s="233">
        <v>0</v>
      </c>
      <c r="AA737" s="30">
        <v>0</v>
      </c>
      <c r="AB737" s="30">
        <v>0</v>
      </c>
      <c r="AC737" s="30">
        <v>0</v>
      </c>
      <c r="AD737" s="30">
        <v>0</v>
      </c>
      <c r="AE737" s="89" t="s">
        <v>92</v>
      </c>
      <c r="AF737" s="89"/>
      <c r="AG737" s="89" t="s">
        <v>69</v>
      </c>
      <c r="AH737" s="72">
        <v>40088</v>
      </c>
      <c r="AI737" s="30">
        <v>1</v>
      </c>
      <c r="AJ737" s="89" t="s">
        <v>4204</v>
      </c>
      <c r="AK737" s="89" t="s">
        <v>4205</v>
      </c>
      <c r="AL737" s="91">
        <v>40115</v>
      </c>
      <c r="AM737" s="91"/>
      <c r="AN737" s="91"/>
      <c r="AO737" s="91"/>
      <c r="AP737" s="73" t="e">
        <f>MID(VLOOKUP(K737,#REF!,2,FALSE),1,2)</f>
        <v>#REF!</v>
      </c>
      <c r="AQ737" s="89">
        <f>DATE(2009,10,1)</f>
        <v>40087</v>
      </c>
      <c r="AR737" s="82">
        <f t="shared" si="50"/>
        <v>1</v>
      </c>
      <c r="AS737" s="83">
        <f t="shared" si="51"/>
        <v>10</v>
      </c>
      <c r="AT737" s="84">
        <f t="shared" si="52"/>
        <v>2009</v>
      </c>
      <c r="AU737" s="86"/>
      <c r="AV737" s="86"/>
      <c r="AW737" s="87"/>
      <c r="AX737" s="86"/>
      <c r="AY737" s="83"/>
      <c r="AZ737" s="84"/>
      <c r="BA737" s="86"/>
      <c r="BB737" s="86"/>
    </row>
    <row r="738" spans="1:54" ht="36.75" customHeight="1">
      <c r="A738" s="30"/>
      <c r="B738" s="30" t="s">
        <v>55</v>
      </c>
      <c r="C738" s="69" t="str">
        <f t="shared" si="49"/>
        <v>Closed</v>
      </c>
      <c r="D738" s="27" t="s">
        <v>4206</v>
      </c>
      <c r="E738" s="29" t="s">
        <v>4207</v>
      </c>
      <c r="F738" s="30" t="s">
        <v>835</v>
      </c>
      <c r="G738" s="89">
        <f>DATE(2009,10,4)</f>
        <v>40090</v>
      </c>
      <c r="H738" s="90">
        <v>1.4784722222222222</v>
      </c>
      <c r="I738" s="30" t="s">
        <v>116</v>
      </c>
      <c r="J738" s="89" t="s">
        <v>4208</v>
      </c>
      <c r="K738" s="30" t="s">
        <v>837</v>
      </c>
      <c r="L738" s="30" t="s">
        <v>4209</v>
      </c>
      <c r="M738" s="30" t="s">
        <v>63</v>
      </c>
      <c r="N738" s="30">
        <v>0</v>
      </c>
      <c r="O738" s="30" t="s">
        <v>64</v>
      </c>
      <c r="P738" s="89" t="s">
        <v>165</v>
      </c>
      <c r="Q738" s="89" t="s">
        <v>4210</v>
      </c>
      <c r="R738" s="89" t="s">
        <v>4210</v>
      </c>
      <c r="S738" s="30">
        <v>0</v>
      </c>
      <c r="T738" s="233">
        <v>0</v>
      </c>
      <c r="U738" s="30">
        <v>0</v>
      </c>
      <c r="V738" s="233">
        <v>0</v>
      </c>
      <c r="W738" s="30">
        <v>0</v>
      </c>
      <c r="X738" s="30">
        <v>0</v>
      </c>
      <c r="Y738" s="30">
        <v>0</v>
      </c>
      <c r="Z738" s="233">
        <v>0</v>
      </c>
      <c r="AA738" s="30">
        <v>0</v>
      </c>
      <c r="AB738" s="30">
        <v>0</v>
      </c>
      <c r="AC738" s="30">
        <v>0</v>
      </c>
      <c r="AD738" s="30">
        <v>0</v>
      </c>
      <c r="AE738" s="89" t="s">
        <v>68</v>
      </c>
      <c r="AF738" s="89"/>
      <c r="AG738" s="89" t="s">
        <v>352</v>
      </c>
      <c r="AH738" s="72" t="s">
        <v>68</v>
      </c>
      <c r="AI738" s="30">
        <v>1</v>
      </c>
      <c r="AJ738" s="89" t="s">
        <v>68</v>
      </c>
      <c r="AK738" s="89" t="s">
        <v>68</v>
      </c>
      <c r="AL738" s="91">
        <v>40262</v>
      </c>
      <c r="AM738" s="91"/>
      <c r="AN738" s="91"/>
      <c r="AO738" s="91"/>
      <c r="AP738" s="73" t="e">
        <f>MID(VLOOKUP(K738,#REF!,2,FALSE),1,2)</f>
        <v>#REF!</v>
      </c>
      <c r="AQ738" s="89">
        <f>DATE(2009,10,4)</f>
        <v>40090</v>
      </c>
      <c r="AR738" s="82">
        <f t="shared" si="50"/>
        <v>4</v>
      </c>
      <c r="AS738" s="83">
        <f t="shared" si="51"/>
        <v>10</v>
      </c>
      <c r="AT738" s="84">
        <f t="shared" si="52"/>
        <v>2009</v>
      </c>
      <c r="AU738" s="86"/>
      <c r="AV738" s="86"/>
      <c r="AW738" s="87"/>
      <c r="AX738" s="86"/>
      <c r="AY738" s="83"/>
      <c r="AZ738" s="84"/>
      <c r="BA738" s="86"/>
      <c r="BB738" s="86"/>
    </row>
    <row r="739" spans="1:54" ht="36.75" customHeight="1">
      <c r="A739" s="30"/>
      <c r="B739" s="30" t="s">
        <v>55</v>
      </c>
      <c r="C739" s="69" t="str">
        <f t="shared" si="49"/>
        <v>Closed</v>
      </c>
      <c r="D739" s="27" t="s">
        <v>4211</v>
      </c>
      <c r="E739" s="29" t="s">
        <v>4212</v>
      </c>
      <c r="F739" s="30" t="s">
        <v>638</v>
      </c>
      <c r="G739" s="89">
        <f>DATE(2009,10,8)</f>
        <v>40094</v>
      </c>
      <c r="H739" s="90">
        <v>1.7756944444444445</v>
      </c>
      <c r="I739" s="30" t="s">
        <v>116</v>
      </c>
      <c r="J739" s="89" t="s">
        <v>4213</v>
      </c>
      <c r="K739" s="30" t="s">
        <v>640</v>
      </c>
      <c r="L739" s="30" t="s">
        <v>4214</v>
      </c>
      <c r="M739" s="30" t="s">
        <v>63</v>
      </c>
      <c r="N739" s="30">
        <v>0</v>
      </c>
      <c r="O739" s="30" t="s">
        <v>77</v>
      </c>
      <c r="P739" s="89" t="s">
        <v>78</v>
      </c>
      <c r="Q739" s="89" t="s">
        <v>642</v>
      </c>
      <c r="R739" s="89" t="s">
        <v>643</v>
      </c>
      <c r="S739" s="30">
        <v>0</v>
      </c>
      <c r="T739" s="233">
        <v>0</v>
      </c>
      <c r="U739" s="30">
        <v>1</v>
      </c>
      <c r="V739" s="233">
        <v>0</v>
      </c>
      <c r="W739" s="30">
        <v>0</v>
      </c>
      <c r="X739" s="30">
        <v>1</v>
      </c>
      <c r="Y739" s="30">
        <v>0</v>
      </c>
      <c r="Z739" s="233">
        <v>0</v>
      </c>
      <c r="AA739" s="30">
        <v>0</v>
      </c>
      <c r="AB739" s="30">
        <v>0</v>
      </c>
      <c r="AC739" s="30">
        <v>0</v>
      </c>
      <c r="AD739" s="30">
        <v>0</v>
      </c>
      <c r="AE739" s="89" t="s">
        <v>68</v>
      </c>
      <c r="AF739" s="89"/>
      <c r="AG739" s="89" t="s">
        <v>248</v>
      </c>
      <c r="AH739" s="72" t="s">
        <v>68</v>
      </c>
      <c r="AI739" s="30">
        <v>1</v>
      </c>
      <c r="AJ739" s="89" t="s">
        <v>68</v>
      </c>
      <c r="AK739" s="89" t="s">
        <v>68</v>
      </c>
      <c r="AL739" s="91">
        <v>40147</v>
      </c>
      <c r="AM739" s="91"/>
      <c r="AN739" s="91"/>
      <c r="AO739" s="91"/>
      <c r="AP739" s="73" t="e">
        <f>MID(VLOOKUP(K739,#REF!,2,FALSE),1,2)</f>
        <v>#REF!</v>
      </c>
      <c r="AQ739" s="89">
        <f>DATE(2009,10,8)</f>
        <v>40094</v>
      </c>
      <c r="AR739" s="82">
        <f t="shared" si="50"/>
        <v>8</v>
      </c>
      <c r="AS739" s="83">
        <f t="shared" si="51"/>
        <v>10</v>
      </c>
      <c r="AT739" s="84">
        <f t="shared" si="52"/>
        <v>2009</v>
      </c>
      <c r="AU739" s="86"/>
      <c r="AV739" s="86"/>
      <c r="AW739" s="87"/>
      <c r="AX739" s="86"/>
      <c r="AY739" s="83"/>
      <c r="AZ739" s="84"/>
      <c r="BA739" s="86"/>
      <c r="BB739" s="86"/>
    </row>
    <row r="740" spans="1:54" ht="36.75" customHeight="1">
      <c r="A740" s="30"/>
      <c r="B740" s="30" t="s">
        <v>55</v>
      </c>
      <c r="C740" s="69" t="str">
        <f t="shared" si="49"/>
        <v>Closed</v>
      </c>
      <c r="D740" s="27" t="s">
        <v>4215</v>
      </c>
      <c r="E740" s="29" t="s">
        <v>4216</v>
      </c>
      <c r="F740" s="30" t="s">
        <v>451</v>
      </c>
      <c r="G740" s="89">
        <f>DATE(2009,10,10)</f>
        <v>40096</v>
      </c>
      <c r="H740" s="90">
        <v>1.0173611111111112</v>
      </c>
      <c r="I740" s="30" t="s">
        <v>125</v>
      </c>
      <c r="J740" s="89" t="s">
        <v>4217</v>
      </c>
      <c r="K740" s="30" t="s">
        <v>453</v>
      </c>
      <c r="L740" s="30" t="s">
        <v>4218</v>
      </c>
      <c r="M740" s="30" t="s">
        <v>63</v>
      </c>
      <c r="N740" s="30" t="s">
        <v>99</v>
      </c>
      <c r="O740" s="30" t="s">
        <v>64</v>
      </c>
      <c r="P740" s="89" t="s">
        <v>65</v>
      </c>
      <c r="Q740" s="89" t="s">
        <v>571</v>
      </c>
      <c r="R740" s="89" t="s">
        <v>572</v>
      </c>
      <c r="S740" s="30">
        <v>0</v>
      </c>
      <c r="T740" s="233">
        <v>0</v>
      </c>
      <c r="U740" s="30">
        <v>0</v>
      </c>
      <c r="V740" s="233">
        <v>0</v>
      </c>
      <c r="W740" s="30">
        <v>0</v>
      </c>
      <c r="X740" s="30">
        <v>0</v>
      </c>
      <c r="Y740" s="30">
        <v>0</v>
      </c>
      <c r="Z740" s="233">
        <v>0</v>
      </c>
      <c r="AA740" s="30">
        <v>0</v>
      </c>
      <c r="AB740" s="30">
        <v>0</v>
      </c>
      <c r="AC740" s="30">
        <v>0</v>
      </c>
      <c r="AD740" s="30">
        <v>0</v>
      </c>
      <c r="AE740" s="89" t="s">
        <v>394</v>
      </c>
      <c r="AF740" s="89"/>
      <c r="AG740" s="89" t="s">
        <v>352</v>
      </c>
      <c r="AH740" s="72">
        <v>40121</v>
      </c>
      <c r="AI740" s="30">
        <v>1</v>
      </c>
      <c r="AJ740" s="89" t="s">
        <v>4219</v>
      </c>
      <c r="AK740" s="89" t="s">
        <v>4220</v>
      </c>
      <c r="AL740" s="91">
        <v>40445</v>
      </c>
      <c r="AM740" s="91"/>
      <c r="AN740" s="91"/>
      <c r="AO740" s="91"/>
      <c r="AP740" s="73" t="e">
        <f>MID(VLOOKUP(K740,#REF!,2,FALSE),1,2)</f>
        <v>#REF!</v>
      </c>
      <c r="AQ740" s="89">
        <f>DATE(2009,10,10)</f>
        <v>40096</v>
      </c>
      <c r="AR740" s="82">
        <f t="shared" si="50"/>
        <v>10</v>
      </c>
      <c r="AS740" s="83">
        <f t="shared" si="51"/>
        <v>10</v>
      </c>
      <c r="AT740" s="84">
        <f t="shared" si="52"/>
        <v>2009</v>
      </c>
      <c r="AU740" s="86"/>
      <c r="AV740" s="86"/>
      <c r="AW740" s="87"/>
      <c r="AX740" s="86"/>
      <c r="AY740" s="83"/>
      <c r="AZ740" s="84"/>
      <c r="BA740" s="86"/>
      <c r="BB740" s="86"/>
    </row>
    <row r="741" spans="1:54" ht="36.75" customHeight="1">
      <c r="A741" s="30"/>
      <c r="B741" s="30" t="s">
        <v>55</v>
      </c>
      <c r="C741" s="69" t="str">
        <f t="shared" si="49"/>
        <v>Closed</v>
      </c>
      <c r="D741" s="27" t="s">
        <v>4221</v>
      </c>
      <c r="E741" s="29" t="s">
        <v>4222</v>
      </c>
      <c r="F741" s="30" t="s">
        <v>233</v>
      </c>
      <c r="G741" s="89">
        <f>DATE(2009,10,11)</f>
        <v>40097</v>
      </c>
      <c r="H741" s="90">
        <v>1.5993055555555555</v>
      </c>
      <c r="I741" s="30" t="s">
        <v>73</v>
      </c>
      <c r="J741" s="89" t="s">
        <v>4223</v>
      </c>
      <c r="K741" s="30" t="s">
        <v>235</v>
      </c>
      <c r="L741" s="30" t="s">
        <v>4224</v>
      </c>
      <c r="M741" s="30" t="s">
        <v>63</v>
      </c>
      <c r="N741" s="30">
        <v>0</v>
      </c>
      <c r="O741" s="30" t="s">
        <v>77</v>
      </c>
      <c r="P741" s="89" t="s">
        <v>165</v>
      </c>
      <c r="Q741" s="89" t="s">
        <v>4225</v>
      </c>
      <c r="R741" s="89" t="s">
        <v>238</v>
      </c>
      <c r="S741" s="30">
        <v>0</v>
      </c>
      <c r="T741" s="233" t="s">
        <v>68</v>
      </c>
      <c r="U741" s="30">
        <v>0</v>
      </c>
      <c r="V741" s="233" t="s">
        <v>68</v>
      </c>
      <c r="W741" s="30">
        <v>0</v>
      </c>
      <c r="X741" s="30">
        <v>0</v>
      </c>
      <c r="Y741" s="30">
        <v>0</v>
      </c>
      <c r="Z741" s="233" t="s">
        <v>68</v>
      </c>
      <c r="AA741" s="30">
        <v>0</v>
      </c>
      <c r="AB741" s="30">
        <v>0</v>
      </c>
      <c r="AC741" s="30">
        <v>0</v>
      </c>
      <c r="AD741" s="30">
        <v>0</v>
      </c>
      <c r="AE741" s="89" t="s">
        <v>68</v>
      </c>
      <c r="AF741" s="89"/>
      <c r="AG741" s="89" t="s">
        <v>248</v>
      </c>
      <c r="AH741" s="72" t="s">
        <v>68</v>
      </c>
      <c r="AI741" s="30">
        <v>3</v>
      </c>
      <c r="AJ741" s="89" t="s">
        <v>4226</v>
      </c>
      <c r="AK741" s="89" t="s">
        <v>4227</v>
      </c>
      <c r="AL741" s="91">
        <v>40101</v>
      </c>
      <c r="AM741" s="91"/>
      <c r="AN741" s="91"/>
      <c r="AO741" s="91"/>
      <c r="AP741" s="73" t="e">
        <f>MID(VLOOKUP(K741,#REF!,2,FALSE),1,2)</f>
        <v>#REF!</v>
      </c>
      <c r="AQ741" s="89">
        <f>DATE(2009,10,11)</f>
        <v>40097</v>
      </c>
      <c r="AR741" s="82">
        <f t="shared" si="50"/>
        <v>11</v>
      </c>
      <c r="AS741" s="83">
        <f t="shared" si="51"/>
        <v>10</v>
      </c>
      <c r="AT741" s="84">
        <f t="shared" si="52"/>
        <v>2009</v>
      </c>
      <c r="AU741" s="86"/>
      <c r="AV741" s="86"/>
      <c r="AW741" s="87"/>
      <c r="AX741" s="86"/>
      <c r="AY741" s="83"/>
      <c r="AZ741" s="84"/>
      <c r="BA741" s="86"/>
      <c r="BB741" s="86"/>
    </row>
    <row r="742" spans="1:54" ht="36.75" customHeight="1">
      <c r="A742" s="30"/>
      <c r="B742" s="30" t="s">
        <v>55</v>
      </c>
      <c r="C742" s="69" t="str">
        <f t="shared" si="49"/>
        <v>Closed</v>
      </c>
      <c r="D742" s="27" t="s">
        <v>4228</v>
      </c>
      <c r="E742" s="29" t="s">
        <v>4229</v>
      </c>
      <c r="F742" s="30" t="s">
        <v>124</v>
      </c>
      <c r="G742" s="89">
        <f>DATE(2009,10,12)</f>
        <v>40098</v>
      </c>
      <c r="H742" s="90">
        <v>1.7326388888888888</v>
      </c>
      <c r="I742" s="30" t="s">
        <v>73</v>
      </c>
      <c r="J742" s="89" t="s">
        <v>4230</v>
      </c>
      <c r="K742" s="30" t="s">
        <v>127</v>
      </c>
      <c r="L742" s="30" t="s">
        <v>4231</v>
      </c>
      <c r="M742" s="30" t="s">
        <v>63</v>
      </c>
      <c r="N742" s="30">
        <v>0</v>
      </c>
      <c r="O742" s="30" t="s">
        <v>77</v>
      </c>
      <c r="P742" s="89" t="s">
        <v>78</v>
      </c>
      <c r="Q742" s="89" t="s">
        <v>4232</v>
      </c>
      <c r="R742" s="89" t="s">
        <v>167</v>
      </c>
      <c r="S742" s="30">
        <v>0</v>
      </c>
      <c r="T742" s="233" t="s">
        <v>68</v>
      </c>
      <c r="U742" s="30">
        <v>0</v>
      </c>
      <c r="V742" s="233" t="s">
        <v>68</v>
      </c>
      <c r="W742" s="30">
        <v>0</v>
      </c>
      <c r="X742" s="30">
        <v>0</v>
      </c>
      <c r="Y742" s="30">
        <v>0</v>
      </c>
      <c r="Z742" s="233" t="s">
        <v>68</v>
      </c>
      <c r="AA742" s="30">
        <v>0</v>
      </c>
      <c r="AB742" s="30">
        <v>0</v>
      </c>
      <c r="AC742" s="30">
        <v>0</v>
      </c>
      <c r="AD742" s="30">
        <v>0</v>
      </c>
      <c r="AE742" s="89" t="s">
        <v>68</v>
      </c>
      <c r="AF742" s="89"/>
      <c r="AG742" s="89" t="s">
        <v>82</v>
      </c>
      <c r="AH742" s="72" t="s">
        <v>68</v>
      </c>
      <c r="AI742" s="30">
        <v>0</v>
      </c>
      <c r="AJ742" s="89" t="s">
        <v>68</v>
      </c>
      <c r="AK742" s="89" t="s">
        <v>68</v>
      </c>
      <c r="AL742" s="91">
        <v>40122</v>
      </c>
      <c r="AM742" s="91"/>
      <c r="AN742" s="91"/>
      <c r="AO742" s="91"/>
      <c r="AP742" s="73" t="e">
        <f>MID(VLOOKUP(K742,#REF!,2,FALSE),1,2)</f>
        <v>#REF!</v>
      </c>
      <c r="AQ742" s="89">
        <f>DATE(2009,10,12)</f>
        <v>40098</v>
      </c>
      <c r="AR742" s="82">
        <f t="shared" si="50"/>
        <v>12</v>
      </c>
      <c r="AS742" s="83">
        <f t="shared" si="51"/>
        <v>10</v>
      </c>
      <c r="AT742" s="84">
        <f t="shared" si="52"/>
        <v>2009</v>
      </c>
      <c r="AU742" s="86"/>
      <c r="AV742" s="86"/>
      <c r="AW742" s="87"/>
      <c r="AX742" s="86"/>
      <c r="AY742" s="83"/>
      <c r="AZ742" s="84"/>
      <c r="BA742" s="86"/>
      <c r="BB742" s="86"/>
    </row>
    <row r="743" spans="1:54" ht="36.75" customHeight="1">
      <c r="A743" s="30"/>
      <c r="B743" s="30" t="s">
        <v>55</v>
      </c>
      <c r="C743" s="69" t="str">
        <f t="shared" si="49"/>
        <v>Closed</v>
      </c>
      <c r="D743" s="27" t="s">
        <v>4233</v>
      </c>
      <c r="E743" s="29" t="s">
        <v>4234</v>
      </c>
      <c r="F743" s="30" t="s">
        <v>423</v>
      </c>
      <c r="G743" s="89">
        <f>DATE(2009,10,16)</f>
        <v>40102</v>
      </c>
      <c r="H743" s="90">
        <v>1.9486111111111111</v>
      </c>
      <c r="I743" s="30" t="s">
        <v>198</v>
      </c>
      <c r="J743" s="89" t="s">
        <v>4235</v>
      </c>
      <c r="K743" s="30" t="s">
        <v>425</v>
      </c>
      <c r="L743" s="30" t="s">
        <v>4236</v>
      </c>
      <c r="M743" s="30" t="s">
        <v>63</v>
      </c>
      <c r="N743" s="30">
        <v>0</v>
      </c>
      <c r="O743" s="30" t="s">
        <v>77</v>
      </c>
      <c r="P743" s="89" t="s">
        <v>78</v>
      </c>
      <c r="Q743" s="89" t="s">
        <v>2582</v>
      </c>
      <c r="R743" s="89" t="s">
        <v>3103</v>
      </c>
      <c r="S743" s="30">
        <v>0</v>
      </c>
      <c r="T743" s="233" t="s">
        <v>68</v>
      </c>
      <c r="U743" s="30">
        <v>0</v>
      </c>
      <c r="V743" s="233" t="s">
        <v>68</v>
      </c>
      <c r="W743" s="30">
        <v>0</v>
      </c>
      <c r="X743" s="30">
        <v>0</v>
      </c>
      <c r="Y743" s="30">
        <v>0</v>
      </c>
      <c r="Z743" s="233" t="s">
        <v>68</v>
      </c>
      <c r="AA743" s="30">
        <v>0</v>
      </c>
      <c r="AB743" s="30">
        <v>0</v>
      </c>
      <c r="AC743" s="30">
        <v>0</v>
      </c>
      <c r="AD743" s="30">
        <v>0</v>
      </c>
      <c r="AE743" s="89" t="s">
        <v>68</v>
      </c>
      <c r="AF743" s="89"/>
      <c r="AG743" s="89" t="s">
        <v>133</v>
      </c>
      <c r="AH743" s="72" t="s">
        <v>68</v>
      </c>
      <c r="AI743" s="30">
        <v>4</v>
      </c>
      <c r="AJ743" s="89" t="s">
        <v>4237</v>
      </c>
      <c r="AK743" s="89" t="s">
        <v>2348</v>
      </c>
      <c r="AL743" s="91">
        <v>40120</v>
      </c>
      <c r="AM743" s="91"/>
      <c r="AN743" s="91"/>
      <c r="AO743" s="91"/>
      <c r="AP743" s="73" t="e">
        <f>MID(VLOOKUP(K743,#REF!,2,FALSE),1,2)</f>
        <v>#REF!</v>
      </c>
      <c r="AQ743" s="89">
        <f>DATE(2009,10,16)</f>
        <v>40102</v>
      </c>
      <c r="AR743" s="82">
        <f t="shared" si="50"/>
        <v>16</v>
      </c>
      <c r="AS743" s="83">
        <f t="shared" si="51"/>
        <v>10</v>
      </c>
      <c r="AT743" s="84">
        <f t="shared" si="52"/>
        <v>2009</v>
      </c>
      <c r="AU743" s="86"/>
      <c r="AV743" s="86"/>
      <c r="AW743" s="87"/>
      <c r="AX743" s="86"/>
      <c r="AY743" s="83"/>
      <c r="AZ743" s="84"/>
      <c r="BA743" s="86"/>
      <c r="BB743" s="86"/>
    </row>
    <row r="744" spans="1:54" ht="36.75" customHeight="1">
      <c r="A744" s="30"/>
      <c r="B744" s="30" t="s">
        <v>55</v>
      </c>
      <c r="C744" s="69" t="str">
        <f t="shared" si="49"/>
        <v>Closed</v>
      </c>
      <c r="D744" s="27" t="s">
        <v>4238</v>
      </c>
      <c r="E744" s="29" t="s">
        <v>4239</v>
      </c>
      <c r="F744" s="30" t="s">
        <v>638</v>
      </c>
      <c r="G744" s="89">
        <f>DATE(2009,10,16)</f>
        <v>40102</v>
      </c>
      <c r="H744" s="90">
        <v>1.4715277777777778</v>
      </c>
      <c r="I744" s="30" t="s">
        <v>116</v>
      </c>
      <c r="J744" s="89" t="s">
        <v>4240</v>
      </c>
      <c r="K744" s="30" t="s">
        <v>640</v>
      </c>
      <c r="L744" s="30" t="s">
        <v>4241</v>
      </c>
      <c r="M744" s="30" t="s">
        <v>63</v>
      </c>
      <c r="N744" s="30">
        <v>0</v>
      </c>
      <c r="O744" s="30" t="s">
        <v>77</v>
      </c>
      <c r="P744" s="89" t="s">
        <v>165</v>
      </c>
      <c r="Q744" s="89" t="s">
        <v>642</v>
      </c>
      <c r="R744" s="89" t="s">
        <v>643</v>
      </c>
      <c r="S744" s="30">
        <v>0</v>
      </c>
      <c r="T744" s="233">
        <v>0</v>
      </c>
      <c r="U744" s="30">
        <v>1</v>
      </c>
      <c r="V744" s="233">
        <v>0</v>
      </c>
      <c r="W744" s="30">
        <v>0</v>
      </c>
      <c r="X744" s="30">
        <v>1</v>
      </c>
      <c r="Y744" s="30">
        <v>0</v>
      </c>
      <c r="Z744" s="233">
        <v>0</v>
      </c>
      <c r="AA744" s="30">
        <v>0</v>
      </c>
      <c r="AB744" s="30">
        <v>0</v>
      </c>
      <c r="AC744" s="30">
        <v>0</v>
      </c>
      <c r="AD744" s="30">
        <v>0</v>
      </c>
      <c r="AE744" s="89" t="s">
        <v>68</v>
      </c>
      <c r="AF744" s="89"/>
      <c r="AG744" s="89" t="s">
        <v>248</v>
      </c>
      <c r="AH744" s="72" t="s">
        <v>68</v>
      </c>
      <c r="AI744" s="30">
        <v>0</v>
      </c>
      <c r="AJ744" s="89" t="s">
        <v>1732</v>
      </c>
      <c r="AK744" s="89" t="s">
        <v>68</v>
      </c>
      <c r="AL744" s="91">
        <v>40147</v>
      </c>
      <c r="AM744" s="91"/>
      <c r="AN744" s="91"/>
      <c r="AO744" s="91"/>
      <c r="AP744" s="73" t="e">
        <f>MID(VLOOKUP(K744,#REF!,2,FALSE),1,2)</f>
        <v>#REF!</v>
      </c>
      <c r="AQ744" s="89">
        <f>DATE(2009,10,16)</f>
        <v>40102</v>
      </c>
      <c r="AR744" s="82">
        <f t="shared" si="50"/>
        <v>16</v>
      </c>
      <c r="AS744" s="83">
        <f t="shared" si="51"/>
        <v>10</v>
      </c>
      <c r="AT744" s="84">
        <f t="shared" si="52"/>
        <v>2009</v>
      </c>
      <c r="AU744" s="86"/>
      <c r="AV744" s="86"/>
      <c r="AW744" s="87"/>
      <c r="AX744" s="86"/>
      <c r="AY744" s="83"/>
      <c r="AZ744" s="84"/>
      <c r="BA744" s="86"/>
      <c r="BB744" s="86"/>
    </row>
    <row r="745" spans="1:54" ht="36.75" customHeight="1">
      <c r="A745" s="30"/>
      <c r="B745" s="30" t="s">
        <v>55</v>
      </c>
      <c r="C745" s="69" t="str">
        <f t="shared" si="49"/>
        <v>Closed</v>
      </c>
      <c r="D745" s="27" t="s">
        <v>4242</v>
      </c>
      <c r="E745" s="29" t="s">
        <v>4243</v>
      </c>
      <c r="F745" s="30" t="s">
        <v>835</v>
      </c>
      <c r="G745" s="89">
        <f>DATE(2009,10,17)</f>
        <v>40103</v>
      </c>
      <c r="H745" s="90">
        <v>1.5090277777777779</v>
      </c>
      <c r="I745" s="30" t="s">
        <v>116</v>
      </c>
      <c r="J745" s="89" t="s">
        <v>4244</v>
      </c>
      <c r="K745" s="30" t="s">
        <v>837</v>
      </c>
      <c r="L745" s="30" t="s">
        <v>4245</v>
      </c>
      <c r="M745" s="30" t="s">
        <v>63</v>
      </c>
      <c r="N745" s="30">
        <v>0</v>
      </c>
      <c r="O745" s="30" t="s">
        <v>64</v>
      </c>
      <c r="P745" s="89" t="s">
        <v>381</v>
      </c>
      <c r="Q745" s="89" t="s">
        <v>1349</v>
      </c>
      <c r="R745" s="89" t="s">
        <v>840</v>
      </c>
      <c r="S745" s="30">
        <v>0</v>
      </c>
      <c r="T745" s="233">
        <v>0</v>
      </c>
      <c r="U745" s="30">
        <v>1</v>
      </c>
      <c r="V745" s="233">
        <v>0</v>
      </c>
      <c r="W745" s="30">
        <v>0</v>
      </c>
      <c r="X745" s="30">
        <v>1</v>
      </c>
      <c r="Y745" s="30">
        <v>0</v>
      </c>
      <c r="Z745" s="233">
        <v>0</v>
      </c>
      <c r="AA745" s="30">
        <v>0</v>
      </c>
      <c r="AB745" s="30">
        <v>0</v>
      </c>
      <c r="AC745" s="30">
        <v>0</v>
      </c>
      <c r="AD745" s="30">
        <v>0</v>
      </c>
      <c r="AE745" s="89" t="s">
        <v>68</v>
      </c>
      <c r="AF745" s="89"/>
      <c r="AG745" s="89" t="s">
        <v>352</v>
      </c>
      <c r="AH745" s="72" t="s">
        <v>68</v>
      </c>
      <c r="AI745" s="30">
        <v>1</v>
      </c>
      <c r="AJ745" s="89" t="s">
        <v>68</v>
      </c>
      <c r="AK745" s="89" t="s">
        <v>68</v>
      </c>
      <c r="AL745" s="91">
        <v>40262</v>
      </c>
      <c r="AM745" s="91"/>
      <c r="AN745" s="91"/>
      <c r="AO745" s="91"/>
      <c r="AP745" s="73" t="e">
        <f>MID(VLOOKUP(K745,#REF!,2,FALSE),1,2)</f>
        <v>#REF!</v>
      </c>
      <c r="AQ745" s="89">
        <f>DATE(2009,10,17)</f>
        <v>40103</v>
      </c>
      <c r="AR745" s="82">
        <f t="shared" si="50"/>
        <v>17</v>
      </c>
      <c r="AS745" s="83">
        <f t="shared" si="51"/>
        <v>10</v>
      </c>
      <c r="AT745" s="84">
        <f t="shared" si="52"/>
        <v>2009</v>
      </c>
      <c r="AU745" s="86"/>
      <c r="AV745" s="86"/>
      <c r="AW745" s="87"/>
      <c r="AX745" s="86"/>
      <c r="AY745" s="83"/>
      <c r="AZ745" s="84"/>
      <c r="BA745" s="86"/>
      <c r="BB745" s="86"/>
    </row>
    <row r="746" spans="1:54" ht="36.75" customHeight="1">
      <c r="A746" s="30"/>
      <c r="B746" s="30" t="s">
        <v>55</v>
      </c>
      <c r="C746" s="69" t="str">
        <f t="shared" si="49"/>
        <v>Closed</v>
      </c>
      <c r="D746" s="27" t="s">
        <v>4246</v>
      </c>
      <c r="E746" s="29" t="s">
        <v>4247</v>
      </c>
      <c r="F746" s="30" t="s">
        <v>1572</v>
      </c>
      <c r="G746" s="89">
        <f>DATE(2009,10,17)</f>
        <v>40103</v>
      </c>
      <c r="H746" s="90">
        <v>1.1597222222222223</v>
      </c>
      <c r="I746" s="30" t="s">
        <v>198</v>
      </c>
      <c r="J746" s="89" t="s">
        <v>4248</v>
      </c>
      <c r="K746" s="30" t="s">
        <v>1574</v>
      </c>
      <c r="L746" s="30" t="s">
        <v>4249</v>
      </c>
      <c r="M746" s="30" t="s">
        <v>63</v>
      </c>
      <c r="N746" s="30">
        <v>0</v>
      </c>
      <c r="O746" s="30" t="s">
        <v>64</v>
      </c>
      <c r="P746" s="89" t="s">
        <v>78</v>
      </c>
      <c r="Q746" s="89" t="s">
        <v>1584</v>
      </c>
      <c r="R746" s="89">
        <v>0</v>
      </c>
      <c r="S746" s="30">
        <v>0</v>
      </c>
      <c r="T746" s="233" t="s">
        <v>68</v>
      </c>
      <c r="U746" s="30">
        <v>0</v>
      </c>
      <c r="V746" s="233" t="s">
        <v>68</v>
      </c>
      <c r="W746" s="30">
        <v>0</v>
      </c>
      <c r="X746" s="30">
        <v>0</v>
      </c>
      <c r="Y746" s="30">
        <v>0</v>
      </c>
      <c r="Z746" s="233" t="s">
        <v>68</v>
      </c>
      <c r="AA746" s="30">
        <v>0</v>
      </c>
      <c r="AB746" s="30">
        <v>0</v>
      </c>
      <c r="AC746" s="30">
        <v>0</v>
      </c>
      <c r="AD746" s="30">
        <v>0</v>
      </c>
      <c r="AE746" s="89" t="s">
        <v>68</v>
      </c>
      <c r="AF746" s="89"/>
      <c r="AG746" s="89" t="s">
        <v>874</v>
      </c>
      <c r="AH746" s="72" t="s">
        <v>68</v>
      </c>
      <c r="AI746" s="30">
        <v>1</v>
      </c>
      <c r="AJ746" s="89" t="s">
        <v>4250</v>
      </c>
      <c r="AK746" s="89" t="s">
        <v>68</v>
      </c>
      <c r="AL746" s="91">
        <v>40105</v>
      </c>
      <c r="AM746" s="91"/>
      <c r="AN746" s="91"/>
      <c r="AO746" s="91"/>
      <c r="AP746" s="73" t="e">
        <f>MID(VLOOKUP(K746,#REF!,2,FALSE),1,2)</f>
        <v>#REF!</v>
      </c>
      <c r="AQ746" s="89">
        <f>DATE(2009,10,17)</f>
        <v>40103</v>
      </c>
      <c r="AR746" s="82">
        <f t="shared" si="50"/>
        <v>17</v>
      </c>
      <c r="AS746" s="83">
        <f t="shared" si="51"/>
        <v>10</v>
      </c>
      <c r="AT746" s="84">
        <f t="shared" si="52"/>
        <v>2009</v>
      </c>
      <c r="AU746" s="86"/>
      <c r="AV746" s="86"/>
      <c r="AW746" s="87"/>
      <c r="AX746" s="86"/>
      <c r="AY746" s="83"/>
      <c r="AZ746" s="84"/>
      <c r="BA746" s="86"/>
      <c r="BB746" s="86"/>
    </row>
    <row r="747" spans="1:54" ht="36.75" customHeight="1">
      <c r="A747" s="30"/>
      <c r="B747" s="30" t="s">
        <v>55</v>
      </c>
      <c r="C747" s="69" t="str">
        <f t="shared" si="49"/>
        <v>Closed</v>
      </c>
      <c r="D747" s="27" t="s">
        <v>4251</v>
      </c>
      <c r="E747" s="29" t="s">
        <v>4252</v>
      </c>
      <c r="F747" s="30" t="s">
        <v>638</v>
      </c>
      <c r="G747" s="89">
        <f>DATE(2009,10,23)</f>
        <v>40109</v>
      </c>
      <c r="H747" s="90">
        <v>1.5208333333333335</v>
      </c>
      <c r="I747" s="30" t="s">
        <v>278</v>
      </c>
      <c r="J747" s="89" t="s">
        <v>4253</v>
      </c>
      <c r="K747" s="30" t="s">
        <v>640</v>
      </c>
      <c r="L747" s="30" t="s">
        <v>4254</v>
      </c>
      <c r="M747" s="30" t="s">
        <v>63</v>
      </c>
      <c r="N747" s="30">
        <v>0</v>
      </c>
      <c r="O747" s="30" t="s">
        <v>86</v>
      </c>
      <c r="P747" s="89" t="s">
        <v>165</v>
      </c>
      <c r="Q747" s="89" t="s">
        <v>642</v>
      </c>
      <c r="R747" s="89" t="s">
        <v>643</v>
      </c>
      <c r="S747" s="30">
        <v>0</v>
      </c>
      <c r="T747" s="233">
        <v>0</v>
      </c>
      <c r="U747" s="30">
        <v>0</v>
      </c>
      <c r="V747" s="233">
        <v>1</v>
      </c>
      <c r="W747" s="30">
        <v>0</v>
      </c>
      <c r="X747" s="30">
        <v>1</v>
      </c>
      <c r="Y747" s="30">
        <v>0</v>
      </c>
      <c r="Z747" s="233">
        <v>0</v>
      </c>
      <c r="AA747" s="30">
        <v>0</v>
      </c>
      <c r="AB747" s="30">
        <v>0</v>
      </c>
      <c r="AC747" s="30">
        <v>0</v>
      </c>
      <c r="AD747" s="30">
        <v>0</v>
      </c>
      <c r="AE747" s="89" t="s">
        <v>68</v>
      </c>
      <c r="AF747" s="89"/>
      <c r="AG747" s="89" t="s">
        <v>248</v>
      </c>
      <c r="AH747" s="72" t="s">
        <v>68</v>
      </c>
      <c r="AI747" s="30">
        <v>1</v>
      </c>
      <c r="AJ747" s="89" t="s">
        <v>4255</v>
      </c>
      <c r="AK747" s="89" t="s">
        <v>68</v>
      </c>
      <c r="AL747" s="91">
        <v>40147</v>
      </c>
      <c r="AM747" s="91"/>
      <c r="AN747" s="91"/>
      <c r="AO747" s="91"/>
      <c r="AP747" s="73" t="e">
        <f>MID(VLOOKUP(K747,#REF!,2,FALSE),1,2)</f>
        <v>#REF!</v>
      </c>
      <c r="AQ747" s="89">
        <f>DATE(2009,10,23)</f>
        <v>40109</v>
      </c>
      <c r="AR747" s="82">
        <f t="shared" si="50"/>
        <v>23</v>
      </c>
      <c r="AS747" s="83">
        <f t="shared" si="51"/>
        <v>10</v>
      </c>
      <c r="AT747" s="84">
        <f t="shared" si="52"/>
        <v>2009</v>
      </c>
      <c r="AU747" s="86"/>
      <c r="AV747" s="86"/>
      <c r="AW747" s="87"/>
      <c r="AX747" s="86"/>
      <c r="AY747" s="83"/>
      <c r="AZ747" s="84"/>
      <c r="BA747" s="86"/>
      <c r="BB747" s="86"/>
    </row>
    <row r="748" spans="1:54" ht="36.75" customHeight="1">
      <c r="A748" s="30"/>
      <c r="B748" s="30" t="s">
        <v>55</v>
      </c>
      <c r="C748" s="69" t="str">
        <f t="shared" si="49"/>
        <v>Closed</v>
      </c>
      <c r="D748" s="27" t="s">
        <v>4256</v>
      </c>
      <c r="E748" s="29" t="s">
        <v>4257</v>
      </c>
      <c r="F748" s="30" t="s">
        <v>1572</v>
      </c>
      <c r="G748" s="89">
        <f>DATE(2009,11,2)</f>
        <v>40119</v>
      </c>
      <c r="H748" s="90">
        <v>1.4409722222222223</v>
      </c>
      <c r="I748" s="30" t="s">
        <v>198</v>
      </c>
      <c r="J748" s="89" t="s">
        <v>4258</v>
      </c>
      <c r="K748" s="30" t="s">
        <v>1574</v>
      </c>
      <c r="L748" s="30" t="s">
        <v>4259</v>
      </c>
      <c r="M748" s="30" t="s">
        <v>63</v>
      </c>
      <c r="N748" s="30">
        <v>0</v>
      </c>
      <c r="O748" s="30" t="s">
        <v>64</v>
      </c>
      <c r="P748" s="89" t="s">
        <v>65</v>
      </c>
      <c r="Q748" s="89" t="s">
        <v>2413</v>
      </c>
      <c r="R748" s="89">
        <v>0</v>
      </c>
      <c r="S748" s="30">
        <v>0</v>
      </c>
      <c r="T748" s="233" t="s">
        <v>68</v>
      </c>
      <c r="U748" s="30">
        <v>0</v>
      </c>
      <c r="V748" s="233" t="s">
        <v>68</v>
      </c>
      <c r="W748" s="30">
        <v>0</v>
      </c>
      <c r="X748" s="30">
        <v>0</v>
      </c>
      <c r="Y748" s="30">
        <v>0</v>
      </c>
      <c r="Z748" s="233" t="s">
        <v>68</v>
      </c>
      <c r="AA748" s="30">
        <v>0</v>
      </c>
      <c r="AB748" s="30">
        <v>0</v>
      </c>
      <c r="AC748" s="30">
        <v>0</v>
      </c>
      <c r="AD748" s="30">
        <v>0</v>
      </c>
      <c r="AE748" s="89" t="s">
        <v>68</v>
      </c>
      <c r="AF748" s="89"/>
      <c r="AG748" s="89" t="s">
        <v>874</v>
      </c>
      <c r="AH748" s="72" t="s">
        <v>68</v>
      </c>
      <c r="AI748" s="30">
        <v>2</v>
      </c>
      <c r="AJ748" s="89" t="s">
        <v>4260</v>
      </c>
      <c r="AK748" s="89" t="s">
        <v>68</v>
      </c>
      <c r="AL748" s="91">
        <v>40126</v>
      </c>
      <c r="AM748" s="91"/>
      <c r="AN748" s="91"/>
      <c r="AO748" s="91"/>
      <c r="AP748" s="73" t="e">
        <f>MID(VLOOKUP(K748,#REF!,2,FALSE),1,2)</f>
        <v>#REF!</v>
      </c>
      <c r="AQ748" s="89">
        <f>DATE(2009,11,2)</f>
        <v>40119</v>
      </c>
      <c r="AR748" s="82">
        <f t="shared" si="50"/>
        <v>2</v>
      </c>
      <c r="AS748" s="83">
        <f t="shared" si="51"/>
        <v>11</v>
      </c>
      <c r="AT748" s="84">
        <f t="shared" si="52"/>
        <v>2009</v>
      </c>
      <c r="AU748" s="86"/>
      <c r="AV748" s="86"/>
      <c r="AW748" s="87"/>
      <c r="AX748" s="86"/>
      <c r="AY748" s="83"/>
      <c r="AZ748" s="84"/>
      <c r="BA748" s="86"/>
      <c r="BB748" s="86"/>
    </row>
    <row r="749" spans="1:54" ht="36.75" customHeight="1">
      <c r="A749" s="30"/>
      <c r="B749" s="30" t="s">
        <v>55</v>
      </c>
      <c r="C749" s="69" t="str">
        <f t="shared" si="49"/>
        <v>Closed</v>
      </c>
      <c r="D749" s="27" t="s">
        <v>4261</v>
      </c>
      <c r="E749" s="29" t="s">
        <v>4262</v>
      </c>
      <c r="F749" s="30" t="s">
        <v>124</v>
      </c>
      <c r="G749" s="89">
        <f>DATE(2009,11,5)</f>
        <v>40122</v>
      </c>
      <c r="H749" s="90">
        <v>1.7430555555555554</v>
      </c>
      <c r="I749" s="30" t="s">
        <v>156</v>
      </c>
      <c r="J749" s="89" t="s">
        <v>4263</v>
      </c>
      <c r="K749" s="30" t="s">
        <v>127</v>
      </c>
      <c r="L749" s="30" t="s">
        <v>4264</v>
      </c>
      <c r="M749" s="30" t="s">
        <v>255</v>
      </c>
      <c r="N749" s="30">
        <v>0</v>
      </c>
      <c r="O749" s="30" t="s">
        <v>64</v>
      </c>
      <c r="P749" s="89" t="s">
        <v>86</v>
      </c>
      <c r="Q749" s="89" t="s">
        <v>4265</v>
      </c>
      <c r="R749" s="89" t="s">
        <v>4266</v>
      </c>
      <c r="S749" s="30">
        <v>0</v>
      </c>
      <c r="T749" s="233" t="s">
        <v>68</v>
      </c>
      <c r="U749" s="30">
        <v>0</v>
      </c>
      <c r="V749" s="233" t="s">
        <v>68</v>
      </c>
      <c r="W749" s="30">
        <v>0</v>
      </c>
      <c r="X749" s="30">
        <v>0</v>
      </c>
      <c r="Y749" s="30">
        <v>0</v>
      </c>
      <c r="Z749" s="233" t="s">
        <v>68</v>
      </c>
      <c r="AA749" s="30">
        <v>0</v>
      </c>
      <c r="AB749" s="30">
        <v>0</v>
      </c>
      <c r="AC749" s="30">
        <v>0</v>
      </c>
      <c r="AD749" s="30">
        <v>0</v>
      </c>
      <c r="AE749" s="89" t="s">
        <v>68</v>
      </c>
      <c r="AF749" s="89"/>
      <c r="AG749" s="89" t="s">
        <v>367</v>
      </c>
      <c r="AH749" s="72" t="s">
        <v>68</v>
      </c>
      <c r="AI749" s="30">
        <v>0</v>
      </c>
      <c r="AJ749" s="89" t="s">
        <v>68</v>
      </c>
      <c r="AK749" s="89" t="s">
        <v>68</v>
      </c>
      <c r="AL749" s="91">
        <v>40231</v>
      </c>
      <c r="AM749" s="91"/>
      <c r="AN749" s="91"/>
      <c r="AO749" s="91"/>
      <c r="AP749" s="73" t="e">
        <f>MID(VLOOKUP(K749,#REF!,2,FALSE),1,2)</f>
        <v>#REF!</v>
      </c>
      <c r="AQ749" s="89">
        <f>DATE(2009,11,5)</f>
        <v>40122</v>
      </c>
      <c r="AR749" s="82">
        <f t="shared" si="50"/>
        <v>5</v>
      </c>
      <c r="AS749" s="83">
        <f t="shared" si="51"/>
        <v>11</v>
      </c>
      <c r="AT749" s="84">
        <f t="shared" si="52"/>
        <v>2009</v>
      </c>
      <c r="AU749" s="86"/>
      <c r="AV749" s="86"/>
      <c r="AW749" s="87"/>
      <c r="AX749" s="86"/>
      <c r="AY749" s="83"/>
      <c r="AZ749" s="84"/>
      <c r="BA749" s="86"/>
      <c r="BB749" s="86"/>
    </row>
    <row r="750" spans="1:54" ht="36.75" customHeight="1">
      <c r="A750" s="30"/>
      <c r="B750" s="30" t="s">
        <v>55</v>
      </c>
      <c r="C750" s="69" t="str">
        <f t="shared" si="49"/>
        <v>Closed</v>
      </c>
      <c r="D750" s="27" t="s">
        <v>4267</v>
      </c>
      <c r="E750" s="29" t="s">
        <v>4268</v>
      </c>
      <c r="F750" s="30" t="s">
        <v>423</v>
      </c>
      <c r="G750" s="89">
        <f>DATE(2009,11,10)</f>
        <v>40127</v>
      </c>
      <c r="H750" s="90">
        <v>1.4652777777777777</v>
      </c>
      <c r="I750" s="30" t="s">
        <v>116</v>
      </c>
      <c r="J750" s="89" t="s">
        <v>4269</v>
      </c>
      <c r="K750" s="30" t="s">
        <v>425</v>
      </c>
      <c r="L750" s="30" t="s">
        <v>4270</v>
      </c>
      <c r="M750" s="30" t="s">
        <v>63</v>
      </c>
      <c r="N750" s="30">
        <v>0</v>
      </c>
      <c r="O750" s="30" t="s">
        <v>86</v>
      </c>
      <c r="P750" s="89" t="s">
        <v>91</v>
      </c>
      <c r="Q750" s="89" t="s">
        <v>3782</v>
      </c>
      <c r="R750" s="89" t="s">
        <v>4271</v>
      </c>
      <c r="S750" s="30">
        <v>0</v>
      </c>
      <c r="T750" s="233">
        <v>0</v>
      </c>
      <c r="U750" s="30">
        <v>1</v>
      </c>
      <c r="V750" s="233">
        <v>0</v>
      </c>
      <c r="W750" s="30">
        <v>0</v>
      </c>
      <c r="X750" s="30">
        <v>1</v>
      </c>
      <c r="Y750" s="30">
        <v>0</v>
      </c>
      <c r="Z750" s="233">
        <v>0</v>
      </c>
      <c r="AA750" s="30">
        <v>0</v>
      </c>
      <c r="AB750" s="30">
        <v>0</v>
      </c>
      <c r="AC750" s="30">
        <v>0</v>
      </c>
      <c r="AD750" s="30">
        <v>0</v>
      </c>
      <c r="AE750" s="89" t="s">
        <v>68</v>
      </c>
      <c r="AF750" s="89"/>
      <c r="AG750" s="89" t="s">
        <v>1417</v>
      </c>
      <c r="AH750" s="72" t="s">
        <v>68</v>
      </c>
      <c r="AI750" s="30">
        <v>0</v>
      </c>
      <c r="AJ750" s="89" t="s">
        <v>4272</v>
      </c>
      <c r="AK750" s="89" t="s">
        <v>68</v>
      </c>
      <c r="AL750" s="91">
        <v>40169</v>
      </c>
      <c r="AM750" s="91"/>
      <c r="AN750" s="91"/>
      <c r="AO750" s="91"/>
      <c r="AP750" s="73" t="e">
        <f>MID(VLOOKUP(K750,#REF!,2,FALSE),1,2)</f>
        <v>#REF!</v>
      </c>
      <c r="AQ750" s="89">
        <f>DATE(2009,11,10)</f>
        <v>40127</v>
      </c>
      <c r="AR750" s="82">
        <f t="shared" si="50"/>
        <v>10</v>
      </c>
      <c r="AS750" s="83">
        <f t="shared" si="51"/>
        <v>11</v>
      </c>
      <c r="AT750" s="84">
        <f t="shared" si="52"/>
        <v>2009</v>
      </c>
      <c r="AU750" s="86"/>
      <c r="AV750" s="86"/>
      <c r="AW750" s="87"/>
      <c r="AX750" s="86"/>
      <c r="AY750" s="83"/>
      <c r="AZ750" s="84"/>
      <c r="BA750" s="86"/>
      <c r="BB750" s="86"/>
    </row>
    <row r="751" spans="1:54" ht="36.75" customHeight="1">
      <c r="A751" s="30"/>
      <c r="B751" s="30" t="s">
        <v>55</v>
      </c>
      <c r="C751" s="69" t="str">
        <f t="shared" si="49"/>
        <v>Closed</v>
      </c>
      <c r="D751" s="27" t="s">
        <v>4273</v>
      </c>
      <c r="E751" s="29" t="s">
        <v>4274</v>
      </c>
      <c r="F751" s="30" t="s">
        <v>835</v>
      </c>
      <c r="G751" s="89">
        <f>DATE(2009,11,14)</f>
        <v>40131</v>
      </c>
      <c r="H751" s="90">
        <v>1.8402777777777777</v>
      </c>
      <c r="I751" s="30" t="s">
        <v>86</v>
      </c>
      <c r="J751" s="89" t="s">
        <v>4275</v>
      </c>
      <c r="K751" s="30" t="s">
        <v>837</v>
      </c>
      <c r="L751" s="30" t="s">
        <v>4276</v>
      </c>
      <c r="M751" s="30" t="s">
        <v>63</v>
      </c>
      <c r="N751" s="30">
        <v>0</v>
      </c>
      <c r="O751" s="30" t="s">
        <v>77</v>
      </c>
      <c r="P751" s="89" t="s">
        <v>91</v>
      </c>
      <c r="Q751" s="89" t="s">
        <v>4277</v>
      </c>
      <c r="R751" s="89" t="s">
        <v>840</v>
      </c>
      <c r="S751" s="30">
        <v>0</v>
      </c>
      <c r="T751" s="233">
        <v>0</v>
      </c>
      <c r="U751" s="30">
        <v>0</v>
      </c>
      <c r="V751" s="233">
        <v>0</v>
      </c>
      <c r="W751" s="30">
        <v>0</v>
      </c>
      <c r="X751" s="30">
        <v>0</v>
      </c>
      <c r="Y751" s="30">
        <v>0</v>
      </c>
      <c r="Z751" s="233">
        <v>0</v>
      </c>
      <c r="AA751" s="30">
        <v>0</v>
      </c>
      <c r="AB751" s="30">
        <v>0</v>
      </c>
      <c r="AC751" s="30">
        <v>0</v>
      </c>
      <c r="AD751" s="30">
        <v>0</v>
      </c>
      <c r="AE751" s="89" t="s">
        <v>68</v>
      </c>
      <c r="AF751" s="89"/>
      <c r="AG751" s="89" t="s">
        <v>352</v>
      </c>
      <c r="AH751" s="72" t="s">
        <v>68</v>
      </c>
      <c r="AI751" s="30">
        <v>0</v>
      </c>
      <c r="AJ751" s="89" t="s">
        <v>68</v>
      </c>
      <c r="AK751" s="89" t="s">
        <v>68</v>
      </c>
      <c r="AL751" s="91">
        <v>40262</v>
      </c>
      <c r="AM751" s="91"/>
      <c r="AN751" s="91"/>
      <c r="AO751" s="91"/>
      <c r="AP751" s="73" t="e">
        <f>MID(VLOOKUP(K751,#REF!,2,FALSE),1,2)</f>
        <v>#REF!</v>
      </c>
      <c r="AQ751" s="89">
        <f>DATE(2009,11,14)</f>
        <v>40131</v>
      </c>
      <c r="AR751" s="82">
        <f t="shared" si="50"/>
        <v>14</v>
      </c>
      <c r="AS751" s="83">
        <f t="shared" si="51"/>
        <v>11</v>
      </c>
      <c r="AT751" s="84">
        <f t="shared" si="52"/>
        <v>2009</v>
      </c>
      <c r="AU751" s="86"/>
      <c r="AV751" s="86"/>
      <c r="AW751" s="87"/>
      <c r="AX751" s="86"/>
      <c r="AY751" s="83"/>
      <c r="AZ751" s="84"/>
      <c r="BA751" s="86"/>
      <c r="BB751" s="86"/>
    </row>
    <row r="752" spans="1:54" ht="36.75" customHeight="1">
      <c r="A752" s="30"/>
      <c r="B752" s="30" t="s">
        <v>55</v>
      </c>
      <c r="C752" s="69" t="str">
        <f t="shared" si="49"/>
        <v>Closed</v>
      </c>
      <c r="D752" s="27" t="s">
        <v>4278</v>
      </c>
      <c r="E752" s="29" t="s">
        <v>4279</v>
      </c>
      <c r="F752" s="30" t="s">
        <v>233</v>
      </c>
      <c r="G752" s="89">
        <f>DATE(2009,11,14)</f>
        <v>40131</v>
      </c>
      <c r="H752" s="90">
        <v>1.9479166666666665</v>
      </c>
      <c r="I752" s="30" t="s">
        <v>4280</v>
      </c>
      <c r="J752" s="89" t="s">
        <v>4281</v>
      </c>
      <c r="K752" s="30" t="s">
        <v>235</v>
      </c>
      <c r="L752" s="30" t="s">
        <v>4282</v>
      </c>
      <c r="M752" s="30" t="s">
        <v>63</v>
      </c>
      <c r="N752" s="30">
        <v>0</v>
      </c>
      <c r="O752" s="30" t="s">
        <v>64</v>
      </c>
      <c r="P752" s="89" t="s">
        <v>86</v>
      </c>
      <c r="Q752" s="89" t="s">
        <v>718</v>
      </c>
      <c r="R752" s="89" t="s">
        <v>238</v>
      </c>
      <c r="S752" s="30">
        <v>0</v>
      </c>
      <c r="T752" s="233" t="s">
        <v>68</v>
      </c>
      <c r="U752" s="30">
        <v>0</v>
      </c>
      <c r="V752" s="233" t="s">
        <v>68</v>
      </c>
      <c r="W752" s="30">
        <v>0</v>
      </c>
      <c r="X752" s="30">
        <v>0</v>
      </c>
      <c r="Y752" s="30">
        <v>0</v>
      </c>
      <c r="Z752" s="233" t="s">
        <v>68</v>
      </c>
      <c r="AA752" s="30">
        <v>0</v>
      </c>
      <c r="AB752" s="30">
        <v>0</v>
      </c>
      <c r="AC752" s="30">
        <v>0</v>
      </c>
      <c r="AD752" s="30">
        <v>0</v>
      </c>
      <c r="AE752" s="89" t="s">
        <v>68</v>
      </c>
      <c r="AF752" s="89"/>
      <c r="AG752" s="89" t="s">
        <v>133</v>
      </c>
      <c r="AH752" s="72" t="s">
        <v>68</v>
      </c>
      <c r="AI752" s="30">
        <v>6</v>
      </c>
      <c r="AJ752" s="89" t="s">
        <v>4283</v>
      </c>
      <c r="AK752" s="89" t="s">
        <v>4284</v>
      </c>
      <c r="AL752" s="91">
        <v>40150</v>
      </c>
      <c r="AM752" s="91"/>
      <c r="AN752" s="91"/>
      <c r="AO752" s="91"/>
      <c r="AP752" s="73" t="e">
        <f>MID(VLOOKUP(K752,#REF!,2,FALSE),1,2)</f>
        <v>#REF!</v>
      </c>
      <c r="AQ752" s="89">
        <f>DATE(2009,11,14)</f>
        <v>40131</v>
      </c>
      <c r="AR752" s="82">
        <f t="shared" si="50"/>
        <v>14</v>
      </c>
      <c r="AS752" s="83">
        <f t="shared" si="51"/>
        <v>11</v>
      </c>
      <c r="AT752" s="84">
        <f t="shared" si="52"/>
        <v>2009</v>
      </c>
      <c r="AU752" s="86"/>
      <c r="AV752" s="86"/>
      <c r="AW752" s="87"/>
      <c r="AX752" s="86"/>
      <c r="AY752" s="83"/>
      <c r="AZ752" s="84"/>
      <c r="BA752" s="86"/>
      <c r="BB752" s="86"/>
    </row>
    <row r="753" spans="1:54" ht="36.75" customHeight="1">
      <c r="A753" s="30"/>
      <c r="B753" s="30" t="s">
        <v>55</v>
      </c>
      <c r="C753" s="69" t="str">
        <f t="shared" si="49"/>
        <v>Closed</v>
      </c>
      <c r="D753" s="27" t="s">
        <v>4285</v>
      </c>
      <c r="E753" s="29" t="s">
        <v>4286</v>
      </c>
      <c r="F753" s="30" t="s">
        <v>1770</v>
      </c>
      <c r="G753" s="89">
        <f>DATE(2009,11,15)</f>
        <v>40132</v>
      </c>
      <c r="H753" s="90">
        <v>1.9097222222222223</v>
      </c>
      <c r="I753" s="30" t="s">
        <v>278</v>
      </c>
      <c r="J753" s="89" t="s">
        <v>4287</v>
      </c>
      <c r="K753" s="30" t="s">
        <v>1772</v>
      </c>
      <c r="L753" s="30" t="s">
        <v>4288</v>
      </c>
      <c r="M753" s="30" t="s">
        <v>63</v>
      </c>
      <c r="N753" s="30" t="s">
        <v>89</v>
      </c>
      <c r="O753" s="30" t="s">
        <v>77</v>
      </c>
      <c r="P753" s="89" t="s">
        <v>91</v>
      </c>
      <c r="Q753" s="89" t="s">
        <v>4289</v>
      </c>
      <c r="R753" s="89" t="s">
        <v>1775</v>
      </c>
      <c r="S753" s="30">
        <v>0</v>
      </c>
      <c r="T753" s="233">
        <v>1</v>
      </c>
      <c r="U753" s="30">
        <v>0</v>
      </c>
      <c r="V753" s="233">
        <v>0</v>
      </c>
      <c r="W753" s="30">
        <v>0</v>
      </c>
      <c r="X753" s="30">
        <v>1</v>
      </c>
      <c r="Y753" s="30">
        <v>0</v>
      </c>
      <c r="Z753" s="233">
        <v>0</v>
      </c>
      <c r="AA753" s="30">
        <v>0</v>
      </c>
      <c r="AB753" s="30">
        <v>0</v>
      </c>
      <c r="AC753" s="30">
        <v>0</v>
      </c>
      <c r="AD753" s="30">
        <v>0</v>
      </c>
      <c r="AE753" s="89" t="s">
        <v>92</v>
      </c>
      <c r="AF753" s="89"/>
      <c r="AG753" s="89" t="s">
        <v>82</v>
      </c>
      <c r="AH753" s="72">
        <v>40136</v>
      </c>
      <c r="AI753" s="30">
        <v>0</v>
      </c>
      <c r="AJ753" s="89" t="s">
        <v>4290</v>
      </c>
      <c r="AK753" s="89" t="s">
        <v>1233</v>
      </c>
      <c r="AL753" s="91">
        <v>40136</v>
      </c>
      <c r="AM753" s="91"/>
      <c r="AN753" s="91"/>
      <c r="AO753" s="91"/>
      <c r="AP753" s="73" t="e">
        <f>MID(VLOOKUP(K753,#REF!,2,FALSE),1,2)</f>
        <v>#REF!</v>
      </c>
      <c r="AQ753" s="89">
        <f>DATE(2009,11,15)</f>
        <v>40132</v>
      </c>
      <c r="AR753" s="82">
        <f t="shared" si="50"/>
        <v>15</v>
      </c>
      <c r="AS753" s="83">
        <f t="shared" si="51"/>
        <v>11</v>
      </c>
      <c r="AT753" s="84">
        <f t="shared" si="52"/>
        <v>2009</v>
      </c>
      <c r="AU753" s="86"/>
      <c r="AV753" s="86"/>
      <c r="AW753" s="87"/>
      <c r="AX753" s="86"/>
      <c r="AY753" s="83"/>
      <c r="AZ753" s="84"/>
      <c r="BA753" s="86"/>
      <c r="BB753" s="86"/>
    </row>
    <row r="754" spans="1:54" ht="36.75" customHeight="1">
      <c r="A754" s="30"/>
      <c r="B754" s="30" t="s">
        <v>55</v>
      </c>
      <c r="C754" s="69" t="str">
        <f t="shared" si="49"/>
        <v>Closed</v>
      </c>
      <c r="D754" s="27" t="s">
        <v>4291</v>
      </c>
      <c r="E754" s="29" t="s">
        <v>4292</v>
      </c>
      <c r="F754" s="30" t="s">
        <v>638</v>
      </c>
      <c r="G754" s="89">
        <f>DATE(2009,11,16)</f>
        <v>40133</v>
      </c>
      <c r="H754" s="90">
        <v>1.5284722222222222</v>
      </c>
      <c r="I754" s="30" t="s">
        <v>116</v>
      </c>
      <c r="J754" s="89" t="s">
        <v>4293</v>
      </c>
      <c r="K754" s="30" t="s">
        <v>640</v>
      </c>
      <c r="L754" s="30" t="s">
        <v>4294</v>
      </c>
      <c r="M754" s="30" t="s">
        <v>63</v>
      </c>
      <c r="N754" s="30">
        <v>0</v>
      </c>
      <c r="O754" s="30" t="s">
        <v>77</v>
      </c>
      <c r="P754" s="89" t="s">
        <v>86</v>
      </c>
      <c r="Q754" s="89" t="s">
        <v>642</v>
      </c>
      <c r="R754" s="89" t="s">
        <v>643</v>
      </c>
      <c r="S754" s="30">
        <v>0</v>
      </c>
      <c r="T754" s="233">
        <v>0</v>
      </c>
      <c r="U754" s="30">
        <v>2</v>
      </c>
      <c r="V754" s="233">
        <v>0</v>
      </c>
      <c r="W754" s="30">
        <v>0</v>
      </c>
      <c r="X754" s="30">
        <v>2</v>
      </c>
      <c r="Y754" s="30">
        <v>0</v>
      </c>
      <c r="Z754" s="233">
        <v>0</v>
      </c>
      <c r="AA754" s="30">
        <v>0</v>
      </c>
      <c r="AB754" s="30">
        <v>0</v>
      </c>
      <c r="AC754" s="30">
        <v>0</v>
      </c>
      <c r="AD754" s="30">
        <v>0</v>
      </c>
      <c r="AE754" s="89" t="s">
        <v>68</v>
      </c>
      <c r="AF754" s="89"/>
      <c r="AG754" s="89" t="s">
        <v>248</v>
      </c>
      <c r="AH754" s="72" t="s">
        <v>68</v>
      </c>
      <c r="AI754" s="30">
        <v>0</v>
      </c>
      <c r="AJ754" s="89" t="s">
        <v>4295</v>
      </c>
      <c r="AK754" s="89" t="s">
        <v>68</v>
      </c>
      <c r="AL754" s="91">
        <v>40147</v>
      </c>
      <c r="AM754" s="91"/>
      <c r="AN754" s="91"/>
      <c r="AO754" s="91"/>
      <c r="AP754" s="73" t="e">
        <f>MID(VLOOKUP(K754,#REF!,2,FALSE),1,2)</f>
        <v>#REF!</v>
      </c>
      <c r="AQ754" s="89">
        <f>DATE(2009,11,16)</f>
        <v>40133</v>
      </c>
      <c r="AR754" s="82">
        <f t="shared" si="50"/>
        <v>16</v>
      </c>
      <c r="AS754" s="83">
        <f t="shared" si="51"/>
        <v>11</v>
      </c>
      <c r="AT754" s="84">
        <f t="shared" si="52"/>
        <v>2009</v>
      </c>
      <c r="AU754" s="86"/>
      <c r="AV754" s="86"/>
      <c r="AW754" s="87"/>
      <c r="AX754" s="86"/>
      <c r="AY754" s="83"/>
      <c r="AZ754" s="84"/>
      <c r="BA754" s="86"/>
      <c r="BB754" s="86"/>
    </row>
    <row r="755" spans="1:54" ht="36.75" customHeight="1">
      <c r="A755" s="30"/>
      <c r="B755" s="30" t="s">
        <v>55</v>
      </c>
      <c r="C755" s="69" t="str">
        <f t="shared" si="49"/>
        <v>Closed</v>
      </c>
      <c r="D755" s="27" t="s">
        <v>4296</v>
      </c>
      <c r="E755" s="29" t="s">
        <v>4297</v>
      </c>
      <c r="F755" s="30" t="s">
        <v>1938</v>
      </c>
      <c r="G755" s="89">
        <f>DATE(2009,11,16)</f>
        <v>40133</v>
      </c>
      <c r="H755" s="90">
        <v>1.2708333333333333</v>
      </c>
      <c r="I755" s="30" t="s">
        <v>156</v>
      </c>
      <c r="J755" s="89" t="s">
        <v>4298</v>
      </c>
      <c r="K755" s="30" t="s">
        <v>1940</v>
      </c>
      <c r="L755" s="30" t="s">
        <v>4299</v>
      </c>
      <c r="M755" s="30" t="s">
        <v>63</v>
      </c>
      <c r="N755" s="30">
        <v>0</v>
      </c>
      <c r="O755" s="30" t="s">
        <v>64</v>
      </c>
      <c r="P755" s="89" t="s">
        <v>165</v>
      </c>
      <c r="Q755" s="89" t="s">
        <v>1942</v>
      </c>
      <c r="R755" s="89" t="s">
        <v>1942</v>
      </c>
      <c r="S755" s="30">
        <v>0</v>
      </c>
      <c r="T755" s="233" t="s">
        <v>68</v>
      </c>
      <c r="U755" s="30">
        <v>0</v>
      </c>
      <c r="V755" s="233" t="s">
        <v>68</v>
      </c>
      <c r="W755" s="30">
        <v>0</v>
      </c>
      <c r="X755" s="30">
        <v>0</v>
      </c>
      <c r="Y755" s="30">
        <v>0</v>
      </c>
      <c r="Z755" s="233" t="s">
        <v>68</v>
      </c>
      <c r="AA755" s="30">
        <v>0</v>
      </c>
      <c r="AB755" s="30">
        <v>0</v>
      </c>
      <c r="AC755" s="30">
        <v>0</v>
      </c>
      <c r="AD755" s="30">
        <v>0</v>
      </c>
      <c r="AE755" s="89" t="s">
        <v>68</v>
      </c>
      <c r="AF755" s="89"/>
      <c r="AG755" s="89" t="s">
        <v>133</v>
      </c>
      <c r="AH755" s="72" t="s">
        <v>68</v>
      </c>
      <c r="AI755" s="30">
        <v>6</v>
      </c>
      <c r="AJ755" s="89" t="s">
        <v>4300</v>
      </c>
      <c r="AK755" s="89" t="s">
        <v>4301</v>
      </c>
      <c r="AL755" s="91">
        <v>40134</v>
      </c>
      <c r="AM755" s="91"/>
      <c r="AN755" s="91"/>
      <c r="AO755" s="91"/>
      <c r="AP755" s="73" t="e">
        <f>MID(VLOOKUP(K755,#REF!,2,FALSE),1,2)</f>
        <v>#REF!</v>
      </c>
      <c r="AQ755" s="89">
        <f>DATE(2009,11,16)</f>
        <v>40133</v>
      </c>
      <c r="AR755" s="82">
        <f t="shared" si="50"/>
        <v>16</v>
      </c>
      <c r="AS755" s="83">
        <f t="shared" si="51"/>
        <v>11</v>
      </c>
      <c r="AT755" s="84">
        <f t="shared" si="52"/>
        <v>2009</v>
      </c>
      <c r="AU755" s="86"/>
      <c r="AV755" s="86"/>
      <c r="AW755" s="87"/>
      <c r="AX755" s="86"/>
      <c r="AY755" s="83"/>
      <c r="AZ755" s="84"/>
      <c r="BA755" s="86"/>
      <c r="BB755" s="86"/>
    </row>
    <row r="756" spans="1:54" ht="36.75" customHeight="1">
      <c r="A756" s="30"/>
      <c r="B756" s="30" t="s">
        <v>55</v>
      </c>
      <c r="C756" s="69" t="str">
        <f t="shared" si="49"/>
        <v>Closed</v>
      </c>
      <c r="D756" s="27" t="s">
        <v>4302</v>
      </c>
      <c r="E756" s="29" t="s">
        <v>4303</v>
      </c>
      <c r="F756" s="30" t="s">
        <v>1770</v>
      </c>
      <c r="G756" s="89">
        <f>DATE(2009,11,19)</f>
        <v>40136</v>
      </c>
      <c r="H756" s="90">
        <v>1.9763888888888888</v>
      </c>
      <c r="I756" s="30" t="s">
        <v>73</v>
      </c>
      <c r="J756" s="89" t="s">
        <v>4304</v>
      </c>
      <c r="K756" s="30" t="s">
        <v>1772</v>
      </c>
      <c r="L756" s="30" t="s">
        <v>4305</v>
      </c>
      <c r="M756" s="30" t="s">
        <v>63</v>
      </c>
      <c r="N756" s="30" t="s">
        <v>142</v>
      </c>
      <c r="O756" s="30" t="s">
        <v>64</v>
      </c>
      <c r="P756" s="89" t="s">
        <v>165</v>
      </c>
      <c r="Q756" s="89" t="s">
        <v>1774</v>
      </c>
      <c r="R756" s="89" t="s">
        <v>1775</v>
      </c>
      <c r="S756" s="30">
        <v>0</v>
      </c>
      <c r="T756" s="233">
        <v>1</v>
      </c>
      <c r="U756" s="30">
        <v>0</v>
      </c>
      <c r="V756" s="233">
        <v>0</v>
      </c>
      <c r="W756" s="30">
        <v>0</v>
      </c>
      <c r="X756" s="30">
        <v>1</v>
      </c>
      <c r="Y756" s="30">
        <v>4</v>
      </c>
      <c r="Z756" s="233">
        <v>1</v>
      </c>
      <c r="AA756" s="30">
        <v>0</v>
      </c>
      <c r="AB756" s="30">
        <v>0</v>
      </c>
      <c r="AC756" s="30">
        <v>0</v>
      </c>
      <c r="AD756" s="30">
        <v>5</v>
      </c>
      <c r="AE756" s="89" t="s">
        <v>394</v>
      </c>
      <c r="AF756" s="89"/>
      <c r="AG756" s="89" t="s">
        <v>82</v>
      </c>
      <c r="AH756" s="72">
        <v>40136</v>
      </c>
      <c r="AI756" s="30">
        <v>0</v>
      </c>
      <c r="AJ756" s="89" t="s">
        <v>4306</v>
      </c>
      <c r="AK756" s="89" t="s">
        <v>1233</v>
      </c>
      <c r="AL756" s="91">
        <v>40170</v>
      </c>
      <c r="AM756" s="91"/>
      <c r="AN756" s="91"/>
      <c r="AO756" s="91"/>
      <c r="AP756" s="73" t="e">
        <f>MID(VLOOKUP(K756,#REF!,2,FALSE),1,2)</f>
        <v>#REF!</v>
      </c>
      <c r="AQ756" s="89">
        <f>DATE(2009,11,19)</f>
        <v>40136</v>
      </c>
      <c r="AR756" s="82">
        <f t="shared" si="50"/>
        <v>19</v>
      </c>
      <c r="AS756" s="83">
        <f t="shared" si="51"/>
        <v>11</v>
      </c>
      <c r="AT756" s="84">
        <f t="shared" si="52"/>
        <v>2009</v>
      </c>
      <c r="AU756" s="86"/>
      <c r="AV756" s="86"/>
      <c r="AW756" s="87"/>
      <c r="AX756" s="86"/>
      <c r="AY756" s="83"/>
      <c r="AZ756" s="84"/>
      <c r="BA756" s="86"/>
      <c r="BB756" s="86"/>
    </row>
    <row r="757" spans="1:54" ht="36.75" customHeight="1">
      <c r="A757" s="30"/>
      <c r="B757" s="30" t="s">
        <v>55</v>
      </c>
      <c r="C757" s="69" t="str">
        <f t="shared" si="49"/>
        <v>Closed</v>
      </c>
      <c r="D757" s="27" t="s">
        <v>4307</v>
      </c>
      <c r="E757" s="29" t="s">
        <v>4308</v>
      </c>
      <c r="F757" s="30" t="s">
        <v>835</v>
      </c>
      <c r="G757" s="89">
        <f>DATE(2009,11,19)</f>
        <v>40136</v>
      </c>
      <c r="H757" s="90">
        <v>1.2958333333333334</v>
      </c>
      <c r="I757" s="30" t="s">
        <v>116</v>
      </c>
      <c r="J757" s="89" t="s">
        <v>4309</v>
      </c>
      <c r="K757" s="30" t="s">
        <v>837</v>
      </c>
      <c r="L757" s="30" t="s">
        <v>4310</v>
      </c>
      <c r="M757" s="30" t="s">
        <v>63</v>
      </c>
      <c r="N757" s="30">
        <v>0</v>
      </c>
      <c r="O757" s="30" t="s">
        <v>64</v>
      </c>
      <c r="P757" s="89" t="s">
        <v>65</v>
      </c>
      <c r="Q757" s="89" t="s">
        <v>4311</v>
      </c>
      <c r="R757" s="89" t="s">
        <v>2797</v>
      </c>
      <c r="S757" s="30">
        <v>0</v>
      </c>
      <c r="T757" s="233">
        <v>0</v>
      </c>
      <c r="U757" s="30">
        <v>1</v>
      </c>
      <c r="V757" s="233">
        <v>0</v>
      </c>
      <c r="W757" s="30">
        <v>0</v>
      </c>
      <c r="X757" s="30">
        <v>1</v>
      </c>
      <c r="Y757" s="30">
        <v>0</v>
      </c>
      <c r="Z757" s="233">
        <v>0</v>
      </c>
      <c r="AA757" s="30">
        <v>0</v>
      </c>
      <c r="AB757" s="30">
        <v>0</v>
      </c>
      <c r="AC757" s="30">
        <v>0</v>
      </c>
      <c r="AD757" s="30">
        <v>0</v>
      </c>
      <c r="AE757" s="89" t="s">
        <v>68</v>
      </c>
      <c r="AF757" s="89"/>
      <c r="AG757" s="89" t="s">
        <v>352</v>
      </c>
      <c r="AH757" s="72" t="s">
        <v>68</v>
      </c>
      <c r="AI757" s="30">
        <v>0</v>
      </c>
      <c r="AJ757" s="89" t="s">
        <v>68</v>
      </c>
      <c r="AK757" s="89" t="s">
        <v>68</v>
      </c>
      <c r="AL757" s="91">
        <v>40262</v>
      </c>
      <c r="AM757" s="91"/>
      <c r="AN757" s="91"/>
      <c r="AO757" s="91"/>
      <c r="AP757" s="73" t="e">
        <f>MID(VLOOKUP(K757,#REF!,2,FALSE),1,2)</f>
        <v>#REF!</v>
      </c>
      <c r="AQ757" s="89">
        <f>DATE(2009,11,19)</f>
        <v>40136</v>
      </c>
      <c r="AR757" s="82">
        <f t="shared" si="50"/>
        <v>19</v>
      </c>
      <c r="AS757" s="83">
        <f t="shared" si="51"/>
        <v>11</v>
      </c>
      <c r="AT757" s="84">
        <f t="shared" si="52"/>
        <v>2009</v>
      </c>
      <c r="AU757" s="86"/>
      <c r="AV757" s="86"/>
      <c r="AW757" s="87"/>
      <c r="AX757" s="86"/>
      <c r="AY757" s="83"/>
      <c r="AZ757" s="84"/>
      <c r="BA757" s="86"/>
      <c r="BB757" s="86"/>
    </row>
    <row r="758" spans="1:54" ht="36.75" customHeight="1">
      <c r="A758" s="30"/>
      <c r="B758" s="30" t="s">
        <v>55</v>
      </c>
      <c r="C758" s="69" t="str">
        <f t="shared" si="49"/>
        <v>Closed</v>
      </c>
      <c r="D758" s="27" t="s">
        <v>4312</v>
      </c>
      <c r="E758" s="29" t="s">
        <v>4313</v>
      </c>
      <c r="F758" s="30" t="s">
        <v>1749</v>
      </c>
      <c r="G758" s="89">
        <f>DATE(2009,11,21)</f>
        <v>40138</v>
      </c>
      <c r="H758" s="90">
        <v>1.3402777777777777</v>
      </c>
      <c r="I758" s="30" t="s">
        <v>116</v>
      </c>
      <c r="J758" s="89" t="s">
        <v>4314</v>
      </c>
      <c r="K758" s="30" t="s">
        <v>1751</v>
      </c>
      <c r="L758" s="30" t="s">
        <v>4315</v>
      </c>
      <c r="M758" s="30" t="s">
        <v>63</v>
      </c>
      <c r="N758" s="30">
        <v>0</v>
      </c>
      <c r="O758" s="30" t="s">
        <v>64</v>
      </c>
      <c r="P758" s="89" t="s">
        <v>86</v>
      </c>
      <c r="Q758" s="89" t="s">
        <v>1753</v>
      </c>
      <c r="R758" s="89" t="s">
        <v>1754</v>
      </c>
      <c r="S758" s="30">
        <v>0</v>
      </c>
      <c r="T758" s="233">
        <v>0</v>
      </c>
      <c r="U758" s="30">
        <v>1</v>
      </c>
      <c r="V758" s="233">
        <v>0</v>
      </c>
      <c r="W758" s="30">
        <v>0</v>
      </c>
      <c r="X758" s="30">
        <v>1</v>
      </c>
      <c r="Y758" s="30">
        <v>0</v>
      </c>
      <c r="Z758" s="233">
        <v>0</v>
      </c>
      <c r="AA758" s="30">
        <v>0</v>
      </c>
      <c r="AB758" s="30">
        <v>0</v>
      </c>
      <c r="AC758" s="30">
        <v>0</v>
      </c>
      <c r="AD758" s="30">
        <v>0</v>
      </c>
      <c r="AE758" s="89" t="s">
        <v>68</v>
      </c>
      <c r="AF758" s="89"/>
      <c r="AG758" s="89" t="s">
        <v>248</v>
      </c>
      <c r="AH758" s="72" t="s">
        <v>68</v>
      </c>
      <c r="AI758" s="30">
        <v>7</v>
      </c>
      <c r="AJ758" s="89" t="s">
        <v>4316</v>
      </c>
      <c r="AK758" s="89" t="s">
        <v>68</v>
      </c>
      <c r="AL758" s="91">
        <v>40143</v>
      </c>
      <c r="AM758" s="91"/>
      <c r="AN758" s="91"/>
      <c r="AO758" s="91"/>
      <c r="AP758" s="73" t="e">
        <f>MID(VLOOKUP(K758,#REF!,2,FALSE),1,2)</f>
        <v>#REF!</v>
      </c>
      <c r="AQ758" s="89">
        <f>DATE(2009,11,21)</f>
        <v>40138</v>
      </c>
      <c r="AR758" s="82">
        <f t="shared" si="50"/>
        <v>21</v>
      </c>
      <c r="AS758" s="83">
        <f t="shared" si="51"/>
        <v>11</v>
      </c>
      <c r="AT758" s="84">
        <f t="shared" si="52"/>
        <v>2009</v>
      </c>
      <c r="AU758" s="86"/>
      <c r="AV758" s="86"/>
      <c r="AW758" s="87"/>
      <c r="AX758" s="86"/>
      <c r="AY758" s="83"/>
      <c r="AZ758" s="84"/>
      <c r="BA758" s="86"/>
      <c r="BB758" s="86"/>
    </row>
    <row r="759" spans="1:54" ht="36.75" customHeight="1">
      <c r="A759" s="30"/>
      <c r="B759" s="30" t="s">
        <v>55</v>
      </c>
      <c r="C759" s="69" t="str">
        <f t="shared" si="49"/>
        <v>Closed</v>
      </c>
      <c r="D759" s="27" t="s">
        <v>4317</v>
      </c>
      <c r="E759" s="29" t="s">
        <v>4318</v>
      </c>
      <c r="F759" s="30" t="s">
        <v>115</v>
      </c>
      <c r="G759" s="89">
        <f>DATE(2009,11,24)</f>
        <v>40141</v>
      </c>
      <c r="H759" s="90">
        <v>1.7604166666666665</v>
      </c>
      <c r="I759" s="30" t="s">
        <v>73</v>
      </c>
      <c r="J759" s="89" t="s">
        <v>4319</v>
      </c>
      <c r="K759" s="30" t="s">
        <v>118</v>
      </c>
      <c r="L759" s="30" t="s">
        <v>4320</v>
      </c>
      <c r="M759" s="30" t="s">
        <v>63</v>
      </c>
      <c r="N759" s="30">
        <v>0</v>
      </c>
      <c r="O759" s="30" t="s">
        <v>64</v>
      </c>
      <c r="P759" s="89" t="s">
        <v>78</v>
      </c>
      <c r="Q759" s="89" t="s">
        <v>120</v>
      </c>
      <c r="R759" s="89" t="s">
        <v>121</v>
      </c>
      <c r="S759" s="30">
        <v>0</v>
      </c>
      <c r="T759" s="233" t="s">
        <v>68</v>
      </c>
      <c r="U759" s="30">
        <v>0</v>
      </c>
      <c r="V759" s="233" t="s">
        <v>68</v>
      </c>
      <c r="W759" s="30">
        <v>0</v>
      </c>
      <c r="X759" s="30">
        <v>0</v>
      </c>
      <c r="Y759" s="30">
        <v>0</v>
      </c>
      <c r="Z759" s="233" t="s">
        <v>68</v>
      </c>
      <c r="AA759" s="30">
        <v>0</v>
      </c>
      <c r="AB759" s="30">
        <v>0</v>
      </c>
      <c r="AC759" s="30">
        <v>0</v>
      </c>
      <c r="AD759" s="30">
        <v>0</v>
      </c>
      <c r="AE759" s="89" t="s">
        <v>68</v>
      </c>
      <c r="AF759" s="89"/>
      <c r="AG759" s="89" t="s">
        <v>133</v>
      </c>
      <c r="AH759" s="72" t="s">
        <v>68</v>
      </c>
      <c r="AI759" s="30">
        <v>5</v>
      </c>
      <c r="AJ759" s="89" t="s">
        <v>4321</v>
      </c>
      <c r="AK759" s="89" t="s">
        <v>68</v>
      </c>
      <c r="AL759" s="91">
        <v>40150</v>
      </c>
      <c r="AM759" s="91"/>
      <c r="AN759" s="91"/>
      <c r="AO759" s="91"/>
      <c r="AP759" s="73" t="e">
        <f>MID(VLOOKUP(K759,#REF!,2,FALSE),1,2)</f>
        <v>#REF!</v>
      </c>
      <c r="AQ759" s="89">
        <f>DATE(2009,11,24)</f>
        <v>40141</v>
      </c>
      <c r="AR759" s="82">
        <f t="shared" si="50"/>
        <v>24</v>
      </c>
      <c r="AS759" s="83">
        <f t="shared" si="51"/>
        <v>11</v>
      </c>
      <c r="AT759" s="84">
        <f t="shared" si="52"/>
        <v>2009</v>
      </c>
      <c r="AU759" s="86"/>
      <c r="AV759" s="86"/>
      <c r="AW759" s="87"/>
      <c r="AX759" s="86"/>
      <c r="AY759" s="83"/>
      <c r="AZ759" s="84"/>
      <c r="BA759" s="86"/>
      <c r="BB759" s="86"/>
    </row>
    <row r="760" spans="1:54" ht="36.75" customHeight="1">
      <c r="A760" s="30"/>
      <c r="B760" s="30" t="s">
        <v>55</v>
      </c>
      <c r="C760" s="69" t="str">
        <f t="shared" si="49"/>
        <v>Closed</v>
      </c>
      <c r="D760" s="27" t="s">
        <v>4322</v>
      </c>
      <c r="E760" s="29" t="s">
        <v>4323</v>
      </c>
      <c r="F760" s="30" t="s">
        <v>423</v>
      </c>
      <c r="G760" s="89">
        <f>DATE(2009,11,28)</f>
        <v>40145</v>
      </c>
      <c r="H760" s="90">
        <v>1.2694444444444444</v>
      </c>
      <c r="I760" s="30" t="s">
        <v>73</v>
      </c>
      <c r="J760" s="89" t="s">
        <v>4324</v>
      </c>
      <c r="K760" s="30" t="s">
        <v>425</v>
      </c>
      <c r="L760" s="30" t="s">
        <v>4325</v>
      </c>
      <c r="M760" s="30" t="s">
        <v>63</v>
      </c>
      <c r="N760" s="30">
        <v>0</v>
      </c>
      <c r="O760" s="30" t="s">
        <v>77</v>
      </c>
      <c r="P760" s="89" t="s">
        <v>165</v>
      </c>
      <c r="Q760" s="89" t="s">
        <v>427</v>
      </c>
      <c r="R760" s="89" t="s">
        <v>3103</v>
      </c>
      <c r="S760" s="30">
        <v>0</v>
      </c>
      <c r="T760" s="233" t="s">
        <v>68</v>
      </c>
      <c r="U760" s="30">
        <v>0</v>
      </c>
      <c r="V760" s="233" t="s">
        <v>68</v>
      </c>
      <c r="W760" s="30">
        <v>0</v>
      </c>
      <c r="X760" s="30">
        <v>0</v>
      </c>
      <c r="Y760" s="30">
        <v>0</v>
      </c>
      <c r="Z760" s="233" t="s">
        <v>68</v>
      </c>
      <c r="AA760" s="30">
        <v>0</v>
      </c>
      <c r="AB760" s="30">
        <v>0</v>
      </c>
      <c r="AC760" s="30">
        <v>0</v>
      </c>
      <c r="AD760" s="30">
        <v>0</v>
      </c>
      <c r="AE760" s="89" t="s">
        <v>68</v>
      </c>
      <c r="AF760" s="89"/>
      <c r="AG760" s="89" t="s">
        <v>133</v>
      </c>
      <c r="AH760" s="72" t="s">
        <v>68</v>
      </c>
      <c r="AI760" s="30">
        <v>0</v>
      </c>
      <c r="AJ760" s="89" t="s">
        <v>4326</v>
      </c>
      <c r="AK760" s="89" t="s">
        <v>4327</v>
      </c>
      <c r="AL760" s="91">
        <v>40169</v>
      </c>
      <c r="AM760" s="91"/>
      <c r="AN760" s="91"/>
      <c r="AO760" s="91"/>
      <c r="AP760" s="73" t="e">
        <f>MID(VLOOKUP(K760,#REF!,2,FALSE),1,2)</f>
        <v>#REF!</v>
      </c>
      <c r="AQ760" s="89">
        <f>DATE(2009,11,28)</f>
        <v>40145</v>
      </c>
      <c r="AR760" s="82">
        <f t="shared" si="50"/>
        <v>28</v>
      </c>
      <c r="AS760" s="83">
        <f t="shared" si="51"/>
        <v>11</v>
      </c>
      <c r="AT760" s="84">
        <f t="shared" si="52"/>
        <v>2009</v>
      </c>
      <c r="AU760" s="86"/>
      <c r="AV760" s="86"/>
      <c r="AW760" s="87"/>
      <c r="AX760" s="86"/>
      <c r="AY760" s="83"/>
      <c r="AZ760" s="84"/>
      <c r="BA760" s="86"/>
      <c r="BB760" s="86"/>
    </row>
    <row r="761" spans="1:54" ht="36.75" customHeight="1">
      <c r="A761" s="30"/>
      <c r="B761" s="30" t="s">
        <v>55</v>
      </c>
      <c r="C761" s="69" t="str">
        <f t="shared" si="49"/>
        <v>Closed</v>
      </c>
      <c r="D761" s="27" t="s">
        <v>4328</v>
      </c>
      <c r="E761" s="29" t="s">
        <v>4329</v>
      </c>
      <c r="F761" s="30" t="s">
        <v>233</v>
      </c>
      <c r="G761" s="89">
        <f>DATE(2009,11,28)</f>
        <v>40145</v>
      </c>
      <c r="H761" s="90">
        <v>1.8104166666666668</v>
      </c>
      <c r="I761" s="30" t="s">
        <v>73</v>
      </c>
      <c r="J761" s="89" t="s">
        <v>4330</v>
      </c>
      <c r="K761" s="30" t="s">
        <v>235</v>
      </c>
      <c r="L761" s="30" t="s">
        <v>4331</v>
      </c>
      <c r="M761" s="30" t="s">
        <v>63</v>
      </c>
      <c r="N761" s="30">
        <v>0</v>
      </c>
      <c r="O761" s="30" t="s">
        <v>64</v>
      </c>
      <c r="P761" s="89" t="s">
        <v>165</v>
      </c>
      <c r="Q761" s="89" t="s">
        <v>1081</v>
      </c>
      <c r="R761" s="89" t="s">
        <v>238</v>
      </c>
      <c r="S761" s="30">
        <v>0</v>
      </c>
      <c r="T761" s="233" t="s">
        <v>68</v>
      </c>
      <c r="U761" s="30">
        <v>0</v>
      </c>
      <c r="V761" s="233" t="s">
        <v>68</v>
      </c>
      <c r="W761" s="30">
        <v>0</v>
      </c>
      <c r="X761" s="30">
        <v>0</v>
      </c>
      <c r="Y761" s="30">
        <v>0</v>
      </c>
      <c r="Z761" s="233" t="s">
        <v>68</v>
      </c>
      <c r="AA761" s="30">
        <v>0</v>
      </c>
      <c r="AB761" s="30">
        <v>0</v>
      </c>
      <c r="AC761" s="30">
        <v>0</v>
      </c>
      <c r="AD761" s="30">
        <v>0</v>
      </c>
      <c r="AE761" s="89" t="s">
        <v>68</v>
      </c>
      <c r="AF761" s="89"/>
      <c r="AG761" s="89" t="s">
        <v>133</v>
      </c>
      <c r="AH761" s="72" t="s">
        <v>68</v>
      </c>
      <c r="AI761" s="30">
        <v>5</v>
      </c>
      <c r="AJ761" s="89" t="s">
        <v>4332</v>
      </c>
      <c r="AK761" s="89" t="s">
        <v>4333</v>
      </c>
      <c r="AL761" s="91">
        <v>40150</v>
      </c>
      <c r="AM761" s="91"/>
      <c r="AN761" s="91"/>
      <c r="AO761" s="91"/>
      <c r="AP761" s="73" t="e">
        <f>MID(VLOOKUP(K761,#REF!,2,FALSE),1,2)</f>
        <v>#REF!</v>
      </c>
      <c r="AQ761" s="89">
        <f>DATE(2009,11,28)</f>
        <v>40145</v>
      </c>
      <c r="AR761" s="82">
        <f t="shared" si="50"/>
        <v>28</v>
      </c>
      <c r="AS761" s="83">
        <f t="shared" si="51"/>
        <v>11</v>
      </c>
      <c r="AT761" s="84">
        <f t="shared" si="52"/>
        <v>2009</v>
      </c>
      <c r="AU761" s="86"/>
      <c r="AV761" s="86"/>
      <c r="AW761" s="87"/>
      <c r="AX761" s="86"/>
      <c r="AY761" s="83"/>
      <c r="AZ761" s="84"/>
      <c r="BA761" s="86"/>
      <c r="BB761" s="86"/>
    </row>
    <row r="762" spans="1:54" ht="36.75" customHeight="1">
      <c r="A762" s="30"/>
      <c r="B762" s="30" t="s">
        <v>55</v>
      </c>
      <c r="C762" s="69" t="str">
        <f t="shared" si="49"/>
        <v>Closed</v>
      </c>
      <c r="D762" s="27" t="s">
        <v>4334</v>
      </c>
      <c r="E762" s="29" t="s">
        <v>4335</v>
      </c>
      <c r="F762" s="30" t="s">
        <v>2601</v>
      </c>
      <c r="G762" s="89">
        <f>DATE(2009,11,30)</f>
        <v>40147</v>
      </c>
      <c r="H762" s="90">
        <v>1.7465277777777777</v>
      </c>
      <c r="I762" s="30" t="s">
        <v>125</v>
      </c>
      <c r="J762" s="89" t="s">
        <v>4336</v>
      </c>
      <c r="K762" s="30" t="s">
        <v>2603</v>
      </c>
      <c r="L762" s="30" t="s">
        <v>4337</v>
      </c>
      <c r="M762" s="30" t="s">
        <v>63</v>
      </c>
      <c r="N762" s="30">
        <v>0</v>
      </c>
      <c r="O762" s="30" t="s">
        <v>64</v>
      </c>
      <c r="P762" s="89" t="s">
        <v>65</v>
      </c>
      <c r="Q762" s="89" t="s">
        <v>4338</v>
      </c>
      <c r="R762" s="89" t="s">
        <v>2606</v>
      </c>
      <c r="S762" s="30">
        <v>0</v>
      </c>
      <c r="T762" s="233" t="s">
        <v>68</v>
      </c>
      <c r="U762" s="30">
        <v>0</v>
      </c>
      <c r="V762" s="233" t="s">
        <v>68</v>
      </c>
      <c r="W762" s="30">
        <v>0</v>
      </c>
      <c r="X762" s="30">
        <v>0</v>
      </c>
      <c r="Y762" s="30">
        <v>0</v>
      </c>
      <c r="Z762" s="233" t="s">
        <v>68</v>
      </c>
      <c r="AA762" s="30">
        <v>0</v>
      </c>
      <c r="AB762" s="30">
        <v>0</v>
      </c>
      <c r="AC762" s="30">
        <v>0</v>
      </c>
      <c r="AD762" s="30">
        <v>0</v>
      </c>
      <c r="AE762" s="89" t="s">
        <v>68</v>
      </c>
      <c r="AF762" s="89"/>
      <c r="AG762" s="89" t="s">
        <v>352</v>
      </c>
      <c r="AH762" s="72" t="s">
        <v>68</v>
      </c>
      <c r="AI762" s="30">
        <v>5</v>
      </c>
      <c r="AJ762" s="89" t="s">
        <v>4339</v>
      </c>
      <c r="AK762" s="89" t="s">
        <v>68</v>
      </c>
      <c r="AL762" s="91">
        <v>40156</v>
      </c>
      <c r="AM762" s="91"/>
      <c r="AN762" s="91"/>
      <c r="AO762" s="91"/>
      <c r="AP762" s="73" t="e">
        <f>MID(VLOOKUP(K762,#REF!,2,FALSE),1,2)</f>
        <v>#REF!</v>
      </c>
      <c r="AQ762" s="89">
        <f>DATE(2009,11,30)</f>
        <v>40147</v>
      </c>
      <c r="AR762" s="82">
        <f t="shared" si="50"/>
        <v>30</v>
      </c>
      <c r="AS762" s="83">
        <f t="shared" si="51"/>
        <v>11</v>
      </c>
      <c r="AT762" s="84">
        <f t="shared" si="52"/>
        <v>2009</v>
      </c>
      <c r="AU762" s="86"/>
      <c r="AV762" s="86"/>
      <c r="AW762" s="87"/>
      <c r="AX762" s="86"/>
      <c r="AY762" s="83"/>
      <c r="AZ762" s="84"/>
      <c r="BA762" s="86"/>
      <c r="BB762" s="86"/>
    </row>
    <row r="763" spans="1:54" ht="36.75" customHeight="1">
      <c r="A763" s="30"/>
      <c r="B763" s="30" t="s">
        <v>55</v>
      </c>
      <c r="C763" s="69" t="str">
        <f t="shared" si="49"/>
        <v>Closed</v>
      </c>
      <c r="D763" s="27" t="s">
        <v>4340</v>
      </c>
      <c r="E763" s="29" t="s">
        <v>4341</v>
      </c>
      <c r="F763" s="30" t="s">
        <v>638</v>
      </c>
      <c r="G763" s="89">
        <f>DATE(2009,12,1)</f>
        <v>40148</v>
      </c>
      <c r="H763" s="90">
        <v>1.8152777777777778</v>
      </c>
      <c r="I763" s="30" t="s">
        <v>116</v>
      </c>
      <c r="J763" s="89" t="s">
        <v>4342</v>
      </c>
      <c r="K763" s="30" t="s">
        <v>640</v>
      </c>
      <c r="L763" s="30" t="s">
        <v>4343</v>
      </c>
      <c r="M763" s="30" t="s">
        <v>63</v>
      </c>
      <c r="N763" s="30">
        <v>0</v>
      </c>
      <c r="O763" s="30" t="s">
        <v>77</v>
      </c>
      <c r="P763" s="89" t="s">
        <v>65</v>
      </c>
      <c r="Q763" s="89" t="s">
        <v>642</v>
      </c>
      <c r="R763" s="89" t="s">
        <v>643</v>
      </c>
      <c r="S763" s="30">
        <v>0</v>
      </c>
      <c r="T763" s="233">
        <v>0</v>
      </c>
      <c r="U763" s="30">
        <v>1</v>
      </c>
      <c r="V763" s="233">
        <v>0</v>
      </c>
      <c r="W763" s="30">
        <v>0</v>
      </c>
      <c r="X763" s="30">
        <v>1</v>
      </c>
      <c r="Y763" s="30">
        <v>0</v>
      </c>
      <c r="Z763" s="233">
        <v>0</v>
      </c>
      <c r="AA763" s="30">
        <v>0</v>
      </c>
      <c r="AB763" s="30">
        <v>0</v>
      </c>
      <c r="AC763" s="30">
        <v>0</v>
      </c>
      <c r="AD763" s="30">
        <v>0</v>
      </c>
      <c r="AE763" s="89" t="s">
        <v>68</v>
      </c>
      <c r="AF763" s="89"/>
      <c r="AG763" s="89" t="s">
        <v>248</v>
      </c>
      <c r="AH763" s="72" t="s">
        <v>68</v>
      </c>
      <c r="AI763" s="30">
        <v>0</v>
      </c>
      <c r="AJ763" s="89" t="s">
        <v>68</v>
      </c>
      <c r="AK763" s="89" t="s">
        <v>68</v>
      </c>
      <c r="AL763" s="91">
        <v>40196</v>
      </c>
      <c r="AM763" s="91"/>
      <c r="AN763" s="91"/>
      <c r="AO763" s="91"/>
      <c r="AP763" s="73" t="e">
        <f>MID(VLOOKUP(K763,#REF!,2,FALSE),1,2)</f>
        <v>#REF!</v>
      </c>
      <c r="AQ763" s="89">
        <f>DATE(2009,12,1)</f>
        <v>40148</v>
      </c>
      <c r="AR763" s="82">
        <f t="shared" si="50"/>
        <v>1</v>
      </c>
      <c r="AS763" s="83">
        <f t="shared" si="51"/>
        <v>12</v>
      </c>
      <c r="AT763" s="84">
        <f t="shared" si="52"/>
        <v>2009</v>
      </c>
      <c r="AU763" s="86"/>
      <c r="AV763" s="86"/>
      <c r="AW763" s="87"/>
      <c r="AX763" s="86"/>
      <c r="AY763" s="83"/>
      <c r="AZ763" s="84"/>
      <c r="BA763" s="86"/>
      <c r="BB763" s="86"/>
    </row>
    <row r="764" spans="1:54" ht="36.75" customHeight="1">
      <c r="A764" s="30"/>
      <c r="B764" s="30" t="s">
        <v>55</v>
      </c>
      <c r="C764" s="69" t="str">
        <f t="shared" si="49"/>
        <v>Closed</v>
      </c>
      <c r="D764" s="27" t="s">
        <v>4344</v>
      </c>
      <c r="E764" s="29" t="s">
        <v>4345</v>
      </c>
      <c r="F764" s="30" t="s">
        <v>233</v>
      </c>
      <c r="G764" s="89">
        <f>DATE(2009,12,2)</f>
        <v>40149</v>
      </c>
      <c r="H764" s="90">
        <v>1.4006944444444445</v>
      </c>
      <c r="I764" s="30" t="s">
        <v>278</v>
      </c>
      <c r="J764" s="89" t="s">
        <v>4346</v>
      </c>
      <c r="K764" s="30" t="s">
        <v>235</v>
      </c>
      <c r="L764" s="30" t="s">
        <v>4347</v>
      </c>
      <c r="M764" s="30" t="s">
        <v>63</v>
      </c>
      <c r="N764" s="30">
        <v>0</v>
      </c>
      <c r="O764" s="30" t="s">
        <v>64</v>
      </c>
      <c r="P764" s="89" t="s">
        <v>165</v>
      </c>
      <c r="Q764" s="89" t="s">
        <v>3352</v>
      </c>
      <c r="R764" s="89" t="s">
        <v>238</v>
      </c>
      <c r="S764" s="30">
        <v>0</v>
      </c>
      <c r="T764" s="233">
        <v>1</v>
      </c>
      <c r="U764" s="30">
        <v>0</v>
      </c>
      <c r="V764" s="233">
        <v>0</v>
      </c>
      <c r="W764" s="30">
        <v>0</v>
      </c>
      <c r="X764" s="30">
        <v>1</v>
      </c>
      <c r="Y764" s="30">
        <v>0</v>
      </c>
      <c r="Z764" s="233">
        <v>0</v>
      </c>
      <c r="AA764" s="30">
        <v>0</v>
      </c>
      <c r="AB764" s="30">
        <v>0</v>
      </c>
      <c r="AC764" s="30">
        <v>0</v>
      </c>
      <c r="AD764" s="30">
        <v>0</v>
      </c>
      <c r="AE764" s="89" t="s">
        <v>68</v>
      </c>
      <c r="AF764" s="89"/>
      <c r="AG764" s="89" t="s">
        <v>82</v>
      </c>
      <c r="AH764" s="72" t="s">
        <v>68</v>
      </c>
      <c r="AI764" s="30">
        <v>2</v>
      </c>
      <c r="AJ764" s="89" t="s">
        <v>4348</v>
      </c>
      <c r="AK764" s="89" t="s">
        <v>4349</v>
      </c>
      <c r="AL764" s="91">
        <v>40161</v>
      </c>
      <c r="AM764" s="91"/>
      <c r="AN764" s="91"/>
      <c r="AO764" s="91"/>
      <c r="AP764" s="73" t="e">
        <f>MID(VLOOKUP(K764,#REF!,2,FALSE),1,2)</f>
        <v>#REF!</v>
      </c>
      <c r="AQ764" s="89">
        <f>DATE(2009,12,2)</f>
        <v>40149</v>
      </c>
      <c r="AR764" s="82">
        <f t="shared" si="50"/>
        <v>2</v>
      </c>
      <c r="AS764" s="83">
        <f t="shared" si="51"/>
        <v>12</v>
      </c>
      <c r="AT764" s="84">
        <f t="shared" si="52"/>
        <v>2009</v>
      </c>
      <c r="AU764" s="86"/>
      <c r="AV764" s="86"/>
      <c r="AW764" s="87"/>
      <c r="AX764" s="86"/>
      <c r="AY764" s="83"/>
      <c r="AZ764" s="84"/>
      <c r="BA764" s="86"/>
      <c r="BB764" s="86"/>
    </row>
    <row r="765" spans="1:54" ht="36.75" customHeight="1">
      <c r="A765" s="30"/>
      <c r="B765" s="30" t="s">
        <v>55</v>
      </c>
      <c r="C765" s="69" t="str">
        <f t="shared" si="49"/>
        <v>Closed</v>
      </c>
      <c r="D765" s="27" t="s">
        <v>4350</v>
      </c>
      <c r="E765" s="29" t="s">
        <v>4351</v>
      </c>
      <c r="F765" s="30" t="s">
        <v>58</v>
      </c>
      <c r="G765" s="89">
        <f>DATE(2009,12,3)</f>
        <v>40150</v>
      </c>
      <c r="H765" s="90">
        <v>1.1701388888888888</v>
      </c>
      <c r="I765" s="30" t="s">
        <v>116</v>
      </c>
      <c r="J765" s="89" t="s">
        <v>4352</v>
      </c>
      <c r="K765" s="30" t="s">
        <v>61</v>
      </c>
      <c r="L765" s="30" t="s">
        <v>4353</v>
      </c>
      <c r="M765" s="30" t="s">
        <v>63</v>
      </c>
      <c r="N765" s="30">
        <v>0</v>
      </c>
      <c r="O765" s="30" t="s">
        <v>64</v>
      </c>
      <c r="P765" s="89" t="s">
        <v>65</v>
      </c>
      <c r="Q765" s="89" t="s">
        <v>66</v>
      </c>
      <c r="R765" s="89" t="s">
        <v>67</v>
      </c>
      <c r="S765" s="30">
        <v>0</v>
      </c>
      <c r="T765" s="233">
        <v>0</v>
      </c>
      <c r="U765" s="30">
        <v>1</v>
      </c>
      <c r="V765" s="233">
        <v>0</v>
      </c>
      <c r="W765" s="30">
        <v>0</v>
      </c>
      <c r="X765" s="30">
        <v>1</v>
      </c>
      <c r="Y765" s="30">
        <v>0</v>
      </c>
      <c r="Z765" s="233">
        <v>0</v>
      </c>
      <c r="AA765" s="30">
        <v>0</v>
      </c>
      <c r="AB765" s="30">
        <v>0</v>
      </c>
      <c r="AC765" s="30">
        <v>0</v>
      </c>
      <c r="AD765" s="30">
        <v>0</v>
      </c>
      <c r="AE765" s="89" t="s">
        <v>68</v>
      </c>
      <c r="AF765" s="89"/>
      <c r="AG765" s="89" t="s">
        <v>82</v>
      </c>
      <c r="AH765" s="72" t="s">
        <v>68</v>
      </c>
      <c r="AI765" s="30">
        <v>0</v>
      </c>
      <c r="AJ765" s="89" t="s">
        <v>4354</v>
      </c>
      <c r="AK765" s="89" t="s">
        <v>68</v>
      </c>
      <c r="AL765" s="91">
        <v>40163</v>
      </c>
      <c r="AM765" s="91"/>
      <c r="AN765" s="91"/>
      <c r="AO765" s="91"/>
      <c r="AP765" s="73" t="e">
        <f>MID(VLOOKUP(K765,#REF!,2,FALSE),1,2)</f>
        <v>#REF!</v>
      </c>
      <c r="AQ765" s="89">
        <f>DATE(2009,12,3)</f>
        <v>40150</v>
      </c>
      <c r="AR765" s="82">
        <f t="shared" si="50"/>
        <v>3</v>
      </c>
      <c r="AS765" s="83">
        <f t="shared" si="51"/>
        <v>12</v>
      </c>
      <c r="AT765" s="84">
        <f t="shared" si="52"/>
        <v>2009</v>
      </c>
      <c r="AU765" s="86"/>
      <c r="AV765" s="86"/>
      <c r="AW765" s="87"/>
      <c r="AX765" s="86"/>
      <c r="AY765" s="83"/>
      <c r="AZ765" s="84"/>
      <c r="BA765" s="86"/>
      <c r="BB765" s="86"/>
    </row>
    <row r="766" spans="1:54" ht="36.75" customHeight="1">
      <c r="A766" s="30"/>
      <c r="B766" s="30" t="s">
        <v>55</v>
      </c>
      <c r="C766" s="69" t="str">
        <f t="shared" si="49"/>
        <v>Closed</v>
      </c>
      <c r="D766" s="27" t="s">
        <v>4355</v>
      </c>
      <c r="E766" s="29" t="s">
        <v>4356</v>
      </c>
      <c r="F766" s="30" t="s">
        <v>1572</v>
      </c>
      <c r="G766" s="89">
        <f>DATE(2009,12,5)</f>
        <v>40152</v>
      </c>
      <c r="H766" s="90">
        <v>1.5715277777777779</v>
      </c>
      <c r="I766" s="30" t="s">
        <v>59</v>
      </c>
      <c r="J766" s="89" t="s">
        <v>4357</v>
      </c>
      <c r="K766" s="30" t="s">
        <v>1574</v>
      </c>
      <c r="L766" s="30" t="s">
        <v>4358</v>
      </c>
      <c r="M766" s="30" t="s">
        <v>63</v>
      </c>
      <c r="N766" s="30">
        <v>0</v>
      </c>
      <c r="O766" s="30" t="s">
        <v>77</v>
      </c>
      <c r="P766" s="89" t="s">
        <v>165</v>
      </c>
      <c r="Q766" s="89" t="s">
        <v>2413</v>
      </c>
      <c r="R766" s="89">
        <v>0</v>
      </c>
      <c r="S766" s="30">
        <v>0</v>
      </c>
      <c r="T766" s="233" t="s">
        <v>68</v>
      </c>
      <c r="U766" s="30">
        <v>0</v>
      </c>
      <c r="V766" s="233" t="s">
        <v>68</v>
      </c>
      <c r="W766" s="30">
        <v>0</v>
      </c>
      <c r="X766" s="30">
        <v>0</v>
      </c>
      <c r="Y766" s="30">
        <v>0</v>
      </c>
      <c r="Z766" s="233" t="s">
        <v>68</v>
      </c>
      <c r="AA766" s="30">
        <v>0</v>
      </c>
      <c r="AB766" s="30">
        <v>0</v>
      </c>
      <c r="AC766" s="30">
        <v>0</v>
      </c>
      <c r="AD766" s="30">
        <v>0</v>
      </c>
      <c r="AE766" s="89" t="s">
        <v>68</v>
      </c>
      <c r="AF766" s="89"/>
      <c r="AG766" s="89" t="s">
        <v>1683</v>
      </c>
      <c r="AH766" s="72" t="s">
        <v>68</v>
      </c>
      <c r="AI766" s="30">
        <v>3</v>
      </c>
      <c r="AJ766" s="89" t="s">
        <v>4359</v>
      </c>
      <c r="AK766" s="89" t="s">
        <v>4360</v>
      </c>
      <c r="AL766" s="91">
        <v>40157</v>
      </c>
      <c r="AM766" s="91"/>
      <c r="AN766" s="91"/>
      <c r="AO766" s="91"/>
      <c r="AP766" s="73" t="e">
        <f>MID(VLOOKUP(K766,#REF!,2,FALSE),1,2)</f>
        <v>#REF!</v>
      </c>
      <c r="AQ766" s="89">
        <f>DATE(2009,12,5)</f>
        <v>40152</v>
      </c>
      <c r="AR766" s="82">
        <f t="shared" si="50"/>
        <v>5</v>
      </c>
      <c r="AS766" s="83">
        <f t="shared" si="51"/>
        <v>12</v>
      </c>
      <c r="AT766" s="84">
        <f t="shared" si="52"/>
        <v>2009</v>
      </c>
      <c r="AU766" s="86"/>
      <c r="AV766" s="86"/>
      <c r="AW766" s="87"/>
      <c r="AX766" s="86"/>
      <c r="AY766" s="83"/>
      <c r="AZ766" s="84"/>
      <c r="BA766" s="86"/>
      <c r="BB766" s="86"/>
    </row>
    <row r="767" spans="1:54" ht="36.75" customHeight="1">
      <c r="A767" s="30"/>
      <c r="B767" s="30" t="s">
        <v>55</v>
      </c>
      <c r="C767" s="69" t="str">
        <f t="shared" si="49"/>
        <v>Closed</v>
      </c>
      <c r="D767" s="27" t="s">
        <v>4361</v>
      </c>
      <c r="E767" s="29" t="s">
        <v>4362</v>
      </c>
      <c r="F767" s="30" t="s">
        <v>638</v>
      </c>
      <c r="G767" s="89">
        <f>DATE(2009,12,6)</f>
        <v>40153</v>
      </c>
      <c r="H767" s="90">
        <v>1.3611111111111112</v>
      </c>
      <c r="I767" s="30" t="s">
        <v>104</v>
      </c>
      <c r="J767" s="89" t="s">
        <v>4363</v>
      </c>
      <c r="K767" s="30" t="s">
        <v>640</v>
      </c>
      <c r="L767" s="30" t="s">
        <v>4364</v>
      </c>
      <c r="M767" s="30" t="s">
        <v>63</v>
      </c>
      <c r="N767" s="30">
        <v>0</v>
      </c>
      <c r="O767" s="30" t="s">
        <v>77</v>
      </c>
      <c r="P767" s="89" t="s">
        <v>65</v>
      </c>
      <c r="Q767" s="89" t="s">
        <v>642</v>
      </c>
      <c r="R767" s="89" t="s">
        <v>643</v>
      </c>
      <c r="S767" s="30">
        <v>0</v>
      </c>
      <c r="T767" s="233" t="s">
        <v>68</v>
      </c>
      <c r="U767" s="30">
        <v>0</v>
      </c>
      <c r="V767" s="233" t="s">
        <v>68</v>
      </c>
      <c r="W767" s="30">
        <v>0</v>
      </c>
      <c r="X767" s="30">
        <v>0</v>
      </c>
      <c r="Y767" s="30">
        <v>0</v>
      </c>
      <c r="Z767" s="233" t="s">
        <v>68</v>
      </c>
      <c r="AA767" s="30">
        <v>0</v>
      </c>
      <c r="AB767" s="30">
        <v>0</v>
      </c>
      <c r="AC767" s="30">
        <v>0</v>
      </c>
      <c r="AD767" s="30">
        <v>0</v>
      </c>
      <c r="AE767" s="89" t="s">
        <v>68</v>
      </c>
      <c r="AF767" s="89"/>
      <c r="AG767" s="89" t="s">
        <v>248</v>
      </c>
      <c r="AH767" s="72" t="s">
        <v>68</v>
      </c>
      <c r="AI767" s="30">
        <v>6</v>
      </c>
      <c r="AJ767" s="89" t="s">
        <v>4365</v>
      </c>
      <c r="AK767" s="89" t="s">
        <v>68</v>
      </c>
      <c r="AL767" s="91">
        <v>40196</v>
      </c>
      <c r="AM767" s="91"/>
      <c r="AN767" s="91"/>
      <c r="AO767" s="91"/>
      <c r="AP767" s="73" t="e">
        <f>MID(VLOOKUP(K767,#REF!,2,FALSE),1,2)</f>
        <v>#REF!</v>
      </c>
      <c r="AQ767" s="89">
        <f>DATE(2009,12,6)</f>
        <v>40153</v>
      </c>
      <c r="AR767" s="82">
        <f t="shared" si="50"/>
        <v>6</v>
      </c>
      <c r="AS767" s="83">
        <f t="shared" si="51"/>
        <v>12</v>
      </c>
      <c r="AT767" s="84">
        <f t="shared" si="52"/>
        <v>2009</v>
      </c>
      <c r="AU767" s="86"/>
      <c r="AV767" s="86"/>
      <c r="AW767" s="87"/>
      <c r="AX767" s="86"/>
      <c r="AY767" s="83"/>
      <c r="AZ767" s="84"/>
      <c r="BA767" s="86"/>
      <c r="BB767" s="86"/>
    </row>
    <row r="768" spans="1:54" ht="36.75" customHeight="1">
      <c r="A768" s="30"/>
      <c r="B768" s="30" t="s">
        <v>55</v>
      </c>
      <c r="C768" s="69" t="str">
        <f t="shared" si="49"/>
        <v>Closed</v>
      </c>
      <c r="D768" s="27" t="s">
        <v>4366</v>
      </c>
      <c r="E768" s="29" t="s">
        <v>4367</v>
      </c>
      <c r="F768" s="30" t="s">
        <v>638</v>
      </c>
      <c r="G768" s="89">
        <f>DATE(2009,12,11)</f>
        <v>40158</v>
      </c>
      <c r="H768" s="90">
        <v>1.8986111111111112</v>
      </c>
      <c r="I768" s="30" t="s">
        <v>104</v>
      </c>
      <c r="J768" s="89" t="s">
        <v>4368</v>
      </c>
      <c r="K768" s="30" t="s">
        <v>640</v>
      </c>
      <c r="L768" s="30" t="s">
        <v>4369</v>
      </c>
      <c r="M768" s="30" t="s">
        <v>63</v>
      </c>
      <c r="N768" s="30">
        <v>0</v>
      </c>
      <c r="O768" s="30" t="s">
        <v>77</v>
      </c>
      <c r="P768" s="89" t="s">
        <v>2841</v>
      </c>
      <c r="Q768" s="89" t="s">
        <v>3033</v>
      </c>
      <c r="R768" s="89" t="s">
        <v>643</v>
      </c>
      <c r="S768" s="30">
        <v>0</v>
      </c>
      <c r="T768" s="233" t="s">
        <v>68</v>
      </c>
      <c r="U768" s="30">
        <v>0</v>
      </c>
      <c r="V768" s="233" t="s">
        <v>68</v>
      </c>
      <c r="W768" s="30">
        <v>0</v>
      </c>
      <c r="X768" s="30">
        <v>0</v>
      </c>
      <c r="Y768" s="30">
        <v>0</v>
      </c>
      <c r="Z768" s="233" t="s">
        <v>68</v>
      </c>
      <c r="AA768" s="30">
        <v>0</v>
      </c>
      <c r="AB768" s="30">
        <v>0</v>
      </c>
      <c r="AC768" s="30">
        <v>0</v>
      </c>
      <c r="AD768" s="30">
        <v>0</v>
      </c>
      <c r="AE768" s="89" t="s">
        <v>68</v>
      </c>
      <c r="AF768" s="89"/>
      <c r="AG768" s="89" t="s">
        <v>248</v>
      </c>
      <c r="AH768" s="72" t="s">
        <v>68</v>
      </c>
      <c r="AI768" s="30">
        <v>1</v>
      </c>
      <c r="AJ768" s="89" t="s">
        <v>4370</v>
      </c>
      <c r="AK768" s="89" t="s">
        <v>68</v>
      </c>
      <c r="AL768" s="91">
        <v>40196</v>
      </c>
      <c r="AM768" s="91"/>
      <c r="AN768" s="91"/>
      <c r="AO768" s="91"/>
      <c r="AP768" s="73" t="e">
        <f>MID(VLOOKUP(K768,#REF!,2,FALSE),1,2)</f>
        <v>#REF!</v>
      </c>
      <c r="AQ768" s="89">
        <f>DATE(2009,12,11)</f>
        <v>40158</v>
      </c>
      <c r="AR768" s="82">
        <f t="shared" si="50"/>
        <v>11</v>
      </c>
      <c r="AS768" s="83">
        <f t="shared" si="51"/>
        <v>12</v>
      </c>
      <c r="AT768" s="84">
        <f t="shared" si="52"/>
        <v>2009</v>
      </c>
      <c r="AU768" s="86"/>
      <c r="AV768" s="86"/>
      <c r="AW768" s="87"/>
      <c r="AX768" s="86"/>
      <c r="AY768" s="83"/>
      <c r="AZ768" s="84"/>
      <c r="BA768" s="86"/>
      <c r="BB768" s="86"/>
    </row>
    <row r="769" spans="1:54" ht="36.75" customHeight="1">
      <c r="A769" s="30"/>
      <c r="B769" s="30" t="s">
        <v>55</v>
      </c>
      <c r="C769" s="69" t="str">
        <f t="shared" si="49"/>
        <v>Closed</v>
      </c>
      <c r="D769" s="27" t="s">
        <v>4371</v>
      </c>
      <c r="E769" s="29" t="s">
        <v>4372</v>
      </c>
      <c r="F769" s="30" t="s">
        <v>638</v>
      </c>
      <c r="G769" s="89">
        <f>DATE(2009,12,13)</f>
        <v>40160</v>
      </c>
      <c r="H769" s="90">
        <v>1.7687499999999998</v>
      </c>
      <c r="I769" s="30" t="s">
        <v>116</v>
      </c>
      <c r="J769" s="89" t="s">
        <v>4373</v>
      </c>
      <c r="K769" s="30" t="s">
        <v>640</v>
      </c>
      <c r="L769" s="30" t="s">
        <v>4374</v>
      </c>
      <c r="M769" s="30" t="s">
        <v>63</v>
      </c>
      <c r="N769" s="30">
        <v>0</v>
      </c>
      <c r="O769" s="30" t="s">
        <v>64</v>
      </c>
      <c r="P769" s="89" t="s">
        <v>165</v>
      </c>
      <c r="Q769" s="89" t="s">
        <v>642</v>
      </c>
      <c r="R769" s="89" t="s">
        <v>643</v>
      </c>
      <c r="S769" s="30">
        <v>0</v>
      </c>
      <c r="T769" s="233">
        <v>0</v>
      </c>
      <c r="U769" s="30">
        <v>1</v>
      </c>
      <c r="V769" s="233">
        <v>0</v>
      </c>
      <c r="W769" s="30">
        <v>0</v>
      </c>
      <c r="X769" s="30">
        <v>1</v>
      </c>
      <c r="Y769" s="30">
        <v>0</v>
      </c>
      <c r="Z769" s="233">
        <v>0</v>
      </c>
      <c r="AA769" s="30">
        <v>0</v>
      </c>
      <c r="AB769" s="30">
        <v>0</v>
      </c>
      <c r="AC769" s="30">
        <v>0</v>
      </c>
      <c r="AD769" s="30">
        <v>0</v>
      </c>
      <c r="AE769" s="89" t="s">
        <v>68</v>
      </c>
      <c r="AF769" s="89"/>
      <c r="AG769" s="89" t="s">
        <v>248</v>
      </c>
      <c r="AH769" s="72" t="s">
        <v>68</v>
      </c>
      <c r="AI769" s="30">
        <v>1</v>
      </c>
      <c r="AJ769" s="89" t="s">
        <v>4375</v>
      </c>
      <c r="AK769" s="89" t="s">
        <v>68</v>
      </c>
      <c r="AL769" s="91">
        <v>40196</v>
      </c>
      <c r="AM769" s="91"/>
      <c r="AN769" s="91"/>
      <c r="AO769" s="91"/>
      <c r="AP769" s="73" t="e">
        <f>MID(VLOOKUP(K769,#REF!,2,FALSE),1,2)</f>
        <v>#REF!</v>
      </c>
      <c r="AQ769" s="89">
        <f>DATE(2009,12,13)</f>
        <v>40160</v>
      </c>
      <c r="AR769" s="82">
        <f t="shared" si="50"/>
        <v>13</v>
      </c>
      <c r="AS769" s="83">
        <f t="shared" si="51"/>
        <v>12</v>
      </c>
      <c r="AT769" s="84">
        <f t="shared" si="52"/>
        <v>2009</v>
      </c>
      <c r="AU769" s="86"/>
      <c r="AV769" s="86"/>
      <c r="AW769" s="87"/>
      <c r="AX769" s="86"/>
      <c r="AY769" s="83"/>
      <c r="AZ769" s="84"/>
      <c r="BA769" s="86"/>
      <c r="BB769" s="86"/>
    </row>
    <row r="770" spans="1:54" ht="36.75" customHeight="1">
      <c r="A770" s="30"/>
      <c r="B770" s="30" t="s">
        <v>55</v>
      </c>
      <c r="C770" s="69" t="str">
        <f t="shared" ref="C770:C833" si="53">IF(B770="Notification","Open",IF(B770="Interim Statement","In progress","Closed"))</f>
        <v>Closed</v>
      </c>
      <c r="D770" s="27" t="s">
        <v>4376</v>
      </c>
      <c r="E770" s="29" t="s">
        <v>4377</v>
      </c>
      <c r="F770" s="30" t="s">
        <v>638</v>
      </c>
      <c r="G770" s="89">
        <f>DATE(2009,12,15)</f>
        <v>40162</v>
      </c>
      <c r="H770" s="90">
        <v>1.7270833333333333</v>
      </c>
      <c r="I770" s="30" t="s">
        <v>156</v>
      </c>
      <c r="J770" s="89" t="s">
        <v>4378</v>
      </c>
      <c r="K770" s="30" t="s">
        <v>640</v>
      </c>
      <c r="L770" s="30" t="s">
        <v>4379</v>
      </c>
      <c r="M770" s="30" t="s">
        <v>63</v>
      </c>
      <c r="N770" s="30">
        <v>0</v>
      </c>
      <c r="O770" s="30" t="s">
        <v>64</v>
      </c>
      <c r="P770" s="89" t="s">
        <v>165</v>
      </c>
      <c r="Q770" s="89" t="s">
        <v>3246</v>
      </c>
      <c r="R770" s="89" t="s">
        <v>3246</v>
      </c>
      <c r="S770" s="30">
        <v>0</v>
      </c>
      <c r="T770" s="233" t="s">
        <v>68</v>
      </c>
      <c r="U770" s="30">
        <v>0</v>
      </c>
      <c r="V770" s="233" t="s">
        <v>68</v>
      </c>
      <c r="W770" s="30">
        <v>0</v>
      </c>
      <c r="X770" s="30">
        <v>0</v>
      </c>
      <c r="Y770" s="30">
        <v>0</v>
      </c>
      <c r="Z770" s="233" t="s">
        <v>68</v>
      </c>
      <c r="AA770" s="30">
        <v>0</v>
      </c>
      <c r="AB770" s="30">
        <v>0</v>
      </c>
      <c r="AC770" s="30">
        <v>0</v>
      </c>
      <c r="AD770" s="30">
        <v>0</v>
      </c>
      <c r="AE770" s="89" t="s">
        <v>68</v>
      </c>
      <c r="AF770" s="89"/>
      <c r="AG770" s="89" t="s">
        <v>352</v>
      </c>
      <c r="AH770" s="72" t="s">
        <v>68</v>
      </c>
      <c r="AI770" s="30">
        <v>1</v>
      </c>
      <c r="AJ770" s="89" t="s">
        <v>4380</v>
      </c>
      <c r="AK770" s="89" t="s">
        <v>68</v>
      </c>
      <c r="AL770" s="91">
        <v>40213</v>
      </c>
      <c r="AM770" s="91"/>
      <c r="AN770" s="91"/>
      <c r="AO770" s="91"/>
      <c r="AP770" s="73" t="e">
        <f>MID(VLOOKUP(K770,#REF!,2,FALSE),1,2)</f>
        <v>#REF!</v>
      </c>
      <c r="AQ770" s="89">
        <f>DATE(2009,12,15)</f>
        <v>40162</v>
      </c>
      <c r="AR770" s="82">
        <f t="shared" ref="AR770:AR833" si="54">DAY(AQ770)</f>
        <v>15</v>
      </c>
      <c r="AS770" s="83">
        <f t="shared" ref="AS770:AS833" si="55">MONTH(AQ770)</f>
        <v>12</v>
      </c>
      <c r="AT770" s="84">
        <f t="shared" ref="AT770:AT833" si="56">YEAR(AQ770)</f>
        <v>2009</v>
      </c>
      <c r="AU770" s="86"/>
      <c r="AV770" s="86"/>
      <c r="AW770" s="87"/>
      <c r="AX770" s="86"/>
      <c r="AY770" s="83"/>
      <c r="AZ770" s="84"/>
      <c r="BA770" s="86"/>
      <c r="BB770" s="86"/>
    </row>
    <row r="771" spans="1:54" ht="36.75" customHeight="1">
      <c r="A771" s="30"/>
      <c r="B771" s="30" t="s">
        <v>55</v>
      </c>
      <c r="C771" s="69" t="str">
        <f t="shared" si="53"/>
        <v>Closed</v>
      </c>
      <c r="D771" s="27" t="s">
        <v>4381</v>
      </c>
      <c r="E771" s="29" t="s">
        <v>4382</v>
      </c>
      <c r="F771" s="30" t="s">
        <v>58</v>
      </c>
      <c r="G771" s="89">
        <f>DATE(2009,12,16)</f>
        <v>40163</v>
      </c>
      <c r="H771" s="90">
        <v>1.5597222222222222</v>
      </c>
      <c r="I771" s="30" t="s">
        <v>116</v>
      </c>
      <c r="J771" s="89" t="s">
        <v>4383</v>
      </c>
      <c r="K771" s="30" t="s">
        <v>61</v>
      </c>
      <c r="L771" s="30" t="s">
        <v>4384</v>
      </c>
      <c r="M771" s="30" t="s">
        <v>63</v>
      </c>
      <c r="N771" s="30" t="s">
        <v>99</v>
      </c>
      <c r="O771" s="30" t="s">
        <v>64</v>
      </c>
      <c r="P771" s="89" t="s">
        <v>78</v>
      </c>
      <c r="Q771" s="89" t="s">
        <v>66</v>
      </c>
      <c r="R771" s="89" t="s">
        <v>67</v>
      </c>
      <c r="S771" s="30">
        <v>0</v>
      </c>
      <c r="T771" s="233">
        <v>0</v>
      </c>
      <c r="U771" s="30">
        <v>2</v>
      </c>
      <c r="V771" s="233">
        <v>0</v>
      </c>
      <c r="W771" s="30">
        <v>0</v>
      </c>
      <c r="X771" s="30">
        <v>2</v>
      </c>
      <c r="Y771" s="30">
        <v>0</v>
      </c>
      <c r="Z771" s="233">
        <v>0</v>
      </c>
      <c r="AA771" s="30">
        <v>0</v>
      </c>
      <c r="AB771" s="30">
        <v>0</v>
      </c>
      <c r="AC771" s="30">
        <v>0</v>
      </c>
      <c r="AD771" s="30">
        <v>0</v>
      </c>
      <c r="AE771" s="89" t="s">
        <v>92</v>
      </c>
      <c r="AF771" s="89"/>
      <c r="AG771" s="89" t="s">
        <v>82</v>
      </c>
      <c r="AH771" s="72">
        <v>40165</v>
      </c>
      <c r="AI771" s="30">
        <v>1</v>
      </c>
      <c r="AJ771" s="89" t="s">
        <v>4385</v>
      </c>
      <c r="AK771" s="89" t="s">
        <v>4386</v>
      </c>
      <c r="AL771" s="91">
        <v>40176</v>
      </c>
      <c r="AM771" s="91"/>
      <c r="AN771" s="91"/>
      <c r="AO771" s="91"/>
      <c r="AP771" s="73" t="e">
        <f>MID(VLOOKUP(K771,#REF!,2,FALSE),1,2)</f>
        <v>#REF!</v>
      </c>
      <c r="AQ771" s="89">
        <f>DATE(2009,12,16)</f>
        <v>40163</v>
      </c>
      <c r="AR771" s="82">
        <f t="shared" si="54"/>
        <v>16</v>
      </c>
      <c r="AS771" s="83">
        <f t="shared" si="55"/>
        <v>12</v>
      </c>
      <c r="AT771" s="84">
        <f t="shared" si="56"/>
        <v>2009</v>
      </c>
      <c r="AU771" s="86"/>
      <c r="AV771" s="86"/>
      <c r="AW771" s="87"/>
      <c r="AX771" s="86"/>
      <c r="AY771" s="83"/>
      <c r="AZ771" s="84"/>
      <c r="BA771" s="86"/>
      <c r="BB771" s="86"/>
    </row>
    <row r="772" spans="1:54" ht="36.75" customHeight="1">
      <c r="A772" s="30"/>
      <c r="B772" s="30" t="s">
        <v>55</v>
      </c>
      <c r="C772" s="69" t="str">
        <f t="shared" si="53"/>
        <v>Closed</v>
      </c>
      <c r="D772" s="27" t="s">
        <v>4387</v>
      </c>
      <c r="E772" s="29" t="s">
        <v>4388</v>
      </c>
      <c r="F772" s="30" t="s">
        <v>2547</v>
      </c>
      <c r="G772" s="89">
        <f>DATE(2009,12,16)</f>
        <v>40163</v>
      </c>
      <c r="H772" s="90">
        <v>1.5138888888888888</v>
      </c>
      <c r="I772" s="30" t="s">
        <v>198</v>
      </c>
      <c r="J772" s="89" t="s">
        <v>4389</v>
      </c>
      <c r="K772" s="30" t="s">
        <v>2549</v>
      </c>
      <c r="L772" s="30" t="s">
        <v>4390</v>
      </c>
      <c r="M772" s="30" t="s">
        <v>63</v>
      </c>
      <c r="N772" s="30">
        <v>0</v>
      </c>
      <c r="O772" s="30" t="s">
        <v>64</v>
      </c>
      <c r="P772" s="89" t="s">
        <v>78</v>
      </c>
      <c r="Q772" s="89" t="s">
        <v>4391</v>
      </c>
      <c r="R772" s="89">
        <v>0</v>
      </c>
      <c r="S772" s="30">
        <v>0</v>
      </c>
      <c r="T772" s="233" t="s">
        <v>68</v>
      </c>
      <c r="U772" s="30">
        <v>0</v>
      </c>
      <c r="V772" s="233" t="s">
        <v>68</v>
      </c>
      <c r="W772" s="30">
        <v>0</v>
      </c>
      <c r="X772" s="30">
        <v>0</v>
      </c>
      <c r="Y772" s="30">
        <v>0</v>
      </c>
      <c r="Z772" s="233" t="s">
        <v>68</v>
      </c>
      <c r="AA772" s="30">
        <v>0</v>
      </c>
      <c r="AB772" s="30">
        <v>0</v>
      </c>
      <c r="AC772" s="30">
        <v>0</v>
      </c>
      <c r="AD772" s="30">
        <v>0</v>
      </c>
      <c r="AE772" s="89" t="s">
        <v>68</v>
      </c>
      <c r="AF772" s="89"/>
      <c r="AG772" s="89" t="s">
        <v>133</v>
      </c>
      <c r="AH772" s="72" t="s">
        <v>68</v>
      </c>
      <c r="AI772" s="30">
        <v>4</v>
      </c>
      <c r="AJ772" s="89" t="s">
        <v>4392</v>
      </c>
      <c r="AK772" s="89" t="s">
        <v>4393</v>
      </c>
      <c r="AL772" s="91">
        <v>40190</v>
      </c>
      <c r="AM772" s="91"/>
      <c r="AN772" s="91"/>
      <c r="AO772" s="91"/>
      <c r="AP772" s="73" t="e">
        <f>MID(VLOOKUP(K772,#REF!,2,FALSE),1,2)</f>
        <v>#REF!</v>
      </c>
      <c r="AQ772" s="89">
        <f>DATE(2009,12,16)</f>
        <v>40163</v>
      </c>
      <c r="AR772" s="82">
        <f t="shared" si="54"/>
        <v>16</v>
      </c>
      <c r="AS772" s="83">
        <f t="shared" si="55"/>
        <v>12</v>
      </c>
      <c r="AT772" s="84">
        <f t="shared" si="56"/>
        <v>2009</v>
      </c>
      <c r="AU772" s="86"/>
      <c r="AV772" s="86"/>
      <c r="AW772" s="87"/>
      <c r="AX772" s="86"/>
      <c r="AY772" s="83"/>
      <c r="AZ772" s="84"/>
      <c r="BA772" s="86"/>
      <c r="BB772" s="86"/>
    </row>
    <row r="773" spans="1:54" ht="36.75" customHeight="1">
      <c r="A773" s="30"/>
      <c r="B773" s="30" t="s">
        <v>55</v>
      </c>
      <c r="C773" s="69" t="str">
        <f t="shared" si="53"/>
        <v>Closed</v>
      </c>
      <c r="D773" s="27" t="s">
        <v>4394</v>
      </c>
      <c r="E773" s="29" t="s">
        <v>4395</v>
      </c>
      <c r="F773" s="30" t="s">
        <v>124</v>
      </c>
      <c r="G773" s="89">
        <f>DATE(2009,12,17)</f>
        <v>40164</v>
      </c>
      <c r="H773" s="90">
        <v>1.7361111111111112</v>
      </c>
      <c r="I773" s="30" t="s">
        <v>198</v>
      </c>
      <c r="J773" s="89" t="s">
        <v>4396</v>
      </c>
      <c r="K773" s="30" t="s">
        <v>127</v>
      </c>
      <c r="L773" s="30" t="s">
        <v>4397</v>
      </c>
      <c r="M773" s="30" t="s">
        <v>63</v>
      </c>
      <c r="N773" s="30">
        <v>0</v>
      </c>
      <c r="O773" s="30" t="s">
        <v>77</v>
      </c>
      <c r="P773" s="89" t="s">
        <v>216</v>
      </c>
      <c r="Q773" s="89" t="s">
        <v>4398</v>
      </c>
      <c r="R773" s="89" t="s">
        <v>167</v>
      </c>
      <c r="S773" s="30">
        <v>0</v>
      </c>
      <c r="T773" s="233" t="s">
        <v>68</v>
      </c>
      <c r="U773" s="30">
        <v>0</v>
      </c>
      <c r="V773" s="233" t="s">
        <v>68</v>
      </c>
      <c r="W773" s="30">
        <v>0</v>
      </c>
      <c r="X773" s="30">
        <v>0</v>
      </c>
      <c r="Y773" s="30">
        <v>0</v>
      </c>
      <c r="Z773" s="233" t="s">
        <v>68</v>
      </c>
      <c r="AA773" s="30">
        <v>0</v>
      </c>
      <c r="AB773" s="30">
        <v>0</v>
      </c>
      <c r="AC773" s="30">
        <v>0</v>
      </c>
      <c r="AD773" s="30">
        <v>0</v>
      </c>
      <c r="AE773" s="89" t="s">
        <v>68</v>
      </c>
      <c r="AF773" s="89"/>
      <c r="AG773" s="89" t="s">
        <v>133</v>
      </c>
      <c r="AH773" s="72" t="s">
        <v>68</v>
      </c>
      <c r="AI773" s="30">
        <v>2</v>
      </c>
      <c r="AJ773" s="89" t="s">
        <v>4399</v>
      </c>
      <c r="AK773" s="89" t="s">
        <v>4400</v>
      </c>
      <c r="AL773" s="91">
        <v>40197</v>
      </c>
      <c r="AM773" s="91"/>
      <c r="AN773" s="91"/>
      <c r="AO773" s="91"/>
      <c r="AP773" s="73" t="e">
        <f>MID(VLOOKUP(K773,#REF!,2,FALSE),1,2)</f>
        <v>#REF!</v>
      </c>
      <c r="AQ773" s="89">
        <f>DATE(2009,12,17)</f>
        <v>40164</v>
      </c>
      <c r="AR773" s="82">
        <f t="shared" si="54"/>
        <v>17</v>
      </c>
      <c r="AS773" s="83">
        <f t="shared" si="55"/>
        <v>12</v>
      </c>
      <c r="AT773" s="84">
        <f t="shared" si="56"/>
        <v>2009</v>
      </c>
      <c r="AU773" s="86"/>
      <c r="AV773" s="86"/>
      <c r="AW773" s="87"/>
      <c r="AX773" s="86"/>
      <c r="AY773" s="83"/>
      <c r="AZ773" s="84"/>
      <c r="BA773" s="86"/>
      <c r="BB773" s="86"/>
    </row>
    <row r="774" spans="1:54" ht="36.75" customHeight="1">
      <c r="A774" s="30"/>
      <c r="B774" s="30" t="s">
        <v>55</v>
      </c>
      <c r="C774" s="69" t="str">
        <f t="shared" si="53"/>
        <v>Closed</v>
      </c>
      <c r="D774" s="27" t="s">
        <v>4401</v>
      </c>
      <c r="E774" s="29" t="s">
        <v>4402</v>
      </c>
      <c r="F774" s="30" t="s">
        <v>233</v>
      </c>
      <c r="G774" s="89">
        <f>DATE(2009,12,19)</f>
        <v>40166</v>
      </c>
      <c r="H774" s="90">
        <v>1.78125</v>
      </c>
      <c r="I774" s="30" t="s">
        <v>116</v>
      </c>
      <c r="J774" s="89" t="s">
        <v>4403</v>
      </c>
      <c r="K774" s="30" t="s">
        <v>235</v>
      </c>
      <c r="L774" s="30" t="s">
        <v>4404</v>
      </c>
      <c r="M774" s="30" t="s">
        <v>63</v>
      </c>
      <c r="N774" s="30">
        <v>0</v>
      </c>
      <c r="O774" s="30" t="s">
        <v>64</v>
      </c>
      <c r="P774" s="89" t="s">
        <v>65</v>
      </c>
      <c r="Q774" s="89" t="s">
        <v>2690</v>
      </c>
      <c r="R774" s="89" t="s">
        <v>238</v>
      </c>
      <c r="S774" s="30">
        <v>0</v>
      </c>
      <c r="T774" s="233" t="s">
        <v>68</v>
      </c>
      <c r="U774" s="30">
        <v>0</v>
      </c>
      <c r="V774" s="233" t="s">
        <v>68</v>
      </c>
      <c r="W774" s="30">
        <v>0</v>
      </c>
      <c r="X774" s="30">
        <v>0</v>
      </c>
      <c r="Y774" s="30">
        <v>0</v>
      </c>
      <c r="Z774" s="233" t="s">
        <v>68</v>
      </c>
      <c r="AA774" s="30">
        <v>0</v>
      </c>
      <c r="AB774" s="30">
        <v>0</v>
      </c>
      <c r="AC774" s="30">
        <v>0</v>
      </c>
      <c r="AD774" s="30">
        <v>0</v>
      </c>
      <c r="AE774" s="89" t="s">
        <v>68</v>
      </c>
      <c r="AF774" s="89"/>
      <c r="AG774" s="89" t="s">
        <v>133</v>
      </c>
      <c r="AH774" s="72" t="s">
        <v>68</v>
      </c>
      <c r="AI774" s="30">
        <v>4</v>
      </c>
      <c r="AJ774" s="89" t="s">
        <v>4405</v>
      </c>
      <c r="AK774" s="89" t="s">
        <v>4406</v>
      </c>
      <c r="AL774" s="91">
        <v>40189</v>
      </c>
      <c r="AM774" s="91"/>
      <c r="AN774" s="91"/>
      <c r="AO774" s="91"/>
      <c r="AP774" s="73" t="e">
        <f>MID(VLOOKUP(K774,#REF!,2,FALSE),1,2)</f>
        <v>#REF!</v>
      </c>
      <c r="AQ774" s="89">
        <f>DATE(2009,12,19)</f>
        <v>40166</v>
      </c>
      <c r="AR774" s="82">
        <f t="shared" si="54"/>
        <v>19</v>
      </c>
      <c r="AS774" s="83">
        <f t="shared" si="55"/>
        <v>12</v>
      </c>
      <c r="AT774" s="84">
        <f t="shared" si="56"/>
        <v>2009</v>
      </c>
      <c r="AU774" s="86"/>
      <c r="AV774" s="86"/>
      <c r="AW774" s="87"/>
      <c r="AX774" s="86"/>
      <c r="AY774" s="83"/>
      <c r="AZ774" s="84"/>
      <c r="BA774" s="86"/>
      <c r="BB774" s="86"/>
    </row>
    <row r="775" spans="1:54" ht="36.75" customHeight="1">
      <c r="A775" s="30"/>
      <c r="B775" s="30" t="s">
        <v>55</v>
      </c>
      <c r="C775" s="69" t="str">
        <f t="shared" si="53"/>
        <v>Closed</v>
      </c>
      <c r="D775" s="27" t="s">
        <v>4407</v>
      </c>
      <c r="E775" s="29" t="s">
        <v>4408</v>
      </c>
      <c r="F775" s="30" t="s">
        <v>638</v>
      </c>
      <c r="G775" s="89">
        <f>DATE(2009,12,20)</f>
        <v>40167</v>
      </c>
      <c r="H775" s="90">
        <v>1.7131944444444445</v>
      </c>
      <c r="I775" s="30" t="s">
        <v>116</v>
      </c>
      <c r="J775" s="89" t="s">
        <v>4409</v>
      </c>
      <c r="K775" s="30" t="s">
        <v>640</v>
      </c>
      <c r="L775" s="30" t="s">
        <v>4410</v>
      </c>
      <c r="M775" s="30" t="s">
        <v>63</v>
      </c>
      <c r="N775" s="30">
        <v>0</v>
      </c>
      <c r="O775" s="30" t="s">
        <v>86</v>
      </c>
      <c r="P775" s="89" t="s">
        <v>165</v>
      </c>
      <c r="Q775" s="89" t="s">
        <v>642</v>
      </c>
      <c r="R775" s="89" t="s">
        <v>643</v>
      </c>
      <c r="S775" s="30">
        <v>0</v>
      </c>
      <c r="T775" s="233">
        <v>0</v>
      </c>
      <c r="U775" s="30">
        <v>1</v>
      </c>
      <c r="V775" s="233">
        <v>0</v>
      </c>
      <c r="W775" s="30">
        <v>0</v>
      </c>
      <c r="X775" s="30">
        <v>1</v>
      </c>
      <c r="Y775" s="30">
        <v>0</v>
      </c>
      <c r="Z775" s="233">
        <v>0</v>
      </c>
      <c r="AA775" s="30">
        <v>0</v>
      </c>
      <c r="AB775" s="30">
        <v>0</v>
      </c>
      <c r="AC775" s="30">
        <v>0</v>
      </c>
      <c r="AD775" s="30">
        <v>0</v>
      </c>
      <c r="AE775" s="89" t="s">
        <v>68</v>
      </c>
      <c r="AF775" s="89"/>
      <c r="AG775" s="89" t="s">
        <v>248</v>
      </c>
      <c r="AH775" s="72" t="s">
        <v>68</v>
      </c>
      <c r="AI775" s="30">
        <v>0</v>
      </c>
      <c r="AJ775" s="89" t="s">
        <v>1732</v>
      </c>
      <c r="AK775" s="89" t="s">
        <v>68</v>
      </c>
      <c r="AL775" s="91">
        <v>40213</v>
      </c>
      <c r="AM775" s="91"/>
      <c r="AN775" s="91"/>
      <c r="AO775" s="91"/>
      <c r="AP775" s="73" t="e">
        <f>MID(VLOOKUP(K775,#REF!,2,FALSE),1,2)</f>
        <v>#REF!</v>
      </c>
      <c r="AQ775" s="89">
        <f>DATE(2009,12,20)</f>
        <v>40167</v>
      </c>
      <c r="AR775" s="82">
        <f t="shared" si="54"/>
        <v>20</v>
      </c>
      <c r="AS775" s="83">
        <f t="shared" si="55"/>
        <v>12</v>
      </c>
      <c r="AT775" s="84">
        <f t="shared" si="56"/>
        <v>2009</v>
      </c>
      <c r="AU775" s="86"/>
      <c r="AV775" s="86"/>
      <c r="AW775" s="87"/>
      <c r="AX775" s="86"/>
      <c r="AY775" s="83"/>
      <c r="AZ775" s="84"/>
      <c r="BA775" s="86"/>
      <c r="BB775" s="86"/>
    </row>
    <row r="776" spans="1:54" ht="36.75" customHeight="1">
      <c r="A776" s="30"/>
      <c r="B776" s="30" t="s">
        <v>55</v>
      </c>
      <c r="C776" s="69" t="str">
        <f t="shared" si="53"/>
        <v>Closed</v>
      </c>
      <c r="D776" s="27" t="s">
        <v>4411</v>
      </c>
      <c r="E776" s="29" t="s">
        <v>4412</v>
      </c>
      <c r="F776" s="30" t="s">
        <v>115</v>
      </c>
      <c r="G776" s="89">
        <f>DATE(2009,12,20)</f>
        <v>40167</v>
      </c>
      <c r="H776" s="90">
        <v>1.8597222222222221</v>
      </c>
      <c r="I776" s="30" t="s">
        <v>156</v>
      </c>
      <c r="J776" s="89" t="s">
        <v>4413</v>
      </c>
      <c r="K776" s="30" t="s">
        <v>118</v>
      </c>
      <c r="L776" s="30" t="s">
        <v>4414</v>
      </c>
      <c r="M776" s="30" t="s">
        <v>63</v>
      </c>
      <c r="N776" s="30">
        <v>0</v>
      </c>
      <c r="O776" s="30" t="s">
        <v>64</v>
      </c>
      <c r="P776" s="89" t="s">
        <v>165</v>
      </c>
      <c r="Q776" s="89" t="s">
        <v>120</v>
      </c>
      <c r="R776" s="89" t="s">
        <v>121</v>
      </c>
      <c r="S776" s="30">
        <v>0</v>
      </c>
      <c r="T776" s="233">
        <v>0</v>
      </c>
      <c r="U776" s="30">
        <v>0</v>
      </c>
      <c r="V776" s="233">
        <v>0</v>
      </c>
      <c r="W776" s="30">
        <v>0</v>
      </c>
      <c r="X776" s="30">
        <v>0</v>
      </c>
      <c r="Y776" s="30">
        <v>2</v>
      </c>
      <c r="Z776" s="233">
        <v>0</v>
      </c>
      <c r="AA776" s="30">
        <v>0</v>
      </c>
      <c r="AB776" s="30">
        <v>0</v>
      </c>
      <c r="AC776" s="30">
        <v>0</v>
      </c>
      <c r="AD776" s="30">
        <v>2</v>
      </c>
      <c r="AE776" s="89" t="s">
        <v>68</v>
      </c>
      <c r="AF776" s="89"/>
      <c r="AG776" s="89" t="s">
        <v>82</v>
      </c>
      <c r="AH776" s="72" t="s">
        <v>68</v>
      </c>
      <c r="AI776" s="30">
        <v>0</v>
      </c>
      <c r="AJ776" s="89" t="s">
        <v>4415</v>
      </c>
      <c r="AK776" s="89" t="s">
        <v>68</v>
      </c>
      <c r="AL776" s="91">
        <v>40176</v>
      </c>
      <c r="AM776" s="91"/>
      <c r="AN776" s="91"/>
      <c r="AO776" s="91"/>
      <c r="AP776" s="73" t="e">
        <f>MID(VLOOKUP(K776,#REF!,2,FALSE),1,2)</f>
        <v>#REF!</v>
      </c>
      <c r="AQ776" s="89">
        <f>DATE(2009,12,20)</f>
        <v>40167</v>
      </c>
      <c r="AR776" s="82">
        <f t="shared" si="54"/>
        <v>20</v>
      </c>
      <c r="AS776" s="83">
        <f t="shared" si="55"/>
        <v>12</v>
      </c>
      <c r="AT776" s="84">
        <f t="shared" si="56"/>
        <v>2009</v>
      </c>
      <c r="AU776" s="86"/>
      <c r="AV776" s="86"/>
      <c r="AW776" s="87"/>
      <c r="AX776" s="86"/>
      <c r="AY776" s="83"/>
      <c r="AZ776" s="84"/>
      <c r="BA776" s="86"/>
      <c r="BB776" s="86"/>
    </row>
    <row r="777" spans="1:54" ht="36.75" customHeight="1">
      <c r="A777" s="30"/>
      <c r="B777" s="30" t="s">
        <v>55</v>
      </c>
      <c r="C777" s="69" t="str">
        <f t="shared" si="53"/>
        <v>Closed</v>
      </c>
      <c r="D777" s="27" t="s">
        <v>4416</v>
      </c>
      <c r="E777" s="29" t="s">
        <v>4417</v>
      </c>
      <c r="F777" s="30" t="s">
        <v>124</v>
      </c>
      <c r="G777" s="89">
        <f>DATE(2009,12,22)</f>
        <v>40169</v>
      </c>
      <c r="H777" s="90">
        <v>1.7916666666666665</v>
      </c>
      <c r="I777" s="30" t="s">
        <v>1040</v>
      </c>
      <c r="J777" s="89" t="s">
        <v>4418</v>
      </c>
      <c r="K777" s="30" t="s">
        <v>127</v>
      </c>
      <c r="L777" s="30" t="s">
        <v>4419</v>
      </c>
      <c r="M777" s="30" t="s">
        <v>63</v>
      </c>
      <c r="N777" s="30">
        <v>0</v>
      </c>
      <c r="O777" s="30" t="s">
        <v>86</v>
      </c>
      <c r="P777" s="89" t="s">
        <v>78</v>
      </c>
      <c r="Q777" s="89" t="s">
        <v>401</v>
      </c>
      <c r="R777" s="89" t="s">
        <v>167</v>
      </c>
      <c r="S777" s="30">
        <v>0</v>
      </c>
      <c r="T777" s="233" t="s">
        <v>68</v>
      </c>
      <c r="U777" s="30">
        <v>0</v>
      </c>
      <c r="V777" s="233" t="s">
        <v>68</v>
      </c>
      <c r="W777" s="30">
        <v>0</v>
      </c>
      <c r="X777" s="30">
        <v>0</v>
      </c>
      <c r="Y777" s="30">
        <v>0</v>
      </c>
      <c r="Z777" s="233" t="s">
        <v>68</v>
      </c>
      <c r="AA777" s="30">
        <v>0</v>
      </c>
      <c r="AB777" s="30">
        <v>0</v>
      </c>
      <c r="AC777" s="30">
        <v>0</v>
      </c>
      <c r="AD777" s="30">
        <v>0</v>
      </c>
      <c r="AE777" s="89" t="s">
        <v>68</v>
      </c>
      <c r="AF777" s="89"/>
      <c r="AG777" s="89" t="s">
        <v>133</v>
      </c>
      <c r="AH777" s="72" t="s">
        <v>68</v>
      </c>
      <c r="AI777" s="30">
        <v>2</v>
      </c>
      <c r="AJ777" s="89" t="s">
        <v>4420</v>
      </c>
      <c r="AK777" s="89" t="s">
        <v>4421</v>
      </c>
      <c r="AL777" s="91">
        <v>40200</v>
      </c>
      <c r="AM777" s="91"/>
      <c r="AN777" s="91"/>
      <c r="AO777" s="91"/>
      <c r="AP777" s="73" t="e">
        <f>MID(VLOOKUP(K777,#REF!,2,FALSE),1,2)</f>
        <v>#REF!</v>
      </c>
      <c r="AQ777" s="89">
        <f>DATE(2009,12,22)</f>
        <v>40169</v>
      </c>
      <c r="AR777" s="82">
        <f t="shared" si="54"/>
        <v>22</v>
      </c>
      <c r="AS777" s="83">
        <f t="shared" si="55"/>
        <v>12</v>
      </c>
      <c r="AT777" s="84">
        <f t="shared" si="56"/>
        <v>2009</v>
      </c>
      <c r="AU777" s="86"/>
      <c r="AV777" s="86"/>
      <c r="AW777" s="87"/>
      <c r="AX777" s="86"/>
      <c r="AY777" s="83"/>
      <c r="AZ777" s="84"/>
      <c r="BA777" s="86"/>
      <c r="BB777" s="86"/>
    </row>
    <row r="778" spans="1:54" ht="36.75" customHeight="1">
      <c r="A778" s="30"/>
      <c r="B778" s="30" t="s">
        <v>55</v>
      </c>
      <c r="C778" s="69" t="str">
        <f t="shared" si="53"/>
        <v>Closed</v>
      </c>
      <c r="D778" s="27" t="s">
        <v>4422</v>
      </c>
      <c r="E778" s="29" t="s">
        <v>4423</v>
      </c>
      <c r="F778" s="30" t="s">
        <v>233</v>
      </c>
      <c r="G778" s="89">
        <f>DATE(2009,12,22)</f>
        <v>40169</v>
      </c>
      <c r="H778" s="90">
        <v>1.8472222222222223</v>
      </c>
      <c r="I778" s="30" t="s">
        <v>104</v>
      </c>
      <c r="J778" s="89" t="s">
        <v>4424</v>
      </c>
      <c r="K778" s="30" t="s">
        <v>235</v>
      </c>
      <c r="L778" s="30" t="s">
        <v>4425</v>
      </c>
      <c r="M778" s="30" t="s">
        <v>63</v>
      </c>
      <c r="N778" s="30">
        <v>0</v>
      </c>
      <c r="O778" s="30" t="s">
        <v>64</v>
      </c>
      <c r="P778" s="89" t="s">
        <v>78</v>
      </c>
      <c r="Q778" s="89" t="s">
        <v>434</v>
      </c>
      <c r="R778" s="89" t="s">
        <v>238</v>
      </c>
      <c r="S778" s="30">
        <v>0</v>
      </c>
      <c r="T778" s="233" t="s">
        <v>68</v>
      </c>
      <c r="U778" s="30">
        <v>0</v>
      </c>
      <c r="V778" s="233" t="s">
        <v>68</v>
      </c>
      <c r="W778" s="30">
        <v>0</v>
      </c>
      <c r="X778" s="30">
        <v>0</v>
      </c>
      <c r="Y778" s="30">
        <v>0</v>
      </c>
      <c r="Z778" s="233" t="s">
        <v>68</v>
      </c>
      <c r="AA778" s="30">
        <v>0</v>
      </c>
      <c r="AB778" s="30">
        <v>0</v>
      </c>
      <c r="AC778" s="30">
        <v>0</v>
      </c>
      <c r="AD778" s="30">
        <v>0</v>
      </c>
      <c r="AE778" s="89" t="s">
        <v>68</v>
      </c>
      <c r="AF778" s="89"/>
      <c r="AG778" s="89" t="s">
        <v>133</v>
      </c>
      <c r="AH778" s="72" t="s">
        <v>68</v>
      </c>
      <c r="AI778" s="30">
        <v>3</v>
      </c>
      <c r="AJ778" s="89" t="s">
        <v>4426</v>
      </c>
      <c r="AK778" s="89" t="s">
        <v>4427</v>
      </c>
      <c r="AL778" s="91">
        <v>40192</v>
      </c>
      <c r="AM778" s="91"/>
      <c r="AN778" s="91"/>
      <c r="AO778" s="91"/>
      <c r="AP778" s="73" t="e">
        <f>MID(VLOOKUP(K778,#REF!,2,FALSE),1,2)</f>
        <v>#REF!</v>
      </c>
      <c r="AQ778" s="89">
        <f>DATE(2009,12,22)</f>
        <v>40169</v>
      </c>
      <c r="AR778" s="82">
        <f t="shared" si="54"/>
        <v>22</v>
      </c>
      <c r="AS778" s="83">
        <f t="shared" si="55"/>
        <v>12</v>
      </c>
      <c r="AT778" s="84">
        <f t="shared" si="56"/>
        <v>2009</v>
      </c>
      <c r="AU778" s="86"/>
      <c r="AV778" s="86"/>
      <c r="AW778" s="87"/>
      <c r="AX778" s="86"/>
      <c r="AY778" s="83"/>
      <c r="AZ778" s="84"/>
      <c r="BA778" s="86"/>
      <c r="BB778" s="86"/>
    </row>
    <row r="779" spans="1:54" ht="36.75" customHeight="1">
      <c r="A779" s="30"/>
      <c r="B779" s="30" t="s">
        <v>55</v>
      </c>
      <c r="C779" s="69" t="str">
        <f t="shared" si="53"/>
        <v>Closed</v>
      </c>
      <c r="D779" s="27" t="s">
        <v>4428</v>
      </c>
      <c r="E779" s="29" t="s">
        <v>4429</v>
      </c>
      <c r="F779" s="30" t="s">
        <v>638</v>
      </c>
      <c r="G779" s="89">
        <f>DATE(2009,12,28)</f>
        <v>40175</v>
      </c>
      <c r="H779" s="90">
        <v>1.8402777777777777</v>
      </c>
      <c r="I779" s="30" t="s">
        <v>73</v>
      </c>
      <c r="J779" s="89" t="s">
        <v>4430</v>
      </c>
      <c r="K779" s="30" t="s">
        <v>640</v>
      </c>
      <c r="L779" s="30" t="s">
        <v>4431</v>
      </c>
      <c r="M779" s="30" t="s">
        <v>63</v>
      </c>
      <c r="N779" s="30">
        <v>0</v>
      </c>
      <c r="O779" s="30" t="s">
        <v>77</v>
      </c>
      <c r="P779" s="89" t="s">
        <v>165</v>
      </c>
      <c r="Q779" s="89" t="s">
        <v>642</v>
      </c>
      <c r="R779" s="89" t="s">
        <v>643</v>
      </c>
      <c r="S779" s="30">
        <v>0</v>
      </c>
      <c r="T779" s="233" t="s">
        <v>68</v>
      </c>
      <c r="U779" s="30">
        <v>0</v>
      </c>
      <c r="V779" s="233" t="s">
        <v>68</v>
      </c>
      <c r="W779" s="30">
        <v>0</v>
      </c>
      <c r="X779" s="30">
        <v>0</v>
      </c>
      <c r="Y779" s="30">
        <v>0</v>
      </c>
      <c r="Z779" s="233" t="s">
        <v>68</v>
      </c>
      <c r="AA779" s="30">
        <v>0</v>
      </c>
      <c r="AB779" s="30">
        <v>0</v>
      </c>
      <c r="AC779" s="30">
        <v>0</v>
      </c>
      <c r="AD779" s="30">
        <v>0</v>
      </c>
      <c r="AE779" s="89" t="s">
        <v>68</v>
      </c>
      <c r="AF779" s="89"/>
      <c r="AG779" s="89" t="s">
        <v>352</v>
      </c>
      <c r="AH779" s="72" t="s">
        <v>68</v>
      </c>
      <c r="AI779" s="30">
        <v>1</v>
      </c>
      <c r="AJ779" s="89" t="s">
        <v>68</v>
      </c>
      <c r="AK779" s="89" t="s">
        <v>4432</v>
      </c>
      <c r="AL779" s="91">
        <v>40213</v>
      </c>
      <c r="AM779" s="91"/>
      <c r="AN779" s="91"/>
      <c r="AO779" s="91"/>
      <c r="AP779" s="73" t="e">
        <f>MID(VLOOKUP(K779,#REF!,2,FALSE),1,2)</f>
        <v>#REF!</v>
      </c>
      <c r="AQ779" s="89">
        <f>DATE(2009,12,28)</f>
        <v>40175</v>
      </c>
      <c r="AR779" s="82">
        <f t="shared" si="54"/>
        <v>28</v>
      </c>
      <c r="AS779" s="83">
        <f t="shared" si="55"/>
        <v>12</v>
      </c>
      <c r="AT779" s="84">
        <f t="shared" si="56"/>
        <v>2009</v>
      </c>
      <c r="AU779" s="86"/>
      <c r="AV779" s="86"/>
      <c r="AW779" s="87"/>
      <c r="AX779" s="86"/>
      <c r="AY779" s="83"/>
      <c r="AZ779" s="84"/>
      <c r="BA779" s="86"/>
      <c r="BB779" s="86"/>
    </row>
    <row r="780" spans="1:54" ht="36.75" customHeight="1">
      <c r="A780" s="30"/>
      <c r="B780" s="30" t="s">
        <v>55</v>
      </c>
      <c r="C780" s="69" t="str">
        <f t="shared" si="53"/>
        <v>Closed</v>
      </c>
      <c r="D780" s="27" t="s">
        <v>4433</v>
      </c>
      <c r="E780" s="29" t="s">
        <v>4434</v>
      </c>
      <c r="F780" s="30" t="s">
        <v>638</v>
      </c>
      <c r="G780" s="89">
        <f>DATE(2009,12,30)</f>
        <v>40177</v>
      </c>
      <c r="H780" s="90">
        <v>1.1305555555555555</v>
      </c>
      <c r="I780" s="30" t="s">
        <v>156</v>
      </c>
      <c r="J780" s="89" t="s">
        <v>4435</v>
      </c>
      <c r="K780" s="30" t="s">
        <v>640</v>
      </c>
      <c r="L780" s="30" t="s">
        <v>4436</v>
      </c>
      <c r="M780" s="30" t="s">
        <v>63</v>
      </c>
      <c r="N780" s="30">
        <v>0</v>
      </c>
      <c r="O780" s="30" t="s">
        <v>64</v>
      </c>
      <c r="P780" s="89" t="s">
        <v>65</v>
      </c>
      <c r="Q780" s="89" t="s">
        <v>642</v>
      </c>
      <c r="R780" s="89" t="s">
        <v>643</v>
      </c>
      <c r="S780" s="30">
        <v>0</v>
      </c>
      <c r="T780" s="233" t="s">
        <v>68</v>
      </c>
      <c r="U780" s="30">
        <v>0</v>
      </c>
      <c r="V780" s="233" t="s">
        <v>68</v>
      </c>
      <c r="W780" s="30">
        <v>0</v>
      </c>
      <c r="X780" s="30">
        <v>0</v>
      </c>
      <c r="Y780" s="30">
        <v>0</v>
      </c>
      <c r="Z780" s="233" t="s">
        <v>68</v>
      </c>
      <c r="AA780" s="30">
        <v>0</v>
      </c>
      <c r="AB780" s="30">
        <v>0</v>
      </c>
      <c r="AC780" s="30">
        <v>0</v>
      </c>
      <c r="AD780" s="30">
        <v>0</v>
      </c>
      <c r="AE780" s="89" t="s">
        <v>68</v>
      </c>
      <c r="AF780" s="89"/>
      <c r="AG780" s="89" t="s">
        <v>352</v>
      </c>
      <c r="AH780" s="72" t="s">
        <v>68</v>
      </c>
      <c r="AI780" s="30">
        <v>1</v>
      </c>
      <c r="AJ780" s="89" t="s">
        <v>4437</v>
      </c>
      <c r="AK780" s="89" t="s">
        <v>68</v>
      </c>
      <c r="AL780" s="91">
        <v>40213</v>
      </c>
      <c r="AM780" s="91"/>
      <c r="AN780" s="91"/>
      <c r="AO780" s="91"/>
      <c r="AP780" s="73" t="e">
        <f>MID(VLOOKUP(K780,#REF!,2,FALSE),1,2)</f>
        <v>#REF!</v>
      </c>
      <c r="AQ780" s="89">
        <f>DATE(2009,12,30)</f>
        <v>40177</v>
      </c>
      <c r="AR780" s="82">
        <f t="shared" si="54"/>
        <v>30</v>
      </c>
      <c r="AS780" s="83">
        <f t="shared" si="55"/>
        <v>12</v>
      </c>
      <c r="AT780" s="84">
        <f t="shared" si="56"/>
        <v>2009</v>
      </c>
      <c r="AU780" s="86"/>
      <c r="AV780" s="86"/>
      <c r="AW780" s="87"/>
      <c r="AX780" s="86"/>
      <c r="AY780" s="83"/>
      <c r="AZ780" s="84"/>
      <c r="BA780" s="86"/>
      <c r="BB780" s="86"/>
    </row>
    <row r="781" spans="1:54" ht="36.75" customHeight="1">
      <c r="A781" s="30"/>
      <c r="B781" s="30" t="s">
        <v>55</v>
      </c>
      <c r="C781" s="69" t="str">
        <f t="shared" si="53"/>
        <v>Closed</v>
      </c>
      <c r="D781" s="27" t="s">
        <v>4438</v>
      </c>
      <c r="E781" s="29" t="s">
        <v>4439</v>
      </c>
      <c r="F781" s="30" t="s">
        <v>58</v>
      </c>
      <c r="G781" s="89">
        <f>DATE(2010,1,4)</f>
        <v>40182</v>
      </c>
      <c r="H781" s="90">
        <v>1.3527777777777779</v>
      </c>
      <c r="I781" s="30" t="s">
        <v>156</v>
      </c>
      <c r="J781" s="89" t="s">
        <v>4440</v>
      </c>
      <c r="K781" s="30" t="s">
        <v>61</v>
      </c>
      <c r="L781" s="30" t="s">
        <v>4441</v>
      </c>
      <c r="M781" s="30" t="s">
        <v>63</v>
      </c>
      <c r="N781" s="30" t="s">
        <v>89</v>
      </c>
      <c r="O781" s="30" t="s">
        <v>77</v>
      </c>
      <c r="P781" s="89" t="s">
        <v>4442</v>
      </c>
      <c r="Q781" s="89" t="s">
        <v>4443</v>
      </c>
      <c r="R781" s="89" t="s">
        <v>67</v>
      </c>
      <c r="S781" s="30">
        <v>0</v>
      </c>
      <c r="T781" s="233">
        <v>0</v>
      </c>
      <c r="U781" s="30">
        <v>0</v>
      </c>
      <c r="V781" s="233">
        <v>0</v>
      </c>
      <c r="W781" s="30">
        <v>0</v>
      </c>
      <c r="X781" s="30">
        <v>0</v>
      </c>
      <c r="Y781" s="30">
        <v>0</v>
      </c>
      <c r="Z781" s="233">
        <v>0</v>
      </c>
      <c r="AA781" s="30">
        <v>0</v>
      </c>
      <c r="AB781" s="30">
        <v>0</v>
      </c>
      <c r="AC781" s="30">
        <v>0</v>
      </c>
      <c r="AD781" s="30">
        <v>0</v>
      </c>
      <c r="AE781" s="89" t="s">
        <v>394</v>
      </c>
      <c r="AF781" s="89"/>
      <c r="AG781" s="89" t="s">
        <v>82</v>
      </c>
      <c r="AH781" s="72">
        <v>40190</v>
      </c>
      <c r="AI781" s="30">
        <v>4</v>
      </c>
      <c r="AJ781" s="89" t="s">
        <v>4444</v>
      </c>
      <c r="AK781" s="89" t="s">
        <v>4445</v>
      </c>
      <c r="AL781" s="91">
        <v>40190</v>
      </c>
      <c r="AM781" s="91"/>
      <c r="AN781" s="91"/>
      <c r="AO781" s="91"/>
      <c r="AP781" s="73" t="e">
        <f>MID(VLOOKUP(K781,#REF!,2,FALSE),1,2)</f>
        <v>#REF!</v>
      </c>
      <c r="AQ781" s="89">
        <f>DATE(2010,1,4)</f>
        <v>40182</v>
      </c>
      <c r="AR781" s="82">
        <f t="shared" si="54"/>
        <v>4</v>
      </c>
      <c r="AS781" s="83">
        <f t="shared" si="55"/>
        <v>1</v>
      </c>
      <c r="AT781" s="84">
        <f t="shared" si="56"/>
        <v>2010</v>
      </c>
      <c r="AU781" s="86"/>
      <c r="AV781" s="86"/>
      <c r="AW781" s="87"/>
      <c r="AX781" s="86"/>
      <c r="AY781" s="83"/>
      <c r="AZ781" s="84"/>
      <c r="BA781" s="86"/>
      <c r="BB781" s="86"/>
    </row>
    <row r="782" spans="1:54" ht="36.75" customHeight="1">
      <c r="A782" s="30"/>
      <c r="B782" s="30" t="s">
        <v>55</v>
      </c>
      <c r="C782" s="69" t="str">
        <f t="shared" si="53"/>
        <v>Closed</v>
      </c>
      <c r="D782" s="27" t="s">
        <v>4446</v>
      </c>
      <c r="E782" s="29" t="s">
        <v>4447</v>
      </c>
      <c r="F782" s="30" t="s">
        <v>233</v>
      </c>
      <c r="G782" s="89">
        <f>DATE(2010,1,4)</f>
        <v>40182</v>
      </c>
      <c r="H782" s="90">
        <v>1.6687500000000002</v>
      </c>
      <c r="I782" s="30" t="s">
        <v>73</v>
      </c>
      <c r="J782" s="89" t="s">
        <v>4448</v>
      </c>
      <c r="K782" s="30" t="s">
        <v>235</v>
      </c>
      <c r="L782" s="30" t="s">
        <v>4449</v>
      </c>
      <c r="M782" s="30" t="s">
        <v>63</v>
      </c>
      <c r="N782" s="30">
        <v>0</v>
      </c>
      <c r="O782" s="30" t="s">
        <v>64</v>
      </c>
      <c r="P782" s="89" t="s">
        <v>78</v>
      </c>
      <c r="Q782" s="89" t="s">
        <v>4042</v>
      </c>
      <c r="R782" s="89" t="s">
        <v>238</v>
      </c>
      <c r="S782" s="30">
        <v>0</v>
      </c>
      <c r="T782" s="233" t="s">
        <v>68</v>
      </c>
      <c r="U782" s="30">
        <v>0</v>
      </c>
      <c r="V782" s="233" t="s">
        <v>68</v>
      </c>
      <c r="W782" s="30">
        <v>0</v>
      </c>
      <c r="X782" s="30">
        <v>0</v>
      </c>
      <c r="Y782" s="30">
        <v>0</v>
      </c>
      <c r="Z782" s="233" t="s">
        <v>68</v>
      </c>
      <c r="AA782" s="30">
        <v>0</v>
      </c>
      <c r="AB782" s="30">
        <v>0</v>
      </c>
      <c r="AC782" s="30">
        <v>0</v>
      </c>
      <c r="AD782" s="30">
        <v>0</v>
      </c>
      <c r="AE782" s="89" t="s">
        <v>68</v>
      </c>
      <c r="AF782" s="89"/>
      <c r="AG782" s="89" t="s">
        <v>133</v>
      </c>
      <c r="AH782" s="72" t="s">
        <v>68</v>
      </c>
      <c r="AI782" s="30">
        <v>4</v>
      </c>
      <c r="AJ782" s="89" t="s">
        <v>4450</v>
      </c>
      <c r="AK782" s="89" t="s">
        <v>4451</v>
      </c>
      <c r="AL782" s="91">
        <v>40193</v>
      </c>
      <c r="AM782" s="91"/>
      <c r="AN782" s="91"/>
      <c r="AO782" s="91"/>
      <c r="AP782" s="73" t="e">
        <f>MID(VLOOKUP(K782,#REF!,2,FALSE),1,2)</f>
        <v>#REF!</v>
      </c>
      <c r="AQ782" s="89">
        <f>DATE(2010,1,4)</f>
        <v>40182</v>
      </c>
      <c r="AR782" s="82">
        <f t="shared" si="54"/>
        <v>4</v>
      </c>
      <c r="AS782" s="83">
        <f t="shared" si="55"/>
        <v>1</v>
      </c>
      <c r="AT782" s="84">
        <f t="shared" si="56"/>
        <v>2010</v>
      </c>
      <c r="AU782" s="86"/>
      <c r="AV782" s="86"/>
      <c r="AW782" s="87"/>
      <c r="AX782" s="86"/>
      <c r="AY782" s="83"/>
      <c r="AZ782" s="84"/>
      <c r="BA782" s="86"/>
      <c r="BB782" s="86"/>
    </row>
    <row r="783" spans="1:54" ht="36.75" customHeight="1">
      <c r="A783" s="30"/>
      <c r="B783" s="30" t="s">
        <v>55</v>
      </c>
      <c r="C783" s="69" t="str">
        <f t="shared" si="53"/>
        <v>Closed</v>
      </c>
      <c r="D783" s="27" t="s">
        <v>4452</v>
      </c>
      <c r="E783" s="29" t="s">
        <v>4453</v>
      </c>
      <c r="F783" s="30" t="s">
        <v>233</v>
      </c>
      <c r="G783" s="89">
        <f>DATE(2010,1,4)</f>
        <v>40182</v>
      </c>
      <c r="H783" s="90">
        <v>1.8090277777777777</v>
      </c>
      <c r="I783" s="30" t="s">
        <v>198</v>
      </c>
      <c r="J783" s="89" t="s">
        <v>4454</v>
      </c>
      <c r="K783" s="30" t="s">
        <v>235</v>
      </c>
      <c r="L783" s="30" t="s">
        <v>4455</v>
      </c>
      <c r="M783" s="30" t="s">
        <v>63</v>
      </c>
      <c r="N783" s="30">
        <v>0</v>
      </c>
      <c r="O783" s="30" t="s">
        <v>77</v>
      </c>
      <c r="P783" s="89" t="s">
        <v>165</v>
      </c>
      <c r="Q783" s="89" t="s">
        <v>4456</v>
      </c>
      <c r="R783" s="89" t="s">
        <v>238</v>
      </c>
      <c r="S783" s="30">
        <v>0</v>
      </c>
      <c r="T783" s="233" t="s">
        <v>68</v>
      </c>
      <c r="U783" s="30">
        <v>0</v>
      </c>
      <c r="V783" s="233" t="s">
        <v>68</v>
      </c>
      <c r="W783" s="30">
        <v>0</v>
      </c>
      <c r="X783" s="30">
        <v>0</v>
      </c>
      <c r="Y783" s="30">
        <v>0</v>
      </c>
      <c r="Z783" s="233" t="s">
        <v>68</v>
      </c>
      <c r="AA783" s="30">
        <v>0</v>
      </c>
      <c r="AB783" s="30">
        <v>0</v>
      </c>
      <c r="AC783" s="30">
        <v>0</v>
      </c>
      <c r="AD783" s="30">
        <v>0</v>
      </c>
      <c r="AE783" s="89" t="s">
        <v>68</v>
      </c>
      <c r="AF783" s="89"/>
      <c r="AG783" s="89" t="s">
        <v>133</v>
      </c>
      <c r="AH783" s="72" t="s">
        <v>68</v>
      </c>
      <c r="AI783" s="30">
        <v>1</v>
      </c>
      <c r="AJ783" s="89" t="s">
        <v>4457</v>
      </c>
      <c r="AK783" s="89" t="s">
        <v>4458</v>
      </c>
      <c r="AL783" s="91">
        <v>40350</v>
      </c>
      <c r="AM783" s="91"/>
      <c r="AN783" s="91"/>
      <c r="AO783" s="91"/>
      <c r="AP783" s="73" t="e">
        <f>MID(VLOOKUP(K783,#REF!,2,FALSE),1,2)</f>
        <v>#REF!</v>
      </c>
      <c r="AQ783" s="89">
        <f>DATE(2010,1,4)</f>
        <v>40182</v>
      </c>
      <c r="AR783" s="82">
        <f t="shared" si="54"/>
        <v>4</v>
      </c>
      <c r="AS783" s="83">
        <f t="shared" si="55"/>
        <v>1</v>
      </c>
      <c r="AT783" s="84">
        <f t="shared" si="56"/>
        <v>2010</v>
      </c>
      <c r="AU783" s="86"/>
      <c r="AV783" s="86"/>
      <c r="AW783" s="87"/>
      <c r="AX783" s="86"/>
      <c r="AY783" s="83"/>
      <c r="AZ783" s="84"/>
      <c r="BA783" s="86"/>
      <c r="BB783" s="86"/>
    </row>
    <row r="784" spans="1:54" ht="36.75" customHeight="1">
      <c r="A784" s="30"/>
      <c r="B784" s="30" t="s">
        <v>55</v>
      </c>
      <c r="C784" s="69" t="str">
        <f t="shared" si="53"/>
        <v>Closed</v>
      </c>
      <c r="D784" s="27" t="s">
        <v>4459</v>
      </c>
      <c r="E784" s="29" t="s">
        <v>4460</v>
      </c>
      <c r="F784" s="30" t="s">
        <v>835</v>
      </c>
      <c r="G784" s="89">
        <f>DATE(2010,1,9)</f>
        <v>40187</v>
      </c>
      <c r="H784" s="90">
        <v>1.8236111111111111</v>
      </c>
      <c r="I784" s="30" t="s">
        <v>116</v>
      </c>
      <c r="J784" s="89" t="s">
        <v>4461</v>
      </c>
      <c r="K784" s="30" t="s">
        <v>837</v>
      </c>
      <c r="L784" s="30" t="s">
        <v>4462</v>
      </c>
      <c r="M784" s="30" t="s">
        <v>63</v>
      </c>
      <c r="N784" s="30">
        <v>0</v>
      </c>
      <c r="O784" s="30" t="s">
        <v>77</v>
      </c>
      <c r="P784" s="89" t="s">
        <v>65</v>
      </c>
      <c r="Q784" s="89" t="s">
        <v>2162</v>
      </c>
      <c r="R784" s="89" t="s">
        <v>840</v>
      </c>
      <c r="S784" s="30">
        <v>0</v>
      </c>
      <c r="T784" s="233">
        <v>0</v>
      </c>
      <c r="U784" s="30">
        <v>2</v>
      </c>
      <c r="V784" s="233">
        <v>0</v>
      </c>
      <c r="W784" s="30">
        <v>0</v>
      </c>
      <c r="X784" s="30">
        <v>2</v>
      </c>
      <c r="Y784" s="30">
        <v>0</v>
      </c>
      <c r="Z784" s="233">
        <v>0</v>
      </c>
      <c r="AA784" s="30">
        <v>1</v>
      </c>
      <c r="AB784" s="30">
        <v>0</v>
      </c>
      <c r="AC784" s="30">
        <v>0</v>
      </c>
      <c r="AD784" s="30">
        <v>1</v>
      </c>
      <c r="AE784" s="89" t="s">
        <v>68</v>
      </c>
      <c r="AF784" s="89"/>
      <c r="AG784" s="89" t="s">
        <v>352</v>
      </c>
      <c r="AH784" s="72" t="s">
        <v>68</v>
      </c>
      <c r="AI784" s="30">
        <v>0</v>
      </c>
      <c r="AJ784" s="89" t="s">
        <v>68</v>
      </c>
      <c r="AK784" s="89" t="s">
        <v>68</v>
      </c>
      <c r="AL784" s="91">
        <v>40324</v>
      </c>
      <c r="AM784" s="91"/>
      <c r="AN784" s="91"/>
      <c r="AO784" s="91"/>
      <c r="AP784" s="73" t="e">
        <f>MID(VLOOKUP(K784,#REF!,2,FALSE),1,2)</f>
        <v>#REF!</v>
      </c>
      <c r="AQ784" s="89">
        <f>DATE(2010,1,9)</f>
        <v>40187</v>
      </c>
      <c r="AR784" s="82">
        <f t="shared" si="54"/>
        <v>9</v>
      </c>
      <c r="AS784" s="83">
        <f t="shared" si="55"/>
        <v>1</v>
      </c>
      <c r="AT784" s="84">
        <f t="shared" si="56"/>
        <v>2010</v>
      </c>
      <c r="AU784" s="86"/>
      <c r="AV784" s="86"/>
      <c r="AW784" s="87"/>
      <c r="AX784" s="86"/>
      <c r="AY784" s="83"/>
      <c r="AZ784" s="84"/>
      <c r="BA784" s="86"/>
      <c r="BB784" s="86"/>
    </row>
    <row r="785" spans="1:54" ht="36.75" customHeight="1">
      <c r="A785" s="30"/>
      <c r="B785" s="30" t="s">
        <v>55</v>
      </c>
      <c r="C785" s="69" t="str">
        <f t="shared" si="53"/>
        <v>Closed</v>
      </c>
      <c r="D785" s="27" t="s">
        <v>4463</v>
      </c>
      <c r="E785" s="29" t="s">
        <v>4464</v>
      </c>
      <c r="F785" s="30" t="s">
        <v>638</v>
      </c>
      <c r="G785" s="89">
        <f>DATE(2010,1,10)</f>
        <v>40188</v>
      </c>
      <c r="H785" s="90">
        <v>1.8256944444444443</v>
      </c>
      <c r="I785" s="30" t="s">
        <v>73</v>
      </c>
      <c r="J785" s="89" t="s">
        <v>4465</v>
      </c>
      <c r="K785" s="30" t="s">
        <v>640</v>
      </c>
      <c r="L785" s="30" t="s">
        <v>4466</v>
      </c>
      <c r="M785" s="30" t="s">
        <v>63</v>
      </c>
      <c r="N785" s="30">
        <v>0</v>
      </c>
      <c r="O785" s="30" t="s">
        <v>64</v>
      </c>
      <c r="P785" s="89" t="s">
        <v>65</v>
      </c>
      <c r="Q785" s="89" t="s">
        <v>642</v>
      </c>
      <c r="R785" s="89" t="s">
        <v>643</v>
      </c>
      <c r="S785" s="30">
        <v>0</v>
      </c>
      <c r="T785" s="233" t="s">
        <v>68</v>
      </c>
      <c r="U785" s="30">
        <v>0</v>
      </c>
      <c r="V785" s="233" t="s">
        <v>68</v>
      </c>
      <c r="W785" s="30">
        <v>0</v>
      </c>
      <c r="X785" s="30">
        <v>0</v>
      </c>
      <c r="Y785" s="30">
        <v>0</v>
      </c>
      <c r="Z785" s="233" t="s">
        <v>68</v>
      </c>
      <c r="AA785" s="30">
        <v>0</v>
      </c>
      <c r="AB785" s="30">
        <v>0</v>
      </c>
      <c r="AC785" s="30">
        <v>0</v>
      </c>
      <c r="AD785" s="30">
        <v>0</v>
      </c>
      <c r="AE785" s="89" t="s">
        <v>68</v>
      </c>
      <c r="AF785" s="89"/>
      <c r="AG785" s="89" t="s">
        <v>352</v>
      </c>
      <c r="AH785" s="72" t="s">
        <v>68</v>
      </c>
      <c r="AI785" s="30">
        <v>5</v>
      </c>
      <c r="AJ785" s="89" t="s">
        <v>4467</v>
      </c>
      <c r="AK785" s="89" t="s">
        <v>68</v>
      </c>
      <c r="AL785" s="91">
        <v>40254</v>
      </c>
      <c r="AM785" s="91"/>
      <c r="AN785" s="91"/>
      <c r="AO785" s="91"/>
      <c r="AP785" s="73" t="e">
        <f>MID(VLOOKUP(K785,#REF!,2,FALSE),1,2)</f>
        <v>#REF!</v>
      </c>
      <c r="AQ785" s="89">
        <f>DATE(2010,1,10)</f>
        <v>40188</v>
      </c>
      <c r="AR785" s="82">
        <f t="shared" si="54"/>
        <v>10</v>
      </c>
      <c r="AS785" s="83">
        <f t="shared" si="55"/>
        <v>1</v>
      </c>
      <c r="AT785" s="84">
        <f t="shared" si="56"/>
        <v>2010</v>
      </c>
      <c r="AU785" s="86"/>
      <c r="AV785" s="86"/>
      <c r="AW785" s="87"/>
      <c r="AX785" s="86"/>
      <c r="AY785" s="83"/>
      <c r="AZ785" s="84"/>
      <c r="BA785" s="86"/>
      <c r="BB785" s="86"/>
    </row>
    <row r="786" spans="1:54" ht="36.75" customHeight="1">
      <c r="A786" s="30"/>
      <c r="B786" s="30" t="s">
        <v>55</v>
      </c>
      <c r="C786" s="69" t="str">
        <f t="shared" si="53"/>
        <v>Closed</v>
      </c>
      <c r="D786" s="27" t="s">
        <v>4468</v>
      </c>
      <c r="E786" s="29" t="s">
        <v>4469</v>
      </c>
      <c r="F786" s="30" t="s">
        <v>638</v>
      </c>
      <c r="G786" s="89">
        <f>DATE(2010,1,15)</f>
        <v>40193</v>
      </c>
      <c r="H786" s="90">
        <v>1.7680555555555557</v>
      </c>
      <c r="I786" s="30" t="s">
        <v>116</v>
      </c>
      <c r="J786" s="89" t="s">
        <v>4470</v>
      </c>
      <c r="K786" s="30" t="s">
        <v>640</v>
      </c>
      <c r="L786" s="30" t="s">
        <v>4471</v>
      </c>
      <c r="M786" s="30" t="s">
        <v>63</v>
      </c>
      <c r="N786" s="30">
        <v>0</v>
      </c>
      <c r="O786" s="30" t="s">
        <v>77</v>
      </c>
      <c r="P786" s="89" t="s">
        <v>65</v>
      </c>
      <c r="Q786" s="89" t="s">
        <v>642</v>
      </c>
      <c r="R786" s="89" t="s">
        <v>643</v>
      </c>
      <c r="S786" s="30">
        <v>0</v>
      </c>
      <c r="T786" s="233">
        <v>0</v>
      </c>
      <c r="U786" s="30">
        <v>1</v>
      </c>
      <c r="V786" s="233">
        <v>0</v>
      </c>
      <c r="W786" s="30">
        <v>0</v>
      </c>
      <c r="X786" s="30">
        <v>1</v>
      </c>
      <c r="Y786" s="30">
        <v>0</v>
      </c>
      <c r="Z786" s="233">
        <v>0</v>
      </c>
      <c r="AA786" s="30">
        <v>0</v>
      </c>
      <c r="AB786" s="30">
        <v>0</v>
      </c>
      <c r="AC786" s="30">
        <v>0</v>
      </c>
      <c r="AD786" s="30">
        <v>0</v>
      </c>
      <c r="AE786" s="89" t="s">
        <v>68</v>
      </c>
      <c r="AF786" s="89"/>
      <c r="AG786" s="89" t="s">
        <v>248</v>
      </c>
      <c r="AH786" s="72" t="s">
        <v>68</v>
      </c>
      <c r="AI786" s="30">
        <v>0</v>
      </c>
      <c r="AJ786" s="89" t="s">
        <v>1732</v>
      </c>
      <c r="AK786" s="89" t="s">
        <v>68</v>
      </c>
      <c r="AL786" s="91">
        <v>40214</v>
      </c>
      <c r="AM786" s="91"/>
      <c r="AN786" s="91"/>
      <c r="AO786" s="91"/>
      <c r="AP786" s="73" t="e">
        <f>MID(VLOOKUP(K786,#REF!,2,FALSE),1,2)</f>
        <v>#REF!</v>
      </c>
      <c r="AQ786" s="89">
        <f>DATE(2010,1,15)</f>
        <v>40193</v>
      </c>
      <c r="AR786" s="82">
        <f t="shared" si="54"/>
        <v>15</v>
      </c>
      <c r="AS786" s="83">
        <f t="shared" si="55"/>
        <v>1</v>
      </c>
      <c r="AT786" s="84">
        <f t="shared" si="56"/>
        <v>2010</v>
      </c>
      <c r="AU786" s="86"/>
      <c r="AV786" s="86"/>
      <c r="AW786" s="87"/>
      <c r="AX786" s="86"/>
      <c r="AY786" s="83"/>
      <c r="AZ786" s="84"/>
      <c r="BA786" s="86"/>
      <c r="BB786" s="86"/>
    </row>
    <row r="787" spans="1:54" ht="36.75" customHeight="1">
      <c r="A787" s="30"/>
      <c r="B787" s="30" t="s">
        <v>55</v>
      </c>
      <c r="C787" s="69" t="str">
        <f t="shared" si="53"/>
        <v>Closed</v>
      </c>
      <c r="D787" s="27" t="s">
        <v>4472</v>
      </c>
      <c r="E787" s="29" t="s">
        <v>4473</v>
      </c>
      <c r="F787" s="30" t="s">
        <v>638</v>
      </c>
      <c r="G787" s="89">
        <f>DATE(2010,1,15)</f>
        <v>40193</v>
      </c>
      <c r="H787" s="90">
        <v>1.8791666666666669</v>
      </c>
      <c r="I787" s="30" t="s">
        <v>278</v>
      </c>
      <c r="J787" s="89" t="s">
        <v>4474</v>
      </c>
      <c r="K787" s="30" t="s">
        <v>640</v>
      </c>
      <c r="L787" s="30" t="s">
        <v>4475</v>
      </c>
      <c r="M787" s="30" t="s">
        <v>63</v>
      </c>
      <c r="N787" s="30">
        <v>0</v>
      </c>
      <c r="O787" s="30" t="s">
        <v>77</v>
      </c>
      <c r="P787" s="89" t="s">
        <v>165</v>
      </c>
      <c r="Q787" s="89" t="s">
        <v>642</v>
      </c>
      <c r="R787" s="89" t="s">
        <v>643</v>
      </c>
      <c r="S787" s="30">
        <v>0</v>
      </c>
      <c r="T787" s="233">
        <v>0</v>
      </c>
      <c r="U787" s="30">
        <v>0</v>
      </c>
      <c r="V787" s="233">
        <v>1</v>
      </c>
      <c r="W787" s="30">
        <v>0</v>
      </c>
      <c r="X787" s="30">
        <v>1</v>
      </c>
      <c r="Y787" s="30">
        <v>0</v>
      </c>
      <c r="Z787" s="233">
        <v>0</v>
      </c>
      <c r="AA787" s="30">
        <v>0</v>
      </c>
      <c r="AB787" s="30">
        <v>0</v>
      </c>
      <c r="AC787" s="30">
        <v>0</v>
      </c>
      <c r="AD787" s="30">
        <v>0</v>
      </c>
      <c r="AE787" s="89" t="s">
        <v>68</v>
      </c>
      <c r="AF787" s="89"/>
      <c r="AG787" s="89" t="s">
        <v>248</v>
      </c>
      <c r="AH787" s="72" t="s">
        <v>68</v>
      </c>
      <c r="AI787" s="30">
        <v>0</v>
      </c>
      <c r="AJ787" s="89" t="s">
        <v>4476</v>
      </c>
      <c r="AK787" s="89" t="s">
        <v>68</v>
      </c>
      <c r="AL787" s="91">
        <v>40214</v>
      </c>
      <c r="AM787" s="91"/>
      <c r="AN787" s="91"/>
      <c r="AO787" s="91"/>
      <c r="AP787" s="73" t="e">
        <f>MID(VLOOKUP(K787,#REF!,2,FALSE),1,2)</f>
        <v>#REF!</v>
      </c>
      <c r="AQ787" s="89">
        <f>DATE(2010,1,15)</f>
        <v>40193</v>
      </c>
      <c r="AR787" s="82">
        <f t="shared" si="54"/>
        <v>15</v>
      </c>
      <c r="AS787" s="83">
        <f t="shared" si="55"/>
        <v>1</v>
      </c>
      <c r="AT787" s="84">
        <f t="shared" si="56"/>
        <v>2010</v>
      </c>
      <c r="AU787" s="86"/>
      <c r="AV787" s="86"/>
      <c r="AW787" s="87"/>
      <c r="AX787" s="86"/>
      <c r="AY787" s="83"/>
      <c r="AZ787" s="84"/>
      <c r="BA787" s="86"/>
      <c r="BB787" s="86"/>
    </row>
    <row r="788" spans="1:54" ht="36.75" customHeight="1">
      <c r="A788" s="30"/>
      <c r="B788" s="30" t="s">
        <v>55</v>
      </c>
      <c r="C788" s="69" t="str">
        <f t="shared" si="53"/>
        <v>Closed</v>
      </c>
      <c r="D788" s="27" t="s">
        <v>4477</v>
      </c>
      <c r="E788" s="29" t="s">
        <v>4478</v>
      </c>
      <c r="F788" s="30" t="s">
        <v>233</v>
      </c>
      <c r="G788" s="89">
        <f>DATE(2010,1,16)</f>
        <v>40194</v>
      </c>
      <c r="H788" s="90">
        <v>1.4375</v>
      </c>
      <c r="I788" s="30" t="s">
        <v>116</v>
      </c>
      <c r="J788" s="89" t="s">
        <v>4479</v>
      </c>
      <c r="K788" s="30" t="s">
        <v>235</v>
      </c>
      <c r="L788" s="30" t="s">
        <v>4480</v>
      </c>
      <c r="M788" s="30" t="s">
        <v>63</v>
      </c>
      <c r="N788" s="30">
        <v>0</v>
      </c>
      <c r="O788" s="30" t="s">
        <v>64</v>
      </c>
      <c r="P788" s="89" t="s">
        <v>165</v>
      </c>
      <c r="Q788" s="89" t="s">
        <v>2174</v>
      </c>
      <c r="R788" s="89" t="s">
        <v>238</v>
      </c>
      <c r="S788" s="30">
        <v>0</v>
      </c>
      <c r="T788" s="233">
        <v>0</v>
      </c>
      <c r="U788" s="30">
        <v>1</v>
      </c>
      <c r="V788" s="233">
        <v>0</v>
      </c>
      <c r="W788" s="30">
        <v>0</v>
      </c>
      <c r="X788" s="30">
        <v>1</v>
      </c>
      <c r="Y788" s="30">
        <v>0</v>
      </c>
      <c r="Z788" s="233">
        <v>0</v>
      </c>
      <c r="AA788" s="30">
        <v>1</v>
      </c>
      <c r="AB788" s="30">
        <v>0</v>
      </c>
      <c r="AC788" s="30">
        <v>0</v>
      </c>
      <c r="AD788" s="30">
        <v>1</v>
      </c>
      <c r="AE788" s="89" t="s">
        <v>68</v>
      </c>
      <c r="AF788" s="89"/>
      <c r="AG788" s="89" t="s">
        <v>82</v>
      </c>
      <c r="AH788" s="72" t="s">
        <v>68</v>
      </c>
      <c r="AI788" s="30">
        <v>4</v>
      </c>
      <c r="AJ788" s="89" t="s">
        <v>4481</v>
      </c>
      <c r="AK788" s="89" t="s">
        <v>4482</v>
      </c>
      <c r="AL788" s="91">
        <v>40200</v>
      </c>
      <c r="AM788" s="91"/>
      <c r="AN788" s="91"/>
      <c r="AO788" s="91"/>
      <c r="AP788" s="73" t="e">
        <f>MID(VLOOKUP(K788,#REF!,2,FALSE),1,2)</f>
        <v>#REF!</v>
      </c>
      <c r="AQ788" s="89">
        <f>DATE(2010,1,16)</f>
        <v>40194</v>
      </c>
      <c r="AR788" s="82">
        <f t="shared" si="54"/>
        <v>16</v>
      </c>
      <c r="AS788" s="83">
        <f t="shared" si="55"/>
        <v>1</v>
      </c>
      <c r="AT788" s="84">
        <f t="shared" si="56"/>
        <v>2010</v>
      </c>
      <c r="AU788" s="86"/>
      <c r="AV788" s="86"/>
      <c r="AW788" s="87"/>
      <c r="AX788" s="86"/>
      <c r="AY788" s="83"/>
      <c r="AZ788" s="84"/>
      <c r="BA788" s="86"/>
      <c r="BB788" s="86"/>
    </row>
    <row r="789" spans="1:54" ht="36.75" customHeight="1">
      <c r="A789" s="30"/>
      <c r="B789" s="30" t="s">
        <v>55</v>
      </c>
      <c r="C789" s="69" t="str">
        <f t="shared" si="53"/>
        <v>Closed</v>
      </c>
      <c r="D789" s="27" t="s">
        <v>4483</v>
      </c>
      <c r="E789" s="29" t="s">
        <v>4484</v>
      </c>
      <c r="F789" s="30" t="s">
        <v>582</v>
      </c>
      <c r="G789" s="89">
        <f>DATE(2010,1,20)</f>
        <v>40198</v>
      </c>
      <c r="H789" s="90">
        <v>1.3194444444444444</v>
      </c>
      <c r="I789" s="30" t="s">
        <v>156</v>
      </c>
      <c r="J789" s="89" t="s">
        <v>4485</v>
      </c>
      <c r="K789" s="30" t="s">
        <v>584</v>
      </c>
      <c r="L789" s="30" t="s">
        <v>4486</v>
      </c>
      <c r="M789" s="30" t="s">
        <v>63</v>
      </c>
      <c r="N789" s="30">
        <v>0</v>
      </c>
      <c r="O789" s="30" t="s">
        <v>64</v>
      </c>
      <c r="P789" s="89" t="s">
        <v>165</v>
      </c>
      <c r="Q789" s="89" t="s">
        <v>4487</v>
      </c>
      <c r="R789" s="89" t="s">
        <v>587</v>
      </c>
      <c r="S789" s="30">
        <v>0</v>
      </c>
      <c r="T789" s="233">
        <v>0</v>
      </c>
      <c r="U789" s="30">
        <v>0</v>
      </c>
      <c r="V789" s="233">
        <v>0</v>
      </c>
      <c r="W789" s="30">
        <v>0</v>
      </c>
      <c r="X789" s="30">
        <v>0</v>
      </c>
      <c r="Y789" s="30">
        <v>2</v>
      </c>
      <c r="Z789" s="233">
        <v>1</v>
      </c>
      <c r="AA789" s="30">
        <v>0</v>
      </c>
      <c r="AB789" s="30">
        <v>0</v>
      </c>
      <c r="AC789" s="30">
        <v>0</v>
      </c>
      <c r="AD789" s="30">
        <v>3</v>
      </c>
      <c r="AE789" s="89" t="s">
        <v>68</v>
      </c>
      <c r="AF789" s="89"/>
      <c r="AG789" s="89" t="s">
        <v>133</v>
      </c>
      <c r="AH789" s="72" t="s">
        <v>68</v>
      </c>
      <c r="AI789" s="30">
        <v>1</v>
      </c>
      <c r="AJ789" s="89" t="s">
        <v>4488</v>
      </c>
      <c r="AK789" s="89" t="s">
        <v>1233</v>
      </c>
      <c r="AL789" s="91">
        <v>40198</v>
      </c>
      <c r="AM789" s="91"/>
      <c r="AN789" s="91"/>
      <c r="AO789" s="91"/>
      <c r="AP789" s="73" t="e">
        <f>MID(VLOOKUP(K789,#REF!,2,FALSE),1,2)</f>
        <v>#REF!</v>
      </c>
      <c r="AQ789" s="89">
        <f>DATE(2010,1,20)</f>
        <v>40198</v>
      </c>
      <c r="AR789" s="82">
        <f t="shared" si="54"/>
        <v>20</v>
      </c>
      <c r="AS789" s="83">
        <f t="shared" si="55"/>
        <v>1</v>
      </c>
      <c r="AT789" s="84">
        <f t="shared" si="56"/>
        <v>2010</v>
      </c>
      <c r="AU789" s="86"/>
      <c r="AV789" s="86"/>
      <c r="AW789" s="87"/>
      <c r="AX789" s="86"/>
      <c r="AY789" s="83"/>
      <c r="AZ789" s="84"/>
      <c r="BA789" s="86"/>
      <c r="BB789" s="86"/>
    </row>
    <row r="790" spans="1:54" ht="36.75" customHeight="1">
      <c r="A790" s="30"/>
      <c r="B790" s="30" t="s">
        <v>55</v>
      </c>
      <c r="C790" s="69" t="str">
        <f t="shared" si="53"/>
        <v>Closed</v>
      </c>
      <c r="D790" s="27" t="s">
        <v>4489</v>
      </c>
      <c r="E790" s="29" t="s">
        <v>4490</v>
      </c>
      <c r="F790" s="30" t="s">
        <v>1938</v>
      </c>
      <c r="G790" s="89">
        <f>DATE(2010,1,20)</f>
        <v>40198</v>
      </c>
      <c r="H790" s="90">
        <v>1.6319444444444444</v>
      </c>
      <c r="I790" s="30" t="s">
        <v>73</v>
      </c>
      <c r="J790" s="89" t="s">
        <v>4491</v>
      </c>
      <c r="K790" s="30" t="s">
        <v>1940</v>
      </c>
      <c r="L790" s="30" t="s">
        <v>4492</v>
      </c>
      <c r="M790" s="30" t="s">
        <v>63</v>
      </c>
      <c r="N790" s="30">
        <v>0</v>
      </c>
      <c r="O790" s="30" t="s">
        <v>86</v>
      </c>
      <c r="P790" s="89" t="s">
        <v>65</v>
      </c>
      <c r="Q790" s="89" t="s">
        <v>1942</v>
      </c>
      <c r="R790" s="89" t="s">
        <v>1942</v>
      </c>
      <c r="S790" s="30">
        <v>0</v>
      </c>
      <c r="T790" s="233" t="s">
        <v>68</v>
      </c>
      <c r="U790" s="30">
        <v>0</v>
      </c>
      <c r="V790" s="233" t="s">
        <v>68</v>
      </c>
      <c r="W790" s="30">
        <v>0</v>
      </c>
      <c r="X790" s="30">
        <v>0</v>
      </c>
      <c r="Y790" s="30">
        <v>0</v>
      </c>
      <c r="Z790" s="233" t="s">
        <v>68</v>
      </c>
      <c r="AA790" s="30">
        <v>0</v>
      </c>
      <c r="AB790" s="30">
        <v>0</v>
      </c>
      <c r="AC790" s="30">
        <v>0</v>
      </c>
      <c r="AD790" s="30">
        <v>0</v>
      </c>
      <c r="AE790" s="89" t="s">
        <v>68</v>
      </c>
      <c r="AF790" s="89"/>
      <c r="AG790" s="89" t="s">
        <v>133</v>
      </c>
      <c r="AH790" s="72" t="s">
        <v>68</v>
      </c>
      <c r="AI790" s="30">
        <v>2</v>
      </c>
      <c r="AJ790" s="89" t="s">
        <v>4493</v>
      </c>
      <c r="AK790" s="89" t="s">
        <v>4494</v>
      </c>
      <c r="AL790" s="91">
        <v>40205</v>
      </c>
      <c r="AM790" s="91"/>
      <c r="AN790" s="91"/>
      <c r="AO790" s="91"/>
      <c r="AP790" s="73" t="e">
        <f>MID(VLOOKUP(K790,#REF!,2,FALSE),1,2)</f>
        <v>#REF!</v>
      </c>
      <c r="AQ790" s="89">
        <f>DATE(2010,1,20)</f>
        <v>40198</v>
      </c>
      <c r="AR790" s="82">
        <f t="shared" si="54"/>
        <v>20</v>
      </c>
      <c r="AS790" s="83">
        <f t="shared" si="55"/>
        <v>1</v>
      </c>
      <c r="AT790" s="84">
        <f t="shared" si="56"/>
        <v>2010</v>
      </c>
      <c r="AU790" s="86"/>
      <c r="AV790" s="86"/>
      <c r="AW790" s="87"/>
      <c r="AX790" s="86"/>
      <c r="AY790" s="83"/>
      <c r="AZ790" s="84"/>
      <c r="BA790" s="86"/>
      <c r="BB790" s="86"/>
    </row>
    <row r="791" spans="1:54" ht="36.75" customHeight="1">
      <c r="A791" s="30"/>
      <c r="B791" s="30" t="s">
        <v>55</v>
      </c>
      <c r="C791" s="69" t="str">
        <f t="shared" si="53"/>
        <v>Closed</v>
      </c>
      <c r="D791" s="27" t="s">
        <v>4495</v>
      </c>
      <c r="E791" s="29" t="s">
        <v>4496</v>
      </c>
      <c r="F791" s="30" t="s">
        <v>423</v>
      </c>
      <c r="G791" s="89">
        <f>DATE(2010,1,21)</f>
        <v>40199</v>
      </c>
      <c r="H791" s="90">
        <v>1.9965277777777777</v>
      </c>
      <c r="I791" s="30" t="s">
        <v>73</v>
      </c>
      <c r="J791" s="89" t="s">
        <v>4497</v>
      </c>
      <c r="K791" s="30" t="s">
        <v>425</v>
      </c>
      <c r="L791" s="30" t="s">
        <v>4498</v>
      </c>
      <c r="M791" s="30" t="s">
        <v>63</v>
      </c>
      <c r="N791" s="30">
        <v>0</v>
      </c>
      <c r="O791" s="30" t="s">
        <v>64</v>
      </c>
      <c r="P791" s="89" t="s">
        <v>78</v>
      </c>
      <c r="Q791" s="89" t="s">
        <v>2582</v>
      </c>
      <c r="R791" s="89" t="s">
        <v>3103</v>
      </c>
      <c r="S791" s="30">
        <v>0</v>
      </c>
      <c r="T791" s="233" t="s">
        <v>68</v>
      </c>
      <c r="U791" s="30">
        <v>0</v>
      </c>
      <c r="V791" s="233" t="s">
        <v>68</v>
      </c>
      <c r="W791" s="30">
        <v>0</v>
      </c>
      <c r="X791" s="30">
        <v>0</v>
      </c>
      <c r="Y791" s="30">
        <v>0</v>
      </c>
      <c r="Z791" s="233" t="s">
        <v>68</v>
      </c>
      <c r="AA791" s="30">
        <v>0</v>
      </c>
      <c r="AB791" s="30">
        <v>0</v>
      </c>
      <c r="AC791" s="30">
        <v>0</v>
      </c>
      <c r="AD791" s="30">
        <v>0</v>
      </c>
      <c r="AE791" s="89" t="s">
        <v>68</v>
      </c>
      <c r="AF791" s="89"/>
      <c r="AG791" s="89" t="s">
        <v>352</v>
      </c>
      <c r="AH791" s="72" t="s">
        <v>68</v>
      </c>
      <c r="AI791" s="30">
        <v>0</v>
      </c>
      <c r="AJ791" s="89" t="s">
        <v>4499</v>
      </c>
      <c r="AK791" s="89" t="s">
        <v>2348</v>
      </c>
      <c r="AL791" s="91">
        <v>40231</v>
      </c>
      <c r="AM791" s="91"/>
      <c r="AN791" s="91"/>
      <c r="AO791" s="91"/>
      <c r="AP791" s="73" t="e">
        <f>MID(VLOOKUP(K791,#REF!,2,FALSE),1,2)</f>
        <v>#REF!</v>
      </c>
      <c r="AQ791" s="89">
        <f>DATE(2010,1,21)</f>
        <v>40199</v>
      </c>
      <c r="AR791" s="82">
        <f t="shared" si="54"/>
        <v>21</v>
      </c>
      <c r="AS791" s="83">
        <f t="shared" si="55"/>
        <v>1</v>
      </c>
      <c r="AT791" s="84">
        <f t="shared" si="56"/>
        <v>2010</v>
      </c>
      <c r="AU791" s="86"/>
      <c r="AV791" s="86"/>
      <c r="AW791" s="87"/>
      <c r="AX791" s="86"/>
      <c r="AY791" s="83"/>
      <c r="AZ791" s="84"/>
      <c r="BA791" s="86"/>
      <c r="BB791" s="86"/>
    </row>
    <row r="792" spans="1:54" ht="36.75" customHeight="1">
      <c r="A792" s="30"/>
      <c r="B792" s="30" t="s">
        <v>55</v>
      </c>
      <c r="C792" s="69" t="str">
        <f t="shared" si="53"/>
        <v>Closed</v>
      </c>
      <c r="D792" s="27" t="s">
        <v>4500</v>
      </c>
      <c r="E792" s="29" t="s">
        <v>4501</v>
      </c>
      <c r="F792" s="30" t="s">
        <v>1749</v>
      </c>
      <c r="G792" s="89">
        <f>DATE(2010,1,21)</f>
        <v>40199</v>
      </c>
      <c r="H792" s="90">
        <v>1.4145833333333333</v>
      </c>
      <c r="I792" s="30" t="s">
        <v>116</v>
      </c>
      <c r="J792" s="89" t="s">
        <v>4502</v>
      </c>
      <c r="K792" s="30" t="s">
        <v>1751</v>
      </c>
      <c r="L792" s="30" t="s">
        <v>4503</v>
      </c>
      <c r="M792" s="30" t="s">
        <v>63</v>
      </c>
      <c r="N792" s="30">
        <v>0</v>
      </c>
      <c r="O792" s="30" t="s">
        <v>64</v>
      </c>
      <c r="P792" s="89" t="s">
        <v>86</v>
      </c>
      <c r="Q792" s="89" t="s">
        <v>1753</v>
      </c>
      <c r="R792" s="89" t="s">
        <v>3619</v>
      </c>
      <c r="S792" s="30">
        <v>0</v>
      </c>
      <c r="T792" s="233">
        <v>0</v>
      </c>
      <c r="U792" s="30">
        <v>1</v>
      </c>
      <c r="V792" s="233">
        <v>0</v>
      </c>
      <c r="W792" s="30">
        <v>0</v>
      </c>
      <c r="X792" s="30">
        <v>1</v>
      </c>
      <c r="Y792" s="30">
        <v>0</v>
      </c>
      <c r="Z792" s="233">
        <v>0</v>
      </c>
      <c r="AA792" s="30">
        <v>0</v>
      </c>
      <c r="AB792" s="30">
        <v>0</v>
      </c>
      <c r="AC792" s="30">
        <v>0</v>
      </c>
      <c r="AD792" s="30">
        <v>0</v>
      </c>
      <c r="AE792" s="89" t="s">
        <v>68</v>
      </c>
      <c r="AF792" s="89"/>
      <c r="AG792" s="89" t="s">
        <v>248</v>
      </c>
      <c r="AH792" s="72" t="s">
        <v>68</v>
      </c>
      <c r="AI792" s="30">
        <v>2</v>
      </c>
      <c r="AJ792" s="89" t="s">
        <v>4504</v>
      </c>
      <c r="AK792" s="89" t="s">
        <v>68</v>
      </c>
      <c r="AL792" s="91">
        <v>40204</v>
      </c>
      <c r="AM792" s="91"/>
      <c r="AN792" s="91"/>
      <c r="AO792" s="91"/>
      <c r="AP792" s="73" t="e">
        <f>MID(VLOOKUP(K792,#REF!,2,FALSE),1,2)</f>
        <v>#REF!</v>
      </c>
      <c r="AQ792" s="89">
        <f>DATE(2010,1,21)</f>
        <v>40199</v>
      </c>
      <c r="AR792" s="82">
        <f t="shared" si="54"/>
        <v>21</v>
      </c>
      <c r="AS792" s="83">
        <f t="shared" si="55"/>
        <v>1</v>
      </c>
      <c r="AT792" s="84">
        <f t="shared" si="56"/>
        <v>2010</v>
      </c>
      <c r="AU792" s="86"/>
      <c r="AV792" s="86"/>
      <c r="AW792" s="87"/>
      <c r="AX792" s="86"/>
      <c r="AY792" s="83"/>
      <c r="AZ792" s="84"/>
      <c r="BA792" s="86"/>
      <c r="BB792" s="86"/>
    </row>
    <row r="793" spans="1:54" ht="36.75" customHeight="1">
      <c r="A793" s="30"/>
      <c r="B793" s="30" t="s">
        <v>55</v>
      </c>
      <c r="C793" s="69" t="str">
        <f t="shared" si="53"/>
        <v>Closed</v>
      </c>
      <c r="D793" s="27" t="s">
        <v>4505</v>
      </c>
      <c r="E793" s="29" t="s">
        <v>4506</v>
      </c>
      <c r="F793" s="30" t="s">
        <v>1572</v>
      </c>
      <c r="G793" s="89">
        <f>DATE(2010,1,25)</f>
        <v>40203</v>
      </c>
      <c r="H793" s="90">
        <v>1.3125</v>
      </c>
      <c r="I793" s="30" t="s">
        <v>73</v>
      </c>
      <c r="J793" s="89" t="s">
        <v>4507</v>
      </c>
      <c r="K793" s="30" t="s">
        <v>1574</v>
      </c>
      <c r="L793" s="30" t="s">
        <v>4508</v>
      </c>
      <c r="M793" s="30" t="s">
        <v>63</v>
      </c>
      <c r="N793" s="30">
        <v>0</v>
      </c>
      <c r="O793" s="30" t="s">
        <v>64</v>
      </c>
      <c r="P793" s="89" t="s">
        <v>165</v>
      </c>
      <c r="Q793" s="89" t="s">
        <v>2413</v>
      </c>
      <c r="R793" s="89">
        <v>0</v>
      </c>
      <c r="S793" s="30">
        <v>0</v>
      </c>
      <c r="T793" s="233" t="s">
        <v>68</v>
      </c>
      <c r="U793" s="30">
        <v>0</v>
      </c>
      <c r="V793" s="233" t="s">
        <v>68</v>
      </c>
      <c r="W793" s="30">
        <v>0</v>
      </c>
      <c r="X793" s="30">
        <v>0</v>
      </c>
      <c r="Y793" s="30">
        <v>0</v>
      </c>
      <c r="Z793" s="233" t="s">
        <v>68</v>
      </c>
      <c r="AA793" s="30">
        <v>0</v>
      </c>
      <c r="AB793" s="30">
        <v>0</v>
      </c>
      <c r="AC793" s="30">
        <v>0</v>
      </c>
      <c r="AD793" s="30">
        <v>0</v>
      </c>
      <c r="AE793" s="89" t="s">
        <v>68</v>
      </c>
      <c r="AF793" s="89"/>
      <c r="AG793" s="89" t="s">
        <v>352</v>
      </c>
      <c r="AH793" s="72" t="s">
        <v>68</v>
      </c>
      <c r="AI793" s="30">
        <v>2</v>
      </c>
      <c r="AJ793" s="89" t="s">
        <v>4509</v>
      </c>
      <c r="AK793" s="89" t="s">
        <v>4510</v>
      </c>
      <c r="AL793" s="91">
        <v>40206</v>
      </c>
      <c r="AM793" s="91"/>
      <c r="AN793" s="91"/>
      <c r="AO793" s="91"/>
      <c r="AP793" s="73" t="e">
        <f>MID(VLOOKUP(K793,#REF!,2,FALSE),1,2)</f>
        <v>#REF!</v>
      </c>
      <c r="AQ793" s="89">
        <f>DATE(2010,1,25)</f>
        <v>40203</v>
      </c>
      <c r="AR793" s="82">
        <f t="shared" si="54"/>
        <v>25</v>
      </c>
      <c r="AS793" s="83">
        <f t="shared" si="55"/>
        <v>1</v>
      </c>
      <c r="AT793" s="84">
        <f t="shared" si="56"/>
        <v>2010</v>
      </c>
      <c r="AU793" s="86"/>
      <c r="AV793" s="86"/>
      <c r="AW793" s="87"/>
      <c r="AX793" s="86"/>
      <c r="AY793" s="83"/>
      <c r="AZ793" s="84"/>
      <c r="BA793" s="86"/>
      <c r="BB793" s="86"/>
    </row>
    <row r="794" spans="1:54" ht="36.75" customHeight="1">
      <c r="A794" s="30"/>
      <c r="B794" s="30" t="s">
        <v>55</v>
      </c>
      <c r="C794" s="69" t="str">
        <f t="shared" si="53"/>
        <v>Closed</v>
      </c>
      <c r="D794" s="27" t="s">
        <v>4511</v>
      </c>
      <c r="E794" s="29" t="s">
        <v>4512</v>
      </c>
      <c r="F794" s="30" t="s">
        <v>124</v>
      </c>
      <c r="G794" s="89">
        <f>DATE(2010,1,26)</f>
        <v>40204</v>
      </c>
      <c r="H794" s="90">
        <v>1.9756944444444446</v>
      </c>
      <c r="I794" s="30" t="s">
        <v>125</v>
      </c>
      <c r="J794" s="89" t="s">
        <v>4513</v>
      </c>
      <c r="K794" s="30" t="s">
        <v>127</v>
      </c>
      <c r="L794" s="30" t="s">
        <v>4514</v>
      </c>
      <c r="M794" s="30" t="s">
        <v>129</v>
      </c>
      <c r="N794" s="30">
        <v>0</v>
      </c>
      <c r="O794" s="30" t="s">
        <v>64</v>
      </c>
      <c r="P794" s="89" t="s">
        <v>165</v>
      </c>
      <c r="Q794" s="89" t="s">
        <v>130</v>
      </c>
      <c r="R794" s="89" t="s">
        <v>131</v>
      </c>
      <c r="S794" s="30">
        <v>0</v>
      </c>
      <c r="T794" s="233" t="s">
        <v>68</v>
      </c>
      <c r="U794" s="30">
        <v>0</v>
      </c>
      <c r="V794" s="233" t="s">
        <v>68</v>
      </c>
      <c r="W794" s="30">
        <v>0</v>
      </c>
      <c r="X794" s="30">
        <v>0</v>
      </c>
      <c r="Y794" s="30">
        <v>0</v>
      </c>
      <c r="Z794" s="233" t="s">
        <v>68</v>
      </c>
      <c r="AA794" s="30">
        <v>0</v>
      </c>
      <c r="AB794" s="30">
        <v>0</v>
      </c>
      <c r="AC794" s="30">
        <v>0</v>
      </c>
      <c r="AD794" s="30">
        <v>0</v>
      </c>
      <c r="AE794" s="89" t="s">
        <v>68</v>
      </c>
      <c r="AF794" s="89"/>
      <c r="AG794" s="89" t="s">
        <v>367</v>
      </c>
      <c r="AH794" s="72" t="s">
        <v>68</v>
      </c>
      <c r="AI794" s="30">
        <v>1</v>
      </c>
      <c r="AJ794" s="89" t="s">
        <v>68</v>
      </c>
      <c r="AK794" s="89" t="s">
        <v>68</v>
      </c>
      <c r="AL794" s="91">
        <v>40232</v>
      </c>
      <c r="AM794" s="91"/>
      <c r="AN794" s="91"/>
      <c r="AO794" s="91"/>
      <c r="AP794" s="73" t="e">
        <f>MID(VLOOKUP(K794,#REF!,2,FALSE),1,2)</f>
        <v>#REF!</v>
      </c>
      <c r="AQ794" s="89">
        <f>DATE(2010,1,26)</f>
        <v>40204</v>
      </c>
      <c r="AR794" s="82">
        <f t="shared" si="54"/>
        <v>26</v>
      </c>
      <c r="AS794" s="83">
        <f t="shared" si="55"/>
        <v>1</v>
      </c>
      <c r="AT794" s="84">
        <f t="shared" si="56"/>
        <v>2010</v>
      </c>
      <c r="AU794" s="86"/>
      <c r="AV794" s="86"/>
      <c r="AW794" s="87"/>
      <c r="AX794" s="86"/>
      <c r="AY794" s="83"/>
      <c r="AZ794" s="84"/>
      <c r="BA794" s="86"/>
      <c r="BB794" s="86"/>
    </row>
    <row r="795" spans="1:54" ht="36.75" customHeight="1">
      <c r="A795" s="30"/>
      <c r="B795" s="30" t="s">
        <v>55</v>
      </c>
      <c r="C795" s="69" t="str">
        <f t="shared" si="53"/>
        <v>Closed</v>
      </c>
      <c r="D795" s="27" t="s">
        <v>4515</v>
      </c>
      <c r="E795" s="29" t="s">
        <v>4516</v>
      </c>
      <c r="F795" s="30" t="s">
        <v>1572</v>
      </c>
      <c r="G795" s="89">
        <f>DATE(2010,1,26)</f>
        <v>40204</v>
      </c>
      <c r="H795" s="90">
        <v>1.211111111111111</v>
      </c>
      <c r="I795" s="30" t="s">
        <v>73</v>
      </c>
      <c r="J795" s="89" t="s">
        <v>4517</v>
      </c>
      <c r="K795" s="30" t="s">
        <v>1574</v>
      </c>
      <c r="L795" s="30" t="s">
        <v>4518</v>
      </c>
      <c r="M795" s="30" t="s">
        <v>63</v>
      </c>
      <c r="N795" s="30">
        <v>0</v>
      </c>
      <c r="O795" s="30" t="s">
        <v>77</v>
      </c>
      <c r="P795" s="89" t="s">
        <v>165</v>
      </c>
      <c r="Q795" s="89" t="s">
        <v>2413</v>
      </c>
      <c r="R795" s="89">
        <v>0</v>
      </c>
      <c r="S795" s="30">
        <v>0</v>
      </c>
      <c r="T795" s="233" t="s">
        <v>68</v>
      </c>
      <c r="U795" s="30">
        <v>0</v>
      </c>
      <c r="V795" s="233" t="s">
        <v>68</v>
      </c>
      <c r="W795" s="30">
        <v>0</v>
      </c>
      <c r="X795" s="30">
        <v>0</v>
      </c>
      <c r="Y795" s="30">
        <v>0</v>
      </c>
      <c r="Z795" s="233" t="s">
        <v>68</v>
      </c>
      <c r="AA795" s="30">
        <v>0</v>
      </c>
      <c r="AB795" s="30">
        <v>0</v>
      </c>
      <c r="AC795" s="30">
        <v>0</v>
      </c>
      <c r="AD795" s="30">
        <v>0</v>
      </c>
      <c r="AE795" s="89" t="s">
        <v>68</v>
      </c>
      <c r="AF795" s="89"/>
      <c r="AG795" s="89" t="s">
        <v>352</v>
      </c>
      <c r="AH795" s="72" t="s">
        <v>68</v>
      </c>
      <c r="AI795" s="30">
        <v>2</v>
      </c>
      <c r="AJ795" s="89" t="s">
        <v>4519</v>
      </c>
      <c r="AK795" s="89" t="s">
        <v>4510</v>
      </c>
      <c r="AL795" s="91">
        <v>40206</v>
      </c>
      <c r="AM795" s="91"/>
      <c r="AN795" s="91"/>
      <c r="AO795" s="91"/>
      <c r="AP795" s="73" t="e">
        <f>MID(VLOOKUP(K795,#REF!,2,FALSE),1,2)</f>
        <v>#REF!</v>
      </c>
      <c r="AQ795" s="89">
        <f>DATE(2010,1,26)</f>
        <v>40204</v>
      </c>
      <c r="AR795" s="82">
        <f t="shared" si="54"/>
        <v>26</v>
      </c>
      <c r="AS795" s="83">
        <f t="shared" si="55"/>
        <v>1</v>
      </c>
      <c r="AT795" s="84">
        <f t="shared" si="56"/>
        <v>2010</v>
      </c>
      <c r="AU795" s="86"/>
      <c r="AV795" s="86"/>
      <c r="AW795" s="87"/>
      <c r="AX795" s="86"/>
      <c r="AY795" s="83"/>
      <c r="AZ795" s="84"/>
      <c r="BA795" s="86"/>
      <c r="BB795" s="86"/>
    </row>
    <row r="796" spans="1:54" ht="36.75" customHeight="1">
      <c r="A796" s="30"/>
      <c r="B796" s="30" t="s">
        <v>55</v>
      </c>
      <c r="C796" s="69" t="str">
        <f t="shared" si="53"/>
        <v>Closed</v>
      </c>
      <c r="D796" s="27" t="s">
        <v>4520</v>
      </c>
      <c r="E796" s="29" t="s">
        <v>4521</v>
      </c>
      <c r="F796" s="30" t="s">
        <v>1572</v>
      </c>
      <c r="G796" s="89">
        <f>DATE(2010,1,26)</f>
        <v>40204</v>
      </c>
      <c r="H796" s="90">
        <v>1.598611111111111</v>
      </c>
      <c r="I796" s="30" t="s">
        <v>73</v>
      </c>
      <c r="J796" s="89" t="s">
        <v>4522</v>
      </c>
      <c r="K796" s="30" t="s">
        <v>1574</v>
      </c>
      <c r="L796" s="30" t="s">
        <v>4523</v>
      </c>
      <c r="M796" s="30" t="s">
        <v>63</v>
      </c>
      <c r="N796" s="30">
        <v>0</v>
      </c>
      <c r="O796" s="30" t="s">
        <v>64</v>
      </c>
      <c r="P796" s="89" t="s">
        <v>165</v>
      </c>
      <c r="Q796" s="89" t="s">
        <v>2413</v>
      </c>
      <c r="R796" s="89">
        <v>0</v>
      </c>
      <c r="S796" s="30">
        <v>0</v>
      </c>
      <c r="T796" s="233" t="s">
        <v>68</v>
      </c>
      <c r="U796" s="30">
        <v>0</v>
      </c>
      <c r="V796" s="233" t="s">
        <v>68</v>
      </c>
      <c r="W796" s="30">
        <v>0</v>
      </c>
      <c r="X796" s="30">
        <v>0</v>
      </c>
      <c r="Y796" s="30">
        <v>0</v>
      </c>
      <c r="Z796" s="233" t="s">
        <v>68</v>
      </c>
      <c r="AA796" s="30">
        <v>0</v>
      </c>
      <c r="AB796" s="30">
        <v>0</v>
      </c>
      <c r="AC796" s="30">
        <v>0</v>
      </c>
      <c r="AD796" s="30">
        <v>0</v>
      </c>
      <c r="AE796" s="89" t="s">
        <v>68</v>
      </c>
      <c r="AF796" s="89"/>
      <c r="AG796" s="89" t="s">
        <v>352</v>
      </c>
      <c r="AH796" s="72" t="s">
        <v>68</v>
      </c>
      <c r="AI796" s="30">
        <v>2</v>
      </c>
      <c r="AJ796" s="89" t="s">
        <v>4524</v>
      </c>
      <c r="AK796" s="89" t="s">
        <v>4510</v>
      </c>
      <c r="AL796" s="91">
        <v>40206</v>
      </c>
      <c r="AM796" s="91"/>
      <c r="AN796" s="91"/>
      <c r="AO796" s="91"/>
      <c r="AP796" s="73" t="e">
        <f>MID(VLOOKUP(K796,#REF!,2,FALSE),1,2)</f>
        <v>#REF!</v>
      </c>
      <c r="AQ796" s="89">
        <f>DATE(2010,1,26)</f>
        <v>40204</v>
      </c>
      <c r="AR796" s="82">
        <f t="shared" si="54"/>
        <v>26</v>
      </c>
      <c r="AS796" s="83">
        <f t="shared" si="55"/>
        <v>1</v>
      </c>
      <c r="AT796" s="84">
        <f t="shared" si="56"/>
        <v>2010</v>
      </c>
      <c r="AU796" s="86"/>
      <c r="AV796" s="86"/>
      <c r="AW796" s="87"/>
      <c r="AX796" s="86"/>
      <c r="AY796" s="83"/>
      <c r="AZ796" s="84"/>
      <c r="BA796" s="86"/>
      <c r="BB796" s="86"/>
    </row>
    <row r="797" spans="1:54" ht="36.75" customHeight="1">
      <c r="A797" s="30"/>
      <c r="B797" s="30" t="s">
        <v>55</v>
      </c>
      <c r="C797" s="69" t="str">
        <f t="shared" si="53"/>
        <v>Closed</v>
      </c>
      <c r="D797" s="27" t="s">
        <v>4525</v>
      </c>
      <c r="E797" s="29" t="s">
        <v>4526</v>
      </c>
      <c r="F797" s="30" t="s">
        <v>3148</v>
      </c>
      <c r="G797" s="89">
        <f>DATE(2010,1,27)</f>
        <v>40205</v>
      </c>
      <c r="H797" s="90">
        <v>1.8645833333333335</v>
      </c>
      <c r="I797" s="30" t="s">
        <v>116</v>
      </c>
      <c r="J797" s="89" t="s">
        <v>4527</v>
      </c>
      <c r="K797" s="30" t="s">
        <v>3150</v>
      </c>
      <c r="L797" s="30" t="s">
        <v>4528</v>
      </c>
      <c r="M797" s="30" t="s">
        <v>63</v>
      </c>
      <c r="N797" s="30">
        <v>0</v>
      </c>
      <c r="O797" s="30" t="s">
        <v>77</v>
      </c>
      <c r="P797" s="89" t="s">
        <v>381</v>
      </c>
      <c r="Q797" s="89" t="s">
        <v>4529</v>
      </c>
      <c r="R797" s="89" t="s">
        <v>3153</v>
      </c>
      <c r="S797" s="30">
        <v>0</v>
      </c>
      <c r="T797" s="233">
        <v>0</v>
      </c>
      <c r="U797" s="30">
        <v>0</v>
      </c>
      <c r="V797" s="233">
        <v>0</v>
      </c>
      <c r="W797" s="30">
        <v>0</v>
      </c>
      <c r="X797" s="30">
        <v>0</v>
      </c>
      <c r="Y797" s="30">
        <v>0</v>
      </c>
      <c r="Z797" s="233">
        <v>0</v>
      </c>
      <c r="AA797" s="30">
        <v>0</v>
      </c>
      <c r="AB797" s="30">
        <v>0</v>
      </c>
      <c r="AC797" s="30">
        <v>0</v>
      </c>
      <c r="AD797" s="30">
        <v>0</v>
      </c>
      <c r="AE797" s="89" t="s">
        <v>68</v>
      </c>
      <c r="AF797" s="89"/>
      <c r="AG797" s="89" t="s">
        <v>395</v>
      </c>
      <c r="AH797" s="72" t="s">
        <v>68</v>
      </c>
      <c r="AI797" s="30">
        <v>4</v>
      </c>
      <c r="AJ797" s="89" t="s">
        <v>68</v>
      </c>
      <c r="AK797" s="89" t="s">
        <v>68</v>
      </c>
      <c r="AL797" s="91">
        <v>40211</v>
      </c>
      <c r="AM797" s="91"/>
      <c r="AN797" s="91"/>
      <c r="AO797" s="91"/>
      <c r="AP797" s="73" t="e">
        <f>MID(VLOOKUP(K797,#REF!,2,FALSE),1,2)</f>
        <v>#REF!</v>
      </c>
      <c r="AQ797" s="89">
        <f>DATE(2010,1,27)</f>
        <v>40205</v>
      </c>
      <c r="AR797" s="82">
        <f t="shared" si="54"/>
        <v>27</v>
      </c>
      <c r="AS797" s="83">
        <f t="shared" si="55"/>
        <v>1</v>
      </c>
      <c r="AT797" s="84">
        <f t="shared" si="56"/>
        <v>2010</v>
      </c>
      <c r="AU797" s="86"/>
      <c r="AV797" s="86"/>
      <c r="AW797" s="87"/>
      <c r="AX797" s="86"/>
      <c r="AY797" s="83"/>
      <c r="AZ797" s="84"/>
      <c r="BA797" s="86"/>
      <c r="BB797" s="86"/>
    </row>
    <row r="798" spans="1:54" ht="36.75" customHeight="1">
      <c r="A798" s="30"/>
      <c r="B798" s="30" t="s">
        <v>55</v>
      </c>
      <c r="C798" s="69" t="str">
        <f t="shared" si="53"/>
        <v>Closed</v>
      </c>
      <c r="D798" s="27" t="s">
        <v>4530</v>
      </c>
      <c r="E798" s="29" t="s">
        <v>4531</v>
      </c>
      <c r="F798" s="30" t="s">
        <v>197</v>
      </c>
      <c r="G798" s="89">
        <f>DATE(2010,1,28)</f>
        <v>40206</v>
      </c>
      <c r="H798" s="90">
        <v>1.5055555555555555</v>
      </c>
      <c r="I798" s="30" t="s">
        <v>156</v>
      </c>
      <c r="J798" s="89" t="s">
        <v>4532</v>
      </c>
      <c r="K798" s="30" t="s">
        <v>200</v>
      </c>
      <c r="L798" s="30" t="s">
        <v>4533</v>
      </c>
      <c r="M798" s="30" t="s">
        <v>63</v>
      </c>
      <c r="N798" s="30">
        <v>0</v>
      </c>
      <c r="O798" s="30" t="s">
        <v>64</v>
      </c>
      <c r="P798" s="89" t="s">
        <v>462</v>
      </c>
      <c r="Q798" s="89" t="s">
        <v>202</v>
      </c>
      <c r="R798" s="89" t="s">
        <v>203</v>
      </c>
      <c r="S798" s="30">
        <v>0</v>
      </c>
      <c r="T798" s="233">
        <v>0</v>
      </c>
      <c r="U798" s="30">
        <v>0</v>
      </c>
      <c r="V798" s="233">
        <v>0</v>
      </c>
      <c r="W798" s="30">
        <v>0</v>
      </c>
      <c r="X798" s="30">
        <v>0</v>
      </c>
      <c r="Y798" s="30">
        <v>0</v>
      </c>
      <c r="Z798" s="233">
        <v>0</v>
      </c>
      <c r="AA798" s="30">
        <v>0</v>
      </c>
      <c r="AB798" s="30">
        <v>0</v>
      </c>
      <c r="AC798" s="30">
        <v>0</v>
      </c>
      <c r="AD798" s="30">
        <v>0</v>
      </c>
      <c r="AE798" s="89" t="s">
        <v>68</v>
      </c>
      <c r="AF798" s="89"/>
      <c r="AG798" s="89" t="s">
        <v>1507</v>
      </c>
      <c r="AH798" s="72" t="s">
        <v>68</v>
      </c>
      <c r="AI798" s="30">
        <v>4</v>
      </c>
      <c r="AJ798" s="89" t="s">
        <v>4534</v>
      </c>
      <c r="AK798" s="89" t="s">
        <v>4535</v>
      </c>
      <c r="AL798" s="91">
        <v>40611</v>
      </c>
      <c r="AM798" s="91"/>
      <c r="AN798" s="91"/>
      <c r="AO798" s="91"/>
      <c r="AP798" s="73" t="e">
        <f>MID(VLOOKUP(K798,#REF!,2,FALSE),1,2)</f>
        <v>#REF!</v>
      </c>
      <c r="AQ798" s="89">
        <f>DATE(2010,1,28)</f>
        <v>40206</v>
      </c>
      <c r="AR798" s="82">
        <f t="shared" si="54"/>
        <v>28</v>
      </c>
      <c r="AS798" s="83">
        <f t="shared" si="55"/>
        <v>1</v>
      </c>
      <c r="AT798" s="84">
        <f t="shared" si="56"/>
        <v>2010</v>
      </c>
      <c r="AU798" s="86"/>
      <c r="AV798" s="86"/>
      <c r="AW798" s="87"/>
      <c r="AX798" s="86"/>
      <c r="AY798" s="83"/>
      <c r="AZ798" s="84"/>
      <c r="BA798" s="86"/>
      <c r="BB798" s="86"/>
    </row>
    <row r="799" spans="1:54" ht="36.75" customHeight="1">
      <c r="A799" s="30"/>
      <c r="B799" s="30" t="s">
        <v>55</v>
      </c>
      <c r="C799" s="69" t="str">
        <f t="shared" si="53"/>
        <v>Closed</v>
      </c>
      <c r="D799" s="27" t="s">
        <v>4536</v>
      </c>
      <c r="E799" s="29" t="s">
        <v>4537</v>
      </c>
      <c r="F799" s="30" t="s">
        <v>124</v>
      </c>
      <c r="G799" s="89">
        <f>DATE(2010,1,28)</f>
        <v>40206</v>
      </c>
      <c r="H799" s="90">
        <v>1.1479166666666667</v>
      </c>
      <c r="I799" s="30" t="s">
        <v>156</v>
      </c>
      <c r="J799" s="89" t="s">
        <v>4538</v>
      </c>
      <c r="K799" s="30" t="s">
        <v>127</v>
      </c>
      <c r="L799" s="30" t="s">
        <v>4539</v>
      </c>
      <c r="M799" s="30" t="s">
        <v>63</v>
      </c>
      <c r="N799" s="30">
        <v>0</v>
      </c>
      <c r="O799" s="30" t="s">
        <v>90</v>
      </c>
      <c r="P799" s="89" t="s">
        <v>91</v>
      </c>
      <c r="Q799" s="89" t="s">
        <v>401</v>
      </c>
      <c r="R799" s="89" t="s">
        <v>4540</v>
      </c>
      <c r="S799" s="30">
        <v>0</v>
      </c>
      <c r="T799" s="233" t="s">
        <v>68</v>
      </c>
      <c r="U799" s="30">
        <v>0</v>
      </c>
      <c r="V799" s="233" t="s">
        <v>68</v>
      </c>
      <c r="W799" s="30">
        <v>0</v>
      </c>
      <c r="X799" s="30">
        <v>0</v>
      </c>
      <c r="Y799" s="30">
        <v>0</v>
      </c>
      <c r="Z799" s="233" t="s">
        <v>68</v>
      </c>
      <c r="AA799" s="30">
        <v>0</v>
      </c>
      <c r="AB799" s="30">
        <v>0</v>
      </c>
      <c r="AC799" s="30">
        <v>0</v>
      </c>
      <c r="AD799" s="30">
        <v>0</v>
      </c>
      <c r="AE799" s="89" t="s">
        <v>68</v>
      </c>
      <c r="AF799" s="89"/>
      <c r="AG799" s="89" t="s">
        <v>133</v>
      </c>
      <c r="AH799" s="72" t="s">
        <v>68</v>
      </c>
      <c r="AI799" s="30">
        <v>1</v>
      </c>
      <c r="AJ799" s="89" t="s">
        <v>68</v>
      </c>
      <c r="AK799" s="89" t="s">
        <v>68</v>
      </c>
      <c r="AL799" s="91">
        <v>40519</v>
      </c>
      <c r="AM799" s="91"/>
      <c r="AN799" s="91"/>
      <c r="AO799" s="91"/>
      <c r="AP799" s="73" t="e">
        <f>MID(VLOOKUP(K799,#REF!,2,FALSE),1,2)</f>
        <v>#REF!</v>
      </c>
      <c r="AQ799" s="89">
        <f>DATE(2010,1,28)</f>
        <v>40206</v>
      </c>
      <c r="AR799" s="82">
        <f t="shared" si="54"/>
        <v>28</v>
      </c>
      <c r="AS799" s="83">
        <f t="shared" si="55"/>
        <v>1</v>
      </c>
      <c r="AT799" s="84">
        <f t="shared" si="56"/>
        <v>2010</v>
      </c>
      <c r="AU799" s="86"/>
      <c r="AV799" s="86"/>
      <c r="AW799" s="87"/>
      <c r="AX799" s="86"/>
      <c r="AY799" s="83"/>
      <c r="AZ799" s="84"/>
      <c r="BA799" s="86"/>
      <c r="BB799" s="86"/>
    </row>
    <row r="800" spans="1:54" ht="36.75" customHeight="1">
      <c r="A800" s="30"/>
      <c r="B800" s="30" t="s">
        <v>55</v>
      </c>
      <c r="C800" s="69" t="str">
        <f t="shared" si="53"/>
        <v>Closed</v>
      </c>
      <c r="D800" s="27" t="s">
        <v>4541</v>
      </c>
      <c r="E800" s="29" t="s">
        <v>4542</v>
      </c>
      <c r="F800" s="30" t="s">
        <v>197</v>
      </c>
      <c r="G800" s="89">
        <f>DATE(2010,1,29)</f>
        <v>40207</v>
      </c>
      <c r="H800" s="90">
        <v>1.175</v>
      </c>
      <c r="I800" s="30" t="s">
        <v>73</v>
      </c>
      <c r="J800" s="89" t="s">
        <v>4543</v>
      </c>
      <c r="K800" s="30" t="s">
        <v>200</v>
      </c>
      <c r="L800" s="30" t="s">
        <v>4544</v>
      </c>
      <c r="M800" s="30" t="s">
        <v>63</v>
      </c>
      <c r="N800" s="30">
        <v>0</v>
      </c>
      <c r="O800" s="30" t="s">
        <v>64</v>
      </c>
      <c r="P800" s="89" t="s">
        <v>78</v>
      </c>
      <c r="Q800" s="89" t="s">
        <v>1716</v>
      </c>
      <c r="R800" s="89" t="s">
        <v>203</v>
      </c>
      <c r="S800" s="30">
        <v>0</v>
      </c>
      <c r="T800" s="233">
        <v>0</v>
      </c>
      <c r="U800" s="30">
        <v>0</v>
      </c>
      <c r="V800" s="233">
        <v>0</v>
      </c>
      <c r="W800" s="30">
        <v>0</v>
      </c>
      <c r="X800" s="30">
        <v>0</v>
      </c>
      <c r="Y800" s="30">
        <v>0</v>
      </c>
      <c r="Z800" s="233">
        <v>0</v>
      </c>
      <c r="AA800" s="30">
        <v>0</v>
      </c>
      <c r="AB800" s="30">
        <v>0</v>
      </c>
      <c r="AC800" s="30">
        <v>0</v>
      </c>
      <c r="AD800" s="30">
        <v>0</v>
      </c>
      <c r="AE800" s="89" t="s">
        <v>68</v>
      </c>
      <c r="AF800" s="89"/>
      <c r="AG800" s="89" t="s">
        <v>352</v>
      </c>
      <c r="AH800" s="72" t="s">
        <v>68</v>
      </c>
      <c r="AI800" s="30">
        <v>6</v>
      </c>
      <c r="AJ800" s="89" t="s">
        <v>4545</v>
      </c>
      <c r="AK800" s="89" t="s">
        <v>4546</v>
      </c>
      <c r="AL800" s="91">
        <v>40640</v>
      </c>
      <c r="AM800" s="91"/>
      <c r="AN800" s="91"/>
      <c r="AO800" s="91"/>
      <c r="AP800" s="73" t="e">
        <f>MID(VLOOKUP(K800,#REF!,2,FALSE),1,2)</f>
        <v>#REF!</v>
      </c>
      <c r="AQ800" s="89">
        <f>DATE(2010,1,29)</f>
        <v>40207</v>
      </c>
      <c r="AR800" s="82">
        <f t="shared" si="54"/>
        <v>29</v>
      </c>
      <c r="AS800" s="83">
        <f t="shared" si="55"/>
        <v>1</v>
      </c>
      <c r="AT800" s="84">
        <f t="shared" si="56"/>
        <v>2010</v>
      </c>
      <c r="AU800" s="86"/>
      <c r="AV800" s="86"/>
      <c r="AW800" s="87"/>
      <c r="AX800" s="86"/>
      <c r="AY800" s="83"/>
      <c r="AZ800" s="84"/>
      <c r="BA800" s="86"/>
      <c r="BB800" s="86"/>
    </row>
    <row r="801" spans="1:54" ht="36.75" customHeight="1">
      <c r="A801" s="30"/>
      <c r="B801" s="30" t="s">
        <v>55</v>
      </c>
      <c r="C801" s="69" t="str">
        <f t="shared" si="53"/>
        <v>Closed</v>
      </c>
      <c r="D801" s="27" t="s">
        <v>4547</v>
      </c>
      <c r="E801" s="29" t="s">
        <v>4548</v>
      </c>
      <c r="F801" s="30" t="s">
        <v>423</v>
      </c>
      <c r="G801" s="89">
        <f>DATE(2010,1,29)</f>
        <v>40207</v>
      </c>
      <c r="H801" s="90">
        <v>1.1770833333333333</v>
      </c>
      <c r="I801" s="30" t="s">
        <v>116</v>
      </c>
      <c r="J801" s="89" t="s">
        <v>4549</v>
      </c>
      <c r="K801" s="30" t="s">
        <v>425</v>
      </c>
      <c r="L801" s="30" t="s">
        <v>4550</v>
      </c>
      <c r="M801" s="30" t="s">
        <v>63</v>
      </c>
      <c r="N801" s="30">
        <v>0</v>
      </c>
      <c r="O801" s="30" t="s">
        <v>77</v>
      </c>
      <c r="P801" s="89" t="s">
        <v>165</v>
      </c>
      <c r="Q801" s="89" t="s">
        <v>4551</v>
      </c>
      <c r="R801" s="89" t="s">
        <v>3103</v>
      </c>
      <c r="S801" s="30">
        <v>0</v>
      </c>
      <c r="T801" s="233" t="s">
        <v>68</v>
      </c>
      <c r="U801" s="30">
        <v>0</v>
      </c>
      <c r="V801" s="233" t="s">
        <v>68</v>
      </c>
      <c r="W801" s="30">
        <v>0</v>
      </c>
      <c r="X801" s="30">
        <v>0</v>
      </c>
      <c r="Y801" s="30">
        <v>0</v>
      </c>
      <c r="Z801" s="233" t="s">
        <v>68</v>
      </c>
      <c r="AA801" s="30">
        <v>0</v>
      </c>
      <c r="AB801" s="30">
        <v>0</v>
      </c>
      <c r="AC801" s="30">
        <v>0</v>
      </c>
      <c r="AD801" s="30">
        <v>0</v>
      </c>
      <c r="AE801" s="89" t="s">
        <v>68</v>
      </c>
      <c r="AF801" s="89"/>
      <c r="AG801" s="89" t="s">
        <v>352</v>
      </c>
      <c r="AH801" s="72" t="s">
        <v>68</v>
      </c>
      <c r="AI801" s="30">
        <v>0</v>
      </c>
      <c r="AJ801" s="89" t="s">
        <v>4552</v>
      </c>
      <c r="AK801" s="89" t="s">
        <v>2348</v>
      </c>
      <c r="AL801" s="91">
        <v>40231</v>
      </c>
      <c r="AM801" s="91"/>
      <c r="AN801" s="91"/>
      <c r="AO801" s="91"/>
      <c r="AP801" s="73" t="e">
        <f>MID(VLOOKUP(K801,#REF!,2,FALSE),1,2)</f>
        <v>#REF!</v>
      </c>
      <c r="AQ801" s="89">
        <f>DATE(2010,1,29)</f>
        <v>40207</v>
      </c>
      <c r="AR801" s="82">
        <f t="shared" si="54"/>
        <v>29</v>
      </c>
      <c r="AS801" s="83">
        <f t="shared" si="55"/>
        <v>1</v>
      </c>
      <c r="AT801" s="84">
        <f t="shared" si="56"/>
        <v>2010</v>
      </c>
      <c r="AU801" s="86"/>
      <c r="AV801" s="86"/>
      <c r="AW801" s="87"/>
      <c r="AX801" s="86"/>
      <c r="AY801" s="83"/>
      <c r="AZ801" s="84"/>
      <c r="BA801" s="86"/>
      <c r="BB801" s="86"/>
    </row>
    <row r="802" spans="1:54" ht="36.75" customHeight="1">
      <c r="A802" s="30"/>
      <c r="B802" s="30" t="s">
        <v>55</v>
      </c>
      <c r="C802" s="69" t="str">
        <f t="shared" si="53"/>
        <v>Closed</v>
      </c>
      <c r="D802" s="27" t="s">
        <v>4553</v>
      </c>
      <c r="E802" s="29" t="s">
        <v>4554</v>
      </c>
      <c r="F802" s="30" t="s">
        <v>2336</v>
      </c>
      <c r="G802" s="89">
        <f>DATE(2010,1,29)</f>
        <v>40207</v>
      </c>
      <c r="H802" s="90">
        <v>1.3541666666666667</v>
      </c>
      <c r="I802" s="30" t="s">
        <v>278</v>
      </c>
      <c r="J802" s="89" t="s">
        <v>4555</v>
      </c>
      <c r="K802" s="30" t="s">
        <v>2338</v>
      </c>
      <c r="L802" s="30" t="s">
        <v>4556</v>
      </c>
      <c r="M802" s="30" t="s">
        <v>63</v>
      </c>
      <c r="N802" s="30">
        <v>0</v>
      </c>
      <c r="O802" s="30" t="s">
        <v>77</v>
      </c>
      <c r="P802" s="89" t="s">
        <v>78</v>
      </c>
      <c r="Q802" s="89" t="s">
        <v>2975</v>
      </c>
      <c r="R802" s="89" t="s">
        <v>2341</v>
      </c>
      <c r="S802" s="30">
        <v>0</v>
      </c>
      <c r="T802" s="233">
        <v>1</v>
      </c>
      <c r="U802" s="30">
        <v>0</v>
      </c>
      <c r="V802" s="233">
        <v>0</v>
      </c>
      <c r="W802" s="30">
        <v>0</v>
      </c>
      <c r="X802" s="30">
        <v>1</v>
      </c>
      <c r="Y802" s="30">
        <v>0</v>
      </c>
      <c r="Z802" s="233">
        <v>0</v>
      </c>
      <c r="AA802" s="30">
        <v>0</v>
      </c>
      <c r="AB802" s="30">
        <v>0</v>
      </c>
      <c r="AC802" s="30">
        <v>0</v>
      </c>
      <c r="AD802" s="30">
        <v>0</v>
      </c>
      <c r="AE802" s="89" t="s">
        <v>68</v>
      </c>
      <c r="AF802" s="89"/>
      <c r="AG802" s="89" t="s">
        <v>82</v>
      </c>
      <c r="AH802" s="72" t="s">
        <v>68</v>
      </c>
      <c r="AI802" s="30">
        <v>9</v>
      </c>
      <c r="AJ802" s="89" t="s">
        <v>4557</v>
      </c>
      <c r="AK802" s="89" t="s">
        <v>4558</v>
      </c>
      <c r="AL802" s="91">
        <v>40242</v>
      </c>
      <c r="AM802" s="91"/>
      <c r="AN802" s="91"/>
      <c r="AO802" s="91"/>
      <c r="AP802" s="73" t="e">
        <f>MID(VLOOKUP(K802,#REF!,2,FALSE),1,2)</f>
        <v>#REF!</v>
      </c>
      <c r="AQ802" s="89">
        <f>DATE(2010,1,29)</f>
        <v>40207</v>
      </c>
      <c r="AR802" s="82">
        <f t="shared" si="54"/>
        <v>29</v>
      </c>
      <c r="AS802" s="83">
        <f t="shared" si="55"/>
        <v>1</v>
      </c>
      <c r="AT802" s="84">
        <f t="shared" si="56"/>
        <v>2010</v>
      </c>
      <c r="AU802" s="86"/>
      <c r="AV802" s="86"/>
      <c r="AW802" s="87"/>
      <c r="AX802" s="86"/>
      <c r="AY802" s="83"/>
      <c r="AZ802" s="84"/>
      <c r="BA802" s="86"/>
      <c r="BB802" s="86"/>
    </row>
    <row r="803" spans="1:54" ht="36.75" customHeight="1">
      <c r="A803" s="30"/>
      <c r="B803" s="30" t="s">
        <v>55</v>
      </c>
      <c r="C803" s="69" t="str">
        <f t="shared" si="53"/>
        <v>Closed</v>
      </c>
      <c r="D803" s="27" t="s">
        <v>4559</v>
      </c>
      <c r="E803" s="29" t="s">
        <v>4560</v>
      </c>
      <c r="F803" s="30" t="s">
        <v>124</v>
      </c>
      <c r="G803" s="89">
        <f>DATE(2010,1,31)</f>
        <v>40209</v>
      </c>
      <c r="H803" s="90">
        <v>1.6347222222222222</v>
      </c>
      <c r="I803" s="30" t="s">
        <v>73</v>
      </c>
      <c r="J803" s="89" t="s">
        <v>4561</v>
      </c>
      <c r="K803" s="30" t="s">
        <v>127</v>
      </c>
      <c r="L803" s="30" t="s">
        <v>4562</v>
      </c>
      <c r="M803" s="30" t="s">
        <v>63</v>
      </c>
      <c r="N803" s="30">
        <v>0</v>
      </c>
      <c r="O803" s="30" t="s">
        <v>77</v>
      </c>
      <c r="P803" s="89" t="s">
        <v>78</v>
      </c>
      <c r="Q803" s="89" t="s">
        <v>401</v>
      </c>
      <c r="R803" s="89" t="s">
        <v>167</v>
      </c>
      <c r="S803" s="30">
        <v>0</v>
      </c>
      <c r="T803" s="233" t="s">
        <v>68</v>
      </c>
      <c r="U803" s="30">
        <v>0</v>
      </c>
      <c r="V803" s="233" t="s">
        <v>68</v>
      </c>
      <c r="W803" s="30">
        <v>0</v>
      </c>
      <c r="X803" s="30">
        <v>0</v>
      </c>
      <c r="Y803" s="30">
        <v>0</v>
      </c>
      <c r="Z803" s="233" t="s">
        <v>68</v>
      </c>
      <c r="AA803" s="30">
        <v>0</v>
      </c>
      <c r="AB803" s="30">
        <v>0</v>
      </c>
      <c r="AC803" s="30">
        <v>0</v>
      </c>
      <c r="AD803" s="30">
        <v>0</v>
      </c>
      <c r="AE803" s="89" t="s">
        <v>68</v>
      </c>
      <c r="AF803" s="89"/>
      <c r="AG803" s="89" t="s">
        <v>133</v>
      </c>
      <c r="AH803" s="72" t="s">
        <v>68</v>
      </c>
      <c r="AI803" s="30">
        <v>0</v>
      </c>
      <c r="AJ803" s="89" t="s">
        <v>4563</v>
      </c>
      <c r="AK803" s="89" t="s">
        <v>68</v>
      </c>
      <c r="AL803" s="91">
        <v>40318</v>
      </c>
      <c r="AM803" s="91"/>
      <c r="AN803" s="91"/>
      <c r="AO803" s="91"/>
      <c r="AP803" s="73" t="e">
        <f>MID(VLOOKUP(K803,#REF!,2,FALSE),1,2)</f>
        <v>#REF!</v>
      </c>
      <c r="AQ803" s="89">
        <f>DATE(2010,1,31)</f>
        <v>40209</v>
      </c>
      <c r="AR803" s="82">
        <f t="shared" si="54"/>
        <v>31</v>
      </c>
      <c r="AS803" s="83">
        <f t="shared" si="55"/>
        <v>1</v>
      </c>
      <c r="AT803" s="84">
        <f t="shared" si="56"/>
        <v>2010</v>
      </c>
      <c r="AU803" s="86"/>
      <c r="AV803" s="86"/>
      <c r="AW803" s="87"/>
      <c r="AX803" s="86"/>
      <c r="AY803" s="83"/>
      <c r="AZ803" s="84"/>
      <c r="BA803" s="86"/>
      <c r="BB803" s="86"/>
    </row>
    <row r="804" spans="1:54" ht="36.75" customHeight="1">
      <c r="A804" s="30"/>
      <c r="B804" s="30" t="s">
        <v>55</v>
      </c>
      <c r="C804" s="69" t="str">
        <f t="shared" si="53"/>
        <v>Closed</v>
      </c>
      <c r="D804" s="27" t="s">
        <v>4564</v>
      </c>
      <c r="E804" s="29" t="s">
        <v>4565</v>
      </c>
      <c r="F804" s="30" t="s">
        <v>138</v>
      </c>
      <c r="G804" s="89">
        <f>DATE(2010,2,1)</f>
        <v>40210</v>
      </c>
      <c r="H804" s="90">
        <v>1.2562500000000001</v>
      </c>
      <c r="I804" s="30" t="s">
        <v>278</v>
      </c>
      <c r="J804" s="89" t="s">
        <v>4566</v>
      </c>
      <c r="K804" s="30" t="s">
        <v>140</v>
      </c>
      <c r="L804" s="30" t="s">
        <v>4567</v>
      </c>
      <c r="M804" s="30" t="s">
        <v>63</v>
      </c>
      <c r="N804" s="30" t="s">
        <v>142</v>
      </c>
      <c r="O804" s="30" t="s">
        <v>77</v>
      </c>
      <c r="P804" s="89"/>
      <c r="Q804" s="89" t="s">
        <v>2034</v>
      </c>
      <c r="R804" s="89" t="s">
        <v>4568</v>
      </c>
      <c r="S804" s="30">
        <v>0</v>
      </c>
      <c r="T804" s="233">
        <v>1</v>
      </c>
      <c r="U804" s="30">
        <v>0</v>
      </c>
      <c r="V804" s="233">
        <v>0</v>
      </c>
      <c r="W804" s="30">
        <v>0</v>
      </c>
      <c r="X804" s="30">
        <v>1</v>
      </c>
      <c r="Y804" s="30">
        <v>0</v>
      </c>
      <c r="Z804" s="233">
        <v>0</v>
      </c>
      <c r="AA804" s="30">
        <v>0</v>
      </c>
      <c r="AB804" s="30">
        <v>0</v>
      </c>
      <c r="AC804" s="30">
        <v>0</v>
      </c>
      <c r="AD804" s="30">
        <v>0</v>
      </c>
      <c r="AE804" s="89" t="s">
        <v>68</v>
      </c>
      <c r="AF804" s="89"/>
      <c r="AG804" s="89" t="s">
        <v>82</v>
      </c>
      <c r="AH804" s="72">
        <v>40213</v>
      </c>
      <c r="AI804" s="30">
        <v>6</v>
      </c>
      <c r="AJ804" s="89" t="s">
        <v>4569</v>
      </c>
      <c r="AK804" s="89" t="s">
        <v>4570</v>
      </c>
      <c r="AL804" s="91">
        <v>40213</v>
      </c>
      <c r="AM804" s="91"/>
      <c r="AN804" s="91"/>
      <c r="AO804" s="91"/>
      <c r="AP804" s="73" t="e">
        <f>MID(VLOOKUP(K804,#REF!,2,FALSE),1,2)</f>
        <v>#REF!</v>
      </c>
      <c r="AQ804" s="89">
        <f>DATE(2010,2,1)</f>
        <v>40210</v>
      </c>
      <c r="AR804" s="82">
        <f t="shared" si="54"/>
        <v>1</v>
      </c>
      <c r="AS804" s="83">
        <f t="shared" si="55"/>
        <v>2</v>
      </c>
      <c r="AT804" s="84">
        <f t="shared" si="56"/>
        <v>2010</v>
      </c>
      <c r="AU804" s="86"/>
      <c r="AV804" s="86"/>
      <c r="AW804" s="87"/>
      <c r="AX804" s="86"/>
      <c r="AY804" s="83"/>
      <c r="AZ804" s="84"/>
      <c r="BA804" s="86"/>
      <c r="BB804" s="86"/>
    </row>
    <row r="805" spans="1:54" ht="36.75" customHeight="1">
      <c r="A805" s="30"/>
      <c r="B805" s="30" t="s">
        <v>55</v>
      </c>
      <c r="C805" s="69" t="str">
        <f t="shared" si="53"/>
        <v>Closed</v>
      </c>
      <c r="D805" s="27" t="s">
        <v>4571</v>
      </c>
      <c r="E805" s="29" t="s">
        <v>4572</v>
      </c>
      <c r="F805" s="30" t="s">
        <v>233</v>
      </c>
      <c r="G805" s="89">
        <f>DATE(2010,2,4)</f>
        <v>40213</v>
      </c>
      <c r="H805" s="90">
        <v>1.3180555555555555</v>
      </c>
      <c r="I805" s="30" t="s">
        <v>86</v>
      </c>
      <c r="J805" s="89" t="s">
        <v>4573</v>
      </c>
      <c r="K805" s="30" t="s">
        <v>235</v>
      </c>
      <c r="L805" s="30" t="s">
        <v>4574</v>
      </c>
      <c r="M805" s="30" t="s">
        <v>63</v>
      </c>
      <c r="N805" s="30">
        <v>0</v>
      </c>
      <c r="O805" s="30" t="s">
        <v>77</v>
      </c>
      <c r="P805" s="89" t="s">
        <v>78</v>
      </c>
      <c r="Q805" s="89" t="s">
        <v>4042</v>
      </c>
      <c r="R805" s="89" t="s">
        <v>238</v>
      </c>
      <c r="S805" s="30">
        <v>0</v>
      </c>
      <c r="T805" s="233" t="s">
        <v>68</v>
      </c>
      <c r="U805" s="30">
        <v>0</v>
      </c>
      <c r="V805" s="233" t="s">
        <v>68</v>
      </c>
      <c r="W805" s="30">
        <v>0</v>
      </c>
      <c r="X805" s="30">
        <v>0</v>
      </c>
      <c r="Y805" s="30">
        <v>0</v>
      </c>
      <c r="Z805" s="233" t="s">
        <v>68</v>
      </c>
      <c r="AA805" s="30">
        <v>0</v>
      </c>
      <c r="AB805" s="30">
        <v>0</v>
      </c>
      <c r="AC805" s="30">
        <v>0</v>
      </c>
      <c r="AD805" s="30">
        <v>0</v>
      </c>
      <c r="AE805" s="89" t="s">
        <v>68</v>
      </c>
      <c r="AF805" s="89"/>
      <c r="AG805" s="89" t="s">
        <v>133</v>
      </c>
      <c r="AH805" s="72" t="s">
        <v>68</v>
      </c>
      <c r="AI805" s="30">
        <v>5</v>
      </c>
      <c r="AJ805" s="89" t="s">
        <v>4575</v>
      </c>
      <c r="AK805" s="89" t="s">
        <v>4576</v>
      </c>
      <c r="AL805" s="91">
        <v>40227</v>
      </c>
      <c r="AM805" s="91"/>
      <c r="AN805" s="91"/>
      <c r="AO805" s="91"/>
      <c r="AP805" s="73" t="e">
        <f>MID(VLOOKUP(K805,#REF!,2,FALSE),1,2)</f>
        <v>#REF!</v>
      </c>
      <c r="AQ805" s="89">
        <f>DATE(2010,2,4)</f>
        <v>40213</v>
      </c>
      <c r="AR805" s="82">
        <f t="shared" si="54"/>
        <v>4</v>
      </c>
      <c r="AS805" s="83">
        <f t="shared" si="55"/>
        <v>2</v>
      </c>
      <c r="AT805" s="84">
        <f t="shared" si="56"/>
        <v>2010</v>
      </c>
      <c r="AU805" s="86"/>
      <c r="AV805" s="86"/>
      <c r="AW805" s="87"/>
      <c r="AX805" s="86"/>
      <c r="AY805" s="83"/>
      <c r="AZ805" s="84"/>
      <c r="BA805" s="86"/>
      <c r="BB805" s="86"/>
    </row>
    <row r="806" spans="1:54" ht="36.75" customHeight="1">
      <c r="A806" s="30"/>
      <c r="B806" s="30" t="s">
        <v>55</v>
      </c>
      <c r="C806" s="69" t="str">
        <f t="shared" si="53"/>
        <v>Closed</v>
      </c>
      <c r="D806" s="27" t="s">
        <v>4577</v>
      </c>
      <c r="E806" s="29" t="s">
        <v>4578</v>
      </c>
      <c r="F806" s="30" t="s">
        <v>1572</v>
      </c>
      <c r="G806" s="89">
        <f>DATE(2010,2,7)</f>
        <v>40216</v>
      </c>
      <c r="H806" s="90">
        <v>1.2743055555555556</v>
      </c>
      <c r="I806" s="30" t="s">
        <v>125</v>
      </c>
      <c r="J806" s="89" t="s">
        <v>4579</v>
      </c>
      <c r="K806" s="30" t="s">
        <v>1574</v>
      </c>
      <c r="L806" s="30" t="s">
        <v>4580</v>
      </c>
      <c r="M806" s="30" t="s">
        <v>63</v>
      </c>
      <c r="N806" s="30">
        <v>0</v>
      </c>
      <c r="O806" s="30" t="s">
        <v>64</v>
      </c>
      <c r="P806" s="89" t="s">
        <v>165</v>
      </c>
      <c r="Q806" s="89" t="s">
        <v>2413</v>
      </c>
      <c r="R806" s="89">
        <v>0</v>
      </c>
      <c r="S806" s="30">
        <v>0</v>
      </c>
      <c r="T806" s="233" t="s">
        <v>68</v>
      </c>
      <c r="U806" s="30">
        <v>0</v>
      </c>
      <c r="V806" s="233" t="s">
        <v>68</v>
      </c>
      <c r="W806" s="30">
        <v>0</v>
      </c>
      <c r="X806" s="30">
        <v>0</v>
      </c>
      <c r="Y806" s="30">
        <v>0</v>
      </c>
      <c r="Z806" s="233" t="s">
        <v>68</v>
      </c>
      <c r="AA806" s="30">
        <v>0</v>
      </c>
      <c r="AB806" s="30">
        <v>0</v>
      </c>
      <c r="AC806" s="30">
        <v>0</v>
      </c>
      <c r="AD806" s="30">
        <v>0</v>
      </c>
      <c r="AE806" s="89" t="s">
        <v>68</v>
      </c>
      <c r="AF806" s="89"/>
      <c r="AG806" s="89" t="s">
        <v>133</v>
      </c>
      <c r="AH806" s="72" t="s">
        <v>68</v>
      </c>
      <c r="AI806" s="30">
        <v>1</v>
      </c>
      <c r="AJ806" s="89" t="s">
        <v>4581</v>
      </c>
      <c r="AK806" s="89" t="s">
        <v>68</v>
      </c>
      <c r="AL806" s="91">
        <v>40225</v>
      </c>
      <c r="AM806" s="91"/>
      <c r="AN806" s="91"/>
      <c r="AO806" s="91"/>
      <c r="AP806" s="73" t="e">
        <f>MID(VLOOKUP(K806,#REF!,2,FALSE),1,2)</f>
        <v>#REF!</v>
      </c>
      <c r="AQ806" s="89">
        <f>DATE(2010,2,7)</f>
        <v>40216</v>
      </c>
      <c r="AR806" s="82">
        <f t="shared" si="54"/>
        <v>7</v>
      </c>
      <c r="AS806" s="83">
        <f t="shared" si="55"/>
        <v>2</v>
      </c>
      <c r="AT806" s="84">
        <f t="shared" si="56"/>
        <v>2010</v>
      </c>
      <c r="AU806" s="86"/>
      <c r="AV806" s="86"/>
      <c r="AW806" s="87"/>
      <c r="AX806" s="86"/>
      <c r="AY806" s="83"/>
      <c r="AZ806" s="84"/>
      <c r="BA806" s="86"/>
      <c r="BB806" s="86"/>
    </row>
    <row r="807" spans="1:54" ht="36.75" customHeight="1">
      <c r="A807" s="30"/>
      <c r="B807" s="30" t="s">
        <v>55</v>
      </c>
      <c r="C807" s="69" t="str">
        <f t="shared" si="53"/>
        <v>Closed</v>
      </c>
      <c r="D807" s="27" t="s">
        <v>4582</v>
      </c>
      <c r="E807" s="29" t="s">
        <v>4583</v>
      </c>
      <c r="F807" s="30" t="s">
        <v>2601</v>
      </c>
      <c r="G807" s="89">
        <f>DATE(2010,2,8)</f>
        <v>40217</v>
      </c>
      <c r="H807" s="90">
        <v>1.4083333333333334</v>
      </c>
      <c r="I807" s="30" t="s">
        <v>73</v>
      </c>
      <c r="J807" s="89" t="s">
        <v>4584</v>
      </c>
      <c r="K807" s="30" t="s">
        <v>2603</v>
      </c>
      <c r="L807" s="30" t="s">
        <v>4585</v>
      </c>
      <c r="M807" s="30" t="s">
        <v>63</v>
      </c>
      <c r="N807" s="30">
        <v>0</v>
      </c>
      <c r="O807" s="30" t="s">
        <v>64</v>
      </c>
      <c r="P807" s="89" t="s">
        <v>65</v>
      </c>
      <c r="Q807" s="89" t="s">
        <v>2605</v>
      </c>
      <c r="R807" s="89" t="s">
        <v>2606</v>
      </c>
      <c r="S807" s="30">
        <v>0</v>
      </c>
      <c r="T807" s="233" t="s">
        <v>68</v>
      </c>
      <c r="U807" s="30">
        <v>0</v>
      </c>
      <c r="V807" s="233" t="s">
        <v>68</v>
      </c>
      <c r="W807" s="30">
        <v>0</v>
      </c>
      <c r="X807" s="30">
        <v>0</v>
      </c>
      <c r="Y807" s="30">
        <v>0</v>
      </c>
      <c r="Z807" s="233" t="s">
        <v>68</v>
      </c>
      <c r="AA807" s="30">
        <v>0</v>
      </c>
      <c r="AB807" s="30">
        <v>0</v>
      </c>
      <c r="AC807" s="30">
        <v>0</v>
      </c>
      <c r="AD807" s="30">
        <v>0</v>
      </c>
      <c r="AE807" s="89" t="s">
        <v>68</v>
      </c>
      <c r="AF807" s="89"/>
      <c r="AG807" s="89" t="s">
        <v>1507</v>
      </c>
      <c r="AH807" s="72" t="s">
        <v>68</v>
      </c>
      <c r="AI807" s="30">
        <v>6</v>
      </c>
      <c r="AJ807" s="89" t="s">
        <v>4586</v>
      </c>
      <c r="AK807" s="89" t="s">
        <v>68</v>
      </c>
      <c r="AL807" s="91">
        <v>40220</v>
      </c>
      <c r="AM807" s="91"/>
      <c r="AN807" s="91"/>
      <c r="AO807" s="91"/>
      <c r="AP807" s="73" t="e">
        <f>MID(VLOOKUP(K807,#REF!,2,FALSE),1,2)</f>
        <v>#REF!</v>
      </c>
      <c r="AQ807" s="89">
        <f>DATE(2010,2,8)</f>
        <v>40217</v>
      </c>
      <c r="AR807" s="82">
        <f t="shared" si="54"/>
        <v>8</v>
      </c>
      <c r="AS807" s="83">
        <f t="shared" si="55"/>
        <v>2</v>
      </c>
      <c r="AT807" s="84">
        <f t="shared" si="56"/>
        <v>2010</v>
      </c>
      <c r="AU807" s="86"/>
      <c r="AV807" s="86"/>
      <c r="AW807" s="87"/>
      <c r="AX807" s="86"/>
      <c r="AY807" s="83"/>
      <c r="AZ807" s="84"/>
      <c r="BA807" s="86"/>
      <c r="BB807" s="86"/>
    </row>
    <row r="808" spans="1:54" ht="36.75" customHeight="1">
      <c r="A808" s="30"/>
      <c r="B808" s="30" t="s">
        <v>55</v>
      </c>
      <c r="C808" s="69" t="str">
        <f t="shared" si="53"/>
        <v>Closed</v>
      </c>
      <c r="D808" s="27" t="s">
        <v>4587</v>
      </c>
      <c r="E808" s="29" t="s">
        <v>4588</v>
      </c>
      <c r="F808" s="30" t="s">
        <v>835</v>
      </c>
      <c r="G808" s="89">
        <f>DATE(2010,2,9)</f>
        <v>40218</v>
      </c>
      <c r="H808" s="90">
        <v>1.3520833333333333</v>
      </c>
      <c r="I808" s="30" t="s">
        <v>73</v>
      </c>
      <c r="J808" s="89" t="s">
        <v>4589</v>
      </c>
      <c r="K808" s="30" t="s">
        <v>837</v>
      </c>
      <c r="L808" s="30" t="s">
        <v>4590</v>
      </c>
      <c r="M808" s="30" t="s">
        <v>63</v>
      </c>
      <c r="N808" s="30">
        <v>0</v>
      </c>
      <c r="O808" s="30" t="s">
        <v>77</v>
      </c>
      <c r="P808" s="89" t="s">
        <v>165</v>
      </c>
      <c r="Q808" s="89" t="s">
        <v>2162</v>
      </c>
      <c r="R808" s="89" t="s">
        <v>840</v>
      </c>
      <c r="S808" s="30">
        <v>0</v>
      </c>
      <c r="T808" s="233">
        <v>0</v>
      </c>
      <c r="U808" s="30">
        <v>0</v>
      </c>
      <c r="V808" s="233">
        <v>0</v>
      </c>
      <c r="W808" s="30">
        <v>0</v>
      </c>
      <c r="X808" s="30">
        <v>0</v>
      </c>
      <c r="Y808" s="30">
        <v>0</v>
      </c>
      <c r="Z808" s="233">
        <v>0</v>
      </c>
      <c r="AA808" s="30">
        <v>0</v>
      </c>
      <c r="AB808" s="30">
        <v>0</v>
      </c>
      <c r="AC808" s="30">
        <v>0</v>
      </c>
      <c r="AD808" s="30">
        <v>0</v>
      </c>
      <c r="AE808" s="89" t="s">
        <v>68</v>
      </c>
      <c r="AF808" s="89"/>
      <c r="AG808" s="89" t="s">
        <v>352</v>
      </c>
      <c r="AH808" s="72" t="s">
        <v>68</v>
      </c>
      <c r="AI808" s="30">
        <v>1</v>
      </c>
      <c r="AJ808" s="89" t="s">
        <v>68</v>
      </c>
      <c r="AK808" s="89" t="s">
        <v>68</v>
      </c>
      <c r="AL808" s="91">
        <v>40557</v>
      </c>
      <c r="AM808" s="91"/>
      <c r="AN808" s="91"/>
      <c r="AO808" s="91"/>
      <c r="AP808" s="73" t="e">
        <f>MID(VLOOKUP(K808,#REF!,2,FALSE),1,2)</f>
        <v>#REF!</v>
      </c>
      <c r="AQ808" s="89">
        <f>DATE(2010,2,9)</f>
        <v>40218</v>
      </c>
      <c r="AR808" s="82">
        <f t="shared" si="54"/>
        <v>9</v>
      </c>
      <c r="AS808" s="83">
        <f t="shared" si="55"/>
        <v>2</v>
      </c>
      <c r="AT808" s="84">
        <f t="shared" si="56"/>
        <v>2010</v>
      </c>
      <c r="AU808" s="86"/>
      <c r="AV808" s="86"/>
      <c r="AW808" s="87"/>
      <c r="AX808" s="86"/>
      <c r="AY808" s="83"/>
      <c r="AZ808" s="84"/>
      <c r="BA808" s="86"/>
      <c r="BB808" s="86"/>
    </row>
    <row r="809" spans="1:54" ht="36.75" customHeight="1">
      <c r="A809" s="30"/>
      <c r="B809" s="30" t="s">
        <v>55</v>
      </c>
      <c r="C809" s="69" t="str">
        <f t="shared" si="53"/>
        <v>Closed</v>
      </c>
      <c r="D809" s="27" t="s">
        <v>4591</v>
      </c>
      <c r="E809" s="29" t="s">
        <v>4592</v>
      </c>
      <c r="F809" s="30" t="s">
        <v>638</v>
      </c>
      <c r="G809" s="89">
        <f>DATE(2010,2,11)</f>
        <v>40220</v>
      </c>
      <c r="H809" s="90">
        <v>1.7986111111111112</v>
      </c>
      <c r="I809" s="30" t="s">
        <v>73</v>
      </c>
      <c r="J809" s="89" t="s">
        <v>4593</v>
      </c>
      <c r="K809" s="30" t="s">
        <v>640</v>
      </c>
      <c r="L809" s="30" t="s">
        <v>4594</v>
      </c>
      <c r="M809" s="30" t="s">
        <v>63</v>
      </c>
      <c r="N809" s="30">
        <v>0</v>
      </c>
      <c r="O809" s="30" t="s">
        <v>77</v>
      </c>
      <c r="P809" s="89" t="s">
        <v>165</v>
      </c>
      <c r="Q809" s="89" t="s">
        <v>642</v>
      </c>
      <c r="R809" s="89" t="s">
        <v>643</v>
      </c>
      <c r="S809" s="30">
        <v>0</v>
      </c>
      <c r="T809" s="233" t="s">
        <v>68</v>
      </c>
      <c r="U809" s="30">
        <v>0</v>
      </c>
      <c r="V809" s="233" t="s">
        <v>68</v>
      </c>
      <c r="W809" s="30">
        <v>0</v>
      </c>
      <c r="X809" s="30">
        <v>0</v>
      </c>
      <c r="Y809" s="30">
        <v>0</v>
      </c>
      <c r="Z809" s="233" t="s">
        <v>68</v>
      </c>
      <c r="AA809" s="30">
        <v>0</v>
      </c>
      <c r="AB809" s="30">
        <v>0</v>
      </c>
      <c r="AC809" s="30">
        <v>0</v>
      </c>
      <c r="AD809" s="30">
        <v>0</v>
      </c>
      <c r="AE809" s="89" t="s">
        <v>68</v>
      </c>
      <c r="AF809" s="89"/>
      <c r="AG809" s="89" t="s">
        <v>352</v>
      </c>
      <c r="AH809" s="72" t="s">
        <v>68</v>
      </c>
      <c r="AI809" s="30">
        <v>2</v>
      </c>
      <c r="AJ809" s="89" t="s">
        <v>4595</v>
      </c>
      <c r="AK809" s="89" t="s">
        <v>68</v>
      </c>
      <c r="AL809" s="91">
        <v>40254</v>
      </c>
      <c r="AM809" s="91"/>
      <c r="AN809" s="91"/>
      <c r="AO809" s="91"/>
      <c r="AP809" s="73" t="e">
        <f>MID(VLOOKUP(K809,#REF!,2,FALSE),1,2)</f>
        <v>#REF!</v>
      </c>
      <c r="AQ809" s="89">
        <f>DATE(2010,2,11)</f>
        <v>40220</v>
      </c>
      <c r="AR809" s="82">
        <f t="shared" si="54"/>
        <v>11</v>
      </c>
      <c r="AS809" s="83">
        <f t="shared" si="55"/>
        <v>2</v>
      </c>
      <c r="AT809" s="84">
        <f t="shared" si="56"/>
        <v>2010</v>
      </c>
      <c r="AU809" s="86"/>
      <c r="AV809" s="86"/>
      <c r="AW809" s="87"/>
      <c r="AX809" s="86"/>
      <c r="AY809" s="83"/>
      <c r="AZ809" s="84"/>
      <c r="BA809" s="86"/>
      <c r="BB809" s="86"/>
    </row>
    <row r="810" spans="1:54" ht="36.75" customHeight="1">
      <c r="A810" s="30"/>
      <c r="B810" s="30" t="s">
        <v>55</v>
      </c>
      <c r="C810" s="69" t="str">
        <f t="shared" si="53"/>
        <v>Closed</v>
      </c>
      <c r="D810" s="27" t="s">
        <v>4596</v>
      </c>
      <c r="E810" s="29" t="s">
        <v>4597</v>
      </c>
      <c r="F810" s="30" t="s">
        <v>835</v>
      </c>
      <c r="G810" s="89">
        <f>DATE(2010,2,11)</f>
        <v>40220</v>
      </c>
      <c r="H810" s="90">
        <v>1.5104166666666665</v>
      </c>
      <c r="I810" s="30" t="s">
        <v>104</v>
      </c>
      <c r="J810" s="89" t="s">
        <v>4598</v>
      </c>
      <c r="K810" s="30" t="s">
        <v>837</v>
      </c>
      <c r="L810" s="30" t="s">
        <v>4599</v>
      </c>
      <c r="M810" s="30" t="s">
        <v>63</v>
      </c>
      <c r="N810" s="30">
        <v>0</v>
      </c>
      <c r="O810" s="30" t="s">
        <v>64</v>
      </c>
      <c r="P810" s="89" t="s">
        <v>65</v>
      </c>
      <c r="Q810" s="89" t="s">
        <v>2162</v>
      </c>
      <c r="R810" s="89" t="s">
        <v>840</v>
      </c>
      <c r="S810" s="30">
        <v>0</v>
      </c>
      <c r="T810" s="233" t="s">
        <v>68</v>
      </c>
      <c r="U810" s="30">
        <v>0</v>
      </c>
      <c r="V810" s="233" t="s">
        <v>68</v>
      </c>
      <c r="W810" s="30">
        <v>0</v>
      </c>
      <c r="X810" s="30">
        <v>0</v>
      </c>
      <c r="Y810" s="30">
        <v>0</v>
      </c>
      <c r="Z810" s="233" t="s">
        <v>68</v>
      </c>
      <c r="AA810" s="30">
        <v>0</v>
      </c>
      <c r="AB810" s="30">
        <v>0</v>
      </c>
      <c r="AC810" s="30">
        <v>0</v>
      </c>
      <c r="AD810" s="30">
        <v>0</v>
      </c>
      <c r="AE810" s="89" t="s">
        <v>68</v>
      </c>
      <c r="AF810" s="89"/>
      <c r="AG810" s="89" t="s">
        <v>352</v>
      </c>
      <c r="AH810" s="72" t="s">
        <v>68</v>
      </c>
      <c r="AI810" s="30">
        <v>4</v>
      </c>
      <c r="AJ810" s="89" t="s">
        <v>68</v>
      </c>
      <c r="AK810" s="89" t="s">
        <v>68</v>
      </c>
      <c r="AL810" s="91">
        <v>40324</v>
      </c>
      <c r="AM810" s="91"/>
      <c r="AN810" s="91"/>
      <c r="AO810" s="91"/>
      <c r="AP810" s="73" t="e">
        <f>MID(VLOOKUP(K810,#REF!,2,FALSE),1,2)</f>
        <v>#REF!</v>
      </c>
      <c r="AQ810" s="89">
        <f>DATE(2010,2,11)</f>
        <v>40220</v>
      </c>
      <c r="AR810" s="82">
        <f t="shared" si="54"/>
        <v>11</v>
      </c>
      <c r="AS810" s="83">
        <f t="shared" si="55"/>
        <v>2</v>
      </c>
      <c r="AT810" s="84">
        <f t="shared" si="56"/>
        <v>2010</v>
      </c>
      <c r="AU810" s="86"/>
      <c r="AV810" s="86"/>
      <c r="AW810" s="87"/>
      <c r="AX810" s="86"/>
      <c r="AY810" s="83"/>
      <c r="AZ810" s="84"/>
      <c r="BA810" s="86"/>
      <c r="BB810" s="86"/>
    </row>
    <row r="811" spans="1:54" ht="36.75" customHeight="1">
      <c r="A811" s="30"/>
      <c r="B811" s="30" t="s">
        <v>55</v>
      </c>
      <c r="C811" s="69" t="str">
        <f t="shared" si="53"/>
        <v>Closed</v>
      </c>
      <c r="D811" s="27" t="s">
        <v>4600</v>
      </c>
      <c r="E811" s="29" t="s">
        <v>4601</v>
      </c>
      <c r="F811" s="30" t="s">
        <v>197</v>
      </c>
      <c r="G811" s="89">
        <f>DATE(2010,2,15)</f>
        <v>40224</v>
      </c>
      <c r="H811" s="90">
        <v>1.8069444444444445</v>
      </c>
      <c r="I811" s="30" t="s">
        <v>156</v>
      </c>
      <c r="J811" s="89" t="s">
        <v>4602</v>
      </c>
      <c r="K811" s="30" t="s">
        <v>200</v>
      </c>
      <c r="L811" s="30" t="s">
        <v>4603</v>
      </c>
      <c r="M811" s="30" t="s">
        <v>63</v>
      </c>
      <c r="N811" s="30">
        <v>0</v>
      </c>
      <c r="O811" s="30" t="s">
        <v>64</v>
      </c>
      <c r="P811" s="89" t="s">
        <v>462</v>
      </c>
      <c r="Q811" s="89" t="s">
        <v>202</v>
      </c>
      <c r="R811" s="89" t="s">
        <v>203</v>
      </c>
      <c r="S811" s="30">
        <v>0</v>
      </c>
      <c r="T811" s="233" t="s">
        <v>68</v>
      </c>
      <c r="U811" s="30">
        <v>0</v>
      </c>
      <c r="V811" s="233" t="s">
        <v>68</v>
      </c>
      <c r="W811" s="30">
        <v>0</v>
      </c>
      <c r="X811" s="30">
        <v>0</v>
      </c>
      <c r="Y811" s="30">
        <v>0</v>
      </c>
      <c r="Z811" s="233" t="s">
        <v>68</v>
      </c>
      <c r="AA811" s="30">
        <v>0</v>
      </c>
      <c r="AB811" s="30">
        <v>0</v>
      </c>
      <c r="AC811" s="30">
        <v>0</v>
      </c>
      <c r="AD811" s="30">
        <v>0</v>
      </c>
      <c r="AE811" s="89" t="s">
        <v>68</v>
      </c>
      <c r="AF811" s="89"/>
      <c r="AG811" s="89" t="s">
        <v>133</v>
      </c>
      <c r="AH811" s="72" t="s">
        <v>68</v>
      </c>
      <c r="AI811" s="30">
        <v>2</v>
      </c>
      <c r="AJ811" s="89" t="s">
        <v>4604</v>
      </c>
      <c r="AK811" s="89" t="s">
        <v>4605</v>
      </c>
      <c r="AL811" s="91">
        <v>40611</v>
      </c>
      <c r="AM811" s="91"/>
      <c r="AN811" s="91"/>
      <c r="AO811" s="91"/>
      <c r="AP811" s="73" t="e">
        <f>MID(VLOOKUP(K811,#REF!,2,FALSE),1,2)</f>
        <v>#REF!</v>
      </c>
      <c r="AQ811" s="89">
        <f>DATE(2010,2,15)</f>
        <v>40224</v>
      </c>
      <c r="AR811" s="82">
        <f t="shared" si="54"/>
        <v>15</v>
      </c>
      <c r="AS811" s="83">
        <f t="shared" si="55"/>
        <v>2</v>
      </c>
      <c r="AT811" s="84">
        <f t="shared" si="56"/>
        <v>2010</v>
      </c>
      <c r="AU811" s="86"/>
      <c r="AV811" s="86"/>
      <c r="AW811" s="87"/>
      <c r="AX811" s="86"/>
      <c r="AY811" s="83"/>
      <c r="AZ811" s="84"/>
      <c r="BA811" s="86"/>
      <c r="BB811" s="86"/>
    </row>
    <row r="812" spans="1:54" ht="36.75" customHeight="1">
      <c r="A812" s="30"/>
      <c r="B812" s="30" t="s">
        <v>55</v>
      </c>
      <c r="C812" s="69" t="str">
        <f t="shared" si="53"/>
        <v>Closed</v>
      </c>
      <c r="D812" s="27" t="s">
        <v>4606</v>
      </c>
      <c r="E812" s="29" t="s">
        <v>4607</v>
      </c>
      <c r="F812" s="30" t="s">
        <v>1770</v>
      </c>
      <c r="G812" s="89">
        <f>DATE(2010,2,15)</f>
        <v>40224</v>
      </c>
      <c r="H812" s="90">
        <v>1.3527777777777779</v>
      </c>
      <c r="I812" s="30" t="s">
        <v>198</v>
      </c>
      <c r="J812" s="89" t="s">
        <v>4608</v>
      </c>
      <c r="K812" s="30" t="s">
        <v>1772</v>
      </c>
      <c r="L812" s="30" t="s">
        <v>4609</v>
      </c>
      <c r="M812" s="30" t="s">
        <v>63</v>
      </c>
      <c r="N812" s="30" t="s">
        <v>89</v>
      </c>
      <c r="O812" s="30" t="s">
        <v>64</v>
      </c>
      <c r="P812" s="89" t="s">
        <v>165</v>
      </c>
      <c r="Q812" s="89" t="s">
        <v>1774</v>
      </c>
      <c r="R812" s="89" t="s">
        <v>1775</v>
      </c>
      <c r="S812" s="30">
        <v>18</v>
      </c>
      <c r="T812" s="233">
        <v>1</v>
      </c>
      <c r="U812" s="30">
        <v>0</v>
      </c>
      <c r="V812" s="233">
        <v>0</v>
      </c>
      <c r="W812" s="30">
        <v>0</v>
      </c>
      <c r="X812" s="30">
        <v>19</v>
      </c>
      <c r="Y812" s="30">
        <v>34</v>
      </c>
      <c r="Z812" s="233">
        <v>1</v>
      </c>
      <c r="AA812" s="30">
        <v>0</v>
      </c>
      <c r="AB812" s="30">
        <v>0</v>
      </c>
      <c r="AC812" s="30">
        <v>0</v>
      </c>
      <c r="AD812" s="30">
        <v>35</v>
      </c>
      <c r="AE812" s="89" t="s">
        <v>394</v>
      </c>
      <c r="AF812" s="89"/>
      <c r="AG812" s="89" t="s">
        <v>82</v>
      </c>
      <c r="AH812" s="72">
        <v>40224</v>
      </c>
      <c r="AI812" s="30">
        <v>9</v>
      </c>
      <c r="AJ812" s="89" t="s">
        <v>4610</v>
      </c>
      <c r="AK812" s="89" t="s">
        <v>68</v>
      </c>
      <c r="AL812" s="91">
        <v>40226</v>
      </c>
      <c r="AM812" s="91"/>
      <c r="AN812" s="91"/>
      <c r="AO812" s="91"/>
      <c r="AP812" s="73" t="e">
        <f>MID(VLOOKUP(K812,#REF!,2,FALSE),1,2)</f>
        <v>#REF!</v>
      </c>
      <c r="AQ812" s="89">
        <f>DATE(2010,2,15)</f>
        <v>40224</v>
      </c>
      <c r="AR812" s="82">
        <f t="shared" si="54"/>
        <v>15</v>
      </c>
      <c r="AS812" s="83">
        <f t="shared" si="55"/>
        <v>2</v>
      </c>
      <c r="AT812" s="84">
        <f t="shared" si="56"/>
        <v>2010</v>
      </c>
      <c r="AU812" s="86"/>
      <c r="AV812" s="86"/>
      <c r="AW812" s="87"/>
      <c r="AX812" s="86"/>
      <c r="AY812" s="83"/>
      <c r="AZ812" s="84"/>
      <c r="BA812" s="86"/>
      <c r="BB812" s="86"/>
    </row>
    <row r="813" spans="1:54" ht="36.75" customHeight="1">
      <c r="A813" s="30"/>
      <c r="B813" s="30" t="s">
        <v>55</v>
      </c>
      <c r="C813" s="69" t="str">
        <f t="shared" si="53"/>
        <v>Closed</v>
      </c>
      <c r="D813" s="27" t="s">
        <v>4611</v>
      </c>
      <c r="E813" s="29" t="s">
        <v>4612</v>
      </c>
      <c r="F813" s="30" t="s">
        <v>835</v>
      </c>
      <c r="G813" s="89">
        <f>DATE(2010,2,17)</f>
        <v>40226</v>
      </c>
      <c r="H813" s="90">
        <v>1.4131944444444444</v>
      </c>
      <c r="I813" s="30" t="s">
        <v>116</v>
      </c>
      <c r="J813" s="89" t="s">
        <v>4613</v>
      </c>
      <c r="K813" s="30" t="s">
        <v>837</v>
      </c>
      <c r="L813" s="30" t="s">
        <v>4614</v>
      </c>
      <c r="M813" s="30" t="s">
        <v>63</v>
      </c>
      <c r="N813" s="30">
        <v>0</v>
      </c>
      <c r="O813" s="30" t="s">
        <v>64</v>
      </c>
      <c r="P813" s="89" t="s">
        <v>165</v>
      </c>
      <c r="Q813" s="89" t="s">
        <v>2162</v>
      </c>
      <c r="R813" s="89" t="s">
        <v>840</v>
      </c>
      <c r="S813" s="30">
        <v>0</v>
      </c>
      <c r="T813" s="233">
        <v>0</v>
      </c>
      <c r="U813" s="30">
        <v>2</v>
      </c>
      <c r="V813" s="233">
        <v>0</v>
      </c>
      <c r="W813" s="30">
        <v>0</v>
      </c>
      <c r="X813" s="30">
        <v>2</v>
      </c>
      <c r="Y813" s="30">
        <v>0</v>
      </c>
      <c r="Z813" s="233">
        <v>0</v>
      </c>
      <c r="AA813" s="30">
        <v>0</v>
      </c>
      <c r="AB813" s="30">
        <v>0</v>
      </c>
      <c r="AC813" s="30">
        <v>0</v>
      </c>
      <c r="AD813" s="30">
        <v>0</v>
      </c>
      <c r="AE813" s="89" t="s">
        <v>68</v>
      </c>
      <c r="AF813" s="89"/>
      <c r="AG813" s="89" t="s">
        <v>352</v>
      </c>
      <c r="AH813" s="72" t="s">
        <v>68</v>
      </c>
      <c r="AI813" s="30">
        <v>0</v>
      </c>
      <c r="AJ813" s="89" t="s">
        <v>68</v>
      </c>
      <c r="AK813" s="89" t="s">
        <v>68</v>
      </c>
      <c r="AL813" s="91">
        <v>40324</v>
      </c>
      <c r="AM813" s="91"/>
      <c r="AN813" s="91"/>
      <c r="AO813" s="91"/>
      <c r="AP813" s="73" t="e">
        <f>MID(VLOOKUP(K813,#REF!,2,FALSE),1,2)</f>
        <v>#REF!</v>
      </c>
      <c r="AQ813" s="89">
        <f>DATE(2010,2,17)</f>
        <v>40226</v>
      </c>
      <c r="AR813" s="82">
        <f t="shared" si="54"/>
        <v>17</v>
      </c>
      <c r="AS813" s="83">
        <f t="shared" si="55"/>
        <v>2</v>
      </c>
      <c r="AT813" s="84">
        <f t="shared" si="56"/>
        <v>2010</v>
      </c>
      <c r="AU813" s="86"/>
      <c r="AV813" s="86"/>
      <c r="AW813" s="87"/>
      <c r="AX813" s="86"/>
      <c r="AY813" s="83"/>
      <c r="AZ813" s="84"/>
      <c r="BA813" s="86"/>
      <c r="BB813" s="86"/>
    </row>
    <row r="814" spans="1:54" ht="36.75" customHeight="1">
      <c r="A814" s="30"/>
      <c r="B814" s="30" t="s">
        <v>55</v>
      </c>
      <c r="C814" s="69" t="str">
        <f t="shared" si="53"/>
        <v>Closed</v>
      </c>
      <c r="D814" s="27" t="s">
        <v>4615</v>
      </c>
      <c r="E814" s="29" t="s">
        <v>4616</v>
      </c>
      <c r="F814" s="30" t="s">
        <v>58</v>
      </c>
      <c r="G814" s="89">
        <f>DATE(2010,2,19)</f>
        <v>40228</v>
      </c>
      <c r="H814" s="90">
        <v>1.1965277777777779</v>
      </c>
      <c r="I814" s="30" t="s">
        <v>156</v>
      </c>
      <c r="J814" s="89" t="s">
        <v>4617</v>
      </c>
      <c r="K814" s="30" t="s">
        <v>61</v>
      </c>
      <c r="L814" s="30" t="s">
        <v>4618</v>
      </c>
      <c r="M814" s="30" t="s">
        <v>63</v>
      </c>
      <c r="N814" s="30" t="s">
        <v>89</v>
      </c>
      <c r="O814" s="30" t="s">
        <v>90</v>
      </c>
      <c r="P814" s="89" t="s">
        <v>91</v>
      </c>
      <c r="Q814" s="89" t="s">
        <v>66</v>
      </c>
      <c r="R814" s="89" t="s">
        <v>4619</v>
      </c>
      <c r="S814" s="30">
        <v>0</v>
      </c>
      <c r="T814" s="233">
        <v>0</v>
      </c>
      <c r="U814" s="30">
        <v>0</v>
      </c>
      <c r="V814" s="233">
        <v>0</v>
      </c>
      <c r="W814" s="30">
        <v>0</v>
      </c>
      <c r="X814" s="30">
        <v>0</v>
      </c>
      <c r="Y814" s="30">
        <v>0</v>
      </c>
      <c r="Z814" s="233">
        <v>0</v>
      </c>
      <c r="AA814" s="30">
        <v>0</v>
      </c>
      <c r="AB814" s="30">
        <v>0</v>
      </c>
      <c r="AC814" s="30">
        <v>0</v>
      </c>
      <c r="AD814" s="30">
        <v>0</v>
      </c>
      <c r="AE814" s="89" t="s">
        <v>92</v>
      </c>
      <c r="AF814" s="89"/>
      <c r="AG814" s="89" t="s">
        <v>133</v>
      </c>
      <c r="AH814" s="72">
        <v>40240</v>
      </c>
      <c r="AI814" s="30">
        <v>3</v>
      </c>
      <c r="AJ814" s="89" t="s">
        <v>4620</v>
      </c>
      <c r="AK814" s="89" t="s">
        <v>4621</v>
      </c>
      <c r="AL814" s="91">
        <v>40248</v>
      </c>
      <c r="AM814" s="91"/>
      <c r="AN814" s="91"/>
      <c r="AO814" s="91"/>
      <c r="AP814" s="73" t="e">
        <f>MID(VLOOKUP(K814,#REF!,2,FALSE),1,2)</f>
        <v>#REF!</v>
      </c>
      <c r="AQ814" s="89">
        <f>DATE(2010,2,19)</f>
        <v>40228</v>
      </c>
      <c r="AR814" s="82">
        <f t="shared" si="54"/>
        <v>19</v>
      </c>
      <c r="AS814" s="83">
        <f t="shared" si="55"/>
        <v>2</v>
      </c>
      <c r="AT814" s="84">
        <f t="shared" si="56"/>
        <v>2010</v>
      </c>
      <c r="AU814" s="86"/>
      <c r="AV814" s="86"/>
      <c r="AW814" s="87"/>
      <c r="AX814" s="86"/>
      <c r="AY814" s="83"/>
      <c r="AZ814" s="84"/>
      <c r="BA814" s="86"/>
      <c r="BB814" s="86"/>
    </row>
    <row r="815" spans="1:54" ht="36.75" customHeight="1">
      <c r="A815" s="30"/>
      <c r="B815" s="30" t="s">
        <v>55</v>
      </c>
      <c r="C815" s="69" t="str">
        <f t="shared" si="53"/>
        <v>Closed</v>
      </c>
      <c r="D815" s="27" t="s">
        <v>4622</v>
      </c>
      <c r="E815" s="29" t="s">
        <v>4623</v>
      </c>
      <c r="F815" s="30" t="s">
        <v>72</v>
      </c>
      <c r="G815" s="89">
        <f>DATE(2010,2,20)</f>
        <v>40229</v>
      </c>
      <c r="H815" s="90">
        <v>1.6875</v>
      </c>
      <c r="I815" s="30" t="s">
        <v>198</v>
      </c>
      <c r="J815" s="89" t="s">
        <v>4624</v>
      </c>
      <c r="K815" s="30" t="s">
        <v>75</v>
      </c>
      <c r="L815" s="30" t="s">
        <v>4625</v>
      </c>
      <c r="M815" s="30" t="s">
        <v>129</v>
      </c>
      <c r="N815" s="30" t="s">
        <v>142</v>
      </c>
      <c r="O815" s="30" t="s">
        <v>77</v>
      </c>
      <c r="P815" s="89" t="s">
        <v>129</v>
      </c>
      <c r="Q815" s="89" t="s">
        <v>4626</v>
      </c>
      <c r="R815" s="89" t="s">
        <v>4627</v>
      </c>
      <c r="S815" s="30">
        <v>0</v>
      </c>
      <c r="T815" s="233">
        <v>0</v>
      </c>
      <c r="U815" s="30">
        <v>0</v>
      </c>
      <c r="V815" s="233">
        <v>0</v>
      </c>
      <c r="W815" s="30">
        <v>0</v>
      </c>
      <c r="X815" s="30">
        <v>0</v>
      </c>
      <c r="Y815" s="30">
        <v>0</v>
      </c>
      <c r="Z815" s="233">
        <v>0</v>
      </c>
      <c r="AA815" s="30">
        <v>0</v>
      </c>
      <c r="AB815" s="30">
        <v>0</v>
      </c>
      <c r="AC815" s="30">
        <v>0</v>
      </c>
      <c r="AD815" s="30">
        <v>0</v>
      </c>
      <c r="AE815" s="89" t="s">
        <v>394</v>
      </c>
      <c r="AF815" s="89"/>
      <c r="AG815" s="89" t="s">
        <v>69</v>
      </c>
      <c r="AH815" s="72">
        <v>40246</v>
      </c>
      <c r="AI815" s="30">
        <v>3</v>
      </c>
      <c r="AJ815" s="89" t="s">
        <v>4628</v>
      </c>
      <c r="AK815" s="89" t="s">
        <v>1233</v>
      </c>
      <c r="AL815" s="91">
        <v>40458</v>
      </c>
      <c r="AM815" s="91"/>
      <c r="AN815" s="91"/>
      <c r="AO815" s="91"/>
      <c r="AP815" s="73" t="e">
        <f>MID(VLOOKUP(K815,#REF!,2,FALSE),1,2)</f>
        <v>#REF!</v>
      </c>
      <c r="AQ815" s="89">
        <f>DATE(2010,2,20)</f>
        <v>40229</v>
      </c>
      <c r="AR815" s="82">
        <f t="shared" si="54"/>
        <v>20</v>
      </c>
      <c r="AS815" s="83">
        <f t="shared" si="55"/>
        <v>2</v>
      </c>
      <c r="AT815" s="84">
        <f t="shared" si="56"/>
        <v>2010</v>
      </c>
      <c r="AU815" s="86"/>
      <c r="AV815" s="86"/>
      <c r="AW815" s="87"/>
      <c r="AX815" s="86"/>
      <c r="AY815" s="83"/>
      <c r="AZ815" s="84"/>
      <c r="BA815" s="86"/>
      <c r="BB815" s="86"/>
    </row>
    <row r="816" spans="1:54" ht="36.75" customHeight="1">
      <c r="A816" s="30"/>
      <c r="B816" s="30" t="s">
        <v>55</v>
      </c>
      <c r="C816" s="69" t="str">
        <f t="shared" si="53"/>
        <v>Closed</v>
      </c>
      <c r="D816" s="27" t="s">
        <v>4629</v>
      </c>
      <c r="E816" s="29" t="s">
        <v>4630</v>
      </c>
      <c r="F816" s="30" t="s">
        <v>233</v>
      </c>
      <c r="G816" s="89">
        <f>DATE(2010,2,20)</f>
        <v>40229</v>
      </c>
      <c r="H816" s="90">
        <v>1.6569444444444446</v>
      </c>
      <c r="I816" s="30" t="s">
        <v>73</v>
      </c>
      <c r="J816" s="89" t="s">
        <v>4631</v>
      </c>
      <c r="K816" s="30" t="s">
        <v>235</v>
      </c>
      <c r="L816" s="30" t="s">
        <v>4632</v>
      </c>
      <c r="M816" s="30" t="s">
        <v>63</v>
      </c>
      <c r="N816" s="30">
        <v>0</v>
      </c>
      <c r="O816" s="30" t="s">
        <v>64</v>
      </c>
      <c r="P816" s="89" t="s">
        <v>462</v>
      </c>
      <c r="Q816" s="89" t="s">
        <v>2538</v>
      </c>
      <c r="R816" s="89" t="s">
        <v>238</v>
      </c>
      <c r="S816" s="30">
        <v>0</v>
      </c>
      <c r="T816" s="233" t="s">
        <v>68</v>
      </c>
      <c r="U816" s="30">
        <v>0</v>
      </c>
      <c r="V816" s="233" t="s">
        <v>68</v>
      </c>
      <c r="W816" s="30">
        <v>0</v>
      </c>
      <c r="X816" s="30">
        <v>0</v>
      </c>
      <c r="Y816" s="30">
        <v>0</v>
      </c>
      <c r="Z816" s="233" t="s">
        <v>68</v>
      </c>
      <c r="AA816" s="30">
        <v>0</v>
      </c>
      <c r="AB816" s="30">
        <v>0</v>
      </c>
      <c r="AC816" s="30">
        <v>0</v>
      </c>
      <c r="AD816" s="30">
        <v>0</v>
      </c>
      <c r="AE816" s="89" t="s">
        <v>68</v>
      </c>
      <c r="AF816" s="89"/>
      <c r="AG816" s="89" t="s">
        <v>133</v>
      </c>
      <c r="AH816" s="72" t="s">
        <v>68</v>
      </c>
      <c r="AI816" s="30">
        <v>4</v>
      </c>
      <c r="AJ816" s="89" t="s">
        <v>4633</v>
      </c>
      <c r="AK816" s="89" t="s">
        <v>4634</v>
      </c>
      <c r="AL816" s="91">
        <v>40235</v>
      </c>
      <c r="AM816" s="91"/>
      <c r="AN816" s="91"/>
      <c r="AO816" s="91"/>
      <c r="AP816" s="73" t="e">
        <f>MID(VLOOKUP(K816,#REF!,2,FALSE),1,2)</f>
        <v>#REF!</v>
      </c>
      <c r="AQ816" s="89">
        <f>DATE(2010,2,20)</f>
        <v>40229</v>
      </c>
      <c r="AR816" s="82">
        <f t="shared" si="54"/>
        <v>20</v>
      </c>
      <c r="AS816" s="83">
        <f t="shared" si="55"/>
        <v>2</v>
      </c>
      <c r="AT816" s="84">
        <f t="shared" si="56"/>
        <v>2010</v>
      </c>
      <c r="AU816" s="86"/>
      <c r="AV816" s="86"/>
      <c r="AW816" s="87"/>
      <c r="AX816" s="86"/>
      <c r="AY816" s="83"/>
      <c r="AZ816" s="84"/>
      <c r="BA816" s="86"/>
      <c r="BB816" s="86"/>
    </row>
    <row r="817" spans="1:54" ht="36.75" customHeight="1">
      <c r="A817" s="30"/>
      <c r="B817" s="30" t="s">
        <v>55</v>
      </c>
      <c r="C817" s="69" t="str">
        <f t="shared" si="53"/>
        <v>Closed</v>
      </c>
      <c r="D817" s="27" t="s">
        <v>4635</v>
      </c>
      <c r="E817" s="29" t="s">
        <v>4636</v>
      </c>
      <c r="F817" s="30" t="s">
        <v>58</v>
      </c>
      <c r="G817" s="89">
        <f>DATE(2010,2,25)</f>
        <v>40234</v>
      </c>
      <c r="H817" s="90">
        <v>1.5291666666666668</v>
      </c>
      <c r="I817" s="30" t="s">
        <v>116</v>
      </c>
      <c r="J817" s="89" t="s">
        <v>4637</v>
      </c>
      <c r="K817" s="30" t="s">
        <v>61</v>
      </c>
      <c r="L817" s="30" t="s">
        <v>4638</v>
      </c>
      <c r="M817" s="30" t="s">
        <v>63</v>
      </c>
      <c r="N817" s="30" t="s">
        <v>99</v>
      </c>
      <c r="O817" s="30" t="s">
        <v>64</v>
      </c>
      <c r="P817" s="89" t="s">
        <v>78</v>
      </c>
      <c r="Q817" s="89" t="s">
        <v>66</v>
      </c>
      <c r="R817" s="89" t="s">
        <v>67</v>
      </c>
      <c r="S817" s="30">
        <v>0</v>
      </c>
      <c r="T817" s="233">
        <v>0</v>
      </c>
      <c r="U817" s="30">
        <v>2</v>
      </c>
      <c r="V817" s="233">
        <v>0</v>
      </c>
      <c r="W817" s="30">
        <v>0</v>
      </c>
      <c r="X817" s="30">
        <v>2</v>
      </c>
      <c r="Y817" s="30">
        <v>0</v>
      </c>
      <c r="Z817" s="233">
        <v>0</v>
      </c>
      <c r="AA817" s="30">
        <v>0</v>
      </c>
      <c r="AB817" s="30">
        <v>0</v>
      </c>
      <c r="AC817" s="30">
        <v>0</v>
      </c>
      <c r="AD817" s="30">
        <v>0</v>
      </c>
      <c r="AE817" s="89" t="s">
        <v>92</v>
      </c>
      <c r="AF817" s="89"/>
      <c r="AG817" s="89" t="s">
        <v>82</v>
      </c>
      <c r="AH817" s="72">
        <v>40240</v>
      </c>
      <c r="AI817" s="30">
        <v>1</v>
      </c>
      <c r="AJ817" s="89" t="s">
        <v>4639</v>
      </c>
      <c r="AK817" s="89" t="s">
        <v>4640</v>
      </c>
      <c r="AL817" s="91">
        <v>40246</v>
      </c>
      <c r="AM817" s="91"/>
      <c r="AN817" s="91"/>
      <c r="AO817" s="91"/>
      <c r="AP817" s="73" t="e">
        <f>MID(VLOOKUP(K817,#REF!,2,FALSE),1,2)</f>
        <v>#REF!</v>
      </c>
      <c r="AQ817" s="89">
        <f>DATE(2010,2,25)</f>
        <v>40234</v>
      </c>
      <c r="AR817" s="82">
        <f t="shared" si="54"/>
        <v>25</v>
      </c>
      <c r="AS817" s="83">
        <f t="shared" si="55"/>
        <v>2</v>
      </c>
      <c r="AT817" s="84">
        <f t="shared" si="56"/>
        <v>2010</v>
      </c>
      <c r="AU817" s="86"/>
      <c r="AV817" s="86"/>
      <c r="AW817" s="87"/>
      <c r="AX817" s="86"/>
      <c r="AY817" s="83"/>
      <c r="AZ817" s="84"/>
      <c r="BA817" s="86"/>
      <c r="BB817" s="86"/>
    </row>
    <row r="818" spans="1:54" ht="36.75" customHeight="1">
      <c r="A818" s="30"/>
      <c r="B818" s="30" t="s">
        <v>55</v>
      </c>
      <c r="C818" s="69" t="str">
        <f t="shared" si="53"/>
        <v>Closed</v>
      </c>
      <c r="D818" s="27" t="s">
        <v>4641</v>
      </c>
      <c r="E818" s="29" t="s">
        <v>4642</v>
      </c>
      <c r="F818" s="30" t="s">
        <v>3148</v>
      </c>
      <c r="G818" s="89">
        <f>DATE(2010,2,25)</f>
        <v>40234</v>
      </c>
      <c r="H818" s="90">
        <v>1.46875</v>
      </c>
      <c r="I818" s="30" t="s">
        <v>116</v>
      </c>
      <c r="J818" s="89" t="s">
        <v>4643</v>
      </c>
      <c r="K818" s="30" t="s">
        <v>3150</v>
      </c>
      <c r="L818" s="30" t="s">
        <v>4644</v>
      </c>
      <c r="M818" s="30" t="s">
        <v>63</v>
      </c>
      <c r="N818" s="30">
        <v>0</v>
      </c>
      <c r="O818" s="30" t="s">
        <v>64</v>
      </c>
      <c r="P818" s="89" t="s">
        <v>78</v>
      </c>
      <c r="Q818" s="89" t="s">
        <v>4529</v>
      </c>
      <c r="R818" s="89" t="s">
        <v>3153</v>
      </c>
      <c r="S818" s="30">
        <v>0</v>
      </c>
      <c r="T818" s="233">
        <v>0</v>
      </c>
      <c r="U818" s="30">
        <v>2</v>
      </c>
      <c r="V818" s="233">
        <v>0</v>
      </c>
      <c r="W818" s="30">
        <v>0</v>
      </c>
      <c r="X818" s="30">
        <v>2</v>
      </c>
      <c r="Y818" s="30">
        <v>0</v>
      </c>
      <c r="Z818" s="233">
        <v>0</v>
      </c>
      <c r="AA818" s="30">
        <v>0</v>
      </c>
      <c r="AB818" s="30">
        <v>0</v>
      </c>
      <c r="AC818" s="30">
        <v>0</v>
      </c>
      <c r="AD818" s="30">
        <v>0</v>
      </c>
      <c r="AE818" s="89" t="s">
        <v>68</v>
      </c>
      <c r="AF818" s="89"/>
      <c r="AG818" s="89" t="s">
        <v>248</v>
      </c>
      <c r="AH818" s="72" t="s">
        <v>68</v>
      </c>
      <c r="AI818" s="30">
        <v>1</v>
      </c>
      <c r="AJ818" s="89" t="s">
        <v>68</v>
      </c>
      <c r="AK818" s="89" t="s">
        <v>68</v>
      </c>
      <c r="AL818" s="91">
        <v>40240</v>
      </c>
      <c r="AM818" s="91"/>
      <c r="AN818" s="91"/>
      <c r="AO818" s="91"/>
      <c r="AP818" s="73" t="e">
        <f>MID(VLOOKUP(K818,#REF!,2,FALSE),1,2)</f>
        <v>#REF!</v>
      </c>
      <c r="AQ818" s="89">
        <f>DATE(2010,2,25)</f>
        <v>40234</v>
      </c>
      <c r="AR818" s="82">
        <f t="shared" si="54"/>
        <v>25</v>
      </c>
      <c r="AS818" s="83">
        <f t="shared" si="55"/>
        <v>2</v>
      </c>
      <c r="AT818" s="84">
        <f t="shared" si="56"/>
        <v>2010</v>
      </c>
      <c r="AU818" s="86"/>
      <c r="AV818" s="86"/>
      <c r="AW818" s="87"/>
      <c r="AX818" s="86"/>
      <c r="AY818" s="83"/>
      <c r="AZ818" s="84"/>
      <c r="BA818" s="86"/>
      <c r="BB818" s="86"/>
    </row>
    <row r="819" spans="1:54" ht="36.75" customHeight="1">
      <c r="A819" s="30"/>
      <c r="B819" s="30" t="s">
        <v>55</v>
      </c>
      <c r="C819" s="69" t="str">
        <f t="shared" si="53"/>
        <v>Closed</v>
      </c>
      <c r="D819" s="27" t="s">
        <v>4645</v>
      </c>
      <c r="E819" s="29" t="s">
        <v>4646</v>
      </c>
      <c r="F819" s="30" t="s">
        <v>582</v>
      </c>
      <c r="G819" s="89">
        <f>DATE(2010,3,5)</f>
        <v>40242</v>
      </c>
      <c r="H819" s="90">
        <v>1.879861111111111</v>
      </c>
      <c r="I819" s="30" t="s">
        <v>73</v>
      </c>
      <c r="J819" s="89" t="s">
        <v>4647</v>
      </c>
      <c r="K819" s="30" t="s">
        <v>584</v>
      </c>
      <c r="L819" s="30" t="s">
        <v>4648</v>
      </c>
      <c r="M819" s="30" t="s">
        <v>63</v>
      </c>
      <c r="N819" s="30">
        <v>0</v>
      </c>
      <c r="O819" s="30" t="s">
        <v>77</v>
      </c>
      <c r="P819" s="89" t="s">
        <v>78</v>
      </c>
      <c r="Q819" s="89" t="s">
        <v>586</v>
      </c>
      <c r="R819" s="89" t="s">
        <v>587</v>
      </c>
      <c r="S819" s="30">
        <v>0</v>
      </c>
      <c r="T819" s="233">
        <v>0</v>
      </c>
      <c r="U819" s="30">
        <v>0</v>
      </c>
      <c r="V819" s="233">
        <v>0</v>
      </c>
      <c r="W819" s="30">
        <v>0</v>
      </c>
      <c r="X819" s="30">
        <v>0</v>
      </c>
      <c r="Y819" s="30">
        <v>0</v>
      </c>
      <c r="Z819" s="233">
        <v>0</v>
      </c>
      <c r="AA819" s="30">
        <v>0</v>
      </c>
      <c r="AB819" s="30">
        <v>0</v>
      </c>
      <c r="AC819" s="30">
        <v>0</v>
      </c>
      <c r="AD819" s="30">
        <v>0</v>
      </c>
      <c r="AE819" s="89" t="s">
        <v>68</v>
      </c>
      <c r="AF819" s="89"/>
      <c r="AG819" s="89" t="s">
        <v>133</v>
      </c>
      <c r="AH819" s="72" t="s">
        <v>68</v>
      </c>
      <c r="AI819" s="30">
        <v>0</v>
      </c>
      <c r="AJ819" s="89" t="s">
        <v>4649</v>
      </c>
      <c r="AK819" s="89" t="s">
        <v>68</v>
      </c>
      <c r="AL819" s="91">
        <v>40245</v>
      </c>
      <c r="AM819" s="91"/>
      <c r="AN819" s="91"/>
      <c r="AO819" s="91"/>
      <c r="AP819" s="73" t="e">
        <f>MID(VLOOKUP(K819,#REF!,2,FALSE),1,2)</f>
        <v>#REF!</v>
      </c>
      <c r="AQ819" s="89">
        <f>DATE(2010,3,5)</f>
        <v>40242</v>
      </c>
      <c r="AR819" s="82">
        <f t="shared" si="54"/>
        <v>5</v>
      </c>
      <c r="AS819" s="83">
        <f t="shared" si="55"/>
        <v>3</v>
      </c>
      <c r="AT819" s="84">
        <f t="shared" si="56"/>
        <v>2010</v>
      </c>
      <c r="AU819" s="86"/>
      <c r="AV819" s="86"/>
      <c r="AW819" s="87"/>
      <c r="AX819" s="86"/>
      <c r="AY819" s="83"/>
      <c r="AZ819" s="84"/>
      <c r="BA819" s="86"/>
      <c r="BB819" s="86"/>
    </row>
    <row r="820" spans="1:54" ht="36.75" customHeight="1">
      <c r="A820" s="30"/>
      <c r="B820" s="30" t="s">
        <v>55</v>
      </c>
      <c r="C820" s="69" t="str">
        <f t="shared" si="53"/>
        <v>Closed</v>
      </c>
      <c r="D820" s="27" t="s">
        <v>4650</v>
      </c>
      <c r="E820" s="29" t="s">
        <v>4651</v>
      </c>
      <c r="F820" s="30" t="s">
        <v>638</v>
      </c>
      <c r="G820" s="89">
        <f>DATE(2010,3,5)</f>
        <v>40242</v>
      </c>
      <c r="H820" s="90">
        <v>1.0673611111111112</v>
      </c>
      <c r="I820" s="30" t="s">
        <v>278</v>
      </c>
      <c r="J820" s="89" t="s">
        <v>4652</v>
      </c>
      <c r="K820" s="30" t="s">
        <v>640</v>
      </c>
      <c r="L820" s="30" t="s">
        <v>4653</v>
      </c>
      <c r="M820" s="30" t="s">
        <v>63</v>
      </c>
      <c r="N820" s="30">
        <v>0</v>
      </c>
      <c r="O820" s="30" t="s">
        <v>77</v>
      </c>
      <c r="P820" s="89" t="s">
        <v>65</v>
      </c>
      <c r="Q820" s="89" t="s">
        <v>642</v>
      </c>
      <c r="R820" s="89" t="s">
        <v>643</v>
      </c>
      <c r="S820" s="30">
        <v>0</v>
      </c>
      <c r="T820" s="233">
        <v>1</v>
      </c>
      <c r="U820" s="30">
        <v>0</v>
      </c>
      <c r="V820" s="233">
        <v>0</v>
      </c>
      <c r="W820" s="30">
        <v>0</v>
      </c>
      <c r="X820" s="30">
        <v>1</v>
      </c>
      <c r="Y820" s="30">
        <v>0</v>
      </c>
      <c r="Z820" s="233">
        <v>0</v>
      </c>
      <c r="AA820" s="30">
        <v>0</v>
      </c>
      <c r="AB820" s="30">
        <v>0</v>
      </c>
      <c r="AC820" s="30">
        <v>0</v>
      </c>
      <c r="AD820" s="30">
        <v>0</v>
      </c>
      <c r="AE820" s="89" t="s">
        <v>68</v>
      </c>
      <c r="AF820" s="89"/>
      <c r="AG820" s="89" t="s">
        <v>352</v>
      </c>
      <c r="AH820" s="72" t="s">
        <v>68</v>
      </c>
      <c r="AI820" s="30">
        <v>2</v>
      </c>
      <c r="AJ820" s="89" t="s">
        <v>4654</v>
      </c>
      <c r="AK820" s="89" t="s">
        <v>68</v>
      </c>
      <c r="AL820" s="91">
        <v>40288</v>
      </c>
      <c r="AM820" s="91"/>
      <c r="AN820" s="91"/>
      <c r="AO820" s="91"/>
      <c r="AP820" s="73" t="e">
        <f>MID(VLOOKUP(K820,#REF!,2,FALSE),1,2)</f>
        <v>#REF!</v>
      </c>
      <c r="AQ820" s="89">
        <f>DATE(2010,3,5)</f>
        <v>40242</v>
      </c>
      <c r="AR820" s="82">
        <f t="shared" si="54"/>
        <v>5</v>
      </c>
      <c r="AS820" s="83">
        <f t="shared" si="55"/>
        <v>3</v>
      </c>
      <c r="AT820" s="84">
        <f t="shared" si="56"/>
        <v>2010</v>
      </c>
      <c r="AU820" s="86"/>
      <c r="AV820" s="86"/>
      <c r="AW820" s="87"/>
      <c r="AX820" s="86"/>
      <c r="AY820" s="83"/>
      <c r="AZ820" s="84"/>
      <c r="BA820" s="86"/>
      <c r="BB820" s="86"/>
    </row>
    <row r="821" spans="1:54" ht="36.75" customHeight="1">
      <c r="A821" s="30"/>
      <c r="B821" s="30" t="s">
        <v>55</v>
      </c>
      <c r="C821" s="69" t="str">
        <f t="shared" si="53"/>
        <v>Closed</v>
      </c>
      <c r="D821" s="27" t="s">
        <v>4655</v>
      </c>
      <c r="E821" s="29" t="s">
        <v>4656</v>
      </c>
      <c r="F821" s="30" t="s">
        <v>233</v>
      </c>
      <c r="G821" s="89">
        <f>DATE(2010,3,6)</f>
        <v>40243</v>
      </c>
      <c r="H821" s="90">
        <v>1.8090277777777777</v>
      </c>
      <c r="I821" s="30" t="s">
        <v>156</v>
      </c>
      <c r="J821" s="89" t="s">
        <v>4657</v>
      </c>
      <c r="K821" s="30" t="s">
        <v>235</v>
      </c>
      <c r="L821" s="30" t="s">
        <v>4658</v>
      </c>
      <c r="M821" s="30" t="s">
        <v>63</v>
      </c>
      <c r="N821" s="30">
        <v>0</v>
      </c>
      <c r="O821" s="30" t="s">
        <v>64</v>
      </c>
      <c r="P821" s="89" t="s">
        <v>165</v>
      </c>
      <c r="Q821" s="89" t="s">
        <v>4659</v>
      </c>
      <c r="R821" s="89" t="s">
        <v>238</v>
      </c>
      <c r="S821" s="30">
        <v>0</v>
      </c>
      <c r="T821" s="233" t="s">
        <v>68</v>
      </c>
      <c r="U821" s="30">
        <v>0</v>
      </c>
      <c r="V821" s="233" t="s">
        <v>68</v>
      </c>
      <c r="W821" s="30">
        <v>0</v>
      </c>
      <c r="X821" s="30">
        <v>0</v>
      </c>
      <c r="Y821" s="30">
        <v>0</v>
      </c>
      <c r="Z821" s="233" t="s">
        <v>68</v>
      </c>
      <c r="AA821" s="30">
        <v>0</v>
      </c>
      <c r="AB821" s="30">
        <v>0</v>
      </c>
      <c r="AC821" s="30">
        <v>0</v>
      </c>
      <c r="AD821" s="30">
        <v>0</v>
      </c>
      <c r="AE821" s="89" t="s">
        <v>68</v>
      </c>
      <c r="AF821" s="89"/>
      <c r="AG821" s="89" t="s">
        <v>133</v>
      </c>
      <c r="AH821" s="72" t="s">
        <v>68</v>
      </c>
      <c r="AI821" s="30">
        <v>4</v>
      </c>
      <c r="AJ821" s="89" t="s">
        <v>4660</v>
      </c>
      <c r="AK821" s="89" t="s">
        <v>4661</v>
      </c>
      <c r="AL821" s="91">
        <v>40277</v>
      </c>
      <c r="AM821" s="91"/>
      <c r="AN821" s="91"/>
      <c r="AO821" s="91"/>
      <c r="AP821" s="73" t="e">
        <f>MID(VLOOKUP(K821,#REF!,2,FALSE),1,2)</f>
        <v>#REF!</v>
      </c>
      <c r="AQ821" s="89">
        <f>DATE(2010,3,6)</f>
        <v>40243</v>
      </c>
      <c r="AR821" s="82">
        <f t="shared" si="54"/>
        <v>6</v>
      </c>
      <c r="AS821" s="83">
        <f t="shared" si="55"/>
        <v>3</v>
      </c>
      <c r="AT821" s="84">
        <f t="shared" si="56"/>
        <v>2010</v>
      </c>
      <c r="AU821" s="86"/>
      <c r="AV821" s="86"/>
      <c r="AW821" s="87"/>
      <c r="AX821" s="86"/>
      <c r="AY821" s="83"/>
      <c r="AZ821" s="84"/>
      <c r="BA821" s="86"/>
      <c r="BB821" s="86"/>
    </row>
    <row r="822" spans="1:54" ht="36.75" customHeight="1">
      <c r="A822" s="30"/>
      <c r="B822" s="30" t="s">
        <v>55</v>
      </c>
      <c r="C822" s="69" t="str">
        <f t="shared" si="53"/>
        <v>Closed</v>
      </c>
      <c r="D822" s="27" t="s">
        <v>4662</v>
      </c>
      <c r="E822" s="29" t="s">
        <v>4663</v>
      </c>
      <c r="F822" s="30" t="s">
        <v>423</v>
      </c>
      <c r="G822" s="89">
        <f>DATE(2010,3,7)</f>
        <v>40244</v>
      </c>
      <c r="H822" s="90">
        <v>1.1680555555555556</v>
      </c>
      <c r="I822" s="30" t="s">
        <v>278</v>
      </c>
      <c r="J822" s="89" t="s">
        <v>4664</v>
      </c>
      <c r="K822" s="30" t="s">
        <v>425</v>
      </c>
      <c r="L822" s="30" t="s">
        <v>4665</v>
      </c>
      <c r="M822" s="30" t="s">
        <v>63</v>
      </c>
      <c r="N822" s="30">
        <v>0</v>
      </c>
      <c r="O822" s="30" t="s">
        <v>77</v>
      </c>
      <c r="P822" s="89" t="s">
        <v>91</v>
      </c>
      <c r="Q822" s="89" t="s">
        <v>427</v>
      </c>
      <c r="R822" s="89" t="s">
        <v>3103</v>
      </c>
      <c r="S822" s="30">
        <v>0</v>
      </c>
      <c r="T822" s="233">
        <v>0</v>
      </c>
      <c r="U822" s="30">
        <v>0</v>
      </c>
      <c r="V822" s="233">
        <v>0</v>
      </c>
      <c r="W822" s="30">
        <v>0</v>
      </c>
      <c r="X822" s="30">
        <v>0</v>
      </c>
      <c r="Y822" s="30">
        <v>1</v>
      </c>
      <c r="Z822" s="233">
        <v>0</v>
      </c>
      <c r="AA822" s="30">
        <v>0</v>
      </c>
      <c r="AB822" s="30">
        <v>0</v>
      </c>
      <c r="AC822" s="30">
        <v>0</v>
      </c>
      <c r="AD822" s="30">
        <v>1</v>
      </c>
      <c r="AE822" s="89" t="s">
        <v>68</v>
      </c>
      <c r="AF822" s="89"/>
      <c r="AG822" s="89" t="s">
        <v>133</v>
      </c>
      <c r="AH822" s="72" t="s">
        <v>68</v>
      </c>
      <c r="AI822" s="30">
        <v>7</v>
      </c>
      <c r="AJ822" s="89" t="s">
        <v>4666</v>
      </c>
      <c r="AK822" s="89" t="s">
        <v>4667</v>
      </c>
      <c r="AL822" s="91">
        <v>40287</v>
      </c>
      <c r="AM822" s="91"/>
      <c r="AN822" s="91"/>
      <c r="AO822" s="91"/>
      <c r="AP822" s="73" t="e">
        <f>MID(VLOOKUP(K822,#REF!,2,FALSE),1,2)</f>
        <v>#REF!</v>
      </c>
      <c r="AQ822" s="89">
        <f>DATE(2010,3,7)</f>
        <v>40244</v>
      </c>
      <c r="AR822" s="82">
        <f t="shared" si="54"/>
        <v>7</v>
      </c>
      <c r="AS822" s="83">
        <f t="shared" si="55"/>
        <v>3</v>
      </c>
      <c r="AT822" s="84">
        <f t="shared" si="56"/>
        <v>2010</v>
      </c>
      <c r="AU822" s="86"/>
      <c r="AV822" s="86"/>
      <c r="AW822" s="87"/>
      <c r="AX822" s="86"/>
      <c r="AY822" s="83"/>
      <c r="AZ822" s="84"/>
      <c r="BA822" s="86"/>
      <c r="BB822" s="86"/>
    </row>
    <row r="823" spans="1:54" ht="36.75" customHeight="1">
      <c r="A823" s="30"/>
      <c r="B823" s="30" t="s">
        <v>55</v>
      </c>
      <c r="C823" s="69" t="str">
        <f t="shared" si="53"/>
        <v>Closed</v>
      </c>
      <c r="D823" s="27" t="s">
        <v>4668</v>
      </c>
      <c r="E823" s="29" t="s">
        <v>4669</v>
      </c>
      <c r="F823" s="30" t="s">
        <v>423</v>
      </c>
      <c r="G823" s="89">
        <f>DATE(2010,3,9)</f>
        <v>40246</v>
      </c>
      <c r="H823" s="90">
        <v>1.3527777777777779</v>
      </c>
      <c r="I823" s="30" t="s">
        <v>73</v>
      </c>
      <c r="J823" s="89" t="s">
        <v>4670</v>
      </c>
      <c r="K823" s="30" t="s">
        <v>425</v>
      </c>
      <c r="L823" s="30" t="s">
        <v>4671</v>
      </c>
      <c r="M823" s="30" t="s">
        <v>63</v>
      </c>
      <c r="N823" s="30">
        <v>0</v>
      </c>
      <c r="O823" s="30" t="s">
        <v>64</v>
      </c>
      <c r="P823" s="89" t="s">
        <v>78</v>
      </c>
      <c r="Q823" s="89" t="s">
        <v>2582</v>
      </c>
      <c r="R823" s="89" t="s">
        <v>3103</v>
      </c>
      <c r="S823" s="30">
        <v>0</v>
      </c>
      <c r="T823" s="233" t="s">
        <v>68</v>
      </c>
      <c r="U823" s="30">
        <v>0</v>
      </c>
      <c r="V823" s="233" t="s">
        <v>68</v>
      </c>
      <c r="W823" s="30">
        <v>0</v>
      </c>
      <c r="X823" s="30">
        <v>0</v>
      </c>
      <c r="Y823" s="30">
        <v>0</v>
      </c>
      <c r="Z823" s="233" t="s">
        <v>68</v>
      </c>
      <c r="AA823" s="30">
        <v>0</v>
      </c>
      <c r="AB823" s="30">
        <v>0</v>
      </c>
      <c r="AC823" s="30">
        <v>0</v>
      </c>
      <c r="AD823" s="30">
        <v>0</v>
      </c>
      <c r="AE823" s="89" t="s">
        <v>68</v>
      </c>
      <c r="AF823" s="89"/>
      <c r="AG823" s="89" t="s">
        <v>133</v>
      </c>
      <c r="AH823" s="72" t="s">
        <v>68</v>
      </c>
      <c r="AI823" s="30">
        <v>0</v>
      </c>
      <c r="AJ823" s="89" t="s">
        <v>4672</v>
      </c>
      <c r="AK823" s="89" t="s">
        <v>4673</v>
      </c>
      <c r="AL823" s="91">
        <v>40261</v>
      </c>
      <c r="AM823" s="91"/>
      <c r="AN823" s="91"/>
      <c r="AO823" s="91"/>
      <c r="AP823" s="73" t="e">
        <f>MID(VLOOKUP(K823,#REF!,2,FALSE),1,2)</f>
        <v>#REF!</v>
      </c>
      <c r="AQ823" s="89">
        <f>DATE(2010,3,9)</f>
        <v>40246</v>
      </c>
      <c r="AR823" s="82">
        <f t="shared" si="54"/>
        <v>9</v>
      </c>
      <c r="AS823" s="83">
        <f t="shared" si="55"/>
        <v>3</v>
      </c>
      <c r="AT823" s="84">
        <f t="shared" si="56"/>
        <v>2010</v>
      </c>
      <c r="AU823" s="86"/>
      <c r="AV823" s="86"/>
      <c r="AW823" s="87"/>
      <c r="AX823" s="86"/>
      <c r="AY823" s="83"/>
      <c r="AZ823" s="84"/>
      <c r="BA823" s="86"/>
      <c r="BB823" s="86"/>
    </row>
    <row r="824" spans="1:54" ht="36.75" customHeight="1">
      <c r="A824" s="30"/>
      <c r="B824" s="30" t="s">
        <v>55</v>
      </c>
      <c r="C824" s="69" t="str">
        <f t="shared" si="53"/>
        <v>Closed</v>
      </c>
      <c r="D824" s="27" t="s">
        <v>4674</v>
      </c>
      <c r="E824" s="29" t="s">
        <v>4675</v>
      </c>
      <c r="F824" s="30" t="s">
        <v>638</v>
      </c>
      <c r="G824" s="89">
        <f>DATE(2010,3,10)</f>
        <v>40247</v>
      </c>
      <c r="H824" s="90">
        <v>1.0819444444444444</v>
      </c>
      <c r="I824" s="30" t="s">
        <v>104</v>
      </c>
      <c r="J824" s="89" t="s">
        <v>4676</v>
      </c>
      <c r="K824" s="30" t="s">
        <v>640</v>
      </c>
      <c r="L824" s="30" t="s">
        <v>4677</v>
      </c>
      <c r="M824" s="30" t="s">
        <v>63</v>
      </c>
      <c r="N824" s="30">
        <v>0</v>
      </c>
      <c r="O824" s="30" t="s">
        <v>77</v>
      </c>
      <c r="P824" s="89" t="s">
        <v>553</v>
      </c>
      <c r="Q824" s="89" t="s">
        <v>3033</v>
      </c>
      <c r="R824" s="89" t="s">
        <v>643</v>
      </c>
      <c r="S824" s="30">
        <v>0</v>
      </c>
      <c r="T824" s="233" t="s">
        <v>68</v>
      </c>
      <c r="U824" s="30">
        <v>0</v>
      </c>
      <c r="V824" s="233" t="s">
        <v>68</v>
      </c>
      <c r="W824" s="30">
        <v>0</v>
      </c>
      <c r="X824" s="30">
        <v>0</v>
      </c>
      <c r="Y824" s="30">
        <v>0</v>
      </c>
      <c r="Z824" s="233" t="s">
        <v>68</v>
      </c>
      <c r="AA824" s="30">
        <v>0</v>
      </c>
      <c r="AB824" s="30">
        <v>0</v>
      </c>
      <c r="AC824" s="30">
        <v>0</v>
      </c>
      <c r="AD824" s="30">
        <v>0</v>
      </c>
      <c r="AE824" s="89" t="s">
        <v>68</v>
      </c>
      <c r="AF824" s="89"/>
      <c r="AG824" s="89" t="s">
        <v>352</v>
      </c>
      <c r="AH824" s="72" t="s">
        <v>68</v>
      </c>
      <c r="AI824" s="30">
        <v>0</v>
      </c>
      <c r="AJ824" s="89" t="s">
        <v>4678</v>
      </c>
      <c r="AK824" s="89" t="s">
        <v>68</v>
      </c>
      <c r="AL824" s="91">
        <v>40288</v>
      </c>
      <c r="AM824" s="91"/>
      <c r="AN824" s="91"/>
      <c r="AO824" s="91"/>
      <c r="AP824" s="73" t="e">
        <f>MID(VLOOKUP(K824,#REF!,2,FALSE),1,2)</f>
        <v>#REF!</v>
      </c>
      <c r="AQ824" s="89">
        <f>DATE(2010,3,10)</f>
        <v>40247</v>
      </c>
      <c r="AR824" s="82">
        <f t="shared" si="54"/>
        <v>10</v>
      </c>
      <c r="AS824" s="83">
        <f t="shared" si="55"/>
        <v>3</v>
      </c>
      <c r="AT824" s="84">
        <f t="shared" si="56"/>
        <v>2010</v>
      </c>
      <c r="AU824" s="86"/>
      <c r="AV824" s="86"/>
      <c r="AW824" s="87"/>
      <c r="AX824" s="86"/>
      <c r="AY824" s="83"/>
      <c r="AZ824" s="84"/>
      <c r="BA824" s="86"/>
      <c r="BB824" s="86"/>
    </row>
    <row r="825" spans="1:54" ht="36.75" customHeight="1">
      <c r="A825" s="30"/>
      <c r="B825" s="30" t="s">
        <v>55</v>
      </c>
      <c r="C825" s="69" t="str">
        <f t="shared" si="53"/>
        <v>Closed</v>
      </c>
      <c r="D825" s="27" t="s">
        <v>4679</v>
      </c>
      <c r="E825" s="29" t="s">
        <v>4680</v>
      </c>
      <c r="F825" s="30" t="s">
        <v>835</v>
      </c>
      <c r="G825" s="89">
        <f>DATE(2010,3,10)</f>
        <v>40247</v>
      </c>
      <c r="H825" s="90">
        <v>1.5972222222222223</v>
      </c>
      <c r="I825" s="30" t="s">
        <v>116</v>
      </c>
      <c r="J825" s="89" t="s">
        <v>4681</v>
      </c>
      <c r="K825" s="30" t="s">
        <v>837</v>
      </c>
      <c r="L825" s="30" t="s">
        <v>4682</v>
      </c>
      <c r="M825" s="30" t="s">
        <v>63</v>
      </c>
      <c r="N825" s="30">
        <v>0</v>
      </c>
      <c r="O825" s="30" t="s">
        <v>64</v>
      </c>
      <c r="P825" s="89" t="s">
        <v>165</v>
      </c>
      <c r="Q825" s="89" t="s">
        <v>2162</v>
      </c>
      <c r="R825" s="89" t="s">
        <v>840</v>
      </c>
      <c r="S825" s="30">
        <v>0</v>
      </c>
      <c r="T825" s="233">
        <v>0</v>
      </c>
      <c r="U825" s="30">
        <v>1</v>
      </c>
      <c r="V825" s="233">
        <v>0</v>
      </c>
      <c r="W825" s="30">
        <v>0</v>
      </c>
      <c r="X825" s="30">
        <v>1</v>
      </c>
      <c r="Y825" s="30">
        <v>0</v>
      </c>
      <c r="Z825" s="233">
        <v>0</v>
      </c>
      <c r="AA825" s="30">
        <v>1</v>
      </c>
      <c r="AB825" s="30">
        <v>0</v>
      </c>
      <c r="AC825" s="30">
        <v>0</v>
      </c>
      <c r="AD825" s="30">
        <v>1</v>
      </c>
      <c r="AE825" s="89" t="s">
        <v>68</v>
      </c>
      <c r="AF825" s="89"/>
      <c r="AG825" s="89" t="s">
        <v>352</v>
      </c>
      <c r="AH825" s="72" t="s">
        <v>68</v>
      </c>
      <c r="AI825" s="30">
        <v>1</v>
      </c>
      <c r="AJ825" s="89" t="s">
        <v>68</v>
      </c>
      <c r="AK825" s="89" t="s">
        <v>68</v>
      </c>
      <c r="AL825" s="91">
        <v>40325</v>
      </c>
      <c r="AM825" s="91"/>
      <c r="AN825" s="91"/>
      <c r="AO825" s="91"/>
      <c r="AP825" s="73" t="e">
        <f>MID(VLOOKUP(K825,#REF!,2,FALSE),1,2)</f>
        <v>#REF!</v>
      </c>
      <c r="AQ825" s="89">
        <f>DATE(2010,3,10)</f>
        <v>40247</v>
      </c>
      <c r="AR825" s="82">
        <f t="shared" si="54"/>
        <v>10</v>
      </c>
      <c r="AS825" s="83">
        <f t="shared" si="55"/>
        <v>3</v>
      </c>
      <c r="AT825" s="84">
        <f t="shared" si="56"/>
        <v>2010</v>
      </c>
      <c r="AU825" s="86"/>
      <c r="AV825" s="86"/>
      <c r="AW825" s="87"/>
      <c r="AX825" s="86"/>
      <c r="AY825" s="83"/>
      <c r="AZ825" s="84"/>
      <c r="BA825" s="86"/>
      <c r="BB825" s="86"/>
    </row>
    <row r="826" spans="1:54" ht="36.75" customHeight="1">
      <c r="A826" s="30"/>
      <c r="B826" s="30" t="s">
        <v>55</v>
      </c>
      <c r="C826" s="69" t="str">
        <f t="shared" si="53"/>
        <v>Closed</v>
      </c>
      <c r="D826" s="27" t="s">
        <v>4683</v>
      </c>
      <c r="E826" s="29" t="s">
        <v>4684</v>
      </c>
      <c r="F826" s="30" t="s">
        <v>423</v>
      </c>
      <c r="G826" s="89">
        <f>DATE(2010,3,11)</f>
        <v>40248</v>
      </c>
      <c r="H826" s="90">
        <v>1.3916666666666666</v>
      </c>
      <c r="I826" s="30" t="s">
        <v>86</v>
      </c>
      <c r="J826" s="89" t="s">
        <v>4685</v>
      </c>
      <c r="K826" s="30" t="s">
        <v>425</v>
      </c>
      <c r="L826" s="30" t="s">
        <v>4686</v>
      </c>
      <c r="M826" s="30" t="s">
        <v>63</v>
      </c>
      <c r="N826" s="30">
        <v>0</v>
      </c>
      <c r="O826" s="30" t="s">
        <v>64</v>
      </c>
      <c r="P826" s="89" t="s">
        <v>65</v>
      </c>
      <c r="Q826" s="89" t="s">
        <v>4551</v>
      </c>
      <c r="R826" s="89" t="s">
        <v>3103</v>
      </c>
      <c r="S826" s="30">
        <v>0</v>
      </c>
      <c r="T826" s="233" t="s">
        <v>68</v>
      </c>
      <c r="U826" s="30">
        <v>0</v>
      </c>
      <c r="V826" s="233" t="s">
        <v>68</v>
      </c>
      <c r="W826" s="30">
        <v>0</v>
      </c>
      <c r="X826" s="30">
        <v>0</v>
      </c>
      <c r="Y826" s="30">
        <v>0</v>
      </c>
      <c r="Z826" s="233" t="s">
        <v>68</v>
      </c>
      <c r="AA826" s="30">
        <v>0</v>
      </c>
      <c r="AB826" s="30">
        <v>0</v>
      </c>
      <c r="AC826" s="30">
        <v>0</v>
      </c>
      <c r="AD826" s="30">
        <v>0</v>
      </c>
      <c r="AE826" s="89" t="s">
        <v>68</v>
      </c>
      <c r="AF826" s="89"/>
      <c r="AG826" s="89" t="s">
        <v>352</v>
      </c>
      <c r="AH826" s="72" t="s">
        <v>68</v>
      </c>
      <c r="AI826" s="30">
        <v>3</v>
      </c>
      <c r="AJ826" s="89" t="s">
        <v>4687</v>
      </c>
      <c r="AK826" s="89" t="s">
        <v>4688</v>
      </c>
      <c r="AL826" s="91">
        <v>40388</v>
      </c>
      <c r="AM826" s="91"/>
      <c r="AN826" s="91"/>
      <c r="AO826" s="91"/>
      <c r="AP826" s="73" t="e">
        <f>MID(VLOOKUP(K826,#REF!,2,FALSE),1,2)</f>
        <v>#REF!</v>
      </c>
      <c r="AQ826" s="89">
        <f>DATE(2010,3,11)</f>
        <v>40248</v>
      </c>
      <c r="AR826" s="82">
        <f t="shared" si="54"/>
        <v>11</v>
      </c>
      <c r="AS826" s="83">
        <f t="shared" si="55"/>
        <v>3</v>
      </c>
      <c r="AT826" s="84">
        <f t="shared" si="56"/>
        <v>2010</v>
      </c>
      <c r="AU826" s="86"/>
      <c r="AV826" s="86"/>
      <c r="AW826" s="87"/>
      <c r="AX826" s="86"/>
      <c r="AY826" s="83"/>
      <c r="AZ826" s="84"/>
      <c r="BA826" s="86"/>
      <c r="BB826" s="86"/>
    </row>
    <row r="827" spans="1:54" ht="36.75" customHeight="1">
      <c r="A827" s="30"/>
      <c r="B827" s="30" t="s">
        <v>55</v>
      </c>
      <c r="C827" s="69" t="str">
        <f t="shared" si="53"/>
        <v>Closed</v>
      </c>
      <c r="D827" s="27" t="s">
        <v>4689</v>
      </c>
      <c r="E827" s="29" t="s">
        <v>4690</v>
      </c>
      <c r="F827" s="30" t="s">
        <v>638</v>
      </c>
      <c r="G827" s="89">
        <f>DATE(2010,3,11)</f>
        <v>40248</v>
      </c>
      <c r="H827" s="90">
        <v>1.3854166666666667</v>
      </c>
      <c r="I827" s="30" t="s">
        <v>116</v>
      </c>
      <c r="J827" s="89" t="s">
        <v>4691</v>
      </c>
      <c r="K827" s="30" t="s">
        <v>640</v>
      </c>
      <c r="L827" s="30" t="s">
        <v>4692</v>
      </c>
      <c r="M827" s="30" t="s">
        <v>63</v>
      </c>
      <c r="N827" s="30">
        <v>0</v>
      </c>
      <c r="O827" s="30" t="s">
        <v>64</v>
      </c>
      <c r="P827" s="89" t="s">
        <v>165</v>
      </c>
      <c r="Q827" s="89" t="s">
        <v>3246</v>
      </c>
      <c r="R827" s="89" t="s">
        <v>3246</v>
      </c>
      <c r="S827" s="30">
        <v>0</v>
      </c>
      <c r="T827" s="233">
        <v>0</v>
      </c>
      <c r="U827" s="30">
        <v>1</v>
      </c>
      <c r="V827" s="233">
        <v>0</v>
      </c>
      <c r="W827" s="30">
        <v>0</v>
      </c>
      <c r="X827" s="30">
        <v>1</v>
      </c>
      <c r="Y827" s="30">
        <v>0</v>
      </c>
      <c r="Z827" s="233">
        <v>0</v>
      </c>
      <c r="AA827" s="30">
        <v>0</v>
      </c>
      <c r="AB827" s="30">
        <v>0</v>
      </c>
      <c r="AC827" s="30">
        <v>0</v>
      </c>
      <c r="AD827" s="30">
        <v>0</v>
      </c>
      <c r="AE827" s="89" t="s">
        <v>68</v>
      </c>
      <c r="AF827" s="89"/>
      <c r="AG827" s="89" t="s">
        <v>248</v>
      </c>
      <c r="AH827" s="72" t="s">
        <v>68</v>
      </c>
      <c r="AI827" s="30">
        <v>2</v>
      </c>
      <c r="AJ827" s="89" t="s">
        <v>68</v>
      </c>
      <c r="AK827" s="89" t="s">
        <v>68</v>
      </c>
      <c r="AL827" s="91">
        <v>40288</v>
      </c>
      <c r="AM827" s="91"/>
      <c r="AN827" s="91"/>
      <c r="AO827" s="91"/>
      <c r="AP827" s="73" t="e">
        <f>MID(VLOOKUP(K827,#REF!,2,FALSE),1,2)</f>
        <v>#REF!</v>
      </c>
      <c r="AQ827" s="89">
        <f>DATE(2010,3,11)</f>
        <v>40248</v>
      </c>
      <c r="AR827" s="82">
        <f t="shared" si="54"/>
        <v>11</v>
      </c>
      <c r="AS827" s="83">
        <f t="shared" si="55"/>
        <v>3</v>
      </c>
      <c r="AT827" s="84">
        <f t="shared" si="56"/>
        <v>2010</v>
      </c>
      <c r="AU827" s="86"/>
      <c r="AV827" s="86"/>
      <c r="AW827" s="87"/>
      <c r="AX827" s="86"/>
      <c r="AY827" s="83"/>
      <c r="AZ827" s="84"/>
      <c r="BA827" s="86"/>
      <c r="BB827" s="86"/>
    </row>
    <row r="828" spans="1:54" ht="36.75" customHeight="1">
      <c r="A828" s="30"/>
      <c r="B828" s="30" t="s">
        <v>55</v>
      </c>
      <c r="C828" s="69" t="str">
        <f t="shared" si="53"/>
        <v>Closed</v>
      </c>
      <c r="D828" s="27" t="s">
        <v>4693</v>
      </c>
      <c r="E828" s="29" t="s">
        <v>4694</v>
      </c>
      <c r="F828" s="30" t="s">
        <v>138</v>
      </c>
      <c r="G828" s="89">
        <f>DATE(2010,3,13)</f>
        <v>40250</v>
      </c>
      <c r="H828" s="90">
        <v>1.9305555555555554</v>
      </c>
      <c r="I828" s="30" t="s">
        <v>104</v>
      </c>
      <c r="J828" s="89" t="s">
        <v>4695</v>
      </c>
      <c r="K828" s="30" t="s">
        <v>140</v>
      </c>
      <c r="L828" s="30" t="s">
        <v>4696</v>
      </c>
      <c r="M828" s="30" t="s">
        <v>63</v>
      </c>
      <c r="N828" s="30" t="s">
        <v>142</v>
      </c>
      <c r="O828" s="30" t="s">
        <v>77</v>
      </c>
      <c r="P828" s="89" t="s">
        <v>78</v>
      </c>
      <c r="Q828" s="89" t="s">
        <v>143</v>
      </c>
      <c r="R828" s="89" t="s">
        <v>144</v>
      </c>
      <c r="S828" s="30">
        <v>0</v>
      </c>
      <c r="T828" s="233">
        <v>0</v>
      </c>
      <c r="U828" s="30">
        <v>0</v>
      </c>
      <c r="V828" s="233">
        <v>0</v>
      </c>
      <c r="W828" s="30">
        <v>0</v>
      </c>
      <c r="X828" s="30">
        <v>0</v>
      </c>
      <c r="Y828" s="30">
        <v>0</v>
      </c>
      <c r="Z828" s="233">
        <v>0</v>
      </c>
      <c r="AA828" s="30">
        <v>0</v>
      </c>
      <c r="AB828" s="30">
        <v>0</v>
      </c>
      <c r="AC828" s="30">
        <v>0</v>
      </c>
      <c r="AD828" s="30">
        <v>0</v>
      </c>
      <c r="AE828" s="89" t="s">
        <v>92</v>
      </c>
      <c r="AF828" s="89"/>
      <c r="AG828" s="89" t="s">
        <v>133</v>
      </c>
      <c r="AH828" s="72">
        <v>40634</v>
      </c>
      <c r="AI828" s="30">
        <v>5</v>
      </c>
      <c r="AJ828" s="89" t="s">
        <v>4697</v>
      </c>
      <c r="AK828" s="89" t="s">
        <v>4698</v>
      </c>
      <c r="AL828" s="91">
        <v>40256</v>
      </c>
      <c r="AM828" s="91"/>
      <c r="AN828" s="91"/>
      <c r="AO828" s="91"/>
      <c r="AP828" s="73" t="e">
        <f>MID(VLOOKUP(K828,#REF!,2,FALSE),1,2)</f>
        <v>#REF!</v>
      </c>
      <c r="AQ828" s="89">
        <f>DATE(2010,3,13)</f>
        <v>40250</v>
      </c>
      <c r="AR828" s="82">
        <f t="shared" si="54"/>
        <v>13</v>
      </c>
      <c r="AS828" s="83">
        <f t="shared" si="55"/>
        <v>3</v>
      </c>
      <c r="AT828" s="84">
        <f t="shared" si="56"/>
        <v>2010</v>
      </c>
      <c r="AU828" s="86"/>
      <c r="AV828" s="86"/>
      <c r="AW828" s="87"/>
      <c r="AX828" s="86"/>
      <c r="AY828" s="83"/>
      <c r="AZ828" s="84"/>
      <c r="BA828" s="86"/>
      <c r="BB828" s="86"/>
    </row>
    <row r="829" spans="1:54" ht="36.75" customHeight="1">
      <c r="A829" s="30"/>
      <c r="B829" s="30" t="s">
        <v>55</v>
      </c>
      <c r="C829" s="69" t="str">
        <f t="shared" si="53"/>
        <v>Closed</v>
      </c>
      <c r="D829" s="27" t="s">
        <v>4699</v>
      </c>
      <c r="E829" s="29" t="s">
        <v>4700</v>
      </c>
      <c r="F829" s="30" t="s">
        <v>582</v>
      </c>
      <c r="G829" s="89">
        <f>DATE(2010,3,15)</f>
        <v>40252</v>
      </c>
      <c r="H829" s="90">
        <v>1.8680555555555554</v>
      </c>
      <c r="I829" s="30" t="s">
        <v>73</v>
      </c>
      <c r="J829" s="89" t="s">
        <v>4701</v>
      </c>
      <c r="K829" s="30" t="s">
        <v>584</v>
      </c>
      <c r="L829" s="30" t="s">
        <v>4702</v>
      </c>
      <c r="M829" s="30" t="s">
        <v>63</v>
      </c>
      <c r="N829" s="30">
        <v>0</v>
      </c>
      <c r="O829" s="30" t="s">
        <v>77</v>
      </c>
      <c r="P829" s="89" t="s">
        <v>78</v>
      </c>
      <c r="Q829" s="89" t="s">
        <v>586</v>
      </c>
      <c r="R829" s="89" t="s">
        <v>587</v>
      </c>
      <c r="S829" s="30">
        <v>0</v>
      </c>
      <c r="T829" s="233" t="s">
        <v>68</v>
      </c>
      <c r="U829" s="30">
        <v>0</v>
      </c>
      <c r="V829" s="233" t="s">
        <v>68</v>
      </c>
      <c r="W829" s="30">
        <v>0</v>
      </c>
      <c r="X829" s="30">
        <v>0</v>
      </c>
      <c r="Y829" s="30">
        <v>0</v>
      </c>
      <c r="Z829" s="233" t="s">
        <v>68</v>
      </c>
      <c r="AA829" s="30">
        <v>0</v>
      </c>
      <c r="AB829" s="30">
        <v>0</v>
      </c>
      <c r="AC829" s="30">
        <v>0</v>
      </c>
      <c r="AD829" s="30">
        <v>0</v>
      </c>
      <c r="AE829" s="89" t="s">
        <v>68</v>
      </c>
      <c r="AF829" s="89"/>
      <c r="AG829" s="89" t="s">
        <v>82</v>
      </c>
      <c r="AH829" s="72" t="s">
        <v>68</v>
      </c>
      <c r="AI829" s="30">
        <v>0</v>
      </c>
      <c r="AJ829" s="89" t="s">
        <v>68</v>
      </c>
      <c r="AK829" s="89" t="s">
        <v>4703</v>
      </c>
      <c r="AL829" s="91">
        <v>40259</v>
      </c>
      <c r="AM829" s="91"/>
      <c r="AN829" s="91"/>
      <c r="AO829" s="91"/>
      <c r="AP829" s="73" t="e">
        <f>MID(VLOOKUP(K829,#REF!,2,FALSE),1,2)</f>
        <v>#REF!</v>
      </c>
      <c r="AQ829" s="89">
        <f>DATE(2010,3,15)</f>
        <v>40252</v>
      </c>
      <c r="AR829" s="82">
        <f t="shared" si="54"/>
        <v>15</v>
      </c>
      <c r="AS829" s="83">
        <f t="shared" si="55"/>
        <v>3</v>
      </c>
      <c r="AT829" s="84">
        <f t="shared" si="56"/>
        <v>2010</v>
      </c>
      <c r="AU829" s="86"/>
      <c r="AV829" s="86"/>
      <c r="AW829" s="87"/>
      <c r="AX829" s="86"/>
      <c r="AY829" s="83"/>
      <c r="AZ829" s="84"/>
      <c r="BA829" s="86"/>
      <c r="BB829" s="86"/>
    </row>
    <row r="830" spans="1:54" ht="36.75" customHeight="1">
      <c r="A830" s="30"/>
      <c r="B830" s="30" t="s">
        <v>55</v>
      </c>
      <c r="C830" s="69" t="str">
        <f t="shared" si="53"/>
        <v>Closed</v>
      </c>
      <c r="D830" s="27" t="s">
        <v>4704</v>
      </c>
      <c r="E830" s="29" t="s">
        <v>4705</v>
      </c>
      <c r="F830" s="30" t="s">
        <v>835</v>
      </c>
      <c r="G830" s="89">
        <f>DATE(2010,3,15)</f>
        <v>40252</v>
      </c>
      <c r="H830" s="90">
        <v>1.3958333333333333</v>
      </c>
      <c r="I830" s="30" t="s">
        <v>73</v>
      </c>
      <c r="J830" s="89" t="s">
        <v>4706</v>
      </c>
      <c r="K830" s="30" t="s">
        <v>837</v>
      </c>
      <c r="L830" s="30" t="s">
        <v>4707</v>
      </c>
      <c r="M830" s="30" t="s">
        <v>63</v>
      </c>
      <c r="N830" s="30">
        <v>0</v>
      </c>
      <c r="O830" s="30" t="s">
        <v>77</v>
      </c>
      <c r="P830" s="89" t="s">
        <v>78</v>
      </c>
      <c r="Q830" s="89" t="s">
        <v>4708</v>
      </c>
      <c r="R830" s="89" t="s">
        <v>840</v>
      </c>
      <c r="S830" s="30">
        <v>0</v>
      </c>
      <c r="T830" s="233">
        <v>0</v>
      </c>
      <c r="U830" s="30">
        <v>0</v>
      </c>
      <c r="V830" s="233">
        <v>0</v>
      </c>
      <c r="W830" s="30">
        <v>0</v>
      </c>
      <c r="X830" s="30">
        <v>0</v>
      </c>
      <c r="Y830" s="30">
        <v>0</v>
      </c>
      <c r="Z830" s="233">
        <v>0</v>
      </c>
      <c r="AA830" s="30">
        <v>0</v>
      </c>
      <c r="AB830" s="30">
        <v>0</v>
      </c>
      <c r="AC830" s="30">
        <v>0</v>
      </c>
      <c r="AD830" s="30">
        <v>0</v>
      </c>
      <c r="AE830" s="89" t="s">
        <v>68</v>
      </c>
      <c r="AF830" s="89"/>
      <c r="AG830" s="89" t="s">
        <v>1507</v>
      </c>
      <c r="AH830" s="72" t="s">
        <v>68</v>
      </c>
      <c r="AI830" s="30">
        <v>0</v>
      </c>
      <c r="AJ830" s="89" t="s">
        <v>68</v>
      </c>
      <c r="AK830" s="89" t="s">
        <v>68</v>
      </c>
      <c r="AL830" s="91">
        <v>40262</v>
      </c>
      <c r="AM830" s="91"/>
      <c r="AN830" s="91"/>
      <c r="AO830" s="91"/>
      <c r="AP830" s="73" t="e">
        <f>MID(VLOOKUP(K830,#REF!,2,FALSE),1,2)</f>
        <v>#REF!</v>
      </c>
      <c r="AQ830" s="89">
        <f>DATE(2010,3,15)</f>
        <v>40252</v>
      </c>
      <c r="AR830" s="82">
        <f t="shared" si="54"/>
        <v>15</v>
      </c>
      <c r="AS830" s="83">
        <f t="shared" si="55"/>
        <v>3</v>
      </c>
      <c r="AT830" s="84">
        <f t="shared" si="56"/>
        <v>2010</v>
      </c>
      <c r="AU830" s="86"/>
      <c r="AV830" s="86"/>
      <c r="AW830" s="87"/>
      <c r="AX830" s="86"/>
      <c r="AY830" s="83"/>
      <c r="AZ830" s="84"/>
      <c r="BA830" s="86"/>
      <c r="BB830" s="86"/>
    </row>
    <row r="831" spans="1:54" ht="36.75" customHeight="1">
      <c r="A831" s="30"/>
      <c r="B831" s="30" t="s">
        <v>55</v>
      </c>
      <c r="C831" s="69" t="str">
        <f t="shared" si="53"/>
        <v>Closed</v>
      </c>
      <c r="D831" s="27" t="s">
        <v>4709</v>
      </c>
      <c r="E831" s="29" t="s">
        <v>4710</v>
      </c>
      <c r="F831" s="30" t="s">
        <v>835</v>
      </c>
      <c r="G831" s="89">
        <f>DATE(2010,3,15)</f>
        <v>40252</v>
      </c>
      <c r="H831" s="90">
        <v>1.8284722222222221</v>
      </c>
      <c r="I831" s="30" t="s">
        <v>278</v>
      </c>
      <c r="J831" s="89" t="s">
        <v>4711</v>
      </c>
      <c r="K831" s="30" t="s">
        <v>837</v>
      </c>
      <c r="L831" s="30" t="s">
        <v>4712</v>
      </c>
      <c r="M831" s="30" t="s">
        <v>63</v>
      </c>
      <c r="N831" s="30">
        <v>0</v>
      </c>
      <c r="O831" s="30" t="s">
        <v>77</v>
      </c>
      <c r="P831" s="89" t="s">
        <v>91</v>
      </c>
      <c r="Q831" s="89" t="s">
        <v>839</v>
      </c>
      <c r="R831" s="89" t="s">
        <v>840</v>
      </c>
      <c r="S831" s="30">
        <v>1</v>
      </c>
      <c r="T831" s="233">
        <v>0</v>
      </c>
      <c r="U831" s="30">
        <v>0</v>
      </c>
      <c r="V831" s="233">
        <v>0</v>
      </c>
      <c r="W831" s="30">
        <v>0</v>
      </c>
      <c r="X831" s="30">
        <v>1</v>
      </c>
      <c r="Y831" s="30">
        <v>0</v>
      </c>
      <c r="Z831" s="233">
        <v>0</v>
      </c>
      <c r="AA831" s="30">
        <v>0</v>
      </c>
      <c r="AB831" s="30">
        <v>0</v>
      </c>
      <c r="AC831" s="30">
        <v>0</v>
      </c>
      <c r="AD831" s="30">
        <v>0</v>
      </c>
      <c r="AE831" s="89" t="s">
        <v>68</v>
      </c>
      <c r="AF831" s="89"/>
      <c r="AG831" s="89" t="s">
        <v>352</v>
      </c>
      <c r="AH831" s="72" t="s">
        <v>68</v>
      </c>
      <c r="AI831" s="30">
        <v>7</v>
      </c>
      <c r="AJ831" s="89" t="s">
        <v>68</v>
      </c>
      <c r="AK831" s="89" t="s">
        <v>68</v>
      </c>
      <c r="AL831" s="91">
        <v>40325</v>
      </c>
      <c r="AM831" s="91"/>
      <c r="AN831" s="91"/>
      <c r="AO831" s="91"/>
      <c r="AP831" s="73" t="e">
        <f>MID(VLOOKUP(K831,#REF!,2,FALSE),1,2)</f>
        <v>#REF!</v>
      </c>
      <c r="AQ831" s="89">
        <f>DATE(2010,3,15)</f>
        <v>40252</v>
      </c>
      <c r="AR831" s="82">
        <f t="shared" si="54"/>
        <v>15</v>
      </c>
      <c r="AS831" s="83">
        <f t="shared" si="55"/>
        <v>3</v>
      </c>
      <c r="AT831" s="84">
        <f t="shared" si="56"/>
        <v>2010</v>
      </c>
      <c r="AU831" s="86"/>
      <c r="AV831" s="86"/>
      <c r="AW831" s="87"/>
      <c r="AX831" s="86"/>
      <c r="AY831" s="83"/>
      <c r="AZ831" s="84"/>
      <c r="BA831" s="86"/>
      <c r="BB831" s="86"/>
    </row>
    <row r="832" spans="1:54" ht="36.75" customHeight="1">
      <c r="A832" s="30"/>
      <c r="B832" s="30" t="s">
        <v>55</v>
      </c>
      <c r="C832" s="69" t="str">
        <f t="shared" si="53"/>
        <v>Closed</v>
      </c>
      <c r="D832" s="27" t="s">
        <v>4713</v>
      </c>
      <c r="E832" s="29" t="s">
        <v>4714</v>
      </c>
      <c r="F832" s="30" t="s">
        <v>1572</v>
      </c>
      <c r="G832" s="89">
        <f>DATE(2010,3,18)</f>
        <v>40255</v>
      </c>
      <c r="H832" s="90">
        <v>1.3784722222222223</v>
      </c>
      <c r="I832" s="30" t="s">
        <v>73</v>
      </c>
      <c r="J832" s="89" t="s">
        <v>4715</v>
      </c>
      <c r="K832" s="30" t="s">
        <v>1574</v>
      </c>
      <c r="L832" s="30" t="s">
        <v>4716</v>
      </c>
      <c r="M832" s="30" t="s">
        <v>63</v>
      </c>
      <c r="N832" s="30">
        <v>0</v>
      </c>
      <c r="O832" s="30" t="s">
        <v>64</v>
      </c>
      <c r="P832" s="89" t="s">
        <v>78</v>
      </c>
      <c r="Q832" s="89" t="s">
        <v>2437</v>
      </c>
      <c r="R832" s="89">
        <v>0</v>
      </c>
      <c r="S832" s="30">
        <v>0</v>
      </c>
      <c r="T832" s="233" t="s">
        <v>68</v>
      </c>
      <c r="U832" s="30">
        <v>0</v>
      </c>
      <c r="V832" s="233" t="s">
        <v>68</v>
      </c>
      <c r="W832" s="30">
        <v>0</v>
      </c>
      <c r="X832" s="30">
        <v>0</v>
      </c>
      <c r="Y832" s="30">
        <v>0</v>
      </c>
      <c r="Z832" s="233" t="s">
        <v>68</v>
      </c>
      <c r="AA832" s="30">
        <v>0</v>
      </c>
      <c r="AB832" s="30">
        <v>0</v>
      </c>
      <c r="AC832" s="30">
        <v>0</v>
      </c>
      <c r="AD832" s="30">
        <v>0</v>
      </c>
      <c r="AE832" s="89" t="s">
        <v>68</v>
      </c>
      <c r="AF832" s="89"/>
      <c r="AG832" s="89" t="s">
        <v>3810</v>
      </c>
      <c r="AH832" s="72" t="s">
        <v>68</v>
      </c>
      <c r="AI832" s="30">
        <v>2</v>
      </c>
      <c r="AJ832" s="89" t="s">
        <v>4717</v>
      </c>
      <c r="AK832" s="89" t="s">
        <v>4718</v>
      </c>
      <c r="AL832" s="91">
        <v>40312</v>
      </c>
      <c r="AM832" s="91"/>
      <c r="AN832" s="91"/>
      <c r="AO832" s="91"/>
      <c r="AP832" s="73" t="e">
        <f>MID(VLOOKUP(K832,#REF!,2,FALSE),1,2)</f>
        <v>#REF!</v>
      </c>
      <c r="AQ832" s="89">
        <f>DATE(2010,3,18)</f>
        <v>40255</v>
      </c>
      <c r="AR832" s="82">
        <f t="shared" si="54"/>
        <v>18</v>
      </c>
      <c r="AS832" s="83">
        <f t="shared" si="55"/>
        <v>3</v>
      </c>
      <c r="AT832" s="84">
        <f t="shared" si="56"/>
        <v>2010</v>
      </c>
      <c r="AU832" s="86"/>
      <c r="AV832" s="86"/>
      <c r="AW832" s="87"/>
      <c r="AX832" s="86"/>
      <c r="AY832" s="83"/>
      <c r="AZ832" s="84"/>
      <c r="BA832" s="86"/>
      <c r="BB832" s="86"/>
    </row>
    <row r="833" spans="1:54" ht="36.75" customHeight="1">
      <c r="A833" s="30"/>
      <c r="B833" s="30" t="s">
        <v>55</v>
      </c>
      <c r="C833" s="69" t="str">
        <f t="shared" si="53"/>
        <v>Closed</v>
      </c>
      <c r="D833" s="27" t="s">
        <v>4719</v>
      </c>
      <c r="E833" s="29" t="s">
        <v>4720</v>
      </c>
      <c r="F833" s="30" t="s">
        <v>1572</v>
      </c>
      <c r="G833" s="89">
        <f>DATE(2010,3,18)</f>
        <v>40255</v>
      </c>
      <c r="H833" s="90">
        <v>1.3680555555555556</v>
      </c>
      <c r="I833" s="30" t="s">
        <v>86</v>
      </c>
      <c r="J833" s="89" t="s">
        <v>4721</v>
      </c>
      <c r="K833" s="30" t="s">
        <v>1574</v>
      </c>
      <c r="L833" s="30" t="s">
        <v>4722</v>
      </c>
      <c r="M833" s="30" t="s">
        <v>63</v>
      </c>
      <c r="N833" s="30">
        <v>0</v>
      </c>
      <c r="O833" s="30" t="s">
        <v>64</v>
      </c>
      <c r="P833" s="89" t="s">
        <v>78</v>
      </c>
      <c r="Q833" s="89" t="s">
        <v>2437</v>
      </c>
      <c r="R833" s="89">
        <v>0</v>
      </c>
      <c r="S833" s="30">
        <v>0</v>
      </c>
      <c r="T833" s="233" t="s">
        <v>68</v>
      </c>
      <c r="U833" s="30">
        <v>0</v>
      </c>
      <c r="V833" s="233" t="s">
        <v>68</v>
      </c>
      <c r="W833" s="30">
        <v>0</v>
      </c>
      <c r="X833" s="30">
        <v>0</v>
      </c>
      <c r="Y833" s="30">
        <v>0</v>
      </c>
      <c r="Z833" s="233" t="s">
        <v>68</v>
      </c>
      <c r="AA833" s="30">
        <v>0</v>
      </c>
      <c r="AB833" s="30">
        <v>0</v>
      </c>
      <c r="AC833" s="30">
        <v>0</v>
      </c>
      <c r="AD833" s="30">
        <v>0</v>
      </c>
      <c r="AE833" s="89" t="s">
        <v>68</v>
      </c>
      <c r="AF833" s="89"/>
      <c r="AG833" s="89" t="s">
        <v>3810</v>
      </c>
      <c r="AH833" s="72" t="s">
        <v>68</v>
      </c>
      <c r="AI833" s="30">
        <v>0</v>
      </c>
      <c r="AJ833" s="89" t="s">
        <v>4723</v>
      </c>
      <c r="AK833" s="89" t="s">
        <v>4724</v>
      </c>
      <c r="AL833" s="91">
        <v>40312</v>
      </c>
      <c r="AM833" s="91"/>
      <c r="AN833" s="91"/>
      <c r="AO833" s="91"/>
      <c r="AP833" s="73" t="e">
        <f>MID(VLOOKUP(K833,#REF!,2,FALSE),1,2)</f>
        <v>#REF!</v>
      </c>
      <c r="AQ833" s="89">
        <f>DATE(2010,3,18)</f>
        <v>40255</v>
      </c>
      <c r="AR833" s="82">
        <f t="shared" si="54"/>
        <v>18</v>
      </c>
      <c r="AS833" s="83">
        <f t="shared" si="55"/>
        <v>3</v>
      </c>
      <c r="AT833" s="84">
        <f t="shared" si="56"/>
        <v>2010</v>
      </c>
      <c r="AU833" s="86"/>
      <c r="AV833" s="86"/>
      <c r="AW833" s="87"/>
      <c r="AX833" s="86"/>
      <c r="AY833" s="83"/>
      <c r="AZ833" s="84"/>
      <c r="BA833" s="86"/>
      <c r="BB833" s="86"/>
    </row>
    <row r="834" spans="1:54" ht="36.75" customHeight="1">
      <c r="A834" s="30"/>
      <c r="B834" s="30" t="s">
        <v>55</v>
      </c>
      <c r="C834" s="69" t="str">
        <f t="shared" ref="C834:C897" si="57">IF(B834="Notification","Open",IF(B834="Interim Statement","In progress","Closed"))</f>
        <v>Closed</v>
      </c>
      <c r="D834" s="27" t="s">
        <v>4725</v>
      </c>
      <c r="E834" s="29" t="s">
        <v>4726</v>
      </c>
      <c r="F834" s="30" t="s">
        <v>58</v>
      </c>
      <c r="G834" s="89">
        <f>DATE(2010,3,24)</f>
        <v>40261</v>
      </c>
      <c r="H834" s="90">
        <v>1.5499999999999998</v>
      </c>
      <c r="I834" s="30" t="s">
        <v>73</v>
      </c>
      <c r="J834" s="89" t="s">
        <v>4727</v>
      </c>
      <c r="K834" s="30" t="s">
        <v>61</v>
      </c>
      <c r="L834" s="30" t="s">
        <v>4728</v>
      </c>
      <c r="M834" s="30" t="s">
        <v>63</v>
      </c>
      <c r="N834" s="30">
        <v>0</v>
      </c>
      <c r="O834" s="30" t="s">
        <v>90</v>
      </c>
      <c r="P834" s="89" t="s">
        <v>78</v>
      </c>
      <c r="Q834" s="89" t="s">
        <v>66</v>
      </c>
      <c r="R834" s="89" t="s">
        <v>67</v>
      </c>
      <c r="S834" s="30">
        <v>0</v>
      </c>
      <c r="T834" s="233" t="s">
        <v>68</v>
      </c>
      <c r="U834" s="30">
        <v>0</v>
      </c>
      <c r="V834" s="233" t="s">
        <v>68</v>
      </c>
      <c r="W834" s="30">
        <v>0</v>
      </c>
      <c r="X834" s="30">
        <v>0</v>
      </c>
      <c r="Y834" s="30">
        <v>0</v>
      </c>
      <c r="Z834" s="233" t="s">
        <v>68</v>
      </c>
      <c r="AA834" s="30">
        <v>0</v>
      </c>
      <c r="AB834" s="30">
        <v>0</v>
      </c>
      <c r="AC834" s="30">
        <v>0</v>
      </c>
      <c r="AD834" s="30">
        <v>0</v>
      </c>
      <c r="AE834" s="89" t="s">
        <v>68</v>
      </c>
      <c r="AF834" s="89"/>
      <c r="AG834" s="89" t="s">
        <v>69</v>
      </c>
      <c r="AH834" s="72" t="s">
        <v>68</v>
      </c>
      <c r="AI834" s="30">
        <v>0</v>
      </c>
      <c r="AJ834" s="89" t="s">
        <v>4729</v>
      </c>
      <c r="AK834" s="89" t="s">
        <v>4730</v>
      </c>
      <c r="AL834" s="91">
        <v>40375</v>
      </c>
      <c r="AM834" s="91"/>
      <c r="AN834" s="91"/>
      <c r="AO834" s="91"/>
      <c r="AP834" s="73" t="e">
        <f>MID(VLOOKUP(K834,#REF!,2,FALSE),1,2)</f>
        <v>#REF!</v>
      </c>
      <c r="AQ834" s="89">
        <f>DATE(2010,3,24)</f>
        <v>40261</v>
      </c>
      <c r="AR834" s="82">
        <f t="shared" ref="AR834:AR897" si="58">DAY(AQ834)</f>
        <v>24</v>
      </c>
      <c r="AS834" s="83">
        <f t="shared" ref="AS834:AS897" si="59">MONTH(AQ834)</f>
        <v>3</v>
      </c>
      <c r="AT834" s="84">
        <f t="shared" ref="AT834:AT897" si="60">YEAR(AQ834)</f>
        <v>2010</v>
      </c>
      <c r="AU834" s="86"/>
      <c r="AV834" s="86"/>
      <c r="AW834" s="87"/>
      <c r="AX834" s="86"/>
      <c r="AY834" s="83"/>
      <c r="AZ834" s="84"/>
      <c r="BA834" s="86"/>
      <c r="BB834" s="86"/>
    </row>
    <row r="835" spans="1:54" ht="36.75" customHeight="1">
      <c r="A835" s="30"/>
      <c r="B835" s="30" t="s">
        <v>55</v>
      </c>
      <c r="C835" s="69" t="str">
        <f t="shared" si="57"/>
        <v>Closed</v>
      </c>
      <c r="D835" s="27" t="s">
        <v>4731</v>
      </c>
      <c r="E835" s="29" t="s">
        <v>4732</v>
      </c>
      <c r="F835" s="30" t="s">
        <v>124</v>
      </c>
      <c r="G835" s="89">
        <f>DATE(2010,3,24)</f>
        <v>40261</v>
      </c>
      <c r="H835" s="90">
        <v>1.5527777777777778</v>
      </c>
      <c r="I835" s="30" t="s">
        <v>156</v>
      </c>
      <c r="J835" s="89" t="s">
        <v>4733</v>
      </c>
      <c r="K835" s="30" t="s">
        <v>127</v>
      </c>
      <c r="L835" s="30" t="s">
        <v>4734</v>
      </c>
      <c r="M835" s="30" t="s">
        <v>63</v>
      </c>
      <c r="N835" s="30">
        <v>0</v>
      </c>
      <c r="O835" s="30" t="s">
        <v>90</v>
      </c>
      <c r="P835" s="89" t="s">
        <v>91</v>
      </c>
      <c r="Q835" s="89" t="s">
        <v>401</v>
      </c>
      <c r="R835" s="89" t="s">
        <v>167</v>
      </c>
      <c r="S835" s="30">
        <v>0</v>
      </c>
      <c r="T835" s="233">
        <v>0</v>
      </c>
      <c r="U835" s="30">
        <v>0</v>
      </c>
      <c r="V835" s="233">
        <v>0</v>
      </c>
      <c r="W835" s="30">
        <v>3</v>
      </c>
      <c r="X835" s="30">
        <v>3</v>
      </c>
      <c r="Y835" s="30">
        <v>0</v>
      </c>
      <c r="Z835" s="233">
        <v>0</v>
      </c>
      <c r="AA835" s="30">
        <v>0</v>
      </c>
      <c r="AB835" s="30">
        <v>0</v>
      </c>
      <c r="AC835" s="30">
        <v>4</v>
      </c>
      <c r="AD835" s="30">
        <v>4</v>
      </c>
      <c r="AE835" s="89" t="s">
        <v>68</v>
      </c>
      <c r="AF835" s="89"/>
      <c r="AG835" s="89" t="s">
        <v>82</v>
      </c>
      <c r="AH835" s="72" t="s">
        <v>68</v>
      </c>
      <c r="AI835" s="30">
        <v>7</v>
      </c>
      <c r="AJ835" s="89" t="s">
        <v>68</v>
      </c>
      <c r="AK835" s="89" t="s">
        <v>4735</v>
      </c>
      <c r="AL835" s="91">
        <v>40266</v>
      </c>
      <c r="AM835" s="91"/>
      <c r="AN835" s="91"/>
      <c r="AO835" s="91"/>
      <c r="AP835" s="73" t="e">
        <f>MID(VLOOKUP(K835,#REF!,2,FALSE),1,2)</f>
        <v>#REF!</v>
      </c>
      <c r="AQ835" s="89">
        <f>DATE(2010,3,24)</f>
        <v>40261</v>
      </c>
      <c r="AR835" s="82">
        <f t="shared" si="58"/>
        <v>24</v>
      </c>
      <c r="AS835" s="83">
        <f t="shared" si="59"/>
        <v>3</v>
      </c>
      <c r="AT835" s="84">
        <f t="shared" si="60"/>
        <v>2010</v>
      </c>
      <c r="AU835" s="86"/>
      <c r="AV835" s="86"/>
      <c r="AW835" s="87"/>
      <c r="AX835" s="86"/>
      <c r="AY835" s="83"/>
      <c r="AZ835" s="84"/>
      <c r="BA835" s="86"/>
      <c r="BB835" s="86"/>
    </row>
    <row r="836" spans="1:54" ht="36.75" customHeight="1">
      <c r="A836" s="30"/>
      <c r="B836" s="30" t="s">
        <v>55</v>
      </c>
      <c r="C836" s="69" t="str">
        <f t="shared" si="57"/>
        <v>Closed</v>
      </c>
      <c r="D836" s="27" t="s">
        <v>4736</v>
      </c>
      <c r="E836" s="29" t="s">
        <v>4737</v>
      </c>
      <c r="F836" s="30" t="s">
        <v>582</v>
      </c>
      <c r="G836" s="89">
        <f>DATE(2010,3,25)</f>
        <v>40262</v>
      </c>
      <c r="H836" s="90">
        <v>1.9118055555555555</v>
      </c>
      <c r="I836" s="30" t="s">
        <v>73</v>
      </c>
      <c r="J836" s="89" t="s">
        <v>4738</v>
      </c>
      <c r="K836" s="30" t="s">
        <v>584</v>
      </c>
      <c r="L836" s="30" t="s">
        <v>4739</v>
      </c>
      <c r="M836" s="30" t="s">
        <v>63</v>
      </c>
      <c r="N836" s="30" t="s">
        <v>142</v>
      </c>
      <c r="O836" s="30" t="s">
        <v>77</v>
      </c>
      <c r="P836" s="89" t="s">
        <v>78</v>
      </c>
      <c r="Q836" s="89" t="s">
        <v>586</v>
      </c>
      <c r="R836" s="89" t="s">
        <v>587</v>
      </c>
      <c r="S836" s="30">
        <v>0</v>
      </c>
      <c r="T836" s="233">
        <v>0</v>
      </c>
      <c r="U836" s="30">
        <v>0</v>
      </c>
      <c r="V836" s="233">
        <v>0</v>
      </c>
      <c r="W836" s="30">
        <v>0</v>
      </c>
      <c r="X836" s="30">
        <v>0</v>
      </c>
      <c r="Y836" s="30">
        <v>0</v>
      </c>
      <c r="Z836" s="233">
        <v>0</v>
      </c>
      <c r="AA836" s="30">
        <v>0</v>
      </c>
      <c r="AB836" s="30">
        <v>0</v>
      </c>
      <c r="AC836" s="30">
        <v>0</v>
      </c>
      <c r="AD836" s="30">
        <v>0</v>
      </c>
      <c r="AE836" s="89" t="s">
        <v>394</v>
      </c>
      <c r="AF836" s="89"/>
      <c r="AG836" s="89" t="s">
        <v>133</v>
      </c>
      <c r="AH836" s="72">
        <v>40266</v>
      </c>
      <c r="AI836" s="30">
        <v>0</v>
      </c>
      <c r="AJ836" s="89" t="s">
        <v>4740</v>
      </c>
      <c r="AK836" s="89" t="s">
        <v>1233</v>
      </c>
      <c r="AL836" s="91">
        <v>40263</v>
      </c>
      <c r="AM836" s="91"/>
      <c r="AN836" s="91"/>
      <c r="AO836" s="91"/>
      <c r="AP836" s="73" t="e">
        <f>MID(VLOOKUP(K836,#REF!,2,FALSE),1,2)</f>
        <v>#REF!</v>
      </c>
      <c r="AQ836" s="89">
        <f>DATE(2010,3,25)</f>
        <v>40262</v>
      </c>
      <c r="AR836" s="82">
        <f t="shared" si="58"/>
        <v>25</v>
      </c>
      <c r="AS836" s="83">
        <f t="shared" si="59"/>
        <v>3</v>
      </c>
      <c r="AT836" s="84">
        <f t="shared" si="60"/>
        <v>2010</v>
      </c>
      <c r="AU836" s="86"/>
      <c r="AV836" s="86"/>
      <c r="AW836" s="87"/>
      <c r="AX836" s="86"/>
      <c r="AY836" s="83"/>
      <c r="AZ836" s="84"/>
      <c r="BA836" s="86"/>
      <c r="BB836" s="86"/>
    </row>
    <row r="837" spans="1:54" ht="36.75" customHeight="1">
      <c r="A837" s="30"/>
      <c r="B837" s="30" t="s">
        <v>55</v>
      </c>
      <c r="C837" s="69" t="str">
        <f t="shared" si="57"/>
        <v>Closed</v>
      </c>
      <c r="D837" s="27" t="s">
        <v>4741</v>
      </c>
      <c r="E837" s="29" t="s">
        <v>4742</v>
      </c>
      <c r="F837" s="30" t="s">
        <v>638</v>
      </c>
      <c r="G837" s="89">
        <f>DATE(2010,3,26)</f>
        <v>40263</v>
      </c>
      <c r="H837" s="90">
        <v>1.1479166666666667</v>
      </c>
      <c r="I837" s="30" t="s">
        <v>198</v>
      </c>
      <c r="J837" s="89" t="s">
        <v>4743</v>
      </c>
      <c r="K837" s="30" t="s">
        <v>640</v>
      </c>
      <c r="L837" s="30" t="s">
        <v>4744</v>
      </c>
      <c r="M837" s="30" t="s">
        <v>63</v>
      </c>
      <c r="N837" s="30">
        <v>0</v>
      </c>
      <c r="O837" s="30" t="s">
        <v>64</v>
      </c>
      <c r="P837" s="89" t="s">
        <v>78</v>
      </c>
      <c r="Q837" s="89" t="s">
        <v>642</v>
      </c>
      <c r="R837" s="89" t="s">
        <v>643</v>
      </c>
      <c r="S837" s="30">
        <v>0</v>
      </c>
      <c r="T837" s="233">
        <v>1</v>
      </c>
      <c r="U837" s="30">
        <v>0</v>
      </c>
      <c r="V837" s="233">
        <v>0</v>
      </c>
      <c r="W837" s="30">
        <v>0</v>
      </c>
      <c r="X837" s="30">
        <v>1</v>
      </c>
      <c r="Y837" s="30">
        <v>0</v>
      </c>
      <c r="Z837" s="233">
        <v>0</v>
      </c>
      <c r="AA837" s="30">
        <v>0</v>
      </c>
      <c r="AB837" s="30">
        <v>0</v>
      </c>
      <c r="AC837" s="30">
        <v>0</v>
      </c>
      <c r="AD837" s="30">
        <v>0</v>
      </c>
      <c r="AE837" s="89" t="s">
        <v>68</v>
      </c>
      <c r="AF837" s="89"/>
      <c r="AG837" s="89" t="s">
        <v>82</v>
      </c>
      <c r="AH837" s="72" t="s">
        <v>68</v>
      </c>
      <c r="AI837" s="30">
        <v>3</v>
      </c>
      <c r="AJ837" s="89" t="s">
        <v>4745</v>
      </c>
      <c r="AK837" s="89" t="s">
        <v>4746</v>
      </c>
      <c r="AL837" s="91">
        <v>40276</v>
      </c>
      <c r="AM837" s="91"/>
      <c r="AN837" s="91"/>
      <c r="AO837" s="91"/>
      <c r="AP837" s="73" t="e">
        <f>MID(VLOOKUP(K837,#REF!,2,FALSE),1,2)</f>
        <v>#REF!</v>
      </c>
      <c r="AQ837" s="89">
        <f>DATE(2010,3,26)</f>
        <v>40263</v>
      </c>
      <c r="AR837" s="82">
        <f t="shared" si="58"/>
        <v>26</v>
      </c>
      <c r="AS837" s="83">
        <f t="shared" si="59"/>
        <v>3</v>
      </c>
      <c r="AT837" s="84">
        <f t="shared" si="60"/>
        <v>2010</v>
      </c>
      <c r="AU837" s="86"/>
      <c r="AV837" s="86"/>
      <c r="AW837" s="87"/>
      <c r="AX837" s="86"/>
      <c r="AY837" s="83"/>
      <c r="AZ837" s="84"/>
      <c r="BA837" s="86"/>
      <c r="BB837" s="86"/>
    </row>
    <row r="838" spans="1:54" ht="36.75" customHeight="1">
      <c r="A838" s="30"/>
      <c r="B838" s="30" t="s">
        <v>55</v>
      </c>
      <c r="C838" s="69" t="str">
        <f t="shared" si="57"/>
        <v>Closed</v>
      </c>
      <c r="D838" s="27" t="s">
        <v>4747</v>
      </c>
      <c r="E838" s="29" t="s">
        <v>4748</v>
      </c>
      <c r="F838" s="30" t="s">
        <v>233</v>
      </c>
      <c r="G838" s="89">
        <f>DATE(2010,3,30)</f>
        <v>40267</v>
      </c>
      <c r="H838" s="90">
        <v>1.4888888888888889</v>
      </c>
      <c r="I838" s="30" t="s">
        <v>278</v>
      </c>
      <c r="J838" s="89" t="s">
        <v>4749</v>
      </c>
      <c r="K838" s="30" t="s">
        <v>235</v>
      </c>
      <c r="L838" s="30" t="s">
        <v>4750</v>
      </c>
      <c r="M838" s="30" t="s">
        <v>63</v>
      </c>
      <c r="N838" s="30">
        <v>0</v>
      </c>
      <c r="O838" s="30" t="s">
        <v>64</v>
      </c>
      <c r="P838" s="89" t="s">
        <v>165</v>
      </c>
      <c r="Q838" s="89" t="s">
        <v>2876</v>
      </c>
      <c r="R838" s="89" t="s">
        <v>238</v>
      </c>
      <c r="S838" s="30">
        <v>0</v>
      </c>
      <c r="T838" s="233">
        <v>0</v>
      </c>
      <c r="U838" s="30">
        <v>0</v>
      </c>
      <c r="V838" s="233">
        <v>0</v>
      </c>
      <c r="W838" s="30">
        <v>0</v>
      </c>
      <c r="X838" s="30">
        <v>0</v>
      </c>
      <c r="Y838" s="30">
        <v>0</v>
      </c>
      <c r="Z838" s="233">
        <v>1</v>
      </c>
      <c r="AA838" s="30">
        <v>0</v>
      </c>
      <c r="AB838" s="30">
        <v>0</v>
      </c>
      <c r="AC838" s="30">
        <v>0</v>
      </c>
      <c r="AD838" s="30">
        <v>1</v>
      </c>
      <c r="AE838" s="89" t="s">
        <v>68</v>
      </c>
      <c r="AF838" s="89"/>
      <c r="AG838" s="89" t="s">
        <v>133</v>
      </c>
      <c r="AH838" s="72" t="s">
        <v>68</v>
      </c>
      <c r="AI838" s="30">
        <v>2</v>
      </c>
      <c r="AJ838" s="89" t="s">
        <v>4751</v>
      </c>
      <c r="AK838" s="89" t="s">
        <v>4752</v>
      </c>
      <c r="AL838" s="91">
        <v>40284</v>
      </c>
      <c r="AM838" s="91"/>
      <c r="AN838" s="91"/>
      <c r="AO838" s="91"/>
      <c r="AP838" s="73" t="e">
        <f>MID(VLOOKUP(K838,#REF!,2,FALSE),1,2)</f>
        <v>#REF!</v>
      </c>
      <c r="AQ838" s="89">
        <f>DATE(2010,3,30)</f>
        <v>40267</v>
      </c>
      <c r="AR838" s="82">
        <f t="shared" si="58"/>
        <v>30</v>
      </c>
      <c r="AS838" s="83">
        <f t="shared" si="59"/>
        <v>3</v>
      </c>
      <c r="AT838" s="84">
        <f t="shared" si="60"/>
        <v>2010</v>
      </c>
      <c r="AU838" s="86"/>
      <c r="AV838" s="86"/>
      <c r="AW838" s="87"/>
      <c r="AX838" s="86"/>
      <c r="AY838" s="83"/>
      <c r="AZ838" s="84"/>
      <c r="BA838" s="86"/>
      <c r="BB838" s="86"/>
    </row>
    <row r="839" spans="1:54" ht="36.75" customHeight="1">
      <c r="A839" s="30"/>
      <c r="B839" s="30" t="s">
        <v>55</v>
      </c>
      <c r="C839" s="69" t="str">
        <f t="shared" si="57"/>
        <v>Closed</v>
      </c>
      <c r="D839" s="27" t="s">
        <v>4753</v>
      </c>
      <c r="E839" s="29" t="s">
        <v>4754</v>
      </c>
      <c r="F839" s="30" t="s">
        <v>124</v>
      </c>
      <c r="G839" s="89">
        <f>DATE(2010,4,1)</f>
        <v>40269</v>
      </c>
      <c r="H839" s="90">
        <v>1.7916666666666665</v>
      </c>
      <c r="I839" s="30" t="s">
        <v>73</v>
      </c>
      <c r="J839" s="89" t="s">
        <v>4755</v>
      </c>
      <c r="K839" s="30" t="s">
        <v>127</v>
      </c>
      <c r="L839" s="30" t="s">
        <v>4756</v>
      </c>
      <c r="M839" s="30" t="s">
        <v>63</v>
      </c>
      <c r="N839" s="30">
        <v>0</v>
      </c>
      <c r="O839" s="30" t="s">
        <v>64</v>
      </c>
      <c r="P839" s="89" t="s">
        <v>165</v>
      </c>
      <c r="Q839" s="89" t="s">
        <v>3598</v>
      </c>
      <c r="R839" s="89" t="s">
        <v>167</v>
      </c>
      <c r="S839" s="30">
        <v>0</v>
      </c>
      <c r="T839" s="233" t="s">
        <v>68</v>
      </c>
      <c r="U839" s="30">
        <v>0</v>
      </c>
      <c r="V839" s="233" t="s">
        <v>68</v>
      </c>
      <c r="W839" s="30">
        <v>0</v>
      </c>
      <c r="X839" s="30">
        <v>0</v>
      </c>
      <c r="Y839" s="30">
        <v>0</v>
      </c>
      <c r="Z839" s="233" t="s">
        <v>68</v>
      </c>
      <c r="AA839" s="30">
        <v>0</v>
      </c>
      <c r="AB839" s="30">
        <v>0</v>
      </c>
      <c r="AC839" s="30">
        <v>0</v>
      </c>
      <c r="AD839" s="30">
        <v>0</v>
      </c>
      <c r="AE839" s="89" t="s">
        <v>68</v>
      </c>
      <c r="AF839" s="89"/>
      <c r="AG839" s="89" t="s">
        <v>352</v>
      </c>
      <c r="AH839" s="72" t="s">
        <v>68</v>
      </c>
      <c r="AI839" s="30">
        <v>1</v>
      </c>
      <c r="AJ839" s="89" t="s">
        <v>4757</v>
      </c>
      <c r="AK839" s="89" t="s">
        <v>4758</v>
      </c>
      <c r="AL839" s="91">
        <v>40284</v>
      </c>
      <c r="AM839" s="91"/>
      <c r="AN839" s="91"/>
      <c r="AO839" s="91"/>
      <c r="AP839" s="73" t="e">
        <f>MID(VLOOKUP(K839,#REF!,2,FALSE),1,2)</f>
        <v>#REF!</v>
      </c>
      <c r="AQ839" s="89">
        <f>DATE(2010,4,1)</f>
        <v>40269</v>
      </c>
      <c r="AR839" s="82">
        <f t="shared" si="58"/>
        <v>1</v>
      </c>
      <c r="AS839" s="83">
        <f t="shared" si="59"/>
        <v>4</v>
      </c>
      <c r="AT839" s="84">
        <f t="shared" si="60"/>
        <v>2010</v>
      </c>
      <c r="AU839" s="86"/>
      <c r="AV839" s="86"/>
      <c r="AW839" s="87"/>
      <c r="AX839" s="86"/>
      <c r="AY839" s="83"/>
      <c r="AZ839" s="84"/>
      <c r="BA839" s="86"/>
      <c r="BB839" s="86"/>
    </row>
    <row r="840" spans="1:54" ht="36.75" customHeight="1">
      <c r="A840" s="30"/>
      <c r="B840" s="30" t="s">
        <v>2124</v>
      </c>
      <c r="C840" s="69" t="str">
        <f t="shared" si="57"/>
        <v>Open</v>
      </c>
      <c r="D840" s="27" t="s">
        <v>4759</v>
      </c>
      <c r="E840" s="29" t="s">
        <v>4760</v>
      </c>
      <c r="F840" s="30" t="s">
        <v>3148</v>
      </c>
      <c r="G840" s="89">
        <f>DATE(2010,4,1)</f>
        <v>40269</v>
      </c>
      <c r="H840" s="90">
        <v>1.4958333333333333</v>
      </c>
      <c r="I840" s="30" t="s">
        <v>59</v>
      </c>
      <c r="J840" s="89" t="s">
        <v>4761</v>
      </c>
      <c r="K840" s="30" t="s">
        <v>3150</v>
      </c>
      <c r="L840" s="30" t="s">
        <v>4762</v>
      </c>
      <c r="M840" s="30" t="s">
        <v>63</v>
      </c>
      <c r="N840" s="30">
        <v>0</v>
      </c>
      <c r="O840" s="30" t="s">
        <v>77</v>
      </c>
      <c r="P840" s="89" t="s">
        <v>78</v>
      </c>
      <c r="Q840" s="89" t="s">
        <v>4763</v>
      </c>
      <c r="R840" s="89" t="s">
        <v>3153</v>
      </c>
      <c r="S840" s="30">
        <v>0</v>
      </c>
      <c r="T840" s="233" t="s">
        <v>68</v>
      </c>
      <c r="U840" s="30">
        <v>0</v>
      </c>
      <c r="V840" s="233" t="s">
        <v>68</v>
      </c>
      <c r="W840" s="30">
        <v>0</v>
      </c>
      <c r="X840" s="30">
        <v>0</v>
      </c>
      <c r="Y840" s="30">
        <v>0</v>
      </c>
      <c r="Z840" s="233" t="s">
        <v>68</v>
      </c>
      <c r="AA840" s="30">
        <v>0</v>
      </c>
      <c r="AB840" s="30">
        <v>0</v>
      </c>
      <c r="AC840" s="30">
        <v>0</v>
      </c>
      <c r="AD840" s="30">
        <v>0</v>
      </c>
      <c r="AE840" s="89" t="s">
        <v>68</v>
      </c>
      <c r="AF840" s="89"/>
      <c r="AG840" s="89" t="s">
        <v>133</v>
      </c>
      <c r="AH840" s="72" t="s">
        <v>68</v>
      </c>
      <c r="AI840" s="30">
        <v>0</v>
      </c>
      <c r="AJ840" s="89" t="s">
        <v>68</v>
      </c>
      <c r="AK840" s="89" t="s">
        <v>68</v>
      </c>
      <c r="AL840" s="91">
        <v>40277</v>
      </c>
      <c r="AM840" s="91"/>
      <c r="AN840" s="91"/>
      <c r="AO840" s="91"/>
      <c r="AP840" s="73" t="e">
        <f>MID(VLOOKUP(K840,#REF!,2,FALSE),1,2)</f>
        <v>#REF!</v>
      </c>
      <c r="AQ840" s="89">
        <f>DATE(2010,4,1)</f>
        <v>40269</v>
      </c>
      <c r="AR840" s="82">
        <f t="shared" si="58"/>
        <v>1</v>
      </c>
      <c r="AS840" s="83">
        <f t="shared" si="59"/>
        <v>4</v>
      </c>
      <c r="AT840" s="84">
        <f t="shared" si="60"/>
        <v>2010</v>
      </c>
      <c r="AU840" s="86"/>
      <c r="AV840" s="86"/>
      <c r="AW840" s="87"/>
      <c r="AX840" s="86"/>
      <c r="AY840" s="83"/>
      <c r="AZ840" s="84"/>
      <c r="BA840" s="86"/>
      <c r="BB840" s="86"/>
    </row>
    <row r="841" spans="1:54" ht="36.75" customHeight="1">
      <c r="A841" s="30"/>
      <c r="B841" s="30" t="s">
        <v>55</v>
      </c>
      <c r="C841" s="69" t="str">
        <f t="shared" si="57"/>
        <v>Closed</v>
      </c>
      <c r="D841" s="27" t="s">
        <v>4764</v>
      </c>
      <c r="E841" s="29" t="s">
        <v>4765</v>
      </c>
      <c r="F841" s="30" t="s">
        <v>624</v>
      </c>
      <c r="G841" s="89">
        <f>DATE(2010,4,1)</f>
        <v>40269</v>
      </c>
      <c r="H841" s="90">
        <v>1.4819444444444445</v>
      </c>
      <c r="I841" s="30" t="s">
        <v>198</v>
      </c>
      <c r="J841" s="89" t="s">
        <v>4766</v>
      </c>
      <c r="K841" s="30" t="s">
        <v>626</v>
      </c>
      <c r="L841" s="30" t="s">
        <v>4767</v>
      </c>
      <c r="M841" s="30" t="s">
        <v>63</v>
      </c>
      <c r="N841" s="30">
        <v>0</v>
      </c>
      <c r="O841" s="30" t="s">
        <v>77</v>
      </c>
      <c r="P841" s="89" t="s">
        <v>1912</v>
      </c>
      <c r="Q841" s="89" t="s">
        <v>4768</v>
      </c>
      <c r="R841" s="89" t="s">
        <v>629</v>
      </c>
      <c r="S841" s="30">
        <v>0</v>
      </c>
      <c r="T841" s="233">
        <v>3</v>
      </c>
      <c r="U841" s="30">
        <v>0</v>
      </c>
      <c r="V841" s="233">
        <v>0</v>
      </c>
      <c r="W841" s="30">
        <v>0</v>
      </c>
      <c r="X841" s="30">
        <v>3</v>
      </c>
      <c r="Y841" s="30">
        <v>0</v>
      </c>
      <c r="Z841" s="233">
        <v>1</v>
      </c>
      <c r="AA841" s="30">
        <v>0</v>
      </c>
      <c r="AB841" s="30">
        <v>0</v>
      </c>
      <c r="AC841" s="30">
        <v>0</v>
      </c>
      <c r="AD841" s="30">
        <v>1</v>
      </c>
      <c r="AE841" s="89" t="s">
        <v>68</v>
      </c>
      <c r="AF841" s="89"/>
      <c r="AG841" s="89" t="s">
        <v>82</v>
      </c>
      <c r="AH841" s="72" t="s">
        <v>68</v>
      </c>
      <c r="AI841" s="30">
        <v>2</v>
      </c>
      <c r="AJ841" s="89" t="s">
        <v>4769</v>
      </c>
      <c r="AK841" s="89" t="s">
        <v>68</v>
      </c>
      <c r="AL841" s="91">
        <v>40366</v>
      </c>
      <c r="AM841" s="91"/>
      <c r="AN841" s="91"/>
      <c r="AO841" s="91"/>
      <c r="AP841" s="73" t="e">
        <f>MID(VLOOKUP(K841,#REF!,2,FALSE),1,2)</f>
        <v>#REF!</v>
      </c>
      <c r="AQ841" s="89">
        <f>DATE(2010,4,1)</f>
        <v>40269</v>
      </c>
      <c r="AR841" s="82">
        <f t="shared" si="58"/>
        <v>1</v>
      </c>
      <c r="AS841" s="83">
        <f t="shared" si="59"/>
        <v>4</v>
      </c>
      <c r="AT841" s="84">
        <f t="shared" si="60"/>
        <v>2010</v>
      </c>
      <c r="AU841" s="86"/>
      <c r="AV841" s="86"/>
      <c r="AW841" s="87"/>
      <c r="AX841" s="86"/>
      <c r="AY841" s="83"/>
      <c r="AZ841" s="84"/>
      <c r="BA841" s="86"/>
      <c r="BB841" s="86"/>
    </row>
    <row r="842" spans="1:54" ht="36.75" customHeight="1">
      <c r="A842" s="30"/>
      <c r="B842" s="30" t="s">
        <v>55</v>
      </c>
      <c r="C842" s="69" t="str">
        <f t="shared" si="57"/>
        <v>Closed</v>
      </c>
      <c r="D842" s="27" t="s">
        <v>4770</v>
      </c>
      <c r="E842" s="29" t="s">
        <v>4771</v>
      </c>
      <c r="F842" s="30" t="s">
        <v>423</v>
      </c>
      <c r="G842" s="89">
        <f>DATE(2010,4,4)</f>
        <v>40272</v>
      </c>
      <c r="H842" s="90">
        <v>1.5826388888888889</v>
      </c>
      <c r="I842" s="30" t="s">
        <v>278</v>
      </c>
      <c r="J842" s="89" t="s">
        <v>4772</v>
      </c>
      <c r="K842" s="30" t="s">
        <v>425</v>
      </c>
      <c r="L842" s="30" t="s">
        <v>4773</v>
      </c>
      <c r="M842" s="30" t="s">
        <v>63</v>
      </c>
      <c r="N842" s="30">
        <v>0</v>
      </c>
      <c r="O842" s="30" t="s">
        <v>77</v>
      </c>
      <c r="P842" s="89" t="s">
        <v>165</v>
      </c>
      <c r="Q842" s="89" t="s">
        <v>4551</v>
      </c>
      <c r="R842" s="89" t="s">
        <v>3103</v>
      </c>
      <c r="S842" s="30">
        <v>0</v>
      </c>
      <c r="T842" s="233" t="s">
        <v>68</v>
      </c>
      <c r="U842" s="30">
        <v>0</v>
      </c>
      <c r="V842" s="233" t="s">
        <v>68</v>
      </c>
      <c r="W842" s="30">
        <v>0</v>
      </c>
      <c r="X842" s="30">
        <v>0</v>
      </c>
      <c r="Y842" s="30">
        <v>0</v>
      </c>
      <c r="Z842" s="233" t="s">
        <v>68</v>
      </c>
      <c r="AA842" s="30">
        <v>0</v>
      </c>
      <c r="AB842" s="30">
        <v>0</v>
      </c>
      <c r="AC842" s="30">
        <v>0</v>
      </c>
      <c r="AD842" s="30">
        <v>0</v>
      </c>
      <c r="AE842" s="89" t="s">
        <v>68</v>
      </c>
      <c r="AF842" s="89"/>
      <c r="AG842" s="89" t="s">
        <v>352</v>
      </c>
      <c r="AH842" s="72" t="s">
        <v>68</v>
      </c>
      <c r="AI842" s="30">
        <v>2</v>
      </c>
      <c r="AJ842" s="89" t="s">
        <v>4774</v>
      </c>
      <c r="AK842" s="89" t="s">
        <v>4775</v>
      </c>
      <c r="AL842" s="91">
        <v>40560</v>
      </c>
      <c r="AM842" s="91"/>
      <c r="AN842" s="91"/>
      <c r="AO842" s="91"/>
      <c r="AP842" s="73" t="e">
        <f>MID(VLOOKUP(K842,#REF!,2,FALSE),1,2)</f>
        <v>#REF!</v>
      </c>
      <c r="AQ842" s="89">
        <f>DATE(2010,4,4)</f>
        <v>40272</v>
      </c>
      <c r="AR842" s="82">
        <f t="shared" si="58"/>
        <v>4</v>
      </c>
      <c r="AS842" s="83">
        <f t="shared" si="59"/>
        <v>4</v>
      </c>
      <c r="AT842" s="84">
        <f t="shared" si="60"/>
        <v>2010</v>
      </c>
      <c r="AU842" s="86"/>
      <c r="AV842" s="86"/>
      <c r="AW842" s="87"/>
      <c r="AX842" s="86"/>
      <c r="AY842" s="83"/>
      <c r="AZ842" s="84"/>
      <c r="BA842" s="86"/>
      <c r="BB842" s="86"/>
    </row>
    <row r="843" spans="1:54" ht="36.75" customHeight="1">
      <c r="A843" s="30"/>
      <c r="B843" s="30" t="s">
        <v>55</v>
      </c>
      <c r="C843" s="69" t="str">
        <f t="shared" si="57"/>
        <v>Closed</v>
      </c>
      <c r="D843" s="27" t="s">
        <v>4776</v>
      </c>
      <c r="E843" s="29" t="s">
        <v>4777</v>
      </c>
      <c r="F843" s="30" t="s">
        <v>582</v>
      </c>
      <c r="G843" s="89">
        <f>DATE(2010,4,7)</f>
        <v>40275</v>
      </c>
      <c r="H843" s="90">
        <v>1.7986111111111112</v>
      </c>
      <c r="I843" s="30" t="s">
        <v>73</v>
      </c>
      <c r="J843" s="89" t="s">
        <v>4778</v>
      </c>
      <c r="K843" s="30" t="s">
        <v>584</v>
      </c>
      <c r="L843" s="30" t="s">
        <v>4779</v>
      </c>
      <c r="M843" s="30" t="s">
        <v>63</v>
      </c>
      <c r="N843" s="30">
        <v>0</v>
      </c>
      <c r="O843" s="30" t="s">
        <v>77</v>
      </c>
      <c r="P843" s="89" t="s">
        <v>78</v>
      </c>
      <c r="Q843" s="89" t="s">
        <v>4780</v>
      </c>
      <c r="R843" s="89" t="s">
        <v>587</v>
      </c>
      <c r="S843" s="30">
        <v>0</v>
      </c>
      <c r="T843" s="233" t="s">
        <v>68</v>
      </c>
      <c r="U843" s="30">
        <v>0</v>
      </c>
      <c r="V843" s="233" t="s">
        <v>68</v>
      </c>
      <c r="W843" s="30">
        <v>0</v>
      </c>
      <c r="X843" s="30">
        <v>0</v>
      </c>
      <c r="Y843" s="30">
        <v>0</v>
      </c>
      <c r="Z843" s="233" t="s">
        <v>68</v>
      </c>
      <c r="AA843" s="30">
        <v>0</v>
      </c>
      <c r="AB843" s="30">
        <v>0</v>
      </c>
      <c r="AC843" s="30">
        <v>0</v>
      </c>
      <c r="AD843" s="30">
        <v>0</v>
      </c>
      <c r="AE843" s="89" t="s">
        <v>68</v>
      </c>
      <c r="AF843" s="89"/>
      <c r="AG843" s="89" t="s">
        <v>133</v>
      </c>
      <c r="AH843" s="72" t="s">
        <v>68</v>
      </c>
      <c r="AI843" s="30">
        <v>0</v>
      </c>
      <c r="AJ843" s="89" t="s">
        <v>4781</v>
      </c>
      <c r="AK843" s="89" t="s">
        <v>4782</v>
      </c>
      <c r="AL843" s="91">
        <v>40287</v>
      </c>
      <c r="AM843" s="91"/>
      <c r="AN843" s="91"/>
      <c r="AO843" s="91"/>
      <c r="AP843" s="73" t="e">
        <f>MID(VLOOKUP(K843,#REF!,2,FALSE),1,2)</f>
        <v>#REF!</v>
      </c>
      <c r="AQ843" s="89">
        <f>DATE(2010,4,7)</f>
        <v>40275</v>
      </c>
      <c r="AR843" s="82">
        <f t="shared" si="58"/>
        <v>7</v>
      </c>
      <c r="AS843" s="83">
        <f t="shared" si="59"/>
        <v>4</v>
      </c>
      <c r="AT843" s="84">
        <f t="shared" si="60"/>
        <v>2010</v>
      </c>
      <c r="AU843" s="86"/>
      <c r="AV843" s="86"/>
      <c r="AW843" s="87"/>
      <c r="AX843" s="86"/>
      <c r="AY843" s="83"/>
      <c r="AZ843" s="84"/>
      <c r="BA843" s="86"/>
      <c r="BB843" s="86"/>
    </row>
    <row r="844" spans="1:54" ht="36.75" customHeight="1">
      <c r="A844" s="30"/>
      <c r="B844" s="30" t="s">
        <v>55</v>
      </c>
      <c r="C844" s="69" t="str">
        <f t="shared" si="57"/>
        <v>Closed</v>
      </c>
      <c r="D844" s="27" t="s">
        <v>4783</v>
      </c>
      <c r="E844" s="29" t="s">
        <v>4784</v>
      </c>
      <c r="F844" s="30" t="s">
        <v>1572</v>
      </c>
      <c r="G844" s="89">
        <f>DATE(2010,4,7)</f>
        <v>40275</v>
      </c>
      <c r="H844" s="90">
        <v>1.7312500000000002</v>
      </c>
      <c r="I844" s="30" t="s">
        <v>73</v>
      </c>
      <c r="J844" s="89" t="s">
        <v>4785</v>
      </c>
      <c r="K844" s="30" t="s">
        <v>1574</v>
      </c>
      <c r="L844" s="30" t="s">
        <v>4786</v>
      </c>
      <c r="M844" s="30" t="s">
        <v>63</v>
      </c>
      <c r="N844" s="30">
        <v>0</v>
      </c>
      <c r="O844" s="30" t="s">
        <v>77</v>
      </c>
      <c r="P844" s="89" t="s">
        <v>165</v>
      </c>
      <c r="Q844" s="89" t="s">
        <v>2413</v>
      </c>
      <c r="R844" s="89">
        <v>0</v>
      </c>
      <c r="S844" s="30">
        <v>0</v>
      </c>
      <c r="T844" s="233" t="s">
        <v>68</v>
      </c>
      <c r="U844" s="30">
        <v>0</v>
      </c>
      <c r="V844" s="233" t="s">
        <v>68</v>
      </c>
      <c r="W844" s="30">
        <v>0</v>
      </c>
      <c r="X844" s="30">
        <v>0</v>
      </c>
      <c r="Y844" s="30">
        <v>0</v>
      </c>
      <c r="Z844" s="233" t="s">
        <v>68</v>
      </c>
      <c r="AA844" s="30">
        <v>0</v>
      </c>
      <c r="AB844" s="30">
        <v>0</v>
      </c>
      <c r="AC844" s="30">
        <v>0</v>
      </c>
      <c r="AD844" s="30">
        <v>0</v>
      </c>
      <c r="AE844" s="89" t="s">
        <v>68</v>
      </c>
      <c r="AF844" s="89"/>
      <c r="AG844" s="89" t="s">
        <v>874</v>
      </c>
      <c r="AH844" s="72" t="s">
        <v>68</v>
      </c>
      <c r="AI844" s="30">
        <v>6</v>
      </c>
      <c r="AJ844" s="89" t="s">
        <v>4787</v>
      </c>
      <c r="AK844" s="89" t="s">
        <v>4788</v>
      </c>
      <c r="AL844" s="91">
        <v>40281</v>
      </c>
      <c r="AM844" s="91"/>
      <c r="AN844" s="91"/>
      <c r="AO844" s="91"/>
      <c r="AP844" s="73" t="e">
        <f>MID(VLOOKUP(K844,#REF!,2,FALSE),1,2)</f>
        <v>#REF!</v>
      </c>
      <c r="AQ844" s="89">
        <f>DATE(2010,4,7)</f>
        <v>40275</v>
      </c>
      <c r="AR844" s="82">
        <f t="shared" si="58"/>
        <v>7</v>
      </c>
      <c r="AS844" s="83">
        <f t="shared" si="59"/>
        <v>4</v>
      </c>
      <c r="AT844" s="84">
        <f t="shared" si="60"/>
        <v>2010</v>
      </c>
      <c r="AU844" s="86"/>
      <c r="AV844" s="86"/>
      <c r="AW844" s="87"/>
      <c r="AX844" s="86"/>
      <c r="AY844" s="83"/>
      <c r="AZ844" s="84"/>
      <c r="BA844" s="86"/>
      <c r="BB844" s="86"/>
    </row>
    <row r="845" spans="1:54" ht="36.75" customHeight="1">
      <c r="A845" s="30"/>
      <c r="B845" s="30" t="s">
        <v>55</v>
      </c>
      <c r="C845" s="69" t="str">
        <f t="shared" si="57"/>
        <v>Closed</v>
      </c>
      <c r="D845" s="27" t="s">
        <v>4789</v>
      </c>
      <c r="E845" s="29" t="s">
        <v>4790</v>
      </c>
      <c r="F845" s="30" t="s">
        <v>638</v>
      </c>
      <c r="G845" s="89">
        <f>DATE(2010,4,8)</f>
        <v>40276</v>
      </c>
      <c r="H845" s="90">
        <v>1.4756944444444444</v>
      </c>
      <c r="I845" s="30" t="s">
        <v>198</v>
      </c>
      <c r="J845" s="89" t="s">
        <v>4791</v>
      </c>
      <c r="K845" s="30" t="s">
        <v>640</v>
      </c>
      <c r="L845" s="30" t="s">
        <v>4792</v>
      </c>
      <c r="M845" s="30" t="s">
        <v>63</v>
      </c>
      <c r="N845" s="30">
        <v>0</v>
      </c>
      <c r="O845" s="30" t="s">
        <v>90</v>
      </c>
      <c r="P845" s="89" t="s">
        <v>91</v>
      </c>
      <c r="Q845" s="89" t="s">
        <v>642</v>
      </c>
      <c r="R845" s="89" t="s">
        <v>643</v>
      </c>
      <c r="S845" s="30">
        <v>0</v>
      </c>
      <c r="T845" s="233">
        <v>1</v>
      </c>
      <c r="U845" s="30">
        <v>0</v>
      </c>
      <c r="V845" s="233">
        <v>0</v>
      </c>
      <c r="W845" s="30">
        <v>0</v>
      </c>
      <c r="X845" s="30">
        <v>1</v>
      </c>
      <c r="Y845" s="30">
        <v>0</v>
      </c>
      <c r="Z845" s="233">
        <v>0</v>
      </c>
      <c r="AA845" s="30">
        <v>0</v>
      </c>
      <c r="AB845" s="30">
        <v>0</v>
      </c>
      <c r="AC845" s="30">
        <v>0</v>
      </c>
      <c r="AD845" s="30">
        <v>0</v>
      </c>
      <c r="AE845" s="89" t="s">
        <v>68</v>
      </c>
      <c r="AF845" s="89"/>
      <c r="AG845" s="89" t="s">
        <v>352</v>
      </c>
      <c r="AH845" s="72" t="s">
        <v>68</v>
      </c>
      <c r="AI845" s="30">
        <v>1</v>
      </c>
      <c r="AJ845" s="89" t="s">
        <v>4793</v>
      </c>
      <c r="AK845" s="89" t="s">
        <v>68</v>
      </c>
      <c r="AL845" s="91">
        <v>40339</v>
      </c>
      <c r="AM845" s="91"/>
      <c r="AN845" s="91"/>
      <c r="AO845" s="91"/>
      <c r="AP845" s="73" t="e">
        <f>MID(VLOOKUP(K845,#REF!,2,FALSE),1,2)</f>
        <v>#REF!</v>
      </c>
      <c r="AQ845" s="89">
        <f>DATE(2010,4,8)</f>
        <v>40276</v>
      </c>
      <c r="AR845" s="82">
        <f t="shared" si="58"/>
        <v>8</v>
      </c>
      <c r="AS845" s="83">
        <f t="shared" si="59"/>
        <v>4</v>
      </c>
      <c r="AT845" s="84">
        <f t="shared" si="60"/>
        <v>2010</v>
      </c>
      <c r="AU845" s="86"/>
      <c r="AV845" s="86"/>
      <c r="AW845" s="87"/>
      <c r="AX845" s="86"/>
      <c r="AY845" s="83"/>
      <c r="AZ845" s="84"/>
      <c r="BA845" s="86"/>
      <c r="BB845" s="86"/>
    </row>
    <row r="846" spans="1:54" ht="36.75" customHeight="1">
      <c r="A846" s="30"/>
      <c r="B846" s="30" t="s">
        <v>55</v>
      </c>
      <c r="C846" s="69" t="str">
        <f t="shared" si="57"/>
        <v>Closed</v>
      </c>
      <c r="D846" s="27" t="s">
        <v>4794</v>
      </c>
      <c r="E846" s="29" t="s">
        <v>4795</v>
      </c>
      <c r="F846" s="30" t="s">
        <v>582</v>
      </c>
      <c r="G846" s="89">
        <f>DATE(2010,4,13)</f>
        <v>40281</v>
      </c>
      <c r="H846" s="90">
        <v>1.3368055555555556</v>
      </c>
      <c r="I846" s="30" t="s">
        <v>116</v>
      </c>
      <c r="J846" s="89" t="s">
        <v>4796</v>
      </c>
      <c r="K846" s="30" t="s">
        <v>584</v>
      </c>
      <c r="L846" s="30" t="s">
        <v>4797</v>
      </c>
      <c r="M846" s="30" t="s">
        <v>63</v>
      </c>
      <c r="N846" s="30">
        <v>0</v>
      </c>
      <c r="O846" s="30" t="s">
        <v>64</v>
      </c>
      <c r="P846" s="89" t="s">
        <v>165</v>
      </c>
      <c r="Q846" s="89" t="s">
        <v>4487</v>
      </c>
      <c r="R846" s="89" t="s">
        <v>587</v>
      </c>
      <c r="S846" s="30">
        <v>0</v>
      </c>
      <c r="T846" s="233" t="s">
        <v>68</v>
      </c>
      <c r="U846" s="30">
        <v>0</v>
      </c>
      <c r="V846" s="233" t="s">
        <v>68</v>
      </c>
      <c r="W846" s="30">
        <v>0</v>
      </c>
      <c r="X846" s="30">
        <v>0</v>
      </c>
      <c r="Y846" s="30">
        <v>0</v>
      </c>
      <c r="Z846" s="233" t="s">
        <v>68</v>
      </c>
      <c r="AA846" s="30">
        <v>0</v>
      </c>
      <c r="AB846" s="30">
        <v>0</v>
      </c>
      <c r="AC846" s="30">
        <v>0</v>
      </c>
      <c r="AD846" s="30">
        <v>0</v>
      </c>
      <c r="AE846" s="89" t="s">
        <v>68</v>
      </c>
      <c r="AF846" s="89"/>
      <c r="AG846" s="89" t="s">
        <v>133</v>
      </c>
      <c r="AH846" s="72" t="s">
        <v>68</v>
      </c>
      <c r="AI846" s="30">
        <v>0</v>
      </c>
      <c r="AJ846" s="89" t="s">
        <v>68</v>
      </c>
      <c r="AK846" s="89" t="s">
        <v>68</v>
      </c>
      <c r="AL846" s="91">
        <v>40287</v>
      </c>
      <c r="AM846" s="91"/>
      <c r="AN846" s="91"/>
      <c r="AO846" s="91"/>
      <c r="AP846" s="73" t="e">
        <f>MID(VLOOKUP(K846,#REF!,2,FALSE),1,2)</f>
        <v>#REF!</v>
      </c>
      <c r="AQ846" s="89">
        <f>DATE(2010,4,13)</f>
        <v>40281</v>
      </c>
      <c r="AR846" s="82">
        <f t="shared" si="58"/>
        <v>13</v>
      </c>
      <c r="AS846" s="83">
        <f t="shared" si="59"/>
        <v>4</v>
      </c>
      <c r="AT846" s="84">
        <f t="shared" si="60"/>
        <v>2010</v>
      </c>
      <c r="AU846" s="86"/>
      <c r="AV846" s="86"/>
      <c r="AW846" s="87"/>
      <c r="AX846" s="86"/>
      <c r="AY846" s="83"/>
      <c r="AZ846" s="84"/>
      <c r="BA846" s="86"/>
      <c r="BB846" s="86"/>
    </row>
    <row r="847" spans="1:54" ht="36.75" customHeight="1">
      <c r="A847" s="30"/>
      <c r="B847" s="30" t="s">
        <v>55</v>
      </c>
      <c r="C847" s="69" t="str">
        <f t="shared" si="57"/>
        <v>Closed</v>
      </c>
      <c r="D847" s="27" t="s">
        <v>4798</v>
      </c>
      <c r="E847" s="29" t="s">
        <v>4799</v>
      </c>
      <c r="F847" s="30" t="s">
        <v>1572</v>
      </c>
      <c r="G847" s="89">
        <f>DATE(2010,4,13)</f>
        <v>40281</v>
      </c>
      <c r="H847" s="90">
        <v>1.0458333333333334</v>
      </c>
      <c r="I847" s="30" t="s">
        <v>86</v>
      </c>
      <c r="J847" s="89" t="s">
        <v>4800</v>
      </c>
      <c r="K847" s="30" t="s">
        <v>1574</v>
      </c>
      <c r="L847" s="30" t="s">
        <v>4801</v>
      </c>
      <c r="M847" s="30" t="s">
        <v>63</v>
      </c>
      <c r="N847" s="30">
        <v>0</v>
      </c>
      <c r="O847" s="30" t="s">
        <v>77</v>
      </c>
      <c r="P847" s="89" t="s">
        <v>65</v>
      </c>
      <c r="Q847" s="89" t="s">
        <v>2413</v>
      </c>
      <c r="R847" s="89">
        <v>0</v>
      </c>
      <c r="S847" s="30">
        <v>0</v>
      </c>
      <c r="T847" s="233" t="s">
        <v>68</v>
      </c>
      <c r="U847" s="30">
        <v>0</v>
      </c>
      <c r="V847" s="233" t="s">
        <v>68</v>
      </c>
      <c r="W847" s="30">
        <v>0</v>
      </c>
      <c r="X847" s="30">
        <v>0</v>
      </c>
      <c r="Y847" s="30">
        <v>0</v>
      </c>
      <c r="Z847" s="233" t="s">
        <v>68</v>
      </c>
      <c r="AA847" s="30">
        <v>0</v>
      </c>
      <c r="AB847" s="30">
        <v>0</v>
      </c>
      <c r="AC847" s="30">
        <v>0</v>
      </c>
      <c r="AD847" s="30">
        <v>0</v>
      </c>
      <c r="AE847" s="89" t="s">
        <v>68</v>
      </c>
      <c r="AF847" s="89"/>
      <c r="AG847" s="89" t="s">
        <v>3810</v>
      </c>
      <c r="AH847" s="72" t="s">
        <v>68</v>
      </c>
      <c r="AI847" s="30">
        <v>0</v>
      </c>
      <c r="AJ847" s="89" t="s">
        <v>4802</v>
      </c>
      <c r="AK847" s="89" t="s">
        <v>2348</v>
      </c>
      <c r="AL847" s="91">
        <v>40312</v>
      </c>
      <c r="AM847" s="91"/>
      <c r="AN847" s="91"/>
      <c r="AO847" s="91"/>
      <c r="AP847" s="73" t="e">
        <f>MID(VLOOKUP(K847,#REF!,2,FALSE),1,2)</f>
        <v>#REF!</v>
      </c>
      <c r="AQ847" s="89">
        <f>DATE(2010,4,13)</f>
        <v>40281</v>
      </c>
      <c r="AR847" s="82">
        <f t="shared" si="58"/>
        <v>13</v>
      </c>
      <c r="AS847" s="83">
        <f t="shared" si="59"/>
        <v>4</v>
      </c>
      <c r="AT847" s="84">
        <f t="shared" si="60"/>
        <v>2010</v>
      </c>
      <c r="AU847" s="86"/>
      <c r="AV847" s="86"/>
      <c r="AW847" s="87"/>
      <c r="AX847" s="86"/>
      <c r="AY847" s="83"/>
      <c r="AZ847" s="84"/>
      <c r="BA847" s="86"/>
      <c r="BB847" s="86"/>
    </row>
    <row r="848" spans="1:54" ht="36.75" customHeight="1">
      <c r="A848" s="30"/>
      <c r="B848" s="30" t="s">
        <v>55</v>
      </c>
      <c r="C848" s="69" t="str">
        <f t="shared" si="57"/>
        <v>Closed</v>
      </c>
      <c r="D848" s="27" t="s">
        <v>4803</v>
      </c>
      <c r="E848" s="29" t="s">
        <v>4804</v>
      </c>
      <c r="F848" s="30" t="s">
        <v>58</v>
      </c>
      <c r="G848" s="89">
        <f>DATE(2010,4,14)</f>
        <v>40282</v>
      </c>
      <c r="H848" s="90">
        <v>1.6993055555555556</v>
      </c>
      <c r="I848" s="30" t="s">
        <v>116</v>
      </c>
      <c r="J848" s="89" t="s">
        <v>4805</v>
      </c>
      <c r="K848" s="30" t="s">
        <v>61</v>
      </c>
      <c r="L848" s="30" t="s">
        <v>4806</v>
      </c>
      <c r="M848" s="30" t="s">
        <v>63</v>
      </c>
      <c r="N848" s="30" t="s">
        <v>99</v>
      </c>
      <c r="O848" s="30" t="s">
        <v>64</v>
      </c>
      <c r="P848" s="89" t="s">
        <v>165</v>
      </c>
      <c r="Q848" s="89" t="s">
        <v>66</v>
      </c>
      <c r="R848" s="89" t="s">
        <v>67</v>
      </c>
      <c r="S848" s="30">
        <v>0</v>
      </c>
      <c r="T848" s="233">
        <v>0</v>
      </c>
      <c r="U848" s="30">
        <v>1</v>
      </c>
      <c r="V848" s="233">
        <v>0</v>
      </c>
      <c r="W848" s="30">
        <v>0</v>
      </c>
      <c r="X848" s="30">
        <v>1</v>
      </c>
      <c r="Y848" s="30">
        <v>0</v>
      </c>
      <c r="Z848" s="233">
        <v>0</v>
      </c>
      <c r="AA848" s="30">
        <v>0</v>
      </c>
      <c r="AB848" s="30">
        <v>0</v>
      </c>
      <c r="AC848" s="30">
        <v>0</v>
      </c>
      <c r="AD848" s="30">
        <v>0</v>
      </c>
      <c r="AE848" s="89" t="s">
        <v>92</v>
      </c>
      <c r="AF848" s="89"/>
      <c r="AG848" s="89" t="s">
        <v>82</v>
      </c>
      <c r="AH848" s="72">
        <v>40372</v>
      </c>
      <c r="AI848" s="30">
        <v>1</v>
      </c>
      <c r="AJ848" s="89" t="s">
        <v>4807</v>
      </c>
      <c r="AK848" s="89" t="s">
        <v>4808</v>
      </c>
      <c r="AL848" s="91">
        <v>40373</v>
      </c>
      <c r="AM848" s="91"/>
      <c r="AN848" s="91"/>
      <c r="AO848" s="91"/>
      <c r="AP848" s="73" t="e">
        <f>MID(VLOOKUP(K848,#REF!,2,FALSE),1,2)</f>
        <v>#REF!</v>
      </c>
      <c r="AQ848" s="89">
        <f>DATE(2010,4,14)</f>
        <v>40282</v>
      </c>
      <c r="AR848" s="82">
        <f t="shared" si="58"/>
        <v>14</v>
      </c>
      <c r="AS848" s="83">
        <f t="shared" si="59"/>
        <v>4</v>
      </c>
      <c r="AT848" s="84">
        <f t="shared" si="60"/>
        <v>2010</v>
      </c>
      <c r="AU848" s="86"/>
      <c r="AV848" s="86"/>
      <c r="AW848" s="87"/>
      <c r="AX848" s="86"/>
      <c r="AY848" s="83"/>
      <c r="AZ848" s="84"/>
      <c r="BA848" s="86"/>
      <c r="BB848" s="86"/>
    </row>
    <row r="849" spans="1:54" ht="36.75" customHeight="1">
      <c r="A849" s="30"/>
      <c r="B849" s="30" t="s">
        <v>55</v>
      </c>
      <c r="C849" s="69" t="str">
        <f t="shared" si="57"/>
        <v>Closed</v>
      </c>
      <c r="D849" s="27" t="s">
        <v>4809</v>
      </c>
      <c r="E849" s="29" t="s">
        <v>4810</v>
      </c>
      <c r="F849" s="30" t="s">
        <v>2601</v>
      </c>
      <c r="G849" s="89">
        <f>DATE(2010,4,15)</f>
        <v>40283</v>
      </c>
      <c r="H849" s="90">
        <v>1.4805555555555556</v>
      </c>
      <c r="I849" s="30" t="s">
        <v>116</v>
      </c>
      <c r="J849" s="89" t="s">
        <v>4811</v>
      </c>
      <c r="K849" s="30" t="s">
        <v>2603</v>
      </c>
      <c r="L849" s="30" t="s">
        <v>4812</v>
      </c>
      <c r="M849" s="30" t="s">
        <v>63</v>
      </c>
      <c r="N849" s="30">
        <v>0</v>
      </c>
      <c r="O849" s="30" t="s">
        <v>64</v>
      </c>
      <c r="P849" s="89" t="s">
        <v>78</v>
      </c>
      <c r="Q849" s="89" t="s">
        <v>4813</v>
      </c>
      <c r="R849" s="89" t="s">
        <v>2606</v>
      </c>
      <c r="S849" s="30">
        <v>0</v>
      </c>
      <c r="T849" s="233">
        <v>0</v>
      </c>
      <c r="U849" s="30">
        <v>2</v>
      </c>
      <c r="V849" s="233">
        <v>0</v>
      </c>
      <c r="W849" s="30">
        <v>0</v>
      </c>
      <c r="X849" s="30">
        <v>2</v>
      </c>
      <c r="Y849" s="30">
        <v>0</v>
      </c>
      <c r="Z849" s="233">
        <v>0</v>
      </c>
      <c r="AA849" s="30">
        <v>1</v>
      </c>
      <c r="AB849" s="30">
        <v>0</v>
      </c>
      <c r="AC849" s="30">
        <v>0</v>
      </c>
      <c r="AD849" s="30">
        <v>1</v>
      </c>
      <c r="AE849" s="89" t="s">
        <v>68</v>
      </c>
      <c r="AF849" s="89"/>
      <c r="AG849" s="89" t="s">
        <v>82</v>
      </c>
      <c r="AH849" s="72" t="s">
        <v>68</v>
      </c>
      <c r="AI849" s="30">
        <v>3</v>
      </c>
      <c r="AJ849" s="89" t="s">
        <v>68</v>
      </c>
      <c r="AK849" s="89" t="s">
        <v>68</v>
      </c>
      <c r="AL849" s="91">
        <v>40289</v>
      </c>
      <c r="AM849" s="91"/>
      <c r="AN849" s="91"/>
      <c r="AO849" s="91"/>
      <c r="AP849" s="73" t="e">
        <f>MID(VLOOKUP(K849,#REF!,2,FALSE),1,2)</f>
        <v>#REF!</v>
      </c>
      <c r="AQ849" s="89">
        <f>DATE(2010,4,15)</f>
        <v>40283</v>
      </c>
      <c r="AR849" s="82">
        <f t="shared" si="58"/>
        <v>15</v>
      </c>
      <c r="AS849" s="83">
        <f t="shared" si="59"/>
        <v>4</v>
      </c>
      <c r="AT849" s="84">
        <f t="shared" si="60"/>
        <v>2010</v>
      </c>
      <c r="AU849" s="86"/>
      <c r="AV849" s="86"/>
      <c r="AW849" s="87"/>
      <c r="AX849" s="86"/>
      <c r="AY849" s="83"/>
      <c r="AZ849" s="84"/>
      <c r="BA849" s="86"/>
      <c r="BB849" s="86"/>
    </row>
    <row r="850" spans="1:54" ht="36.75" customHeight="1">
      <c r="A850" s="30"/>
      <c r="B850" s="30" t="s">
        <v>55</v>
      </c>
      <c r="C850" s="69" t="str">
        <f t="shared" si="57"/>
        <v>Closed</v>
      </c>
      <c r="D850" s="27" t="s">
        <v>4814</v>
      </c>
      <c r="E850" s="29" t="s">
        <v>4815</v>
      </c>
      <c r="F850" s="30" t="s">
        <v>423</v>
      </c>
      <c r="G850" s="89">
        <f>DATE(2010,4,16)</f>
        <v>40284</v>
      </c>
      <c r="H850" s="90">
        <v>1.4590277777777778</v>
      </c>
      <c r="I850" s="30" t="s">
        <v>198</v>
      </c>
      <c r="J850" s="89" t="s">
        <v>4816</v>
      </c>
      <c r="K850" s="30" t="s">
        <v>425</v>
      </c>
      <c r="L850" s="30" t="s">
        <v>4817</v>
      </c>
      <c r="M850" s="30" t="s">
        <v>63</v>
      </c>
      <c r="N850" s="30">
        <v>0</v>
      </c>
      <c r="O850" s="30" t="s">
        <v>77</v>
      </c>
      <c r="P850" s="89" t="s">
        <v>78</v>
      </c>
      <c r="Q850" s="89" t="s">
        <v>2582</v>
      </c>
      <c r="R850" s="89" t="s">
        <v>3103</v>
      </c>
      <c r="S850" s="30">
        <v>0</v>
      </c>
      <c r="T850" s="233" t="s">
        <v>68</v>
      </c>
      <c r="U850" s="30">
        <v>0</v>
      </c>
      <c r="V850" s="233" t="s">
        <v>68</v>
      </c>
      <c r="W850" s="30">
        <v>0</v>
      </c>
      <c r="X850" s="30">
        <v>0</v>
      </c>
      <c r="Y850" s="30">
        <v>0</v>
      </c>
      <c r="Z850" s="233" t="s">
        <v>68</v>
      </c>
      <c r="AA850" s="30">
        <v>0</v>
      </c>
      <c r="AB850" s="30">
        <v>0</v>
      </c>
      <c r="AC850" s="30">
        <v>0</v>
      </c>
      <c r="AD850" s="30">
        <v>0</v>
      </c>
      <c r="AE850" s="89" t="s">
        <v>68</v>
      </c>
      <c r="AF850" s="89"/>
      <c r="AG850" s="89" t="s">
        <v>133</v>
      </c>
      <c r="AH850" s="72" t="s">
        <v>68</v>
      </c>
      <c r="AI850" s="30">
        <v>3</v>
      </c>
      <c r="AJ850" s="89" t="s">
        <v>4818</v>
      </c>
      <c r="AK850" s="89" t="s">
        <v>4819</v>
      </c>
      <c r="AL850" s="91">
        <v>40305</v>
      </c>
      <c r="AM850" s="91"/>
      <c r="AN850" s="91"/>
      <c r="AO850" s="91"/>
      <c r="AP850" s="73" t="e">
        <f>MID(VLOOKUP(K850,#REF!,2,FALSE),1,2)</f>
        <v>#REF!</v>
      </c>
      <c r="AQ850" s="89">
        <f>DATE(2010,4,16)</f>
        <v>40284</v>
      </c>
      <c r="AR850" s="82">
        <f t="shared" si="58"/>
        <v>16</v>
      </c>
      <c r="AS850" s="83">
        <f t="shared" si="59"/>
        <v>4</v>
      </c>
      <c r="AT850" s="84">
        <f t="shared" si="60"/>
        <v>2010</v>
      </c>
      <c r="AU850" s="86"/>
      <c r="AV850" s="86"/>
      <c r="AW850" s="87"/>
      <c r="AX850" s="86"/>
      <c r="AY850" s="83"/>
      <c r="AZ850" s="84"/>
      <c r="BA850" s="86"/>
      <c r="BB850" s="86"/>
    </row>
    <row r="851" spans="1:54" ht="36.75" customHeight="1">
      <c r="A851" s="30"/>
      <c r="B851" s="30" t="s">
        <v>55</v>
      </c>
      <c r="C851" s="69" t="str">
        <f t="shared" si="57"/>
        <v>Closed</v>
      </c>
      <c r="D851" s="27" t="s">
        <v>4820</v>
      </c>
      <c r="E851" s="29" t="s">
        <v>4821</v>
      </c>
      <c r="F851" s="30" t="s">
        <v>1749</v>
      </c>
      <c r="G851" s="89">
        <f>DATE(2010,4,16)</f>
        <v>40284</v>
      </c>
      <c r="H851" s="90">
        <v>1.3423611111111111</v>
      </c>
      <c r="I851" s="30" t="s">
        <v>116</v>
      </c>
      <c r="J851" s="89" t="s">
        <v>4822</v>
      </c>
      <c r="K851" s="30" t="s">
        <v>1751</v>
      </c>
      <c r="L851" s="30" t="s">
        <v>4823</v>
      </c>
      <c r="M851" s="30" t="s">
        <v>63</v>
      </c>
      <c r="N851" s="30">
        <v>0</v>
      </c>
      <c r="O851" s="30" t="s">
        <v>64</v>
      </c>
      <c r="P851" s="89" t="s">
        <v>86</v>
      </c>
      <c r="Q851" s="89" t="s">
        <v>1753</v>
      </c>
      <c r="R851" s="89" t="s">
        <v>1754</v>
      </c>
      <c r="S851" s="30">
        <v>0</v>
      </c>
      <c r="T851" s="233">
        <v>0</v>
      </c>
      <c r="U851" s="30">
        <v>1</v>
      </c>
      <c r="V851" s="233">
        <v>0</v>
      </c>
      <c r="W851" s="30">
        <v>0</v>
      </c>
      <c r="X851" s="30">
        <v>1</v>
      </c>
      <c r="Y851" s="30">
        <v>0</v>
      </c>
      <c r="Z851" s="233">
        <v>0</v>
      </c>
      <c r="AA851" s="30">
        <v>0</v>
      </c>
      <c r="AB851" s="30">
        <v>0</v>
      </c>
      <c r="AC851" s="30">
        <v>0</v>
      </c>
      <c r="AD851" s="30">
        <v>0</v>
      </c>
      <c r="AE851" s="89" t="s">
        <v>68</v>
      </c>
      <c r="AF851" s="89"/>
      <c r="AG851" s="89" t="s">
        <v>248</v>
      </c>
      <c r="AH851" s="72" t="s">
        <v>68</v>
      </c>
      <c r="AI851" s="30">
        <v>5</v>
      </c>
      <c r="AJ851" s="89" t="s">
        <v>4824</v>
      </c>
      <c r="AK851" s="89" t="s">
        <v>4825</v>
      </c>
      <c r="AL851" s="91">
        <v>40288</v>
      </c>
      <c r="AM851" s="91"/>
      <c r="AN851" s="91"/>
      <c r="AO851" s="91"/>
      <c r="AP851" s="73" t="e">
        <f>MID(VLOOKUP(K851,#REF!,2,FALSE),1,2)</f>
        <v>#REF!</v>
      </c>
      <c r="AQ851" s="89">
        <f>DATE(2010,4,16)</f>
        <v>40284</v>
      </c>
      <c r="AR851" s="82">
        <f t="shared" si="58"/>
        <v>16</v>
      </c>
      <c r="AS851" s="83">
        <f t="shared" si="59"/>
        <v>4</v>
      </c>
      <c r="AT851" s="84">
        <f t="shared" si="60"/>
        <v>2010</v>
      </c>
      <c r="AU851" s="86"/>
      <c r="AV851" s="86"/>
      <c r="AW851" s="87"/>
      <c r="AX851" s="86"/>
      <c r="AY851" s="83"/>
      <c r="AZ851" s="84"/>
      <c r="BA851" s="86"/>
      <c r="BB851" s="86"/>
    </row>
    <row r="852" spans="1:54" ht="36.75" customHeight="1">
      <c r="A852" s="30"/>
      <c r="B852" s="30" t="s">
        <v>55</v>
      </c>
      <c r="C852" s="69" t="str">
        <f t="shared" si="57"/>
        <v>Closed</v>
      </c>
      <c r="D852" s="27" t="s">
        <v>4826</v>
      </c>
      <c r="E852" s="29" t="s">
        <v>4827</v>
      </c>
      <c r="F852" s="30" t="s">
        <v>582</v>
      </c>
      <c r="G852" s="89">
        <f>DATE(2010,4,17)</f>
        <v>40285</v>
      </c>
      <c r="H852" s="90">
        <v>1.4798611111111111</v>
      </c>
      <c r="I852" s="30" t="s">
        <v>156</v>
      </c>
      <c r="J852" s="89" t="s">
        <v>4828</v>
      </c>
      <c r="K852" s="30" t="s">
        <v>584</v>
      </c>
      <c r="L852" s="30" t="s">
        <v>4829</v>
      </c>
      <c r="M852" s="30" t="s">
        <v>63</v>
      </c>
      <c r="N852" s="30" t="s">
        <v>142</v>
      </c>
      <c r="O852" s="30" t="s">
        <v>64</v>
      </c>
      <c r="P852" s="89" t="s">
        <v>462</v>
      </c>
      <c r="Q852" s="89" t="s">
        <v>4830</v>
      </c>
      <c r="R852" s="89" t="s">
        <v>587</v>
      </c>
      <c r="S852" s="30">
        <v>0</v>
      </c>
      <c r="T852" s="233">
        <v>0</v>
      </c>
      <c r="U852" s="30">
        <v>0</v>
      </c>
      <c r="V852" s="233">
        <v>0</v>
      </c>
      <c r="W852" s="30">
        <v>0</v>
      </c>
      <c r="X852" s="30">
        <v>0</v>
      </c>
      <c r="Y852" s="30">
        <v>0</v>
      </c>
      <c r="Z852" s="233">
        <v>0</v>
      </c>
      <c r="AA852" s="30">
        <v>0</v>
      </c>
      <c r="AB852" s="30">
        <v>0</v>
      </c>
      <c r="AC852" s="30">
        <v>0</v>
      </c>
      <c r="AD852" s="30">
        <v>0</v>
      </c>
      <c r="AE852" s="89" t="s">
        <v>68</v>
      </c>
      <c r="AF852" s="89"/>
      <c r="AG852" s="89" t="s">
        <v>133</v>
      </c>
      <c r="AH852" s="72">
        <v>40287</v>
      </c>
      <c r="AI852" s="30">
        <v>0</v>
      </c>
      <c r="AJ852" s="89" t="s">
        <v>4831</v>
      </c>
      <c r="AK852" s="89" t="s">
        <v>1233</v>
      </c>
      <c r="AL852" s="91">
        <v>40287</v>
      </c>
      <c r="AM852" s="91"/>
      <c r="AN852" s="91"/>
      <c r="AO852" s="91"/>
      <c r="AP852" s="73" t="e">
        <f>MID(VLOOKUP(K852,#REF!,2,FALSE),1,2)</f>
        <v>#REF!</v>
      </c>
      <c r="AQ852" s="89">
        <f>DATE(2010,4,17)</f>
        <v>40285</v>
      </c>
      <c r="AR852" s="82">
        <f t="shared" si="58"/>
        <v>17</v>
      </c>
      <c r="AS852" s="83">
        <f t="shared" si="59"/>
        <v>4</v>
      </c>
      <c r="AT852" s="84">
        <f t="shared" si="60"/>
        <v>2010</v>
      </c>
      <c r="AU852" s="86"/>
      <c r="AV852" s="86"/>
      <c r="AW852" s="87"/>
      <c r="AX852" s="86"/>
      <c r="AY852" s="83"/>
      <c r="AZ852" s="84"/>
      <c r="BA852" s="86"/>
      <c r="BB852" s="86"/>
    </row>
    <row r="853" spans="1:54" ht="36.75" customHeight="1">
      <c r="A853" s="30"/>
      <c r="B853" s="30" t="s">
        <v>55</v>
      </c>
      <c r="C853" s="69" t="str">
        <f t="shared" si="57"/>
        <v>Closed</v>
      </c>
      <c r="D853" s="27" t="s">
        <v>4832</v>
      </c>
      <c r="E853" s="29" t="s">
        <v>4833</v>
      </c>
      <c r="F853" s="30" t="s">
        <v>835</v>
      </c>
      <c r="G853" s="89">
        <f>DATE(2010,4,19)</f>
        <v>40287</v>
      </c>
      <c r="H853" s="90">
        <v>1.8576388888888888</v>
      </c>
      <c r="I853" s="30" t="s">
        <v>73</v>
      </c>
      <c r="J853" s="89" t="s">
        <v>4834</v>
      </c>
      <c r="K853" s="30" t="s">
        <v>837</v>
      </c>
      <c r="L853" s="30" t="s">
        <v>4835</v>
      </c>
      <c r="M853" s="30" t="s">
        <v>63</v>
      </c>
      <c r="N853" s="30">
        <v>0</v>
      </c>
      <c r="O853" s="30" t="s">
        <v>64</v>
      </c>
      <c r="P853" s="89" t="s">
        <v>65</v>
      </c>
      <c r="Q853" s="89" t="s">
        <v>2162</v>
      </c>
      <c r="R853" s="89" t="s">
        <v>840</v>
      </c>
      <c r="S853" s="30">
        <v>0</v>
      </c>
      <c r="T853" s="233">
        <v>0</v>
      </c>
      <c r="U853" s="30">
        <v>0</v>
      </c>
      <c r="V853" s="233">
        <v>0</v>
      </c>
      <c r="W853" s="30">
        <v>0</v>
      </c>
      <c r="X853" s="30">
        <v>0</v>
      </c>
      <c r="Y853" s="30">
        <v>0</v>
      </c>
      <c r="Z853" s="233">
        <v>0</v>
      </c>
      <c r="AA853" s="30">
        <v>0</v>
      </c>
      <c r="AB853" s="30">
        <v>0</v>
      </c>
      <c r="AC853" s="30">
        <v>0</v>
      </c>
      <c r="AD853" s="30">
        <v>0</v>
      </c>
      <c r="AE853" s="89" t="s">
        <v>92</v>
      </c>
      <c r="AF853" s="89"/>
      <c r="AG853" s="89" t="s">
        <v>352</v>
      </c>
      <c r="AH853" s="72">
        <v>40325</v>
      </c>
      <c r="AI853" s="30">
        <v>0</v>
      </c>
      <c r="AJ853" s="89" t="s">
        <v>4836</v>
      </c>
      <c r="AK853" s="89" t="s">
        <v>4837</v>
      </c>
      <c r="AL853" s="91">
        <v>40325</v>
      </c>
      <c r="AM853" s="91"/>
      <c r="AN853" s="91"/>
      <c r="AO853" s="91"/>
      <c r="AP853" s="73" t="e">
        <f>MID(VLOOKUP(K853,#REF!,2,FALSE),1,2)</f>
        <v>#REF!</v>
      </c>
      <c r="AQ853" s="89">
        <f>DATE(2010,4,19)</f>
        <v>40287</v>
      </c>
      <c r="AR853" s="82">
        <f t="shared" si="58"/>
        <v>19</v>
      </c>
      <c r="AS853" s="83">
        <f t="shared" si="59"/>
        <v>4</v>
      </c>
      <c r="AT853" s="84">
        <f t="shared" si="60"/>
        <v>2010</v>
      </c>
      <c r="AU853" s="86"/>
      <c r="AV853" s="86"/>
      <c r="AW853" s="87"/>
      <c r="AX853" s="86"/>
      <c r="AY853" s="83"/>
      <c r="AZ853" s="84"/>
      <c r="BA853" s="86"/>
      <c r="BB853" s="86"/>
    </row>
    <row r="854" spans="1:54" ht="36.75" customHeight="1">
      <c r="A854" s="30"/>
      <c r="B854" s="30" t="s">
        <v>55</v>
      </c>
      <c r="C854" s="69" t="str">
        <f t="shared" si="57"/>
        <v>Closed</v>
      </c>
      <c r="D854" s="27" t="s">
        <v>4838</v>
      </c>
      <c r="E854" s="29" t="s">
        <v>4839</v>
      </c>
      <c r="F854" s="30" t="s">
        <v>58</v>
      </c>
      <c r="G854" s="89">
        <f>DATE(2010,4,26)</f>
        <v>40294</v>
      </c>
      <c r="H854" s="90">
        <v>1.7152777777777777</v>
      </c>
      <c r="I854" s="30" t="s">
        <v>73</v>
      </c>
      <c r="J854" s="89" t="s">
        <v>4840</v>
      </c>
      <c r="K854" s="30" t="s">
        <v>61</v>
      </c>
      <c r="L854" s="30" t="s">
        <v>4841</v>
      </c>
      <c r="M854" s="30" t="s">
        <v>63</v>
      </c>
      <c r="N854" s="30" t="s">
        <v>89</v>
      </c>
      <c r="O854" s="30" t="s">
        <v>77</v>
      </c>
      <c r="P854" s="89" t="s">
        <v>165</v>
      </c>
      <c r="Q854" s="89" t="s">
        <v>66</v>
      </c>
      <c r="R854" s="89" t="s">
        <v>67</v>
      </c>
      <c r="S854" s="30">
        <v>0</v>
      </c>
      <c r="T854" s="233">
        <v>0</v>
      </c>
      <c r="U854" s="30">
        <v>0</v>
      </c>
      <c r="V854" s="233">
        <v>0</v>
      </c>
      <c r="W854" s="30">
        <v>0</v>
      </c>
      <c r="X854" s="30">
        <v>0</v>
      </c>
      <c r="Y854" s="30">
        <v>0</v>
      </c>
      <c r="Z854" s="233">
        <v>0</v>
      </c>
      <c r="AA854" s="30">
        <v>0</v>
      </c>
      <c r="AB854" s="30">
        <v>0</v>
      </c>
      <c r="AC854" s="30">
        <v>0</v>
      </c>
      <c r="AD854" s="30">
        <v>0</v>
      </c>
      <c r="AE854" s="89" t="s">
        <v>394</v>
      </c>
      <c r="AF854" s="89"/>
      <c r="AG854" s="89" t="s">
        <v>133</v>
      </c>
      <c r="AH854" s="72">
        <v>40296</v>
      </c>
      <c r="AI854" s="30">
        <v>2</v>
      </c>
      <c r="AJ854" s="89" t="s">
        <v>4842</v>
      </c>
      <c r="AK854" s="89" t="s">
        <v>4843</v>
      </c>
      <c r="AL854" s="91">
        <v>40373</v>
      </c>
      <c r="AM854" s="91"/>
      <c r="AN854" s="91"/>
      <c r="AO854" s="91"/>
      <c r="AP854" s="73" t="e">
        <f>MID(VLOOKUP(K854,#REF!,2,FALSE),1,2)</f>
        <v>#REF!</v>
      </c>
      <c r="AQ854" s="89">
        <f>DATE(2010,4,26)</f>
        <v>40294</v>
      </c>
      <c r="AR854" s="82">
        <f t="shared" si="58"/>
        <v>26</v>
      </c>
      <c r="AS854" s="83">
        <f t="shared" si="59"/>
        <v>4</v>
      </c>
      <c r="AT854" s="84">
        <f t="shared" si="60"/>
        <v>2010</v>
      </c>
      <c r="AU854" s="86"/>
      <c r="AV854" s="86"/>
      <c r="AW854" s="87"/>
      <c r="AX854" s="86"/>
      <c r="AY854" s="83"/>
      <c r="AZ854" s="84"/>
      <c r="BA854" s="86"/>
      <c r="BB854" s="86"/>
    </row>
    <row r="855" spans="1:54" ht="36.75" customHeight="1">
      <c r="A855" s="30"/>
      <c r="B855" s="30" t="s">
        <v>55</v>
      </c>
      <c r="C855" s="69" t="str">
        <f t="shared" si="57"/>
        <v>Closed</v>
      </c>
      <c r="D855" s="27" t="s">
        <v>4844</v>
      </c>
      <c r="E855" s="29" t="s">
        <v>4845</v>
      </c>
      <c r="F855" s="30" t="s">
        <v>124</v>
      </c>
      <c r="G855" s="89">
        <f>DATE(2010,4,26)</f>
        <v>40294</v>
      </c>
      <c r="H855" s="90">
        <v>1.1666666666666667</v>
      </c>
      <c r="I855" s="30" t="s">
        <v>73</v>
      </c>
      <c r="J855" s="89" t="s">
        <v>4846</v>
      </c>
      <c r="K855" s="30" t="s">
        <v>127</v>
      </c>
      <c r="L855" s="30" t="s">
        <v>4847</v>
      </c>
      <c r="M855" s="30" t="s">
        <v>63</v>
      </c>
      <c r="N855" s="30">
        <v>0</v>
      </c>
      <c r="O855" s="30" t="s">
        <v>77</v>
      </c>
      <c r="P855" s="89" t="s">
        <v>65</v>
      </c>
      <c r="Q855" s="89" t="s">
        <v>229</v>
      </c>
      <c r="R855" s="89" t="s">
        <v>167</v>
      </c>
      <c r="S855" s="30">
        <v>0</v>
      </c>
      <c r="T855" s="233" t="s">
        <v>68</v>
      </c>
      <c r="U855" s="30">
        <v>0</v>
      </c>
      <c r="V855" s="233" t="s">
        <v>68</v>
      </c>
      <c r="W855" s="30">
        <v>0</v>
      </c>
      <c r="X855" s="30">
        <v>0</v>
      </c>
      <c r="Y855" s="30">
        <v>0</v>
      </c>
      <c r="Z855" s="233" t="s">
        <v>68</v>
      </c>
      <c r="AA855" s="30">
        <v>0</v>
      </c>
      <c r="AB855" s="30">
        <v>0</v>
      </c>
      <c r="AC855" s="30">
        <v>0</v>
      </c>
      <c r="AD855" s="30">
        <v>0</v>
      </c>
      <c r="AE855" s="89" t="s">
        <v>68</v>
      </c>
      <c r="AF855" s="89"/>
      <c r="AG855" s="89" t="s">
        <v>133</v>
      </c>
      <c r="AH855" s="72" t="s">
        <v>68</v>
      </c>
      <c r="AI855" s="30">
        <v>1</v>
      </c>
      <c r="AJ855" s="89" t="s">
        <v>68</v>
      </c>
      <c r="AK855" s="89" t="s">
        <v>68</v>
      </c>
      <c r="AL855" s="91">
        <v>40343</v>
      </c>
      <c r="AM855" s="91"/>
      <c r="AN855" s="91"/>
      <c r="AO855" s="91"/>
      <c r="AP855" s="73" t="e">
        <f>MID(VLOOKUP(K855,#REF!,2,FALSE),1,2)</f>
        <v>#REF!</v>
      </c>
      <c r="AQ855" s="89">
        <f>DATE(2010,4,26)</f>
        <v>40294</v>
      </c>
      <c r="AR855" s="82">
        <f t="shared" si="58"/>
        <v>26</v>
      </c>
      <c r="AS855" s="83">
        <f t="shared" si="59"/>
        <v>4</v>
      </c>
      <c r="AT855" s="84">
        <f t="shared" si="60"/>
        <v>2010</v>
      </c>
      <c r="AU855" s="86"/>
      <c r="AV855" s="86"/>
      <c r="AW855" s="87"/>
      <c r="AX855" s="86"/>
      <c r="AY855" s="83"/>
      <c r="AZ855" s="84"/>
      <c r="BA855" s="86"/>
      <c r="BB855" s="86"/>
    </row>
    <row r="856" spans="1:54" ht="36.75" customHeight="1">
      <c r="A856" s="30"/>
      <c r="B856" s="30" t="s">
        <v>55</v>
      </c>
      <c r="C856" s="69" t="str">
        <f t="shared" si="57"/>
        <v>Closed</v>
      </c>
      <c r="D856" s="27" t="s">
        <v>4848</v>
      </c>
      <c r="E856" s="29" t="s">
        <v>4849</v>
      </c>
      <c r="F856" s="30" t="s">
        <v>835</v>
      </c>
      <c r="G856" s="89">
        <f>DATE(2010,4,29)</f>
        <v>40297</v>
      </c>
      <c r="H856" s="90">
        <v>1.53125</v>
      </c>
      <c r="I856" s="30" t="s">
        <v>116</v>
      </c>
      <c r="J856" s="89" t="s">
        <v>4850</v>
      </c>
      <c r="K856" s="30" t="s">
        <v>837</v>
      </c>
      <c r="L856" s="30" t="s">
        <v>4851</v>
      </c>
      <c r="M856" s="30" t="s">
        <v>63</v>
      </c>
      <c r="N856" s="30">
        <v>0</v>
      </c>
      <c r="O856" s="30" t="s">
        <v>64</v>
      </c>
      <c r="P856" s="89" t="s">
        <v>165</v>
      </c>
      <c r="Q856" s="89" t="s">
        <v>2162</v>
      </c>
      <c r="R856" s="89" t="s">
        <v>840</v>
      </c>
      <c r="S856" s="30">
        <v>0</v>
      </c>
      <c r="T856" s="233">
        <v>0</v>
      </c>
      <c r="U856" s="30">
        <v>0</v>
      </c>
      <c r="V856" s="233">
        <v>0</v>
      </c>
      <c r="W856" s="30">
        <v>0</v>
      </c>
      <c r="X856" s="30">
        <v>0</v>
      </c>
      <c r="Y856" s="30">
        <v>0</v>
      </c>
      <c r="Z856" s="233">
        <v>0</v>
      </c>
      <c r="AA856" s="30">
        <v>2</v>
      </c>
      <c r="AB856" s="30">
        <v>0</v>
      </c>
      <c r="AC856" s="30">
        <v>0</v>
      </c>
      <c r="AD856" s="30">
        <v>2</v>
      </c>
      <c r="AE856" s="89" t="s">
        <v>68</v>
      </c>
      <c r="AF856" s="89"/>
      <c r="AG856" s="89" t="s">
        <v>352</v>
      </c>
      <c r="AH856" s="72" t="s">
        <v>68</v>
      </c>
      <c r="AI856" s="30">
        <v>1</v>
      </c>
      <c r="AJ856" s="89" t="s">
        <v>68</v>
      </c>
      <c r="AK856" s="89" t="s">
        <v>68</v>
      </c>
      <c r="AL856" s="91">
        <v>40462</v>
      </c>
      <c r="AM856" s="91"/>
      <c r="AN856" s="91"/>
      <c r="AO856" s="91"/>
      <c r="AP856" s="73" t="e">
        <f>MID(VLOOKUP(K856,#REF!,2,FALSE),1,2)</f>
        <v>#REF!</v>
      </c>
      <c r="AQ856" s="89">
        <f>DATE(2010,4,29)</f>
        <v>40297</v>
      </c>
      <c r="AR856" s="82">
        <f t="shared" si="58"/>
        <v>29</v>
      </c>
      <c r="AS856" s="83">
        <f t="shared" si="59"/>
        <v>4</v>
      </c>
      <c r="AT856" s="84">
        <f t="shared" si="60"/>
        <v>2010</v>
      </c>
      <c r="AU856" s="86"/>
      <c r="AV856" s="86"/>
      <c r="AW856" s="87"/>
      <c r="AX856" s="86"/>
      <c r="AY856" s="83"/>
      <c r="AZ856" s="84"/>
      <c r="BA856" s="86"/>
      <c r="BB856" s="86"/>
    </row>
    <row r="857" spans="1:54" ht="36.75" customHeight="1">
      <c r="A857" s="30"/>
      <c r="B857" s="30" t="s">
        <v>55</v>
      </c>
      <c r="C857" s="69" t="str">
        <f t="shared" si="57"/>
        <v>Closed</v>
      </c>
      <c r="D857" s="27" t="s">
        <v>4852</v>
      </c>
      <c r="E857" s="29" t="s">
        <v>4853</v>
      </c>
      <c r="F857" s="30" t="s">
        <v>233</v>
      </c>
      <c r="G857" s="89">
        <f>DATE(2010,5,4)</f>
        <v>40302</v>
      </c>
      <c r="H857" s="90">
        <v>1.0173611111111112</v>
      </c>
      <c r="I857" s="30" t="s">
        <v>86</v>
      </c>
      <c r="J857" s="89" t="s">
        <v>4854</v>
      </c>
      <c r="K857" s="30" t="s">
        <v>235</v>
      </c>
      <c r="L857" s="30" t="s">
        <v>4855</v>
      </c>
      <c r="M857" s="30" t="s">
        <v>63</v>
      </c>
      <c r="N857" s="30">
        <v>0</v>
      </c>
      <c r="O857" s="30" t="s">
        <v>86</v>
      </c>
      <c r="P857" s="89" t="s">
        <v>86</v>
      </c>
      <c r="Q857" s="89" t="s">
        <v>4042</v>
      </c>
      <c r="R857" s="89" t="s">
        <v>238</v>
      </c>
      <c r="S857" s="30">
        <v>0</v>
      </c>
      <c r="T857" s="233" t="s">
        <v>68</v>
      </c>
      <c r="U857" s="30">
        <v>0</v>
      </c>
      <c r="V857" s="233" t="s">
        <v>68</v>
      </c>
      <c r="W857" s="30">
        <v>0</v>
      </c>
      <c r="X857" s="30">
        <v>0</v>
      </c>
      <c r="Y857" s="30">
        <v>0</v>
      </c>
      <c r="Z857" s="233" t="s">
        <v>68</v>
      </c>
      <c r="AA857" s="30">
        <v>0</v>
      </c>
      <c r="AB857" s="30">
        <v>0</v>
      </c>
      <c r="AC857" s="30">
        <v>0</v>
      </c>
      <c r="AD857" s="30">
        <v>0</v>
      </c>
      <c r="AE857" s="89" t="s">
        <v>68</v>
      </c>
      <c r="AF857" s="89"/>
      <c r="AG857" s="89" t="s">
        <v>248</v>
      </c>
      <c r="AH857" s="72" t="s">
        <v>68</v>
      </c>
      <c r="AI857" s="30">
        <v>6</v>
      </c>
      <c r="AJ857" s="89" t="s">
        <v>4856</v>
      </c>
      <c r="AK857" s="89" t="s">
        <v>4857</v>
      </c>
      <c r="AL857" s="91">
        <v>40331</v>
      </c>
      <c r="AM857" s="91"/>
      <c r="AN857" s="91"/>
      <c r="AO857" s="91"/>
      <c r="AP857" s="73" t="e">
        <f>MID(VLOOKUP(K857,#REF!,2,FALSE),1,2)</f>
        <v>#REF!</v>
      </c>
      <c r="AQ857" s="89">
        <f>DATE(2010,5,4)</f>
        <v>40302</v>
      </c>
      <c r="AR857" s="82">
        <f t="shared" si="58"/>
        <v>4</v>
      </c>
      <c r="AS857" s="83">
        <f t="shared" si="59"/>
        <v>5</v>
      </c>
      <c r="AT857" s="84">
        <f t="shared" si="60"/>
        <v>2010</v>
      </c>
      <c r="AU857" s="86"/>
      <c r="AV857" s="86"/>
      <c r="AW857" s="87"/>
      <c r="AX857" s="86"/>
      <c r="AY857" s="83"/>
      <c r="AZ857" s="84"/>
      <c r="BA857" s="86"/>
      <c r="BB857" s="86"/>
    </row>
    <row r="858" spans="1:54" ht="36.75" customHeight="1">
      <c r="A858" s="30"/>
      <c r="B858" s="30" t="s">
        <v>55</v>
      </c>
      <c r="C858" s="69" t="str">
        <f t="shared" si="57"/>
        <v>Closed</v>
      </c>
      <c r="D858" s="27" t="s">
        <v>4858</v>
      </c>
      <c r="E858" s="29" t="s">
        <v>4859</v>
      </c>
      <c r="F858" s="30" t="s">
        <v>197</v>
      </c>
      <c r="G858" s="89">
        <f>DATE(2010,5,7)</f>
        <v>40305</v>
      </c>
      <c r="H858" s="90">
        <v>1.6208333333333333</v>
      </c>
      <c r="I858" s="30" t="s">
        <v>278</v>
      </c>
      <c r="J858" s="89" t="s">
        <v>4860</v>
      </c>
      <c r="K858" s="30" t="s">
        <v>200</v>
      </c>
      <c r="L858" s="30" t="s">
        <v>4861</v>
      </c>
      <c r="M858" s="30" t="s">
        <v>129</v>
      </c>
      <c r="N858" s="30">
        <v>0</v>
      </c>
      <c r="O858" s="30" t="s">
        <v>77</v>
      </c>
      <c r="P858" s="89" t="s">
        <v>86</v>
      </c>
      <c r="Q858" s="89" t="s">
        <v>4862</v>
      </c>
      <c r="R858" s="89">
        <v>0</v>
      </c>
      <c r="S858" s="30">
        <v>0</v>
      </c>
      <c r="T858" s="233">
        <v>0</v>
      </c>
      <c r="U858" s="30">
        <v>0</v>
      </c>
      <c r="V858" s="233">
        <v>0</v>
      </c>
      <c r="W858" s="30">
        <v>0</v>
      </c>
      <c r="X858" s="30">
        <v>0</v>
      </c>
      <c r="Y858" s="30">
        <v>1</v>
      </c>
      <c r="Z858" s="233">
        <v>0</v>
      </c>
      <c r="AA858" s="30">
        <v>0</v>
      </c>
      <c r="AB858" s="30">
        <v>0</v>
      </c>
      <c r="AC858" s="30">
        <v>0</v>
      </c>
      <c r="AD858" s="30">
        <v>1</v>
      </c>
      <c r="AE858" s="89" t="s">
        <v>68</v>
      </c>
      <c r="AF858" s="89"/>
      <c r="AG858" s="89" t="s">
        <v>395</v>
      </c>
      <c r="AH858" s="72" t="s">
        <v>68</v>
      </c>
      <c r="AI858" s="30">
        <v>0</v>
      </c>
      <c r="AJ858" s="89" t="s">
        <v>4863</v>
      </c>
      <c r="AK858" s="89" t="s">
        <v>68</v>
      </c>
      <c r="AL858" s="91">
        <v>40640</v>
      </c>
      <c r="AM858" s="91"/>
      <c r="AN858" s="91"/>
      <c r="AO858" s="91"/>
      <c r="AP858" s="73" t="e">
        <f>MID(VLOOKUP(K858,#REF!,2,FALSE),1,2)</f>
        <v>#REF!</v>
      </c>
      <c r="AQ858" s="89">
        <f>DATE(2010,5,7)</f>
        <v>40305</v>
      </c>
      <c r="AR858" s="82">
        <f t="shared" si="58"/>
        <v>7</v>
      </c>
      <c r="AS858" s="83">
        <f t="shared" si="59"/>
        <v>5</v>
      </c>
      <c r="AT858" s="84">
        <f t="shared" si="60"/>
        <v>2010</v>
      </c>
      <c r="AU858" s="86"/>
      <c r="AV858" s="86"/>
      <c r="AW858" s="87"/>
      <c r="AX858" s="86"/>
      <c r="AY858" s="83"/>
      <c r="AZ858" s="84"/>
      <c r="BA858" s="86"/>
      <c r="BB858" s="86"/>
    </row>
    <row r="859" spans="1:54" ht="36.75" customHeight="1">
      <c r="A859" s="30"/>
      <c r="B859" s="30" t="s">
        <v>55</v>
      </c>
      <c r="C859" s="69" t="str">
        <f t="shared" si="57"/>
        <v>Closed</v>
      </c>
      <c r="D859" s="27" t="s">
        <v>4864</v>
      </c>
      <c r="E859" s="29" t="s">
        <v>4865</v>
      </c>
      <c r="F859" s="30" t="s">
        <v>1938</v>
      </c>
      <c r="G859" s="89">
        <f>DATE(2010,5,7)</f>
        <v>40305</v>
      </c>
      <c r="H859" s="90">
        <v>1.9513888888888888</v>
      </c>
      <c r="I859" s="30" t="s">
        <v>86</v>
      </c>
      <c r="J859" s="89" t="s">
        <v>4866</v>
      </c>
      <c r="K859" s="30" t="s">
        <v>1940</v>
      </c>
      <c r="L859" s="30" t="s">
        <v>4867</v>
      </c>
      <c r="M859" s="30" t="s">
        <v>63</v>
      </c>
      <c r="N859" s="30">
        <v>0</v>
      </c>
      <c r="O859" s="30" t="s">
        <v>77</v>
      </c>
      <c r="P859" s="89" t="s">
        <v>165</v>
      </c>
      <c r="Q859" s="89" t="s">
        <v>1942</v>
      </c>
      <c r="R859" s="89" t="s">
        <v>1942</v>
      </c>
      <c r="S859" s="30">
        <v>0</v>
      </c>
      <c r="T859" s="233" t="s">
        <v>68</v>
      </c>
      <c r="U859" s="30">
        <v>0</v>
      </c>
      <c r="V859" s="233" t="s">
        <v>68</v>
      </c>
      <c r="W859" s="30">
        <v>0</v>
      </c>
      <c r="X859" s="30">
        <v>0</v>
      </c>
      <c r="Y859" s="30">
        <v>0</v>
      </c>
      <c r="Z859" s="233" t="s">
        <v>68</v>
      </c>
      <c r="AA859" s="30">
        <v>0</v>
      </c>
      <c r="AB859" s="30">
        <v>0</v>
      </c>
      <c r="AC859" s="30">
        <v>0</v>
      </c>
      <c r="AD859" s="30">
        <v>0</v>
      </c>
      <c r="AE859" s="89" t="s">
        <v>68</v>
      </c>
      <c r="AF859" s="89"/>
      <c r="AG859" s="89" t="s">
        <v>133</v>
      </c>
      <c r="AH859" s="72" t="s">
        <v>68</v>
      </c>
      <c r="AI859" s="30">
        <v>3</v>
      </c>
      <c r="AJ859" s="89" t="s">
        <v>4868</v>
      </c>
      <c r="AK859" s="89" t="s">
        <v>4869</v>
      </c>
      <c r="AL859" s="91">
        <v>40312</v>
      </c>
      <c r="AM859" s="91"/>
      <c r="AN859" s="91"/>
      <c r="AO859" s="91"/>
      <c r="AP859" s="73" t="e">
        <f>MID(VLOOKUP(K859,#REF!,2,FALSE),1,2)</f>
        <v>#REF!</v>
      </c>
      <c r="AQ859" s="89">
        <f>DATE(2010,5,7)</f>
        <v>40305</v>
      </c>
      <c r="AR859" s="82">
        <f t="shared" si="58"/>
        <v>7</v>
      </c>
      <c r="AS859" s="83">
        <f t="shared" si="59"/>
        <v>5</v>
      </c>
      <c r="AT859" s="84">
        <f t="shared" si="60"/>
        <v>2010</v>
      </c>
      <c r="AU859" s="86"/>
      <c r="AV859" s="86"/>
      <c r="AW859" s="87"/>
      <c r="AX859" s="86"/>
      <c r="AY859" s="83"/>
      <c r="AZ859" s="84"/>
      <c r="BA859" s="86"/>
      <c r="BB859" s="86"/>
    </row>
    <row r="860" spans="1:54" ht="36.75" customHeight="1">
      <c r="A860" s="30"/>
      <c r="B860" s="30" t="s">
        <v>55</v>
      </c>
      <c r="C860" s="69" t="str">
        <f t="shared" si="57"/>
        <v>Closed</v>
      </c>
      <c r="D860" s="27" t="s">
        <v>4870</v>
      </c>
      <c r="E860" s="29" t="s">
        <v>4871</v>
      </c>
      <c r="F860" s="30" t="s">
        <v>233</v>
      </c>
      <c r="G860" s="89">
        <f>DATE(2010,5,12)</f>
        <v>40310</v>
      </c>
      <c r="H860" s="90">
        <v>1.2291666666666667</v>
      </c>
      <c r="I860" s="30" t="s">
        <v>73</v>
      </c>
      <c r="J860" s="89" t="s">
        <v>4872</v>
      </c>
      <c r="K860" s="30" t="s">
        <v>235</v>
      </c>
      <c r="L860" s="30" t="s">
        <v>4873</v>
      </c>
      <c r="M860" s="30" t="s">
        <v>129</v>
      </c>
      <c r="N860" s="30">
        <v>0</v>
      </c>
      <c r="O860" s="30" t="s">
        <v>64</v>
      </c>
      <c r="P860" s="89" t="s">
        <v>301</v>
      </c>
      <c r="Q860" s="89" t="s">
        <v>4874</v>
      </c>
      <c r="R860" s="89" t="s">
        <v>683</v>
      </c>
      <c r="S860" s="30">
        <v>0</v>
      </c>
      <c r="T860" s="233" t="s">
        <v>68</v>
      </c>
      <c r="U860" s="30">
        <v>0</v>
      </c>
      <c r="V860" s="233" t="s">
        <v>68</v>
      </c>
      <c r="W860" s="30">
        <v>0</v>
      </c>
      <c r="X860" s="30">
        <v>0</v>
      </c>
      <c r="Y860" s="30">
        <v>0</v>
      </c>
      <c r="Z860" s="233" t="s">
        <v>68</v>
      </c>
      <c r="AA860" s="30">
        <v>0</v>
      </c>
      <c r="AB860" s="30">
        <v>0</v>
      </c>
      <c r="AC860" s="30">
        <v>0</v>
      </c>
      <c r="AD860" s="30">
        <v>0</v>
      </c>
      <c r="AE860" s="89" t="s">
        <v>68</v>
      </c>
      <c r="AF860" s="89"/>
      <c r="AG860" s="89" t="s">
        <v>133</v>
      </c>
      <c r="AH860" s="72" t="s">
        <v>68</v>
      </c>
      <c r="AI860" s="30">
        <v>9</v>
      </c>
      <c r="AJ860" s="89" t="s">
        <v>4875</v>
      </c>
      <c r="AK860" s="89" t="s">
        <v>4876</v>
      </c>
      <c r="AL860" s="91">
        <v>40318</v>
      </c>
      <c r="AM860" s="91"/>
      <c r="AN860" s="91"/>
      <c r="AO860" s="91"/>
      <c r="AP860" s="73" t="e">
        <f>MID(VLOOKUP(K860,#REF!,2,FALSE),1,2)</f>
        <v>#REF!</v>
      </c>
      <c r="AQ860" s="89">
        <f>DATE(2010,5,12)</f>
        <v>40310</v>
      </c>
      <c r="AR860" s="82">
        <f t="shared" si="58"/>
        <v>12</v>
      </c>
      <c r="AS860" s="83">
        <f t="shared" si="59"/>
        <v>5</v>
      </c>
      <c r="AT860" s="84">
        <f t="shared" si="60"/>
        <v>2010</v>
      </c>
      <c r="AU860" s="86"/>
      <c r="AV860" s="86"/>
      <c r="AW860" s="87"/>
      <c r="AX860" s="86"/>
      <c r="AY860" s="83"/>
      <c r="AZ860" s="84"/>
      <c r="BA860" s="86"/>
      <c r="BB860" s="86"/>
    </row>
    <row r="861" spans="1:54" ht="36.75" customHeight="1">
      <c r="A861" s="30"/>
      <c r="B861" s="30" t="s">
        <v>55</v>
      </c>
      <c r="C861" s="69" t="str">
        <f t="shared" si="57"/>
        <v>Closed</v>
      </c>
      <c r="D861" s="27" t="s">
        <v>4877</v>
      </c>
      <c r="E861" s="29" t="s">
        <v>4878</v>
      </c>
      <c r="F861" s="30" t="s">
        <v>58</v>
      </c>
      <c r="G861" s="89">
        <f>DATE(2010,5,16)</f>
        <v>40314</v>
      </c>
      <c r="H861" s="90">
        <v>1.8312499999999998</v>
      </c>
      <c r="I861" s="30" t="s">
        <v>116</v>
      </c>
      <c r="J861" s="89" t="s">
        <v>3785</v>
      </c>
      <c r="K861" s="30" t="s">
        <v>61</v>
      </c>
      <c r="L861" s="30" t="s">
        <v>4879</v>
      </c>
      <c r="M861" s="30" t="s">
        <v>63</v>
      </c>
      <c r="N861" s="30">
        <v>0</v>
      </c>
      <c r="O861" s="30" t="s">
        <v>64</v>
      </c>
      <c r="P861" s="89" t="s">
        <v>78</v>
      </c>
      <c r="Q861" s="89" t="s">
        <v>66</v>
      </c>
      <c r="R861" s="89" t="s">
        <v>67</v>
      </c>
      <c r="S861" s="30">
        <v>0</v>
      </c>
      <c r="T861" s="233">
        <v>0</v>
      </c>
      <c r="U861" s="30">
        <v>2</v>
      </c>
      <c r="V861" s="233">
        <v>0</v>
      </c>
      <c r="W861" s="30">
        <v>0</v>
      </c>
      <c r="X861" s="30">
        <v>2</v>
      </c>
      <c r="Y861" s="30">
        <v>0</v>
      </c>
      <c r="Z861" s="233">
        <v>0</v>
      </c>
      <c r="AA861" s="30">
        <v>0</v>
      </c>
      <c r="AB861" s="30">
        <v>0</v>
      </c>
      <c r="AC861" s="30">
        <v>0</v>
      </c>
      <c r="AD861" s="30">
        <v>0</v>
      </c>
      <c r="AE861" s="89" t="s">
        <v>68</v>
      </c>
      <c r="AF861" s="89"/>
      <c r="AG861" s="89" t="s">
        <v>82</v>
      </c>
      <c r="AH861" s="72" t="s">
        <v>68</v>
      </c>
      <c r="AI861" s="30">
        <v>0</v>
      </c>
      <c r="AJ861" s="89" t="s">
        <v>4880</v>
      </c>
      <c r="AK861" s="89" t="s">
        <v>4881</v>
      </c>
      <c r="AL861" s="91">
        <v>40373</v>
      </c>
      <c r="AM861" s="91"/>
      <c r="AN861" s="91"/>
      <c r="AO861" s="91"/>
      <c r="AP861" s="73" t="e">
        <f>MID(VLOOKUP(K861,#REF!,2,FALSE),1,2)</f>
        <v>#REF!</v>
      </c>
      <c r="AQ861" s="89">
        <f>DATE(2010,5,16)</f>
        <v>40314</v>
      </c>
      <c r="AR861" s="82">
        <f t="shared" si="58"/>
        <v>16</v>
      </c>
      <c r="AS861" s="83">
        <f t="shared" si="59"/>
        <v>5</v>
      </c>
      <c r="AT861" s="84">
        <f t="shared" si="60"/>
        <v>2010</v>
      </c>
      <c r="AU861" s="86"/>
      <c r="AV861" s="86"/>
      <c r="AW861" s="87"/>
      <c r="AX861" s="86"/>
      <c r="AY861" s="83"/>
      <c r="AZ861" s="84"/>
      <c r="BA861" s="86"/>
      <c r="BB861" s="86"/>
    </row>
    <row r="862" spans="1:54" ht="36.75" customHeight="1">
      <c r="A862" s="30"/>
      <c r="B862" s="30" t="s">
        <v>55</v>
      </c>
      <c r="C862" s="69" t="str">
        <f t="shared" si="57"/>
        <v>Closed</v>
      </c>
      <c r="D862" s="27" t="s">
        <v>4882</v>
      </c>
      <c r="E862" s="29" t="s">
        <v>4883</v>
      </c>
      <c r="F862" s="30" t="s">
        <v>2336</v>
      </c>
      <c r="G862" s="89">
        <f>DATE(2010,5,16)</f>
        <v>40314</v>
      </c>
      <c r="H862" s="90">
        <v>1.8520833333333333</v>
      </c>
      <c r="I862" s="30" t="s">
        <v>198</v>
      </c>
      <c r="J862" s="89" t="s">
        <v>4884</v>
      </c>
      <c r="K862" s="30" t="s">
        <v>2338</v>
      </c>
      <c r="L862" s="30" t="s">
        <v>4885</v>
      </c>
      <c r="M862" s="30" t="s">
        <v>63</v>
      </c>
      <c r="N862" s="30">
        <v>0</v>
      </c>
      <c r="O862" s="30" t="s">
        <v>64</v>
      </c>
      <c r="P862" s="89" t="s">
        <v>2931</v>
      </c>
      <c r="Q862" s="89" t="s">
        <v>4886</v>
      </c>
      <c r="R862" s="89" t="s">
        <v>2341</v>
      </c>
      <c r="S862" s="30">
        <v>0</v>
      </c>
      <c r="T862" s="233">
        <v>0</v>
      </c>
      <c r="U862" s="30">
        <v>0</v>
      </c>
      <c r="V862" s="233">
        <v>0</v>
      </c>
      <c r="W862" s="30">
        <v>0</v>
      </c>
      <c r="X862" s="30">
        <v>0</v>
      </c>
      <c r="Y862" s="30">
        <v>4</v>
      </c>
      <c r="Z862" s="233">
        <v>3</v>
      </c>
      <c r="AA862" s="30">
        <v>0</v>
      </c>
      <c r="AB862" s="30">
        <v>0</v>
      </c>
      <c r="AC862" s="30">
        <v>0</v>
      </c>
      <c r="AD862" s="30">
        <v>7</v>
      </c>
      <c r="AE862" s="89" t="s">
        <v>68</v>
      </c>
      <c r="AF862" s="89"/>
      <c r="AG862" s="89" t="s">
        <v>82</v>
      </c>
      <c r="AH862" s="72" t="s">
        <v>68</v>
      </c>
      <c r="AI862" s="30">
        <v>8</v>
      </c>
      <c r="AJ862" s="89" t="s">
        <v>4887</v>
      </c>
      <c r="AK862" s="89" t="s">
        <v>4888</v>
      </c>
      <c r="AL862" s="91">
        <v>40350</v>
      </c>
      <c r="AM862" s="91"/>
      <c r="AN862" s="91"/>
      <c r="AO862" s="91"/>
      <c r="AP862" s="73" t="e">
        <f>MID(VLOOKUP(K862,#REF!,2,FALSE),1,2)</f>
        <v>#REF!</v>
      </c>
      <c r="AQ862" s="89">
        <f>DATE(2010,5,16)</f>
        <v>40314</v>
      </c>
      <c r="AR862" s="82">
        <f t="shared" si="58"/>
        <v>16</v>
      </c>
      <c r="AS862" s="83">
        <f t="shared" si="59"/>
        <v>5</v>
      </c>
      <c r="AT862" s="84">
        <f t="shared" si="60"/>
        <v>2010</v>
      </c>
      <c r="AU862" s="86"/>
      <c r="AV862" s="86"/>
      <c r="AW862" s="87"/>
      <c r="AX862" s="86"/>
      <c r="AY862" s="83"/>
      <c r="AZ862" s="84"/>
      <c r="BA862" s="86"/>
      <c r="BB862" s="86"/>
    </row>
    <row r="863" spans="1:54" ht="36.75" customHeight="1">
      <c r="A863" s="30"/>
      <c r="B863" s="30" t="s">
        <v>55</v>
      </c>
      <c r="C863" s="69" t="str">
        <f t="shared" si="57"/>
        <v>Closed</v>
      </c>
      <c r="D863" s="27" t="s">
        <v>4889</v>
      </c>
      <c r="E863" s="29" t="s">
        <v>4890</v>
      </c>
      <c r="F863" s="30" t="s">
        <v>1572</v>
      </c>
      <c r="G863" s="89">
        <f>DATE(2010,5,16)</f>
        <v>40314</v>
      </c>
      <c r="H863" s="90">
        <v>1.9895833333333335</v>
      </c>
      <c r="I863" s="30" t="s">
        <v>73</v>
      </c>
      <c r="J863" s="89" t="s">
        <v>4891</v>
      </c>
      <c r="K863" s="30" t="s">
        <v>1574</v>
      </c>
      <c r="L863" s="30" t="s">
        <v>4892</v>
      </c>
      <c r="M863" s="30" t="s">
        <v>63</v>
      </c>
      <c r="N863" s="30">
        <v>0</v>
      </c>
      <c r="O863" s="30" t="s">
        <v>64</v>
      </c>
      <c r="P863" s="89" t="s">
        <v>78</v>
      </c>
      <c r="Q863" s="89" t="s">
        <v>2655</v>
      </c>
      <c r="R863" s="89">
        <v>0</v>
      </c>
      <c r="S863" s="30">
        <v>0</v>
      </c>
      <c r="T863" s="233" t="s">
        <v>68</v>
      </c>
      <c r="U863" s="30">
        <v>0</v>
      </c>
      <c r="V863" s="233" t="s">
        <v>68</v>
      </c>
      <c r="W863" s="30">
        <v>0</v>
      </c>
      <c r="X863" s="30">
        <v>0</v>
      </c>
      <c r="Y863" s="30">
        <v>0</v>
      </c>
      <c r="Z863" s="233" t="s">
        <v>68</v>
      </c>
      <c r="AA863" s="30">
        <v>0</v>
      </c>
      <c r="AB863" s="30">
        <v>0</v>
      </c>
      <c r="AC863" s="30">
        <v>0</v>
      </c>
      <c r="AD863" s="30">
        <v>0</v>
      </c>
      <c r="AE863" s="89" t="s">
        <v>68</v>
      </c>
      <c r="AF863" s="89"/>
      <c r="AG863" s="89" t="s">
        <v>133</v>
      </c>
      <c r="AH863" s="72" t="s">
        <v>68</v>
      </c>
      <c r="AI863" s="30">
        <v>1</v>
      </c>
      <c r="AJ863" s="89" t="s">
        <v>4893</v>
      </c>
      <c r="AK863" s="89" t="s">
        <v>4894</v>
      </c>
      <c r="AL863" s="91">
        <v>40317</v>
      </c>
      <c r="AM863" s="91"/>
      <c r="AN863" s="91"/>
      <c r="AO863" s="91"/>
      <c r="AP863" s="73" t="e">
        <f>MID(VLOOKUP(K863,#REF!,2,FALSE),1,2)</f>
        <v>#REF!</v>
      </c>
      <c r="AQ863" s="89">
        <f>DATE(2010,5,16)</f>
        <v>40314</v>
      </c>
      <c r="AR863" s="82">
        <f t="shared" si="58"/>
        <v>16</v>
      </c>
      <c r="AS863" s="83">
        <f t="shared" si="59"/>
        <v>5</v>
      </c>
      <c r="AT863" s="84">
        <f t="shared" si="60"/>
        <v>2010</v>
      </c>
      <c r="AU863" s="86"/>
      <c r="AV863" s="86"/>
      <c r="AW863" s="87"/>
      <c r="AX863" s="86"/>
      <c r="AY863" s="83"/>
      <c r="AZ863" s="84"/>
      <c r="BA863" s="86"/>
      <c r="BB863" s="86"/>
    </row>
    <row r="864" spans="1:54" ht="36.75" customHeight="1">
      <c r="A864" s="30"/>
      <c r="B864" s="30" t="s">
        <v>55</v>
      </c>
      <c r="C864" s="69" t="str">
        <f t="shared" si="57"/>
        <v>Closed</v>
      </c>
      <c r="D864" s="27" t="s">
        <v>4895</v>
      </c>
      <c r="E864" s="29" t="s">
        <v>4896</v>
      </c>
      <c r="F864" s="30" t="s">
        <v>115</v>
      </c>
      <c r="G864" s="89">
        <f>DATE(2010,5,22)</f>
        <v>40320</v>
      </c>
      <c r="H864" s="90">
        <v>1.4479166666666667</v>
      </c>
      <c r="I864" s="30" t="s">
        <v>73</v>
      </c>
      <c r="J864" s="89" t="s">
        <v>4897</v>
      </c>
      <c r="K864" s="30" t="s">
        <v>118</v>
      </c>
      <c r="L864" s="30" t="s">
        <v>4898</v>
      </c>
      <c r="M864" s="30" t="s">
        <v>63</v>
      </c>
      <c r="N864" s="30">
        <v>0</v>
      </c>
      <c r="O864" s="30" t="s">
        <v>64</v>
      </c>
      <c r="P864" s="89" t="s">
        <v>78</v>
      </c>
      <c r="Q864" s="89" t="s">
        <v>120</v>
      </c>
      <c r="R864" s="89" t="s">
        <v>121</v>
      </c>
      <c r="S864" s="30">
        <v>0</v>
      </c>
      <c r="T864" s="233" t="s">
        <v>68</v>
      </c>
      <c r="U864" s="30">
        <v>0</v>
      </c>
      <c r="V864" s="233" t="s">
        <v>68</v>
      </c>
      <c r="W864" s="30">
        <v>0</v>
      </c>
      <c r="X864" s="30">
        <v>0</v>
      </c>
      <c r="Y864" s="30">
        <v>0</v>
      </c>
      <c r="Z864" s="233" t="s">
        <v>68</v>
      </c>
      <c r="AA864" s="30">
        <v>0</v>
      </c>
      <c r="AB864" s="30">
        <v>0</v>
      </c>
      <c r="AC864" s="30">
        <v>0</v>
      </c>
      <c r="AD864" s="30">
        <v>0</v>
      </c>
      <c r="AE864" s="89" t="s">
        <v>68</v>
      </c>
      <c r="AF864" s="89"/>
      <c r="AG864" s="89" t="s">
        <v>133</v>
      </c>
      <c r="AH864" s="72" t="s">
        <v>68</v>
      </c>
      <c r="AI864" s="30">
        <v>8</v>
      </c>
      <c r="AJ864" s="89" t="s">
        <v>4899</v>
      </c>
      <c r="AK864" s="89" t="s">
        <v>68</v>
      </c>
      <c r="AL864" s="91">
        <v>40345</v>
      </c>
      <c r="AM864" s="91"/>
      <c r="AN864" s="91"/>
      <c r="AO864" s="91"/>
      <c r="AP864" s="73" t="e">
        <f>MID(VLOOKUP(K864,#REF!,2,FALSE),1,2)</f>
        <v>#REF!</v>
      </c>
      <c r="AQ864" s="89">
        <f>DATE(2010,5,22)</f>
        <v>40320</v>
      </c>
      <c r="AR864" s="82">
        <f t="shared" si="58"/>
        <v>22</v>
      </c>
      <c r="AS864" s="83">
        <f t="shared" si="59"/>
        <v>5</v>
      </c>
      <c r="AT864" s="84">
        <f t="shared" si="60"/>
        <v>2010</v>
      </c>
      <c r="AU864" s="86"/>
      <c r="AV864" s="86"/>
      <c r="AW864" s="87"/>
      <c r="AX864" s="86"/>
      <c r="AY864" s="83"/>
      <c r="AZ864" s="84"/>
      <c r="BA864" s="86"/>
      <c r="BB864" s="86"/>
    </row>
    <row r="865" spans="1:55" ht="36.75" customHeight="1">
      <c r="A865" s="30"/>
      <c r="B865" s="30" t="s">
        <v>55</v>
      </c>
      <c r="C865" s="69" t="str">
        <f t="shared" si="57"/>
        <v>Closed</v>
      </c>
      <c r="D865" s="27" t="s">
        <v>4900</v>
      </c>
      <c r="E865" s="29" t="s">
        <v>4901</v>
      </c>
      <c r="F865" s="30" t="s">
        <v>638</v>
      </c>
      <c r="G865" s="89">
        <f>DATE(2010,5,23)</f>
        <v>40321</v>
      </c>
      <c r="H865" s="90">
        <v>1.9541666666666666</v>
      </c>
      <c r="I865" s="30" t="s">
        <v>73</v>
      </c>
      <c r="J865" s="89" t="s">
        <v>4902</v>
      </c>
      <c r="K865" s="30" t="s">
        <v>640</v>
      </c>
      <c r="L865" s="30" t="s">
        <v>4903</v>
      </c>
      <c r="M865" s="30" t="s">
        <v>63</v>
      </c>
      <c r="N865" s="30">
        <v>0</v>
      </c>
      <c r="O865" s="30" t="s">
        <v>64</v>
      </c>
      <c r="P865" s="89" t="s">
        <v>78</v>
      </c>
      <c r="Q865" s="89" t="s">
        <v>4904</v>
      </c>
      <c r="R865" s="89" t="s">
        <v>643</v>
      </c>
      <c r="S865" s="30">
        <v>0</v>
      </c>
      <c r="T865" s="233" t="s">
        <v>68</v>
      </c>
      <c r="U865" s="30">
        <v>0</v>
      </c>
      <c r="V865" s="233" t="s">
        <v>68</v>
      </c>
      <c r="W865" s="30">
        <v>0</v>
      </c>
      <c r="X865" s="30">
        <v>0</v>
      </c>
      <c r="Y865" s="30">
        <v>0</v>
      </c>
      <c r="Z865" s="233" t="s">
        <v>68</v>
      </c>
      <c r="AA865" s="30">
        <v>0</v>
      </c>
      <c r="AB865" s="30">
        <v>0</v>
      </c>
      <c r="AC865" s="30">
        <v>0</v>
      </c>
      <c r="AD865" s="30">
        <v>0</v>
      </c>
      <c r="AE865" s="89" t="s">
        <v>68</v>
      </c>
      <c r="AF865" s="89"/>
      <c r="AG865" s="89" t="s">
        <v>352</v>
      </c>
      <c r="AH865" s="72" t="s">
        <v>68</v>
      </c>
      <c r="AI865" s="30">
        <v>1</v>
      </c>
      <c r="AJ865" s="89" t="s">
        <v>4905</v>
      </c>
      <c r="AK865" s="89" t="s">
        <v>68</v>
      </c>
      <c r="AL865" s="91">
        <v>40339</v>
      </c>
      <c r="AM865" s="91"/>
      <c r="AN865" s="91"/>
      <c r="AO865" s="91"/>
      <c r="AP865" s="73" t="e">
        <f>MID(VLOOKUP(K865,#REF!,2,FALSE),1,2)</f>
        <v>#REF!</v>
      </c>
      <c r="AQ865" s="89">
        <f>DATE(2010,5,23)</f>
        <v>40321</v>
      </c>
      <c r="AR865" s="82">
        <f t="shared" si="58"/>
        <v>23</v>
      </c>
      <c r="AS865" s="83">
        <f t="shared" si="59"/>
        <v>5</v>
      </c>
      <c r="AT865" s="84">
        <f t="shared" si="60"/>
        <v>2010</v>
      </c>
      <c r="AU865" s="86"/>
      <c r="AV865" s="86"/>
      <c r="AW865" s="87"/>
      <c r="AX865" s="86"/>
      <c r="AY865" s="83"/>
      <c r="AZ865" s="84"/>
      <c r="BA865" s="86"/>
      <c r="BB865" s="86"/>
    </row>
    <row r="866" spans="1:55" ht="36.75" customHeight="1">
      <c r="A866" s="30"/>
      <c r="B866" s="30" t="s">
        <v>55</v>
      </c>
      <c r="C866" s="69" t="str">
        <f t="shared" si="57"/>
        <v>Closed</v>
      </c>
      <c r="D866" s="27" t="s">
        <v>4906</v>
      </c>
      <c r="E866" s="29" t="s">
        <v>4907</v>
      </c>
      <c r="F866" s="30" t="s">
        <v>835</v>
      </c>
      <c r="G866" s="89">
        <f>DATE(2010,5,25)</f>
        <v>40323</v>
      </c>
      <c r="H866" s="90">
        <v>1.5833333333333335</v>
      </c>
      <c r="I866" s="30" t="s">
        <v>116</v>
      </c>
      <c r="J866" s="89" t="s">
        <v>4908</v>
      </c>
      <c r="K866" s="30" t="s">
        <v>837</v>
      </c>
      <c r="L866" s="30" t="s">
        <v>4909</v>
      </c>
      <c r="M866" s="30" t="s">
        <v>63</v>
      </c>
      <c r="N866" s="30">
        <v>0</v>
      </c>
      <c r="O866" s="30" t="s">
        <v>77</v>
      </c>
      <c r="P866" s="89" t="s">
        <v>165</v>
      </c>
      <c r="Q866" s="89" t="s">
        <v>2162</v>
      </c>
      <c r="R866" s="89" t="s">
        <v>840</v>
      </c>
      <c r="S866" s="30">
        <v>0</v>
      </c>
      <c r="T866" s="233">
        <v>0</v>
      </c>
      <c r="U866" s="30">
        <v>2</v>
      </c>
      <c r="V866" s="233">
        <v>0</v>
      </c>
      <c r="W866" s="30">
        <v>0</v>
      </c>
      <c r="X866" s="30">
        <v>2</v>
      </c>
      <c r="Y866" s="30">
        <v>0</v>
      </c>
      <c r="Z866" s="233">
        <v>0</v>
      </c>
      <c r="AA866" s="30">
        <v>0</v>
      </c>
      <c r="AB866" s="30">
        <v>0</v>
      </c>
      <c r="AC866" s="30">
        <v>0</v>
      </c>
      <c r="AD866" s="30">
        <v>0</v>
      </c>
      <c r="AE866" s="89" t="s">
        <v>68</v>
      </c>
      <c r="AF866" s="89"/>
      <c r="AG866" s="89" t="s">
        <v>352</v>
      </c>
      <c r="AH866" s="72" t="s">
        <v>68</v>
      </c>
      <c r="AI866" s="30">
        <v>0</v>
      </c>
      <c r="AJ866" s="89" t="s">
        <v>68</v>
      </c>
      <c r="AK866" s="89" t="s">
        <v>68</v>
      </c>
      <c r="AL866" s="91">
        <v>40462</v>
      </c>
      <c r="AM866" s="91"/>
      <c r="AN866" s="91"/>
      <c r="AO866" s="91"/>
      <c r="AP866" s="73" t="e">
        <f>MID(VLOOKUP(K866,#REF!,2,FALSE),1,2)</f>
        <v>#REF!</v>
      </c>
      <c r="AQ866" s="89">
        <f>DATE(2010,5,25)</f>
        <v>40323</v>
      </c>
      <c r="AR866" s="82">
        <f t="shared" si="58"/>
        <v>25</v>
      </c>
      <c r="AS866" s="83">
        <f t="shared" si="59"/>
        <v>5</v>
      </c>
      <c r="AT866" s="84">
        <f t="shared" si="60"/>
        <v>2010</v>
      </c>
      <c r="AU866" s="86"/>
      <c r="AV866" s="86"/>
      <c r="AW866" s="87"/>
      <c r="AX866" s="86"/>
      <c r="AY866" s="83"/>
      <c r="AZ866" s="84"/>
      <c r="BA866" s="86"/>
      <c r="BB866" s="86"/>
    </row>
    <row r="867" spans="1:55" ht="36.75" customHeight="1">
      <c r="A867" s="98" t="s">
        <v>4910</v>
      </c>
      <c r="B867" s="30" t="s">
        <v>55</v>
      </c>
      <c r="C867" s="69" t="str">
        <f t="shared" si="57"/>
        <v>Closed</v>
      </c>
      <c r="D867" s="27" t="s">
        <v>4911</v>
      </c>
      <c r="E867" s="29" t="s">
        <v>4912</v>
      </c>
      <c r="F867" s="30" t="s">
        <v>582</v>
      </c>
      <c r="G867" s="89">
        <f>DATE(2010,5,26)</f>
        <v>40324</v>
      </c>
      <c r="H867" s="90">
        <v>1.6395833333333334</v>
      </c>
      <c r="I867" s="30" t="s">
        <v>73</v>
      </c>
      <c r="J867" s="89" t="s">
        <v>4913</v>
      </c>
      <c r="K867" s="30" t="s">
        <v>584</v>
      </c>
      <c r="L867" s="30" t="s">
        <v>4914</v>
      </c>
      <c r="M867" s="30" t="s">
        <v>63</v>
      </c>
      <c r="N867" s="30">
        <v>0</v>
      </c>
      <c r="O867" s="30" t="s">
        <v>64</v>
      </c>
      <c r="P867" s="89" t="s">
        <v>78</v>
      </c>
      <c r="Q867" s="89" t="s">
        <v>586</v>
      </c>
      <c r="R867" s="89" t="s">
        <v>587</v>
      </c>
      <c r="S867" s="30">
        <v>0</v>
      </c>
      <c r="T867" s="99" t="s">
        <v>68</v>
      </c>
      <c r="U867" s="30">
        <v>0</v>
      </c>
      <c r="V867" s="99" t="s">
        <v>68</v>
      </c>
      <c r="W867" s="30">
        <v>0</v>
      </c>
      <c r="X867" s="30">
        <v>0</v>
      </c>
      <c r="Y867" s="30">
        <v>0</v>
      </c>
      <c r="Z867" s="99" t="s">
        <v>68</v>
      </c>
      <c r="AA867" s="30">
        <v>0</v>
      </c>
      <c r="AB867" s="30">
        <v>0</v>
      </c>
      <c r="AC867" s="30">
        <v>0</v>
      </c>
      <c r="AD867" s="30">
        <v>0</v>
      </c>
      <c r="AE867" s="89" t="s">
        <v>68</v>
      </c>
      <c r="AF867" s="89"/>
      <c r="AG867" s="89" t="s">
        <v>133</v>
      </c>
      <c r="AH867" s="72" t="s">
        <v>68</v>
      </c>
      <c r="AI867" s="30">
        <v>0</v>
      </c>
      <c r="AJ867" s="89" t="s">
        <v>68</v>
      </c>
      <c r="AK867" s="89" t="s">
        <v>68</v>
      </c>
      <c r="AL867" s="91">
        <v>40329</v>
      </c>
      <c r="AM867" s="91"/>
      <c r="AN867" s="91"/>
      <c r="AO867" s="91"/>
      <c r="AP867" s="73" t="e">
        <f>MID(VLOOKUP(K867,#REF!,2,FALSE),1,2)</f>
        <v>#REF!</v>
      </c>
      <c r="AQ867" s="89">
        <f>DATE(2010,5,26)</f>
        <v>40324</v>
      </c>
      <c r="AR867" s="82">
        <f t="shared" si="58"/>
        <v>26</v>
      </c>
      <c r="AS867" s="83">
        <f t="shared" si="59"/>
        <v>5</v>
      </c>
      <c r="AT867" s="84">
        <f t="shared" si="60"/>
        <v>2010</v>
      </c>
      <c r="AU867" s="86"/>
      <c r="AV867" s="86"/>
      <c r="AW867" s="87"/>
      <c r="AX867" s="86"/>
      <c r="AY867" s="83"/>
      <c r="AZ867" s="84"/>
      <c r="BA867" s="86"/>
      <c r="BB867" s="86"/>
      <c r="BC867" s="100" t="s">
        <v>4915</v>
      </c>
    </row>
    <row r="868" spans="1:55" ht="36.75" customHeight="1">
      <c r="A868" s="30"/>
      <c r="B868" s="30" t="s">
        <v>55</v>
      </c>
      <c r="C868" s="69" t="str">
        <f t="shared" si="57"/>
        <v>Closed</v>
      </c>
      <c r="D868" s="27" t="s">
        <v>4916</v>
      </c>
      <c r="E868" s="29" t="s">
        <v>4917</v>
      </c>
      <c r="F868" s="30" t="s">
        <v>1572</v>
      </c>
      <c r="G868" s="89">
        <f>DATE(2010,5,28)</f>
        <v>40326</v>
      </c>
      <c r="H868" s="90">
        <v>1.71875</v>
      </c>
      <c r="I868" s="30" t="s">
        <v>73</v>
      </c>
      <c r="J868" s="89" t="s">
        <v>4918</v>
      </c>
      <c r="K868" s="30" t="s">
        <v>1574</v>
      </c>
      <c r="L868" s="30" t="s">
        <v>4919</v>
      </c>
      <c r="M868" s="30" t="s">
        <v>63</v>
      </c>
      <c r="N868" s="30">
        <v>0</v>
      </c>
      <c r="O868" s="30" t="s">
        <v>77</v>
      </c>
      <c r="P868" s="89" t="s">
        <v>78</v>
      </c>
      <c r="Q868" s="89" t="s">
        <v>4920</v>
      </c>
      <c r="R868" s="89">
        <v>0</v>
      </c>
      <c r="S868" s="30">
        <v>0</v>
      </c>
      <c r="T868" s="233" t="s">
        <v>68</v>
      </c>
      <c r="U868" s="30">
        <v>0</v>
      </c>
      <c r="V868" s="233" t="s">
        <v>68</v>
      </c>
      <c r="W868" s="30">
        <v>0</v>
      </c>
      <c r="X868" s="30">
        <v>0</v>
      </c>
      <c r="Y868" s="30">
        <v>0</v>
      </c>
      <c r="Z868" s="233" t="s">
        <v>68</v>
      </c>
      <c r="AA868" s="30">
        <v>0</v>
      </c>
      <c r="AB868" s="30">
        <v>0</v>
      </c>
      <c r="AC868" s="30">
        <v>0</v>
      </c>
      <c r="AD868" s="30">
        <v>0</v>
      </c>
      <c r="AE868" s="89" t="s">
        <v>68</v>
      </c>
      <c r="AF868" s="89"/>
      <c r="AG868" s="89" t="s">
        <v>133</v>
      </c>
      <c r="AH868" s="72" t="s">
        <v>68</v>
      </c>
      <c r="AI868" s="30">
        <v>1</v>
      </c>
      <c r="AJ868" s="89" t="s">
        <v>4921</v>
      </c>
      <c r="AK868" s="89" t="s">
        <v>4922</v>
      </c>
      <c r="AL868" s="91">
        <v>40337</v>
      </c>
      <c r="AM868" s="91"/>
      <c r="AN868" s="91"/>
      <c r="AO868" s="91"/>
      <c r="AP868" s="73" t="e">
        <f>MID(VLOOKUP(K868,#REF!,2,FALSE),1,2)</f>
        <v>#REF!</v>
      </c>
      <c r="AQ868" s="89">
        <f>DATE(2010,5,28)</f>
        <v>40326</v>
      </c>
      <c r="AR868" s="82">
        <f t="shared" si="58"/>
        <v>28</v>
      </c>
      <c r="AS868" s="83">
        <f t="shared" si="59"/>
        <v>5</v>
      </c>
      <c r="AT868" s="84">
        <f t="shared" si="60"/>
        <v>2010</v>
      </c>
      <c r="AU868" s="86"/>
      <c r="AV868" s="86"/>
      <c r="AW868" s="87"/>
      <c r="AX868" s="86"/>
      <c r="AY868" s="83"/>
      <c r="AZ868" s="84"/>
      <c r="BA868" s="86"/>
      <c r="BB868" s="86"/>
    </row>
    <row r="869" spans="1:55" ht="36.75" customHeight="1">
      <c r="A869" s="30"/>
      <c r="B869" s="30" t="s">
        <v>55</v>
      </c>
      <c r="C869" s="69" t="str">
        <f t="shared" si="57"/>
        <v>Closed</v>
      </c>
      <c r="D869" s="27" t="s">
        <v>4923</v>
      </c>
      <c r="E869" s="29" t="s">
        <v>4924</v>
      </c>
      <c r="F869" s="30" t="s">
        <v>423</v>
      </c>
      <c r="G869" s="89">
        <f>DATE(2010,5,29)</f>
        <v>40327</v>
      </c>
      <c r="H869" s="90">
        <v>1.7826388888888891</v>
      </c>
      <c r="I869" s="30" t="s">
        <v>116</v>
      </c>
      <c r="J869" s="89" t="s">
        <v>4925</v>
      </c>
      <c r="K869" s="30" t="s">
        <v>425</v>
      </c>
      <c r="L869" s="30" t="s">
        <v>4926</v>
      </c>
      <c r="M869" s="30" t="s">
        <v>63</v>
      </c>
      <c r="N869" s="30">
        <v>0</v>
      </c>
      <c r="O869" s="30" t="s">
        <v>64</v>
      </c>
      <c r="P869" s="89" t="s">
        <v>165</v>
      </c>
      <c r="Q869" s="89" t="s">
        <v>4551</v>
      </c>
      <c r="R869" s="89" t="s">
        <v>3103</v>
      </c>
      <c r="S869" s="30">
        <v>0</v>
      </c>
      <c r="T869" s="233">
        <v>0</v>
      </c>
      <c r="U869" s="30">
        <v>1</v>
      </c>
      <c r="V869" s="233">
        <v>0</v>
      </c>
      <c r="W869" s="30">
        <v>0</v>
      </c>
      <c r="X869" s="30">
        <v>1</v>
      </c>
      <c r="Y869" s="30">
        <v>0</v>
      </c>
      <c r="Z869" s="233">
        <v>0</v>
      </c>
      <c r="AA869" s="30">
        <v>1</v>
      </c>
      <c r="AB869" s="30">
        <v>0</v>
      </c>
      <c r="AC869" s="30">
        <v>0</v>
      </c>
      <c r="AD869" s="30">
        <v>1</v>
      </c>
      <c r="AE869" s="89" t="s">
        <v>68</v>
      </c>
      <c r="AF869" s="89"/>
      <c r="AG869" s="89" t="s">
        <v>133</v>
      </c>
      <c r="AH869" s="72" t="s">
        <v>68</v>
      </c>
      <c r="AI869" s="30">
        <v>4</v>
      </c>
      <c r="AJ869" s="89" t="s">
        <v>4927</v>
      </c>
      <c r="AK869" s="89" t="s">
        <v>4928</v>
      </c>
      <c r="AL869" s="91">
        <v>40367</v>
      </c>
      <c r="AM869" s="91"/>
      <c r="AN869" s="91"/>
      <c r="AO869" s="91"/>
      <c r="AP869" s="73" t="e">
        <f>MID(VLOOKUP(K869,#REF!,2,FALSE),1,2)</f>
        <v>#REF!</v>
      </c>
      <c r="AQ869" s="89">
        <f>DATE(2010,5,29)</f>
        <v>40327</v>
      </c>
      <c r="AR869" s="82">
        <f t="shared" si="58"/>
        <v>29</v>
      </c>
      <c r="AS869" s="83">
        <f t="shared" si="59"/>
        <v>5</v>
      </c>
      <c r="AT869" s="84">
        <f t="shared" si="60"/>
        <v>2010</v>
      </c>
      <c r="AU869" s="86"/>
      <c r="AV869" s="86"/>
      <c r="AW869" s="87"/>
      <c r="AX869" s="86"/>
      <c r="AY869" s="83"/>
      <c r="AZ869" s="84"/>
      <c r="BA869" s="86"/>
      <c r="BB869" s="86"/>
    </row>
    <row r="870" spans="1:55" ht="36.75" customHeight="1">
      <c r="A870" s="30"/>
      <c r="B870" s="30" t="s">
        <v>55</v>
      </c>
      <c r="C870" s="69" t="str">
        <f t="shared" si="57"/>
        <v>Closed</v>
      </c>
      <c r="D870" s="27" t="s">
        <v>4929</v>
      </c>
      <c r="E870" s="29" t="s">
        <v>4930</v>
      </c>
      <c r="F870" s="30" t="s">
        <v>138</v>
      </c>
      <c r="G870" s="89">
        <f>DATE(2010,6,4)</f>
        <v>40333</v>
      </c>
      <c r="H870" s="90">
        <v>1.6333333333333333</v>
      </c>
      <c r="I870" s="30" t="s">
        <v>278</v>
      </c>
      <c r="J870" s="89" t="s">
        <v>4931</v>
      </c>
      <c r="K870" s="30" t="s">
        <v>140</v>
      </c>
      <c r="L870" s="30" t="s">
        <v>4932</v>
      </c>
      <c r="M870" s="30" t="s">
        <v>63</v>
      </c>
      <c r="N870" s="30" t="s">
        <v>89</v>
      </c>
      <c r="O870" s="30" t="s">
        <v>77</v>
      </c>
      <c r="P870" s="89" t="s">
        <v>165</v>
      </c>
      <c r="Q870" s="89" t="s">
        <v>4933</v>
      </c>
      <c r="R870" s="89" t="s">
        <v>4934</v>
      </c>
      <c r="S870" s="30">
        <v>0</v>
      </c>
      <c r="T870" s="233">
        <v>1</v>
      </c>
      <c r="U870" s="30">
        <v>0</v>
      </c>
      <c r="V870" s="233">
        <v>0</v>
      </c>
      <c r="W870" s="30">
        <v>0</v>
      </c>
      <c r="X870" s="30">
        <v>1</v>
      </c>
      <c r="Y870" s="30">
        <v>0</v>
      </c>
      <c r="Z870" s="233">
        <v>1</v>
      </c>
      <c r="AA870" s="30">
        <v>0</v>
      </c>
      <c r="AB870" s="30">
        <v>0</v>
      </c>
      <c r="AC870" s="30">
        <v>0</v>
      </c>
      <c r="AD870" s="30">
        <v>1</v>
      </c>
      <c r="AE870" s="89" t="s">
        <v>68</v>
      </c>
      <c r="AF870" s="89"/>
      <c r="AG870" s="89" t="s">
        <v>82</v>
      </c>
      <c r="AH870" s="72">
        <v>40337</v>
      </c>
      <c r="AI870" s="30">
        <v>1</v>
      </c>
      <c r="AJ870" s="89" t="s">
        <v>4935</v>
      </c>
      <c r="AK870" s="89" t="s">
        <v>4936</v>
      </c>
      <c r="AL870" s="91">
        <v>40344</v>
      </c>
      <c r="AM870" s="91"/>
      <c r="AN870" s="91"/>
      <c r="AO870" s="91"/>
      <c r="AP870" s="73" t="e">
        <f>MID(VLOOKUP(K870,#REF!,2,FALSE),1,2)</f>
        <v>#REF!</v>
      </c>
      <c r="AQ870" s="89">
        <f>DATE(2010,6,4)</f>
        <v>40333</v>
      </c>
      <c r="AR870" s="82">
        <f t="shared" si="58"/>
        <v>4</v>
      </c>
      <c r="AS870" s="83">
        <f t="shared" si="59"/>
        <v>6</v>
      </c>
      <c r="AT870" s="84">
        <f t="shared" si="60"/>
        <v>2010</v>
      </c>
      <c r="AU870" s="86"/>
      <c r="AV870" s="86"/>
      <c r="AW870" s="87"/>
      <c r="AX870" s="86"/>
      <c r="AY870" s="83"/>
      <c r="AZ870" s="84"/>
      <c r="BA870" s="86"/>
      <c r="BB870" s="86"/>
    </row>
    <row r="871" spans="1:55" ht="36.75" customHeight="1">
      <c r="A871" s="30"/>
      <c r="B871" s="30" t="s">
        <v>55</v>
      </c>
      <c r="C871" s="69" t="str">
        <f t="shared" si="57"/>
        <v>Closed</v>
      </c>
      <c r="D871" s="27" t="s">
        <v>4937</v>
      </c>
      <c r="E871" s="29" t="s">
        <v>4938</v>
      </c>
      <c r="F871" s="30" t="s">
        <v>1572</v>
      </c>
      <c r="G871" s="89">
        <f>DATE(2010,6,6)</f>
        <v>40335</v>
      </c>
      <c r="H871" s="90">
        <v>1.7638888888888888</v>
      </c>
      <c r="I871" s="30" t="s">
        <v>125</v>
      </c>
      <c r="J871" s="89" t="s">
        <v>4939</v>
      </c>
      <c r="K871" s="30" t="s">
        <v>1574</v>
      </c>
      <c r="L871" s="30" t="s">
        <v>4940</v>
      </c>
      <c r="M871" s="30" t="s">
        <v>63</v>
      </c>
      <c r="N871" s="30">
        <v>0</v>
      </c>
      <c r="O871" s="30" t="s">
        <v>64</v>
      </c>
      <c r="P871" s="89" t="s">
        <v>381</v>
      </c>
      <c r="Q871" s="89" t="s">
        <v>2413</v>
      </c>
      <c r="R871" s="89">
        <v>0</v>
      </c>
      <c r="S871" s="30">
        <v>0</v>
      </c>
      <c r="T871" s="233" t="s">
        <v>68</v>
      </c>
      <c r="U871" s="30">
        <v>0</v>
      </c>
      <c r="V871" s="233" t="s">
        <v>68</v>
      </c>
      <c r="W871" s="30">
        <v>0</v>
      </c>
      <c r="X871" s="30">
        <v>0</v>
      </c>
      <c r="Y871" s="30">
        <v>0</v>
      </c>
      <c r="Z871" s="233" t="s">
        <v>68</v>
      </c>
      <c r="AA871" s="30">
        <v>0</v>
      </c>
      <c r="AB871" s="30">
        <v>0</v>
      </c>
      <c r="AC871" s="30">
        <v>0</v>
      </c>
      <c r="AD871" s="30">
        <v>0</v>
      </c>
      <c r="AE871" s="89" t="s">
        <v>68</v>
      </c>
      <c r="AF871" s="89"/>
      <c r="AG871" s="89" t="s">
        <v>133</v>
      </c>
      <c r="AH871" s="72" t="s">
        <v>68</v>
      </c>
      <c r="AI871" s="30">
        <v>3</v>
      </c>
      <c r="AJ871" s="89" t="s">
        <v>4941</v>
      </c>
      <c r="AK871" s="89" t="s">
        <v>4942</v>
      </c>
      <c r="AL871" s="91">
        <v>40337</v>
      </c>
      <c r="AM871" s="91"/>
      <c r="AN871" s="91"/>
      <c r="AO871" s="91"/>
      <c r="AP871" s="73" t="e">
        <f>MID(VLOOKUP(K871,#REF!,2,FALSE),1,2)</f>
        <v>#REF!</v>
      </c>
      <c r="AQ871" s="89">
        <f>DATE(2010,6,6)</f>
        <v>40335</v>
      </c>
      <c r="AR871" s="82">
        <f t="shared" si="58"/>
        <v>6</v>
      </c>
      <c r="AS871" s="83">
        <f t="shared" si="59"/>
        <v>6</v>
      </c>
      <c r="AT871" s="84">
        <f t="shared" si="60"/>
        <v>2010</v>
      </c>
      <c r="AU871" s="86"/>
      <c r="AV871" s="86"/>
      <c r="AW871" s="87"/>
      <c r="AX871" s="86"/>
      <c r="AY871" s="83"/>
      <c r="AZ871" s="84"/>
      <c r="BA871" s="86"/>
      <c r="BB871" s="86"/>
    </row>
    <row r="872" spans="1:55" ht="36.75" customHeight="1">
      <c r="A872" s="30"/>
      <c r="B872" s="30" t="s">
        <v>55</v>
      </c>
      <c r="C872" s="69" t="str">
        <f t="shared" si="57"/>
        <v>Closed</v>
      </c>
      <c r="D872" s="27" t="s">
        <v>4943</v>
      </c>
      <c r="E872" s="29" t="s">
        <v>4944</v>
      </c>
      <c r="F872" s="30" t="s">
        <v>233</v>
      </c>
      <c r="G872" s="89">
        <f>DATE(2010,6,6)</f>
        <v>40335</v>
      </c>
      <c r="H872" s="90">
        <v>1.8715277777777777</v>
      </c>
      <c r="I872" s="30" t="s">
        <v>156</v>
      </c>
      <c r="J872" s="89" t="s">
        <v>4945</v>
      </c>
      <c r="K872" s="30" t="s">
        <v>235</v>
      </c>
      <c r="L872" s="30" t="s">
        <v>4946</v>
      </c>
      <c r="M872" s="30" t="s">
        <v>63</v>
      </c>
      <c r="N872" s="30">
        <v>0</v>
      </c>
      <c r="O872" s="30" t="s">
        <v>64</v>
      </c>
      <c r="P872" s="89" t="s">
        <v>165</v>
      </c>
      <c r="Q872" s="89" t="s">
        <v>359</v>
      </c>
      <c r="R872" s="89" t="s">
        <v>238</v>
      </c>
      <c r="S872" s="30">
        <v>0</v>
      </c>
      <c r="T872" s="233" t="s">
        <v>68</v>
      </c>
      <c r="U872" s="30">
        <v>0</v>
      </c>
      <c r="V872" s="233" t="s">
        <v>68</v>
      </c>
      <c r="W872" s="30">
        <v>0</v>
      </c>
      <c r="X872" s="30">
        <v>0</v>
      </c>
      <c r="Y872" s="30">
        <v>0</v>
      </c>
      <c r="Z872" s="233" t="s">
        <v>68</v>
      </c>
      <c r="AA872" s="30">
        <v>0</v>
      </c>
      <c r="AB872" s="30">
        <v>0</v>
      </c>
      <c r="AC872" s="30">
        <v>0</v>
      </c>
      <c r="AD872" s="30">
        <v>0</v>
      </c>
      <c r="AE872" s="89" t="s">
        <v>68</v>
      </c>
      <c r="AF872" s="89"/>
      <c r="AG872" s="89" t="s">
        <v>133</v>
      </c>
      <c r="AH872" s="72" t="s">
        <v>68</v>
      </c>
      <c r="AI872" s="30">
        <v>6</v>
      </c>
      <c r="AJ872" s="89" t="s">
        <v>4947</v>
      </c>
      <c r="AK872" s="89" t="s">
        <v>4948</v>
      </c>
      <c r="AL872" s="91">
        <v>40344</v>
      </c>
      <c r="AM872" s="91"/>
      <c r="AN872" s="91"/>
      <c r="AO872" s="91"/>
      <c r="AP872" s="73" t="e">
        <f>MID(VLOOKUP(K872,#REF!,2,FALSE),1,2)</f>
        <v>#REF!</v>
      </c>
      <c r="AQ872" s="89">
        <f>DATE(2010,6,6)</f>
        <v>40335</v>
      </c>
      <c r="AR872" s="82">
        <f t="shared" si="58"/>
        <v>6</v>
      </c>
      <c r="AS872" s="83">
        <f t="shared" si="59"/>
        <v>6</v>
      </c>
      <c r="AT872" s="84">
        <f t="shared" si="60"/>
        <v>2010</v>
      </c>
      <c r="AU872" s="86"/>
      <c r="AV872" s="86"/>
      <c r="AW872" s="87"/>
      <c r="AX872" s="86"/>
      <c r="AY872" s="83"/>
      <c r="AZ872" s="84"/>
      <c r="BA872" s="86"/>
      <c r="BB872" s="86"/>
    </row>
    <row r="873" spans="1:55" ht="36.75" customHeight="1">
      <c r="A873" s="30"/>
      <c r="B873" s="30" t="s">
        <v>55</v>
      </c>
      <c r="C873" s="69" t="str">
        <f t="shared" si="57"/>
        <v>Closed</v>
      </c>
      <c r="D873" s="27" t="s">
        <v>4949</v>
      </c>
      <c r="E873" s="29" t="s">
        <v>4950</v>
      </c>
      <c r="F873" s="30" t="s">
        <v>2601</v>
      </c>
      <c r="G873" s="89">
        <f>DATE(2010,6,9)</f>
        <v>40338</v>
      </c>
      <c r="H873" s="90">
        <v>1.4756944444444444</v>
      </c>
      <c r="I873" s="30" t="s">
        <v>86</v>
      </c>
      <c r="J873" s="89" t="s">
        <v>4951</v>
      </c>
      <c r="K873" s="30" t="s">
        <v>2603</v>
      </c>
      <c r="L873" s="30" t="s">
        <v>4952</v>
      </c>
      <c r="M873" s="30" t="s">
        <v>63</v>
      </c>
      <c r="N873" s="30" t="s">
        <v>142</v>
      </c>
      <c r="O873" s="30" t="s">
        <v>77</v>
      </c>
      <c r="P873" s="89" t="s">
        <v>462</v>
      </c>
      <c r="Q873" s="89" t="s">
        <v>2605</v>
      </c>
      <c r="R873" s="89" t="s">
        <v>2606</v>
      </c>
      <c r="S873" s="30">
        <v>0</v>
      </c>
      <c r="T873" s="233">
        <v>0</v>
      </c>
      <c r="U873" s="30">
        <v>0</v>
      </c>
      <c r="V873" s="233">
        <v>0</v>
      </c>
      <c r="W873" s="30">
        <v>0</v>
      </c>
      <c r="X873" s="30">
        <v>0</v>
      </c>
      <c r="Y873" s="30">
        <v>0</v>
      </c>
      <c r="Z873" s="233">
        <v>0</v>
      </c>
      <c r="AA873" s="30">
        <v>0</v>
      </c>
      <c r="AB873" s="30">
        <v>0</v>
      </c>
      <c r="AC873" s="30">
        <v>0</v>
      </c>
      <c r="AD873" s="30">
        <v>0</v>
      </c>
      <c r="AE873" s="89" t="s">
        <v>92</v>
      </c>
      <c r="AF873" s="89"/>
      <c r="AG873" s="89" t="s">
        <v>133</v>
      </c>
      <c r="AH873" s="72">
        <v>40339</v>
      </c>
      <c r="AI873" s="30">
        <v>3</v>
      </c>
      <c r="AJ873" s="89" t="s">
        <v>4953</v>
      </c>
      <c r="AK873" s="89" t="s">
        <v>4954</v>
      </c>
      <c r="AL873" s="91">
        <v>40344</v>
      </c>
      <c r="AM873" s="91"/>
      <c r="AN873" s="91"/>
      <c r="AO873" s="91"/>
      <c r="AP873" s="73" t="e">
        <f>MID(VLOOKUP(K873,#REF!,2,FALSE),1,2)</f>
        <v>#REF!</v>
      </c>
      <c r="AQ873" s="89">
        <f>DATE(2010,6,9)</f>
        <v>40338</v>
      </c>
      <c r="AR873" s="82">
        <f t="shared" si="58"/>
        <v>9</v>
      </c>
      <c r="AS873" s="83">
        <f t="shared" si="59"/>
        <v>6</v>
      </c>
      <c r="AT873" s="84">
        <f t="shared" si="60"/>
        <v>2010</v>
      </c>
      <c r="AU873" s="86"/>
      <c r="AV873" s="86"/>
      <c r="AW873" s="87"/>
      <c r="AX873" s="86"/>
      <c r="AY873" s="83"/>
      <c r="AZ873" s="84"/>
      <c r="BA873" s="86"/>
      <c r="BB873" s="86"/>
    </row>
    <row r="874" spans="1:55" ht="36.75" customHeight="1">
      <c r="A874" s="30"/>
      <c r="B874" s="30" t="s">
        <v>2124</v>
      </c>
      <c r="C874" s="69" t="str">
        <f t="shared" si="57"/>
        <v>Open</v>
      </c>
      <c r="D874" s="27" t="s">
        <v>4955</v>
      </c>
      <c r="E874" s="29" t="s">
        <v>4956</v>
      </c>
      <c r="F874" s="30" t="s">
        <v>3148</v>
      </c>
      <c r="G874" s="89">
        <f>DATE(2010,6,10)</f>
        <v>40339</v>
      </c>
      <c r="H874" s="90">
        <v>1.3805555555555555</v>
      </c>
      <c r="I874" s="30" t="s">
        <v>116</v>
      </c>
      <c r="J874" s="89" t="s">
        <v>4957</v>
      </c>
      <c r="K874" s="30" t="s">
        <v>3150</v>
      </c>
      <c r="L874" s="30" t="s">
        <v>4958</v>
      </c>
      <c r="M874" s="30" t="s">
        <v>63</v>
      </c>
      <c r="N874" s="30">
        <v>0</v>
      </c>
      <c r="O874" s="30" t="s">
        <v>64</v>
      </c>
      <c r="P874" s="89" t="s">
        <v>65</v>
      </c>
      <c r="Q874" s="89" t="s">
        <v>3152</v>
      </c>
      <c r="R874" s="89" t="s">
        <v>3153</v>
      </c>
      <c r="S874" s="30">
        <v>0</v>
      </c>
      <c r="T874" s="233" t="s">
        <v>68</v>
      </c>
      <c r="U874" s="30">
        <v>1</v>
      </c>
      <c r="V874" s="233" t="s">
        <v>68</v>
      </c>
      <c r="W874" s="30">
        <v>0</v>
      </c>
      <c r="X874" s="30">
        <v>1</v>
      </c>
      <c r="Y874" s="30">
        <v>0</v>
      </c>
      <c r="Z874" s="233" t="s">
        <v>68</v>
      </c>
      <c r="AA874" s="30">
        <v>0</v>
      </c>
      <c r="AB874" s="30">
        <v>0</v>
      </c>
      <c r="AC874" s="30">
        <v>0</v>
      </c>
      <c r="AD874" s="30">
        <v>0</v>
      </c>
      <c r="AE874" s="89" t="s">
        <v>68</v>
      </c>
      <c r="AF874" s="89"/>
      <c r="AG874" s="89" t="s">
        <v>248</v>
      </c>
      <c r="AH874" s="72" t="s">
        <v>68</v>
      </c>
      <c r="AI874" s="30">
        <v>0</v>
      </c>
      <c r="AJ874" s="89" t="s">
        <v>68</v>
      </c>
      <c r="AK874" s="89" t="s">
        <v>68</v>
      </c>
      <c r="AL874" s="91">
        <v>40344</v>
      </c>
      <c r="AM874" s="91"/>
      <c r="AN874" s="91"/>
      <c r="AO874" s="91"/>
      <c r="AP874" s="73" t="e">
        <f>MID(VLOOKUP(K874,#REF!,2,FALSE),1,2)</f>
        <v>#REF!</v>
      </c>
      <c r="AQ874" s="89">
        <f>DATE(2010,6,10)</f>
        <v>40339</v>
      </c>
      <c r="AR874" s="82">
        <f t="shared" si="58"/>
        <v>10</v>
      </c>
      <c r="AS874" s="83">
        <f t="shared" si="59"/>
        <v>6</v>
      </c>
      <c r="AT874" s="84">
        <f t="shared" si="60"/>
        <v>2010</v>
      </c>
      <c r="AU874" s="86"/>
      <c r="AV874" s="86"/>
      <c r="AW874" s="87"/>
      <c r="AX874" s="86"/>
      <c r="AY874" s="83"/>
      <c r="AZ874" s="84"/>
      <c r="BA874" s="86"/>
      <c r="BB874" s="86"/>
    </row>
    <row r="875" spans="1:55" ht="36.75" customHeight="1">
      <c r="A875" s="30"/>
      <c r="B875" s="30" t="s">
        <v>55</v>
      </c>
      <c r="C875" s="69" t="str">
        <f t="shared" si="57"/>
        <v>Closed</v>
      </c>
      <c r="D875" s="27" t="s">
        <v>4959</v>
      </c>
      <c r="E875" s="29" t="s">
        <v>4960</v>
      </c>
      <c r="F875" s="30" t="s">
        <v>3148</v>
      </c>
      <c r="G875" s="89">
        <f>DATE(2010,6,10)</f>
        <v>40339</v>
      </c>
      <c r="H875" s="90">
        <v>1.78125</v>
      </c>
      <c r="I875" s="30" t="s">
        <v>116</v>
      </c>
      <c r="J875" s="89" t="s">
        <v>4961</v>
      </c>
      <c r="K875" s="30" t="s">
        <v>3150</v>
      </c>
      <c r="L875" s="30" t="s">
        <v>4962</v>
      </c>
      <c r="M875" s="30" t="s">
        <v>63</v>
      </c>
      <c r="N875" s="30">
        <v>0</v>
      </c>
      <c r="O875" s="30" t="s">
        <v>64</v>
      </c>
      <c r="P875" s="89" t="s">
        <v>165</v>
      </c>
      <c r="Q875" s="89" t="s">
        <v>3152</v>
      </c>
      <c r="R875" s="89" t="s">
        <v>3153</v>
      </c>
      <c r="S875" s="30">
        <v>0</v>
      </c>
      <c r="T875" s="233">
        <v>0</v>
      </c>
      <c r="U875" s="30">
        <v>1</v>
      </c>
      <c r="V875" s="233">
        <v>0</v>
      </c>
      <c r="W875" s="30">
        <v>0</v>
      </c>
      <c r="X875" s="30">
        <v>1</v>
      </c>
      <c r="Y875" s="30">
        <v>0</v>
      </c>
      <c r="Z875" s="233">
        <v>0</v>
      </c>
      <c r="AA875" s="30">
        <v>0</v>
      </c>
      <c r="AB875" s="30">
        <v>0</v>
      </c>
      <c r="AC875" s="30">
        <v>0</v>
      </c>
      <c r="AD875" s="30">
        <v>0</v>
      </c>
      <c r="AE875" s="89" t="s">
        <v>68</v>
      </c>
      <c r="AF875" s="89"/>
      <c r="AG875" s="89" t="s">
        <v>248</v>
      </c>
      <c r="AH875" s="72" t="s">
        <v>68</v>
      </c>
      <c r="AI875" s="30">
        <v>1</v>
      </c>
      <c r="AJ875" s="89" t="s">
        <v>68</v>
      </c>
      <c r="AK875" s="89" t="s">
        <v>68</v>
      </c>
      <c r="AL875" s="91">
        <v>40344</v>
      </c>
      <c r="AM875" s="91"/>
      <c r="AN875" s="91"/>
      <c r="AO875" s="91"/>
      <c r="AP875" s="73" t="e">
        <f>MID(VLOOKUP(K875,#REF!,2,FALSE),1,2)</f>
        <v>#REF!</v>
      </c>
      <c r="AQ875" s="89">
        <f>DATE(2010,6,10)</f>
        <v>40339</v>
      </c>
      <c r="AR875" s="82">
        <f t="shared" si="58"/>
        <v>10</v>
      </c>
      <c r="AS875" s="83">
        <f t="shared" si="59"/>
        <v>6</v>
      </c>
      <c r="AT875" s="84">
        <f t="shared" si="60"/>
        <v>2010</v>
      </c>
      <c r="AU875" s="86"/>
      <c r="AV875" s="86"/>
      <c r="AW875" s="87"/>
      <c r="AX875" s="86"/>
      <c r="AY875" s="83"/>
      <c r="AZ875" s="84"/>
      <c r="BA875" s="86"/>
      <c r="BB875" s="86"/>
    </row>
    <row r="876" spans="1:55" ht="36.75" customHeight="1">
      <c r="A876" s="30"/>
      <c r="B876" s="30" t="s">
        <v>55</v>
      </c>
      <c r="C876" s="69" t="str">
        <f t="shared" si="57"/>
        <v>Closed</v>
      </c>
      <c r="D876" s="27" t="s">
        <v>4963</v>
      </c>
      <c r="E876" s="29" t="s">
        <v>4964</v>
      </c>
      <c r="F876" s="30" t="s">
        <v>377</v>
      </c>
      <c r="G876" s="89">
        <f>DATE(2010,6,12)</f>
        <v>40341</v>
      </c>
      <c r="H876" s="90">
        <v>1.6</v>
      </c>
      <c r="I876" s="30" t="s">
        <v>116</v>
      </c>
      <c r="J876" s="89" t="s">
        <v>4965</v>
      </c>
      <c r="K876" s="30" t="s">
        <v>379</v>
      </c>
      <c r="L876" s="30" t="s">
        <v>4966</v>
      </c>
      <c r="M876" s="30" t="s">
        <v>63</v>
      </c>
      <c r="N876" s="30">
        <v>0</v>
      </c>
      <c r="O876" s="30" t="s">
        <v>64</v>
      </c>
      <c r="P876" s="89" t="s">
        <v>165</v>
      </c>
      <c r="Q876" s="89" t="s">
        <v>3193</v>
      </c>
      <c r="R876" s="89" t="s">
        <v>382</v>
      </c>
      <c r="S876" s="30">
        <v>0</v>
      </c>
      <c r="T876" s="233">
        <v>0</v>
      </c>
      <c r="U876" s="30">
        <v>0</v>
      </c>
      <c r="V876" s="233">
        <v>0</v>
      </c>
      <c r="W876" s="30">
        <v>0</v>
      </c>
      <c r="X876" s="30">
        <v>0</v>
      </c>
      <c r="Y876" s="30">
        <v>0</v>
      </c>
      <c r="Z876" s="233">
        <v>0</v>
      </c>
      <c r="AA876" s="30">
        <v>0</v>
      </c>
      <c r="AB876" s="30">
        <v>0</v>
      </c>
      <c r="AC876" s="30">
        <v>0</v>
      </c>
      <c r="AD876" s="30">
        <v>0</v>
      </c>
      <c r="AE876" s="89" t="s">
        <v>92</v>
      </c>
      <c r="AF876" s="89"/>
      <c r="AG876" s="89" t="s">
        <v>352</v>
      </c>
      <c r="AH876" s="72" t="s">
        <v>68</v>
      </c>
      <c r="AI876" s="30">
        <v>0</v>
      </c>
      <c r="AJ876" s="89" t="s">
        <v>4967</v>
      </c>
      <c r="AK876" s="89" t="s">
        <v>68</v>
      </c>
      <c r="AL876" s="91">
        <v>40367</v>
      </c>
      <c r="AM876" s="91"/>
      <c r="AN876" s="91"/>
      <c r="AO876" s="91"/>
      <c r="AP876" s="73" t="e">
        <f>MID(VLOOKUP(K876,#REF!,2,FALSE),1,2)</f>
        <v>#REF!</v>
      </c>
      <c r="AQ876" s="89">
        <f>DATE(2010,6,12)</f>
        <v>40341</v>
      </c>
      <c r="AR876" s="82">
        <f t="shared" si="58"/>
        <v>12</v>
      </c>
      <c r="AS876" s="83">
        <f t="shared" si="59"/>
        <v>6</v>
      </c>
      <c r="AT876" s="84">
        <f t="shared" si="60"/>
        <v>2010</v>
      </c>
      <c r="AU876" s="86"/>
      <c r="AV876" s="86"/>
      <c r="AW876" s="87"/>
      <c r="AX876" s="86"/>
      <c r="AY876" s="83"/>
      <c r="AZ876" s="84"/>
      <c r="BA876" s="86"/>
      <c r="BB876" s="86"/>
    </row>
    <row r="877" spans="1:55" ht="36.75" customHeight="1">
      <c r="A877" s="30"/>
      <c r="B877" s="30" t="s">
        <v>55</v>
      </c>
      <c r="C877" s="69" t="str">
        <f t="shared" si="57"/>
        <v>Closed</v>
      </c>
      <c r="D877" s="27" t="s">
        <v>4968</v>
      </c>
      <c r="E877" s="29" t="s">
        <v>4969</v>
      </c>
      <c r="F877" s="30" t="s">
        <v>638</v>
      </c>
      <c r="G877" s="89">
        <f>DATE(2010,6,14)</f>
        <v>40343</v>
      </c>
      <c r="H877" s="90">
        <v>1.3555555555555556</v>
      </c>
      <c r="I877" s="30" t="s">
        <v>73</v>
      </c>
      <c r="J877" s="89" t="s">
        <v>4970</v>
      </c>
      <c r="K877" s="30" t="s">
        <v>640</v>
      </c>
      <c r="L877" s="30" t="s">
        <v>4971</v>
      </c>
      <c r="M877" s="30" t="s">
        <v>63</v>
      </c>
      <c r="N877" s="30">
        <v>0</v>
      </c>
      <c r="O877" s="30" t="s">
        <v>64</v>
      </c>
      <c r="P877" s="89" t="s">
        <v>78</v>
      </c>
      <c r="Q877" s="89" t="s">
        <v>3246</v>
      </c>
      <c r="R877" s="89" t="s">
        <v>3246</v>
      </c>
      <c r="S877" s="30">
        <v>0</v>
      </c>
      <c r="T877" s="233" t="s">
        <v>68</v>
      </c>
      <c r="U877" s="30">
        <v>0</v>
      </c>
      <c r="V877" s="233" t="s">
        <v>68</v>
      </c>
      <c r="W877" s="30">
        <v>0</v>
      </c>
      <c r="X877" s="30">
        <v>0</v>
      </c>
      <c r="Y877" s="30">
        <v>0</v>
      </c>
      <c r="Z877" s="233" t="s">
        <v>68</v>
      </c>
      <c r="AA877" s="30">
        <v>0</v>
      </c>
      <c r="AB877" s="30">
        <v>0</v>
      </c>
      <c r="AC877" s="30">
        <v>0</v>
      </c>
      <c r="AD877" s="30">
        <v>0</v>
      </c>
      <c r="AE877" s="89" t="s">
        <v>68</v>
      </c>
      <c r="AF877" s="89"/>
      <c r="AG877" s="89" t="s">
        <v>352</v>
      </c>
      <c r="AH877" s="72" t="s">
        <v>68</v>
      </c>
      <c r="AI877" s="30">
        <v>1</v>
      </c>
      <c r="AJ877" s="89" t="s">
        <v>4972</v>
      </c>
      <c r="AK877" s="89" t="s">
        <v>4973</v>
      </c>
      <c r="AL877" s="91">
        <v>40365</v>
      </c>
      <c r="AM877" s="91"/>
      <c r="AN877" s="91"/>
      <c r="AO877" s="91"/>
      <c r="AP877" s="73" t="e">
        <f>MID(VLOOKUP(K877,#REF!,2,FALSE),1,2)</f>
        <v>#REF!</v>
      </c>
      <c r="AQ877" s="89">
        <f>DATE(2010,6,14)</f>
        <v>40343</v>
      </c>
      <c r="AR877" s="82">
        <f t="shared" si="58"/>
        <v>14</v>
      </c>
      <c r="AS877" s="83">
        <f t="shared" si="59"/>
        <v>6</v>
      </c>
      <c r="AT877" s="84">
        <f t="shared" si="60"/>
        <v>2010</v>
      </c>
      <c r="AU877" s="86"/>
      <c r="AV877" s="86"/>
      <c r="AW877" s="87"/>
      <c r="AX877" s="86"/>
      <c r="AY877" s="83"/>
      <c r="AZ877" s="84"/>
      <c r="BA877" s="86"/>
      <c r="BB877" s="86"/>
    </row>
    <row r="878" spans="1:55" ht="36.75" customHeight="1">
      <c r="A878" s="30"/>
      <c r="B878" s="30" t="s">
        <v>55</v>
      </c>
      <c r="C878" s="69" t="str">
        <f t="shared" si="57"/>
        <v>Closed</v>
      </c>
      <c r="D878" s="27" t="s">
        <v>4974</v>
      </c>
      <c r="E878" s="29" t="s">
        <v>4975</v>
      </c>
      <c r="F878" s="30" t="s">
        <v>197</v>
      </c>
      <c r="G878" s="89">
        <f>DATE(2010,6,16)</f>
        <v>40345</v>
      </c>
      <c r="H878" s="90">
        <v>1.1298611111111112</v>
      </c>
      <c r="I878" s="30" t="s">
        <v>73</v>
      </c>
      <c r="J878" s="89" t="s">
        <v>4976</v>
      </c>
      <c r="K878" s="30" t="s">
        <v>200</v>
      </c>
      <c r="L878" s="30" t="s">
        <v>4977</v>
      </c>
      <c r="M878" s="30" t="s">
        <v>63</v>
      </c>
      <c r="N878" s="30">
        <v>0</v>
      </c>
      <c r="O878" s="30" t="s">
        <v>64</v>
      </c>
      <c r="P878" s="89" t="s">
        <v>78</v>
      </c>
      <c r="Q878" s="89" t="s">
        <v>1716</v>
      </c>
      <c r="R878" s="89" t="s">
        <v>203</v>
      </c>
      <c r="S878" s="30">
        <v>0</v>
      </c>
      <c r="T878" s="233">
        <v>0</v>
      </c>
      <c r="U878" s="30">
        <v>0</v>
      </c>
      <c r="V878" s="233">
        <v>0</v>
      </c>
      <c r="W878" s="30">
        <v>0</v>
      </c>
      <c r="X878" s="30">
        <v>0</v>
      </c>
      <c r="Y878" s="30">
        <v>0</v>
      </c>
      <c r="Z878" s="233">
        <v>1</v>
      </c>
      <c r="AA878" s="30">
        <v>0</v>
      </c>
      <c r="AB878" s="30">
        <v>0</v>
      </c>
      <c r="AC878" s="30">
        <v>0</v>
      </c>
      <c r="AD878" s="30">
        <v>1</v>
      </c>
      <c r="AE878" s="89" t="s">
        <v>68</v>
      </c>
      <c r="AF878" s="89"/>
      <c r="AG878" s="89" t="s">
        <v>82</v>
      </c>
      <c r="AH878" s="72" t="s">
        <v>68</v>
      </c>
      <c r="AI878" s="30">
        <v>4</v>
      </c>
      <c r="AJ878" s="89" t="s">
        <v>4978</v>
      </c>
      <c r="AK878" s="89" t="s">
        <v>4979</v>
      </c>
      <c r="AL878" s="91">
        <v>40611</v>
      </c>
      <c r="AM878" s="91"/>
      <c r="AN878" s="91"/>
      <c r="AO878" s="91"/>
      <c r="AP878" s="73" t="e">
        <f>MID(VLOOKUP(K878,#REF!,2,FALSE),1,2)</f>
        <v>#REF!</v>
      </c>
      <c r="AQ878" s="89">
        <f>DATE(2010,6,16)</f>
        <v>40345</v>
      </c>
      <c r="AR878" s="82">
        <f t="shared" si="58"/>
        <v>16</v>
      </c>
      <c r="AS878" s="83">
        <f t="shared" si="59"/>
        <v>6</v>
      </c>
      <c r="AT878" s="84">
        <f t="shared" si="60"/>
        <v>2010</v>
      </c>
      <c r="AU878" s="86"/>
      <c r="AV878" s="86"/>
      <c r="AW878" s="87"/>
      <c r="AX878" s="86"/>
      <c r="AY878" s="83"/>
      <c r="AZ878" s="84"/>
      <c r="BA878" s="86"/>
      <c r="BB878" s="86"/>
    </row>
    <row r="879" spans="1:55" ht="36.75" customHeight="1">
      <c r="A879" s="30"/>
      <c r="B879" s="30" t="s">
        <v>55</v>
      </c>
      <c r="C879" s="69" t="str">
        <f t="shared" si="57"/>
        <v>Closed</v>
      </c>
      <c r="D879" s="27" t="s">
        <v>4980</v>
      </c>
      <c r="E879" s="29" t="s">
        <v>4981</v>
      </c>
      <c r="F879" s="30" t="s">
        <v>582</v>
      </c>
      <c r="G879" s="89">
        <f>DATE(2010,6,16)</f>
        <v>40345</v>
      </c>
      <c r="H879" s="90">
        <v>1.9743055555555555</v>
      </c>
      <c r="I879" s="30" t="s">
        <v>73</v>
      </c>
      <c r="J879" s="89" t="s">
        <v>4982</v>
      </c>
      <c r="K879" s="30" t="s">
        <v>584</v>
      </c>
      <c r="L879" s="30" t="s">
        <v>4983</v>
      </c>
      <c r="M879" s="30" t="s">
        <v>63</v>
      </c>
      <c r="N879" s="30" t="s">
        <v>142</v>
      </c>
      <c r="O879" s="30" t="s">
        <v>64</v>
      </c>
      <c r="P879" s="89" t="s">
        <v>216</v>
      </c>
      <c r="Q879" s="89" t="s">
        <v>4984</v>
      </c>
      <c r="R879" s="89" t="s">
        <v>587</v>
      </c>
      <c r="S879" s="30">
        <v>0</v>
      </c>
      <c r="T879" s="233">
        <v>0</v>
      </c>
      <c r="U879" s="30">
        <v>0</v>
      </c>
      <c r="V879" s="233">
        <v>0</v>
      </c>
      <c r="W879" s="30">
        <v>0</v>
      </c>
      <c r="X879" s="30">
        <v>0</v>
      </c>
      <c r="Y879" s="30">
        <v>0</v>
      </c>
      <c r="Z879" s="233">
        <v>1</v>
      </c>
      <c r="AA879" s="30">
        <v>0</v>
      </c>
      <c r="AB879" s="30">
        <v>0</v>
      </c>
      <c r="AC879" s="30">
        <v>0</v>
      </c>
      <c r="AD879" s="30">
        <v>1</v>
      </c>
      <c r="AE879" s="89" t="s">
        <v>145</v>
      </c>
      <c r="AF879" s="89"/>
      <c r="AG879" s="89" t="s">
        <v>82</v>
      </c>
      <c r="AH879" s="72">
        <v>39953</v>
      </c>
      <c r="AI879" s="30">
        <v>0</v>
      </c>
      <c r="AJ879" s="89" t="s">
        <v>4985</v>
      </c>
      <c r="AK879" s="89" t="s">
        <v>1233</v>
      </c>
      <c r="AL879" s="91">
        <v>40347</v>
      </c>
      <c r="AM879" s="91"/>
      <c r="AN879" s="91"/>
      <c r="AO879" s="91"/>
      <c r="AP879" s="73" t="e">
        <f>MID(VLOOKUP(K879,#REF!,2,FALSE),1,2)</f>
        <v>#REF!</v>
      </c>
      <c r="AQ879" s="89">
        <f>DATE(2010,6,16)</f>
        <v>40345</v>
      </c>
      <c r="AR879" s="82">
        <f t="shared" si="58"/>
        <v>16</v>
      </c>
      <c r="AS879" s="83">
        <f t="shared" si="59"/>
        <v>6</v>
      </c>
      <c r="AT879" s="84">
        <f t="shared" si="60"/>
        <v>2010</v>
      </c>
      <c r="AU879" s="86"/>
      <c r="AV879" s="86"/>
      <c r="AW879" s="87"/>
      <c r="AX879" s="86"/>
      <c r="AY879" s="83"/>
      <c r="AZ879" s="84"/>
      <c r="BA879" s="86"/>
      <c r="BB879" s="86"/>
    </row>
    <row r="880" spans="1:55" ht="36.75" customHeight="1">
      <c r="A880" s="30"/>
      <c r="B880" s="30" t="s">
        <v>55</v>
      </c>
      <c r="C880" s="69" t="str">
        <f t="shared" si="57"/>
        <v>Closed</v>
      </c>
      <c r="D880" s="27" t="s">
        <v>4986</v>
      </c>
      <c r="E880" s="29" t="s">
        <v>4987</v>
      </c>
      <c r="F880" s="30" t="s">
        <v>2601</v>
      </c>
      <c r="G880" s="89">
        <f>DATE(2010,6,18)</f>
        <v>40347</v>
      </c>
      <c r="H880" s="90">
        <v>1.6541666666666668</v>
      </c>
      <c r="I880" s="30" t="s">
        <v>116</v>
      </c>
      <c r="J880" s="89" t="s">
        <v>4988</v>
      </c>
      <c r="K880" s="30" t="s">
        <v>2603</v>
      </c>
      <c r="L880" s="30" t="s">
        <v>4989</v>
      </c>
      <c r="M880" s="30" t="s">
        <v>63</v>
      </c>
      <c r="N880" s="30" t="s">
        <v>99</v>
      </c>
      <c r="O880" s="30" t="s">
        <v>64</v>
      </c>
      <c r="P880" s="89" t="s">
        <v>165</v>
      </c>
      <c r="Q880" s="89" t="s">
        <v>2605</v>
      </c>
      <c r="R880" s="89" t="s">
        <v>2606</v>
      </c>
      <c r="S880" s="30">
        <v>0</v>
      </c>
      <c r="T880" s="233">
        <v>0</v>
      </c>
      <c r="U880" s="30">
        <v>1</v>
      </c>
      <c r="V880" s="233">
        <v>0</v>
      </c>
      <c r="W880" s="30">
        <v>0</v>
      </c>
      <c r="X880" s="30">
        <v>1</v>
      </c>
      <c r="Y880" s="30">
        <v>0</v>
      </c>
      <c r="Z880" s="233">
        <v>0</v>
      </c>
      <c r="AA880" s="30">
        <v>0</v>
      </c>
      <c r="AB880" s="30">
        <v>0</v>
      </c>
      <c r="AC880" s="30">
        <v>0</v>
      </c>
      <c r="AD880" s="30">
        <v>0</v>
      </c>
      <c r="AE880" s="89" t="s">
        <v>92</v>
      </c>
      <c r="AF880" s="89"/>
      <c r="AG880" s="89" t="s">
        <v>82</v>
      </c>
      <c r="AH880" s="72">
        <v>40353</v>
      </c>
      <c r="AI880" s="30">
        <v>4</v>
      </c>
      <c r="AJ880" s="89" t="s">
        <v>4990</v>
      </c>
      <c r="AK880" s="89" t="s">
        <v>4991</v>
      </c>
      <c r="AL880" s="91">
        <v>40353</v>
      </c>
      <c r="AM880" s="91"/>
      <c r="AN880" s="91"/>
      <c r="AO880" s="91"/>
      <c r="AP880" s="73" t="e">
        <f>MID(VLOOKUP(K880,#REF!,2,FALSE),1,2)</f>
        <v>#REF!</v>
      </c>
      <c r="AQ880" s="89">
        <f>DATE(2010,6,18)</f>
        <v>40347</v>
      </c>
      <c r="AR880" s="82">
        <f t="shared" si="58"/>
        <v>18</v>
      </c>
      <c r="AS880" s="83">
        <f t="shared" si="59"/>
        <v>6</v>
      </c>
      <c r="AT880" s="84">
        <f t="shared" si="60"/>
        <v>2010</v>
      </c>
      <c r="AU880" s="86"/>
      <c r="AV880" s="86"/>
      <c r="AW880" s="87"/>
      <c r="AX880" s="86"/>
      <c r="AY880" s="83"/>
      <c r="AZ880" s="84"/>
      <c r="BA880" s="86"/>
      <c r="BB880" s="86"/>
    </row>
    <row r="881" spans="1:54" ht="36.75" customHeight="1">
      <c r="A881" s="30"/>
      <c r="B881" s="30" t="s">
        <v>55</v>
      </c>
      <c r="C881" s="69" t="str">
        <f t="shared" si="57"/>
        <v>Closed</v>
      </c>
      <c r="D881" s="27" t="s">
        <v>4992</v>
      </c>
      <c r="E881" s="29" t="s">
        <v>4993</v>
      </c>
      <c r="F881" s="30" t="s">
        <v>377</v>
      </c>
      <c r="G881" s="89">
        <f>DATE(2010,6,21)</f>
        <v>40350</v>
      </c>
      <c r="H881" s="90">
        <v>1.0625</v>
      </c>
      <c r="I881" s="30" t="s">
        <v>4994</v>
      </c>
      <c r="J881" s="89" t="s">
        <v>4995</v>
      </c>
      <c r="K881" s="30" t="s">
        <v>379</v>
      </c>
      <c r="L881" s="30" t="s">
        <v>4996</v>
      </c>
      <c r="M881" s="30" t="s">
        <v>63</v>
      </c>
      <c r="N881" s="30">
        <v>0</v>
      </c>
      <c r="O881" s="30" t="s">
        <v>90</v>
      </c>
      <c r="P881" s="89" t="s">
        <v>78</v>
      </c>
      <c r="Q881" s="89" t="s">
        <v>4997</v>
      </c>
      <c r="R881" s="89" t="s">
        <v>382</v>
      </c>
      <c r="S881" s="30">
        <v>0</v>
      </c>
      <c r="T881" s="233" t="s">
        <v>68</v>
      </c>
      <c r="U881" s="30">
        <v>0</v>
      </c>
      <c r="V881" s="233" t="s">
        <v>68</v>
      </c>
      <c r="W881" s="30">
        <v>0</v>
      </c>
      <c r="X881" s="30">
        <v>0</v>
      </c>
      <c r="Y881" s="30">
        <v>0</v>
      </c>
      <c r="Z881" s="233" t="s">
        <v>68</v>
      </c>
      <c r="AA881" s="30">
        <v>0</v>
      </c>
      <c r="AB881" s="30">
        <v>0</v>
      </c>
      <c r="AC881" s="30">
        <v>0</v>
      </c>
      <c r="AD881" s="30">
        <v>0</v>
      </c>
      <c r="AE881" s="89" t="s">
        <v>68</v>
      </c>
      <c r="AF881" s="89"/>
      <c r="AG881" s="89" t="s">
        <v>352</v>
      </c>
      <c r="AH881" s="72" t="s">
        <v>68</v>
      </c>
      <c r="AI881" s="30">
        <v>2</v>
      </c>
      <c r="AJ881" s="89" t="s">
        <v>68</v>
      </c>
      <c r="AK881" s="89" t="s">
        <v>68</v>
      </c>
      <c r="AL881" s="91">
        <v>40367</v>
      </c>
      <c r="AM881" s="91"/>
      <c r="AN881" s="91"/>
      <c r="AO881" s="91"/>
      <c r="AP881" s="73" t="e">
        <f>MID(VLOOKUP(K881,#REF!,2,FALSE),1,2)</f>
        <v>#REF!</v>
      </c>
      <c r="AQ881" s="89">
        <f>DATE(2010,6,21)</f>
        <v>40350</v>
      </c>
      <c r="AR881" s="82">
        <f t="shared" si="58"/>
        <v>21</v>
      </c>
      <c r="AS881" s="83">
        <f t="shared" si="59"/>
        <v>6</v>
      </c>
      <c r="AT881" s="84">
        <f t="shared" si="60"/>
        <v>2010</v>
      </c>
      <c r="AU881" s="86"/>
      <c r="AV881" s="86"/>
      <c r="AW881" s="87"/>
      <c r="AX881" s="86"/>
      <c r="AY881" s="83"/>
      <c r="AZ881" s="84"/>
      <c r="BA881" s="86"/>
      <c r="BB881" s="86"/>
    </row>
    <row r="882" spans="1:54" ht="36.75" customHeight="1">
      <c r="A882" s="30"/>
      <c r="B882" s="30" t="s">
        <v>55</v>
      </c>
      <c r="C882" s="69" t="str">
        <f t="shared" si="57"/>
        <v>Closed</v>
      </c>
      <c r="D882" s="27" t="s">
        <v>4998</v>
      </c>
      <c r="E882" s="29" t="s">
        <v>4999</v>
      </c>
      <c r="F882" s="30" t="s">
        <v>638</v>
      </c>
      <c r="G882" s="89">
        <f>DATE(2010,6,23)</f>
        <v>40352</v>
      </c>
      <c r="H882" s="90">
        <v>1.9743055555555555</v>
      </c>
      <c r="I882" s="30" t="s">
        <v>278</v>
      </c>
      <c r="J882" s="89" t="s">
        <v>5000</v>
      </c>
      <c r="K882" s="30" t="s">
        <v>640</v>
      </c>
      <c r="L882" s="30" t="s">
        <v>5001</v>
      </c>
      <c r="M882" s="30" t="s">
        <v>63</v>
      </c>
      <c r="N882" s="30">
        <v>0</v>
      </c>
      <c r="O882" s="30" t="s">
        <v>86</v>
      </c>
      <c r="P882" s="89" t="s">
        <v>65</v>
      </c>
      <c r="Q882" s="89" t="s">
        <v>642</v>
      </c>
      <c r="R882" s="89" t="s">
        <v>643</v>
      </c>
      <c r="S882" s="30">
        <v>0</v>
      </c>
      <c r="T882" s="233">
        <v>0</v>
      </c>
      <c r="U882" s="30">
        <v>0</v>
      </c>
      <c r="V882" s="233">
        <v>12</v>
      </c>
      <c r="W882" s="30">
        <v>0</v>
      </c>
      <c r="X882" s="30">
        <v>12</v>
      </c>
      <c r="Y882" s="30">
        <v>0</v>
      </c>
      <c r="Z882" s="233">
        <v>0</v>
      </c>
      <c r="AA882" s="30">
        <v>0</v>
      </c>
      <c r="AB882" s="30">
        <v>10</v>
      </c>
      <c r="AC882" s="30">
        <v>0</v>
      </c>
      <c r="AD882" s="30">
        <v>10</v>
      </c>
      <c r="AE882" s="89" t="s">
        <v>68</v>
      </c>
      <c r="AF882" s="89"/>
      <c r="AG882" s="89" t="s">
        <v>352</v>
      </c>
      <c r="AH882" s="72" t="s">
        <v>68</v>
      </c>
      <c r="AI882" s="30">
        <v>0</v>
      </c>
      <c r="AJ882" s="89" t="s">
        <v>5002</v>
      </c>
      <c r="AK882" s="89" t="s">
        <v>68</v>
      </c>
      <c r="AL882" s="91">
        <v>40365</v>
      </c>
      <c r="AM882" s="91"/>
      <c r="AN882" s="91"/>
      <c r="AO882" s="91"/>
      <c r="AP882" s="73" t="e">
        <f>MID(VLOOKUP(K882,#REF!,2,FALSE),1,2)</f>
        <v>#REF!</v>
      </c>
      <c r="AQ882" s="89">
        <f>DATE(2010,6,23)</f>
        <v>40352</v>
      </c>
      <c r="AR882" s="82">
        <f t="shared" si="58"/>
        <v>23</v>
      </c>
      <c r="AS882" s="83">
        <f t="shared" si="59"/>
        <v>6</v>
      </c>
      <c r="AT882" s="84">
        <f t="shared" si="60"/>
        <v>2010</v>
      </c>
      <c r="AU882" s="86"/>
      <c r="AV882" s="86"/>
      <c r="AW882" s="87"/>
      <c r="AX882" s="86"/>
      <c r="AY882" s="83"/>
      <c r="AZ882" s="84"/>
      <c r="BA882" s="86"/>
      <c r="BB882" s="86"/>
    </row>
    <row r="883" spans="1:54" ht="36.75" customHeight="1">
      <c r="A883" s="30"/>
      <c r="B883" s="30" t="s">
        <v>55</v>
      </c>
      <c r="C883" s="69" t="str">
        <f t="shared" si="57"/>
        <v>Closed</v>
      </c>
      <c r="D883" s="27" t="s">
        <v>5003</v>
      </c>
      <c r="E883" s="29" t="s">
        <v>5004</v>
      </c>
      <c r="F883" s="30" t="s">
        <v>58</v>
      </c>
      <c r="G883" s="89">
        <f>DATE(2010,6,23)</f>
        <v>40352</v>
      </c>
      <c r="H883" s="90">
        <v>1.6555555555555554</v>
      </c>
      <c r="I883" s="30" t="s">
        <v>116</v>
      </c>
      <c r="J883" s="89" t="s">
        <v>5005</v>
      </c>
      <c r="K883" s="30" t="s">
        <v>61</v>
      </c>
      <c r="L883" s="30" t="s">
        <v>5006</v>
      </c>
      <c r="M883" s="30" t="s">
        <v>63</v>
      </c>
      <c r="N883" s="30">
        <v>0</v>
      </c>
      <c r="O883" s="30" t="s">
        <v>64</v>
      </c>
      <c r="P883" s="89" t="s">
        <v>78</v>
      </c>
      <c r="Q883" s="89" t="s">
        <v>66</v>
      </c>
      <c r="R883" s="89" t="s">
        <v>67</v>
      </c>
      <c r="S883" s="30">
        <v>0</v>
      </c>
      <c r="T883" s="233" t="s">
        <v>68</v>
      </c>
      <c r="U883" s="30">
        <v>0</v>
      </c>
      <c r="V883" s="233" t="s">
        <v>68</v>
      </c>
      <c r="W883" s="30">
        <v>0</v>
      </c>
      <c r="X883" s="30">
        <v>0</v>
      </c>
      <c r="Y883" s="30">
        <v>0</v>
      </c>
      <c r="Z883" s="233" t="s">
        <v>68</v>
      </c>
      <c r="AA883" s="30">
        <v>0</v>
      </c>
      <c r="AB883" s="30">
        <v>0</v>
      </c>
      <c r="AC883" s="30">
        <v>0</v>
      </c>
      <c r="AD883" s="30">
        <v>0</v>
      </c>
      <c r="AE883" s="89" t="s">
        <v>68</v>
      </c>
      <c r="AF883" s="89"/>
      <c r="AG883" s="89" t="s">
        <v>133</v>
      </c>
      <c r="AH883" s="72" t="s">
        <v>68</v>
      </c>
      <c r="AI883" s="30">
        <v>0</v>
      </c>
      <c r="AJ883" s="89" t="s">
        <v>5007</v>
      </c>
      <c r="AK883" s="89" t="s">
        <v>5008</v>
      </c>
      <c r="AL883" s="91">
        <v>40374</v>
      </c>
      <c r="AM883" s="91"/>
      <c r="AN883" s="91"/>
      <c r="AO883" s="91"/>
      <c r="AP883" s="73" t="e">
        <f>MID(VLOOKUP(K883,#REF!,2,FALSE),1,2)</f>
        <v>#REF!</v>
      </c>
      <c r="AQ883" s="89">
        <f>DATE(2010,6,23)</f>
        <v>40352</v>
      </c>
      <c r="AR883" s="82">
        <f t="shared" si="58"/>
        <v>23</v>
      </c>
      <c r="AS883" s="83">
        <f t="shared" si="59"/>
        <v>6</v>
      </c>
      <c r="AT883" s="84">
        <f t="shared" si="60"/>
        <v>2010</v>
      </c>
      <c r="AU883" s="86"/>
      <c r="AV883" s="86"/>
      <c r="AW883" s="87"/>
      <c r="AX883" s="86"/>
      <c r="AY883" s="83"/>
      <c r="AZ883" s="84"/>
      <c r="BA883" s="86"/>
      <c r="BB883" s="86"/>
    </row>
    <row r="884" spans="1:54" ht="36.75" customHeight="1">
      <c r="A884" s="30"/>
      <c r="B884" s="30" t="s">
        <v>55</v>
      </c>
      <c r="C884" s="69" t="str">
        <f t="shared" si="57"/>
        <v>Closed</v>
      </c>
      <c r="D884" s="27" t="s">
        <v>5009</v>
      </c>
      <c r="E884" s="29" t="s">
        <v>5010</v>
      </c>
      <c r="F884" s="30" t="s">
        <v>638</v>
      </c>
      <c r="G884" s="89">
        <f>DATE(2010,6,26)</f>
        <v>40355</v>
      </c>
      <c r="H884" s="90">
        <v>1.0194444444444444</v>
      </c>
      <c r="I884" s="30" t="s">
        <v>278</v>
      </c>
      <c r="J884" s="89" t="s">
        <v>5011</v>
      </c>
      <c r="K884" s="30" t="s">
        <v>640</v>
      </c>
      <c r="L884" s="30" t="s">
        <v>5012</v>
      </c>
      <c r="M884" s="30" t="s">
        <v>63</v>
      </c>
      <c r="N884" s="30">
        <v>0</v>
      </c>
      <c r="O884" s="30" t="s">
        <v>77</v>
      </c>
      <c r="P884" s="89" t="s">
        <v>165</v>
      </c>
      <c r="Q884" s="89" t="s">
        <v>642</v>
      </c>
      <c r="R884" s="89" t="s">
        <v>643</v>
      </c>
      <c r="S884" s="30">
        <v>0</v>
      </c>
      <c r="T884" s="233" t="s">
        <v>68</v>
      </c>
      <c r="U884" s="30">
        <v>0</v>
      </c>
      <c r="V884" s="233" t="s">
        <v>68</v>
      </c>
      <c r="W884" s="30">
        <v>0</v>
      </c>
      <c r="X884" s="30">
        <v>0</v>
      </c>
      <c r="Y884" s="30">
        <v>0</v>
      </c>
      <c r="Z884" s="233" t="s">
        <v>68</v>
      </c>
      <c r="AA884" s="30">
        <v>0</v>
      </c>
      <c r="AB884" s="30">
        <v>0</v>
      </c>
      <c r="AC884" s="30">
        <v>0</v>
      </c>
      <c r="AD884" s="30">
        <v>0</v>
      </c>
      <c r="AE884" s="89" t="s">
        <v>68</v>
      </c>
      <c r="AF884" s="89"/>
      <c r="AG884" s="89" t="s">
        <v>248</v>
      </c>
      <c r="AH884" s="72" t="s">
        <v>68</v>
      </c>
      <c r="AI884" s="30">
        <v>2</v>
      </c>
      <c r="AJ884" s="89" t="s">
        <v>5013</v>
      </c>
      <c r="AK884" s="89" t="s">
        <v>68</v>
      </c>
      <c r="AL884" s="91">
        <v>40365</v>
      </c>
      <c r="AM884" s="91"/>
      <c r="AN884" s="91"/>
      <c r="AO884" s="91"/>
      <c r="AP884" s="73" t="e">
        <f>MID(VLOOKUP(K884,#REF!,2,FALSE),1,2)</f>
        <v>#REF!</v>
      </c>
      <c r="AQ884" s="89">
        <f>DATE(2010,6,26)</f>
        <v>40355</v>
      </c>
      <c r="AR884" s="82">
        <f t="shared" si="58"/>
        <v>26</v>
      </c>
      <c r="AS884" s="83">
        <f t="shared" si="59"/>
        <v>6</v>
      </c>
      <c r="AT884" s="84">
        <f t="shared" si="60"/>
        <v>2010</v>
      </c>
      <c r="AU884" s="86"/>
      <c r="AV884" s="86"/>
      <c r="AW884" s="87"/>
      <c r="AX884" s="86"/>
      <c r="AY884" s="83"/>
      <c r="AZ884" s="84"/>
      <c r="BA884" s="86"/>
      <c r="BB884" s="86"/>
    </row>
    <row r="885" spans="1:54" ht="36.75" customHeight="1">
      <c r="A885" s="30"/>
      <c r="B885" s="30" t="s">
        <v>55</v>
      </c>
      <c r="C885" s="69" t="str">
        <f t="shared" si="57"/>
        <v>Closed</v>
      </c>
      <c r="D885" s="27" t="s">
        <v>5014</v>
      </c>
      <c r="E885" s="29" t="s">
        <v>5015</v>
      </c>
      <c r="F885" s="30" t="s">
        <v>1938</v>
      </c>
      <c r="G885" s="89">
        <f>DATE(2010,6,27)</f>
        <v>40356</v>
      </c>
      <c r="H885" s="90">
        <v>1.9270833333333335</v>
      </c>
      <c r="I885" s="30" t="s">
        <v>116</v>
      </c>
      <c r="J885" s="89" t="s">
        <v>5016</v>
      </c>
      <c r="K885" s="30" t="s">
        <v>1940</v>
      </c>
      <c r="L885" s="30" t="s">
        <v>5017</v>
      </c>
      <c r="M885" s="30" t="s">
        <v>63</v>
      </c>
      <c r="N885" s="30">
        <v>0</v>
      </c>
      <c r="O885" s="30" t="s">
        <v>64</v>
      </c>
      <c r="P885" s="89" t="s">
        <v>165</v>
      </c>
      <c r="Q885" s="89" t="s">
        <v>1942</v>
      </c>
      <c r="R885" s="89" t="s">
        <v>1942</v>
      </c>
      <c r="S885" s="30">
        <v>0</v>
      </c>
      <c r="T885" s="233">
        <v>0</v>
      </c>
      <c r="U885" s="30">
        <v>1</v>
      </c>
      <c r="V885" s="233">
        <v>0</v>
      </c>
      <c r="W885" s="30">
        <v>0</v>
      </c>
      <c r="X885" s="30">
        <v>1</v>
      </c>
      <c r="Y885" s="30">
        <v>0</v>
      </c>
      <c r="Z885" s="233">
        <v>0</v>
      </c>
      <c r="AA885" s="30">
        <v>0</v>
      </c>
      <c r="AB885" s="30">
        <v>0</v>
      </c>
      <c r="AC885" s="30">
        <v>0</v>
      </c>
      <c r="AD885" s="30">
        <v>0</v>
      </c>
      <c r="AE885" s="89" t="s">
        <v>68</v>
      </c>
      <c r="AF885" s="89"/>
      <c r="AG885" s="89" t="s">
        <v>82</v>
      </c>
      <c r="AH885" s="72" t="s">
        <v>68</v>
      </c>
      <c r="AI885" s="30">
        <v>4</v>
      </c>
      <c r="AJ885" s="89" t="s">
        <v>5018</v>
      </c>
      <c r="AK885" s="89" t="s">
        <v>5019</v>
      </c>
      <c r="AL885" s="91">
        <v>40403</v>
      </c>
      <c r="AM885" s="91"/>
      <c r="AN885" s="91"/>
      <c r="AO885" s="91"/>
      <c r="AP885" s="73" t="e">
        <f>MID(VLOOKUP(K885,#REF!,2,FALSE),1,2)</f>
        <v>#REF!</v>
      </c>
      <c r="AQ885" s="89">
        <f>DATE(2010,6,27)</f>
        <v>40356</v>
      </c>
      <c r="AR885" s="82">
        <f t="shared" si="58"/>
        <v>27</v>
      </c>
      <c r="AS885" s="83">
        <f t="shared" si="59"/>
        <v>6</v>
      </c>
      <c r="AT885" s="84">
        <f t="shared" si="60"/>
        <v>2010</v>
      </c>
      <c r="AU885" s="86"/>
      <c r="AV885" s="86"/>
      <c r="AW885" s="87"/>
      <c r="AX885" s="86"/>
      <c r="AY885" s="83"/>
      <c r="AZ885" s="84"/>
      <c r="BA885" s="86"/>
      <c r="BB885" s="86"/>
    </row>
    <row r="886" spans="1:54" ht="36.75" customHeight="1">
      <c r="A886" s="30"/>
      <c r="B886" s="30" t="s">
        <v>55</v>
      </c>
      <c r="C886" s="69" t="str">
        <f t="shared" si="57"/>
        <v>Closed</v>
      </c>
      <c r="D886" s="27" t="s">
        <v>5020</v>
      </c>
      <c r="E886" s="29" t="s">
        <v>5021</v>
      </c>
      <c r="F886" s="30" t="s">
        <v>423</v>
      </c>
      <c r="G886" s="89">
        <f>DATE(2010,6,28)</f>
        <v>40357</v>
      </c>
      <c r="H886" s="90">
        <v>1.6993055555555556</v>
      </c>
      <c r="I886" s="30" t="s">
        <v>73</v>
      </c>
      <c r="J886" s="89" t="s">
        <v>5022</v>
      </c>
      <c r="K886" s="30" t="s">
        <v>425</v>
      </c>
      <c r="L886" s="30" t="s">
        <v>5023</v>
      </c>
      <c r="M886" s="30" t="s">
        <v>63</v>
      </c>
      <c r="N886" s="30">
        <v>0</v>
      </c>
      <c r="O886" s="30" t="s">
        <v>77</v>
      </c>
      <c r="P886" s="89" t="s">
        <v>165</v>
      </c>
      <c r="Q886" s="89" t="s">
        <v>427</v>
      </c>
      <c r="R886" s="89" t="s">
        <v>3103</v>
      </c>
      <c r="S886" s="30">
        <v>0</v>
      </c>
      <c r="T886" s="233">
        <v>1</v>
      </c>
      <c r="U886" s="30">
        <v>0</v>
      </c>
      <c r="V886" s="233">
        <v>0</v>
      </c>
      <c r="W886" s="30">
        <v>0</v>
      </c>
      <c r="X886" s="30">
        <v>1</v>
      </c>
      <c r="Y886" s="30">
        <v>8</v>
      </c>
      <c r="Z886" s="233">
        <v>1</v>
      </c>
      <c r="AA886" s="30">
        <v>0</v>
      </c>
      <c r="AB886" s="30">
        <v>0</v>
      </c>
      <c r="AC886" s="30">
        <v>0</v>
      </c>
      <c r="AD886" s="30">
        <v>9</v>
      </c>
      <c r="AE886" s="89" t="s">
        <v>68</v>
      </c>
      <c r="AF886" s="89"/>
      <c r="AG886" s="89" t="s">
        <v>82</v>
      </c>
      <c r="AH886" s="72" t="s">
        <v>68</v>
      </c>
      <c r="AI886" s="30">
        <v>3</v>
      </c>
      <c r="AJ886" s="89" t="s">
        <v>5024</v>
      </c>
      <c r="AK886" s="89" t="s">
        <v>5025</v>
      </c>
      <c r="AL886" s="91">
        <v>40371</v>
      </c>
      <c r="AM886" s="91"/>
      <c r="AN886" s="91"/>
      <c r="AO886" s="91"/>
      <c r="AP886" s="73" t="e">
        <f>MID(VLOOKUP(K886,#REF!,2,FALSE),1,2)</f>
        <v>#REF!</v>
      </c>
      <c r="AQ886" s="89">
        <f>DATE(2010,6,28)</f>
        <v>40357</v>
      </c>
      <c r="AR886" s="82">
        <f t="shared" si="58"/>
        <v>28</v>
      </c>
      <c r="AS886" s="83">
        <f t="shared" si="59"/>
        <v>6</v>
      </c>
      <c r="AT886" s="84">
        <f t="shared" si="60"/>
        <v>2010</v>
      </c>
      <c r="AU886" s="86"/>
      <c r="AV886" s="86"/>
      <c r="AW886" s="87"/>
      <c r="AX886" s="86"/>
      <c r="AY886" s="83"/>
      <c r="AZ886" s="84"/>
      <c r="BA886" s="86"/>
      <c r="BB886" s="86"/>
    </row>
    <row r="887" spans="1:54" ht="36.75" customHeight="1">
      <c r="A887" s="30"/>
      <c r="B887" s="30" t="s">
        <v>55</v>
      </c>
      <c r="C887" s="69" t="str">
        <f t="shared" si="57"/>
        <v>Closed</v>
      </c>
      <c r="D887" s="27" t="s">
        <v>5026</v>
      </c>
      <c r="E887" s="29" t="s">
        <v>5027</v>
      </c>
      <c r="F887" s="30" t="s">
        <v>638</v>
      </c>
      <c r="G887" s="89">
        <f>DATE(2010,6,29)</f>
        <v>40358</v>
      </c>
      <c r="H887" s="90">
        <v>1.3798611111111112</v>
      </c>
      <c r="I887" s="30" t="s">
        <v>104</v>
      </c>
      <c r="J887" s="89" t="s">
        <v>5028</v>
      </c>
      <c r="K887" s="30" t="s">
        <v>640</v>
      </c>
      <c r="L887" s="30" t="s">
        <v>5029</v>
      </c>
      <c r="M887" s="30" t="s">
        <v>63</v>
      </c>
      <c r="N887" s="30">
        <v>0</v>
      </c>
      <c r="O887" s="30" t="s">
        <v>77</v>
      </c>
      <c r="P887" s="89" t="s">
        <v>86</v>
      </c>
      <c r="Q887" s="89" t="s">
        <v>642</v>
      </c>
      <c r="R887" s="89" t="s">
        <v>643</v>
      </c>
      <c r="S887" s="30">
        <v>0</v>
      </c>
      <c r="T887" s="233" t="s">
        <v>68</v>
      </c>
      <c r="U887" s="30">
        <v>0</v>
      </c>
      <c r="V887" s="233" t="s">
        <v>68</v>
      </c>
      <c r="W887" s="30">
        <v>0</v>
      </c>
      <c r="X887" s="30">
        <v>0</v>
      </c>
      <c r="Y887" s="30">
        <v>0</v>
      </c>
      <c r="Z887" s="233" t="s">
        <v>68</v>
      </c>
      <c r="AA887" s="30">
        <v>0</v>
      </c>
      <c r="AB887" s="30">
        <v>0</v>
      </c>
      <c r="AC887" s="30">
        <v>0</v>
      </c>
      <c r="AD887" s="30">
        <v>0</v>
      </c>
      <c r="AE887" s="89" t="s">
        <v>68</v>
      </c>
      <c r="AF887" s="89"/>
      <c r="AG887" s="89" t="s">
        <v>352</v>
      </c>
      <c r="AH887" s="72" t="s">
        <v>68</v>
      </c>
      <c r="AI887" s="30">
        <v>0</v>
      </c>
      <c r="AJ887" s="89" t="s">
        <v>5030</v>
      </c>
      <c r="AK887" s="89" t="s">
        <v>68</v>
      </c>
      <c r="AL887" s="91">
        <v>40450</v>
      </c>
      <c r="AM887" s="91"/>
      <c r="AN887" s="91"/>
      <c r="AO887" s="91"/>
      <c r="AP887" s="73" t="e">
        <f>MID(VLOOKUP(K887,#REF!,2,FALSE),1,2)</f>
        <v>#REF!</v>
      </c>
      <c r="AQ887" s="89">
        <f>DATE(2010,6,29)</f>
        <v>40358</v>
      </c>
      <c r="AR887" s="82">
        <f t="shared" si="58"/>
        <v>29</v>
      </c>
      <c r="AS887" s="83">
        <f t="shared" si="59"/>
        <v>6</v>
      </c>
      <c r="AT887" s="84">
        <f t="shared" si="60"/>
        <v>2010</v>
      </c>
      <c r="AU887" s="86"/>
      <c r="AV887" s="86"/>
      <c r="AW887" s="87"/>
      <c r="AX887" s="86"/>
      <c r="AY887" s="83"/>
      <c r="AZ887" s="84"/>
      <c r="BA887" s="86"/>
      <c r="BB887" s="86"/>
    </row>
    <row r="888" spans="1:54" ht="36.75" customHeight="1">
      <c r="A888" s="30"/>
      <c r="B888" s="30" t="s">
        <v>55</v>
      </c>
      <c r="C888" s="69" t="str">
        <f t="shared" si="57"/>
        <v>Closed</v>
      </c>
      <c r="D888" s="27" t="s">
        <v>5031</v>
      </c>
      <c r="E888" s="29" t="s">
        <v>5032</v>
      </c>
      <c r="F888" s="30" t="s">
        <v>377</v>
      </c>
      <c r="G888" s="89">
        <f>DATE(2010,6,30)</f>
        <v>40359</v>
      </c>
      <c r="H888" s="90">
        <v>1.8715277777777777</v>
      </c>
      <c r="I888" s="30" t="s">
        <v>104</v>
      </c>
      <c r="J888" s="89" t="s">
        <v>5033</v>
      </c>
      <c r="K888" s="30" t="s">
        <v>379</v>
      </c>
      <c r="L888" s="30" t="s">
        <v>5034</v>
      </c>
      <c r="M888" s="30" t="s">
        <v>63</v>
      </c>
      <c r="N888" s="30">
        <v>0</v>
      </c>
      <c r="O888" s="30" t="s">
        <v>77</v>
      </c>
      <c r="P888" s="89" t="s">
        <v>78</v>
      </c>
      <c r="Q888" s="89" t="s">
        <v>5035</v>
      </c>
      <c r="R888" s="89" t="s">
        <v>382</v>
      </c>
      <c r="S888" s="30">
        <v>0</v>
      </c>
      <c r="T888" s="233" t="s">
        <v>68</v>
      </c>
      <c r="U888" s="30">
        <v>0</v>
      </c>
      <c r="V888" s="233" t="s">
        <v>68</v>
      </c>
      <c r="W888" s="30">
        <v>0</v>
      </c>
      <c r="X888" s="30">
        <v>0</v>
      </c>
      <c r="Y888" s="30">
        <v>0</v>
      </c>
      <c r="Z888" s="233" t="s">
        <v>68</v>
      </c>
      <c r="AA888" s="30">
        <v>0</v>
      </c>
      <c r="AB888" s="30">
        <v>0</v>
      </c>
      <c r="AC888" s="30">
        <v>0</v>
      </c>
      <c r="AD888" s="30">
        <v>0</v>
      </c>
      <c r="AE888" s="89" t="s">
        <v>68</v>
      </c>
      <c r="AF888" s="89"/>
      <c r="AG888" s="89" t="s">
        <v>352</v>
      </c>
      <c r="AH888" s="72" t="s">
        <v>68</v>
      </c>
      <c r="AI888" s="30">
        <v>0</v>
      </c>
      <c r="AJ888" s="89" t="s">
        <v>68</v>
      </c>
      <c r="AK888" s="89" t="s">
        <v>68</v>
      </c>
      <c r="AL888" s="91">
        <v>40367</v>
      </c>
      <c r="AM888" s="91"/>
      <c r="AN888" s="91"/>
      <c r="AO888" s="91"/>
      <c r="AP888" s="73" t="e">
        <f>MID(VLOOKUP(K888,#REF!,2,FALSE),1,2)</f>
        <v>#REF!</v>
      </c>
      <c r="AQ888" s="89">
        <f>DATE(2010,6,30)</f>
        <v>40359</v>
      </c>
      <c r="AR888" s="82">
        <f t="shared" si="58"/>
        <v>30</v>
      </c>
      <c r="AS888" s="83">
        <f t="shared" si="59"/>
        <v>6</v>
      </c>
      <c r="AT888" s="84">
        <f t="shared" si="60"/>
        <v>2010</v>
      </c>
      <c r="AU888" s="86"/>
      <c r="AV888" s="86"/>
      <c r="AW888" s="87"/>
      <c r="AX888" s="86"/>
      <c r="AY888" s="83"/>
      <c r="AZ888" s="84"/>
      <c r="BA888" s="86"/>
      <c r="BB888" s="86"/>
    </row>
    <row r="889" spans="1:54" ht="36.75" customHeight="1">
      <c r="A889" s="30"/>
      <c r="B889" s="30" t="s">
        <v>55</v>
      </c>
      <c r="C889" s="69" t="str">
        <f t="shared" si="57"/>
        <v>Closed</v>
      </c>
      <c r="D889" s="27" t="s">
        <v>5036</v>
      </c>
      <c r="E889" s="29" t="s">
        <v>5037</v>
      </c>
      <c r="F889" s="30" t="s">
        <v>1938</v>
      </c>
      <c r="G889" s="89">
        <f>DATE(2010,7,2)</f>
        <v>40361</v>
      </c>
      <c r="H889" s="90">
        <v>1.4375</v>
      </c>
      <c r="I889" s="30" t="s">
        <v>156</v>
      </c>
      <c r="J889" s="89" t="s">
        <v>5038</v>
      </c>
      <c r="K889" s="30" t="s">
        <v>1940</v>
      </c>
      <c r="L889" s="30" t="s">
        <v>5039</v>
      </c>
      <c r="M889" s="30" t="s">
        <v>63</v>
      </c>
      <c r="N889" s="30">
        <v>0</v>
      </c>
      <c r="O889" s="30" t="s">
        <v>64</v>
      </c>
      <c r="P889" s="89" t="s">
        <v>301</v>
      </c>
      <c r="Q889" s="89" t="s">
        <v>1942</v>
      </c>
      <c r="R889" s="89" t="s">
        <v>1942</v>
      </c>
      <c r="S889" s="30">
        <v>0</v>
      </c>
      <c r="T889" s="233" t="s">
        <v>68</v>
      </c>
      <c r="U889" s="30">
        <v>0</v>
      </c>
      <c r="V889" s="233" t="s">
        <v>68</v>
      </c>
      <c r="W889" s="30">
        <v>0</v>
      </c>
      <c r="X889" s="30">
        <v>0</v>
      </c>
      <c r="Y889" s="30">
        <v>0</v>
      </c>
      <c r="Z889" s="233" t="s">
        <v>68</v>
      </c>
      <c r="AA889" s="30">
        <v>0</v>
      </c>
      <c r="AB889" s="30">
        <v>0</v>
      </c>
      <c r="AC889" s="30">
        <v>0</v>
      </c>
      <c r="AD889" s="30">
        <v>0</v>
      </c>
      <c r="AE889" s="89" t="s">
        <v>68</v>
      </c>
      <c r="AF889" s="89"/>
      <c r="AG889" s="89" t="s">
        <v>352</v>
      </c>
      <c r="AH889" s="72" t="s">
        <v>68</v>
      </c>
      <c r="AI889" s="30">
        <v>2</v>
      </c>
      <c r="AJ889" s="89" t="s">
        <v>5040</v>
      </c>
      <c r="AK889" s="89" t="s">
        <v>5041</v>
      </c>
      <c r="AL889" s="91">
        <v>40366</v>
      </c>
      <c r="AM889" s="91"/>
      <c r="AN889" s="91"/>
      <c r="AO889" s="91"/>
      <c r="AP889" s="73" t="e">
        <f>MID(VLOOKUP(K889,#REF!,2,FALSE),1,2)</f>
        <v>#REF!</v>
      </c>
      <c r="AQ889" s="89">
        <f>DATE(2010,7,2)</f>
        <v>40361</v>
      </c>
      <c r="AR889" s="82">
        <f t="shared" si="58"/>
        <v>2</v>
      </c>
      <c r="AS889" s="83">
        <f t="shared" si="59"/>
        <v>7</v>
      </c>
      <c r="AT889" s="84">
        <f t="shared" si="60"/>
        <v>2010</v>
      </c>
      <c r="AU889" s="86"/>
      <c r="AV889" s="86"/>
      <c r="AW889" s="87"/>
      <c r="AX889" s="86"/>
      <c r="AY889" s="83"/>
      <c r="AZ889" s="84"/>
      <c r="BA889" s="86"/>
      <c r="BB889" s="86"/>
    </row>
    <row r="890" spans="1:54" ht="36.75" customHeight="1">
      <c r="A890" s="30"/>
      <c r="B890" s="30" t="s">
        <v>55</v>
      </c>
      <c r="C890" s="69" t="str">
        <f t="shared" si="57"/>
        <v>Closed</v>
      </c>
      <c r="D890" s="27" t="s">
        <v>5042</v>
      </c>
      <c r="E890" s="29" t="s">
        <v>5043</v>
      </c>
      <c r="F890" s="30" t="s">
        <v>2601</v>
      </c>
      <c r="G890" s="89">
        <f>DATE(2010,7,3)</f>
        <v>40362</v>
      </c>
      <c r="H890" s="90">
        <v>1.2777777777777777</v>
      </c>
      <c r="I890" s="30" t="s">
        <v>125</v>
      </c>
      <c r="J890" s="89" t="s">
        <v>5044</v>
      </c>
      <c r="K890" s="30" t="s">
        <v>2603</v>
      </c>
      <c r="L890" s="30" t="s">
        <v>5045</v>
      </c>
      <c r="M890" s="30" t="s">
        <v>63</v>
      </c>
      <c r="N890" s="30" t="s">
        <v>142</v>
      </c>
      <c r="O890" s="30" t="s">
        <v>64</v>
      </c>
      <c r="P890" s="89" t="s">
        <v>165</v>
      </c>
      <c r="Q890" s="89" t="s">
        <v>2605</v>
      </c>
      <c r="R890" s="89" t="s">
        <v>2606</v>
      </c>
      <c r="S890" s="30">
        <v>0</v>
      </c>
      <c r="T890" s="233">
        <v>0</v>
      </c>
      <c r="U890" s="30">
        <v>0</v>
      </c>
      <c r="V890" s="233">
        <v>0</v>
      </c>
      <c r="W890" s="30">
        <v>0</v>
      </c>
      <c r="X890" s="30">
        <v>0</v>
      </c>
      <c r="Y890" s="30">
        <v>0</v>
      </c>
      <c r="Z890" s="233">
        <v>0</v>
      </c>
      <c r="AA890" s="30">
        <v>0</v>
      </c>
      <c r="AB890" s="30">
        <v>0</v>
      </c>
      <c r="AC890" s="30">
        <v>0</v>
      </c>
      <c r="AD890" s="30">
        <v>0</v>
      </c>
      <c r="AE890" s="89" t="s">
        <v>92</v>
      </c>
      <c r="AF890" s="89"/>
      <c r="AG890" s="89" t="s">
        <v>352</v>
      </c>
      <c r="AH890" s="72">
        <v>40364</v>
      </c>
      <c r="AI890" s="30">
        <v>7</v>
      </c>
      <c r="AJ890" s="89" t="s">
        <v>5046</v>
      </c>
      <c r="AK890" s="89" t="s">
        <v>5047</v>
      </c>
      <c r="AL890" s="91">
        <v>40373</v>
      </c>
      <c r="AM890" s="91"/>
      <c r="AN890" s="91"/>
      <c r="AO890" s="91"/>
      <c r="AP890" s="73" t="e">
        <f>MID(VLOOKUP(K890,#REF!,2,FALSE),1,2)</f>
        <v>#REF!</v>
      </c>
      <c r="AQ890" s="89">
        <f>DATE(2010,7,3)</f>
        <v>40362</v>
      </c>
      <c r="AR890" s="82">
        <f t="shared" si="58"/>
        <v>3</v>
      </c>
      <c r="AS890" s="83">
        <f t="shared" si="59"/>
        <v>7</v>
      </c>
      <c r="AT890" s="84">
        <f t="shared" si="60"/>
        <v>2010</v>
      </c>
      <c r="AU890" s="86"/>
      <c r="AV890" s="86"/>
      <c r="AW890" s="87"/>
      <c r="AX890" s="86"/>
      <c r="AY890" s="83"/>
      <c r="AZ890" s="84"/>
      <c r="BA890" s="86"/>
      <c r="BB890" s="86"/>
    </row>
    <row r="891" spans="1:54" ht="36.75" customHeight="1">
      <c r="A891" s="30"/>
      <c r="B891" s="30" t="s">
        <v>55</v>
      </c>
      <c r="C891" s="69" t="str">
        <f t="shared" si="57"/>
        <v>Closed</v>
      </c>
      <c r="D891" s="27" t="s">
        <v>5048</v>
      </c>
      <c r="E891" s="29" t="s">
        <v>5049</v>
      </c>
      <c r="F891" s="30" t="s">
        <v>423</v>
      </c>
      <c r="G891" s="89">
        <f>DATE(2010,7,3)</f>
        <v>40362</v>
      </c>
      <c r="H891" s="90">
        <v>1.5444444444444443</v>
      </c>
      <c r="I891" s="30" t="s">
        <v>198</v>
      </c>
      <c r="J891" s="89" t="s">
        <v>5050</v>
      </c>
      <c r="K891" s="30" t="s">
        <v>425</v>
      </c>
      <c r="L891" s="30" t="s">
        <v>5051</v>
      </c>
      <c r="M891" s="30" t="s">
        <v>63</v>
      </c>
      <c r="N891" s="30">
        <v>0</v>
      </c>
      <c r="O891" s="30" t="s">
        <v>77</v>
      </c>
      <c r="P891" s="89" t="s">
        <v>2551</v>
      </c>
      <c r="Q891" s="89" t="s">
        <v>5052</v>
      </c>
      <c r="R891" s="89" t="s">
        <v>3103</v>
      </c>
      <c r="S891" s="30">
        <v>0</v>
      </c>
      <c r="T891" s="233" t="s">
        <v>68</v>
      </c>
      <c r="U891" s="30">
        <v>0</v>
      </c>
      <c r="V891" s="233" t="s">
        <v>68</v>
      </c>
      <c r="W891" s="30">
        <v>0</v>
      </c>
      <c r="X891" s="30">
        <v>0</v>
      </c>
      <c r="Y891" s="30">
        <v>0</v>
      </c>
      <c r="Z891" s="233" t="s">
        <v>68</v>
      </c>
      <c r="AA891" s="30">
        <v>0</v>
      </c>
      <c r="AB891" s="30">
        <v>0</v>
      </c>
      <c r="AC891" s="30">
        <v>0</v>
      </c>
      <c r="AD891" s="30">
        <v>0</v>
      </c>
      <c r="AE891" s="89" t="s">
        <v>68</v>
      </c>
      <c r="AF891" s="89"/>
      <c r="AG891" s="89" t="s">
        <v>133</v>
      </c>
      <c r="AH891" s="72" t="s">
        <v>68</v>
      </c>
      <c r="AI891" s="30">
        <v>0</v>
      </c>
      <c r="AJ891" s="89" t="s">
        <v>5053</v>
      </c>
      <c r="AK891" s="89" t="s">
        <v>5054</v>
      </c>
      <c r="AL891" s="91">
        <v>40372</v>
      </c>
      <c r="AM891" s="91"/>
      <c r="AN891" s="91"/>
      <c r="AO891" s="91"/>
      <c r="AP891" s="73" t="e">
        <f>MID(VLOOKUP(K891,#REF!,2,FALSE),1,2)</f>
        <v>#REF!</v>
      </c>
      <c r="AQ891" s="89">
        <f>DATE(2010,7,3)</f>
        <v>40362</v>
      </c>
      <c r="AR891" s="82">
        <f t="shared" si="58"/>
        <v>3</v>
      </c>
      <c r="AS891" s="83">
        <f t="shared" si="59"/>
        <v>7</v>
      </c>
      <c r="AT891" s="84">
        <f t="shared" si="60"/>
        <v>2010</v>
      </c>
      <c r="AU891" s="86"/>
      <c r="AV891" s="86"/>
      <c r="AW891" s="87"/>
      <c r="AX891" s="86"/>
      <c r="AY891" s="83"/>
      <c r="AZ891" s="84"/>
      <c r="BA891" s="86"/>
      <c r="BB891" s="86"/>
    </row>
    <row r="892" spans="1:54" ht="36.75" customHeight="1">
      <c r="A892" s="30"/>
      <c r="B892" s="30" t="s">
        <v>55</v>
      </c>
      <c r="C892" s="69" t="str">
        <f t="shared" si="57"/>
        <v>Closed</v>
      </c>
      <c r="D892" s="27" t="s">
        <v>5055</v>
      </c>
      <c r="E892" s="29" t="s">
        <v>5056</v>
      </c>
      <c r="F892" s="30" t="s">
        <v>582</v>
      </c>
      <c r="G892" s="89">
        <f>DATE(2010,7,4)</f>
        <v>40363</v>
      </c>
      <c r="H892" s="90">
        <v>1.0618055555555554</v>
      </c>
      <c r="I892" s="30" t="s">
        <v>73</v>
      </c>
      <c r="J892" s="89" t="s">
        <v>5057</v>
      </c>
      <c r="K892" s="30" t="s">
        <v>584</v>
      </c>
      <c r="L892" s="30" t="s">
        <v>5058</v>
      </c>
      <c r="M892" s="30" t="s">
        <v>63</v>
      </c>
      <c r="N892" s="30" t="s">
        <v>142</v>
      </c>
      <c r="O892" s="30" t="s">
        <v>77</v>
      </c>
      <c r="P892" s="89" t="s">
        <v>78</v>
      </c>
      <c r="Q892" s="89" t="s">
        <v>586</v>
      </c>
      <c r="R892" s="89" t="s">
        <v>587</v>
      </c>
      <c r="S892" s="30">
        <v>0</v>
      </c>
      <c r="T892" s="233">
        <v>0</v>
      </c>
      <c r="U892" s="30">
        <v>0</v>
      </c>
      <c r="V892" s="233">
        <v>0</v>
      </c>
      <c r="W892" s="30">
        <v>0</v>
      </c>
      <c r="X892" s="30">
        <v>0</v>
      </c>
      <c r="Y892" s="30">
        <v>0</v>
      </c>
      <c r="Z892" s="233">
        <v>0</v>
      </c>
      <c r="AA892" s="30">
        <v>0</v>
      </c>
      <c r="AB892" s="30">
        <v>0</v>
      </c>
      <c r="AC892" s="30">
        <v>0</v>
      </c>
      <c r="AD892" s="30">
        <v>0</v>
      </c>
      <c r="AE892" s="89" t="s">
        <v>394</v>
      </c>
      <c r="AF892" s="89"/>
      <c r="AG892" s="89" t="s">
        <v>82</v>
      </c>
      <c r="AH892" s="72">
        <v>40367</v>
      </c>
      <c r="AI892" s="30">
        <v>0</v>
      </c>
      <c r="AJ892" s="89" t="s">
        <v>5059</v>
      </c>
      <c r="AK892" s="89" t="s">
        <v>1233</v>
      </c>
      <c r="AL892" s="91">
        <v>40364</v>
      </c>
      <c r="AM892" s="91"/>
      <c r="AN892" s="91"/>
      <c r="AO892" s="91"/>
      <c r="AP892" s="73" t="e">
        <f>MID(VLOOKUP(K892,#REF!,2,FALSE),1,2)</f>
        <v>#REF!</v>
      </c>
      <c r="AQ892" s="89">
        <f>DATE(2010,7,4)</f>
        <v>40363</v>
      </c>
      <c r="AR892" s="82">
        <f t="shared" si="58"/>
        <v>4</v>
      </c>
      <c r="AS892" s="83">
        <f t="shared" si="59"/>
        <v>7</v>
      </c>
      <c r="AT892" s="84">
        <f t="shared" si="60"/>
        <v>2010</v>
      </c>
      <c r="AU892" s="86"/>
      <c r="AV892" s="86"/>
      <c r="AW892" s="87"/>
      <c r="AX892" s="86"/>
      <c r="AY892" s="83"/>
      <c r="AZ892" s="84"/>
      <c r="BA892" s="86"/>
      <c r="BB892" s="86"/>
    </row>
    <row r="893" spans="1:54" ht="36.75" customHeight="1">
      <c r="A893" s="30"/>
      <c r="B893" s="30" t="s">
        <v>55</v>
      </c>
      <c r="C893" s="69" t="str">
        <f t="shared" si="57"/>
        <v>Closed</v>
      </c>
      <c r="D893" s="27" t="s">
        <v>5060</v>
      </c>
      <c r="E893" s="29" t="s">
        <v>5061</v>
      </c>
      <c r="F893" s="30" t="s">
        <v>638</v>
      </c>
      <c r="G893" s="89">
        <f>DATE(2010,7,5)</f>
        <v>40364</v>
      </c>
      <c r="H893" s="90">
        <v>1.4173611111111111</v>
      </c>
      <c r="I893" s="30" t="s">
        <v>104</v>
      </c>
      <c r="J893" s="89" t="s">
        <v>5062</v>
      </c>
      <c r="K893" s="30" t="s">
        <v>640</v>
      </c>
      <c r="L893" s="30" t="s">
        <v>5063</v>
      </c>
      <c r="M893" s="30" t="s">
        <v>63</v>
      </c>
      <c r="N893" s="30">
        <v>0</v>
      </c>
      <c r="O893" s="30" t="s">
        <v>77</v>
      </c>
      <c r="P893" s="89" t="s">
        <v>3134</v>
      </c>
      <c r="Q893" s="89" t="s">
        <v>3033</v>
      </c>
      <c r="R893" s="89" t="s">
        <v>643</v>
      </c>
      <c r="S893" s="30">
        <v>0</v>
      </c>
      <c r="T893" s="233" t="s">
        <v>68</v>
      </c>
      <c r="U893" s="30">
        <v>0</v>
      </c>
      <c r="V893" s="233" t="s">
        <v>68</v>
      </c>
      <c r="W893" s="30">
        <v>0</v>
      </c>
      <c r="X893" s="30">
        <v>0</v>
      </c>
      <c r="Y893" s="30">
        <v>0</v>
      </c>
      <c r="Z893" s="233" t="s">
        <v>68</v>
      </c>
      <c r="AA893" s="30">
        <v>0</v>
      </c>
      <c r="AB893" s="30">
        <v>0</v>
      </c>
      <c r="AC893" s="30">
        <v>0</v>
      </c>
      <c r="AD893" s="30">
        <v>0</v>
      </c>
      <c r="AE893" s="89" t="s">
        <v>68</v>
      </c>
      <c r="AF893" s="89"/>
      <c r="AG893" s="89" t="s">
        <v>352</v>
      </c>
      <c r="AH893" s="72" t="s">
        <v>68</v>
      </c>
      <c r="AI893" s="30">
        <v>0</v>
      </c>
      <c r="AJ893" s="89" t="s">
        <v>5064</v>
      </c>
      <c r="AK893" s="89" t="s">
        <v>68</v>
      </c>
      <c r="AL893" s="91">
        <v>40450</v>
      </c>
      <c r="AM893" s="91"/>
      <c r="AN893" s="91"/>
      <c r="AO893" s="91"/>
      <c r="AP893" s="73" t="e">
        <f>MID(VLOOKUP(K893,#REF!,2,FALSE),1,2)</f>
        <v>#REF!</v>
      </c>
      <c r="AQ893" s="89">
        <f>DATE(2010,7,5)</f>
        <v>40364</v>
      </c>
      <c r="AR893" s="82">
        <f t="shared" si="58"/>
        <v>5</v>
      </c>
      <c r="AS893" s="83">
        <f t="shared" si="59"/>
        <v>7</v>
      </c>
      <c r="AT893" s="84">
        <f t="shared" si="60"/>
        <v>2010</v>
      </c>
      <c r="AU893" s="86"/>
      <c r="AV893" s="86"/>
      <c r="AW893" s="87"/>
      <c r="AX893" s="86"/>
      <c r="AY893" s="83"/>
      <c r="AZ893" s="84"/>
      <c r="BA893" s="86"/>
      <c r="BB893" s="86"/>
    </row>
    <row r="894" spans="1:54" ht="36.75" customHeight="1">
      <c r="A894" s="30"/>
      <c r="B894" s="30" t="s">
        <v>55</v>
      </c>
      <c r="C894" s="69" t="str">
        <f t="shared" si="57"/>
        <v>Closed</v>
      </c>
      <c r="D894" s="27" t="s">
        <v>5065</v>
      </c>
      <c r="E894" s="29" t="s">
        <v>5066</v>
      </c>
      <c r="F894" s="30" t="s">
        <v>582</v>
      </c>
      <c r="G894" s="89">
        <f>DATE(2010,7,10)</f>
        <v>40369</v>
      </c>
      <c r="H894" s="90">
        <v>1.7916666666666665</v>
      </c>
      <c r="I894" s="30" t="s">
        <v>86</v>
      </c>
      <c r="J894" s="89" t="s">
        <v>5067</v>
      </c>
      <c r="K894" s="30" t="s">
        <v>584</v>
      </c>
      <c r="L894" s="30" t="s">
        <v>5068</v>
      </c>
      <c r="M894" s="30" t="s">
        <v>63</v>
      </c>
      <c r="N894" s="30">
        <v>0</v>
      </c>
      <c r="O894" s="30" t="s">
        <v>77</v>
      </c>
      <c r="P894" s="89" t="s">
        <v>462</v>
      </c>
      <c r="Q894" s="89" t="s">
        <v>2021</v>
      </c>
      <c r="R894" s="89" t="s">
        <v>587</v>
      </c>
      <c r="S894" s="30">
        <v>0</v>
      </c>
      <c r="T894" s="233">
        <v>0</v>
      </c>
      <c r="U894" s="30">
        <v>0</v>
      </c>
      <c r="V894" s="233">
        <v>0</v>
      </c>
      <c r="W894" s="30">
        <v>0</v>
      </c>
      <c r="X894" s="30">
        <v>0</v>
      </c>
      <c r="Y894" s="30">
        <v>0</v>
      </c>
      <c r="Z894" s="233">
        <v>0</v>
      </c>
      <c r="AA894" s="30">
        <v>0</v>
      </c>
      <c r="AB894" s="30">
        <v>0</v>
      </c>
      <c r="AC894" s="30">
        <v>0</v>
      </c>
      <c r="AD894" s="30">
        <v>0</v>
      </c>
      <c r="AE894" s="89" t="s">
        <v>68</v>
      </c>
      <c r="AF894" s="89"/>
      <c r="AG894" s="89" t="s">
        <v>133</v>
      </c>
      <c r="AH894" s="72" t="s">
        <v>68</v>
      </c>
      <c r="AI894" s="30">
        <v>1</v>
      </c>
      <c r="AJ894" s="89" t="s">
        <v>5069</v>
      </c>
      <c r="AK894" s="89" t="s">
        <v>1233</v>
      </c>
      <c r="AL894" s="91">
        <v>40371</v>
      </c>
      <c r="AM894" s="91"/>
      <c r="AN894" s="91"/>
      <c r="AO894" s="91"/>
      <c r="AP894" s="73" t="e">
        <f>MID(VLOOKUP(K894,#REF!,2,FALSE),1,2)</f>
        <v>#REF!</v>
      </c>
      <c r="AQ894" s="89">
        <f>DATE(2010,7,10)</f>
        <v>40369</v>
      </c>
      <c r="AR894" s="82">
        <f t="shared" si="58"/>
        <v>10</v>
      </c>
      <c r="AS894" s="83">
        <f t="shared" si="59"/>
        <v>7</v>
      </c>
      <c r="AT894" s="84">
        <f t="shared" si="60"/>
        <v>2010</v>
      </c>
      <c r="AU894" s="86"/>
      <c r="AV894" s="86"/>
      <c r="AW894" s="87"/>
      <c r="AX894" s="86"/>
      <c r="AY894" s="83"/>
      <c r="AZ894" s="84"/>
      <c r="BA894" s="86"/>
      <c r="BB894" s="86"/>
    </row>
    <row r="895" spans="1:54" ht="36.75" customHeight="1">
      <c r="A895" s="30"/>
      <c r="B895" s="30" t="s">
        <v>55</v>
      </c>
      <c r="C895" s="69" t="str">
        <f t="shared" si="57"/>
        <v>Closed</v>
      </c>
      <c r="D895" s="27" t="s">
        <v>5070</v>
      </c>
      <c r="E895" s="29" t="s">
        <v>5071</v>
      </c>
      <c r="F895" s="30" t="s">
        <v>638</v>
      </c>
      <c r="G895" s="89">
        <f>DATE(2010,7,10)</f>
        <v>40369</v>
      </c>
      <c r="H895" s="90">
        <v>1.6604166666666667</v>
      </c>
      <c r="I895" s="30" t="s">
        <v>73</v>
      </c>
      <c r="J895" s="89" t="s">
        <v>5072</v>
      </c>
      <c r="K895" s="30" t="s">
        <v>640</v>
      </c>
      <c r="L895" s="30" t="s">
        <v>5073</v>
      </c>
      <c r="M895" s="30" t="s">
        <v>63</v>
      </c>
      <c r="N895" s="30">
        <v>0</v>
      </c>
      <c r="O895" s="30" t="s">
        <v>64</v>
      </c>
      <c r="P895" s="89" t="s">
        <v>65</v>
      </c>
      <c r="Q895" s="89" t="s">
        <v>642</v>
      </c>
      <c r="R895" s="89" t="s">
        <v>643</v>
      </c>
      <c r="S895" s="30">
        <v>0</v>
      </c>
      <c r="T895" s="233" t="s">
        <v>68</v>
      </c>
      <c r="U895" s="30">
        <v>0</v>
      </c>
      <c r="V895" s="233" t="s">
        <v>68</v>
      </c>
      <c r="W895" s="30">
        <v>0</v>
      </c>
      <c r="X895" s="30">
        <v>0</v>
      </c>
      <c r="Y895" s="30">
        <v>0</v>
      </c>
      <c r="Z895" s="233" t="s">
        <v>68</v>
      </c>
      <c r="AA895" s="30">
        <v>0</v>
      </c>
      <c r="AB895" s="30">
        <v>0</v>
      </c>
      <c r="AC895" s="30">
        <v>0</v>
      </c>
      <c r="AD895" s="30">
        <v>0</v>
      </c>
      <c r="AE895" s="89" t="s">
        <v>68</v>
      </c>
      <c r="AF895" s="89"/>
      <c r="AG895" s="89" t="s">
        <v>133</v>
      </c>
      <c r="AH895" s="72" t="s">
        <v>68</v>
      </c>
      <c r="AI895" s="30">
        <v>3</v>
      </c>
      <c r="AJ895" s="89" t="s">
        <v>5074</v>
      </c>
      <c r="AK895" s="89" t="s">
        <v>68</v>
      </c>
      <c r="AL895" s="91">
        <v>40450</v>
      </c>
      <c r="AM895" s="91"/>
      <c r="AN895" s="91"/>
      <c r="AO895" s="91"/>
      <c r="AP895" s="73" t="e">
        <f>MID(VLOOKUP(K895,#REF!,2,FALSE),1,2)</f>
        <v>#REF!</v>
      </c>
      <c r="AQ895" s="89">
        <f>DATE(2010,7,10)</f>
        <v>40369</v>
      </c>
      <c r="AR895" s="82">
        <f t="shared" si="58"/>
        <v>10</v>
      </c>
      <c r="AS895" s="83">
        <f t="shared" si="59"/>
        <v>7</v>
      </c>
      <c r="AT895" s="84">
        <f t="shared" si="60"/>
        <v>2010</v>
      </c>
      <c r="AU895" s="86"/>
      <c r="AV895" s="86"/>
      <c r="AW895" s="87"/>
      <c r="AX895" s="86"/>
      <c r="AY895" s="83"/>
      <c r="AZ895" s="84"/>
      <c r="BA895" s="86"/>
      <c r="BB895" s="86"/>
    </row>
    <row r="896" spans="1:54" ht="36.75" customHeight="1">
      <c r="A896" s="30"/>
      <c r="B896" s="30" t="s">
        <v>55</v>
      </c>
      <c r="C896" s="69" t="str">
        <f t="shared" si="57"/>
        <v>Closed</v>
      </c>
      <c r="D896" s="27" t="s">
        <v>5075</v>
      </c>
      <c r="E896" s="29" t="s">
        <v>5076</v>
      </c>
      <c r="F896" s="30" t="s">
        <v>233</v>
      </c>
      <c r="G896" s="89">
        <f>DATE(2010,7,10)</f>
        <v>40369</v>
      </c>
      <c r="H896" s="90">
        <v>1.5895833333333333</v>
      </c>
      <c r="I896" s="30" t="s">
        <v>156</v>
      </c>
      <c r="J896" s="89" t="s">
        <v>5077</v>
      </c>
      <c r="K896" s="30" t="s">
        <v>235</v>
      </c>
      <c r="L896" s="30" t="s">
        <v>5078</v>
      </c>
      <c r="M896" s="30" t="s">
        <v>63</v>
      </c>
      <c r="N896" s="30">
        <v>0</v>
      </c>
      <c r="O896" s="30" t="s">
        <v>64</v>
      </c>
      <c r="P896" s="89" t="s">
        <v>65</v>
      </c>
      <c r="Q896" s="89" t="s">
        <v>1428</v>
      </c>
      <c r="R896" s="89" t="s">
        <v>238</v>
      </c>
      <c r="S896" s="30">
        <v>0</v>
      </c>
      <c r="T896" s="233" t="s">
        <v>68</v>
      </c>
      <c r="U896" s="30">
        <v>0</v>
      </c>
      <c r="V896" s="233" t="s">
        <v>68</v>
      </c>
      <c r="W896" s="30">
        <v>0</v>
      </c>
      <c r="X896" s="30">
        <v>0</v>
      </c>
      <c r="Y896" s="30">
        <v>0</v>
      </c>
      <c r="Z896" s="233" t="s">
        <v>68</v>
      </c>
      <c r="AA896" s="30">
        <v>0</v>
      </c>
      <c r="AB896" s="30">
        <v>0</v>
      </c>
      <c r="AC896" s="30">
        <v>0</v>
      </c>
      <c r="AD896" s="30">
        <v>0</v>
      </c>
      <c r="AE896" s="89" t="s">
        <v>68</v>
      </c>
      <c r="AF896" s="89"/>
      <c r="AG896" s="89" t="s">
        <v>133</v>
      </c>
      <c r="AH896" s="72" t="s">
        <v>68</v>
      </c>
      <c r="AI896" s="30">
        <v>4</v>
      </c>
      <c r="AJ896" s="89" t="s">
        <v>5079</v>
      </c>
      <c r="AK896" s="89" t="s">
        <v>5080</v>
      </c>
      <c r="AL896" s="91">
        <v>40403</v>
      </c>
      <c r="AM896" s="91"/>
      <c r="AN896" s="91"/>
      <c r="AO896" s="91"/>
      <c r="AP896" s="73" t="e">
        <f>MID(VLOOKUP(K896,#REF!,2,FALSE),1,2)</f>
        <v>#REF!</v>
      </c>
      <c r="AQ896" s="89">
        <f>DATE(2010,7,10)</f>
        <v>40369</v>
      </c>
      <c r="AR896" s="82">
        <f t="shared" si="58"/>
        <v>10</v>
      </c>
      <c r="AS896" s="83">
        <f t="shared" si="59"/>
        <v>7</v>
      </c>
      <c r="AT896" s="84">
        <f t="shared" si="60"/>
        <v>2010</v>
      </c>
      <c r="AU896" s="86"/>
      <c r="AV896" s="86"/>
      <c r="AW896" s="87"/>
      <c r="AX896" s="86"/>
      <c r="AY896" s="83"/>
      <c r="AZ896" s="84"/>
      <c r="BA896" s="86"/>
      <c r="BB896" s="86"/>
    </row>
    <row r="897" spans="1:54" ht="36.75" customHeight="1">
      <c r="A897" s="30"/>
      <c r="B897" s="30" t="s">
        <v>55</v>
      </c>
      <c r="C897" s="69" t="str">
        <f t="shared" si="57"/>
        <v>Closed</v>
      </c>
      <c r="D897" s="27" t="s">
        <v>5081</v>
      </c>
      <c r="E897" s="29" t="s">
        <v>5082</v>
      </c>
      <c r="F897" s="30" t="s">
        <v>835</v>
      </c>
      <c r="G897" s="89">
        <f>DATE(2010,7,11)</f>
        <v>40370</v>
      </c>
      <c r="H897" s="90">
        <v>1.6736111111111112</v>
      </c>
      <c r="I897" s="30" t="s">
        <v>73</v>
      </c>
      <c r="J897" s="89" t="s">
        <v>5083</v>
      </c>
      <c r="K897" s="30" t="s">
        <v>837</v>
      </c>
      <c r="L897" s="30" t="s">
        <v>5084</v>
      </c>
      <c r="M897" s="30" t="s">
        <v>63</v>
      </c>
      <c r="N897" s="30">
        <v>0</v>
      </c>
      <c r="O897" s="30" t="s">
        <v>77</v>
      </c>
      <c r="P897" s="89" t="s">
        <v>78</v>
      </c>
      <c r="Q897" s="89" t="s">
        <v>4708</v>
      </c>
      <c r="R897" s="89" t="s">
        <v>840</v>
      </c>
      <c r="S897" s="30">
        <v>0</v>
      </c>
      <c r="T897" s="233" t="s">
        <v>68</v>
      </c>
      <c r="U897" s="30">
        <v>0</v>
      </c>
      <c r="V897" s="233" t="s">
        <v>68</v>
      </c>
      <c r="W897" s="30">
        <v>0</v>
      </c>
      <c r="X897" s="30">
        <v>0</v>
      </c>
      <c r="Y897" s="30">
        <v>0</v>
      </c>
      <c r="Z897" s="233" t="s">
        <v>68</v>
      </c>
      <c r="AA897" s="30">
        <v>0</v>
      </c>
      <c r="AB897" s="30">
        <v>0</v>
      </c>
      <c r="AC897" s="30">
        <v>0</v>
      </c>
      <c r="AD897" s="30">
        <v>0</v>
      </c>
      <c r="AE897" s="89" t="s">
        <v>68</v>
      </c>
      <c r="AF897" s="89"/>
      <c r="AG897" s="89" t="s">
        <v>352</v>
      </c>
      <c r="AH897" s="72" t="s">
        <v>68</v>
      </c>
      <c r="AI897" s="30">
        <v>0</v>
      </c>
      <c r="AJ897" s="89" t="s">
        <v>68</v>
      </c>
      <c r="AK897" s="89" t="s">
        <v>68</v>
      </c>
      <c r="AL897" s="91">
        <v>40462</v>
      </c>
      <c r="AM897" s="91"/>
      <c r="AN897" s="91"/>
      <c r="AO897" s="91"/>
      <c r="AP897" s="73" t="e">
        <f>MID(VLOOKUP(K897,#REF!,2,FALSE),1,2)</f>
        <v>#REF!</v>
      </c>
      <c r="AQ897" s="89">
        <f>DATE(2010,7,11)</f>
        <v>40370</v>
      </c>
      <c r="AR897" s="82">
        <f t="shared" si="58"/>
        <v>11</v>
      </c>
      <c r="AS897" s="83">
        <f t="shared" si="59"/>
        <v>7</v>
      </c>
      <c r="AT897" s="84">
        <f t="shared" si="60"/>
        <v>2010</v>
      </c>
      <c r="AU897" s="86"/>
      <c r="AV897" s="86"/>
      <c r="AW897" s="87"/>
      <c r="AX897" s="86"/>
      <c r="AY897" s="83"/>
      <c r="AZ897" s="84"/>
      <c r="BA897" s="86"/>
      <c r="BB897" s="86"/>
    </row>
    <row r="898" spans="1:54" ht="36.75" customHeight="1">
      <c r="A898" s="30"/>
      <c r="B898" s="30" t="s">
        <v>55</v>
      </c>
      <c r="C898" s="69" t="str">
        <f t="shared" ref="C898:C961" si="61">IF(B898="Notification","Open",IF(B898="Interim Statement","In progress","Closed"))</f>
        <v>Closed</v>
      </c>
      <c r="D898" s="27" t="s">
        <v>5085</v>
      </c>
      <c r="E898" s="29" t="s">
        <v>5086</v>
      </c>
      <c r="F898" s="30" t="s">
        <v>2336</v>
      </c>
      <c r="G898" s="89">
        <f>DATE(2010,7,13)</f>
        <v>40372</v>
      </c>
      <c r="H898" s="90">
        <v>1.3833333333333333</v>
      </c>
      <c r="I898" s="30" t="s">
        <v>198</v>
      </c>
      <c r="J898" s="89" t="s">
        <v>5087</v>
      </c>
      <c r="K898" s="30" t="s">
        <v>2338</v>
      </c>
      <c r="L898" s="30" t="s">
        <v>5088</v>
      </c>
      <c r="M898" s="30" t="s">
        <v>63</v>
      </c>
      <c r="N898" s="30">
        <v>0</v>
      </c>
      <c r="O898" s="30" t="s">
        <v>64</v>
      </c>
      <c r="P898" s="89" t="s">
        <v>165</v>
      </c>
      <c r="Q898" s="89" t="s">
        <v>3732</v>
      </c>
      <c r="R898" s="89" t="s">
        <v>2341</v>
      </c>
      <c r="S898" s="30">
        <v>0</v>
      </c>
      <c r="T898" s="233">
        <v>0</v>
      </c>
      <c r="U898" s="30">
        <v>0</v>
      </c>
      <c r="V898" s="233">
        <v>0</v>
      </c>
      <c r="W898" s="30">
        <v>0</v>
      </c>
      <c r="X898" s="30">
        <v>0</v>
      </c>
      <c r="Y898" s="30">
        <v>9</v>
      </c>
      <c r="Z898" s="233">
        <v>3</v>
      </c>
      <c r="AA898" s="30">
        <v>0</v>
      </c>
      <c r="AB898" s="30">
        <v>0</v>
      </c>
      <c r="AC898" s="30">
        <v>0</v>
      </c>
      <c r="AD898" s="30">
        <v>12</v>
      </c>
      <c r="AE898" s="89" t="s">
        <v>68</v>
      </c>
      <c r="AF898" s="89"/>
      <c r="AG898" s="89" t="s">
        <v>82</v>
      </c>
      <c r="AH898" s="72" t="s">
        <v>68</v>
      </c>
      <c r="AI898" s="30">
        <v>1</v>
      </c>
      <c r="AJ898" s="89" t="s">
        <v>5089</v>
      </c>
      <c r="AK898" s="89" t="s">
        <v>5090</v>
      </c>
      <c r="AL898" s="91">
        <v>40375</v>
      </c>
      <c r="AM898" s="91"/>
      <c r="AN898" s="91"/>
      <c r="AO898" s="91"/>
      <c r="AP898" s="73" t="e">
        <f>MID(VLOOKUP(K898,#REF!,2,FALSE),1,2)</f>
        <v>#REF!</v>
      </c>
      <c r="AQ898" s="89">
        <f>DATE(2010,7,13)</f>
        <v>40372</v>
      </c>
      <c r="AR898" s="82">
        <f t="shared" ref="AR898:AR961" si="62">DAY(AQ898)</f>
        <v>13</v>
      </c>
      <c r="AS898" s="83">
        <f t="shared" ref="AS898:AS961" si="63">MONTH(AQ898)</f>
        <v>7</v>
      </c>
      <c r="AT898" s="84">
        <f t="shared" ref="AT898:AT961" si="64">YEAR(AQ898)</f>
        <v>2010</v>
      </c>
      <c r="AU898" s="86"/>
      <c r="AV898" s="86"/>
      <c r="AW898" s="87"/>
      <c r="AX898" s="86"/>
      <c r="AY898" s="83"/>
      <c r="AZ898" s="84"/>
      <c r="BA898" s="86"/>
      <c r="BB898" s="86"/>
    </row>
    <row r="899" spans="1:54" ht="36.75" customHeight="1">
      <c r="A899" s="30"/>
      <c r="B899" s="30" t="s">
        <v>55</v>
      </c>
      <c r="C899" s="69" t="str">
        <f t="shared" si="61"/>
        <v>Closed</v>
      </c>
      <c r="D899" s="27" t="s">
        <v>5091</v>
      </c>
      <c r="E899" s="29" t="s">
        <v>5092</v>
      </c>
      <c r="F899" s="30" t="s">
        <v>638</v>
      </c>
      <c r="G899" s="89">
        <f>DATE(2010,7,14)</f>
        <v>40373</v>
      </c>
      <c r="H899" s="90">
        <v>1.5284722222222222</v>
      </c>
      <c r="I899" s="30" t="s">
        <v>73</v>
      </c>
      <c r="J899" s="89" t="s">
        <v>5093</v>
      </c>
      <c r="K899" s="30" t="s">
        <v>640</v>
      </c>
      <c r="L899" s="30" t="s">
        <v>5094</v>
      </c>
      <c r="M899" s="30" t="s">
        <v>63</v>
      </c>
      <c r="N899" s="30">
        <v>0</v>
      </c>
      <c r="O899" s="30" t="s">
        <v>64</v>
      </c>
      <c r="P899" s="89" t="s">
        <v>78</v>
      </c>
      <c r="Q899" s="89" t="s">
        <v>3246</v>
      </c>
      <c r="R899" s="89" t="s">
        <v>3246</v>
      </c>
      <c r="S899" s="30">
        <v>0</v>
      </c>
      <c r="T899" s="233" t="s">
        <v>68</v>
      </c>
      <c r="U899" s="30">
        <v>0</v>
      </c>
      <c r="V899" s="233" t="s">
        <v>68</v>
      </c>
      <c r="W899" s="30">
        <v>0</v>
      </c>
      <c r="X899" s="30">
        <v>0</v>
      </c>
      <c r="Y899" s="30">
        <v>0</v>
      </c>
      <c r="Z899" s="233" t="s">
        <v>68</v>
      </c>
      <c r="AA899" s="30">
        <v>0</v>
      </c>
      <c r="AB899" s="30">
        <v>0</v>
      </c>
      <c r="AC899" s="30">
        <v>0</v>
      </c>
      <c r="AD899" s="30">
        <v>0</v>
      </c>
      <c r="AE899" s="89" t="s">
        <v>68</v>
      </c>
      <c r="AF899" s="89"/>
      <c r="AG899" s="89" t="s">
        <v>352</v>
      </c>
      <c r="AH899" s="72" t="s">
        <v>68</v>
      </c>
      <c r="AI899" s="30">
        <v>2</v>
      </c>
      <c r="AJ899" s="89" t="s">
        <v>68</v>
      </c>
      <c r="AK899" s="89" t="s">
        <v>5095</v>
      </c>
      <c r="AL899" s="91">
        <v>40450</v>
      </c>
      <c r="AM899" s="91"/>
      <c r="AN899" s="91"/>
      <c r="AO899" s="91"/>
      <c r="AP899" s="73" t="e">
        <f>MID(VLOOKUP(K899,#REF!,2,FALSE),1,2)</f>
        <v>#REF!</v>
      </c>
      <c r="AQ899" s="89">
        <f>DATE(2010,7,14)</f>
        <v>40373</v>
      </c>
      <c r="AR899" s="82">
        <f t="shared" si="62"/>
        <v>14</v>
      </c>
      <c r="AS899" s="83">
        <f t="shared" si="63"/>
        <v>7</v>
      </c>
      <c r="AT899" s="84">
        <f t="shared" si="64"/>
        <v>2010</v>
      </c>
      <c r="AU899" s="86"/>
      <c r="AV899" s="86"/>
      <c r="AW899" s="87"/>
      <c r="AX899" s="86"/>
      <c r="AY899" s="83"/>
      <c r="AZ899" s="84"/>
      <c r="BA899" s="86"/>
      <c r="BB899" s="86"/>
    </row>
    <row r="900" spans="1:54" ht="36.75" customHeight="1">
      <c r="A900" s="30"/>
      <c r="B900" s="30" t="s">
        <v>55</v>
      </c>
      <c r="C900" s="69" t="str">
        <f t="shared" si="61"/>
        <v>Closed</v>
      </c>
      <c r="D900" s="27" t="s">
        <v>5096</v>
      </c>
      <c r="E900" s="29" t="s">
        <v>5097</v>
      </c>
      <c r="F900" s="30" t="s">
        <v>835</v>
      </c>
      <c r="G900" s="89">
        <f>DATE(2010,7,14)</f>
        <v>40373</v>
      </c>
      <c r="H900" s="90">
        <v>1.5180555555555557</v>
      </c>
      <c r="I900" s="30" t="s">
        <v>116</v>
      </c>
      <c r="J900" s="89" t="s">
        <v>5098</v>
      </c>
      <c r="K900" s="30" t="s">
        <v>837</v>
      </c>
      <c r="L900" s="30" t="s">
        <v>5099</v>
      </c>
      <c r="M900" s="30" t="s">
        <v>63</v>
      </c>
      <c r="N900" s="30">
        <v>0</v>
      </c>
      <c r="O900" s="30" t="s">
        <v>77</v>
      </c>
      <c r="P900" s="89" t="s">
        <v>165</v>
      </c>
      <c r="Q900" s="89" t="s">
        <v>2162</v>
      </c>
      <c r="R900" s="89" t="s">
        <v>840</v>
      </c>
      <c r="S900" s="30">
        <v>0</v>
      </c>
      <c r="T900" s="233">
        <v>0</v>
      </c>
      <c r="U900" s="30">
        <v>0</v>
      </c>
      <c r="V900" s="233">
        <v>0</v>
      </c>
      <c r="W900" s="30">
        <v>0</v>
      </c>
      <c r="X900" s="30">
        <v>0</v>
      </c>
      <c r="Y900" s="30">
        <v>0</v>
      </c>
      <c r="Z900" s="233">
        <v>0</v>
      </c>
      <c r="AA900" s="30">
        <v>2</v>
      </c>
      <c r="AB900" s="30">
        <v>0</v>
      </c>
      <c r="AC900" s="30">
        <v>0</v>
      </c>
      <c r="AD900" s="30">
        <v>2</v>
      </c>
      <c r="AE900" s="89" t="s">
        <v>68</v>
      </c>
      <c r="AF900" s="89"/>
      <c r="AG900" s="89" t="s">
        <v>352</v>
      </c>
      <c r="AH900" s="72" t="s">
        <v>68</v>
      </c>
      <c r="AI900" s="30">
        <v>0</v>
      </c>
      <c r="AJ900" s="89" t="s">
        <v>68</v>
      </c>
      <c r="AK900" s="89" t="s">
        <v>68</v>
      </c>
      <c r="AL900" s="91">
        <v>40462</v>
      </c>
      <c r="AM900" s="91"/>
      <c r="AN900" s="91"/>
      <c r="AO900" s="91"/>
      <c r="AP900" s="73" t="e">
        <f>MID(VLOOKUP(K900,#REF!,2,FALSE),1,2)</f>
        <v>#REF!</v>
      </c>
      <c r="AQ900" s="89">
        <f>DATE(2010,7,14)</f>
        <v>40373</v>
      </c>
      <c r="AR900" s="82">
        <f t="shared" si="62"/>
        <v>14</v>
      </c>
      <c r="AS900" s="83">
        <f t="shared" si="63"/>
        <v>7</v>
      </c>
      <c r="AT900" s="84">
        <f t="shared" si="64"/>
        <v>2010</v>
      </c>
      <c r="AU900" s="86"/>
      <c r="AV900" s="86"/>
      <c r="AW900" s="87"/>
      <c r="AX900" s="86"/>
      <c r="AY900" s="83"/>
      <c r="AZ900" s="84"/>
      <c r="BA900" s="86"/>
      <c r="BB900" s="86"/>
    </row>
    <row r="901" spans="1:54" ht="36.75" customHeight="1">
      <c r="A901" s="30"/>
      <c r="B901" s="30" t="s">
        <v>2124</v>
      </c>
      <c r="C901" s="69" t="str">
        <f t="shared" si="61"/>
        <v>Open</v>
      </c>
      <c r="D901" s="27" t="s">
        <v>5100</v>
      </c>
      <c r="E901" s="29" t="s">
        <v>5101</v>
      </c>
      <c r="F901" s="30" t="s">
        <v>3148</v>
      </c>
      <c r="G901" s="89">
        <f>DATE(2010,7,14)</f>
        <v>40373</v>
      </c>
      <c r="H901" s="90">
        <v>1.651388888888889</v>
      </c>
      <c r="I901" s="30" t="s">
        <v>116</v>
      </c>
      <c r="J901" s="89" t="s">
        <v>5102</v>
      </c>
      <c r="K901" s="30" t="s">
        <v>3150</v>
      </c>
      <c r="L901" s="30" t="s">
        <v>5103</v>
      </c>
      <c r="M901" s="30" t="s">
        <v>63</v>
      </c>
      <c r="N901" s="30">
        <v>0</v>
      </c>
      <c r="O901" s="30" t="s">
        <v>64</v>
      </c>
      <c r="P901" s="89" t="s">
        <v>78</v>
      </c>
      <c r="Q901" s="89" t="s">
        <v>4529</v>
      </c>
      <c r="R901" s="89" t="s">
        <v>3153</v>
      </c>
      <c r="S901" s="30">
        <v>0</v>
      </c>
      <c r="T901" s="233" t="s">
        <v>68</v>
      </c>
      <c r="U901" s="30">
        <v>1</v>
      </c>
      <c r="V901" s="233" t="s">
        <v>68</v>
      </c>
      <c r="W901" s="30">
        <v>0</v>
      </c>
      <c r="X901" s="30">
        <v>1</v>
      </c>
      <c r="Y901" s="30">
        <v>0</v>
      </c>
      <c r="Z901" s="233" t="s">
        <v>68</v>
      </c>
      <c r="AA901" s="30">
        <v>1</v>
      </c>
      <c r="AB901" s="30">
        <v>0</v>
      </c>
      <c r="AC901" s="30">
        <v>0</v>
      </c>
      <c r="AD901" s="30">
        <v>1</v>
      </c>
      <c r="AE901" s="89" t="s">
        <v>68</v>
      </c>
      <c r="AF901" s="89"/>
      <c r="AG901" s="89" t="s">
        <v>248</v>
      </c>
      <c r="AH901" s="72" t="s">
        <v>68</v>
      </c>
      <c r="AI901" s="30">
        <v>0</v>
      </c>
      <c r="AJ901" s="89" t="s">
        <v>68</v>
      </c>
      <c r="AK901" s="89" t="s">
        <v>68</v>
      </c>
      <c r="AL901" s="91">
        <v>40381</v>
      </c>
      <c r="AM901" s="91"/>
      <c r="AN901" s="91"/>
      <c r="AO901" s="91"/>
      <c r="AP901" s="73" t="e">
        <f>MID(VLOOKUP(K901,#REF!,2,FALSE),1,2)</f>
        <v>#REF!</v>
      </c>
      <c r="AQ901" s="89">
        <f>DATE(2010,7,14)</f>
        <v>40373</v>
      </c>
      <c r="AR901" s="82">
        <f t="shared" si="62"/>
        <v>14</v>
      </c>
      <c r="AS901" s="83">
        <f t="shared" si="63"/>
        <v>7</v>
      </c>
      <c r="AT901" s="84">
        <f t="shared" si="64"/>
        <v>2010</v>
      </c>
      <c r="AU901" s="86"/>
      <c r="AV901" s="86"/>
      <c r="AW901" s="87"/>
      <c r="AX901" s="86"/>
      <c r="AY901" s="83"/>
      <c r="AZ901" s="84"/>
      <c r="BA901" s="86"/>
      <c r="BB901" s="86"/>
    </row>
    <row r="902" spans="1:54" ht="36.75" customHeight="1">
      <c r="A902" s="30"/>
      <c r="B902" s="30" t="s">
        <v>55</v>
      </c>
      <c r="C902" s="69" t="str">
        <f t="shared" si="61"/>
        <v>Closed</v>
      </c>
      <c r="D902" s="27" t="s">
        <v>5104</v>
      </c>
      <c r="E902" s="29" t="s">
        <v>5105</v>
      </c>
      <c r="F902" s="30" t="s">
        <v>638</v>
      </c>
      <c r="G902" s="89">
        <f>DATE(2010,7,16)</f>
        <v>40375</v>
      </c>
      <c r="H902" s="90">
        <v>1.6534722222222222</v>
      </c>
      <c r="I902" s="30" t="s">
        <v>104</v>
      </c>
      <c r="J902" s="89" t="s">
        <v>5106</v>
      </c>
      <c r="K902" s="30" t="s">
        <v>640</v>
      </c>
      <c r="L902" s="30" t="s">
        <v>5107</v>
      </c>
      <c r="M902" s="30" t="s">
        <v>63</v>
      </c>
      <c r="N902" s="30">
        <v>0</v>
      </c>
      <c r="O902" s="30" t="s">
        <v>77</v>
      </c>
      <c r="P902" s="89" t="s">
        <v>65</v>
      </c>
      <c r="Q902" s="89" t="s">
        <v>642</v>
      </c>
      <c r="R902" s="89" t="s">
        <v>643</v>
      </c>
      <c r="S902" s="30">
        <v>0</v>
      </c>
      <c r="T902" s="233" t="s">
        <v>68</v>
      </c>
      <c r="U902" s="30">
        <v>0</v>
      </c>
      <c r="V902" s="233" t="s">
        <v>68</v>
      </c>
      <c r="W902" s="30">
        <v>0</v>
      </c>
      <c r="X902" s="30">
        <v>0</v>
      </c>
      <c r="Y902" s="30">
        <v>0</v>
      </c>
      <c r="Z902" s="233" t="s">
        <v>68</v>
      </c>
      <c r="AA902" s="30">
        <v>0</v>
      </c>
      <c r="AB902" s="30">
        <v>0</v>
      </c>
      <c r="AC902" s="30">
        <v>0</v>
      </c>
      <c r="AD902" s="30">
        <v>0</v>
      </c>
      <c r="AE902" s="89" t="s">
        <v>68</v>
      </c>
      <c r="AF902" s="89"/>
      <c r="AG902" s="89" t="s">
        <v>352</v>
      </c>
      <c r="AH902" s="72" t="s">
        <v>68</v>
      </c>
      <c r="AI902" s="30">
        <v>0</v>
      </c>
      <c r="AJ902" s="89" t="s">
        <v>5108</v>
      </c>
      <c r="AK902" s="89" t="s">
        <v>68</v>
      </c>
      <c r="AL902" s="91">
        <v>40450</v>
      </c>
      <c r="AM902" s="91"/>
      <c r="AN902" s="91"/>
      <c r="AO902" s="91"/>
      <c r="AP902" s="73" t="e">
        <f>MID(VLOOKUP(K902,#REF!,2,FALSE),1,2)</f>
        <v>#REF!</v>
      </c>
      <c r="AQ902" s="89">
        <f>DATE(2010,7,16)</f>
        <v>40375</v>
      </c>
      <c r="AR902" s="82">
        <f t="shared" si="62"/>
        <v>16</v>
      </c>
      <c r="AS902" s="83">
        <f t="shared" si="63"/>
        <v>7</v>
      </c>
      <c r="AT902" s="84">
        <f t="shared" si="64"/>
        <v>2010</v>
      </c>
      <c r="AU902" s="86"/>
      <c r="AV902" s="86"/>
      <c r="AW902" s="87"/>
      <c r="AX902" s="86"/>
      <c r="AY902" s="83"/>
      <c r="AZ902" s="84"/>
      <c r="BA902" s="86"/>
      <c r="BB902" s="86"/>
    </row>
    <row r="903" spans="1:54" ht="36.75" customHeight="1">
      <c r="A903" s="30"/>
      <c r="B903" s="30" t="s">
        <v>55</v>
      </c>
      <c r="C903" s="69" t="str">
        <f t="shared" si="61"/>
        <v>Closed</v>
      </c>
      <c r="D903" s="27" t="s">
        <v>5109</v>
      </c>
      <c r="E903" s="29" t="s">
        <v>5110</v>
      </c>
      <c r="F903" s="30" t="s">
        <v>835</v>
      </c>
      <c r="G903" s="89">
        <f>DATE(2010,7,16)</f>
        <v>40375</v>
      </c>
      <c r="H903" s="90">
        <v>1.429861111111111</v>
      </c>
      <c r="I903" s="30" t="s">
        <v>116</v>
      </c>
      <c r="J903" s="89" t="s">
        <v>5111</v>
      </c>
      <c r="K903" s="30" t="s">
        <v>837</v>
      </c>
      <c r="L903" s="30" t="s">
        <v>5112</v>
      </c>
      <c r="M903" s="30" t="s">
        <v>63</v>
      </c>
      <c r="N903" s="30">
        <v>0</v>
      </c>
      <c r="O903" s="30" t="s">
        <v>64</v>
      </c>
      <c r="P903" s="89" t="s">
        <v>165</v>
      </c>
      <c r="Q903" s="89" t="s">
        <v>2162</v>
      </c>
      <c r="R903" s="89" t="s">
        <v>840</v>
      </c>
      <c r="S903" s="30">
        <v>0</v>
      </c>
      <c r="T903" s="233">
        <v>0</v>
      </c>
      <c r="U903" s="30">
        <v>0</v>
      </c>
      <c r="V903" s="233">
        <v>0</v>
      </c>
      <c r="W903" s="30">
        <v>0</v>
      </c>
      <c r="X903" s="30">
        <v>0</v>
      </c>
      <c r="Y903" s="30">
        <v>0</v>
      </c>
      <c r="Z903" s="233">
        <v>0</v>
      </c>
      <c r="AA903" s="30">
        <v>1</v>
      </c>
      <c r="AB903" s="30">
        <v>0</v>
      </c>
      <c r="AC903" s="30">
        <v>0</v>
      </c>
      <c r="AD903" s="30">
        <v>1</v>
      </c>
      <c r="AE903" s="89" t="s">
        <v>68</v>
      </c>
      <c r="AF903" s="89"/>
      <c r="AG903" s="89" t="s">
        <v>352</v>
      </c>
      <c r="AH903" s="72" t="s">
        <v>68</v>
      </c>
      <c r="AI903" s="30">
        <v>0</v>
      </c>
      <c r="AJ903" s="89" t="s">
        <v>68</v>
      </c>
      <c r="AK903" s="89" t="s">
        <v>68</v>
      </c>
      <c r="AL903" s="91">
        <v>40462</v>
      </c>
      <c r="AM903" s="91"/>
      <c r="AN903" s="91"/>
      <c r="AO903" s="91"/>
      <c r="AP903" s="73" t="e">
        <f>MID(VLOOKUP(K903,#REF!,2,FALSE),1,2)</f>
        <v>#REF!</v>
      </c>
      <c r="AQ903" s="89">
        <f>DATE(2010,7,16)</f>
        <v>40375</v>
      </c>
      <c r="AR903" s="82">
        <f t="shared" si="62"/>
        <v>16</v>
      </c>
      <c r="AS903" s="83">
        <f t="shared" si="63"/>
        <v>7</v>
      </c>
      <c r="AT903" s="84">
        <f t="shared" si="64"/>
        <v>2010</v>
      </c>
      <c r="AU903" s="86"/>
      <c r="AV903" s="86"/>
      <c r="AW903" s="87"/>
      <c r="AX903" s="86"/>
      <c r="AY903" s="83"/>
      <c r="AZ903" s="84"/>
      <c r="BA903" s="86"/>
      <c r="BB903" s="86"/>
    </row>
    <row r="904" spans="1:54" ht="36.75" customHeight="1">
      <c r="A904" s="30"/>
      <c r="B904" s="30" t="s">
        <v>55</v>
      </c>
      <c r="C904" s="69" t="str">
        <f t="shared" si="61"/>
        <v>Closed</v>
      </c>
      <c r="D904" s="27" t="s">
        <v>5113</v>
      </c>
      <c r="E904" s="29" t="s">
        <v>5114</v>
      </c>
      <c r="F904" s="30" t="s">
        <v>835</v>
      </c>
      <c r="G904" s="89">
        <f>DATE(2010,7,16)</f>
        <v>40375</v>
      </c>
      <c r="H904" s="90">
        <v>1.4347222222222222</v>
      </c>
      <c r="I904" s="30" t="s">
        <v>116</v>
      </c>
      <c r="J904" s="89" t="s">
        <v>5115</v>
      </c>
      <c r="K904" s="30" t="s">
        <v>837</v>
      </c>
      <c r="L904" s="30" t="s">
        <v>5116</v>
      </c>
      <c r="M904" s="30" t="s">
        <v>63</v>
      </c>
      <c r="N904" s="30">
        <v>0</v>
      </c>
      <c r="O904" s="30" t="s">
        <v>64</v>
      </c>
      <c r="P904" s="89" t="s">
        <v>165</v>
      </c>
      <c r="Q904" s="89" t="s">
        <v>2162</v>
      </c>
      <c r="R904" s="89" t="s">
        <v>840</v>
      </c>
      <c r="S904" s="30">
        <v>0</v>
      </c>
      <c r="T904" s="233">
        <v>0</v>
      </c>
      <c r="U904" s="30">
        <v>1</v>
      </c>
      <c r="V904" s="233">
        <v>0</v>
      </c>
      <c r="W904" s="30">
        <v>0</v>
      </c>
      <c r="X904" s="30">
        <v>1</v>
      </c>
      <c r="Y904" s="30">
        <v>0</v>
      </c>
      <c r="Z904" s="233">
        <v>0</v>
      </c>
      <c r="AA904" s="30">
        <v>0</v>
      </c>
      <c r="AB904" s="30">
        <v>0</v>
      </c>
      <c r="AC904" s="30">
        <v>0</v>
      </c>
      <c r="AD904" s="30">
        <v>0</v>
      </c>
      <c r="AE904" s="89" t="s">
        <v>68</v>
      </c>
      <c r="AF904" s="89"/>
      <c r="AG904" s="89" t="s">
        <v>352</v>
      </c>
      <c r="AH904" s="72" t="s">
        <v>68</v>
      </c>
      <c r="AI904" s="30">
        <v>3</v>
      </c>
      <c r="AJ904" s="89" t="s">
        <v>68</v>
      </c>
      <c r="AK904" s="89" t="s">
        <v>68</v>
      </c>
      <c r="AL904" s="91">
        <v>40462</v>
      </c>
      <c r="AM904" s="91"/>
      <c r="AN904" s="91"/>
      <c r="AO904" s="91"/>
      <c r="AP904" s="73" t="e">
        <f>MID(VLOOKUP(K904,#REF!,2,FALSE),1,2)</f>
        <v>#REF!</v>
      </c>
      <c r="AQ904" s="89">
        <f>DATE(2010,7,16)</f>
        <v>40375</v>
      </c>
      <c r="AR904" s="82">
        <f t="shared" si="62"/>
        <v>16</v>
      </c>
      <c r="AS904" s="83">
        <f t="shared" si="63"/>
        <v>7</v>
      </c>
      <c r="AT904" s="84">
        <f t="shared" si="64"/>
        <v>2010</v>
      </c>
      <c r="AU904" s="86"/>
      <c r="AV904" s="86"/>
      <c r="AW904" s="87"/>
      <c r="AX904" s="86"/>
      <c r="AY904" s="83"/>
      <c r="AZ904" s="84"/>
      <c r="BA904" s="86"/>
      <c r="BB904" s="86"/>
    </row>
    <row r="905" spans="1:54" ht="36.75" customHeight="1">
      <c r="A905" s="30"/>
      <c r="B905" s="30" t="s">
        <v>55</v>
      </c>
      <c r="C905" s="69" t="str">
        <f t="shared" si="61"/>
        <v>Closed</v>
      </c>
      <c r="D905" s="37" t="s">
        <v>5117</v>
      </c>
      <c r="E905" s="29" t="s">
        <v>5118</v>
      </c>
      <c r="F905" s="30" t="s">
        <v>594</v>
      </c>
      <c r="G905" s="89">
        <f>DATE(2010,7,16)</f>
        <v>40375</v>
      </c>
      <c r="H905" s="90">
        <v>1.7305555555555556</v>
      </c>
      <c r="I905" s="30" t="s">
        <v>73</v>
      </c>
      <c r="J905" s="89" t="s">
        <v>5119</v>
      </c>
      <c r="K905" s="30" t="s">
        <v>596</v>
      </c>
      <c r="L905" s="30" t="s">
        <v>5120</v>
      </c>
      <c r="M905" s="30" t="s">
        <v>63</v>
      </c>
      <c r="N905" s="30" t="s">
        <v>142</v>
      </c>
      <c r="O905" s="30" t="s">
        <v>64</v>
      </c>
      <c r="P905" s="89" t="s">
        <v>78</v>
      </c>
      <c r="Q905" s="89" t="s">
        <v>5121</v>
      </c>
      <c r="R905" s="89" t="s">
        <v>599</v>
      </c>
      <c r="S905" s="30">
        <v>0</v>
      </c>
      <c r="T905" s="30">
        <v>0</v>
      </c>
      <c r="U905" s="30">
        <v>0</v>
      </c>
      <c r="V905" s="233" t="s">
        <v>68</v>
      </c>
      <c r="W905" s="30">
        <v>0</v>
      </c>
      <c r="X905" s="30">
        <v>0</v>
      </c>
      <c r="Y905" s="30">
        <v>0</v>
      </c>
      <c r="Z905" s="30">
        <v>0</v>
      </c>
      <c r="AA905" s="30">
        <v>0</v>
      </c>
      <c r="AB905" s="30">
        <v>0</v>
      </c>
      <c r="AC905" s="30">
        <v>0</v>
      </c>
      <c r="AD905" s="30">
        <v>0</v>
      </c>
      <c r="AE905" s="89" t="s">
        <v>5122</v>
      </c>
      <c r="AF905" s="89" t="s">
        <v>5123</v>
      </c>
      <c r="AG905" s="89" t="s">
        <v>82</v>
      </c>
      <c r="AH905" s="72" t="s">
        <v>68</v>
      </c>
      <c r="AI905" s="30"/>
      <c r="AJ905" s="89" t="s">
        <v>68</v>
      </c>
      <c r="AK905" s="89" t="s">
        <v>68</v>
      </c>
      <c r="AL905" s="91">
        <v>40388</v>
      </c>
      <c r="AM905" s="91"/>
      <c r="AN905" s="91">
        <v>45334</v>
      </c>
      <c r="AO905" s="91">
        <v>45261</v>
      </c>
      <c r="AP905" s="73" t="e">
        <f>MID(VLOOKUP(K905,#REF!,2,FALSE),1,2)</f>
        <v>#REF!</v>
      </c>
      <c r="AQ905" s="89">
        <f>DATE(2010,7,16)</f>
        <v>40375</v>
      </c>
      <c r="AR905" s="82">
        <f t="shared" si="62"/>
        <v>16</v>
      </c>
      <c r="AS905" s="83">
        <f t="shared" si="63"/>
        <v>7</v>
      </c>
      <c r="AT905" s="84">
        <f t="shared" si="64"/>
        <v>2010</v>
      </c>
      <c r="AU905" s="86"/>
      <c r="AV905" s="86"/>
      <c r="AW905" s="87"/>
      <c r="AX905" s="86"/>
      <c r="AY905" s="83"/>
      <c r="AZ905" s="84"/>
      <c r="BA905" s="86"/>
      <c r="BB905" s="86"/>
    </row>
    <row r="906" spans="1:54" ht="36.75" customHeight="1">
      <c r="A906" s="30"/>
      <c r="B906" s="30" t="s">
        <v>55</v>
      </c>
      <c r="C906" s="69" t="str">
        <f t="shared" si="61"/>
        <v>Closed</v>
      </c>
      <c r="D906" s="27" t="s">
        <v>5124</v>
      </c>
      <c r="E906" s="29" t="s">
        <v>5125</v>
      </c>
      <c r="F906" s="30" t="s">
        <v>1572</v>
      </c>
      <c r="G906" s="89">
        <f>DATE(2010,7,18)</f>
        <v>40377</v>
      </c>
      <c r="H906" s="90">
        <v>1.3541666666666667</v>
      </c>
      <c r="I906" s="30" t="s">
        <v>73</v>
      </c>
      <c r="J906" s="89" t="s">
        <v>5126</v>
      </c>
      <c r="K906" s="30" t="s">
        <v>1574</v>
      </c>
      <c r="L906" s="30" t="s">
        <v>5127</v>
      </c>
      <c r="M906" s="30" t="s">
        <v>63</v>
      </c>
      <c r="N906" s="30">
        <v>0</v>
      </c>
      <c r="O906" s="30" t="s">
        <v>77</v>
      </c>
      <c r="P906" s="89" t="s">
        <v>78</v>
      </c>
      <c r="Q906" s="89" t="s">
        <v>5128</v>
      </c>
      <c r="R906" s="89">
        <v>0</v>
      </c>
      <c r="S906" s="30">
        <v>0</v>
      </c>
      <c r="T906" s="233" t="s">
        <v>68</v>
      </c>
      <c r="U906" s="30">
        <v>0</v>
      </c>
      <c r="V906" s="233" t="s">
        <v>68</v>
      </c>
      <c r="W906" s="30">
        <v>0</v>
      </c>
      <c r="X906" s="30">
        <v>0</v>
      </c>
      <c r="Y906" s="30">
        <v>0</v>
      </c>
      <c r="Z906" s="233" t="s">
        <v>68</v>
      </c>
      <c r="AA906" s="30">
        <v>0</v>
      </c>
      <c r="AB906" s="30">
        <v>0</v>
      </c>
      <c r="AC906" s="30">
        <v>0</v>
      </c>
      <c r="AD906" s="30">
        <v>0</v>
      </c>
      <c r="AE906" s="89" t="s">
        <v>68</v>
      </c>
      <c r="AF906" s="89"/>
      <c r="AG906" s="89" t="s">
        <v>133</v>
      </c>
      <c r="AH906" s="72" t="s">
        <v>68</v>
      </c>
      <c r="AI906" s="30">
        <v>5</v>
      </c>
      <c r="AJ906" s="89" t="s">
        <v>5129</v>
      </c>
      <c r="AK906" s="89" t="s">
        <v>5130</v>
      </c>
      <c r="AL906" s="91">
        <v>40386</v>
      </c>
      <c r="AM906" s="91"/>
      <c r="AN906" s="91"/>
      <c r="AO906" s="91"/>
      <c r="AP906" s="73" t="e">
        <f>MID(VLOOKUP(K906,#REF!,2,FALSE),1,2)</f>
        <v>#REF!</v>
      </c>
      <c r="AQ906" s="89">
        <f>DATE(2010,7,18)</f>
        <v>40377</v>
      </c>
      <c r="AR906" s="82">
        <f t="shared" si="62"/>
        <v>18</v>
      </c>
      <c r="AS906" s="83">
        <f t="shared" si="63"/>
        <v>7</v>
      </c>
      <c r="AT906" s="84">
        <f t="shared" si="64"/>
        <v>2010</v>
      </c>
      <c r="AU906" s="86"/>
      <c r="AV906" s="86"/>
      <c r="AW906" s="87"/>
      <c r="AX906" s="86"/>
      <c r="AY906" s="83"/>
      <c r="AZ906" s="84"/>
      <c r="BA906" s="86"/>
      <c r="BB906" s="86"/>
    </row>
    <row r="907" spans="1:54" ht="36.75" customHeight="1">
      <c r="A907" s="30"/>
      <c r="B907" s="30" t="s">
        <v>55</v>
      </c>
      <c r="C907" s="69" t="str">
        <f t="shared" si="61"/>
        <v>Closed</v>
      </c>
      <c r="D907" s="27" t="s">
        <v>5131</v>
      </c>
      <c r="E907" s="29" t="s">
        <v>5132</v>
      </c>
      <c r="F907" s="30" t="s">
        <v>835</v>
      </c>
      <c r="G907" s="89">
        <f>DATE(2010,7,19)</f>
        <v>40378</v>
      </c>
      <c r="H907" s="90">
        <v>1.5173611111111112</v>
      </c>
      <c r="I907" s="30" t="s">
        <v>86</v>
      </c>
      <c r="J907" s="89" t="s">
        <v>5133</v>
      </c>
      <c r="K907" s="30" t="s">
        <v>837</v>
      </c>
      <c r="L907" s="30" t="s">
        <v>5134</v>
      </c>
      <c r="M907" s="30" t="s">
        <v>63</v>
      </c>
      <c r="N907" s="30">
        <v>0</v>
      </c>
      <c r="O907" s="30" t="s">
        <v>77</v>
      </c>
      <c r="P907" s="89" t="s">
        <v>91</v>
      </c>
      <c r="Q907" s="89" t="s">
        <v>5135</v>
      </c>
      <c r="R907" s="89" t="s">
        <v>840</v>
      </c>
      <c r="S907" s="30">
        <v>0</v>
      </c>
      <c r="T907" s="233" t="s">
        <v>68</v>
      </c>
      <c r="U907" s="30">
        <v>0</v>
      </c>
      <c r="V907" s="233" t="s">
        <v>68</v>
      </c>
      <c r="W907" s="30">
        <v>0</v>
      </c>
      <c r="X907" s="30">
        <v>0</v>
      </c>
      <c r="Y907" s="30">
        <v>0</v>
      </c>
      <c r="Z907" s="233" t="s">
        <v>68</v>
      </c>
      <c r="AA907" s="30">
        <v>0</v>
      </c>
      <c r="AB907" s="30">
        <v>0</v>
      </c>
      <c r="AC907" s="30">
        <v>0</v>
      </c>
      <c r="AD907" s="30">
        <v>0</v>
      </c>
      <c r="AE907" s="89" t="s">
        <v>68</v>
      </c>
      <c r="AF907" s="89"/>
      <c r="AG907" s="89" t="s">
        <v>352</v>
      </c>
      <c r="AH907" s="72" t="s">
        <v>68</v>
      </c>
      <c r="AI907" s="30">
        <v>2</v>
      </c>
      <c r="AJ907" s="89" t="s">
        <v>68</v>
      </c>
      <c r="AK907" s="89" t="s">
        <v>68</v>
      </c>
      <c r="AL907" s="91">
        <v>40462</v>
      </c>
      <c r="AM907" s="91"/>
      <c r="AN907" s="91"/>
      <c r="AO907" s="91"/>
      <c r="AP907" s="73" t="e">
        <f>MID(VLOOKUP(K907,#REF!,2,FALSE),1,2)</f>
        <v>#REF!</v>
      </c>
      <c r="AQ907" s="89">
        <f>DATE(2010,7,19)</f>
        <v>40378</v>
      </c>
      <c r="AR907" s="82">
        <f t="shared" si="62"/>
        <v>19</v>
      </c>
      <c r="AS907" s="83">
        <f t="shared" si="63"/>
        <v>7</v>
      </c>
      <c r="AT907" s="84">
        <f t="shared" si="64"/>
        <v>2010</v>
      </c>
      <c r="AU907" s="86"/>
      <c r="AV907" s="86"/>
      <c r="AW907" s="87"/>
      <c r="AX907" s="86"/>
      <c r="AY907" s="83"/>
      <c r="AZ907" s="84"/>
      <c r="BA907" s="86"/>
      <c r="BB907" s="86"/>
    </row>
    <row r="908" spans="1:54" ht="36.75" customHeight="1">
      <c r="A908" s="30"/>
      <c r="B908" s="30" t="s">
        <v>55</v>
      </c>
      <c r="C908" s="69" t="str">
        <f t="shared" si="61"/>
        <v>Closed</v>
      </c>
      <c r="D908" s="27" t="s">
        <v>5136</v>
      </c>
      <c r="E908" s="29" t="s">
        <v>5137</v>
      </c>
      <c r="F908" s="30" t="s">
        <v>233</v>
      </c>
      <c r="G908" s="89">
        <f>DATE(2010,7,20)</f>
        <v>40379</v>
      </c>
      <c r="H908" s="90">
        <v>1.9791666666666665</v>
      </c>
      <c r="I908" s="30" t="s">
        <v>198</v>
      </c>
      <c r="J908" s="89" t="s">
        <v>5138</v>
      </c>
      <c r="K908" s="30" t="s">
        <v>235</v>
      </c>
      <c r="L908" s="30" t="s">
        <v>5139</v>
      </c>
      <c r="M908" s="30" t="s">
        <v>63</v>
      </c>
      <c r="N908" s="30">
        <v>0</v>
      </c>
      <c r="O908" s="30" t="s">
        <v>64</v>
      </c>
      <c r="P908" s="89" t="s">
        <v>301</v>
      </c>
      <c r="Q908" s="89" t="s">
        <v>5140</v>
      </c>
      <c r="R908" s="89" t="s">
        <v>238</v>
      </c>
      <c r="S908" s="30">
        <v>0</v>
      </c>
      <c r="T908" s="233">
        <v>0</v>
      </c>
      <c r="U908" s="30">
        <v>0</v>
      </c>
      <c r="V908" s="233">
        <v>0</v>
      </c>
      <c r="W908" s="30">
        <v>0</v>
      </c>
      <c r="X908" s="30">
        <v>0</v>
      </c>
      <c r="Y908" s="30">
        <v>0</v>
      </c>
      <c r="Z908" s="233">
        <v>1</v>
      </c>
      <c r="AA908" s="30">
        <v>0</v>
      </c>
      <c r="AB908" s="30">
        <v>0</v>
      </c>
      <c r="AC908" s="30">
        <v>0</v>
      </c>
      <c r="AD908" s="30">
        <v>1</v>
      </c>
      <c r="AE908" s="89" t="s">
        <v>68</v>
      </c>
      <c r="AF908" s="89"/>
      <c r="AG908" s="89" t="s">
        <v>133</v>
      </c>
      <c r="AH908" s="72" t="s">
        <v>68</v>
      </c>
      <c r="AI908" s="30">
        <v>4</v>
      </c>
      <c r="AJ908" s="89" t="s">
        <v>5141</v>
      </c>
      <c r="AK908" s="89" t="s">
        <v>5142</v>
      </c>
      <c r="AL908" s="91">
        <v>40388</v>
      </c>
      <c r="AM908" s="91"/>
      <c r="AN908" s="91"/>
      <c r="AO908" s="91"/>
      <c r="AP908" s="73" t="e">
        <f>MID(VLOOKUP(K908,#REF!,2,FALSE),1,2)</f>
        <v>#REF!</v>
      </c>
      <c r="AQ908" s="89">
        <f>DATE(2010,7,20)</f>
        <v>40379</v>
      </c>
      <c r="AR908" s="82">
        <f t="shared" si="62"/>
        <v>20</v>
      </c>
      <c r="AS908" s="83">
        <f t="shared" si="63"/>
        <v>7</v>
      </c>
      <c r="AT908" s="84">
        <f t="shared" si="64"/>
        <v>2010</v>
      </c>
      <c r="AU908" s="86"/>
      <c r="AV908" s="86"/>
      <c r="AW908" s="87"/>
      <c r="AX908" s="86"/>
      <c r="AY908" s="83"/>
      <c r="AZ908" s="84"/>
      <c r="BA908" s="86"/>
      <c r="BB908" s="86"/>
    </row>
    <row r="909" spans="1:54" ht="36.75" customHeight="1">
      <c r="A909" s="30"/>
      <c r="B909" s="30" t="s">
        <v>55</v>
      </c>
      <c r="C909" s="69" t="str">
        <f t="shared" si="61"/>
        <v>Closed</v>
      </c>
      <c r="D909" s="27" t="s">
        <v>5143</v>
      </c>
      <c r="E909" s="29" t="s">
        <v>5144</v>
      </c>
      <c r="F909" s="30" t="s">
        <v>72</v>
      </c>
      <c r="G909" s="89">
        <f>DATE(2010,7,25)</f>
        <v>40384</v>
      </c>
      <c r="H909" s="90">
        <v>1.9791666666666665</v>
      </c>
      <c r="I909" s="30" t="s">
        <v>156</v>
      </c>
      <c r="J909" s="89" t="s">
        <v>5145</v>
      </c>
      <c r="K909" s="30" t="s">
        <v>75</v>
      </c>
      <c r="L909" s="30" t="s">
        <v>5146</v>
      </c>
      <c r="M909" s="30" t="s">
        <v>63</v>
      </c>
      <c r="N909" s="30">
        <v>0</v>
      </c>
      <c r="O909" s="30" t="s">
        <v>77</v>
      </c>
      <c r="P909" s="89" t="s">
        <v>301</v>
      </c>
      <c r="Q909" s="89" t="s">
        <v>5147</v>
      </c>
      <c r="R909" s="89" t="s">
        <v>80</v>
      </c>
      <c r="S909" s="30">
        <v>0</v>
      </c>
      <c r="T909" s="233" t="s">
        <v>68</v>
      </c>
      <c r="U909" s="30">
        <v>0</v>
      </c>
      <c r="V909" s="233" t="s">
        <v>68</v>
      </c>
      <c r="W909" s="30">
        <v>0</v>
      </c>
      <c r="X909" s="30">
        <v>0</v>
      </c>
      <c r="Y909" s="30">
        <v>0</v>
      </c>
      <c r="Z909" s="233" t="s">
        <v>68</v>
      </c>
      <c r="AA909" s="30">
        <v>0</v>
      </c>
      <c r="AB909" s="30">
        <v>0</v>
      </c>
      <c r="AC909" s="30">
        <v>0</v>
      </c>
      <c r="AD909" s="30">
        <v>0</v>
      </c>
      <c r="AE909" s="89" t="s">
        <v>68</v>
      </c>
      <c r="AF909" s="89"/>
      <c r="AG909" s="89" t="s">
        <v>82</v>
      </c>
      <c r="AH909" s="72" t="s">
        <v>68</v>
      </c>
      <c r="AI909" s="30">
        <v>4</v>
      </c>
      <c r="AJ909" s="89" t="s">
        <v>68</v>
      </c>
      <c r="AK909" s="89" t="s">
        <v>68</v>
      </c>
      <c r="AL909" s="91">
        <v>40458</v>
      </c>
      <c r="AM909" s="91"/>
      <c r="AN909" s="91"/>
      <c r="AO909" s="91"/>
      <c r="AP909" s="73" t="e">
        <f>MID(VLOOKUP(K909,#REF!,2,FALSE),1,2)</f>
        <v>#REF!</v>
      </c>
      <c r="AQ909" s="89">
        <f>DATE(2010,7,25)</f>
        <v>40384</v>
      </c>
      <c r="AR909" s="82">
        <f t="shared" si="62"/>
        <v>25</v>
      </c>
      <c r="AS909" s="83">
        <f t="shared" si="63"/>
        <v>7</v>
      </c>
      <c r="AT909" s="84">
        <f t="shared" si="64"/>
        <v>2010</v>
      </c>
      <c r="AU909" s="86"/>
      <c r="AV909" s="86"/>
      <c r="AW909" s="87"/>
      <c r="AX909" s="86"/>
      <c r="AY909" s="83"/>
      <c r="AZ909" s="84"/>
      <c r="BA909" s="86"/>
      <c r="BB909" s="86"/>
    </row>
    <row r="910" spans="1:54" ht="36.75" customHeight="1">
      <c r="A910" s="30"/>
      <c r="B910" s="30" t="s">
        <v>55</v>
      </c>
      <c r="C910" s="69" t="str">
        <f t="shared" si="61"/>
        <v>Closed</v>
      </c>
      <c r="D910" s="27" t="s">
        <v>5148</v>
      </c>
      <c r="E910" s="29" t="s">
        <v>5149</v>
      </c>
      <c r="F910" s="30" t="s">
        <v>582</v>
      </c>
      <c r="G910" s="89">
        <f>DATE(2010,7,26)</f>
        <v>40385</v>
      </c>
      <c r="H910" s="90">
        <v>1.6194444444444445</v>
      </c>
      <c r="I910" s="30" t="s">
        <v>73</v>
      </c>
      <c r="J910" s="89" t="s">
        <v>5150</v>
      </c>
      <c r="K910" s="30" t="s">
        <v>584</v>
      </c>
      <c r="L910" s="30" t="s">
        <v>5151</v>
      </c>
      <c r="M910" s="30" t="s">
        <v>63</v>
      </c>
      <c r="N910" s="30" t="s">
        <v>142</v>
      </c>
      <c r="O910" s="30" t="s">
        <v>77</v>
      </c>
      <c r="P910" s="89" t="s">
        <v>78</v>
      </c>
      <c r="Q910" s="89" t="s">
        <v>5152</v>
      </c>
      <c r="R910" s="89" t="s">
        <v>587</v>
      </c>
      <c r="S910" s="30">
        <v>0</v>
      </c>
      <c r="T910" s="233">
        <v>0</v>
      </c>
      <c r="U910" s="30">
        <v>0</v>
      </c>
      <c r="V910" s="233">
        <v>0</v>
      </c>
      <c r="W910" s="30">
        <v>0</v>
      </c>
      <c r="X910" s="30">
        <v>0</v>
      </c>
      <c r="Y910" s="30">
        <v>0</v>
      </c>
      <c r="Z910" s="233">
        <v>0</v>
      </c>
      <c r="AA910" s="30">
        <v>0</v>
      </c>
      <c r="AB910" s="30">
        <v>0</v>
      </c>
      <c r="AC910" s="30">
        <v>0</v>
      </c>
      <c r="AD910" s="30">
        <v>0</v>
      </c>
      <c r="AE910" s="89" t="s">
        <v>394</v>
      </c>
      <c r="AF910" s="89"/>
      <c r="AG910" s="89" t="s">
        <v>352</v>
      </c>
      <c r="AH910" s="72">
        <v>40406</v>
      </c>
      <c r="AI910" s="30">
        <v>0</v>
      </c>
      <c r="AJ910" s="89" t="s">
        <v>5153</v>
      </c>
      <c r="AK910" s="89" t="s">
        <v>1233</v>
      </c>
      <c r="AL910" s="91">
        <v>40399</v>
      </c>
      <c r="AM910" s="91"/>
      <c r="AN910" s="91"/>
      <c r="AO910" s="91"/>
      <c r="AP910" s="73" t="e">
        <f>MID(VLOOKUP(K910,#REF!,2,FALSE),1,2)</f>
        <v>#REF!</v>
      </c>
      <c r="AQ910" s="89">
        <f>DATE(2010,7,26)</f>
        <v>40385</v>
      </c>
      <c r="AR910" s="82">
        <f t="shared" si="62"/>
        <v>26</v>
      </c>
      <c r="AS910" s="83">
        <f t="shared" si="63"/>
        <v>7</v>
      </c>
      <c r="AT910" s="84">
        <f t="shared" si="64"/>
        <v>2010</v>
      </c>
      <c r="AU910" s="86"/>
      <c r="AV910" s="86"/>
      <c r="AW910" s="87"/>
      <c r="AX910" s="86"/>
      <c r="AY910" s="83"/>
      <c r="AZ910" s="84"/>
      <c r="BA910" s="86"/>
      <c r="BB910" s="86"/>
    </row>
    <row r="911" spans="1:54" ht="36.75" customHeight="1">
      <c r="A911" s="30"/>
      <c r="B911" s="30" t="s">
        <v>55</v>
      </c>
      <c r="C911" s="69" t="str">
        <f t="shared" si="61"/>
        <v>Closed</v>
      </c>
      <c r="D911" s="27" t="s">
        <v>5154</v>
      </c>
      <c r="E911" s="29" t="s">
        <v>5155</v>
      </c>
      <c r="F911" s="30" t="s">
        <v>115</v>
      </c>
      <c r="G911" s="89">
        <f>DATE(2010,7,29)</f>
        <v>40388</v>
      </c>
      <c r="H911" s="90">
        <v>1.4652777777777777</v>
      </c>
      <c r="I911" s="30" t="s">
        <v>73</v>
      </c>
      <c r="J911" s="89" t="s">
        <v>5156</v>
      </c>
      <c r="K911" s="30" t="s">
        <v>118</v>
      </c>
      <c r="L911" s="30" t="s">
        <v>5157</v>
      </c>
      <c r="M911" s="30" t="s">
        <v>63</v>
      </c>
      <c r="N911" s="30">
        <v>0</v>
      </c>
      <c r="O911" s="30" t="s">
        <v>77</v>
      </c>
      <c r="P911" s="89" t="s">
        <v>78</v>
      </c>
      <c r="Q911" s="89" t="s">
        <v>120</v>
      </c>
      <c r="R911" s="89" t="s">
        <v>121</v>
      </c>
      <c r="S911" s="30">
        <v>0</v>
      </c>
      <c r="T911" s="233" t="s">
        <v>68</v>
      </c>
      <c r="U911" s="30">
        <v>0</v>
      </c>
      <c r="V911" s="233" t="s">
        <v>68</v>
      </c>
      <c r="W911" s="30">
        <v>0</v>
      </c>
      <c r="X911" s="30">
        <v>0</v>
      </c>
      <c r="Y911" s="30">
        <v>0</v>
      </c>
      <c r="Z911" s="233" t="s">
        <v>68</v>
      </c>
      <c r="AA911" s="30">
        <v>0</v>
      </c>
      <c r="AB911" s="30">
        <v>0</v>
      </c>
      <c r="AC911" s="30">
        <v>0</v>
      </c>
      <c r="AD911" s="30">
        <v>0</v>
      </c>
      <c r="AE911" s="89" t="s">
        <v>68</v>
      </c>
      <c r="AF911" s="89"/>
      <c r="AG911" s="89" t="s">
        <v>82</v>
      </c>
      <c r="AH911" s="72" t="s">
        <v>68</v>
      </c>
      <c r="AI911" s="30">
        <v>3</v>
      </c>
      <c r="AJ911" s="89" t="s">
        <v>5158</v>
      </c>
      <c r="AK911" s="89" t="s">
        <v>5159</v>
      </c>
      <c r="AL911" s="91">
        <v>40442</v>
      </c>
      <c r="AM911" s="91"/>
      <c r="AN911" s="91"/>
      <c r="AO911" s="91"/>
      <c r="AP911" s="73" t="e">
        <f>MID(VLOOKUP(K911,#REF!,2,FALSE),1,2)</f>
        <v>#REF!</v>
      </c>
      <c r="AQ911" s="89">
        <f>DATE(2010,7,29)</f>
        <v>40388</v>
      </c>
      <c r="AR911" s="82">
        <f t="shared" si="62"/>
        <v>29</v>
      </c>
      <c r="AS911" s="83">
        <f t="shared" si="63"/>
        <v>7</v>
      </c>
      <c r="AT911" s="84">
        <f t="shared" si="64"/>
        <v>2010</v>
      </c>
      <c r="AU911" s="86"/>
      <c r="AV911" s="86"/>
      <c r="AW911" s="87"/>
      <c r="AX911" s="86"/>
      <c r="AY911" s="83"/>
      <c r="AZ911" s="84"/>
      <c r="BA911" s="86"/>
      <c r="BB911" s="86"/>
    </row>
    <row r="912" spans="1:54" ht="36.75" customHeight="1">
      <c r="A912" s="30"/>
      <c r="B912" s="30" t="s">
        <v>55</v>
      </c>
      <c r="C912" s="69" t="str">
        <f t="shared" si="61"/>
        <v>Closed</v>
      </c>
      <c r="D912" s="27" t="s">
        <v>5160</v>
      </c>
      <c r="E912" s="29" t="s">
        <v>5161</v>
      </c>
      <c r="F912" s="30" t="s">
        <v>1572</v>
      </c>
      <c r="G912" s="89">
        <f>DATE(2010,7,29)</f>
        <v>40388</v>
      </c>
      <c r="H912" s="90">
        <v>1.78125</v>
      </c>
      <c r="I912" s="30" t="s">
        <v>73</v>
      </c>
      <c r="J912" s="89" t="s">
        <v>5162</v>
      </c>
      <c r="K912" s="30" t="s">
        <v>1574</v>
      </c>
      <c r="L912" s="30" t="s">
        <v>5163</v>
      </c>
      <c r="M912" s="30" t="s">
        <v>63</v>
      </c>
      <c r="N912" s="30">
        <v>0</v>
      </c>
      <c r="O912" s="30" t="s">
        <v>77</v>
      </c>
      <c r="P912" s="89" t="s">
        <v>78</v>
      </c>
      <c r="Q912" s="89" t="s">
        <v>1584</v>
      </c>
      <c r="R912" s="89">
        <v>0</v>
      </c>
      <c r="S912" s="30">
        <v>0</v>
      </c>
      <c r="T912" s="233" t="s">
        <v>68</v>
      </c>
      <c r="U912" s="30">
        <v>0</v>
      </c>
      <c r="V912" s="233" t="s">
        <v>68</v>
      </c>
      <c r="W912" s="30">
        <v>0</v>
      </c>
      <c r="X912" s="30">
        <v>0</v>
      </c>
      <c r="Y912" s="30">
        <v>0</v>
      </c>
      <c r="Z912" s="233" t="s">
        <v>68</v>
      </c>
      <c r="AA912" s="30">
        <v>0</v>
      </c>
      <c r="AB912" s="30">
        <v>0</v>
      </c>
      <c r="AC912" s="30">
        <v>0</v>
      </c>
      <c r="AD912" s="30">
        <v>0</v>
      </c>
      <c r="AE912" s="89" t="s">
        <v>68</v>
      </c>
      <c r="AF912" s="89"/>
      <c r="AG912" s="89" t="s">
        <v>133</v>
      </c>
      <c r="AH912" s="72" t="s">
        <v>68</v>
      </c>
      <c r="AI912" s="30">
        <v>1</v>
      </c>
      <c r="AJ912" s="89" t="s">
        <v>5164</v>
      </c>
      <c r="AK912" s="89" t="s">
        <v>5165</v>
      </c>
      <c r="AL912" s="91">
        <v>40401</v>
      </c>
      <c r="AM912" s="91"/>
      <c r="AN912" s="91"/>
      <c r="AO912" s="91"/>
      <c r="AP912" s="73" t="e">
        <f>MID(VLOOKUP(K912,#REF!,2,FALSE),1,2)</f>
        <v>#REF!</v>
      </c>
      <c r="AQ912" s="89">
        <f>DATE(2010,7,29)</f>
        <v>40388</v>
      </c>
      <c r="AR912" s="82">
        <f t="shared" si="62"/>
        <v>29</v>
      </c>
      <c r="AS912" s="83">
        <f t="shared" si="63"/>
        <v>7</v>
      </c>
      <c r="AT912" s="84">
        <f t="shared" si="64"/>
        <v>2010</v>
      </c>
      <c r="AU912" s="86"/>
      <c r="AV912" s="86"/>
      <c r="AW912" s="87"/>
      <c r="AX912" s="86"/>
      <c r="AY912" s="83"/>
      <c r="AZ912" s="84"/>
      <c r="BA912" s="86"/>
      <c r="BB912" s="86"/>
    </row>
    <row r="913" spans="1:54" ht="36.75" customHeight="1">
      <c r="A913" s="30"/>
      <c r="B913" s="30" t="s">
        <v>55</v>
      </c>
      <c r="C913" s="69" t="str">
        <f t="shared" si="61"/>
        <v>Closed</v>
      </c>
      <c r="D913" s="27" t="s">
        <v>5166</v>
      </c>
      <c r="E913" s="29" t="s">
        <v>5167</v>
      </c>
      <c r="F913" s="30" t="s">
        <v>1572</v>
      </c>
      <c r="G913" s="89">
        <f>DATE(2010,8,2)</f>
        <v>40392</v>
      </c>
      <c r="H913" s="90">
        <v>1.1666666666666667</v>
      </c>
      <c r="I913" s="30" t="s">
        <v>73</v>
      </c>
      <c r="J913" s="89" t="s">
        <v>5168</v>
      </c>
      <c r="K913" s="30" t="s">
        <v>1574</v>
      </c>
      <c r="L913" s="30" t="s">
        <v>5169</v>
      </c>
      <c r="M913" s="30" t="s">
        <v>63</v>
      </c>
      <c r="N913" s="30">
        <v>0</v>
      </c>
      <c r="O913" s="30" t="s">
        <v>64</v>
      </c>
      <c r="P913" s="89" t="s">
        <v>165</v>
      </c>
      <c r="Q913" s="89" t="s">
        <v>5170</v>
      </c>
      <c r="R913" s="89" t="s">
        <v>2561</v>
      </c>
      <c r="S913" s="30">
        <v>0</v>
      </c>
      <c r="T913" s="233" t="s">
        <v>68</v>
      </c>
      <c r="U913" s="30">
        <v>0</v>
      </c>
      <c r="V913" s="233" t="s">
        <v>68</v>
      </c>
      <c r="W913" s="30">
        <v>0</v>
      </c>
      <c r="X913" s="30">
        <v>0</v>
      </c>
      <c r="Y913" s="30">
        <v>0</v>
      </c>
      <c r="Z913" s="233" t="s">
        <v>68</v>
      </c>
      <c r="AA913" s="30">
        <v>0</v>
      </c>
      <c r="AB913" s="30">
        <v>0</v>
      </c>
      <c r="AC913" s="30">
        <v>0</v>
      </c>
      <c r="AD913" s="30">
        <v>0</v>
      </c>
      <c r="AE913" s="89" t="s">
        <v>68</v>
      </c>
      <c r="AF913" s="89"/>
      <c r="AG913" s="89" t="s">
        <v>133</v>
      </c>
      <c r="AH913" s="72" t="s">
        <v>68</v>
      </c>
      <c r="AI913" s="30">
        <v>3</v>
      </c>
      <c r="AJ913" s="89" t="s">
        <v>5171</v>
      </c>
      <c r="AK913" s="89" t="s">
        <v>5172</v>
      </c>
      <c r="AL913" s="91">
        <v>40401</v>
      </c>
      <c r="AM913" s="91"/>
      <c r="AN913" s="91"/>
      <c r="AO913" s="91"/>
      <c r="AP913" s="73" t="e">
        <f>MID(VLOOKUP(K913,#REF!,2,FALSE),1,2)</f>
        <v>#REF!</v>
      </c>
      <c r="AQ913" s="89">
        <f>DATE(2010,8,2)</f>
        <v>40392</v>
      </c>
      <c r="AR913" s="82">
        <f t="shared" si="62"/>
        <v>2</v>
      </c>
      <c r="AS913" s="83">
        <f t="shared" si="63"/>
        <v>8</v>
      </c>
      <c r="AT913" s="84">
        <f t="shared" si="64"/>
        <v>2010</v>
      </c>
      <c r="AU913" s="86"/>
      <c r="AV913" s="86"/>
      <c r="AW913" s="87"/>
      <c r="AX913" s="86"/>
      <c r="AY913" s="83"/>
      <c r="AZ913" s="84"/>
      <c r="BA913" s="86"/>
      <c r="BB913" s="86"/>
    </row>
    <row r="914" spans="1:54" ht="36.75" customHeight="1">
      <c r="A914" s="30"/>
      <c r="B914" s="30" t="s">
        <v>55</v>
      </c>
      <c r="C914" s="69" t="str">
        <f t="shared" si="61"/>
        <v>Closed</v>
      </c>
      <c r="D914" s="27" t="s">
        <v>5173</v>
      </c>
      <c r="E914" s="29" t="s">
        <v>5174</v>
      </c>
      <c r="F914" s="30" t="s">
        <v>582</v>
      </c>
      <c r="G914" s="89">
        <f>DATE(2010,8,7)</f>
        <v>40397</v>
      </c>
      <c r="H914" s="90">
        <v>1.2152777777777777</v>
      </c>
      <c r="I914" s="30" t="s">
        <v>198</v>
      </c>
      <c r="J914" s="89" t="s">
        <v>5175</v>
      </c>
      <c r="K914" s="30" t="s">
        <v>584</v>
      </c>
      <c r="L914" s="30" t="s">
        <v>5176</v>
      </c>
      <c r="M914" s="30" t="s">
        <v>63</v>
      </c>
      <c r="N914" s="30">
        <v>0</v>
      </c>
      <c r="O914" s="30" t="s">
        <v>77</v>
      </c>
      <c r="P914" s="89" t="s">
        <v>301</v>
      </c>
      <c r="Q914" s="89" t="s">
        <v>5177</v>
      </c>
      <c r="R914" s="89" t="s">
        <v>587</v>
      </c>
      <c r="S914" s="30">
        <v>0</v>
      </c>
      <c r="T914" s="233" t="s">
        <v>68</v>
      </c>
      <c r="U914" s="30">
        <v>0</v>
      </c>
      <c r="V914" s="233" t="s">
        <v>68</v>
      </c>
      <c r="W914" s="30">
        <v>0</v>
      </c>
      <c r="X914" s="30">
        <v>0</v>
      </c>
      <c r="Y914" s="30">
        <v>0</v>
      </c>
      <c r="Z914" s="233" t="s">
        <v>68</v>
      </c>
      <c r="AA914" s="30">
        <v>0</v>
      </c>
      <c r="AB914" s="30">
        <v>0</v>
      </c>
      <c r="AC914" s="30">
        <v>0</v>
      </c>
      <c r="AD914" s="30">
        <v>0</v>
      </c>
      <c r="AE914" s="89" t="s">
        <v>68</v>
      </c>
      <c r="AF914" s="89"/>
      <c r="AG914" s="89" t="s">
        <v>82</v>
      </c>
      <c r="AH914" s="72" t="s">
        <v>68</v>
      </c>
      <c r="AI914" s="30">
        <v>0</v>
      </c>
      <c r="AJ914" s="89" t="s">
        <v>5178</v>
      </c>
      <c r="AK914" s="89" t="s">
        <v>68</v>
      </c>
      <c r="AL914" s="91">
        <v>40399</v>
      </c>
      <c r="AM914" s="91"/>
      <c r="AN914" s="91"/>
      <c r="AO914" s="91"/>
      <c r="AP914" s="73" t="e">
        <f>MID(VLOOKUP(K914,#REF!,2,FALSE),1,2)</f>
        <v>#REF!</v>
      </c>
      <c r="AQ914" s="89">
        <f>DATE(2010,8,7)</f>
        <v>40397</v>
      </c>
      <c r="AR914" s="82">
        <f t="shared" si="62"/>
        <v>7</v>
      </c>
      <c r="AS914" s="83">
        <f t="shared" si="63"/>
        <v>8</v>
      </c>
      <c r="AT914" s="84">
        <f t="shared" si="64"/>
        <v>2010</v>
      </c>
      <c r="AU914" s="86"/>
      <c r="AV914" s="86"/>
      <c r="AW914" s="87"/>
      <c r="AX914" s="86"/>
      <c r="AY914" s="83"/>
      <c r="AZ914" s="84"/>
      <c r="BA914" s="86"/>
      <c r="BB914" s="86"/>
    </row>
    <row r="915" spans="1:54" ht="36.75" customHeight="1">
      <c r="A915" s="30"/>
      <c r="B915" s="30" t="s">
        <v>55</v>
      </c>
      <c r="C915" s="69" t="str">
        <f t="shared" si="61"/>
        <v>Closed</v>
      </c>
      <c r="D915" s="27" t="s">
        <v>5179</v>
      </c>
      <c r="E915" s="29" t="s">
        <v>5180</v>
      </c>
      <c r="F915" s="30" t="s">
        <v>638</v>
      </c>
      <c r="G915" s="89">
        <f>DATE(2010,8,9)</f>
        <v>40399</v>
      </c>
      <c r="H915" s="90">
        <v>1.7083333333333335</v>
      </c>
      <c r="I915" s="30" t="s">
        <v>116</v>
      </c>
      <c r="J915" s="89" t="s">
        <v>5181</v>
      </c>
      <c r="K915" s="30" t="s">
        <v>640</v>
      </c>
      <c r="L915" s="30" t="s">
        <v>5182</v>
      </c>
      <c r="M915" s="30" t="s">
        <v>63</v>
      </c>
      <c r="N915" s="30">
        <v>0</v>
      </c>
      <c r="O915" s="30" t="s">
        <v>64</v>
      </c>
      <c r="P915" s="89" t="s">
        <v>165</v>
      </c>
      <c r="Q915" s="89" t="s">
        <v>3246</v>
      </c>
      <c r="R915" s="89" t="s">
        <v>3246</v>
      </c>
      <c r="S915" s="30">
        <v>0</v>
      </c>
      <c r="T915" s="233">
        <v>0</v>
      </c>
      <c r="U915" s="30">
        <v>1</v>
      </c>
      <c r="V915" s="233">
        <v>0</v>
      </c>
      <c r="W915" s="30">
        <v>0</v>
      </c>
      <c r="X915" s="30">
        <v>1</v>
      </c>
      <c r="Y915" s="30">
        <v>0</v>
      </c>
      <c r="Z915" s="233">
        <v>0</v>
      </c>
      <c r="AA915" s="30">
        <v>0</v>
      </c>
      <c r="AB915" s="30">
        <v>0</v>
      </c>
      <c r="AC915" s="30">
        <v>0</v>
      </c>
      <c r="AD915" s="30">
        <v>0</v>
      </c>
      <c r="AE915" s="89" t="s">
        <v>68</v>
      </c>
      <c r="AF915" s="89"/>
      <c r="AG915" s="89" t="s">
        <v>248</v>
      </c>
      <c r="AH915" s="72" t="s">
        <v>68</v>
      </c>
      <c r="AI915" s="30">
        <v>1</v>
      </c>
      <c r="AJ915" s="89" t="s">
        <v>5183</v>
      </c>
      <c r="AK915" s="89" t="s">
        <v>68</v>
      </c>
      <c r="AL915" s="91">
        <v>40515</v>
      </c>
      <c r="AM915" s="91"/>
      <c r="AN915" s="91"/>
      <c r="AO915" s="91"/>
      <c r="AP915" s="73" t="e">
        <f>MID(VLOOKUP(K915,#REF!,2,FALSE),1,2)</f>
        <v>#REF!</v>
      </c>
      <c r="AQ915" s="89">
        <f>DATE(2010,8,9)</f>
        <v>40399</v>
      </c>
      <c r="AR915" s="82">
        <f t="shared" si="62"/>
        <v>9</v>
      </c>
      <c r="AS915" s="83">
        <f t="shared" si="63"/>
        <v>8</v>
      </c>
      <c r="AT915" s="84">
        <f t="shared" si="64"/>
        <v>2010</v>
      </c>
      <c r="AU915" s="86"/>
      <c r="AV915" s="86"/>
      <c r="AW915" s="87"/>
      <c r="AX915" s="86"/>
      <c r="AY915" s="83"/>
      <c r="AZ915" s="84"/>
      <c r="BA915" s="86"/>
      <c r="BB915" s="86"/>
    </row>
    <row r="916" spans="1:54" ht="36.75" customHeight="1">
      <c r="A916" s="30"/>
      <c r="B916" s="30" t="s">
        <v>55</v>
      </c>
      <c r="C916" s="69" t="str">
        <f t="shared" si="61"/>
        <v>Closed</v>
      </c>
      <c r="D916" s="27" t="s">
        <v>5184</v>
      </c>
      <c r="E916" s="29" t="s">
        <v>5185</v>
      </c>
      <c r="F916" s="30" t="s">
        <v>1572</v>
      </c>
      <c r="G916" s="89">
        <f>DATE(2010,8,11)</f>
        <v>40401</v>
      </c>
      <c r="H916" s="90">
        <v>1.3763888888888889</v>
      </c>
      <c r="I916" s="30" t="s">
        <v>198</v>
      </c>
      <c r="J916" s="89" t="s">
        <v>5186</v>
      </c>
      <c r="K916" s="30" t="s">
        <v>1574</v>
      </c>
      <c r="L916" s="30" t="s">
        <v>5187</v>
      </c>
      <c r="M916" s="30" t="s">
        <v>63</v>
      </c>
      <c r="N916" s="30">
        <v>0</v>
      </c>
      <c r="O916" s="30" t="s">
        <v>77</v>
      </c>
      <c r="P916" s="89" t="s">
        <v>78</v>
      </c>
      <c r="Q916" s="89" t="s">
        <v>5188</v>
      </c>
      <c r="R916" s="89">
        <v>0</v>
      </c>
      <c r="S916" s="30">
        <v>0</v>
      </c>
      <c r="T916" s="233" t="s">
        <v>68</v>
      </c>
      <c r="U916" s="30">
        <v>0</v>
      </c>
      <c r="V916" s="233" t="s">
        <v>68</v>
      </c>
      <c r="W916" s="30">
        <v>0</v>
      </c>
      <c r="X916" s="30">
        <v>0</v>
      </c>
      <c r="Y916" s="30">
        <v>0</v>
      </c>
      <c r="Z916" s="233" t="s">
        <v>68</v>
      </c>
      <c r="AA916" s="30">
        <v>0</v>
      </c>
      <c r="AB916" s="30">
        <v>0</v>
      </c>
      <c r="AC916" s="30">
        <v>0</v>
      </c>
      <c r="AD916" s="30">
        <v>0</v>
      </c>
      <c r="AE916" s="89" t="s">
        <v>68</v>
      </c>
      <c r="AF916" s="89"/>
      <c r="AG916" s="89" t="s">
        <v>133</v>
      </c>
      <c r="AH916" s="72" t="s">
        <v>68</v>
      </c>
      <c r="AI916" s="30">
        <v>2</v>
      </c>
      <c r="AJ916" s="89" t="s">
        <v>5189</v>
      </c>
      <c r="AK916" s="89" t="s">
        <v>5190</v>
      </c>
      <c r="AL916" s="91">
        <v>40406</v>
      </c>
      <c r="AM916" s="91"/>
      <c r="AN916" s="91"/>
      <c r="AO916" s="91"/>
      <c r="AP916" s="73" t="e">
        <f>MID(VLOOKUP(K916,#REF!,2,FALSE),1,2)</f>
        <v>#REF!</v>
      </c>
      <c r="AQ916" s="89">
        <f>DATE(2010,8,11)</f>
        <v>40401</v>
      </c>
      <c r="AR916" s="82">
        <f t="shared" si="62"/>
        <v>11</v>
      </c>
      <c r="AS916" s="83">
        <f t="shared" si="63"/>
        <v>8</v>
      </c>
      <c r="AT916" s="84">
        <f t="shared" si="64"/>
        <v>2010</v>
      </c>
      <c r="AU916" s="86"/>
      <c r="AV916" s="86"/>
      <c r="AW916" s="87"/>
      <c r="AX916" s="86"/>
      <c r="AY916" s="83"/>
      <c r="AZ916" s="84"/>
      <c r="BA916" s="86"/>
      <c r="BB916" s="86"/>
    </row>
    <row r="917" spans="1:54" ht="36.75" customHeight="1">
      <c r="A917" s="30"/>
      <c r="B917" s="30" t="s">
        <v>55</v>
      </c>
      <c r="C917" s="69" t="str">
        <f t="shared" si="61"/>
        <v>Closed</v>
      </c>
      <c r="D917" s="27" t="s">
        <v>5191</v>
      </c>
      <c r="E917" s="29" t="s">
        <v>5192</v>
      </c>
      <c r="F917" s="30" t="s">
        <v>835</v>
      </c>
      <c r="G917" s="89">
        <f>DATE(2010,8,12)</f>
        <v>40402</v>
      </c>
      <c r="H917" s="90">
        <v>1.6423611111111112</v>
      </c>
      <c r="I917" s="30" t="s">
        <v>116</v>
      </c>
      <c r="J917" s="89" t="s">
        <v>5193</v>
      </c>
      <c r="K917" s="30" t="s">
        <v>837</v>
      </c>
      <c r="L917" s="30" t="s">
        <v>5194</v>
      </c>
      <c r="M917" s="30" t="s">
        <v>63</v>
      </c>
      <c r="N917" s="30">
        <v>0</v>
      </c>
      <c r="O917" s="30" t="s">
        <v>64</v>
      </c>
      <c r="P917" s="89" t="s">
        <v>165</v>
      </c>
      <c r="Q917" s="89" t="s">
        <v>2162</v>
      </c>
      <c r="R917" s="89" t="s">
        <v>840</v>
      </c>
      <c r="S917" s="30">
        <v>0</v>
      </c>
      <c r="T917" s="233">
        <v>0</v>
      </c>
      <c r="U917" s="30">
        <v>1</v>
      </c>
      <c r="V917" s="233">
        <v>0</v>
      </c>
      <c r="W917" s="30">
        <v>0</v>
      </c>
      <c r="X917" s="30">
        <v>1</v>
      </c>
      <c r="Y917" s="30">
        <v>0</v>
      </c>
      <c r="Z917" s="233">
        <v>0</v>
      </c>
      <c r="AA917" s="30">
        <v>0</v>
      </c>
      <c r="AB917" s="30">
        <v>0</v>
      </c>
      <c r="AC917" s="30">
        <v>0</v>
      </c>
      <c r="AD917" s="30">
        <v>0</v>
      </c>
      <c r="AE917" s="89" t="s">
        <v>68</v>
      </c>
      <c r="AF917" s="89"/>
      <c r="AG917" s="89" t="s">
        <v>352</v>
      </c>
      <c r="AH917" s="72" t="s">
        <v>68</v>
      </c>
      <c r="AI917" s="30">
        <v>1</v>
      </c>
      <c r="AJ917" s="89" t="s">
        <v>68</v>
      </c>
      <c r="AK917" s="89" t="s">
        <v>68</v>
      </c>
      <c r="AL917" s="91">
        <v>40463</v>
      </c>
      <c r="AM917" s="91"/>
      <c r="AN917" s="91"/>
      <c r="AO917" s="91"/>
      <c r="AP917" s="73" t="e">
        <f>MID(VLOOKUP(K917,#REF!,2,FALSE),1,2)</f>
        <v>#REF!</v>
      </c>
      <c r="AQ917" s="89">
        <f>DATE(2010,8,12)</f>
        <v>40402</v>
      </c>
      <c r="AR917" s="82">
        <f t="shared" si="62"/>
        <v>12</v>
      </c>
      <c r="AS917" s="83">
        <f t="shared" si="63"/>
        <v>8</v>
      </c>
      <c r="AT917" s="84">
        <f t="shared" si="64"/>
        <v>2010</v>
      </c>
      <c r="AU917" s="86"/>
      <c r="AV917" s="86"/>
      <c r="AW917" s="87"/>
      <c r="AX917" s="86"/>
      <c r="AY917" s="83"/>
      <c r="AZ917" s="84"/>
      <c r="BA917" s="86"/>
      <c r="BB917" s="86"/>
    </row>
    <row r="918" spans="1:54" ht="36.75" customHeight="1">
      <c r="A918" s="30"/>
      <c r="B918" s="30" t="s">
        <v>55</v>
      </c>
      <c r="C918" s="69" t="str">
        <f t="shared" si="61"/>
        <v>Closed</v>
      </c>
      <c r="D918" s="27" t="s">
        <v>5195</v>
      </c>
      <c r="E918" s="29" t="s">
        <v>5196</v>
      </c>
      <c r="F918" s="30" t="s">
        <v>423</v>
      </c>
      <c r="G918" s="89">
        <f>DATE(2010,8,13)</f>
        <v>40403</v>
      </c>
      <c r="H918" s="90">
        <v>1.4527777777777777</v>
      </c>
      <c r="I918" s="30" t="s">
        <v>116</v>
      </c>
      <c r="J918" s="89" t="s">
        <v>5197</v>
      </c>
      <c r="K918" s="30" t="s">
        <v>425</v>
      </c>
      <c r="L918" s="30" t="s">
        <v>5198</v>
      </c>
      <c r="M918" s="30" t="s">
        <v>63</v>
      </c>
      <c r="N918" s="30">
        <v>0</v>
      </c>
      <c r="O918" s="30" t="s">
        <v>86</v>
      </c>
      <c r="P918" s="89" t="s">
        <v>91</v>
      </c>
      <c r="Q918" s="89" t="s">
        <v>5199</v>
      </c>
      <c r="R918" s="89" t="s">
        <v>5200</v>
      </c>
      <c r="S918" s="30">
        <v>0</v>
      </c>
      <c r="T918" s="233" t="s">
        <v>68</v>
      </c>
      <c r="U918" s="30">
        <v>0</v>
      </c>
      <c r="V918" s="233" t="s">
        <v>68</v>
      </c>
      <c r="W918" s="30">
        <v>0</v>
      </c>
      <c r="X918" s="30">
        <v>0</v>
      </c>
      <c r="Y918" s="30">
        <v>0</v>
      </c>
      <c r="Z918" s="233" t="s">
        <v>68</v>
      </c>
      <c r="AA918" s="30">
        <v>0</v>
      </c>
      <c r="AB918" s="30">
        <v>0</v>
      </c>
      <c r="AC918" s="30">
        <v>0</v>
      </c>
      <c r="AD918" s="30">
        <v>0</v>
      </c>
      <c r="AE918" s="89" t="s">
        <v>68</v>
      </c>
      <c r="AF918" s="89"/>
      <c r="AG918" s="89" t="s">
        <v>1417</v>
      </c>
      <c r="AH918" s="72" t="s">
        <v>68</v>
      </c>
      <c r="AI918" s="30">
        <v>0</v>
      </c>
      <c r="AJ918" s="89" t="s">
        <v>5201</v>
      </c>
      <c r="AK918" s="89" t="s">
        <v>5202</v>
      </c>
      <c r="AL918" s="91">
        <v>40434</v>
      </c>
      <c r="AM918" s="91"/>
      <c r="AN918" s="91"/>
      <c r="AO918" s="91"/>
      <c r="AP918" s="73" t="e">
        <f>MID(VLOOKUP(K918,#REF!,2,FALSE),1,2)</f>
        <v>#REF!</v>
      </c>
      <c r="AQ918" s="89">
        <f>DATE(2010,8,13)</f>
        <v>40403</v>
      </c>
      <c r="AR918" s="82">
        <f t="shared" si="62"/>
        <v>13</v>
      </c>
      <c r="AS918" s="83">
        <f t="shared" si="63"/>
        <v>8</v>
      </c>
      <c r="AT918" s="84">
        <f t="shared" si="64"/>
        <v>2010</v>
      </c>
      <c r="AU918" s="86"/>
      <c r="AV918" s="86"/>
      <c r="AW918" s="87"/>
      <c r="AX918" s="86"/>
      <c r="AY918" s="83"/>
      <c r="AZ918" s="84"/>
      <c r="BA918" s="86"/>
      <c r="BB918" s="86"/>
    </row>
    <row r="919" spans="1:54" ht="36.75" customHeight="1">
      <c r="A919" s="30"/>
      <c r="B919" s="30" t="s">
        <v>55</v>
      </c>
      <c r="C919" s="69" t="str">
        <f t="shared" si="61"/>
        <v>Closed</v>
      </c>
      <c r="D919" s="27" t="s">
        <v>5203</v>
      </c>
      <c r="E919" s="29" t="s">
        <v>5204</v>
      </c>
      <c r="F919" s="30" t="s">
        <v>233</v>
      </c>
      <c r="G919" s="89">
        <f>DATE(2010,8,13)</f>
        <v>40403</v>
      </c>
      <c r="H919" s="90">
        <v>1.2805555555555554</v>
      </c>
      <c r="I919" s="30" t="s">
        <v>86</v>
      </c>
      <c r="J919" s="89" t="s">
        <v>5205</v>
      </c>
      <c r="K919" s="30" t="s">
        <v>235</v>
      </c>
      <c r="L919" s="30" t="s">
        <v>5206</v>
      </c>
      <c r="M919" s="30" t="s">
        <v>129</v>
      </c>
      <c r="N919" s="30">
        <v>0</v>
      </c>
      <c r="O919" s="30" t="s">
        <v>64</v>
      </c>
      <c r="P919" s="89" t="s">
        <v>301</v>
      </c>
      <c r="Q919" s="89" t="s">
        <v>4874</v>
      </c>
      <c r="R919" s="89" t="s">
        <v>683</v>
      </c>
      <c r="S919" s="30">
        <v>0</v>
      </c>
      <c r="T919" s="233" t="s">
        <v>68</v>
      </c>
      <c r="U919" s="30">
        <v>0</v>
      </c>
      <c r="V919" s="233" t="s">
        <v>68</v>
      </c>
      <c r="W919" s="30">
        <v>0</v>
      </c>
      <c r="X919" s="30">
        <v>0</v>
      </c>
      <c r="Y919" s="30">
        <v>0</v>
      </c>
      <c r="Z919" s="233" t="s">
        <v>68</v>
      </c>
      <c r="AA919" s="30">
        <v>0</v>
      </c>
      <c r="AB919" s="30">
        <v>0</v>
      </c>
      <c r="AC919" s="30">
        <v>0</v>
      </c>
      <c r="AD919" s="30">
        <v>0</v>
      </c>
      <c r="AE919" s="89" t="s">
        <v>68</v>
      </c>
      <c r="AF919" s="89"/>
      <c r="AG919" s="89" t="s">
        <v>133</v>
      </c>
      <c r="AH919" s="72" t="s">
        <v>68</v>
      </c>
      <c r="AI919" s="30">
        <v>7</v>
      </c>
      <c r="AJ919" s="89" t="s">
        <v>5207</v>
      </c>
      <c r="AK919" s="89" t="s">
        <v>5208</v>
      </c>
      <c r="AL919" s="91">
        <v>40407</v>
      </c>
      <c r="AM919" s="91"/>
      <c r="AN919" s="91"/>
      <c r="AO919" s="91"/>
      <c r="AP919" s="73" t="e">
        <f>MID(VLOOKUP(K919,#REF!,2,FALSE),1,2)</f>
        <v>#REF!</v>
      </c>
      <c r="AQ919" s="89">
        <f>DATE(2010,8,13)</f>
        <v>40403</v>
      </c>
      <c r="AR919" s="82">
        <f t="shared" si="62"/>
        <v>13</v>
      </c>
      <c r="AS919" s="83">
        <f t="shared" si="63"/>
        <v>8</v>
      </c>
      <c r="AT919" s="84">
        <f t="shared" si="64"/>
        <v>2010</v>
      </c>
      <c r="AU919" s="86"/>
      <c r="AV919" s="86"/>
      <c r="AW919" s="87"/>
      <c r="AX919" s="86"/>
      <c r="AY919" s="83"/>
      <c r="AZ919" s="84"/>
      <c r="BA919" s="86"/>
      <c r="BB919" s="86"/>
    </row>
    <row r="920" spans="1:54" ht="36.75" customHeight="1">
      <c r="A920" s="30"/>
      <c r="B920" s="30" t="s">
        <v>55</v>
      </c>
      <c r="C920" s="69" t="str">
        <f t="shared" si="61"/>
        <v>Closed</v>
      </c>
      <c r="D920" s="27" t="s">
        <v>5209</v>
      </c>
      <c r="E920" s="29" t="s">
        <v>5210</v>
      </c>
      <c r="F920" s="30" t="s">
        <v>582</v>
      </c>
      <c r="G920" s="89">
        <f>DATE(2010,8,17)</f>
        <v>40407</v>
      </c>
      <c r="H920" s="90">
        <v>1.4208333333333334</v>
      </c>
      <c r="I920" s="30" t="s">
        <v>156</v>
      </c>
      <c r="J920" s="89" t="s">
        <v>5211</v>
      </c>
      <c r="K920" s="30" t="s">
        <v>584</v>
      </c>
      <c r="L920" s="30" t="s">
        <v>5212</v>
      </c>
      <c r="M920" s="30" t="s">
        <v>63</v>
      </c>
      <c r="N920" s="30" t="s">
        <v>142</v>
      </c>
      <c r="O920" s="30" t="s">
        <v>64</v>
      </c>
      <c r="P920" s="89" t="s">
        <v>462</v>
      </c>
      <c r="Q920" s="89" t="s">
        <v>4830</v>
      </c>
      <c r="R920" s="89" t="s">
        <v>587</v>
      </c>
      <c r="S920" s="30">
        <v>0</v>
      </c>
      <c r="T920" s="233">
        <v>0</v>
      </c>
      <c r="U920" s="30">
        <v>0</v>
      </c>
      <c r="V920" s="233">
        <v>0</v>
      </c>
      <c r="W920" s="30">
        <v>0</v>
      </c>
      <c r="X920" s="30">
        <v>0</v>
      </c>
      <c r="Y920" s="30">
        <v>0</v>
      </c>
      <c r="Z920" s="233">
        <v>0</v>
      </c>
      <c r="AA920" s="30">
        <v>0</v>
      </c>
      <c r="AB920" s="30">
        <v>0</v>
      </c>
      <c r="AC920" s="30">
        <v>0</v>
      </c>
      <c r="AD920" s="30">
        <v>0</v>
      </c>
      <c r="AE920" s="89" t="s">
        <v>394</v>
      </c>
      <c r="AF920" s="89"/>
      <c r="AG920" s="89" t="s">
        <v>82</v>
      </c>
      <c r="AH920" s="72">
        <v>40407</v>
      </c>
      <c r="AI920" s="30">
        <v>0</v>
      </c>
      <c r="AJ920" s="89" t="s">
        <v>5213</v>
      </c>
      <c r="AK920" s="89" t="s">
        <v>1233</v>
      </c>
      <c r="AL920" s="91">
        <v>40416</v>
      </c>
      <c r="AM920" s="91"/>
      <c r="AN920" s="91"/>
      <c r="AO920" s="91"/>
      <c r="AP920" s="73" t="e">
        <f>MID(VLOOKUP(K920,#REF!,2,FALSE),1,2)</f>
        <v>#REF!</v>
      </c>
      <c r="AQ920" s="89">
        <f>DATE(2010,8,17)</f>
        <v>40407</v>
      </c>
      <c r="AR920" s="82">
        <f t="shared" si="62"/>
        <v>17</v>
      </c>
      <c r="AS920" s="83">
        <f t="shared" si="63"/>
        <v>8</v>
      </c>
      <c r="AT920" s="84">
        <f t="shared" si="64"/>
        <v>2010</v>
      </c>
      <c r="AU920" s="86"/>
      <c r="AV920" s="86"/>
      <c r="AW920" s="87"/>
      <c r="AX920" s="86"/>
      <c r="AY920" s="83"/>
      <c r="AZ920" s="84"/>
      <c r="BA920" s="86"/>
      <c r="BB920" s="86"/>
    </row>
    <row r="921" spans="1:54" ht="36.75" customHeight="1">
      <c r="A921" s="30"/>
      <c r="B921" s="30" t="s">
        <v>55</v>
      </c>
      <c r="C921" s="69" t="str">
        <f t="shared" si="61"/>
        <v>Closed</v>
      </c>
      <c r="D921" s="27" t="s">
        <v>5214</v>
      </c>
      <c r="E921" s="29" t="s">
        <v>5215</v>
      </c>
      <c r="F921" s="30" t="s">
        <v>638</v>
      </c>
      <c r="G921" s="89">
        <f>DATE(2010,8,17)</f>
        <v>40407</v>
      </c>
      <c r="H921" s="90">
        <v>1.8361111111111112</v>
      </c>
      <c r="I921" s="30" t="s">
        <v>104</v>
      </c>
      <c r="J921" s="89" t="s">
        <v>5216</v>
      </c>
      <c r="K921" s="30" t="s">
        <v>640</v>
      </c>
      <c r="L921" s="30" t="s">
        <v>5217</v>
      </c>
      <c r="M921" s="30" t="s">
        <v>63</v>
      </c>
      <c r="N921" s="30">
        <v>0</v>
      </c>
      <c r="O921" s="30" t="s">
        <v>77</v>
      </c>
      <c r="P921" s="89" t="s">
        <v>78</v>
      </c>
      <c r="Q921" s="89" t="s">
        <v>642</v>
      </c>
      <c r="R921" s="89" t="s">
        <v>643</v>
      </c>
      <c r="S921" s="30">
        <v>0</v>
      </c>
      <c r="T921" s="233" t="s">
        <v>68</v>
      </c>
      <c r="U921" s="30">
        <v>0</v>
      </c>
      <c r="V921" s="233" t="s">
        <v>68</v>
      </c>
      <c r="W921" s="30">
        <v>0</v>
      </c>
      <c r="X921" s="30">
        <v>0</v>
      </c>
      <c r="Y921" s="30">
        <v>0</v>
      </c>
      <c r="Z921" s="233" t="s">
        <v>68</v>
      </c>
      <c r="AA921" s="30">
        <v>0</v>
      </c>
      <c r="AB921" s="30">
        <v>0</v>
      </c>
      <c r="AC921" s="30">
        <v>0</v>
      </c>
      <c r="AD921" s="30">
        <v>0</v>
      </c>
      <c r="AE921" s="89" t="s">
        <v>68</v>
      </c>
      <c r="AF921" s="89"/>
      <c r="AG921" s="89" t="s">
        <v>352</v>
      </c>
      <c r="AH921" s="72" t="s">
        <v>68</v>
      </c>
      <c r="AI921" s="30">
        <v>0</v>
      </c>
      <c r="AJ921" s="89" t="s">
        <v>5218</v>
      </c>
      <c r="AK921" s="89" t="s">
        <v>68</v>
      </c>
      <c r="AL921" s="91">
        <v>40515</v>
      </c>
      <c r="AM921" s="91"/>
      <c r="AN921" s="91"/>
      <c r="AO921" s="91"/>
      <c r="AP921" s="73" t="e">
        <f>MID(VLOOKUP(K921,#REF!,2,FALSE),1,2)</f>
        <v>#REF!</v>
      </c>
      <c r="AQ921" s="89">
        <f>DATE(2010,8,17)</f>
        <v>40407</v>
      </c>
      <c r="AR921" s="82">
        <f t="shared" si="62"/>
        <v>17</v>
      </c>
      <c r="AS921" s="83">
        <f t="shared" si="63"/>
        <v>8</v>
      </c>
      <c r="AT921" s="84">
        <f t="shared" si="64"/>
        <v>2010</v>
      </c>
      <c r="AU921" s="86"/>
      <c r="AV921" s="86"/>
      <c r="AW921" s="87"/>
      <c r="AX921" s="86"/>
      <c r="AY921" s="83"/>
      <c r="AZ921" s="84"/>
      <c r="BA921" s="86"/>
      <c r="BB921" s="86"/>
    </row>
    <row r="922" spans="1:54" ht="36.75" customHeight="1">
      <c r="A922" s="30"/>
      <c r="B922" s="30" t="s">
        <v>55</v>
      </c>
      <c r="C922" s="69" t="str">
        <f t="shared" si="61"/>
        <v>Closed</v>
      </c>
      <c r="D922" s="27" t="s">
        <v>5219</v>
      </c>
      <c r="E922" s="29" t="s">
        <v>5220</v>
      </c>
      <c r="F922" s="30" t="s">
        <v>835</v>
      </c>
      <c r="G922" s="89">
        <f>DATE(2010,8,17)</f>
        <v>40407</v>
      </c>
      <c r="H922" s="90">
        <v>1.5236111111111112</v>
      </c>
      <c r="I922" s="30" t="s">
        <v>116</v>
      </c>
      <c r="J922" s="89" t="s">
        <v>5221</v>
      </c>
      <c r="K922" s="30" t="s">
        <v>837</v>
      </c>
      <c r="L922" s="30" t="s">
        <v>5222</v>
      </c>
      <c r="M922" s="30" t="s">
        <v>63</v>
      </c>
      <c r="N922" s="30">
        <v>0</v>
      </c>
      <c r="O922" s="30" t="s">
        <v>64</v>
      </c>
      <c r="P922" s="89" t="s">
        <v>165</v>
      </c>
      <c r="Q922" s="89" t="s">
        <v>2162</v>
      </c>
      <c r="R922" s="89" t="s">
        <v>840</v>
      </c>
      <c r="S922" s="30">
        <v>0</v>
      </c>
      <c r="T922" s="233">
        <v>0</v>
      </c>
      <c r="U922" s="30">
        <v>1</v>
      </c>
      <c r="V922" s="233">
        <v>0</v>
      </c>
      <c r="W922" s="30">
        <v>0</v>
      </c>
      <c r="X922" s="30">
        <v>1</v>
      </c>
      <c r="Y922" s="30">
        <v>0</v>
      </c>
      <c r="Z922" s="233">
        <v>0</v>
      </c>
      <c r="AA922" s="30">
        <v>0</v>
      </c>
      <c r="AB922" s="30">
        <v>0</v>
      </c>
      <c r="AC922" s="30">
        <v>0</v>
      </c>
      <c r="AD922" s="30">
        <v>0</v>
      </c>
      <c r="AE922" s="89" t="s">
        <v>68</v>
      </c>
      <c r="AF922" s="89"/>
      <c r="AG922" s="89" t="s">
        <v>352</v>
      </c>
      <c r="AH922" s="72" t="s">
        <v>68</v>
      </c>
      <c r="AI922" s="30">
        <v>1</v>
      </c>
      <c r="AJ922" s="89" t="s">
        <v>68</v>
      </c>
      <c r="AK922" s="89" t="s">
        <v>68</v>
      </c>
      <c r="AL922" s="91">
        <v>40463</v>
      </c>
      <c r="AM922" s="91"/>
      <c r="AN922" s="91"/>
      <c r="AO922" s="91"/>
      <c r="AP922" s="73" t="e">
        <f>MID(VLOOKUP(K922,#REF!,2,FALSE),1,2)</f>
        <v>#REF!</v>
      </c>
      <c r="AQ922" s="89">
        <f>DATE(2010,8,17)</f>
        <v>40407</v>
      </c>
      <c r="AR922" s="82">
        <f t="shared" si="62"/>
        <v>17</v>
      </c>
      <c r="AS922" s="83">
        <f t="shared" si="63"/>
        <v>8</v>
      </c>
      <c r="AT922" s="84">
        <f t="shared" si="64"/>
        <v>2010</v>
      </c>
      <c r="AU922" s="86"/>
      <c r="AV922" s="86"/>
      <c r="AW922" s="87"/>
      <c r="AX922" s="86"/>
      <c r="AY922" s="83"/>
      <c r="AZ922" s="84"/>
      <c r="BA922" s="86"/>
      <c r="BB922" s="86"/>
    </row>
    <row r="923" spans="1:54" ht="36.75" customHeight="1">
      <c r="A923" s="30"/>
      <c r="B923" s="30" t="s">
        <v>55</v>
      </c>
      <c r="C923" s="69" t="str">
        <f t="shared" si="61"/>
        <v>Closed</v>
      </c>
      <c r="D923" s="27" t="s">
        <v>5223</v>
      </c>
      <c r="E923" s="29" t="s">
        <v>5224</v>
      </c>
      <c r="F923" s="30" t="s">
        <v>233</v>
      </c>
      <c r="G923" s="89">
        <f>DATE(2010,8,17)</f>
        <v>40407</v>
      </c>
      <c r="H923" s="90">
        <v>1.0770833333333334</v>
      </c>
      <c r="I923" s="30" t="s">
        <v>86</v>
      </c>
      <c r="J923" s="89" t="s">
        <v>5225</v>
      </c>
      <c r="K923" s="30" t="s">
        <v>235</v>
      </c>
      <c r="L923" s="30" t="s">
        <v>5226</v>
      </c>
      <c r="M923" s="30" t="s">
        <v>63</v>
      </c>
      <c r="N923" s="30">
        <v>0</v>
      </c>
      <c r="O923" s="30" t="s">
        <v>64</v>
      </c>
      <c r="P923" s="89" t="s">
        <v>78</v>
      </c>
      <c r="Q923" s="89" t="s">
        <v>4042</v>
      </c>
      <c r="R923" s="89" t="s">
        <v>238</v>
      </c>
      <c r="S923" s="30">
        <v>0</v>
      </c>
      <c r="T923" s="233" t="s">
        <v>68</v>
      </c>
      <c r="U923" s="30">
        <v>0</v>
      </c>
      <c r="V923" s="233" t="s">
        <v>68</v>
      </c>
      <c r="W923" s="30">
        <v>0</v>
      </c>
      <c r="X923" s="30">
        <v>0</v>
      </c>
      <c r="Y923" s="30">
        <v>0</v>
      </c>
      <c r="Z923" s="233" t="s">
        <v>68</v>
      </c>
      <c r="AA923" s="30">
        <v>0</v>
      </c>
      <c r="AB923" s="30">
        <v>0</v>
      </c>
      <c r="AC923" s="30">
        <v>0</v>
      </c>
      <c r="AD923" s="30">
        <v>0</v>
      </c>
      <c r="AE923" s="89" t="s">
        <v>68</v>
      </c>
      <c r="AF923" s="89"/>
      <c r="AG923" s="89" t="s">
        <v>133</v>
      </c>
      <c r="AH923" s="72" t="s">
        <v>68</v>
      </c>
      <c r="AI923" s="30">
        <v>4</v>
      </c>
      <c r="AJ923" s="89" t="s">
        <v>5227</v>
      </c>
      <c r="AK923" s="89" t="s">
        <v>68</v>
      </c>
      <c r="AL923" s="91">
        <v>40459</v>
      </c>
      <c r="AM923" s="91"/>
      <c r="AN923" s="91"/>
      <c r="AO923" s="91"/>
      <c r="AP923" s="73" t="e">
        <f>MID(VLOOKUP(K923,#REF!,2,FALSE),1,2)</f>
        <v>#REF!</v>
      </c>
      <c r="AQ923" s="89">
        <f>DATE(2010,8,17)</f>
        <v>40407</v>
      </c>
      <c r="AR923" s="82">
        <f t="shared" si="62"/>
        <v>17</v>
      </c>
      <c r="AS923" s="83">
        <f t="shared" si="63"/>
        <v>8</v>
      </c>
      <c r="AT923" s="84">
        <f t="shared" si="64"/>
        <v>2010</v>
      </c>
      <c r="AU923" s="86"/>
      <c r="AV923" s="86"/>
      <c r="AW923" s="87"/>
      <c r="AX923" s="86"/>
      <c r="AY923" s="83"/>
      <c r="AZ923" s="84"/>
      <c r="BA923" s="86"/>
      <c r="BB923" s="86"/>
    </row>
    <row r="924" spans="1:54" ht="36.75" customHeight="1">
      <c r="A924" s="30"/>
      <c r="B924" s="30" t="s">
        <v>55</v>
      </c>
      <c r="C924" s="69" t="str">
        <f t="shared" si="61"/>
        <v>Closed</v>
      </c>
      <c r="D924" s="27" t="s">
        <v>5228</v>
      </c>
      <c r="E924" s="29" t="s">
        <v>5229</v>
      </c>
      <c r="F924" s="30" t="s">
        <v>233</v>
      </c>
      <c r="G924" s="89">
        <f>DATE(2010,8,17)</f>
        <v>40407</v>
      </c>
      <c r="H924" s="90">
        <v>1.7326388888888888</v>
      </c>
      <c r="I924" s="30" t="s">
        <v>116</v>
      </c>
      <c r="J924" s="89" t="s">
        <v>5230</v>
      </c>
      <c r="K924" s="30" t="s">
        <v>235</v>
      </c>
      <c r="L924" s="30" t="s">
        <v>512</v>
      </c>
      <c r="M924" s="30" t="s">
        <v>63</v>
      </c>
      <c r="N924" s="30">
        <v>0</v>
      </c>
      <c r="O924" s="30" t="s">
        <v>64</v>
      </c>
      <c r="P924" s="89" t="s">
        <v>165</v>
      </c>
      <c r="Q924" s="89" t="s">
        <v>2876</v>
      </c>
      <c r="R924" s="89" t="s">
        <v>238</v>
      </c>
      <c r="S924" s="30">
        <v>0</v>
      </c>
      <c r="T924" s="233">
        <v>0</v>
      </c>
      <c r="U924" s="30">
        <v>0</v>
      </c>
      <c r="V924" s="233">
        <v>0</v>
      </c>
      <c r="W924" s="30">
        <v>0</v>
      </c>
      <c r="X924" s="30">
        <v>0</v>
      </c>
      <c r="Y924" s="30">
        <v>3</v>
      </c>
      <c r="Z924" s="233">
        <v>1</v>
      </c>
      <c r="AA924" s="30">
        <v>0</v>
      </c>
      <c r="AB924" s="30">
        <v>0</v>
      </c>
      <c r="AC924" s="30">
        <v>0</v>
      </c>
      <c r="AD924" s="30">
        <v>4</v>
      </c>
      <c r="AE924" s="89" t="s">
        <v>68</v>
      </c>
      <c r="AF924" s="89"/>
      <c r="AG924" s="89" t="s">
        <v>133</v>
      </c>
      <c r="AH924" s="72" t="s">
        <v>68</v>
      </c>
      <c r="AI924" s="30">
        <v>6</v>
      </c>
      <c r="AJ924" s="89" t="s">
        <v>5231</v>
      </c>
      <c r="AK924" s="89" t="s">
        <v>5232</v>
      </c>
      <c r="AL924" s="91">
        <v>40416</v>
      </c>
      <c r="AM924" s="91"/>
      <c r="AN924" s="91"/>
      <c r="AO924" s="91"/>
      <c r="AP924" s="73" t="e">
        <f>MID(VLOOKUP(K924,#REF!,2,FALSE),1,2)</f>
        <v>#REF!</v>
      </c>
      <c r="AQ924" s="89">
        <f>DATE(2010,8,17)</f>
        <v>40407</v>
      </c>
      <c r="AR924" s="82">
        <f t="shared" si="62"/>
        <v>17</v>
      </c>
      <c r="AS924" s="83">
        <f t="shared" si="63"/>
        <v>8</v>
      </c>
      <c r="AT924" s="84">
        <f t="shared" si="64"/>
        <v>2010</v>
      </c>
      <c r="AU924" s="86"/>
      <c r="AV924" s="86"/>
      <c r="AW924" s="87"/>
      <c r="AX924" s="86"/>
      <c r="AY924" s="83"/>
      <c r="AZ924" s="84"/>
      <c r="BA924" s="86"/>
      <c r="BB924" s="86"/>
    </row>
    <row r="925" spans="1:54" ht="36.75" customHeight="1">
      <c r="A925" s="30"/>
      <c r="B925" s="30" t="s">
        <v>55</v>
      </c>
      <c r="C925" s="69" t="str">
        <f t="shared" si="61"/>
        <v>Closed</v>
      </c>
      <c r="D925" s="27" t="s">
        <v>5233</v>
      </c>
      <c r="E925" s="29" t="s">
        <v>5234</v>
      </c>
      <c r="F925" s="30" t="s">
        <v>638</v>
      </c>
      <c r="G925" s="89">
        <f>DATE(2010,8,18)</f>
        <v>40408</v>
      </c>
      <c r="H925" s="90">
        <v>1.5111111111111111</v>
      </c>
      <c r="I925" s="30" t="s">
        <v>116</v>
      </c>
      <c r="J925" s="89" t="s">
        <v>5235</v>
      </c>
      <c r="K925" s="30" t="s">
        <v>640</v>
      </c>
      <c r="L925" s="30" t="s">
        <v>5236</v>
      </c>
      <c r="M925" s="30" t="s">
        <v>63</v>
      </c>
      <c r="N925" s="30">
        <v>0</v>
      </c>
      <c r="O925" s="30" t="s">
        <v>64</v>
      </c>
      <c r="P925" s="89" t="s">
        <v>165</v>
      </c>
      <c r="Q925" s="89" t="s">
        <v>642</v>
      </c>
      <c r="R925" s="89" t="s">
        <v>643</v>
      </c>
      <c r="S925" s="30">
        <v>0</v>
      </c>
      <c r="T925" s="233">
        <v>0</v>
      </c>
      <c r="U925" s="30">
        <v>1</v>
      </c>
      <c r="V925" s="233">
        <v>0</v>
      </c>
      <c r="W925" s="30">
        <v>0</v>
      </c>
      <c r="X925" s="30">
        <v>1</v>
      </c>
      <c r="Y925" s="30">
        <v>0</v>
      </c>
      <c r="Z925" s="233">
        <v>0</v>
      </c>
      <c r="AA925" s="30">
        <v>0</v>
      </c>
      <c r="AB925" s="30">
        <v>0</v>
      </c>
      <c r="AC925" s="30">
        <v>0</v>
      </c>
      <c r="AD925" s="30">
        <v>0</v>
      </c>
      <c r="AE925" s="89" t="s">
        <v>68</v>
      </c>
      <c r="AF925" s="89"/>
      <c r="AG925" s="89" t="s">
        <v>248</v>
      </c>
      <c r="AH925" s="72" t="s">
        <v>68</v>
      </c>
      <c r="AI925" s="30">
        <v>1</v>
      </c>
      <c r="AJ925" s="89" t="s">
        <v>5237</v>
      </c>
      <c r="AK925" s="89" t="s">
        <v>68</v>
      </c>
      <c r="AL925" s="91">
        <v>40515</v>
      </c>
      <c r="AM925" s="91"/>
      <c r="AN925" s="91"/>
      <c r="AO925" s="91"/>
      <c r="AP925" s="73" t="e">
        <f>MID(VLOOKUP(K925,#REF!,2,FALSE),1,2)</f>
        <v>#REF!</v>
      </c>
      <c r="AQ925" s="89">
        <f>DATE(2010,8,18)</f>
        <v>40408</v>
      </c>
      <c r="AR925" s="82">
        <f t="shared" si="62"/>
        <v>18</v>
      </c>
      <c r="AS925" s="83">
        <f t="shared" si="63"/>
        <v>8</v>
      </c>
      <c r="AT925" s="84">
        <f t="shared" si="64"/>
        <v>2010</v>
      </c>
      <c r="AU925" s="86"/>
      <c r="AV925" s="86"/>
      <c r="AW925" s="87"/>
      <c r="AX925" s="86"/>
      <c r="AY925" s="83"/>
      <c r="AZ925" s="84"/>
      <c r="BA925" s="86"/>
      <c r="BB925" s="86"/>
    </row>
    <row r="926" spans="1:54" ht="36.75" customHeight="1">
      <c r="A926" s="30"/>
      <c r="B926" s="30" t="s">
        <v>55</v>
      </c>
      <c r="C926" s="69" t="str">
        <f t="shared" si="61"/>
        <v>Closed</v>
      </c>
      <c r="D926" s="27" t="s">
        <v>5238</v>
      </c>
      <c r="E926" s="29" t="s">
        <v>5239</v>
      </c>
      <c r="F926" s="30" t="s">
        <v>2336</v>
      </c>
      <c r="G926" s="89">
        <f>DATE(2010,8,18)</f>
        <v>40408</v>
      </c>
      <c r="H926" s="90">
        <v>1.4513888888888888</v>
      </c>
      <c r="I926" s="30" t="s">
        <v>73</v>
      </c>
      <c r="J926" s="89" t="s">
        <v>5240</v>
      </c>
      <c r="K926" s="30" t="s">
        <v>2338</v>
      </c>
      <c r="L926" s="30" t="s">
        <v>5241</v>
      </c>
      <c r="M926" s="30" t="s">
        <v>63</v>
      </c>
      <c r="N926" s="30">
        <v>0</v>
      </c>
      <c r="O926" s="30" t="s">
        <v>77</v>
      </c>
      <c r="P926" s="89" t="s">
        <v>165</v>
      </c>
      <c r="Q926" s="89" t="s">
        <v>3732</v>
      </c>
      <c r="R926" s="89" t="s">
        <v>2341</v>
      </c>
      <c r="S926" s="30">
        <v>0</v>
      </c>
      <c r="T926" s="233">
        <v>0</v>
      </c>
      <c r="U926" s="30">
        <v>0</v>
      </c>
      <c r="V926" s="233">
        <v>0</v>
      </c>
      <c r="W926" s="30">
        <v>0</v>
      </c>
      <c r="X926" s="30">
        <v>0</v>
      </c>
      <c r="Y926" s="30">
        <v>0</v>
      </c>
      <c r="Z926" s="233">
        <v>0</v>
      </c>
      <c r="AA926" s="30">
        <v>0</v>
      </c>
      <c r="AB926" s="30">
        <v>0</v>
      </c>
      <c r="AC926" s="30">
        <v>0</v>
      </c>
      <c r="AD926" s="30">
        <v>0</v>
      </c>
      <c r="AE926" s="89" t="s">
        <v>68</v>
      </c>
      <c r="AF926" s="89"/>
      <c r="AG926" s="89" t="s">
        <v>133</v>
      </c>
      <c r="AH926" s="72" t="s">
        <v>68</v>
      </c>
      <c r="AI926" s="30">
        <v>9</v>
      </c>
      <c r="AJ926" s="89" t="s">
        <v>5242</v>
      </c>
      <c r="AK926" s="89" t="s">
        <v>5243</v>
      </c>
      <c r="AL926" s="91">
        <v>40421</v>
      </c>
      <c r="AM926" s="91"/>
      <c r="AN926" s="91"/>
      <c r="AO926" s="91"/>
      <c r="AP926" s="73" t="e">
        <f>MID(VLOOKUP(K926,#REF!,2,FALSE),1,2)</f>
        <v>#REF!</v>
      </c>
      <c r="AQ926" s="89">
        <f>DATE(2010,8,18)</f>
        <v>40408</v>
      </c>
      <c r="AR926" s="82">
        <f t="shared" si="62"/>
        <v>18</v>
      </c>
      <c r="AS926" s="83">
        <f t="shared" si="63"/>
        <v>8</v>
      </c>
      <c r="AT926" s="84">
        <f t="shared" si="64"/>
        <v>2010</v>
      </c>
      <c r="AU926" s="86"/>
      <c r="AV926" s="86"/>
      <c r="AW926" s="87"/>
      <c r="AX926" s="86"/>
      <c r="AY926" s="83"/>
      <c r="AZ926" s="84"/>
      <c r="BA926" s="86"/>
      <c r="BB926" s="86"/>
    </row>
    <row r="927" spans="1:54" ht="36.75" customHeight="1">
      <c r="A927" s="30"/>
      <c r="B927" s="30" t="s">
        <v>55</v>
      </c>
      <c r="C927" s="69" t="str">
        <f t="shared" si="61"/>
        <v>Closed</v>
      </c>
      <c r="D927" s="27" t="s">
        <v>5244</v>
      </c>
      <c r="E927" s="29" t="s">
        <v>5245</v>
      </c>
      <c r="F927" s="30" t="s">
        <v>835</v>
      </c>
      <c r="G927" s="89">
        <f>DATE(2010,8,21)</f>
        <v>40411</v>
      </c>
      <c r="H927" s="90">
        <v>1.4194444444444445</v>
      </c>
      <c r="I927" s="30" t="s">
        <v>116</v>
      </c>
      <c r="J927" s="89" t="s">
        <v>5246</v>
      </c>
      <c r="K927" s="30" t="s">
        <v>837</v>
      </c>
      <c r="L927" s="30" t="s">
        <v>5247</v>
      </c>
      <c r="M927" s="30" t="s">
        <v>63</v>
      </c>
      <c r="N927" s="30">
        <v>0</v>
      </c>
      <c r="O927" s="30" t="s">
        <v>64</v>
      </c>
      <c r="P927" s="89" t="s">
        <v>165</v>
      </c>
      <c r="Q927" s="89" t="s">
        <v>2162</v>
      </c>
      <c r="R927" s="89" t="s">
        <v>840</v>
      </c>
      <c r="S927" s="30">
        <v>0</v>
      </c>
      <c r="T927" s="233">
        <v>0</v>
      </c>
      <c r="U927" s="30">
        <v>0</v>
      </c>
      <c r="V927" s="233">
        <v>0</v>
      </c>
      <c r="W927" s="30">
        <v>0</v>
      </c>
      <c r="X927" s="30">
        <v>0</v>
      </c>
      <c r="Y927" s="30">
        <v>0</v>
      </c>
      <c r="Z927" s="233">
        <v>0</v>
      </c>
      <c r="AA927" s="30">
        <v>1</v>
      </c>
      <c r="AB927" s="30">
        <v>0</v>
      </c>
      <c r="AC927" s="30">
        <v>0</v>
      </c>
      <c r="AD927" s="30">
        <v>1</v>
      </c>
      <c r="AE927" s="89" t="s">
        <v>68</v>
      </c>
      <c r="AF927" s="89"/>
      <c r="AG927" s="89" t="s">
        <v>352</v>
      </c>
      <c r="AH927" s="72" t="s">
        <v>68</v>
      </c>
      <c r="AI927" s="30">
        <v>1</v>
      </c>
      <c r="AJ927" s="89" t="s">
        <v>68</v>
      </c>
      <c r="AK927" s="89" t="s">
        <v>68</v>
      </c>
      <c r="AL927" s="91">
        <v>40463</v>
      </c>
      <c r="AM927" s="91"/>
      <c r="AN927" s="91"/>
      <c r="AO927" s="91"/>
      <c r="AP927" s="73" t="e">
        <f>MID(VLOOKUP(K927,#REF!,2,FALSE),1,2)</f>
        <v>#REF!</v>
      </c>
      <c r="AQ927" s="89">
        <f>DATE(2010,8,21)</f>
        <v>40411</v>
      </c>
      <c r="AR927" s="82">
        <f t="shared" si="62"/>
        <v>21</v>
      </c>
      <c r="AS927" s="83">
        <f t="shared" si="63"/>
        <v>8</v>
      </c>
      <c r="AT927" s="84">
        <f t="shared" si="64"/>
        <v>2010</v>
      </c>
      <c r="AU927" s="86"/>
      <c r="AV927" s="86"/>
      <c r="AW927" s="87"/>
      <c r="AX927" s="86"/>
      <c r="AY927" s="83"/>
      <c r="AZ927" s="84"/>
      <c r="BA927" s="86"/>
      <c r="BB927" s="86"/>
    </row>
    <row r="928" spans="1:54" ht="36.75" customHeight="1">
      <c r="A928" s="30"/>
      <c r="B928" s="30" t="s">
        <v>55</v>
      </c>
      <c r="C928" s="69" t="str">
        <f t="shared" si="61"/>
        <v>Closed</v>
      </c>
      <c r="D928" s="27" t="s">
        <v>5248</v>
      </c>
      <c r="E928" s="29" t="s">
        <v>5249</v>
      </c>
      <c r="F928" s="30" t="s">
        <v>835</v>
      </c>
      <c r="G928" s="89">
        <f>DATE(2010,8,21)</f>
        <v>40411</v>
      </c>
      <c r="H928" s="90">
        <v>1.7013888888888888</v>
      </c>
      <c r="I928" s="30" t="s">
        <v>116</v>
      </c>
      <c r="J928" s="89" t="s">
        <v>5250</v>
      </c>
      <c r="K928" s="30" t="s">
        <v>837</v>
      </c>
      <c r="L928" s="30" t="s">
        <v>5251</v>
      </c>
      <c r="M928" s="30" t="s">
        <v>63</v>
      </c>
      <c r="N928" s="30">
        <v>0</v>
      </c>
      <c r="O928" s="30" t="s">
        <v>64</v>
      </c>
      <c r="P928" s="89" t="s">
        <v>165</v>
      </c>
      <c r="Q928" s="89" t="s">
        <v>2162</v>
      </c>
      <c r="R928" s="89" t="s">
        <v>840</v>
      </c>
      <c r="S928" s="30">
        <v>0</v>
      </c>
      <c r="T928" s="233">
        <v>0</v>
      </c>
      <c r="U928" s="30">
        <v>1</v>
      </c>
      <c r="V928" s="233">
        <v>0</v>
      </c>
      <c r="W928" s="30">
        <v>0</v>
      </c>
      <c r="X928" s="30">
        <v>1</v>
      </c>
      <c r="Y928" s="30">
        <v>0</v>
      </c>
      <c r="Z928" s="233">
        <v>0</v>
      </c>
      <c r="AA928" s="30">
        <v>0</v>
      </c>
      <c r="AB928" s="30">
        <v>0</v>
      </c>
      <c r="AC928" s="30">
        <v>0</v>
      </c>
      <c r="AD928" s="30">
        <v>0</v>
      </c>
      <c r="AE928" s="89" t="s">
        <v>68</v>
      </c>
      <c r="AF928" s="89"/>
      <c r="AG928" s="89" t="s">
        <v>352</v>
      </c>
      <c r="AH928" s="72" t="s">
        <v>68</v>
      </c>
      <c r="AI928" s="30">
        <v>0</v>
      </c>
      <c r="AJ928" s="89" t="s">
        <v>68</v>
      </c>
      <c r="AK928" s="89" t="s">
        <v>68</v>
      </c>
      <c r="AL928" s="91">
        <v>40463</v>
      </c>
      <c r="AM928" s="91"/>
      <c r="AN928" s="91"/>
      <c r="AO928" s="91"/>
      <c r="AP928" s="73" t="e">
        <f>MID(VLOOKUP(K928,#REF!,2,FALSE),1,2)</f>
        <v>#REF!</v>
      </c>
      <c r="AQ928" s="89">
        <f>DATE(2010,8,21)</f>
        <v>40411</v>
      </c>
      <c r="AR928" s="82">
        <f t="shared" si="62"/>
        <v>21</v>
      </c>
      <c r="AS928" s="83">
        <f t="shared" si="63"/>
        <v>8</v>
      </c>
      <c r="AT928" s="84">
        <f t="shared" si="64"/>
        <v>2010</v>
      </c>
      <c r="AU928" s="86"/>
      <c r="AV928" s="86"/>
      <c r="AW928" s="87"/>
      <c r="AX928" s="86"/>
      <c r="AY928" s="83"/>
      <c r="AZ928" s="84"/>
      <c r="BA928" s="86"/>
      <c r="BB928" s="86"/>
    </row>
    <row r="929" spans="1:54" ht="36.75" customHeight="1">
      <c r="A929" s="30"/>
      <c r="B929" s="30" t="s">
        <v>55</v>
      </c>
      <c r="C929" s="69" t="str">
        <f t="shared" si="61"/>
        <v>Closed</v>
      </c>
      <c r="D929" s="27" t="s">
        <v>5252</v>
      </c>
      <c r="E929" s="29" t="s">
        <v>5253</v>
      </c>
      <c r="F929" s="30" t="s">
        <v>835</v>
      </c>
      <c r="G929" s="89">
        <f>DATE(2010,8,23)</f>
        <v>40413</v>
      </c>
      <c r="H929" s="90">
        <v>1.5868055555555556</v>
      </c>
      <c r="I929" s="30" t="s">
        <v>116</v>
      </c>
      <c r="J929" s="89" t="s">
        <v>5254</v>
      </c>
      <c r="K929" s="30" t="s">
        <v>837</v>
      </c>
      <c r="L929" s="30" t="s">
        <v>5255</v>
      </c>
      <c r="M929" s="30" t="s">
        <v>63</v>
      </c>
      <c r="N929" s="30">
        <v>0</v>
      </c>
      <c r="O929" s="30" t="s">
        <v>64</v>
      </c>
      <c r="P929" s="89" t="s">
        <v>65</v>
      </c>
      <c r="Q929" s="89" t="s">
        <v>2162</v>
      </c>
      <c r="R929" s="89" t="s">
        <v>840</v>
      </c>
      <c r="S929" s="30">
        <v>0</v>
      </c>
      <c r="T929" s="233">
        <v>0</v>
      </c>
      <c r="U929" s="30">
        <v>2</v>
      </c>
      <c r="V929" s="233">
        <v>0</v>
      </c>
      <c r="W929" s="30">
        <v>0</v>
      </c>
      <c r="X929" s="30">
        <v>2</v>
      </c>
      <c r="Y929" s="30">
        <v>0</v>
      </c>
      <c r="Z929" s="233">
        <v>0</v>
      </c>
      <c r="AA929" s="30">
        <v>0</v>
      </c>
      <c r="AB929" s="30">
        <v>0</v>
      </c>
      <c r="AC929" s="30">
        <v>0</v>
      </c>
      <c r="AD929" s="30">
        <v>0</v>
      </c>
      <c r="AE929" s="89" t="s">
        <v>68</v>
      </c>
      <c r="AF929" s="89"/>
      <c r="AG929" s="89" t="s">
        <v>352</v>
      </c>
      <c r="AH929" s="72" t="s">
        <v>68</v>
      </c>
      <c r="AI929" s="30">
        <v>0</v>
      </c>
      <c r="AJ929" s="89" t="s">
        <v>68</v>
      </c>
      <c r="AK929" s="89" t="s">
        <v>68</v>
      </c>
      <c r="AL929" s="91">
        <v>40463</v>
      </c>
      <c r="AM929" s="91"/>
      <c r="AN929" s="91"/>
      <c r="AO929" s="91"/>
      <c r="AP929" s="73" t="e">
        <f>MID(VLOOKUP(K929,#REF!,2,FALSE),1,2)</f>
        <v>#REF!</v>
      </c>
      <c r="AQ929" s="89">
        <f>DATE(2010,8,23)</f>
        <v>40413</v>
      </c>
      <c r="AR929" s="82">
        <f t="shared" si="62"/>
        <v>23</v>
      </c>
      <c r="AS929" s="83">
        <f t="shared" si="63"/>
        <v>8</v>
      </c>
      <c r="AT929" s="84">
        <f t="shared" si="64"/>
        <v>2010</v>
      </c>
      <c r="AU929" s="86"/>
      <c r="AV929" s="86"/>
      <c r="AW929" s="87"/>
      <c r="AX929" s="86"/>
      <c r="AY929" s="83"/>
      <c r="AZ929" s="84"/>
      <c r="BA929" s="86"/>
      <c r="BB929" s="86"/>
    </row>
    <row r="930" spans="1:54" ht="36.75" customHeight="1">
      <c r="A930" s="30"/>
      <c r="B930" s="30" t="s">
        <v>55</v>
      </c>
      <c r="C930" s="69" t="str">
        <f t="shared" si="61"/>
        <v>Closed</v>
      </c>
      <c r="D930" s="27" t="s">
        <v>5256</v>
      </c>
      <c r="E930" s="29" t="s">
        <v>5257</v>
      </c>
      <c r="F930" s="30" t="s">
        <v>1572</v>
      </c>
      <c r="G930" s="89">
        <f>DATE(2010,8,23)</f>
        <v>40413</v>
      </c>
      <c r="H930" s="90">
        <v>1.7708333333333335</v>
      </c>
      <c r="I930" s="30" t="s">
        <v>125</v>
      </c>
      <c r="J930" s="89" t="s">
        <v>5258</v>
      </c>
      <c r="K930" s="30" t="s">
        <v>1574</v>
      </c>
      <c r="L930" s="30" t="s">
        <v>5259</v>
      </c>
      <c r="M930" s="30" t="s">
        <v>63</v>
      </c>
      <c r="N930" s="30">
        <v>0</v>
      </c>
      <c r="O930" s="30" t="s">
        <v>64</v>
      </c>
      <c r="P930" s="89" t="s">
        <v>78</v>
      </c>
      <c r="Q930" s="89" t="s">
        <v>2655</v>
      </c>
      <c r="R930" s="89">
        <v>0</v>
      </c>
      <c r="S930" s="30">
        <v>0</v>
      </c>
      <c r="T930" s="233">
        <v>1</v>
      </c>
      <c r="U930" s="30">
        <v>0</v>
      </c>
      <c r="V930" s="233">
        <v>0</v>
      </c>
      <c r="W930" s="30">
        <v>0</v>
      </c>
      <c r="X930" s="30">
        <v>1</v>
      </c>
      <c r="Y930" s="30">
        <v>0</v>
      </c>
      <c r="Z930" s="233">
        <v>0</v>
      </c>
      <c r="AA930" s="30">
        <v>0</v>
      </c>
      <c r="AB930" s="30">
        <v>0</v>
      </c>
      <c r="AC930" s="30">
        <v>0</v>
      </c>
      <c r="AD930" s="30">
        <v>0</v>
      </c>
      <c r="AE930" s="89" t="s">
        <v>68</v>
      </c>
      <c r="AF930" s="89"/>
      <c r="AG930" s="89" t="s">
        <v>133</v>
      </c>
      <c r="AH930" s="72" t="s">
        <v>68</v>
      </c>
      <c r="AI930" s="30">
        <v>3</v>
      </c>
      <c r="AJ930" s="89" t="s">
        <v>5260</v>
      </c>
      <c r="AK930" s="89" t="s">
        <v>5261</v>
      </c>
      <c r="AL930" s="91">
        <v>40420</v>
      </c>
      <c r="AM930" s="91"/>
      <c r="AN930" s="91"/>
      <c r="AO930" s="91"/>
      <c r="AP930" s="73" t="e">
        <f>MID(VLOOKUP(K930,#REF!,2,FALSE),1,2)</f>
        <v>#REF!</v>
      </c>
      <c r="AQ930" s="89">
        <f>DATE(2010,8,23)</f>
        <v>40413</v>
      </c>
      <c r="AR930" s="82">
        <f t="shared" si="62"/>
        <v>23</v>
      </c>
      <c r="AS930" s="83">
        <f t="shared" si="63"/>
        <v>8</v>
      </c>
      <c r="AT930" s="84">
        <f t="shared" si="64"/>
        <v>2010</v>
      </c>
      <c r="AU930" s="86"/>
      <c r="AV930" s="86"/>
      <c r="AW930" s="87"/>
      <c r="AX930" s="86"/>
      <c r="AY930" s="83"/>
      <c r="AZ930" s="84"/>
      <c r="BA930" s="86"/>
      <c r="BB930" s="86"/>
    </row>
    <row r="931" spans="1:54" ht="36.75" customHeight="1">
      <c r="A931" s="30"/>
      <c r="B931" s="30" t="s">
        <v>55</v>
      </c>
      <c r="C931" s="69" t="str">
        <f t="shared" si="61"/>
        <v>Closed</v>
      </c>
      <c r="D931" s="27" t="s">
        <v>5262</v>
      </c>
      <c r="E931" s="29" t="s">
        <v>5263</v>
      </c>
      <c r="F931" s="30" t="s">
        <v>1572</v>
      </c>
      <c r="G931" s="89">
        <f>DATE(2010,8,30)</f>
        <v>40420</v>
      </c>
      <c r="H931" s="90">
        <v>1.2222222222222223</v>
      </c>
      <c r="I931" s="30" t="s">
        <v>73</v>
      </c>
      <c r="J931" s="89" t="s">
        <v>5264</v>
      </c>
      <c r="K931" s="30" t="s">
        <v>1574</v>
      </c>
      <c r="L931" s="30" t="s">
        <v>5265</v>
      </c>
      <c r="M931" s="30" t="s">
        <v>63</v>
      </c>
      <c r="N931" s="30">
        <v>0</v>
      </c>
      <c r="O931" s="30" t="s">
        <v>77</v>
      </c>
      <c r="P931" s="89" t="s">
        <v>78</v>
      </c>
      <c r="Q931" s="89" t="s">
        <v>5266</v>
      </c>
      <c r="R931" s="89">
        <v>0</v>
      </c>
      <c r="S931" s="30">
        <v>0</v>
      </c>
      <c r="T931" s="233" t="s">
        <v>68</v>
      </c>
      <c r="U931" s="30">
        <v>0</v>
      </c>
      <c r="V931" s="233" t="s">
        <v>68</v>
      </c>
      <c r="W931" s="30">
        <v>0</v>
      </c>
      <c r="X931" s="30">
        <v>0</v>
      </c>
      <c r="Y931" s="30">
        <v>0</v>
      </c>
      <c r="Z931" s="233" t="s">
        <v>68</v>
      </c>
      <c r="AA931" s="30">
        <v>0</v>
      </c>
      <c r="AB931" s="30">
        <v>0</v>
      </c>
      <c r="AC931" s="30">
        <v>0</v>
      </c>
      <c r="AD931" s="30">
        <v>0</v>
      </c>
      <c r="AE931" s="89" t="s">
        <v>68</v>
      </c>
      <c r="AF931" s="89"/>
      <c r="AG931" s="89" t="s">
        <v>133</v>
      </c>
      <c r="AH931" s="72" t="s">
        <v>68</v>
      </c>
      <c r="AI931" s="30">
        <v>0</v>
      </c>
      <c r="AJ931" s="89" t="s">
        <v>5267</v>
      </c>
      <c r="AK931" s="89" t="s">
        <v>5268</v>
      </c>
      <c r="AL931" s="91">
        <v>40420</v>
      </c>
      <c r="AM931" s="91"/>
      <c r="AN931" s="91"/>
      <c r="AO931" s="91"/>
      <c r="AP931" s="73" t="e">
        <f>MID(VLOOKUP(K931,#REF!,2,FALSE),1,2)</f>
        <v>#REF!</v>
      </c>
      <c r="AQ931" s="89">
        <f>DATE(2010,8,30)</f>
        <v>40420</v>
      </c>
      <c r="AR931" s="82">
        <f t="shared" si="62"/>
        <v>30</v>
      </c>
      <c r="AS931" s="83">
        <f t="shared" si="63"/>
        <v>8</v>
      </c>
      <c r="AT931" s="84">
        <f t="shared" si="64"/>
        <v>2010</v>
      </c>
      <c r="AU931" s="86"/>
      <c r="AV931" s="86"/>
      <c r="AW931" s="87"/>
      <c r="AX931" s="86"/>
      <c r="AY931" s="83"/>
      <c r="AZ931" s="84"/>
      <c r="BA931" s="86"/>
      <c r="BB931" s="86"/>
    </row>
    <row r="932" spans="1:54" ht="36.75" customHeight="1">
      <c r="A932" s="30"/>
      <c r="B932" s="30" t="s">
        <v>55</v>
      </c>
      <c r="C932" s="69" t="str">
        <f t="shared" si="61"/>
        <v>Closed</v>
      </c>
      <c r="D932" s="27" t="s">
        <v>5269</v>
      </c>
      <c r="E932" s="29" t="s">
        <v>5270</v>
      </c>
      <c r="F932" s="30" t="s">
        <v>423</v>
      </c>
      <c r="G932" s="89">
        <f>DATE(2010,8,31)</f>
        <v>40421</v>
      </c>
      <c r="H932" s="90">
        <v>1.6694444444444443</v>
      </c>
      <c r="I932" s="30" t="s">
        <v>116</v>
      </c>
      <c r="J932" s="89" t="s">
        <v>5271</v>
      </c>
      <c r="K932" s="30" t="s">
        <v>425</v>
      </c>
      <c r="L932" s="30" t="s">
        <v>5272</v>
      </c>
      <c r="M932" s="30" t="s">
        <v>63</v>
      </c>
      <c r="N932" s="30">
        <v>0</v>
      </c>
      <c r="O932" s="30" t="s">
        <v>86</v>
      </c>
      <c r="P932" s="89" t="s">
        <v>78</v>
      </c>
      <c r="Q932" s="89" t="s">
        <v>5199</v>
      </c>
      <c r="R932" s="89" t="s">
        <v>5200</v>
      </c>
      <c r="S932" s="30">
        <v>0</v>
      </c>
      <c r="T932" s="233" t="s">
        <v>68</v>
      </c>
      <c r="U932" s="30">
        <v>0</v>
      </c>
      <c r="V932" s="233" t="s">
        <v>68</v>
      </c>
      <c r="W932" s="30">
        <v>0</v>
      </c>
      <c r="X932" s="30">
        <v>0</v>
      </c>
      <c r="Y932" s="30">
        <v>0</v>
      </c>
      <c r="Z932" s="233" t="s">
        <v>68</v>
      </c>
      <c r="AA932" s="30">
        <v>0</v>
      </c>
      <c r="AB932" s="30">
        <v>0</v>
      </c>
      <c r="AC932" s="30">
        <v>0</v>
      </c>
      <c r="AD932" s="30">
        <v>0</v>
      </c>
      <c r="AE932" s="89" t="s">
        <v>68</v>
      </c>
      <c r="AF932" s="89"/>
      <c r="AG932" s="89" t="s">
        <v>1417</v>
      </c>
      <c r="AH932" s="72" t="s">
        <v>68</v>
      </c>
      <c r="AI932" s="30">
        <v>0</v>
      </c>
      <c r="AJ932" s="89" t="s">
        <v>5273</v>
      </c>
      <c r="AK932" s="89" t="s">
        <v>5274</v>
      </c>
      <c r="AL932" s="91">
        <v>40465</v>
      </c>
      <c r="AM932" s="91"/>
      <c r="AN932" s="91"/>
      <c r="AO932" s="91"/>
      <c r="AP932" s="73" t="e">
        <f>MID(VLOOKUP(K932,#REF!,2,FALSE),1,2)</f>
        <v>#REF!</v>
      </c>
      <c r="AQ932" s="89">
        <f>DATE(2010,8,31)</f>
        <v>40421</v>
      </c>
      <c r="AR932" s="82">
        <f t="shared" si="62"/>
        <v>31</v>
      </c>
      <c r="AS932" s="83">
        <f t="shared" si="63"/>
        <v>8</v>
      </c>
      <c r="AT932" s="84">
        <f t="shared" si="64"/>
        <v>2010</v>
      </c>
      <c r="AU932" s="86"/>
      <c r="AV932" s="86"/>
      <c r="AW932" s="87"/>
      <c r="AX932" s="86"/>
      <c r="AY932" s="83"/>
      <c r="AZ932" s="84"/>
      <c r="BA932" s="86"/>
      <c r="BB932" s="86"/>
    </row>
    <row r="933" spans="1:54" ht="36.75" customHeight="1">
      <c r="A933" s="30"/>
      <c r="B933" s="30" t="s">
        <v>55</v>
      </c>
      <c r="C933" s="69" t="str">
        <f t="shared" si="61"/>
        <v>Closed</v>
      </c>
      <c r="D933" s="27" t="s">
        <v>5275</v>
      </c>
      <c r="E933" s="29" t="s">
        <v>5276</v>
      </c>
      <c r="F933" s="30" t="s">
        <v>582</v>
      </c>
      <c r="G933" s="89">
        <f>DATE(2010,9,1)</f>
        <v>40422</v>
      </c>
      <c r="H933" s="90">
        <v>1.7701388888888889</v>
      </c>
      <c r="I933" s="30" t="s">
        <v>73</v>
      </c>
      <c r="J933" s="89" t="s">
        <v>5277</v>
      </c>
      <c r="K933" s="30" t="s">
        <v>584</v>
      </c>
      <c r="L933" s="30" t="s">
        <v>5278</v>
      </c>
      <c r="M933" s="30" t="s">
        <v>63</v>
      </c>
      <c r="N933" s="30">
        <v>0</v>
      </c>
      <c r="O933" s="30" t="s">
        <v>77</v>
      </c>
      <c r="P933" s="89" t="s">
        <v>78</v>
      </c>
      <c r="Q933" s="89" t="s">
        <v>586</v>
      </c>
      <c r="R933" s="89" t="s">
        <v>587</v>
      </c>
      <c r="S933" s="30">
        <v>0</v>
      </c>
      <c r="T933" s="233">
        <v>0</v>
      </c>
      <c r="U933" s="30">
        <v>0</v>
      </c>
      <c r="V933" s="233">
        <v>0</v>
      </c>
      <c r="W933" s="30">
        <v>0</v>
      </c>
      <c r="X933" s="30">
        <v>0</v>
      </c>
      <c r="Y933" s="30">
        <v>0</v>
      </c>
      <c r="Z933" s="233">
        <v>0</v>
      </c>
      <c r="AA933" s="30">
        <v>0</v>
      </c>
      <c r="AB933" s="30">
        <v>0</v>
      </c>
      <c r="AC933" s="30">
        <v>0</v>
      </c>
      <c r="AD933" s="30">
        <v>0</v>
      </c>
      <c r="AE933" s="89" t="s">
        <v>68</v>
      </c>
      <c r="AF933" s="89"/>
      <c r="AG933" s="89" t="s">
        <v>133</v>
      </c>
      <c r="AH933" s="72" t="s">
        <v>68</v>
      </c>
      <c r="AI933" s="30">
        <v>2</v>
      </c>
      <c r="AJ933" s="89" t="s">
        <v>5279</v>
      </c>
      <c r="AK933" s="89" t="s">
        <v>1233</v>
      </c>
      <c r="AL933" s="91">
        <v>40429</v>
      </c>
      <c r="AM933" s="91"/>
      <c r="AN933" s="91"/>
      <c r="AO933" s="91"/>
      <c r="AP933" s="73" t="e">
        <f>MID(VLOOKUP(K933,#REF!,2,FALSE),1,2)</f>
        <v>#REF!</v>
      </c>
      <c r="AQ933" s="89">
        <f>DATE(2010,9,1)</f>
        <v>40422</v>
      </c>
      <c r="AR933" s="82">
        <f t="shared" si="62"/>
        <v>1</v>
      </c>
      <c r="AS933" s="83">
        <f t="shared" si="63"/>
        <v>9</v>
      </c>
      <c r="AT933" s="84">
        <f t="shared" si="64"/>
        <v>2010</v>
      </c>
      <c r="AU933" s="86"/>
      <c r="AV933" s="86"/>
      <c r="AW933" s="87"/>
      <c r="AX933" s="86"/>
      <c r="AY933" s="83"/>
      <c r="AZ933" s="84"/>
      <c r="BA933" s="86"/>
      <c r="BB933" s="86"/>
    </row>
    <row r="934" spans="1:54" ht="36.75" customHeight="1">
      <c r="A934" s="30"/>
      <c r="B934" s="30" t="s">
        <v>55</v>
      </c>
      <c r="C934" s="69" t="str">
        <f t="shared" si="61"/>
        <v>Closed</v>
      </c>
      <c r="D934" s="27" t="s">
        <v>5280</v>
      </c>
      <c r="E934" s="29" t="s">
        <v>5281</v>
      </c>
      <c r="F934" s="30" t="s">
        <v>1938</v>
      </c>
      <c r="G934" s="89">
        <f>DATE(2010,9,2)</f>
        <v>40423</v>
      </c>
      <c r="H934" s="90">
        <v>1.4791666666666667</v>
      </c>
      <c r="I934" s="30" t="s">
        <v>116</v>
      </c>
      <c r="J934" s="89" t="s">
        <v>5282</v>
      </c>
      <c r="K934" s="30" t="s">
        <v>1940</v>
      </c>
      <c r="L934" s="30" t="s">
        <v>5283</v>
      </c>
      <c r="M934" s="30" t="s">
        <v>63</v>
      </c>
      <c r="N934" s="30">
        <v>0</v>
      </c>
      <c r="O934" s="30" t="s">
        <v>64</v>
      </c>
      <c r="P934" s="89" t="s">
        <v>78</v>
      </c>
      <c r="Q934" s="89" t="s">
        <v>1942</v>
      </c>
      <c r="R934" s="89" t="s">
        <v>1942</v>
      </c>
      <c r="S934" s="30">
        <v>0</v>
      </c>
      <c r="T934" s="233">
        <v>0</v>
      </c>
      <c r="U934" s="30">
        <v>1</v>
      </c>
      <c r="V934" s="233">
        <v>0</v>
      </c>
      <c r="W934" s="30">
        <v>0</v>
      </c>
      <c r="X934" s="30">
        <v>1</v>
      </c>
      <c r="Y934" s="30">
        <v>0</v>
      </c>
      <c r="Z934" s="233">
        <v>0</v>
      </c>
      <c r="AA934" s="30">
        <v>0</v>
      </c>
      <c r="AB934" s="30">
        <v>0</v>
      </c>
      <c r="AC934" s="30">
        <v>0</v>
      </c>
      <c r="AD934" s="30">
        <v>0</v>
      </c>
      <c r="AE934" s="89" t="s">
        <v>68</v>
      </c>
      <c r="AF934" s="89"/>
      <c r="AG934" s="89" t="s">
        <v>82</v>
      </c>
      <c r="AH934" s="72" t="s">
        <v>68</v>
      </c>
      <c r="AI934" s="30">
        <v>2</v>
      </c>
      <c r="AJ934" s="89" t="s">
        <v>5284</v>
      </c>
      <c r="AK934" s="89" t="s">
        <v>5285</v>
      </c>
      <c r="AL934" s="91">
        <v>40429</v>
      </c>
      <c r="AM934" s="91"/>
      <c r="AN934" s="91"/>
      <c r="AO934" s="91"/>
      <c r="AP934" s="73" t="e">
        <f>MID(VLOOKUP(K934,#REF!,2,FALSE),1,2)</f>
        <v>#REF!</v>
      </c>
      <c r="AQ934" s="89">
        <f>DATE(2010,9,2)</f>
        <v>40423</v>
      </c>
      <c r="AR934" s="82">
        <f t="shared" si="62"/>
        <v>2</v>
      </c>
      <c r="AS934" s="83">
        <f t="shared" si="63"/>
        <v>9</v>
      </c>
      <c r="AT934" s="84">
        <f t="shared" si="64"/>
        <v>2010</v>
      </c>
      <c r="AU934" s="86"/>
      <c r="AV934" s="86"/>
      <c r="AW934" s="87"/>
      <c r="AX934" s="86"/>
      <c r="AY934" s="83"/>
      <c r="AZ934" s="84"/>
      <c r="BA934" s="86"/>
      <c r="BB934" s="86"/>
    </row>
    <row r="935" spans="1:54" ht="36.75" customHeight="1">
      <c r="A935" s="30"/>
      <c r="B935" s="30" t="s">
        <v>55</v>
      </c>
      <c r="C935" s="69" t="str">
        <f t="shared" si="61"/>
        <v>Closed</v>
      </c>
      <c r="D935" s="27" t="s">
        <v>5286</v>
      </c>
      <c r="E935" s="29" t="s">
        <v>5287</v>
      </c>
      <c r="F935" s="30" t="s">
        <v>835</v>
      </c>
      <c r="G935" s="89">
        <f>DATE(2010,9,4)</f>
        <v>40425</v>
      </c>
      <c r="H935" s="90">
        <v>1.4541666666666666</v>
      </c>
      <c r="I935" s="30" t="s">
        <v>104</v>
      </c>
      <c r="J935" s="89" t="s">
        <v>5288</v>
      </c>
      <c r="K935" s="30" t="s">
        <v>837</v>
      </c>
      <c r="L935" s="30" t="s">
        <v>5289</v>
      </c>
      <c r="M935" s="30" t="s">
        <v>63</v>
      </c>
      <c r="N935" s="30">
        <v>0</v>
      </c>
      <c r="O935" s="30" t="s">
        <v>77</v>
      </c>
      <c r="P935" s="89" t="s">
        <v>165</v>
      </c>
      <c r="Q935" s="89" t="s">
        <v>4311</v>
      </c>
      <c r="R935" s="89" t="s">
        <v>2797</v>
      </c>
      <c r="S935" s="30">
        <v>0</v>
      </c>
      <c r="T935" s="233">
        <v>0</v>
      </c>
      <c r="U935" s="30">
        <v>0</v>
      </c>
      <c r="V935" s="233">
        <v>0</v>
      </c>
      <c r="W935" s="30">
        <v>0</v>
      </c>
      <c r="X935" s="30">
        <v>0</v>
      </c>
      <c r="Y935" s="30">
        <v>0</v>
      </c>
      <c r="Z935" s="233">
        <v>0</v>
      </c>
      <c r="AA935" s="30">
        <v>0</v>
      </c>
      <c r="AB935" s="30">
        <v>0</v>
      </c>
      <c r="AC935" s="30">
        <v>0</v>
      </c>
      <c r="AD935" s="30">
        <v>0</v>
      </c>
      <c r="AE935" s="89" t="s">
        <v>68</v>
      </c>
      <c r="AF935" s="89"/>
      <c r="AG935" s="89" t="s">
        <v>352</v>
      </c>
      <c r="AH935" s="72" t="s">
        <v>68</v>
      </c>
      <c r="AI935" s="30">
        <v>0</v>
      </c>
      <c r="AJ935" s="89" t="s">
        <v>68</v>
      </c>
      <c r="AK935" s="89" t="s">
        <v>68</v>
      </c>
      <c r="AL935" s="91">
        <v>40513</v>
      </c>
      <c r="AM935" s="91"/>
      <c r="AN935" s="91"/>
      <c r="AO935" s="91"/>
      <c r="AP935" s="73" t="e">
        <f>MID(VLOOKUP(K935,#REF!,2,FALSE),1,2)</f>
        <v>#REF!</v>
      </c>
      <c r="AQ935" s="89">
        <f>DATE(2010,9,4)</f>
        <v>40425</v>
      </c>
      <c r="AR935" s="82">
        <f t="shared" si="62"/>
        <v>4</v>
      </c>
      <c r="AS935" s="83">
        <f t="shared" si="63"/>
        <v>9</v>
      </c>
      <c r="AT935" s="84">
        <f t="shared" si="64"/>
        <v>2010</v>
      </c>
      <c r="AU935" s="86"/>
      <c r="AV935" s="86"/>
      <c r="AW935" s="87"/>
      <c r="AX935" s="86"/>
      <c r="AY935" s="83"/>
      <c r="AZ935" s="84"/>
      <c r="BA935" s="86"/>
      <c r="BB935" s="86"/>
    </row>
    <row r="936" spans="1:54" ht="36.75" customHeight="1">
      <c r="A936" s="30"/>
      <c r="B936" s="30" t="s">
        <v>55</v>
      </c>
      <c r="C936" s="69" t="str">
        <f t="shared" si="61"/>
        <v>Closed</v>
      </c>
      <c r="D936" s="27" t="s">
        <v>5290</v>
      </c>
      <c r="E936" s="29" t="s">
        <v>5291</v>
      </c>
      <c r="F936" s="30" t="s">
        <v>638</v>
      </c>
      <c r="G936" s="89">
        <f>DATE(2010,9,6)</f>
        <v>40427</v>
      </c>
      <c r="H936" s="90">
        <v>1.5243055555555556</v>
      </c>
      <c r="I936" s="30" t="s">
        <v>116</v>
      </c>
      <c r="J936" s="89" t="s">
        <v>5292</v>
      </c>
      <c r="K936" s="30" t="s">
        <v>640</v>
      </c>
      <c r="L936" s="30" t="s">
        <v>5293</v>
      </c>
      <c r="M936" s="30" t="s">
        <v>63</v>
      </c>
      <c r="N936" s="30">
        <v>0</v>
      </c>
      <c r="O936" s="30" t="s">
        <v>64</v>
      </c>
      <c r="P936" s="89" t="s">
        <v>165</v>
      </c>
      <c r="Q936" s="89" t="s">
        <v>642</v>
      </c>
      <c r="R936" s="89" t="s">
        <v>643</v>
      </c>
      <c r="S936" s="30">
        <v>0</v>
      </c>
      <c r="T936" s="233">
        <v>0</v>
      </c>
      <c r="U936" s="30">
        <v>1</v>
      </c>
      <c r="V936" s="233">
        <v>0</v>
      </c>
      <c r="W936" s="30">
        <v>0</v>
      </c>
      <c r="X936" s="30">
        <v>1</v>
      </c>
      <c r="Y936" s="30">
        <v>0</v>
      </c>
      <c r="Z936" s="233">
        <v>0</v>
      </c>
      <c r="AA936" s="30">
        <v>0</v>
      </c>
      <c r="AB936" s="30">
        <v>0</v>
      </c>
      <c r="AC936" s="30">
        <v>0</v>
      </c>
      <c r="AD936" s="30">
        <v>0</v>
      </c>
      <c r="AE936" s="89" t="s">
        <v>68</v>
      </c>
      <c r="AF936" s="89"/>
      <c r="AG936" s="89" t="s">
        <v>352</v>
      </c>
      <c r="AH936" s="72" t="s">
        <v>68</v>
      </c>
      <c r="AI936" s="30">
        <v>5</v>
      </c>
      <c r="AJ936" s="89" t="s">
        <v>5294</v>
      </c>
      <c r="AK936" s="89" t="s">
        <v>68</v>
      </c>
      <c r="AL936" s="91">
        <v>40515</v>
      </c>
      <c r="AM936" s="91"/>
      <c r="AN936" s="91"/>
      <c r="AO936" s="91"/>
      <c r="AP936" s="73" t="e">
        <f>MID(VLOOKUP(K936,#REF!,2,FALSE),1,2)</f>
        <v>#REF!</v>
      </c>
      <c r="AQ936" s="89">
        <f>DATE(2010,9,6)</f>
        <v>40427</v>
      </c>
      <c r="AR936" s="82">
        <f t="shared" si="62"/>
        <v>6</v>
      </c>
      <c r="AS936" s="83">
        <f t="shared" si="63"/>
        <v>9</v>
      </c>
      <c r="AT936" s="84">
        <f t="shared" si="64"/>
        <v>2010</v>
      </c>
      <c r="AU936" s="86"/>
      <c r="AV936" s="86"/>
      <c r="AW936" s="87"/>
      <c r="AX936" s="86"/>
      <c r="AY936" s="83"/>
      <c r="AZ936" s="84"/>
      <c r="BA936" s="86"/>
      <c r="BB936" s="86"/>
    </row>
    <row r="937" spans="1:54" ht="36.75" customHeight="1">
      <c r="A937" s="30"/>
      <c r="B937" s="30" t="s">
        <v>55</v>
      </c>
      <c r="C937" s="69" t="str">
        <f t="shared" si="61"/>
        <v>Closed</v>
      </c>
      <c r="D937" s="27" t="s">
        <v>5295</v>
      </c>
      <c r="E937" s="29" t="s">
        <v>5296</v>
      </c>
      <c r="F937" s="30" t="s">
        <v>638</v>
      </c>
      <c r="G937" s="89">
        <f>DATE(2010,9,7)</f>
        <v>40428</v>
      </c>
      <c r="H937" s="90">
        <v>1.7097222222222221</v>
      </c>
      <c r="I937" s="30" t="s">
        <v>116</v>
      </c>
      <c r="J937" s="89" t="s">
        <v>5297</v>
      </c>
      <c r="K937" s="30" t="s">
        <v>640</v>
      </c>
      <c r="L937" s="30" t="s">
        <v>5298</v>
      </c>
      <c r="M937" s="30" t="s">
        <v>63</v>
      </c>
      <c r="N937" s="30">
        <v>0</v>
      </c>
      <c r="O937" s="30" t="s">
        <v>64</v>
      </c>
      <c r="P937" s="89" t="s">
        <v>165</v>
      </c>
      <c r="Q937" s="89" t="s">
        <v>3246</v>
      </c>
      <c r="R937" s="89" t="s">
        <v>3246</v>
      </c>
      <c r="S937" s="30">
        <v>0</v>
      </c>
      <c r="T937" s="233">
        <v>0</v>
      </c>
      <c r="U937" s="30">
        <v>1</v>
      </c>
      <c r="V937" s="233">
        <v>0</v>
      </c>
      <c r="W937" s="30">
        <v>0</v>
      </c>
      <c r="X937" s="30">
        <v>1</v>
      </c>
      <c r="Y937" s="30">
        <v>0</v>
      </c>
      <c r="Z937" s="233">
        <v>0</v>
      </c>
      <c r="AA937" s="30">
        <v>0</v>
      </c>
      <c r="AB937" s="30">
        <v>0</v>
      </c>
      <c r="AC937" s="30">
        <v>0</v>
      </c>
      <c r="AD937" s="30">
        <v>0</v>
      </c>
      <c r="AE937" s="89" t="s">
        <v>68</v>
      </c>
      <c r="AF937" s="89"/>
      <c r="AG937" s="89" t="s">
        <v>248</v>
      </c>
      <c r="AH937" s="72" t="s">
        <v>68</v>
      </c>
      <c r="AI937" s="30">
        <v>3</v>
      </c>
      <c r="AJ937" s="89" t="s">
        <v>1732</v>
      </c>
      <c r="AK937" s="89" t="s">
        <v>68</v>
      </c>
      <c r="AL937" s="91">
        <v>40515</v>
      </c>
      <c r="AM937" s="91"/>
      <c r="AN937" s="91"/>
      <c r="AO937" s="91"/>
      <c r="AP937" s="73" t="e">
        <f>MID(VLOOKUP(K937,#REF!,2,FALSE),1,2)</f>
        <v>#REF!</v>
      </c>
      <c r="AQ937" s="89">
        <f>DATE(2010,9,7)</f>
        <v>40428</v>
      </c>
      <c r="AR937" s="82">
        <f t="shared" si="62"/>
        <v>7</v>
      </c>
      <c r="AS937" s="83">
        <f t="shared" si="63"/>
        <v>9</v>
      </c>
      <c r="AT937" s="84">
        <f t="shared" si="64"/>
        <v>2010</v>
      </c>
      <c r="AU937" s="86"/>
      <c r="AV937" s="86"/>
      <c r="AW937" s="87"/>
      <c r="AX937" s="86"/>
      <c r="AY937" s="83"/>
      <c r="AZ937" s="84"/>
      <c r="BA937" s="86"/>
      <c r="BB937" s="86"/>
    </row>
    <row r="938" spans="1:54" ht="36.75" customHeight="1">
      <c r="A938" s="30"/>
      <c r="B938" s="30" t="s">
        <v>55</v>
      </c>
      <c r="C938" s="69" t="str">
        <f t="shared" si="61"/>
        <v>Closed</v>
      </c>
      <c r="D938" s="27" t="s">
        <v>5299</v>
      </c>
      <c r="E938" s="29" t="s">
        <v>5300</v>
      </c>
      <c r="F938" s="30" t="s">
        <v>1572</v>
      </c>
      <c r="G938" s="89">
        <f>DATE(2010,9,8)</f>
        <v>40429</v>
      </c>
      <c r="H938" s="90">
        <v>1.3715277777777777</v>
      </c>
      <c r="I938" s="30" t="s">
        <v>125</v>
      </c>
      <c r="J938" s="89" t="s">
        <v>5301</v>
      </c>
      <c r="K938" s="30" t="s">
        <v>1574</v>
      </c>
      <c r="L938" s="30" t="s">
        <v>5302</v>
      </c>
      <c r="M938" s="30" t="s">
        <v>63</v>
      </c>
      <c r="N938" s="30">
        <v>0</v>
      </c>
      <c r="O938" s="30" t="s">
        <v>64</v>
      </c>
      <c r="P938" s="89" t="s">
        <v>381</v>
      </c>
      <c r="Q938" s="89" t="s">
        <v>2413</v>
      </c>
      <c r="R938" s="89" t="s">
        <v>2561</v>
      </c>
      <c r="S938" s="30">
        <v>0</v>
      </c>
      <c r="T938" s="233" t="s">
        <v>68</v>
      </c>
      <c r="U938" s="30">
        <v>0</v>
      </c>
      <c r="V938" s="233" t="s">
        <v>68</v>
      </c>
      <c r="W938" s="30">
        <v>0</v>
      </c>
      <c r="X938" s="30">
        <v>0</v>
      </c>
      <c r="Y938" s="30">
        <v>0</v>
      </c>
      <c r="Z938" s="233" t="s">
        <v>68</v>
      </c>
      <c r="AA938" s="30">
        <v>0</v>
      </c>
      <c r="AB938" s="30">
        <v>0</v>
      </c>
      <c r="AC938" s="30">
        <v>0</v>
      </c>
      <c r="AD938" s="30">
        <v>0</v>
      </c>
      <c r="AE938" s="89" t="s">
        <v>68</v>
      </c>
      <c r="AF938" s="89"/>
      <c r="AG938" s="89" t="s">
        <v>133</v>
      </c>
      <c r="AH938" s="72" t="s">
        <v>68</v>
      </c>
      <c r="AI938" s="30">
        <v>3</v>
      </c>
      <c r="AJ938" s="89" t="s">
        <v>5303</v>
      </c>
      <c r="AK938" s="89" t="s">
        <v>68</v>
      </c>
      <c r="AL938" s="91">
        <v>40431</v>
      </c>
      <c r="AM938" s="91"/>
      <c r="AN938" s="91"/>
      <c r="AO938" s="91"/>
      <c r="AP938" s="73" t="e">
        <f>MID(VLOOKUP(K938,#REF!,2,FALSE),1,2)</f>
        <v>#REF!</v>
      </c>
      <c r="AQ938" s="89">
        <f>DATE(2010,9,8)</f>
        <v>40429</v>
      </c>
      <c r="AR938" s="82">
        <f t="shared" si="62"/>
        <v>8</v>
      </c>
      <c r="AS938" s="83">
        <f t="shared" si="63"/>
        <v>9</v>
      </c>
      <c r="AT938" s="84">
        <f t="shared" si="64"/>
        <v>2010</v>
      </c>
      <c r="AU938" s="86"/>
      <c r="AV938" s="86"/>
      <c r="AW938" s="87"/>
      <c r="AX938" s="86"/>
      <c r="AY938" s="83"/>
      <c r="AZ938" s="84"/>
      <c r="BA938" s="86"/>
      <c r="BB938" s="86"/>
    </row>
    <row r="939" spans="1:54" ht="36.75" customHeight="1">
      <c r="A939" s="30"/>
      <c r="B939" s="30" t="s">
        <v>55</v>
      </c>
      <c r="C939" s="69" t="str">
        <f t="shared" si="61"/>
        <v>Closed</v>
      </c>
      <c r="D939" s="27" t="s">
        <v>5304</v>
      </c>
      <c r="E939" s="29" t="s">
        <v>5305</v>
      </c>
      <c r="F939" s="30" t="s">
        <v>124</v>
      </c>
      <c r="G939" s="89">
        <f>DATE(2010,9,9)</f>
        <v>40430</v>
      </c>
      <c r="H939" s="90">
        <v>1.3090277777777777</v>
      </c>
      <c r="I939" s="30" t="s">
        <v>125</v>
      </c>
      <c r="J939" s="89" t="s">
        <v>5306</v>
      </c>
      <c r="K939" s="30" t="s">
        <v>127</v>
      </c>
      <c r="L939" s="30" t="s">
        <v>5307</v>
      </c>
      <c r="M939" s="30" t="s">
        <v>63</v>
      </c>
      <c r="N939" s="30">
        <v>0</v>
      </c>
      <c r="O939" s="30" t="s">
        <v>64</v>
      </c>
      <c r="P939" s="89" t="s">
        <v>165</v>
      </c>
      <c r="Q939" s="89" t="s">
        <v>229</v>
      </c>
      <c r="R939" s="89" t="s">
        <v>167</v>
      </c>
      <c r="S939" s="30">
        <v>0</v>
      </c>
      <c r="T939" s="233" t="s">
        <v>68</v>
      </c>
      <c r="U939" s="30">
        <v>0</v>
      </c>
      <c r="V939" s="233" t="s">
        <v>68</v>
      </c>
      <c r="W939" s="30">
        <v>0</v>
      </c>
      <c r="X939" s="30">
        <v>0</v>
      </c>
      <c r="Y939" s="30">
        <v>0</v>
      </c>
      <c r="Z939" s="233" t="s">
        <v>68</v>
      </c>
      <c r="AA939" s="30">
        <v>0</v>
      </c>
      <c r="AB939" s="30">
        <v>0</v>
      </c>
      <c r="AC939" s="30">
        <v>0</v>
      </c>
      <c r="AD939" s="30">
        <v>0</v>
      </c>
      <c r="AE939" s="89" t="s">
        <v>68</v>
      </c>
      <c r="AF939" s="89"/>
      <c r="AG939" s="89" t="s">
        <v>133</v>
      </c>
      <c r="AH939" s="72" t="s">
        <v>68</v>
      </c>
      <c r="AI939" s="30">
        <v>1</v>
      </c>
      <c r="AJ939" s="89" t="s">
        <v>68</v>
      </c>
      <c r="AK939" s="89" t="s">
        <v>68</v>
      </c>
      <c r="AL939" s="91">
        <v>40472</v>
      </c>
      <c r="AM939" s="91"/>
      <c r="AN939" s="91"/>
      <c r="AO939" s="91"/>
      <c r="AP939" s="73" t="e">
        <f>MID(VLOOKUP(K939,#REF!,2,FALSE),1,2)</f>
        <v>#REF!</v>
      </c>
      <c r="AQ939" s="89">
        <f>DATE(2010,9,9)</f>
        <v>40430</v>
      </c>
      <c r="AR939" s="82">
        <f t="shared" si="62"/>
        <v>9</v>
      </c>
      <c r="AS939" s="83">
        <f t="shared" si="63"/>
        <v>9</v>
      </c>
      <c r="AT939" s="84">
        <f t="shared" si="64"/>
        <v>2010</v>
      </c>
      <c r="AU939" s="86"/>
      <c r="AV939" s="86"/>
      <c r="AW939" s="87"/>
      <c r="AX939" s="86"/>
      <c r="AY939" s="83"/>
      <c r="AZ939" s="84"/>
      <c r="BA939" s="86"/>
      <c r="BB939" s="86"/>
    </row>
    <row r="940" spans="1:54" ht="36.75" customHeight="1">
      <c r="A940" s="30"/>
      <c r="B940" s="30" t="s">
        <v>55</v>
      </c>
      <c r="C940" s="69" t="str">
        <f t="shared" si="61"/>
        <v>Closed</v>
      </c>
      <c r="D940" s="27" t="s">
        <v>5308</v>
      </c>
      <c r="E940" s="29" t="s">
        <v>5309</v>
      </c>
      <c r="F940" s="30" t="s">
        <v>138</v>
      </c>
      <c r="G940" s="89">
        <f>DATE(2010,9,9)</f>
        <v>40430</v>
      </c>
      <c r="H940" s="90">
        <v>1.5555555555555556</v>
      </c>
      <c r="I940" s="30" t="s">
        <v>116</v>
      </c>
      <c r="J940" s="89" t="s">
        <v>5310</v>
      </c>
      <c r="K940" s="30" t="s">
        <v>140</v>
      </c>
      <c r="L940" s="30" t="s">
        <v>5311</v>
      </c>
      <c r="M940" s="30" t="s">
        <v>63</v>
      </c>
      <c r="N940" s="30" t="s">
        <v>99</v>
      </c>
      <c r="O940" s="30" t="s">
        <v>64</v>
      </c>
      <c r="P940" s="89" t="s">
        <v>165</v>
      </c>
      <c r="Q940" s="89" t="s">
        <v>2034</v>
      </c>
      <c r="R940" s="89" t="s">
        <v>4934</v>
      </c>
      <c r="S940" s="30">
        <v>0</v>
      </c>
      <c r="T940" s="233">
        <v>0</v>
      </c>
      <c r="U940" s="30">
        <v>2</v>
      </c>
      <c r="V940" s="233">
        <v>0</v>
      </c>
      <c r="W940" s="30">
        <v>0</v>
      </c>
      <c r="X940" s="30">
        <v>2</v>
      </c>
      <c r="Y940" s="30">
        <v>0</v>
      </c>
      <c r="Z940" s="233">
        <v>0</v>
      </c>
      <c r="AA940" s="30">
        <v>0</v>
      </c>
      <c r="AB940" s="30">
        <v>0</v>
      </c>
      <c r="AC940" s="30">
        <v>0</v>
      </c>
      <c r="AD940" s="30">
        <v>0</v>
      </c>
      <c r="AE940" s="89" t="s">
        <v>68</v>
      </c>
      <c r="AF940" s="89"/>
      <c r="AG940" s="89" t="s">
        <v>82</v>
      </c>
      <c r="AH940" s="72">
        <v>40460</v>
      </c>
      <c r="AI940" s="30">
        <v>3</v>
      </c>
      <c r="AJ940" s="89" t="s">
        <v>5312</v>
      </c>
      <c r="AK940" s="89" t="s">
        <v>5313</v>
      </c>
      <c r="AL940" s="91">
        <v>40443</v>
      </c>
      <c r="AM940" s="91"/>
      <c r="AN940" s="91"/>
      <c r="AO940" s="91"/>
      <c r="AP940" s="73" t="e">
        <f>MID(VLOOKUP(K940,#REF!,2,FALSE),1,2)</f>
        <v>#REF!</v>
      </c>
      <c r="AQ940" s="89">
        <f>DATE(2010,9,9)</f>
        <v>40430</v>
      </c>
      <c r="AR940" s="82">
        <f t="shared" si="62"/>
        <v>9</v>
      </c>
      <c r="AS940" s="83">
        <f t="shared" si="63"/>
        <v>9</v>
      </c>
      <c r="AT940" s="84">
        <f t="shared" si="64"/>
        <v>2010</v>
      </c>
      <c r="AU940" s="86"/>
      <c r="AV940" s="86"/>
      <c r="AW940" s="87"/>
      <c r="AX940" s="86"/>
      <c r="AY940" s="83"/>
      <c r="AZ940" s="84"/>
      <c r="BA940" s="86"/>
      <c r="BB940" s="86"/>
    </row>
    <row r="941" spans="1:54" ht="36.75" customHeight="1">
      <c r="A941" s="30"/>
      <c r="B941" s="30" t="s">
        <v>55</v>
      </c>
      <c r="C941" s="69" t="str">
        <f t="shared" si="61"/>
        <v>Closed</v>
      </c>
      <c r="D941" s="27" t="s">
        <v>5314</v>
      </c>
      <c r="E941" s="29" t="s">
        <v>5315</v>
      </c>
      <c r="F941" s="30" t="s">
        <v>138</v>
      </c>
      <c r="G941" s="89">
        <f>DATE(2010,9,12)</f>
        <v>40433</v>
      </c>
      <c r="H941" s="90">
        <v>1.8187500000000001</v>
      </c>
      <c r="I941" s="30" t="s">
        <v>156</v>
      </c>
      <c r="J941" s="89" t="s">
        <v>5316</v>
      </c>
      <c r="K941" s="30" t="s">
        <v>140</v>
      </c>
      <c r="L941" s="30" t="s">
        <v>5317</v>
      </c>
      <c r="M941" s="30" t="s">
        <v>63</v>
      </c>
      <c r="N941" s="30" t="s">
        <v>89</v>
      </c>
      <c r="O941" s="30" t="s">
        <v>77</v>
      </c>
      <c r="P941" s="89" t="s">
        <v>462</v>
      </c>
      <c r="Q941" s="89" t="s">
        <v>2034</v>
      </c>
      <c r="R941" s="89" t="s">
        <v>4934</v>
      </c>
      <c r="S941" s="30">
        <v>1</v>
      </c>
      <c r="T941" s="233">
        <v>0</v>
      </c>
      <c r="U941" s="30">
        <v>0</v>
      </c>
      <c r="V941" s="233">
        <v>0</v>
      </c>
      <c r="W941" s="30">
        <v>0</v>
      </c>
      <c r="X941" s="30">
        <v>1</v>
      </c>
      <c r="Y941" s="30">
        <v>8</v>
      </c>
      <c r="Z941" s="233">
        <v>1</v>
      </c>
      <c r="AA941" s="30">
        <v>0</v>
      </c>
      <c r="AB941" s="30">
        <v>0</v>
      </c>
      <c r="AC941" s="30">
        <v>0</v>
      </c>
      <c r="AD941" s="30">
        <v>9</v>
      </c>
      <c r="AE941" s="89" t="s">
        <v>145</v>
      </c>
      <c r="AF941" s="89"/>
      <c r="AG941" s="89" t="s">
        <v>82</v>
      </c>
      <c r="AH941" s="72">
        <v>40434</v>
      </c>
      <c r="AI941" s="30">
        <v>1</v>
      </c>
      <c r="AJ941" s="89" t="s">
        <v>5318</v>
      </c>
      <c r="AK941" s="89" t="s">
        <v>5319</v>
      </c>
      <c r="AL941" s="91">
        <v>40440</v>
      </c>
      <c r="AM941" s="91"/>
      <c r="AN941" s="91"/>
      <c r="AO941" s="91"/>
      <c r="AP941" s="73" t="e">
        <f>MID(VLOOKUP(K941,#REF!,2,FALSE),1,2)</f>
        <v>#REF!</v>
      </c>
      <c r="AQ941" s="89">
        <f>DATE(2010,9,12)</f>
        <v>40433</v>
      </c>
      <c r="AR941" s="82">
        <f t="shared" si="62"/>
        <v>12</v>
      </c>
      <c r="AS941" s="83">
        <f t="shared" si="63"/>
        <v>9</v>
      </c>
      <c r="AT941" s="84">
        <f t="shared" si="64"/>
        <v>2010</v>
      </c>
      <c r="AU941" s="86"/>
      <c r="AV941" s="86"/>
      <c r="AW941" s="87"/>
      <c r="AX941" s="86"/>
      <c r="AY941" s="83"/>
      <c r="AZ941" s="84"/>
      <c r="BA941" s="86"/>
      <c r="BB941" s="86"/>
    </row>
    <row r="942" spans="1:54" ht="36.75" customHeight="1">
      <c r="A942" s="30"/>
      <c r="B942" s="30" t="s">
        <v>55</v>
      </c>
      <c r="C942" s="69" t="str">
        <f t="shared" si="61"/>
        <v>Closed</v>
      </c>
      <c r="D942" s="27" t="s">
        <v>5320</v>
      </c>
      <c r="E942" s="29" t="s">
        <v>5321</v>
      </c>
      <c r="F942" s="30" t="s">
        <v>1770</v>
      </c>
      <c r="G942" s="89">
        <f>DATE(2010,9,15)</f>
        <v>40436</v>
      </c>
      <c r="H942" s="90">
        <v>1.7506944444444446</v>
      </c>
      <c r="I942" s="30" t="s">
        <v>198</v>
      </c>
      <c r="J942" s="89" t="s">
        <v>5322</v>
      </c>
      <c r="K942" s="30" t="s">
        <v>1772</v>
      </c>
      <c r="L942" s="30" t="s">
        <v>5323</v>
      </c>
      <c r="M942" s="30" t="s">
        <v>63</v>
      </c>
      <c r="N942" s="30" t="s">
        <v>89</v>
      </c>
      <c r="O942" s="30" t="s">
        <v>77</v>
      </c>
      <c r="P942" s="89" t="s">
        <v>5324</v>
      </c>
      <c r="Q942" s="89" t="s">
        <v>1774</v>
      </c>
      <c r="R942" s="89" t="s">
        <v>1775</v>
      </c>
      <c r="S942" s="30">
        <v>0</v>
      </c>
      <c r="T942" s="233">
        <v>0</v>
      </c>
      <c r="U942" s="30">
        <v>0</v>
      </c>
      <c r="V942" s="233">
        <v>0</v>
      </c>
      <c r="W942" s="30">
        <v>0</v>
      </c>
      <c r="X942" s="30">
        <v>0</v>
      </c>
      <c r="Y942" s="30">
        <v>0</v>
      </c>
      <c r="Z942" s="233">
        <v>0</v>
      </c>
      <c r="AA942" s="30">
        <v>0</v>
      </c>
      <c r="AB942" s="30">
        <v>0</v>
      </c>
      <c r="AC942" s="30">
        <v>0</v>
      </c>
      <c r="AD942" s="30">
        <v>0</v>
      </c>
      <c r="AE942" s="89" t="s">
        <v>92</v>
      </c>
      <c r="AF942" s="89"/>
      <c r="AG942" s="89" t="s">
        <v>133</v>
      </c>
      <c r="AH942" s="72">
        <v>40441</v>
      </c>
      <c r="AI942" s="30">
        <v>0</v>
      </c>
      <c r="AJ942" s="89" t="s">
        <v>5325</v>
      </c>
      <c r="AK942" s="89" t="s">
        <v>5326</v>
      </c>
      <c r="AL942" s="91">
        <v>40458</v>
      </c>
      <c r="AM942" s="91"/>
      <c r="AN942" s="91"/>
      <c r="AO942" s="91"/>
      <c r="AP942" s="73" t="e">
        <f>MID(VLOOKUP(K942,#REF!,2,FALSE),1,2)</f>
        <v>#REF!</v>
      </c>
      <c r="AQ942" s="89">
        <f>DATE(2010,9,15)</f>
        <v>40436</v>
      </c>
      <c r="AR942" s="82">
        <f t="shared" si="62"/>
        <v>15</v>
      </c>
      <c r="AS942" s="83">
        <f t="shared" si="63"/>
        <v>9</v>
      </c>
      <c r="AT942" s="84">
        <f t="shared" si="64"/>
        <v>2010</v>
      </c>
      <c r="AU942" s="86"/>
      <c r="AV942" s="86"/>
      <c r="AW942" s="87"/>
      <c r="AX942" s="86"/>
      <c r="AY942" s="83"/>
      <c r="AZ942" s="84"/>
      <c r="BA942" s="86"/>
      <c r="BB942" s="86"/>
    </row>
    <row r="943" spans="1:54" ht="36.75" customHeight="1">
      <c r="A943" s="30"/>
      <c r="B943" s="30" t="s">
        <v>55</v>
      </c>
      <c r="C943" s="69" t="str">
        <f t="shared" si="61"/>
        <v>Closed</v>
      </c>
      <c r="D943" s="27" t="s">
        <v>5327</v>
      </c>
      <c r="E943" s="29" t="s">
        <v>5328</v>
      </c>
      <c r="F943" s="30" t="s">
        <v>124</v>
      </c>
      <c r="G943" s="89">
        <f>DATE(2010,9,19)</f>
        <v>40440</v>
      </c>
      <c r="H943" s="90">
        <v>1.46875</v>
      </c>
      <c r="I943" s="30" t="s">
        <v>487</v>
      </c>
      <c r="J943" s="89" t="s">
        <v>5329</v>
      </c>
      <c r="K943" s="30" t="s">
        <v>127</v>
      </c>
      <c r="L943" s="30" t="s">
        <v>5330</v>
      </c>
      <c r="M943" s="30" t="s">
        <v>129</v>
      </c>
      <c r="N943" s="30" t="s">
        <v>142</v>
      </c>
      <c r="O943" s="30" t="s">
        <v>86</v>
      </c>
      <c r="P943" s="89" t="s">
        <v>301</v>
      </c>
      <c r="Q943" s="89" t="s">
        <v>130</v>
      </c>
      <c r="R943" s="89" t="s">
        <v>131</v>
      </c>
      <c r="S943" s="30">
        <v>0</v>
      </c>
      <c r="T943" s="233">
        <v>0</v>
      </c>
      <c r="U943" s="30">
        <v>0</v>
      </c>
      <c r="V943" s="233">
        <v>0</v>
      </c>
      <c r="W943" s="30">
        <v>0</v>
      </c>
      <c r="X943" s="30">
        <v>0</v>
      </c>
      <c r="Y943" s="30">
        <v>0</v>
      </c>
      <c r="Z943" s="233">
        <v>0</v>
      </c>
      <c r="AA943" s="30">
        <v>0</v>
      </c>
      <c r="AB943" s="30">
        <v>0</v>
      </c>
      <c r="AC943" s="30">
        <v>0</v>
      </c>
      <c r="AD943" s="30">
        <v>0</v>
      </c>
      <c r="AE943" s="89" t="s">
        <v>92</v>
      </c>
      <c r="AF943" s="89"/>
      <c r="AG943" s="89" t="s">
        <v>367</v>
      </c>
      <c r="AH943" s="72">
        <v>40455</v>
      </c>
      <c r="AI943" s="30">
        <v>1</v>
      </c>
      <c r="AJ943" s="89" t="s">
        <v>5331</v>
      </c>
      <c r="AK943" s="89" t="s">
        <v>5332</v>
      </c>
      <c r="AL943" s="91">
        <v>40553</v>
      </c>
      <c r="AM943" s="91"/>
      <c r="AN943" s="91"/>
      <c r="AO943" s="91"/>
      <c r="AP943" s="73" t="e">
        <f>MID(VLOOKUP(K943,#REF!,2,FALSE),1,2)</f>
        <v>#REF!</v>
      </c>
      <c r="AQ943" s="89">
        <f>DATE(2010,9,19)</f>
        <v>40440</v>
      </c>
      <c r="AR943" s="82">
        <f t="shared" si="62"/>
        <v>19</v>
      </c>
      <c r="AS943" s="83">
        <f t="shared" si="63"/>
        <v>9</v>
      </c>
      <c r="AT943" s="84">
        <f t="shared" si="64"/>
        <v>2010</v>
      </c>
      <c r="AU943" s="86"/>
      <c r="AV943" s="86"/>
      <c r="AW943" s="87"/>
      <c r="AX943" s="86"/>
      <c r="AY943" s="83"/>
      <c r="AZ943" s="84"/>
      <c r="BA943" s="86"/>
      <c r="BB943" s="86"/>
    </row>
    <row r="944" spans="1:54" ht="36.75" customHeight="1">
      <c r="A944" s="30"/>
      <c r="B944" s="30" t="s">
        <v>55</v>
      </c>
      <c r="C944" s="69" t="str">
        <f t="shared" si="61"/>
        <v>Closed</v>
      </c>
      <c r="D944" s="27" t="s">
        <v>5333</v>
      </c>
      <c r="E944" s="29" t="s">
        <v>5334</v>
      </c>
      <c r="F944" s="30" t="s">
        <v>115</v>
      </c>
      <c r="G944" s="89">
        <f>DATE(2010,9,27)</f>
        <v>40448</v>
      </c>
      <c r="H944" s="90">
        <v>1.3645833333333333</v>
      </c>
      <c r="I944" s="30" t="s">
        <v>116</v>
      </c>
      <c r="J944" s="89" t="s">
        <v>5335</v>
      </c>
      <c r="K944" s="30" t="s">
        <v>118</v>
      </c>
      <c r="L944" s="30" t="s">
        <v>5336</v>
      </c>
      <c r="M944" s="30" t="s">
        <v>63</v>
      </c>
      <c r="N944" s="30">
        <v>0</v>
      </c>
      <c r="O944" s="30" t="s">
        <v>64</v>
      </c>
      <c r="P944" s="89" t="s">
        <v>165</v>
      </c>
      <c r="Q944" s="89" t="s">
        <v>120</v>
      </c>
      <c r="R944" s="89" t="s">
        <v>121</v>
      </c>
      <c r="S944" s="30">
        <v>0</v>
      </c>
      <c r="T944" s="233">
        <v>0</v>
      </c>
      <c r="U944" s="30">
        <v>0</v>
      </c>
      <c r="V944" s="233">
        <v>0</v>
      </c>
      <c r="W944" s="30">
        <v>0</v>
      </c>
      <c r="X944" s="30">
        <v>0</v>
      </c>
      <c r="Y944" s="30">
        <v>2</v>
      </c>
      <c r="Z944" s="233">
        <v>1</v>
      </c>
      <c r="AA944" s="30">
        <v>1</v>
      </c>
      <c r="AB944" s="30">
        <v>0</v>
      </c>
      <c r="AC944" s="30">
        <v>0</v>
      </c>
      <c r="AD944" s="30">
        <v>4</v>
      </c>
      <c r="AE944" s="89" t="s">
        <v>68</v>
      </c>
      <c r="AF944" s="89"/>
      <c r="AG944" s="89" t="s">
        <v>352</v>
      </c>
      <c r="AH944" s="72" t="s">
        <v>68</v>
      </c>
      <c r="AI944" s="30">
        <v>3</v>
      </c>
      <c r="AJ944" s="89" t="s">
        <v>5337</v>
      </c>
      <c r="AK944" s="89" t="s">
        <v>5338</v>
      </c>
      <c r="AL944" s="91">
        <v>40455</v>
      </c>
      <c r="AM944" s="91"/>
      <c r="AN944" s="91"/>
      <c r="AO944" s="91"/>
      <c r="AP944" s="73" t="e">
        <f>MID(VLOOKUP(K944,#REF!,2,FALSE),1,2)</f>
        <v>#REF!</v>
      </c>
      <c r="AQ944" s="89">
        <f>DATE(2010,9,27)</f>
        <v>40448</v>
      </c>
      <c r="AR944" s="82">
        <f t="shared" si="62"/>
        <v>27</v>
      </c>
      <c r="AS944" s="83">
        <f t="shared" si="63"/>
        <v>9</v>
      </c>
      <c r="AT944" s="84">
        <f t="shared" si="64"/>
        <v>2010</v>
      </c>
      <c r="AU944" s="86"/>
      <c r="AV944" s="86"/>
      <c r="AW944" s="87"/>
      <c r="AX944" s="86"/>
      <c r="AY944" s="83"/>
      <c r="AZ944" s="84"/>
      <c r="BA944" s="86"/>
      <c r="BB944" s="86"/>
    </row>
    <row r="945" spans="1:54" ht="36.75" customHeight="1">
      <c r="A945" s="30"/>
      <c r="B945" s="30" t="s">
        <v>55</v>
      </c>
      <c r="C945" s="69" t="str">
        <f t="shared" si="61"/>
        <v>Closed</v>
      </c>
      <c r="D945" s="27" t="s">
        <v>5339</v>
      </c>
      <c r="E945" s="29" t="s">
        <v>5340</v>
      </c>
      <c r="F945" s="30" t="s">
        <v>835</v>
      </c>
      <c r="G945" s="89">
        <f>DATE(2010,9,27)</f>
        <v>40448</v>
      </c>
      <c r="H945" s="90">
        <v>1.1541666666666668</v>
      </c>
      <c r="I945" s="30" t="s">
        <v>73</v>
      </c>
      <c r="J945" s="89" t="s">
        <v>5341</v>
      </c>
      <c r="K945" s="30" t="s">
        <v>837</v>
      </c>
      <c r="L945" s="30" t="s">
        <v>5342</v>
      </c>
      <c r="M945" s="30" t="s">
        <v>63</v>
      </c>
      <c r="N945" s="30">
        <v>0</v>
      </c>
      <c r="O945" s="30" t="s">
        <v>77</v>
      </c>
      <c r="P945" s="89" t="s">
        <v>78</v>
      </c>
      <c r="Q945" s="89" t="s">
        <v>4708</v>
      </c>
      <c r="R945" s="89" t="s">
        <v>840</v>
      </c>
      <c r="S945" s="30">
        <v>0</v>
      </c>
      <c r="T945" s="233">
        <v>0</v>
      </c>
      <c r="U945" s="30">
        <v>0</v>
      </c>
      <c r="V945" s="233">
        <v>0</v>
      </c>
      <c r="W945" s="30">
        <v>0</v>
      </c>
      <c r="X945" s="30">
        <v>0</v>
      </c>
      <c r="Y945" s="30">
        <v>0</v>
      </c>
      <c r="Z945" s="233">
        <v>0</v>
      </c>
      <c r="AA945" s="30">
        <v>0</v>
      </c>
      <c r="AB945" s="30">
        <v>0</v>
      </c>
      <c r="AC945" s="30">
        <v>0</v>
      </c>
      <c r="AD945" s="30">
        <v>0</v>
      </c>
      <c r="AE945" s="89" t="s">
        <v>68</v>
      </c>
      <c r="AF945" s="89"/>
      <c r="AG945" s="89" t="s">
        <v>352</v>
      </c>
      <c r="AH945" s="72" t="s">
        <v>68</v>
      </c>
      <c r="AI945" s="30">
        <v>0</v>
      </c>
      <c r="AJ945" s="89" t="s">
        <v>68</v>
      </c>
      <c r="AK945" s="89" t="s">
        <v>68</v>
      </c>
      <c r="AL945" s="91">
        <v>40500</v>
      </c>
      <c r="AM945" s="91"/>
      <c r="AN945" s="91"/>
      <c r="AO945" s="91"/>
      <c r="AP945" s="73" t="e">
        <f>MID(VLOOKUP(K945,#REF!,2,FALSE),1,2)</f>
        <v>#REF!</v>
      </c>
      <c r="AQ945" s="89">
        <f>DATE(2010,9,27)</f>
        <v>40448</v>
      </c>
      <c r="AR945" s="82">
        <f t="shared" si="62"/>
        <v>27</v>
      </c>
      <c r="AS945" s="83">
        <f t="shared" si="63"/>
        <v>9</v>
      </c>
      <c r="AT945" s="84">
        <f t="shared" si="64"/>
        <v>2010</v>
      </c>
      <c r="AU945" s="86"/>
      <c r="AV945" s="86"/>
      <c r="AW945" s="87"/>
      <c r="AX945" s="86"/>
      <c r="AY945" s="83"/>
      <c r="AZ945" s="84"/>
      <c r="BA945" s="86"/>
      <c r="BB945" s="86"/>
    </row>
    <row r="946" spans="1:54" ht="36.75" customHeight="1">
      <c r="A946" s="30"/>
      <c r="B946" s="30" t="s">
        <v>55</v>
      </c>
      <c r="C946" s="69" t="str">
        <f t="shared" si="61"/>
        <v>Closed</v>
      </c>
      <c r="D946" s="27" t="s">
        <v>5343</v>
      </c>
      <c r="E946" s="29" t="s">
        <v>5344</v>
      </c>
      <c r="F946" s="30" t="s">
        <v>1572</v>
      </c>
      <c r="G946" s="89">
        <f>DATE(2010,9,27)</f>
        <v>40448</v>
      </c>
      <c r="H946" s="90">
        <v>1.3263888888888888</v>
      </c>
      <c r="I946" s="30" t="s">
        <v>198</v>
      </c>
      <c r="J946" s="89" t="s">
        <v>5345</v>
      </c>
      <c r="K946" s="30" t="s">
        <v>1574</v>
      </c>
      <c r="L946" s="30" t="s">
        <v>5346</v>
      </c>
      <c r="M946" s="30" t="s">
        <v>63</v>
      </c>
      <c r="N946" s="30">
        <v>0</v>
      </c>
      <c r="O946" s="30" t="s">
        <v>64</v>
      </c>
      <c r="P946" s="89" t="s">
        <v>165</v>
      </c>
      <c r="Q946" s="89" t="s">
        <v>2413</v>
      </c>
      <c r="R946" s="89">
        <v>0</v>
      </c>
      <c r="S946" s="30">
        <v>0</v>
      </c>
      <c r="T946" s="233" t="s">
        <v>68</v>
      </c>
      <c r="U946" s="30">
        <v>0</v>
      </c>
      <c r="V946" s="233" t="s">
        <v>68</v>
      </c>
      <c r="W946" s="30">
        <v>0</v>
      </c>
      <c r="X946" s="30">
        <v>0</v>
      </c>
      <c r="Y946" s="30">
        <v>0</v>
      </c>
      <c r="Z946" s="233" t="s">
        <v>68</v>
      </c>
      <c r="AA946" s="30">
        <v>0</v>
      </c>
      <c r="AB946" s="30">
        <v>0</v>
      </c>
      <c r="AC946" s="30">
        <v>0</v>
      </c>
      <c r="AD946" s="30">
        <v>0</v>
      </c>
      <c r="AE946" s="89" t="s">
        <v>68</v>
      </c>
      <c r="AF946" s="89"/>
      <c r="AG946" s="89" t="s">
        <v>133</v>
      </c>
      <c r="AH946" s="72" t="s">
        <v>68</v>
      </c>
      <c r="AI946" s="30">
        <v>0</v>
      </c>
      <c r="AJ946" s="89" t="s">
        <v>5347</v>
      </c>
      <c r="AK946" s="89" t="s">
        <v>5348</v>
      </c>
      <c r="AL946" s="91">
        <v>40455</v>
      </c>
      <c r="AM946" s="91"/>
      <c r="AN946" s="91"/>
      <c r="AO946" s="91"/>
      <c r="AP946" s="73" t="e">
        <f>MID(VLOOKUP(K946,#REF!,2,FALSE),1,2)</f>
        <v>#REF!</v>
      </c>
      <c r="AQ946" s="89">
        <f>DATE(2010,9,27)</f>
        <v>40448</v>
      </c>
      <c r="AR946" s="82">
        <f t="shared" si="62"/>
        <v>27</v>
      </c>
      <c r="AS946" s="83">
        <f t="shared" si="63"/>
        <v>9</v>
      </c>
      <c r="AT946" s="84">
        <f t="shared" si="64"/>
        <v>2010</v>
      </c>
      <c r="AU946" s="86"/>
      <c r="AV946" s="86"/>
      <c r="AW946" s="87"/>
      <c r="AX946" s="86"/>
      <c r="AY946" s="83"/>
      <c r="AZ946" s="84"/>
      <c r="BA946" s="86"/>
      <c r="BB946" s="86"/>
    </row>
    <row r="947" spans="1:54" ht="36.75" customHeight="1">
      <c r="A947" s="30"/>
      <c r="B947" s="30" t="s">
        <v>55</v>
      </c>
      <c r="C947" s="69" t="str">
        <f t="shared" si="61"/>
        <v>Closed</v>
      </c>
      <c r="D947" s="27" t="s">
        <v>5349</v>
      </c>
      <c r="E947" s="29" t="s">
        <v>5350</v>
      </c>
      <c r="F947" s="30" t="s">
        <v>638</v>
      </c>
      <c r="G947" s="89">
        <f>DATE(2010,9,30)</f>
        <v>40451</v>
      </c>
      <c r="H947" s="90">
        <v>1.3395833333333333</v>
      </c>
      <c r="I947" s="30" t="s">
        <v>104</v>
      </c>
      <c r="J947" s="89" t="s">
        <v>5351</v>
      </c>
      <c r="K947" s="30" t="s">
        <v>640</v>
      </c>
      <c r="L947" s="30" t="s">
        <v>5352</v>
      </c>
      <c r="M947" s="30" t="s">
        <v>63</v>
      </c>
      <c r="N947" s="30">
        <v>0</v>
      </c>
      <c r="O947" s="30" t="s">
        <v>77</v>
      </c>
      <c r="P947" s="89" t="s">
        <v>65</v>
      </c>
      <c r="Q947" s="89" t="s">
        <v>642</v>
      </c>
      <c r="R947" s="89" t="s">
        <v>643</v>
      </c>
      <c r="S947" s="30">
        <v>0</v>
      </c>
      <c r="T947" s="233" t="s">
        <v>68</v>
      </c>
      <c r="U947" s="30">
        <v>0</v>
      </c>
      <c r="V947" s="233" t="s">
        <v>68</v>
      </c>
      <c r="W947" s="30">
        <v>0</v>
      </c>
      <c r="X947" s="30">
        <v>0</v>
      </c>
      <c r="Y947" s="30">
        <v>0</v>
      </c>
      <c r="Z947" s="233" t="s">
        <v>68</v>
      </c>
      <c r="AA947" s="30">
        <v>0</v>
      </c>
      <c r="AB947" s="30">
        <v>0</v>
      </c>
      <c r="AC947" s="30">
        <v>0</v>
      </c>
      <c r="AD947" s="30">
        <v>0</v>
      </c>
      <c r="AE947" s="89" t="s">
        <v>68</v>
      </c>
      <c r="AF947" s="89"/>
      <c r="AG947" s="89" t="s">
        <v>352</v>
      </c>
      <c r="AH947" s="72" t="s">
        <v>68</v>
      </c>
      <c r="AI947" s="30">
        <v>1</v>
      </c>
      <c r="AJ947" s="89" t="s">
        <v>5353</v>
      </c>
      <c r="AK947" s="89" t="s">
        <v>68</v>
      </c>
      <c r="AL947" s="91">
        <v>40515</v>
      </c>
      <c r="AM947" s="91"/>
      <c r="AN947" s="91"/>
      <c r="AO947" s="91"/>
      <c r="AP947" s="73" t="e">
        <f>MID(VLOOKUP(K947,#REF!,2,FALSE),1,2)</f>
        <v>#REF!</v>
      </c>
      <c r="AQ947" s="89">
        <f>DATE(2010,9,30)</f>
        <v>40451</v>
      </c>
      <c r="AR947" s="82">
        <f t="shared" si="62"/>
        <v>30</v>
      </c>
      <c r="AS947" s="83">
        <f t="shared" si="63"/>
        <v>9</v>
      </c>
      <c r="AT947" s="84">
        <f t="shared" si="64"/>
        <v>2010</v>
      </c>
      <c r="AU947" s="86"/>
      <c r="AV947" s="86"/>
      <c r="AW947" s="87"/>
      <c r="AX947" s="86"/>
      <c r="AY947" s="83"/>
      <c r="AZ947" s="84"/>
      <c r="BA947" s="86"/>
      <c r="BB947" s="86"/>
    </row>
    <row r="948" spans="1:54" ht="36.75" customHeight="1">
      <c r="A948" s="30"/>
      <c r="B948" s="30" t="s">
        <v>55</v>
      </c>
      <c r="C948" s="69" t="str">
        <f t="shared" si="61"/>
        <v>Closed</v>
      </c>
      <c r="D948" s="27" t="s">
        <v>5354</v>
      </c>
      <c r="E948" s="29" t="s">
        <v>5355</v>
      </c>
      <c r="F948" s="30" t="s">
        <v>1572</v>
      </c>
      <c r="G948" s="89">
        <f>DATE(2010,9,30)</f>
        <v>40451</v>
      </c>
      <c r="H948" s="90">
        <v>1.588888888888889</v>
      </c>
      <c r="I948" s="30" t="s">
        <v>125</v>
      </c>
      <c r="J948" s="89" t="s">
        <v>5356</v>
      </c>
      <c r="K948" s="30" t="s">
        <v>1574</v>
      </c>
      <c r="L948" s="30" t="s">
        <v>5357</v>
      </c>
      <c r="M948" s="30" t="s">
        <v>63</v>
      </c>
      <c r="N948" s="30">
        <v>0</v>
      </c>
      <c r="O948" s="30" t="s">
        <v>64</v>
      </c>
      <c r="P948" s="89" t="s">
        <v>78</v>
      </c>
      <c r="Q948" s="89" t="s">
        <v>2655</v>
      </c>
      <c r="R948" s="89">
        <v>0</v>
      </c>
      <c r="S948" s="30">
        <v>0</v>
      </c>
      <c r="T948" s="233" t="s">
        <v>68</v>
      </c>
      <c r="U948" s="30">
        <v>0</v>
      </c>
      <c r="V948" s="233" t="s">
        <v>68</v>
      </c>
      <c r="W948" s="30">
        <v>0</v>
      </c>
      <c r="X948" s="30">
        <v>0</v>
      </c>
      <c r="Y948" s="30">
        <v>0</v>
      </c>
      <c r="Z948" s="233" t="s">
        <v>68</v>
      </c>
      <c r="AA948" s="30">
        <v>0</v>
      </c>
      <c r="AB948" s="30">
        <v>0</v>
      </c>
      <c r="AC948" s="30">
        <v>0</v>
      </c>
      <c r="AD948" s="30">
        <v>0</v>
      </c>
      <c r="AE948" s="89" t="s">
        <v>68</v>
      </c>
      <c r="AF948" s="89"/>
      <c r="AG948" s="89" t="s">
        <v>133</v>
      </c>
      <c r="AH948" s="72" t="s">
        <v>68</v>
      </c>
      <c r="AI948" s="30">
        <v>4</v>
      </c>
      <c r="AJ948" s="89" t="s">
        <v>5358</v>
      </c>
      <c r="AK948" s="89" t="s">
        <v>5359</v>
      </c>
      <c r="AL948" s="91">
        <v>40455</v>
      </c>
      <c r="AM948" s="91"/>
      <c r="AN948" s="91"/>
      <c r="AO948" s="91"/>
      <c r="AP948" s="73" t="e">
        <f>MID(VLOOKUP(K948,#REF!,2,FALSE),1,2)</f>
        <v>#REF!</v>
      </c>
      <c r="AQ948" s="89">
        <f>DATE(2010,9,30)</f>
        <v>40451</v>
      </c>
      <c r="AR948" s="82">
        <f t="shared" si="62"/>
        <v>30</v>
      </c>
      <c r="AS948" s="83">
        <f t="shared" si="63"/>
        <v>9</v>
      </c>
      <c r="AT948" s="84">
        <f t="shared" si="64"/>
        <v>2010</v>
      </c>
      <c r="AU948" s="86"/>
      <c r="AV948" s="86"/>
      <c r="AW948" s="87"/>
      <c r="AX948" s="86"/>
      <c r="AY948" s="83"/>
      <c r="AZ948" s="84"/>
      <c r="BA948" s="86"/>
      <c r="BB948" s="86"/>
    </row>
    <row r="949" spans="1:54" ht="36.75" customHeight="1">
      <c r="A949" s="30"/>
      <c r="B949" s="30" t="s">
        <v>55</v>
      </c>
      <c r="C949" s="69" t="str">
        <f t="shared" si="61"/>
        <v>Closed</v>
      </c>
      <c r="D949" s="27" t="s">
        <v>5360</v>
      </c>
      <c r="E949" s="29" t="s">
        <v>5361</v>
      </c>
      <c r="F949" s="30" t="s">
        <v>835</v>
      </c>
      <c r="G949" s="89">
        <f>DATE(2010,10,1)</f>
        <v>40452</v>
      </c>
      <c r="H949" s="90">
        <v>1.8027777777777776</v>
      </c>
      <c r="I949" s="30" t="s">
        <v>104</v>
      </c>
      <c r="J949" s="89" t="s">
        <v>5362</v>
      </c>
      <c r="K949" s="30" t="s">
        <v>837</v>
      </c>
      <c r="L949" s="30" t="s">
        <v>5363</v>
      </c>
      <c r="M949" s="30" t="s">
        <v>63</v>
      </c>
      <c r="N949" s="30">
        <v>0</v>
      </c>
      <c r="O949" s="30" t="s">
        <v>77</v>
      </c>
      <c r="P949" s="89" t="s">
        <v>78</v>
      </c>
      <c r="Q949" s="89" t="s">
        <v>4708</v>
      </c>
      <c r="R949" s="89" t="s">
        <v>840</v>
      </c>
      <c r="S949" s="30">
        <v>0</v>
      </c>
      <c r="T949" s="233" t="s">
        <v>68</v>
      </c>
      <c r="U949" s="30">
        <v>0</v>
      </c>
      <c r="V949" s="233" t="s">
        <v>68</v>
      </c>
      <c r="W949" s="30">
        <v>0</v>
      </c>
      <c r="X949" s="30">
        <v>0</v>
      </c>
      <c r="Y949" s="30">
        <v>0</v>
      </c>
      <c r="Z949" s="233" t="s">
        <v>68</v>
      </c>
      <c r="AA949" s="30">
        <v>0</v>
      </c>
      <c r="AB949" s="30">
        <v>0</v>
      </c>
      <c r="AC949" s="30">
        <v>0</v>
      </c>
      <c r="AD949" s="30">
        <v>0</v>
      </c>
      <c r="AE949" s="89" t="s">
        <v>68</v>
      </c>
      <c r="AF949" s="89"/>
      <c r="AG949" s="89" t="s">
        <v>352</v>
      </c>
      <c r="AH949" s="72" t="s">
        <v>68</v>
      </c>
      <c r="AI949" s="30">
        <v>0</v>
      </c>
      <c r="AJ949" s="89" t="s">
        <v>68</v>
      </c>
      <c r="AK949" s="89" t="s">
        <v>68</v>
      </c>
      <c r="AL949" s="91">
        <v>40513</v>
      </c>
      <c r="AM949" s="91"/>
      <c r="AN949" s="91"/>
      <c r="AO949" s="91"/>
      <c r="AP949" s="73" t="e">
        <f>MID(VLOOKUP(K949,#REF!,2,FALSE),1,2)</f>
        <v>#REF!</v>
      </c>
      <c r="AQ949" s="89">
        <f>DATE(2010,10,1)</f>
        <v>40452</v>
      </c>
      <c r="AR949" s="82">
        <f t="shared" si="62"/>
        <v>1</v>
      </c>
      <c r="AS949" s="83">
        <f t="shared" si="63"/>
        <v>10</v>
      </c>
      <c r="AT949" s="84">
        <f t="shared" si="64"/>
        <v>2010</v>
      </c>
      <c r="AU949" s="86"/>
      <c r="AV949" s="86"/>
      <c r="AW949" s="87"/>
      <c r="AX949" s="86"/>
      <c r="AY949" s="83"/>
      <c r="AZ949" s="84"/>
      <c r="BA949" s="86"/>
      <c r="BB949" s="86"/>
    </row>
    <row r="950" spans="1:54" ht="36.75" customHeight="1">
      <c r="A950" s="30"/>
      <c r="B950" s="30" t="s">
        <v>55</v>
      </c>
      <c r="C950" s="69" t="str">
        <f t="shared" si="61"/>
        <v>Closed</v>
      </c>
      <c r="D950" s="27" t="s">
        <v>5364</v>
      </c>
      <c r="E950" s="29" t="s">
        <v>5365</v>
      </c>
      <c r="F950" s="30" t="s">
        <v>124</v>
      </c>
      <c r="G950" s="89">
        <f>DATE(2010,10,1)</f>
        <v>40452</v>
      </c>
      <c r="H950" s="90">
        <v>1.7430555555555554</v>
      </c>
      <c r="I950" s="30" t="s">
        <v>73</v>
      </c>
      <c r="J950" s="89" t="s">
        <v>5366</v>
      </c>
      <c r="K950" s="30" t="s">
        <v>127</v>
      </c>
      <c r="L950" s="30" t="s">
        <v>5367</v>
      </c>
      <c r="M950" s="30" t="s">
        <v>63</v>
      </c>
      <c r="N950" s="30">
        <v>0</v>
      </c>
      <c r="O950" s="30" t="s">
        <v>77</v>
      </c>
      <c r="P950" s="89" t="s">
        <v>65</v>
      </c>
      <c r="Q950" s="89" t="s">
        <v>229</v>
      </c>
      <c r="R950" s="89" t="s">
        <v>167</v>
      </c>
      <c r="S950" s="30">
        <v>0</v>
      </c>
      <c r="T950" s="233">
        <v>0</v>
      </c>
      <c r="U950" s="30">
        <v>0</v>
      </c>
      <c r="V950" s="233">
        <v>0</v>
      </c>
      <c r="W950" s="30">
        <v>0</v>
      </c>
      <c r="X950" s="30">
        <v>0</v>
      </c>
      <c r="Y950" s="30">
        <v>1</v>
      </c>
      <c r="Z950" s="233">
        <v>0</v>
      </c>
      <c r="AA950" s="30">
        <v>0</v>
      </c>
      <c r="AB950" s="30">
        <v>0</v>
      </c>
      <c r="AC950" s="30">
        <v>0</v>
      </c>
      <c r="AD950" s="30">
        <v>1</v>
      </c>
      <c r="AE950" s="89" t="s">
        <v>68</v>
      </c>
      <c r="AF950" s="89"/>
      <c r="AG950" s="89" t="s">
        <v>82</v>
      </c>
      <c r="AH950" s="72" t="s">
        <v>68</v>
      </c>
      <c r="AI950" s="30">
        <v>2</v>
      </c>
      <c r="AJ950" s="89" t="s">
        <v>5368</v>
      </c>
      <c r="AK950" s="89" t="s">
        <v>68</v>
      </c>
      <c r="AL950" s="91">
        <v>40456</v>
      </c>
      <c r="AM950" s="91"/>
      <c r="AN950" s="91"/>
      <c r="AO950" s="91"/>
      <c r="AP950" s="73" t="e">
        <f>MID(VLOOKUP(K950,#REF!,2,FALSE),1,2)</f>
        <v>#REF!</v>
      </c>
      <c r="AQ950" s="89">
        <f>DATE(2010,10,1)</f>
        <v>40452</v>
      </c>
      <c r="AR950" s="82">
        <f t="shared" si="62"/>
        <v>1</v>
      </c>
      <c r="AS950" s="83">
        <f t="shared" si="63"/>
        <v>10</v>
      </c>
      <c r="AT950" s="84">
        <f t="shared" si="64"/>
        <v>2010</v>
      </c>
      <c r="AU950" s="86"/>
      <c r="AV950" s="86"/>
      <c r="AW950" s="87"/>
      <c r="AX950" s="86"/>
      <c r="AY950" s="83"/>
      <c r="AZ950" s="84"/>
      <c r="BA950" s="86"/>
      <c r="BB950" s="86"/>
    </row>
    <row r="951" spans="1:54" ht="36.75" customHeight="1">
      <c r="A951" s="30"/>
      <c r="B951" s="30" t="s">
        <v>55</v>
      </c>
      <c r="C951" s="69" t="str">
        <f t="shared" si="61"/>
        <v>Closed</v>
      </c>
      <c r="D951" s="27" t="s">
        <v>5369</v>
      </c>
      <c r="E951" s="29" t="s">
        <v>5370</v>
      </c>
      <c r="F951" s="30" t="s">
        <v>2601</v>
      </c>
      <c r="G951" s="89">
        <f>DATE(2010,10,4)</f>
        <v>40455</v>
      </c>
      <c r="H951" s="90">
        <v>1.3298611111111112</v>
      </c>
      <c r="I951" s="30" t="s">
        <v>198</v>
      </c>
      <c r="J951" s="89" t="s">
        <v>5371</v>
      </c>
      <c r="K951" s="30" t="s">
        <v>2603</v>
      </c>
      <c r="L951" s="30" t="s">
        <v>5372</v>
      </c>
      <c r="M951" s="30" t="s">
        <v>63</v>
      </c>
      <c r="N951" s="30">
        <v>0</v>
      </c>
      <c r="O951" s="30" t="s">
        <v>64</v>
      </c>
      <c r="P951" s="89" t="s">
        <v>65</v>
      </c>
      <c r="Q951" s="89" t="s">
        <v>2605</v>
      </c>
      <c r="R951" s="89" t="s">
        <v>2606</v>
      </c>
      <c r="S951" s="30">
        <v>0</v>
      </c>
      <c r="T951" s="233" t="s">
        <v>68</v>
      </c>
      <c r="U951" s="30">
        <v>0</v>
      </c>
      <c r="V951" s="233" t="s">
        <v>68</v>
      </c>
      <c r="W951" s="30">
        <v>0</v>
      </c>
      <c r="X951" s="30">
        <v>0</v>
      </c>
      <c r="Y951" s="30">
        <v>0</v>
      </c>
      <c r="Z951" s="233" t="s">
        <v>68</v>
      </c>
      <c r="AA951" s="30">
        <v>0</v>
      </c>
      <c r="AB951" s="30">
        <v>0</v>
      </c>
      <c r="AC951" s="30">
        <v>0</v>
      </c>
      <c r="AD951" s="30">
        <v>0</v>
      </c>
      <c r="AE951" s="89" t="s">
        <v>68</v>
      </c>
      <c r="AF951" s="89"/>
      <c r="AG951" s="89" t="s">
        <v>82</v>
      </c>
      <c r="AH951" s="72" t="s">
        <v>68</v>
      </c>
      <c r="AI951" s="30">
        <v>7</v>
      </c>
      <c r="AJ951" s="89" t="s">
        <v>5373</v>
      </c>
      <c r="AK951" s="89" t="s">
        <v>68</v>
      </c>
      <c r="AL951" s="91">
        <v>40456</v>
      </c>
      <c r="AM951" s="91"/>
      <c r="AN951" s="91"/>
      <c r="AO951" s="91"/>
      <c r="AP951" s="73" t="e">
        <f>MID(VLOOKUP(K951,#REF!,2,FALSE),1,2)</f>
        <v>#REF!</v>
      </c>
      <c r="AQ951" s="89">
        <f>DATE(2010,10,4)</f>
        <v>40455</v>
      </c>
      <c r="AR951" s="82">
        <f t="shared" si="62"/>
        <v>4</v>
      </c>
      <c r="AS951" s="83">
        <f t="shared" si="63"/>
        <v>10</v>
      </c>
      <c r="AT951" s="84">
        <f t="shared" si="64"/>
        <v>2010</v>
      </c>
      <c r="AU951" s="86"/>
      <c r="AV951" s="86"/>
      <c r="AW951" s="87"/>
      <c r="AX951" s="86"/>
      <c r="AY951" s="83"/>
      <c r="AZ951" s="84"/>
      <c r="BA951" s="86"/>
      <c r="BB951" s="86"/>
    </row>
    <row r="952" spans="1:54" ht="36.75" customHeight="1">
      <c r="A952" s="30"/>
      <c r="B952" s="30" t="s">
        <v>55</v>
      </c>
      <c r="C952" s="69" t="str">
        <f t="shared" si="61"/>
        <v>Closed</v>
      </c>
      <c r="D952" s="27" t="s">
        <v>5374</v>
      </c>
      <c r="E952" s="29" t="s">
        <v>5375</v>
      </c>
      <c r="F952" s="30" t="s">
        <v>835</v>
      </c>
      <c r="G952" s="89">
        <f>DATE(2010,10,5)</f>
        <v>40456</v>
      </c>
      <c r="H952" s="90">
        <v>1.4583333333333333</v>
      </c>
      <c r="I952" s="30" t="s">
        <v>116</v>
      </c>
      <c r="J952" s="89" t="s">
        <v>5376</v>
      </c>
      <c r="K952" s="30" t="s">
        <v>837</v>
      </c>
      <c r="L952" s="30" t="s">
        <v>5377</v>
      </c>
      <c r="M952" s="30" t="s">
        <v>63</v>
      </c>
      <c r="N952" s="30">
        <v>0</v>
      </c>
      <c r="O952" s="30" t="s">
        <v>64</v>
      </c>
      <c r="P952" s="89" t="s">
        <v>381</v>
      </c>
      <c r="Q952" s="89" t="s">
        <v>3061</v>
      </c>
      <c r="R952" s="89" t="s">
        <v>840</v>
      </c>
      <c r="S952" s="30">
        <v>0</v>
      </c>
      <c r="T952" s="233">
        <v>0</v>
      </c>
      <c r="U952" s="30">
        <v>0</v>
      </c>
      <c r="V952" s="233">
        <v>0</v>
      </c>
      <c r="W952" s="30">
        <v>0</v>
      </c>
      <c r="X952" s="30">
        <v>0</v>
      </c>
      <c r="Y952" s="30">
        <v>0</v>
      </c>
      <c r="Z952" s="233">
        <v>0</v>
      </c>
      <c r="AA952" s="30">
        <v>1</v>
      </c>
      <c r="AB952" s="30">
        <v>0</v>
      </c>
      <c r="AC952" s="30">
        <v>0</v>
      </c>
      <c r="AD952" s="30">
        <v>1</v>
      </c>
      <c r="AE952" s="89" t="s">
        <v>68</v>
      </c>
      <c r="AF952" s="89"/>
      <c r="AG952" s="89" t="s">
        <v>352</v>
      </c>
      <c r="AH952" s="72" t="s">
        <v>68</v>
      </c>
      <c r="AI952" s="30">
        <v>1</v>
      </c>
      <c r="AJ952" s="89" t="s">
        <v>68</v>
      </c>
      <c r="AK952" s="89" t="s">
        <v>68</v>
      </c>
      <c r="AL952" s="91">
        <v>40500</v>
      </c>
      <c r="AM952" s="91"/>
      <c r="AN952" s="91"/>
      <c r="AO952" s="91"/>
      <c r="AP952" s="73" t="e">
        <f>MID(VLOOKUP(K952,#REF!,2,FALSE),1,2)</f>
        <v>#REF!</v>
      </c>
      <c r="AQ952" s="89">
        <f>DATE(2010,10,5)</f>
        <v>40456</v>
      </c>
      <c r="AR952" s="82">
        <f t="shared" si="62"/>
        <v>5</v>
      </c>
      <c r="AS952" s="83">
        <f t="shared" si="63"/>
        <v>10</v>
      </c>
      <c r="AT952" s="84">
        <f t="shared" si="64"/>
        <v>2010</v>
      </c>
      <c r="AU952" s="86"/>
      <c r="AV952" s="86"/>
      <c r="AW952" s="87"/>
      <c r="AX952" s="86"/>
      <c r="AY952" s="83"/>
      <c r="AZ952" s="84"/>
      <c r="BA952" s="86"/>
      <c r="BB952" s="86"/>
    </row>
    <row r="953" spans="1:54" ht="36.75" customHeight="1">
      <c r="A953" s="30"/>
      <c r="B953" s="30" t="s">
        <v>55</v>
      </c>
      <c r="C953" s="69" t="str">
        <f t="shared" si="61"/>
        <v>Closed</v>
      </c>
      <c r="D953" s="27" t="s">
        <v>5378</v>
      </c>
      <c r="E953" s="29" t="s">
        <v>5379</v>
      </c>
      <c r="F953" s="30" t="s">
        <v>835</v>
      </c>
      <c r="G953" s="89">
        <f>DATE(2010,10,7)</f>
        <v>40458</v>
      </c>
      <c r="H953" s="90">
        <v>1.2465277777777777</v>
      </c>
      <c r="I953" s="30" t="s">
        <v>104</v>
      </c>
      <c r="J953" s="89" t="s">
        <v>5380</v>
      </c>
      <c r="K953" s="30" t="s">
        <v>837</v>
      </c>
      <c r="L953" s="30" t="s">
        <v>5381</v>
      </c>
      <c r="M953" s="30" t="s">
        <v>63</v>
      </c>
      <c r="N953" s="30">
        <v>0</v>
      </c>
      <c r="O953" s="30" t="s">
        <v>77</v>
      </c>
      <c r="P953" s="89" t="s">
        <v>78</v>
      </c>
      <c r="Q953" s="89" t="s">
        <v>4708</v>
      </c>
      <c r="R953" s="89" t="s">
        <v>840</v>
      </c>
      <c r="S953" s="30">
        <v>0</v>
      </c>
      <c r="T953" s="233" t="s">
        <v>68</v>
      </c>
      <c r="U953" s="30">
        <v>0</v>
      </c>
      <c r="V953" s="233" t="s">
        <v>68</v>
      </c>
      <c r="W953" s="30">
        <v>0</v>
      </c>
      <c r="X953" s="30">
        <v>0</v>
      </c>
      <c r="Y953" s="30">
        <v>0</v>
      </c>
      <c r="Z953" s="233" t="s">
        <v>68</v>
      </c>
      <c r="AA953" s="30">
        <v>0</v>
      </c>
      <c r="AB953" s="30">
        <v>0</v>
      </c>
      <c r="AC953" s="30">
        <v>0</v>
      </c>
      <c r="AD953" s="30">
        <v>0</v>
      </c>
      <c r="AE953" s="89" t="s">
        <v>68</v>
      </c>
      <c r="AF953" s="89"/>
      <c r="AG953" s="89" t="s">
        <v>352</v>
      </c>
      <c r="AH953" s="72" t="s">
        <v>68</v>
      </c>
      <c r="AI953" s="30">
        <v>1</v>
      </c>
      <c r="AJ953" s="89" t="s">
        <v>68</v>
      </c>
      <c r="AK953" s="89" t="s">
        <v>68</v>
      </c>
      <c r="AL953" s="91">
        <v>40519</v>
      </c>
      <c r="AM953" s="91"/>
      <c r="AN953" s="91"/>
      <c r="AO953" s="91"/>
      <c r="AP953" s="73" t="e">
        <f>MID(VLOOKUP(K953,#REF!,2,FALSE),1,2)</f>
        <v>#REF!</v>
      </c>
      <c r="AQ953" s="89">
        <f>DATE(2010,10,7)</f>
        <v>40458</v>
      </c>
      <c r="AR953" s="82">
        <f t="shared" si="62"/>
        <v>7</v>
      </c>
      <c r="AS953" s="83">
        <f t="shared" si="63"/>
        <v>10</v>
      </c>
      <c r="AT953" s="84">
        <f t="shared" si="64"/>
        <v>2010</v>
      </c>
      <c r="AU953" s="86"/>
      <c r="AV953" s="86"/>
      <c r="AW953" s="87"/>
      <c r="AX953" s="86"/>
      <c r="AY953" s="83"/>
      <c r="AZ953" s="84"/>
      <c r="BA953" s="86"/>
      <c r="BB953" s="86"/>
    </row>
    <row r="954" spans="1:54" ht="36.75" customHeight="1">
      <c r="A954" s="30"/>
      <c r="B954" s="30" t="s">
        <v>55</v>
      </c>
      <c r="C954" s="69" t="str">
        <f t="shared" si="61"/>
        <v>Closed</v>
      </c>
      <c r="D954" s="27" t="s">
        <v>5382</v>
      </c>
      <c r="E954" s="29" t="s">
        <v>5383</v>
      </c>
      <c r="F954" s="30" t="s">
        <v>835</v>
      </c>
      <c r="G954" s="89">
        <f>DATE(2010,10,10)</f>
        <v>40461</v>
      </c>
      <c r="H954" s="90">
        <v>1.3743055555555554</v>
      </c>
      <c r="I954" s="30" t="s">
        <v>198</v>
      </c>
      <c r="J954" s="89" t="s">
        <v>5384</v>
      </c>
      <c r="K954" s="30" t="s">
        <v>837</v>
      </c>
      <c r="L954" s="30" t="s">
        <v>5385</v>
      </c>
      <c r="M954" s="30" t="s">
        <v>63</v>
      </c>
      <c r="N954" s="30">
        <v>0</v>
      </c>
      <c r="O954" s="30" t="s">
        <v>77</v>
      </c>
      <c r="P954" s="89" t="s">
        <v>165</v>
      </c>
      <c r="Q954" s="89" t="s">
        <v>5386</v>
      </c>
      <c r="R954" s="89" t="s">
        <v>5386</v>
      </c>
      <c r="S954" s="30">
        <v>0</v>
      </c>
      <c r="T954" s="233">
        <v>0</v>
      </c>
      <c r="U954" s="30">
        <v>0</v>
      </c>
      <c r="V954" s="233">
        <v>0</v>
      </c>
      <c r="W954" s="30">
        <v>0</v>
      </c>
      <c r="X954" s="30">
        <v>0</v>
      </c>
      <c r="Y954" s="30">
        <v>2</v>
      </c>
      <c r="Z954" s="233">
        <v>0</v>
      </c>
      <c r="AA954" s="30">
        <v>0</v>
      </c>
      <c r="AB954" s="30">
        <v>0</v>
      </c>
      <c r="AC954" s="30">
        <v>0</v>
      </c>
      <c r="AD954" s="30">
        <v>2</v>
      </c>
      <c r="AE954" s="89" t="s">
        <v>68</v>
      </c>
      <c r="AF954" s="89"/>
      <c r="AG954" s="89" t="s">
        <v>352</v>
      </c>
      <c r="AH954" s="72" t="s">
        <v>68</v>
      </c>
      <c r="AI954" s="30">
        <v>1</v>
      </c>
      <c r="AJ954" s="89" t="s">
        <v>68</v>
      </c>
      <c r="AK954" s="89" t="s">
        <v>68</v>
      </c>
      <c r="AL954" s="91">
        <v>40519</v>
      </c>
      <c r="AM954" s="91"/>
      <c r="AN954" s="91"/>
      <c r="AO954" s="91"/>
      <c r="AP954" s="73" t="e">
        <f>MID(VLOOKUP(K954,#REF!,2,FALSE),1,2)</f>
        <v>#REF!</v>
      </c>
      <c r="AQ954" s="89">
        <f>DATE(2010,10,10)</f>
        <v>40461</v>
      </c>
      <c r="AR954" s="82">
        <f t="shared" si="62"/>
        <v>10</v>
      </c>
      <c r="AS954" s="83">
        <f t="shared" si="63"/>
        <v>10</v>
      </c>
      <c r="AT954" s="84">
        <f t="shared" si="64"/>
        <v>2010</v>
      </c>
      <c r="AU954" s="86"/>
      <c r="AV954" s="86"/>
      <c r="AW954" s="87"/>
      <c r="AX954" s="86"/>
      <c r="AY954" s="83"/>
      <c r="AZ954" s="84"/>
      <c r="BA954" s="86"/>
      <c r="BB954" s="86"/>
    </row>
    <row r="955" spans="1:54" ht="36.75" customHeight="1">
      <c r="A955" s="30"/>
      <c r="B955" s="30" t="s">
        <v>55</v>
      </c>
      <c r="C955" s="69" t="str">
        <f t="shared" si="61"/>
        <v>Closed</v>
      </c>
      <c r="D955" s="27" t="s">
        <v>5387</v>
      </c>
      <c r="E955" s="29" t="s">
        <v>5388</v>
      </c>
      <c r="F955" s="30" t="s">
        <v>835</v>
      </c>
      <c r="G955" s="89">
        <f>DATE(2010,10,13)</f>
        <v>40464</v>
      </c>
      <c r="H955" s="90">
        <v>1.5173611111111112</v>
      </c>
      <c r="I955" s="30" t="s">
        <v>116</v>
      </c>
      <c r="J955" s="89" t="s">
        <v>5389</v>
      </c>
      <c r="K955" s="30" t="s">
        <v>837</v>
      </c>
      <c r="L955" s="30" t="s">
        <v>5390</v>
      </c>
      <c r="M955" s="30" t="s">
        <v>63</v>
      </c>
      <c r="N955" s="30">
        <v>0</v>
      </c>
      <c r="O955" s="30" t="s">
        <v>64</v>
      </c>
      <c r="P955" s="89" t="s">
        <v>65</v>
      </c>
      <c r="Q955" s="89" t="s">
        <v>2162</v>
      </c>
      <c r="R955" s="89" t="s">
        <v>840</v>
      </c>
      <c r="S955" s="30">
        <v>0</v>
      </c>
      <c r="T955" s="233">
        <v>0</v>
      </c>
      <c r="U955" s="30">
        <v>1</v>
      </c>
      <c r="V955" s="233">
        <v>0</v>
      </c>
      <c r="W955" s="30">
        <v>0</v>
      </c>
      <c r="X955" s="30">
        <v>1</v>
      </c>
      <c r="Y955" s="30">
        <v>0</v>
      </c>
      <c r="Z955" s="233">
        <v>0</v>
      </c>
      <c r="AA955" s="30">
        <v>0</v>
      </c>
      <c r="AB955" s="30">
        <v>0</v>
      </c>
      <c r="AC955" s="30">
        <v>0</v>
      </c>
      <c r="AD955" s="30">
        <v>0</v>
      </c>
      <c r="AE955" s="89" t="s">
        <v>68</v>
      </c>
      <c r="AF955" s="89"/>
      <c r="AG955" s="89" t="s">
        <v>352</v>
      </c>
      <c r="AH955" s="72" t="s">
        <v>68</v>
      </c>
      <c r="AI955" s="30">
        <v>0</v>
      </c>
      <c r="AJ955" s="89" t="s">
        <v>68</v>
      </c>
      <c r="AK955" s="89" t="s">
        <v>68</v>
      </c>
      <c r="AL955" s="91">
        <v>40504</v>
      </c>
      <c r="AM955" s="91"/>
      <c r="AN955" s="91"/>
      <c r="AO955" s="91"/>
      <c r="AP955" s="73" t="e">
        <f>MID(VLOOKUP(K955,#REF!,2,FALSE),1,2)</f>
        <v>#REF!</v>
      </c>
      <c r="AQ955" s="89">
        <f>DATE(2010,10,13)</f>
        <v>40464</v>
      </c>
      <c r="AR955" s="82">
        <f t="shared" si="62"/>
        <v>13</v>
      </c>
      <c r="AS955" s="83">
        <f t="shared" si="63"/>
        <v>10</v>
      </c>
      <c r="AT955" s="84">
        <f t="shared" si="64"/>
        <v>2010</v>
      </c>
      <c r="AU955" s="86"/>
      <c r="AV955" s="86"/>
      <c r="AW955" s="87"/>
      <c r="AX955" s="86"/>
      <c r="AY955" s="83"/>
      <c r="AZ955" s="84"/>
      <c r="BA955" s="86"/>
      <c r="BB955" s="86"/>
    </row>
    <row r="956" spans="1:54" ht="36.75" customHeight="1">
      <c r="A956" s="30"/>
      <c r="B956" s="30" t="s">
        <v>55</v>
      </c>
      <c r="C956" s="69" t="str">
        <f t="shared" si="61"/>
        <v>Closed</v>
      </c>
      <c r="D956" s="27" t="s">
        <v>5391</v>
      </c>
      <c r="E956" s="29" t="s">
        <v>5392</v>
      </c>
      <c r="F956" s="30" t="s">
        <v>835</v>
      </c>
      <c r="G956" s="89">
        <f>DATE(2010,10,15)</f>
        <v>40466</v>
      </c>
      <c r="H956" s="90">
        <v>1.8541666666666665</v>
      </c>
      <c r="I956" s="30" t="s">
        <v>278</v>
      </c>
      <c r="J956" s="89" t="s">
        <v>5393</v>
      </c>
      <c r="K956" s="30" t="s">
        <v>837</v>
      </c>
      <c r="L956" s="30" t="s">
        <v>5394</v>
      </c>
      <c r="M956" s="30" t="s">
        <v>63</v>
      </c>
      <c r="N956" s="30">
        <v>0</v>
      </c>
      <c r="O956" s="30" t="s">
        <v>77</v>
      </c>
      <c r="P956" s="89" t="s">
        <v>91</v>
      </c>
      <c r="Q956" s="89" t="s">
        <v>3061</v>
      </c>
      <c r="R956" s="89" t="s">
        <v>840</v>
      </c>
      <c r="S956" s="30">
        <v>0</v>
      </c>
      <c r="T956" s="233">
        <v>1</v>
      </c>
      <c r="U956" s="30">
        <v>0</v>
      </c>
      <c r="V956" s="233">
        <v>0</v>
      </c>
      <c r="W956" s="30">
        <v>0</v>
      </c>
      <c r="X956" s="30">
        <v>1</v>
      </c>
      <c r="Y956" s="30">
        <v>0</v>
      </c>
      <c r="Z956" s="233">
        <v>0</v>
      </c>
      <c r="AA956" s="30">
        <v>0</v>
      </c>
      <c r="AB956" s="30">
        <v>0</v>
      </c>
      <c r="AC956" s="30">
        <v>0</v>
      </c>
      <c r="AD956" s="30">
        <v>0</v>
      </c>
      <c r="AE956" s="89" t="s">
        <v>68</v>
      </c>
      <c r="AF956" s="89"/>
      <c r="AG956" s="89" t="s">
        <v>352</v>
      </c>
      <c r="AH956" s="72" t="s">
        <v>68</v>
      </c>
      <c r="AI956" s="30">
        <v>0</v>
      </c>
      <c r="AJ956" s="89" t="s">
        <v>68</v>
      </c>
      <c r="AK956" s="89" t="s">
        <v>68</v>
      </c>
      <c r="AL956" s="91">
        <v>40504</v>
      </c>
      <c r="AM956" s="91"/>
      <c r="AN956" s="91"/>
      <c r="AO956" s="91"/>
      <c r="AP956" s="73" t="e">
        <f>MID(VLOOKUP(K956,#REF!,2,FALSE),1,2)</f>
        <v>#REF!</v>
      </c>
      <c r="AQ956" s="89">
        <f>DATE(2010,10,15)</f>
        <v>40466</v>
      </c>
      <c r="AR956" s="82">
        <f t="shared" si="62"/>
        <v>15</v>
      </c>
      <c r="AS956" s="83">
        <f t="shared" si="63"/>
        <v>10</v>
      </c>
      <c r="AT956" s="84">
        <f t="shared" si="64"/>
        <v>2010</v>
      </c>
      <c r="AU956" s="86"/>
      <c r="AV956" s="86"/>
      <c r="AW956" s="87"/>
      <c r="AX956" s="86"/>
      <c r="AY956" s="83"/>
      <c r="AZ956" s="84"/>
      <c r="BA956" s="86"/>
      <c r="BB956" s="86"/>
    </row>
    <row r="957" spans="1:54" ht="36.75" customHeight="1">
      <c r="A957" s="30"/>
      <c r="B957" s="30" t="s">
        <v>55</v>
      </c>
      <c r="C957" s="69" t="str">
        <f t="shared" si="61"/>
        <v>Closed</v>
      </c>
      <c r="D957" s="27" t="s">
        <v>5395</v>
      </c>
      <c r="E957" s="29" t="s">
        <v>5396</v>
      </c>
      <c r="F957" s="30" t="s">
        <v>638</v>
      </c>
      <c r="G957" s="89">
        <f>DATE(2010,10,19)</f>
        <v>40470</v>
      </c>
      <c r="H957" s="90">
        <v>1.6458333333333335</v>
      </c>
      <c r="I957" s="30" t="s">
        <v>86</v>
      </c>
      <c r="J957" s="89" t="s">
        <v>5397</v>
      </c>
      <c r="K957" s="30" t="s">
        <v>640</v>
      </c>
      <c r="L957" s="30" t="s">
        <v>5398</v>
      </c>
      <c r="M957" s="30" t="s">
        <v>63</v>
      </c>
      <c r="N957" s="30">
        <v>0</v>
      </c>
      <c r="O957" s="30" t="s">
        <v>86</v>
      </c>
      <c r="P957" s="89" t="s">
        <v>165</v>
      </c>
      <c r="Q957" s="89" t="s">
        <v>3246</v>
      </c>
      <c r="R957" s="89" t="s">
        <v>3246</v>
      </c>
      <c r="S957" s="30">
        <v>0</v>
      </c>
      <c r="T957" s="233" t="s">
        <v>68</v>
      </c>
      <c r="U957" s="30">
        <v>0</v>
      </c>
      <c r="V957" s="233" t="s">
        <v>68</v>
      </c>
      <c r="W957" s="30">
        <v>0</v>
      </c>
      <c r="X957" s="30">
        <v>0</v>
      </c>
      <c r="Y957" s="30">
        <v>0</v>
      </c>
      <c r="Z957" s="233" t="s">
        <v>68</v>
      </c>
      <c r="AA957" s="30">
        <v>0</v>
      </c>
      <c r="AB957" s="30">
        <v>0</v>
      </c>
      <c r="AC957" s="30">
        <v>0</v>
      </c>
      <c r="AD957" s="30">
        <v>0</v>
      </c>
      <c r="AE957" s="89" t="s">
        <v>68</v>
      </c>
      <c r="AF957" s="89"/>
      <c r="AG957" s="89" t="s">
        <v>352</v>
      </c>
      <c r="AH957" s="72" t="s">
        <v>68</v>
      </c>
      <c r="AI957" s="30">
        <v>2</v>
      </c>
      <c r="AJ957" s="89" t="s">
        <v>68</v>
      </c>
      <c r="AK957" s="89" t="s">
        <v>68</v>
      </c>
      <c r="AL957" s="91">
        <v>40515</v>
      </c>
      <c r="AM957" s="91"/>
      <c r="AN957" s="91"/>
      <c r="AO957" s="91"/>
      <c r="AP957" s="73" t="e">
        <f>MID(VLOOKUP(K957,#REF!,2,FALSE),1,2)</f>
        <v>#REF!</v>
      </c>
      <c r="AQ957" s="89">
        <f>DATE(2010,10,19)</f>
        <v>40470</v>
      </c>
      <c r="AR957" s="82">
        <f t="shared" si="62"/>
        <v>19</v>
      </c>
      <c r="AS957" s="83">
        <f t="shared" si="63"/>
        <v>10</v>
      </c>
      <c r="AT957" s="84">
        <f t="shared" si="64"/>
        <v>2010</v>
      </c>
      <c r="AU957" s="86"/>
      <c r="AV957" s="86"/>
      <c r="AW957" s="87"/>
      <c r="AX957" s="86"/>
      <c r="AY957" s="83"/>
      <c r="AZ957" s="84"/>
      <c r="BA957" s="86"/>
      <c r="BB957" s="86"/>
    </row>
    <row r="958" spans="1:54" ht="36.75" customHeight="1">
      <c r="A958" s="30"/>
      <c r="B958" s="30" t="s">
        <v>55</v>
      </c>
      <c r="C958" s="69" t="str">
        <f t="shared" si="61"/>
        <v>Closed</v>
      </c>
      <c r="D958" s="27" t="s">
        <v>5399</v>
      </c>
      <c r="E958" s="29" t="s">
        <v>5400</v>
      </c>
      <c r="F958" s="30" t="s">
        <v>423</v>
      </c>
      <c r="G958" s="89">
        <f>DATE(2010,10,20)</f>
        <v>40471</v>
      </c>
      <c r="H958" s="90">
        <v>1.6034722222222222</v>
      </c>
      <c r="I958" s="30" t="s">
        <v>278</v>
      </c>
      <c r="J958" s="89" t="s">
        <v>5401</v>
      </c>
      <c r="K958" s="30" t="s">
        <v>425</v>
      </c>
      <c r="L958" s="30" t="s">
        <v>5402</v>
      </c>
      <c r="M958" s="30" t="s">
        <v>63</v>
      </c>
      <c r="N958" s="30" t="s">
        <v>142</v>
      </c>
      <c r="O958" s="30" t="s">
        <v>64</v>
      </c>
      <c r="P958" s="89" t="s">
        <v>65</v>
      </c>
      <c r="Q958" s="89" t="s">
        <v>427</v>
      </c>
      <c r="R958" s="89" t="s">
        <v>3103</v>
      </c>
      <c r="S958" s="30">
        <v>0</v>
      </c>
      <c r="T958" s="233">
        <v>2</v>
      </c>
      <c r="U958" s="30">
        <v>0</v>
      </c>
      <c r="V958" s="233">
        <v>0</v>
      </c>
      <c r="W958" s="30">
        <v>0</v>
      </c>
      <c r="X958" s="30">
        <v>2</v>
      </c>
      <c r="Y958" s="30">
        <v>0</v>
      </c>
      <c r="Z958" s="233">
        <v>0</v>
      </c>
      <c r="AA958" s="30">
        <v>0</v>
      </c>
      <c r="AB958" s="30">
        <v>0</v>
      </c>
      <c r="AC958" s="30">
        <v>0</v>
      </c>
      <c r="AD958" s="30">
        <v>0</v>
      </c>
      <c r="AE958" s="89" t="s">
        <v>68</v>
      </c>
      <c r="AF958" s="89"/>
      <c r="AG958" s="89" t="s">
        <v>133</v>
      </c>
      <c r="AH958" s="72" t="s">
        <v>68</v>
      </c>
      <c r="AI958" s="30">
        <v>3</v>
      </c>
      <c r="AJ958" s="89" t="s">
        <v>5403</v>
      </c>
      <c r="AK958" s="89" t="s">
        <v>5404</v>
      </c>
      <c r="AL958" s="91">
        <v>40773</v>
      </c>
      <c r="AM958" s="91"/>
      <c r="AN958" s="91"/>
      <c r="AO958" s="91"/>
      <c r="AP958" s="73" t="e">
        <f>MID(VLOOKUP(K958,#REF!,2,FALSE),1,2)</f>
        <v>#REF!</v>
      </c>
      <c r="AQ958" s="89">
        <f>DATE(2010,10,20)</f>
        <v>40471</v>
      </c>
      <c r="AR958" s="82">
        <f t="shared" si="62"/>
        <v>20</v>
      </c>
      <c r="AS958" s="83">
        <f t="shared" si="63"/>
        <v>10</v>
      </c>
      <c r="AT958" s="84">
        <f t="shared" si="64"/>
        <v>2010</v>
      </c>
      <c r="AU958" s="86"/>
      <c r="AV958" s="86"/>
      <c r="AW958" s="87"/>
      <c r="AX958" s="86"/>
      <c r="AY958" s="83"/>
      <c r="AZ958" s="84"/>
      <c r="BA958" s="86"/>
      <c r="BB958" s="86"/>
    </row>
    <row r="959" spans="1:54" ht="36.75" customHeight="1">
      <c r="A959" s="30"/>
      <c r="B959" s="30" t="s">
        <v>55</v>
      </c>
      <c r="C959" s="69" t="str">
        <f t="shared" si="61"/>
        <v>Closed</v>
      </c>
      <c r="D959" s="27" t="s">
        <v>5405</v>
      </c>
      <c r="E959" s="29" t="s">
        <v>5406</v>
      </c>
      <c r="F959" s="30" t="s">
        <v>835</v>
      </c>
      <c r="G959" s="89">
        <f>DATE(2010,10,20)</f>
        <v>40471</v>
      </c>
      <c r="H959" s="90">
        <v>1.4618055555555556</v>
      </c>
      <c r="I959" s="30" t="s">
        <v>116</v>
      </c>
      <c r="J959" s="89" t="s">
        <v>5407</v>
      </c>
      <c r="K959" s="30" t="s">
        <v>837</v>
      </c>
      <c r="L959" s="30" t="s">
        <v>5408</v>
      </c>
      <c r="M959" s="30" t="s">
        <v>63</v>
      </c>
      <c r="N959" s="30">
        <v>0</v>
      </c>
      <c r="O959" s="30" t="s">
        <v>64</v>
      </c>
      <c r="P959" s="89" t="s">
        <v>78</v>
      </c>
      <c r="Q959" s="89" t="s">
        <v>1349</v>
      </c>
      <c r="R959" s="89" t="s">
        <v>840</v>
      </c>
      <c r="S959" s="30">
        <v>0</v>
      </c>
      <c r="T959" s="233">
        <v>1</v>
      </c>
      <c r="U959" s="30">
        <v>0</v>
      </c>
      <c r="V959" s="233">
        <v>0</v>
      </c>
      <c r="W959" s="30">
        <v>0</v>
      </c>
      <c r="X959" s="30">
        <v>1</v>
      </c>
      <c r="Y959" s="30">
        <v>0</v>
      </c>
      <c r="Z959" s="233">
        <v>0</v>
      </c>
      <c r="AA959" s="30">
        <v>1</v>
      </c>
      <c r="AB959" s="30">
        <v>0</v>
      </c>
      <c r="AC959" s="30">
        <v>0</v>
      </c>
      <c r="AD959" s="30">
        <v>1</v>
      </c>
      <c r="AE959" s="89" t="s">
        <v>68</v>
      </c>
      <c r="AF959" s="89"/>
      <c r="AG959" s="89" t="s">
        <v>352</v>
      </c>
      <c r="AH959" s="72" t="s">
        <v>68</v>
      </c>
      <c r="AI959" s="30">
        <v>2</v>
      </c>
      <c r="AJ959" s="89" t="s">
        <v>68</v>
      </c>
      <c r="AK959" s="89" t="s">
        <v>68</v>
      </c>
      <c r="AL959" s="91">
        <v>40504</v>
      </c>
      <c r="AM959" s="91"/>
      <c r="AN959" s="91"/>
      <c r="AO959" s="91"/>
      <c r="AP959" s="73" t="e">
        <f>MID(VLOOKUP(K959,#REF!,2,FALSE),1,2)</f>
        <v>#REF!</v>
      </c>
      <c r="AQ959" s="89">
        <f>DATE(2010,10,20)</f>
        <v>40471</v>
      </c>
      <c r="AR959" s="82">
        <f t="shared" si="62"/>
        <v>20</v>
      </c>
      <c r="AS959" s="83">
        <f t="shared" si="63"/>
        <v>10</v>
      </c>
      <c r="AT959" s="84">
        <f t="shared" si="64"/>
        <v>2010</v>
      </c>
      <c r="AU959" s="86"/>
      <c r="AV959" s="86"/>
      <c r="AW959" s="87"/>
      <c r="AX959" s="86"/>
      <c r="AY959" s="83"/>
      <c r="AZ959" s="84"/>
      <c r="BA959" s="86"/>
      <c r="BB959" s="86"/>
    </row>
    <row r="960" spans="1:54" ht="36.75" customHeight="1">
      <c r="A960" s="30"/>
      <c r="B960" s="30" t="s">
        <v>55</v>
      </c>
      <c r="C960" s="69" t="str">
        <f t="shared" si="61"/>
        <v>Closed</v>
      </c>
      <c r="D960" s="27" t="s">
        <v>5409</v>
      </c>
      <c r="E960" s="29" t="s">
        <v>5410</v>
      </c>
      <c r="F960" s="30" t="s">
        <v>835</v>
      </c>
      <c r="G960" s="89">
        <f>DATE(2010,10,22)</f>
        <v>40473</v>
      </c>
      <c r="H960" s="90">
        <v>1.2256944444444444</v>
      </c>
      <c r="I960" s="30" t="s">
        <v>73</v>
      </c>
      <c r="J960" s="89" t="s">
        <v>5411</v>
      </c>
      <c r="K960" s="30" t="s">
        <v>837</v>
      </c>
      <c r="L960" s="30" t="s">
        <v>5412</v>
      </c>
      <c r="M960" s="30" t="s">
        <v>63</v>
      </c>
      <c r="N960" s="30">
        <v>0</v>
      </c>
      <c r="O960" s="30" t="s">
        <v>77</v>
      </c>
      <c r="P960" s="89" t="s">
        <v>78</v>
      </c>
      <c r="Q960" s="89" t="s">
        <v>4708</v>
      </c>
      <c r="R960" s="89" t="s">
        <v>840</v>
      </c>
      <c r="S960" s="30">
        <v>0</v>
      </c>
      <c r="T960" s="233" t="s">
        <v>68</v>
      </c>
      <c r="U960" s="30">
        <v>0</v>
      </c>
      <c r="V960" s="233" t="s">
        <v>68</v>
      </c>
      <c r="W960" s="30">
        <v>0</v>
      </c>
      <c r="X960" s="30">
        <v>0</v>
      </c>
      <c r="Y960" s="30">
        <v>0</v>
      </c>
      <c r="Z960" s="233" t="s">
        <v>68</v>
      </c>
      <c r="AA960" s="30">
        <v>0</v>
      </c>
      <c r="AB960" s="30">
        <v>0</v>
      </c>
      <c r="AC960" s="30">
        <v>0</v>
      </c>
      <c r="AD960" s="30">
        <v>0</v>
      </c>
      <c r="AE960" s="89" t="s">
        <v>68</v>
      </c>
      <c r="AF960" s="89"/>
      <c r="AG960" s="89" t="s">
        <v>352</v>
      </c>
      <c r="AH960" s="72" t="s">
        <v>68</v>
      </c>
      <c r="AI960" s="30">
        <v>0</v>
      </c>
      <c r="AJ960" s="89" t="s">
        <v>68</v>
      </c>
      <c r="AK960" s="89" t="s">
        <v>68</v>
      </c>
      <c r="AL960" s="91">
        <v>40512</v>
      </c>
      <c r="AM960" s="91"/>
      <c r="AN960" s="91"/>
      <c r="AO960" s="91"/>
      <c r="AP960" s="73" t="e">
        <f>MID(VLOOKUP(K960,#REF!,2,FALSE),1,2)</f>
        <v>#REF!</v>
      </c>
      <c r="AQ960" s="89">
        <f>DATE(2010,10,22)</f>
        <v>40473</v>
      </c>
      <c r="AR960" s="82">
        <f t="shared" si="62"/>
        <v>22</v>
      </c>
      <c r="AS960" s="83">
        <f t="shared" si="63"/>
        <v>10</v>
      </c>
      <c r="AT960" s="84">
        <f t="shared" si="64"/>
        <v>2010</v>
      </c>
      <c r="AU960" s="86"/>
      <c r="AV960" s="86"/>
      <c r="AW960" s="87"/>
      <c r="AX960" s="86"/>
      <c r="AY960" s="83"/>
      <c r="AZ960" s="84"/>
      <c r="BA960" s="86"/>
      <c r="BB960" s="86"/>
    </row>
    <row r="961" spans="1:54" ht="36.75" customHeight="1">
      <c r="A961" s="30"/>
      <c r="B961" s="30" t="s">
        <v>55</v>
      </c>
      <c r="C961" s="69" t="str">
        <f t="shared" si="61"/>
        <v>Closed</v>
      </c>
      <c r="D961" s="27" t="s">
        <v>5413</v>
      </c>
      <c r="E961" s="29" t="s">
        <v>5414</v>
      </c>
      <c r="F961" s="30" t="s">
        <v>1938</v>
      </c>
      <c r="G961" s="89">
        <f>DATE(2010,10,24)</f>
        <v>40475</v>
      </c>
      <c r="H961" s="90">
        <v>1.46875</v>
      </c>
      <c r="I961" s="30" t="s">
        <v>116</v>
      </c>
      <c r="J961" s="89" t="s">
        <v>5415</v>
      </c>
      <c r="K961" s="30" t="s">
        <v>1940</v>
      </c>
      <c r="L961" s="30" t="s">
        <v>5416</v>
      </c>
      <c r="M961" s="30" t="s">
        <v>63</v>
      </c>
      <c r="N961" s="30">
        <v>0</v>
      </c>
      <c r="O961" s="30" t="s">
        <v>64</v>
      </c>
      <c r="P961" s="89" t="s">
        <v>165</v>
      </c>
      <c r="Q961" s="89" t="s">
        <v>1942</v>
      </c>
      <c r="R961" s="89" t="s">
        <v>1942</v>
      </c>
      <c r="S961" s="30">
        <v>0</v>
      </c>
      <c r="T961" s="233" t="s">
        <v>68</v>
      </c>
      <c r="U961" s="30">
        <v>0</v>
      </c>
      <c r="V961" s="233" t="s">
        <v>68</v>
      </c>
      <c r="W961" s="30">
        <v>0</v>
      </c>
      <c r="X961" s="30">
        <v>0</v>
      </c>
      <c r="Y961" s="30">
        <v>0</v>
      </c>
      <c r="Z961" s="233" t="s">
        <v>68</v>
      </c>
      <c r="AA961" s="30">
        <v>0</v>
      </c>
      <c r="AB961" s="30">
        <v>0</v>
      </c>
      <c r="AC961" s="30">
        <v>0</v>
      </c>
      <c r="AD961" s="30">
        <v>0</v>
      </c>
      <c r="AE961" s="89" t="s">
        <v>68</v>
      </c>
      <c r="AF961" s="89"/>
      <c r="AG961" s="89" t="s">
        <v>82</v>
      </c>
      <c r="AH961" s="72" t="s">
        <v>68</v>
      </c>
      <c r="AI961" s="30">
        <v>1</v>
      </c>
      <c r="AJ961" s="89" t="s">
        <v>5417</v>
      </c>
      <c r="AK961" s="89" t="s">
        <v>5418</v>
      </c>
      <c r="AL961" s="91">
        <v>40491</v>
      </c>
      <c r="AM961" s="91"/>
      <c r="AN961" s="91"/>
      <c r="AO961" s="91"/>
      <c r="AP961" s="73" t="e">
        <f>MID(VLOOKUP(K961,#REF!,2,FALSE),1,2)</f>
        <v>#REF!</v>
      </c>
      <c r="AQ961" s="89">
        <f>DATE(2010,10,24)</f>
        <v>40475</v>
      </c>
      <c r="AR961" s="82">
        <f t="shared" si="62"/>
        <v>24</v>
      </c>
      <c r="AS961" s="83">
        <f t="shared" si="63"/>
        <v>10</v>
      </c>
      <c r="AT961" s="84">
        <f t="shared" si="64"/>
        <v>2010</v>
      </c>
      <c r="AU961" s="86"/>
      <c r="AV961" s="86"/>
      <c r="AW961" s="87"/>
      <c r="AX961" s="86"/>
      <c r="AY961" s="83"/>
      <c r="AZ961" s="84"/>
      <c r="BA961" s="86"/>
      <c r="BB961" s="86"/>
    </row>
    <row r="962" spans="1:54" ht="36.75" customHeight="1">
      <c r="A962" s="30"/>
      <c r="B962" s="30" t="s">
        <v>55</v>
      </c>
      <c r="C962" s="69" t="str">
        <f t="shared" ref="C962:C1025" si="65">IF(B962="Notification","Open",IF(B962="Interim Statement","In progress","Closed"))</f>
        <v>Closed</v>
      </c>
      <c r="D962" s="27" t="s">
        <v>5419</v>
      </c>
      <c r="E962" s="29" t="s">
        <v>5420</v>
      </c>
      <c r="F962" s="30" t="s">
        <v>1572</v>
      </c>
      <c r="G962" s="89">
        <f>DATE(2010,10,25)</f>
        <v>40476</v>
      </c>
      <c r="H962" s="90">
        <v>1.7118055555555554</v>
      </c>
      <c r="I962" s="30" t="s">
        <v>4280</v>
      </c>
      <c r="J962" s="89" t="s">
        <v>5421</v>
      </c>
      <c r="K962" s="30" t="s">
        <v>1574</v>
      </c>
      <c r="L962" s="30" t="s">
        <v>5422</v>
      </c>
      <c r="M962" s="30" t="s">
        <v>63</v>
      </c>
      <c r="N962" s="30">
        <v>0</v>
      </c>
      <c r="O962" s="30" t="s">
        <v>64</v>
      </c>
      <c r="P962" s="89" t="s">
        <v>78</v>
      </c>
      <c r="Q962" s="89" t="s">
        <v>2655</v>
      </c>
      <c r="R962" s="89">
        <v>0</v>
      </c>
      <c r="S962" s="30">
        <v>0</v>
      </c>
      <c r="T962" s="233" t="s">
        <v>68</v>
      </c>
      <c r="U962" s="30">
        <v>0</v>
      </c>
      <c r="V962" s="233" t="s">
        <v>68</v>
      </c>
      <c r="W962" s="30">
        <v>0</v>
      </c>
      <c r="X962" s="30">
        <v>0</v>
      </c>
      <c r="Y962" s="30">
        <v>0</v>
      </c>
      <c r="Z962" s="233" t="s">
        <v>68</v>
      </c>
      <c r="AA962" s="30">
        <v>0</v>
      </c>
      <c r="AB962" s="30">
        <v>0</v>
      </c>
      <c r="AC962" s="30">
        <v>0</v>
      </c>
      <c r="AD962" s="30">
        <v>0</v>
      </c>
      <c r="AE962" s="89" t="s">
        <v>68</v>
      </c>
      <c r="AF962" s="89"/>
      <c r="AG962" s="89" t="s">
        <v>1507</v>
      </c>
      <c r="AH962" s="72" t="s">
        <v>68</v>
      </c>
      <c r="AI962" s="30">
        <v>2</v>
      </c>
      <c r="AJ962" s="89" t="s">
        <v>5423</v>
      </c>
      <c r="AK962" s="89" t="s">
        <v>5424</v>
      </c>
      <c r="AL962" s="91">
        <v>40478</v>
      </c>
      <c r="AM962" s="91"/>
      <c r="AN962" s="91"/>
      <c r="AO962" s="91"/>
      <c r="AP962" s="73" t="e">
        <f>MID(VLOOKUP(K962,#REF!,2,FALSE),1,2)</f>
        <v>#REF!</v>
      </c>
      <c r="AQ962" s="89">
        <f>DATE(2010,10,25)</f>
        <v>40476</v>
      </c>
      <c r="AR962" s="82">
        <f t="shared" ref="AR962:AR1025" si="66">DAY(AQ962)</f>
        <v>25</v>
      </c>
      <c r="AS962" s="83">
        <f t="shared" ref="AS962:AS1025" si="67">MONTH(AQ962)</f>
        <v>10</v>
      </c>
      <c r="AT962" s="84">
        <f t="shared" ref="AT962:AT1025" si="68">YEAR(AQ962)</f>
        <v>2010</v>
      </c>
      <c r="AU962" s="86"/>
      <c r="AV962" s="86"/>
      <c r="AW962" s="87"/>
      <c r="AX962" s="86"/>
      <c r="AY962" s="83"/>
      <c r="AZ962" s="84"/>
      <c r="BA962" s="86"/>
      <c r="BB962" s="86"/>
    </row>
    <row r="963" spans="1:54" ht="36.75" customHeight="1">
      <c r="A963" s="30"/>
      <c r="B963" s="30" t="s">
        <v>55</v>
      </c>
      <c r="C963" s="69" t="str">
        <f t="shared" si="65"/>
        <v>Closed</v>
      </c>
      <c r="D963" s="27" t="s">
        <v>5425</v>
      </c>
      <c r="E963" s="29" t="s">
        <v>5426</v>
      </c>
      <c r="F963" s="30" t="s">
        <v>5427</v>
      </c>
      <c r="G963" s="89">
        <f>DATE(2010,10,26)</f>
        <v>40477</v>
      </c>
      <c r="H963" s="90">
        <v>1.5520833333333335</v>
      </c>
      <c r="I963" s="30" t="s">
        <v>73</v>
      </c>
      <c r="J963" s="89" t="s">
        <v>5428</v>
      </c>
      <c r="K963" s="30" t="s">
        <v>596</v>
      </c>
      <c r="L963" s="30" t="s">
        <v>5429</v>
      </c>
      <c r="M963" s="30" t="s">
        <v>63</v>
      </c>
      <c r="N963" s="30" t="s">
        <v>99</v>
      </c>
      <c r="O963" s="30" t="s">
        <v>64</v>
      </c>
      <c r="P963" s="89" t="s">
        <v>78</v>
      </c>
      <c r="Q963" s="89" t="s">
        <v>5121</v>
      </c>
      <c r="R963" s="89" t="s">
        <v>599</v>
      </c>
      <c r="S963" s="30">
        <v>0</v>
      </c>
      <c r="T963" s="233">
        <v>0</v>
      </c>
      <c r="U963" s="30">
        <v>0</v>
      </c>
      <c r="V963" s="233">
        <v>0</v>
      </c>
      <c r="W963" s="30">
        <v>0</v>
      </c>
      <c r="X963" s="30">
        <v>0</v>
      </c>
      <c r="Y963" s="30">
        <v>0</v>
      </c>
      <c r="Z963" s="233">
        <v>0</v>
      </c>
      <c r="AA963" s="30">
        <v>0</v>
      </c>
      <c r="AB963" s="30">
        <v>0</v>
      </c>
      <c r="AC963" s="30">
        <v>0</v>
      </c>
      <c r="AD963" s="30">
        <v>0</v>
      </c>
      <c r="AE963" s="89" t="s">
        <v>92</v>
      </c>
      <c r="AF963" s="89"/>
      <c r="AG963" s="89" t="s">
        <v>82</v>
      </c>
      <c r="AH963" s="72">
        <v>40480</v>
      </c>
      <c r="AI963" s="30">
        <v>0</v>
      </c>
      <c r="AJ963" s="89" t="s">
        <v>68</v>
      </c>
      <c r="AK963" s="89" t="s">
        <v>68</v>
      </c>
      <c r="AL963" s="91">
        <v>40480</v>
      </c>
      <c r="AM963" s="91"/>
      <c r="AN963" s="91">
        <v>45670</v>
      </c>
      <c r="AO963" s="94">
        <v>45657</v>
      </c>
      <c r="AP963" s="73" t="e">
        <f>MID(VLOOKUP(K963,#REF!,2,FALSE),1,2)</f>
        <v>#REF!</v>
      </c>
      <c r="AQ963" s="89">
        <f>DATE(2010,10,26)</f>
        <v>40477</v>
      </c>
      <c r="AR963" s="82">
        <f t="shared" si="66"/>
        <v>26</v>
      </c>
      <c r="AS963" s="83">
        <f t="shared" si="67"/>
        <v>10</v>
      </c>
      <c r="AT963" s="84">
        <f t="shared" si="68"/>
        <v>2010</v>
      </c>
      <c r="AU963" s="86"/>
      <c r="AV963" s="86"/>
      <c r="AW963" s="87"/>
      <c r="AX963" s="86"/>
      <c r="AY963" s="83"/>
      <c r="AZ963" s="84"/>
      <c r="BA963" s="86"/>
      <c r="BB963" s="86"/>
    </row>
    <row r="964" spans="1:54" ht="36.75" customHeight="1">
      <c r="A964" s="30"/>
      <c r="B964" s="30" t="s">
        <v>55</v>
      </c>
      <c r="C964" s="69" t="str">
        <f t="shared" si="65"/>
        <v>Closed</v>
      </c>
      <c r="D964" s="27" t="s">
        <v>5430</v>
      </c>
      <c r="E964" s="29" t="s">
        <v>5431</v>
      </c>
      <c r="F964" s="30" t="s">
        <v>1572</v>
      </c>
      <c r="G964" s="89">
        <f>DATE(2010,11,2)</f>
        <v>40484</v>
      </c>
      <c r="H964" s="90">
        <v>1.7222222222222223</v>
      </c>
      <c r="I964" s="30" t="s">
        <v>125</v>
      </c>
      <c r="J964" s="89" t="s">
        <v>5432</v>
      </c>
      <c r="K964" s="30" t="s">
        <v>1574</v>
      </c>
      <c r="L964" s="30" t="s">
        <v>5433</v>
      </c>
      <c r="M964" s="30" t="s">
        <v>63</v>
      </c>
      <c r="N964" s="30">
        <v>0</v>
      </c>
      <c r="O964" s="30" t="s">
        <v>64</v>
      </c>
      <c r="P964" s="89" t="s">
        <v>65</v>
      </c>
      <c r="Q964" s="89" t="s">
        <v>2413</v>
      </c>
      <c r="R964" s="89">
        <v>0</v>
      </c>
      <c r="S964" s="30">
        <v>0</v>
      </c>
      <c r="T964" s="233" t="s">
        <v>68</v>
      </c>
      <c r="U964" s="30">
        <v>0</v>
      </c>
      <c r="V964" s="233" t="s">
        <v>68</v>
      </c>
      <c r="W964" s="30">
        <v>0</v>
      </c>
      <c r="X964" s="30">
        <v>0</v>
      </c>
      <c r="Y964" s="30">
        <v>0</v>
      </c>
      <c r="Z964" s="233" t="s">
        <v>68</v>
      </c>
      <c r="AA964" s="30">
        <v>0</v>
      </c>
      <c r="AB964" s="30">
        <v>0</v>
      </c>
      <c r="AC964" s="30">
        <v>0</v>
      </c>
      <c r="AD964" s="30">
        <v>0</v>
      </c>
      <c r="AE964" s="89" t="s">
        <v>68</v>
      </c>
      <c r="AF964" s="89"/>
      <c r="AG964" s="89" t="s">
        <v>133</v>
      </c>
      <c r="AH964" s="72" t="s">
        <v>68</v>
      </c>
      <c r="AI964" s="30">
        <v>2</v>
      </c>
      <c r="AJ964" s="89" t="s">
        <v>5434</v>
      </c>
      <c r="AK964" s="89" t="s">
        <v>5435</v>
      </c>
      <c r="AL964" s="91">
        <v>40487</v>
      </c>
      <c r="AM964" s="91"/>
      <c r="AN964" s="91"/>
      <c r="AO964" s="91"/>
      <c r="AP964" s="73" t="e">
        <f>MID(VLOOKUP(K964,#REF!,2,FALSE),1,2)</f>
        <v>#REF!</v>
      </c>
      <c r="AQ964" s="89">
        <f>DATE(2010,11,2)</f>
        <v>40484</v>
      </c>
      <c r="AR964" s="82">
        <f t="shared" si="66"/>
        <v>2</v>
      </c>
      <c r="AS964" s="83">
        <f t="shared" si="67"/>
        <v>11</v>
      </c>
      <c r="AT964" s="84">
        <f t="shared" si="68"/>
        <v>2010</v>
      </c>
      <c r="AU964" s="86"/>
      <c r="AV964" s="86"/>
      <c r="AW964" s="87"/>
      <c r="AX964" s="86"/>
      <c r="AY964" s="83"/>
      <c r="AZ964" s="84"/>
      <c r="BA964" s="86"/>
      <c r="BB964" s="86"/>
    </row>
    <row r="965" spans="1:54" ht="36.75" customHeight="1">
      <c r="A965" s="30"/>
      <c r="B965" s="30" t="s">
        <v>55</v>
      </c>
      <c r="C965" s="69" t="str">
        <f t="shared" si="65"/>
        <v>Closed</v>
      </c>
      <c r="D965" s="27" t="s">
        <v>5436</v>
      </c>
      <c r="E965" s="29" t="s">
        <v>5437</v>
      </c>
      <c r="F965" s="30" t="s">
        <v>835</v>
      </c>
      <c r="G965" s="89">
        <f>DATE(2010,11,4)</f>
        <v>40486</v>
      </c>
      <c r="H965" s="90">
        <v>1.4694444444444446</v>
      </c>
      <c r="I965" s="30" t="s">
        <v>104</v>
      </c>
      <c r="J965" s="89" t="s">
        <v>5438</v>
      </c>
      <c r="K965" s="30" t="s">
        <v>837</v>
      </c>
      <c r="L965" s="30" t="s">
        <v>5439</v>
      </c>
      <c r="M965" s="30" t="s">
        <v>63</v>
      </c>
      <c r="N965" s="30">
        <v>0</v>
      </c>
      <c r="O965" s="30" t="s">
        <v>77</v>
      </c>
      <c r="P965" s="89" t="s">
        <v>301</v>
      </c>
      <c r="Q965" s="89" t="s">
        <v>5440</v>
      </c>
      <c r="R965" s="89" t="s">
        <v>840</v>
      </c>
      <c r="S965" s="30">
        <v>0</v>
      </c>
      <c r="T965" s="233">
        <v>0</v>
      </c>
      <c r="U965" s="30">
        <v>0</v>
      </c>
      <c r="V965" s="233">
        <v>0</v>
      </c>
      <c r="W965" s="30">
        <v>0</v>
      </c>
      <c r="X965" s="30">
        <v>0</v>
      </c>
      <c r="Y965" s="30">
        <v>0</v>
      </c>
      <c r="Z965" s="233">
        <v>0</v>
      </c>
      <c r="AA965" s="30">
        <v>0</v>
      </c>
      <c r="AB965" s="30">
        <v>0</v>
      </c>
      <c r="AC965" s="30">
        <v>0</v>
      </c>
      <c r="AD965" s="30">
        <v>0</v>
      </c>
      <c r="AE965" s="89" t="s">
        <v>68</v>
      </c>
      <c r="AF965" s="89"/>
      <c r="AG965" s="89" t="s">
        <v>352</v>
      </c>
      <c r="AH965" s="72" t="s">
        <v>68</v>
      </c>
      <c r="AI965" s="30">
        <v>0</v>
      </c>
      <c r="AJ965" s="89" t="s">
        <v>68</v>
      </c>
      <c r="AK965" s="89" t="s">
        <v>68</v>
      </c>
      <c r="AL965" s="91">
        <v>40513</v>
      </c>
      <c r="AM965" s="91"/>
      <c r="AN965" s="91"/>
      <c r="AO965" s="91"/>
      <c r="AP965" s="73" t="e">
        <f>MID(VLOOKUP(K965,#REF!,2,FALSE),1,2)</f>
        <v>#REF!</v>
      </c>
      <c r="AQ965" s="89">
        <f>DATE(2010,11,4)</f>
        <v>40486</v>
      </c>
      <c r="AR965" s="82">
        <f t="shared" si="66"/>
        <v>4</v>
      </c>
      <c r="AS965" s="83">
        <f t="shared" si="67"/>
        <v>11</v>
      </c>
      <c r="AT965" s="84">
        <f t="shared" si="68"/>
        <v>2010</v>
      </c>
      <c r="AU965" s="86"/>
      <c r="AV965" s="86"/>
      <c r="AW965" s="87"/>
      <c r="AX965" s="86"/>
      <c r="AY965" s="83"/>
      <c r="AZ965" s="84"/>
      <c r="BA965" s="86"/>
      <c r="BB965" s="86"/>
    </row>
    <row r="966" spans="1:54" ht="36.75" customHeight="1">
      <c r="A966" s="30"/>
      <c r="B966" s="30" t="s">
        <v>55</v>
      </c>
      <c r="C966" s="69" t="str">
        <f t="shared" si="65"/>
        <v>Closed</v>
      </c>
      <c r="D966" s="27" t="s">
        <v>5441</v>
      </c>
      <c r="E966" s="29" t="s">
        <v>5442</v>
      </c>
      <c r="F966" s="30" t="s">
        <v>377</v>
      </c>
      <c r="G966" s="89">
        <f>DATE(2010,11,4)</f>
        <v>40486</v>
      </c>
      <c r="H966" s="90">
        <v>1.9249999999999998</v>
      </c>
      <c r="I966" s="30" t="s">
        <v>86</v>
      </c>
      <c r="J966" s="89" t="s">
        <v>5443</v>
      </c>
      <c r="K966" s="30" t="s">
        <v>379</v>
      </c>
      <c r="L966" s="30" t="s">
        <v>5444</v>
      </c>
      <c r="M966" s="30" t="s">
        <v>63</v>
      </c>
      <c r="N966" s="30">
        <v>0</v>
      </c>
      <c r="O966" s="30" t="s">
        <v>64</v>
      </c>
      <c r="P966" s="89" t="s">
        <v>78</v>
      </c>
      <c r="Q966" s="89" t="s">
        <v>5445</v>
      </c>
      <c r="R966" s="89" t="s">
        <v>382</v>
      </c>
      <c r="S966" s="30">
        <v>0</v>
      </c>
      <c r="T966" s="233">
        <v>0</v>
      </c>
      <c r="U966" s="30">
        <v>0</v>
      </c>
      <c r="V966" s="233">
        <v>0</v>
      </c>
      <c r="W966" s="30">
        <v>0</v>
      </c>
      <c r="X966" s="30">
        <v>0</v>
      </c>
      <c r="Y966" s="30">
        <v>0</v>
      </c>
      <c r="Z966" s="233">
        <v>0</v>
      </c>
      <c r="AA966" s="30">
        <v>0</v>
      </c>
      <c r="AB966" s="30">
        <v>0</v>
      </c>
      <c r="AC966" s="30">
        <v>0</v>
      </c>
      <c r="AD966" s="30">
        <v>0</v>
      </c>
      <c r="AE966" s="89" t="s">
        <v>92</v>
      </c>
      <c r="AF966" s="89"/>
      <c r="AG966" s="89" t="s">
        <v>1507</v>
      </c>
      <c r="AH966" s="72" t="s">
        <v>68</v>
      </c>
      <c r="AI966" s="30">
        <v>2</v>
      </c>
      <c r="AJ966" s="89" t="s">
        <v>5446</v>
      </c>
      <c r="AK966" s="89" t="s">
        <v>68</v>
      </c>
      <c r="AL966" s="91">
        <v>40561</v>
      </c>
      <c r="AM966" s="91"/>
      <c r="AN966" s="91"/>
      <c r="AO966" s="91"/>
      <c r="AP966" s="73" t="e">
        <f>MID(VLOOKUP(K966,#REF!,2,FALSE),1,2)</f>
        <v>#REF!</v>
      </c>
      <c r="AQ966" s="89">
        <f>DATE(2010,11,4)</f>
        <v>40486</v>
      </c>
      <c r="AR966" s="82">
        <f t="shared" si="66"/>
        <v>4</v>
      </c>
      <c r="AS966" s="83">
        <f t="shared" si="67"/>
        <v>11</v>
      </c>
      <c r="AT966" s="84">
        <f t="shared" si="68"/>
        <v>2010</v>
      </c>
      <c r="AU966" s="86"/>
      <c r="AV966" s="86"/>
      <c r="AW966" s="87"/>
      <c r="AX966" s="86"/>
      <c r="AY966" s="83"/>
      <c r="AZ966" s="84"/>
      <c r="BA966" s="86"/>
      <c r="BB966" s="86"/>
    </row>
    <row r="967" spans="1:54" ht="36.75" customHeight="1">
      <c r="A967" s="30"/>
      <c r="B967" s="30" t="s">
        <v>55</v>
      </c>
      <c r="C967" s="69" t="str">
        <f t="shared" si="65"/>
        <v>Closed</v>
      </c>
      <c r="D967" s="27" t="s">
        <v>5447</v>
      </c>
      <c r="E967" s="29" t="s">
        <v>5448</v>
      </c>
      <c r="F967" s="30" t="s">
        <v>233</v>
      </c>
      <c r="G967" s="89">
        <f>DATE(2010,11,5)</f>
        <v>40487</v>
      </c>
      <c r="H967" s="90">
        <v>1.6465277777777778</v>
      </c>
      <c r="I967" s="30" t="s">
        <v>156</v>
      </c>
      <c r="J967" s="89" t="s">
        <v>5449</v>
      </c>
      <c r="K967" s="30" t="s">
        <v>235</v>
      </c>
      <c r="L967" s="30" t="s">
        <v>5450</v>
      </c>
      <c r="M967" s="30" t="s">
        <v>63</v>
      </c>
      <c r="N967" s="30">
        <v>0</v>
      </c>
      <c r="O967" s="30" t="s">
        <v>64</v>
      </c>
      <c r="P967" s="89" t="s">
        <v>165</v>
      </c>
      <c r="Q967" s="89" t="s">
        <v>1081</v>
      </c>
      <c r="R967" s="89" t="s">
        <v>238</v>
      </c>
      <c r="S967" s="30">
        <v>0</v>
      </c>
      <c r="T967" s="233">
        <v>0</v>
      </c>
      <c r="U967" s="30">
        <v>0</v>
      </c>
      <c r="V967" s="233">
        <v>0</v>
      </c>
      <c r="W967" s="30">
        <v>0</v>
      </c>
      <c r="X967" s="30">
        <v>0</v>
      </c>
      <c r="Y967" s="30">
        <v>1</v>
      </c>
      <c r="Z967" s="233">
        <v>1</v>
      </c>
      <c r="AA967" s="30">
        <v>0</v>
      </c>
      <c r="AB967" s="30">
        <v>0</v>
      </c>
      <c r="AC967" s="30">
        <v>0</v>
      </c>
      <c r="AD967" s="30">
        <v>2</v>
      </c>
      <c r="AE967" s="89" t="s">
        <v>68</v>
      </c>
      <c r="AF967" s="89"/>
      <c r="AG967" s="89" t="s">
        <v>133</v>
      </c>
      <c r="AH967" s="72" t="s">
        <v>68</v>
      </c>
      <c r="AI967" s="30">
        <v>5</v>
      </c>
      <c r="AJ967" s="89" t="s">
        <v>5451</v>
      </c>
      <c r="AK967" s="89" t="s">
        <v>5452</v>
      </c>
      <c r="AL967" s="91">
        <v>40498</v>
      </c>
      <c r="AM967" s="91"/>
      <c r="AN967" s="91"/>
      <c r="AO967" s="91"/>
      <c r="AP967" s="73" t="e">
        <f>MID(VLOOKUP(K967,#REF!,2,FALSE),1,2)</f>
        <v>#REF!</v>
      </c>
      <c r="AQ967" s="89">
        <f>DATE(2010,11,5)</f>
        <v>40487</v>
      </c>
      <c r="AR967" s="82">
        <f t="shared" si="66"/>
        <v>5</v>
      </c>
      <c r="AS967" s="83">
        <f t="shared" si="67"/>
        <v>11</v>
      </c>
      <c r="AT967" s="84">
        <f t="shared" si="68"/>
        <v>2010</v>
      </c>
      <c r="AU967" s="86"/>
      <c r="AV967" s="86"/>
      <c r="AW967" s="87"/>
      <c r="AX967" s="86"/>
      <c r="AY967" s="83"/>
      <c r="AZ967" s="84"/>
      <c r="BA967" s="86"/>
      <c r="BB967" s="86"/>
    </row>
    <row r="968" spans="1:54" ht="36.75" customHeight="1">
      <c r="A968" s="30"/>
      <c r="B968" s="30" t="s">
        <v>55</v>
      </c>
      <c r="C968" s="69" t="str">
        <f t="shared" si="65"/>
        <v>Closed</v>
      </c>
      <c r="D968" s="27" t="s">
        <v>5453</v>
      </c>
      <c r="E968" s="29" t="s">
        <v>5454</v>
      </c>
      <c r="F968" s="30" t="s">
        <v>2336</v>
      </c>
      <c r="G968" s="89">
        <f>DATE(2010,11,8)</f>
        <v>40490</v>
      </c>
      <c r="H968" s="90">
        <v>1.2291666666666667</v>
      </c>
      <c r="I968" s="30" t="s">
        <v>198</v>
      </c>
      <c r="J968" s="89" t="s">
        <v>5455</v>
      </c>
      <c r="K968" s="30" t="s">
        <v>2338</v>
      </c>
      <c r="L968" s="30" t="s">
        <v>5456</v>
      </c>
      <c r="M968" s="30" t="s">
        <v>63</v>
      </c>
      <c r="N968" s="30">
        <v>0</v>
      </c>
      <c r="O968" s="30" t="s">
        <v>77</v>
      </c>
      <c r="P968" s="89" t="s">
        <v>78</v>
      </c>
      <c r="Q968" s="89" t="s">
        <v>5457</v>
      </c>
      <c r="R968" s="89" t="s">
        <v>2341</v>
      </c>
      <c r="S968" s="30">
        <v>0</v>
      </c>
      <c r="T968" s="233" t="s">
        <v>68</v>
      </c>
      <c r="U968" s="30">
        <v>0</v>
      </c>
      <c r="V968" s="233" t="s">
        <v>68</v>
      </c>
      <c r="W968" s="30">
        <v>0</v>
      </c>
      <c r="X968" s="30">
        <v>0</v>
      </c>
      <c r="Y968" s="30">
        <v>0</v>
      </c>
      <c r="Z968" s="233" t="s">
        <v>68</v>
      </c>
      <c r="AA968" s="30">
        <v>0</v>
      </c>
      <c r="AB968" s="30">
        <v>0</v>
      </c>
      <c r="AC968" s="30">
        <v>0</v>
      </c>
      <c r="AD968" s="30">
        <v>0</v>
      </c>
      <c r="AE968" s="89" t="s">
        <v>68</v>
      </c>
      <c r="AF968" s="89"/>
      <c r="AG968" s="89" t="s">
        <v>82</v>
      </c>
      <c r="AH968" s="72" t="s">
        <v>68</v>
      </c>
      <c r="AI968" s="30">
        <v>10</v>
      </c>
      <c r="AJ968" s="89" t="s">
        <v>5458</v>
      </c>
      <c r="AK968" s="89" t="s">
        <v>5459</v>
      </c>
      <c r="AL968" s="91">
        <v>40501</v>
      </c>
      <c r="AM968" s="91"/>
      <c r="AN968" s="91"/>
      <c r="AO968" s="91"/>
      <c r="AP968" s="73" t="e">
        <f>MID(VLOOKUP(K968,#REF!,2,FALSE),1,2)</f>
        <v>#REF!</v>
      </c>
      <c r="AQ968" s="89">
        <f>DATE(2010,11,8)</f>
        <v>40490</v>
      </c>
      <c r="AR968" s="82">
        <f t="shared" si="66"/>
        <v>8</v>
      </c>
      <c r="AS968" s="83">
        <f t="shared" si="67"/>
        <v>11</v>
      </c>
      <c r="AT968" s="84">
        <f t="shared" si="68"/>
        <v>2010</v>
      </c>
      <c r="AU968" s="86"/>
      <c r="AV968" s="86"/>
      <c r="AW968" s="87"/>
      <c r="AX968" s="86"/>
      <c r="AY968" s="83"/>
      <c r="AZ968" s="84"/>
      <c r="BA968" s="86"/>
      <c r="BB968" s="86"/>
    </row>
    <row r="969" spans="1:54" ht="36.75" customHeight="1">
      <c r="A969" s="30"/>
      <c r="B969" s="30" t="s">
        <v>55</v>
      </c>
      <c r="C969" s="69" t="str">
        <f t="shared" si="65"/>
        <v>Closed</v>
      </c>
      <c r="D969" s="27" t="s">
        <v>5460</v>
      </c>
      <c r="E969" s="29" t="s">
        <v>5461</v>
      </c>
      <c r="F969" s="30" t="s">
        <v>233</v>
      </c>
      <c r="G969" s="89">
        <f>DATE(2010,11,8)</f>
        <v>40490</v>
      </c>
      <c r="H969" s="90">
        <v>1.3402777777777777</v>
      </c>
      <c r="I969" s="30" t="s">
        <v>86</v>
      </c>
      <c r="J969" s="89" t="s">
        <v>5462</v>
      </c>
      <c r="K969" s="30" t="s">
        <v>235</v>
      </c>
      <c r="L969" s="30" t="s">
        <v>5463</v>
      </c>
      <c r="M969" s="30" t="s">
        <v>63</v>
      </c>
      <c r="N969" s="30">
        <v>0</v>
      </c>
      <c r="O969" s="30" t="s">
        <v>64</v>
      </c>
      <c r="P969" s="89" t="s">
        <v>165</v>
      </c>
      <c r="Q969" s="89" t="s">
        <v>1521</v>
      </c>
      <c r="R969" s="89" t="s">
        <v>238</v>
      </c>
      <c r="S969" s="30">
        <v>0</v>
      </c>
      <c r="T969" s="233" t="s">
        <v>68</v>
      </c>
      <c r="U969" s="30">
        <v>0</v>
      </c>
      <c r="V969" s="233" t="s">
        <v>68</v>
      </c>
      <c r="W969" s="30">
        <v>0</v>
      </c>
      <c r="X969" s="30">
        <v>0</v>
      </c>
      <c r="Y969" s="30">
        <v>0</v>
      </c>
      <c r="Z969" s="233" t="s">
        <v>68</v>
      </c>
      <c r="AA969" s="30">
        <v>0</v>
      </c>
      <c r="AB969" s="30">
        <v>0</v>
      </c>
      <c r="AC969" s="30">
        <v>0</v>
      </c>
      <c r="AD969" s="30">
        <v>0</v>
      </c>
      <c r="AE969" s="89" t="s">
        <v>68</v>
      </c>
      <c r="AF969" s="89"/>
      <c r="AG969" s="89" t="s">
        <v>133</v>
      </c>
      <c r="AH969" s="72" t="s">
        <v>68</v>
      </c>
      <c r="AI969" s="30">
        <v>3</v>
      </c>
      <c r="AJ969" s="89" t="s">
        <v>5464</v>
      </c>
      <c r="AK969" s="89" t="s">
        <v>5465</v>
      </c>
      <c r="AL969" s="91">
        <v>40501</v>
      </c>
      <c r="AM969" s="91"/>
      <c r="AN969" s="91"/>
      <c r="AO969" s="91"/>
      <c r="AP969" s="73" t="e">
        <f>MID(VLOOKUP(K969,#REF!,2,FALSE),1,2)</f>
        <v>#REF!</v>
      </c>
      <c r="AQ969" s="89">
        <f>DATE(2010,11,8)</f>
        <v>40490</v>
      </c>
      <c r="AR969" s="82">
        <f t="shared" si="66"/>
        <v>8</v>
      </c>
      <c r="AS969" s="83">
        <f t="shared" si="67"/>
        <v>11</v>
      </c>
      <c r="AT969" s="84">
        <f t="shared" si="68"/>
        <v>2010</v>
      </c>
      <c r="AU969" s="86"/>
      <c r="AV969" s="86"/>
      <c r="AW969" s="87"/>
      <c r="AX969" s="86"/>
      <c r="AY969" s="83"/>
      <c r="AZ969" s="84"/>
      <c r="BA969" s="86"/>
      <c r="BB969" s="86"/>
    </row>
    <row r="970" spans="1:54" ht="36.75" customHeight="1">
      <c r="A970" s="30"/>
      <c r="B970" s="30" t="s">
        <v>55</v>
      </c>
      <c r="C970" s="69" t="str">
        <f t="shared" si="65"/>
        <v>Closed</v>
      </c>
      <c r="D970" s="27" t="s">
        <v>5466</v>
      </c>
      <c r="E970" s="29" t="s">
        <v>5467</v>
      </c>
      <c r="F970" s="30" t="s">
        <v>638</v>
      </c>
      <c r="G970" s="89">
        <f>DATE(2010,11,10)</f>
        <v>40492</v>
      </c>
      <c r="H970" s="90">
        <v>1.7638888888888888</v>
      </c>
      <c r="I970" s="30" t="s">
        <v>73</v>
      </c>
      <c r="J970" s="89" t="s">
        <v>5468</v>
      </c>
      <c r="K970" s="30" t="s">
        <v>640</v>
      </c>
      <c r="L970" s="30" t="s">
        <v>5469</v>
      </c>
      <c r="M970" s="30" t="s">
        <v>63</v>
      </c>
      <c r="N970" s="30">
        <v>0</v>
      </c>
      <c r="O970" s="30" t="s">
        <v>77</v>
      </c>
      <c r="P970" s="89" t="s">
        <v>78</v>
      </c>
      <c r="Q970" s="89" t="s">
        <v>642</v>
      </c>
      <c r="R970" s="89" t="s">
        <v>643</v>
      </c>
      <c r="S970" s="30">
        <v>0</v>
      </c>
      <c r="T970" s="233" t="s">
        <v>68</v>
      </c>
      <c r="U970" s="30">
        <v>0</v>
      </c>
      <c r="V970" s="233" t="s">
        <v>68</v>
      </c>
      <c r="W970" s="30">
        <v>0</v>
      </c>
      <c r="X970" s="30">
        <v>0</v>
      </c>
      <c r="Y970" s="30">
        <v>0</v>
      </c>
      <c r="Z970" s="233" t="s">
        <v>68</v>
      </c>
      <c r="AA970" s="30">
        <v>0</v>
      </c>
      <c r="AB970" s="30">
        <v>0</v>
      </c>
      <c r="AC970" s="30">
        <v>0</v>
      </c>
      <c r="AD970" s="30">
        <v>0</v>
      </c>
      <c r="AE970" s="89" t="s">
        <v>68</v>
      </c>
      <c r="AF970" s="89"/>
      <c r="AG970" s="89" t="s">
        <v>352</v>
      </c>
      <c r="AH970" s="72" t="s">
        <v>68</v>
      </c>
      <c r="AI970" s="30">
        <v>2</v>
      </c>
      <c r="AJ970" s="89" t="s">
        <v>5470</v>
      </c>
      <c r="AK970" s="89" t="s">
        <v>68</v>
      </c>
      <c r="AL970" s="91">
        <v>40534</v>
      </c>
      <c r="AM970" s="91"/>
      <c r="AN970" s="91"/>
      <c r="AO970" s="91"/>
      <c r="AP970" s="73" t="e">
        <f>MID(VLOOKUP(K970,#REF!,2,FALSE),1,2)</f>
        <v>#REF!</v>
      </c>
      <c r="AQ970" s="89">
        <f>DATE(2010,11,10)</f>
        <v>40492</v>
      </c>
      <c r="AR970" s="82">
        <f t="shared" si="66"/>
        <v>10</v>
      </c>
      <c r="AS970" s="83">
        <f t="shared" si="67"/>
        <v>11</v>
      </c>
      <c r="AT970" s="84">
        <f t="shared" si="68"/>
        <v>2010</v>
      </c>
      <c r="AU970" s="86"/>
      <c r="AV970" s="86"/>
      <c r="AW970" s="87"/>
      <c r="AX970" s="86"/>
      <c r="AY970" s="83"/>
      <c r="AZ970" s="84"/>
      <c r="BA970" s="86"/>
      <c r="BB970" s="86"/>
    </row>
    <row r="971" spans="1:54" ht="36.75" customHeight="1">
      <c r="A971" s="30"/>
      <c r="B971" s="30" t="s">
        <v>55</v>
      </c>
      <c r="C971" s="69" t="str">
        <f t="shared" si="65"/>
        <v>Closed</v>
      </c>
      <c r="D971" s="27" t="s">
        <v>5471</v>
      </c>
      <c r="E971" s="29" t="s">
        <v>5472</v>
      </c>
      <c r="F971" s="30" t="s">
        <v>638</v>
      </c>
      <c r="G971" s="89">
        <f>DATE(2010,11,11)</f>
        <v>40493</v>
      </c>
      <c r="H971" s="90">
        <v>1.0659722222222223</v>
      </c>
      <c r="I971" s="30" t="s">
        <v>73</v>
      </c>
      <c r="J971" s="89" t="s">
        <v>5473</v>
      </c>
      <c r="K971" s="30" t="s">
        <v>640</v>
      </c>
      <c r="L971" s="30" t="s">
        <v>5474</v>
      </c>
      <c r="M971" s="30" t="s">
        <v>63</v>
      </c>
      <c r="N971" s="30">
        <v>0</v>
      </c>
      <c r="O971" s="30" t="s">
        <v>64</v>
      </c>
      <c r="P971" s="89" t="s">
        <v>78</v>
      </c>
      <c r="Q971" s="89" t="s">
        <v>642</v>
      </c>
      <c r="R971" s="89" t="s">
        <v>643</v>
      </c>
      <c r="S971" s="30">
        <v>0</v>
      </c>
      <c r="T971" s="233" t="s">
        <v>68</v>
      </c>
      <c r="U971" s="30">
        <v>0</v>
      </c>
      <c r="V971" s="233" t="s">
        <v>68</v>
      </c>
      <c r="W971" s="30">
        <v>0</v>
      </c>
      <c r="X971" s="30">
        <v>0</v>
      </c>
      <c r="Y971" s="30">
        <v>0</v>
      </c>
      <c r="Z971" s="233" t="s">
        <v>68</v>
      </c>
      <c r="AA971" s="30">
        <v>0</v>
      </c>
      <c r="AB971" s="30">
        <v>0</v>
      </c>
      <c r="AC971" s="30">
        <v>0</v>
      </c>
      <c r="AD971" s="30">
        <v>0</v>
      </c>
      <c r="AE971" s="89" t="s">
        <v>68</v>
      </c>
      <c r="AF971" s="89"/>
      <c r="AG971" s="89" t="s">
        <v>352</v>
      </c>
      <c r="AH971" s="72" t="s">
        <v>68</v>
      </c>
      <c r="AI971" s="30">
        <v>5</v>
      </c>
      <c r="AJ971" s="89" t="s">
        <v>5475</v>
      </c>
      <c r="AK971" s="89" t="s">
        <v>68</v>
      </c>
      <c r="AL971" s="91">
        <v>40534</v>
      </c>
      <c r="AM971" s="91"/>
      <c r="AN971" s="91"/>
      <c r="AO971" s="91"/>
      <c r="AP971" s="73" t="e">
        <f>MID(VLOOKUP(K971,#REF!,2,FALSE),1,2)</f>
        <v>#REF!</v>
      </c>
      <c r="AQ971" s="89">
        <f>DATE(2010,11,11)</f>
        <v>40493</v>
      </c>
      <c r="AR971" s="82">
        <f t="shared" si="66"/>
        <v>11</v>
      </c>
      <c r="AS971" s="83">
        <f t="shared" si="67"/>
        <v>11</v>
      </c>
      <c r="AT971" s="84">
        <f t="shared" si="68"/>
        <v>2010</v>
      </c>
      <c r="AU971" s="86"/>
      <c r="AV971" s="86"/>
      <c r="AW971" s="87"/>
      <c r="AX971" s="86"/>
      <c r="AY971" s="83"/>
      <c r="AZ971" s="84"/>
      <c r="BA971" s="86"/>
      <c r="BB971" s="86"/>
    </row>
    <row r="972" spans="1:54" ht="36.75" customHeight="1">
      <c r="A972" s="30"/>
      <c r="B972" s="30" t="s">
        <v>55</v>
      </c>
      <c r="C972" s="69" t="str">
        <f t="shared" si="65"/>
        <v>Closed</v>
      </c>
      <c r="D972" s="27" t="s">
        <v>5476</v>
      </c>
      <c r="E972" s="29" t="s">
        <v>5477</v>
      </c>
      <c r="F972" s="30" t="s">
        <v>835</v>
      </c>
      <c r="G972" s="89">
        <f>DATE(2010,11,15)</f>
        <v>40497</v>
      </c>
      <c r="H972" s="90">
        <v>1.4597222222222221</v>
      </c>
      <c r="I972" s="30" t="s">
        <v>116</v>
      </c>
      <c r="J972" s="89" t="s">
        <v>5478</v>
      </c>
      <c r="K972" s="30" t="s">
        <v>837</v>
      </c>
      <c r="L972" s="30" t="s">
        <v>5479</v>
      </c>
      <c r="M972" s="30" t="s">
        <v>63</v>
      </c>
      <c r="N972" s="30">
        <v>0</v>
      </c>
      <c r="O972" s="30" t="s">
        <v>64</v>
      </c>
      <c r="P972" s="89" t="s">
        <v>65</v>
      </c>
      <c r="Q972" s="89" t="s">
        <v>2162</v>
      </c>
      <c r="R972" s="89" t="s">
        <v>840</v>
      </c>
      <c r="S972" s="30">
        <v>0</v>
      </c>
      <c r="T972" s="233">
        <v>0</v>
      </c>
      <c r="U972" s="30">
        <v>1</v>
      </c>
      <c r="V972" s="233">
        <v>0</v>
      </c>
      <c r="W972" s="30">
        <v>0</v>
      </c>
      <c r="X972" s="30">
        <v>1</v>
      </c>
      <c r="Y972" s="30">
        <v>0</v>
      </c>
      <c r="Z972" s="233">
        <v>0</v>
      </c>
      <c r="AA972" s="30">
        <v>0</v>
      </c>
      <c r="AB972" s="30">
        <v>0</v>
      </c>
      <c r="AC972" s="30">
        <v>0</v>
      </c>
      <c r="AD972" s="30">
        <v>0</v>
      </c>
      <c r="AE972" s="89" t="s">
        <v>68</v>
      </c>
      <c r="AF972" s="89"/>
      <c r="AG972" s="89" t="s">
        <v>352</v>
      </c>
      <c r="AH972" s="72" t="s">
        <v>68</v>
      </c>
      <c r="AI972" s="30">
        <v>0</v>
      </c>
      <c r="AJ972" s="89" t="s">
        <v>68</v>
      </c>
      <c r="AK972" s="89" t="s">
        <v>68</v>
      </c>
      <c r="AL972" s="91">
        <v>40519</v>
      </c>
      <c r="AM972" s="91"/>
      <c r="AN972" s="91"/>
      <c r="AO972" s="91"/>
      <c r="AP972" s="73" t="e">
        <f>MID(VLOOKUP(K972,#REF!,2,FALSE),1,2)</f>
        <v>#REF!</v>
      </c>
      <c r="AQ972" s="89">
        <f>DATE(2010,11,15)</f>
        <v>40497</v>
      </c>
      <c r="AR972" s="82">
        <f t="shared" si="66"/>
        <v>15</v>
      </c>
      <c r="AS972" s="83">
        <f t="shared" si="67"/>
        <v>11</v>
      </c>
      <c r="AT972" s="84">
        <f t="shared" si="68"/>
        <v>2010</v>
      </c>
      <c r="AU972" s="86"/>
      <c r="AV972" s="86"/>
      <c r="AW972" s="87"/>
      <c r="AX972" s="86"/>
      <c r="AY972" s="83"/>
      <c r="AZ972" s="84"/>
      <c r="BA972" s="86"/>
      <c r="BB972" s="86"/>
    </row>
    <row r="973" spans="1:54" ht="36.75" customHeight="1">
      <c r="A973" s="30"/>
      <c r="B973" s="30" t="s">
        <v>55</v>
      </c>
      <c r="C973" s="69" t="str">
        <f t="shared" si="65"/>
        <v>Closed</v>
      </c>
      <c r="D973" s="27" t="s">
        <v>5480</v>
      </c>
      <c r="E973" s="29" t="s">
        <v>5481</v>
      </c>
      <c r="F973" s="30" t="s">
        <v>1572</v>
      </c>
      <c r="G973" s="89">
        <f>DATE(2010,11,15)</f>
        <v>40497</v>
      </c>
      <c r="H973" s="90">
        <v>1.1840277777777777</v>
      </c>
      <c r="I973" s="30" t="s">
        <v>73</v>
      </c>
      <c r="J973" s="89" t="s">
        <v>5482</v>
      </c>
      <c r="K973" s="30" t="s">
        <v>1574</v>
      </c>
      <c r="L973" s="30" t="s">
        <v>5483</v>
      </c>
      <c r="M973" s="30" t="s">
        <v>63</v>
      </c>
      <c r="N973" s="30">
        <v>0</v>
      </c>
      <c r="O973" s="30" t="s">
        <v>77</v>
      </c>
      <c r="P973" s="89" t="s">
        <v>78</v>
      </c>
      <c r="Q973" s="89" t="s">
        <v>5128</v>
      </c>
      <c r="R973" s="89">
        <v>0</v>
      </c>
      <c r="S973" s="30">
        <v>0</v>
      </c>
      <c r="T973" s="233" t="s">
        <v>68</v>
      </c>
      <c r="U973" s="30">
        <v>0</v>
      </c>
      <c r="V973" s="233" t="s">
        <v>68</v>
      </c>
      <c r="W973" s="30">
        <v>0</v>
      </c>
      <c r="X973" s="30">
        <v>0</v>
      </c>
      <c r="Y973" s="30">
        <v>0</v>
      </c>
      <c r="Z973" s="233" t="s">
        <v>68</v>
      </c>
      <c r="AA973" s="30">
        <v>0</v>
      </c>
      <c r="AB973" s="30">
        <v>0</v>
      </c>
      <c r="AC973" s="30">
        <v>0</v>
      </c>
      <c r="AD973" s="30">
        <v>0</v>
      </c>
      <c r="AE973" s="89" t="s">
        <v>68</v>
      </c>
      <c r="AF973" s="89"/>
      <c r="AG973" s="89" t="s">
        <v>133</v>
      </c>
      <c r="AH973" s="72" t="s">
        <v>68</v>
      </c>
      <c r="AI973" s="30">
        <v>3</v>
      </c>
      <c r="AJ973" s="89" t="s">
        <v>5484</v>
      </c>
      <c r="AK973" s="89" t="s">
        <v>5485</v>
      </c>
      <c r="AL973" s="91">
        <v>40500</v>
      </c>
      <c r="AM973" s="91"/>
      <c r="AN973" s="91"/>
      <c r="AO973" s="91"/>
      <c r="AP973" s="73" t="e">
        <f>MID(VLOOKUP(K973,#REF!,2,FALSE),1,2)</f>
        <v>#REF!</v>
      </c>
      <c r="AQ973" s="89">
        <f>DATE(2010,11,15)</f>
        <v>40497</v>
      </c>
      <c r="AR973" s="82">
        <f t="shared" si="66"/>
        <v>15</v>
      </c>
      <c r="AS973" s="83">
        <f t="shared" si="67"/>
        <v>11</v>
      </c>
      <c r="AT973" s="84">
        <f t="shared" si="68"/>
        <v>2010</v>
      </c>
      <c r="AU973" s="86"/>
      <c r="AV973" s="86"/>
      <c r="AW973" s="87"/>
      <c r="AX973" s="86"/>
      <c r="AY973" s="83"/>
      <c r="AZ973" s="84"/>
      <c r="BA973" s="86"/>
      <c r="BB973" s="86"/>
    </row>
    <row r="974" spans="1:54" ht="36.75" customHeight="1">
      <c r="A974" s="30"/>
      <c r="B974" s="30" t="s">
        <v>55</v>
      </c>
      <c r="C974" s="69" t="str">
        <f t="shared" si="65"/>
        <v>Closed</v>
      </c>
      <c r="D974" s="27" t="s">
        <v>5486</v>
      </c>
      <c r="E974" s="29" t="s">
        <v>5487</v>
      </c>
      <c r="F974" s="30" t="s">
        <v>1572</v>
      </c>
      <c r="G974" s="89">
        <f>DATE(2010,11,17)</f>
        <v>40499</v>
      </c>
      <c r="H974" s="90">
        <v>1.8527777777777779</v>
      </c>
      <c r="I974" s="30" t="s">
        <v>73</v>
      </c>
      <c r="J974" s="89" t="s">
        <v>5488</v>
      </c>
      <c r="K974" s="30" t="s">
        <v>1574</v>
      </c>
      <c r="L974" s="30" t="s">
        <v>5489</v>
      </c>
      <c r="M974" s="30" t="s">
        <v>129</v>
      </c>
      <c r="N974" s="30">
        <v>0</v>
      </c>
      <c r="O974" s="30" t="s">
        <v>64</v>
      </c>
      <c r="P974" s="89" t="s">
        <v>86</v>
      </c>
      <c r="Q974" s="89" t="s">
        <v>5490</v>
      </c>
      <c r="R974" s="89" t="s">
        <v>5490</v>
      </c>
      <c r="S974" s="30">
        <v>0</v>
      </c>
      <c r="T974" s="233" t="s">
        <v>68</v>
      </c>
      <c r="U974" s="30">
        <v>0</v>
      </c>
      <c r="V974" s="233" t="s">
        <v>68</v>
      </c>
      <c r="W974" s="30">
        <v>0</v>
      </c>
      <c r="X974" s="30">
        <v>0</v>
      </c>
      <c r="Y974" s="30">
        <v>0</v>
      </c>
      <c r="Z974" s="233" t="s">
        <v>68</v>
      </c>
      <c r="AA974" s="30">
        <v>0</v>
      </c>
      <c r="AB974" s="30">
        <v>0</v>
      </c>
      <c r="AC974" s="30">
        <v>0</v>
      </c>
      <c r="AD974" s="30">
        <v>0</v>
      </c>
      <c r="AE974" s="89" t="s">
        <v>68</v>
      </c>
      <c r="AF974" s="89"/>
      <c r="AG974" s="89" t="s">
        <v>367</v>
      </c>
      <c r="AH974" s="72" t="s">
        <v>68</v>
      </c>
      <c r="AI974" s="30">
        <v>0</v>
      </c>
      <c r="AJ974" s="89" t="s">
        <v>5491</v>
      </c>
      <c r="AK974" s="89" t="s">
        <v>68</v>
      </c>
      <c r="AL974" s="91">
        <v>40505</v>
      </c>
      <c r="AM974" s="91"/>
      <c r="AN974" s="91"/>
      <c r="AO974" s="91"/>
      <c r="AP974" s="73" t="e">
        <f>MID(VLOOKUP(K974,#REF!,2,FALSE),1,2)</f>
        <v>#REF!</v>
      </c>
      <c r="AQ974" s="89">
        <f>DATE(2010,11,17)</f>
        <v>40499</v>
      </c>
      <c r="AR974" s="82">
        <f t="shared" si="66"/>
        <v>17</v>
      </c>
      <c r="AS974" s="83">
        <f t="shared" si="67"/>
        <v>11</v>
      </c>
      <c r="AT974" s="84">
        <f t="shared" si="68"/>
        <v>2010</v>
      </c>
      <c r="AU974" s="86"/>
      <c r="AV974" s="86"/>
      <c r="AW974" s="87"/>
      <c r="AX974" s="86"/>
      <c r="AY974" s="83"/>
      <c r="AZ974" s="84"/>
      <c r="BA974" s="86"/>
      <c r="BB974" s="86"/>
    </row>
    <row r="975" spans="1:54" ht="36.75" customHeight="1">
      <c r="A975" s="30"/>
      <c r="B975" s="30" t="s">
        <v>55</v>
      </c>
      <c r="C975" s="69" t="str">
        <f t="shared" si="65"/>
        <v>Closed</v>
      </c>
      <c r="D975" s="27" t="s">
        <v>5492</v>
      </c>
      <c r="E975" s="29" t="s">
        <v>5493</v>
      </c>
      <c r="F975" s="30" t="s">
        <v>138</v>
      </c>
      <c r="G975" s="89">
        <f>DATE(2010,11,17)</f>
        <v>40499</v>
      </c>
      <c r="H975" s="90">
        <v>1.1409722222222223</v>
      </c>
      <c r="I975" s="30" t="s">
        <v>5494</v>
      </c>
      <c r="J975" s="89" t="s">
        <v>5495</v>
      </c>
      <c r="K975" s="30" t="s">
        <v>140</v>
      </c>
      <c r="L975" s="30" t="s">
        <v>5496</v>
      </c>
      <c r="M975" s="30" t="s">
        <v>63</v>
      </c>
      <c r="N975" s="30" t="s">
        <v>89</v>
      </c>
      <c r="O975" s="30" t="s">
        <v>77</v>
      </c>
      <c r="P975" s="89" t="s">
        <v>65</v>
      </c>
      <c r="Q975" s="89" t="s">
        <v>2034</v>
      </c>
      <c r="R975" s="89" t="s">
        <v>4934</v>
      </c>
      <c r="S975" s="30">
        <v>0</v>
      </c>
      <c r="T975" s="233">
        <v>0</v>
      </c>
      <c r="U975" s="30">
        <v>0</v>
      </c>
      <c r="V975" s="233">
        <v>0</v>
      </c>
      <c r="W975" s="30">
        <v>0</v>
      </c>
      <c r="X975" s="30">
        <v>0</v>
      </c>
      <c r="Y975" s="30">
        <v>0</v>
      </c>
      <c r="Z975" s="233">
        <v>0</v>
      </c>
      <c r="AA975" s="30">
        <v>0</v>
      </c>
      <c r="AB975" s="30">
        <v>0</v>
      </c>
      <c r="AC975" s="30">
        <v>0</v>
      </c>
      <c r="AD975" s="30">
        <v>0</v>
      </c>
      <c r="AE975" s="89" t="s">
        <v>68</v>
      </c>
      <c r="AF975" s="89"/>
      <c r="AG975" s="89" t="s">
        <v>133</v>
      </c>
      <c r="AH975" s="72">
        <v>40499</v>
      </c>
      <c r="AI975" s="30">
        <v>1</v>
      </c>
      <c r="AJ975" s="89" t="s">
        <v>5497</v>
      </c>
      <c r="AK975" s="89" t="s">
        <v>5498</v>
      </c>
      <c r="AL975" s="91">
        <v>40564</v>
      </c>
      <c r="AM975" s="91"/>
      <c r="AN975" s="91"/>
      <c r="AO975" s="91"/>
      <c r="AP975" s="73" t="e">
        <f>MID(VLOOKUP(K975,#REF!,2,FALSE),1,2)</f>
        <v>#REF!</v>
      </c>
      <c r="AQ975" s="89">
        <f>DATE(2010,11,17)</f>
        <v>40499</v>
      </c>
      <c r="AR975" s="82">
        <f t="shared" si="66"/>
        <v>17</v>
      </c>
      <c r="AS975" s="83">
        <f t="shared" si="67"/>
        <v>11</v>
      </c>
      <c r="AT975" s="84">
        <f t="shared" si="68"/>
        <v>2010</v>
      </c>
      <c r="AU975" s="86"/>
      <c r="AV975" s="86"/>
      <c r="AW975" s="87"/>
      <c r="AX975" s="86"/>
      <c r="AY975" s="83"/>
      <c r="AZ975" s="84"/>
      <c r="BA975" s="86"/>
      <c r="BB975" s="86"/>
    </row>
    <row r="976" spans="1:54" ht="36.75" customHeight="1">
      <c r="A976" s="30"/>
      <c r="B976" s="30" t="s">
        <v>55</v>
      </c>
      <c r="C976" s="69" t="str">
        <f t="shared" si="65"/>
        <v>Closed</v>
      </c>
      <c r="D976" s="27" t="s">
        <v>5499</v>
      </c>
      <c r="E976" s="29" t="s">
        <v>5500</v>
      </c>
      <c r="F976" s="30" t="s">
        <v>835</v>
      </c>
      <c r="G976" s="89">
        <f>DATE(2010,11,19)</f>
        <v>40501</v>
      </c>
      <c r="H976" s="90">
        <v>1.8958333333333335</v>
      </c>
      <c r="I976" s="30" t="s">
        <v>125</v>
      </c>
      <c r="J976" s="89" t="s">
        <v>5501</v>
      </c>
      <c r="K976" s="30" t="s">
        <v>837</v>
      </c>
      <c r="L976" s="30" t="s">
        <v>5502</v>
      </c>
      <c r="M976" s="30" t="s">
        <v>63</v>
      </c>
      <c r="N976" s="30">
        <v>0</v>
      </c>
      <c r="O976" s="30" t="s">
        <v>64</v>
      </c>
      <c r="P976" s="89" t="s">
        <v>165</v>
      </c>
      <c r="Q976" s="89" t="s">
        <v>4210</v>
      </c>
      <c r="R976" s="89" t="s">
        <v>4210</v>
      </c>
      <c r="S976" s="30">
        <v>0</v>
      </c>
      <c r="T976" s="233" t="s">
        <v>68</v>
      </c>
      <c r="U976" s="30">
        <v>0</v>
      </c>
      <c r="V976" s="233" t="s">
        <v>68</v>
      </c>
      <c r="W976" s="30">
        <v>0</v>
      </c>
      <c r="X976" s="30">
        <v>0</v>
      </c>
      <c r="Y976" s="30">
        <v>0</v>
      </c>
      <c r="Z976" s="233" t="s">
        <v>68</v>
      </c>
      <c r="AA976" s="30">
        <v>0</v>
      </c>
      <c r="AB976" s="30">
        <v>0</v>
      </c>
      <c r="AC976" s="30">
        <v>0</v>
      </c>
      <c r="AD976" s="30">
        <v>0</v>
      </c>
      <c r="AE976" s="89" t="s">
        <v>68</v>
      </c>
      <c r="AF976" s="89"/>
      <c r="AG976" s="89" t="s">
        <v>352</v>
      </c>
      <c r="AH976" s="72" t="s">
        <v>68</v>
      </c>
      <c r="AI976" s="30">
        <v>0</v>
      </c>
      <c r="AJ976" s="89" t="s">
        <v>68</v>
      </c>
      <c r="AK976" s="89" t="s">
        <v>68</v>
      </c>
      <c r="AL976" s="91">
        <v>40519</v>
      </c>
      <c r="AM976" s="91"/>
      <c r="AN976" s="91"/>
      <c r="AO976" s="91"/>
      <c r="AP976" s="73" t="e">
        <f>MID(VLOOKUP(K976,#REF!,2,FALSE),1,2)</f>
        <v>#REF!</v>
      </c>
      <c r="AQ976" s="89">
        <f>DATE(2010,11,19)</f>
        <v>40501</v>
      </c>
      <c r="AR976" s="82">
        <f t="shared" si="66"/>
        <v>19</v>
      </c>
      <c r="AS976" s="83">
        <f t="shared" si="67"/>
        <v>11</v>
      </c>
      <c r="AT976" s="84">
        <f t="shared" si="68"/>
        <v>2010</v>
      </c>
      <c r="AU976" s="86"/>
      <c r="AV976" s="86"/>
      <c r="AW976" s="87"/>
      <c r="AX976" s="86"/>
      <c r="AY976" s="83"/>
      <c r="AZ976" s="84"/>
      <c r="BA976" s="86"/>
      <c r="BB976" s="86"/>
    </row>
    <row r="977" spans="1:54" ht="36.75" customHeight="1">
      <c r="A977" s="30"/>
      <c r="B977" s="30" t="s">
        <v>55</v>
      </c>
      <c r="C977" s="69" t="str">
        <f t="shared" si="65"/>
        <v>Closed</v>
      </c>
      <c r="D977" s="27" t="s">
        <v>5503</v>
      </c>
      <c r="E977" s="29" t="s">
        <v>5504</v>
      </c>
      <c r="F977" s="30" t="s">
        <v>835</v>
      </c>
      <c r="G977" s="89">
        <f>DATE(2010,11,23)</f>
        <v>40505</v>
      </c>
      <c r="H977" s="90">
        <v>1.6930555555555555</v>
      </c>
      <c r="I977" s="30" t="s">
        <v>116</v>
      </c>
      <c r="J977" s="89" t="s">
        <v>5505</v>
      </c>
      <c r="K977" s="30" t="s">
        <v>837</v>
      </c>
      <c r="L977" s="30" t="s">
        <v>5506</v>
      </c>
      <c r="M977" s="30" t="s">
        <v>63</v>
      </c>
      <c r="N977" s="30">
        <v>0</v>
      </c>
      <c r="O977" s="30" t="s">
        <v>64</v>
      </c>
      <c r="P977" s="89" t="s">
        <v>165</v>
      </c>
      <c r="Q977" s="89" t="s">
        <v>2162</v>
      </c>
      <c r="R977" s="89" t="s">
        <v>840</v>
      </c>
      <c r="S977" s="30">
        <v>0</v>
      </c>
      <c r="T977" s="233">
        <v>0</v>
      </c>
      <c r="U977" s="30">
        <v>0</v>
      </c>
      <c r="V977" s="233">
        <v>0</v>
      </c>
      <c r="W977" s="30">
        <v>0</v>
      </c>
      <c r="X977" s="30">
        <v>0</v>
      </c>
      <c r="Y977" s="30">
        <v>0</v>
      </c>
      <c r="Z977" s="233">
        <v>0</v>
      </c>
      <c r="AA977" s="30">
        <v>2</v>
      </c>
      <c r="AB977" s="30">
        <v>0</v>
      </c>
      <c r="AC977" s="30">
        <v>0</v>
      </c>
      <c r="AD977" s="30">
        <v>2</v>
      </c>
      <c r="AE977" s="89" t="s">
        <v>68</v>
      </c>
      <c r="AF977" s="89"/>
      <c r="AG977" s="89" t="s">
        <v>352</v>
      </c>
      <c r="AH977" s="72" t="s">
        <v>68</v>
      </c>
      <c r="AI977" s="30">
        <v>0</v>
      </c>
      <c r="AJ977" s="89" t="s">
        <v>68</v>
      </c>
      <c r="AK977" s="89" t="s">
        <v>68</v>
      </c>
      <c r="AL977" s="91">
        <v>40519</v>
      </c>
      <c r="AM977" s="91"/>
      <c r="AN977" s="91"/>
      <c r="AO977" s="91"/>
      <c r="AP977" s="73" t="e">
        <f>MID(VLOOKUP(K977,#REF!,2,FALSE),1,2)</f>
        <v>#REF!</v>
      </c>
      <c r="AQ977" s="89">
        <f>DATE(2010,11,23)</f>
        <v>40505</v>
      </c>
      <c r="AR977" s="82">
        <f t="shared" si="66"/>
        <v>23</v>
      </c>
      <c r="AS977" s="83">
        <f t="shared" si="67"/>
        <v>11</v>
      </c>
      <c r="AT977" s="84">
        <f t="shared" si="68"/>
        <v>2010</v>
      </c>
      <c r="AU977" s="86"/>
      <c r="AV977" s="86"/>
      <c r="AW977" s="87"/>
      <c r="AX977" s="86"/>
      <c r="AY977" s="83"/>
      <c r="AZ977" s="84"/>
      <c r="BA977" s="86"/>
      <c r="BB977" s="86"/>
    </row>
    <row r="978" spans="1:54" ht="36.75" customHeight="1">
      <c r="A978" s="30"/>
      <c r="B978" s="30" t="s">
        <v>55</v>
      </c>
      <c r="C978" s="69" t="str">
        <f t="shared" si="65"/>
        <v>Closed</v>
      </c>
      <c r="D978" s="27" t="s">
        <v>5507</v>
      </c>
      <c r="E978" s="29" t="s">
        <v>5508</v>
      </c>
      <c r="F978" s="30" t="s">
        <v>1572</v>
      </c>
      <c r="G978" s="89">
        <f>DATE(2010,11,25)</f>
        <v>40507</v>
      </c>
      <c r="H978" s="90">
        <v>1.5833333333333335</v>
      </c>
      <c r="I978" s="30" t="s">
        <v>73</v>
      </c>
      <c r="J978" s="89" t="s">
        <v>5509</v>
      </c>
      <c r="K978" s="30" t="s">
        <v>1574</v>
      </c>
      <c r="L978" s="30" t="s">
        <v>5510</v>
      </c>
      <c r="M978" s="30" t="s">
        <v>63</v>
      </c>
      <c r="N978" s="30">
        <v>0</v>
      </c>
      <c r="O978" s="30" t="s">
        <v>64</v>
      </c>
      <c r="P978" s="89" t="s">
        <v>78</v>
      </c>
      <c r="Q978" s="89" t="s">
        <v>5266</v>
      </c>
      <c r="R978" s="89">
        <v>0</v>
      </c>
      <c r="S978" s="30">
        <v>0</v>
      </c>
      <c r="T978" s="233" t="s">
        <v>68</v>
      </c>
      <c r="U978" s="30">
        <v>0</v>
      </c>
      <c r="V978" s="233" t="s">
        <v>68</v>
      </c>
      <c r="W978" s="30">
        <v>0</v>
      </c>
      <c r="X978" s="30">
        <v>0</v>
      </c>
      <c r="Y978" s="30">
        <v>0</v>
      </c>
      <c r="Z978" s="233" t="s">
        <v>68</v>
      </c>
      <c r="AA978" s="30">
        <v>0</v>
      </c>
      <c r="AB978" s="30">
        <v>0</v>
      </c>
      <c r="AC978" s="30">
        <v>0</v>
      </c>
      <c r="AD978" s="30">
        <v>0</v>
      </c>
      <c r="AE978" s="89" t="s">
        <v>68</v>
      </c>
      <c r="AF978" s="89"/>
      <c r="AG978" s="89" t="s">
        <v>133</v>
      </c>
      <c r="AH978" s="72" t="s">
        <v>68</v>
      </c>
      <c r="AI978" s="30">
        <v>0</v>
      </c>
      <c r="AJ978" s="89" t="s">
        <v>5511</v>
      </c>
      <c r="AK978" s="89" t="s">
        <v>5512</v>
      </c>
      <c r="AL978" s="91">
        <v>40511</v>
      </c>
      <c r="AM978" s="91"/>
      <c r="AN978" s="91"/>
      <c r="AO978" s="91"/>
      <c r="AP978" s="73" t="e">
        <f>MID(VLOOKUP(K978,#REF!,2,FALSE),1,2)</f>
        <v>#REF!</v>
      </c>
      <c r="AQ978" s="89">
        <f>DATE(2010,11,25)</f>
        <v>40507</v>
      </c>
      <c r="AR978" s="82">
        <f t="shared" si="66"/>
        <v>25</v>
      </c>
      <c r="AS978" s="83">
        <f t="shared" si="67"/>
        <v>11</v>
      </c>
      <c r="AT978" s="84">
        <f t="shared" si="68"/>
        <v>2010</v>
      </c>
      <c r="AU978" s="86"/>
      <c r="AV978" s="86"/>
      <c r="AW978" s="87"/>
      <c r="AX978" s="86"/>
      <c r="AY978" s="83"/>
      <c r="AZ978" s="84"/>
      <c r="BA978" s="86"/>
      <c r="BB978" s="86"/>
    </row>
    <row r="979" spans="1:54" ht="36.75" customHeight="1">
      <c r="A979" s="30"/>
      <c r="B979" s="30" t="s">
        <v>55</v>
      </c>
      <c r="C979" s="69" t="str">
        <f t="shared" si="65"/>
        <v>Closed</v>
      </c>
      <c r="D979" s="27" t="s">
        <v>5513</v>
      </c>
      <c r="E979" s="29" t="s">
        <v>5514</v>
      </c>
      <c r="F979" s="30" t="s">
        <v>582</v>
      </c>
      <c r="G979" s="89">
        <f>DATE(2010,11,28)</f>
        <v>40510</v>
      </c>
      <c r="H979" s="90">
        <v>1.1194444444444445</v>
      </c>
      <c r="I979" s="30" t="s">
        <v>86</v>
      </c>
      <c r="J979" s="89" t="s">
        <v>5515</v>
      </c>
      <c r="K979" s="30" t="s">
        <v>584</v>
      </c>
      <c r="L979" s="30" t="s">
        <v>5516</v>
      </c>
      <c r="M979" s="30" t="s">
        <v>63</v>
      </c>
      <c r="N979" s="30">
        <v>0</v>
      </c>
      <c r="O979" s="30" t="s">
        <v>64</v>
      </c>
      <c r="P979" s="89" t="s">
        <v>91</v>
      </c>
      <c r="Q979" s="89" t="s">
        <v>5152</v>
      </c>
      <c r="R979" s="89" t="s">
        <v>587</v>
      </c>
      <c r="S979" s="30">
        <v>0</v>
      </c>
      <c r="T979" s="233" t="s">
        <v>68</v>
      </c>
      <c r="U979" s="30">
        <v>0</v>
      </c>
      <c r="V979" s="233" t="s">
        <v>68</v>
      </c>
      <c r="W979" s="30">
        <v>0</v>
      </c>
      <c r="X979" s="30">
        <v>0</v>
      </c>
      <c r="Y979" s="30">
        <v>0</v>
      </c>
      <c r="Z979" s="233" t="s">
        <v>68</v>
      </c>
      <c r="AA979" s="30">
        <v>0</v>
      </c>
      <c r="AB979" s="30">
        <v>0</v>
      </c>
      <c r="AC979" s="30">
        <v>0</v>
      </c>
      <c r="AD979" s="30">
        <v>0</v>
      </c>
      <c r="AE979" s="89" t="s">
        <v>68</v>
      </c>
      <c r="AF979" s="89"/>
      <c r="AG979" s="89" t="s">
        <v>82</v>
      </c>
      <c r="AH979" s="72" t="s">
        <v>68</v>
      </c>
      <c r="AI979" s="30">
        <v>0</v>
      </c>
      <c r="AJ979" s="89" t="s">
        <v>5517</v>
      </c>
      <c r="AK979" s="89" t="s">
        <v>68</v>
      </c>
      <c r="AL979" s="91">
        <v>40512</v>
      </c>
      <c r="AM979" s="91"/>
      <c r="AN979" s="91"/>
      <c r="AO979" s="91"/>
      <c r="AP979" s="73" t="e">
        <f>MID(VLOOKUP(K979,#REF!,2,FALSE),1,2)</f>
        <v>#REF!</v>
      </c>
      <c r="AQ979" s="89">
        <f>DATE(2010,11,28)</f>
        <v>40510</v>
      </c>
      <c r="AR979" s="82">
        <f t="shared" si="66"/>
        <v>28</v>
      </c>
      <c r="AS979" s="83">
        <f t="shared" si="67"/>
        <v>11</v>
      </c>
      <c r="AT979" s="84">
        <f t="shared" si="68"/>
        <v>2010</v>
      </c>
      <c r="AU979" s="86"/>
      <c r="AV979" s="86"/>
      <c r="AW979" s="87"/>
      <c r="AX979" s="86"/>
      <c r="AY979" s="83"/>
      <c r="AZ979" s="84"/>
      <c r="BA979" s="86"/>
      <c r="BB979" s="86"/>
    </row>
    <row r="980" spans="1:54" ht="36.75" customHeight="1">
      <c r="A980" s="30"/>
      <c r="B980" s="30" t="s">
        <v>55</v>
      </c>
      <c r="C980" s="69" t="str">
        <f t="shared" si="65"/>
        <v>Closed</v>
      </c>
      <c r="D980" s="27" t="s">
        <v>5518</v>
      </c>
      <c r="E980" s="29" t="s">
        <v>5519</v>
      </c>
      <c r="F980" s="30" t="s">
        <v>124</v>
      </c>
      <c r="G980" s="89">
        <f>DATE(2010,12,1)</f>
        <v>40513</v>
      </c>
      <c r="H980" s="90">
        <v>1.2479166666666668</v>
      </c>
      <c r="I980" s="30" t="s">
        <v>73</v>
      </c>
      <c r="J980" s="89" t="s">
        <v>5520</v>
      </c>
      <c r="K980" s="30" t="s">
        <v>127</v>
      </c>
      <c r="L980" s="30" t="s">
        <v>5521</v>
      </c>
      <c r="M980" s="30" t="s">
        <v>129</v>
      </c>
      <c r="N980" s="30">
        <v>0</v>
      </c>
      <c r="O980" s="30" t="s">
        <v>77</v>
      </c>
      <c r="P980" s="89" t="s">
        <v>86</v>
      </c>
      <c r="Q980" s="89" t="s">
        <v>130</v>
      </c>
      <c r="R980" s="89" t="s">
        <v>131</v>
      </c>
      <c r="S980" s="30">
        <v>0</v>
      </c>
      <c r="T980" s="233" t="s">
        <v>68</v>
      </c>
      <c r="U980" s="30">
        <v>0</v>
      </c>
      <c r="V980" s="233" t="s">
        <v>68</v>
      </c>
      <c r="W980" s="30">
        <v>0</v>
      </c>
      <c r="X980" s="30">
        <v>0</v>
      </c>
      <c r="Y980" s="30">
        <v>0</v>
      </c>
      <c r="Z980" s="233" t="s">
        <v>68</v>
      </c>
      <c r="AA980" s="30">
        <v>0</v>
      </c>
      <c r="AB980" s="30">
        <v>0</v>
      </c>
      <c r="AC980" s="30">
        <v>0</v>
      </c>
      <c r="AD980" s="30">
        <v>0</v>
      </c>
      <c r="AE980" s="89" t="s">
        <v>68</v>
      </c>
      <c r="AF980" s="89"/>
      <c r="AG980" s="89" t="s">
        <v>367</v>
      </c>
      <c r="AH980" s="72" t="s">
        <v>68</v>
      </c>
      <c r="AI980" s="30">
        <v>1</v>
      </c>
      <c r="AJ980" s="89" t="s">
        <v>68</v>
      </c>
      <c r="AK980" s="89" t="s">
        <v>68</v>
      </c>
      <c r="AL980" s="91">
        <v>40553</v>
      </c>
      <c r="AM980" s="91"/>
      <c r="AN980" s="91"/>
      <c r="AO980" s="91"/>
      <c r="AP980" s="73" t="e">
        <f>MID(VLOOKUP(K980,#REF!,2,FALSE),1,2)</f>
        <v>#REF!</v>
      </c>
      <c r="AQ980" s="89">
        <f>DATE(2010,12,1)</f>
        <v>40513</v>
      </c>
      <c r="AR980" s="82">
        <f t="shared" si="66"/>
        <v>1</v>
      </c>
      <c r="AS980" s="83">
        <f t="shared" si="67"/>
        <v>12</v>
      </c>
      <c r="AT980" s="84">
        <f t="shared" si="68"/>
        <v>2010</v>
      </c>
      <c r="AU980" s="86"/>
      <c r="AV980" s="86"/>
      <c r="AW980" s="87"/>
      <c r="AX980" s="86"/>
      <c r="AY980" s="83"/>
      <c r="AZ980" s="84"/>
      <c r="BA980" s="86"/>
      <c r="BB980" s="86"/>
    </row>
    <row r="981" spans="1:54" ht="36.75" customHeight="1">
      <c r="A981" s="30"/>
      <c r="B981" s="30" t="s">
        <v>55</v>
      </c>
      <c r="C981" s="69" t="str">
        <f t="shared" si="65"/>
        <v>Closed</v>
      </c>
      <c r="D981" s="27" t="s">
        <v>5522</v>
      </c>
      <c r="E981" s="29" t="s">
        <v>5523</v>
      </c>
      <c r="F981" s="30" t="s">
        <v>451</v>
      </c>
      <c r="G981" s="89">
        <f>DATE(2010,12,3)</f>
        <v>40515</v>
      </c>
      <c r="H981" s="90">
        <v>1.3208333333333333</v>
      </c>
      <c r="I981" s="30" t="s">
        <v>116</v>
      </c>
      <c r="J981" s="89" t="s">
        <v>5524</v>
      </c>
      <c r="K981" s="30" t="s">
        <v>453</v>
      </c>
      <c r="L981" s="30" t="s">
        <v>5525</v>
      </c>
      <c r="M981" s="30" t="s">
        <v>63</v>
      </c>
      <c r="N981" s="30" t="s">
        <v>99</v>
      </c>
      <c r="O981" s="30" t="s">
        <v>77</v>
      </c>
      <c r="P981" s="89" t="s">
        <v>165</v>
      </c>
      <c r="Q981" s="89" t="s">
        <v>571</v>
      </c>
      <c r="R981" s="89" t="s">
        <v>572</v>
      </c>
      <c r="S981" s="30">
        <v>0</v>
      </c>
      <c r="T981" s="233">
        <v>0</v>
      </c>
      <c r="U981" s="30">
        <v>1</v>
      </c>
      <c r="V981" s="233">
        <v>0</v>
      </c>
      <c r="W981" s="30">
        <v>0</v>
      </c>
      <c r="X981" s="30">
        <v>1</v>
      </c>
      <c r="Y981" s="30">
        <v>0</v>
      </c>
      <c r="Z981" s="233">
        <v>0</v>
      </c>
      <c r="AA981" s="30">
        <v>0</v>
      </c>
      <c r="AB981" s="30">
        <v>0</v>
      </c>
      <c r="AC981" s="30">
        <v>0</v>
      </c>
      <c r="AD981" s="30">
        <v>0</v>
      </c>
      <c r="AE981" s="89" t="s">
        <v>92</v>
      </c>
      <c r="AF981" s="89"/>
      <c r="AG981" s="89" t="s">
        <v>82</v>
      </c>
      <c r="AH981" s="72">
        <v>40547</v>
      </c>
      <c r="AI981" s="30">
        <v>0</v>
      </c>
      <c r="AJ981" s="89" t="s">
        <v>5526</v>
      </c>
      <c r="AK981" s="89" t="s">
        <v>68</v>
      </c>
      <c r="AL981" s="91">
        <v>42831</v>
      </c>
      <c r="AM981" s="91"/>
      <c r="AN981" s="91"/>
      <c r="AO981" s="91"/>
      <c r="AP981" s="73" t="e">
        <f>MID(VLOOKUP(K981,#REF!,2,FALSE),1,2)</f>
        <v>#REF!</v>
      </c>
      <c r="AQ981" s="89">
        <f>DATE(2010,12,3)</f>
        <v>40515</v>
      </c>
      <c r="AR981" s="82">
        <f t="shared" si="66"/>
        <v>3</v>
      </c>
      <c r="AS981" s="83">
        <f t="shared" si="67"/>
        <v>12</v>
      </c>
      <c r="AT981" s="84">
        <f t="shared" si="68"/>
        <v>2010</v>
      </c>
      <c r="AU981" s="86"/>
      <c r="AV981" s="86"/>
      <c r="AW981" s="87"/>
      <c r="AX981" s="86"/>
      <c r="AY981" s="83"/>
      <c r="AZ981" s="84"/>
      <c r="BA981" s="86"/>
      <c r="BB981" s="86"/>
    </row>
    <row r="982" spans="1:54" ht="36.75" customHeight="1">
      <c r="A982" s="30"/>
      <c r="B982" s="30" t="s">
        <v>55</v>
      </c>
      <c r="C982" s="69" t="str">
        <f t="shared" si="65"/>
        <v>Closed</v>
      </c>
      <c r="D982" s="27" t="s">
        <v>5527</v>
      </c>
      <c r="E982" s="29" t="s">
        <v>5528</v>
      </c>
      <c r="F982" s="30" t="s">
        <v>638</v>
      </c>
      <c r="G982" s="89">
        <f>DATE(2010,12,3)</f>
        <v>40515</v>
      </c>
      <c r="H982" s="90">
        <v>1.4409722222222223</v>
      </c>
      <c r="I982" s="30" t="s">
        <v>116</v>
      </c>
      <c r="J982" s="89" t="s">
        <v>5529</v>
      </c>
      <c r="K982" s="30" t="s">
        <v>640</v>
      </c>
      <c r="L982" s="30" t="s">
        <v>5530</v>
      </c>
      <c r="M982" s="30" t="s">
        <v>63</v>
      </c>
      <c r="N982" s="30">
        <v>0</v>
      </c>
      <c r="O982" s="30" t="s">
        <v>64</v>
      </c>
      <c r="P982" s="89" t="s">
        <v>78</v>
      </c>
      <c r="Q982" s="89" t="s">
        <v>642</v>
      </c>
      <c r="R982" s="89" t="s">
        <v>643</v>
      </c>
      <c r="S982" s="30">
        <v>0</v>
      </c>
      <c r="T982" s="233">
        <v>0</v>
      </c>
      <c r="U982" s="30">
        <v>1</v>
      </c>
      <c r="V982" s="233">
        <v>0</v>
      </c>
      <c r="W982" s="30">
        <v>0</v>
      </c>
      <c r="X982" s="30">
        <v>1</v>
      </c>
      <c r="Y982" s="30">
        <v>0</v>
      </c>
      <c r="Z982" s="233">
        <v>0</v>
      </c>
      <c r="AA982" s="30">
        <v>0</v>
      </c>
      <c r="AB982" s="30">
        <v>0</v>
      </c>
      <c r="AC982" s="30">
        <v>0</v>
      </c>
      <c r="AD982" s="30">
        <v>0</v>
      </c>
      <c r="AE982" s="89" t="s">
        <v>68</v>
      </c>
      <c r="AF982" s="89"/>
      <c r="AG982" s="89" t="s">
        <v>248</v>
      </c>
      <c r="AH982" s="72" t="s">
        <v>68</v>
      </c>
      <c r="AI982" s="30">
        <v>1</v>
      </c>
      <c r="AJ982" s="89" t="s">
        <v>68</v>
      </c>
      <c r="AK982" s="89" t="s">
        <v>68</v>
      </c>
      <c r="AL982" s="91">
        <v>40564</v>
      </c>
      <c r="AM982" s="91"/>
      <c r="AN982" s="91"/>
      <c r="AO982" s="91"/>
      <c r="AP982" s="73" t="e">
        <f>MID(VLOOKUP(K982,#REF!,2,FALSE),1,2)</f>
        <v>#REF!</v>
      </c>
      <c r="AQ982" s="89">
        <f>DATE(2010,12,3)</f>
        <v>40515</v>
      </c>
      <c r="AR982" s="82">
        <f t="shared" si="66"/>
        <v>3</v>
      </c>
      <c r="AS982" s="83">
        <f t="shared" si="67"/>
        <v>12</v>
      </c>
      <c r="AT982" s="84">
        <f t="shared" si="68"/>
        <v>2010</v>
      </c>
      <c r="AU982" s="86"/>
      <c r="AV982" s="86"/>
      <c r="AW982" s="87"/>
      <c r="AX982" s="86"/>
      <c r="AY982" s="83"/>
      <c r="AZ982" s="84"/>
      <c r="BA982" s="86"/>
      <c r="BB982" s="86"/>
    </row>
    <row r="983" spans="1:54" ht="36.75" customHeight="1">
      <c r="A983" s="30"/>
      <c r="B983" s="30" t="s">
        <v>55</v>
      </c>
      <c r="C983" s="69" t="str">
        <f t="shared" si="65"/>
        <v>Closed</v>
      </c>
      <c r="D983" s="27" t="s">
        <v>5531</v>
      </c>
      <c r="E983" s="29" t="s">
        <v>5532</v>
      </c>
      <c r="F983" s="30" t="s">
        <v>835</v>
      </c>
      <c r="G983" s="89">
        <f>DATE(2010,12,6)</f>
        <v>40518</v>
      </c>
      <c r="H983" s="90">
        <v>1.2847222222222223</v>
      </c>
      <c r="I983" s="30" t="s">
        <v>73</v>
      </c>
      <c r="J983" s="89" t="s">
        <v>5533</v>
      </c>
      <c r="K983" s="30" t="s">
        <v>837</v>
      </c>
      <c r="L983" s="30" t="s">
        <v>5534</v>
      </c>
      <c r="M983" s="30" t="s">
        <v>63</v>
      </c>
      <c r="N983" s="30" t="s">
        <v>99</v>
      </c>
      <c r="O983" s="30" t="s">
        <v>77</v>
      </c>
      <c r="P983" s="89" t="s">
        <v>78</v>
      </c>
      <c r="Q983" s="89" t="s">
        <v>4708</v>
      </c>
      <c r="R983" s="89" t="s">
        <v>840</v>
      </c>
      <c r="S983" s="30">
        <v>0</v>
      </c>
      <c r="T983" s="233">
        <v>0</v>
      </c>
      <c r="U983" s="30">
        <v>0</v>
      </c>
      <c r="V983" s="233">
        <v>0</v>
      </c>
      <c r="W983" s="30">
        <v>0</v>
      </c>
      <c r="X983" s="30">
        <v>0</v>
      </c>
      <c r="Y983" s="30">
        <v>0</v>
      </c>
      <c r="Z983" s="233">
        <v>0</v>
      </c>
      <c r="AA983" s="30">
        <v>0</v>
      </c>
      <c r="AB983" s="30">
        <v>0</v>
      </c>
      <c r="AC983" s="30">
        <v>0</v>
      </c>
      <c r="AD983" s="30">
        <v>0</v>
      </c>
      <c r="AE983" s="89" t="s">
        <v>92</v>
      </c>
      <c r="AF983" s="89"/>
      <c r="AG983" s="89" t="s">
        <v>352</v>
      </c>
      <c r="AH983" s="72">
        <v>40519</v>
      </c>
      <c r="AI983" s="30">
        <v>0</v>
      </c>
      <c r="AJ983" s="89" t="s">
        <v>5535</v>
      </c>
      <c r="AK983" s="89" t="s">
        <v>68</v>
      </c>
      <c r="AL983" s="91">
        <v>40557</v>
      </c>
      <c r="AM983" s="91"/>
      <c r="AN983" s="91"/>
      <c r="AO983" s="91"/>
      <c r="AP983" s="73" t="e">
        <f>MID(VLOOKUP(K983,#REF!,2,FALSE),1,2)</f>
        <v>#REF!</v>
      </c>
      <c r="AQ983" s="89">
        <f>DATE(2010,12,6)</f>
        <v>40518</v>
      </c>
      <c r="AR983" s="82">
        <f t="shared" si="66"/>
        <v>6</v>
      </c>
      <c r="AS983" s="83">
        <f t="shared" si="67"/>
        <v>12</v>
      </c>
      <c r="AT983" s="84">
        <f t="shared" si="68"/>
        <v>2010</v>
      </c>
      <c r="AU983" s="86"/>
      <c r="AV983" s="86"/>
      <c r="AW983" s="87"/>
      <c r="AX983" s="86"/>
      <c r="AY983" s="83"/>
      <c r="AZ983" s="84"/>
      <c r="BA983" s="86"/>
      <c r="BB983" s="86"/>
    </row>
    <row r="984" spans="1:54" ht="36.75" customHeight="1">
      <c r="A984" s="30"/>
      <c r="B984" s="30" t="s">
        <v>55</v>
      </c>
      <c r="C984" s="69" t="str">
        <f t="shared" si="65"/>
        <v>Closed</v>
      </c>
      <c r="D984" s="27" t="s">
        <v>5536</v>
      </c>
      <c r="E984" s="29" t="s">
        <v>5537</v>
      </c>
      <c r="F984" s="30" t="s">
        <v>423</v>
      </c>
      <c r="G984" s="89">
        <f>DATE(2010,12,7)</f>
        <v>40519</v>
      </c>
      <c r="H984" s="90">
        <v>1.2826388888888889</v>
      </c>
      <c r="I984" s="30" t="s">
        <v>73</v>
      </c>
      <c r="J984" s="89" t="s">
        <v>5538</v>
      </c>
      <c r="K984" s="30" t="s">
        <v>425</v>
      </c>
      <c r="L984" s="30" t="s">
        <v>5539</v>
      </c>
      <c r="M984" s="30" t="s">
        <v>63</v>
      </c>
      <c r="N984" s="30">
        <v>0</v>
      </c>
      <c r="O984" s="30" t="s">
        <v>64</v>
      </c>
      <c r="P984" s="89" t="s">
        <v>65</v>
      </c>
      <c r="Q984" s="89" t="s">
        <v>427</v>
      </c>
      <c r="R984" s="89" t="s">
        <v>3103</v>
      </c>
      <c r="S984" s="30">
        <v>0</v>
      </c>
      <c r="T984" s="233" t="s">
        <v>68</v>
      </c>
      <c r="U984" s="30">
        <v>0</v>
      </c>
      <c r="V984" s="233" t="s">
        <v>68</v>
      </c>
      <c r="W984" s="30">
        <v>0</v>
      </c>
      <c r="X984" s="30">
        <v>0</v>
      </c>
      <c r="Y984" s="30">
        <v>0</v>
      </c>
      <c r="Z984" s="233" t="s">
        <v>68</v>
      </c>
      <c r="AA984" s="30">
        <v>0</v>
      </c>
      <c r="AB984" s="30">
        <v>0</v>
      </c>
      <c r="AC984" s="30">
        <v>0</v>
      </c>
      <c r="AD984" s="30">
        <v>0</v>
      </c>
      <c r="AE984" s="89" t="s">
        <v>68</v>
      </c>
      <c r="AF984" s="89"/>
      <c r="AG984" s="89" t="s">
        <v>133</v>
      </c>
      <c r="AH984" s="72" t="s">
        <v>68</v>
      </c>
      <c r="AI984" s="30">
        <v>2</v>
      </c>
      <c r="AJ984" s="89" t="s">
        <v>5540</v>
      </c>
      <c r="AK984" s="89" t="s">
        <v>5541</v>
      </c>
      <c r="AL984" s="91">
        <v>40532</v>
      </c>
      <c r="AM984" s="91"/>
      <c r="AN984" s="91"/>
      <c r="AO984" s="91"/>
      <c r="AP984" s="73" t="e">
        <f>MID(VLOOKUP(K984,#REF!,2,FALSE),1,2)</f>
        <v>#REF!</v>
      </c>
      <c r="AQ984" s="89">
        <f>DATE(2010,12,7)</f>
        <v>40519</v>
      </c>
      <c r="AR984" s="82">
        <f t="shared" si="66"/>
        <v>7</v>
      </c>
      <c r="AS984" s="83">
        <f t="shared" si="67"/>
        <v>12</v>
      </c>
      <c r="AT984" s="84">
        <f t="shared" si="68"/>
        <v>2010</v>
      </c>
      <c r="AU984" s="86"/>
      <c r="AV984" s="86"/>
      <c r="AW984" s="87"/>
      <c r="AX984" s="86"/>
      <c r="AY984" s="83"/>
      <c r="AZ984" s="84"/>
      <c r="BA984" s="86"/>
      <c r="BB984" s="86"/>
    </row>
    <row r="985" spans="1:54" ht="36.75" customHeight="1">
      <c r="A985" s="30"/>
      <c r="B985" s="30" t="s">
        <v>55</v>
      </c>
      <c r="C985" s="69" t="str">
        <f t="shared" si="65"/>
        <v>Closed</v>
      </c>
      <c r="D985" s="27" t="s">
        <v>5542</v>
      </c>
      <c r="E985" s="29" t="s">
        <v>5543</v>
      </c>
      <c r="F985" s="30" t="s">
        <v>423</v>
      </c>
      <c r="G985" s="89">
        <f>DATE(2010,12,8)</f>
        <v>40520</v>
      </c>
      <c r="H985" s="90">
        <v>1.4513888888888888</v>
      </c>
      <c r="I985" s="30" t="s">
        <v>73</v>
      </c>
      <c r="J985" s="89" t="s">
        <v>5544</v>
      </c>
      <c r="K985" s="30" t="s">
        <v>425</v>
      </c>
      <c r="L985" s="30" t="s">
        <v>5545</v>
      </c>
      <c r="M985" s="30" t="s">
        <v>63</v>
      </c>
      <c r="N985" s="30">
        <v>0</v>
      </c>
      <c r="O985" s="30" t="s">
        <v>64</v>
      </c>
      <c r="P985" s="89" t="s">
        <v>78</v>
      </c>
      <c r="Q985" s="89" t="s">
        <v>5546</v>
      </c>
      <c r="R985" s="89" t="s">
        <v>3103</v>
      </c>
      <c r="S985" s="30">
        <v>0</v>
      </c>
      <c r="T985" s="233" t="s">
        <v>68</v>
      </c>
      <c r="U985" s="30">
        <v>0</v>
      </c>
      <c r="V985" s="233" t="s">
        <v>68</v>
      </c>
      <c r="W985" s="30">
        <v>0</v>
      </c>
      <c r="X985" s="30">
        <v>0</v>
      </c>
      <c r="Y985" s="30">
        <v>0</v>
      </c>
      <c r="Z985" s="233" t="s">
        <v>68</v>
      </c>
      <c r="AA985" s="30">
        <v>0</v>
      </c>
      <c r="AB985" s="30">
        <v>0</v>
      </c>
      <c r="AC985" s="30">
        <v>0</v>
      </c>
      <c r="AD985" s="30">
        <v>0</v>
      </c>
      <c r="AE985" s="89" t="s">
        <v>68</v>
      </c>
      <c r="AF985" s="89"/>
      <c r="AG985" s="89" t="s">
        <v>352</v>
      </c>
      <c r="AH985" s="72" t="s">
        <v>68</v>
      </c>
      <c r="AI985" s="30">
        <v>0</v>
      </c>
      <c r="AJ985" s="89" t="s">
        <v>5547</v>
      </c>
      <c r="AK985" s="89" t="s">
        <v>5548</v>
      </c>
      <c r="AL985" s="91">
        <v>40522</v>
      </c>
      <c r="AM985" s="91"/>
      <c r="AN985" s="91"/>
      <c r="AO985" s="91"/>
      <c r="AP985" s="73" t="e">
        <f>MID(VLOOKUP(K985,#REF!,2,FALSE),1,2)</f>
        <v>#REF!</v>
      </c>
      <c r="AQ985" s="89">
        <f>DATE(2010,12,8)</f>
        <v>40520</v>
      </c>
      <c r="AR985" s="82">
        <f t="shared" si="66"/>
        <v>8</v>
      </c>
      <c r="AS985" s="83">
        <f t="shared" si="67"/>
        <v>12</v>
      </c>
      <c r="AT985" s="84">
        <f t="shared" si="68"/>
        <v>2010</v>
      </c>
      <c r="AU985" s="86"/>
      <c r="AV985" s="86"/>
      <c r="AW985" s="87"/>
      <c r="AX985" s="86"/>
      <c r="AY985" s="83"/>
      <c r="AZ985" s="84"/>
      <c r="BA985" s="86"/>
      <c r="BB985" s="86"/>
    </row>
    <row r="986" spans="1:54" ht="36.75" customHeight="1">
      <c r="A986" s="30"/>
      <c r="B986" s="30" t="s">
        <v>55</v>
      </c>
      <c r="C986" s="69" t="str">
        <f t="shared" si="65"/>
        <v>Closed</v>
      </c>
      <c r="D986" s="27" t="s">
        <v>5549</v>
      </c>
      <c r="E986" s="29" t="s">
        <v>5550</v>
      </c>
      <c r="F986" s="30" t="s">
        <v>835</v>
      </c>
      <c r="G986" s="89">
        <f>DATE(2010,12,8)</f>
        <v>40520</v>
      </c>
      <c r="H986" s="90">
        <v>1.9847222222222221</v>
      </c>
      <c r="I986" s="30" t="s">
        <v>86</v>
      </c>
      <c r="J986" s="89" t="s">
        <v>5551</v>
      </c>
      <c r="K986" s="30" t="s">
        <v>837</v>
      </c>
      <c r="L986" s="30" t="s">
        <v>5552</v>
      </c>
      <c r="M986" s="30" t="s">
        <v>63</v>
      </c>
      <c r="N986" s="30">
        <v>0</v>
      </c>
      <c r="O986" s="30" t="s">
        <v>77</v>
      </c>
      <c r="P986" s="89" t="s">
        <v>91</v>
      </c>
      <c r="Q986" s="89" t="s">
        <v>2162</v>
      </c>
      <c r="R986" s="89" t="s">
        <v>840</v>
      </c>
      <c r="S986" s="30">
        <v>0</v>
      </c>
      <c r="T986" s="233" t="s">
        <v>68</v>
      </c>
      <c r="U986" s="30">
        <v>0</v>
      </c>
      <c r="V986" s="233" t="s">
        <v>68</v>
      </c>
      <c r="W986" s="30">
        <v>0</v>
      </c>
      <c r="X986" s="30">
        <v>0</v>
      </c>
      <c r="Y986" s="30">
        <v>0</v>
      </c>
      <c r="Z986" s="233" t="s">
        <v>68</v>
      </c>
      <c r="AA986" s="30">
        <v>0</v>
      </c>
      <c r="AB986" s="30">
        <v>0</v>
      </c>
      <c r="AC986" s="30">
        <v>0</v>
      </c>
      <c r="AD986" s="30">
        <v>0</v>
      </c>
      <c r="AE986" s="89" t="s">
        <v>68</v>
      </c>
      <c r="AF986" s="89"/>
      <c r="AG986" s="89" t="s">
        <v>352</v>
      </c>
      <c r="AH986" s="72" t="s">
        <v>68</v>
      </c>
      <c r="AI986" s="30">
        <v>0</v>
      </c>
      <c r="AJ986" s="89" t="s">
        <v>68</v>
      </c>
      <c r="AK986" s="89" t="s">
        <v>68</v>
      </c>
      <c r="AL986" s="91">
        <v>40557</v>
      </c>
      <c r="AM986" s="91"/>
      <c r="AN986" s="91"/>
      <c r="AO986" s="91"/>
      <c r="AP986" s="73" t="e">
        <f>MID(VLOOKUP(K986,#REF!,2,FALSE),1,2)</f>
        <v>#REF!</v>
      </c>
      <c r="AQ986" s="89">
        <f>DATE(2010,12,8)</f>
        <v>40520</v>
      </c>
      <c r="AR986" s="82">
        <f t="shared" si="66"/>
        <v>8</v>
      </c>
      <c r="AS986" s="83">
        <f t="shared" si="67"/>
        <v>12</v>
      </c>
      <c r="AT986" s="84">
        <f t="shared" si="68"/>
        <v>2010</v>
      </c>
      <c r="AU986" s="86"/>
      <c r="AV986" s="86"/>
      <c r="AW986" s="87"/>
      <c r="AX986" s="86"/>
      <c r="AY986" s="83"/>
      <c r="AZ986" s="84"/>
      <c r="BA986" s="86"/>
      <c r="BB986" s="86"/>
    </row>
    <row r="987" spans="1:54" ht="36.75" customHeight="1">
      <c r="A987" s="30"/>
      <c r="B987" s="30" t="s">
        <v>55</v>
      </c>
      <c r="C987" s="69" t="str">
        <f t="shared" si="65"/>
        <v>Closed</v>
      </c>
      <c r="D987" s="27" t="s">
        <v>5553</v>
      </c>
      <c r="E987" s="29" t="s">
        <v>5554</v>
      </c>
      <c r="F987" s="30" t="s">
        <v>197</v>
      </c>
      <c r="G987" s="89">
        <f>DATE(2010,12,9)</f>
        <v>40521</v>
      </c>
      <c r="H987" s="90">
        <v>1.7437499999999999</v>
      </c>
      <c r="I987" s="30" t="s">
        <v>1040</v>
      </c>
      <c r="J987" s="89" t="s">
        <v>5555</v>
      </c>
      <c r="K987" s="30" t="s">
        <v>200</v>
      </c>
      <c r="L987" s="30" t="s">
        <v>5556</v>
      </c>
      <c r="M987" s="30" t="s">
        <v>63</v>
      </c>
      <c r="N987" s="30">
        <v>0</v>
      </c>
      <c r="O987" s="30" t="s">
        <v>64</v>
      </c>
      <c r="P987" s="89" t="s">
        <v>78</v>
      </c>
      <c r="Q987" s="89" t="s">
        <v>1716</v>
      </c>
      <c r="R987" s="89" t="s">
        <v>203</v>
      </c>
      <c r="S987" s="30">
        <v>0</v>
      </c>
      <c r="T987" s="233">
        <v>0</v>
      </c>
      <c r="U987" s="30">
        <v>0</v>
      </c>
      <c r="V987" s="233">
        <v>0</v>
      </c>
      <c r="W987" s="30">
        <v>0</v>
      </c>
      <c r="X987" s="30">
        <v>0</v>
      </c>
      <c r="Y987" s="30">
        <v>0</v>
      </c>
      <c r="Z987" s="233">
        <v>0</v>
      </c>
      <c r="AA987" s="30">
        <v>0</v>
      </c>
      <c r="AB987" s="30">
        <v>0</v>
      </c>
      <c r="AC987" s="30">
        <v>0</v>
      </c>
      <c r="AD987" s="30">
        <v>0</v>
      </c>
      <c r="AE987" s="89" t="s">
        <v>68</v>
      </c>
      <c r="AF987" s="89"/>
      <c r="AG987" s="89" t="s">
        <v>5557</v>
      </c>
      <c r="AH987" s="72" t="s">
        <v>68</v>
      </c>
      <c r="AI987" s="30">
        <v>0</v>
      </c>
      <c r="AJ987" s="89" t="s">
        <v>5558</v>
      </c>
      <c r="AK987" s="89" t="s">
        <v>1233</v>
      </c>
      <c r="AL987" s="91">
        <v>40640</v>
      </c>
      <c r="AM987" s="91"/>
      <c r="AN987" s="91"/>
      <c r="AO987" s="91"/>
      <c r="AP987" s="73" t="e">
        <f>MID(VLOOKUP(K987,#REF!,2,FALSE),1,2)</f>
        <v>#REF!</v>
      </c>
      <c r="AQ987" s="89">
        <f>DATE(2010,12,9)</f>
        <v>40521</v>
      </c>
      <c r="AR987" s="82">
        <f t="shared" si="66"/>
        <v>9</v>
      </c>
      <c r="AS987" s="83">
        <f t="shared" si="67"/>
        <v>12</v>
      </c>
      <c r="AT987" s="84">
        <f t="shared" si="68"/>
        <v>2010</v>
      </c>
      <c r="AU987" s="86"/>
      <c r="AV987" s="86"/>
      <c r="AW987" s="87"/>
      <c r="AX987" s="86"/>
      <c r="AY987" s="83"/>
      <c r="AZ987" s="84"/>
      <c r="BA987" s="86"/>
      <c r="BB987" s="86"/>
    </row>
    <row r="988" spans="1:54" ht="36.75" customHeight="1">
      <c r="A988" s="30"/>
      <c r="B988" s="30" t="s">
        <v>55</v>
      </c>
      <c r="C988" s="69" t="str">
        <f t="shared" si="65"/>
        <v>Closed</v>
      </c>
      <c r="D988" s="27" t="s">
        <v>5559</v>
      </c>
      <c r="E988" s="29" t="s">
        <v>5560</v>
      </c>
      <c r="F988" s="30" t="s">
        <v>835</v>
      </c>
      <c r="G988" s="89">
        <f>DATE(2010,12,9)</f>
        <v>40521</v>
      </c>
      <c r="H988" s="90">
        <v>1.1777777777777778</v>
      </c>
      <c r="I988" s="30" t="s">
        <v>73</v>
      </c>
      <c r="J988" s="89" t="s">
        <v>5561</v>
      </c>
      <c r="K988" s="30" t="s">
        <v>837</v>
      </c>
      <c r="L988" s="30" t="s">
        <v>5562</v>
      </c>
      <c r="M988" s="30" t="s">
        <v>63</v>
      </c>
      <c r="N988" s="30" t="s">
        <v>142</v>
      </c>
      <c r="O988" s="30" t="s">
        <v>77</v>
      </c>
      <c r="P988" s="89" t="s">
        <v>78</v>
      </c>
      <c r="Q988" s="89" t="s">
        <v>4708</v>
      </c>
      <c r="R988" s="89" t="s">
        <v>840</v>
      </c>
      <c r="S988" s="30">
        <v>0</v>
      </c>
      <c r="T988" s="233">
        <v>0</v>
      </c>
      <c r="U988" s="30">
        <v>0</v>
      </c>
      <c r="V988" s="233">
        <v>0</v>
      </c>
      <c r="W988" s="30">
        <v>0</v>
      </c>
      <c r="X988" s="30">
        <v>0</v>
      </c>
      <c r="Y988" s="30">
        <v>0</v>
      </c>
      <c r="Z988" s="233">
        <v>0</v>
      </c>
      <c r="AA988" s="30">
        <v>0</v>
      </c>
      <c r="AB988" s="30">
        <v>0</v>
      </c>
      <c r="AC988" s="30">
        <v>0</v>
      </c>
      <c r="AD988" s="30">
        <v>0</v>
      </c>
      <c r="AE988" s="89" t="s">
        <v>394</v>
      </c>
      <c r="AF988" s="89"/>
      <c r="AG988" s="89" t="s">
        <v>352</v>
      </c>
      <c r="AH988" s="72">
        <v>40556</v>
      </c>
      <c r="AI988" s="30">
        <v>1</v>
      </c>
      <c r="AJ988" s="89" t="s">
        <v>5563</v>
      </c>
      <c r="AK988" s="89" t="s">
        <v>68</v>
      </c>
      <c r="AL988" s="91">
        <v>40557</v>
      </c>
      <c r="AM988" s="91"/>
      <c r="AN988" s="91"/>
      <c r="AO988" s="91"/>
      <c r="AP988" s="73" t="e">
        <f>MID(VLOOKUP(K988,#REF!,2,FALSE),1,2)</f>
        <v>#REF!</v>
      </c>
      <c r="AQ988" s="89">
        <f>DATE(2010,12,9)</f>
        <v>40521</v>
      </c>
      <c r="AR988" s="82">
        <f t="shared" si="66"/>
        <v>9</v>
      </c>
      <c r="AS988" s="83">
        <f t="shared" si="67"/>
        <v>12</v>
      </c>
      <c r="AT988" s="84">
        <f t="shared" si="68"/>
        <v>2010</v>
      </c>
      <c r="AU988" s="86"/>
      <c r="AV988" s="86"/>
      <c r="AW988" s="87"/>
      <c r="AX988" s="86"/>
      <c r="AY988" s="83"/>
      <c r="AZ988" s="84"/>
      <c r="BA988" s="86"/>
      <c r="BB988" s="86"/>
    </row>
    <row r="989" spans="1:54" ht="36.75" customHeight="1">
      <c r="A989" s="30"/>
      <c r="B989" s="30" t="s">
        <v>55</v>
      </c>
      <c r="C989" s="69" t="str">
        <f t="shared" si="65"/>
        <v>Closed</v>
      </c>
      <c r="D989" s="27" t="s">
        <v>5564</v>
      </c>
      <c r="E989" s="29" t="s">
        <v>5565</v>
      </c>
      <c r="F989" s="30" t="s">
        <v>1572</v>
      </c>
      <c r="G989" s="89">
        <f>DATE(2010,12,9)</f>
        <v>40521</v>
      </c>
      <c r="H989" s="90">
        <v>1.7222222222222223</v>
      </c>
      <c r="I989" s="30" t="s">
        <v>198</v>
      </c>
      <c r="J989" s="89" t="s">
        <v>5566</v>
      </c>
      <c r="K989" s="30" t="s">
        <v>1574</v>
      </c>
      <c r="L989" s="30" t="s">
        <v>5567</v>
      </c>
      <c r="M989" s="30" t="s">
        <v>63</v>
      </c>
      <c r="N989" s="30" t="s">
        <v>142</v>
      </c>
      <c r="O989" s="30" t="s">
        <v>64</v>
      </c>
      <c r="P989" s="89" t="s">
        <v>5568</v>
      </c>
      <c r="Q989" s="89" t="s">
        <v>5569</v>
      </c>
      <c r="R989" s="89">
        <v>0</v>
      </c>
      <c r="S989" s="30">
        <v>0</v>
      </c>
      <c r="T989" s="233">
        <v>0</v>
      </c>
      <c r="U989" s="30">
        <v>0</v>
      </c>
      <c r="V989" s="233">
        <v>0</v>
      </c>
      <c r="W989" s="30">
        <v>0</v>
      </c>
      <c r="X989" s="30">
        <v>0</v>
      </c>
      <c r="Y989" s="30">
        <v>0</v>
      </c>
      <c r="Z989" s="233">
        <v>2</v>
      </c>
      <c r="AA989" s="30">
        <v>0</v>
      </c>
      <c r="AB989" s="30">
        <v>0</v>
      </c>
      <c r="AC989" s="30">
        <v>0</v>
      </c>
      <c r="AD989" s="30">
        <v>2</v>
      </c>
      <c r="AE989" s="89" t="s">
        <v>92</v>
      </c>
      <c r="AF989" s="89"/>
      <c r="AG989" s="89" t="s">
        <v>133</v>
      </c>
      <c r="AH989" s="72">
        <v>40525</v>
      </c>
      <c r="AI989" s="30">
        <v>4</v>
      </c>
      <c r="AJ989" s="89" t="s">
        <v>5570</v>
      </c>
      <c r="AK989" s="89" t="s">
        <v>1233</v>
      </c>
      <c r="AL989" s="91">
        <v>40528</v>
      </c>
      <c r="AM989" s="91"/>
      <c r="AN989" s="91"/>
      <c r="AO989" s="91"/>
      <c r="AP989" s="73" t="e">
        <f>MID(VLOOKUP(K989,#REF!,2,FALSE),1,2)</f>
        <v>#REF!</v>
      </c>
      <c r="AQ989" s="89">
        <f>DATE(2010,12,9)</f>
        <v>40521</v>
      </c>
      <c r="AR989" s="82">
        <f t="shared" si="66"/>
        <v>9</v>
      </c>
      <c r="AS989" s="83">
        <f t="shared" si="67"/>
        <v>12</v>
      </c>
      <c r="AT989" s="84">
        <f t="shared" si="68"/>
        <v>2010</v>
      </c>
      <c r="AU989" s="86"/>
      <c r="AV989" s="86"/>
      <c r="AW989" s="87"/>
      <c r="AX989" s="86"/>
      <c r="AY989" s="83"/>
      <c r="AZ989" s="84"/>
      <c r="BA989" s="86"/>
      <c r="BB989" s="86"/>
    </row>
    <row r="990" spans="1:54" ht="36.75" customHeight="1">
      <c r="A990" s="30"/>
      <c r="B990" s="30" t="s">
        <v>55</v>
      </c>
      <c r="C990" s="69" t="str">
        <f t="shared" si="65"/>
        <v>Closed</v>
      </c>
      <c r="D990" s="27" t="s">
        <v>5571</v>
      </c>
      <c r="E990" s="29" t="s">
        <v>5572</v>
      </c>
      <c r="F990" s="30" t="s">
        <v>835</v>
      </c>
      <c r="G990" s="89">
        <f>DATE(2010,12,13)</f>
        <v>40525</v>
      </c>
      <c r="H990" s="90">
        <v>1.6458333333333335</v>
      </c>
      <c r="I990" s="30" t="s">
        <v>86</v>
      </c>
      <c r="J990" s="89" t="s">
        <v>5573</v>
      </c>
      <c r="K990" s="30" t="s">
        <v>837</v>
      </c>
      <c r="L990" s="30" t="s">
        <v>5574</v>
      </c>
      <c r="M990" s="30" t="s">
        <v>63</v>
      </c>
      <c r="N990" s="30" t="s">
        <v>99</v>
      </c>
      <c r="O990" s="30" t="s">
        <v>77</v>
      </c>
      <c r="P990" s="89" t="s">
        <v>91</v>
      </c>
      <c r="Q990" s="89" t="s">
        <v>4708</v>
      </c>
      <c r="R990" s="89" t="s">
        <v>840</v>
      </c>
      <c r="S990" s="30">
        <v>0</v>
      </c>
      <c r="T990" s="233">
        <v>0</v>
      </c>
      <c r="U990" s="30">
        <v>0</v>
      </c>
      <c r="V990" s="233">
        <v>0</v>
      </c>
      <c r="W990" s="30">
        <v>0</v>
      </c>
      <c r="X990" s="30">
        <v>0</v>
      </c>
      <c r="Y990" s="30">
        <v>0</v>
      </c>
      <c r="Z990" s="233">
        <v>0</v>
      </c>
      <c r="AA990" s="30">
        <v>0</v>
      </c>
      <c r="AB990" s="30">
        <v>0</v>
      </c>
      <c r="AC990" s="30">
        <v>0</v>
      </c>
      <c r="AD990" s="30">
        <v>0</v>
      </c>
      <c r="AE990" s="89" t="s">
        <v>92</v>
      </c>
      <c r="AF990" s="89"/>
      <c r="AG990" s="89" t="s">
        <v>352</v>
      </c>
      <c r="AH990" s="72">
        <v>40556</v>
      </c>
      <c r="AI990" s="30">
        <v>1</v>
      </c>
      <c r="AJ990" s="89" t="s">
        <v>5575</v>
      </c>
      <c r="AK990" s="89" t="s">
        <v>68</v>
      </c>
      <c r="AL990" s="91">
        <v>40557</v>
      </c>
      <c r="AM990" s="91"/>
      <c r="AN990" s="91"/>
      <c r="AO990" s="91"/>
      <c r="AP990" s="73" t="e">
        <f>MID(VLOOKUP(K990,#REF!,2,FALSE),1,2)</f>
        <v>#REF!</v>
      </c>
      <c r="AQ990" s="89">
        <f>DATE(2010,12,13)</f>
        <v>40525</v>
      </c>
      <c r="AR990" s="82">
        <f t="shared" si="66"/>
        <v>13</v>
      </c>
      <c r="AS990" s="83">
        <f t="shared" si="67"/>
        <v>12</v>
      </c>
      <c r="AT990" s="84">
        <f t="shared" si="68"/>
        <v>2010</v>
      </c>
      <c r="AU990" s="86"/>
      <c r="AV990" s="86"/>
      <c r="AW990" s="87"/>
      <c r="AX990" s="86"/>
      <c r="AY990" s="83"/>
      <c r="AZ990" s="84"/>
      <c r="BA990" s="86"/>
      <c r="BB990" s="86"/>
    </row>
    <row r="991" spans="1:54" ht="36.75" customHeight="1">
      <c r="A991" s="30"/>
      <c r="B991" s="30" t="s">
        <v>55</v>
      </c>
      <c r="C991" s="69" t="str">
        <f t="shared" si="65"/>
        <v>Closed</v>
      </c>
      <c r="D991" s="27" t="s">
        <v>5576</v>
      </c>
      <c r="E991" s="29" t="s">
        <v>5577</v>
      </c>
      <c r="F991" s="30" t="s">
        <v>115</v>
      </c>
      <c r="G991" s="89">
        <f>DATE(2010,12,14)</f>
        <v>40526</v>
      </c>
      <c r="H991" s="90">
        <v>1.7666666666666666</v>
      </c>
      <c r="I991" s="30" t="s">
        <v>116</v>
      </c>
      <c r="J991" s="89" t="s">
        <v>5578</v>
      </c>
      <c r="K991" s="30" t="s">
        <v>118</v>
      </c>
      <c r="L991" s="30" t="s">
        <v>5579</v>
      </c>
      <c r="M991" s="30" t="s">
        <v>63</v>
      </c>
      <c r="N991" s="30">
        <v>0</v>
      </c>
      <c r="O991" s="30" t="s">
        <v>64</v>
      </c>
      <c r="P991" s="89" t="s">
        <v>165</v>
      </c>
      <c r="Q991" s="89" t="s">
        <v>120</v>
      </c>
      <c r="R991" s="89" t="s">
        <v>121</v>
      </c>
      <c r="S991" s="30">
        <v>0</v>
      </c>
      <c r="T991" s="233">
        <v>0</v>
      </c>
      <c r="U991" s="30">
        <v>0</v>
      </c>
      <c r="V991" s="233">
        <v>0</v>
      </c>
      <c r="W991" s="30">
        <v>0</v>
      </c>
      <c r="X991" s="30">
        <v>0</v>
      </c>
      <c r="Y991" s="30">
        <v>0</v>
      </c>
      <c r="Z991" s="233">
        <v>0</v>
      </c>
      <c r="AA991" s="30">
        <v>1</v>
      </c>
      <c r="AB991" s="30">
        <v>0</v>
      </c>
      <c r="AC991" s="30">
        <v>0</v>
      </c>
      <c r="AD991" s="30">
        <v>1</v>
      </c>
      <c r="AE991" s="89" t="s">
        <v>68</v>
      </c>
      <c r="AF991" s="89"/>
      <c r="AG991" s="89" t="s">
        <v>248</v>
      </c>
      <c r="AH991" s="72" t="s">
        <v>68</v>
      </c>
      <c r="AI991" s="30">
        <v>2</v>
      </c>
      <c r="AJ991" s="89" t="s">
        <v>5580</v>
      </c>
      <c r="AK991" s="89" t="s">
        <v>68</v>
      </c>
      <c r="AL991" s="91">
        <v>40534</v>
      </c>
      <c r="AM991" s="91"/>
      <c r="AN991" s="91"/>
      <c r="AO991" s="91"/>
      <c r="AP991" s="73" t="e">
        <f>MID(VLOOKUP(K991,#REF!,2,FALSE),1,2)</f>
        <v>#REF!</v>
      </c>
      <c r="AQ991" s="89">
        <f>DATE(2010,12,14)</f>
        <v>40526</v>
      </c>
      <c r="AR991" s="82">
        <f t="shared" si="66"/>
        <v>14</v>
      </c>
      <c r="AS991" s="83">
        <f t="shared" si="67"/>
        <v>12</v>
      </c>
      <c r="AT991" s="84">
        <f t="shared" si="68"/>
        <v>2010</v>
      </c>
      <c r="AU991" s="86"/>
      <c r="AV991" s="86"/>
      <c r="AW991" s="87"/>
      <c r="AX991" s="86"/>
      <c r="AY991" s="83"/>
      <c r="AZ991" s="84"/>
      <c r="BA991" s="86"/>
      <c r="BB991" s="86"/>
    </row>
    <row r="992" spans="1:54" ht="36.75" customHeight="1">
      <c r="A992" s="30"/>
      <c r="B992" s="30" t="s">
        <v>55</v>
      </c>
      <c r="C992" s="69" t="str">
        <f t="shared" si="65"/>
        <v>Closed</v>
      </c>
      <c r="D992" s="27" t="s">
        <v>5581</v>
      </c>
      <c r="E992" s="29" t="s">
        <v>5582</v>
      </c>
      <c r="F992" s="30" t="s">
        <v>835</v>
      </c>
      <c r="G992" s="89">
        <f>DATE(2010,12,19)</f>
        <v>40531</v>
      </c>
      <c r="H992" s="90">
        <v>1.5034722222222223</v>
      </c>
      <c r="I992" s="30" t="s">
        <v>116</v>
      </c>
      <c r="J992" s="89" t="s">
        <v>5583</v>
      </c>
      <c r="K992" s="30" t="s">
        <v>837</v>
      </c>
      <c r="L992" s="30" t="s">
        <v>5584</v>
      </c>
      <c r="M992" s="30" t="s">
        <v>63</v>
      </c>
      <c r="N992" s="30">
        <v>0</v>
      </c>
      <c r="O992" s="30" t="s">
        <v>64</v>
      </c>
      <c r="P992" s="89" t="s">
        <v>165</v>
      </c>
      <c r="Q992" s="89" t="s">
        <v>2162</v>
      </c>
      <c r="R992" s="89" t="s">
        <v>840</v>
      </c>
      <c r="S992" s="30">
        <v>0</v>
      </c>
      <c r="T992" s="233">
        <v>0</v>
      </c>
      <c r="U992" s="30">
        <v>0</v>
      </c>
      <c r="V992" s="233">
        <v>0</v>
      </c>
      <c r="W992" s="30">
        <v>0</v>
      </c>
      <c r="X992" s="30">
        <v>0</v>
      </c>
      <c r="Y992" s="30">
        <v>0</v>
      </c>
      <c r="Z992" s="233">
        <v>0</v>
      </c>
      <c r="AA992" s="30">
        <v>1</v>
      </c>
      <c r="AB992" s="30">
        <v>0</v>
      </c>
      <c r="AC992" s="30">
        <v>0</v>
      </c>
      <c r="AD992" s="30">
        <v>1</v>
      </c>
      <c r="AE992" s="89" t="s">
        <v>68</v>
      </c>
      <c r="AF992" s="89"/>
      <c r="AG992" s="89" t="s">
        <v>352</v>
      </c>
      <c r="AH992" s="72" t="s">
        <v>68</v>
      </c>
      <c r="AI992" s="30">
        <v>0</v>
      </c>
      <c r="AJ992" s="89" t="s">
        <v>68</v>
      </c>
      <c r="AK992" s="89" t="s">
        <v>68</v>
      </c>
      <c r="AL992" s="91">
        <v>40557</v>
      </c>
      <c r="AM992" s="91"/>
      <c r="AN992" s="91"/>
      <c r="AO992" s="91"/>
      <c r="AP992" s="73" t="e">
        <f>MID(VLOOKUP(K992,#REF!,2,FALSE),1,2)</f>
        <v>#REF!</v>
      </c>
      <c r="AQ992" s="89">
        <f>DATE(2010,12,19)</f>
        <v>40531</v>
      </c>
      <c r="AR992" s="82">
        <f t="shared" si="66"/>
        <v>19</v>
      </c>
      <c r="AS992" s="83">
        <f t="shared" si="67"/>
        <v>12</v>
      </c>
      <c r="AT992" s="84">
        <f t="shared" si="68"/>
        <v>2010</v>
      </c>
      <c r="AU992" s="86"/>
      <c r="AV992" s="86"/>
      <c r="AW992" s="87"/>
      <c r="AX992" s="86"/>
      <c r="AY992" s="83"/>
      <c r="AZ992" s="84"/>
      <c r="BA992" s="86"/>
      <c r="BB992" s="86"/>
    </row>
    <row r="993" spans="1:54" ht="36.75" customHeight="1">
      <c r="A993" s="30"/>
      <c r="B993" s="30" t="s">
        <v>55</v>
      </c>
      <c r="C993" s="69" t="str">
        <f t="shared" si="65"/>
        <v>Closed</v>
      </c>
      <c r="D993" s="27" t="s">
        <v>5585</v>
      </c>
      <c r="E993" s="29" t="s">
        <v>5586</v>
      </c>
      <c r="F993" s="30" t="s">
        <v>423</v>
      </c>
      <c r="G993" s="89">
        <f>DATE(2010,12,20)</f>
        <v>40532</v>
      </c>
      <c r="H993" s="90">
        <v>1.3722222222222222</v>
      </c>
      <c r="I993" s="30" t="s">
        <v>198</v>
      </c>
      <c r="J993" s="89" t="s">
        <v>5587</v>
      </c>
      <c r="K993" s="30" t="s">
        <v>425</v>
      </c>
      <c r="L993" s="30" t="s">
        <v>5588</v>
      </c>
      <c r="M993" s="30" t="s">
        <v>63</v>
      </c>
      <c r="N993" s="30">
        <v>0</v>
      </c>
      <c r="O993" s="30" t="s">
        <v>77</v>
      </c>
      <c r="P993" s="89" t="s">
        <v>1912</v>
      </c>
      <c r="Q993" s="89" t="s">
        <v>5052</v>
      </c>
      <c r="R993" s="89" t="s">
        <v>3103</v>
      </c>
      <c r="S993" s="30">
        <v>0</v>
      </c>
      <c r="T993" s="233">
        <v>0</v>
      </c>
      <c r="U993" s="30">
        <v>0</v>
      </c>
      <c r="V993" s="233">
        <v>0</v>
      </c>
      <c r="W993" s="30">
        <v>0</v>
      </c>
      <c r="X993" s="30">
        <v>0</v>
      </c>
      <c r="Y993" s="30">
        <v>1</v>
      </c>
      <c r="Z993" s="233">
        <v>0</v>
      </c>
      <c r="AA993" s="30">
        <v>0</v>
      </c>
      <c r="AB993" s="30">
        <v>0</v>
      </c>
      <c r="AC993" s="30">
        <v>0</v>
      </c>
      <c r="AD993" s="30">
        <v>1</v>
      </c>
      <c r="AE993" s="89" t="s">
        <v>68</v>
      </c>
      <c r="AF993" s="89"/>
      <c r="AG993" s="89" t="s">
        <v>133</v>
      </c>
      <c r="AH993" s="72" t="s">
        <v>68</v>
      </c>
      <c r="AI993" s="30">
        <v>4</v>
      </c>
      <c r="AJ993" s="89" t="s">
        <v>5589</v>
      </c>
      <c r="AK993" s="89" t="s">
        <v>5590</v>
      </c>
      <c r="AL993" s="91">
        <v>40533</v>
      </c>
      <c r="AM993" s="91"/>
      <c r="AN993" s="91"/>
      <c r="AO993" s="91"/>
      <c r="AP993" s="73" t="e">
        <f>MID(VLOOKUP(K993,#REF!,2,FALSE),1,2)</f>
        <v>#REF!</v>
      </c>
      <c r="AQ993" s="89">
        <f>DATE(2010,12,20)</f>
        <v>40532</v>
      </c>
      <c r="AR993" s="82">
        <f t="shared" si="66"/>
        <v>20</v>
      </c>
      <c r="AS993" s="83">
        <f t="shared" si="67"/>
        <v>12</v>
      </c>
      <c r="AT993" s="84">
        <f t="shared" si="68"/>
        <v>2010</v>
      </c>
      <c r="AU993" s="86"/>
      <c r="AV993" s="86"/>
      <c r="AW993" s="87"/>
      <c r="AX993" s="86"/>
      <c r="AY993" s="83"/>
      <c r="AZ993" s="84"/>
      <c r="BA993" s="86"/>
      <c r="BB993" s="86"/>
    </row>
    <row r="994" spans="1:54" ht="36.75" customHeight="1">
      <c r="A994" s="30"/>
      <c r="B994" s="30" t="s">
        <v>55</v>
      </c>
      <c r="C994" s="69" t="str">
        <f t="shared" si="65"/>
        <v>Closed</v>
      </c>
      <c r="D994" s="27" t="s">
        <v>5591</v>
      </c>
      <c r="E994" s="29" t="s">
        <v>5592</v>
      </c>
      <c r="F994" s="30" t="s">
        <v>835</v>
      </c>
      <c r="G994" s="89">
        <f>DATE(2010,12,22)</f>
        <v>40534</v>
      </c>
      <c r="H994" s="90">
        <v>1.4027777777777777</v>
      </c>
      <c r="I994" s="30" t="s">
        <v>116</v>
      </c>
      <c r="J994" s="89" t="s">
        <v>5593</v>
      </c>
      <c r="K994" s="30" t="s">
        <v>837</v>
      </c>
      <c r="L994" s="30" t="s">
        <v>5594</v>
      </c>
      <c r="M994" s="30" t="s">
        <v>63</v>
      </c>
      <c r="N994" s="30">
        <v>0</v>
      </c>
      <c r="O994" s="30" t="s">
        <v>64</v>
      </c>
      <c r="P994" s="89" t="s">
        <v>165</v>
      </c>
      <c r="Q994" s="89" t="s">
        <v>2162</v>
      </c>
      <c r="R994" s="89" t="s">
        <v>840</v>
      </c>
      <c r="S994" s="30">
        <v>0</v>
      </c>
      <c r="T994" s="233">
        <v>0</v>
      </c>
      <c r="U994" s="30">
        <v>1</v>
      </c>
      <c r="V994" s="233">
        <v>0</v>
      </c>
      <c r="W994" s="30">
        <v>0</v>
      </c>
      <c r="X994" s="30">
        <v>1</v>
      </c>
      <c r="Y994" s="30">
        <v>0</v>
      </c>
      <c r="Z994" s="233">
        <v>0</v>
      </c>
      <c r="AA994" s="30">
        <v>0</v>
      </c>
      <c r="AB994" s="30">
        <v>0</v>
      </c>
      <c r="AC994" s="30">
        <v>0</v>
      </c>
      <c r="AD994" s="30">
        <v>0</v>
      </c>
      <c r="AE994" s="89" t="s">
        <v>68</v>
      </c>
      <c r="AF994" s="89"/>
      <c r="AG994" s="89" t="s">
        <v>352</v>
      </c>
      <c r="AH994" s="72" t="s">
        <v>68</v>
      </c>
      <c r="AI994" s="30">
        <v>0</v>
      </c>
      <c r="AJ994" s="89" t="s">
        <v>68</v>
      </c>
      <c r="AK994" s="89" t="s">
        <v>68</v>
      </c>
      <c r="AL994" s="91">
        <v>40792</v>
      </c>
      <c r="AM994" s="91"/>
      <c r="AN994" s="91"/>
      <c r="AO994" s="91"/>
      <c r="AP994" s="73" t="e">
        <f>MID(VLOOKUP(K994,#REF!,2,FALSE),1,2)</f>
        <v>#REF!</v>
      </c>
      <c r="AQ994" s="89">
        <f>DATE(2010,12,22)</f>
        <v>40534</v>
      </c>
      <c r="AR994" s="82">
        <f t="shared" si="66"/>
        <v>22</v>
      </c>
      <c r="AS994" s="83">
        <f t="shared" si="67"/>
        <v>12</v>
      </c>
      <c r="AT994" s="84">
        <f t="shared" si="68"/>
        <v>2010</v>
      </c>
      <c r="AU994" s="86"/>
      <c r="AV994" s="86"/>
      <c r="AW994" s="87"/>
      <c r="AX994" s="86"/>
      <c r="AY994" s="83"/>
      <c r="AZ994" s="84"/>
      <c r="BA994" s="86"/>
      <c r="BB994" s="86"/>
    </row>
    <row r="995" spans="1:54" ht="36.75" customHeight="1">
      <c r="A995" s="30"/>
      <c r="B995" s="30" t="s">
        <v>55</v>
      </c>
      <c r="C995" s="69" t="str">
        <f t="shared" si="65"/>
        <v>Closed</v>
      </c>
      <c r="D995" s="27" t="s">
        <v>5595</v>
      </c>
      <c r="E995" s="29" t="s">
        <v>5596</v>
      </c>
      <c r="F995" s="30" t="s">
        <v>1749</v>
      </c>
      <c r="G995" s="89">
        <f>DATE(2010,12,23)</f>
        <v>40535</v>
      </c>
      <c r="H995" s="90">
        <v>1.1118055555555555</v>
      </c>
      <c r="I995" s="30" t="s">
        <v>198</v>
      </c>
      <c r="J995" s="89" t="s">
        <v>5597</v>
      </c>
      <c r="K995" s="30" t="s">
        <v>1751</v>
      </c>
      <c r="L995" s="30" t="s">
        <v>5598</v>
      </c>
      <c r="M995" s="30" t="s">
        <v>63</v>
      </c>
      <c r="N995" s="30" t="s">
        <v>142</v>
      </c>
      <c r="O995" s="30" t="s">
        <v>64</v>
      </c>
      <c r="P995" s="89" t="s">
        <v>5599</v>
      </c>
      <c r="Q995" s="89" t="s">
        <v>5600</v>
      </c>
      <c r="R995" s="89" t="s">
        <v>3619</v>
      </c>
      <c r="S995" s="30">
        <v>0</v>
      </c>
      <c r="T995" s="233">
        <v>1</v>
      </c>
      <c r="U995" s="30">
        <v>0</v>
      </c>
      <c r="V995" s="233">
        <v>0</v>
      </c>
      <c r="W995" s="30">
        <v>0</v>
      </c>
      <c r="X995" s="30">
        <v>1</v>
      </c>
      <c r="Y995" s="30">
        <v>0</v>
      </c>
      <c r="Z995" s="233">
        <v>0</v>
      </c>
      <c r="AA995" s="30">
        <v>0</v>
      </c>
      <c r="AB995" s="30">
        <v>0</v>
      </c>
      <c r="AC995" s="30">
        <v>0</v>
      </c>
      <c r="AD995" s="30">
        <v>0</v>
      </c>
      <c r="AE995" s="89" t="s">
        <v>394</v>
      </c>
      <c r="AF995" s="89"/>
      <c r="AG995" s="89" t="s">
        <v>82</v>
      </c>
      <c r="AH995" s="72">
        <v>40535</v>
      </c>
      <c r="AI995" s="30">
        <v>18</v>
      </c>
      <c r="AJ995" s="89" t="s">
        <v>5601</v>
      </c>
      <c r="AK995" s="89" t="s">
        <v>68</v>
      </c>
      <c r="AL995" s="91">
        <v>40540</v>
      </c>
      <c r="AM995" s="91"/>
      <c r="AN995" s="91"/>
      <c r="AO995" s="91"/>
      <c r="AP995" s="73" t="e">
        <f>MID(VLOOKUP(K995,#REF!,2,FALSE),1,2)</f>
        <v>#REF!</v>
      </c>
      <c r="AQ995" s="89">
        <f>DATE(2010,12,23)</f>
        <v>40535</v>
      </c>
      <c r="AR995" s="82">
        <f t="shared" si="66"/>
        <v>23</v>
      </c>
      <c r="AS995" s="83">
        <f t="shared" si="67"/>
        <v>12</v>
      </c>
      <c r="AT995" s="84">
        <f t="shared" si="68"/>
        <v>2010</v>
      </c>
      <c r="AU995" s="86"/>
      <c r="AV995" s="86"/>
      <c r="AW995" s="87"/>
      <c r="AX995" s="86"/>
      <c r="AY995" s="83"/>
      <c r="AZ995" s="84"/>
      <c r="BA995" s="86"/>
      <c r="BB995" s="86"/>
    </row>
    <row r="996" spans="1:54" ht="36.75" customHeight="1">
      <c r="A996" s="30"/>
      <c r="B996" s="30" t="s">
        <v>55</v>
      </c>
      <c r="C996" s="69" t="str">
        <f t="shared" si="65"/>
        <v>Closed</v>
      </c>
      <c r="D996" s="27" t="s">
        <v>5602</v>
      </c>
      <c r="E996" s="29" t="s">
        <v>5603</v>
      </c>
      <c r="F996" s="30" t="s">
        <v>1572</v>
      </c>
      <c r="G996" s="89">
        <f>DATE(2010,12,24)</f>
        <v>40536</v>
      </c>
      <c r="H996" s="90">
        <v>1.8819444444444446</v>
      </c>
      <c r="I996" s="30" t="s">
        <v>125</v>
      </c>
      <c r="J996" s="89" t="s">
        <v>5604</v>
      </c>
      <c r="K996" s="30" t="s">
        <v>1574</v>
      </c>
      <c r="L996" s="30" t="s">
        <v>5605</v>
      </c>
      <c r="M996" s="30" t="s">
        <v>63</v>
      </c>
      <c r="N996" s="30">
        <v>0</v>
      </c>
      <c r="O996" s="30" t="s">
        <v>64</v>
      </c>
      <c r="P996" s="89" t="s">
        <v>165</v>
      </c>
      <c r="Q996" s="89" t="s">
        <v>2413</v>
      </c>
      <c r="R996" s="89">
        <v>0</v>
      </c>
      <c r="S996" s="30">
        <v>0</v>
      </c>
      <c r="T996" s="233" t="s">
        <v>68</v>
      </c>
      <c r="U996" s="30">
        <v>0</v>
      </c>
      <c r="V996" s="233" t="s">
        <v>68</v>
      </c>
      <c r="W996" s="30">
        <v>0</v>
      </c>
      <c r="X996" s="30">
        <v>0</v>
      </c>
      <c r="Y996" s="30">
        <v>0</v>
      </c>
      <c r="Z996" s="233" t="s">
        <v>68</v>
      </c>
      <c r="AA996" s="30">
        <v>0</v>
      </c>
      <c r="AB996" s="30">
        <v>0</v>
      </c>
      <c r="AC996" s="30">
        <v>0</v>
      </c>
      <c r="AD996" s="30">
        <v>0</v>
      </c>
      <c r="AE996" s="89" t="s">
        <v>68</v>
      </c>
      <c r="AF996" s="89"/>
      <c r="AG996" s="89" t="s">
        <v>133</v>
      </c>
      <c r="AH996" s="72" t="s">
        <v>68</v>
      </c>
      <c r="AI996" s="30">
        <v>1</v>
      </c>
      <c r="AJ996" s="89" t="s">
        <v>5606</v>
      </c>
      <c r="AK996" s="89" t="s">
        <v>5607</v>
      </c>
      <c r="AL996" s="91">
        <v>40542</v>
      </c>
      <c r="AM996" s="91"/>
      <c r="AN996" s="91"/>
      <c r="AO996" s="91"/>
      <c r="AP996" s="73" t="e">
        <f>MID(VLOOKUP(K996,#REF!,2,FALSE),1,2)</f>
        <v>#REF!</v>
      </c>
      <c r="AQ996" s="89">
        <f>DATE(2010,12,24)</f>
        <v>40536</v>
      </c>
      <c r="AR996" s="82">
        <f t="shared" si="66"/>
        <v>24</v>
      </c>
      <c r="AS996" s="83">
        <f t="shared" si="67"/>
        <v>12</v>
      </c>
      <c r="AT996" s="84">
        <f t="shared" si="68"/>
        <v>2010</v>
      </c>
      <c r="AU996" s="86"/>
      <c r="AV996" s="86"/>
      <c r="AW996" s="87"/>
      <c r="AX996" s="86"/>
      <c r="AY996" s="83"/>
      <c r="AZ996" s="84"/>
      <c r="BA996" s="86"/>
      <c r="BB996" s="86"/>
    </row>
    <row r="997" spans="1:54" ht="36.75" customHeight="1">
      <c r="A997" s="30"/>
      <c r="B997" s="30" t="s">
        <v>55</v>
      </c>
      <c r="C997" s="69" t="str">
        <f t="shared" si="65"/>
        <v>Closed</v>
      </c>
      <c r="D997" s="27" t="s">
        <v>5608</v>
      </c>
      <c r="E997" s="29" t="s">
        <v>5609</v>
      </c>
      <c r="F997" s="30" t="s">
        <v>233</v>
      </c>
      <c r="G997" s="89">
        <f>DATE(2010,12,28)</f>
        <v>40540</v>
      </c>
      <c r="H997" s="90">
        <v>1.054861111111111</v>
      </c>
      <c r="I997" s="30" t="s">
        <v>156</v>
      </c>
      <c r="J997" s="89" t="s">
        <v>5610</v>
      </c>
      <c r="K997" s="30" t="s">
        <v>235</v>
      </c>
      <c r="L997" s="30" t="s">
        <v>5611</v>
      </c>
      <c r="M997" s="30" t="s">
        <v>63</v>
      </c>
      <c r="N997" s="30">
        <v>0</v>
      </c>
      <c r="O997" s="30" t="s">
        <v>64</v>
      </c>
      <c r="P997" s="89" t="s">
        <v>165</v>
      </c>
      <c r="Q997" s="89" t="s">
        <v>5612</v>
      </c>
      <c r="R997" s="89" t="s">
        <v>238</v>
      </c>
      <c r="S997" s="30">
        <v>0</v>
      </c>
      <c r="T997" s="233" t="s">
        <v>68</v>
      </c>
      <c r="U997" s="30">
        <v>0</v>
      </c>
      <c r="V997" s="233" t="s">
        <v>68</v>
      </c>
      <c r="W997" s="30">
        <v>0</v>
      </c>
      <c r="X997" s="30">
        <v>0</v>
      </c>
      <c r="Y997" s="30">
        <v>0</v>
      </c>
      <c r="Z997" s="233" t="s">
        <v>68</v>
      </c>
      <c r="AA997" s="30">
        <v>0</v>
      </c>
      <c r="AB997" s="30">
        <v>0</v>
      </c>
      <c r="AC997" s="30">
        <v>0</v>
      </c>
      <c r="AD997" s="30">
        <v>0</v>
      </c>
      <c r="AE997" s="89" t="s">
        <v>68</v>
      </c>
      <c r="AF997" s="89"/>
      <c r="AG997" s="89" t="s">
        <v>352</v>
      </c>
      <c r="AH997" s="72" t="s">
        <v>68</v>
      </c>
      <c r="AI997" s="30">
        <v>5</v>
      </c>
      <c r="AJ997" s="89" t="s">
        <v>5613</v>
      </c>
      <c r="AK997" s="89" t="s">
        <v>5614</v>
      </c>
      <c r="AL997" s="91">
        <v>40550</v>
      </c>
      <c r="AM997" s="91"/>
      <c r="AN997" s="91"/>
      <c r="AO997" s="91"/>
      <c r="AP997" s="73" t="e">
        <f>MID(VLOOKUP(K997,#REF!,2,FALSE),1,2)</f>
        <v>#REF!</v>
      </c>
      <c r="AQ997" s="89">
        <f>DATE(2010,12,28)</f>
        <v>40540</v>
      </c>
      <c r="AR997" s="82">
        <f t="shared" si="66"/>
        <v>28</v>
      </c>
      <c r="AS997" s="83">
        <f t="shared" si="67"/>
        <v>12</v>
      </c>
      <c r="AT997" s="84">
        <f t="shared" si="68"/>
        <v>2010</v>
      </c>
      <c r="AU997" s="86"/>
      <c r="AV997" s="86"/>
      <c r="AW997" s="87"/>
      <c r="AX997" s="86"/>
      <c r="AY997" s="83"/>
      <c r="AZ997" s="84"/>
      <c r="BA997" s="86"/>
      <c r="BB997" s="86"/>
    </row>
    <row r="998" spans="1:54" ht="36.75" customHeight="1">
      <c r="A998" s="30"/>
      <c r="B998" s="30" t="s">
        <v>55</v>
      </c>
      <c r="C998" s="69" t="str">
        <f t="shared" si="65"/>
        <v>Closed</v>
      </c>
      <c r="D998" s="27" t="s">
        <v>5615</v>
      </c>
      <c r="E998" s="29" t="s">
        <v>5616</v>
      </c>
      <c r="F998" s="30" t="s">
        <v>1572</v>
      </c>
      <c r="G998" s="89">
        <f>DATE(2010,12,31)</f>
        <v>40543</v>
      </c>
      <c r="H998" s="90">
        <v>1.2256944444444444</v>
      </c>
      <c r="I998" s="30" t="s">
        <v>73</v>
      </c>
      <c r="J998" s="89" t="s">
        <v>5617</v>
      </c>
      <c r="K998" s="30" t="s">
        <v>1574</v>
      </c>
      <c r="L998" s="30" t="s">
        <v>5618</v>
      </c>
      <c r="M998" s="30" t="s">
        <v>63</v>
      </c>
      <c r="N998" s="30">
        <v>0</v>
      </c>
      <c r="O998" s="30" t="s">
        <v>77</v>
      </c>
      <c r="P998" s="89" t="s">
        <v>78</v>
      </c>
      <c r="Q998" s="89" t="s">
        <v>5619</v>
      </c>
      <c r="R998" s="89">
        <v>0</v>
      </c>
      <c r="S998" s="30">
        <v>0</v>
      </c>
      <c r="T998" s="233">
        <v>0</v>
      </c>
      <c r="U998" s="30">
        <v>0</v>
      </c>
      <c r="V998" s="233">
        <v>0</v>
      </c>
      <c r="W998" s="30">
        <v>0</v>
      </c>
      <c r="X998" s="30">
        <v>0</v>
      </c>
      <c r="Y998" s="30">
        <v>0</v>
      </c>
      <c r="Z998" s="233">
        <v>0</v>
      </c>
      <c r="AA998" s="30">
        <v>0</v>
      </c>
      <c r="AB998" s="30">
        <v>0</v>
      </c>
      <c r="AC998" s="30">
        <v>0</v>
      </c>
      <c r="AD998" s="30">
        <v>0</v>
      </c>
      <c r="AE998" s="89" t="s">
        <v>92</v>
      </c>
      <c r="AF998" s="89"/>
      <c r="AG998" s="89" t="s">
        <v>133</v>
      </c>
      <c r="AH998" s="72">
        <v>40911</v>
      </c>
      <c r="AI998" s="30">
        <v>0</v>
      </c>
      <c r="AJ998" s="89" t="s">
        <v>5620</v>
      </c>
      <c r="AK998" s="89" t="s">
        <v>68</v>
      </c>
      <c r="AL998" s="91">
        <v>40547</v>
      </c>
      <c r="AM998" s="91"/>
      <c r="AN998" s="91"/>
      <c r="AO998" s="91"/>
      <c r="AP998" s="73" t="e">
        <f>MID(VLOOKUP(K998,#REF!,2,FALSE),1,2)</f>
        <v>#REF!</v>
      </c>
      <c r="AQ998" s="89">
        <f>DATE(2010,12,31)</f>
        <v>40543</v>
      </c>
      <c r="AR998" s="82">
        <f t="shared" si="66"/>
        <v>31</v>
      </c>
      <c r="AS998" s="83">
        <f t="shared" si="67"/>
        <v>12</v>
      </c>
      <c r="AT998" s="84">
        <f t="shared" si="68"/>
        <v>2010</v>
      </c>
      <c r="AU998" s="86"/>
      <c r="AV998" s="86"/>
      <c r="AW998" s="87"/>
      <c r="AX998" s="86"/>
      <c r="AY998" s="83"/>
      <c r="AZ998" s="84"/>
      <c r="BA998" s="86"/>
      <c r="BB998" s="86"/>
    </row>
    <row r="999" spans="1:54" ht="36.75" customHeight="1">
      <c r="A999" s="30"/>
      <c r="B999" s="30" t="s">
        <v>55</v>
      </c>
      <c r="C999" s="69" t="str">
        <f t="shared" si="65"/>
        <v>Closed</v>
      </c>
      <c r="D999" s="27" t="s">
        <v>5621</v>
      </c>
      <c r="E999" s="29" t="s">
        <v>5622</v>
      </c>
      <c r="F999" s="30" t="s">
        <v>58</v>
      </c>
      <c r="G999" s="89">
        <f>DATE(2011,1,1)</f>
        <v>40544</v>
      </c>
      <c r="H999" s="90">
        <v>0</v>
      </c>
      <c r="I999" s="30" t="s">
        <v>116</v>
      </c>
      <c r="J999" s="89" t="s">
        <v>5623</v>
      </c>
      <c r="K999" s="30" t="s">
        <v>61</v>
      </c>
      <c r="L999" s="30" t="s">
        <v>393</v>
      </c>
      <c r="M999" s="30" t="s">
        <v>63</v>
      </c>
      <c r="N999" s="30" t="s">
        <v>99</v>
      </c>
      <c r="O999" s="30" t="s">
        <v>64</v>
      </c>
      <c r="P999" s="89" t="s">
        <v>86</v>
      </c>
      <c r="Q999" s="89" t="s">
        <v>66</v>
      </c>
      <c r="R999" s="89" t="s">
        <v>67</v>
      </c>
      <c r="S999" s="30">
        <v>0</v>
      </c>
      <c r="T999" s="233">
        <v>0</v>
      </c>
      <c r="U999" s="30">
        <v>2</v>
      </c>
      <c r="V999" s="233">
        <v>0</v>
      </c>
      <c r="W999" s="30">
        <v>0</v>
      </c>
      <c r="X999" s="30">
        <v>2</v>
      </c>
      <c r="Y999" s="30">
        <v>0</v>
      </c>
      <c r="Z999" s="233">
        <v>0</v>
      </c>
      <c r="AA999" s="30">
        <v>3</v>
      </c>
      <c r="AB999" s="30">
        <v>0</v>
      </c>
      <c r="AC999" s="30">
        <v>0</v>
      </c>
      <c r="AD999" s="30">
        <v>3</v>
      </c>
      <c r="AE999" s="89" t="s">
        <v>394</v>
      </c>
      <c r="AF999" s="89"/>
      <c r="AG999" s="89" t="s">
        <v>352</v>
      </c>
      <c r="AH999" s="72">
        <v>40544</v>
      </c>
      <c r="AI999" s="30">
        <v>0</v>
      </c>
      <c r="AJ999" s="89" t="s">
        <v>396</v>
      </c>
      <c r="AK999" s="89" t="s">
        <v>68</v>
      </c>
      <c r="AL999" s="91">
        <v>41128</v>
      </c>
      <c r="AM999" s="91"/>
      <c r="AN999" s="91"/>
      <c r="AO999" s="91"/>
      <c r="AP999" s="73" t="e">
        <f>MID(VLOOKUP(K999,#REF!,2,FALSE),1,2)</f>
        <v>#REF!</v>
      </c>
      <c r="AQ999" s="89">
        <f>DATE(2011,1,1)</f>
        <v>40544</v>
      </c>
      <c r="AR999" s="82">
        <f t="shared" si="66"/>
        <v>1</v>
      </c>
      <c r="AS999" s="83">
        <f t="shared" si="67"/>
        <v>1</v>
      </c>
      <c r="AT999" s="84">
        <f t="shared" si="68"/>
        <v>2011</v>
      </c>
      <c r="AU999" s="86"/>
      <c r="AV999" s="86"/>
      <c r="AW999" s="87"/>
      <c r="AX999" s="86"/>
      <c r="AY999" s="83"/>
      <c r="AZ999" s="84"/>
      <c r="BA999" s="86"/>
      <c r="BB999" s="86"/>
    </row>
    <row r="1000" spans="1:54" ht="36.75" customHeight="1">
      <c r="A1000" s="30"/>
      <c r="B1000" s="30" t="s">
        <v>55</v>
      </c>
      <c r="C1000" s="69" t="str">
        <f t="shared" si="65"/>
        <v>Closed</v>
      </c>
      <c r="D1000" s="27" t="s">
        <v>5624</v>
      </c>
      <c r="E1000" s="29" t="s">
        <v>5625</v>
      </c>
      <c r="F1000" s="30" t="s">
        <v>638</v>
      </c>
      <c r="G1000" s="89">
        <f>DATE(2011,1,4)</f>
        <v>40547</v>
      </c>
      <c r="H1000" s="90">
        <v>1.8055555555555554</v>
      </c>
      <c r="I1000" s="30" t="s">
        <v>73</v>
      </c>
      <c r="J1000" s="89" t="s">
        <v>5626</v>
      </c>
      <c r="K1000" s="30" t="s">
        <v>640</v>
      </c>
      <c r="L1000" s="30" t="s">
        <v>5627</v>
      </c>
      <c r="M1000" s="30" t="s">
        <v>63</v>
      </c>
      <c r="N1000" s="30" t="s">
        <v>99</v>
      </c>
      <c r="O1000" s="30" t="s">
        <v>77</v>
      </c>
      <c r="P1000" s="89" t="s">
        <v>65</v>
      </c>
      <c r="Q1000" s="89" t="s">
        <v>642</v>
      </c>
      <c r="R1000" s="89" t="s">
        <v>643</v>
      </c>
      <c r="S1000" s="30">
        <v>0</v>
      </c>
      <c r="T1000" s="233">
        <v>0</v>
      </c>
      <c r="U1000" s="30">
        <v>0</v>
      </c>
      <c r="V1000" s="233">
        <v>0</v>
      </c>
      <c r="W1000" s="30">
        <v>0</v>
      </c>
      <c r="X1000" s="30">
        <v>0</v>
      </c>
      <c r="Y1000" s="30">
        <v>0</v>
      </c>
      <c r="Z1000" s="233">
        <v>0</v>
      </c>
      <c r="AA1000" s="30">
        <v>0</v>
      </c>
      <c r="AB1000" s="30">
        <v>0</v>
      </c>
      <c r="AC1000" s="30">
        <v>0</v>
      </c>
      <c r="AD1000" s="30">
        <v>0</v>
      </c>
      <c r="AE1000" s="89" t="s">
        <v>68</v>
      </c>
      <c r="AF1000" s="89"/>
      <c r="AG1000" s="89" t="s">
        <v>352</v>
      </c>
      <c r="AH1000" s="72" t="s">
        <v>68</v>
      </c>
      <c r="AI1000" s="30">
        <v>2</v>
      </c>
      <c r="AJ1000" s="89" t="s">
        <v>5628</v>
      </c>
      <c r="AK1000" s="89" t="s">
        <v>68</v>
      </c>
      <c r="AL1000" s="91">
        <v>40625</v>
      </c>
      <c r="AM1000" s="91"/>
      <c r="AN1000" s="91"/>
      <c r="AO1000" s="91"/>
      <c r="AP1000" s="73" t="e">
        <f>MID(VLOOKUP(K1000,#REF!,2,FALSE),1,2)</f>
        <v>#REF!</v>
      </c>
      <c r="AQ1000" s="89">
        <f>DATE(2011,1,4)</f>
        <v>40547</v>
      </c>
      <c r="AR1000" s="82">
        <f t="shared" si="66"/>
        <v>4</v>
      </c>
      <c r="AS1000" s="83">
        <f t="shared" si="67"/>
        <v>1</v>
      </c>
      <c r="AT1000" s="84">
        <f t="shared" si="68"/>
        <v>2011</v>
      </c>
      <c r="AU1000" s="86"/>
      <c r="AV1000" s="86"/>
      <c r="AW1000" s="87"/>
      <c r="AX1000" s="86"/>
      <c r="AY1000" s="83"/>
      <c r="AZ1000" s="84"/>
      <c r="BA1000" s="86"/>
      <c r="BB1000" s="86"/>
    </row>
    <row r="1001" spans="1:54" ht="36.75" customHeight="1">
      <c r="A1001" s="30"/>
      <c r="B1001" s="30" t="s">
        <v>55</v>
      </c>
      <c r="C1001" s="69" t="str">
        <f t="shared" si="65"/>
        <v>Closed</v>
      </c>
      <c r="D1001" s="27" t="s">
        <v>5629</v>
      </c>
      <c r="E1001" s="29" t="s">
        <v>5630</v>
      </c>
      <c r="F1001" s="30" t="s">
        <v>423</v>
      </c>
      <c r="G1001" s="89">
        <f>DATE(2011,1,6)</f>
        <v>40549</v>
      </c>
      <c r="H1001" s="90">
        <v>1.4618055555555556</v>
      </c>
      <c r="I1001" s="30" t="s">
        <v>156</v>
      </c>
      <c r="J1001" s="89" t="s">
        <v>5631</v>
      </c>
      <c r="K1001" s="30" t="s">
        <v>425</v>
      </c>
      <c r="L1001" s="30" t="s">
        <v>5632</v>
      </c>
      <c r="M1001" s="30" t="s">
        <v>63</v>
      </c>
      <c r="N1001" s="30">
        <v>0</v>
      </c>
      <c r="O1001" s="30" t="s">
        <v>64</v>
      </c>
      <c r="P1001" s="89" t="s">
        <v>165</v>
      </c>
      <c r="Q1001" s="89" t="s">
        <v>4551</v>
      </c>
      <c r="R1001" s="89" t="s">
        <v>3103</v>
      </c>
      <c r="S1001" s="30">
        <v>0</v>
      </c>
      <c r="T1001" s="233" t="s">
        <v>68</v>
      </c>
      <c r="U1001" s="30">
        <v>0</v>
      </c>
      <c r="V1001" s="233" t="s">
        <v>68</v>
      </c>
      <c r="W1001" s="30">
        <v>0</v>
      </c>
      <c r="X1001" s="30">
        <v>0</v>
      </c>
      <c r="Y1001" s="30">
        <v>0</v>
      </c>
      <c r="Z1001" s="233" t="s">
        <v>68</v>
      </c>
      <c r="AA1001" s="30">
        <v>0</v>
      </c>
      <c r="AB1001" s="30">
        <v>0</v>
      </c>
      <c r="AC1001" s="30">
        <v>0</v>
      </c>
      <c r="AD1001" s="30">
        <v>0</v>
      </c>
      <c r="AE1001" s="89" t="s">
        <v>68</v>
      </c>
      <c r="AF1001" s="89"/>
      <c r="AG1001" s="89" t="s">
        <v>133</v>
      </c>
      <c r="AH1001" s="72" t="s">
        <v>68</v>
      </c>
      <c r="AI1001" s="30">
        <v>5</v>
      </c>
      <c r="AJ1001" s="89" t="s">
        <v>5633</v>
      </c>
      <c r="AK1001" s="89" t="s">
        <v>5634</v>
      </c>
      <c r="AL1001" s="91">
        <v>40560</v>
      </c>
      <c r="AM1001" s="91"/>
      <c r="AN1001" s="91"/>
      <c r="AO1001" s="91"/>
      <c r="AP1001" s="73" t="e">
        <f>MID(VLOOKUP(K1001,#REF!,2,FALSE),1,2)</f>
        <v>#REF!</v>
      </c>
      <c r="AQ1001" s="89">
        <f>DATE(2011,1,6)</f>
        <v>40549</v>
      </c>
      <c r="AR1001" s="82">
        <f t="shared" si="66"/>
        <v>6</v>
      </c>
      <c r="AS1001" s="83">
        <f t="shared" si="67"/>
        <v>1</v>
      </c>
      <c r="AT1001" s="84">
        <f t="shared" si="68"/>
        <v>2011</v>
      </c>
      <c r="AU1001" s="86"/>
      <c r="AV1001" s="86"/>
      <c r="AW1001" s="87"/>
      <c r="AX1001" s="86"/>
      <c r="AY1001" s="83"/>
      <c r="AZ1001" s="84"/>
      <c r="BA1001" s="86"/>
      <c r="BB1001" s="86"/>
    </row>
    <row r="1002" spans="1:54" ht="36.75" customHeight="1">
      <c r="A1002" s="30"/>
      <c r="B1002" s="30" t="s">
        <v>55</v>
      </c>
      <c r="C1002" s="69" t="str">
        <f t="shared" si="65"/>
        <v>Closed</v>
      </c>
      <c r="D1002" s="27" t="s">
        <v>5635</v>
      </c>
      <c r="E1002" s="29" t="s">
        <v>5636</v>
      </c>
      <c r="F1002" s="30" t="s">
        <v>1572</v>
      </c>
      <c r="G1002" s="89">
        <f>DATE(2011,1,7)</f>
        <v>40550</v>
      </c>
      <c r="H1002" s="90">
        <v>1.2638888888888888</v>
      </c>
      <c r="I1002" s="30" t="s">
        <v>73</v>
      </c>
      <c r="J1002" s="89" t="s">
        <v>5637</v>
      </c>
      <c r="K1002" s="30" t="s">
        <v>1574</v>
      </c>
      <c r="L1002" s="30" t="s">
        <v>5638</v>
      </c>
      <c r="M1002" s="30" t="s">
        <v>63</v>
      </c>
      <c r="N1002" s="30" t="s">
        <v>89</v>
      </c>
      <c r="O1002" s="30" t="s">
        <v>77</v>
      </c>
      <c r="P1002" s="89" t="s">
        <v>381</v>
      </c>
      <c r="Q1002" s="89" t="s">
        <v>2655</v>
      </c>
      <c r="R1002" s="89">
        <v>0</v>
      </c>
      <c r="S1002" s="30">
        <v>0</v>
      </c>
      <c r="T1002" s="233">
        <v>0</v>
      </c>
      <c r="U1002" s="30">
        <v>0</v>
      </c>
      <c r="V1002" s="233">
        <v>0</v>
      </c>
      <c r="W1002" s="30">
        <v>0</v>
      </c>
      <c r="X1002" s="30">
        <v>0</v>
      </c>
      <c r="Y1002" s="30">
        <v>0</v>
      </c>
      <c r="Z1002" s="233">
        <v>0</v>
      </c>
      <c r="AA1002" s="30">
        <v>0</v>
      </c>
      <c r="AB1002" s="30">
        <v>0</v>
      </c>
      <c r="AC1002" s="30">
        <v>0</v>
      </c>
      <c r="AD1002" s="30">
        <v>0</v>
      </c>
      <c r="AE1002" s="89" t="s">
        <v>92</v>
      </c>
      <c r="AF1002" s="89"/>
      <c r="AG1002" s="89" t="s">
        <v>352</v>
      </c>
      <c r="AH1002" s="72">
        <v>40551</v>
      </c>
      <c r="AI1002" s="30">
        <v>0</v>
      </c>
      <c r="AJ1002" s="89" t="s">
        <v>5639</v>
      </c>
      <c r="AK1002" s="89" t="s">
        <v>68</v>
      </c>
      <c r="AL1002" s="91">
        <v>40554</v>
      </c>
      <c r="AM1002" s="91"/>
      <c r="AN1002" s="91"/>
      <c r="AO1002" s="91"/>
      <c r="AP1002" s="73" t="e">
        <f>MID(VLOOKUP(K1002,#REF!,2,FALSE),1,2)</f>
        <v>#REF!</v>
      </c>
      <c r="AQ1002" s="89">
        <f>DATE(2011,1,7)</f>
        <v>40550</v>
      </c>
      <c r="AR1002" s="82">
        <f t="shared" si="66"/>
        <v>7</v>
      </c>
      <c r="AS1002" s="83">
        <f t="shared" si="67"/>
        <v>1</v>
      </c>
      <c r="AT1002" s="84">
        <f t="shared" si="68"/>
        <v>2011</v>
      </c>
      <c r="AU1002" s="86"/>
      <c r="AV1002" s="86"/>
      <c r="AW1002" s="87"/>
      <c r="AX1002" s="86"/>
      <c r="AY1002" s="83"/>
      <c r="AZ1002" s="84"/>
      <c r="BA1002" s="86"/>
      <c r="BB1002" s="86"/>
    </row>
    <row r="1003" spans="1:54" ht="36.75" customHeight="1">
      <c r="A1003" s="30"/>
      <c r="B1003" s="30" t="s">
        <v>55</v>
      </c>
      <c r="C1003" s="69" t="str">
        <f t="shared" si="65"/>
        <v>Closed</v>
      </c>
      <c r="D1003" s="27" t="s">
        <v>5640</v>
      </c>
      <c r="E1003" s="29" t="s">
        <v>5641</v>
      </c>
      <c r="F1003" s="30" t="s">
        <v>233</v>
      </c>
      <c r="G1003" s="89">
        <f>DATE(2011,1,8)</f>
        <v>40551</v>
      </c>
      <c r="H1003" s="90">
        <v>1.9965277777777777</v>
      </c>
      <c r="I1003" s="30" t="s">
        <v>278</v>
      </c>
      <c r="J1003" s="89" t="s">
        <v>5642</v>
      </c>
      <c r="K1003" s="30" t="s">
        <v>235</v>
      </c>
      <c r="L1003" s="30" t="s">
        <v>5643</v>
      </c>
      <c r="M1003" s="30" t="s">
        <v>63</v>
      </c>
      <c r="N1003" s="30">
        <v>0</v>
      </c>
      <c r="O1003" s="30" t="s">
        <v>64</v>
      </c>
      <c r="P1003" s="89" t="s">
        <v>462</v>
      </c>
      <c r="Q1003" s="89" t="s">
        <v>5644</v>
      </c>
      <c r="R1003" s="89" t="s">
        <v>238</v>
      </c>
      <c r="S1003" s="30">
        <v>0</v>
      </c>
      <c r="T1003" s="233" t="s">
        <v>68</v>
      </c>
      <c r="U1003" s="30">
        <v>0</v>
      </c>
      <c r="V1003" s="233" t="s">
        <v>68</v>
      </c>
      <c r="W1003" s="30">
        <v>0</v>
      </c>
      <c r="X1003" s="30">
        <v>0</v>
      </c>
      <c r="Y1003" s="30">
        <v>0</v>
      </c>
      <c r="Z1003" s="233" t="s">
        <v>68</v>
      </c>
      <c r="AA1003" s="30">
        <v>0</v>
      </c>
      <c r="AB1003" s="30">
        <v>0</v>
      </c>
      <c r="AC1003" s="30">
        <v>0</v>
      </c>
      <c r="AD1003" s="30">
        <v>0</v>
      </c>
      <c r="AE1003" s="89" t="s">
        <v>68</v>
      </c>
      <c r="AF1003" s="89"/>
      <c r="AG1003" s="89" t="s">
        <v>133</v>
      </c>
      <c r="AH1003" s="72" t="s">
        <v>68</v>
      </c>
      <c r="AI1003" s="30">
        <v>1</v>
      </c>
      <c r="AJ1003" s="89" t="s">
        <v>5645</v>
      </c>
      <c r="AK1003" s="89" t="s">
        <v>5646</v>
      </c>
      <c r="AL1003" s="91">
        <v>40578</v>
      </c>
      <c r="AM1003" s="91"/>
      <c r="AN1003" s="91"/>
      <c r="AO1003" s="91"/>
      <c r="AP1003" s="73" t="e">
        <f>MID(VLOOKUP(K1003,#REF!,2,FALSE),1,2)</f>
        <v>#REF!</v>
      </c>
      <c r="AQ1003" s="89">
        <f>DATE(2011,1,8)</f>
        <v>40551</v>
      </c>
      <c r="AR1003" s="82">
        <f t="shared" si="66"/>
        <v>8</v>
      </c>
      <c r="AS1003" s="83">
        <f t="shared" si="67"/>
        <v>1</v>
      </c>
      <c r="AT1003" s="84">
        <f t="shared" si="68"/>
        <v>2011</v>
      </c>
      <c r="AU1003" s="86"/>
      <c r="AV1003" s="86"/>
      <c r="AW1003" s="87"/>
      <c r="AX1003" s="86"/>
      <c r="AY1003" s="83"/>
      <c r="AZ1003" s="84"/>
      <c r="BA1003" s="86"/>
      <c r="BB1003" s="86"/>
    </row>
    <row r="1004" spans="1:54" ht="36.75" customHeight="1">
      <c r="A1004" s="30"/>
      <c r="B1004" s="30" t="s">
        <v>55</v>
      </c>
      <c r="C1004" s="69" t="str">
        <f t="shared" si="65"/>
        <v>Closed</v>
      </c>
      <c r="D1004" s="27" t="s">
        <v>5647</v>
      </c>
      <c r="E1004" s="29" t="s">
        <v>5648</v>
      </c>
      <c r="F1004" s="30" t="s">
        <v>835</v>
      </c>
      <c r="G1004" s="89">
        <f>DATE(2011,1,9)</f>
        <v>40552</v>
      </c>
      <c r="H1004" s="90">
        <v>1.7041666666666666</v>
      </c>
      <c r="I1004" s="30" t="s">
        <v>116</v>
      </c>
      <c r="J1004" s="89" t="s">
        <v>5649</v>
      </c>
      <c r="K1004" s="30" t="s">
        <v>837</v>
      </c>
      <c r="L1004" s="30" t="s">
        <v>5650</v>
      </c>
      <c r="M1004" s="30" t="s">
        <v>63</v>
      </c>
      <c r="N1004" s="30" t="s">
        <v>99</v>
      </c>
      <c r="O1004" s="30" t="s">
        <v>64</v>
      </c>
      <c r="P1004" s="89" t="s">
        <v>165</v>
      </c>
      <c r="Q1004" s="89" t="s">
        <v>2162</v>
      </c>
      <c r="R1004" s="89" t="s">
        <v>840</v>
      </c>
      <c r="S1004" s="30">
        <v>0</v>
      </c>
      <c r="T1004" s="233">
        <v>0</v>
      </c>
      <c r="U1004" s="30">
        <v>1</v>
      </c>
      <c r="V1004" s="233">
        <v>0</v>
      </c>
      <c r="W1004" s="30">
        <v>0</v>
      </c>
      <c r="X1004" s="30">
        <v>1</v>
      </c>
      <c r="Y1004" s="30">
        <v>0</v>
      </c>
      <c r="Z1004" s="233">
        <v>0</v>
      </c>
      <c r="AA1004" s="30">
        <v>2</v>
      </c>
      <c r="AB1004" s="30">
        <v>0</v>
      </c>
      <c r="AC1004" s="30">
        <v>0</v>
      </c>
      <c r="AD1004" s="30">
        <v>2</v>
      </c>
      <c r="AE1004" s="89" t="s">
        <v>92</v>
      </c>
      <c r="AF1004" s="89"/>
      <c r="AG1004" s="89" t="s">
        <v>352</v>
      </c>
      <c r="AH1004" s="72">
        <v>40552</v>
      </c>
      <c r="AI1004" s="30">
        <v>1</v>
      </c>
      <c r="AJ1004" s="89" t="s">
        <v>5651</v>
      </c>
      <c r="AK1004" s="89" t="s">
        <v>68</v>
      </c>
      <c r="AL1004" s="91">
        <v>40560</v>
      </c>
      <c r="AM1004" s="91"/>
      <c r="AN1004" s="91"/>
      <c r="AO1004" s="91"/>
      <c r="AP1004" s="73" t="e">
        <f>MID(VLOOKUP(K1004,#REF!,2,FALSE),1,2)</f>
        <v>#REF!</v>
      </c>
      <c r="AQ1004" s="89">
        <f>DATE(2011,1,9)</f>
        <v>40552</v>
      </c>
      <c r="AR1004" s="82">
        <f t="shared" si="66"/>
        <v>9</v>
      </c>
      <c r="AS1004" s="83">
        <f t="shared" si="67"/>
        <v>1</v>
      </c>
      <c r="AT1004" s="84">
        <f t="shared" si="68"/>
        <v>2011</v>
      </c>
      <c r="AU1004" s="86"/>
      <c r="AV1004" s="86"/>
      <c r="AW1004" s="87"/>
      <c r="AX1004" s="86"/>
      <c r="AY1004" s="83"/>
      <c r="AZ1004" s="84"/>
      <c r="BA1004" s="86"/>
      <c r="BB1004" s="86"/>
    </row>
    <row r="1005" spans="1:54" ht="36.75" customHeight="1">
      <c r="A1005" s="30"/>
      <c r="B1005" s="30" t="s">
        <v>55</v>
      </c>
      <c r="C1005" s="69" t="str">
        <f t="shared" si="65"/>
        <v>Closed</v>
      </c>
      <c r="D1005" s="27" t="s">
        <v>5652</v>
      </c>
      <c r="E1005" s="29" t="s">
        <v>5653</v>
      </c>
      <c r="F1005" s="30" t="s">
        <v>58</v>
      </c>
      <c r="G1005" s="89">
        <f>DATE(2011,1,12)</f>
        <v>40555</v>
      </c>
      <c r="H1005" s="90">
        <v>1</v>
      </c>
      <c r="I1005" s="30" t="s">
        <v>116</v>
      </c>
      <c r="J1005" s="89" t="s">
        <v>5654</v>
      </c>
      <c r="K1005" s="30" t="s">
        <v>61</v>
      </c>
      <c r="L1005" s="30" t="s">
        <v>5655</v>
      </c>
      <c r="M1005" s="30" t="s">
        <v>63</v>
      </c>
      <c r="N1005" s="30" t="s">
        <v>99</v>
      </c>
      <c r="O1005" s="30" t="s">
        <v>64</v>
      </c>
      <c r="P1005" s="89" t="s">
        <v>86</v>
      </c>
      <c r="Q1005" s="89" t="s">
        <v>66</v>
      </c>
      <c r="R1005" s="89" t="s">
        <v>67</v>
      </c>
      <c r="S1005" s="30">
        <v>1</v>
      </c>
      <c r="T1005" s="233">
        <v>0</v>
      </c>
      <c r="U1005" s="30">
        <v>190</v>
      </c>
      <c r="V1005" s="233">
        <v>0</v>
      </c>
      <c r="W1005" s="30">
        <v>0</v>
      </c>
      <c r="X1005" s="30">
        <v>191</v>
      </c>
      <c r="Y1005" s="30">
        <v>0</v>
      </c>
      <c r="Z1005" s="233">
        <v>0</v>
      </c>
      <c r="AA1005" s="30">
        <v>97</v>
      </c>
      <c r="AB1005" s="30">
        <v>0</v>
      </c>
      <c r="AC1005" s="30">
        <v>0</v>
      </c>
      <c r="AD1005" s="30">
        <v>97</v>
      </c>
      <c r="AE1005" s="89" t="s">
        <v>145</v>
      </c>
      <c r="AF1005" s="89"/>
      <c r="AG1005" s="89" t="s">
        <v>352</v>
      </c>
      <c r="AH1005" s="72">
        <v>40555</v>
      </c>
      <c r="AI1005" s="30">
        <v>12</v>
      </c>
      <c r="AJ1005" s="89" t="s">
        <v>396</v>
      </c>
      <c r="AK1005" s="89" t="s">
        <v>68</v>
      </c>
      <c r="AL1005" s="91">
        <v>40673</v>
      </c>
      <c r="AM1005" s="91"/>
      <c r="AN1005" s="91"/>
      <c r="AO1005" s="91"/>
      <c r="AP1005" s="73" t="e">
        <f>MID(VLOOKUP(K1005,#REF!,2,FALSE),1,2)</f>
        <v>#REF!</v>
      </c>
      <c r="AQ1005" s="89">
        <f>DATE(2011,1,12)</f>
        <v>40555</v>
      </c>
      <c r="AR1005" s="82">
        <f t="shared" si="66"/>
        <v>12</v>
      </c>
      <c r="AS1005" s="83">
        <f t="shared" si="67"/>
        <v>1</v>
      </c>
      <c r="AT1005" s="84">
        <f t="shared" si="68"/>
        <v>2011</v>
      </c>
      <c r="AU1005" s="86"/>
      <c r="AV1005" s="86"/>
      <c r="AW1005" s="87"/>
      <c r="AX1005" s="86"/>
      <c r="AY1005" s="83"/>
      <c r="AZ1005" s="84"/>
      <c r="BA1005" s="86"/>
      <c r="BB1005" s="86"/>
    </row>
    <row r="1006" spans="1:54" ht="36.75" customHeight="1">
      <c r="A1006" s="30"/>
      <c r="B1006" s="30" t="s">
        <v>55</v>
      </c>
      <c r="C1006" s="69" t="str">
        <f t="shared" si="65"/>
        <v>Closed</v>
      </c>
      <c r="D1006" s="27" t="s">
        <v>5656</v>
      </c>
      <c r="E1006" s="29" t="s">
        <v>5657</v>
      </c>
      <c r="F1006" s="30" t="s">
        <v>1572</v>
      </c>
      <c r="G1006" s="89">
        <f>DATE(2011,1,13)</f>
        <v>40556</v>
      </c>
      <c r="H1006" s="90">
        <v>1.7395833333333335</v>
      </c>
      <c r="I1006" s="30" t="s">
        <v>73</v>
      </c>
      <c r="J1006" s="89" t="s">
        <v>5658</v>
      </c>
      <c r="K1006" s="30" t="s">
        <v>1574</v>
      </c>
      <c r="L1006" s="30" t="s">
        <v>5659</v>
      </c>
      <c r="M1006" s="30" t="s">
        <v>63</v>
      </c>
      <c r="N1006" s="30">
        <v>0</v>
      </c>
      <c r="O1006" s="30" t="s">
        <v>90</v>
      </c>
      <c r="P1006" s="89" t="s">
        <v>78</v>
      </c>
      <c r="Q1006" s="89" t="s">
        <v>2655</v>
      </c>
      <c r="R1006" s="89">
        <v>0</v>
      </c>
      <c r="S1006" s="30">
        <v>0</v>
      </c>
      <c r="T1006" s="233" t="s">
        <v>68</v>
      </c>
      <c r="U1006" s="30">
        <v>0</v>
      </c>
      <c r="V1006" s="233" t="s">
        <v>68</v>
      </c>
      <c r="W1006" s="30">
        <v>0</v>
      </c>
      <c r="X1006" s="30">
        <v>0</v>
      </c>
      <c r="Y1006" s="30">
        <v>0</v>
      </c>
      <c r="Z1006" s="233" t="s">
        <v>68</v>
      </c>
      <c r="AA1006" s="30">
        <v>0</v>
      </c>
      <c r="AB1006" s="30">
        <v>0</v>
      </c>
      <c r="AC1006" s="30">
        <v>0</v>
      </c>
      <c r="AD1006" s="30">
        <v>0</v>
      </c>
      <c r="AE1006" s="89" t="s">
        <v>68</v>
      </c>
      <c r="AF1006" s="89"/>
      <c r="AG1006" s="89" t="s">
        <v>133</v>
      </c>
      <c r="AH1006" s="72" t="s">
        <v>68</v>
      </c>
      <c r="AI1006" s="30">
        <v>0</v>
      </c>
      <c r="AJ1006" s="89" t="s">
        <v>5660</v>
      </c>
      <c r="AK1006" s="89" t="s">
        <v>5661</v>
      </c>
      <c r="AL1006" s="91">
        <v>40568</v>
      </c>
      <c r="AM1006" s="91"/>
      <c r="AN1006" s="91"/>
      <c r="AO1006" s="91"/>
      <c r="AP1006" s="73" t="e">
        <f>MID(VLOOKUP(K1006,#REF!,2,FALSE),1,2)</f>
        <v>#REF!</v>
      </c>
      <c r="AQ1006" s="89">
        <f>DATE(2011,1,13)</f>
        <v>40556</v>
      </c>
      <c r="AR1006" s="82">
        <f t="shared" si="66"/>
        <v>13</v>
      </c>
      <c r="AS1006" s="83">
        <f t="shared" si="67"/>
        <v>1</v>
      </c>
      <c r="AT1006" s="84">
        <f t="shared" si="68"/>
        <v>2011</v>
      </c>
      <c r="AU1006" s="86"/>
      <c r="AV1006" s="86"/>
      <c r="AW1006" s="87"/>
      <c r="AX1006" s="86"/>
      <c r="AY1006" s="83"/>
      <c r="AZ1006" s="84"/>
      <c r="BA1006" s="86"/>
      <c r="BB1006" s="86"/>
    </row>
    <row r="1007" spans="1:54" ht="36.75" customHeight="1">
      <c r="A1007" s="30"/>
      <c r="B1007" s="30" t="s">
        <v>55</v>
      </c>
      <c r="C1007" s="69" t="str">
        <f t="shared" si="65"/>
        <v>Closed</v>
      </c>
      <c r="D1007" s="27" t="s">
        <v>5662</v>
      </c>
      <c r="E1007" s="29" t="s">
        <v>5663</v>
      </c>
      <c r="F1007" s="30" t="s">
        <v>377</v>
      </c>
      <c r="G1007" s="89">
        <f>DATE(2011,1,15)</f>
        <v>40558</v>
      </c>
      <c r="H1007" s="90">
        <v>1.0625</v>
      </c>
      <c r="I1007" s="30" t="s">
        <v>73</v>
      </c>
      <c r="J1007" s="89" t="s">
        <v>5664</v>
      </c>
      <c r="K1007" s="30" t="s">
        <v>379</v>
      </c>
      <c r="L1007" s="30" t="s">
        <v>5665</v>
      </c>
      <c r="M1007" s="30" t="s">
        <v>63</v>
      </c>
      <c r="N1007" s="30">
        <v>0</v>
      </c>
      <c r="O1007" s="30" t="s">
        <v>77</v>
      </c>
      <c r="P1007" s="89" t="s">
        <v>78</v>
      </c>
      <c r="Q1007" s="89" t="s">
        <v>2906</v>
      </c>
      <c r="R1007" s="89" t="s">
        <v>382</v>
      </c>
      <c r="S1007" s="30">
        <v>0</v>
      </c>
      <c r="T1007" s="233" t="s">
        <v>68</v>
      </c>
      <c r="U1007" s="30">
        <v>0</v>
      </c>
      <c r="V1007" s="233" t="s">
        <v>68</v>
      </c>
      <c r="W1007" s="30">
        <v>0</v>
      </c>
      <c r="X1007" s="30">
        <v>0</v>
      </c>
      <c r="Y1007" s="30">
        <v>0</v>
      </c>
      <c r="Z1007" s="233" t="s">
        <v>68</v>
      </c>
      <c r="AA1007" s="30">
        <v>0</v>
      </c>
      <c r="AB1007" s="30">
        <v>0</v>
      </c>
      <c r="AC1007" s="30">
        <v>0</v>
      </c>
      <c r="AD1007" s="30">
        <v>0</v>
      </c>
      <c r="AE1007" s="89" t="s">
        <v>68</v>
      </c>
      <c r="AF1007" s="89"/>
      <c r="AG1007" s="89" t="s">
        <v>352</v>
      </c>
      <c r="AH1007" s="72" t="s">
        <v>68</v>
      </c>
      <c r="AI1007" s="30">
        <v>3</v>
      </c>
      <c r="AJ1007" s="89" t="s">
        <v>68</v>
      </c>
      <c r="AK1007" s="89" t="s">
        <v>68</v>
      </c>
      <c r="AL1007" s="91">
        <v>40561</v>
      </c>
      <c r="AM1007" s="91"/>
      <c r="AN1007" s="91"/>
      <c r="AO1007" s="91"/>
      <c r="AP1007" s="73" t="e">
        <f>MID(VLOOKUP(K1007,#REF!,2,FALSE),1,2)</f>
        <v>#REF!</v>
      </c>
      <c r="AQ1007" s="89">
        <f>DATE(2011,1,15)</f>
        <v>40558</v>
      </c>
      <c r="AR1007" s="82">
        <f t="shared" si="66"/>
        <v>15</v>
      </c>
      <c r="AS1007" s="83">
        <f t="shared" si="67"/>
        <v>1</v>
      </c>
      <c r="AT1007" s="84">
        <f t="shared" si="68"/>
        <v>2011</v>
      </c>
      <c r="AU1007" s="86"/>
      <c r="AV1007" s="86"/>
      <c r="AW1007" s="87"/>
      <c r="AX1007" s="86"/>
      <c r="AY1007" s="83"/>
      <c r="AZ1007" s="84"/>
      <c r="BA1007" s="86"/>
      <c r="BB1007" s="86"/>
    </row>
    <row r="1008" spans="1:54" ht="36.75" customHeight="1">
      <c r="A1008" s="30"/>
      <c r="B1008" s="30" t="s">
        <v>55</v>
      </c>
      <c r="C1008" s="69" t="str">
        <f t="shared" si="65"/>
        <v>Closed</v>
      </c>
      <c r="D1008" s="27" t="s">
        <v>5666</v>
      </c>
      <c r="E1008" s="29" t="s">
        <v>5667</v>
      </c>
      <c r="F1008" s="30" t="s">
        <v>638</v>
      </c>
      <c r="G1008" s="89">
        <f>DATE(2011,1,16)</f>
        <v>40559</v>
      </c>
      <c r="H1008" s="90">
        <v>1.5541666666666667</v>
      </c>
      <c r="I1008" s="30" t="s">
        <v>116</v>
      </c>
      <c r="J1008" s="89" t="s">
        <v>5668</v>
      </c>
      <c r="K1008" s="30" t="s">
        <v>640</v>
      </c>
      <c r="L1008" s="30" t="s">
        <v>5669</v>
      </c>
      <c r="M1008" s="30" t="s">
        <v>63</v>
      </c>
      <c r="N1008" s="30">
        <v>0</v>
      </c>
      <c r="O1008" s="30" t="s">
        <v>64</v>
      </c>
      <c r="P1008" s="89" t="s">
        <v>165</v>
      </c>
      <c r="Q1008" s="89" t="s">
        <v>642</v>
      </c>
      <c r="R1008" s="89" t="s">
        <v>643</v>
      </c>
      <c r="S1008" s="30">
        <v>0</v>
      </c>
      <c r="T1008" s="233" t="s">
        <v>68</v>
      </c>
      <c r="U1008" s="30">
        <v>0</v>
      </c>
      <c r="V1008" s="233" t="s">
        <v>68</v>
      </c>
      <c r="W1008" s="30">
        <v>0</v>
      </c>
      <c r="X1008" s="30">
        <v>0</v>
      </c>
      <c r="Y1008" s="30">
        <v>0</v>
      </c>
      <c r="Z1008" s="233" t="s">
        <v>68</v>
      </c>
      <c r="AA1008" s="30">
        <v>0</v>
      </c>
      <c r="AB1008" s="30">
        <v>0</v>
      </c>
      <c r="AC1008" s="30">
        <v>0</v>
      </c>
      <c r="AD1008" s="30">
        <v>0</v>
      </c>
      <c r="AE1008" s="89" t="s">
        <v>68</v>
      </c>
      <c r="AF1008" s="89"/>
      <c r="AG1008" s="89" t="s">
        <v>352</v>
      </c>
      <c r="AH1008" s="72" t="s">
        <v>68</v>
      </c>
      <c r="AI1008" s="30">
        <v>1</v>
      </c>
      <c r="AJ1008" s="89" t="s">
        <v>5670</v>
      </c>
      <c r="AK1008" s="89" t="s">
        <v>68</v>
      </c>
      <c r="AL1008" s="91">
        <v>40583</v>
      </c>
      <c r="AM1008" s="91"/>
      <c r="AN1008" s="91"/>
      <c r="AO1008" s="91"/>
      <c r="AP1008" s="73" t="e">
        <f>MID(VLOOKUP(K1008,#REF!,2,FALSE),1,2)</f>
        <v>#REF!</v>
      </c>
      <c r="AQ1008" s="89">
        <f>DATE(2011,1,16)</f>
        <v>40559</v>
      </c>
      <c r="AR1008" s="82">
        <f t="shared" si="66"/>
        <v>16</v>
      </c>
      <c r="AS1008" s="83">
        <f t="shared" si="67"/>
        <v>1</v>
      </c>
      <c r="AT1008" s="84">
        <f t="shared" si="68"/>
        <v>2011</v>
      </c>
      <c r="AU1008" s="86"/>
      <c r="AV1008" s="86"/>
      <c r="AW1008" s="87"/>
      <c r="AX1008" s="86"/>
      <c r="AY1008" s="83"/>
      <c r="AZ1008" s="84"/>
      <c r="BA1008" s="86"/>
      <c r="BB1008" s="86"/>
    </row>
    <row r="1009" spans="1:54" ht="36.75" customHeight="1">
      <c r="A1009" s="30"/>
      <c r="B1009" s="30" t="s">
        <v>55</v>
      </c>
      <c r="C1009" s="69" t="str">
        <f t="shared" si="65"/>
        <v>Closed</v>
      </c>
      <c r="D1009" s="27" t="s">
        <v>5671</v>
      </c>
      <c r="E1009" s="29" t="s">
        <v>5672</v>
      </c>
      <c r="F1009" s="30" t="s">
        <v>1572</v>
      </c>
      <c r="G1009" s="89">
        <f>DATE(2011,1,19)</f>
        <v>40562</v>
      </c>
      <c r="H1009" s="90">
        <v>1.0173611111111112</v>
      </c>
      <c r="I1009" s="30" t="s">
        <v>73</v>
      </c>
      <c r="J1009" s="89" t="s">
        <v>5673</v>
      </c>
      <c r="K1009" s="30" t="s">
        <v>1574</v>
      </c>
      <c r="L1009" s="30" t="s">
        <v>5674</v>
      </c>
      <c r="M1009" s="30" t="s">
        <v>63</v>
      </c>
      <c r="N1009" s="30">
        <v>0</v>
      </c>
      <c r="O1009" s="30" t="s">
        <v>77</v>
      </c>
      <c r="P1009" s="89" t="s">
        <v>78</v>
      </c>
      <c r="Q1009" s="89" t="s">
        <v>2655</v>
      </c>
      <c r="R1009" s="89">
        <v>0</v>
      </c>
      <c r="S1009" s="30">
        <v>0</v>
      </c>
      <c r="T1009" s="233">
        <v>0</v>
      </c>
      <c r="U1009" s="30">
        <v>0</v>
      </c>
      <c r="V1009" s="233">
        <v>0</v>
      </c>
      <c r="W1009" s="30">
        <v>0</v>
      </c>
      <c r="X1009" s="30">
        <v>0</v>
      </c>
      <c r="Y1009" s="30">
        <v>0</v>
      </c>
      <c r="Z1009" s="233">
        <v>0</v>
      </c>
      <c r="AA1009" s="30">
        <v>0</v>
      </c>
      <c r="AB1009" s="30">
        <v>0</v>
      </c>
      <c r="AC1009" s="30">
        <v>0</v>
      </c>
      <c r="AD1009" s="30">
        <v>0</v>
      </c>
      <c r="AE1009" s="89" t="s">
        <v>92</v>
      </c>
      <c r="AF1009" s="89"/>
      <c r="AG1009" s="89" t="s">
        <v>133</v>
      </c>
      <c r="AH1009" s="72">
        <v>40563</v>
      </c>
      <c r="AI1009" s="30">
        <v>0</v>
      </c>
      <c r="AJ1009" s="89" t="s">
        <v>5675</v>
      </c>
      <c r="AK1009" s="89" t="s">
        <v>68</v>
      </c>
      <c r="AL1009" s="91">
        <v>40568</v>
      </c>
      <c r="AM1009" s="91"/>
      <c r="AN1009" s="91"/>
      <c r="AO1009" s="91"/>
      <c r="AP1009" s="73" t="e">
        <f>MID(VLOOKUP(K1009,#REF!,2,FALSE),1,2)</f>
        <v>#REF!</v>
      </c>
      <c r="AQ1009" s="89">
        <f>DATE(2011,1,19)</f>
        <v>40562</v>
      </c>
      <c r="AR1009" s="82">
        <f t="shared" si="66"/>
        <v>19</v>
      </c>
      <c r="AS1009" s="83">
        <f t="shared" si="67"/>
        <v>1</v>
      </c>
      <c r="AT1009" s="84">
        <f t="shared" si="68"/>
        <v>2011</v>
      </c>
      <c r="AU1009" s="86"/>
      <c r="AV1009" s="86"/>
      <c r="AW1009" s="87"/>
      <c r="AX1009" s="86"/>
      <c r="AY1009" s="83"/>
      <c r="AZ1009" s="84"/>
      <c r="BA1009" s="86"/>
      <c r="BB1009" s="86"/>
    </row>
    <row r="1010" spans="1:54" ht="36.75" customHeight="1">
      <c r="A1010" s="30"/>
      <c r="B1010" s="30" t="s">
        <v>55</v>
      </c>
      <c r="C1010" s="69" t="str">
        <f t="shared" si="65"/>
        <v>Closed</v>
      </c>
      <c r="D1010" s="27" t="s">
        <v>5676</v>
      </c>
      <c r="E1010" s="29" t="s">
        <v>5677</v>
      </c>
      <c r="F1010" s="30" t="s">
        <v>423</v>
      </c>
      <c r="G1010" s="89">
        <f>DATE(2011,1,22)</f>
        <v>40565</v>
      </c>
      <c r="H1010" s="90">
        <v>1.9180555555555556</v>
      </c>
      <c r="I1010" s="30" t="s">
        <v>73</v>
      </c>
      <c r="J1010" s="89" t="s">
        <v>5678</v>
      </c>
      <c r="K1010" s="30" t="s">
        <v>425</v>
      </c>
      <c r="L1010" s="30" t="s">
        <v>5679</v>
      </c>
      <c r="M1010" s="30" t="s">
        <v>63</v>
      </c>
      <c r="N1010" s="30">
        <v>0</v>
      </c>
      <c r="O1010" s="30" t="s">
        <v>77</v>
      </c>
      <c r="P1010" s="89" t="s">
        <v>216</v>
      </c>
      <c r="Q1010" s="89" t="s">
        <v>2483</v>
      </c>
      <c r="R1010" s="89" t="s">
        <v>3103</v>
      </c>
      <c r="S1010" s="30">
        <v>0</v>
      </c>
      <c r="T1010" s="233" t="s">
        <v>68</v>
      </c>
      <c r="U1010" s="30">
        <v>0</v>
      </c>
      <c r="V1010" s="233" t="s">
        <v>68</v>
      </c>
      <c r="W1010" s="30">
        <v>0</v>
      </c>
      <c r="X1010" s="30">
        <v>0</v>
      </c>
      <c r="Y1010" s="30">
        <v>0</v>
      </c>
      <c r="Z1010" s="233" t="s">
        <v>68</v>
      </c>
      <c r="AA1010" s="30">
        <v>0</v>
      </c>
      <c r="AB1010" s="30">
        <v>0</v>
      </c>
      <c r="AC1010" s="30">
        <v>0</v>
      </c>
      <c r="AD1010" s="30">
        <v>0</v>
      </c>
      <c r="AE1010" s="89" t="s">
        <v>68</v>
      </c>
      <c r="AF1010" s="89"/>
      <c r="AG1010" s="89" t="s">
        <v>133</v>
      </c>
      <c r="AH1010" s="72" t="s">
        <v>68</v>
      </c>
      <c r="AI1010" s="30">
        <v>4</v>
      </c>
      <c r="AJ1010" s="89" t="s">
        <v>5680</v>
      </c>
      <c r="AK1010" s="89" t="s">
        <v>68</v>
      </c>
      <c r="AL1010" s="91">
        <v>40571</v>
      </c>
      <c r="AM1010" s="91"/>
      <c r="AN1010" s="91"/>
      <c r="AO1010" s="91"/>
      <c r="AP1010" s="73" t="e">
        <f>MID(VLOOKUP(K1010,#REF!,2,FALSE),1,2)</f>
        <v>#REF!</v>
      </c>
      <c r="AQ1010" s="89">
        <f>DATE(2011,1,22)</f>
        <v>40565</v>
      </c>
      <c r="AR1010" s="82">
        <f t="shared" si="66"/>
        <v>22</v>
      </c>
      <c r="AS1010" s="83">
        <f t="shared" si="67"/>
        <v>1</v>
      </c>
      <c r="AT1010" s="84">
        <f t="shared" si="68"/>
        <v>2011</v>
      </c>
      <c r="AU1010" s="86"/>
      <c r="AV1010" s="86"/>
      <c r="AW1010" s="87"/>
      <c r="AX1010" s="86"/>
      <c r="AY1010" s="83"/>
      <c r="AZ1010" s="84"/>
      <c r="BA1010" s="86"/>
      <c r="BB1010" s="86"/>
    </row>
    <row r="1011" spans="1:54" ht="36.75" customHeight="1">
      <c r="A1011" s="30"/>
      <c r="B1011" s="30" t="s">
        <v>2124</v>
      </c>
      <c r="C1011" s="69" t="str">
        <f t="shared" si="65"/>
        <v>Open</v>
      </c>
      <c r="D1011" s="27" t="s">
        <v>5681</v>
      </c>
      <c r="E1011" s="29" t="s">
        <v>5682</v>
      </c>
      <c r="F1011" s="30" t="s">
        <v>5683</v>
      </c>
      <c r="G1011" s="89">
        <f>DATE(2011,1,24)</f>
        <v>40567</v>
      </c>
      <c r="H1011" s="90">
        <v>1.870138888888889</v>
      </c>
      <c r="I1011" s="30" t="s">
        <v>116</v>
      </c>
      <c r="J1011" s="89" t="s">
        <v>5684</v>
      </c>
      <c r="K1011" s="30" t="s">
        <v>5685</v>
      </c>
      <c r="L1011" s="30" t="s">
        <v>5686</v>
      </c>
      <c r="M1011" s="30" t="s">
        <v>63</v>
      </c>
      <c r="N1011" s="30">
        <v>0</v>
      </c>
      <c r="O1011" s="30" t="s">
        <v>64</v>
      </c>
      <c r="P1011" s="89" t="s">
        <v>381</v>
      </c>
      <c r="Q1011" s="89" t="s">
        <v>5687</v>
      </c>
      <c r="R1011" s="89" t="s">
        <v>5688</v>
      </c>
      <c r="S1011" s="30">
        <v>0</v>
      </c>
      <c r="T1011" s="233">
        <v>0</v>
      </c>
      <c r="U1011" s="30">
        <v>1</v>
      </c>
      <c r="V1011" s="233">
        <v>0</v>
      </c>
      <c r="W1011" s="30">
        <v>0</v>
      </c>
      <c r="X1011" s="30">
        <v>1</v>
      </c>
      <c r="Y1011" s="30">
        <v>0</v>
      </c>
      <c r="Z1011" s="233">
        <v>0</v>
      </c>
      <c r="AA1011" s="30">
        <v>0</v>
      </c>
      <c r="AB1011" s="30">
        <v>0</v>
      </c>
      <c r="AC1011" s="30">
        <v>0</v>
      </c>
      <c r="AD1011" s="30">
        <v>0</v>
      </c>
      <c r="AE1011" s="89" t="s">
        <v>68</v>
      </c>
      <c r="AF1011" s="89"/>
      <c r="AG1011" s="89" t="s">
        <v>82</v>
      </c>
      <c r="AH1011" s="72" t="s">
        <v>68</v>
      </c>
      <c r="AI1011" s="30">
        <v>0</v>
      </c>
      <c r="AJ1011" s="89" t="s">
        <v>68</v>
      </c>
      <c r="AK1011" s="89" t="s">
        <v>68</v>
      </c>
      <c r="AL1011" s="91">
        <v>40883</v>
      </c>
      <c r="AM1011" s="91"/>
      <c r="AN1011" s="91"/>
      <c r="AO1011" s="91"/>
      <c r="AP1011" s="73" t="e">
        <f>MID(VLOOKUP(K1011,#REF!,2,FALSE),1,2)</f>
        <v>#REF!</v>
      </c>
      <c r="AQ1011" s="89">
        <f>DATE(2011,1,24)</f>
        <v>40567</v>
      </c>
      <c r="AR1011" s="82">
        <f t="shared" si="66"/>
        <v>24</v>
      </c>
      <c r="AS1011" s="83">
        <f t="shared" si="67"/>
        <v>1</v>
      </c>
      <c r="AT1011" s="84">
        <f t="shared" si="68"/>
        <v>2011</v>
      </c>
      <c r="AU1011" s="86"/>
      <c r="AV1011" s="86"/>
      <c r="AW1011" s="87"/>
      <c r="AX1011" s="86"/>
      <c r="AY1011" s="83"/>
      <c r="AZ1011" s="84"/>
      <c r="BA1011" s="86"/>
      <c r="BB1011" s="86"/>
    </row>
    <row r="1012" spans="1:54" ht="36.75" customHeight="1">
      <c r="A1012" s="30"/>
      <c r="B1012" s="30" t="s">
        <v>55</v>
      </c>
      <c r="C1012" s="69" t="str">
        <f t="shared" si="65"/>
        <v>Closed</v>
      </c>
      <c r="D1012" s="27" t="s">
        <v>5689</v>
      </c>
      <c r="E1012" s="29" t="s">
        <v>5690</v>
      </c>
      <c r="F1012" s="30" t="s">
        <v>115</v>
      </c>
      <c r="G1012" s="89">
        <f>DATE(2011,1,25)</f>
        <v>40568</v>
      </c>
      <c r="H1012" s="90">
        <v>1.351388888888889</v>
      </c>
      <c r="I1012" s="30" t="s">
        <v>116</v>
      </c>
      <c r="J1012" s="89" t="s">
        <v>5691</v>
      </c>
      <c r="K1012" s="30" t="s">
        <v>118</v>
      </c>
      <c r="L1012" s="30" t="s">
        <v>5692</v>
      </c>
      <c r="M1012" s="30" t="s">
        <v>63</v>
      </c>
      <c r="N1012" s="30" t="s">
        <v>142</v>
      </c>
      <c r="O1012" s="30" t="s">
        <v>64</v>
      </c>
      <c r="P1012" s="89" t="s">
        <v>78</v>
      </c>
      <c r="Q1012" s="89" t="s">
        <v>120</v>
      </c>
      <c r="R1012" s="89" t="s">
        <v>121</v>
      </c>
      <c r="S1012" s="30">
        <v>0</v>
      </c>
      <c r="T1012" s="233">
        <v>0</v>
      </c>
      <c r="U1012" s="30">
        <v>0</v>
      </c>
      <c r="V1012" s="233">
        <v>0</v>
      </c>
      <c r="W1012" s="30">
        <v>0</v>
      </c>
      <c r="X1012" s="30">
        <v>0</v>
      </c>
      <c r="Y1012" s="30">
        <v>0</v>
      </c>
      <c r="Z1012" s="233">
        <v>0</v>
      </c>
      <c r="AA1012" s="30">
        <v>0</v>
      </c>
      <c r="AB1012" s="30">
        <v>0</v>
      </c>
      <c r="AC1012" s="30">
        <v>0</v>
      </c>
      <c r="AD1012" s="30">
        <v>0</v>
      </c>
      <c r="AE1012" s="89" t="s">
        <v>394</v>
      </c>
      <c r="AF1012" s="89"/>
      <c r="AG1012" s="89" t="s">
        <v>248</v>
      </c>
      <c r="AH1012" s="72">
        <v>40569</v>
      </c>
      <c r="AI1012" s="30">
        <v>3</v>
      </c>
      <c r="AJ1012" s="89" t="s">
        <v>5693</v>
      </c>
      <c r="AK1012" s="89" t="s">
        <v>5694</v>
      </c>
      <c r="AL1012" s="91">
        <v>40619</v>
      </c>
      <c r="AM1012" s="91"/>
      <c r="AN1012" s="91"/>
      <c r="AO1012" s="91"/>
      <c r="AP1012" s="73" t="e">
        <f>MID(VLOOKUP(K1012,#REF!,2,FALSE),1,2)</f>
        <v>#REF!</v>
      </c>
      <c r="AQ1012" s="89">
        <f>DATE(2011,1,25)</f>
        <v>40568</v>
      </c>
      <c r="AR1012" s="82">
        <f t="shared" si="66"/>
        <v>25</v>
      </c>
      <c r="AS1012" s="83">
        <f t="shared" si="67"/>
        <v>1</v>
      </c>
      <c r="AT1012" s="84">
        <f t="shared" si="68"/>
        <v>2011</v>
      </c>
      <c r="AU1012" s="86"/>
      <c r="AV1012" s="86"/>
      <c r="AW1012" s="87"/>
      <c r="AX1012" s="86"/>
      <c r="AY1012" s="83"/>
      <c r="AZ1012" s="84"/>
      <c r="BA1012" s="86"/>
      <c r="BB1012" s="86"/>
    </row>
    <row r="1013" spans="1:54" ht="36.75" customHeight="1">
      <c r="A1013" s="30"/>
      <c r="B1013" s="30" t="s">
        <v>55</v>
      </c>
      <c r="C1013" s="69" t="str">
        <f t="shared" si="65"/>
        <v>Closed</v>
      </c>
      <c r="D1013" s="27" t="s">
        <v>5695</v>
      </c>
      <c r="E1013" s="29" t="s">
        <v>5696</v>
      </c>
      <c r="F1013" s="30" t="s">
        <v>377</v>
      </c>
      <c r="G1013" s="89">
        <f>DATE(2011,1,27)</f>
        <v>40570</v>
      </c>
      <c r="H1013" s="90">
        <v>1.03125</v>
      </c>
      <c r="I1013" s="30" t="s">
        <v>86</v>
      </c>
      <c r="J1013" s="89" t="s">
        <v>5697</v>
      </c>
      <c r="K1013" s="30" t="s">
        <v>379</v>
      </c>
      <c r="L1013" s="30" t="s">
        <v>5698</v>
      </c>
      <c r="M1013" s="30" t="s">
        <v>63</v>
      </c>
      <c r="N1013" s="30">
        <v>0</v>
      </c>
      <c r="O1013" s="30" t="s">
        <v>64</v>
      </c>
      <c r="P1013" s="89" t="s">
        <v>301</v>
      </c>
      <c r="Q1013" s="89" t="s">
        <v>382</v>
      </c>
      <c r="R1013" s="89" t="s">
        <v>382</v>
      </c>
      <c r="S1013" s="30">
        <v>0</v>
      </c>
      <c r="T1013" s="233">
        <v>1</v>
      </c>
      <c r="U1013" s="30">
        <v>0</v>
      </c>
      <c r="V1013" s="233">
        <v>0</v>
      </c>
      <c r="W1013" s="30">
        <v>0</v>
      </c>
      <c r="X1013" s="30">
        <v>1</v>
      </c>
      <c r="Y1013" s="30">
        <v>0</v>
      </c>
      <c r="Z1013" s="233">
        <v>0</v>
      </c>
      <c r="AA1013" s="30">
        <v>0</v>
      </c>
      <c r="AB1013" s="30">
        <v>0</v>
      </c>
      <c r="AC1013" s="30">
        <v>0</v>
      </c>
      <c r="AD1013" s="30">
        <v>0</v>
      </c>
      <c r="AE1013" s="89" t="s">
        <v>68</v>
      </c>
      <c r="AF1013" s="89"/>
      <c r="AG1013" s="89" t="s">
        <v>133</v>
      </c>
      <c r="AH1013" s="72" t="s">
        <v>68</v>
      </c>
      <c r="AI1013" s="30">
        <v>3</v>
      </c>
      <c r="AJ1013" s="89" t="s">
        <v>68</v>
      </c>
      <c r="AK1013" s="89" t="s">
        <v>68</v>
      </c>
      <c r="AL1013" s="91">
        <v>40571</v>
      </c>
      <c r="AM1013" s="91"/>
      <c r="AN1013" s="91"/>
      <c r="AO1013" s="91"/>
      <c r="AP1013" s="73" t="e">
        <f>MID(VLOOKUP(K1013,#REF!,2,FALSE),1,2)</f>
        <v>#REF!</v>
      </c>
      <c r="AQ1013" s="89">
        <f>DATE(2011,1,27)</f>
        <v>40570</v>
      </c>
      <c r="AR1013" s="82">
        <f t="shared" si="66"/>
        <v>27</v>
      </c>
      <c r="AS1013" s="83">
        <f t="shared" si="67"/>
        <v>1</v>
      </c>
      <c r="AT1013" s="84">
        <f t="shared" si="68"/>
        <v>2011</v>
      </c>
      <c r="AU1013" s="86"/>
      <c r="AV1013" s="86"/>
      <c r="AW1013" s="87"/>
      <c r="AX1013" s="86"/>
      <c r="AY1013" s="83"/>
      <c r="AZ1013" s="84"/>
      <c r="BA1013" s="86"/>
      <c r="BB1013" s="86"/>
    </row>
    <row r="1014" spans="1:54" ht="36.75" customHeight="1">
      <c r="A1014" s="30"/>
      <c r="B1014" s="30" t="s">
        <v>55</v>
      </c>
      <c r="C1014" s="69" t="str">
        <f t="shared" si="65"/>
        <v>Closed</v>
      </c>
      <c r="D1014" s="27" t="s">
        <v>5699</v>
      </c>
      <c r="E1014" s="29" t="s">
        <v>5700</v>
      </c>
      <c r="F1014" s="30" t="s">
        <v>1572</v>
      </c>
      <c r="G1014" s="89">
        <f>DATE(2011,1,27)</f>
        <v>40570</v>
      </c>
      <c r="H1014" s="90">
        <v>1.7798611111111109</v>
      </c>
      <c r="I1014" s="30" t="s">
        <v>73</v>
      </c>
      <c r="J1014" s="89" t="s">
        <v>5701</v>
      </c>
      <c r="K1014" s="30" t="s">
        <v>1574</v>
      </c>
      <c r="L1014" s="30" t="s">
        <v>5702</v>
      </c>
      <c r="M1014" s="30" t="s">
        <v>63</v>
      </c>
      <c r="N1014" s="30">
        <v>0</v>
      </c>
      <c r="O1014" s="30" t="s">
        <v>77</v>
      </c>
      <c r="P1014" s="89" t="s">
        <v>78</v>
      </c>
      <c r="Q1014" s="89" t="s">
        <v>2655</v>
      </c>
      <c r="R1014" s="89">
        <v>0</v>
      </c>
      <c r="S1014" s="30">
        <v>0</v>
      </c>
      <c r="T1014" s="233">
        <v>0</v>
      </c>
      <c r="U1014" s="30">
        <v>0</v>
      </c>
      <c r="V1014" s="233">
        <v>0</v>
      </c>
      <c r="W1014" s="30">
        <v>0</v>
      </c>
      <c r="X1014" s="30">
        <v>0</v>
      </c>
      <c r="Y1014" s="30">
        <v>0</v>
      </c>
      <c r="Z1014" s="233">
        <v>0</v>
      </c>
      <c r="AA1014" s="30">
        <v>0</v>
      </c>
      <c r="AB1014" s="30">
        <v>0</v>
      </c>
      <c r="AC1014" s="30">
        <v>0</v>
      </c>
      <c r="AD1014" s="30">
        <v>0</v>
      </c>
      <c r="AE1014" s="89" t="s">
        <v>68</v>
      </c>
      <c r="AF1014" s="89"/>
      <c r="AG1014" s="89" t="s">
        <v>133</v>
      </c>
      <c r="AH1014" s="72">
        <v>40571</v>
      </c>
      <c r="AI1014" s="30">
        <v>0</v>
      </c>
      <c r="AJ1014" s="89" t="s">
        <v>5703</v>
      </c>
      <c r="AK1014" s="89" t="s">
        <v>5704</v>
      </c>
      <c r="AL1014" s="91">
        <v>40585</v>
      </c>
      <c r="AM1014" s="91"/>
      <c r="AN1014" s="91"/>
      <c r="AO1014" s="91"/>
      <c r="AP1014" s="73" t="e">
        <f>MID(VLOOKUP(K1014,#REF!,2,FALSE),1,2)</f>
        <v>#REF!</v>
      </c>
      <c r="AQ1014" s="89">
        <f>DATE(2011,1,28)</f>
        <v>40571</v>
      </c>
      <c r="AR1014" s="82">
        <f t="shared" si="66"/>
        <v>28</v>
      </c>
      <c r="AS1014" s="83">
        <f t="shared" si="67"/>
        <v>1</v>
      </c>
      <c r="AT1014" s="84">
        <f t="shared" si="68"/>
        <v>2011</v>
      </c>
      <c r="AU1014" s="86"/>
      <c r="AV1014" s="86"/>
      <c r="AW1014" s="87"/>
      <c r="AX1014" s="86"/>
      <c r="AY1014" s="83"/>
      <c r="AZ1014" s="84"/>
      <c r="BA1014" s="86"/>
      <c r="BB1014" s="86"/>
    </row>
    <row r="1015" spans="1:54" ht="36.75" customHeight="1">
      <c r="A1015" s="30"/>
      <c r="B1015" s="30" t="s">
        <v>55</v>
      </c>
      <c r="C1015" s="69" t="str">
        <f t="shared" si="65"/>
        <v>Closed</v>
      </c>
      <c r="D1015" s="27" t="s">
        <v>5705</v>
      </c>
      <c r="E1015" s="29" t="s">
        <v>5706</v>
      </c>
      <c r="F1015" s="30" t="s">
        <v>138</v>
      </c>
      <c r="G1015" s="89">
        <f>DATE(2011,1,27)</f>
        <v>40570</v>
      </c>
      <c r="H1015" s="90">
        <v>1.8611111111111112</v>
      </c>
      <c r="I1015" s="30" t="s">
        <v>156</v>
      </c>
      <c r="J1015" s="89" t="s">
        <v>5707</v>
      </c>
      <c r="K1015" s="30" t="s">
        <v>140</v>
      </c>
      <c r="L1015" s="30" t="s">
        <v>5708</v>
      </c>
      <c r="M1015" s="30" t="s">
        <v>63</v>
      </c>
      <c r="N1015" s="30" t="s">
        <v>89</v>
      </c>
      <c r="O1015" s="30" t="s">
        <v>77</v>
      </c>
      <c r="P1015" s="89"/>
      <c r="Q1015" s="89" t="s">
        <v>143</v>
      </c>
      <c r="R1015" s="89" t="s">
        <v>5709</v>
      </c>
      <c r="S1015" s="30">
        <v>0</v>
      </c>
      <c r="T1015" s="233">
        <v>0</v>
      </c>
      <c r="U1015" s="30">
        <v>0</v>
      </c>
      <c r="V1015" s="233">
        <v>0</v>
      </c>
      <c r="W1015" s="30">
        <v>0</v>
      </c>
      <c r="X1015" s="30">
        <v>0</v>
      </c>
      <c r="Y1015" s="30">
        <v>0</v>
      </c>
      <c r="Z1015" s="233">
        <v>0</v>
      </c>
      <c r="AA1015" s="30">
        <v>0</v>
      </c>
      <c r="AB1015" s="30">
        <v>0</v>
      </c>
      <c r="AC1015" s="30">
        <v>0</v>
      </c>
      <c r="AD1015" s="30">
        <v>0</v>
      </c>
      <c r="AE1015" s="89" t="s">
        <v>394</v>
      </c>
      <c r="AF1015" s="89"/>
      <c r="AG1015" s="89" t="s">
        <v>133</v>
      </c>
      <c r="AH1015" s="72">
        <v>40581</v>
      </c>
      <c r="AI1015" s="30">
        <v>4</v>
      </c>
      <c r="AJ1015" s="89" t="s">
        <v>5710</v>
      </c>
      <c r="AK1015" s="89" t="s">
        <v>5711</v>
      </c>
      <c r="AL1015" s="91">
        <v>40634</v>
      </c>
      <c r="AM1015" s="91"/>
      <c r="AN1015" s="91"/>
      <c r="AO1015" s="91"/>
      <c r="AP1015" s="73" t="e">
        <f>MID(VLOOKUP(K1015,#REF!,2,FALSE),1,2)</f>
        <v>#REF!</v>
      </c>
      <c r="AQ1015" s="89">
        <f>DATE(2011,1,27)</f>
        <v>40570</v>
      </c>
      <c r="AR1015" s="82">
        <f t="shared" si="66"/>
        <v>27</v>
      </c>
      <c r="AS1015" s="83">
        <f t="shared" si="67"/>
        <v>1</v>
      </c>
      <c r="AT1015" s="84">
        <f t="shared" si="68"/>
        <v>2011</v>
      </c>
      <c r="AU1015" s="86"/>
      <c r="AV1015" s="86"/>
      <c r="AW1015" s="87"/>
      <c r="AX1015" s="86"/>
      <c r="AY1015" s="83"/>
      <c r="AZ1015" s="84"/>
      <c r="BA1015" s="86"/>
      <c r="BB1015" s="86"/>
    </row>
    <row r="1016" spans="1:54" ht="36.75" customHeight="1">
      <c r="A1016" s="30"/>
      <c r="B1016" s="30" t="s">
        <v>55</v>
      </c>
      <c r="C1016" s="69" t="str">
        <f t="shared" si="65"/>
        <v>Closed</v>
      </c>
      <c r="D1016" s="27" t="s">
        <v>5712</v>
      </c>
      <c r="E1016" s="29" t="s">
        <v>5713</v>
      </c>
      <c r="F1016" s="30" t="s">
        <v>1770</v>
      </c>
      <c r="G1016" s="89">
        <f>DATE(2011,1,28)</f>
        <v>40571</v>
      </c>
      <c r="H1016" s="90">
        <v>1.4361111111111111</v>
      </c>
      <c r="I1016" s="30" t="s">
        <v>73</v>
      </c>
      <c r="J1016" s="89" t="s">
        <v>5714</v>
      </c>
      <c r="K1016" s="30" t="s">
        <v>1772</v>
      </c>
      <c r="L1016" s="30" t="s">
        <v>5715</v>
      </c>
      <c r="M1016" s="30" t="s">
        <v>63</v>
      </c>
      <c r="N1016" s="30" t="s">
        <v>89</v>
      </c>
      <c r="O1016" s="30" t="s">
        <v>77</v>
      </c>
      <c r="P1016" s="89" t="s">
        <v>165</v>
      </c>
      <c r="Q1016" s="89" t="s">
        <v>1774</v>
      </c>
      <c r="R1016" s="89" t="s">
        <v>1775</v>
      </c>
      <c r="S1016" s="30">
        <v>0</v>
      </c>
      <c r="T1016" s="233">
        <v>0</v>
      </c>
      <c r="U1016" s="30">
        <v>0</v>
      </c>
      <c r="V1016" s="233">
        <v>0</v>
      </c>
      <c r="W1016" s="30">
        <v>0</v>
      </c>
      <c r="X1016" s="30">
        <v>0</v>
      </c>
      <c r="Y1016" s="30">
        <v>0</v>
      </c>
      <c r="Z1016" s="233">
        <v>0</v>
      </c>
      <c r="AA1016" s="30">
        <v>0</v>
      </c>
      <c r="AB1016" s="30">
        <v>0</v>
      </c>
      <c r="AC1016" s="30">
        <v>0</v>
      </c>
      <c r="AD1016" s="30">
        <v>0</v>
      </c>
      <c r="AE1016" s="89" t="s">
        <v>394</v>
      </c>
      <c r="AF1016" s="89"/>
      <c r="AG1016" s="89" t="s">
        <v>133</v>
      </c>
      <c r="AH1016" s="72">
        <v>40571</v>
      </c>
      <c r="AI1016" s="30">
        <v>3</v>
      </c>
      <c r="AJ1016" s="89" t="s">
        <v>5716</v>
      </c>
      <c r="AK1016" s="89" t="s">
        <v>5716</v>
      </c>
      <c r="AL1016" s="91">
        <v>42576</v>
      </c>
      <c r="AM1016" s="91"/>
      <c r="AN1016" s="91"/>
      <c r="AO1016" s="91"/>
      <c r="AP1016" s="73" t="e">
        <f>MID(VLOOKUP(K1016,#REF!,2,FALSE),1,2)</f>
        <v>#REF!</v>
      </c>
      <c r="AQ1016" s="89">
        <f>DATE(2011,1,28)</f>
        <v>40571</v>
      </c>
      <c r="AR1016" s="82">
        <f t="shared" si="66"/>
        <v>28</v>
      </c>
      <c r="AS1016" s="83">
        <f t="shared" si="67"/>
        <v>1</v>
      </c>
      <c r="AT1016" s="84">
        <f t="shared" si="68"/>
        <v>2011</v>
      </c>
      <c r="AU1016" s="86"/>
      <c r="AV1016" s="86"/>
      <c r="AW1016" s="87"/>
      <c r="AX1016" s="86"/>
      <c r="AY1016" s="83"/>
      <c r="AZ1016" s="84"/>
      <c r="BA1016" s="86"/>
      <c r="BB1016" s="86"/>
    </row>
    <row r="1017" spans="1:54" ht="36.75" customHeight="1">
      <c r="A1017" s="30"/>
      <c r="B1017" s="30" t="s">
        <v>55</v>
      </c>
      <c r="C1017" s="69" t="str">
        <f t="shared" si="65"/>
        <v>Closed</v>
      </c>
      <c r="D1017" s="27" t="s">
        <v>5717</v>
      </c>
      <c r="E1017" s="29" t="s">
        <v>5718</v>
      </c>
      <c r="F1017" s="30" t="s">
        <v>835</v>
      </c>
      <c r="G1017" s="89">
        <f>DATE(2011,1,28)</f>
        <v>40571</v>
      </c>
      <c r="H1017" s="90">
        <v>1.367361111111111</v>
      </c>
      <c r="I1017" s="30" t="s">
        <v>116</v>
      </c>
      <c r="J1017" s="89" t="s">
        <v>5719</v>
      </c>
      <c r="K1017" s="30" t="s">
        <v>837</v>
      </c>
      <c r="L1017" s="30" t="s">
        <v>5720</v>
      </c>
      <c r="M1017" s="30" t="s">
        <v>63</v>
      </c>
      <c r="N1017" s="30">
        <v>0</v>
      </c>
      <c r="O1017" s="30" t="s">
        <v>77</v>
      </c>
      <c r="P1017" s="89" t="s">
        <v>65</v>
      </c>
      <c r="Q1017" s="89" t="s">
        <v>2162</v>
      </c>
      <c r="R1017" s="89" t="s">
        <v>840</v>
      </c>
      <c r="S1017" s="30">
        <v>0</v>
      </c>
      <c r="T1017" s="233">
        <v>0</v>
      </c>
      <c r="U1017" s="30">
        <v>0</v>
      </c>
      <c r="V1017" s="233">
        <v>0</v>
      </c>
      <c r="W1017" s="30">
        <v>0</v>
      </c>
      <c r="X1017" s="30">
        <v>0</v>
      </c>
      <c r="Y1017" s="30">
        <v>0</v>
      </c>
      <c r="Z1017" s="233">
        <v>0</v>
      </c>
      <c r="AA1017" s="30">
        <v>2</v>
      </c>
      <c r="AB1017" s="30">
        <v>0</v>
      </c>
      <c r="AC1017" s="30">
        <v>0</v>
      </c>
      <c r="AD1017" s="30">
        <v>2</v>
      </c>
      <c r="AE1017" s="89" t="s">
        <v>68</v>
      </c>
      <c r="AF1017" s="89"/>
      <c r="AG1017" s="89" t="s">
        <v>352</v>
      </c>
      <c r="AH1017" s="72" t="s">
        <v>68</v>
      </c>
      <c r="AI1017" s="30">
        <v>0</v>
      </c>
      <c r="AJ1017" s="89" t="s">
        <v>68</v>
      </c>
      <c r="AK1017" s="89" t="s">
        <v>68</v>
      </c>
      <c r="AL1017" s="91">
        <v>40704</v>
      </c>
      <c r="AM1017" s="91"/>
      <c r="AN1017" s="91"/>
      <c r="AO1017" s="91"/>
      <c r="AP1017" s="73" t="e">
        <f>MID(VLOOKUP(K1017,#REF!,2,FALSE),1,2)</f>
        <v>#REF!</v>
      </c>
      <c r="AQ1017" s="89">
        <f>DATE(2011,1,28)</f>
        <v>40571</v>
      </c>
      <c r="AR1017" s="82">
        <f t="shared" si="66"/>
        <v>28</v>
      </c>
      <c r="AS1017" s="83">
        <f t="shared" si="67"/>
        <v>1</v>
      </c>
      <c r="AT1017" s="84">
        <f t="shared" si="68"/>
        <v>2011</v>
      </c>
      <c r="AU1017" s="86"/>
      <c r="AV1017" s="86"/>
      <c r="AW1017" s="87"/>
      <c r="AX1017" s="86"/>
      <c r="AY1017" s="83"/>
      <c r="AZ1017" s="84"/>
      <c r="BA1017" s="86"/>
      <c r="BB1017" s="86"/>
    </row>
    <row r="1018" spans="1:54" ht="36.75" customHeight="1">
      <c r="A1018" s="30"/>
      <c r="B1018" s="30" t="s">
        <v>55</v>
      </c>
      <c r="C1018" s="69" t="str">
        <f t="shared" si="65"/>
        <v>Closed</v>
      </c>
      <c r="D1018" s="27" t="s">
        <v>5721</v>
      </c>
      <c r="E1018" s="29" t="s">
        <v>5722</v>
      </c>
      <c r="F1018" s="30" t="s">
        <v>233</v>
      </c>
      <c r="G1018" s="89">
        <f>DATE(2011,1,28)</f>
        <v>40571</v>
      </c>
      <c r="H1018" s="90">
        <v>1.9881944444444444</v>
      </c>
      <c r="I1018" s="30" t="s">
        <v>278</v>
      </c>
      <c r="J1018" s="89" t="s">
        <v>5723</v>
      </c>
      <c r="K1018" s="30" t="s">
        <v>235</v>
      </c>
      <c r="L1018" s="30" t="s">
        <v>5724</v>
      </c>
      <c r="M1018" s="30" t="s">
        <v>63</v>
      </c>
      <c r="N1018" s="30">
        <v>0</v>
      </c>
      <c r="O1018" s="30" t="s">
        <v>77</v>
      </c>
      <c r="P1018" s="89" t="s">
        <v>165</v>
      </c>
      <c r="Q1018" s="89" t="s">
        <v>2876</v>
      </c>
      <c r="R1018" s="89" t="s">
        <v>238</v>
      </c>
      <c r="S1018" s="30">
        <v>0</v>
      </c>
      <c r="T1018" s="233" t="s">
        <v>68</v>
      </c>
      <c r="U1018" s="30">
        <v>0</v>
      </c>
      <c r="V1018" s="233" t="s">
        <v>68</v>
      </c>
      <c r="W1018" s="30">
        <v>0</v>
      </c>
      <c r="X1018" s="30">
        <v>0</v>
      </c>
      <c r="Y1018" s="30">
        <v>0</v>
      </c>
      <c r="Z1018" s="233" t="s">
        <v>68</v>
      </c>
      <c r="AA1018" s="30">
        <v>0</v>
      </c>
      <c r="AB1018" s="30">
        <v>0</v>
      </c>
      <c r="AC1018" s="30">
        <v>0</v>
      </c>
      <c r="AD1018" s="30">
        <v>0</v>
      </c>
      <c r="AE1018" s="89" t="s">
        <v>68</v>
      </c>
      <c r="AF1018" s="89"/>
      <c r="AG1018" s="89" t="s">
        <v>133</v>
      </c>
      <c r="AH1018" s="72" t="s">
        <v>68</v>
      </c>
      <c r="AI1018" s="30">
        <v>5</v>
      </c>
      <c r="AJ1018" s="89" t="s">
        <v>5725</v>
      </c>
      <c r="AK1018" s="89" t="s">
        <v>5726</v>
      </c>
      <c r="AL1018" s="91">
        <v>40602</v>
      </c>
      <c r="AM1018" s="91"/>
      <c r="AN1018" s="91"/>
      <c r="AO1018" s="91"/>
      <c r="AP1018" s="73" t="e">
        <f>MID(VLOOKUP(K1018,#REF!,2,FALSE),1,2)</f>
        <v>#REF!</v>
      </c>
      <c r="AQ1018" s="89">
        <f>DATE(2011,1,28)</f>
        <v>40571</v>
      </c>
      <c r="AR1018" s="82">
        <f t="shared" si="66"/>
        <v>28</v>
      </c>
      <c r="AS1018" s="83">
        <f t="shared" si="67"/>
        <v>1</v>
      </c>
      <c r="AT1018" s="84">
        <f t="shared" si="68"/>
        <v>2011</v>
      </c>
      <c r="AU1018" s="86"/>
      <c r="AV1018" s="86"/>
      <c r="AW1018" s="87"/>
      <c r="AX1018" s="86"/>
      <c r="AY1018" s="83"/>
      <c r="AZ1018" s="84"/>
      <c r="BA1018" s="86"/>
      <c r="BB1018" s="86"/>
    </row>
    <row r="1019" spans="1:54" ht="36.75" customHeight="1">
      <c r="A1019" s="30"/>
      <c r="B1019" s="30" t="s">
        <v>55</v>
      </c>
      <c r="C1019" s="69" t="str">
        <f t="shared" si="65"/>
        <v>Closed</v>
      </c>
      <c r="D1019" s="27" t="s">
        <v>5727</v>
      </c>
      <c r="E1019" s="29" t="s">
        <v>5728</v>
      </c>
      <c r="F1019" s="30" t="s">
        <v>582</v>
      </c>
      <c r="G1019" s="89">
        <f>DATE(2011,1,29)</f>
        <v>40572</v>
      </c>
      <c r="H1019" s="90">
        <v>1.9375</v>
      </c>
      <c r="I1019" s="30" t="s">
        <v>198</v>
      </c>
      <c r="J1019" s="89" t="s">
        <v>5729</v>
      </c>
      <c r="K1019" s="30" t="s">
        <v>584</v>
      </c>
      <c r="L1019" s="30" t="s">
        <v>5730</v>
      </c>
      <c r="M1019" s="30" t="s">
        <v>63</v>
      </c>
      <c r="N1019" s="30" t="s">
        <v>99</v>
      </c>
      <c r="O1019" s="30" t="s">
        <v>64</v>
      </c>
      <c r="P1019" s="89" t="s">
        <v>216</v>
      </c>
      <c r="Q1019" s="89" t="s">
        <v>5731</v>
      </c>
      <c r="R1019" s="89" t="s">
        <v>587</v>
      </c>
      <c r="S1019" s="30">
        <v>8</v>
      </c>
      <c r="T1019" s="233">
        <v>2</v>
      </c>
      <c r="U1019" s="30">
        <v>0</v>
      </c>
      <c r="V1019" s="233">
        <v>0</v>
      </c>
      <c r="W1019" s="30">
        <v>0</v>
      </c>
      <c r="X1019" s="30">
        <v>10</v>
      </c>
      <c r="Y1019" s="30">
        <v>8</v>
      </c>
      <c r="Z1019" s="233">
        <v>0</v>
      </c>
      <c r="AA1019" s="30">
        <v>0</v>
      </c>
      <c r="AB1019" s="30">
        <v>0</v>
      </c>
      <c r="AC1019" s="30">
        <v>0</v>
      </c>
      <c r="AD1019" s="30">
        <v>8</v>
      </c>
      <c r="AE1019" s="89" t="s">
        <v>145</v>
      </c>
      <c r="AF1019" s="89"/>
      <c r="AG1019" s="89" t="s">
        <v>82</v>
      </c>
      <c r="AH1019" s="72">
        <v>40575</v>
      </c>
      <c r="AI1019" s="30">
        <v>2</v>
      </c>
      <c r="AJ1019" s="89" t="s">
        <v>5732</v>
      </c>
      <c r="AK1019" s="89" t="s">
        <v>1233</v>
      </c>
      <c r="AL1019" s="91">
        <v>40574</v>
      </c>
      <c r="AM1019" s="91"/>
      <c r="AN1019" s="91"/>
      <c r="AO1019" s="91"/>
      <c r="AP1019" s="73" t="e">
        <f>MID(VLOOKUP(K1019,#REF!,2,FALSE),1,2)</f>
        <v>#REF!</v>
      </c>
      <c r="AQ1019" s="89">
        <f>DATE(2011,1,29)</f>
        <v>40572</v>
      </c>
      <c r="AR1019" s="82">
        <f t="shared" si="66"/>
        <v>29</v>
      </c>
      <c r="AS1019" s="83">
        <f t="shared" si="67"/>
        <v>1</v>
      </c>
      <c r="AT1019" s="84">
        <f t="shared" si="68"/>
        <v>2011</v>
      </c>
      <c r="AU1019" s="86"/>
      <c r="AV1019" s="86"/>
      <c r="AW1019" s="87"/>
      <c r="AX1019" s="86"/>
      <c r="AY1019" s="83"/>
      <c r="AZ1019" s="84"/>
      <c r="BA1019" s="86"/>
      <c r="BB1019" s="86"/>
    </row>
    <row r="1020" spans="1:54" ht="36.75" customHeight="1">
      <c r="A1020" s="30"/>
      <c r="B1020" s="30" t="s">
        <v>55</v>
      </c>
      <c r="C1020" s="69" t="str">
        <f t="shared" si="65"/>
        <v>Closed</v>
      </c>
      <c r="D1020" s="27" t="s">
        <v>5733</v>
      </c>
      <c r="E1020" s="29" t="s">
        <v>5734</v>
      </c>
      <c r="F1020" s="30" t="s">
        <v>423</v>
      </c>
      <c r="G1020" s="89">
        <f>DATE(2011,2,2)</f>
        <v>40576</v>
      </c>
      <c r="H1020" s="90">
        <v>1.3486111111111112</v>
      </c>
      <c r="I1020" s="30" t="s">
        <v>198</v>
      </c>
      <c r="J1020" s="89" t="s">
        <v>5735</v>
      </c>
      <c r="K1020" s="30" t="s">
        <v>425</v>
      </c>
      <c r="L1020" s="30" t="s">
        <v>5736</v>
      </c>
      <c r="M1020" s="30" t="s">
        <v>63</v>
      </c>
      <c r="N1020" s="30">
        <v>0</v>
      </c>
      <c r="O1020" s="30" t="s">
        <v>64</v>
      </c>
      <c r="P1020" s="89" t="s">
        <v>216</v>
      </c>
      <c r="Q1020" s="89" t="s">
        <v>2483</v>
      </c>
      <c r="R1020" s="89" t="s">
        <v>3103</v>
      </c>
      <c r="S1020" s="30">
        <v>1</v>
      </c>
      <c r="T1020" s="233">
        <v>0</v>
      </c>
      <c r="U1020" s="30">
        <v>0</v>
      </c>
      <c r="V1020" s="233">
        <v>0</v>
      </c>
      <c r="W1020" s="30">
        <v>0</v>
      </c>
      <c r="X1020" s="30">
        <v>1</v>
      </c>
      <c r="Y1020" s="30">
        <v>6</v>
      </c>
      <c r="Z1020" s="233">
        <v>1</v>
      </c>
      <c r="AA1020" s="30">
        <v>0</v>
      </c>
      <c r="AB1020" s="30">
        <v>0</v>
      </c>
      <c r="AC1020" s="30">
        <v>0</v>
      </c>
      <c r="AD1020" s="30">
        <v>7</v>
      </c>
      <c r="AE1020" s="89" t="s">
        <v>68</v>
      </c>
      <c r="AF1020" s="89"/>
      <c r="AG1020" s="89" t="s">
        <v>82</v>
      </c>
      <c r="AH1020" s="72" t="s">
        <v>68</v>
      </c>
      <c r="AI1020" s="30">
        <v>8</v>
      </c>
      <c r="AJ1020" s="89" t="s">
        <v>68</v>
      </c>
      <c r="AK1020" s="89" t="s">
        <v>5737</v>
      </c>
      <c r="AL1020" s="91">
        <v>40588</v>
      </c>
      <c r="AM1020" s="91"/>
      <c r="AN1020" s="91"/>
      <c r="AO1020" s="91"/>
      <c r="AP1020" s="73" t="e">
        <f>MID(VLOOKUP(K1020,#REF!,2,FALSE),1,2)</f>
        <v>#REF!</v>
      </c>
      <c r="AQ1020" s="89">
        <f>DATE(2011,2,2)</f>
        <v>40576</v>
      </c>
      <c r="AR1020" s="82">
        <f t="shared" si="66"/>
        <v>2</v>
      </c>
      <c r="AS1020" s="83">
        <f t="shared" si="67"/>
        <v>2</v>
      </c>
      <c r="AT1020" s="84">
        <f t="shared" si="68"/>
        <v>2011</v>
      </c>
      <c r="AU1020" s="86"/>
      <c r="AV1020" s="86"/>
      <c r="AW1020" s="87"/>
      <c r="AX1020" s="86"/>
      <c r="AY1020" s="83"/>
      <c r="AZ1020" s="84"/>
      <c r="BA1020" s="86"/>
      <c r="BB1020" s="86"/>
    </row>
    <row r="1021" spans="1:54" ht="36.75" customHeight="1">
      <c r="A1021" s="30"/>
      <c r="B1021" s="30" t="s">
        <v>55</v>
      </c>
      <c r="C1021" s="69" t="str">
        <f t="shared" si="65"/>
        <v>Closed</v>
      </c>
      <c r="D1021" s="27" t="s">
        <v>5738</v>
      </c>
      <c r="E1021" s="29" t="s">
        <v>5739</v>
      </c>
      <c r="F1021" s="30" t="s">
        <v>58</v>
      </c>
      <c r="G1021" s="89">
        <f>DATE(2011,2,2)</f>
        <v>40576</v>
      </c>
      <c r="H1021" s="90">
        <v>1.4965277777777777</v>
      </c>
      <c r="I1021" s="30" t="s">
        <v>198</v>
      </c>
      <c r="J1021" s="89" t="s">
        <v>5740</v>
      </c>
      <c r="K1021" s="30" t="s">
        <v>61</v>
      </c>
      <c r="L1021" s="30" t="s">
        <v>5741</v>
      </c>
      <c r="M1021" s="30" t="s">
        <v>63</v>
      </c>
      <c r="N1021" s="30" t="s">
        <v>99</v>
      </c>
      <c r="O1021" s="30" t="s">
        <v>64</v>
      </c>
      <c r="P1021" s="89" t="s">
        <v>78</v>
      </c>
      <c r="Q1021" s="89" t="s">
        <v>66</v>
      </c>
      <c r="R1021" s="89" t="s">
        <v>67</v>
      </c>
      <c r="S1021" s="30">
        <v>0</v>
      </c>
      <c r="T1021" s="233">
        <v>0</v>
      </c>
      <c r="U1021" s="30">
        <v>0</v>
      </c>
      <c r="V1021" s="233">
        <v>0</v>
      </c>
      <c r="W1021" s="30">
        <v>0</v>
      </c>
      <c r="X1021" s="30">
        <v>0</v>
      </c>
      <c r="Y1021" s="30">
        <v>0</v>
      </c>
      <c r="Z1021" s="233">
        <v>0</v>
      </c>
      <c r="AA1021" s="30">
        <v>0</v>
      </c>
      <c r="AB1021" s="30">
        <v>0</v>
      </c>
      <c r="AC1021" s="30">
        <v>0</v>
      </c>
      <c r="AD1021" s="30">
        <v>0</v>
      </c>
      <c r="AE1021" s="89" t="s">
        <v>394</v>
      </c>
      <c r="AF1021" s="89"/>
      <c r="AG1021" s="89" t="s">
        <v>133</v>
      </c>
      <c r="AH1021" s="72">
        <v>40584</v>
      </c>
      <c r="AI1021" s="30">
        <v>3</v>
      </c>
      <c r="AJ1021" s="89" t="s">
        <v>5742</v>
      </c>
      <c r="AK1021" s="89" t="s">
        <v>5743</v>
      </c>
      <c r="AL1021" s="91">
        <v>40673</v>
      </c>
      <c r="AM1021" s="91"/>
      <c r="AN1021" s="91"/>
      <c r="AO1021" s="91"/>
      <c r="AP1021" s="73" t="e">
        <f>MID(VLOOKUP(K1021,#REF!,2,FALSE),1,2)</f>
        <v>#REF!</v>
      </c>
      <c r="AQ1021" s="89">
        <f>DATE(2011,2,2)</f>
        <v>40576</v>
      </c>
      <c r="AR1021" s="82">
        <f t="shared" si="66"/>
        <v>2</v>
      </c>
      <c r="AS1021" s="83">
        <f t="shared" si="67"/>
        <v>2</v>
      </c>
      <c r="AT1021" s="84">
        <f t="shared" si="68"/>
        <v>2011</v>
      </c>
      <c r="AU1021" s="86"/>
      <c r="AV1021" s="86"/>
      <c r="AW1021" s="87"/>
      <c r="AX1021" s="86"/>
      <c r="AY1021" s="83"/>
      <c r="AZ1021" s="84"/>
      <c r="BA1021" s="86"/>
      <c r="BB1021" s="86"/>
    </row>
    <row r="1022" spans="1:54" ht="36.75" customHeight="1">
      <c r="A1022" s="30"/>
      <c r="B1022" s="30" t="s">
        <v>55</v>
      </c>
      <c r="C1022" s="69" t="str">
        <f t="shared" si="65"/>
        <v>Closed</v>
      </c>
      <c r="D1022" s="27" t="s">
        <v>5744</v>
      </c>
      <c r="E1022" s="29" t="s">
        <v>5745</v>
      </c>
      <c r="F1022" s="30" t="s">
        <v>233</v>
      </c>
      <c r="G1022" s="89">
        <f>DATE(2011,2,5)</f>
        <v>40579</v>
      </c>
      <c r="H1022" s="90">
        <v>1.254861111111111</v>
      </c>
      <c r="I1022" s="30" t="s">
        <v>156</v>
      </c>
      <c r="J1022" s="89" t="s">
        <v>5746</v>
      </c>
      <c r="K1022" s="30" t="s">
        <v>235</v>
      </c>
      <c r="L1022" s="30" t="s">
        <v>5747</v>
      </c>
      <c r="M1022" s="30" t="s">
        <v>63</v>
      </c>
      <c r="N1022" s="30">
        <v>0</v>
      </c>
      <c r="O1022" s="30" t="s">
        <v>64</v>
      </c>
      <c r="P1022" s="89" t="s">
        <v>165</v>
      </c>
      <c r="Q1022" s="89" t="s">
        <v>3352</v>
      </c>
      <c r="R1022" s="89" t="s">
        <v>238</v>
      </c>
      <c r="S1022" s="30">
        <v>0</v>
      </c>
      <c r="T1022" s="233" t="s">
        <v>68</v>
      </c>
      <c r="U1022" s="30">
        <v>0</v>
      </c>
      <c r="V1022" s="233" t="s">
        <v>68</v>
      </c>
      <c r="W1022" s="30">
        <v>0</v>
      </c>
      <c r="X1022" s="30">
        <v>0</v>
      </c>
      <c r="Y1022" s="30">
        <v>0</v>
      </c>
      <c r="Z1022" s="233" t="s">
        <v>68</v>
      </c>
      <c r="AA1022" s="30">
        <v>0</v>
      </c>
      <c r="AB1022" s="30">
        <v>0</v>
      </c>
      <c r="AC1022" s="30">
        <v>0</v>
      </c>
      <c r="AD1022" s="30">
        <v>0</v>
      </c>
      <c r="AE1022" s="89" t="s">
        <v>68</v>
      </c>
      <c r="AF1022" s="89"/>
      <c r="AG1022" s="89" t="s">
        <v>133</v>
      </c>
      <c r="AH1022" s="72" t="s">
        <v>68</v>
      </c>
      <c r="AI1022" s="30">
        <v>5</v>
      </c>
      <c r="AJ1022" s="89" t="s">
        <v>5748</v>
      </c>
      <c r="AK1022" s="89" t="s">
        <v>5749</v>
      </c>
      <c r="AL1022" s="91">
        <v>40585</v>
      </c>
      <c r="AM1022" s="91"/>
      <c r="AN1022" s="91"/>
      <c r="AO1022" s="91"/>
      <c r="AP1022" s="73" t="e">
        <f>MID(VLOOKUP(K1022,#REF!,2,FALSE),1,2)</f>
        <v>#REF!</v>
      </c>
      <c r="AQ1022" s="89">
        <f>DATE(2011,2,5)</f>
        <v>40579</v>
      </c>
      <c r="AR1022" s="82">
        <f t="shared" si="66"/>
        <v>5</v>
      </c>
      <c r="AS1022" s="83">
        <f t="shared" si="67"/>
        <v>2</v>
      </c>
      <c r="AT1022" s="84">
        <f t="shared" si="68"/>
        <v>2011</v>
      </c>
      <c r="AU1022" s="86"/>
      <c r="AV1022" s="86"/>
      <c r="AW1022" s="87"/>
      <c r="AX1022" s="86"/>
      <c r="AY1022" s="83"/>
      <c r="AZ1022" s="84"/>
      <c r="BA1022" s="86"/>
      <c r="BB1022" s="86"/>
    </row>
    <row r="1023" spans="1:54" ht="36.75" customHeight="1">
      <c r="A1023" s="30"/>
      <c r="B1023" s="30" t="s">
        <v>55</v>
      </c>
      <c r="C1023" s="69" t="str">
        <f t="shared" si="65"/>
        <v>Closed</v>
      </c>
      <c r="D1023" s="27" t="s">
        <v>5750</v>
      </c>
      <c r="E1023" s="29" t="s">
        <v>5751</v>
      </c>
      <c r="F1023" s="30" t="s">
        <v>197</v>
      </c>
      <c r="G1023" s="89">
        <f>DATE(2011,2,8)</f>
        <v>40582</v>
      </c>
      <c r="H1023" s="90">
        <v>1.3875</v>
      </c>
      <c r="I1023" s="30" t="s">
        <v>116</v>
      </c>
      <c r="J1023" s="89" t="s">
        <v>5752</v>
      </c>
      <c r="K1023" s="30" t="s">
        <v>200</v>
      </c>
      <c r="L1023" s="30" t="s">
        <v>5753</v>
      </c>
      <c r="M1023" s="30" t="s">
        <v>63</v>
      </c>
      <c r="N1023" s="30">
        <v>0</v>
      </c>
      <c r="O1023" s="30" t="s">
        <v>64</v>
      </c>
      <c r="P1023" s="89" t="s">
        <v>165</v>
      </c>
      <c r="Q1023" s="89" t="s">
        <v>202</v>
      </c>
      <c r="R1023" s="89" t="s">
        <v>203</v>
      </c>
      <c r="S1023" s="30">
        <v>0</v>
      </c>
      <c r="T1023" s="233">
        <v>0</v>
      </c>
      <c r="U1023" s="30">
        <v>1</v>
      </c>
      <c r="V1023" s="233">
        <v>0</v>
      </c>
      <c r="W1023" s="30">
        <v>0</v>
      </c>
      <c r="X1023" s="30">
        <v>1</v>
      </c>
      <c r="Y1023" s="30">
        <v>0</v>
      </c>
      <c r="Z1023" s="233">
        <v>0</v>
      </c>
      <c r="AA1023" s="30">
        <v>0</v>
      </c>
      <c r="AB1023" s="30">
        <v>0</v>
      </c>
      <c r="AC1023" s="30">
        <v>0</v>
      </c>
      <c r="AD1023" s="30">
        <v>0</v>
      </c>
      <c r="AE1023" s="89" t="s">
        <v>68</v>
      </c>
      <c r="AF1023" s="89"/>
      <c r="AG1023" s="89" t="s">
        <v>133</v>
      </c>
      <c r="AH1023" s="72" t="s">
        <v>68</v>
      </c>
      <c r="AI1023" s="30">
        <v>0</v>
      </c>
      <c r="AJ1023" s="89" t="s">
        <v>68</v>
      </c>
      <c r="AK1023" s="89" t="s">
        <v>68</v>
      </c>
      <c r="AL1023" s="91">
        <v>40589</v>
      </c>
      <c r="AM1023" s="91"/>
      <c r="AN1023" s="91"/>
      <c r="AO1023" s="91"/>
      <c r="AP1023" s="73" t="e">
        <f>MID(VLOOKUP(K1023,#REF!,2,FALSE),1,2)</f>
        <v>#REF!</v>
      </c>
      <c r="AQ1023" s="89">
        <f>DATE(2011,2,8)</f>
        <v>40582</v>
      </c>
      <c r="AR1023" s="82">
        <f t="shared" si="66"/>
        <v>8</v>
      </c>
      <c r="AS1023" s="83">
        <f t="shared" si="67"/>
        <v>2</v>
      </c>
      <c r="AT1023" s="84">
        <f t="shared" si="68"/>
        <v>2011</v>
      </c>
      <c r="AU1023" s="86"/>
      <c r="AV1023" s="86"/>
      <c r="AW1023" s="87"/>
      <c r="AX1023" s="86"/>
      <c r="AY1023" s="83"/>
      <c r="AZ1023" s="84"/>
      <c r="BA1023" s="86"/>
      <c r="BB1023" s="86"/>
    </row>
    <row r="1024" spans="1:54" ht="36.75" customHeight="1">
      <c r="A1024" s="30"/>
      <c r="B1024" s="30" t="s">
        <v>55</v>
      </c>
      <c r="C1024" s="69" t="str">
        <f t="shared" si="65"/>
        <v>Closed</v>
      </c>
      <c r="D1024" s="27" t="s">
        <v>5754</v>
      </c>
      <c r="E1024" s="29" t="s">
        <v>5755</v>
      </c>
      <c r="F1024" s="30" t="s">
        <v>1572</v>
      </c>
      <c r="G1024" s="89">
        <f>DATE(2011,2,8)</f>
        <v>40582</v>
      </c>
      <c r="H1024" s="90">
        <v>1.71875</v>
      </c>
      <c r="I1024" s="30" t="s">
        <v>73</v>
      </c>
      <c r="J1024" s="89" t="s">
        <v>5756</v>
      </c>
      <c r="K1024" s="30" t="s">
        <v>1574</v>
      </c>
      <c r="L1024" s="30" t="s">
        <v>5757</v>
      </c>
      <c r="M1024" s="30" t="s">
        <v>63</v>
      </c>
      <c r="N1024" s="30">
        <v>0</v>
      </c>
      <c r="O1024" s="30" t="s">
        <v>77</v>
      </c>
      <c r="P1024" s="89" t="s">
        <v>78</v>
      </c>
      <c r="Q1024" s="89" t="s">
        <v>2655</v>
      </c>
      <c r="R1024" s="89" t="s">
        <v>5758</v>
      </c>
      <c r="S1024" s="30">
        <v>0</v>
      </c>
      <c r="T1024" s="233" t="s">
        <v>68</v>
      </c>
      <c r="U1024" s="30">
        <v>0</v>
      </c>
      <c r="V1024" s="233" t="s">
        <v>68</v>
      </c>
      <c r="W1024" s="30">
        <v>0</v>
      </c>
      <c r="X1024" s="30">
        <v>0</v>
      </c>
      <c r="Y1024" s="30">
        <v>0</v>
      </c>
      <c r="Z1024" s="233" t="s">
        <v>68</v>
      </c>
      <c r="AA1024" s="30">
        <v>0</v>
      </c>
      <c r="AB1024" s="30">
        <v>0</v>
      </c>
      <c r="AC1024" s="30">
        <v>0</v>
      </c>
      <c r="AD1024" s="30">
        <v>0</v>
      </c>
      <c r="AE1024" s="89" t="s">
        <v>68</v>
      </c>
      <c r="AF1024" s="89"/>
      <c r="AG1024" s="89" t="s">
        <v>133</v>
      </c>
      <c r="AH1024" s="72" t="s">
        <v>68</v>
      </c>
      <c r="AI1024" s="30">
        <v>0</v>
      </c>
      <c r="AJ1024" s="89" t="s">
        <v>5759</v>
      </c>
      <c r="AK1024" s="89" t="s">
        <v>68</v>
      </c>
      <c r="AL1024" s="91">
        <v>40585</v>
      </c>
      <c r="AM1024" s="91"/>
      <c r="AN1024" s="91"/>
      <c r="AO1024" s="91"/>
      <c r="AP1024" s="73" t="e">
        <f>MID(VLOOKUP(K1024,#REF!,2,FALSE),1,2)</f>
        <v>#REF!</v>
      </c>
      <c r="AQ1024" s="89">
        <f>DATE(2011,2,8)</f>
        <v>40582</v>
      </c>
      <c r="AR1024" s="82">
        <f t="shared" si="66"/>
        <v>8</v>
      </c>
      <c r="AS1024" s="83">
        <f t="shared" si="67"/>
        <v>2</v>
      </c>
      <c r="AT1024" s="84">
        <f t="shared" si="68"/>
        <v>2011</v>
      </c>
      <c r="AU1024" s="86"/>
      <c r="AV1024" s="86"/>
      <c r="AW1024" s="87"/>
      <c r="AX1024" s="86"/>
      <c r="AY1024" s="83"/>
      <c r="AZ1024" s="84"/>
      <c r="BA1024" s="86"/>
      <c r="BB1024" s="86"/>
    </row>
    <row r="1025" spans="1:54" ht="36.75" customHeight="1">
      <c r="A1025" s="30"/>
      <c r="B1025" s="30" t="s">
        <v>55</v>
      </c>
      <c r="C1025" s="69" t="str">
        <f t="shared" si="65"/>
        <v>Closed</v>
      </c>
      <c r="D1025" s="27" t="s">
        <v>5760</v>
      </c>
      <c r="E1025" s="29" t="s">
        <v>5761</v>
      </c>
      <c r="F1025" s="30" t="s">
        <v>835</v>
      </c>
      <c r="G1025" s="89">
        <f>DATE(2011,2,9)</f>
        <v>40583</v>
      </c>
      <c r="H1025" s="90">
        <v>1.2395833333333333</v>
      </c>
      <c r="I1025" s="30" t="s">
        <v>431</v>
      </c>
      <c r="J1025" s="89" t="s">
        <v>5762</v>
      </c>
      <c r="K1025" s="30" t="s">
        <v>837</v>
      </c>
      <c r="L1025" s="30" t="s">
        <v>5763</v>
      </c>
      <c r="M1025" s="30" t="s">
        <v>63</v>
      </c>
      <c r="N1025" s="30">
        <v>0</v>
      </c>
      <c r="O1025" s="30" t="s">
        <v>77</v>
      </c>
      <c r="P1025" s="89" t="s">
        <v>91</v>
      </c>
      <c r="Q1025" s="89" t="s">
        <v>3061</v>
      </c>
      <c r="R1025" s="89" t="s">
        <v>2797</v>
      </c>
      <c r="S1025" s="30">
        <v>0</v>
      </c>
      <c r="T1025" s="233">
        <v>0</v>
      </c>
      <c r="U1025" s="30">
        <v>0</v>
      </c>
      <c r="V1025" s="233">
        <v>0</v>
      </c>
      <c r="W1025" s="30">
        <v>0</v>
      </c>
      <c r="X1025" s="30">
        <v>0</v>
      </c>
      <c r="Y1025" s="30">
        <v>0</v>
      </c>
      <c r="Z1025" s="233">
        <v>0</v>
      </c>
      <c r="AA1025" s="30">
        <v>0</v>
      </c>
      <c r="AB1025" s="30">
        <v>0</v>
      </c>
      <c r="AC1025" s="30">
        <v>0</v>
      </c>
      <c r="AD1025" s="30">
        <v>0</v>
      </c>
      <c r="AE1025" s="89" t="s">
        <v>92</v>
      </c>
      <c r="AF1025" s="89"/>
      <c r="AG1025" s="89" t="s">
        <v>352</v>
      </c>
      <c r="AH1025" s="72" t="s">
        <v>68</v>
      </c>
      <c r="AI1025" s="30">
        <v>0</v>
      </c>
      <c r="AJ1025" s="89" t="s">
        <v>5535</v>
      </c>
      <c r="AK1025" s="89" t="s">
        <v>68</v>
      </c>
      <c r="AL1025" s="91">
        <v>40827</v>
      </c>
      <c r="AM1025" s="91"/>
      <c r="AN1025" s="91"/>
      <c r="AO1025" s="91"/>
      <c r="AP1025" s="73" t="e">
        <f>MID(VLOOKUP(K1025,#REF!,2,FALSE),1,2)</f>
        <v>#REF!</v>
      </c>
      <c r="AQ1025" s="89">
        <f>DATE(2011,2,9)</f>
        <v>40583</v>
      </c>
      <c r="AR1025" s="82">
        <f t="shared" si="66"/>
        <v>9</v>
      </c>
      <c r="AS1025" s="83">
        <f t="shared" si="67"/>
        <v>2</v>
      </c>
      <c r="AT1025" s="84">
        <f t="shared" si="68"/>
        <v>2011</v>
      </c>
      <c r="AU1025" s="86"/>
      <c r="AV1025" s="86"/>
      <c r="AW1025" s="87"/>
      <c r="AX1025" s="86"/>
      <c r="AY1025" s="83"/>
      <c r="AZ1025" s="84"/>
      <c r="BA1025" s="86"/>
      <c r="BB1025" s="86"/>
    </row>
    <row r="1026" spans="1:54" ht="36.75" customHeight="1">
      <c r="A1026" s="30"/>
      <c r="B1026" s="30" t="s">
        <v>55</v>
      </c>
      <c r="C1026" s="69" t="str">
        <f t="shared" ref="C1026:C1089" si="69">IF(B1026="Notification","Open",IF(B1026="Interim Statement","In progress","Closed"))</f>
        <v>Closed</v>
      </c>
      <c r="D1026" s="27" t="s">
        <v>5764</v>
      </c>
      <c r="E1026" s="29" t="s">
        <v>5765</v>
      </c>
      <c r="F1026" s="30" t="s">
        <v>197</v>
      </c>
      <c r="G1026" s="89">
        <f>DATE(2011,2,10)</f>
        <v>40584</v>
      </c>
      <c r="H1026" s="90">
        <v>1.3347222222222221</v>
      </c>
      <c r="I1026" s="30" t="s">
        <v>116</v>
      </c>
      <c r="J1026" s="89" t="s">
        <v>5766</v>
      </c>
      <c r="K1026" s="30" t="s">
        <v>200</v>
      </c>
      <c r="L1026" s="30" t="s">
        <v>5767</v>
      </c>
      <c r="M1026" s="30" t="s">
        <v>63</v>
      </c>
      <c r="N1026" s="30">
        <v>0</v>
      </c>
      <c r="O1026" s="30" t="s">
        <v>64</v>
      </c>
      <c r="P1026" s="89" t="s">
        <v>165</v>
      </c>
      <c r="Q1026" s="89" t="s">
        <v>5768</v>
      </c>
      <c r="R1026" s="89" t="s">
        <v>203</v>
      </c>
      <c r="S1026" s="30">
        <v>0</v>
      </c>
      <c r="T1026" s="233">
        <v>0</v>
      </c>
      <c r="U1026" s="30">
        <v>0</v>
      </c>
      <c r="V1026" s="233">
        <v>0</v>
      </c>
      <c r="W1026" s="30">
        <v>0</v>
      </c>
      <c r="X1026" s="30">
        <v>0</v>
      </c>
      <c r="Y1026" s="30">
        <v>0</v>
      </c>
      <c r="Z1026" s="233">
        <v>0</v>
      </c>
      <c r="AA1026" s="30">
        <v>0</v>
      </c>
      <c r="AB1026" s="30">
        <v>0</v>
      </c>
      <c r="AC1026" s="30">
        <v>0</v>
      </c>
      <c r="AD1026" s="30">
        <v>0</v>
      </c>
      <c r="AE1026" s="89" t="s">
        <v>68</v>
      </c>
      <c r="AF1026" s="89"/>
      <c r="AG1026" s="89" t="s">
        <v>874</v>
      </c>
      <c r="AH1026" s="72" t="s">
        <v>68</v>
      </c>
      <c r="AI1026" s="30">
        <v>0</v>
      </c>
      <c r="AJ1026" s="89" t="s">
        <v>5769</v>
      </c>
      <c r="AK1026" s="89" t="s">
        <v>1233</v>
      </c>
      <c r="AL1026" s="91">
        <v>40756</v>
      </c>
      <c r="AM1026" s="91"/>
      <c r="AN1026" s="91"/>
      <c r="AO1026" s="91"/>
      <c r="AP1026" s="73" t="e">
        <f>MID(VLOOKUP(K1026,#REF!,2,FALSE),1,2)</f>
        <v>#REF!</v>
      </c>
      <c r="AQ1026" s="89">
        <f>DATE(2011,2,10)</f>
        <v>40584</v>
      </c>
      <c r="AR1026" s="82">
        <f t="shared" ref="AR1026:AR1089" si="70">DAY(AQ1026)</f>
        <v>10</v>
      </c>
      <c r="AS1026" s="83">
        <f t="shared" ref="AS1026:AS1089" si="71">MONTH(AQ1026)</f>
        <v>2</v>
      </c>
      <c r="AT1026" s="84">
        <f t="shared" ref="AT1026:AT1089" si="72">YEAR(AQ1026)</f>
        <v>2011</v>
      </c>
      <c r="AU1026" s="86"/>
      <c r="AV1026" s="86"/>
      <c r="AW1026" s="87"/>
      <c r="AX1026" s="86"/>
      <c r="AY1026" s="83"/>
      <c r="AZ1026" s="84"/>
      <c r="BA1026" s="86"/>
      <c r="BB1026" s="86"/>
    </row>
    <row r="1027" spans="1:54" ht="36.75" customHeight="1">
      <c r="A1027" s="30"/>
      <c r="B1027" s="30" t="s">
        <v>55</v>
      </c>
      <c r="C1027" s="69" t="str">
        <f t="shared" si="69"/>
        <v>Closed</v>
      </c>
      <c r="D1027" s="27" t="s">
        <v>5770</v>
      </c>
      <c r="E1027" s="29" t="s">
        <v>5771</v>
      </c>
      <c r="F1027" s="30" t="s">
        <v>582</v>
      </c>
      <c r="G1027" s="89">
        <f>DATE(2011,2,11)</f>
        <v>40585</v>
      </c>
      <c r="H1027" s="90">
        <v>1.6604166666666667</v>
      </c>
      <c r="I1027" s="30" t="s">
        <v>73</v>
      </c>
      <c r="J1027" s="89" t="s">
        <v>5772</v>
      </c>
      <c r="K1027" s="30" t="s">
        <v>584</v>
      </c>
      <c r="L1027" s="30" t="s">
        <v>5773</v>
      </c>
      <c r="M1027" s="30" t="s">
        <v>63</v>
      </c>
      <c r="N1027" s="30" t="s">
        <v>142</v>
      </c>
      <c r="O1027" s="30" t="s">
        <v>64</v>
      </c>
      <c r="P1027" s="89" t="s">
        <v>78</v>
      </c>
      <c r="Q1027" s="89" t="s">
        <v>586</v>
      </c>
      <c r="R1027" s="89" t="s">
        <v>587</v>
      </c>
      <c r="S1027" s="30">
        <v>0</v>
      </c>
      <c r="T1027" s="233">
        <v>0</v>
      </c>
      <c r="U1027" s="30">
        <v>0</v>
      </c>
      <c r="V1027" s="233">
        <v>0</v>
      </c>
      <c r="W1027" s="30">
        <v>0</v>
      </c>
      <c r="X1027" s="30">
        <v>0</v>
      </c>
      <c r="Y1027" s="30">
        <v>0</v>
      </c>
      <c r="Z1027" s="233">
        <v>0</v>
      </c>
      <c r="AA1027" s="30">
        <v>0</v>
      </c>
      <c r="AB1027" s="30">
        <v>0</v>
      </c>
      <c r="AC1027" s="30">
        <v>0</v>
      </c>
      <c r="AD1027" s="30">
        <v>0</v>
      </c>
      <c r="AE1027" s="89" t="s">
        <v>394</v>
      </c>
      <c r="AF1027" s="89"/>
      <c r="AG1027" s="89" t="s">
        <v>82</v>
      </c>
      <c r="AH1027" s="72">
        <v>40590</v>
      </c>
      <c r="AI1027" s="30">
        <v>0</v>
      </c>
      <c r="AJ1027" s="89" t="s">
        <v>5774</v>
      </c>
      <c r="AK1027" s="89" t="s">
        <v>1233</v>
      </c>
      <c r="AL1027" s="91">
        <v>40590</v>
      </c>
      <c r="AM1027" s="91"/>
      <c r="AN1027" s="91"/>
      <c r="AO1027" s="91"/>
      <c r="AP1027" s="73" t="e">
        <f>MID(VLOOKUP(K1027,#REF!,2,FALSE),1,2)</f>
        <v>#REF!</v>
      </c>
      <c r="AQ1027" s="89">
        <f>DATE(2011,2,11)</f>
        <v>40585</v>
      </c>
      <c r="AR1027" s="82">
        <f t="shared" si="70"/>
        <v>11</v>
      </c>
      <c r="AS1027" s="83">
        <f t="shared" si="71"/>
        <v>2</v>
      </c>
      <c r="AT1027" s="84">
        <f t="shared" si="72"/>
        <v>2011</v>
      </c>
      <c r="AU1027" s="86"/>
      <c r="AV1027" s="86"/>
      <c r="AW1027" s="87"/>
      <c r="AX1027" s="86"/>
      <c r="AY1027" s="83"/>
      <c r="AZ1027" s="84"/>
      <c r="BA1027" s="86"/>
      <c r="BB1027" s="86"/>
    </row>
    <row r="1028" spans="1:54" ht="36.75" customHeight="1">
      <c r="A1028" s="30"/>
      <c r="B1028" s="30" t="s">
        <v>55</v>
      </c>
      <c r="C1028" s="69" t="str">
        <f t="shared" si="69"/>
        <v>Closed</v>
      </c>
      <c r="D1028" s="27" t="s">
        <v>5775</v>
      </c>
      <c r="E1028" s="29" t="s">
        <v>5776</v>
      </c>
      <c r="F1028" s="30" t="s">
        <v>197</v>
      </c>
      <c r="G1028" s="89">
        <f>DATE(2011,2,14)</f>
        <v>40588</v>
      </c>
      <c r="H1028" s="90">
        <v>1.2034722222222223</v>
      </c>
      <c r="I1028" s="30" t="s">
        <v>198</v>
      </c>
      <c r="J1028" s="89" t="s">
        <v>5777</v>
      </c>
      <c r="K1028" s="30" t="s">
        <v>200</v>
      </c>
      <c r="L1028" s="30" t="s">
        <v>5778</v>
      </c>
      <c r="M1028" s="30" t="s">
        <v>63</v>
      </c>
      <c r="N1028" s="30">
        <v>0</v>
      </c>
      <c r="O1028" s="30" t="s">
        <v>90</v>
      </c>
      <c r="P1028" s="89" t="s">
        <v>2551</v>
      </c>
      <c r="Q1028" s="89" t="s">
        <v>5779</v>
      </c>
      <c r="R1028" s="89" t="s">
        <v>203</v>
      </c>
      <c r="S1028" s="30">
        <v>0</v>
      </c>
      <c r="T1028" s="233">
        <v>0</v>
      </c>
      <c r="U1028" s="30">
        <v>0</v>
      </c>
      <c r="V1028" s="233">
        <v>0</v>
      </c>
      <c r="W1028" s="30">
        <v>0</v>
      </c>
      <c r="X1028" s="30">
        <v>0</v>
      </c>
      <c r="Y1028" s="30">
        <v>0</v>
      </c>
      <c r="Z1028" s="233">
        <v>1</v>
      </c>
      <c r="AA1028" s="30">
        <v>0</v>
      </c>
      <c r="AB1028" s="30">
        <v>0</v>
      </c>
      <c r="AC1028" s="30">
        <v>0</v>
      </c>
      <c r="AD1028" s="30">
        <v>1</v>
      </c>
      <c r="AE1028" s="89" t="s">
        <v>68</v>
      </c>
      <c r="AF1028" s="89"/>
      <c r="AG1028" s="89" t="s">
        <v>133</v>
      </c>
      <c r="AH1028" s="72" t="s">
        <v>68</v>
      </c>
      <c r="AI1028" s="30">
        <v>0</v>
      </c>
      <c r="AJ1028" s="89" t="s">
        <v>5780</v>
      </c>
      <c r="AK1028" s="89" t="s">
        <v>68</v>
      </c>
      <c r="AL1028" s="91">
        <v>40589</v>
      </c>
      <c r="AM1028" s="91"/>
      <c r="AN1028" s="91"/>
      <c r="AO1028" s="91"/>
      <c r="AP1028" s="73" t="e">
        <f>MID(VLOOKUP(K1028,#REF!,2,FALSE),1,2)</f>
        <v>#REF!</v>
      </c>
      <c r="AQ1028" s="89">
        <f>DATE(2011,2,14)</f>
        <v>40588</v>
      </c>
      <c r="AR1028" s="82">
        <f t="shared" si="70"/>
        <v>14</v>
      </c>
      <c r="AS1028" s="83">
        <f t="shared" si="71"/>
        <v>2</v>
      </c>
      <c r="AT1028" s="84">
        <f t="shared" si="72"/>
        <v>2011</v>
      </c>
      <c r="AU1028" s="86"/>
      <c r="AV1028" s="86"/>
      <c r="AW1028" s="87"/>
      <c r="AX1028" s="86"/>
      <c r="AY1028" s="83"/>
      <c r="AZ1028" s="84"/>
      <c r="BA1028" s="86"/>
      <c r="BB1028" s="86"/>
    </row>
    <row r="1029" spans="1:54" ht="36.75" customHeight="1">
      <c r="A1029" s="30"/>
      <c r="B1029" s="30" t="s">
        <v>55</v>
      </c>
      <c r="C1029" s="69" t="str">
        <f t="shared" si="69"/>
        <v>Closed</v>
      </c>
      <c r="D1029" s="27" t="s">
        <v>5781</v>
      </c>
      <c r="E1029" s="29" t="s">
        <v>5782</v>
      </c>
      <c r="F1029" s="30" t="s">
        <v>1938</v>
      </c>
      <c r="G1029" s="89">
        <f>DATE(2011,2,14)</f>
        <v>40588</v>
      </c>
      <c r="H1029" s="90">
        <v>1.5138888888888888</v>
      </c>
      <c r="I1029" s="30" t="s">
        <v>116</v>
      </c>
      <c r="J1029" s="89" t="s">
        <v>5783</v>
      </c>
      <c r="K1029" s="30" t="s">
        <v>1940</v>
      </c>
      <c r="L1029" s="30" t="s">
        <v>5784</v>
      </c>
      <c r="M1029" s="30" t="s">
        <v>63</v>
      </c>
      <c r="N1029" s="30">
        <v>0</v>
      </c>
      <c r="O1029" s="30" t="s">
        <v>64</v>
      </c>
      <c r="P1029" s="89" t="s">
        <v>165</v>
      </c>
      <c r="Q1029" s="89" t="s">
        <v>1942</v>
      </c>
      <c r="R1029" s="89" t="s">
        <v>1942</v>
      </c>
      <c r="S1029" s="30">
        <v>0</v>
      </c>
      <c r="T1029" s="233" t="s">
        <v>68</v>
      </c>
      <c r="U1029" s="30">
        <v>0</v>
      </c>
      <c r="V1029" s="233" t="s">
        <v>68</v>
      </c>
      <c r="W1029" s="30">
        <v>0</v>
      </c>
      <c r="X1029" s="30">
        <v>0</v>
      </c>
      <c r="Y1029" s="30">
        <v>0</v>
      </c>
      <c r="Z1029" s="233" t="s">
        <v>68</v>
      </c>
      <c r="AA1029" s="30">
        <v>0</v>
      </c>
      <c r="AB1029" s="30">
        <v>0</v>
      </c>
      <c r="AC1029" s="30">
        <v>0</v>
      </c>
      <c r="AD1029" s="30">
        <v>0</v>
      </c>
      <c r="AE1029" s="89" t="s">
        <v>68</v>
      </c>
      <c r="AF1029" s="89"/>
      <c r="AG1029" s="89" t="s">
        <v>133</v>
      </c>
      <c r="AH1029" s="72" t="s">
        <v>68</v>
      </c>
      <c r="AI1029" s="30">
        <v>4</v>
      </c>
      <c r="AJ1029" s="89" t="s">
        <v>5785</v>
      </c>
      <c r="AK1029" s="89" t="s">
        <v>5786</v>
      </c>
      <c r="AL1029" s="91">
        <v>40592</v>
      </c>
      <c r="AM1029" s="91"/>
      <c r="AN1029" s="91"/>
      <c r="AO1029" s="91"/>
      <c r="AP1029" s="73" t="e">
        <f>MID(VLOOKUP(K1029,#REF!,2,FALSE),1,2)</f>
        <v>#REF!</v>
      </c>
      <c r="AQ1029" s="89">
        <f>DATE(2011,2,14)</f>
        <v>40588</v>
      </c>
      <c r="AR1029" s="82">
        <f t="shared" si="70"/>
        <v>14</v>
      </c>
      <c r="AS1029" s="83">
        <f t="shared" si="71"/>
        <v>2</v>
      </c>
      <c r="AT1029" s="84">
        <f t="shared" si="72"/>
        <v>2011</v>
      </c>
      <c r="AU1029" s="86"/>
      <c r="AV1029" s="86"/>
      <c r="AW1029" s="87"/>
      <c r="AX1029" s="86"/>
      <c r="AY1029" s="83"/>
      <c r="AZ1029" s="84"/>
      <c r="BA1029" s="86"/>
      <c r="BB1029" s="86"/>
    </row>
    <row r="1030" spans="1:54" ht="36.75" customHeight="1">
      <c r="A1030" s="30"/>
      <c r="B1030" s="30" t="s">
        <v>55</v>
      </c>
      <c r="C1030" s="69" t="str">
        <f t="shared" si="69"/>
        <v>Closed</v>
      </c>
      <c r="D1030" s="27" t="s">
        <v>5787</v>
      </c>
      <c r="E1030" s="29" t="s">
        <v>5788</v>
      </c>
      <c r="F1030" s="30" t="s">
        <v>1572</v>
      </c>
      <c r="G1030" s="89">
        <f>DATE(2011,2,15)</f>
        <v>40589</v>
      </c>
      <c r="H1030" s="90">
        <v>1.2326388888888888</v>
      </c>
      <c r="I1030" s="30" t="s">
        <v>73</v>
      </c>
      <c r="J1030" s="89" t="s">
        <v>5789</v>
      </c>
      <c r="K1030" s="30" t="s">
        <v>1574</v>
      </c>
      <c r="L1030" s="30" t="s">
        <v>5790</v>
      </c>
      <c r="M1030" s="30" t="s">
        <v>63</v>
      </c>
      <c r="N1030" s="30">
        <v>0</v>
      </c>
      <c r="O1030" s="30" t="s">
        <v>77</v>
      </c>
      <c r="P1030" s="89" t="s">
        <v>78</v>
      </c>
      <c r="Q1030" s="89" t="s">
        <v>2655</v>
      </c>
      <c r="R1030" s="89">
        <v>0</v>
      </c>
      <c r="S1030" s="30">
        <v>0</v>
      </c>
      <c r="T1030" s="233">
        <v>0</v>
      </c>
      <c r="U1030" s="30">
        <v>0</v>
      </c>
      <c r="V1030" s="233">
        <v>0</v>
      </c>
      <c r="W1030" s="30">
        <v>0</v>
      </c>
      <c r="X1030" s="30">
        <v>0</v>
      </c>
      <c r="Y1030" s="30">
        <v>0</v>
      </c>
      <c r="Z1030" s="233">
        <v>0</v>
      </c>
      <c r="AA1030" s="30">
        <v>0</v>
      </c>
      <c r="AB1030" s="30">
        <v>0</v>
      </c>
      <c r="AC1030" s="30">
        <v>0</v>
      </c>
      <c r="AD1030" s="30">
        <v>0</v>
      </c>
      <c r="AE1030" s="89" t="s">
        <v>92</v>
      </c>
      <c r="AF1030" s="89"/>
      <c r="AG1030" s="89" t="s">
        <v>133</v>
      </c>
      <c r="AH1030" s="72">
        <v>40589</v>
      </c>
      <c r="AI1030" s="30">
        <v>0</v>
      </c>
      <c r="AJ1030" s="89" t="s">
        <v>5791</v>
      </c>
      <c r="AK1030" s="89" t="s">
        <v>5792</v>
      </c>
      <c r="AL1030" s="91">
        <v>40596</v>
      </c>
      <c r="AM1030" s="91"/>
      <c r="AN1030" s="91"/>
      <c r="AO1030" s="91"/>
      <c r="AP1030" s="73" t="e">
        <f>MID(VLOOKUP(K1030,#REF!,2,FALSE),1,2)</f>
        <v>#REF!</v>
      </c>
      <c r="AQ1030" s="89">
        <f>DATE(2011,2,15)</f>
        <v>40589</v>
      </c>
      <c r="AR1030" s="82">
        <f t="shared" si="70"/>
        <v>15</v>
      </c>
      <c r="AS1030" s="83">
        <f t="shared" si="71"/>
        <v>2</v>
      </c>
      <c r="AT1030" s="84">
        <f t="shared" si="72"/>
        <v>2011</v>
      </c>
      <c r="AU1030" s="86"/>
      <c r="AV1030" s="86"/>
      <c r="AW1030" s="87"/>
      <c r="AX1030" s="86"/>
      <c r="AY1030" s="83"/>
      <c r="AZ1030" s="84"/>
      <c r="BA1030" s="86"/>
      <c r="BB1030" s="86"/>
    </row>
    <row r="1031" spans="1:54" ht="36.75" customHeight="1">
      <c r="A1031" s="30"/>
      <c r="B1031" s="30" t="s">
        <v>2124</v>
      </c>
      <c r="C1031" s="69" t="str">
        <f t="shared" si="69"/>
        <v>Open</v>
      </c>
      <c r="D1031" s="27" t="s">
        <v>5793</v>
      </c>
      <c r="E1031" s="29" t="s">
        <v>5794</v>
      </c>
      <c r="F1031" s="30" t="s">
        <v>3148</v>
      </c>
      <c r="G1031" s="89">
        <f>DATE(2011,2,20)</f>
        <v>40594</v>
      </c>
      <c r="H1031" s="90">
        <v>1.1118055555555555</v>
      </c>
      <c r="I1031" s="30" t="s">
        <v>278</v>
      </c>
      <c r="J1031" s="89" t="s">
        <v>5795</v>
      </c>
      <c r="K1031" s="30" t="s">
        <v>3150</v>
      </c>
      <c r="L1031" s="30" t="s">
        <v>5796</v>
      </c>
      <c r="M1031" s="30" t="s">
        <v>63</v>
      </c>
      <c r="N1031" s="30">
        <v>0</v>
      </c>
      <c r="O1031" s="30" t="s">
        <v>77</v>
      </c>
      <c r="P1031" s="89" t="s">
        <v>91</v>
      </c>
      <c r="Q1031" s="89" t="s">
        <v>4529</v>
      </c>
      <c r="R1031" s="89" t="s">
        <v>3153</v>
      </c>
      <c r="S1031" s="30">
        <v>0</v>
      </c>
      <c r="T1031" s="233">
        <v>0</v>
      </c>
      <c r="U1031" s="30">
        <v>0</v>
      </c>
      <c r="V1031" s="233" t="s">
        <v>68</v>
      </c>
      <c r="W1031" s="30">
        <v>0</v>
      </c>
      <c r="X1031" s="30">
        <v>0</v>
      </c>
      <c r="Y1031" s="30">
        <v>0</v>
      </c>
      <c r="Z1031" s="233">
        <v>2</v>
      </c>
      <c r="AA1031" s="30">
        <v>0</v>
      </c>
      <c r="AB1031" s="30">
        <v>0</v>
      </c>
      <c r="AC1031" s="30">
        <v>0</v>
      </c>
      <c r="AD1031" s="30">
        <v>2</v>
      </c>
      <c r="AE1031" s="89" t="s">
        <v>68</v>
      </c>
      <c r="AF1031" s="89"/>
      <c r="AG1031" s="89" t="s">
        <v>133</v>
      </c>
      <c r="AH1031" s="72" t="s">
        <v>68</v>
      </c>
      <c r="AI1031" s="30">
        <v>0</v>
      </c>
      <c r="AJ1031" s="89" t="s">
        <v>68</v>
      </c>
      <c r="AK1031" s="89" t="s">
        <v>68</v>
      </c>
      <c r="AL1031" s="91">
        <v>40604</v>
      </c>
      <c r="AM1031" s="91"/>
      <c r="AN1031" s="91"/>
      <c r="AO1031" s="91"/>
      <c r="AP1031" s="73" t="e">
        <f>MID(VLOOKUP(K1031,#REF!,2,FALSE),1,2)</f>
        <v>#REF!</v>
      </c>
      <c r="AQ1031" s="89">
        <f>DATE(2011,2,20)</f>
        <v>40594</v>
      </c>
      <c r="AR1031" s="82">
        <f t="shared" si="70"/>
        <v>20</v>
      </c>
      <c r="AS1031" s="83">
        <f t="shared" si="71"/>
        <v>2</v>
      </c>
      <c r="AT1031" s="84">
        <f t="shared" si="72"/>
        <v>2011</v>
      </c>
      <c r="AU1031" s="86"/>
      <c r="AV1031" s="86"/>
      <c r="AW1031" s="87"/>
      <c r="AX1031" s="86"/>
      <c r="AY1031" s="83"/>
      <c r="AZ1031" s="84"/>
      <c r="BA1031" s="86"/>
      <c r="BB1031" s="86"/>
    </row>
    <row r="1032" spans="1:54" ht="36.75" customHeight="1">
      <c r="A1032" s="30"/>
      <c r="B1032" s="30" t="s">
        <v>55</v>
      </c>
      <c r="C1032" s="69" t="str">
        <f t="shared" si="69"/>
        <v>Closed</v>
      </c>
      <c r="D1032" s="27" t="s">
        <v>5797</v>
      </c>
      <c r="E1032" s="29" t="s">
        <v>5798</v>
      </c>
      <c r="F1032" s="30" t="s">
        <v>58</v>
      </c>
      <c r="G1032" s="89">
        <f>DATE(2011,2,21)</f>
        <v>40595</v>
      </c>
      <c r="H1032" s="90">
        <v>1.1701388888888888</v>
      </c>
      <c r="I1032" s="30" t="s">
        <v>198</v>
      </c>
      <c r="J1032" s="89" t="s">
        <v>5799</v>
      </c>
      <c r="K1032" s="30" t="s">
        <v>61</v>
      </c>
      <c r="L1032" s="30" t="s">
        <v>5800</v>
      </c>
      <c r="M1032" s="30" t="s">
        <v>63</v>
      </c>
      <c r="N1032" s="30" t="s">
        <v>99</v>
      </c>
      <c r="O1032" s="30" t="s">
        <v>64</v>
      </c>
      <c r="P1032" s="89" t="s">
        <v>78</v>
      </c>
      <c r="Q1032" s="89" t="s">
        <v>66</v>
      </c>
      <c r="R1032" s="89" t="s">
        <v>67</v>
      </c>
      <c r="S1032" s="30">
        <v>0</v>
      </c>
      <c r="T1032" s="233">
        <v>1</v>
      </c>
      <c r="U1032" s="30">
        <v>0</v>
      </c>
      <c r="V1032" s="233">
        <v>0</v>
      </c>
      <c r="W1032" s="30">
        <v>0</v>
      </c>
      <c r="X1032" s="30">
        <v>1</v>
      </c>
      <c r="Y1032" s="30">
        <v>0</v>
      </c>
      <c r="Z1032" s="233">
        <v>0</v>
      </c>
      <c r="AA1032" s="30">
        <v>0</v>
      </c>
      <c r="AB1032" s="30">
        <v>0</v>
      </c>
      <c r="AC1032" s="30">
        <v>0</v>
      </c>
      <c r="AD1032" s="30">
        <v>0</v>
      </c>
      <c r="AE1032" s="89" t="s">
        <v>145</v>
      </c>
      <c r="AF1032" s="89"/>
      <c r="AG1032" s="89" t="s">
        <v>82</v>
      </c>
      <c r="AH1032" s="72">
        <v>40598</v>
      </c>
      <c r="AI1032" s="30">
        <v>5</v>
      </c>
      <c r="AJ1032" s="89" t="s">
        <v>5801</v>
      </c>
      <c r="AK1032" s="89" t="s">
        <v>5802</v>
      </c>
      <c r="AL1032" s="91">
        <v>40673</v>
      </c>
      <c r="AM1032" s="91"/>
      <c r="AN1032" s="91"/>
      <c r="AO1032" s="91"/>
      <c r="AP1032" s="73" t="e">
        <f>MID(VLOOKUP(K1032,#REF!,2,FALSE),1,2)</f>
        <v>#REF!</v>
      </c>
      <c r="AQ1032" s="89">
        <f>DATE(2011,2,21)</f>
        <v>40595</v>
      </c>
      <c r="AR1032" s="82">
        <f t="shared" si="70"/>
        <v>21</v>
      </c>
      <c r="AS1032" s="83">
        <f t="shared" si="71"/>
        <v>2</v>
      </c>
      <c r="AT1032" s="84">
        <f t="shared" si="72"/>
        <v>2011</v>
      </c>
      <c r="AU1032" s="86"/>
      <c r="AV1032" s="86"/>
      <c r="AW1032" s="87"/>
      <c r="AX1032" s="86"/>
      <c r="AY1032" s="83"/>
      <c r="AZ1032" s="84"/>
      <c r="BA1032" s="86"/>
      <c r="BB1032" s="86"/>
    </row>
    <row r="1033" spans="1:54" ht="36.75" customHeight="1">
      <c r="A1033" s="30"/>
      <c r="B1033" s="30" t="s">
        <v>55</v>
      </c>
      <c r="C1033" s="69" t="str">
        <f t="shared" si="69"/>
        <v>Closed</v>
      </c>
      <c r="D1033" s="27" t="s">
        <v>5803</v>
      </c>
      <c r="E1033" s="29" t="s">
        <v>5804</v>
      </c>
      <c r="F1033" s="30" t="s">
        <v>1572</v>
      </c>
      <c r="G1033" s="89">
        <f>DATE(2011,2,21)</f>
        <v>40595</v>
      </c>
      <c r="H1033" s="90">
        <v>1.8090277777777777</v>
      </c>
      <c r="I1033" s="30" t="s">
        <v>73</v>
      </c>
      <c r="J1033" s="89" t="s">
        <v>5805</v>
      </c>
      <c r="K1033" s="30" t="s">
        <v>1574</v>
      </c>
      <c r="L1033" s="30" t="s">
        <v>5806</v>
      </c>
      <c r="M1033" s="30" t="s">
        <v>63</v>
      </c>
      <c r="N1033" s="30" t="s">
        <v>99</v>
      </c>
      <c r="O1033" s="30" t="s">
        <v>77</v>
      </c>
      <c r="P1033" s="89" t="s">
        <v>165</v>
      </c>
      <c r="Q1033" s="89" t="s">
        <v>5170</v>
      </c>
      <c r="R1033" s="89" t="s">
        <v>2561</v>
      </c>
      <c r="S1033" s="30">
        <v>0</v>
      </c>
      <c r="T1033" s="233">
        <v>0</v>
      </c>
      <c r="U1033" s="30">
        <v>0</v>
      </c>
      <c r="V1033" s="233">
        <v>0</v>
      </c>
      <c r="W1033" s="30">
        <v>0</v>
      </c>
      <c r="X1033" s="30">
        <v>0</v>
      </c>
      <c r="Y1033" s="30">
        <v>0</v>
      </c>
      <c r="Z1033" s="233">
        <v>0</v>
      </c>
      <c r="AA1033" s="30">
        <v>0</v>
      </c>
      <c r="AB1033" s="30">
        <v>0</v>
      </c>
      <c r="AC1033" s="30">
        <v>0</v>
      </c>
      <c r="AD1033" s="30">
        <v>0</v>
      </c>
      <c r="AE1033" s="89" t="s">
        <v>92</v>
      </c>
      <c r="AF1033" s="89"/>
      <c r="AG1033" s="89" t="s">
        <v>133</v>
      </c>
      <c r="AH1033" s="72">
        <v>41692</v>
      </c>
      <c r="AI1033" s="30">
        <v>0</v>
      </c>
      <c r="AJ1033" s="89" t="s">
        <v>5807</v>
      </c>
      <c r="AK1033" s="89" t="s">
        <v>5808</v>
      </c>
      <c r="AL1033" s="91">
        <v>40602</v>
      </c>
      <c r="AM1033" s="91"/>
      <c r="AN1033" s="91"/>
      <c r="AO1033" s="91"/>
      <c r="AP1033" s="73" t="e">
        <f>MID(VLOOKUP(K1033,#REF!,2,FALSE),1,2)</f>
        <v>#REF!</v>
      </c>
      <c r="AQ1033" s="89">
        <f>DATE(2011,2,21)</f>
        <v>40595</v>
      </c>
      <c r="AR1033" s="82">
        <f t="shared" si="70"/>
        <v>21</v>
      </c>
      <c r="AS1033" s="83">
        <f t="shared" si="71"/>
        <v>2</v>
      </c>
      <c r="AT1033" s="84">
        <f t="shared" si="72"/>
        <v>2011</v>
      </c>
      <c r="AU1033" s="86"/>
      <c r="AV1033" s="86"/>
      <c r="AW1033" s="87"/>
      <c r="AX1033" s="86"/>
      <c r="AY1033" s="83"/>
      <c r="AZ1033" s="84"/>
      <c r="BA1033" s="86"/>
      <c r="BB1033" s="86"/>
    </row>
    <row r="1034" spans="1:54" ht="36.75" customHeight="1">
      <c r="A1034" s="30"/>
      <c r="B1034" s="30" t="s">
        <v>55</v>
      </c>
      <c r="C1034" s="69" t="str">
        <f t="shared" si="69"/>
        <v>Closed</v>
      </c>
      <c r="D1034" s="27" t="s">
        <v>5809</v>
      </c>
      <c r="E1034" s="29" t="s">
        <v>5810</v>
      </c>
      <c r="F1034" s="30" t="s">
        <v>58</v>
      </c>
      <c r="G1034" s="89">
        <f>DATE(2011,2,24)</f>
        <v>40598</v>
      </c>
      <c r="H1034" s="90">
        <v>1.2048611111111112</v>
      </c>
      <c r="I1034" s="30" t="s">
        <v>73</v>
      </c>
      <c r="J1034" s="89" t="s">
        <v>5811</v>
      </c>
      <c r="K1034" s="30" t="s">
        <v>61</v>
      </c>
      <c r="L1034" s="30" t="s">
        <v>5812</v>
      </c>
      <c r="M1034" s="30" t="s">
        <v>63</v>
      </c>
      <c r="N1034" s="30" t="s">
        <v>99</v>
      </c>
      <c r="O1034" s="30" t="s">
        <v>77</v>
      </c>
      <c r="P1034" s="89" t="s">
        <v>78</v>
      </c>
      <c r="Q1034" s="89" t="s">
        <v>66</v>
      </c>
      <c r="R1034" s="89" t="s">
        <v>67</v>
      </c>
      <c r="S1034" s="30">
        <v>0</v>
      </c>
      <c r="T1034" s="233">
        <v>0</v>
      </c>
      <c r="U1034" s="30">
        <v>0</v>
      </c>
      <c r="V1034" s="233">
        <v>0</v>
      </c>
      <c r="W1034" s="30">
        <v>0</v>
      </c>
      <c r="X1034" s="30">
        <v>0</v>
      </c>
      <c r="Y1034" s="30">
        <v>0</v>
      </c>
      <c r="Z1034" s="233">
        <v>0</v>
      </c>
      <c r="AA1034" s="30">
        <v>0</v>
      </c>
      <c r="AB1034" s="30">
        <v>0</v>
      </c>
      <c r="AC1034" s="30">
        <v>0</v>
      </c>
      <c r="AD1034" s="30">
        <v>0</v>
      </c>
      <c r="AE1034" s="89" t="s">
        <v>92</v>
      </c>
      <c r="AF1034" s="89"/>
      <c r="AG1034" s="89" t="s">
        <v>69</v>
      </c>
      <c r="AH1034" s="72">
        <v>40598</v>
      </c>
      <c r="AI1034" s="30">
        <v>2</v>
      </c>
      <c r="AJ1034" s="89" t="s">
        <v>5813</v>
      </c>
      <c r="AK1034" s="89" t="s">
        <v>5814</v>
      </c>
      <c r="AL1034" s="91">
        <v>40673</v>
      </c>
      <c r="AM1034" s="91"/>
      <c r="AN1034" s="91"/>
      <c r="AO1034" s="91"/>
      <c r="AP1034" s="73" t="e">
        <f>MID(VLOOKUP(K1034,#REF!,2,FALSE),1,2)</f>
        <v>#REF!</v>
      </c>
      <c r="AQ1034" s="89">
        <f>DATE(2011,2,24)</f>
        <v>40598</v>
      </c>
      <c r="AR1034" s="82">
        <f t="shared" si="70"/>
        <v>24</v>
      </c>
      <c r="AS1034" s="83">
        <f t="shared" si="71"/>
        <v>2</v>
      </c>
      <c r="AT1034" s="84">
        <f t="shared" si="72"/>
        <v>2011</v>
      </c>
      <c r="AU1034" s="86"/>
      <c r="AV1034" s="86"/>
      <c r="AW1034" s="87"/>
      <c r="AX1034" s="86"/>
      <c r="AY1034" s="83"/>
      <c r="AZ1034" s="84"/>
      <c r="BA1034" s="86"/>
      <c r="BB1034" s="86"/>
    </row>
    <row r="1035" spans="1:54" ht="36.75" customHeight="1">
      <c r="A1035" s="30"/>
      <c r="B1035" s="30" t="s">
        <v>2124</v>
      </c>
      <c r="C1035" s="69" t="str">
        <f t="shared" si="69"/>
        <v>Open</v>
      </c>
      <c r="D1035" s="27" t="s">
        <v>5815</v>
      </c>
      <c r="E1035" s="29" t="s">
        <v>5816</v>
      </c>
      <c r="F1035" s="30" t="s">
        <v>5683</v>
      </c>
      <c r="G1035" s="89">
        <f>DATE(2011,2,28)</f>
        <v>40602</v>
      </c>
      <c r="H1035" s="90">
        <v>1.7569444444444446</v>
      </c>
      <c r="I1035" s="30" t="s">
        <v>116</v>
      </c>
      <c r="J1035" s="89" t="s">
        <v>5817</v>
      </c>
      <c r="K1035" s="30" t="s">
        <v>5685</v>
      </c>
      <c r="L1035" s="30" t="s">
        <v>5818</v>
      </c>
      <c r="M1035" s="30" t="s">
        <v>63</v>
      </c>
      <c r="N1035" s="30">
        <v>0</v>
      </c>
      <c r="O1035" s="30" t="s">
        <v>64</v>
      </c>
      <c r="P1035" s="89" t="s">
        <v>65</v>
      </c>
      <c r="Q1035" s="89" t="s">
        <v>5687</v>
      </c>
      <c r="R1035" s="89" t="s">
        <v>5688</v>
      </c>
      <c r="S1035" s="30">
        <v>0</v>
      </c>
      <c r="T1035" s="233">
        <v>0</v>
      </c>
      <c r="U1035" s="30">
        <v>1</v>
      </c>
      <c r="V1035" s="233">
        <v>0</v>
      </c>
      <c r="W1035" s="30">
        <v>0</v>
      </c>
      <c r="X1035" s="30">
        <v>1</v>
      </c>
      <c r="Y1035" s="30">
        <v>0</v>
      </c>
      <c r="Z1035" s="233">
        <v>0</v>
      </c>
      <c r="AA1035" s="30">
        <v>0</v>
      </c>
      <c r="AB1035" s="30">
        <v>0</v>
      </c>
      <c r="AC1035" s="30">
        <v>0</v>
      </c>
      <c r="AD1035" s="30">
        <v>0</v>
      </c>
      <c r="AE1035" s="89" t="s">
        <v>68</v>
      </c>
      <c r="AF1035" s="89"/>
      <c r="AG1035" s="89" t="s">
        <v>82</v>
      </c>
      <c r="AH1035" s="72" t="s">
        <v>68</v>
      </c>
      <c r="AI1035" s="30">
        <v>0</v>
      </c>
      <c r="AJ1035" s="89" t="s">
        <v>68</v>
      </c>
      <c r="AK1035" s="89" t="s">
        <v>68</v>
      </c>
      <c r="AL1035" s="91">
        <v>40883</v>
      </c>
      <c r="AM1035" s="91"/>
      <c r="AN1035" s="91"/>
      <c r="AO1035" s="91"/>
      <c r="AP1035" s="73" t="e">
        <f>MID(VLOOKUP(K1035,#REF!,2,FALSE),1,2)</f>
        <v>#REF!</v>
      </c>
      <c r="AQ1035" s="89">
        <f>DATE(2011,2,28)</f>
        <v>40602</v>
      </c>
      <c r="AR1035" s="82">
        <f t="shared" si="70"/>
        <v>28</v>
      </c>
      <c r="AS1035" s="83">
        <f t="shared" si="71"/>
        <v>2</v>
      </c>
      <c r="AT1035" s="84">
        <f t="shared" si="72"/>
        <v>2011</v>
      </c>
      <c r="AU1035" s="86"/>
      <c r="AV1035" s="86"/>
      <c r="AW1035" s="87"/>
      <c r="AX1035" s="86"/>
      <c r="AY1035" s="83"/>
      <c r="AZ1035" s="84"/>
      <c r="BA1035" s="86"/>
      <c r="BB1035" s="86"/>
    </row>
    <row r="1036" spans="1:54" ht="36.75" customHeight="1">
      <c r="A1036" s="30"/>
      <c r="B1036" s="30" t="s">
        <v>55</v>
      </c>
      <c r="C1036" s="69" t="str">
        <f t="shared" si="69"/>
        <v>Closed</v>
      </c>
      <c r="D1036" s="27" t="s">
        <v>5819</v>
      </c>
      <c r="E1036" s="29" t="s">
        <v>5820</v>
      </c>
      <c r="F1036" s="30" t="s">
        <v>835</v>
      </c>
      <c r="G1036" s="89">
        <f>DATE(2011,3,1)</f>
        <v>40603</v>
      </c>
      <c r="H1036" s="90">
        <v>1.3888888888888888</v>
      </c>
      <c r="I1036" s="30" t="s">
        <v>86</v>
      </c>
      <c r="J1036" s="89" t="s">
        <v>5821</v>
      </c>
      <c r="K1036" s="30" t="s">
        <v>837</v>
      </c>
      <c r="L1036" s="30" t="s">
        <v>5822</v>
      </c>
      <c r="M1036" s="30" t="s">
        <v>63</v>
      </c>
      <c r="N1036" s="30">
        <v>0</v>
      </c>
      <c r="O1036" s="30" t="s">
        <v>77</v>
      </c>
      <c r="P1036" s="89" t="s">
        <v>65</v>
      </c>
      <c r="Q1036" s="89" t="s">
        <v>2162</v>
      </c>
      <c r="R1036" s="89" t="s">
        <v>840</v>
      </c>
      <c r="S1036" s="30">
        <v>0</v>
      </c>
      <c r="T1036" s="233">
        <v>0</v>
      </c>
      <c r="U1036" s="30">
        <v>0</v>
      </c>
      <c r="V1036" s="233">
        <v>0</v>
      </c>
      <c r="W1036" s="30">
        <v>0</v>
      </c>
      <c r="X1036" s="30">
        <v>0</v>
      </c>
      <c r="Y1036" s="30">
        <v>0</v>
      </c>
      <c r="Z1036" s="233">
        <v>0</v>
      </c>
      <c r="AA1036" s="30">
        <v>0</v>
      </c>
      <c r="AB1036" s="30">
        <v>0</v>
      </c>
      <c r="AC1036" s="30">
        <v>0</v>
      </c>
      <c r="AD1036" s="30">
        <v>0</v>
      </c>
      <c r="AE1036" s="89" t="s">
        <v>92</v>
      </c>
      <c r="AF1036" s="89"/>
      <c r="AG1036" s="89" t="s">
        <v>352</v>
      </c>
      <c r="AH1036" s="72" t="s">
        <v>68</v>
      </c>
      <c r="AI1036" s="30">
        <v>0</v>
      </c>
      <c r="AJ1036" s="89" t="s">
        <v>5823</v>
      </c>
      <c r="AK1036" s="89" t="s">
        <v>5824</v>
      </c>
      <c r="AL1036" s="91">
        <v>40704</v>
      </c>
      <c r="AM1036" s="91"/>
      <c r="AN1036" s="91"/>
      <c r="AO1036" s="91"/>
      <c r="AP1036" s="73" t="e">
        <f>MID(VLOOKUP(K1036,#REF!,2,FALSE),1,2)</f>
        <v>#REF!</v>
      </c>
      <c r="AQ1036" s="89">
        <f>DATE(2011,3,1)</f>
        <v>40603</v>
      </c>
      <c r="AR1036" s="82">
        <f t="shared" si="70"/>
        <v>1</v>
      </c>
      <c r="AS1036" s="83">
        <f t="shared" si="71"/>
        <v>3</v>
      </c>
      <c r="AT1036" s="84">
        <f t="shared" si="72"/>
        <v>2011</v>
      </c>
      <c r="AU1036" s="86"/>
      <c r="AV1036" s="86"/>
      <c r="AW1036" s="87"/>
      <c r="AX1036" s="86"/>
      <c r="AY1036" s="83"/>
      <c r="AZ1036" s="84"/>
      <c r="BA1036" s="86"/>
      <c r="BB1036" s="86"/>
    </row>
    <row r="1037" spans="1:54" ht="36.75" customHeight="1">
      <c r="A1037" s="30"/>
      <c r="B1037" s="30" t="s">
        <v>55</v>
      </c>
      <c r="C1037" s="69" t="str">
        <f t="shared" si="69"/>
        <v>Closed</v>
      </c>
      <c r="D1037" s="27" t="s">
        <v>5825</v>
      </c>
      <c r="E1037" s="29" t="s">
        <v>5826</v>
      </c>
      <c r="F1037" s="30" t="s">
        <v>1572</v>
      </c>
      <c r="G1037" s="89">
        <f>DATE(2011,3,3)</f>
        <v>40605</v>
      </c>
      <c r="H1037" s="90">
        <v>1.3541666666666667</v>
      </c>
      <c r="I1037" s="30" t="s">
        <v>431</v>
      </c>
      <c r="J1037" s="89" t="s">
        <v>5827</v>
      </c>
      <c r="K1037" s="30" t="s">
        <v>1574</v>
      </c>
      <c r="L1037" s="30" t="s">
        <v>5828</v>
      </c>
      <c r="M1037" s="30" t="s">
        <v>63</v>
      </c>
      <c r="N1037" s="30">
        <v>0</v>
      </c>
      <c r="O1037" s="30" t="s">
        <v>64</v>
      </c>
      <c r="P1037" s="89" t="s">
        <v>65</v>
      </c>
      <c r="Q1037" s="89" t="s">
        <v>2413</v>
      </c>
      <c r="R1037" s="89">
        <v>0</v>
      </c>
      <c r="S1037" s="30">
        <v>0</v>
      </c>
      <c r="T1037" s="233" t="s">
        <v>68</v>
      </c>
      <c r="U1037" s="30">
        <v>0</v>
      </c>
      <c r="V1037" s="233" t="s">
        <v>68</v>
      </c>
      <c r="W1037" s="30">
        <v>0</v>
      </c>
      <c r="X1037" s="30">
        <v>0</v>
      </c>
      <c r="Y1037" s="30">
        <v>0</v>
      </c>
      <c r="Z1037" s="233" t="s">
        <v>68</v>
      </c>
      <c r="AA1037" s="30">
        <v>0</v>
      </c>
      <c r="AB1037" s="30">
        <v>0</v>
      </c>
      <c r="AC1037" s="30">
        <v>0</v>
      </c>
      <c r="AD1037" s="30">
        <v>0</v>
      </c>
      <c r="AE1037" s="89" t="s">
        <v>68</v>
      </c>
      <c r="AF1037" s="89"/>
      <c r="AG1037" s="89" t="s">
        <v>352</v>
      </c>
      <c r="AH1037" s="72" t="s">
        <v>68</v>
      </c>
      <c r="AI1037" s="30">
        <v>4</v>
      </c>
      <c r="AJ1037" s="89" t="s">
        <v>5829</v>
      </c>
      <c r="AK1037" s="89" t="s">
        <v>5830</v>
      </c>
      <c r="AL1037" s="91">
        <v>40618</v>
      </c>
      <c r="AM1037" s="91"/>
      <c r="AN1037" s="91"/>
      <c r="AO1037" s="91"/>
      <c r="AP1037" s="73" t="e">
        <f>MID(VLOOKUP(K1037,#REF!,2,FALSE),1,2)</f>
        <v>#REF!</v>
      </c>
      <c r="AQ1037" s="89">
        <f>DATE(2011,3,3)</f>
        <v>40605</v>
      </c>
      <c r="AR1037" s="82">
        <f t="shared" si="70"/>
        <v>3</v>
      </c>
      <c r="AS1037" s="83">
        <f t="shared" si="71"/>
        <v>3</v>
      </c>
      <c r="AT1037" s="84">
        <f t="shared" si="72"/>
        <v>2011</v>
      </c>
      <c r="AU1037" s="86"/>
      <c r="AV1037" s="86"/>
      <c r="AW1037" s="87"/>
      <c r="AX1037" s="86"/>
      <c r="AY1037" s="83"/>
      <c r="AZ1037" s="84"/>
      <c r="BA1037" s="86"/>
      <c r="BB1037" s="86"/>
    </row>
    <row r="1038" spans="1:54" ht="36.75" customHeight="1">
      <c r="A1038" s="30"/>
      <c r="B1038" s="30" t="s">
        <v>55</v>
      </c>
      <c r="C1038" s="69" t="str">
        <f t="shared" si="69"/>
        <v>Closed</v>
      </c>
      <c r="D1038" s="27" t="s">
        <v>5831</v>
      </c>
      <c r="E1038" s="29" t="s">
        <v>5832</v>
      </c>
      <c r="F1038" s="30" t="s">
        <v>197</v>
      </c>
      <c r="G1038" s="89">
        <f>DATE(2011,3,5)</f>
        <v>40607</v>
      </c>
      <c r="H1038" s="90">
        <v>1.0395833333333333</v>
      </c>
      <c r="I1038" s="30" t="s">
        <v>198</v>
      </c>
      <c r="J1038" s="89" t="s">
        <v>5833</v>
      </c>
      <c r="K1038" s="30" t="s">
        <v>200</v>
      </c>
      <c r="L1038" s="30" t="s">
        <v>5834</v>
      </c>
      <c r="M1038" s="30" t="s">
        <v>63</v>
      </c>
      <c r="N1038" s="30">
        <v>0</v>
      </c>
      <c r="O1038" s="30" t="s">
        <v>77</v>
      </c>
      <c r="P1038" s="89" t="s">
        <v>78</v>
      </c>
      <c r="Q1038" s="89" t="s">
        <v>1716</v>
      </c>
      <c r="R1038" s="89" t="s">
        <v>203</v>
      </c>
      <c r="S1038" s="30">
        <v>0</v>
      </c>
      <c r="T1038" s="233" t="s">
        <v>68</v>
      </c>
      <c r="U1038" s="30">
        <v>0</v>
      </c>
      <c r="V1038" s="233" t="s">
        <v>68</v>
      </c>
      <c r="W1038" s="30">
        <v>0</v>
      </c>
      <c r="X1038" s="30">
        <v>0</v>
      </c>
      <c r="Y1038" s="30">
        <v>0</v>
      </c>
      <c r="Z1038" s="233" t="s">
        <v>68</v>
      </c>
      <c r="AA1038" s="30">
        <v>0</v>
      </c>
      <c r="AB1038" s="30">
        <v>0</v>
      </c>
      <c r="AC1038" s="30">
        <v>0</v>
      </c>
      <c r="AD1038" s="30">
        <v>0</v>
      </c>
      <c r="AE1038" s="89" t="s">
        <v>68</v>
      </c>
      <c r="AF1038" s="89"/>
      <c r="AG1038" s="89" t="s">
        <v>352</v>
      </c>
      <c r="AH1038" s="72" t="s">
        <v>68</v>
      </c>
      <c r="AI1038" s="30">
        <v>0</v>
      </c>
      <c r="AJ1038" s="89" t="s">
        <v>5835</v>
      </c>
      <c r="AK1038" s="89" t="s">
        <v>68</v>
      </c>
      <c r="AL1038" s="91">
        <v>40756</v>
      </c>
      <c r="AM1038" s="91"/>
      <c r="AN1038" s="91"/>
      <c r="AO1038" s="91"/>
      <c r="AP1038" s="73" t="e">
        <f>MID(VLOOKUP(K1038,#REF!,2,FALSE),1,2)</f>
        <v>#REF!</v>
      </c>
      <c r="AQ1038" s="89">
        <f>DATE(2011,3,5)</f>
        <v>40607</v>
      </c>
      <c r="AR1038" s="82">
        <f t="shared" si="70"/>
        <v>5</v>
      </c>
      <c r="AS1038" s="83">
        <f t="shared" si="71"/>
        <v>3</v>
      </c>
      <c r="AT1038" s="84">
        <f t="shared" si="72"/>
        <v>2011</v>
      </c>
      <c r="AU1038" s="86"/>
      <c r="AV1038" s="86"/>
      <c r="AW1038" s="87"/>
      <c r="AX1038" s="86"/>
      <c r="AY1038" s="83"/>
      <c r="AZ1038" s="84"/>
      <c r="BA1038" s="86"/>
      <c r="BB1038" s="86"/>
    </row>
    <row r="1039" spans="1:54" ht="36.75" customHeight="1">
      <c r="A1039" s="30"/>
      <c r="B1039" s="30" t="s">
        <v>55</v>
      </c>
      <c r="C1039" s="69" t="str">
        <f t="shared" si="69"/>
        <v>Closed</v>
      </c>
      <c r="D1039" s="27" t="s">
        <v>5836</v>
      </c>
      <c r="E1039" s="29" t="s">
        <v>5837</v>
      </c>
      <c r="F1039" s="30" t="s">
        <v>835</v>
      </c>
      <c r="G1039" s="89">
        <f>DATE(2011,3,6)</f>
        <v>40608</v>
      </c>
      <c r="H1039" s="90">
        <v>1.5506944444444444</v>
      </c>
      <c r="I1039" s="30" t="s">
        <v>104</v>
      </c>
      <c r="J1039" s="89" t="s">
        <v>5838</v>
      </c>
      <c r="K1039" s="30" t="s">
        <v>837</v>
      </c>
      <c r="L1039" s="30" t="s">
        <v>5839</v>
      </c>
      <c r="M1039" s="30" t="s">
        <v>63</v>
      </c>
      <c r="N1039" s="30">
        <v>0</v>
      </c>
      <c r="O1039" s="30" t="s">
        <v>86</v>
      </c>
      <c r="P1039" s="89" t="s">
        <v>216</v>
      </c>
      <c r="Q1039" s="89" t="s">
        <v>5840</v>
      </c>
      <c r="R1039" s="89" t="s">
        <v>840</v>
      </c>
      <c r="S1039" s="30">
        <v>0</v>
      </c>
      <c r="T1039" s="233" t="s">
        <v>68</v>
      </c>
      <c r="U1039" s="30">
        <v>0</v>
      </c>
      <c r="V1039" s="233" t="s">
        <v>68</v>
      </c>
      <c r="W1039" s="30">
        <v>0</v>
      </c>
      <c r="X1039" s="30">
        <v>0</v>
      </c>
      <c r="Y1039" s="30">
        <v>0</v>
      </c>
      <c r="Z1039" s="233" t="s">
        <v>68</v>
      </c>
      <c r="AA1039" s="30">
        <v>0</v>
      </c>
      <c r="AB1039" s="30">
        <v>0</v>
      </c>
      <c r="AC1039" s="30">
        <v>0</v>
      </c>
      <c r="AD1039" s="30">
        <v>0</v>
      </c>
      <c r="AE1039" s="89" t="s">
        <v>68</v>
      </c>
      <c r="AF1039" s="89"/>
      <c r="AG1039" s="89" t="s">
        <v>352</v>
      </c>
      <c r="AH1039" s="72" t="s">
        <v>68</v>
      </c>
      <c r="AI1039" s="30">
        <v>2</v>
      </c>
      <c r="AJ1039" s="89" t="s">
        <v>68</v>
      </c>
      <c r="AK1039" s="89" t="s">
        <v>68</v>
      </c>
      <c r="AL1039" s="91">
        <v>40704</v>
      </c>
      <c r="AM1039" s="91"/>
      <c r="AN1039" s="91"/>
      <c r="AO1039" s="91"/>
      <c r="AP1039" s="73" t="e">
        <f>MID(VLOOKUP(K1039,#REF!,2,FALSE),1,2)</f>
        <v>#REF!</v>
      </c>
      <c r="AQ1039" s="89">
        <f>DATE(2011,3,6)</f>
        <v>40608</v>
      </c>
      <c r="AR1039" s="82">
        <f t="shared" si="70"/>
        <v>6</v>
      </c>
      <c r="AS1039" s="83">
        <f t="shared" si="71"/>
        <v>3</v>
      </c>
      <c r="AT1039" s="84">
        <f t="shared" si="72"/>
        <v>2011</v>
      </c>
      <c r="AU1039" s="86"/>
      <c r="AV1039" s="86"/>
      <c r="AW1039" s="87"/>
      <c r="AX1039" s="86"/>
      <c r="AY1039" s="83"/>
      <c r="AZ1039" s="84"/>
      <c r="BA1039" s="86"/>
      <c r="BB1039" s="86"/>
    </row>
    <row r="1040" spans="1:54" ht="36.75" customHeight="1">
      <c r="A1040" s="30"/>
      <c r="B1040" s="30" t="s">
        <v>55</v>
      </c>
      <c r="C1040" s="69" t="str">
        <f t="shared" si="69"/>
        <v>Closed</v>
      </c>
      <c r="D1040" s="27" t="s">
        <v>5841</v>
      </c>
      <c r="E1040" s="29" t="s">
        <v>5842</v>
      </c>
      <c r="F1040" s="30" t="s">
        <v>638</v>
      </c>
      <c r="G1040" s="89">
        <f>DATE(2011,3,7)</f>
        <v>40609</v>
      </c>
      <c r="H1040" s="90">
        <v>1.8902777777777779</v>
      </c>
      <c r="I1040" s="30" t="s">
        <v>2078</v>
      </c>
      <c r="J1040" s="89" t="s">
        <v>5843</v>
      </c>
      <c r="K1040" s="30" t="s">
        <v>640</v>
      </c>
      <c r="L1040" s="30" t="s">
        <v>5844</v>
      </c>
      <c r="M1040" s="30" t="s">
        <v>63</v>
      </c>
      <c r="N1040" s="30" t="s">
        <v>142</v>
      </c>
      <c r="O1040" s="30" t="s">
        <v>77</v>
      </c>
      <c r="P1040" s="89" t="s">
        <v>5845</v>
      </c>
      <c r="Q1040" s="89" t="s">
        <v>5846</v>
      </c>
      <c r="R1040" s="89" t="s">
        <v>643</v>
      </c>
      <c r="S1040" s="30">
        <v>0</v>
      </c>
      <c r="T1040" s="233">
        <v>0</v>
      </c>
      <c r="U1040" s="30">
        <v>0</v>
      </c>
      <c r="V1040" s="233">
        <v>0</v>
      </c>
      <c r="W1040" s="30">
        <v>0</v>
      </c>
      <c r="X1040" s="30">
        <v>0</v>
      </c>
      <c r="Y1040" s="30">
        <v>0</v>
      </c>
      <c r="Z1040" s="233">
        <v>0</v>
      </c>
      <c r="AA1040" s="30">
        <v>0</v>
      </c>
      <c r="AB1040" s="30">
        <v>0</v>
      </c>
      <c r="AC1040" s="30">
        <v>0</v>
      </c>
      <c r="AD1040" s="30">
        <v>0</v>
      </c>
      <c r="AE1040" s="89" t="s">
        <v>68</v>
      </c>
      <c r="AF1040" s="89"/>
      <c r="AG1040" s="89" t="s">
        <v>352</v>
      </c>
      <c r="AH1040" s="72" t="s">
        <v>68</v>
      </c>
      <c r="AI1040" s="30">
        <v>2</v>
      </c>
      <c r="AJ1040" s="89" t="s">
        <v>5847</v>
      </c>
      <c r="AK1040" s="89" t="s">
        <v>5848</v>
      </c>
      <c r="AL1040" s="91">
        <v>40652</v>
      </c>
      <c r="AM1040" s="91"/>
      <c r="AN1040" s="91"/>
      <c r="AO1040" s="91"/>
      <c r="AP1040" s="73" t="e">
        <f>MID(VLOOKUP(K1040,#REF!,2,FALSE),1,2)</f>
        <v>#REF!</v>
      </c>
      <c r="AQ1040" s="89">
        <f>DATE(2011,3,7)</f>
        <v>40609</v>
      </c>
      <c r="AR1040" s="82">
        <f t="shared" si="70"/>
        <v>7</v>
      </c>
      <c r="AS1040" s="83">
        <f t="shared" si="71"/>
        <v>3</v>
      </c>
      <c r="AT1040" s="84">
        <f t="shared" si="72"/>
        <v>2011</v>
      </c>
      <c r="AU1040" s="86"/>
      <c r="AV1040" s="86"/>
      <c r="AW1040" s="87"/>
      <c r="AX1040" s="86"/>
      <c r="AY1040" s="83"/>
      <c r="AZ1040" s="84"/>
      <c r="BA1040" s="86"/>
      <c r="BB1040" s="86"/>
    </row>
    <row r="1041" spans="1:54" ht="36.75" customHeight="1">
      <c r="A1041" s="30"/>
      <c r="B1041" s="30" t="s">
        <v>55</v>
      </c>
      <c r="C1041" s="69" t="str">
        <f t="shared" si="69"/>
        <v>Closed</v>
      </c>
      <c r="D1041" s="27" t="s">
        <v>5849</v>
      </c>
      <c r="E1041" s="29" t="s">
        <v>5850</v>
      </c>
      <c r="F1041" s="30" t="s">
        <v>233</v>
      </c>
      <c r="G1041" s="89">
        <f>DATE(2011,3,8)</f>
        <v>40610</v>
      </c>
      <c r="H1041" s="90">
        <v>1.2555555555555555</v>
      </c>
      <c r="I1041" s="30" t="s">
        <v>86</v>
      </c>
      <c r="J1041" s="89" t="s">
        <v>5851</v>
      </c>
      <c r="K1041" s="30" t="s">
        <v>235</v>
      </c>
      <c r="L1041" s="30" t="s">
        <v>5852</v>
      </c>
      <c r="M1041" s="30" t="s">
        <v>63</v>
      </c>
      <c r="N1041" s="30">
        <v>0</v>
      </c>
      <c r="O1041" s="30" t="s">
        <v>64</v>
      </c>
      <c r="P1041" s="89" t="s">
        <v>165</v>
      </c>
      <c r="Q1041" s="89" t="s">
        <v>1081</v>
      </c>
      <c r="R1041" s="89" t="s">
        <v>238</v>
      </c>
      <c r="S1041" s="30">
        <v>0</v>
      </c>
      <c r="T1041" s="233" t="s">
        <v>68</v>
      </c>
      <c r="U1041" s="30">
        <v>0</v>
      </c>
      <c r="V1041" s="233" t="s">
        <v>68</v>
      </c>
      <c r="W1041" s="30">
        <v>0</v>
      </c>
      <c r="X1041" s="30">
        <v>0</v>
      </c>
      <c r="Y1041" s="30">
        <v>0</v>
      </c>
      <c r="Z1041" s="233" t="s">
        <v>68</v>
      </c>
      <c r="AA1041" s="30">
        <v>0</v>
      </c>
      <c r="AB1041" s="30">
        <v>0</v>
      </c>
      <c r="AC1041" s="30">
        <v>0</v>
      </c>
      <c r="AD1041" s="30">
        <v>0</v>
      </c>
      <c r="AE1041" s="89" t="s">
        <v>68</v>
      </c>
      <c r="AF1041" s="89"/>
      <c r="AG1041" s="89" t="s">
        <v>352</v>
      </c>
      <c r="AH1041" s="72" t="s">
        <v>68</v>
      </c>
      <c r="AI1041" s="30">
        <v>5</v>
      </c>
      <c r="AJ1041" s="89" t="s">
        <v>5853</v>
      </c>
      <c r="AK1041" s="89" t="s">
        <v>5854</v>
      </c>
      <c r="AL1041" s="91">
        <v>40626</v>
      </c>
      <c r="AM1041" s="91"/>
      <c r="AN1041" s="91"/>
      <c r="AO1041" s="91"/>
      <c r="AP1041" s="73" t="e">
        <f>MID(VLOOKUP(K1041,#REF!,2,FALSE),1,2)</f>
        <v>#REF!</v>
      </c>
      <c r="AQ1041" s="89">
        <f>DATE(2011,3,8)</f>
        <v>40610</v>
      </c>
      <c r="AR1041" s="82">
        <f t="shared" si="70"/>
        <v>8</v>
      </c>
      <c r="AS1041" s="83">
        <f t="shared" si="71"/>
        <v>3</v>
      </c>
      <c r="AT1041" s="84">
        <f t="shared" si="72"/>
        <v>2011</v>
      </c>
      <c r="AU1041" s="86"/>
      <c r="AV1041" s="86"/>
      <c r="AW1041" s="87"/>
      <c r="AX1041" s="86"/>
      <c r="AY1041" s="83"/>
      <c r="AZ1041" s="84"/>
      <c r="BA1041" s="86"/>
      <c r="BB1041" s="86"/>
    </row>
    <row r="1042" spans="1:54" ht="36.75" customHeight="1">
      <c r="A1042" s="30"/>
      <c r="B1042" s="30" t="s">
        <v>55</v>
      </c>
      <c r="C1042" s="69" t="str">
        <f t="shared" si="69"/>
        <v>Closed</v>
      </c>
      <c r="D1042" s="27" t="s">
        <v>5855</v>
      </c>
      <c r="E1042" s="29" t="s">
        <v>5856</v>
      </c>
      <c r="F1042" s="30" t="s">
        <v>115</v>
      </c>
      <c r="G1042" s="89">
        <f>DATE(2011,3,9)</f>
        <v>40611</v>
      </c>
      <c r="H1042" s="90">
        <v>1.0347222222222223</v>
      </c>
      <c r="I1042" s="30" t="s">
        <v>73</v>
      </c>
      <c r="J1042" s="89" t="s">
        <v>5857</v>
      </c>
      <c r="K1042" s="30" t="s">
        <v>118</v>
      </c>
      <c r="L1042" s="30" t="s">
        <v>5858</v>
      </c>
      <c r="M1042" s="30" t="s">
        <v>63</v>
      </c>
      <c r="N1042" s="30" t="s">
        <v>89</v>
      </c>
      <c r="O1042" s="30" t="s">
        <v>64</v>
      </c>
      <c r="P1042" s="89" t="s">
        <v>78</v>
      </c>
      <c r="Q1042" s="89" t="s">
        <v>5859</v>
      </c>
      <c r="R1042" s="89" t="s">
        <v>121</v>
      </c>
      <c r="S1042" s="30">
        <v>0</v>
      </c>
      <c r="T1042" s="233">
        <v>0</v>
      </c>
      <c r="U1042" s="30">
        <v>0</v>
      </c>
      <c r="V1042" s="233">
        <v>0</v>
      </c>
      <c r="W1042" s="30">
        <v>0</v>
      </c>
      <c r="X1042" s="30">
        <v>0</v>
      </c>
      <c r="Y1042" s="30">
        <v>0</v>
      </c>
      <c r="Z1042" s="233">
        <v>0</v>
      </c>
      <c r="AA1042" s="30">
        <v>0</v>
      </c>
      <c r="AB1042" s="30">
        <v>0</v>
      </c>
      <c r="AC1042" s="30">
        <v>0</v>
      </c>
      <c r="AD1042" s="30">
        <v>0</v>
      </c>
      <c r="AE1042" s="89" t="s">
        <v>145</v>
      </c>
      <c r="AF1042" s="89"/>
      <c r="AG1042" s="89" t="s">
        <v>82</v>
      </c>
      <c r="AH1042" s="72">
        <v>40613</v>
      </c>
      <c r="AI1042" s="30">
        <v>3</v>
      </c>
      <c r="AJ1042" s="89" t="s">
        <v>5860</v>
      </c>
      <c r="AK1042" s="89" t="s">
        <v>5861</v>
      </c>
      <c r="AL1042" s="91">
        <v>40619</v>
      </c>
      <c r="AM1042" s="91"/>
      <c r="AN1042" s="91"/>
      <c r="AO1042" s="91"/>
      <c r="AP1042" s="73" t="e">
        <f>MID(VLOOKUP(K1042,#REF!,2,FALSE),1,2)</f>
        <v>#REF!</v>
      </c>
      <c r="AQ1042" s="89">
        <f>DATE(2011,3,9)</f>
        <v>40611</v>
      </c>
      <c r="AR1042" s="82">
        <f t="shared" si="70"/>
        <v>9</v>
      </c>
      <c r="AS1042" s="83">
        <f t="shared" si="71"/>
        <v>3</v>
      </c>
      <c r="AT1042" s="84">
        <f t="shared" si="72"/>
        <v>2011</v>
      </c>
      <c r="AU1042" s="86"/>
      <c r="AV1042" s="86"/>
      <c r="AW1042" s="87"/>
      <c r="AX1042" s="86"/>
      <c r="AY1042" s="83"/>
      <c r="AZ1042" s="84"/>
      <c r="BA1042" s="86"/>
      <c r="BB1042" s="86"/>
    </row>
    <row r="1043" spans="1:54" ht="36.75" customHeight="1">
      <c r="A1043" s="30"/>
      <c r="B1043" s="30" t="s">
        <v>55</v>
      </c>
      <c r="C1043" s="69" t="str">
        <f t="shared" si="69"/>
        <v>Closed</v>
      </c>
      <c r="D1043" s="27" t="s">
        <v>5862</v>
      </c>
      <c r="E1043" s="29" t="s">
        <v>5863</v>
      </c>
      <c r="F1043" s="30" t="s">
        <v>835</v>
      </c>
      <c r="G1043" s="89">
        <f>DATE(2011,3,9)</f>
        <v>40611</v>
      </c>
      <c r="H1043" s="90">
        <v>1.3506944444444444</v>
      </c>
      <c r="I1043" s="30" t="s">
        <v>116</v>
      </c>
      <c r="J1043" s="89" t="s">
        <v>5864</v>
      </c>
      <c r="K1043" s="30" t="s">
        <v>837</v>
      </c>
      <c r="L1043" s="30" t="s">
        <v>5865</v>
      </c>
      <c r="M1043" s="30" t="s">
        <v>63</v>
      </c>
      <c r="N1043" s="30">
        <v>0</v>
      </c>
      <c r="O1043" s="30" t="s">
        <v>64</v>
      </c>
      <c r="P1043" s="89" t="s">
        <v>165</v>
      </c>
      <c r="Q1043" s="89" t="s">
        <v>2162</v>
      </c>
      <c r="R1043" s="89" t="s">
        <v>840</v>
      </c>
      <c r="S1043" s="30">
        <v>0</v>
      </c>
      <c r="T1043" s="233">
        <v>0</v>
      </c>
      <c r="U1043" s="30">
        <v>3</v>
      </c>
      <c r="V1043" s="233">
        <v>0</v>
      </c>
      <c r="W1043" s="30">
        <v>0</v>
      </c>
      <c r="X1043" s="30">
        <v>3</v>
      </c>
      <c r="Y1043" s="30">
        <v>0</v>
      </c>
      <c r="Z1043" s="233">
        <v>0</v>
      </c>
      <c r="AA1043" s="30">
        <v>0</v>
      </c>
      <c r="AB1043" s="30">
        <v>0</v>
      </c>
      <c r="AC1043" s="30">
        <v>0</v>
      </c>
      <c r="AD1043" s="30">
        <v>0</v>
      </c>
      <c r="AE1043" s="89" t="s">
        <v>92</v>
      </c>
      <c r="AF1043" s="89"/>
      <c r="AG1043" s="89" t="s">
        <v>352</v>
      </c>
      <c r="AH1043" s="72">
        <v>40704</v>
      </c>
      <c r="AI1043" s="30">
        <v>0</v>
      </c>
      <c r="AJ1043" s="89" t="s">
        <v>5866</v>
      </c>
      <c r="AK1043" s="89" t="s">
        <v>68</v>
      </c>
      <c r="AL1043" s="91">
        <v>40704</v>
      </c>
      <c r="AM1043" s="91"/>
      <c r="AN1043" s="91"/>
      <c r="AO1043" s="91"/>
      <c r="AP1043" s="73" t="e">
        <f>MID(VLOOKUP(K1043,#REF!,2,FALSE),1,2)</f>
        <v>#REF!</v>
      </c>
      <c r="AQ1043" s="89">
        <f>DATE(2011,3,9)</f>
        <v>40611</v>
      </c>
      <c r="AR1043" s="82">
        <f t="shared" si="70"/>
        <v>9</v>
      </c>
      <c r="AS1043" s="83">
        <f t="shared" si="71"/>
        <v>3</v>
      </c>
      <c r="AT1043" s="84">
        <f t="shared" si="72"/>
        <v>2011</v>
      </c>
      <c r="AU1043" s="86"/>
      <c r="AV1043" s="86"/>
      <c r="AW1043" s="87"/>
      <c r="AX1043" s="86"/>
      <c r="AY1043" s="83"/>
      <c r="AZ1043" s="84"/>
      <c r="BA1043" s="86"/>
      <c r="BB1043" s="86"/>
    </row>
    <row r="1044" spans="1:54" ht="36.75" customHeight="1">
      <c r="A1044" s="30"/>
      <c r="B1044" s="30" t="s">
        <v>55</v>
      </c>
      <c r="C1044" s="69" t="str">
        <f t="shared" si="69"/>
        <v>Closed</v>
      </c>
      <c r="D1044" s="27" t="s">
        <v>5867</v>
      </c>
      <c r="E1044" s="29" t="s">
        <v>5868</v>
      </c>
      <c r="F1044" s="30" t="s">
        <v>423</v>
      </c>
      <c r="G1044" s="89">
        <f>DATE(2011,3,14)</f>
        <v>40616</v>
      </c>
      <c r="H1044" s="90">
        <v>1.3875</v>
      </c>
      <c r="I1044" s="30" t="s">
        <v>1040</v>
      </c>
      <c r="J1044" s="89" t="s">
        <v>5869</v>
      </c>
      <c r="K1044" s="30" t="s">
        <v>425</v>
      </c>
      <c r="L1044" s="30" t="s">
        <v>5870</v>
      </c>
      <c r="M1044" s="30" t="s">
        <v>63</v>
      </c>
      <c r="N1044" s="30">
        <v>0</v>
      </c>
      <c r="O1044" s="30" t="s">
        <v>77</v>
      </c>
      <c r="P1044" s="89" t="s">
        <v>65</v>
      </c>
      <c r="Q1044" s="89" t="s">
        <v>427</v>
      </c>
      <c r="R1044" s="89" t="s">
        <v>3103</v>
      </c>
      <c r="S1044" s="30">
        <v>0</v>
      </c>
      <c r="T1044" s="233" t="s">
        <v>68</v>
      </c>
      <c r="U1044" s="30">
        <v>0</v>
      </c>
      <c r="V1044" s="233" t="s">
        <v>68</v>
      </c>
      <c r="W1044" s="30">
        <v>0</v>
      </c>
      <c r="X1044" s="30">
        <v>0</v>
      </c>
      <c r="Y1044" s="30">
        <v>0</v>
      </c>
      <c r="Z1044" s="233" t="s">
        <v>68</v>
      </c>
      <c r="AA1044" s="30">
        <v>0</v>
      </c>
      <c r="AB1044" s="30">
        <v>0</v>
      </c>
      <c r="AC1044" s="30">
        <v>0</v>
      </c>
      <c r="AD1044" s="30">
        <v>0</v>
      </c>
      <c r="AE1044" s="89" t="s">
        <v>68</v>
      </c>
      <c r="AF1044" s="89"/>
      <c r="AG1044" s="89" t="s">
        <v>133</v>
      </c>
      <c r="AH1044" s="72" t="s">
        <v>68</v>
      </c>
      <c r="AI1044" s="30">
        <v>4</v>
      </c>
      <c r="AJ1044" s="89" t="s">
        <v>5871</v>
      </c>
      <c r="AK1044" s="89" t="s">
        <v>712</v>
      </c>
      <c r="AL1044" s="91">
        <v>40695</v>
      </c>
      <c r="AM1044" s="91"/>
      <c r="AN1044" s="91"/>
      <c r="AO1044" s="91"/>
      <c r="AP1044" s="73" t="e">
        <f>MID(VLOOKUP(K1044,#REF!,2,FALSE),1,2)</f>
        <v>#REF!</v>
      </c>
      <c r="AQ1044" s="89">
        <f>DATE(2011,3,14)</f>
        <v>40616</v>
      </c>
      <c r="AR1044" s="82">
        <f t="shared" si="70"/>
        <v>14</v>
      </c>
      <c r="AS1044" s="83">
        <f t="shared" si="71"/>
        <v>3</v>
      </c>
      <c r="AT1044" s="84">
        <f t="shared" si="72"/>
        <v>2011</v>
      </c>
      <c r="AU1044" s="86"/>
      <c r="AV1044" s="86"/>
      <c r="AW1044" s="87"/>
      <c r="AX1044" s="86"/>
      <c r="AY1044" s="83"/>
      <c r="AZ1044" s="84"/>
      <c r="BA1044" s="86"/>
      <c r="BB1044" s="86"/>
    </row>
    <row r="1045" spans="1:54" ht="36.75" customHeight="1">
      <c r="A1045" s="30"/>
      <c r="B1045" s="30" t="s">
        <v>55</v>
      </c>
      <c r="C1045" s="69" t="str">
        <f t="shared" si="69"/>
        <v>Closed</v>
      </c>
      <c r="D1045" s="27" t="s">
        <v>5872</v>
      </c>
      <c r="E1045" s="29" t="s">
        <v>5873</v>
      </c>
      <c r="F1045" s="30" t="s">
        <v>638</v>
      </c>
      <c r="G1045" s="89">
        <f>DATE(2011,3,16)</f>
        <v>40618</v>
      </c>
      <c r="H1045" s="90">
        <v>1.8465277777777778</v>
      </c>
      <c r="I1045" s="30" t="s">
        <v>156</v>
      </c>
      <c r="J1045" s="89" t="s">
        <v>5874</v>
      </c>
      <c r="K1045" s="30" t="s">
        <v>640</v>
      </c>
      <c r="L1045" s="30" t="s">
        <v>5875</v>
      </c>
      <c r="M1045" s="30" t="s">
        <v>63</v>
      </c>
      <c r="N1045" s="30">
        <v>0</v>
      </c>
      <c r="O1045" s="30" t="s">
        <v>64</v>
      </c>
      <c r="P1045" s="89" t="s">
        <v>165</v>
      </c>
      <c r="Q1045" s="89" t="s">
        <v>642</v>
      </c>
      <c r="R1045" s="89" t="s">
        <v>643</v>
      </c>
      <c r="S1045" s="30">
        <v>0</v>
      </c>
      <c r="T1045" s="233" t="s">
        <v>68</v>
      </c>
      <c r="U1045" s="30">
        <v>0</v>
      </c>
      <c r="V1045" s="233" t="s">
        <v>68</v>
      </c>
      <c r="W1045" s="30">
        <v>0</v>
      </c>
      <c r="X1045" s="30">
        <v>0</v>
      </c>
      <c r="Y1045" s="30">
        <v>0</v>
      </c>
      <c r="Z1045" s="233" t="s">
        <v>68</v>
      </c>
      <c r="AA1045" s="30">
        <v>0</v>
      </c>
      <c r="AB1045" s="30">
        <v>0</v>
      </c>
      <c r="AC1045" s="30">
        <v>0</v>
      </c>
      <c r="AD1045" s="30">
        <v>0</v>
      </c>
      <c r="AE1045" s="89" t="s">
        <v>68</v>
      </c>
      <c r="AF1045" s="89"/>
      <c r="AG1045" s="89" t="s">
        <v>352</v>
      </c>
      <c r="AH1045" s="72" t="s">
        <v>68</v>
      </c>
      <c r="AI1045" s="30">
        <v>0</v>
      </c>
      <c r="AJ1045" s="89" t="s">
        <v>68</v>
      </c>
      <c r="AK1045" s="89" t="s">
        <v>68</v>
      </c>
      <c r="AL1045" s="91">
        <v>40652</v>
      </c>
      <c r="AM1045" s="91"/>
      <c r="AN1045" s="91"/>
      <c r="AO1045" s="91"/>
      <c r="AP1045" s="73" t="e">
        <f>MID(VLOOKUP(K1045,#REF!,2,FALSE),1,2)</f>
        <v>#REF!</v>
      </c>
      <c r="AQ1045" s="89">
        <f>DATE(2011,3,16)</f>
        <v>40618</v>
      </c>
      <c r="AR1045" s="82">
        <f t="shared" si="70"/>
        <v>16</v>
      </c>
      <c r="AS1045" s="83">
        <f t="shared" si="71"/>
        <v>3</v>
      </c>
      <c r="AT1045" s="84">
        <f t="shared" si="72"/>
        <v>2011</v>
      </c>
      <c r="AU1045" s="86"/>
      <c r="AV1045" s="86"/>
      <c r="AW1045" s="87"/>
      <c r="AX1045" s="86"/>
      <c r="AY1045" s="83"/>
      <c r="AZ1045" s="84"/>
      <c r="BA1045" s="86"/>
      <c r="BB1045" s="86"/>
    </row>
    <row r="1046" spans="1:54" ht="36.75" customHeight="1">
      <c r="A1046" s="30"/>
      <c r="B1046" s="30" t="s">
        <v>2124</v>
      </c>
      <c r="C1046" s="69" t="str">
        <f t="shared" si="69"/>
        <v>Open</v>
      </c>
      <c r="D1046" s="27" t="s">
        <v>5876</v>
      </c>
      <c r="E1046" s="29" t="s">
        <v>5877</v>
      </c>
      <c r="F1046" s="30" t="s">
        <v>5683</v>
      </c>
      <c r="G1046" s="89">
        <f>DATE(2011,3,17)</f>
        <v>40619</v>
      </c>
      <c r="H1046" s="90">
        <v>1.8229166666666665</v>
      </c>
      <c r="I1046" s="30" t="s">
        <v>116</v>
      </c>
      <c r="J1046" s="89" t="s">
        <v>5878</v>
      </c>
      <c r="K1046" s="30" t="s">
        <v>5685</v>
      </c>
      <c r="L1046" s="30" t="s">
        <v>5879</v>
      </c>
      <c r="M1046" s="30" t="s">
        <v>63</v>
      </c>
      <c r="N1046" s="30">
        <v>0</v>
      </c>
      <c r="O1046" s="30" t="s">
        <v>64</v>
      </c>
      <c r="P1046" s="89" t="s">
        <v>78</v>
      </c>
      <c r="Q1046" s="89" t="s">
        <v>5687</v>
      </c>
      <c r="R1046" s="89" t="s">
        <v>5688</v>
      </c>
      <c r="S1046" s="30">
        <v>0</v>
      </c>
      <c r="T1046" s="233">
        <v>0</v>
      </c>
      <c r="U1046" s="30">
        <v>1</v>
      </c>
      <c r="V1046" s="233">
        <v>0</v>
      </c>
      <c r="W1046" s="30">
        <v>0</v>
      </c>
      <c r="X1046" s="30">
        <v>1</v>
      </c>
      <c r="Y1046" s="30">
        <v>0</v>
      </c>
      <c r="Z1046" s="233">
        <v>0</v>
      </c>
      <c r="AA1046" s="30">
        <v>1</v>
      </c>
      <c r="AB1046" s="30">
        <v>0</v>
      </c>
      <c r="AC1046" s="30">
        <v>0</v>
      </c>
      <c r="AD1046" s="30">
        <v>1</v>
      </c>
      <c r="AE1046" s="89" t="s">
        <v>68</v>
      </c>
      <c r="AF1046" s="89"/>
      <c r="AG1046" s="89" t="s">
        <v>82</v>
      </c>
      <c r="AH1046" s="72" t="s">
        <v>68</v>
      </c>
      <c r="AI1046" s="30">
        <v>0</v>
      </c>
      <c r="AJ1046" s="89" t="s">
        <v>68</v>
      </c>
      <c r="AK1046" s="89" t="s">
        <v>68</v>
      </c>
      <c r="AL1046" s="91">
        <v>40883</v>
      </c>
      <c r="AM1046" s="91"/>
      <c r="AN1046" s="91"/>
      <c r="AO1046" s="91"/>
      <c r="AP1046" s="73" t="e">
        <f>MID(VLOOKUP(K1046,#REF!,2,FALSE),1,2)</f>
        <v>#REF!</v>
      </c>
      <c r="AQ1046" s="89">
        <f>DATE(2011,3,17)</f>
        <v>40619</v>
      </c>
      <c r="AR1046" s="82">
        <f t="shared" si="70"/>
        <v>17</v>
      </c>
      <c r="AS1046" s="83">
        <f t="shared" si="71"/>
        <v>3</v>
      </c>
      <c r="AT1046" s="84">
        <f t="shared" si="72"/>
        <v>2011</v>
      </c>
      <c r="AU1046" s="86"/>
      <c r="AV1046" s="86"/>
      <c r="AW1046" s="87"/>
      <c r="AX1046" s="86"/>
      <c r="AY1046" s="83"/>
      <c r="AZ1046" s="84"/>
      <c r="BA1046" s="86"/>
      <c r="BB1046" s="86"/>
    </row>
    <row r="1047" spans="1:54" ht="36.75" customHeight="1">
      <c r="A1047" s="30"/>
      <c r="B1047" s="30" t="s">
        <v>55</v>
      </c>
      <c r="C1047" s="69" t="str">
        <f t="shared" si="69"/>
        <v>Closed</v>
      </c>
      <c r="D1047" s="27" t="s">
        <v>5880</v>
      </c>
      <c r="E1047" s="29" t="s">
        <v>5881</v>
      </c>
      <c r="F1047" s="30" t="s">
        <v>835</v>
      </c>
      <c r="G1047" s="89">
        <f>DATE(2011,3,20)</f>
        <v>40622</v>
      </c>
      <c r="H1047" s="90">
        <v>1.6291666666666667</v>
      </c>
      <c r="I1047" s="30" t="s">
        <v>116</v>
      </c>
      <c r="J1047" s="89" t="s">
        <v>5882</v>
      </c>
      <c r="K1047" s="30" t="s">
        <v>837</v>
      </c>
      <c r="L1047" s="30" t="s">
        <v>5883</v>
      </c>
      <c r="M1047" s="30" t="s">
        <v>63</v>
      </c>
      <c r="N1047" s="30" t="s">
        <v>142</v>
      </c>
      <c r="O1047" s="30" t="s">
        <v>64</v>
      </c>
      <c r="P1047" s="89" t="s">
        <v>165</v>
      </c>
      <c r="Q1047" s="89" t="s">
        <v>2162</v>
      </c>
      <c r="R1047" s="89" t="s">
        <v>840</v>
      </c>
      <c r="S1047" s="30">
        <v>0</v>
      </c>
      <c r="T1047" s="233">
        <v>0</v>
      </c>
      <c r="U1047" s="30">
        <v>1</v>
      </c>
      <c r="V1047" s="233">
        <v>0</v>
      </c>
      <c r="W1047" s="30">
        <v>0</v>
      </c>
      <c r="X1047" s="30">
        <v>1</v>
      </c>
      <c r="Y1047" s="30">
        <v>0</v>
      </c>
      <c r="Z1047" s="233">
        <v>0</v>
      </c>
      <c r="AA1047" s="30">
        <v>0</v>
      </c>
      <c r="AB1047" s="30">
        <v>0</v>
      </c>
      <c r="AC1047" s="30">
        <v>0</v>
      </c>
      <c r="AD1047" s="30">
        <v>0</v>
      </c>
      <c r="AE1047" s="89" t="s">
        <v>68</v>
      </c>
      <c r="AF1047" s="89"/>
      <c r="AG1047" s="89" t="s">
        <v>352</v>
      </c>
      <c r="AH1047" s="72">
        <v>40697</v>
      </c>
      <c r="AI1047" s="30">
        <v>1</v>
      </c>
      <c r="AJ1047" s="89" t="s">
        <v>5884</v>
      </c>
      <c r="AK1047" s="89" t="s">
        <v>68</v>
      </c>
      <c r="AL1047" s="91">
        <v>40704</v>
      </c>
      <c r="AM1047" s="91"/>
      <c r="AN1047" s="91"/>
      <c r="AO1047" s="91"/>
      <c r="AP1047" s="73" t="e">
        <f>MID(VLOOKUP(K1047,#REF!,2,FALSE),1,2)</f>
        <v>#REF!</v>
      </c>
      <c r="AQ1047" s="89">
        <f>DATE(2011,3,20)</f>
        <v>40622</v>
      </c>
      <c r="AR1047" s="82">
        <f t="shared" si="70"/>
        <v>20</v>
      </c>
      <c r="AS1047" s="83">
        <f t="shared" si="71"/>
        <v>3</v>
      </c>
      <c r="AT1047" s="84">
        <f t="shared" si="72"/>
        <v>2011</v>
      </c>
      <c r="AU1047" s="86"/>
      <c r="AV1047" s="86"/>
      <c r="AW1047" s="87"/>
      <c r="AX1047" s="86"/>
      <c r="AY1047" s="83"/>
      <c r="AZ1047" s="84"/>
      <c r="BA1047" s="86"/>
      <c r="BB1047" s="86"/>
    </row>
    <row r="1048" spans="1:54" ht="36.75" customHeight="1">
      <c r="A1048" s="30"/>
      <c r="B1048" s="30" t="s">
        <v>55</v>
      </c>
      <c r="C1048" s="69" t="str">
        <f t="shared" si="69"/>
        <v>Closed</v>
      </c>
      <c r="D1048" s="27" t="s">
        <v>5885</v>
      </c>
      <c r="E1048" s="29" t="s">
        <v>5886</v>
      </c>
      <c r="F1048" s="30" t="s">
        <v>835</v>
      </c>
      <c r="G1048" s="89">
        <f>DATE(2011,3,21)</f>
        <v>40623</v>
      </c>
      <c r="H1048" s="90">
        <v>1.9861111111111112</v>
      </c>
      <c r="I1048" s="30" t="s">
        <v>278</v>
      </c>
      <c r="J1048" s="89" t="s">
        <v>5887</v>
      </c>
      <c r="K1048" s="30" t="s">
        <v>837</v>
      </c>
      <c r="L1048" s="30" t="s">
        <v>5888</v>
      </c>
      <c r="M1048" s="30" t="s">
        <v>63</v>
      </c>
      <c r="N1048" s="30" t="s">
        <v>99</v>
      </c>
      <c r="O1048" s="30" t="s">
        <v>77</v>
      </c>
      <c r="P1048" s="89" t="s">
        <v>91</v>
      </c>
      <c r="Q1048" s="89" t="s">
        <v>5889</v>
      </c>
      <c r="R1048" s="89" t="s">
        <v>840</v>
      </c>
      <c r="S1048" s="30">
        <v>0</v>
      </c>
      <c r="T1048" s="233">
        <v>0</v>
      </c>
      <c r="U1048" s="30">
        <v>0</v>
      </c>
      <c r="V1048" s="233">
        <v>0</v>
      </c>
      <c r="W1048" s="30">
        <v>0</v>
      </c>
      <c r="X1048" s="30">
        <v>0</v>
      </c>
      <c r="Y1048" s="30">
        <v>0</v>
      </c>
      <c r="Z1048" s="233">
        <v>1</v>
      </c>
      <c r="AA1048" s="30">
        <v>0</v>
      </c>
      <c r="AB1048" s="30">
        <v>0</v>
      </c>
      <c r="AC1048" s="30">
        <v>0</v>
      </c>
      <c r="AD1048" s="30">
        <v>1</v>
      </c>
      <c r="AE1048" s="89" t="s">
        <v>92</v>
      </c>
      <c r="AF1048" s="89"/>
      <c r="AG1048" s="89" t="s">
        <v>352</v>
      </c>
      <c r="AH1048" s="72">
        <v>40623</v>
      </c>
      <c r="AI1048" s="30">
        <v>1</v>
      </c>
      <c r="AJ1048" s="89" t="s">
        <v>5890</v>
      </c>
      <c r="AK1048" s="89" t="s">
        <v>1233</v>
      </c>
      <c r="AL1048" s="91">
        <v>40623</v>
      </c>
      <c r="AM1048" s="91"/>
      <c r="AN1048" s="91"/>
      <c r="AO1048" s="91"/>
      <c r="AP1048" s="73" t="e">
        <f>MID(VLOOKUP(K1048,#REF!,2,FALSE),1,2)</f>
        <v>#REF!</v>
      </c>
      <c r="AQ1048" s="89">
        <f>DATE(2011,3,21)</f>
        <v>40623</v>
      </c>
      <c r="AR1048" s="82">
        <f t="shared" si="70"/>
        <v>21</v>
      </c>
      <c r="AS1048" s="83">
        <f t="shared" si="71"/>
        <v>3</v>
      </c>
      <c r="AT1048" s="84">
        <f t="shared" si="72"/>
        <v>2011</v>
      </c>
      <c r="AU1048" s="86"/>
      <c r="AV1048" s="86"/>
      <c r="AW1048" s="87"/>
      <c r="AX1048" s="86"/>
      <c r="AY1048" s="83"/>
      <c r="AZ1048" s="84"/>
      <c r="BA1048" s="86"/>
      <c r="BB1048" s="86"/>
    </row>
    <row r="1049" spans="1:54" ht="36.75" customHeight="1">
      <c r="A1049" s="30"/>
      <c r="B1049" s="30" t="s">
        <v>55</v>
      </c>
      <c r="C1049" s="69" t="str">
        <f t="shared" si="69"/>
        <v>Closed</v>
      </c>
      <c r="D1049" s="27" t="s">
        <v>5891</v>
      </c>
      <c r="E1049" s="29" t="s">
        <v>5892</v>
      </c>
      <c r="F1049" s="30" t="s">
        <v>233</v>
      </c>
      <c r="G1049" s="89">
        <f>DATE(2011,3,23)</f>
        <v>40625</v>
      </c>
      <c r="H1049" s="90">
        <v>1.6</v>
      </c>
      <c r="I1049" s="30" t="s">
        <v>86</v>
      </c>
      <c r="J1049" s="89" t="s">
        <v>5893</v>
      </c>
      <c r="K1049" s="30" t="s">
        <v>235</v>
      </c>
      <c r="L1049" s="30" t="s">
        <v>5894</v>
      </c>
      <c r="M1049" s="30" t="s">
        <v>63</v>
      </c>
      <c r="N1049" s="30">
        <v>0</v>
      </c>
      <c r="O1049" s="30" t="s">
        <v>64</v>
      </c>
      <c r="P1049" s="89" t="s">
        <v>165</v>
      </c>
      <c r="Q1049" s="89" t="s">
        <v>4659</v>
      </c>
      <c r="R1049" s="89" t="s">
        <v>238</v>
      </c>
      <c r="S1049" s="30">
        <v>0</v>
      </c>
      <c r="T1049" s="233" t="s">
        <v>68</v>
      </c>
      <c r="U1049" s="30">
        <v>0</v>
      </c>
      <c r="V1049" s="233" t="s">
        <v>68</v>
      </c>
      <c r="W1049" s="30">
        <v>0</v>
      </c>
      <c r="X1049" s="30">
        <v>0</v>
      </c>
      <c r="Y1049" s="30">
        <v>0</v>
      </c>
      <c r="Z1049" s="233" t="s">
        <v>68</v>
      </c>
      <c r="AA1049" s="30">
        <v>0</v>
      </c>
      <c r="AB1049" s="30">
        <v>0</v>
      </c>
      <c r="AC1049" s="30">
        <v>0</v>
      </c>
      <c r="AD1049" s="30">
        <v>0</v>
      </c>
      <c r="AE1049" s="89" t="s">
        <v>68</v>
      </c>
      <c r="AF1049" s="89"/>
      <c r="AG1049" s="89" t="s">
        <v>352</v>
      </c>
      <c r="AH1049" s="72" t="s">
        <v>68</v>
      </c>
      <c r="AI1049" s="30">
        <v>3</v>
      </c>
      <c r="AJ1049" s="89" t="s">
        <v>5895</v>
      </c>
      <c r="AK1049" s="89" t="s">
        <v>5896</v>
      </c>
      <c r="AL1049" s="91">
        <v>40666</v>
      </c>
      <c r="AM1049" s="91"/>
      <c r="AN1049" s="91"/>
      <c r="AO1049" s="91"/>
      <c r="AP1049" s="73" t="e">
        <f>MID(VLOOKUP(K1049,#REF!,2,FALSE),1,2)</f>
        <v>#REF!</v>
      </c>
      <c r="AQ1049" s="89">
        <f>DATE(2011,3,23)</f>
        <v>40625</v>
      </c>
      <c r="AR1049" s="82">
        <f t="shared" si="70"/>
        <v>23</v>
      </c>
      <c r="AS1049" s="83">
        <f t="shared" si="71"/>
        <v>3</v>
      </c>
      <c r="AT1049" s="84">
        <f t="shared" si="72"/>
        <v>2011</v>
      </c>
      <c r="AU1049" s="86"/>
      <c r="AV1049" s="86"/>
      <c r="AW1049" s="87"/>
      <c r="AX1049" s="86"/>
      <c r="AY1049" s="83"/>
      <c r="AZ1049" s="84"/>
      <c r="BA1049" s="86"/>
      <c r="BB1049" s="86"/>
    </row>
    <row r="1050" spans="1:54" ht="36.75" customHeight="1">
      <c r="A1050" s="30"/>
      <c r="B1050" s="30" t="s">
        <v>55</v>
      </c>
      <c r="C1050" s="69" t="str">
        <f t="shared" si="69"/>
        <v>Closed</v>
      </c>
      <c r="D1050" s="27" t="s">
        <v>5897</v>
      </c>
      <c r="E1050" s="29" t="s">
        <v>5898</v>
      </c>
      <c r="F1050" s="30" t="s">
        <v>835</v>
      </c>
      <c r="G1050" s="89">
        <f>DATE(2011,3,29)</f>
        <v>40631</v>
      </c>
      <c r="H1050" s="90">
        <v>1.71875</v>
      </c>
      <c r="I1050" s="30" t="s">
        <v>116</v>
      </c>
      <c r="J1050" s="89" t="s">
        <v>5899</v>
      </c>
      <c r="K1050" s="30" t="s">
        <v>837</v>
      </c>
      <c r="L1050" s="30" t="s">
        <v>5900</v>
      </c>
      <c r="M1050" s="30" t="s">
        <v>63</v>
      </c>
      <c r="N1050" s="30">
        <v>0</v>
      </c>
      <c r="O1050" s="30" t="s">
        <v>64</v>
      </c>
      <c r="P1050" s="89" t="s">
        <v>165</v>
      </c>
      <c r="Q1050" s="89" t="s">
        <v>2162</v>
      </c>
      <c r="R1050" s="89" t="s">
        <v>840</v>
      </c>
      <c r="S1050" s="30">
        <v>0</v>
      </c>
      <c r="T1050" s="233">
        <v>0</v>
      </c>
      <c r="U1050" s="30">
        <v>1</v>
      </c>
      <c r="V1050" s="233">
        <v>0</v>
      </c>
      <c r="W1050" s="30">
        <v>0</v>
      </c>
      <c r="X1050" s="30">
        <v>1</v>
      </c>
      <c r="Y1050" s="30">
        <v>0</v>
      </c>
      <c r="Z1050" s="233">
        <v>0</v>
      </c>
      <c r="AA1050" s="30">
        <v>0</v>
      </c>
      <c r="AB1050" s="30">
        <v>0</v>
      </c>
      <c r="AC1050" s="30">
        <v>0</v>
      </c>
      <c r="AD1050" s="30">
        <v>0</v>
      </c>
      <c r="AE1050" s="89" t="s">
        <v>68</v>
      </c>
      <c r="AF1050" s="89"/>
      <c r="AG1050" s="89" t="s">
        <v>352</v>
      </c>
      <c r="AH1050" s="72" t="s">
        <v>68</v>
      </c>
      <c r="AI1050" s="30">
        <v>0</v>
      </c>
      <c r="AJ1050" s="89" t="s">
        <v>68</v>
      </c>
      <c r="AK1050" s="89" t="s">
        <v>68</v>
      </c>
      <c r="AL1050" s="91">
        <v>40792</v>
      </c>
      <c r="AM1050" s="91"/>
      <c r="AN1050" s="91"/>
      <c r="AO1050" s="91"/>
      <c r="AP1050" s="73" t="e">
        <f>MID(VLOOKUP(K1050,#REF!,2,FALSE),1,2)</f>
        <v>#REF!</v>
      </c>
      <c r="AQ1050" s="89">
        <f>DATE(2011,3,29)</f>
        <v>40631</v>
      </c>
      <c r="AR1050" s="82">
        <f t="shared" si="70"/>
        <v>29</v>
      </c>
      <c r="AS1050" s="83">
        <f t="shared" si="71"/>
        <v>3</v>
      </c>
      <c r="AT1050" s="84">
        <f t="shared" si="72"/>
        <v>2011</v>
      </c>
      <c r="AU1050" s="86"/>
      <c r="AV1050" s="86"/>
      <c r="AW1050" s="87"/>
      <c r="AX1050" s="86"/>
      <c r="AY1050" s="83"/>
      <c r="AZ1050" s="84"/>
      <c r="BA1050" s="86"/>
      <c r="BB1050" s="86"/>
    </row>
    <row r="1051" spans="1:54" ht="36.75" customHeight="1">
      <c r="A1051" s="30"/>
      <c r="B1051" s="30" t="s">
        <v>55</v>
      </c>
      <c r="C1051" s="69" t="str">
        <f t="shared" si="69"/>
        <v>Closed</v>
      </c>
      <c r="D1051" s="27" t="s">
        <v>5901</v>
      </c>
      <c r="E1051" s="29" t="s">
        <v>5902</v>
      </c>
      <c r="F1051" s="30" t="s">
        <v>423</v>
      </c>
      <c r="G1051" s="89">
        <f>DATE(2011,3,31)</f>
        <v>40633</v>
      </c>
      <c r="H1051" s="90">
        <v>1.3916666666666666</v>
      </c>
      <c r="I1051" s="30" t="s">
        <v>278</v>
      </c>
      <c r="J1051" s="89" t="s">
        <v>5903</v>
      </c>
      <c r="K1051" s="30" t="s">
        <v>425</v>
      </c>
      <c r="L1051" s="30" t="s">
        <v>5904</v>
      </c>
      <c r="M1051" s="30" t="s">
        <v>63</v>
      </c>
      <c r="N1051" s="30">
        <v>0</v>
      </c>
      <c r="O1051" s="30" t="s">
        <v>77</v>
      </c>
      <c r="P1051" s="89" t="s">
        <v>165</v>
      </c>
      <c r="Q1051" s="89" t="s">
        <v>427</v>
      </c>
      <c r="R1051" s="89" t="s">
        <v>3103</v>
      </c>
      <c r="S1051" s="30">
        <v>0</v>
      </c>
      <c r="T1051" s="233">
        <v>0</v>
      </c>
      <c r="U1051" s="30">
        <v>0</v>
      </c>
      <c r="V1051" s="233">
        <v>0</v>
      </c>
      <c r="W1051" s="30">
        <v>0</v>
      </c>
      <c r="X1051" s="30">
        <v>0</v>
      </c>
      <c r="Y1051" s="30">
        <v>1</v>
      </c>
      <c r="Z1051" s="233">
        <v>0</v>
      </c>
      <c r="AA1051" s="30">
        <v>0</v>
      </c>
      <c r="AB1051" s="30">
        <v>0</v>
      </c>
      <c r="AC1051" s="30">
        <v>0</v>
      </c>
      <c r="AD1051" s="30">
        <v>1</v>
      </c>
      <c r="AE1051" s="89" t="s">
        <v>68</v>
      </c>
      <c r="AF1051" s="89"/>
      <c r="AG1051" s="89" t="s">
        <v>352</v>
      </c>
      <c r="AH1051" s="72" t="s">
        <v>68</v>
      </c>
      <c r="AI1051" s="30">
        <v>7</v>
      </c>
      <c r="AJ1051" s="89" t="s">
        <v>5905</v>
      </c>
      <c r="AK1051" s="89" t="s">
        <v>879</v>
      </c>
      <c r="AL1051" s="91">
        <v>40690</v>
      </c>
      <c r="AM1051" s="91"/>
      <c r="AN1051" s="91"/>
      <c r="AO1051" s="91"/>
      <c r="AP1051" s="73" t="e">
        <f>MID(VLOOKUP(K1051,#REF!,2,FALSE),1,2)</f>
        <v>#REF!</v>
      </c>
      <c r="AQ1051" s="89">
        <f>DATE(2011,3,31)</f>
        <v>40633</v>
      </c>
      <c r="AR1051" s="82">
        <f t="shared" si="70"/>
        <v>31</v>
      </c>
      <c r="AS1051" s="83">
        <f t="shared" si="71"/>
        <v>3</v>
      </c>
      <c r="AT1051" s="84">
        <f t="shared" si="72"/>
        <v>2011</v>
      </c>
      <c r="AU1051" s="86"/>
      <c r="AV1051" s="86"/>
      <c r="AW1051" s="87"/>
      <c r="AX1051" s="86"/>
      <c r="AY1051" s="83"/>
      <c r="AZ1051" s="84"/>
      <c r="BA1051" s="86"/>
      <c r="BB1051" s="86"/>
    </row>
    <row r="1052" spans="1:54" ht="36.75" customHeight="1">
      <c r="A1052" s="30"/>
      <c r="B1052" s="30" t="s">
        <v>55</v>
      </c>
      <c r="C1052" s="69" t="str">
        <f t="shared" si="69"/>
        <v>Closed</v>
      </c>
      <c r="D1052" s="27" t="s">
        <v>5906</v>
      </c>
      <c r="E1052" s="29" t="s">
        <v>5907</v>
      </c>
      <c r="F1052" s="30" t="s">
        <v>1572</v>
      </c>
      <c r="G1052" s="89">
        <f>DATE(2011,4,1)</f>
        <v>40634</v>
      </c>
      <c r="H1052" s="90">
        <v>1.0791666666666666</v>
      </c>
      <c r="I1052" s="30" t="s">
        <v>73</v>
      </c>
      <c r="J1052" s="89" t="s">
        <v>5908</v>
      </c>
      <c r="K1052" s="30" t="s">
        <v>1574</v>
      </c>
      <c r="L1052" s="30" t="s">
        <v>5909</v>
      </c>
      <c r="M1052" s="30" t="s">
        <v>63</v>
      </c>
      <c r="N1052" s="30">
        <v>0</v>
      </c>
      <c r="O1052" s="30" t="s">
        <v>77</v>
      </c>
      <c r="P1052" s="89" t="s">
        <v>78</v>
      </c>
      <c r="Q1052" s="89" t="s">
        <v>2437</v>
      </c>
      <c r="R1052" s="89">
        <v>0</v>
      </c>
      <c r="S1052" s="30">
        <v>0</v>
      </c>
      <c r="T1052" s="233" t="s">
        <v>68</v>
      </c>
      <c r="U1052" s="30">
        <v>0</v>
      </c>
      <c r="V1052" s="233" t="s">
        <v>68</v>
      </c>
      <c r="W1052" s="30">
        <v>0</v>
      </c>
      <c r="X1052" s="30">
        <v>0</v>
      </c>
      <c r="Y1052" s="30">
        <v>0</v>
      </c>
      <c r="Z1052" s="233" t="s">
        <v>68</v>
      </c>
      <c r="AA1052" s="30">
        <v>0</v>
      </c>
      <c r="AB1052" s="30">
        <v>0</v>
      </c>
      <c r="AC1052" s="30">
        <v>0</v>
      </c>
      <c r="AD1052" s="30">
        <v>0</v>
      </c>
      <c r="AE1052" s="89" t="s">
        <v>68</v>
      </c>
      <c r="AF1052" s="89"/>
      <c r="AG1052" s="89" t="s">
        <v>133</v>
      </c>
      <c r="AH1052" s="72" t="s">
        <v>68</v>
      </c>
      <c r="AI1052" s="30">
        <v>3</v>
      </c>
      <c r="AJ1052" s="89" t="s">
        <v>5910</v>
      </c>
      <c r="AK1052" s="89" t="s">
        <v>68</v>
      </c>
      <c r="AL1052" s="91">
        <v>40640</v>
      </c>
      <c r="AM1052" s="91"/>
      <c r="AN1052" s="91"/>
      <c r="AO1052" s="91"/>
      <c r="AP1052" s="73" t="e">
        <f>MID(VLOOKUP(K1052,#REF!,2,FALSE),1,2)</f>
        <v>#REF!</v>
      </c>
      <c r="AQ1052" s="89">
        <f>DATE(2011,4,1)</f>
        <v>40634</v>
      </c>
      <c r="AR1052" s="82">
        <f t="shared" si="70"/>
        <v>1</v>
      </c>
      <c r="AS1052" s="83">
        <f t="shared" si="71"/>
        <v>4</v>
      </c>
      <c r="AT1052" s="84">
        <f t="shared" si="72"/>
        <v>2011</v>
      </c>
      <c r="AU1052" s="86"/>
      <c r="AV1052" s="86"/>
      <c r="AW1052" s="87"/>
      <c r="AX1052" s="86"/>
      <c r="AY1052" s="83"/>
      <c r="AZ1052" s="84"/>
      <c r="BA1052" s="86"/>
      <c r="BB1052" s="86"/>
    </row>
    <row r="1053" spans="1:54" ht="36.75" customHeight="1">
      <c r="A1053" s="30"/>
      <c r="B1053" s="30" t="s">
        <v>55</v>
      </c>
      <c r="C1053" s="69" t="str">
        <f t="shared" si="69"/>
        <v>Closed</v>
      </c>
      <c r="D1053" s="27" t="s">
        <v>5911</v>
      </c>
      <c r="E1053" s="29" t="s">
        <v>5912</v>
      </c>
      <c r="F1053" s="30" t="s">
        <v>835</v>
      </c>
      <c r="G1053" s="89">
        <f>DATE(2011,4,3)</f>
        <v>40636</v>
      </c>
      <c r="H1053" s="90">
        <v>1.6124999999999998</v>
      </c>
      <c r="I1053" s="30" t="s">
        <v>116</v>
      </c>
      <c r="J1053" s="89" t="s">
        <v>5913</v>
      </c>
      <c r="K1053" s="30" t="s">
        <v>837</v>
      </c>
      <c r="L1053" s="30" t="s">
        <v>5914</v>
      </c>
      <c r="M1053" s="30" t="s">
        <v>63</v>
      </c>
      <c r="N1053" s="30">
        <v>0</v>
      </c>
      <c r="O1053" s="30" t="s">
        <v>64</v>
      </c>
      <c r="P1053" s="89" t="s">
        <v>165</v>
      </c>
      <c r="Q1053" s="89" t="s">
        <v>2162</v>
      </c>
      <c r="R1053" s="89" t="s">
        <v>840</v>
      </c>
      <c r="S1053" s="30">
        <v>0</v>
      </c>
      <c r="T1053" s="233">
        <v>0</v>
      </c>
      <c r="U1053" s="30">
        <v>0</v>
      </c>
      <c r="V1053" s="233">
        <v>0</v>
      </c>
      <c r="W1053" s="30">
        <v>0</v>
      </c>
      <c r="X1053" s="30">
        <v>0</v>
      </c>
      <c r="Y1053" s="30">
        <v>0</v>
      </c>
      <c r="Z1053" s="233">
        <v>0</v>
      </c>
      <c r="AA1053" s="30">
        <v>2</v>
      </c>
      <c r="AB1053" s="30">
        <v>0</v>
      </c>
      <c r="AC1053" s="30">
        <v>0</v>
      </c>
      <c r="AD1053" s="30">
        <v>2</v>
      </c>
      <c r="AE1053" s="89" t="s">
        <v>68</v>
      </c>
      <c r="AF1053" s="89"/>
      <c r="AG1053" s="89" t="s">
        <v>352</v>
      </c>
      <c r="AH1053" s="72" t="s">
        <v>68</v>
      </c>
      <c r="AI1053" s="30">
        <v>1</v>
      </c>
      <c r="AJ1053" s="89" t="s">
        <v>68</v>
      </c>
      <c r="AK1053" s="89" t="s">
        <v>68</v>
      </c>
      <c r="AL1053" s="91">
        <v>40792</v>
      </c>
      <c r="AM1053" s="91"/>
      <c r="AN1053" s="91"/>
      <c r="AO1053" s="91"/>
      <c r="AP1053" s="73" t="e">
        <f>MID(VLOOKUP(K1053,#REF!,2,FALSE),1,2)</f>
        <v>#REF!</v>
      </c>
      <c r="AQ1053" s="89">
        <f>DATE(2011,4,3)</f>
        <v>40636</v>
      </c>
      <c r="AR1053" s="82">
        <f t="shared" si="70"/>
        <v>3</v>
      </c>
      <c r="AS1053" s="83">
        <f t="shared" si="71"/>
        <v>4</v>
      </c>
      <c r="AT1053" s="84">
        <f t="shared" si="72"/>
        <v>2011</v>
      </c>
      <c r="AU1053" s="86"/>
      <c r="AV1053" s="86"/>
      <c r="AW1053" s="87"/>
      <c r="AX1053" s="86"/>
      <c r="AY1053" s="83"/>
      <c r="AZ1053" s="84"/>
      <c r="BA1053" s="86"/>
      <c r="BB1053" s="86"/>
    </row>
    <row r="1054" spans="1:54" ht="36.75" customHeight="1">
      <c r="A1054" s="30"/>
      <c r="B1054" s="30" t="s">
        <v>55</v>
      </c>
      <c r="C1054" s="69" t="str">
        <f t="shared" si="69"/>
        <v>Closed</v>
      </c>
      <c r="D1054" s="27" t="s">
        <v>5915</v>
      </c>
      <c r="E1054" s="29" t="s">
        <v>5916</v>
      </c>
      <c r="F1054" s="30" t="s">
        <v>124</v>
      </c>
      <c r="G1054" s="89">
        <f>DATE(2011,4,4)</f>
        <v>40637</v>
      </c>
      <c r="H1054" s="90">
        <v>1.8430555555555554</v>
      </c>
      <c r="I1054" s="30" t="s">
        <v>125</v>
      </c>
      <c r="J1054" s="89" t="s">
        <v>5917</v>
      </c>
      <c r="K1054" s="30" t="s">
        <v>127</v>
      </c>
      <c r="L1054" s="30" t="s">
        <v>5918</v>
      </c>
      <c r="M1054" s="30" t="s">
        <v>63</v>
      </c>
      <c r="N1054" s="30">
        <v>0</v>
      </c>
      <c r="O1054" s="30" t="s">
        <v>77</v>
      </c>
      <c r="P1054" s="89" t="s">
        <v>78</v>
      </c>
      <c r="Q1054" s="89" t="s">
        <v>401</v>
      </c>
      <c r="R1054" s="89" t="s">
        <v>167</v>
      </c>
      <c r="S1054" s="30">
        <v>0</v>
      </c>
      <c r="T1054" s="233" t="s">
        <v>68</v>
      </c>
      <c r="U1054" s="30">
        <v>0</v>
      </c>
      <c r="V1054" s="233" t="s">
        <v>68</v>
      </c>
      <c r="W1054" s="30">
        <v>0</v>
      </c>
      <c r="X1054" s="30">
        <v>0</v>
      </c>
      <c r="Y1054" s="30">
        <v>0</v>
      </c>
      <c r="Z1054" s="233" t="s">
        <v>68</v>
      </c>
      <c r="AA1054" s="30">
        <v>0</v>
      </c>
      <c r="AB1054" s="30">
        <v>0</v>
      </c>
      <c r="AC1054" s="30">
        <v>0</v>
      </c>
      <c r="AD1054" s="30">
        <v>0</v>
      </c>
      <c r="AE1054" s="89" t="s">
        <v>68</v>
      </c>
      <c r="AF1054" s="89"/>
      <c r="AG1054" s="89" t="s">
        <v>133</v>
      </c>
      <c r="AH1054" s="72" t="s">
        <v>68</v>
      </c>
      <c r="AI1054" s="30">
        <v>1</v>
      </c>
      <c r="AJ1054" s="89" t="s">
        <v>68</v>
      </c>
      <c r="AK1054" s="89" t="s">
        <v>68</v>
      </c>
      <c r="AL1054" s="91">
        <v>40662</v>
      </c>
      <c r="AM1054" s="91"/>
      <c r="AN1054" s="91"/>
      <c r="AO1054" s="91"/>
      <c r="AP1054" s="73" t="e">
        <f>MID(VLOOKUP(K1054,#REF!,2,FALSE),1,2)</f>
        <v>#REF!</v>
      </c>
      <c r="AQ1054" s="89">
        <f>DATE(2011,4,4)</f>
        <v>40637</v>
      </c>
      <c r="AR1054" s="82">
        <f t="shared" si="70"/>
        <v>4</v>
      </c>
      <c r="AS1054" s="83">
        <f t="shared" si="71"/>
        <v>4</v>
      </c>
      <c r="AT1054" s="84">
        <f t="shared" si="72"/>
        <v>2011</v>
      </c>
      <c r="AU1054" s="86"/>
      <c r="AV1054" s="86"/>
      <c r="AW1054" s="87"/>
      <c r="AX1054" s="86"/>
      <c r="AY1054" s="83"/>
      <c r="AZ1054" s="84"/>
      <c r="BA1054" s="86"/>
      <c r="BB1054" s="86"/>
    </row>
    <row r="1055" spans="1:54" ht="36.75" customHeight="1">
      <c r="A1055" s="30"/>
      <c r="B1055" s="30" t="s">
        <v>55</v>
      </c>
      <c r="C1055" s="69" t="str">
        <f t="shared" si="69"/>
        <v>Closed</v>
      </c>
      <c r="D1055" s="27" t="s">
        <v>5919</v>
      </c>
      <c r="E1055" s="29" t="s">
        <v>5920</v>
      </c>
      <c r="F1055" s="30" t="s">
        <v>638</v>
      </c>
      <c r="G1055" s="89">
        <f>DATE(2011,4,5)</f>
        <v>40638</v>
      </c>
      <c r="H1055" s="90">
        <v>1.6458333333333335</v>
      </c>
      <c r="I1055" s="30" t="s">
        <v>73</v>
      </c>
      <c r="J1055" s="89" t="s">
        <v>5921</v>
      </c>
      <c r="K1055" s="30" t="s">
        <v>640</v>
      </c>
      <c r="L1055" s="30" t="s">
        <v>5922</v>
      </c>
      <c r="M1055" s="30" t="s">
        <v>63</v>
      </c>
      <c r="N1055" s="30">
        <v>0</v>
      </c>
      <c r="O1055" s="30" t="s">
        <v>77</v>
      </c>
      <c r="P1055" s="89" t="s">
        <v>78</v>
      </c>
      <c r="Q1055" s="89" t="s">
        <v>642</v>
      </c>
      <c r="R1055" s="89" t="s">
        <v>643</v>
      </c>
      <c r="S1055" s="30">
        <v>0</v>
      </c>
      <c r="T1055" s="233" t="s">
        <v>68</v>
      </c>
      <c r="U1055" s="30">
        <v>0</v>
      </c>
      <c r="V1055" s="233" t="s">
        <v>68</v>
      </c>
      <c r="W1055" s="30">
        <v>0</v>
      </c>
      <c r="X1055" s="30">
        <v>0</v>
      </c>
      <c r="Y1055" s="30">
        <v>0</v>
      </c>
      <c r="Z1055" s="233" t="s">
        <v>68</v>
      </c>
      <c r="AA1055" s="30">
        <v>0</v>
      </c>
      <c r="AB1055" s="30">
        <v>0</v>
      </c>
      <c r="AC1055" s="30">
        <v>0</v>
      </c>
      <c r="AD1055" s="30">
        <v>0</v>
      </c>
      <c r="AE1055" s="89" t="s">
        <v>68</v>
      </c>
      <c r="AF1055" s="89"/>
      <c r="AG1055" s="89" t="s">
        <v>352</v>
      </c>
      <c r="AH1055" s="72" t="s">
        <v>68</v>
      </c>
      <c r="AI1055" s="30">
        <v>2</v>
      </c>
      <c r="AJ1055" s="89" t="s">
        <v>5923</v>
      </c>
      <c r="AK1055" s="89" t="s">
        <v>68</v>
      </c>
      <c r="AL1055" s="91">
        <v>40700</v>
      </c>
      <c r="AM1055" s="91"/>
      <c r="AN1055" s="91"/>
      <c r="AO1055" s="91"/>
      <c r="AP1055" s="73" t="e">
        <f>MID(VLOOKUP(K1055,#REF!,2,FALSE),1,2)</f>
        <v>#REF!</v>
      </c>
      <c r="AQ1055" s="89">
        <f>DATE(2011,4,5)</f>
        <v>40638</v>
      </c>
      <c r="AR1055" s="82">
        <f t="shared" si="70"/>
        <v>5</v>
      </c>
      <c r="AS1055" s="83">
        <f t="shared" si="71"/>
        <v>4</v>
      </c>
      <c r="AT1055" s="84">
        <f t="shared" si="72"/>
        <v>2011</v>
      </c>
      <c r="AU1055" s="86"/>
      <c r="AV1055" s="86"/>
      <c r="AW1055" s="87"/>
      <c r="AX1055" s="86"/>
      <c r="AY1055" s="83"/>
      <c r="AZ1055" s="84"/>
      <c r="BA1055" s="86"/>
      <c r="BB1055" s="86"/>
    </row>
    <row r="1056" spans="1:54" ht="36.75" customHeight="1">
      <c r="A1056" s="30"/>
      <c r="B1056" s="30" t="s">
        <v>55</v>
      </c>
      <c r="C1056" s="69" t="str">
        <f t="shared" si="69"/>
        <v>Closed</v>
      </c>
      <c r="D1056" s="27" t="s">
        <v>5924</v>
      </c>
      <c r="E1056" s="29" t="s">
        <v>5925</v>
      </c>
      <c r="F1056" s="30" t="s">
        <v>233</v>
      </c>
      <c r="G1056" s="89">
        <f>DATE(2011,4,6)</f>
        <v>40639</v>
      </c>
      <c r="H1056" s="90">
        <v>1.3868055555555556</v>
      </c>
      <c r="I1056" s="30" t="s">
        <v>86</v>
      </c>
      <c r="J1056" s="89" t="s">
        <v>5926</v>
      </c>
      <c r="K1056" s="30" t="s">
        <v>235</v>
      </c>
      <c r="L1056" s="30" t="s">
        <v>5927</v>
      </c>
      <c r="M1056" s="30" t="s">
        <v>63</v>
      </c>
      <c r="N1056" s="30">
        <v>0</v>
      </c>
      <c r="O1056" s="30" t="s">
        <v>64</v>
      </c>
      <c r="P1056" s="89" t="s">
        <v>86</v>
      </c>
      <c r="Q1056" s="89" t="s">
        <v>718</v>
      </c>
      <c r="R1056" s="89" t="s">
        <v>238</v>
      </c>
      <c r="S1056" s="30">
        <v>0</v>
      </c>
      <c r="T1056" s="233" t="s">
        <v>68</v>
      </c>
      <c r="U1056" s="30">
        <v>0</v>
      </c>
      <c r="V1056" s="233" t="s">
        <v>68</v>
      </c>
      <c r="W1056" s="30">
        <v>0</v>
      </c>
      <c r="X1056" s="30">
        <v>0</v>
      </c>
      <c r="Y1056" s="30">
        <v>0</v>
      </c>
      <c r="Z1056" s="233" t="s">
        <v>68</v>
      </c>
      <c r="AA1056" s="30">
        <v>0</v>
      </c>
      <c r="AB1056" s="30">
        <v>0</v>
      </c>
      <c r="AC1056" s="30">
        <v>0</v>
      </c>
      <c r="AD1056" s="30">
        <v>0</v>
      </c>
      <c r="AE1056" s="89" t="s">
        <v>68</v>
      </c>
      <c r="AF1056" s="89"/>
      <c r="AG1056" s="89" t="s">
        <v>133</v>
      </c>
      <c r="AH1056" s="72" t="s">
        <v>68</v>
      </c>
      <c r="AI1056" s="30">
        <v>3</v>
      </c>
      <c r="AJ1056" s="89" t="s">
        <v>5928</v>
      </c>
      <c r="AK1056" s="89" t="s">
        <v>5929</v>
      </c>
      <c r="AL1056" s="91">
        <v>40666</v>
      </c>
      <c r="AM1056" s="91"/>
      <c r="AN1056" s="91"/>
      <c r="AO1056" s="91"/>
      <c r="AP1056" s="73" t="e">
        <f>MID(VLOOKUP(K1056,#REF!,2,FALSE),1,2)</f>
        <v>#REF!</v>
      </c>
      <c r="AQ1056" s="89">
        <f>DATE(2011,4,6)</f>
        <v>40639</v>
      </c>
      <c r="AR1056" s="82">
        <f t="shared" si="70"/>
        <v>6</v>
      </c>
      <c r="AS1056" s="83">
        <f t="shared" si="71"/>
        <v>4</v>
      </c>
      <c r="AT1056" s="84">
        <f t="shared" si="72"/>
        <v>2011</v>
      </c>
      <c r="AU1056" s="86"/>
      <c r="AV1056" s="86"/>
      <c r="AW1056" s="87"/>
      <c r="AX1056" s="86"/>
      <c r="AY1056" s="83"/>
      <c r="AZ1056" s="84"/>
      <c r="BA1056" s="86"/>
      <c r="BB1056" s="86"/>
    </row>
    <row r="1057" spans="1:54" ht="36.75" customHeight="1">
      <c r="A1057" s="30"/>
      <c r="B1057" s="30" t="s">
        <v>55</v>
      </c>
      <c r="C1057" s="69" t="str">
        <f t="shared" si="69"/>
        <v>Closed</v>
      </c>
      <c r="D1057" s="27" t="s">
        <v>5930</v>
      </c>
      <c r="E1057" s="29" t="s">
        <v>5931</v>
      </c>
      <c r="F1057" s="30" t="s">
        <v>582</v>
      </c>
      <c r="G1057" s="89">
        <f>DATE(2011,4,8)</f>
        <v>40641</v>
      </c>
      <c r="H1057" s="90">
        <v>1.0173611111111112</v>
      </c>
      <c r="I1057" s="30" t="s">
        <v>73</v>
      </c>
      <c r="J1057" s="89" t="s">
        <v>5932</v>
      </c>
      <c r="K1057" s="30" t="s">
        <v>584</v>
      </c>
      <c r="L1057" s="30" t="s">
        <v>5933</v>
      </c>
      <c r="M1057" s="30" t="s">
        <v>63</v>
      </c>
      <c r="N1057" s="30">
        <v>0</v>
      </c>
      <c r="O1057" s="30" t="s">
        <v>64</v>
      </c>
      <c r="P1057" s="89" t="s">
        <v>78</v>
      </c>
      <c r="Q1057" s="89" t="s">
        <v>5934</v>
      </c>
      <c r="R1057" s="89" t="s">
        <v>587</v>
      </c>
      <c r="S1057" s="30">
        <v>0</v>
      </c>
      <c r="T1057" s="233" t="s">
        <v>68</v>
      </c>
      <c r="U1057" s="30">
        <v>0</v>
      </c>
      <c r="V1057" s="233" t="s">
        <v>68</v>
      </c>
      <c r="W1057" s="30">
        <v>0</v>
      </c>
      <c r="X1057" s="30">
        <v>0</v>
      </c>
      <c r="Y1057" s="30">
        <v>0</v>
      </c>
      <c r="Z1057" s="233" t="s">
        <v>68</v>
      </c>
      <c r="AA1057" s="30">
        <v>0</v>
      </c>
      <c r="AB1057" s="30">
        <v>0</v>
      </c>
      <c r="AC1057" s="30">
        <v>0</v>
      </c>
      <c r="AD1057" s="30">
        <v>0</v>
      </c>
      <c r="AE1057" s="89" t="s">
        <v>68</v>
      </c>
      <c r="AF1057" s="89"/>
      <c r="AG1057" s="89" t="s">
        <v>133</v>
      </c>
      <c r="AH1057" s="72" t="s">
        <v>68</v>
      </c>
      <c r="AI1057" s="30">
        <v>0</v>
      </c>
      <c r="AJ1057" s="89" t="s">
        <v>68</v>
      </c>
      <c r="AK1057" s="89" t="s">
        <v>68</v>
      </c>
      <c r="AL1057" s="91">
        <v>40647</v>
      </c>
      <c r="AM1057" s="91"/>
      <c r="AN1057" s="91"/>
      <c r="AO1057" s="91"/>
      <c r="AP1057" s="73" t="e">
        <f>MID(VLOOKUP(K1057,#REF!,2,FALSE),1,2)</f>
        <v>#REF!</v>
      </c>
      <c r="AQ1057" s="89">
        <f>DATE(2011,4,8)</f>
        <v>40641</v>
      </c>
      <c r="AR1057" s="82">
        <f t="shared" si="70"/>
        <v>8</v>
      </c>
      <c r="AS1057" s="83">
        <f t="shared" si="71"/>
        <v>4</v>
      </c>
      <c r="AT1057" s="84">
        <f t="shared" si="72"/>
        <v>2011</v>
      </c>
      <c r="AU1057" s="86"/>
      <c r="AV1057" s="86"/>
      <c r="AW1057" s="87"/>
      <c r="AX1057" s="86"/>
      <c r="AY1057" s="83"/>
      <c r="AZ1057" s="84"/>
      <c r="BA1057" s="86"/>
      <c r="BB1057" s="86"/>
    </row>
    <row r="1058" spans="1:54" ht="36.75" customHeight="1">
      <c r="A1058" s="30"/>
      <c r="B1058" s="30" t="s">
        <v>55</v>
      </c>
      <c r="C1058" s="69" t="str">
        <f t="shared" si="69"/>
        <v>Closed</v>
      </c>
      <c r="D1058" s="27" t="s">
        <v>5935</v>
      </c>
      <c r="E1058" s="29" t="s">
        <v>5936</v>
      </c>
      <c r="F1058" s="30" t="s">
        <v>582</v>
      </c>
      <c r="G1058" s="89">
        <f>DATE(2011,4,8)</f>
        <v>40641</v>
      </c>
      <c r="H1058" s="90">
        <v>1.3569444444444445</v>
      </c>
      <c r="I1058" s="30" t="s">
        <v>73</v>
      </c>
      <c r="J1058" s="89" t="s">
        <v>5937</v>
      </c>
      <c r="K1058" s="30" t="s">
        <v>584</v>
      </c>
      <c r="L1058" s="30" t="s">
        <v>5938</v>
      </c>
      <c r="M1058" s="30" t="s">
        <v>63</v>
      </c>
      <c r="N1058" s="30" t="s">
        <v>142</v>
      </c>
      <c r="O1058" s="30" t="s">
        <v>77</v>
      </c>
      <c r="P1058" s="89" t="s">
        <v>78</v>
      </c>
      <c r="Q1058" s="89" t="s">
        <v>586</v>
      </c>
      <c r="R1058" s="89" t="s">
        <v>587</v>
      </c>
      <c r="S1058" s="30">
        <v>0</v>
      </c>
      <c r="T1058" s="233">
        <v>0</v>
      </c>
      <c r="U1058" s="30">
        <v>0</v>
      </c>
      <c r="V1058" s="233">
        <v>0</v>
      </c>
      <c r="W1058" s="30">
        <v>0</v>
      </c>
      <c r="X1058" s="30">
        <v>0</v>
      </c>
      <c r="Y1058" s="30">
        <v>0</v>
      </c>
      <c r="Z1058" s="233">
        <v>0</v>
      </c>
      <c r="AA1058" s="30">
        <v>0</v>
      </c>
      <c r="AB1058" s="30">
        <v>0</v>
      </c>
      <c r="AC1058" s="30">
        <v>0</v>
      </c>
      <c r="AD1058" s="30">
        <v>0</v>
      </c>
      <c r="AE1058" s="89" t="s">
        <v>394</v>
      </c>
      <c r="AF1058" s="89"/>
      <c r="AG1058" s="89" t="s">
        <v>133</v>
      </c>
      <c r="AH1058" s="72">
        <v>40647</v>
      </c>
      <c r="AI1058" s="30">
        <v>0</v>
      </c>
      <c r="AJ1058" s="89" t="s">
        <v>5939</v>
      </c>
      <c r="AK1058" s="89" t="s">
        <v>1233</v>
      </c>
      <c r="AL1058" s="91">
        <v>40647</v>
      </c>
      <c r="AM1058" s="91"/>
      <c r="AN1058" s="91"/>
      <c r="AO1058" s="91"/>
      <c r="AP1058" s="73" t="e">
        <f>MID(VLOOKUP(K1058,#REF!,2,FALSE),1,2)</f>
        <v>#REF!</v>
      </c>
      <c r="AQ1058" s="89">
        <f>DATE(2011,4,8)</f>
        <v>40641</v>
      </c>
      <c r="AR1058" s="82">
        <f t="shared" si="70"/>
        <v>8</v>
      </c>
      <c r="AS1058" s="83">
        <f t="shared" si="71"/>
        <v>4</v>
      </c>
      <c r="AT1058" s="84">
        <f t="shared" si="72"/>
        <v>2011</v>
      </c>
      <c r="AU1058" s="86"/>
      <c r="AV1058" s="86"/>
      <c r="AW1058" s="87"/>
      <c r="AX1058" s="86"/>
      <c r="AY1058" s="83"/>
      <c r="AZ1058" s="84"/>
      <c r="BA1058" s="86"/>
      <c r="BB1058" s="86"/>
    </row>
    <row r="1059" spans="1:54" ht="36.75" customHeight="1">
      <c r="A1059" s="30"/>
      <c r="B1059" s="30" t="s">
        <v>55</v>
      </c>
      <c r="C1059" s="69" t="str">
        <f t="shared" si="69"/>
        <v>Closed</v>
      </c>
      <c r="D1059" s="27" t="s">
        <v>5940</v>
      </c>
      <c r="E1059" s="29" t="s">
        <v>5941</v>
      </c>
      <c r="F1059" s="30" t="s">
        <v>423</v>
      </c>
      <c r="G1059" s="89">
        <f>DATE(2011,4,10)</f>
        <v>40643</v>
      </c>
      <c r="H1059" s="90">
        <v>1.6819444444444445</v>
      </c>
      <c r="I1059" s="30" t="s">
        <v>73</v>
      </c>
      <c r="J1059" s="89" t="s">
        <v>5942</v>
      </c>
      <c r="K1059" s="30" t="s">
        <v>425</v>
      </c>
      <c r="L1059" s="30" t="s">
        <v>5943</v>
      </c>
      <c r="M1059" s="30" t="s">
        <v>63</v>
      </c>
      <c r="N1059" s="30" t="s">
        <v>89</v>
      </c>
      <c r="O1059" s="30" t="s">
        <v>77</v>
      </c>
      <c r="P1059" s="89" t="s">
        <v>91</v>
      </c>
      <c r="Q1059" s="89" t="s">
        <v>2582</v>
      </c>
      <c r="R1059" s="89" t="s">
        <v>3103</v>
      </c>
      <c r="S1059" s="30">
        <v>0</v>
      </c>
      <c r="T1059" s="233">
        <v>0</v>
      </c>
      <c r="U1059" s="30">
        <v>0</v>
      </c>
      <c r="V1059" s="233">
        <v>0</v>
      </c>
      <c r="W1059" s="30">
        <v>0</v>
      </c>
      <c r="X1059" s="30">
        <v>0</v>
      </c>
      <c r="Y1059" s="30">
        <v>0</v>
      </c>
      <c r="Z1059" s="233">
        <v>0</v>
      </c>
      <c r="AA1059" s="30">
        <v>0</v>
      </c>
      <c r="AB1059" s="30">
        <v>0</v>
      </c>
      <c r="AC1059" s="30">
        <v>0</v>
      </c>
      <c r="AD1059" s="30">
        <v>0</v>
      </c>
      <c r="AE1059" s="89" t="s">
        <v>394</v>
      </c>
      <c r="AF1059" s="89"/>
      <c r="AG1059" s="89" t="s">
        <v>133</v>
      </c>
      <c r="AH1059" s="72">
        <v>40711</v>
      </c>
      <c r="AI1059" s="30">
        <v>0</v>
      </c>
      <c r="AJ1059" s="89" t="s">
        <v>5944</v>
      </c>
      <c r="AK1059" s="89" t="s">
        <v>5945</v>
      </c>
      <c r="AL1059" s="91">
        <v>40711</v>
      </c>
      <c r="AM1059" s="91"/>
      <c r="AN1059" s="91"/>
      <c r="AO1059" s="91"/>
      <c r="AP1059" s="73" t="e">
        <f>MID(VLOOKUP(K1059,#REF!,2,FALSE),1,2)</f>
        <v>#REF!</v>
      </c>
      <c r="AQ1059" s="89">
        <f>DATE(2011,4,10)</f>
        <v>40643</v>
      </c>
      <c r="AR1059" s="82">
        <f t="shared" si="70"/>
        <v>10</v>
      </c>
      <c r="AS1059" s="83">
        <f t="shared" si="71"/>
        <v>4</v>
      </c>
      <c r="AT1059" s="84">
        <f t="shared" si="72"/>
        <v>2011</v>
      </c>
      <c r="AU1059" s="86"/>
      <c r="AV1059" s="86"/>
      <c r="AW1059" s="87"/>
      <c r="AX1059" s="86"/>
      <c r="AY1059" s="83"/>
      <c r="AZ1059" s="84"/>
      <c r="BA1059" s="86"/>
      <c r="BB1059" s="86"/>
    </row>
    <row r="1060" spans="1:54" ht="36.75" customHeight="1">
      <c r="A1060" s="30"/>
      <c r="B1060" s="30" t="s">
        <v>55</v>
      </c>
      <c r="C1060" s="69" t="str">
        <f t="shared" si="69"/>
        <v>Closed</v>
      </c>
      <c r="D1060" s="27" t="s">
        <v>5946</v>
      </c>
      <c r="E1060" s="29" t="s">
        <v>5947</v>
      </c>
      <c r="F1060" s="30" t="s">
        <v>233</v>
      </c>
      <c r="G1060" s="89">
        <f>DATE(2011,4,10)</f>
        <v>40643</v>
      </c>
      <c r="H1060" s="90">
        <v>1.5965277777777778</v>
      </c>
      <c r="I1060" s="30" t="s">
        <v>86</v>
      </c>
      <c r="J1060" s="89" t="s">
        <v>5948</v>
      </c>
      <c r="K1060" s="30" t="s">
        <v>235</v>
      </c>
      <c r="L1060" s="30" t="s">
        <v>5949</v>
      </c>
      <c r="M1060" s="30" t="s">
        <v>63</v>
      </c>
      <c r="N1060" s="30">
        <v>0</v>
      </c>
      <c r="O1060" s="30" t="s">
        <v>77</v>
      </c>
      <c r="P1060" s="89" t="s">
        <v>165</v>
      </c>
      <c r="Q1060" s="89" t="s">
        <v>3352</v>
      </c>
      <c r="R1060" s="89" t="s">
        <v>238</v>
      </c>
      <c r="S1060" s="30">
        <v>0</v>
      </c>
      <c r="T1060" s="233">
        <v>0</v>
      </c>
      <c r="U1060" s="30">
        <v>0</v>
      </c>
      <c r="V1060" s="233">
        <v>0</v>
      </c>
      <c r="W1060" s="30">
        <v>0</v>
      </c>
      <c r="X1060" s="30">
        <v>0</v>
      </c>
      <c r="Y1060" s="30">
        <v>0</v>
      </c>
      <c r="Z1060" s="233">
        <v>0</v>
      </c>
      <c r="AA1060" s="30">
        <v>0</v>
      </c>
      <c r="AB1060" s="30">
        <v>0</v>
      </c>
      <c r="AC1060" s="30">
        <v>0</v>
      </c>
      <c r="AD1060" s="30">
        <v>0</v>
      </c>
      <c r="AE1060" s="89" t="s">
        <v>68</v>
      </c>
      <c r="AF1060" s="89"/>
      <c r="AG1060" s="89" t="s">
        <v>352</v>
      </c>
      <c r="AH1060" s="72" t="s">
        <v>68</v>
      </c>
      <c r="AI1060" s="30">
        <v>6</v>
      </c>
      <c r="AJ1060" s="89" t="s">
        <v>5950</v>
      </c>
      <c r="AK1060" s="89" t="s">
        <v>5951</v>
      </c>
      <c r="AL1060" s="91">
        <v>40666</v>
      </c>
      <c r="AM1060" s="91"/>
      <c r="AN1060" s="91"/>
      <c r="AO1060" s="91"/>
      <c r="AP1060" s="73" t="e">
        <f>MID(VLOOKUP(K1060,#REF!,2,FALSE),1,2)</f>
        <v>#REF!</v>
      </c>
      <c r="AQ1060" s="89">
        <f>DATE(2011,4,10)</f>
        <v>40643</v>
      </c>
      <c r="AR1060" s="82">
        <f t="shared" si="70"/>
        <v>10</v>
      </c>
      <c r="AS1060" s="83">
        <f t="shared" si="71"/>
        <v>4</v>
      </c>
      <c r="AT1060" s="84">
        <f t="shared" si="72"/>
        <v>2011</v>
      </c>
      <c r="AU1060" s="86"/>
      <c r="AV1060" s="86"/>
      <c r="AW1060" s="87"/>
      <c r="AX1060" s="86"/>
      <c r="AY1060" s="83"/>
      <c r="AZ1060" s="84"/>
      <c r="BA1060" s="86"/>
      <c r="BB1060" s="86"/>
    </row>
    <row r="1061" spans="1:54" ht="36.75" customHeight="1">
      <c r="A1061" s="30"/>
      <c r="B1061" s="30" t="s">
        <v>55</v>
      </c>
      <c r="C1061" s="69" t="str">
        <f t="shared" si="69"/>
        <v>Closed</v>
      </c>
      <c r="D1061" s="27" t="s">
        <v>5952</v>
      </c>
      <c r="E1061" s="29" t="s">
        <v>5953</v>
      </c>
      <c r="F1061" s="30" t="s">
        <v>1572</v>
      </c>
      <c r="G1061" s="89">
        <f>DATE(2011,4,18)</f>
        <v>40651</v>
      </c>
      <c r="H1061" s="90">
        <v>1.9770833333333333</v>
      </c>
      <c r="I1061" s="30" t="s">
        <v>73</v>
      </c>
      <c r="J1061" s="89" t="s">
        <v>5954</v>
      </c>
      <c r="K1061" s="30" t="s">
        <v>1574</v>
      </c>
      <c r="L1061" s="30" t="s">
        <v>5955</v>
      </c>
      <c r="M1061" s="30" t="s">
        <v>63</v>
      </c>
      <c r="N1061" s="30" t="s">
        <v>142</v>
      </c>
      <c r="O1061" s="30" t="s">
        <v>77</v>
      </c>
      <c r="P1061" s="89" t="s">
        <v>65</v>
      </c>
      <c r="Q1061" s="89" t="s">
        <v>2413</v>
      </c>
      <c r="R1061" s="89">
        <v>0</v>
      </c>
      <c r="S1061" s="30">
        <v>0</v>
      </c>
      <c r="T1061" s="233">
        <v>0</v>
      </c>
      <c r="U1061" s="30">
        <v>0</v>
      </c>
      <c r="V1061" s="233">
        <v>0</v>
      </c>
      <c r="W1061" s="30">
        <v>0</v>
      </c>
      <c r="X1061" s="30">
        <v>0</v>
      </c>
      <c r="Y1061" s="30">
        <v>0</v>
      </c>
      <c r="Z1061" s="233">
        <v>0</v>
      </c>
      <c r="AA1061" s="30">
        <v>0</v>
      </c>
      <c r="AB1061" s="30">
        <v>0</v>
      </c>
      <c r="AC1061" s="30">
        <v>0</v>
      </c>
      <c r="AD1061" s="30">
        <v>0</v>
      </c>
      <c r="AE1061" s="89" t="s">
        <v>92</v>
      </c>
      <c r="AF1061" s="89"/>
      <c r="AG1061" s="89" t="s">
        <v>133</v>
      </c>
      <c r="AH1061" s="72" t="s">
        <v>68</v>
      </c>
      <c r="AI1061" s="30">
        <v>1</v>
      </c>
      <c r="AJ1061" s="89" t="s">
        <v>5956</v>
      </c>
      <c r="AK1061" s="89" t="s">
        <v>5957</v>
      </c>
      <c r="AL1061" s="91">
        <v>40661</v>
      </c>
      <c r="AM1061" s="91"/>
      <c r="AN1061" s="91"/>
      <c r="AO1061" s="91"/>
      <c r="AP1061" s="73" t="e">
        <f>MID(VLOOKUP(K1061,#REF!,2,FALSE),1,2)</f>
        <v>#REF!</v>
      </c>
      <c r="AQ1061" s="89">
        <f>DATE(2011,4,18)</f>
        <v>40651</v>
      </c>
      <c r="AR1061" s="82">
        <f t="shared" si="70"/>
        <v>18</v>
      </c>
      <c r="AS1061" s="83">
        <f t="shared" si="71"/>
        <v>4</v>
      </c>
      <c r="AT1061" s="84">
        <f t="shared" si="72"/>
        <v>2011</v>
      </c>
      <c r="AU1061" s="86"/>
      <c r="AV1061" s="86"/>
      <c r="AW1061" s="87"/>
      <c r="AX1061" s="86"/>
      <c r="AY1061" s="83"/>
      <c r="AZ1061" s="84"/>
      <c r="BA1061" s="86"/>
      <c r="BB1061" s="86"/>
    </row>
    <row r="1062" spans="1:54" ht="36.75" customHeight="1">
      <c r="A1062" s="30"/>
      <c r="B1062" s="30" t="s">
        <v>2124</v>
      </c>
      <c r="C1062" s="69" t="str">
        <f t="shared" si="69"/>
        <v>Open</v>
      </c>
      <c r="D1062" s="27" t="s">
        <v>5958</v>
      </c>
      <c r="E1062" s="29" t="s">
        <v>5959</v>
      </c>
      <c r="F1062" s="30" t="s">
        <v>5683</v>
      </c>
      <c r="G1062" s="89">
        <f>DATE(2011,4,19)</f>
        <v>40652</v>
      </c>
      <c r="H1062" s="90">
        <v>1.5868055555555556</v>
      </c>
      <c r="I1062" s="30" t="s">
        <v>278</v>
      </c>
      <c r="J1062" s="89" t="s">
        <v>5960</v>
      </c>
      <c r="K1062" s="30" t="s">
        <v>5685</v>
      </c>
      <c r="L1062" s="30" t="s">
        <v>5961</v>
      </c>
      <c r="M1062" s="30" t="s">
        <v>63</v>
      </c>
      <c r="N1062" s="30">
        <v>0</v>
      </c>
      <c r="O1062" s="30" t="s">
        <v>90</v>
      </c>
      <c r="P1062" s="89" t="s">
        <v>78</v>
      </c>
      <c r="Q1062" s="89" t="s">
        <v>5687</v>
      </c>
      <c r="R1062" s="89" t="s">
        <v>5688</v>
      </c>
      <c r="S1062" s="30">
        <v>0</v>
      </c>
      <c r="T1062" s="233">
        <v>0</v>
      </c>
      <c r="U1062" s="30">
        <v>0</v>
      </c>
      <c r="V1062" s="233">
        <v>1</v>
      </c>
      <c r="W1062" s="30">
        <v>0</v>
      </c>
      <c r="X1062" s="30">
        <v>1</v>
      </c>
      <c r="Y1062" s="30">
        <v>0</v>
      </c>
      <c r="Z1062" s="233">
        <v>0</v>
      </c>
      <c r="AA1062" s="30">
        <v>0</v>
      </c>
      <c r="AB1062" s="30">
        <v>0</v>
      </c>
      <c r="AC1062" s="30">
        <v>0</v>
      </c>
      <c r="AD1062" s="30">
        <v>0</v>
      </c>
      <c r="AE1062" s="89" t="s">
        <v>68</v>
      </c>
      <c r="AF1062" s="89"/>
      <c r="AG1062" s="89" t="s">
        <v>82</v>
      </c>
      <c r="AH1062" s="72" t="s">
        <v>68</v>
      </c>
      <c r="AI1062" s="30">
        <v>0</v>
      </c>
      <c r="AJ1062" s="89" t="s">
        <v>68</v>
      </c>
      <c r="AK1062" s="89" t="s">
        <v>68</v>
      </c>
      <c r="AL1062" s="91">
        <v>40883</v>
      </c>
      <c r="AM1062" s="91"/>
      <c r="AN1062" s="91"/>
      <c r="AO1062" s="91"/>
      <c r="AP1062" s="73" t="e">
        <f>MID(VLOOKUP(K1062,#REF!,2,FALSE),1,2)</f>
        <v>#REF!</v>
      </c>
      <c r="AQ1062" s="89">
        <f>DATE(2011,4,19)</f>
        <v>40652</v>
      </c>
      <c r="AR1062" s="82">
        <f t="shared" si="70"/>
        <v>19</v>
      </c>
      <c r="AS1062" s="83">
        <f t="shared" si="71"/>
        <v>4</v>
      </c>
      <c r="AT1062" s="84">
        <f t="shared" si="72"/>
        <v>2011</v>
      </c>
      <c r="AU1062" s="86"/>
      <c r="AV1062" s="86"/>
      <c r="AW1062" s="87"/>
      <c r="AX1062" s="86"/>
      <c r="AY1062" s="83"/>
      <c r="AZ1062" s="84"/>
      <c r="BA1062" s="86"/>
      <c r="BB1062" s="86"/>
    </row>
    <row r="1063" spans="1:54" ht="36.75" customHeight="1">
      <c r="A1063" s="30"/>
      <c r="B1063" s="30" t="s">
        <v>55</v>
      </c>
      <c r="C1063" s="69" t="str">
        <f t="shared" si="69"/>
        <v>Closed</v>
      </c>
      <c r="D1063" s="27" t="s">
        <v>5962</v>
      </c>
      <c r="E1063" s="29" t="s">
        <v>5963</v>
      </c>
      <c r="F1063" s="30" t="s">
        <v>835</v>
      </c>
      <c r="G1063" s="89">
        <f>DATE(2011,4,20)</f>
        <v>40653</v>
      </c>
      <c r="H1063" s="90">
        <v>1.8729166666666668</v>
      </c>
      <c r="I1063" s="30" t="s">
        <v>278</v>
      </c>
      <c r="J1063" s="89" t="s">
        <v>5964</v>
      </c>
      <c r="K1063" s="30" t="s">
        <v>837</v>
      </c>
      <c r="L1063" s="30" t="s">
        <v>5965</v>
      </c>
      <c r="M1063" s="30" t="s">
        <v>63</v>
      </c>
      <c r="N1063" s="30" t="s">
        <v>142</v>
      </c>
      <c r="O1063" s="30" t="s">
        <v>77</v>
      </c>
      <c r="P1063" s="89" t="s">
        <v>165</v>
      </c>
      <c r="Q1063" s="89" t="s">
        <v>2162</v>
      </c>
      <c r="R1063" s="89" t="s">
        <v>840</v>
      </c>
      <c r="S1063" s="30">
        <v>0</v>
      </c>
      <c r="T1063" s="233">
        <v>0</v>
      </c>
      <c r="U1063" s="30">
        <v>0</v>
      </c>
      <c r="V1063" s="233">
        <v>0</v>
      </c>
      <c r="W1063" s="30">
        <v>0</v>
      </c>
      <c r="X1063" s="30">
        <v>0</v>
      </c>
      <c r="Y1063" s="30">
        <v>1</v>
      </c>
      <c r="Z1063" s="233">
        <v>0</v>
      </c>
      <c r="AA1063" s="30">
        <v>0</v>
      </c>
      <c r="AB1063" s="30">
        <v>0</v>
      </c>
      <c r="AC1063" s="30">
        <v>0</v>
      </c>
      <c r="AD1063" s="30">
        <v>1</v>
      </c>
      <c r="AE1063" s="89" t="s">
        <v>92</v>
      </c>
      <c r="AF1063" s="89"/>
      <c r="AG1063" s="89" t="s">
        <v>352</v>
      </c>
      <c r="AH1063" s="72" t="s">
        <v>68</v>
      </c>
      <c r="AI1063" s="30">
        <v>0</v>
      </c>
      <c r="AJ1063" s="89" t="s">
        <v>5966</v>
      </c>
      <c r="AK1063" s="89" t="s">
        <v>68</v>
      </c>
      <c r="AL1063" s="91">
        <v>40992</v>
      </c>
      <c r="AM1063" s="91"/>
      <c r="AN1063" s="91"/>
      <c r="AO1063" s="91"/>
      <c r="AP1063" s="73" t="e">
        <f>MID(VLOOKUP(K1063,#REF!,2,FALSE),1,2)</f>
        <v>#REF!</v>
      </c>
      <c r="AQ1063" s="89">
        <f>DATE(2011,4,20)</f>
        <v>40653</v>
      </c>
      <c r="AR1063" s="82">
        <f t="shared" si="70"/>
        <v>20</v>
      </c>
      <c r="AS1063" s="83">
        <f t="shared" si="71"/>
        <v>4</v>
      </c>
      <c r="AT1063" s="84">
        <f t="shared" si="72"/>
        <v>2011</v>
      </c>
      <c r="AU1063" s="86"/>
      <c r="AV1063" s="86"/>
      <c r="AW1063" s="87"/>
      <c r="AX1063" s="86"/>
      <c r="AY1063" s="83"/>
      <c r="AZ1063" s="84"/>
      <c r="BA1063" s="86"/>
      <c r="BB1063" s="86"/>
    </row>
    <row r="1064" spans="1:54" ht="36.75" customHeight="1">
      <c r="A1064" s="30"/>
      <c r="B1064" s="30" t="s">
        <v>55</v>
      </c>
      <c r="C1064" s="69" t="str">
        <f t="shared" si="69"/>
        <v>Closed</v>
      </c>
      <c r="D1064" s="27" t="s">
        <v>5967</v>
      </c>
      <c r="E1064" s="29" t="s">
        <v>5968</v>
      </c>
      <c r="F1064" s="30" t="s">
        <v>233</v>
      </c>
      <c r="G1064" s="89">
        <f>DATE(2011,4,20)</f>
        <v>40653</v>
      </c>
      <c r="H1064" s="90">
        <v>1.5625</v>
      </c>
      <c r="I1064" s="30" t="s">
        <v>156</v>
      </c>
      <c r="J1064" s="89" t="s">
        <v>5969</v>
      </c>
      <c r="K1064" s="30" t="s">
        <v>235</v>
      </c>
      <c r="L1064" s="30" t="s">
        <v>5970</v>
      </c>
      <c r="M1064" s="30" t="s">
        <v>255</v>
      </c>
      <c r="N1064" s="30">
        <v>0</v>
      </c>
      <c r="O1064" s="30" t="s">
        <v>64</v>
      </c>
      <c r="P1064" s="89" t="s">
        <v>86</v>
      </c>
      <c r="Q1064" s="89" t="s">
        <v>788</v>
      </c>
      <c r="R1064" s="89" t="s">
        <v>788</v>
      </c>
      <c r="S1064" s="30">
        <v>0</v>
      </c>
      <c r="T1064" s="233">
        <v>0</v>
      </c>
      <c r="U1064" s="30">
        <v>0</v>
      </c>
      <c r="V1064" s="233">
        <v>0</v>
      </c>
      <c r="W1064" s="30">
        <v>0</v>
      </c>
      <c r="X1064" s="30">
        <v>0</v>
      </c>
      <c r="Y1064" s="30">
        <v>0</v>
      </c>
      <c r="Z1064" s="233">
        <v>0</v>
      </c>
      <c r="AA1064" s="30">
        <v>0</v>
      </c>
      <c r="AB1064" s="30">
        <v>0</v>
      </c>
      <c r="AC1064" s="30">
        <v>0</v>
      </c>
      <c r="AD1064" s="30">
        <v>0</v>
      </c>
      <c r="AE1064" s="89" t="s">
        <v>68</v>
      </c>
      <c r="AF1064" s="89"/>
      <c r="AG1064" s="89" t="s">
        <v>133</v>
      </c>
      <c r="AH1064" s="72" t="s">
        <v>68</v>
      </c>
      <c r="AI1064" s="30">
        <v>7</v>
      </c>
      <c r="AJ1064" s="89" t="s">
        <v>5971</v>
      </c>
      <c r="AK1064" s="89" t="s">
        <v>5972</v>
      </c>
      <c r="AL1064" s="91">
        <v>40666</v>
      </c>
      <c r="AM1064" s="91"/>
      <c r="AN1064" s="91"/>
      <c r="AO1064" s="91"/>
      <c r="AP1064" s="73" t="e">
        <f>MID(VLOOKUP(K1064,#REF!,2,FALSE),1,2)</f>
        <v>#REF!</v>
      </c>
      <c r="AQ1064" s="89">
        <f>DATE(2011,4,20)</f>
        <v>40653</v>
      </c>
      <c r="AR1064" s="82">
        <f t="shared" si="70"/>
        <v>20</v>
      </c>
      <c r="AS1064" s="83">
        <f t="shared" si="71"/>
        <v>4</v>
      </c>
      <c r="AT1064" s="84">
        <f t="shared" si="72"/>
        <v>2011</v>
      </c>
      <c r="AU1064" s="86"/>
      <c r="AV1064" s="86"/>
      <c r="AW1064" s="87"/>
      <c r="AX1064" s="86"/>
      <c r="AY1064" s="83"/>
      <c r="AZ1064" s="84"/>
      <c r="BA1064" s="86"/>
      <c r="BB1064" s="86"/>
    </row>
    <row r="1065" spans="1:54" ht="36.75" customHeight="1">
      <c r="A1065" s="30"/>
      <c r="B1065" s="30" t="s">
        <v>55</v>
      </c>
      <c r="C1065" s="69" t="str">
        <f t="shared" si="69"/>
        <v>Closed</v>
      </c>
      <c r="D1065" s="27" t="s">
        <v>5973</v>
      </c>
      <c r="E1065" s="29" t="s">
        <v>5974</v>
      </c>
      <c r="F1065" s="30" t="s">
        <v>423</v>
      </c>
      <c r="G1065" s="89">
        <f>DATE(2011,4,21)</f>
        <v>40654</v>
      </c>
      <c r="H1065" s="90">
        <v>1.5173611111111112</v>
      </c>
      <c r="I1065" s="30" t="s">
        <v>278</v>
      </c>
      <c r="J1065" s="89" t="s">
        <v>5975</v>
      </c>
      <c r="K1065" s="30" t="s">
        <v>425</v>
      </c>
      <c r="L1065" s="30" t="s">
        <v>5976</v>
      </c>
      <c r="M1065" s="30" t="s">
        <v>255</v>
      </c>
      <c r="N1065" s="30">
        <v>0</v>
      </c>
      <c r="O1065" s="30" t="s">
        <v>86</v>
      </c>
      <c r="P1065" s="89" t="s">
        <v>86</v>
      </c>
      <c r="Q1065" s="89" t="s">
        <v>1343</v>
      </c>
      <c r="R1065" s="89" t="s">
        <v>1343</v>
      </c>
      <c r="S1065" s="30">
        <v>1</v>
      </c>
      <c r="T1065" s="233">
        <v>0</v>
      </c>
      <c r="U1065" s="30">
        <v>0</v>
      </c>
      <c r="V1065" s="233">
        <v>0</v>
      </c>
      <c r="W1065" s="30">
        <v>0</v>
      </c>
      <c r="X1065" s="30">
        <v>1</v>
      </c>
      <c r="Y1065" s="30">
        <v>0</v>
      </c>
      <c r="Z1065" s="233">
        <v>0</v>
      </c>
      <c r="AA1065" s="30">
        <v>0</v>
      </c>
      <c r="AB1065" s="30">
        <v>0</v>
      </c>
      <c r="AC1065" s="30">
        <v>0</v>
      </c>
      <c r="AD1065" s="30">
        <v>0</v>
      </c>
      <c r="AE1065" s="89" t="s">
        <v>68</v>
      </c>
      <c r="AF1065" s="89"/>
      <c r="AG1065" s="89" t="s">
        <v>367</v>
      </c>
      <c r="AH1065" s="72" t="s">
        <v>68</v>
      </c>
      <c r="AI1065" s="30">
        <v>3</v>
      </c>
      <c r="AJ1065" s="89" t="s">
        <v>4774</v>
      </c>
      <c r="AK1065" s="89" t="s">
        <v>879</v>
      </c>
      <c r="AL1065" s="91">
        <v>40665</v>
      </c>
      <c r="AM1065" s="91"/>
      <c r="AN1065" s="91"/>
      <c r="AO1065" s="91"/>
      <c r="AP1065" s="73" t="e">
        <f>MID(VLOOKUP(K1065,#REF!,2,FALSE),1,2)</f>
        <v>#REF!</v>
      </c>
      <c r="AQ1065" s="89">
        <f>DATE(2011,4,21)</f>
        <v>40654</v>
      </c>
      <c r="AR1065" s="82">
        <f t="shared" si="70"/>
        <v>21</v>
      </c>
      <c r="AS1065" s="83">
        <f t="shared" si="71"/>
        <v>4</v>
      </c>
      <c r="AT1065" s="84">
        <f t="shared" si="72"/>
        <v>2011</v>
      </c>
      <c r="AU1065" s="86"/>
      <c r="AV1065" s="86"/>
      <c r="AW1065" s="87"/>
      <c r="AX1065" s="86"/>
      <c r="AY1065" s="83"/>
      <c r="AZ1065" s="84"/>
      <c r="BA1065" s="86"/>
      <c r="BB1065" s="86"/>
    </row>
    <row r="1066" spans="1:54" ht="36.75" customHeight="1">
      <c r="A1066" s="30"/>
      <c r="B1066" s="30" t="s">
        <v>2124</v>
      </c>
      <c r="C1066" s="69" t="str">
        <f t="shared" si="69"/>
        <v>Open</v>
      </c>
      <c r="D1066" s="27" t="s">
        <v>5977</v>
      </c>
      <c r="E1066" s="29" t="s">
        <v>5978</v>
      </c>
      <c r="F1066" s="30" t="s">
        <v>5683</v>
      </c>
      <c r="G1066" s="89">
        <f>DATE(2011,4,21)</f>
        <v>40654</v>
      </c>
      <c r="H1066" s="90">
        <v>1.3263888888888888</v>
      </c>
      <c r="I1066" s="30" t="s">
        <v>116</v>
      </c>
      <c r="J1066" s="89" t="s">
        <v>5979</v>
      </c>
      <c r="K1066" s="30" t="s">
        <v>5685</v>
      </c>
      <c r="L1066" s="30" t="s">
        <v>5980</v>
      </c>
      <c r="M1066" s="30" t="s">
        <v>63</v>
      </c>
      <c r="N1066" s="30">
        <v>0</v>
      </c>
      <c r="O1066" s="30" t="s">
        <v>64</v>
      </c>
      <c r="P1066" s="89" t="s">
        <v>165</v>
      </c>
      <c r="Q1066" s="89" t="s">
        <v>5687</v>
      </c>
      <c r="R1066" s="89" t="s">
        <v>5688</v>
      </c>
      <c r="S1066" s="30">
        <v>0</v>
      </c>
      <c r="T1066" s="233">
        <v>0</v>
      </c>
      <c r="U1066" s="30">
        <v>1</v>
      </c>
      <c r="V1066" s="233">
        <v>0</v>
      </c>
      <c r="W1066" s="30">
        <v>0</v>
      </c>
      <c r="X1066" s="30">
        <v>1</v>
      </c>
      <c r="Y1066" s="30">
        <v>0</v>
      </c>
      <c r="Z1066" s="233">
        <v>0</v>
      </c>
      <c r="AA1066" s="30">
        <v>0</v>
      </c>
      <c r="AB1066" s="30">
        <v>0</v>
      </c>
      <c r="AC1066" s="30">
        <v>0</v>
      </c>
      <c r="AD1066" s="30">
        <v>0</v>
      </c>
      <c r="AE1066" s="89" t="s">
        <v>68</v>
      </c>
      <c r="AF1066" s="89"/>
      <c r="AG1066" s="89" t="s">
        <v>82</v>
      </c>
      <c r="AH1066" s="72" t="s">
        <v>68</v>
      </c>
      <c r="AI1066" s="30">
        <v>0</v>
      </c>
      <c r="AJ1066" s="89" t="s">
        <v>68</v>
      </c>
      <c r="AK1066" s="89" t="s">
        <v>68</v>
      </c>
      <c r="AL1066" s="91">
        <v>40883</v>
      </c>
      <c r="AM1066" s="91"/>
      <c r="AN1066" s="91"/>
      <c r="AO1066" s="91"/>
      <c r="AP1066" s="73" t="e">
        <f>MID(VLOOKUP(K1066,#REF!,2,FALSE),1,2)</f>
        <v>#REF!</v>
      </c>
      <c r="AQ1066" s="89">
        <f>DATE(2011,4,21)</f>
        <v>40654</v>
      </c>
      <c r="AR1066" s="82">
        <f t="shared" si="70"/>
        <v>21</v>
      </c>
      <c r="AS1066" s="83">
        <f t="shared" si="71"/>
        <v>4</v>
      </c>
      <c r="AT1066" s="84">
        <f t="shared" si="72"/>
        <v>2011</v>
      </c>
      <c r="AU1066" s="86"/>
      <c r="AV1066" s="86"/>
      <c r="AW1066" s="87"/>
      <c r="AX1066" s="86"/>
      <c r="AY1066" s="83"/>
      <c r="AZ1066" s="84"/>
      <c r="BA1066" s="86"/>
      <c r="BB1066" s="86"/>
    </row>
    <row r="1067" spans="1:54" ht="36.75" customHeight="1">
      <c r="A1067" s="30"/>
      <c r="B1067" s="30" t="s">
        <v>55</v>
      </c>
      <c r="C1067" s="69" t="str">
        <f t="shared" si="69"/>
        <v>Closed</v>
      </c>
      <c r="D1067" s="27" t="s">
        <v>5981</v>
      </c>
      <c r="E1067" s="29" t="s">
        <v>5982</v>
      </c>
      <c r="F1067" s="30" t="s">
        <v>638</v>
      </c>
      <c r="G1067" s="89">
        <f>DATE(2011,4,23)</f>
        <v>40656</v>
      </c>
      <c r="H1067" s="90">
        <v>1.3944444444444444</v>
      </c>
      <c r="I1067" s="30" t="s">
        <v>73</v>
      </c>
      <c r="J1067" s="89" t="s">
        <v>5983</v>
      </c>
      <c r="K1067" s="30" t="s">
        <v>640</v>
      </c>
      <c r="L1067" s="30" t="s">
        <v>5984</v>
      </c>
      <c r="M1067" s="30" t="s">
        <v>63</v>
      </c>
      <c r="N1067" s="30">
        <v>0</v>
      </c>
      <c r="O1067" s="30" t="s">
        <v>64</v>
      </c>
      <c r="P1067" s="89" t="s">
        <v>165</v>
      </c>
      <c r="Q1067" s="89" t="s">
        <v>642</v>
      </c>
      <c r="R1067" s="89" t="s">
        <v>643</v>
      </c>
      <c r="S1067" s="30">
        <v>0</v>
      </c>
      <c r="T1067" s="233" t="s">
        <v>68</v>
      </c>
      <c r="U1067" s="30">
        <v>0</v>
      </c>
      <c r="V1067" s="233" t="s">
        <v>68</v>
      </c>
      <c r="W1067" s="30">
        <v>0</v>
      </c>
      <c r="X1067" s="30">
        <v>0</v>
      </c>
      <c r="Y1067" s="30">
        <v>0</v>
      </c>
      <c r="Z1067" s="233" t="s">
        <v>68</v>
      </c>
      <c r="AA1067" s="30">
        <v>0</v>
      </c>
      <c r="AB1067" s="30">
        <v>0</v>
      </c>
      <c r="AC1067" s="30">
        <v>0</v>
      </c>
      <c r="AD1067" s="30">
        <v>0</v>
      </c>
      <c r="AE1067" s="89" t="s">
        <v>68</v>
      </c>
      <c r="AF1067" s="89"/>
      <c r="AG1067" s="89" t="s">
        <v>352</v>
      </c>
      <c r="AH1067" s="72" t="s">
        <v>68</v>
      </c>
      <c r="AI1067" s="30">
        <v>3</v>
      </c>
      <c r="AJ1067" s="89" t="s">
        <v>5985</v>
      </c>
      <c r="AK1067" s="89" t="s">
        <v>68</v>
      </c>
      <c r="AL1067" s="91">
        <v>40674</v>
      </c>
      <c r="AM1067" s="91"/>
      <c r="AN1067" s="91"/>
      <c r="AO1067" s="91"/>
      <c r="AP1067" s="73" t="e">
        <f>MID(VLOOKUP(K1067,#REF!,2,FALSE),1,2)</f>
        <v>#REF!</v>
      </c>
      <c r="AQ1067" s="89">
        <f>DATE(2011,4,23)</f>
        <v>40656</v>
      </c>
      <c r="AR1067" s="82">
        <f t="shared" si="70"/>
        <v>23</v>
      </c>
      <c r="AS1067" s="83">
        <f t="shared" si="71"/>
        <v>4</v>
      </c>
      <c r="AT1067" s="84">
        <f t="shared" si="72"/>
        <v>2011</v>
      </c>
      <c r="AU1067" s="86"/>
      <c r="AV1067" s="86"/>
      <c r="AW1067" s="87"/>
      <c r="AX1067" s="86"/>
      <c r="AY1067" s="83"/>
      <c r="AZ1067" s="84"/>
      <c r="BA1067" s="86"/>
      <c r="BB1067" s="86"/>
    </row>
    <row r="1068" spans="1:54" ht="36.75" customHeight="1">
      <c r="A1068" s="30"/>
      <c r="B1068" s="30" t="s">
        <v>55</v>
      </c>
      <c r="C1068" s="69" t="str">
        <f t="shared" si="69"/>
        <v>Closed</v>
      </c>
      <c r="D1068" s="27" t="s">
        <v>5986</v>
      </c>
      <c r="E1068" s="29" t="s">
        <v>5987</v>
      </c>
      <c r="F1068" s="30" t="s">
        <v>638</v>
      </c>
      <c r="G1068" s="89">
        <f>DATE(2011,4,28)</f>
        <v>40661</v>
      </c>
      <c r="H1068" s="90">
        <v>1.4090277777777778</v>
      </c>
      <c r="I1068" s="30" t="s">
        <v>198</v>
      </c>
      <c r="J1068" s="89" t="s">
        <v>5988</v>
      </c>
      <c r="K1068" s="30" t="s">
        <v>640</v>
      </c>
      <c r="L1068" s="30" t="s">
        <v>5989</v>
      </c>
      <c r="M1068" s="30" t="s">
        <v>63</v>
      </c>
      <c r="N1068" s="30">
        <v>0</v>
      </c>
      <c r="O1068" s="30" t="s">
        <v>77</v>
      </c>
      <c r="P1068" s="89" t="s">
        <v>86</v>
      </c>
      <c r="Q1068" s="89" t="s">
        <v>642</v>
      </c>
      <c r="R1068" s="89" t="s">
        <v>643</v>
      </c>
      <c r="S1068" s="30">
        <v>0</v>
      </c>
      <c r="T1068" s="233" t="s">
        <v>68</v>
      </c>
      <c r="U1068" s="30">
        <v>0</v>
      </c>
      <c r="V1068" s="233" t="s">
        <v>68</v>
      </c>
      <c r="W1068" s="30">
        <v>0</v>
      </c>
      <c r="X1068" s="30">
        <v>0</v>
      </c>
      <c r="Y1068" s="30">
        <v>0</v>
      </c>
      <c r="Z1068" s="233" t="s">
        <v>68</v>
      </c>
      <c r="AA1068" s="30">
        <v>0</v>
      </c>
      <c r="AB1068" s="30">
        <v>0</v>
      </c>
      <c r="AC1068" s="30">
        <v>0</v>
      </c>
      <c r="AD1068" s="30">
        <v>0</v>
      </c>
      <c r="AE1068" s="89" t="s">
        <v>68</v>
      </c>
      <c r="AF1068" s="89"/>
      <c r="AG1068" s="89" t="s">
        <v>352</v>
      </c>
      <c r="AH1068" s="72" t="s">
        <v>68</v>
      </c>
      <c r="AI1068" s="30">
        <v>0</v>
      </c>
      <c r="AJ1068" s="89" t="s">
        <v>5990</v>
      </c>
      <c r="AK1068" s="89" t="s">
        <v>68</v>
      </c>
      <c r="AL1068" s="91">
        <v>40697</v>
      </c>
      <c r="AM1068" s="91"/>
      <c r="AN1068" s="91"/>
      <c r="AO1068" s="91"/>
      <c r="AP1068" s="73" t="e">
        <f>MID(VLOOKUP(K1068,#REF!,2,FALSE),1,2)</f>
        <v>#REF!</v>
      </c>
      <c r="AQ1068" s="89">
        <f>DATE(2011,4,28)</f>
        <v>40661</v>
      </c>
      <c r="AR1068" s="82">
        <f t="shared" si="70"/>
        <v>28</v>
      </c>
      <c r="AS1068" s="83">
        <f t="shared" si="71"/>
        <v>4</v>
      </c>
      <c r="AT1068" s="84">
        <f t="shared" si="72"/>
        <v>2011</v>
      </c>
      <c r="AU1068" s="86"/>
      <c r="AV1068" s="86"/>
      <c r="AW1068" s="87"/>
      <c r="AX1068" s="86"/>
      <c r="AY1068" s="83"/>
      <c r="AZ1068" s="84"/>
      <c r="BA1068" s="86"/>
      <c r="BB1068" s="86"/>
    </row>
    <row r="1069" spans="1:54" ht="36.75" customHeight="1">
      <c r="A1069" s="30"/>
      <c r="B1069" s="30" t="s">
        <v>55</v>
      </c>
      <c r="C1069" s="69" t="str">
        <f t="shared" si="69"/>
        <v>Closed</v>
      </c>
      <c r="D1069" s="27" t="s">
        <v>5991</v>
      </c>
      <c r="E1069" s="29" t="s">
        <v>5992</v>
      </c>
      <c r="F1069" s="30" t="s">
        <v>2336</v>
      </c>
      <c r="G1069" s="89">
        <f>DATE(2011,4,28)</f>
        <v>40661</v>
      </c>
      <c r="H1069" s="90">
        <v>1.7270833333333333</v>
      </c>
      <c r="I1069" s="30" t="s">
        <v>116</v>
      </c>
      <c r="J1069" s="89" t="s">
        <v>5993</v>
      </c>
      <c r="K1069" s="30" t="s">
        <v>2338</v>
      </c>
      <c r="L1069" s="30" t="s">
        <v>5994</v>
      </c>
      <c r="M1069" s="30" t="s">
        <v>63</v>
      </c>
      <c r="N1069" s="30">
        <v>0</v>
      </c>
      <c r="O1069" s="30" t="s">
        <v>64</v>
      </c>
      <c r="P1069" s="89" t="s">
        <v>65</v>
      </c>
      <c r="Q1069" s="89" t="s">
        <v>2945</v>
      </c>
      <c r="R1069" s="89" t="s">
        <v>2341</v>
      </c>
      <c r="S1069" s="30">
        <v>2</v>
      </c>
      <c r="T1069" s="233">
        <v>0</v>
      </c>
      <c r="U1069" s="30">
        <v>0</v>
      </c>
      <c r="V1069" s="233">
        <v>0</v>
      </c>
      <c r="W1069" s="30">
        <v>0</v>
      </c>
      <c r="X1069" s="30">
        <v>2</v>
      </c>
      <c r="Y1069" s="30">
        <v>12</v>
      </c>
      <c r="Z1069" s="233">
        <v>2</v>
      </c>
      <c r="AA1069" s="30">
        <v>1</v>
      </c>
      <c r="AB1069" s="30">
        <v>0</v>
      </c>
      <c r="AC1069" s="30">
        <v>0</v>
      </c>
      <c r="AD1069" s="30">
        <v>15</v>
      </c>
      <c r="AE1069" s="89" t="s">
        <v>68</v>
      </c>
      <c r="AF1069" s="89"/>
      <c r="AG1069" s="89" t="s">
        <v>133</v>
      </c>
      <c r="AH1069" s="72" t="s">
        <v>68</v>
      </c>
      <c r="AI1069" s="30">
        <v>2</v>
      </c>
      <c r="AJ1069" s="89" t="s">
        <v>5995</v>
      </c>
      <c r="AK1069" s="89" t="s">
        <v>5996</v>
      </c>
      <c r="AL1069" s="91">
        <v>40675</v>
      </c>
      <c r="AM1069" s="91"/>
      <c r="AN1069" s="91"/>
      <c r="AO1069" s="91"/>
      <c r="AP1069" s="73" t="e">
        <f>MID(VLOOKUP(K1069,#REF!,2,FALSE),1,2)</f>
        <v>#REF!</v>
      </c>
      <c r="AQ1069" s="89">
        <f>DATE(2011,4,28)</f>
        <v>40661</v>
      </c>
      <c r="AR1069" s="82">
        <f t="shared" si="70"/>
        <v>28</v>
      </c>
      <c r="AS1069" s="83">
        <f t="shared" si="71"/>
        <v>4</v>
      </c>
      <c r="AT1069" s="84">
        <f t="shared" si="72"/>
        <v>2011</v>
      </c>
      <c r="AU1069" s="86"/>
      <c r="AV1069" s="86"/>
      <c r="AW1069" s="87"/>
      <c r="AX1069" s="86"/>
      <c r="AY1069" s="83"/>
      <c r="AZ1069" s="84"/>
      <c r="BA1069" s="86"/>
      <c r="BB1069" s="86"/>
    </row>
    <row r="1070" spans="1:54" ht="36.75" customHeight="1">
      <c r="A1070" s="30"/>
      <c r="B1070" s="30" t="s">
        <v>2124</v>
      </c>
      <c r="C1070" s="69" t="str">
        <f t="shared" si="69"/>
        <v>Open</v>
      </c>
      <c r="D1070" s="27" t="s">
        <v>5997</v>
      </c>
      <c r="E1070" s="29" t="s">
        <v>5998</v>
      </c>
      <c r="F1070" s="30" t="s">
        <v>5683</v>
      </c>
      <c r="G1070" s="89">
        <f>DATE(2011,4,29)</f>
        <v>40662</v>
      </c>
      <c r="H1070" s="90">
        <v>1.8944444444444444</v>
      </c>
      <c r="I1070" s="30" t="s">
        <v>116</v>
      </c>
      <c r="J1070" s="89" t="s">
        <v>5999</v>
      </c>
      <c r="K1070" s="30" t="s">
        <v>5685</v>
      </c>
      <c r="L1070" s="30" t="s">
        <v>6000</v>
      </c>
      <c r="M1070" s="30" t="s">
        <v>63</v>
      </c>
      <c r="N1070" s="30">
        <v>0</v>
      </c>
      <c r="O1070" s="30" t="s">
        <v>64</v>
      </c>
      <c r="P1070" s="89" t="s">
        <v>65</v>
      </c>
      <c r="Q1070" s="89" t="s">
        <v>5687</v>
      </c>
      <c r="R1070" s="89" t="s">
        <v>5688</v>
      </c>
      <c r="S1070" s="30">
        <v>0</v>
      </c>
      <c r="T1070" s="233">
        <v>0</v>
      </c>
      <c r="U1070" s="30">
        <v>1</v>
      </c>
      <c r="V1070" s="233">
        <v>0</v>
      </c>
      <c r="W1070" s="30">
        <v>0</v>
      </c>
      <c r="X1070" s="30">
        <v>1</v>
      </c>
      <c r="Y1070" s="30">
        <v>0</v>
      </c>
      <c r="Z1070" s="233">
        <v>0</v>
      </c>
      <c r="AA1070" s="30">
        <v>0</v>
      </c>
      <c r="AB1070" s="30">
        <v>0</v>
      </c>
      <c r="AC1070" s="30">
        <v>0</v>
      </c>
      <c r="AD1070" s="30">
        <v>0</v>
      </c>
      <c r="AE1070" s="89" t="s">
        <v>68</v>
      </c>
      <c r="AF1070" s="89"/>
      <c r="AG1070" s="89" t="s">
        <v>82</v>
      </c>
      <c r="AH1070" s="72" t="s">
        <v>68</v>
      </c>
      <c r="AI1070" s="30">
        <v>0</v>
      </c>
      <c r="AJ1070" s="89" t="s">
        <v>68</v>
      </c>
      <c r="AK1070" s="89" t="s">
        <v>68</v>
      </c>
      <c r="AL1070" s="91">
        <v>40883</v>
      </c>
      <c r="AM1070" s="91"/>
      <c r="AN1070" s="91"/>
      <c r="AO1070" s="91"/>
      <c r="AP1070" s="73" t="e">
        <f>MID(VLOOKUP(K1070,#REF!,2,FALSE),1,2)</f>
        <v>#REF!</v>
      </c>
      <c r="AQ1070" s="89">
        <f>DATE(2011,4,29)</f>
        <v>40662</v>
      </c>
      <c r="AR1070" s="82">
        <f t="shared" si="70"/>
        <v>29</v>
      </c>
      <c r="AS1070" s="83">
        <f t="shared" si="71"/>
        <v>4</v>
      </c>
      <c r="AT1070" s="84">
        <f t="shared" si="72"/>
        <v>2011</v>
      </c>
      <c r="AU1070" s="86"/>
      <c r="AV1070" s="86"/>
      <c r="AW1070" s="87"/>
      <c r="AX1070" s="86"/>
      <c r="AY1070" s="83"/>
      <c r="AZ1070" s="84"/>
      <c r="BA1070" s="86"/>
      <c r="BB1070" s="86"/>
    </row>
    <row r="1071" spans="1:54" ht="36.75" customHeight="1">
      <c r="A1071" s="30"/>
      <c r="B1071" s="30" t="s">
        <v>55</v>
      </c>
      <c r="C1071" s="69" t="str">
        <f t="shared" si="69"/>
        <v>Closed</v>
      </c>
      <c r="D1071" s="27" t="s">
        <v>6001</v>
      </c>
      <c r="E1071" s="29" t="s">
        <v>6002</v>
      </c>
      <c r="F1071" s="30" t="s">
        <v>377</v>
      </c>
      <c r="G1071" s="89">
        <f>DATE(2011,5,8)</f>
        <v>40671</v>
      </c>
      <c r="H1071" s="90">
        <v>1.4305555555555556</v>
      </c>
      <c r="I1071" s="30" t="s">
        <v>431</v>
      </c>
      <c r="J1071" s="89" t="s">
        <v>6003</v>
      </c>
      <c r="K1071" s="30" t="s">
        <v>379</v>
      </c>
      <c r="L1071" s="30" t="s">
        <v>6004</v>
      </c>
      <c r="M1071" s="30" t="s">
        <v>63</v>
      </c>
      <c r="N1071" s="30" t="s">
        <v>99</v>
      </c>
      <c r="O1071" s="30" t="s">
        <v>64</v>
      </c>
      <c r="P1071" s="89" t="s">
        <v>86</v>
      </c>
      <c r="Q1071" s="89" t="s">
        <v>382</v>
      </c>
      <c r="R1071" s="89" t="s">
        <v>382</v>
      </c>
      <c r="S1071" s="30">
        <v>0</v>
      </c>
      <c r="T1071" s="233">
        <v>0</v>
      </c>
      <c r="U1071" s="30">
        <v>0</v>
      </c>
      <c r="V1071" s="233">
        <v>0</v>
      </c>
      <c r="W1071" s="30">
        <v>0</v>
      </c>
      <c r="X1071" s="30">
        <v>0</v>
      </c>
      <c r="Y1071" s="30">
        <v>0</v>
      </c>
      <c r="Z1071" s="233">
        <v>0</v>
      </c>
      <c r="AA1071" s="30">
        <v>0</v>
      </c>
      <c r="AB1071" s="30">
        <v>0</v>
      </c>
      <c r="AC1071" s="30">
        <v>0</v>
      </c>
      <c r="AD1071" s="30">
        <v>0</v>
      </c>
      <c r="AE1071" s="89" t="s">
        <v>68</v>
      </c>
      <c r="AF1071" s="89"/>
      <c r="AG1071" s="89" t="s">
        <v>1507</v>
      </c>
      <c r="AH1071" s="72">
        <v>40672</v>
      </c>
      <c r="AI1071" s="30">
        <v>2</v>
      </c>
      <c r="AJ1071" s="89" t="s">
        <v>6005</v>
      </c>
      <c r="AK1071" s="89" t="s">
        <v>6006</v>
      </c>
      <c r="AL1071" s="91">
        <v>40675</v>
      </c>
      <c r="AM1071" s="91"/>
      <c r="AN1071" s="91"/>
      <c r="AO1071" s="91"/>
      <c r="AP1071" s="73" t="e">
        <f>MID(VLOOKUP(K1071,#REF!,2,FALSE),1,2)</f>
        <v>#REF!</v>
      </c>
      <c r="AQ1071" s="89">
        <f>DATE(2011,5,8)</f>
        <v>40671</v>
      </c>
      <c r="AR1071" s="82">
        <f t="shared" si="70"/>
        <v>8</v>
      </c>
      <c r="AS1071" s="83">
        <f t="shared" si="71"/>
        <v>5</v>
      </c>
      <c r="AT1071" s="84">
        <f t="shared" si="72"/>
        <v>2011</v>
      </c>
      <c r="AU1071" s="86"/>
      <c r="AV1071" s="86"/>
      <c r="AW1071" s="87"/>
      <c r="AX1071" s="86"/>
      <c r="AY1071" s="83"/>
      <c r="AZ1071" s="84"/>
      <c r="BA1071" s="86"/>
      <c r="BB1071" s="86"/>
    </row>
    <row r="1072" spans="1:54" ht="36.75" customHeight="1">
      <c r="A1072" s="30"/>
      <c r="B1072" s="30" t="s">
        <v>55</v>
      </c>
      <c r="C1072" s="69" t="str">
        <f t="shared" si="69"/>
        <v>Closed</v>
      </c>
      <c r="D1072" s="27" t="s">
        <v>6007</v>
      </c>
      <c r="E1072" s="29" t="s">
        <v>6008</v>
      </c>
      <c r="F1072" s="30" t="s">
        <v>197</v>
      </c>
      <c r="G1072" s="89">
        <f>DATE(2011,5,10)</f>
        <v>40673</v>
      </c>
      <c r="H1072" s="90">
        <v>1.4375</v>
      </c>
      <c r="I1072" s="30" t="s">
        <v>73</v>
      </c>
      <c r="J1072" s="89" t="s">
        <v>6009</v>
      </c>
      <c r="K1072" s="30" t="s">
        <v>200</v>
      </c>
      <c r="L1072" s="30" t="s">
        <v>6010</v>
      </c>
      <c r="M1072" s="30" t="s">
        <v>63</v>
      </c>
      <c r="N1072" s="30" t="s">
        <v>99</v>
      </c>
      <c r="O1072" s="30" t="s">
        <v>77</v>
      </c>
      <c r="P1072" s="89" t="s">
        <v>165</v>
      </c>
      <c r="Q1072" s="89" t="s">
        <v>6011</v>
      </c>
      <c r="R1072" s="89" t="s">
        <v>6011</v>
      </c>
      <c r="S1072" s="30">
        <v>0</v>
      </c>
      <c r="T1072" s="233">
        <v>0</v>
      </c>
      <c r="U1072" s="30">
        <v>0</v>
      </c>
      <c r="V1072" s="233">
        <v>0</v>
      </c>
      <c r="W1072" s="30">
        <v>0</v>
      </c>
      <c r="X1072" s="30">
        <v>0</v>
      </c>
      <c r="Y1072" s="30">
        <v>0</v>
      </c>
      <c r="Z1072" s="233">
        <v>0</v>
      </c>
      <c r="AA1072" s="30">
        <v>0</v>
      </c>
      <c r="AB1072" s="30">
        <v>0</v>
      </c>
      <c r="AC1072" s="30">
        <v>0</v>
      </c>
      <c r="AD1072" s="30">
        <v>0</v>
      </c>
      <c r="AE1072" s="89" t="s">
        <v>68</v>
      </c>
      <c r="AF1072" s="89"/>
      <c r="AG1072" s="89" t="s">
        <v>133</v>
      </c>
      <c r="AH1072" s="72">
        <v>40691</v>
      </c>
      <c r="AI1072" s="30">
        <v>0</v>
      </c>
      <c r="AJ1072" s="89" t="s">
        <v>6012</v>
      </c>
      <c r="AK1072" s="89" t="s">
        <v>1233</v>
      </c>
      <c r="AL1072" s="91">
        <v>40756</v>
      </c>
      <c r="AM1072" s="91"/>
      <c r="AN1072" s="91"/>
      <c r="AO1072" s="91"/>
      <c r="AP1072" s="73" t="e">
        <f>MID(VLOOKUP(K1072,#REF!,2,FALSE),1,2)</f>
        <v>#REF!</v>
      </c>
      <c r="AQ1072" s="89">
        <f>DATE(2011,5,10)</f>
        <v>40673</v>
      </c>
      <c r="AR1072" s="82">
        <f t="shared" si="70"/>
        <v>10</v>
      </c>
      <c r="AS1072" s="83">
        <f t="shared" si="71"/>
        <v>5</v>
      </c>
      <c r="AT1072" s="84">
        <f t="shared" si="72"/>
        <v>2011</v>
      </c>
      <c r="AU1072" s="86"/>
      <c r="AV1072" s="86"/>
      <c r="AW1072" s="87"/>
      <c r="AX1072" s="86"/>
      <c r="AY1072" s="83"/>
      <c r="AZ1072" s="84"/>
      <c r="BA1072" s="86"/>
      <c r="BB1072" s="86"/>
    </row>
    <row r="1073" spans="1:54" ht="36.75" customHeight="1">
      <c r="A1073" s="30"/>
      <c r="B1073" s="30" t="s">
        <v>55</v>
      </c>
      <c r="C1073" s="69" t="str">
        <f t="shared" si="69"/>
        <v>Closed</v>
      </c>
      <c r="D1073" s="27" t="s">
        <v>6013</v>
      </c>
      <c r="E1073" s="29" t="s">
        <v>6014</v>
      </c>
      <c r="F1073" s="30" t="s">
        <v>835</v>
      </c>
      <c r="G1073" s="89">
        <f>DATE(2011,5,11)</f>
        <v>40674</v>
      </c>
      <c r="H1073" s="90">
        <v>1.0006944444444446</v>
      </c>
      <c r="I1073" s="30" t="s">
        <v>104</v>
      </c>
      <c r="J1073" s="89" t="s">
        <v>6015</v>
      </c>
      <c r="K1073" s="30" t="s">
        <v>837</v>
      </c>
      <c r="L1073" s="30" t="s">
        <v>6016</v>
      </c>
      <c r="M1073" s="30" t="s">
        <v>63</v>
      </c>
      <c r="N1073" s="30" t="s">
        <v>99</v>
      </c>
      <c r="O1073" s="30" t="s">
        <v>77</v>
      </c>
      <c r="P1073" s="89" t="s">
        <v>6017</v>
      </c>
      <c r="Q1073" s="89" t="s">
        <v>6018</v>
      </c>
      <c r="R1073" s="89" t="s">
        <v>840</v>
      </c>
      <c r="S1073" s="30">
        <v>0</v>
      </c>
      <c r="T1073" s="233">
        <v>0</v>
      </c>
      <c r="U1073" s="30">
        <v>0</v>
      </c>
      <c r="V1073" s="233">
        <v>0</v>
      </c>
      <c r="W1073" s="30">
        <v>0</v>
      </c>
      <c r="X1073" s="30">
        <v>0</v>
      </c>
      <c r="Y1073" s="30">
        <v>0</v>
      </c>
      <c r="Z1073" s="233">
        <v>0</v>
      </c>
      <c r="AA1073" s="30">
        <v>0</v>
      </c>
      <c r="AB1073" s="30">
        <v>0</v>
      </c>
      <c r="AC1073" s="30">
        <v>0</v>
      </c>
      <c r="AD1073" s="30">
        <v>0</v>
      </c>
      <c r="AE1073" s="89" t="s">
        <v>92</v>
      </c>
      <c r="AF1073" s="89"/>
      <c r="AG1073" s="89" t="s">
        <v>352</v>
      </c>
      <c r="AH1073" s="72">
        <v>40674</v>
      </c>
      <c r="AI1073" s="30">
        <v>0</v>
      </c>
      <c r="AJ1073" s="89" t="s">
        <v>6019</v>
      </c>
      <c r="AK1073" s="89" t="s">
        <v>68</v>
      </c>
      <c r="AL1073" s="91">
        <v>40674</v>
      </c>
      <c r="AM1073" s="91"/>
      <c r="AN1073" s="91"/>
      <c r="AO1073" s="91"/>
      <c r="AP1073" s="73" t="e">
        <f>MID(VLOOKUP(K1073,#REF!,2,FALSE),1,2)</f>
        <v>#REF!</v>
      </c>
      <c r="AQ1073" s="89">
        <f>DATE(2011,5,11)</f>
        <v>40674</v>
      </c>
      <c r="AR1073" s="82">
        <f t="shared" si="70"/>
        <v>11</v>
      </c>
      <c r="AS1073" s="83">
        <f t="shared" si="71"/>
        <v>5</v>
      </c>
      <c r="AT1073" s="84">
        <f t="shared" si="72"/>
        <v>2011</v>
      </c>
      <c r="AU1073" s="86"/>
      <c r="AV1073" s="86"/>
      <c r="AW1073" s="87"/>
      <c r="AX1073" s="86"/>
      <c r="AY1073" s="83"/>
      <c r="AZ1073" s="84"/>
      <c r="BA1073" s="86"/>
      <c r="BB1073" s="86"/>
    </row>
    <row r="1074" spans="1:54" ht="36.75" customHeight="1">
      <c r="A1074" s="30"/>
      <c r="B1074" s="30" t="s">
        <v>55</v>
      </c>
      <c r="C1074" s="69" t="str">
        <f t="shared" si="69"/>
        <v>Closed</v>
      </c>
      <c r="D1074" s="27" t="s">
        <v>6020</v>
      </c>
      <c r="E1074" s="29" t="s">
        <v>6021</v>
      </c>
      <c r="F1074" s="30" t="s">
        <v>1572</v>
      </c>
      <c r="G1074" s="89">
        <f>DATE(2011,5,11)</f>
        <v>40674</v>
      </c>
      <c r="H1074" s="90">
        <v>1.9375</v>
      </c>
      <c r="I1074" s="30" t="s">
        <v>125</v>
      </c>
      <c r="J1074" s="89" t="s">
        <v>6022</v>
      </c>
      <c r="K1074" s="30" t="s">
        <v>1574</v>
      </c>
      <c r="L1074" s="30" t="s">
        <v>6023</v>
      </c>
      <c r="M1074" s="30" t="s">
        <v>63</v>
      </c>
      <c r="N1074" s="30" t="s">
        <v>142</v>
      </c>
      <c r="O1074" s="30" t="s">
        <v>64</v>
      </c>
      <c r="P1074" s="89" t="s">
        <v>78</v>
      </c>
      <c r="Q1074" s="89" t="s">
        <v>6024</v>
      </c>
      <c r="R1074" s="89">
        <v>0</v>
      </c>
      <c r="S1074" s="30">
        <v>0</v>
      </c>
      <c r="T1074" s="233">
        <v>0</v>
      </c>
      <c r="U1074" s="30">
        <v>0</v>
      </c>
      <c r="V1074" s="233">
        <v>0</v>
      </c>
      <c r="W1074" s="30">
        <v>0</v>
      </c>
      <c r="X1074" s="30">
        <v>0</v>
      </c>
      <c r="Y1074" s="30">
        <v>0</v>
      </c>
      <c r="Z1074" s="233">
        <v>0</v>
      </c>
      <c r="AA1074" s="30">
        <v>0</v>
      </c>
      <c r="AB1074" s="30">
        <v>0</v>
      </c>
      <c r="AC1074" s="30">
        <v>0</v>
      </c>
      <c r="AD1074" s="30">
        <v>0</v>
      </c>
      <c r="AE1074" s="89" t="s">
        <v>394</v>
      </c>
      <c r="AF1074" s="89"/>
      <c r="AG1074" s="89" t="s">
        <v>133</v>
      </c>
      <c r="AH1074" s="72">
        <v>40675</v>
      </c>
      <c r="AI1074" s="30">
        <v>3</v>
      </c>
      <c r="AJ1074" s="89" t="s">
        <v>6025</v>
      </c>
      <c r="AK1074" s="89" t="s">
        <v>6026</v>
      </c>
      <c r="AL1074" s="91">
        <v>40680</v>
      </c>
      <c r="AM1074" s="91"/>
      <c r="AN1074" s="91"/>
      <c r="AO1074" s="91"/>
      <c r="AP1074" s="73" t="e">
        <f>MID(VLOOKUP(K1074,#REF!,2,FALSE),1,2)</f>
        <v>#REF!</v>
      </c>
      <c r="AQ1074" s="89">
        <f>DATE(2011,5,11)</f>
        <v>40674</v>
      </c>
      <c r="AR1074" s="82">
        <f t="shared" si="70"/>
        <v>11</v>
      </c>
      <c r="AS1074" s="83">
        <f t="shared" si="71"/>
        <v>5</v>
      </c>
      <c r="AT1074" s="84">
        <f t="shared" si="72"/>
        <v>2011</v>
      </c>
      <c r="AU1074" s="86"/>
      <c r="AV1074" s="86"/>
      <c r="AW1074" s="87"/>
      <c r="AX1074" s="86"/>
      <c r="AY1074" s="83"/>
      <c r="AZ1074" s="84"/>
      <c r="BA1074" s="86"/>
      <c r="BB1074" s="86"/>
    </row>
    <row r="1075" spans="1:54" ht="36.75" customHeight="1">
      <c r="A1075" s="30"/>
      <c r="B1075" s="30" t="s">
        <v>55</v>
      </c>
      <c r="C1075" s="69" t="str">
        <f t="shared" si="69"/>
        <v>Closed</v>
      </c>
      <c r="D1075" s="27" t="s">
        <v>6027</v>
      </c>
      <c r="E1075" s="29" t="s">
        <v>6028</v>
      </c>
      <c r="F1075" s="30" t="s">
        <v>638</v>
      </c>
      <c r="G1075" s="89">
        <f>DATE(2011,5,16)</f>
        <v>40679</v>
      </c>
      <c r="H1075" s="90">
        <v>1.7937500000000002</v>
      </c>
      <c r="I1075" s="30" t="s">
        <v>104</v>
      </c>
      <c r="J1075" s="89" t="s">
        <v>6029</v>
      </c>
      <c r="K1075" s="30" t="s">
        <v>640</v>
      </c>
      <c r="L1075" s="30" t="s">
        <v>6030</v>
      </c>
      <c r="M1075" s="30" t="s">
        <v>63</v>
      </c>
      <c r="N1075" s="30">
        <v>0</v>
      </c>
      <c r="O1075" s="30" t="s">
        <v>77</v>
      </c>
      <c r="P1075" s="89" t="s">
        <v>462</v>
      </c>
      <c r="Q1075" s="89" t="s">
        <v>642</v>
      </c>
      <c r="R1075" s="89" t="s">
        <v>643</v>
      </c>
      <c r="S1075" s="30">
        <v>0</v>
      </c>
      <c r="T1075" s="233" t="s">
        <v>68</v>
      </c>
      <c r="U1075" s="30">
        <v>0</v>
      </c>
      <c r="V1075" s="233" t="s">
        <v>68</v>
      </c>
      <c r="W1075" s="30">
        <v>0</v>
      </c>
      <c r="X1075" s="30">
        <v>0</v>
      </c>
      <c r="Y1075" s="30">
        <v>0</v>
      </c>
      <c r="Z1075" s="233" t="s">
        <v>68</v>
      </c>
      <c r="AA1075" s="30">
        <v>0</v>
      </c>
      <c r="AB1075" s="30">
        <v>0</v>
      </c>
      <c r="AC1075" s="30">
        <v>0</v>
      </c>
      <c r="AD1075" s="30">
        <v>0</v>
      </c>
      <c r="AE1075" s="89" t="s">
        <v>68</v>
      </c>
      <c r="AF1075" s="89"/>
      <c r="AG1075" s="89" t="s">
        <v>352</v>
      </c>
      <c r="AH1075" s="72" t="s">
        <v>68</v>
      </c>
      <c r="AI1075" s="30">
        <v>1</v>
      </c>
      <c r="AJ1075" s="89" t="s">
        <v>6031</v>
      </c>
      <c r="AK1075" s="89" t="s">
        <v>68</v>
      </c>
      <c r="AL1075" s="91">
        <v>40697</v>
      </c>
      <c r="AM1075" s="91"/>
      <c r="AN1075" s="91"/>
      <c r="AO1075" s="91"/>
      <c r="AP1075" s="73" t="e">
        <f>MID(VLOOKUP(K1075,#REF!,2,FALSE),1,2)</f>
        <v>#REF!</v>
      </c>
      <c r="AQ1075" s="89">
        <f>DATE(2011,5,16)</f>
        <v>40679</v>
      </c>
      <c r="AR1075" s="82">
        <f t="shared" si="70"/>
        <v>16</v>
      </c>
      <c r="AS1075" s="83">
        <f t="shared" si="71"/>
        <v>5</v>
      </c>
      <c r="AT1075" s="84">
        <f t="shared" si="72"/>
        <v>2011</v>
      </c>
      <c r="AU1075" s="86"/>
      <c r="AV1075" s="86"/>
      <c r="AW1075" s="87"/>
      <c r="AX1075" s="86"/>
      <c r="AY1075" s="83"/>
      <c r="AZ1075" s="84"/>
      <c r="BA1075" s="86"/>
      <c r="BB1075" s="86"/>
    </row>
    <row r="1076" spans="1:54" ht="36.75" customHeight="1">
      <c r="A1076" s="30"/>
      <c r="B1076" s="30" t="s">
        <v>55</v>
      </c>
      <c r="C1076" s="69" t="str">
        <f t="shared" si="69"/>
        <v>Closed</v>
      </c>
      <c r="D1076" s="27" t="s">
        <v>6032</v>
      </c>
      <c r="E1076" s="29" t="s">
        <v>6033</v>
      </c>
      <c r="F1076" s="30" t="s">
        <v>835</v>
      </c>
      <c r="G1076" s="89">
        <f>DATE(2011,5,16)</f>
        <v>40679</v>
      </c>
      <c r="H1076" s="90">
        <v>1.7638888888888888</v>
      </c>
      <c r="I1076" s="30" t="s">
        <v>86</v>
      </c>
      <c r="J1076" s="89" t="s">
        <v>6034</v>
      </c>
      <c r="K1076" s="30" t="s">
        <v>837</v>
      </c>
      <c r="L1076" s="30" t="s">
        <v>6035</v>
      </c>
      <c r="M1076" s="30" t="s">
        <v>63</v>
      </c>
      <c r="N1076" s="30" t="s">
        <v>142</v>
      </c>
      <c r="O1076" s="30" t="s">
        <v>64</v>
      </c>
      <c r="P1076" s="89" t="s">
        <v>65</v>
      </c>
      <c r="Q1076" s="89" t="s">
        <v>2162</v>
      </c>
      <c r="R1076" s="89" t="s">
        <v>840</v>
      </c>
      <c r="S1076" s="30">
        <v>0</v>
      </c>
      <c r="T1076" s="233">
        <v>0</v>
      </c>
      <c r="U1076" s="30">
        <v>0</v>
      </c>
      <c r="V1076" s="233">
        <v>0</v>
      </c>
      <c r="W1076" s="30">
        <v>0</v>
      </c>
      <c r="X1076" s="30">
        <v>0</v>
      </c>
      <c r="Y1076" s="30">
        <v>0</v>
      </c>
      <c r="Z1076" s="233">
        <v>0</v>
      </c>
      <c r="AA1076" s="30">
        <v>0</v>
      </c>
      <c r="AB1076" s="30">
        <v>0</v>
      </c>
      <c r="AC1076" s="30">
        <v>0</v>
      </c>
      <c r="AD1076" s="30">
        <v>0</v>
      </c>
      <c r="AE1076" s="89" t="s">
        <v>92</v>
      </c>
      <c r="AF1076" s="89"/>
      <c r="AG1076" s="89" t="s">
        <v>352</v>
      </c>
      <c r="AH1076" s="72">
        <v>40737</v>
      </c>
      <c r="AI1076" s="30">
        <v>6</v>
      </c>
      <c r="AJ1076" s="89" t="s">
        <v>6036</v>
      </c>
      <c r="AK1076" s="89" t="s">
        <v>6037</v>
      </c>
      <c r="AL1076" s="91">
        <v>40737</v>
      </c>
      <c r="AM1076" s="91"/>
      <c r="AN1076" s="91"/>
      <c r="AO1076" s="91"/>
      <c r="AP1076" s="73" t="e">
        <f>MID(VLOOKUP(K1076,#REF!,2,FALSE),1,2)</f>
        <v>#REF!</v>
      </c>
      <c r="AQ1076" s="89">
        <f>DATE(2011,5,16)</f>
        <v>40679</v>
      </c>
      <c r="AR1076" s="82">
        <f t="shared" si="70"/>
        <v>16</v>
      </c>
      <c r="AS1076" s="83">
        <f t="shared" si="71"/>
        <v>5</v>
      </c>
      <c r="AT1076" s="84">
        <f t="shared" si="72"/>
        <v>2011</v>
      </c>
      <c r="AU1076" s="86"/>
      <c r="AV1076" s="86"/>
      <c r="AW1076" s="87"/>
      <c r="AX1076" s="86"/>
      <c r="AY1076" s="83"/>
      <c r="AZ1076" s="84"/>
      <c r="BA1076" s="86"/>
      <c r="BB1076" s="86"/>
    </row>
    <row r="1077" spans="1:54" ht="36.75" customHeight="1">
      <c r="A1077" s="30"/>
      <c r="B1077" s="30" t="s">
        <v>55</v>
      </c>
      <c r="C1077" s="69" t="str">
        <f t="shared" si="69"/>
        <v>Closed</v>
      </c>
      <c r="D1077" s="27" t="s">
        <v>6038</v>
      </c>
      <c r="E1077" s="29" t="s">
        <v>6039</v>
      </c>
      <c r="F1077" s="30" t="s">
        <v>1572</v>
      </c>
      <c r="G1077" s="89">
        <f>DATE(2011,5,17)</f>
        <v>40680</v>
      </c>
      <c r="H1077" s="90">
        <v>1.3159722222222223</v>
      </c>
      <c r="I1077" s="30" t="s">
        <v>125</v>
      </c>
      <c r="J1077" s="89" t="s">
        <v>6040</v>
      </c>
      <c r="K1077" s="30" t="s">
        <v>1574</v>
      </c>
      <c r="L1077" s="30" t="s">
        <v>6041</v>
      </c>
      <c r="M1077" s="30" t="s">
        <v>63</v>
      </c>
      <c r="N1077" s="30">
        <v>0</v>
      </c>
      <c r="O1077" s="30" t="s">
        <v>64</v>
      </c>
      <c r="P1077" s="89" t="s">
        <v>165</v>
      </c>
      <c r="Q1077" s="89" t="s">
        <v>2413</v>
      </c>
      <c r="R1077" s="89">
        <v>0</v>
      </c>
      <c r="S1077" s="30">
        <v>0</v>
      </c>
      <c r="T1077" s="233" t="s">
        <v>68</v>
      </c>
      <c r="U1077" s="30">
        <v>0</v>
      </c>
      <c r="V1077" s="233" t="s">
        <v>68</v>
      </c>
      <c r="W1077" s="30">
        <v>0</v>
      </c>
      <c r="X1077" s="30">
        <v>0</v>
      </c>
      <c r="Y1077" s="30">
        <v>0</v>
      </c>
      <c r="Z1077" s="233" t="s">
        <v>68</v>
      </c>
      <c r="AA1077" s="30">
        <v>0</v>
      </c>
      <c r="AB1077" s="30">
        <v>0</v>
      </c>
      <c r="AC1077" s="30">
        <v>0</v>
      </c>
      <c r="AD1077" s="30">
        <v>0</v>
      </c>
      <c r="AE1077" s="89" t="s">
        <v>68</v>
      </c>
      <c r="AF1077" s="89"/>
      <c r="AG1077" s="89" t="s">
        <v>133</v>
      </c>
      <c r="AH1077" s="72" t="s">
        <v>68</v>
      </c>
      <c r="AI1077" s="30">
        <v>1</v>
      </c>
      <c r="AJ1077" s="89" t="s">
        <v>6042</v>
      </c>
      <c r="AK1077" s="89" t="s">
        <v>68</v>
      </c>
      <c r="AL1077" s="91">
        <v>40686</v>
      </c>
      <c r="AM1077" s="91"/>
      <c r="AN1077" s="91"/>
      <c r="AO1077" s="91"/>
      <c r="AP1077" s="73" t="e">
        <f>MID(VLOOKUP(K1077,#REF!,2,FALSE),1,2)</f>
        <v>#REF!</v>
      </c>
      <c r="AQ1077" s="89">
        <f>DATE(2011,5,17)</f>
        <v>40680</v>
      </c>
      <c r="AR1077" s="82">
        <f t="shared" si="70"/>
        <v>17</v>
      </c>
      <c r="AS1077" s="83">
        <f t="shared" si="71"/>
        <v>5</v>
      </c>
      <c r="AT1077" s="84">
        <f t="shared" si="72"/>
        <v>2011</v>
      </c>
      <c r="AU1077" s="86"/>
      <c r="AV1077" s="86"/>
      <c r="AW1077" s="87"/>
      <c r="AX1077" s="86"/>
      <c r="AY1077" s="83"/>
      <c r="AZ1077" s="84"/>
      <c r="BA1077" s="86"/>
      <c r="BB1077" s="86"/>
    </row>
    <row r="1078" spans="1:54" ht="36.75" customHeight="1">
      <c r="A1078" s="30"/>
      <c r="B1078" s="30" t="s">
        <v>55</v>
      </c>
      <c r="C1078" s="69" t="str">
        <f t="shared" si="69"/>
        <v>Closed</v>
      </c>
      <c r="D1078" s="27" t="s">
        <v>6043</v>
      </c>
      <c r="E1078" s="29" t="s">
        <v>6044</v>
      </c>
      <c r="F1078" s="30" t="s">
        <v>835</v>
      </c>
      <c r="G1078" s="89">
        <f>DATE(2011,5,18)</f>
        <v>40681</v>
      </c>
      <c r="H1078" s="90">
        <v>1.3819444444444444</v>
      </c>
      <c r="I1078" s="30" t="s">
        <v>116</v>
      </c>
      <c r="J1078" s="89" t="s">
        <v>6045</v>
      </c>
      <c r="K1078" s="30" t="s">
        <v>837</v>
      </c>
      <c r="L1078" s="30" t="s">
        <v>6046</v>
      </c>
      <c r="M1078" s="30" t="s">
        <v>63</v>
      </c>
      <c r="N1078" s="30" t="s">
        <v>99</v>
      </c>
      <c r="O1078" s="30" t="s">
        <v>64</v>
      </c>
      <c r="P1078" s="89" t="s">
        <v>165</v>
      </c>
      <c r="Q1078" s="89" t="s">
        <v>2162</v>
      </c>
      <c r="R1078" s="89" t="s">
        <v>840</v>
      </c>
      <c r="S1078" s="30">
        <v>0</v>
      </c>
      <c r="T1078" s="233">
        <v>0</v>
      </c>
      <c r="U1078" s="30">
        <v>1</v>
      </c>
      <c r="V1078" s="233">
        <v>0</v>
      </c>
      <c r="W1078" s="30">
        <v>0</v>
      </c>
      <c r="X1078" s="30">
        <v>1</v>
      </c>
      <c r="Y1078" s="30">
        <v>0</v>
      </c>
      <c r="Z1078" s="233">
        <v>0</v>
      </c>
      <c r="AA1078" s="30">
        <v>0</v>
      </c>
      <c r="AB1078" s="30">
        <v>0</v>
      </c>
      <c r="AC1078" s="30">
        <v>0</v>
      </c>
      <c r="AD1078" s="30">
        <v>0</v>
      </c>
      <c r="AE1078" s="89" t="s">
        <v>92</v>
      </c>
      <c r="AF1078" s="89"/>
      <c r="AG1078" s="89" t="s">
        <v>352</v>
      </c>
      <c r="AH1078" s="72">
        <v>40681</v>
      </c>
      <c r="AI1078" s="30">
        <v>1</v>
      </c>
      <c r="AJ1078" s="89" t="s">
        <v>6047</v>
      </c>
      <c r="AK1078" s="89" t="s">
        <v>68</v>
      </c>
      <c r="AL1078" s="91">
        <v>40681</v>
      </c>
      <c r="AM1078" s="91"/>
      <c r="AN1078" s="91"/>
      <c r="AO1078" s="91"/>
      <c r="AP1078" s="73" t="e">
        <f>MID(VLOOKUP(K1078,#REF!,2,FALSE),1,2)</f>
        <v>#REF!</v>
      </c>
      <c r="AQ1078" s="89">
        <f>DATE(2011,5,18)</f>
        <v>40681</v>
      </c>
      <c r="AR1078" s="82">
        <f t="shared" si="70"/>
        <v>18</v>
      </c>
      <c r="AS1078" s="83">
        <f t="shared" si="71"/>
        <v>5</v>
      </c>
      <c r="AT1078" s="84">
        <f t="shared" si="72"/>
        <v>2011</v>
      </c>
      <c r="AU1078" s="86"/>
      <c r="AV1078" s="86"/>
      <c r="AW1078" s="87"/>
      <c r="AX1078" s="86"/>
      <c r="AY1078" s="83"/>
      <c r="AZ1078" s="84"/>
      <c r="BA1078" s="86"/>
      <c r="BB1078" s="86"/>
    </row>
    <row r="1079" spans="1:54" ht="36.75" customHeight="1">
      <c r="A1079" s="30"/>
      <c r="B1079" s="30" t="s">
        <v>55</v>
      </c>
      <c r="C1079" s="69" t="str">
        <f t="shared" si="69"/>
        <v>Closed</v>
      </c>
      <c r="D1079" s="27" t="s">
        <v>6048</v>
      </c>
      <c r="E1079" s="29" t="s">
        <v>6049</v>
      </c>
      <c r="F1079" s="30" t="s">
        <v>835</v>
      </c>
      <c r="G1079" s="89">
        <f>DATE(2011,5,18)</f>
        <v>40681</v>
      </c>
      <c r="H1079" s="90">
        <v>1.879861111111111</v>
      </c>
      <c r="I1079" s="30" t="s">
        <v>104</v>
      </c>
      <c r="J1079" s="89" t="s">
        <v>6050</v>
      </c>
      <c r="K1079" s="30" t="s">
        <v>837</v>
      </c>
      <c r="L1079" s="30" t="s">
        <v>6051</v>
      </c>
      <c r="M1079" s="30" t="s">
        <v>63</v>
      </c>
      <c r="N1079" s="30" t="s">
        <v>142</v>
      </c>
      <c r="O1079" s="30" t="s">
        <v>77</v>
      </c>
      <c r="P1079" s="89" t="s">
        <v>553</v>
      </c>
      <c r="Q1079" s="89" t="s">
        <v>6052</v>
      </c>
      <c r="R1079" s="89" t="s">
        <v>840</v>
      </c>
      <c r="S1079" s="30">
        <v>0</v>
      </c>
      <c r="T1079" s="233">
        <v>0</v>
      </c>
      <c r="U1079" s="30">
        <v>0</v>
      </c>
      <c r="V1079" s="233">
        <v>0</v>
      </c>
      <c r="W1079" s="30">
        <v>0</v>
      </c>
      <c r="X1079" s="30">
        <v>0</v>
      </c>
      <c r="Y1079" s="30">
        <v>0</v>
      </c>
      <c r="Z1079" s="233">
        <v>0</v>
      </c>
      <c r="AA1079" s="30">
        <v>0</v>
      </c>
      <c r="AB1079" s="30">
        <v>0</v>
      </c>
      <c r="AC1079" s="30">
        <v>0</v>
      </c>
      <c r="AD1079" s="30">
        <v>0</v>
      </c>
      <c r="AE1079" s="89" t="s">
        <v>92</v>
      </c>
      <c r="AF1079" s="89"/>
      <c r="AG1079" s="89" t="s">
        <v>352</v>
      </c>
      <c r="AH1079" s="72">
        <v>40737</v>
      </c>
      <c r="AI1079" s="30">
        <v>0</v>
      </c>
      <c r="AJ1079" s="89" t="s">
        <v>6053</v>
      </c>
      <c r="AK1079" s="89" t="s">
        <v>68</v>
      </c>
      <c r="AL1079" s="91">
        <v>40737</v>
      </c>
      <c r="AM1079" s="91"/>
      <c r="AN1079" s="91"/>
      <c r="AO1079" s="91"/>
      <c r="AP1079" s="73" t="e">
        <f>MID(VLOOKUP(K1079,#REF!,2,FALSE),1,2)</f>
        <v>#REF!</v>
      </c>
      <c r="AQ1079" s="89">
        <f>DATE(2011,5,18)</f>
        <v>40681</v>
      </c>
      <c r="AR1079" s="82">
        <f t="shared" si="70"/>
        <v>18</v>
      </c>
      <c r="AS1079" s="83">
        <f t="shared" si="71"/>
        <v>5</v>
      </c>
      <c r="AT1079" s="84">
        <f t="shared" si="72"/>
        <v>2011</v>
      </c>
      <c r="AU1079" s="86"/>
      <c r="AV1079" s="86"/>
      <c r="AW1079" s="87"/>
      <c r="AX1079" s="86"/>
      <c r="AY1079" s="83"/>
      <c r="AZ1079" s="84"/>
      <c r="BA1079" s="86"/>
      <c r="BB1079" s="86"/>
    </row>
    <row r="1080" spans="1:54" ht="36.75" customHeight="1">
      <c r="A1080" s="30"/>
      <c r="B1080" s="30" t="s">
        <v>55</v>
      </c>
      <c r="C1080" s="69" t="str">
        <f t="shared" si="69"/>
        <v>Closed</v>
      </c>
      <c r="D1080" s="27" t="s">
        <v>6054</v>
      </c>
      <c r="E1080" s="29" t="s">
        <v>6055</v>
      </c>
      <c r="F1080" s="30" t="s">
        <v>582</v>
      </c>
      <c r="G1080" s="89">
        <f>DATE(2011,5,20)</f>
        <v>40683</v>
      </c>
      <c r="H1080" s="90">
        <v>1.5458333333333334</v>
      </c>
      <c r="I1080" s="30" t="s">
        <v>73</v>
      </c>
      <c r="J1080" s="89" t="s">
        <v>6056</v>
      </c>
      <c r="K1080" s="30" t="s">
        <v>584</v>
      </c>
      <c r="L1080" s="30" t="s">
        <v>6057</v>
      </c>
      <c r="M1080" s="30" t="s">
        <v>63</v>
      </c>
      <c r="N1080" s="30" t="s">
        <v>142</v>
      </c>
      <c r="O1080" s="30" t="s">
        <v>77</v>
      </c>
      <c r="P1080" s="89" t="s">
        <v>78</v>
      </c>
      <c r="Q1080" s="89" t="s">
        <v>586</v>
      </c>
      <c r="R1080" s="89" t="s">
        <v>587</v>
      </c>
      <c r="S1080" s="30">
        <v>0</v>
      </c>
      <c r="T1080" s="233">
        <v>0</v>
      </c>
      <c r="U1080" s="30">
        <v>0</v>
      </c>
      <c r="V1080" s="233">
        <v>0</v>
      </c>
      <c r="W1080" s="30">
        <v>0</v>
      </c>
      <c r="X1080" s="30">
        <v>0</v>
      </c>
      <c r="Y1080" s="30">
        <v>0</v>
      </c>
      <c r="Z1080" s="233">
        <v>0</v>
      </c>
      <c r="AA1080" s="30">
        <v>0</v>
      </c>
      <c r="AB1080" s="30">
        <v>0</v>
      </c>
      <c r="AC1080" s="30">
        <v>0</v>
      </c>
      <c r="AD1080" s="30">
        <v>0</v>
      </c>
      <c r="AE1080" s="89" t="s">
        <v>145</v>
      </c>
      <c r="AF1080" s="89"/>
      <c r="AG1080" s="89" t="s">
        <v>82</v>
      </c>
      <c r="AH1080" s="72">
        <v>40687</v>
      </c>
      <c r="AI1080" s="30">
        <v>0</v>
      </c>
      <c r="AJ1080" s="89" t="s">
        <v>6058</v>
      </c>
      <c r="AK1080" s="89" t="s">
        <v>1233</v>
      </c>
      <c r="AL1080" s="91">
        <v>40687</v>
      </c>
      <c r="AM1080" s="91"/>
      <c r="AN1080" s="91"/>
      <c r="AO1080" s="91"/>
      <c r="AP1080" s="73" t="e">
        <f>MID(VLOOKUP(K1080,#REF!,2,FALSE),1,2)</f>
        <v>#REF!</v>
      </c>
      <c r="AQ1080" s="89">
        <f>DATE(2011,5,20)</f>
        <v>40683</v>
      </c>
      <c r="AR1080" s="82">
        <f t="shared" si="70"/>
        <v>20</v>
      </c>
      <c r="AS1080" s="83">
        <f t="shared" si="71"/>
        <v>5</v>
      </c>
      <c r="AT1080" s="84">
        <f t="shared" si="72"/>
        <v>2011</v>
      </c>
      <c r="AU1080" s="86"/>
      <c r="AV1080" s="86"/>
      <c r="AW1080" s="87"/>
      <c r="AX1080" s="86"/>
      <c r="AY1080" s="83"/>
      <c r="AZ1080" s="84"/>
      <c r="BA1080" s="86"/>
      <c r="BB1080" s="86"/>
    </row>
    <row r="1081" spans="1:54" ht="36.75" customHeight="1">
      <c r="A1081" s="30"/>
      <c r="B1081" s="30" t="s">
        <v>55</v>
      </c>
      <c r="C1081" s="69" t="str">
        <f t="shared" si="69"/>
        <v>Closed</v>
      </c>
      <c r="D1081" s="27" t="s">
        <v>6059</v>
      </c>
      <c r="E1081" s="29" t="s">
        <v>6060</v>
      </c>
      <c r="F1081" s="30" t="s">
        <v>835</v>
      </c>
      <c r="G1081" s="89">
        <f>DATE(2011,5,20)</f>
        <v>40683</v>
      </c>
      <c r="H1081" s="90">
        <v>1.526388888888889</v>
      </c>
      <c r="I1081" s="30" t="s">
        <v>116</v>
      </c>
      <c r="J1081" s="89" t="s">
        <v>6061</v>
      </c>
      <c r="K1081" s="30" t="s">
        <v>837</v>
      </c>
      <c r="L1081" s="30" t="s">
        <v>6062</v>
      </c>
      <c r="M1081" s="30" t="s">
        <v>63</v>
      </c>
      <c r="N1081" s="30">
        <v>0</v>
      </c>
      <c r="O1081" s="30" t="s">
        <v>64</v>
      </c>
      <c r="P1081" s="89" t="s">
        <v>165</v>
      </c>
      <c r="Q1081" s="89" t="s">
        <v>2162</v>
      </c>
      <c r="R1081" s="89" t="s">
        <v>840</v>
      </c>
      <c r="S1081" s="30">
        <v>0</v>
      </c>
      <c r="T1081" s="233">
        <v>0</v>
      </c>
      <c r="U1081" s="30">
        <v>0</v>
      </c>
      <c r="V1081" s="233">
        <v>0</v>
      </c>
      <c r="W1081" s="30">
        <v>0</v>
      </c>
      <c r="X1081" s="30">
        <v>0</v>
      </c>
      <c r="Y1081" s="30">
        <v>1</v>
      </c>
      <c r="Z1081" s="233">
        <v>1</v>
      </c>
      <c r="AA1081" s="30">
        <v>0</v>
      </c>
      <c r="AB1081" s="30">
        <v>0</v>
      </c>
      <c r="AC1081" s="30">
        <v>0</v>
      </c>
      <c r="AD1081" s="30">
        <v>2</v>
      </c>
      <c r="AE1081" s="89" t="s">
        <v>68</v>
      </c>
      <c r="AF1081" s="89"/>
      <c r="AG1081" s="89" t="s">
        <v>352</v>
      </c>
      <c r="AH1081" s="72" t="s">
        <v>68</v>
      </c>
      <c r="AI1081" s="30">
        <v>1</v>
      </c>
      <c r="AJ1081" s="89" t="s">
        <v>68</v>
      </c>
      <c r="AK1081" s="89" t="s">
        <v>68</v>
      </c>
      <c r="AL1081" s="91">
        <v>40737</v>
      </c>
      <c r="AM1081" s="91"/>
      <c r="AN1081" s="91"/>
      <c r="AO1081" s="91"/>
      <c r="AP1081" s="73" t="e">
        <f>MID(VLOOKUP(K1081,#REF!,2,FALSE),1,2)</f>
        <v>#REF!</v>
      </c>
      <c r="AQ1081" s="89">
        <f>DATE(2011,5,20)</f>
        <v>40683</v>
      </c>
      <c r="AR1081" s="82">
        <f t="shared" si="70"/>
        <v>20</v>
      </c>
      <c r="AS1081" s="83">
        <f t="shared" si="71"/>
        <v>5</v>
      </c>
      <c r="AT1081" s="84">
        <f t="shared" si="72"/>
        <v>2011</v>
      </c>
      <c r="AU1081" s="86"/>
      <c r="AV1081" s="86"/>
      <c r="AW1081" s="87"/>
      <c r="AX1081" s="86"/>
      <c r="AY1081" s="83"/>
      <c r="AZ1081" s="84"/>
      <c r="BA1081" s="86"/>
      <c r="BB1081" s="86"/>
    </row>
    <row r="1082" spans="1:54" ht="36.75" customHeight="1">
      <c r="A1082" s="30"/>
      <c r="B1082" s="30" t="s">
        <v>55</v>
      </c>
      <c r="C1082" s="69" t="str">
        <f t="shared" si="69"/>
        <v>Closed</v>
      </c>
      <c r="D1082" s="27" t="s">
        <v>6063</v>
      </c>
      <c r="E1082" s="29" t="s">
        <v>6064</v>
      </c>
      <c r="F1082" s="30" t="s">
        <v>1572</v>
      </c>
      <c r="G1082" s="89">
        <f>DATE(2011,5,20)</f>
        <v>40683</v>
      </c>
      <c r="H1082" s="90">
        <v>1.5625</v>
      </c>
      <c r="I1082" s="30" t="s">
        <v>73</v>
      </c>
      <c r="J1082" s="89" t="s">
        <v>6065</v>
      </c>
      <c r="K1082" s="30" t="s">
        <v>1574</v>
      </c>
      <c r="L1082" s="30" t="s">
        <v>6066</v>
      </c>
      <c r="M1082" s="30" t="s">
        <v>63</v>
      </c>
      <c r="N1082" s="30" t="s">
        <v>99</v>
      </c>
      <c r="O1082" s="30" t="s">
        <v>77</v>
      </c>
      <c r="P1082" s="89" t="s">
        <v>78</v>
      </c>
      <c r="Q1082" s="89" t="s">
        <v>2437</v>
      </c>
      <c r="R1082" s="89">
        <v>0</v>
      </c>
      <c r="S1082" s="30">
        <v>0</v>
      </c>
      <c r="T1082" s="233">
        <v>0</v>
      </c>
      <c r="U1082" s="30">
        <v>0</v>
      </c>
      <c r="V1082" s="233">
        <v>0</v>
      </c>
      <c r="W1082" s="30">
        <v>0</v>
      </c>
      <c r="X1082" s="30">
        <v>0</v>
      </c>
      <c r="Y1082" s="30">
        <v>0</v>
      </c>
      <c r="Z1082" s="233">
        <v>0</v>
      </c>
      <c r="AA1082" s="30">
        <v>0</v>
      </c>
      <c r="AB1082" s="30">
        <v>0</v>
      </c>
      <c r="AC1082" s="30">
        <v>0</v>
      </c>
      <c r="AD1082" s="30">
        <v>0</v>
      </c>
      <c r="AE1082" s="89" t="s">
        <v>92</v>
      </c>
      <c r="AF1082" s="89"/>
      <c r="AG1082" s="89" t="s">
        <v>133</v>
      </c>
      <c r="AH1082" s="72">
        <v>40686</v>
      </c>
      <c r="AI1082" s="30">
        <v>0</v>
      </c>
      <c r="AJ1082" s="89" t="s">
        <v>6067</v>
      </c>
      <c r="AK1082" s="89" t="s">
        <v>1233</v>
      </c>
      <c r="AL1082" s="91">
        <v>40688</v>
      </c>
      <c r="AM1082" s="91"/>
      <c r="AN1082" s="91"/>
      <c r="AO1082" s="91"/>
      <c r="AP1082" s="73" t="e">
        <f>MID(VLOOKUP(K1082,#REF!,2,FALSE),1,2)</f>
        <v>#REF!</v>
      </c>
      <c r="AQ1082" s="89">
        <f>DATE(2011,5,20)</f>
        <v>40683</v>
      </c>
      <c r="AR1082" s="82">
        <f t="shared" si="70"/>
        <v>20</v>
      </c>
      <c r="AS1082" s="83">
        <f t="shared" si="71"/>
        <v>5</v>
      </c>
      <c r="AT1082" s="84">
        <f t="shared" si="72"/>
        <v>2011</v>
      </c>
      <c r="AU1082" s="86"/>
      <c r="AV1082" s="86"/>
      <c r="AW1082" s="87"/>
      <c r="AX1082" s="86"/>
      <c r="AY1082" s="83"/>
      <c r="AZ1082" s="84"/>
      <c r="BA1082" s="86"/>
      <c r="BB1082" s="86"/>
    </row>
    <row r="1083" spans="1:54" ht="36.75" customHeight="1">
      <c r="A1083" s="30"/>
      <c r="B1083" s="30" t="s">
        <v>55</v>
      </c>
      <c r="C1083" s="69" t="str">
        <f t="shared" si="69"/>
        <v>Closed</v>
      </c>
      <c r="D1083" s="27" t="s">
        <v>6068</v>
      </c>
      <c r="E1083" s="29" t="s">
        <v>6069</v>
      </c>
      <c r="F1083" s="30" t="s">
        <v>197</v>
      </c>
      <c r="G1083" s="89">
        <f>DATE(2011,5,23)</f>
        <v>40686</v>
      </c>
      <c r="H1083" s="90">
        <v>1.1986111111111111</v>
      </c>
      <c r="I1083" s="30" t="s">
        <v>73</v>
      </c>
      <c r="J1083" s="89" t="s">
        <v>6070</v>
      </c>
      <c r="K1083" s="30" t="s">
        <v>200</v>
      </c>
      <c r="L1083" s="30" t="s">
        <v>6071</v>
      </c>
      <c r="M1083" s="30" t="s">
        <v>63</v>
      </c>
      <c r="N1083" s="30">
        <v>0</v>
      </c>
      <c r="O1083" s="30" t="s">
        <v>77</v>
      </c>
      <c r="P1083" s="89" t="s">
        <v>78</v>
      </c>
      <c r="Q1083" s="89" t="s">
        <v>1716</v>
      </c>
      <c r="R1083" s="89" t="s">
        <v>203</v>
      </c>
      <c r="S1083" s="30">
        <v>0</v>
      </c>
      <c r="T1083" s="233">
        <v>0</v>
      </c>
      <c r="U1083" s="30">
        <v>0</v>
      </c>
      <c r="V1083" s="233">
        <v>0</v>
      </c>
      <c r="W1083" s="30">
        <v>0</v>
      </c>
      <c r="X1083" s="30">
        <v>0</v>
      </c>
      <c r="Y1083" s="30">
        <v>0</v>
      </c>
      <c r="Z1083" s="233">
        <v>0</v>
      </c>
      <c r="AA1083" s="30">
        <v>0</v>
      </c>
      <c r="AB1083" s="30">
        <v>0</v>
      </c>
      <c r="AC1083" s="30">
        <v>0</v>
      </c>
      <c r="AD1083" s="30">
        <v>0</v>
      </c>
      <c r="AE1083" s="89" t="s">
        <v>68</v>
      </c>
      <c r="AF1083" s="89"/>
      <c r="AG1083" s="89" t="s">
        <v>82</v>
      </c>
      <c r="AH1083" s="72" t="s">
        <v>68</v>
      </c>
      <c r="AI1083" s="30">
        <v>0</v>
      </c>
      <c r="AJ1083" s="89" t="s">
        <v>6072</v>
      </c>
      <c r="AK1083" s="89" t="s">
        <v>1233</v>
      </c>
      <c r="AL1083" s="91">
        <v>40756</v>
      </c>
      <c r="AM1083" s="91"/>
      <c r="AN1083" s="91"/>
      <c r="AO1083" s="91"/>
      <c r="AP1083" s="73" t="e">
        <f>MID(VLOOKUP(K1083,#REF!,2,FALSE),1,2)</f>
        <v>#REF!</v>
      </c>
      <c r="AQ1083" s="89">
        <f>DATE(2011,5,23)</f>
        <v>40686</v>
      </c>
      <c r="AR1083" s="82">
        <f t="shared" si="70"/>
        <v>23</v>
      </c>
      <c r="AS1083" s="83">
        <f t="shared" si="71"/>
        <v>5</v>
      </c>
      <c r="AT1083" s="84">
        <f t="shared" si="72"/>
        <v>2011</v>
      </c>
      <c r="AU1083" s="86"/>
      <c r="AV1083" s="86"/>
      <c r="AW1083" s="87"/>
      <c r="AX1083" s="86"/>
      <c r="AY1083" s="83"/>
      <c r="AZ1083" s="84"/>
      <c r="BA1083" s="86"/>
      <c r="BB1083" s="86"/>
    </row>
    <row r="1084" spans="1:54" ht="36.75" customHeight="1">
      <c r="A1084" s="30"/>
      <c r="B1084" s="30" t="s">
        <v>55</v>
      </c>
      <c r="C1084" s="69" t="str">
        <f t="shared" si="69"/>
        <v>Closed</v>
      </c>
      <c r="D1084" s="27" t="s">
        <v>6073</v>
      </c>
      <c r="E1084" s="29" t="s">
        <v>6074</v>
      </c>
      <c r="F1084" s="30" t="s">
        <v>423</v>
      </c>
      <c r="G1084" s="89">
        <f>DATE(2011,5,23)</f>
        <v>40686</v>
      </c>
      <c r="H1084" s="90">
        <v>1.8034722222222221</v>
      </c>
      <c r="I1084" s="30" t="s">
        <v>198</v>
      </c>
      <c r="J1084" s="89" t="s">
        <v>6075</v>
      </c>
      <c r="K1084" s="30" t="s">
        <v>425</v>
      </c>
      <c r="L1084" s="30" t="s">
        <v>6076</v>
      </c>
      <c r="M1084" s="30" t="s">
        <v>255</v>
      </c>
      <c r="N1084" s="30">
        <v>0</v>
      </c>
      <c r="O1084" s="30" t="s">
        <v>64</v>
      </c>
      <c r="P1084" s="89" t="s">
        <v>86</v>
      </c>
      <c r="Q1084" s="89" t="s">
        <v>2715</v>
      </c>
      <c r="R1084" s="89" t="s">
        <v>2715</v>
      </c>
      <c r="S1084" s="30">
        <v>1</v>
      </c>
      <c r="T1084" s="233">
        <v>0</v>
      </c>
      <c r="U1084" s="30">
        <v>0</v>
      </c>
      <c r="V1084" s="233">
        <v>0</v>
      </c>
      <c r="W1084" s="30">
        <v>0</v>
      </c>
      <c r="X1084" s="30">
        <v>1</v>
      </c>
      <c r="Y1084" s="30">
        <v>3</v>
      </c>
      <c r="Z1084" s="233">
        <v>0</v>
      </c>
      <c r="AA1084" s="30">
        <v>0</v>
      </c>
      <c r="AB1084" s="30">
        <v>0</v>
      </c>
      <c r="AC1084" s="30">
        <v>0</v>
      </c>
      <c r="AD1084" s="30">
        <v>3</v>
      </c>
      <c r="AE1084" s="89" t="s">
        <v>68</v>
      </c>
      <c r="AF1084" s="89"/>
      <c r="AG1084" s="89" t="s">
        <v>367</v>
      </c>
      <c r="AH1084" s="72" t="s">
        <v>68</v>
      </c>
      <c r="AI1084" s="30">
        <v>0</v>
      </c>
      <c r="AJ1084" s="89" t="s">
        <v>6077</v>
      </c>
      <c r="AK1084" s="89" t="s">
        <v>2348</v>
      </c>
      <c r="AL1084" s="91">
        <v>40690</v>
      </c>
      <c r="AM1084" s="91"/>
      <c r="AN1084" s="91"/>
      <c r="AO1084" s="91"/>
      <c r="AP1084" s="73" t="e">
        <f>MID(VLOOKUP(K1084,#REF!,2,FALSE),1,2)</f>
        <v>#REF!</v>
      </c>
      <c r="AQ1084" s="89">
        <f>DATE(2011,5,23)</f>
        <v>40686</v>
      </c>
      <c r="AR1084" s="82">
        <f t="shared" si="70"/>
        <v>23</v>
      </c>
      <c r="AS1084" s="83">
        <f t="shared" si="71"/>
        <v>5</v>
      </c>
      <c r="AT1084" s="84">
        <f t="shared" si="72"/>
        <v>2011</v>
      </c>
      <c r="AU1084" s="86"/>
      <c r="AV1084" s="86"/>
      <c r="AW1084" s="87"/>
      <c r="AX1084" s="86"/>
      <c r="AY1084" s="83"/>
      <c r="AZ1084" s="84"/>
      <c r="BA1084" s="86"/>
      <c r="BB1084" s="86"/>
    </row>
    <row r="1085" spans="1:54" ht="36.75" customHeight="1">
      <c r="A1085" s="30"/>
      <c r="B1085" s="30" t="s">
        <v>55</v>
      </c>
      <c r="C1085" s="69" t="str">
        <f t="shared" si="69"/>
        <v>Closed</v>
      </c>
      <c r="D1085" s="27" t="s">
        <v>6078</v>
      </c>
      <c r="E1085" s="29" t="s">
        <v>6079</v>
      </c>
      <c r="F1085" s="30" t="s">
        <v>197</v>
      </c>
      <c r="G1085" s="89">
        <f>DATE(2011,5,24)</f>
        <v>40687</v>
      </c>
      <c r="H1085" s="90">
        <v>1.8229166666666665</v>
      </c>
      <c r="I1085" s="30" t="s">
        <v>73</v>
      </c>
      <c r="J1085" s="89" t="s">
        <v>6080</v>
      </c>
      <c r="K1085" s="30" t="s">
        <v>200</v>
      </c>
      <c r="L1085" s="30" t="s">
        <v>6081</v>
      </c>
      <c r="M1085" s="30" t="s">
        <v>63</v>
      </c>
      <c r="N1085" s="30" t="s">
        <v>142</v>
      </c>
      <c r="O1085" s="30" t="s">
        <v>77</v>
      </c>
      <c r="P1085" s="89" t="s">
        <v>78</v>
      </c>
      <c r="Q1085" s="89" t="s">
        <v>1716</v>
      </c>
      <c r="R1085" s="89" t="s">
        <v>203</v>
      </c>
      <c r="S1085" s="30">
        <v>0</v>
      </c>
      <c r="T1085" s="233">
        <v>0</v>
      </c>
      <c r="U1085" s="30">
        <v>0</v>
      </c>
      <c r="V1085" s="233">
        <v>0</v>
      </c>
      <c r="W1085" s="30">
        <v>0</v>
      </c>
      <c r="X1085" s="30">
        <v>0</v>
      </c>
      <c r="Y1085" s="30">
        <v>0</v>
      </c>
      <c r="Z1085" s="233">
        <v>0</v>
      </c>
      <c r="AA1085" s="30">
        <v>0</v>
      </c>
      <c r="AB1085" s="30">
        <v>0</v>
      </c>
      <c r="AC1085" s="30">
        <v>0</v>
      </c>
      <c r="AD1085" s="30">
        <v>0</v>
      </c>
      <c r="AE1085" s="89" t="s">
        <v>394</v>
      </c>
      <c r="AF1085" s="89"/>
      <c r="AG1085" s="89" t="s">
        <v>352</v>
      </c>
      <c r="AH1085" s="72">
        <v>40688</v>
      </c>
      <c r="AI1085" s="30">
        <v>6</v>
      </c>
      <c r="AJ1085" s="89" t="s">
        <v>6082</v>
      </c>
      <c r="AK1085" s="89" t="s">
        <v>68</v>
      </c>
      <c r="AL1085" s="91">
        <v>40756</v>
      </c>
      <c r="AM1085" s="91"/>
      <c r="AN1085" s="91"/>
      <c r="AO1085" s="91"/>
      <c r="AP1085" s="73" t="e">
        <f>MID(VLOOKUP(K1085,#REF!,2,FALSE),1,2)</f>
        <v>#REF!</v>
      </c>
      <c r="AQ1085" s="89">
        <f>DATE(2011,5,24)</f>
        <v>40687</v>
      </c>
      <c r="AR1085" s="82">
        <f t="shared" si="70"/>
        <v>24</v>
      </c>
      <c r="AS1085" s="83">
        <f t="shared" si="71"/>
        <v>5</v>
      </c>
      <c r="AT1085" s="84">
        <f t="shared" si="72"/>
        <v>2011</v>
      </c>
      <c r="AU1085" s="86"/>
      <c r="AV1085" s="86"/>
      <c r="AW1085" s="87"/>
      <c r="AX1085" s="86"/>
      <c r="AY1085" s="83"/>
      <c r="AZ1085" s="84"/>
      <c r="BA1085" s="86"/>
      <c r="BB1085" s="86"/>
    </row>
    <row r="1086" spans="1:54" ht="36.75" customHeight="1">
      <c r="A1086" s="30"/>
      <c r="B1086" s="30" t="s">
        <v>55</v>
      </c>
      <c r="C1086" s="69" t="str">
        <f t="shared" si="69"/>
        <v>Closed</v>
      </c>
      <c r="D1086" s="27" t="s">
        <v>6083</v>
      </c>
      <c r="E1086" s="29" t="s">
        <v>6084</v>
      </c>
      <c r="F1086" s="30" t="s">
        <v>638</v>
      </c>
      <c r="G1086" s="89">
        <f>DATE(2011,5,24)</f>
        <v>40687</v>
      </c>
      <c r="H1086" s="90">
        <v>1.6875</v>
      </c>
      <c r="I1086" s="30" t="s">
        <v>73</v>
      </c>
      <c r="J1086" s="89" t="s">
        <v>6085</v>
      </c>
      <c r="K1086" s="30" t="s">
        <v>640</v>
      </c>
      <c r="L1086" s="30" t="s">
        <v>6086</v>
      </c>
      <c r="M1086" s="30" t="s">
        <v>63</v>
      </c>
      <c r="N1086" s="30">
        <v>0</v>
      </c>
      <c r="O1086" s="30" t="s">
        <v>64</v>
      </c>
      <c r="P1086" s="89" t="s">
        <v>78</v>
      </c>
      <c r="Q1086" s="89" t="s">
        <v>642</v>
      </c>
      <c r="R1086" s="89" t="s">
        <v>643</v>
      </c>
      <c r="S1086" s="30">
        <v>0</v>
      </c>
      <c r="T1086" s="233" t="s">
        <v>68</v>
      </c>
      <c r="U1086" s="30">
        <v>0</v>
      </c>
      <c r="V1086" s="233" t="s">
        <v>68</v>
      </c>
      <c r="W1086" s="30">
        <v>0</v>
      </c>
      <c r="X1086" s="30">
        <v>0</v>
      </c>
      <c r="Y1086" s="30">
        <v>0</v>
      </c>
      <c r="Z1086" s="233" t="s">
        <v>68</v>
      </c>
      <c r="AA1086" s="30">
        <v>0</v>
      </c>
      <c r="AB1086" s="30">
        <v>0</v>
      </c>
      <c r="AC1086" s="30">
        <v>0</v>
      </c>
      <c r="AD1086" s="30">
        <v>0</v>
      </c>
      <c r="AE1086" s="89" t="s">
        <v>68</v>
      </c>
      <c r="AF1086" s="89"/>
      <c r="AG1086" s="89" t="s">
        <v>352</v>
      </c>
      <c r="AH1086" s="72" t="s">
        <v>68</v>
      </c>
      <c r="AI1086" s="30">
        <v>1</v>
      </c>
      <c r="AJ1086" s="89" t="s">
        <v>6087</v>
      </c>
      <c r="AK1086" s="89" t="s">
        <v>6088</v>
      </c>
      <c r="AL1086" s="91">
        <v>40728</v>
      </c>
      <c r="AM1086" s="91"/>
      <c r="AN1086" s="91"/>
      <c r="AO1086" s="91"/>
      <c r="AP1086" s="73" t="e">
        <f>MID(VLOOKUP(K1086,#REF!,2,FALSE),1,2)</f>
        <v>#REF!</v>
      </c>
      <c r="AQ1086" s="89">
        <f>DATE(2011,5,24)</f>
        <v>40687</v>
      </c>
      <c r="AR1086" s="82">
        <f t="shared" si="70"/>
        <v>24</v>
      </c>
      <c r="AS1086" s="83">
        <f t="shared" si="71"/>
        <v>5</v>
      </c>
      <c r="AT1086" s="84">
        <f t="shared" si="72"/>
        <v>2011</v>
      </c>
      <c r="AU1086" s="86"/>
      <c r="AV1086" s="86"/>
      <c r="AW1086" s="87"/>
      <c r="AX1086" s="86"/>
      <c r="AY1086" s="83"/>
      <c r="AZ1086" s="84"/>
      <c r="BA1086" s="86"/>
      <c r="BB1086" s="86"/>
    </row>
    <row r="1087" spans="1:54" ht="36.75" customHeight="1">
      <c r="A1087" s="30"/>
      <c r="B1087" s="30" t="s">
        <v>55</v>
      </c>
      <c r="C1087" s="69" t="str">
        <f t="shared" si="69"/>
        <v>Closed</v>
      </c>
      <c r="D1087" s="27" t="s">
        <v>6089</v>
      </c>
      <c r="E1087" s="29" t="s">
        <v>6090</v>
      </c>
      <c r="F1087" s="30" t="s">
        <v>1572</v>
      </c>
      <c r="G1087" s="89">
        <f>DATE(2011,5,25)</f>
        <v>40688</v>
      </c>
      <c r="H1087" s="90">
        <v>1.1527777777777777</v>
      </c>
      <c r="I1087" s="30" t="s">
        <v>125</v>
      </c>
      <c r="J1087" s="89" t="s">
        <v>6091</v>
      </c>
      <c r="K1087" s="30" t="s">
        <v>1574</v>
      </c>
      <c r="L1087" s="30" t="s">
        <v>6092</v>
      </c>
      <c r="M1087" s="30" t="s">
        <v>63</v>
      </c>
      <c r="N1087" s="30">
        <v>0</v>
      </c>
      <c r="O1087" s="30" t="s">
        <v>64</v>
      </c>
      <c r="P1087" s="89" t="s">
        <v>381</v>
      </c>
      <c r="Q1087" s="89" t="s">
        <v>6093</v>
      </c>
      <c r="R1087" s="89" t="s">
        <v>4920</v>
      </c>
      <c r="S1087" s="30">
        <v>0</v>
      </c>
      <c r="T1087" s="233" t="s">
        <v>68</v>
      </c>
      <c r="U1087" s="30">
        <v>0</v>
      </c>
      <c r="V1087" s="233" t="s">
        <v>68</v>
      </c>
      <c r="W1087" s="30">
        <v>0</v>
      </c>
      <c r="X1087" s="30">
        <v>0</v>
      </c>
      <c r="Y1087" s="30">
        <v>0</v>
      </c>
      <c r="Z1087" s="233" t="s">
        <v>68</v>
      </c>
      <c r="AA1087" s="30">
        <v>0</v>
      </c>
      <c r="AB1087" s="30">
        <v>0</v>
      </c>
      <c r="AC1087" s="30">
        <v>0</v>
      </c>
      <c r="AD1087" s="30">
        <v>0</v>
      </c>
      <c r="AE1087" s="89" t="s">
        <v>68</v>
      </c>
      <c r="AF1087" s="89"/>
      <c r="AG1087" s="89" t="s">
        <v>133</v>
      </c>
      <c r="AH1087" s="72" t="s">
        <v>68</v>
      </c>
      <c r="AI1087" s="30">
        <v>1</v>
      </c>
      <c r="AJ1087" s="89" t="s">
        <v>6094</v>
      </c>
      <c r="AK1087" s="89" t="s">
        <v>68</v>
      </c>
      <c r="AL1087" s="91">
        <v>40694</v>
      </c>
      <c r="AM1087" s="91"/>
      <c r="AN1087" s="91"/>
      <c r="AO1087" s="91"/>
      <c r="AP1087" s="73" t="e">
        <f>MID(VLOOKUP(K1087,#REF!,2,FALSE),1,2)</f>
        <v>#REF!</v>
      </c>
      <c r="AQ1087" s="89">
        <f>DATE(2011,5,25)</f>
        <v>40688</v>
      </c>
      <c r="AR1087" s="82">
        <f t="shared" si="70"/>
        <v>25</v>
      </c>
      <c r="AS1087" s="83">
        <f t="shared" si="71"/>
        <v>5</v>
      </c>
      <c r="AT1087" s="84">
        <f t="shared" si="72"/>
        <v>2011</v>
      </c>
      <c r="AU1087" s="86"/>
      <c r="AV1087" s="86"/>
      <c r="AW1087" s="87"/>
      <c r="AX1087" s="86"/>
      <c r="AY1087" s="83"/>
      <c r="AZ1087" s="84"/>
      <c r="BA1087" s="86"/>
      <c r="BB1087" s="86"/>
    </row>
    <row r="1088" spans="1:54" ht="36.75" customHeight="1">
      <c r="A1088" s="30"/>
      <c r="B1088" s="30" t="s">
        <v>55</v>
      </c>
      <c r="C1088" s="69" t="str">
        <f t="shared" si="69"/>
        <v>Closed</v>
      </c>
      <c r="D1088" s="27" t="s">
        <v>6095</v>
      </c>
      <c r="E1088" s="29" t="s">
        <v>6096</v>
      </c>
      <c r="F1088" s="30" t="s">
        <v>835</v>
      </c>
      <c r="G1088" s="89">
        <f>DATE(2011,5,26)</f>
        <v>40689</v>
      </c>
      <c r="H1088" s="90">
        <v>1.6638888888888888</v>
      </c>
      <c r="I1088" s="30" t="s">
        <v>116</v>
      </c>
      <c r="J1088" s="89" t="s">
        <v>6097</v>
      </c>
      <c r="K1088" s="30" t="s">
        <v>837</v>
      </c>
      <c r="L1088" s="30" t="s">
        <v>6098</v>
      </c>
      <c r="M1088" s="30" t="s">
        <v>63</v>
      </c>
      <c r="N1088" s="30">
        <v>0</v>
      </c>
      <c r="O1088" s="30" t="s">
        <v>64</v>
      </c>
      <c r="P1088" s="89" t="s">
        <v>165</v>
      </c>
      <c r="Q1088" s="89" t="s">
        <v>2162</v>
      </c>
      <c r="R1088" s="89" t="s">
        <v>840</v>
      </c>
      <c r="S1088" s="30">
        <v>0</v>
      </c>
      <c r="T1088" s="233">
        <v>0</v>
      </c>
      <c r="U1088" s="30">
        <v>0</v>
      </c>
      <c r="V1088" s="233">
        <v>0</v>
      </c>
      <c r="W1088" s="30">
        <v>0</v>
      </c>
      <c r="X1088" s="30">
        <v>0</v>
      </c>
      <c r="Y1088" s="30">
        <v>0</v>
      </c>
      <c r="Z1088" s="233">
        <v>0</v>
      </c>
      <c r="AA1088" s="30">
        <v>1</v>
      </c>
      <c r="AB1088" s="30">
        <v>0</v>
      </c>
      <c r="AC1088" s="30">
        <v>0</v>
      </c>
      <c r="AD1088" s="30">
        <v>1</v>
      </c>
      <c r="AE1088" s="89" t="s">
        <v>68</v>
      </c>
      <c r="AF1088" s="89"/>
      <c r="AG1088" s="89" t="s">
        <v>352</v>
      </c>
      <c r="AH1088" s="72" t="s">
        <v>68</v>
      </c>
      <c r="AI1088" s="30">
        <v>0</v>
      </c>
      <c r="AJ1088" s="89" t="s">
        <v>68</v>
      </c>
      <c r="AK1088" s="89" t="s">
        <v>68</v>
      </c>
      <c r="AL1088" s="91">
        <v>40737</v>
      </c>
      <c r="AM1088" s="91"/>
      <c r="AN1088" s="91"/>
      <c r="AO1088" s="91"/>
      <c r="AP1088" s="73" t="e">
        <f>MID(VLOOKUP(K1088,#REF!,2,FALSE),1,2)</f>
        <v>#REF!</v>
      </c>
      <c r="AQ1088" s="89">
        <f>DATE(2011,5,26)</f>
        <v>40689</v>
      </c>
      <c r="AR1088" s="82">
        <f t="shared" si="70"/>
        <v>26</v>
      </c>
      <c r="AS1088" s="83">
        <f t="shared" si="71"/>
        <v>5</v>
      </c>
      <c r="AT1088" s="84">
        <f t="shared" si="72"/>
        <v>2011</v>
      </c>
      <c r="AU1088" s="86"/>
      <c r="AV1088" s="86"/>
      <c r="AW1088" s="87"/>
      <c r="AX1088" s="86"/>
      <c r="AY1088" s="83"/>
      <c r="AZ1088" s="84"/>
      <c r="BA1088" s="86"/>
      <c r="BB1088" s="86"/>
    </row>
    <row r="1089" spans="1:54" ht="36.75" customHeight="1">
      <c r="A1089" s="30"/>
      <c r="B1089" s="30" t="s">
        <v>55</v>
      </c>
      <c r="C1089" s="69" t="str">
        <f t="shared" si="69"/>
        <v>Closed</v>
      </c>
      <c r="D1089" s="27" t="s">
        <v>6099</v>
      </c>
      <c r="E1089" s="29" t="s">
        <v>6100</v>
      </c>
      <c r="F1089" s="30" t="s">
        <v>233</v>
      </c>
      <c r="G1089" s="89">
        <f>DATE(2011,5,26)</f>
        <v>40689</v>
      </c>
      <c r="H1089" s="90">
        <v>1.8847222222222224</v>
      </c>
      <c r="I1089" s="30" t="s">
        <v>86</v>
      </c>
      <c r="J1089" s="89" t="s">
        <v>6101</v>
      </c>
      <c r="K1089" s="30" t="s">
        <v>235</v>
      </c>
      <c r="L1089" s="30" t="s">
        <v>6102</v>
      </c>
      <c r="M1089" s="30" t="s">
        <v>63</v>
      </c>
      <c r="N1089" s="30">
        <v>0</v>
      </c>
      <c r="O1089" s="30" t="s">
        <v>64</v>
      </c>
      <c r="P1089" s="89" t="s">
        <v>165</v>
      </c>
      <c r="Q1089" s="89" t="s">
        <v>6103</v>
      </c>
      <c r="R1089" s="89" t="s">
        <v>238</v>
      </c>
      <c r="S1089" s="30">
        <v>0</v>
      </c>
      <c r="T1089" s="233" t="s">
        <v>68</v>
      </c>
      <c r="U1089" s="30">
        <v>0</v>
      </c>
      <c r="V1089" s="233" t="s">
        <v>68</v>
      </c>
      <c r="W1089" s="30">
        <v>0</v>
      </c>
      <c r="X1089" s="30">
        <v>0</v>
      </c>
      <c r="Y1089" s="30">
        <v>0</v>
      </c>
      <c r="Z1089" s="233" t="s">
        <v>68</v>
      </c>
      <c r="AA1089" s="30">
        <v>0</v>
      </c>
      <c r="AB1089" s="30">
        <v>0</v>
      </c>
      <c r="AC1089" s="30">
        <v>0</v>
      </c>
      <c r="AD1089" s="30">
        <v>0</v>
      </c>
      <c r="AE1089" s="89" t="s">
        <v>68</v>
      </c>
      <c r="AF1089" s="89"/>
      <c r="AG1089" s="89" t="s">
        <v>133</v>
      </c>
      <c r="AH1089" s="72" t="s">
        <v>68</v>
      </c>
      <c r="AI1089" s="30">
        <v>3</v>
      </c>
      <c r="AJ1089" s="89" t="s">
        <v>6104</v>
      </c>
      <c r="AK1089" s="89" t="s">
        <v>6105</v>
      </c>
      <c r="AL1089" s="91">
        <v>40701</v>
      </c>
      <c r="AM1089" s="91"/>
      <c r="AN1089" s="91"/>
      <c r="AO1089" s="91"/>
      <c r="AP1089" s="73" t="e">
        <f>MID(VLOOKUP(K1089,#REF!,2,FALSE),1,2)</f>
        <v>#REF!</v>
      </c>
      <c r="AQ1089" s="89">
        <f>DATE(2011,5,26)</f>
        <v>40689</v>
      </c>
      <c r="AR1089" s="82">
        <f t="shared" si="70"/>
        <v>26</v>
      </c>
      <c r="AS1089" s="83">
        <f t="shared" si="71"/>
        <v>5</v>
      </c>
      <c r="AT1089" s="84">
        <f t="shared" si="72"/>
        <v>2011</v>
      </c>
      <c r="AU1089" s="86"/>
      <c r="AV1089" s="86"/>
      <c r="AW1089" s="87"/>
      <c r="AX1089" s="86"/>
      <c r="AY1089" s="83"/>
      <c r="AZ1089" s="84"/>
      <c r="BA1089" s="86"/>
      <c r="BB1089" s="86"/>
    </row>
    <row r="1090" spans="1:54" ht="36.75" customHeight="1">
      <c r="A1090" s="30"/>
      <c r="B1090" s="30" t="s">
        <v>55</v>
      </c>
      <c r="C1090" s="69" t="str">
        <f t="shared" ref="C1090:C1153" si="73">IF(B1090="Notification","Open",IF(B1090="Interim Statement","In progress","Closed"))</f>
        <v>Closed</v>
      </c>
      <c r="D1090" s="27" t="s">
        <v>6106</v>
      </c>
      <c r="E1090" s="29" t="s">
        <v>6107</v>
      </c>
      <c r="F1090" s="30" t="s">
        <v>638</v>
      </c>
      <c r="G1090" s="89">
        <f>DATE(2011,5,30)</f>
        <v>40693</v>
      </c>
      <c r="H1090" s="90">
        <v>1.3055555555555556</v>
      </c>
      <c r="I1090" s="30" t="s">
        <v>73</v>
      </c>
      <c r="J1090" s="89" t="s">
        <v>6108</v>
      </c>
      <c r="K1090" s="30" t="s">
        <v>640</v>
      </c>
      <c r="L1090" s="30" t="s">
        <v>6109</v>
      </c>
      <c r="M1090" s="30" t="s">
        <v>63</v>
      </c>
      <c r="N1090" s="30">
        <v>0</v>
      </c>
      <c r="O1090" s="30" t="s">
        <v>77</v>
      </c>
      <c r="P1090" s="89" t="s">
        <v>165</v>
      </c>
      <c r="Q1090" s="89" t="s">
        <v>642</v>
      </c>
      <c r="R1090" s="89" t="s">
        <v>643</v>
      </c>
      <c r="S1090" s="30">
        <v>0</v>
      </c>
      <c r="T1090" s="233" t="s">
        <v>68</v>
      </c>
      <c r="U1090" s="30">
        <v>0</v>
      </c>
      <c r="V1090" s="233" t="s">
        <v>68</v>
      </c>
      <c r="W1090" s="30">
        <v>0</v>
      </c>
      <c r="X1090" s="30">
        <v>0</v>
      </c>
      <c r="Y1090" s="30">
        <v>0</v>
      </c>
      <c r="Z1090" s="233" t="s">
        <v>68</v>
      </c>
      <c r="AA1090" s="30">
        <v>0</v>
      </c>
      <c r="AB1090" s="30">
        <v>0</v>
      </c>
      <c r="AC1090" s="30">
        <v>0</v>
      </c>
      <c r="AD1090" s="30">
        <v>0</v>
      </c>
      <c r="AE1090" s="89" t="s">
        <v>68</v>
      </c>
      <c r="AF1090" s="89"/>
      <c r="AG1090" s="89" t="s">
        <v>352</v>
      </c>
      <c r="AH1090" s="72" t="s">
        <v>68</v>
      </c>
      <c r="AI1090" s="30">
        <v>2</v>
      </c>
      <c r="AJ1090" s="89" t="s">
        <v>6110</v>
      </c>
      <c r="AK1090" s="89" t="s">
        <v>68</v>
      </c>
      <c r="AL1090" s="91">
        <v>40700</v>
      </c>
      <c r="AM1090" s="91"/>
      <c r="AN1090" s="91"/>
      <c r="AO1090" s="91"/>
      <c r="AP1090" s="73" t="e">
        <f>MID(VLOOKUP(K1090,#REF!,2,FALSE),1,2)</f>
        <v>#REF!</v>
      </c>
      <c r="AQ1090" s="89">
        <f>DATE(2011,5,30)</f>
        <v>40693</v>
      </c>
      <c r="AR1090" s="82">
        <f t="shared" ref="AR1090:AR1153" si="74">DAY(AQ1090)</f>
        <v>30</v>
      </c>
      <c r="AS1090" s="83">
        <f t="shared" ref="AS1090:AS1153" si="75">MONTH(AQ1090)</f>
        <v>5</v>
      </c>
      <c r="AT1090" s="84">
        <f t="shared" ref="AT1090:AT1153" si="76">YEAR(AQ1090)</f>
        <v>2011</v>
      </c>
      <c r="AU1090" s="86"/>
      <c r="AV1090" s="86"/>
      <c r="AW1090" s="87"/>
      <c r="AX1090" s="86"/>
      <c r="AY1090" s="83"/>
      <c r="AZ1090" s="84"/>
      <c r="BA1090" s="86"/>
      <c r="BB1090" s="86"/>
    </row>
    <row r="1091" spans="1:54" ht="36.75" customHeight="1">
      <c r="A1091" s="30"/>
      <c r="B1091" s="30" t="s">
        <v>55</v>
      </c>
      <c r="C1091" s="69" t="str">
        <f t="shared" si="73"/>
        <v>Closed</v>
      </c>
      <c r="D1091" s="27" t="s">
        <v>6111</v>
      </c>
      <c r="E1091" s="29" t="s">
        <v>6112</v>
      </c>
      <c r="F1091" s="30" t="s">
        <v>115</v>
      </c>
      <c r="G1091" s="89">
        <f>DATE(2011,5,31)</f>
        <v>40694</v>
      </c>
      <c r="H1091" s="90">
        <v>1.6388888888888888</v>
      </c>
      <c r="I1091" s="30" t="s">
        <v>116</v>
      </c>
      <c r="J1091" s="89" t="s">
        <v>6113</v>
      </c>
      <c r="K1091" s="30" t="s">
        <v>118</v>
      </c>
      <c r="L1091" s="30" t="s">
        <v>6114</v>
      </c>
      <c r="M1091" s="30" t="s">
        <v>63</v>
      </c>
      <c r="N1091" s="30" t="s">
        <v>142</v>
      </c>
      <c r="O1091" s="30" t="s">
        <v>64</v>
      </c>
      <c r="P1091" s="89" t="s">
        <v>165</v>
      </c>
      <c r="Q1091" s="89" t="s">
        <v>120</v>
      </c>
      <c r="R1091" s="89" t="s">
        <v>121</v>
      </c>
      <c r="S1091" s="30">
        <v>0</v>
      </c>
      <c r="T1091" s="233">
        <v>0</v>
      </c>
      <c r="U1091" s="30">
        <v>0</v>
      </c>
      <c r="V1091" s="233">
        <v>0</v>
      </c>
      <c r="W1091" s="30">
        <v>0</v>
      </c>
      <c r="X1091" s="30">
        <v>0</v>
      </c>
      <c r="Y1091" s="30">
        <v>0</v>
      </c>
      <c r="Z1091" s="233">
        <v>0</v>
      </c>
      <c r="AA1091" s="30">
        <v>0</v>
      </c>
      <c r="AB1091" s="30">
        <v>0</v>
      </c>
      <c r="AC1091" s="30">
        <v>0</v>
      </c>
      <c r="AD1091" s="30">
        <v>0</v>
      </c>
      <c r="AE1091" s="89" t="s">
        <v>394</v>
      </c>
      <c r="AF1091" s="89"/>
      <c r="AG1091" s="89" t="s">
        <v>248</v>
      </c>
      <c r="AH1091" s="72">
        <v>40697</v>
      </c>
      <c r="AI1091" s="30">
        <v>2</v>
      </c>
      <c r="AJ1091" s="89" t="s">
        <v>6115</v>
      </c>
      <c r="AK1091" s="89" t="s">
        <v>6116</v>
      </c>
      <c r="AL1091" s="91">
        <v>40704</v>
      </c>
      <c r="AM1091" s="91"/>
      <c r="AN1091" s="91"/>
      <c r="AO1091" s="91"/>
      <c r="AP1091" s="73" t="e">
        <f>MID(VLOOKUP(K1091,#REF!,2,FALSE),1,2)</f>
        <v>#REF!</v>
      </c>
      <c r="AQ1091" s="89">
        <f>DATE(2011,5,31)</f>
        <v>40694</v>
      </c>
      <c r="AR1091" s="82">
        <f t="shared" si="74"/>
        <v>31</v>
      </c>
      <c r="AS1091" s="83">
        <f t="shared" si="75"/>
        <v>5</v>
      </c>
      <c r="AT1091" s="84">
        <f t="shared" si="76"/>
        <v>2011</v>
      </c>
      <c r="AU1091" s="86"/>
      <c r="AV1091" s="86"/>
      <c r="AW1091" s="87"/>
      <c r="AX1091" s="86"/>
      <c r="AY1091" s="83"/>
      <c r="AZ1091" s="84"/>
      <c r="BA1091" s="86"/>
      <c r="BB1091" s="86"/>
    </row>
    <row r="1092" spans="1:54" ht="36.75" customHeight="1">
      <c r="A1092" s="30"/>
      <c r="B1092" s="30" t="s">
        <v>55</v>
      </c>
      <c r="C1092" s="69" t="str">
        <f t="shared" si="73"/>
        <v>Closed</v>
      </c>
      <c r="D1092" s="27" t="s">
        <v>6117</v>
      </c>
      <c r="E1092" s="29" t="s">
        <v>6118</v>
      </c>
      <c r="F1092" s="30" t="s">
        <v>638</v>
      </c>
      <c r="G1092" s="89">
        <f>DATE(2011,6,1)</f>
        <v>40695</v>
      </c>
      <c r="H1092" s="90">
        <v>1.6666666666666665</v>
      </c>
      <c r="I1092" s="30" t="s">
        <v>86</v>
      </c>
      <c r="J1092" s="89" t="s">
        <v>6119</v>
      </c>
      <c r="K1092" s="30" t="s">
        <v>640</v>
      </c>
      <c r="L1092" s="30" t="s">
        <v>6120</v>
      </c>
      <c r="M1092" s="30" t="s">
        <v>63</v>
      </c>
      <c r="N1092" s="30">
        <v>0</v>
      </c>
      <c r="O1092" s="30" t="s">
        <v>77</v>
      </c>
      <c r="P1092" s="89" t="s">
        <v>78</v>
      </c>
      <c r="Q1092" s="89" t="s">
        <v>3246</v>
      </c>
      <c r="R1092" s="89" t="s">
        <v>3246</v>
      </c>
      <c r="S1092" s="30">
        <v>0</v>
      </c>
      <c r="T1092" s="233" t="s">
        <v>68</v>
      </c>
      <c r="U1092" s="30">
        <v>0</v>
      </c>
      <c r="V1092" s="233" t="s">
        <v>68</v>
      </c>
      <c r="W1092" s="30">
        <v>0</v>
      </c>
      <c r="X1092" s="30">
        <v>0</v>
      </c>
      <c r="Y1092" s="30">
        <v>0</v>
      </c>
      <c r="Z1092" s="233" t="s">
        <v>68</v>
      </c>
      <c r="AA1092" s="30">
        <v>0</v>
      </c>
      <c r="AB1092" s="30">
        <v>0</v>
      </c>
      <c r="AC1092" s="30">
        <v>0</v>
      </c>
      <c r="AD1092" s="30">
        <v>0</v>
      </c>
      <c r="AE1092" s="89" t="s">
        <v>68</v>
      </c>
      <c r="AF1092" s="89"/>
      <c r="AG1092" s="89" t="s">
        <v>133</v>
      </c>
      <c r="AH1092" s="72" t="s">
        <v>68</v>
      </c>
      <c r="AI1092" s="30">
        <v>3</v>
      </c>
      <c r="AJ1092" s="89" t="s">
        <v>6121</v>
      </c>
      <c r="AK1092" s="89" t="s">
        <v>68</v>
      </c>
      <c r="AL1092" s="91">
        <v>40725</v>
      </c>
      <c r="AM1092" s="91"/>
      <c r="AN1092" s="91"/>
      <c r="AO1092" s="91"/>
      <c r="AP1092" s="73" t="e">
        <f>MID(VLOOKUP(K1092,#REF!,2,FALSE),1,2)</f>
        <v>#REF!</v>
      </c>
      <c r="AQ1092" s="89">
        <f>DATE(2011,6,1)</f>
        <v>40695</v>
      </c>
      <c r="AR1092" s="82">
        <f t="shared" si="74"/>
        <v>1</v>
      </c>
      <c r="AS1092" s="83">
        <f t="shared" si="75"/>
        <v>6</v>
      </c>
      <c r="AT1092" s="84">
        <f t="shared" si="76"/>
        <v>2011</v>
      </c>
      <c r="AU1092" s="86"/>
      <c r="AV1092" s="86"/>
      <c r="AW1092" s="87"/>
      <c r="AX1092" s="86"/>
      <c r="AY1092" s="83"/>
      <c r="AZ1092" s="84"/>
      <c r="BA1092" s="86"/>
      <c r="BB1092" s="86"/>
    </row>
    <row r="1093" spans="1:54" ht="36.75" customHeight="1">
      <c r="A1093" s="30"/>
      <c r="B1093" s="30" t="s">
        <v>55</v>
      </c>
      <c r="C1093" s="69" t="str">
        <f t="shared" si="73"/>
        <v>Closed</v>
      </c>
      <c r="D1093" s="27" t="s">
        <v>6122</v>
      </c>
      <c r="E1093" s="29" t="s">
        <v>6123</v>
      </c>
      <c r="F1093" s="30" t="s">
        <v>451</v>
      </c>
      <c r="G1093" s="89">
        <f>DATE(2011,6,3)</f>
        <v>40697</v>
      </c>
      <c r="H1093" s="90">
        <v>1.9652777777777777</v>
      </c>
      <c r="I1093" s="30" t="s">
        <v>73</v>
      </c>
      <c r="J1093" s="89" t="s">
        <v>6124</v>
      </c>
      <c r="K1093" s="30" t="s">
        <v>453</v>
      </c>
      <c r="L1093" s="30" t="s">
        <v>6125</v>
      </c>
      <c r="M1093" s="30" t="s">
        <v>63</v>
      </c>
      <c r="N1093" s="30" t="s">
        <v>99</v>
      </c>
      <c r="O1093" s="30" t="s">
        <v>64</v>
      </c>
      <c r="P1093" s="89" t="s">
        <v>165</v>
      </c>
      <c r="Q1093" s="89" t="s">
        <v>665</v>
      </c>
      <c r="R1093" s="89" t="s">
        <v>572</v>
      </c>
      <c r="S1093" s="30">
        <v>0</v>
      </c>
      <c r="T1093" s="233">
        <v>0</v>
      </c>
      <c r="U1093" s="30">
        <v>0</v>
      </c>
      <c r="V1093" s="233">
        <v>0</v>
      </c>
      <c r="W1093" s="30">
        <v>0</v>
      </c>
      <c r="X1093" s="30">
        <v>0</v>
      </c>
      <c r="Y1093" s="30">
        <v>0</v>
      </c>
      <c r="Z1093" s="233">
        <v>0</v>
      </c>
      <c r="AA1093" s="30">
        <v>0</v>
      </c>
      <c r="AB1093" s="30">
        <v>0</v>
      </c>
      <c r="AC1093" s="30">
        <v>0</v>
      </c>
      <c r="AD1093" s="30">
        <v>0</v>
      </c>
      <c r="AE1093" s="89" t="s">
        <v>394</v>
      </c>
      <c r="AF1093" s="89"/>
      <c r="AG1093" s="89" t="s">
        <v>82</v>
      </c>
      <c r="AH1093" s="72">
        <v>41037</v>
      </c>
      <c r="AI1093" s="30">
        <v>0</v>
      </c>
      <c r="AJ1093" s="89" t="s">
        <v>6126</v>
      </c>
      <c r="AK1093" s="89" t="s">
        <v>1088</v>
      </c>
      <c r="AL1093" s="91">
        <v>41236</v>
      </c>
      <c r="AM1093" s="91"/>
      <c r="AN1093" s="91"/>
      <c r="AO1093" s="91"/>
      <c r="AP1093" s="73" t="e">
        <f>MID(VLOOKUP(K1093,#REF!,2,FALSE),1,2)</f>
        <v>#REF!</v>
      </c>
      <c r="AQ1093" s="89">
        <f>DATE(2011,6,3)</f>
        <v>40697</v>
      </c>
      <c r="AR1093" s="82">
        <f t="shared" si="74"/>
        <v>3</v>
      </c>
      <c r="AS1093" s="83">
        <f t="shared" si="75"/>
        <v>6</v>
      </c>
      <c r="AT1093" s="84">
        <f t="shared" si="76"/>
        <v>2011</v>
      </c>
      <c r="AU1093" s="86"/>
      <c r="AV1093" s="86"/>
      <c r="AW1093" s="87"/>
      <c r="AX1093" s="86"/>
      <c r="AY1093" s="83"/>
      <c r="AZ1093" s="84"/>
      <c r="BA1093" s="86"/>
      <c r="BB1093" s="86"/>
    </row>
    <row r="1094" spans="1:54" ht="36.75" customHeight="1">
      <c r="A1094" s="30"/>
      <c r="B1094" s="30" t="s">
        <v>55</v>
      </c>
      <c r="C1094" s="69" t="str">
        <f t="shared" si="73"/>
        <v>Closed</v>
      </c>
      <c r="D1094" s="27" t="s">
        <v>6127</v>
      </c>
      <c r="E1094" s="29" t="s">
        <v>6128</v>
      </c>
      <c r="F1094" s="30" t="s">
        <v>124</v>
      </c>
      <c r="G1094" s="89">
        <f>DATE(2011,6,3)</f>
        <v>40697</v>
      </c>
      <c r="H1094" s="90">
        <v>1.9097222222222223</v>
      </c>
      <c r="I1094" s="30" t="s">
        <v>116</v>
      </c>
      <c r="J1094" s="89" t="s">
        <v>6129</v>
      </c>
      <c r="K1094" s="30" t="s">
        <v>127</v>
      </c>
      <c r="L1094" s="30" t="s">
        <v>6130</v>
      </c>
      <c r="M1094" s="30" t="s">
        <v>63</v>
      </c>
      <c r="N1094" s="30">
        <v>0</v>
      </c>
      <c r="O1094" s="30" t="s">
        <v>64</v>
      </c>
      <c r="P1094" s="89" t="s">
        <v>78</v>
      </c>
      <c r="Q1094" s="89" t="s">
        <v>6131</v>
      </c>
      <c r="R1094" s="89" t="s">
        <v>167</v>
      </c>
      <c r="S1094" s="30">
        <v>0</v>
      </c>
      <c r="T1094" s="233">
        <v>0</v>
      </c>
      <c r="U1094" s="30">
        <v>1</v>
      </c>
      <c r="V1094" s="233">
        <v>0</v>
      </c>
      <c r="W1094" s="30">
        <v>0</v>
      </c>
      <c r="X1094" s="30">
        <v>1</v>
      </c>
      <c r="Y1094" s="30">
        <v>0</v>
      </c>
      <c r="Z1094" s="233">
        <v>0</v>
      </c>
      <c r="AA1094" s="30">
        <v>0</v>
      </c>
      <c r="AB1094" s="30">
        <v>0</v>
      </c>
      <c r="AC1094" s="30">
        <v>0</v>
      </c>
      <c r="AD1094" s="30">
        <v>0</v>
      </c>
      <c r="AE1094" s="89" t="s">
        <v>68</v>
      </c>
      <c r="AF1094" s="89"/>
      <c r="AG1094" s="89" t="s">
        <v>352</v>
      </c>
      <c r="AH1094" s="72" t="s">
        <v>68</v>
      </c>
      <c r="AI1094" s="30">
        <v>1</v>
      </c>
      <c r="AJ1094" s="89" t="s">
        <v>68</v>
      </c>
      <c r="AK1094" s="89" t="s">
        <v>68</v>
      </c>
      <c r="AL1094" s="91">
        <v>40718</v>
      </c>
      <c r="AM1094" s="91"/>
      <c r="AN1094" s="91"/>
      <c r="AO1094" s="91"/>
      <c r="AP1094" s="73" t="e">
        <f>MID(VLOOKUP(K1094,#REF!,2,FALSE),1,2)</f>
        <v>#REF!</v>
      </c>
      <c r="AQ1094" s="89">
        <f>DATE(2011,6,3)</f>
        <v>40697</v>
      </c>
      <c r="AR1094" s="82">
        <f t="shared" si="74"/>
        <v>3</v>
      </c>
      <c r="AS1094" s="83">
        <f t="shared" si="75"/>
        <v>6</v>
      </c>
      <c r="AT1094" s="84">
        <f t="shared" si="76"/>
        <v>2011</v>
      </c>
      <c r="AU1094" s="86"/>
      <c r="AV1094" s="86"/>
      <c r="AW1094" s="87"/>
      <c r="AX1094" s="86"/>
      <c r="AY1094" s="83"/>
      <c r="AZ1094" s="84"/>
      <c r="BA1094" s="86"/>
      <c r="BB1094" s="86"/>
    </row>
    <row r="1095" spans="1:54" ht="36.75" customHeight="1">
      <c r="A1095" s="30"/>
      <c r="B1095" s="30" t="s">
        <v>55</v>
      </c>
      <c r="C1095" s="69" t="str">
        <f t="shared" si="73"/>
        <v>Closed</v>
      </c>
      <c r="D1095" s="27" t="s">
        <v>6132</v>
      </c>
      <c r="E1095" s="29" t="s">
        <v>6133</v>
      </c>
      <c r="F1095" s="30" t="s">
        <v>423</v>
      </c>
      <c r="G1095" s="89">
        <f>DATE(2011,6,5)</f>
        <v>40699</v>
      </c>
      <c r="H1095" s="90">
        <v>1.5166666666666666</v>
      </c>
      <c r="I1095" s="30" t="s">
        <v>73</v>
      </c>
      <c r="J1095" s="89" t="s">
        <v>6134</v>
      </c>
      <c r="K1095" s="30" t="s">
        <v>425</v>
      </c>
      <c r="L1095" s="30" t="s">
        <v>6135</v>
      </c>
      <c r="M1095" s="30" t="s">
        <v>63</v>
      </c>
      <c r="N1095" s="30">
        <v>0</v>
      </c>
      <c r="O1095" s="30" t="s">
        <v>64</v>
      </c>
      <c r="P1095" s="89" t="s">
        <v>78</v>
      </c>
      <c r="Q1095" s="89" t="s">
        <v>2582</v>
      </c>
      <c r="R1095" s="89" t="s">
        <v>3103</v>
      </c>
      <c r="S1095" s="30">
        <v>0</v>
      </c>
      <c r="T1095" s="233" t="s">
        <v>68</v>
      </c>
      <c r="U1095" s="30">
        <v>0</v>
      </c>
      <c r="V1095" s="233" t="s">
        <v>68</v>
      </c>
      <c r="W1095" s="30">
        <v>0</v>
      </c>
      <c r="X1095" s="30">
        <v>0</v>
      </c>
      <c r="Y1095" s="30">
        <v>0</v>
      </c>
      <c r="Z1095" s="233" t="s">
        <v>68</v>
      </c>
      <c r="AA1095" s="30">
        <v>0</v>
      </c>
      <c r="AB1095" s="30">
        <v>0</v>
      </c>
      <c r="AC1095" s="30">
        <v>0</v>
      </c>
      <c r="AD1095" s="30">
        <v>0</v>
      </c>
      <c r="AE1095" s="89" t="s">
        <v>68</v>
      </c>
      <c r="AF1095" s="89"/>
      <c r="AG1095" s="89" t="s">
        <v>133</v>
      </c>
      <c r="AH1095" s="72" t="s">
        <v>68</v>
      </c>
      <c r="AI1095" s="30">
        <v>8</v>
      </c>
      <c r="AJ1095" s="89" t="s">
        <v>6136</v>
      </c>
      <c r="AK1095" s="89" t="s">
        <v>68</v>
      </c>
      <c r="AL1095" s="91">
        <v>40707</v>
      </c>
      <c r="AM1095" s="91"/>
      <c r="AN1095" s="91"/>
      <c r="AO1095" s="91"/>
      <c r="AP1095" s="73" t="e">
        <f>MID(VLOOKUP(K1095,#REF!,2,FALSE),1,2)</f>
        <v>#REF!</v>
      </c>
      <c r="AQ1095" s="89">
        <f>DATE(2011,6,5)</f>
        <v>40699</v>
      </c>
      <c r="AR1095" s="82">
        <f t="shared" si="74"/>
        <v>5</v>
      </c>
      <c r="AS1095" s="83">
        <f t="shared" si="75"/>
        <v>6</v>
      </c>
      <c r="AT1095" s="84">
        <f t="shared" si="76"/>
        <v>2011</v>
      </c>
      <c r="AU1095" s="86"/>
      <c r="AV1095" s="86"/>
      <c r="AW1095" s="87"/>
      <c r="AX1095" s="86"/>
      <c r="AY1095" s="83"/>
      <c r="AZ1095" s="84"/>
      <c r="BA1095" s="86"/>
      <c r="BB1095" s="86"/>
    </row>
    <row r="1096" spans="1:54" ht="36.75" customHeight="1">
      <c r="A1096" s="30"/>
      <c r="B1096" s="30" t="s">
        <v>55</v>
      </c>
      <c r="C1096" s="69" t="str">
        <f t="shared" si="73"/>
        <v>Closed</v>
      </c>
      <c r="D1096" s="27" t="s">
        <v>6137</v>
      </c>
      <c r="E1096" s="29" t="s">
        <v>6138</v>
      </c>
      <c r="F1096" s="30" t="s">
        <v>233</v>
      </c>
      <c r="G1096" s="89">
        <f>DATE(2011,6,5)</f>
        <v>40699</v>
      </c>
      <c r="H1096" s="90">
        <v>1.0138888888888888</v>
      </c>
      <c r="I1096" s="30" t="s">
        <v>278</v>
      </c>
      <c r="J1096" s="89" t="s">
        <v>6139</v>
      </c>
      <c r="K1096" s="30" t="s">
        <v>235</v>
      </c>
      <c r="L1096" s="30" t="s">
        <v>6140</v>
      </c>
      <c r="M1096" s="30" t="s">
        <v>255</v>
      </c>
      <c r="N1096" s="30">
        <v>0</v>
      </c>
      <c r="O1096" s="30" t="s">
        <v>64</v>
      </c>
      <c r="P1096" s="89" t="s">
        <v>86</v>
      </c>
      <c r="Q1096" s="89" t="s">
        <v>316</v>
      </c>
      <c r="R1096" s="89" t="s">
        <v>316</v>
      </c>
      <c r="S1096" s="30">
        <v>0</v>
      </c>
      <c r="T1096" s="233">
        <v>0</v>
      </c>
      <c r="U1096" s="30">
        <v>0</v>
      </c>
      <c r="V1096" s="233">
        <v>0</v>
      </c>
      <c r="W1096" s="30">
        <v>1</v>
      </c>
      <c r="X1096" s="30">
        <v>1</v>
      </c>
      <c r="Y1096" s="30">
        <v>0</v>
      </c>
      <c r="Z1096" s="233">
        <v>0</v>
      </c>
      <c r="AA1096" s="30">
        <v>0</v>
      </c>
      <c r="AB1096" s="30">
        <v>0</v>
      </c>
      <c r="AC1096" s="30">
        <v>0</v>
      </c>
      <c r="AD1096" s="30">
        <v>0</v>
      </c>
      <c r="AE1096" s="89" t="s">
        <v>68</v>
      </c>
      <c r="AF1096" s="89"/>
      <c r="AG1096" s="89" t="s">
        <v>82</v>
      </c>
      <c r="AH1096" s="72" t="s">
        <v>68</v>
      </c>
      <c r="AI1096" s="30">
        <v>2</v>
      </c>
      <c r="AJ1096" s="89" t="s">
        <v>6141</v>
      </c>
      <c r="AK1096" s="89" t="s">
        <v>6142</v>
      </c>
      <c r="AL1096" s="91">
        <v>40788</v>
      </c>
      <c r="AM1096" s="91"/>
      <c r="AN1096" s="91"/>
      <c r="AO1096" s="91"/>
      <c r="AP1096" s="73" t="e">
        <f>MID(VLOOKUP(K1096,#REF!,2,FALSE),1,2)</f>
        <v>#REF!</v>
      </c>
      <c r="AQ1096" s="89">
        <f>DATE(2011,6,5)</f>
        <v>40699</v>
      </c>
      <c r="AR1096" s="82">
        <f t="shared" si="74"/>
        <v>5</v>
      </c>
      <c r="AS1096" s="83">
        <f t="shared" si="75"/>
        <v>6</v>
      </c>
      <c r="AT1096" s="84">
        <f t="shared" si="76"/>
        <v>2011</v>
      </c>
      <c r="AU1096" s="86"/>
      <c r="AV1096" s="86"/>
      <c r="AW1096" s="87"/>
      <c r="AX1096" s="86"/>
      <c r="AY1096" s="83"/>
      <c r="AZ1096" s="84"/>
      <c r="BA1096" s="86"/>
      <c r="BB1096" s="86"/>
    </row>
    <row r="1097" spans="1:54" ht="36.75" customHeight="1">
      <c r="A1097" s="30"/>
      <c r="B1097" s="30" t="s">
        <v>55</v>
      </c>
      <c r="C1097" s="69" t="str">
        <f t="shared" si="73"/>
        <v>Closed</v>
      </c>
      <c r="D1097" s="27" t="s">
        <v>6143</v>
      </c>
      <c r="E1097" s="29" t="s">
        <v>6144</v>
      </c>
      <c r="F1097" s="30" t="s">
        <v>835</v>
      </c>
      <c r="G1097" s="89">
        <f>DATE(2011,6,6)</f>
        <v>40700</v>
      </c>
      <c r="H1097" s="90">
        <v>1.7361111111111112</v>
      </c>
      <c r="I1097" s="30" t="s">
        <v>116</v>
      </c>
      <c r="J1097" s="89" t="s">
        <v>6145</v>
      </c>
      <c r="K1097" s="30" t="s">
        <v>837</v>
      </c>
      <c r="L1097" s="30" t="s">
        <v>6146</v>
      </c>
      <c r="M1097" s="30" t="s">
        <v>63</v>
      </c>
      <c r="N1097" s="30">
        <v>0</v>
      </c>
      <c r="O1097" s="30" t="s">
        <v>64</v>
      </c>
      <c r="P1097" s="89" t="s">
        <v>165</v>
      </c>
      <c r="Q1097" s="89" t="s">
        <v>4311</v>
      </c>
      <c r="R1097" s="89" t="s">
        <v>2797</v>
      </c>
      <c r="S1097" s="30">
        <v>0</v>
      </c>
      <c r="T1097" s="233">
        <v>0</v>
      </c>
      <c r="U1097" s="30">
        <v>1</v>
      </c>
      <c r="V1097" s="233">
        <v>0</v>
      </c>
      <c r="W1097" s="30">
        <v>0</v>
      </c>
      <c r="X1097" s="30">
        <v>1</v>
      </c>
      <c r="Y1097" s="30">
        <v>0</v>
      </c>
      <c r="Z1097" s="233">
        <v>0</v>
      </c>
      <c r="AA1097" s="30">
        <v>0</v>
      </c>
      <c r="AB1097" s="30">
        <v>0</v>
      </c>
      <c r="AC1097" s="30">
        <v>0</v>
      </c>
      <c r="AD1097" s="30">
        <v>0</v>
      </c>
      <c r="AE1097" s="89" t="s">
        <v>68</v>
      </c>
      <c r="AF1097" s="89"/>
      <c r="AG1097" s="89" t="s">
        <v>352</v>
      </c>
      <c r="AH1097" s="72" t="s">
        <v>68</v>
      </c>
      <c r="AI1097" s="30">
        <v>0</v>
      </c>
      <c r="AJ1097" s="89" t="s">
        <v>68</v>
      </c>
      <c r="AK1097" s="89" t="s">
        <v>68</v>
      </c>
      <c r="AL1097" s="91">
        <v>40737</v>
      </c>
      <c r="AM1097" s="91"/>
      <c r="AN1097" s="91"/>
      <c r="AO1097" s="91"/>
      <c r="AP1097" s="73" t="e">
        <f>MID(VLOOKUP(K1097,#REF!,2,FALSE),1,2)</f>
        <v>#REF!</v>
      </c>
      <c r="AQ1097" s="89">
        <f>DATE(2011,6,6)</f>
        <v>40700</v>
      </c>
      <c r="AR1097" s="82">
        <f t="shared" si="74"/>
        <v>6</v>
      </c>
      <c r="AS1097" s="83">
        <f t="shared" si="75"/>
        <v>6</v>
      </c>
      <c r="AT1097" s="84">
        <f t="shared" si="76"/>
        <v>2011</v>
      </c>
      <c r="AU1097" s="86"/>
      <c r="AV1097" s="86"/>
      <c r="AW1097" s="87"/>
      <c r="AX1097" s="86"/>
      <c r="AY1097" s="83"/>
      <c r="AZ1097" s="84"/>
      <c r="BA1097" s="86"/>
      <c r="BB1097" s="86"/>
    </row>
    <row r="1098" spans="1:54" ht="36.75" customHeight="1">
      <c r="A1098" s="30"/>
      <c r="B1098" s="30" t="s">
        <v>55</v>
      </c>
      <c r="C1098" s="69" t="str">
        <f t="shared" si="73"/>
        <v>Closed</v>
      </c>
      <c r="D1098" s="27" t="s">
        <v>6147</v>
      </c>
      <c r="E1098" s="29" t="s">
        <v>6148</v>
      </c>
      <c r="F1098" s="30" t="s">
        <v>1572</v>
      </c>
      <c r="G1098" s="89">
        <f>DATE(2011,6,6)</f>
        <v>40700</v>
      </c>
      <c r="H1098" s="90">
        <v>1.8055555555555554</v>
      </c>
      <c r="I1098" s="30" t="s">
        <v>125</v>
      </c>
      <c r="J1098" s="89" t="s">
        <v>6149</v>
      </c>
      <c r="K1098" s="30" t="s">
        <v>1574</v>
      </c>
      <c r="L1098" s="30" t="s">
        <v>6150</v>
      </c>
      <c r="M1098" s="30" t="s">
        <v>63</v>
      </c>
      <c r="N1098" s="30">
        <v>0</v>
      </c>
      <c r="O1098" s="30" t="s">
        <v>64</v>
      </c>
      <c r="P1098" s="89" t="s">
        <v>165</v>
      </c>
      <c r="Q1098" s="89" t="s">
        <v>2413</v>
      </c>
      <c r="R1098" s="89">
        <v>0</v>
      </c>
      <c r="S1098" s="30">
        <v>0</v>
      </c>
      <c r="T1098" s="233" t="s">
        <v>68</v>
      </c>
      <c r="U1098" s="30">
        <v>0</v>
      </c>
      <c r="V1098" s="233" t="s">
        <v>68</v>
      </c>
      <c r="W1098" s="30">
        <v>0</v>
      </c>
      <c r="X1098" s="30">
        <v>0</v>
      </c>
      <c r="Y1098" s="30">
        <v>0</v>
      </c>
      <c r="Z1098" s="233" t="s">
        <v>68</v>
      </c>
      <c r="AA1098" s="30">
        <v>0</v>
      </c>
      <c r="AB1098" s="30">
        <v>0</v>
      </c>
      <c r="AC1098" s="30">
        <v>0</v>
      </c>
      <c r="AD1098" s="30">
        <v>0</v>
      </c>
      <c r="AE1098" s="89" t="s">
        <v>68</v>
      </c>
      <c r="AF1098" s="89"/>
      <c r="AG1098" s="89" t="s">
        <v>133</v>
      </c>
      <c r="AH1098" s="72" t="s">
        <v>68</v>
      </c>
      <c r="AI1098" s="30">
        <v>0</v>
      </c>
      <c r="AJ1098" s="89" t="s">
        <v>6151</v>
      </c>
      <c r="AK1098" s="89" t="s">
        <v>6152</v>
      </c>
      <c r="AL1098" s="91">
        <v>40708</v>
      </c>
      <c r="AM1098" s="91"/>
      <c r="AN1098" s="91"/>
      <c r="AO1098" s="91"/>
      <c r="AP1098" s="73" t="e">
        <f>MID(VLOOKUP(K1098,#REF!,2,FALSE),1,2)</f>
        <v>#REF!</v>
      </c>
      <c r="AQ1098" s="89">
        <f>DATE(2011,6,6)</f>
        <v>40700</v>
      </c>
      <c r="AR1098" s="82">
        <f t="shared" si="74"/>
        <v>6</v>
      </c>
      <c r="AS1098" s="83">
        <f t="shared" si="75"/>
        <v>6</v>
      </c>
      <c r="AT1098" s="84">
        <f t="shared" si="76"/>
        <v>2011</v>
      </c>
      <c r="AU1098" s="86"/>
      <c r="AV1098" s="86"/>
      <c r="AW1098" s="87"/>
      <c r="AX1098" s="86"/>
      <c r="AY1098" s="83"/>
      <c r="AZ1098" s="84"/>
      <c r="BA1098" s="86"/>
      <c r="BB1098" s="86"/>
    </row>
    <row r="1099" spans="1:54" ht="36.75" customHeight="1">
      <c r="A1099" s="30"/>
      <c r="B1099" s="30" t="s">
        <v>55</v>
      </c>
      <c r="C1099" s="69" t="str">
        <f t="shared" si="73"/>
        <v>Closed</v>
      </c>
      <c r="D1099" s="27" t="s">
        <v>6153</v>
      </c>
      <c r="E1099" s="29" t="s">
        <v>6154</v>
      </c>
      <c r="F1099" s="30" t="s">
        <v>377</v>
      </c>
      <c r="G1099" s="89">
        <f>DATE(2011,6,7)</f>
        <v>40701</v>
      </c>
      <c r="H1099" s="90">
        <v>1.4548611111111112</v>
      </c>
      <c r="I1099" s="30" t="s">
        <v>156</v>
      </c>
      <c r="J1099" s="89" t="s">
        <v>6155</v>
      </c>
      <c r="K1099" s="30" t="s">
        <v>379</v>
      </c>
      <c r="L1099" s="30" t="s">
        <v>6156</v>
      </c>
      <c r="M1099" s="30" t="s">
        <v>63</v>
      </c>
      <c r="N1099" s="30">
        <v>0</v>
      </c>
      <c r="O1099" s="30" t="s">
        <v>64</v>
      </c>
      <c r="P1099" s="89" t="s">
        <v>462</v>
      </c>
      <c r="Q1099" s="89" t="s">
        <v>2906</v>
      </c>
      <c r="R1099" s="89" t="s">
        <v>382</v>
      </c>
      <c r="S1099" s="30">
        <v>0</v>
      </c>
      <c r="T1099" s="233">
        <v>0</v>
      </c>
      <c r="U1099" s="30">
        <v>0</v>
      </c>
      <c r="V1099" s="233">
        <v>0</v>
      </c>
      <c r="W1099" s="30">
        <v>0</v>
      </c>
      <c r="X1099" s="30">
        <v>0</v>
      </c>
      <c r="Y1099" s="30">
        <v>0</v>
      </c>
      <c r="Z1099" s="233">
        <v>0</v>
      </c>
      <c r="AA1099" s="30">
        <v>0</v>
      </c>
      <c r="AB1099" s="30">
        <v>0</v>
      </c>
      <c r="AC1099" s="30">
        <v>0</v>
      </c>
      <c r="AD1099" s="30">
        <v>0</v>
      </c>
      <c r="AE1099" s="89" t="s">
        <v>68</v>
      </c>
      <c r="AF1099" s="89"/>
      <c r="AG1099" s="89" t="s">
        <v>133</v>
      </c>
      <c r="AH1099" s="72" t="s">
        <v>68</v>
      </c>
      <c r="AI1099" s="30">
        <v>4</v>
      </c>
      <c r="AJ1099" s="89" t="s">
        <v>6157</v>
      </c>
      <c r="AK1099" s="89" t="s">
        <v>6158</v>
      </c>
      <c r="AL1099" s="91">
        <v>40708</v>
      </c>
      <c r="AM1099" s="91"/>
      <c r="AN1099" s="91"/>
      <c r="AO1099" s="91"/>
      <c r="AP1099" s="73" t="e">
        <f>MID(VLOOKUP(K1099,#REF!,2,FALSE),1,2)</f>
        <v>#REF!</v>
      </c>
      <c r="AQ1099" s="89">
        <f>DATE(2011,6,7)</f>
        <v>40701</v>
      </c>
      <c r="AR1099" s="82">
        <f t="shared" si="74"/>
        <v>7</v>
      </c>
      <c r="AS1099" s="83">
        <f t="shared" si="75"/>
        <v>6</v>
      </c>
      <c r="AT1099" s="84">
        <f t="shared" si="76"/>
        <v>2011</v>
      </c>
      <c r="AU1099" s="86"/>
      <c r="AV1099" s="86"/>
      <c r="AW1099" s="87"/>
      <c r="AX1099" s="86"/>
      <c r="AY1099" s="83"/>
      <c r="AZ1099" s="84"/>
      <c r="BA1099" s="86"/>
      <c r="BB1099" s="86"/>
    </row>
    <row r="1100" spans="1:54" ht="36.75" customHeight="1">
      <c r="A1100" s="30"/>
      <c r="B1100" s="30" t="s">
        <v>55</v>
      </c>
      <c r="C1100" s="69" t="str">
        <f t="shared" si="73"/>
        <v>Closed</v>
      </c>
      <c r="D1100" s="27" t="s">
        <v>6159</v>
      </c>
      <c r="E1100" s="29" t="s">
        <v>6160</v>
      </c>
      <c r="F1100" s="30" t="s">
        <v>423</v>
      </c>
      <c r="G1100" s="89">
        <f>DATE(2011,6,8)</f>
        <v>40702</v>
      </c>
      <c r="H1100" s="90">
        <v>1.5034722222222223</v>
      </c>
      <c r="I1100" s="30" t="s">
        <v>116</v>
      </c>
      <c r="J1100" s="89" t="s">
        <v>6161</v>
      </c>
      <c r="K1100" s="30" t="s">
        <v>425</v>
      </c>
      <c r="L1100" s="30" t="s">
        <v>6162</v>
      </c>
      <c r="M1100" s="30" t="s">
        <v>63</v>
      </c>
      <c r="N1100" s="30">
        <v>0</v>
      </c>
      <c r="O1100" s="30" t="s">
        <v>64</v>
      </c>
      <c r="P1100" s="89" t="s">
        <v>65</v>
      </c>
      <c r="Q1100" s="89" t="s">
        <v>4551</v>
      </c>
      <c r="R1100" s="89" t="s">
        <v>3103</v>
      </c>
      <c r="S1100" s="30">
        <v>0</v>
      </c>
      <c r="T1100" s="233" t="s">
        <v>68</v>
      </c>
      <c r="U1100" s="30">
        <v>0</v>
      </c>
      <c r="V1100" s="233" t="s">
        <v>68</v>
      </c>
      <c r="W1100" s="30">
        <v>0</v>
      </c>
      <c r="X1100" s="30">
        <v>0</v>
      </c>
      <c r="Y1100" s="30">
        <v>0</v>
      </c>
      <c r="Z1100" s="233" t="s">
        <v>68</v>
      </c>
      <c r="AA1100" s="30">
        <v>0</v>
      </c>
      <c r="AB1100" s="30">
        <v>0</v>
      </c>
      <c r="AC1100" s="30">
        <v>0</v>
      </c>
      <c r="AD1100" s="30">
        <v>0</v>
      </c>
      <c r="AE1100" s="89" t="s">
        <v>68</v>
      </c>
      <c r="AF1100" s="89"/>
      <c r="AG1100" s="89" t="s">
        <v>133</v>
      </c>
      <c r="AH1100" s="72" t="s">
        <v>68</v>
      </c>
      <c r="AI1100" s="30">
        <v>0</v>
      </c>
      <c r="AJ1100" s="89" t="s">
        <v>68</v>
      </c>
      <c r="AK1100" s="89" t="s">
        <v>2348</v>
      </c>
      <c r="AL1100" s="91">
        <v>40724</v>
      </c>
      <c r="AM1100" s="91"/>
      <c r="AN1100" s="91"/>
      <c r="AO1100" s="91"/>
      <c r="AP1100" s="73" t="e">
        <f>MID(VLOOKUP(K1100,#REF!,2,FALSE),1,2)</f>
        <v>#REF!</v>
      </c>
      <c r="AQ1100" s="89">
        <f>DATE(2011,6,8)</f>
        <v>40702</v>
      </c>
      <c r="AR1100" s="82">
        <f t="shared" si="74"/>
        <v>8</v>
      </c>
      <c r="AS1100" s="83">
        <f t="shared" si="75"/>
        <v>6</v>
      </c>
      <c r="AT1100" s="84">
        <f t="shared" si="76"/>
        <v>2011</v>
      </c>
      <c r="AU1100" s="86"/>
      <c r="AV1100" s="86"/>
      <c r="AW1100" s="87"/>
      <c r="AX1100" s="86"/>
      <c r="AY1100" s="83"/>
      <c r="AZ1100" s="84"/>
      <c r="BA1100" s="86"/>
      <c r="BB1100" s="86"/>
    </row>
    <row r="1101" spans="1:54" ht="36.75" customHeight="1">
      <c r="A1101" s="30"/>
      <c r="B1101" s="30" t="s">
        <v>55</v>
      </c>
      <c r="C1101" s="69" t="str">
        <f t="shared" si="73"/>
        <v>Closed</v>
      </c>
      <c r="D1101" s="27" t="s">
        <v>6163</v>
      </c>
      <c r="E1101" s="29" t="s">
        <v>6164</v>
      </c>
      <c r="F1101" s="30" t="s">
        <v>377</v>
      </c>
      <c r="G1101" s="89">
        <f>DATE(2011,6,9)</f>
        <v>40703</v>
      </c>
      <c r="H1101" s="90">
        <v>1.2569444444444444</v>
      </c>
      <c r="I1101" s="30" t="s">
        <v>125</v>
      </c>
      <c r="J1101" s="89" t="s">
        <v>6165</v>
      </c>
      <c r="K1101" s="30" t="s">
        <v>379</v>
      </c>
      <c r="L1101" s="30" t="s">
        <v>6166</v>
      </c>
      <c r="M1101" s="30" t="s">
        <v>63</v>
      </c>
      <c r="N1101" s="30" t="s">
        <v>142</v>
      </c>
      <c r="O1101" s="30" t="s">
        <v>64</v>
      </c>
      <c r="P1101" s="89" t="s">
        <v>78</v>
      </c>
      <c r="Q1101" s="89" t="s">
        <v>6167</v>
      </c>
      <c r="R1101" s="89" t="s">
        <v>6168</v>
      </c>
      <c r="S1101" s="30">
        <v>0</v>
      </c>
      <c r="T1101" s="233">
        <v>0</v>
      </c>
      <c r="U1101" s="30">
        <v>0</v>
      </c>
      <c r="V1101" s="233">
        <v>0</v>
      </c>
      <c r="W1101" s="30">
        <v>0</v>
      </c>
      <c r="X1101" s="30">
        <v>0</v>
      </c>
      <c r="Y1101" s="30">
        <v>0</v>
      </c>
      <c r="Z1101" s="233">
        <v>0</v>
      </c>
      <c r="AA1101" s="30">
        <v>0</v>
      </c>
      <c r="AB1101" s="30">
        <v>0</v>
      </c>
      <c r="AC1101" s="30">
        <v>0</v>
      </c>
      <c r="AD1101" s="30">
        <v>0</v>
      </c>
      <c r="AE1101" s="89" t="s">
        <v>68</v>
      </c>
      <c r="AF1101" s="89"/>
      <c r="AG1101" s="89" t="s">
        <v>133</v>
      </c>
      <c r="AH1101" s="72">
        <v>40704</v>
      </c>
      <c r="AI1101" s="30">
        <v>5</v>
      </c>
      <c r="AJ1101" s="89" t="s">
        <v>6169</v>
      </c>
      <c r="AK1101" s="89" t="s">
        <v>6170</v>
      </c>
      <c r="AL1101" s="91">
        <v>40710</v>
      </c>
      <c r="AM1101" s="91"/>
      <c r="AN1101" s="91"/>
      <c r="AO1101" s="91"/>
      <c r="AP1101" s="73" t="e">
        <f>MID(VLOOKUP(K1101,#REF!,2,FALSE),1,2)</f>
        <v>#REF!</v>
      </c>
      <c r="AQ1101" s="89">
        <f>DATE(2011,6,9)</f>
        <v>40703</v>
      </c>
      <c r="AR1101" s="82">
        <f t="shared" si="74"/>
        <v>9</v>
      </c>
      <c r="AS1101" s="83">
        <f t="shared" si="75"/>
        <v>6</v>
      </c>
      <c r="AT1101" s="84">
        <f t="shared" si="76"/>
        <v>2011</v>
      </c>
      <c r="AU1101" s="86"/>
      <c r="AV1101" s="86"/>
      <c r="AW1101" s="87"/>
      <c r="AX1101" s="86"/>
      <c r="AY1101" s="83"/>
      <c r="AZ1101" s="84"/>
      <c r="BA1101" s="86"/>
      <c r="BB1101" s="86"/>
    </row>
    <row r="1102" spans="1:54" ht="36.75" customHeight="1">
      <c r="A1102" s="30"/>
      <c r="B1102" s="30" t="s">
        <v>55</v>
      </c>
      <c r="C1102" s="69" t="str">
        <f t="shared" si="73"/>
        <v>Closed</v>
      </c>
      <c r="D1102" s="27" t="s">
        <v>6171</v>
      </c>
      <c r="E1102" s="29" t="s">
        <v>6172</v>
      </c>
      <c r="F1102" s="30" t="s">
        <v>138</v>
      </c>
      <c r="G1102" s="89">
        <f>DATE(2011,6,9)</f>
        <v>40703</v>
      </c>
      <c r="H1102" s="90">
        <v>1.4097222222222223</v>
      </c>
      <c r="I1102" s="30" t="s">
        <v>59</v>
      </c>
      <c r="J1102" s="89" t="s">
        <v>6173</v>
      </c>
      <c r="K1102" s="30" t="s">
        <v>140</v>
      </c>
      <c r="L1102" s="30" t="s">
        <v>6174</v>
      </c>
      <c r="M1102" s="30" t="s">
        <v>63</v>
      </c>
      <c r="N1102" s="30" t="s">
        <v>99</v>
      </c>
      <c r="O1102" s="30" t="s">
        <v>64</v>
      </c>
      <c r="P1102" s="89" t="s">
        <v>6175</v>
      </c>
      <c r="Q1102" s="89" t="s">
        <v>6176</v>
      </c>
      <c r="R1102" s="89" t="s">
        <v>5709</v>
      </c>
      <c r="S1102" s="30">
        <v>0</v>
      </c>
      <c r="T1102" s="233">
        <v>0</v>
      </c>
      <c r="U1102" s="30">
        <v>0</v>
      </c>
      <c r="V1102" s="233">
        <v>0</v>
      </c>
      <c r="W1102" s="30">
        <v>0</v>
      </c>
      <c r="X1102" s="30">
        <v>0</v>
      </c>
      <c r="Y1102" s="30">
        <v>0</v>
      </c>
      <c r="Z1102" s="233">
        <v>0</v>
      </c>
      <c r="AA1102" s="30">
        <v>0</v>
      </c>
      <c r="AB1102" s="30">
        <v>0</v>
      </c>
      <c r="AC1102" s="30">
        <v>0</v>
      </c>
      <c r="AD1102" s="30">
        <v>0</v>
      </c>
      <c r="AE1102" s="89" t="s">
        <v>68</v>
      </c>
      <c r="AF1102" s="89"/>
      <c r="AG1102" s="89" t="s">
        <v>133</v>
      </c>
      <c r="AH1102" s="72">
        <v>40708</v>
      </c>
      <c r="AI1102" s="30">
        <v>2</v>
      </c>
      <c r="AJ1102" s="89" t="s">
        <v>6177</v>
      </c>
      <c r="AK1102" s="89" t="s">
        <v>6178</v>
      </c>
      <c r="AL1102" s="91">
        <v>40716</v>
      </c>
      <c r="AM1102" s="91"/>
      <c r="AN1102" s="91"/>
      <c r="AO1102" s="91"/>
      <c r="AP1102" s="73" t="e">
        <f>MID(VLOOKUP(K1102,#REF!,2,FALSE),1,2)</f>
        <v>#REF!</v>
      </c>
      <c r="AQ1102" s="89">
        <f>DATE(2011,6,9)</f>
        <v>40703</v>
      </c>
      <c r="AR1102" s="82">
        <f t="shared" si="74"/>
        <v>9</v>
      </c>
      <c r="AS1102" s="83">
        <f t="shared" si="75"/>
        <v>6</v>
      </c>
      <c r="AT1102" s="84">
        <f t="shared" si="76"/>
        <v>2011</v>
      </c>
      <c r="AU1102" s="86"/>
      <c r="AV1102" s="86"/>
      <c r="AW1102" s="87"/>
      <c r="AX1102" s="86"/>
      <c r="AY1102" s="83"/>
      <c r="AZ1102" s="84"/>
      <c r="BA1102" s="86"/>
      <c r="BB1102" s="86"/>
    </row>
    <row r="1103" spans="1:54" ht="36.75" customHeight="1">
      <c r="A1103" s="30"/>
      <c r="B1103" s="30" t="s">
        <v>55</v>
      </c>
      <c r="C1103" s="69" t="str">
        <f t="shared" si="73"/>
        <v>Closed</v>
      </c>
      <c r="D1103" s="27" t="s">
        <v>6179</v>
      </c>
      <c r="E1103" s="29" t="s">
        <v>6180</v>
      </c>
      <c r="F1103" s="30" t="s">
        <v>138</v>
      </c>
      <c r="G1103" s="89">
        <f>DATE(2011,6,9)</f>
        <v>40703</v>
      </c>
      <c r="H1103" s="90">
        <v>1.6111111111111112</v>
      </c>
      <c r="I1103" s="30" t="s">
        <v>86</v>
      </c>
      <c r="J1103" s="89" t="s">
        <v>6181</v>
      </c>
      <c r="K1103" s="30" t="s">
        <v>140</v>
      </c>
      <c r="L1103" s="30" t="s">
        <v>6182</v>
      </c>
      <c r="M1103" s="30" t="s">
        <v>129</v>
      </c>
      <c r="N1103" s="30" t="s">
        <v>99</v>
      </c>
      <c r="O1103" s="30" t="s">
        <v>77</v>
      </c>
      <c r="P1103" s="89" t="s">
        <v>165</v>
      </c>
      <c r="Q1103" s="89" t="s">
        <v>6183</v>
      </c>
      <c r="R1103" s="89" t="s">
        <v>185</v>
      </c>
      <c r="S1103" s="30">
        <v>0</v>
      </c>
      <c r="T1103" s="233">
        <v>0</v>
      </c>
      <c r="U1103" s="30">
        <v>0</v>
      </c>
      <c r="V1103" s="233">
        <v>0</v>
      </c>
      <c r="W1103" s="30">
        <v>0</v>
      </c>
      <c r="X1103" s="30">
        <v>0</v>
      </c>
      <c r="Y1103" s="30">
        <v>0</v>
      </c>
      <c r="Z1103" s="233">
        <v>0</v>
      </c>
      <c r="AA1103" s="30">
        <v>0</v>
      </c>
      <c r="AB1103" s="30">
        <v>0</v>
      </c>
      <c r="AC1103" s="30">
        <v>0</v>
      </c>
      <c r="AD1103" s="30">
        <v>0</v>
      </c>
      <c r="AE1103" s="89" t="s">
        <v>92</v>
      </c>
      <c r="AF1103" s="89"/>
      <c r="AG1103" s="89" t="s">
        <v>367</v>
      </c>
      <c r="AH1103" s="72">
        <v>40708</v>
      </c>
      <c r="AI1103" s="30">
        <v>1</v>
      </c>
      <c r="AJ1103" s="89" t="s">
        <v>6184</v>
      </c>
      <c r="AK1103" s="89" t="s">
        <v>6185</v>
      </c>
      <c r="AL1103" s="91">
        <v>40716</v>
      </c>
      <c r="AM1103" s="91"/>
      <c r="AN1103" s="91"/>
      <c r="AO1103" s="91"/>
      <c r="AP1103" s="73" t="e">
        <f>MID(VLOOKUP(K1103,#REF!,2,FALSE),1,2)</f>
        <v>#REF!</v>
      </c>
      <c r="AQ1103" s="89">
        <f>DATE(2011,6,9)</f>
        <v>40703</v>
      </c>
      <c r="AR1103" s="82">
        <f t="shared" si="74"/>
        <v>9</v>
      </c>
      <c r="AS1103" s="83">
        <f t="shared" si="75"/>
        <v>6</v>
      </c>
      <c r="AT1103" s="84">
        <f t="shared" si="76"/>
        <v>2011</v>
      </c>
      <c r="AU1103" s="86"/>
      <c r="AV1103" s="86"/>
      <c r="AW1103" s="87"/>
      <c r="AX1103" s="86"/>
      <c r="AY1103" s="83"/>
      <c r="AZ1103" s="84"/>
      <c r="BA1103" s="86"/>
      <c r="BB1103" s="86"/>
    </row>
    <row r="1104" spans="1:54" ht="36.75" customHeight="1">
      <c r="A1104" s="30"/>
      <c r="B1104" s="30" t="s">
        <v>55</v>
      </c>
      <c r="C1104" s="69" t="str">
        <f t="shared" si="73"/>
        <v>Closed</v>
      </c>
      <c r="D1104" s="27" t="s">
        <v>6186</v>
      </c>
      <c r="E1104" s="29" t="s">
        <v>6187</v>
      </c>
      <c r="F1104" s="30" t="s">
        <v>638</v>
      </c>
      <c r="G1104" s="89">
        <f>DATE(2011,6,10)</f>
        <v>40704</v>
      </c>
      <c r="H1104" s="90">
        <v>1.4097222222222223</v>
      </c>
      <c r="I1104" s="30" t="s">
        <v>156</v>
      </c>
      <c r="J1104" s="89" t="s">
        <v>6188</v>
      </c>
      <c r="K1104" s="30" t="s">
        <v>640</v>
      </c>
      <c r="L1104" s="30" t="s">
        <v>6189</v>
      </c>
      <c r="M1104" s="30" t="s">
        <v>63</v>
      </c>
      <c r="N1104" s="30">
        <v>0</v>
      </c>
      <c r="O1104" s="30" t="s">
        <v>64</v>
      </c>
      <c r="P1104" s="89" t="s">
        <v>65</v>
      </c>
      <c r="Q1104" s="89" t="s">
        <v>642</v>
      </c>
      <c r="R1104" s="89" t="s">
        <v>643</v>
      </c>
      <c r="S1104" s="30">
        <v>0</v>
      </c>
      <c r="T1104" s="233" t="s">
        <v>68</v>
      </c>
      <c r="U1104" s="30">
        <v>0</v>
      </c>
      <c r="V1104" s="233" t="s">
        <v>68</v>
      </c>
      <c r="W1104" s="30">
        <v>0</v>
      </c>
      <c r="X1104" s="30">
        <v>0</v>
      </c>
      <c r="Y1104" s="30">
        <v>0</v>
      </c>
      <c r="Z1104" s="233" t="s">
        <v>68</v>
      </c>
      <c r="AA1104" s="30">
        <v>0</v>
      </c>
      <c r="AB1104" s="30">
        <v>0</v>
      </c>
      <c r="AC1104" s="30">
        <v>0</v>
      </c>
      <c r="AD1104" s="30">
        <v>0</v>
      </c>
      <c r="AE1104" s="89" t="s">
        <v>68</v>
      </c>
      <c r="AF1104" s="89"/>
      <c r="AG1104" s="89" t="s">
        <v>133</v>
      </c>
      <c r="AH1104" s="72" t="s">
        <v>68</v>
      </c>
      <c r="AI1104" s="30">
        <v>1</v>
      </c>
      <c r="AJ1104" s="89" t="s">
        <v>6190</v>
      </c>
      <c r="AK1104" s="89" t="s">
        <v>68</v>
      </c>
      <c r="AL1104" s="91">
        <v>40725</v>
      </c>
      <c r="AM1104" s="91"/>
      <c r="AN1104" s="91"/>
      <c r="AO1104" s="91"/>
      <c r="AP1104" s="73" t="e">
        <f>MID(VLOOKUP(K1104,#REF!,2,FALSE),1,2)</f>
        <v>#REF!</v>
      </c>
      <c r="AQ1104" s="89">
        <f>DATE(2011,6,10)</f>
        <v>40704</v>
      </c>
      <c r="AR1104" s="82">
        <f t="shared" si="74"/>
        <v>10</v>
      </c>
      <c r="AS1104" s="83">
        <f t="shared" si="75"/>
        <v>6</v>
      </c>
      <c r="AT1104" s="84">
        <f t="shared" si="76"/>
        <v>2011</v>
      </c>
      <c r="AU1104" s="86"/>
      <c r="AV1104" s="86"/>
      <c r="AW1104" s="87"/>
      <c r="AX1104" s="86"/>
      <c r="AY1104" s="83"/>
      <c r="AZ1104" s="84"/>
      <c r="BA1104" s="86"/>
      <c r="BB1104" s="86"/>
    </row>
    <row r="1105" spans="1:54" ht="36.75" customHeight="1">
      <c r="A1105" s="30"/>
      <c r="B1105" s="30" t="s">
        <v>55</v>
      </c>
      <c r="C1105" s="69" t="str">
        <f t="shared" si="73"/>
        <v>Closed</v>
      </c>
      <c r="D1105" s="27" t="s">
        <v>6191</v>
      </c>
      <c r="E1105" s="29" t="s">
        <v>6192</v>
      </c>
      <c r="F1105" s="30" t="s">
        <v>233</v>
      </c>
      <c r="G1105" s="89">
        <f>DATE(2011,6,12)</f>
        <v>40706</v>
      </c>
      <c r="H1105" s="90">
        <v>1.2298611111111111</v>
      </c>
      <c r="I1105" s="30" t="s">
        <v>278</v>
      </c>
      <c r="J1105" s="89" t="s">
        <v>6193</v>
      </c>
      <c r="K1105" s="30" t="s">
        <v>235</v>
      </c>
      <c r="L1105" s="30" t="s">
        <v>6194</v>
      </c>
      <c r="M1105" s="30" t="s">
        <v>63</v>
      </c>
      <c r="N1105" s="30">
        <v>0</v>
      </c>
      <c r="O1105" s="30" t="s">
        <v>86</v>
      </c>
      <c r="P1105" s="89" t="s">
        <v>165</v>
      </c>
      <c r="Q1105" s="89" t="s">
        <v>1664</v>
      </c>
      <c r="R1105" s="89" t="s">
        <v>238</v>
      </c>
      <c r="S1105" s="30">
        <v>0</v>
      </c>
      <c r="T1105" s="233">
        <v>0</v>
      </c>
      <c r="U1105" s="30">
        <v>0</v>
      </c>
      <c r="V1105" s="233">
        <v>0</v>
      </c>
      <c r="W1105" s="30">
        <v>0</v>
      </c>
      <c r="X1105" s="30">
        <v>0</v>
      </c>
      <c r="Y1105" s="30">
        <v>0</v>
      </c>
      <c r="Z1105" s="233">
        <v>1</v>
      </c>
      <c r="AA1105" s="30">
        <v>0</v>
      </c>
      <c r="AB1105" s="30">
        <v>0</v>
      </c>
      <c r="AC1105" s="30">
        <v>0</v>
      </c>
      <c r="AD1105" s="30">
        <v>1</v>
      </c>
      <c r="AE1105" s="89" t="s">
        <v>68</v>
      </c>
      <c r="AF1105" s="89"/>
      <c r="AG1105" s="89" t="s">
        <v>133</v>
      </c>
      <c r="AH1105" s="72" t="s">
        <v>68</v>
      </c>
      <c r="AI1105" s="30">
        <v>1</v>
      </c>
      <c r="AJ1105" s="89" t="s">
        <v>6195</v>
      </c>
      <c r="AK1105" s="89" t="s">
        <v>6196</v>
      </c>
      <c r="AL1105" s="91">
        <v>40722</v>
      </c>
      <c r="AM1105" s="91"/>
      <c r="AN1105" s="91"/>
      <c r="AO1105" s="91"/>
      <c r="AP1105" s="73" t="e">
        <f>MID(VLOOKUP(K1105,#REF!,2,FALSE),1,2)</f>
        <v>#REF!</v>
      </c>
      <c r="AQ1105" s="89">
        <f>DATE(2011,6,12)</f>
        <v>40706</v>
      </c>
      <c r="AR1105" s="82">
        <f t="shared" si="74"/>
        <v>12</v>
      </c>
      <c r="AS1105" s="83">
        <f t="shared" si="75"/>
        <v>6</v>
      </c>
      <c r="AT1105" s="84">
        <f t="shared" si="76"/>
        <v>2011</v>
      </c>
      <c r="AU1105" s="86"/>
      <c r="AV1105" s="86"/>
      <c r="AW1105" s="87"/>
      <c r="AX1105" s="86"/>
      <c r="AY1105" s="83"/>
      <c r="AZ1105" s="84"/>
      <c r="BA1105" s="86"/>
      <c r="BB1105" s="86"/>
    </row>
    <row r="1106" spans="1:54" ht="36.75" customHeight="1">
      <c r="A1106" s="30"/>
      <c r="B1106" s="30" t="s">
        <v>55</v>
      </c>
      <c r="C1106" s="69" t="str">
        <f t="shared" si="73"/>
        <v>Closed</v>
      </c>
      <c r="D1106" s="27" t="s">
        <v>6197</v>
      </c>
      <c r="E1106" s="29" t="s">
        <v>6198</v>
      </c>
      <c r="F1106" s="30" t="s">
        <v>197</v>
      </c>
      <c r="G1106" s="89">
        <f>DATE(2011,6,15)</f>
        <v>40709</v>
      </c>
      <c r="H1106" s="90">
        <v>1.4965277777777777</v>
      </c>
      <c r="I1106" s="30" t="s">
        <v>73</v>
      </c>
      <c r="J1106" s="89" t="s">
        <v>6199</v>
      </c>
      <c r="K1106" s="30" t="s">
        <v>200</v>
      </c>
      <c r="L1106" s="30" t="s">
        <v>6200</v>
      </c>
      <c r="M1106" s="30" t="s">
        <v>63</v>
      </c>
      <c r="N1106" s="30" t="s">
        <v>142</v>
      </c>
      <c r="O1106" s="30" t="s">
        <v>77</v>
      </c>
      <c r="P1106" s="89" t="s">
        <v>78</v>
      </c>
      <c r="Q1106" s="89" t="s">
        <v>6201</v>
      </c>
      <c r="R1106" s="89" t="s">
        <v>203</v>
      </c>
      <c r="S1106" s="30">
        <v>0</v>
      </c>
      <c r="T1106" s="233">
        <v>0</v>
      </c>
      <c r="U1106" s="30">
        <v>0</v>
      </c>
      <c r="V1106" s="233">
        <v>0</v>
      </c>
      <c r="W1106" s="30">
        <v>0</v>
      </c>
      <c r="X1106" s="30">
        <v>0</v>
      </c>
      <c r="Y1106" s="30">
        <v>0</v>
      </c>
      <c r="Z1106" s="233">
        <v>0</v>
      </c>
      <c r="AA1106" s="30">
        <v>0</v>
      </c>
      <c r="AB1106" s="30">
        <v>0</v>
      </c>
      <c r="AC1106" s="30">
        <v>0</v>
      </c>
      <c r="AD1106" s="30">
        <v>0</v>
      </c>
      <c r="AE1106" s="89" t="s">
        <v>68</v>
      </c>
      <c r="AF1106" s="89"/>
      <c r="AG1106" s="89" t="s">
        <v>352</v>
      </c>
      <c r="AH1106" s="72">
        <v>40709</v>
      </c>
      <c r="AI1106" s="30">
        <v>4</v>
      </c>
      <c r="AJ1106" s="89" t="s">
        <v>6202</v>
      </c>
      <c r="AK1106" s="89" t="s">
        <v>1233</v>
      </c>
      <c r="AL1106" s="91">
        <v>40756</v>
      </c>
      <c r="AM1106" s="91"/>
      <c r="AN1106" s="91"/>
      <c r="AO1106" s="91"/>
      <c r="AP1106" s="73" t="e">
        <f>MID(VLOOKUP(K1106,#REF!,2,FALSE),1,2)</f>
        <v>#REF!</v>
      </c>
      <c r="AQ1106" s="89">
        <f>DATE(2011,6,15)</f>
        <v>40709</v>
      </c>
      <c r="AR1106" s="82">
        <f t="shared" si="74"/>
        <v>15</v>
      </c>
      <c r="AS1106" s="83">
        <f t="shared" si="75"/>
        <v>6</v>
      </c>
      <c r="AT1106" s="84">
        <f t="shared" si="76"/>
        <v>2011</v>
      </c>
      <c r="AU1106" s="86"/>
      <c r="AV1106" s="86"/>
      <c r="AW1106" s="87"/>
      <c r="AX1106" s="86"/>
      <c r="AY1106" s="83"/>
      <c r="AZ1106" s="84"/>
      <c r="BA1106" s="86"/>
      <c r="BB1106" s="86"/>
    </row>
    <row r="1107" spans="1:54" ht="36.75" customHeight="1">
      <c r="A1107" s="30"/>
      <c r="B1107" s="30" t="s">
        <v>55</v>
      </c>
      <c r="C1107" s="69" t="str">
        <f t="shared" si="73"/>
        <v>Closed</v>
      </c>
      <c r="D1107" s="27" t="s">
        <v>6203</v>
      </c>
      <c r="E1107" s="29" t="s">
        <v>6204</v>
      </c>
      <c r="F1107" s="30" t="s">
        <v>124</v>
      </c>
      <c r="G1107" s="89">
        <f>DATE(2011,6,16)</f>
        <v>40710</v>
      </c>
      <c r="H1107" s="90">
        <v>1.4215277777777777</v>
      </c>
      <c r="I1107" s="30" t="s">
        <v>125</v>
      </c>
      <c r="J1107" s="89" t="s">
        <v>6205</v>
      </c>
      <c r="K1107" s="30" t="s">
        <v>127</v>
      </c>
      <c r="L1107" s="30" t="s">
        <v>6206</v>
      </c>
      <c r="M1107" s="30" t="s">
        <v>63</v>
      </c>
      <c r="N1107" s="30">
        <v>0</v>
      </c>
      <c r="O1107" s="30" t="s">
        <v>77</v>
      </c>
      <c r="P1107" s="89" t="s">
        <v>65</v>
      </c>
      <c r="Q1107" s="89" t="s">
        <v>229</v>
      </c>
      <c r="R1107" s="89" t="s">
        <v>167</v>
      </c>
      <c r="S1107" s="30">
        <v>0</v>
      </c>
      <c r="T1107" s="233" t="s">
        <v>68</v>
      </c>
      <c r="U1107" s="30">
        <v>0</v>
      </c>
      <c r="V1107" s="233" t="s">
        <v>68</v>
      </c>
      <c r="W1107" s="30">
        <v>0</v>
      </c>
      <c r="X1107" s="30">
        <v>0</v>
      </c>
      <c r="Y1107" s="30">
        <v>0</v>
      </c>
      <c r="Z1107" s="233" t="s">
        <v>68</v>
      </c>
      <c r="AA1107" s="30">
        <v>0</v>
      </c>
      <c r="AB1107" s="30">
        <v>0</v>
      </c>
      <c r="AC1107" s="30">
        <v>0</v>
      </c>
      <c r="AD1107" s="30">
        <v>0</v>
      </c>
      <c r="AE1107" s="89" t="s">
        <v>68</v>
      </c>
      <c r="AF1107" s="89"/>
      <c r="AG1107" s="89" t="s">
        <v>82</v>
      </c>
      <c r="AH1107" s="72" t="s">
        <v>68</v>
      </c>
      <c r="AI1107" s="30">
        <v>2</v>
      </c>
      <c r="AJ1107" s="89" t="s">
        <v>68</v>
      </c>
      <c r="AK1107" s="89" t="s">
        <v>68</v>
      </c>
      <c r="AL1107" s="91">
        <v>40721</v>
      </c>
      <c r="AM1107" s="91"/>
      <c r="AN1107" s="91"/>
      <c r="AO1107" s="91"/>
      <c r="AP1107" s="73" t="e">
        <f>MID(VLOOKUP(K1107,#REF!,2,FALSE),1,2)</f>
        <v>#REF!</v>
      </c>
      <c r="AQ1107" s="89">
        <f>DATE(2011,6,16)</f>
        <v>40710</v>
      </c>
      <c r="AR1107" s="82">
        <f t="shared" si="74"/>
        <v>16</v>
      </c>
      <c r="AS1107" s="83">
        <f t="shared" si="75"/>
        <v>6</v>
      </c>
      <c r="AT1107" s="84">
        <f t="shared" si="76"/>
        <v>2011</v>
      </c>
      <c r="AU1107" s="86"/>
      <c r="AV1107" s="86"/>
      <c r="AW1107" s="87"/>
      <c r="AX1107" s="86"/>
      <c r="AY1107" s="83"/>
      <c r="AZ1107" s="84"/>
      <c r="BA1107" s="86"/>
      <c r="BB1107" s="86"/>
    </row>
    <row r="1108" spans="1:54" ht="36.75" customHeight="1">
      <c r="A1108" s="30"/>
      <c r="B1108" s="30" t="s">
        <v>55</v>
      </c>
      <c r="C1108" s="69" t="str">
        <f t="shared" si="73"/>
        <v>Closed</v>
      </c>
      <c r="D1108" s="27" t="s">
        <v>6207</v>
      </c>
      <c r="E1108" s="29" t="s">
        <v>6208</v>
      </c>
      <c r="F1108" s="30" t="s">
        <v>197</v>
      </c>
      <c r="G1108" s="89">
        <f>DATE(2011,6,18)</f>
        <v>40712</v>
      </c>
      <c r="H1108" s="90">
        <v>1.776388888888889</v>
      </c>
      <c r="I1108" s="30" t="s">
        <v>156</v>
      </c>
      <c r="J1108" s="89" t="s">
        <v>6209</v>
      </c>
      <c r="K1108" s="30" t="s">
        <v>200</v>
      </c>
      <c r="L1108" s="30" t="s">
        <v>6210</v>
      </c>
      <c r="M1108" s="30" t="s">
        <v>63</v>
      </c>
      <c r="N1108" s="30">
        <v>0</v>
      </c>
      <c r="O1108" s="30" t="s">
        <v>77</v>
      </c>
      <c r="P1108" s="89" t="s">
        <v>65</v>
      </c>
      <c r="Q1108" s="89" t="s">
        <v>202</v>
      </c>
      <c r="R1108" s="89" t="s">
        <v>203</v>
      </c>
      <c r="S1108" s="30">
        <v>0</v>
      </c>
      <c r="T1108" s="233">
        <v>0</v>
      </c>
      <c r="U1108" s="30">
        <v>0</v>
      </c>
      <c r="V1108" s="233">
        <v>0</v>
      </c>
      <c r="W1108" s="30">
        <v>0</v>
      </c>
      <c r="X1108" s="30">
        <v>0</v>
      </c>
      <c r="Y1108" s="30">
        <v>0</v>
      </c>
      <c r="Z1108" s="233">
        <v>0</v>
      </c>
      <c r="AA1108" s="30">
        <v>0</v>
      </c>
      <c r="AB1108" s="30">
        <v>0</v>
      </c>
      <c r="AC1108" s="30">
        <v>0</v>
      </c>
      <c r="AD1108" s="30">
        <v>0</v>
      </c>
      <c r="AE1108" s="89" t="s">
        <v>68</v>
      </c>
      <c r="AF1108" s="89"/>
      <c r="AG1108" s="89" t="s">
        <v>133</v>
      </c>
      <c r="AH1108" s="72" t="s">
        <v>68</v>
      </c>
      <c r="AI1108" s="30">
        <v>2</v>
      </c>
      <c r="AJ1108" s="89" t="s">
        <v>6211</v>
      </c>
      <c r="AK1108" s="89" t="s">
        <v>68</v>
      </c>
      <c r="AL1108" s="91">
        <v>40756</v>
      </c>
      <c r="AM1108" s="91"/>
      <c r="AN1108" s="91"/>
      <c r="AO1108" s="91"/>
      <c r="AP1108" s="73" t="e">
        <f>MID(VLOOKUP(K1108,#REF!,2,FALSE),1,2)</f>
        <v>#REF!</v>
      </c>
      <c r="AQ1108" s="89">
        <f>DATE(2011,6,18)</f>
        <v>40712</v>
      </c>
      <c r="AR1108" s="82">
        <f t="shared" si="74"/>
        <v>18</v>
      </c>
      <c r="AS1108" s="83">
        <f t="shared" si="75"/>
        <v>6</v>
      </c>
      <c r="AT1108" s="84">
        <f t="shared" si="76"/>
        <v>2011</v>
      </c>
      <c r="AU1108" s="86"/>
      <c r="AV1108" s="86"/>
      <c r="AW1108" s="87"/>
      <c r="AX1108" s="86"/>
      <c r="AY1108" s="83"/>
      <c r="AZ1108" s="84"/>
      <c r="BA1108" s="86"/>
      <c r="BB1108" s="86"/>
    </row>
    <row r="1109" spans="1:54" ht="36.75" customHeight="1">
      <c r="A1109" s="30"/>
      <c r="B1109" s="30" t="s">
        <v>55</v>
      </c>
      <c r="C1109" s="69" t="str">
        <f t="shared" si="73"/>
        <v>Closed</v>
      </c>
      <c r="D1109" s="27" t="s">
        <v>6212</v>
      </c>
      <c r="E1109" s="29" t="s">
        <v>6213</v>
      </c>
      <c r="F1109" s="30" t="s">
        <v>1572</v>
      </c>
      <c r="G1109" s="89">
        <f>DATE(2011,6,19)</f>
        <v>40713</v>
      </c>
      <c r="H1109" s="90">
        <v>1.4694444444444446</v>
      </c>
      <c r="I1109" s="30" t="s">
        <v>73</v>
      </c>
      <c r="J1109" s="89" t="s">
        <v>6214</v>
      </c>
      <c r="K1109" s="30" t="s">
        <v>1574</v>
      </c>
      <c r="L1109" s="30" t="s">
        <v>6215</v>
      </c>
      <c r="M1109" s="30" t="s">
        <v>63</v>
      </c>
      <c r="N1109" s="30" t="s">
        <v>142</v>
      </c>
      <c r="O1109" s="30" t="s">
        <v>64</v>
      </c>
      <c r="P1109" s="89" t="s">
        <v>78</v>
      </c>
      <c r="Q1109" s="89" t="s">
        <v>2655</v>
      </c>
      <c r="R1109" s="89">
        <v>0</v>
      </c>
      <c r="S1109" s="30">
        <v>0</v>
      </c>
      <c r="T1109" s="233">
        <v>0</v>
      </c>
      <c r="U1109" s="30">
        <v>0</v>
      </c>
      <c r="V1109" s="233">
        <v>0</v>
      </c>
      <c r="W1109" s="30">
        <v>0</v>
      </c>
      <c r="X1109" s="30">
        <v>0</v>
      </c>
      <c r="Y1109" s="30">
        <v>0</v>
      </c>
      <c r="Z1109" s="233">
        <v>0</v>
      </c>
      <c r="AA1109" s="30">
        <v>0</v>
      </c>
      <c r="AB1109" s="30">
        <v>0</v>
      </c>
      <c r="AC1109" s="30">
        <v>0</v>
      </c>
      <c r="AD1109" s="30">
        <v>0</v>
      </c>
      <c r="AE1109" s="89" t="s">
        <v>92</v>
      </c>
      <c r="AF1109" s="89"/>
      <c r="AG1109" s="89" t="s">
        <v>133</v>
      </c>
      <c r="AH1109" s="72">
        <v>40714</v>
      </c>
      <c r="AI1109" s="30">
        <v>0</v>
      </c>
      <c r="AJ1109" s="89" t="s">
        <v>6216</v>
      </c>
      <c r="AK1109" s="89" t="s">
        <v>6217</v>
      </c>
      <c r="AL1109" s="91">
        <v>40718</v>
      </c>
      <c r="AM1109" s="91"/>
      <c r="AN1109" s="91"/>
      <c r="AO1109" s="91"/>
      <c r="AP1109" s="73" t="e">
        <f>MID(VLOOKUP(K1109,#REF!,2,FALSE),1,2)</f>
        <v>#REF!</v>
      </c>
      <c r="AQ1109" s="89">
        <f>DATE(2011,6,19)</f>
        <v>40713</v>
      </c>
      <c r="AR1109" s="82">
        <f t="shared" si="74"/>
        <v>19</v>
      </c>
      <c r="AS1109" s="83">
        <f t="shared" si="75"/>
        <v>6</v>
      </c>
      <c r="AT1109" s="84">
        <f t="shared" si="76"/>
        <v>2011</v>
      </c>
      <c r="AU1109" s="86"/>
      <c r="AV1109" s="86"/>
      <c r="AW1109" s="87"/>
      <c r="AX1109" s="86"/>
      <c r="AY1109" s="83"/>
      <c r="AZ1109" s="84"/>
      <c r="BA1109" s="86"/>
      <c r="BB1109" s="86"/>
    </row>
    <row r="1110" spans="1:54" ht="36.75" customHeight="1">
      <c r="A1110" s="30"/>
      <c r="B1110" s="30" t="s">
        <v>55</v>
      </c>
      <c r="C1110" s="69" t="str">
        <f t="shared" si="73"/>
        <v>Closed</v>
      </c>
      <c r="D1110" s="27" t="s">
        <v>6218</v>
      </c>
      <c r="E1110" s="29" t="s">
        <v>6219</v>
      </c>
      <c r="F1110" s="30" t="s">
        <v>233</v>
      </c>
      <c r="G1110" s="89">
        <f>DATE(2011,6,19)</f>
        <v>40713</v>
      </c>
      <c r="H1110" s="90">
        <v>1.9131944444444446</v>
      </c>
      <c r="I1110" s="30" t="s">
        <v>86</v>
      </c>
      <c r="J1110" s="89" t="s">
        <v>6220</v>
      </c>
      <c r="K1110" s="30" t="s">
        <v>235</v>
      </c>
      <c r="L1110" s="30" t="s">
        <v>6221</v>
      </c>
      <c r="M1110" s="30" t="s">
        <v>63</v>
      </c>
      <c r="N1110" s="30">
        <v>0</v>
      </c>
      <c r="O1110" s="30" t="s">
        <v>64</v>
      </c>
      <c r="P1110" s="89" t="s">
        <v>165</v>
      </c>
      <c r="Q1110" s="89" t="s">
        <v>2174</v>
      </c>
      <c r="R1110" s="89" t="s">
        <v>238</v>
      </c>
      <c r="S1110" s="30">
        <v>0</v>
      </c>
      <c r="T1110" s="233" t="s">
        <v>68</v>
      </c>
      <c r="U1110" s="30">
        <v>0</v>
      </c>
      <c r="V1110" s="233" t="s">
        <v>68</v>
      </c>
      <c r="W1110" s="30">
        <v>0</v>
      </c>
      <c r="X1110" s="30">
        <v>0</v>
      </c>
      <c r="Y1110" s="30">
        <v>0</v>
      </c>
      <c r="Z1110" s="233" t="s">
        <v>68</v>
      </c>
      <c r="AA1110" s="30">
        <v>0</v>
      </c>
      <c r="AB1110" s="30">
        <v>0</v>
      </c>
      <c r="AC1110" s="30">
        <v>0</v>
      </c>
      <c r="AD1110" s="30">
        <v>0</v>
      </c>
      <c r="AE1110" s="89" t="s">
        <v>68</v>
      </c>
      <c r="AF1110" s="89"/>
      <c r="AG1110" s="89" t="s">
        <v>133</v>
      </c>
      <c r="AH1110" s="72" t="s">
        <v>68</v>
      </c>
      <c r="AI1110" s="30">
        <v>6</v>
      </c>
      <c r="AJ1110" s="89" t="s">
        <v>6222</v>
      </c>
      <c r="AK1110" s="89" t="s">
        <v>6223</v>
      </c>
      <c r="AL1110" s="91">
        <v>40758</v>
      </c>
      <c r="AM1110" s="91"/>
      <c r="AN1110" s="91"/>
      <c r="AO1110" s="91"/>
      <c r="AP1110" s="73" t="e">
        <f>MID(VLOOKUP(K1110,#REF!,2,FALSE),1,2)</f>
        <v>#REF!</v>
      </c>
      <c r="AQ1110" s="89">
        <f>DATE(2011,6,19)</f>
        <v>40713</v>
      </c>
      <c r="AR1110" s="82">
        <f t="shared" si="74"/>
        <v>19</v>
      </c>
      <c r="AS1110" s="83">
        <f t="shared" si="75"/>
        <v>6</v>
      </c>
      <c r="AT1110" s="84">
        <f t="shared" si="76"/>
        <v>2011</v>
      </c>
      <c r="AU1110" s="86"/>
      <c r="AV1110" s="86"/>
      <c r="AW1110" s="87"/>
      <c r="AX1110" s="86"/>
      <c r="AY1110" s="83"/>
      <c r="AZ1110" s="84"/>
      <c r="BA1110" s="86"/>
      <c r="BB1110" s="86"/>
    </row>
    <row r="1111" spans="1:54" ht="36.75" customHeight="1">
      <c r="A1111" s="30"/>
      <c r="B1111" s="30" t="s">
        <v>55</v>
      </c>
      <c r="C1111" s="69" t="str">
        <f t="shared" si="73"/>
        <v>Closed</v>
      </c>
      <c r="D1111" s="27" t="s">
        <v>6224</v>
      </c>
      <c r="E1111" s="29" t="s">
        <v>6225</v>
      </c>
      <c r="F1111" s="30" t="s">
        <v>197</v>
      </c>
      <c r="G1111" s="89">
        <f>DATE(2011,6,20)</f>
        <v>40714</v>
      </c>
      <c r="H1111" s="90">
        <v>1.7430555555555554</v>
      </c>
      <c r="I1111" s="30" t="s">
        <v>73</v>
      </c>
      <c r="J1111" s="89" t="s">
        <v>6226</v>
      </c>
      <c r="K1111" s="30" t="s">
        <v>200</v>
      </c>
      <c r="L1111" s="30" t="s">
        <v>6227</v>
      </c>
      <c r="M1111" s="30" t="s">
        <v>63</v>
      </c>
      <c r="N1111" s="30" t="s">
        <v>142</v>
      </c>
      <c r="O1111" s="30" t="s">
        <v>77</v>
      </c>
      <c r="P1111" s="89" t="s">
        <v>78</v>
      </c>
      <c r="Q1111" s="89" t="s">
        <v>1716</v>
      </c>
      <c r="R1111" s="89" t="s">
        <v>203</v>
      </c>
      <c r="S1111" s="30">
        <v>0</v>
      </c>
      <c r="T1111" s="233">
        <v>0</v>
      </c>
      <c r="U1111" s="30">
        <v>0</v>
      </c>
      <c r="V1111" s="233">
        <v>0</v>
      </c>
      <c r="W1111" s="30">
        <v>0</v>
      </c>
      <c r="X1111" s="30">
        <v>0</v>
      </c>
      <c r="Y1111" s="30">
        <v>0</v>
      </c>
      <c r="Z1111" s="233">
        <v>0</v>
      </c>
      <c r="AA1111" s="30">
        <v>0</v>
      </c>
      <c r="AB1111" s="30">
        <v>0</v>
      </c>
      <c r="AC1111" s="30">
        <v>0</v>
      </c>
      <c r="AD1111" s="30">
        <v>0</v>
      </c>
      <c r="AE1111" s="89" t="s">
        <v>394</v>
      </c>
      <c r="AF1111" s="89"/>
      <c r="AG1111" s="89" t="s">
        <v>1457</v>
      </c>
      <c r="AH1111" s="72">
        <v>40714</v>
      </c>
      <c r="AI1111" s="30">
        <v>7</v>
      </c>
      <c r="AJ1111" s="89" t="s">
        <v>6228</v>
      </c>
      <c r="AK1111" s="89" t="s">
        <v>1233</v>
      </c>
      <c r="AL1111" s="91">
        <v>40756</v>
      </c>
      <c r="AM1111" s="91"/>
      <c r="AN1111" s="91"/>
      <c r="AO1111" s="91"/>
      <c r="AP1111" s="73" t="e">
        <f>MID(VLOOKUP(K1111,#REF!,2,FALSE),1,2)</f>
        <v>#REF!</v>
      </c>
      <c r="AQ1111" s="89">
        <f>DATE(2011,6,20)</f>
        <v>40714</v>
      </c>
      <c r="AR1111" s="82">
        <f t="shared" si="74"/>
        <v>20</v>
      </c>
      <c r="AS1111" s="83">
        <f t="shared" si="75"/>
        <v>6</v>
      </c>
      <c r="AT1111" s="84">
        <f t="shared" si="76"/>
        <v>2011</v>
      </c>
      <c r="AU1111" s="86"/>
      <c r="AV1111" s="86"/>
      <c r="AW1111" s="87"/>
      <c r="AX1111" s="86"/>
      <c r="AY1111" s="83"/>
      <c r="AZ1111" s="84"/>
      <c r="BA1111" s="86"/>
      <c r="BB1111" s="86"/>
    </row>
    <row r="1112" spans="1:54" ht="36.75" customHeight="1">
      <c r="A1112" s="30"/>
      <c r="B1112" s="30" t="s">
        <v>55</v>
      </c>
      <c r="C1112" s="69" t="str">
        <f t="shared" si="73"/>
        <v>Closed</v>
      </c>
      <c r="D1112" s="27" t="s">
        <v>6229</v>
      </c>
      <c r="E1112" s="29" t="s">
        <v>6230</v>
      </c>
      <c r="F1112" s="30" t="s">
        <v>197</v>
      </c>
      <c r="G1112" s="89">
        <f>DATE(2011,6,20)</f>
        <v>40714</v>
      </c>
      <c r="H1112" s="90">
        <v>1.6291666666666667</v>
      </c>
      <c r="I1112" s="30" t="s">
        <v>278</v>
      </c>
      <c r="J1112" s="89" t="s">
        <v>6231</v>
      </c>
      <c r="K1112" s="30" t="s">
        <v>200</v>
      </c>
      <c r="L1112" s="30" t="s">
        <v>6232</v>
      </c>
      <c r="M1112" s="30" t="s">
        <v>63</v>
      </c>
      <c r="N1112" s="30" t="s">
        <v>142</v>
      </c>
      <c r="O1112" s="30" t="s">
        <v>77</v>
      </c>
      <c r="P1112" s="89" t="s">
        <v>91</v>
      </c>
      <c r="Q1112" s="89" t="s">
        <v>202</v>
      </c>
      <c r="R1112" s="89" t="s">
        <v>203</v>
      </c>
      <c r="S1112" s="30">
        <v>0</v>
      </c>
      <c r="T1112" s="233">
        <v>0</v>
      </c>
      <c r="U1112" s="30">
        <v>0</v>
      </c>
      <c r="V1112" s="233">
        <v>0</v>
      </c>
      <c r="W1112" s="30">
        <v>0</v>
      </c>
      <c r="X1112" s="30">
        <v>0</v>
      </c>
      <c r="Y1112" s="30">
        <v>0</v>
      </c>
      <c r="Z1112" s="233">
        <v>1</v>
      </c>
      <c r="AA1112" s="30">
        <v>0</v>
      </c>
      <c r="AB1112" s="30">
        <v>0</v>
      </c>
      <c r="AC1112" s="30">
        <v>0</v>
      </c>
      <c r="AD1112" s="30">
        <v>1</v>
      </c>
      <c r="AE1112" s="89" t="s">
        <v>68</v>
      </c>
      <c r="AF1112" s="89"/>
      <c r="AG1112" s="89" t="s">
        <v>133</v>
      </c>
      <c r="AH1112" s="72">
        <v>40716</v>
      </c>
      <c r="AI1112" s="30">
        <v>2</v>
      </c>
      <c r="AJ1112" s="89" t="s">
        <v>6233</v>
      </c>
      <c r="AK1112" s="89" t="s">
        <v>1233</v>
      </c>
      <c r="AL1112" s="91">
        <v>40956</v>
      </c>
      <c r="AM1112" s="91"/>
      <c r="AN1112" s="91"/>
      <c r="AO1112" s="91"/>
      <c r="AP1112" s="73" t="e">
        <f>MID(VLOOKUP(K1112,#REF!,2,FALSE),1,2)</f>
        <v>#REF!</v>
      </c>
      <c r="AQ1112" s="89">
        <f>DATE(2011,6,20)</f>
        <v>40714</v>
      </c>
      <c r="AR1112" s="82">
        <f t="shared" si="74"/>
        <v>20</v>
      </c>
      <c r="AS1112" s="83">
        <f t="shared" si="75"/>
        <v>6</v>
      </c>
      <c r="AT1112" s="84">
        <f t="shared" si="76"/>
        <v>2011</v>
      </c>
      <c r="AU1112" s="86"/>
      <c r="AV1112" s="86"/>
      <c r="AW1112" s="87"/>
      <c r="AX1112" s="86"/>
      <c r="AY1112" s="83"/>
      <c r="AZ1112" s="84"/>
      <c r="BA1112" s="86"/>
      <c r="BB1112" s="86"/>
    </row>
    <row r="1113" spans="1:54" ht="36.75" customHeight="1">
      <c r="A1113" s="30"/>
      <c r="B1113" s="30" t="s">
        <v>55</v>
      </c>
      <c r="C1113" s="69" t="str">
        <f t="shared" si="73"/>
        <v>Closed</v>
      </c>
      <c r="D1113" s="27" t="s">
        <v>6234</v>
      </c>
      <c r="E1113" s="29" t="s">
        <v>6235</v>
      </c>
      <c r="F1113" s="30" t="s">
        <v>835</v>
      </c>
      <c r="G1113" s="89">
        <f>DATE(2011,6,20)</f>
        <v>40714</v>
      </c>
      <c r="H1113" s="90">
        <v>1.7881944444444446</v>
      </c>
      <c r="I1113" s="30" t="s">
        <v>116</v>
      </c>
      <c r="J1113" s="89" t="s">
        <v>6236</v>
      </c>
      <c r="K1113" s="30" t="s">
        <v>837</v>
      </c>
      <c r="L1113" s="30" t="s">
        <v>6237</v>
      </c>
      <c r="M1113" s="30" t="s">
        <v>63</v>
      </c>
      <c r="N1113" s="30">
        <v>0</v>
      </c>
      <c r="O1113" s="30" t="s">
        <v>64</v>
      </c>
      <c r="P1113" s="89" t="s">
        <v>165</v>
      </c>
      <c r="Q1113" s="89" t="s">
        <v>2162</v>
      </c>
      <c r="R1113" s="89" t="s">
        <v>840</v>
      </c>
      <c r="S1113" s="30">
        <v>0</v>
      </c>
      <c r="T1113" s="233">
        <v>0</v>
      </c>
      <c r="U1113" s="30">
        <v>2</v>
      </c>
      <c r="V1113" s="233">
        <v>0</v>
      </c>
      <c r="W1113" s="30">
        <v>0</v>
      </c>
      <c r="X1113" s="30">
        <v>2</v>
      </c>
      <c r="Y1113" s="30">
        <v>0</v>
      </c>
      <c r="Z1113" s="233">
        <v>0</v>
      </c>
      <c r="AA1113" s="30">
        <v>0</v>
      </c>
      <c r="AB1113" s="30">
        <v>0</v>
      </c>
      <c r="AC1113" s="30">
        <v>0</v>
      </c>
      <c r="AD1113" s="30">
        <v>0</v>
      </c>
      <c r="AE1113" s="89" t="s">
        <v>68</v>
      </c>
      <c r="AF1113" s="89"/>
      <c r="AG1113" s="89" t="s">
        <v>352</v>
      </c>
      <c r="AH1113" s="72" t="s">
        <v>68</v>
      </c>
      <c r="AI1113" s="30">
        <v>1</v>
      </c>
      <c r="AJ1113" s="89" t="s">
        <v>68</v>
      </c>
      <c r="AK1113" s="89" t="s">
        <v>68</v>
      </c>
      <c r="AL1113" s="91">
        <v>40737</v>
      </c>
      <c r="AM1113" s="91"/>
      <c r="AN1113" s="91"/>
      <c r="AO1113" s="91"/>
      <c r="AP1113" s="73" t="e">
        <f>MID(VLOOKUP(K1113,#REF!,2,FALSE),1,2)</f>
        <v>#REF!</v>
      </c>
      <c r="AQ1113" s="89">
        <f>DATE(2011,6,20)</f>
        <v>40714</v>
      </c>
      <c r="AR1113" s="82">
        <f t="shared" si="74"/>
        <v>20</v>
      </c>
      <c r="AS1113" s="83">
        <f t="shared" si="75"/>
        <v>6</v>
      </c>
      <c r="AT1113" s="84">
        <f t="shared" si="76"/>
        <v>2011</v>
      </c>
      <c r="AU1113" s="86"/>
      <c r="AV1113" s="86"/>
      <c r="AW1113" s="87"/>
      <c r="AX1113" s="86"/>
      <c r="AY1113" s="83"/>
      <c r="AZ1113" s="84"/>
      <c r="BA1113" s="86"/>
      <c r="BB1113" s="86"/>
    </row>
    <row r="1114" spans="1:54" ht="36.75" customHeight="1">
      <c r="A1114" s="30"/>
      <c r="B1114" s="30" t="s">
        <v>55</v>
      </c>
      <c r="C1114" s="69" t="str">
        <f t="shared" si="73"/>
        <v>Closed</v>
      </c>
      <c r="D1114" s="27" t="s">
        <v>6238</v>
      </c>
      <c r="E1114" s="29" t="s">
        <v>6239</v>
      </c>
      <c r="F1114" s="30" t="s">
        <v>124</v>
      </c>
      <c r="G1114" s="89">
        <f>DATE(2011,6,20)</f>
        <v>40714</v>
      </c>
      <c r="H1114" s="90">
        <v>1.4027777777777777</v>
      </c>
      <c r="I1114" s="30" t="s">
        <v>198</v>
      </c>
      <c r="J1114" s="89" t="s">
        <v>6240</v>
      </c>
      <c r="K1114" s="30" t="s">
        <v>127</v>
      </c>
      <c r="L1114" s="30" t="s">
        <v>6241</v>
      </c>
      <c r="M1114" s="30" t="s">
        <v>63</v>
      </c>
      <c r="N1114" s="30">
        <v>0</v>
      </c>
      <c r="O1114" s="30" t="s">
        <v>77</v>
      </c>
      <c r="P1114" s="89" t="s">
        <v>301</v>
      </c>
      <c r="Q1114" s="89" t="s">
        <v>6242</v>
      </c>
      <c r="R1114" s="89" t="s">
        <v>167</v>
      </c>
      <c r="S1114" s="30">
        <v>0</v>
      </c>
      <c r="T1114" s="233" t="s">
        <v>68</v>
      </c>
      <c r="U1114" s="30">
        <v>0</v>
      </c>
      <c r="V1114" s="233" t="s">
        <v>68</v>
      </c>
      <c r="W1114" s="30">
        <v>0</v>
      </c>
      <c r="X1114" s="30">
        <v>0</v>
      </c>
      <c r="Y1114" s="30">
        <v>0</v>
      </c>
      <c r="Z1114" s="233" t="s">
        <v>68</v>
      </c>
      <c r="AA1114" s="30">
        <v>0</v>
      </c>
      <c r="AB1114" s="30">
        <v>0</v>
      </c>
      <c r="AC1114" s="30">
        <v>0</v>
      </c>
      <c r="AD1114" s="30">
        <v>0</v>
      </c>
      <c r="AE1114" s="89" t="s">
        <v>68</v>
      </c>
      <c r="AF1114" s="89"/>
      <c r="AG1114" s="89" t="s">
        <v>82</v>
      </c>
      <c r="AH1114" s="72" t="s">
        <v>68</v>
      </c>
      <c r="AI1114" s="30">
        <v>1</v>
      </c>
      <c r="AJ1114" s="89" t="s">
        <v>68</v>
      </c>
      <c r="AK1114" s="89" t="s">
        <v>68</v>
      </c>
      <c r="AL1114" s="91">
        <v>40722</v>
      </c>
      <c r="AM1114" s="91"/>
      <c r="AN1114" s="91"/>
      <c r="AO1114" s="91"/>
      <c r="AP1114" s="73" t="e">
        <f>MID(VLOOKUP(K1114,#REF!,2,FALSE),1,2)</f>
        <v>#REF!</v>
      </c>
      <c r="AQ1114" s="89">
        <f>DATE(2011,6,20)</f>
        <v>40714</v>
      </c>
      <c r="AR1114" s="82">
        <f t="shared" si="74"/>
        <v>20</v>
      </c>
      <c r="AS1114" s="83">
        <f t="shared" si="75"/>
        <v>6</v>
      </c>
      <c r="AT1114" s="84">
        <f t="shared" si="76"/>
        <v>2011</v>
      </c>
      <c r="AU1114" s="86"/>
      <c r="AV1114" s="86"/>
      <c r="AW1114" s="87"/>
      <c r="AX1114" s="86"/>
      <c r="AY1114" s="83"/>
      <c r="AZ1114" s="84"/>
      <c r="BA1114" s="86"/>
      <c r="BB1114" s="86"/>
    </row>
    <row r="1115" spans="1:54" ht="36.75" customHeight="1">
      <c r="A1115" s="30"/>
      <c r="B1115" s="30" t="s">
        <v>55</v>
      </c>
      <c r="C1115" s="69" t="str">
        <f t="shared" si="73"/>
        <v>Closed</v>
      </c>
      <c r="D1115" s="27" t="s">
        <v>6243</v>
      </c>
      <c r="E1115" s="29" t="s">
        <v>6244</v>
      </c>
      <c r="F1115" s="30" t="s">
        <v>423</v>
      </c>
      <c r="G1115" s="89">
        <f>DATE(2011,6,22)</f>
        <v>40716</v>
      </c>
      <c r="H1115" s="90">
        <v>1.7124999999999999</v>
      </c>
      <c r="I1115" s="30" t="s">
        <v>156</v>
      </c>
      <c r="J1115" s="89" t="s">
        <v>6245</v>
      </c>
      <c r="K1115" s="30" t="s">
        <v>425</v>
      </c>
      <c r="L1115" s="30" t="s">
        <v>6246</v>
      </c>
      <c r="M1115" s="30" t="s">
        <v>63</v>
      </c>
      <c r="N1115" s="30">
        <v>0</v>
      </c>
      <c r="O1115" s="30" t="s">
        <v>77</v>
      </c>
      <c r="P1115" s="89" t="s">
        <v>165</v>
      </c>
      <c r="Q1115" s="89" t="s">
        <v>6247</v>
      </c>
      <c r="R1115" s="89" t="s">
        <v>6248</v>
      </c>
      <c r="S1115" s="30">
        <v>0</v>
      </c>
      <c r="T1115" s="233" t="s">
        <v>68</v>
      </c>
      <c r="U1115" s="30">
        <v>0</v>
      </c>
      <c r="V1115" s="233" t="s">
        <v>68</v>
      </c>
      <c r="W1115" s="30">
        <v>0</v>
      </c>
      <c r="X1115" s="30">
        <v>0</v>
      </c>
      <c r="Y1115" s="30">
        <v>0</v>
      </c>
      <c r="Z1115" s="233" t="s">
        <v>68</v>
      </c>
      <c r="AA1115" s="30">
        <v>0</v>
      </c>
      <c r="AB1115" s="30">
        <v>0</v>
      </c>
      <c r="AC1115" s="30">
        <v>0</v>
      </c>
      <c r="AD1115" s="30">
        <v>0</v>
      </c>
      <c r="AE1115" s="89" t="s">
        <v>68</v>
      </c>
      <c r="AF1115" s="89"/>
      <c r="AG1115" s="89" t="s">
        <v>133</v>
      </c>
      <c r="AH1115" s="72" t="s">
        <v>68</v>
      </c>
      <c r="AI1115" s="30">
        <v>0</v>
      </c>
      <c r="AJ1115" s="89" t="s">
        <v>68</v>
      </c>
      <c r="AK1115" s="89" t="s">
        <v>6249</v>
      </c>
      <c r="AL1115" s="91">
        <v>40744</v>
      </c>
      <c r="AM1115" s="91"/>
      <c r="AN1115" s="91"/>
      <c r="AO1115" s="91"/>
      <c r="AP1115" s="73" t="e">
        <f>MID(VLOOKUP(K1115,#REF!,2,FALSE),1,2)</f>
        <v>#REF!</v>
      </c>
      <c r="AQ1115" s="89">
        <f>DATE(2011,6,22)</f>
        <v>40716</v>
      </c>
      <c r="AR1115" s="82">
        <f t="shared" si="74"/>
        <v>22</v>
      </c>
      <c r="AS1115" s="83">
        <f t="shared" si="75"/>
        <v>6</v>
      </c>
      <c r="AT1115" s="84">
        <f t="shared" si="76"/>
        <v>2011</v>
      </c>
      <c r="AU1115" s="86"/>
      <c r="AV1115" s="86"/>
      <c r="AW1115" s="87"/>
      <c r="AX1115" s="86"/>
      <c r="AY1115" s="83"/>
      <c r="AZ1115" s="84"/>
      <c r="BA1115" s="86"/>
      <c r="BB1115" s="86"/>
    </row>
    <row r="1116" spans="1:54" ht="36.75" customHeight="1">
      <c r="A1116" s="30"/>
      <c r="B1116" s="30" t="s">
        <v>2124</v>
      </c>
      <c r="C1116" s="69" t="str">
        <f t="shared" si="73"/>
        <v>Open</v>
      </c>
      <c r="D1116" s="27" t="s">
        <v>6250</v>
      </c>
      <c r="E1116" s="29" t="s">
        <v>6251</v>
      </c>
      <c r="F1116" s="30" t="s">
        <v>3148</v>
      </c>
      <c r="G1116" s="89">
        <f>DATE(2011,6,24)</f>
        <v>40718</v>
      </c>
      <c r="H1116" s="90">
        <v>1.5506944444444444</v>
      </c>
      <c r="I1116" s="30" t="s">
        <v>116</v>
      </c>
      <c r="J1116" s="89" t="s">
        <v>6252</v>
      </c>
      <c r="K1116" s="30" t="s">
        <v>3150</v>
      </c>
      <c r="L1116" s="30" t="s">
        <v>6253</v>
      </c>
      <c r="M1116" s="30" t="s">
        <v>63</v>
      </c>
      <c r="N1116" s="30">
        <v>0</v>
      </c>
      <c r="O1116" s="30" t="s">
        <v>64</v>
      </c>
      <c r="P1116" s="89" t="s">
        <v>78</v>
      </c>
      <c r="Q1116" s="89" t="s">
        <v>4529</v>
      </c>
      <c r="R1116" s="89" t="s">
        <v>3153</v>
      </c>
      <c r="S1116" s="30">
        <v>0</v>
      </c>
      <c r="T1116" s="233" t="s">
        <v>68</v>
      </c>
      <c r="U1116" s="30">
        <v>1</v>
      </c>
      <c r="V1116" s="233" t="s">
        <v>68</v>
      </c>
      <c r="W1116" s="30">
        <v>0</v>
      </c>
      <c r="X1116" s="30">
        <v>1</v>
      </c>
      <c r="Y1116" s="30">
        <v>0</v>
      </c>
      <c r="Z1116" s="233" t="s">
        <v>68</v>
      </c>
      <c r="AA1116" s="30">
        <v>0</v>
      </c>
      <c r="AB1116" s="30">
        <v>0</v>
      </c>
      <c r="AC1116" s="30">
        <v>0</v>
      </c>
      <c r="AD1116" s="30">
        <v>0</v>
      </c>
      <c r="AE1116" s="89" t="s">
        <v>68</v>
      </c>
      <c r="AF1116" s="89"/>
      <c r="AG1116" s="89" t="s">
        <v>133</v>
      </c>
      <c r="AH1116" s="72" t="s">
        <v>68</v>
      </c>
      <c r="AI1116" s="30">
        <v>0</v>
      </c>
      <c r="AJ1116" s="89" t="s">
        <v>68</v>
      </c>
      <c r="AK1116" s="89" t="s">
        <v>68</v>
      </c>
      <c r="AL1116" s="91">
        <v>40724</v>
      </c>
      <c r="AM1116" s="91"/>
      <c r="AN1116" s="91"/>
      <c r="AO1116" s="91"/>
      <c r="AP1116" s="73" t="e">
        <f>MID(VLOOKUP(K1116,#REF!,2,FALSE),1,2)</f>
        <v>#REF!</v>
      </c>
      <c r="AQ1116" s="89">
        <f>DATE(2011,6,24)</f>
        <v>40718</v>
      </c>
      <c r="AR1116" s="82">
        <f t="shared" si="74"/>
        <v>24</v>
      </c>
      <c r="AS1116" s="83">
        <f t="shared" si="75"/>
        <v>6</v>
      </c>
      <c r="AT1116" s="84">
        <f t="shared" si="76"/>
        <v>2011</v>
      </c>
      <c r="AU1116" s="86"/>
      <c r="AV1116" s="86"/>
      <c r="AW1116" s="87"/>
      <c r="AX1116" s="86"/>
      <c r="AY1116" s="83"/>
      <c r="AZ1116" s="84"/>
      <c r="BA1116" s="86"/>
      <c r="BB1116" s="86"/>
    </row>
    <row r="1117" spans="1:54" ht="36.75" customHeight="1">
      <c r="A1117" s="30"/>
      <c r="B1117" s="30" t="s">
        <v>55</v>
      </c>
      <c r="C1117" s="69" t="str">
        <f t="shared" si="73"/>
        <v>Closed</v>
      </c>
      <c r="D1117" s="27" t="s">
        <v>6254</v>
      </c>
      <c r="E1117" s="29" t="s">
        <v>6255</v>
      </c>
      <c r="F1117" s="30" t="s">
        <v>1770</v>
      </c>
      <c r="G1117" s="89">
        <f>DATE(2011,6,30)</f>
        <v>40724</v>
      </c>
      <c r="H1117" s="90">
        <v>1.6486111111111112</v>
      </c>
      <c r="I1117" s="30" t="s">
        <v>104</v>
      </c>
      <c r="J1117" s="89" t="s">
        <v>6256</v>
      </c>
      <c r="K1117" s="30" t="s">
        <v>1772</v>
      </c>
      <c r="L1117" s="30" t="s">
        <v>6257</v>
      </c>
      <c r="M1117" s="30" t="s">
        <v>63</v>
      </c>
      <c r="N1117" s="30" t="s">
        <v>89</v>
      </c>
      <c r="O1117" s="30" t="s">
        <v>90</v>
      </c>
      <c r="P1117" s="89" t="s">
        <v>381</v>
      </c>
      <c r="Q1117" s="89" t="s">
        <v>1774</v>
      </c>
      <c r="R1117" s="89" t="s">
        <v>1775</v>
      </c>
      <c r="S1117" s="30">
        <v>0</v>
      </c>
      <c r="T1117" s="233">
        <v>0</v>
      </c>
      <c r="U1117" s="30">
        <v>0</v>
      </c>
      <c r="V1117" s="233">
        <v>0</v>
      </c>
      <c r="W1117" s="30">
        <v>0</v>
      </c>
      <c r="X1117" s="30">
        <v>0</v>
      </c>
      <c r="Y1117" s="30">
        <v>0</v>
      </c>
      <c r="Z1117" s="233">
        <v>0</v>
      </c>
      <c r="AA1117" s="30">
        <v>0</v>
      </c>
      <c r="AB1117" s="30">
        <v>0</v>
      </c>
      <c r="AC1117" s="30">
        <v>0</v>
      </c>
      <c r="AD1117" s="30">
        <v>0</v>
      </c>
      <c r="AE1117" s="89" t="s">
        <v>92</v>
      </c>
      <c r="AF1117" s="89"/>
      <c r="AG1117" s="89" t="s">
        <v>133</v>
      </c>
      <c r="AH1117" s="72">
        <v>40728</v>
      </c>
      <c r="AI1117" s="30">
        <v>3</v>
      </c>
      <c r="AJ1117" s="89" t="s">
        <v>4610</v>
      </c>
      <c r="AK1117" s="89" t="s">
        <v>68</v>
      </c>
      <c r="AL1117" s="91">
        <v>40759</v>
      </c>
      <c r="AM1117" s="91"/>
      <c r="AN1117" s="91"/>
      <c r="AO1117" s="91"/>
      <c r="AP1117" s="73" t="e">
        <f>MID(VLOOKUP(K1117,#REF!,2,FALSE),1,2)</f>
        <v>#REF!</v>
      </c>
      <c r="AQ1117" s="89">
        <f>DATE(2011,6,30)</f>
        <v>40724</v>
      </c>
      <c r="AR1117" s="82">
        <f t="shared" si="74"/>
        <v>30</v>
      </c>
      <c r="AS1117" s="83">
        <f t="shared" si="75"/>
        <v>6</v>
      </c>
      <c r="AT1117" s="84">
        <f t="shared" si="76"/>
        <v>2011</v>
      </c>
      <c r="AU1117" s="86"/>
      <c r="AV1117" s="86"/>
      <c r="AW1117" s="87"/>
      <c r="AX1117" s="86"/>
      <c r="AY1117" s="83"/>
      <c r="AZ1117" s="84"/>
      <c r="BA1117" s="86"/>
      <c r="BB1117" s="86"/>
    </row>
    <row r="1118" spans="1:54" ht="36.75" customHeight="1">
      <c r="A1118" s="30"/>
      <c r="B1118" s="30" t="s">
        <v>55</v>
      </c>
      <c r="C1118" s="69" t="str">
        <f t="shared" si="73"/>
        <v>Closed</v>
      </c>
      <c r="D1118" s="27" t="s">
        <v>6258</v>
      </c>
      <c r="E1118" s="29" t="s">
        <v>6259</v>
      </c>
      <c r="F1118" s="30" t="s">
        <v>638</v>
      </c>
      <c r="G1118" s="89">
        <f>DATE(2011,6,30)</f>
        <v>40724</v>
      </c>
      <c r="H1118" s="90">
        <v>1.4986111111111111</v>
      </c>
      <c r="I1118" s="30" t="s">
        <v>73</v>
      </c>
      <c r="J1118" s="89" t="s">
        <v>6260</v>
      </c>
      <c r="K1118" s="30" t="s">
        <v>640</v>
      </c>
      <c r="L1118" s="30" t="s">
        <v>6261</v>
      </c>
      <c r="M1118" s="30" t="s">
        <v>63</v>
      </c>
      <c r="N1118" s="30">
        <v>0</v>
      </c>
      <c r="O1118" s="30" t="s">
        <v>64</v>
      </c>
      <c r="P1118" s="89" t="s">
        <v>86</v>
      </c>
      <c r="Q1118" s="89" t="s">
        <v>642</v>
      </c>
      <c r="R1118" s="89" t="s">
        <v>643</v>
      </c>
      <c r="S1118" s="30">
        <v>0</v>
      </c>
      <c r="T1118" s="233" t="s">
        <v>68</v>
      </c>
      <c r="U1118" s="30">
        <v>0</v>
      </c>
      <c r="V1118" s="233" t="s">
        <v>68</v>
      </c>
      <c r="W1118" s="30">
        <v>0</v>
      </c>
      <c r="X1118" s="30">
        <v>0</v>
      </c>
      <c r="Y1118" s="30">
        <v>0</v>
      </c>
      <c r="Z1118" s="233" t="s">
        <v>68</v>
      </c>
      <c r="AA1118" s="30">
        <v>0</v>
      </c>
      <c r="AB1118" s="30">
        <v>0</v>
      </c>
      <c r="AC1118" s="30">
        <v>0</v>
      </c>
      <c r="AD1118" s="30">
        <v>0</v>
      </c>
      <c r="AE1118" s="89" t="s">
        <v>68</v>
      </c>
      <c r="AF1118" s="89"/>
      <c r="AG1118" s="89" t="s">
        <v>352</v>
      </c>
      <c r="AH1118" s="72" t="s">
        <v>68</v>
      </c>
      <c r="AI1118" s="30">
        <v>1</v>
      </c>
      <c r="AJ1118" s="89" t="s">
        <v>6262</v>
      </c>
      <c r="AK1118" s="89" t="s">
        <v>68</v>
      </c>
      <c r="AL1118" s="91">
        <v>40774</v>
      </c>
      <c r="AM1118" s="91"/>
      <c r="AN1118" s="91"/>
      <c r="AO1118" s="91"/>
      <c r="AP1118" s="73" t="e">
        <f>MID(VLOOKUP(K1118,#REF!,2,FALSE),1,2)</f>
        <v>#REF!</v>
      </c>
      <c r="AQ1118" s="89">
        <f>DATE(2011,6,30)</f>
        <v>40724</v>
      </c>
      <c r="AR1118" s="82">
        <f t="shared" si="74"/>
        <v>30</v>
      </c>
      <c r="AS1118" s="83">
        <f t="shared" si="75"/>
        <v>6</v>
      </c>
      <c r="AT1118" s="84">
        <f t="shared" si="76"/>
        <v>2011</v>
      </c>
      <c r="AU1118" s="86"/>
      <c r="AV1118" s="86"/>
      <c r="AW1118" s="87"/>
      <c r="AX1118" s="86"/>
      <c r="AY1118" s="83"/>
      <c r="AZ1118" s="84"/>
      <c r="BA1118" s="86"/>
      <c r="BB1118" s="86"/>
    </row>
    <row r="1119" spans="1:54" ht="36.75" customHeight="1">
      <c r="A1119" s="30"/>
      <c r="B1119" s="30" t="s">
        <v>55</v>
      </c>
      <c r="C1119" s="69" t="str">
        <f t="shared" si="73"/>
        <v>Closed</v>
      </c>
      <c r="D1119" s="27" t="s">
        <v>6263</v>
      </c>
      <c r="E1119" s="29" t="s">
        <v>6264</v>
      </c>
      <c r="F1119" s="30" t="s">
        <v>233</v>
      </c>
      <c r="G1119" s="89">
        <f>DATE(2011,7,3)</f>
        <v>40727</v>
      </c>
      <c r="H1119" s="90">
        <v>1.5062500000000001</v>
      </c>
      <c r="I1119" s="30" t="s">
        <v>86</v>
      </c>
      <c r="J1119" s="89" t="s">
        <v>6265</v>
      </c>
      <c r="K1119" s="30" t="s">
        <v>235</v>
      </c>
      <c r="L1119" s="30" t="s">
        <v>6266</v>
      </c>
      <c r="M1119" s="30" t="s">
        <v>63</v>
      </c>
      <c r="N1119" s="30">
        <v>0</v>
      </c>
      <c r="O1119" s="30" t="s">
        <v>64</v>
      </c>
      <c r="P1119" s="89" t="s">
        <v>165</v>
      </c>
      <c r="Q1119" s="89" t="s">
        <v>6267</v>
      </c>
      <c r="R1119" s="89" t="s">
        <v>6267</v>
      </c>
      <c r="S1119" s="30">
        <v>0</v>
      </c>
      <c r="T1119" s="233" t="s">
        <v>68</v>
      </c>
      <c r="U1119" s="30">
        <v>0</v>
      </c>
      <c r="V1119" s="233" t="s">
        <v>68</v>
      </c>
      <c r="W1119" s="30">
        <v>0</v>
      </c>
      <c r="X1119" s="30">
        <v>0</v>
      </c>
      <c r="Y1119" s="30">
        <v>0</v>
      </c>
      <c r="Z1119" s="233" t="s">
        <v>68</v>
      </c>
      <c r="AA1119" s="30">
        <v>0</v>
      </c>
      <c r="AB1119" s="30">
        <v>0</v>
      </c>
      <c r="AC1119" s="30">
        <v>0</v>
      </c>
      <c r="AD1119" s="30">
        <v>0</v>
      </c>
      <c r="AE1119" s="89" t="s">
        <v>68</v>
      </c>
      <c r="AF1119" s="89"/>
      <c r="AG1119" s="89" t="s">
        <v>133</v>
      </c>
      <c r="AH1119" s="72" t="s">
        <v>68</v>
      </c>
      <c r="AI1119" s="30">
        <v>2</v>
      </c>
      <c r="AJ1119" s="89" t="s">
        <v>6268</v>
      </c>
      <c r="AK1119" s="89" t="s">
        <v>6269</v>
      </c>
      <c r="AL1119" s="91">
        <v>40764</v>
      </c>
      <c r="AM1119" s="91"/>
      <c r="AN1119" s="91"/>
      <c r="AO1119" s="91"/>
      <c r="AP1119" s="73" t="e">
        <f>MID(VLOOKUP(K1119,#REF!,2,FALSE),1,2)</f>
        <v>#REF!</v>
      </c>
      <c r="AQ1119" s="89">
        <f>DATE(2011,7,3)</f>
        <v>40727</v>
      </c>
      <c r="AR1119" s="82">
        <f t="shared" si="74"/>
        <v>3</v>
      </c>
      <c r="AS1119" s="83">
        <f t="shared" si="75"/>
        <v>7</v>
      </c>
      <c r="AT1119" s="84">
        <f t="shared" si="76"/>
        <v>2011</v>
      </c>
      <c r="AU1119" s="86"/>
      <c r="AV1119" s="86"/>
      <c r="AW1119" s="87"/>
      <c r="AX1119" s="86"/>
      <c r="AY1119" s="83"/>
      <c r="AZ1119" s="84"/>
      <c r="BA1119" s="86"/>
      <c r="BB1119" s="86"/>
    </row>
    <row r="1120" spans="1:54" ht="36.75" customHeight="1">
      <c r="A1120" s="30"/>
      <c r="B1120" s="30" t="s">
        <v>55</v>
      </c>
      <c r="C1120" s="69" t="str">
        <f t="shared" si="73"/>
        <v>Closed</v>
      </c>
      <c r="D1120" s="27" t="s">
        <v>6270</v>
      </c>
      <c r="E1120" s="29" t="s">
        <v>6271</v>
      </c>
      <c r="F1120" s="30" t="s">
        <v>197</v>
      </c>
      <c r="G1120" s="89">
        <f>DATE(2011,7,6)</f>
        <v>40730</v>
      </c>
      <c r="H1120" s="90">
        <v>1.6715277777777779</v>
      </c>
      <c r="I1120" s="30" t="s">
        <v>86</v>
      </c>
      <c r="J1120" s="89" t="s">
        <v>6272</v>
      </c>
      <c r="K1120" s="30" t="s">
        <v>200</v>
      </c>
      <c r="L1120" s="30" t="s">
        <v>6273</v>
      </c>
      <c r="M1120" s="30" t="s">
        <v>63</v>
      </c>
      <c r="N1120" s="30" t="s">
        <v>99</v>
      </c>
      <c r="O1120" s="30" t="s">
        <v>64</v>
      </c>
      <c r="P1120" s="89" t="s">
        <v>301</v>
      </c>
      <c r="Q1120" s="89" t="s">
        <v>6274</v>
      </c>
      <c r="R1120" s="89" t="s">
        <v>203</v>
      </c>
      <c r="S1120" s="30">
        <v>0</v>
      </c>
      <c r="T1120" s="233">
        <v>0</v>
      </c>
      <c r="U1120" s="30">
        <v>0</v>
      </c>
      <c r="V1120" s="233">
        <v>0</v>
      </c>
      <c r="W1120" s="30">
        <v>0</v>
      </c>
      <c r="X1120" s="30">
        <v>0</v>
      </c>
      <c r="Y1120" s="30">
        <v>0</v>
      </c>
      <c r="Z1120" s="233">
        <v>0</v>
      </c>
      <c r="AA1120" s="30">
        <v>0</v>
      </c>
      <c r="AB1120" s="30">
        <v>0</v>
      </c>
      <c r="AC1120" s="30">
        <v>0</v>
      </c>
      <c r="AD1120" s="30">
        <v>0</v>
      </c>
      <c r="AE1120" s="89" t="s">
        <v>68</v>
      </c>
      <c r="AF1120" s="89"/>
      <c r="AG1120" s="89" t="s">
        <v>133</v>
      </c>
      <c r="AH1120" s="72">
        <v>40730</v>
      </c>
      <c r="AI1120" s="30">
        <v>3</v>
      </c>
      <c r="AJ1120" s="89" t="s">
        <v>6275</v>
      </c>
      <c r="AK1120" s="89" t="s">
        <v>1233</v>
      </c>
      <c r="AL1120" s="91">
        <v>40756</v>
      </c>
      <c r="AM1120" s="91"/>
      <c r="AN1120" s="91"/>
      <c r="AO1120" s="91"/>
      <c r="AP1120" s="73" t="e">
        <f>MID(VLOOKUP(K1120,#REF!,2,FALSE),1,2)</f>
        <v>#REF!</v>
      </c>
      <c r="AQ1120" s="89">
        <f>DATE(2011,7,6)</f>
        <v>40730</v>
      </c>
      <c r="AR1120" s="82">
        <f t="shared" si="74"/>
        <v>6</v>
      </c>
      <c r="AS1120" s="83">
        <f t="shared" si="75"/>
        <v>7</v>
      </c>
      <c r="AT1120" s="84">
        <f t="shared" si="76"/>
        <v>2011</v>
      </c>
      <c r="AU1120" s="86"/>
      <c r="AV1120" s="86"/>
      <c r="AW1120" s="87"/>
      <c r="AX1120" s="86"/>
      <c r="AY1120" s="83"/>
      <c r="AZ1120" s="84"/>
      <c r="BA1120" s="86"/>
      <c r="BB1120" s="86"/>
    </row>
    <row r="1121" spans="1:54" ht="36.75" customHeight="1">
      <c r="A1121" s="30"/>
      <c r="B1121" s="30" t="s">
        <v>55</v>
      </c>
      <c r="C1121" s="69" t="str">
        <f t="shared" si="73"/>
        <v>Closed</v>
      </c>
      <c r="D1121" s="27" t="s">
        <v>6276</v>
      </c>
      <c r="E1121" s="29" t="s">
        <v>6277</v>
      </c>
      <c r="F1121" s="30" t="s">
        <v>835</v>
      </c>
      <c r="G1121" s="89">
        <f>DATE(2011,7,6)</f>
        <v>40730</v>
      </c>
      <c r="H1121" s="90">
        <v>1.5138888888888888</v>
      </c>
      <c r="I1121" s="30" t="s">
        <v>116</v>
      </c>
      <c r="J1121" s="89" t="s">
        <v>6278</v>
      </c>
      <c r="K1121" s="30" t="s">
        <v>837</v>
      </c>
      <c r="L1121" s="30" t="s">
        <v>6279</v>
      </c>
      <c r="M1121" s="30" t="s">
        <v>63</v>
      </c>
      <c r="N1121" s="30" t="s">
        <v>99</v>
      </c>
      <c r="O1121" s="30" t="s">
        <v>64</v>
      </c>
      <c r="P1121" s="89" t="s">
        <v>381</v>
      </c>
      <c r="Q1121" s="89" t="s">
        <v>6280</v>
      </c>
      <c r="R1121" s="89" t="s">
        <v>840</v>
      </c>
      <c r="S1121" s="30">
        <v>0</v>
      </c>
      <c r="T1121" s="233">
        <v>0</v>
      </c>
      <c r="U1121" s="30">
        <v>1</v>
      </c>
      <c r="V1121" s="233">
        <v>0</v>
      </c>
      <c r="W1121" s="30">
        <v>0</v>
      </c>
      <c r="X1121" s="30">
        <v>1</v>
      </c>
      <c r="Y1121" s="30">
        <v>0</v>
      </c>
      <c r="Z1121" s="233">
        <v>0</v>
      </c>
      <c r="AA1121" s="30">
        <v>2</v>
      </c>
      <c r="AB1121" s="30">
        <v>0</v>
      </c>
      <c r="AC1121" s="30">
        <v>0</v>
      </c>
      <c r="AD1121" s="30">
        <v>2</v>
      </c>
      <c r="AE1121" s="89" t="s">
        <v>92</v>
      </c>
      <c r="AF1121" s="89"/>
      <c r="AG1121" s="89" t="s">
        <v>352</v>
      </c>
      <c r="AH1121" s="72" t="s">
        <v>68</v>
      </c>
      <c r="AI1121" s="30">
        <v>0</v>
      </c>
      <c r="AJ1121" s="89" t="s">
        <v>6281</v>
      </c>
      <c r="AK1121" s="89" t="s">
        <v>68</v>
      </c>
      <c r="AL1121" s="91">
        <v>40737</v>
      </c>
      <c r="AM1121" s="91"/>
      <c r="AN1121" s="91"/>
      <c r="AO1121" s="91"/>
      <c r="AP1121" s="73" t="e">
        <f>MID(VLOOKUP(K1121,#REF!,2,FALSE),1,2)</f>
        <v>#REF!</v>
      </c>
      <c r="AQ1121" s="89">
        <f>DATE(2011,7,6)</f>
        <v>40730</v>
      </c>
      <c r="AR1121" s="82">
        <f t="shared" si="74"/>
        <v>6</v>
      </c>
      <c r="AS1121" s="83">
        <f t="shared" si="75"/>
        <v>7</v>
      </c>
      <c r="AT1121" s="84">
        <f t="shared" si="76"/>
        <v>2011</v>
      </c>
      <c r="AU1121" s="86"/>
      <c r="AV1121" s="86"/>
      <c r="AW1121" s="87"/>
      <c r="AX1121" s="86"/>
      <c r="AY1121" s="83"/>
      <c r="AZ1121" s="84"/>
      <c r="BA1121" s="86"/>
      <c r="BB1121" s="86"/>
    </row>
    <row r="1122" spans="1:54" ht="36.75" customHeight="1">
      <c r="A1122" s="30"/>
      <c r="B1122" s="30" t="s">
        <v>55</v>
      </c>
      <c r="C1122" s="69" t="str">
        <f t="shared" si="73"/>
        <v>Closed</v>
      </c>
      <c r="D1122" s="27" t="s">
        <v>6282</v>
      </c>
      <c r="E1122" s="29" t="s">
        <v>6283</v>
      </c>
      <c r="F1122" s="30" t="s">
        <v>1572</v>
      </c>
      <c r="G1122" s="89">
        <f>DATE(2011,7,9)</f>
        <v>40733</v>
      </c>
      <c r="H1122" s="90">
        <v>1.7534722222222223</v>
      </c>
      <c r="I1122" s="30" t="s">
        <v>73</v>
      </c>
      <c r="J1122" s="89" t="s">
        <v>6284</v>
      </c>
      <c r="K1122" s="30" t="s">
        <v>1574</v>
      </c>
      <c r="L1122" s="30" t="s">
        <v>6285</v>
      </c>
      <c r="M1122" s="30" t="s">
        <v>63</v>
      </c>
      <c r="N1122" s="30">
        <v>0</v>
      </c>
      <c r="O1122" s="30" t="s">
        <v>64</v>
      </c>
      <c r="P1122" s="89" t="s">
        <v>78</v>
      </c>
      <c r="Q1122" s="89" t="s">
        <v>6093</v>
      </c>
      <c r="R1122" s="89">
        <v>0</v>
      </c>
      <c r="S1122" s="30">
        <v>0</v>
      </c>
      <c r="T1122" s="233" t="s">
        <v>68</v>
      </c>
      <c r="U1122" s="30">
        <v>0</v>
      </c>
      <c r="V1122" s="233" t="s">
        <v>68</v>
      </c>
      <c r="W1122" s="30">
        <v>0</v>
      </c>
      <c r="X1122" s="30">
        <v>0</v>
      </c>
      <c r="Y1122" s="30">
        <v>0</v>
      </c>
      <c r="Z1122" s="233" t="s">
        <v>68</v>
      </c>
      <c r="AA1122" s="30">
        <v>0</v>
      </c>
      <c r="AB1122" s="30">
        <v>0</v>
      </c>
      <c r="AC1122" s="30">
        <v>0</v>
      </c>
      <c r="AD1122" s="30">
        <v>0</v>
      </c>
      <c r="AE1122" s="89" t="s">
        <v>68</v>
      </c>
      <c r="AF1122" s="89"/>
      <c r="AG1122" s="89" t="s">
        <v>133</v>
      </c>
      <c r="AH1122" s="72" t="s">
        <v>68</v>
      </c>
      <c r="AI1122" s="30">
        <v>0</v>
      </c>
      <c r="AJ1122" s="89" t="s">
        <v>6286</v>
      </c>
      <c r="AK1122" s="89" t="s">
        <v>68</v>
      </c>
      <c r="AL1122" s="91">
        <v>40746</v>
      </c>
      <c r="AM1122" s="91"/>
      <c r="AN1122" s="91"/>
      <c r="AO1122" s="91"/>
      <c r="AP1122" s="73" t="e">
        <f>MID(VLOOKUP(K1122,#REF!,2,FALSE),1,2)</f>
        <v>#REF!</v>
      </c>
      <c r="AQ1122" s="89">
        <f>DATE(2011,7,9)</f>
        <v>40733</v>
      </c>
      <c r="AR1122" s="82">
        <f t="shared" si="74"/>
        <v>9</v>
      </c>
      <c r="AS1122" s="83">
        <f t="shared" si="75"/>
        <v>7</v>
      </c>
      <c r="AT1122" s="84">
        <f t="shared" si="76"/>
        <v>2011</v>
      </c>
      <c r="AU1122" s="86"/>
      <c r="AV1122" s="86"/>
      <c r="AW1122" s="87"/>
      <c r="AX1122" s="86"/>
      <c r="AY1122" s="83"/>
      <c r="AZ1122" s="84"/>
      <c r="BA1122" s="86"/>
      <c r="BB1122" s="86"/>
    </row>
    <row r="1123" spans="1:54" ht="36.75" customHeight="1">
      <c r="A1123" s="30"/>
      <c r="B1123" s="30" t="s">
        <v>55</v>
      </c>
      <c r="C1123" s="69" t="str">
        <f t="shared" si="73"/>
        <v>Closed</v>
      </c>
      <c r="D1123" s="27" t="s">
        <v>6287</v>
      </c>
      <c r="E1123" s="29" t="s">
        <v>6288</v>
      </c>
      <c r="F1123" s="30" t="s">
        <v>423</v>
      </c>
      <c r="G1123" s="89">
        <f>DATE(2011,7,11)</f>
        <v>40735</v>
      </c>
      <c r="H1123" s="90">
        <v>1.367361111111111</v>
      </c>
      <c r="I1123" s="30" t="s">
        <v>156</v>
      </c>
      <c r="J1123" s="89" t="s">
        <v>6289</v>
      </c>
      <c r="K1123" s="30" t="s">
        <v>425</v>
      </c>
      <c r="L1123" s="30" t="s">
        <v>6290</v>
      </c>
      <c r="M1123" s="30" t="s">
        <v>63</v>
      </c>
      <c r="N1123" s="30">
        <v>0</v>
      </c>
      <c r="O1123" s="30" t="s">
        <v>77</v>
      </c>
      <c r="P1123" s="89" t="s">
        <v>78</v>
      </c>
      <c r="Q1123" s="89" t="s">
        <v>2582</v>
      </c>
      <c r="R1123" s="89" t="s">
        <v>3103</v>
      </c>
      <c r="S1123" s="30">
        <v>0</v>
      </c>
      <c r="T1123" s="233" t="s">
        <v>68</v>
      </c>
      <c r="U1123" s="30">
        <v>0</v>
      </c>
      <c r="V1123" s="233" t="s">
        <v>68</v>
      </c>
      <c r="W1123" s="30">
        <v>0</v>
      </c>
      <c r="X1123" s="30">
        <v>0</v>
      </c>
      <c r="Y1123" s="30">
        <v>0</v>
      </c>
      <c r="Z1123" s="233" t="s">
        <v>68</v>
      </c>
      <c r="AA1123" s="30">
        <v>0</v>
      </c>
      <c r="AB1123" s="30">
        <v>0</v>
      </c>
      <c r="AC1123" s="30">
        <v>0</v>
      </c>
      <c r="AD1123" s="30">
        <v>0</v>
      </c>
      <c r="AE1123" s="89" t="s">
        <v>68</v>
      </c>
      <c r="AF1123" s="89"/>
      <c r="AG1123" s="89" t="s">
        <v>133</v>
      </c>
      <c r="AH1123" s="72" t="s">
        <v>68</v>
      </c>
      <c r="AI1123" s="30">
        <v>2</v>
      </c>
      <c r="AJ1123" s="89" t="s">
        <v>68</v>
      </c>
      <c r="AK1123" s="89" t="s">
        <v>68</v>
      </c>
      <c r="AL1123" s="91">
        <v>40744</v>
      </c>
      <c r="AM1123" s="91"/>
      <c r="AN1123" s="91"/>
      <c r="AO1123" s="91"/>
      <c r="AP1123" s="73" t="e">
        <f>MID(VLOOKUP(K1123,#REF!,2,FALSE),1,2)</f>
        <v>#REF!</v>
      </c>
      <c r="AQ1123" s="89">
        <f>DATE(2011,7,11)</f>
        <v>40735</v>
      </c>
      <c r="AR1123" s="82">
        <f t="shared" si="74"/>
        <v>11</v>
      </c>
      <c r="AS1123" s="83">
        <f t="shared" si="75"/>
        <v>7</v>
      </c>
      <c r="AT1123" s="84">
        <f t="shared" si="76"/>
        <v>2011</v>
      </c>
      <c r="AU1123" s="86"/>
      <c r="AV1123" s="86"/>
      <c r="AW1123" s="87"/>
      <c r="AX1123" s="86"/>
      <c r="AY1123" s="83"/>
      <c r="AZ1123" s="84"/>
      <c r="BA1123" s="86"/>
      <c r="BB1123" s="86"/>
    </row>
    <row r="1124" spans="1:54" ht="36.75" customHeight="1">
      <c r="A1124" s="30"/>
      <c r="B1124" s="30" t="s">
        <v>55</v>
      </c>
      <c r="C1124" s="69" t="str">
        <f t="shared" si="73"/>
        <v>Closed</v>
      </c>
      <c r="D1124" s="27" t="s">
        <v>6291</v>
      </c>
      <c r="E1124" s="29" t="s">
        <v>6292</v>
      </c>
      <c r="F1124" s="30" t="s">
        <v>638</v>
      </c>
      <c r="G1124" s="89">
        <f>DATE(2011,7,11)</f>
        <v>40735</v>
      </c>
      <c r="H1124" s="90">
        <v>1.4965277777777777</v>
      </c>
      <c r="I1124" s="30" t="s">
        <v>73</v>
      </c>
      <c r="J1124" s="89" t="s">
        <v>6293</v>
      </c>
      <c r="K1124" s="30" t="s">
        <v>640</v>
      </c>
      <c r="L1124" s="30" t="s">
        <v>6294</v>
      </c>
      <c r="M1124" s="30" t="s">
        <v>63</v>
      </c>
      <c r="N1124" s="30">
        <v>0</v>
      </c>
      <c r="O1124" s="30" t="s">
        <v>64</v>
      </c>
      <c r="P1124" s="89" t="s">
        <v>78</v>
      </c>
      <c r="Q1124" s="89" t="s">
        <v>642</v>
      </c>
      <c r="R1124" s="89" t="s">
        <v>643</v>
      </c>
      <c r="S1124" s="30">
        <v>0</v>
      </c>
      <c r="T1124" s="233" t="s">
        <v>68</v>
      </c>
      <c r="U1124" s="30">
        <v>0</v>
      </c>
      <c r="V1124" s="233" t="s">
        <v>68</v>
      </c>
      <c r="W1124" s="30">
        <v>0</v>
      </c>
      <c r="X1124" s="30">
        <v>0</v>
      </c>
      <c r="Y1124" s="30">
        <v>0</v>
      </c>
      <c r="Z1124" s="233" t="s">
        <v>68</v>
      </c>
      <c r="AA1124" s="30">
        <v>0</v>
      </c>
      <c r="AB1124" s="30">
        <v>0</v>
      </c>
      <c r="AC1124" s="30">
        <v>0</v>
      </c>
      <c r="AD1124" s="30">
        <v>0</v>
      </c>
      <c r="AE1124" s="89" t="s">
        <v>68</v>
      </c>
      <c r="AF1124" s="89"/>
      <c r="AG1124" s="89" t="s">
        <v>352</v>
      </c>
      <c r="AH1124" s="72" t="s">
        <v>68</v>
      </c>
      <c r="AI1124" s="30">
        <v>0</v>
      </c>
      <c r="AJ1124" s="89" t="s">
        <v>6295</v>
      </c>
      <c r="AK1124" s="89" t="s">
        <v>68</v>
      </c>
      <c r="AL1124" s="91">
        <v>40823</v>
      </c>
      <c r="AM1124" s="91"/>
      <c r="AN1124" s="91"/>
      <c r="AO1124" s="91"/>
      <c r="AP1124" s="73" t="e">
        <f>MID(VLOOKUP(K1124,#REF!,2,FALSE),1,2)</f>
        <v>#REF!</v>
      </c>
      <c r="AQ1124" s="89">
        <f>DATE(2011,7,11)</f>
        <v>40735</v>
      </c>
      <c r="AR1124" s="82">
        <f t="shared" si="74"/>
        <v>11</v>
      </c>
      <c r="AS1124" s="83">
        <f t="shared" si="75"/>
        <v>7</v>
      </c>
      <c r="AT1124" s="84">
        <f t="shared" si="76"/>
        <v>2011</v>
      </c>
      <c r="AU1124" s="86"/>
      <c r="AV1124" s="86"/>
      <c r="AW1124" s="87"/>
      <c r="AX1124" s="86"/>
      <c r="AY1124" s="83"/>
      <c r="AZ1124" s="84"/>
      <c r="BA1124" s="86"/>
      <c r="BB1124" s="86"/>
    </row>
    <row r="1125" spans="1:54" ht="36.75" customHeight="1">
      <c r="A1125" s="30"/>
      <c r="B1125" s="30" t="s">
        <v>55</v>
      </c>
      <c r="C1125" s="69" t="str">
        <f t="shared" si="73"/>
        <v>Closed</v>
      </c>
      <c r="D1125" s="27" t="s">
        <v>6296</v>
      </c>
      <c r="E1125" s="29" t="s">
        <v>6297</v>
      </c>
      <c r="F1125" s="30" t="s">
        <v>835</v>
      </c>
      <c r="G1125" s="89">
        <f>DATE(2011,7,11)</f>
        <v>40735</v>
      </c>
      <c r="H1125" s="90">
        <v>1.9236111111111112</v>
      </c>
      <c r="I1125" s="30" t="s">
        <v>86</v>
      </c>
      <c r="J1125" s="89" t="s">
        <v>6298</v>
      </c>
      <c r="K1125" s="30" t="s">
        <v>837</v>
      </c>
      <c r="L1125" s="30" t="s">
        <v>6299</v>
      </c>
      <c r="M1125" s="30" t="s">
        <v>63</v>
      </c>
      <c r="N1125" s="30">
        <v>0</v>
      </c>
      <c r="O1125" s="30" t="s">
        <v>77</v>
      </c>
      <c r="P1125" s="89" t="s">
        <v>165</v>
      </c>
      <c r="Q1125" s="89" t="s">
        <v>2162</v>
      </c>
      <c r="R1125" s="89" t="s">
        <v>840</v>
      </c>
      <c r="S1125" s="30">
        <v>0</v>
      </c>
      <c r="T1125" s="233">
        <v>0</v>
      </c>
      <c r="U1125" s="30">
        <v>0</v>
      </c>
      <c r="V1125" s="233">
        <v>0</v>
      </c>
      <c r="W1125" s="30">
        <v>0</v>
      </c>
      <c r="X1125" s="30">
        <v>0</v>
      </c>
      <c r="Y1125" s="30">
        <v>0</v>
      </c>
      <c r="Z1125" s="233">
        <v>0</v>
      </c>
      <c r="AA1125" s="30">
        <v>0</v>
      </c>
      <c r="AB1125" s="30">
        <v>0</v>
      </c>
      <c r="AC1125" s="30">
        <v>0</v>
      </c>
      <c r="AD1125" s="30">
        <v>0</v>
      </c>
      <c r="AE1125" s="89" t="s">
        <v>92</v>
      </c>
      <c r="AF1125" s="89"/>
      <c r="AG1125" s="89" t="s">
        <v>352</v>
      </c>
      <c r="AH1125" s="72" t="s">
        <v>68</v>
      </c>
      <c r="AI1125" s="30">
        <v>0</v>
      </c>
      <c r="AJ1125" s="89" t="s">
        <v>6300</v>
      </c>
      <c r="AK1125" s="89" t="s">
        <v>68</v>
      </c>
      <c r="AL1125" s="91">
        <v>40737</v>
      </c>
      <c r="AM1125" s="91"/>
      <c r="AN1125" s="91"/>
      <c r="AO1125" s="91"/>
      <c r="AP1125" s="73" t="e">
        <f>MID(VLOOKUP(K1125,#REF!,2,FALSE),1,2)</f>
        <v>#REF!</v>
      </c>
      <c r="AQ1125" s="89">
        <f>DATE(2011,7,11)</f>
        <v>40735</v>
      </c>
      <c r="AR1125" s="82">
        <f t="shared" si="74"/>
        <v>11</v>
      </c>
      <c r="AS1125" s="83">
        <f t="shared" si="75"/>
        <v>7</v>
      </c>
      <c r="AT1125" s="84">
        <f t="shared" si="76"/>
        <v>2011</v>
      </c>
      <c r="AU1125" s="86"/>
      <c r="AV1125" s="86"/>
      <c r="AW1125" s="87"/>
      <c r="AX1125" s="86"/>
      <c r="AY1125" s="83"/>
      <c r="AZ1125" s="84"/>
      <c r="BA1125" s="86"/>
      <c r="BB1125" s="86"/>
    </row>
    <row r="1126" spans="1:54" ht="36.75" customHeight="1">
      <c r="A1126" s="30"/>
      <c r="B1126" s="30" t="s">
        <v>55</v>
      </c>
      <c r="C1126" s="69" t="str">
        <f t="shared" si="73"/>
        <v>Closed</v>
      </c>
      <c r="D1126" s="27" t="s">
        <v>6301</v>
      </c>
      <c r="E1126" s="29" t="s">
        <v>6302</v>
      </c>
      <c r="F1126" s="30" t="s">
        <v>233</v>
      </c>
      <c r="G1126" s="89">
        <f>DATE(2011,7,11)</f>
        <v>40735</v>
      </c>
      <c r="H1126" s="90">
        <v>1.7284722222222224</v>
      </c>
      <c r="I1126" s="30" t="s">
        <v>278</v>
      </c>
      <c r="J1126" s="89" t="s">
        <v>6303</v>
      </c>
      <c r="K1126" s="30" t="s">
        <v>235</v>
      </c>
      <c r="L1126" s="30" t="s">
        <v>6304</v>
      </c>
      <c r="M1126" s="30" t="s">
        <v>129</v>
      </c>
      <c r="N1126" s="30">
        <v>0</v>
      </c>
      <c r="O1126" s="30" t="s">
        <v>77</v>
      </c>
      <c r="P1126" s="89" t="s">
        <v>165</v>
      </c>
      <c r="Q1126" s="89" t="s">
        <v>683</v>
      </c>
      <c r="R1126" s="89" t="s">
        <v>683</v>
      </c>
      <c r="S1126" s="30">
        <v>0</v>
      </c>
      <c r="T1126" s="233">
        <v>0</v>
      </c>
      <c r="U1126" s="30">
        <v>0</v>
      </c>
      <c r="V1126" s="233">
        <v>0</v>
      </c>
      <c r="W1126" s="30">
        <v>0</v>
      </c>
      <c r="X1126" s="30">
        <v>0</v>
      </c>
      <c r="Y1126" s="30">
        <v>0</v>
      </c>
      <c r="Z1126" s="233">
        <v>0</v>
      </c>
      <c r="AA1126" s="30">
        <v>0</v>
      </c>
      <c r="AB1126" s="30">
        <v>0</v>
      </c>
      <c r="AC1126" s="30">
        <v>0</v>
      </c>
      <c r="AD1126" s="30">
        <v>0</v>
      </c>
      <c r="AE1126" s="89" t="s">
        <v>68</v>
      </c>
      <c r="AF1126" s="89"/>
      <c r="AG1126" s="89" t="s">
        <v>133</v>
      </c>
      <c r="AH1126" s="72" t="s">
        <v>68</v>
      </c>
      <c r="AI1126" s="30">
        <v>4</v>
      </c>
      <c r="AJ1126" s="89" t="s">
        <v>6305</v>
      </c>
      <c r="AK1126" s="89" t="s">
        <v>6306</v>
      </c>
      <c r="AL1126" s="91">
        <v>40763</v>
      </c>
      <c r="AM1126" s="91"/>
      <c r="AN1126" s="91"/>
      <c r="AO1126" s="91"/>
      <c r="AP1126" s="73" t="e">
        <f>MID(VLOOKUP(K1126,#REF!,2,FALSE),1,2)</f>
        <v>#REF!</v>
      </c>
      <c r="AQ1126" s="89">
        <f>DATE(2011,7,11)</f>
        <v>40735</v>
      </c>
      <c r="AR1126" s="82">
        <f t="shared" si="74"/>
        <v>11</v>
      </c>
      <c r="AS1126" s="83">
        <f t="shared" si="75"/>
        <v>7</v>
      </c>
      <c r="AT1126" s="84">
        <f t="shared" si="76"/>
        <v>2011</v>
      </c>
      <c r="AU1126" s="86"/>
      <c r="AV1126" s="86"/>
      <c r="AW1126" s="87"/>
      <c r="AX1126" s="86"/>
      <c r="AY1126" s="83"/>
      <c r="AZ1126" s="84"/>
      <c r="BA1126" s="86"/>
      <c r="BB1126" s="86"/>
    </row>
    <row r="1127" spans="1:54" ht="36.75" customHeight="1">
      <c r="A1127" s="30"/>
      <c r="B1127" s="30" t="s">
        <v>2124</v>
      </c>
      <c r="C1127" s="69" t="str">
        <f t="shared" si="73"/>
        <v>Open</v>
      </c>
      <c r="D1127" s="27" t="s">
        <v>6307</v>
      </c>
      <c r="E1127" s="29" t="s">
        <v>6308</v>
      </c>
      <c r="F1127" s="30" t="s">
        <v>5683</v>
      </c>
      <c r="G1127" s="89">
        <f>DATE(2011,7,12)</f>
        <v>40736</v>
      </c>
      <c r="H1127" s="90">
        <v>1.9097222222222223</v>
      </c>
      <c r="I1127" s="30" t="s">
        <v>278</v>
      </c>
      <c r="J1127" s="89" t="s">
        <v>6309</v>
      </c>
      <c r="K1127" s="30" t="s">
        <v>5685</v>
      </c>
      <c r="L1127" s="30" t="s">
        <v>6310</v>
      </c>
      <c r="M1127" s="30" t="s">
        <v>63</v>
      </c>
      <c r="N1127" s="30">
        <v>0</v>
      </c>
      <c r="O1127" s="30" t="s">
        <v>64</v>
      </c>
      <c r="P1127" s="89" t="s">
        <v>65</v>
      </c>
      <c r="Q1127" s="89" t="s">
        <v>5687</v>
      </c>
      <c r="R1127" s="89" t="s">
        <v>5688</v>
      </c>
      <c r="S1127" s="30">
        <v>0</v>
      </c>
      <c r="T1127" s="233">
        <v>0</v>
      </c>
      <c r="U1127" s="30">
        <v>0</v>
      </c>
      <c r="V1127" s="233">
        <v>1</v>
      </c>
      <c r="W1127" s="30">
        <v>0</v>
      </c>
      <c r="X1127" s="30">
        <v>1</v>
      </c>
      <c r="Y1127" s="30">
        <v>0</v>
      </c>
      <c r="Z1127" s="233">
        <v>0</v>
      </c>
      <c r="AA1127" s="30">
        <v>0</v>
      </c>
      <c r="AB1127" s="30">
        <v>0</v>
      </c>
      <c r="AC1127" s="30">
        <v>0</v>
      </c>
      <c r="AD1127" s="30">
        <v>0</v>
      </c>
      <c r="AE1127" s="89" t="s">
        <v>68</v>
      </c>
      <c r="AF1127" s="89"/>
      <c r="AG1127" s="89" t="s">
        <v>82</v>
      </c>
      <c r="AH1127" s="72" t="s">
        <v>68</v>
      </c>
      <c r="AI1127" s="30">
        <v>0</v>
      </c>
      <c r="AJ1127" s="89" t="s">
        <v>68</v>
      </c>
      <c r="AK1127" s="89" t="s">
        <v>68</v>
      </c>
      <c r="AL1127" s="91">
        <v>40883</v>
      </c>
      <c r="AM1127" s="91"/>
      <c r="AN1127" s="91"/>
      <c r="AO1127" s="91"/>
      <c r="AP1127" s="73" t="e">
        <f>MID(VLOOKUP(K1127,#REF!,2,FALSE),1,2)</f>
        <v>#REF!</v>
      </c>
      <c r="AQ1127" s="89">
        <f>DATE(2011,7,12)</f>
        <v>40736</v>
      </c>
      <c r="AR1127" s="82">
        <f t="shared" si="74"/>
        <v>12</v>
      </c>
      <c r="AS1127" s="83">
        <f t="shared" si="75"/>
        <v>7</v>
      </c>
      <c r="AT1127" s="84">
        <f t="shared" si="76"/>
        <v>2011</v>
      </c>
      <c r="AU1127" s="86"/>
      <c r="AV1127" s="86"/>
      <c r="AW1127" s="87"/>
      <c r="AX1127" s="86"/>
      <c r="AY1127" s="83"/>
      <c r="AZ1127" s="84"/>
      <c r="BA1127" s="86"/>
      <c r="BB1127" s="86"/>
    </row>
    <row r="1128" spans="1:54" ht="36.75" customHeight="1">
      <c r="A1128" s="30"/>
      <c r="B1128" s="30" t="s">
        <v>55</v>
      </c>
      <c r="C1128" s="69" t="str">
        <f t="shared" si="73"/>
        <v>Closed</v>
      </c>
      <c r="D1128" s="27" t="s">
        <v>6311</v>
      </c>
      <c r="E1128" s="29" t="s">
        <v>6312</v>
      </c>
      <c r="F1128" s="30" t="s">
        <v>115</v>
      </c>
      <c r="G1128" s="89">
        <f>DATE(2011,7,12)</f>
        <v>40736</v>
      </c>
      <c r="H1128" s="90">
        <v>1.7465277777777777</v>
      </c>
      <c r="I1128" s="30" t="s">
        <v>86</v>
      </c>
      <c r="J1128" s="89" t="s">
        <v>6313</v>
      </c>
      <c r="K1128" s="30" t="s">
        <v>118</v>
      </c>
      <c r="L1128" s="30" t="s">
        <v>6314</v>
      </c>
      <c r="M1128" s="30" t="s">
        <v>63</v>
      </c>
      <c r="N1128" s="30" t="s">
        <v>142</v>
      </c>
      <c r="O1128" s="30" t="s">
        <v>77</v>
      </c>
      <c r="P1128" s="89" t="s">
        <v>165</v>
      </c>
      <c r="Q1128" s="89" t="s">
        <v>2359</v>
      </c>
      <c r="R1128" s="89" t="s">
        <v>2359</v>
      </c>
      <c r="S1128" s="30">
        <v>0</v>
      </c>
      <c r="T1128" s="233">
        <v>0</v>
      </c>
      <c r="U1128" s="30">
        <v>0</v>
      </c>
      <c r="V1128" s="233">
        <v>0</v>
      </c>
      <c r="W1128" s="30">
        <v>0</v>
      </c>
      <c r="X1128" s="30">
        <v>0</v>
      </c>
      <c r="Y1128" s="30">
        <v>0</v>
      </c>
      <c r="Z1128" s="233">
        <v>0</v>
      </c>
      <c r="AA1128" s="30">
        <v>0</v>
      </c>
      <c r="AB1128" s="30">
        <v>0</v>
      </c>
      <c r="AC1128" s="30">
        <v>0</v>
      </c>
      <c r="AD1128" s="30">
        <v>0</v>
      </c>
      <c r="AE1128" s="89" t="s">
        <v>92</v>
      </c>
      <c r="AF1128" s="89"/>
      <c r="AG1128" s="89" t="s">
        <v>2083</v>
      </c>
      <c r="AH1128" s="72">
        <v>40750</v>
      </c>
      <c r="AI1128" s="30">
        <v>4</v>
      </c>
      <c r="AJ1128" s="89" t="s">
        <v>6315</v>
      </c>
      <c r="AK1128" s="89" t="s">
        <v>6316</v>
      </c>
      <c r="AL1128" s="91">
        <v>40750</v>
      </c>
      <c r="AM1128" s="91"/>
      <c r="AN1128" s="91"/>
      <c r="AO1128" s="91"/>
      <c r="AP1128" s="73" t="e">
        <f>MID(VLOOKUP(K1128,#REF!,2,FALSE),1,2)</f>
        <v>#REF!</v>
      </c>
      <c r="AQ1128" s="89">
        <f>DATE(2011,7,12)</f>
        <v>40736</v>
      </c>
      <c r="AR1128" s="82">
        <f t="shared" si="74"/>
        <v>12</v>
      </c>
      <c r="AS1128" s="83">
        <f t="shared" si="75"/>
        <v>7</v>
      </c>
      <c r="AT1128" s="84">
        <f t="shared" si="76"/>
        <v>2011</v>
      </c>
      <c r="AU1128" s="86"/>
      <c r="AV1128" s="86"/>
      <c r="AW1128" s="87"/>
      <c r="AX1128" s="86"/>
      <c r="AY1128" s="83"/>
      <c r="AZ1128" s="84"/>
      <c r="BA1128" s="86"/>
      <c r="BB1128" s="86"/>
    </row>
    <row r="1129" spans="1:54" ht="36.75" customHeight="1">
      <c r="A1129" s="30"/>
      <c r="B1129" s="30" t="s">
        <v>55</v>
      </c>
      <c r="C1129" s="69" t="str">
        <f t="shared" si="73"/>
        <v>Closed</v>
      </c>
      <c r="D1129" s="27" t="s">
        <v>6317</v>
      </c>
      <c r="E1129" s="29" t="s">
        <v>6318</v>
      </c>
      <c r="F1129" s="30" t="s">
        <v>377</v>
      </c>
      <c r="G1129" s="89">
        <f>DATE(2011,7,12)</f>
        <v>40736</v>
      </c>
      <c r="H1129" s="90">
        <v>1.3576388888888888</v>
      </c>
      <c r="I1129" s="30" t="s">
        <v>116</v>
      </c>
      <c r="J1129" s="89" t="s">
        <v>6319</v>
      </c>
      <c r="K1129" s="30" t="s">
        <v>379</v>
      </c>
      <c r="L1129" s="30" t="s">
        <v>6320</v>
      </c>
      <c r="M1129" s="30" t="s">
        <v>63</v>
      </c>
      <c r="N1129" s="30" t="s">
        <v>99</v>
      </c>
      <c r="O1129" s="30" t="s">
        <v>64</v>
      </c>
      <c r="P1129" s="89" t="s">
        <v>165</v>
      </c>
      <c r="Q1129" s="89" t="s">
        <v>2906</v>
      </c>
      <c r="R1129" s="89" t="s">
        <v>382</v>
      </c>
      <c r="S1129" s="30">
        <v>0</v>
      </c>
      <c r="T1129" s="233">
        <v>0</v>
      </c>
      <c r="U1129" s="30">
        <v>0</v>
      </c>
      <c r="V1129" s="233">
        <v>0</v>
      </c>
      <c r="W1129" s="30">
        <v>0</v>
      </c>
      <c r="X1129" s="30">
        <v>0</v>
      </c>
      <c r="Y1129" s="30">
        <v>2</v>
      </c>
      <c r="Z1129" s="233">
        <v>0</v>
      </c>
      <c r="AA1129" s="30">
        <v>0</v>
      </c>
      <c r="AB1129" s="30">
        <v>0</v>
      </c>
      <c r="AC1129" s="30">
        <v>0</v>
      </c>
      <c r="AD1129" s="30">
        <v>2</v>
      </c>
      <c r="AE1129" s="89" t="s">
        <v>92</v>
      </c>
      <c r="AF1129" s="89"/>
      <c r="AG1129" s="89" t="s">
        <v>133</v>
      </c>
      <c r="AH1129" s="72">
        <v>40737</v>
      </c>
      <c r="AI1129" s="30">
        <v>10</v>
      </c>
      <c r="AJ1129" s="89" t="s">
        <v>6321</v>
      </c>
      <c r="AK1129" s="89" t="s">
        <v>6322</v>
      </c>
      <c r="AL1129" s="91">
        <v>40739</v>
      </c>
      <c r="AM1129" s="91"/>
      <c r="AN1129" s="91"/>
      <c r="AO1129" s="91"/>
      <c r="AP1129" s="73" t="e">
        <f>MID(VLOOKUP(K1129,#REF!,2,FALSE),1,2)</f>
        <v>#REF!</v>
      </c>
      <c r="AQ1129" s="89">
        <f>DATE(2011,7,12)</f>
        <v>40736</v>
      </c>
      <c r="AR1129" s="82">
        <f t="shared" si="74"/>
        <v>12</v>
      </c>
      <c r="AS1129" s="83">
        <f t="shared" si="75"/>
        <v>7</v>
      </c>
      <c r="AT1129" s="84">
        <f t="shared" si="76"/>
        <v>2011</v>
      </c>
      <c r="AU1129" s="86"/>
      <c r="AV1129" s="86"/>
      <c r="AW1129" s="87"/>
      <c r="AX1129" s="86"/>
      <c r="AY1129" s="83"/>
      <c r="AZ1129" s="84"/>
      <c r="BA1129" s="86"/>
      <c r="BB1129" s="86"/>
    </row>
    <row r="1130" spans="1:54" ht="36.75" customHeight="1">
      <c r="A1130" s="30"/>
      <c r="B1130" s="30" t="s">
        <v>55</v>
      </c>
      <c r="C1130" s="69" t="str">
        <f t="shared" si="73"/>
        <v>Closed</v>
      </c>
      <c r="D1130" s="27" t="s">
        <v>6323</v>
      </c>
      <c r="E1130" s="29" t="s">
        <v>6324</v>
      </c>
      <c r="F1130" s="30" t="s">
        <v>638</v>
      </c>
      <c r="G1130" s="89">
        <f>DATE(2011,7,13)</f>
        <v>40737</v>
      </c>
      <c r="H1130" s="90">
        <v>1.90625</v>
      </c>
      <c r="I1130" s="30" t="s">
        <v>73</v>
      </c>
      <c r="J1130" s="89" t="s">
        <v>6325</v>
      </c>
      <c r="K1130" s="30" t="s">
        <v>640</v>
      </c>
      <c r="L1130" s="30" t="s">
        <v>6326</v>
      </c>
      <c r="M1130" s="30" t="s">
        <v>63</v>
      </c>
      <c r="N1130" s="30" t="s">
        <v>99</v>
      </c>
      <c r="O1130" s="30" t="s">
        <v>64</v>
      </c>
      <c r="P1130" s="89" t="s">
        <v>78</v>
      </c>
      <c r="Q1130" s="89" t="s">
        <v>6327</v>
      </c>
      <c r="R1130" s="89" t="s">
        <v>643</v>
      </c>
      <c r="S1130" s="30">
        <v>0</v>
      </c>
      <c r="T1130" s="233">
        <v>0</v>
      </c>
      <c r="U1130" s="30">
        <v>0</v>
      </c>
      <c r="V1130" s="233">
        <v>0</v>
      </c>
      <c r="W1130" s="30">
        <v>0</v>
      </c>
      <c r="X1130" s="30">
        <v>0</v>
      </c>
      <c r="Y1130" s="30">
        <v>0</v>
      </c>
      <c r="Z1130" s="233">
        <v>0</v>
      </c>
      <c r="AA1130" s="30">
        <v>0</v>
      </c>
      <c r="AB1130" s="30">
        <v>0</v>
      </c>
      <c r="AC1130" s="30">
        <v>0</v>
      </c>
      <c r="AD1130" s="30">
        <v>0</v>
      </c>
      <c r="AE1130" s="89" t="s">
        <v>68</v>
      </c>
      <c r="AF1130" s="89"/>
      <c r="AG1130" s="89" t="s">
        <v>352</v>
      </c>
      <c r="AH1130" s="72">
        <v>40806</v>
      </c>
      <c r="AI1130" s="30">
        <v>1</v>
      </c>
      <c r="AJ1130" s="89" t="s">
        <v>6328</v>
      </c>
      <c r="AK1130" s="89" t="s">
        <v>68</v>
      </c>
      <c r="AL1130" s="91">
        <v>40823</v>
      </c>
      <c r="AM1130" s="91"/>
      <c r="AN1130" s="91"/>
      <c r="AO1130" s="91"/>
      <c r="AP1130" s="73" t="e">
        <f>MID(VLOOKUP(K1130,#REF!,2,FALSE),1,2)</f>
        <v>#REF!</v>
      </c>
      <c r="AQ1130" s="89">
        <f>DATE(2011,7,13)</f>
        <v>40737</v>
      </c>
      <c r="AR1130" s="82">
        <f t="shared" si="74"/>
        <v>13</v>
      </c>
      <c r="AS1130" s="83">
        <f t="shared" si="75"/>
        <v>7</v>
      </c>
      <c r="AT1130" s="84">
        <f t="shared" si="76"/>
        <v>2011</v>
      </c>
      <c r="AU1130" s="86"/>
      <c r="AV1130" s="86"/>
      <c r="AW1130" s="87"/>
      <c r="AX1130" s="86"/>
      <c r="AY1130" s="83"/>
      <c r="AZ1130" s="84"/>
      <c r="BA1130" s="86"/>
      <c r="BB1130" s="86"/>
    </row>
    <row r="1131" spans="1:54" ht="36.75" customHeight="1">
      <c r="A1131" s="30"/>
      <c r="B1131" s="30" t="s">
        <v>2124</v>
      </c>
      <c r="C1131" s="69" t="str">
        <f t="shared" si="73"/>
        <v>Open</v>
      </c>
      <c r="D1131" s="27" t="s">
        <v>6329</v>
      </c>
      <c r="E1131" s="29" t="s">
        <v>6330</v>
      </c>
      <c r="F1131" s="30" t="s">
        <v>5683</v>
      </c>
      <c r="G1131" s="89">
        <f>DATE(2011,7,17)</f>
        <v>40741</v>
      </c>
      <c r="H1131" s="90">
        <v>1.4722222222222223</v>
      </c>
      <c r="I1131" s="30" t="s">
        <v>278</v>
      </c>
      <c r="J1131" s="89" t="s">
        <v>6309</v>
      </c>
      <c r="K1131" s="30" t="s">
        <v>5685</v>
      </c>
      <c r="L1131" s="30" t="s">
        <v>6331</v>
      </c>
      <c r="M1131" s="30" t="s">
        <v>63</v>
      </c>
      <c r="N1131" s="30">
        <v>0</v>
      </c>
      <c r="O1131" s="30" t="s">
        <v>64</v>
      </c>
      <c r="P1131" s="89" t="s">
        <v>78</v>
      </c>
      <c r="Q1131" s="89" t="s">
        <v>5687</v>
      </c>
      <c r="R1131" s="89" t="s">
        <v>5688</v>
      </c>
      <c r="S1131" s="30">
        <v>0</v>
      </c>
      <c r="T1131" s="233">
        <v>0</v>
      </c>
      <c r="U1131" s="30">
        <v>0</v>
      </c>
      <c r="V1131" s="233">
        <v>1</v>
      </c>
      <c r="W1131" s="30">
        <v>0</v>
      </c>
      <c r="X1131" s="30">
        <v>1</v>
      </c>
      <c r="Y1131" s="30">
        <v>0</v>
      </c>
      <c r="Z1131" s="233">
        <v>0</v>
      </c>
      <c r="AA1131" s="30">
        <v>0</v>
      </c>
      <c r="AB1131" s="30">
        <v>0</v>
      </c>
      <c r="AC1131" s="30">
        <v>0</v>
      </c>
      <c r="AD1131" s="30">
        <v>0</v>
      </c>
      <c r="AE1131" s="89" t="s">
        <v>68</v>
      </c>
      <c r="AF1131" s="89"/>
      <c r="AG1131" s="89" t="s">
        <v>82</v>
      </c>
      <c r="AH1131" s="72" t="s">
        <v>68</v>
      </c>
      <c r="AI1131" s="30">
        <v>0</v>
      </c>
      <c r="AJ1131" s="89" t="s">
        <v>68</v>
      </c>
      <c r="AK1131" s="89" t="s">
        <v>68</v>
      </c>
      <c r="AL1131" s="91">
        <v>40883</v>
      </c>
      <c r="AM1131" s="91"/>
      <c r="AN1131" s="91"/>
      <c r="AO1131" s="91"/>
      <c r="AP1131" s="73" t="e">
        <f>MID(VLOOKUP(K1131,#REF!,2,FALSE),1,2)</f>
        <v>#REF!</v>
      </c>
      <c r="AQ1131" s="89">
        <f>DATE(2011,7,17)</f>
        <v>40741</v>
      </c>
      <c r="AR1131" s="82">
        <f t="shared" si="74"/>
        <v>17</v>
      </c>
      <c r="AS1131" s="83">
        <f t="shared" si="75"/>
        <v>7</v>
      </c>
      <c r="AT1131" s="84">
        <f t="shared" si="76"/>
        <v>2011</v>
      </c>
      <c r="AU1131" s="86"/>
      <c r="AV1131" s="86"/>
      <c r="AW1131" s="87"/>
      <c r="AX1131" s="86"/>
      <c r="AY1131" s="83"/>
      <c r="AZ1131" s="84"/>
      <c r="BA1131" s="86"/>
      <c r="BB1131" s="86"/>
    </row>
    <row r="1132" spans="1:54" ht="36.75" customHeight="1">
      <c r="A1132" s="30"/>
      <c r="B1132" s="30" t="s">
        <v>55</v>
      </c>
      <c r="C1132" s="69" t="str">
        <f t="shared" si="73"/>
        <v>Closed</v>
      </c>
      <c r="D1132" s="27" t="s">
        <v>6332</v>
      </c>
      <c r="E1132" s="29" t="s">
        <v>6333</v>
      </c>
      <c r="F1132" s="30" t="s">
        <v>233</v>
      </c>
      <c r="G1132" s="89">
        <f>DATE(2011,7,18)</f>
        <v>40742</v>
      </c>
      <c r="H1132" s="90">
        <v>1.4965277777777777</v>
      </c>
      <c r="I1132" s="30" t="s">
        <v>156</v>
      </c>
      <c r="J1132" s="89" t="s">
        <v>6334</v>
      </c>
      <c r="K1132" s="30" t="s">
        <v>235</v>
      </c>
      <c r="L1132" s="30" t="s">
        <v>6335</v>
      </c>
      <c r="M1132" s="30" t="s">
        <v>63</v>
      </c>
      <c r="N1132" s="30">
        <v>0</v>
      </c>
      <c r="O1132" s="30" t="s">
        <v>64</v>
      </c>
      <c r="P1132" s="89" t="s">
        <v>78</v>
      </c>
      <c r="Q1132" s="89" t="s">
        <v>434</v>
      </c>
      <c r="R1132" s="89" t="s">
        <v>238</v>
      </c>
      <c r="S1132" s="30">
        <v>0</v>
      </c>
      <c r="T1132" s="233">
        <v>0</v>
      </c>
      <c r="U1132" s="30">
        <v>0</v>
      </c>
      <c r="V1132" s="233">
        <v>0</v>
      </c>
      <c r="W1132" s="30">
        <v>0</v>
      </c>
      <c r="X1132" s="30">
        <v>0</v>
      </c>
      <c r="Y1132" s="30">
        <v>0</v>
      </c>
      <c r="Z1132" s="233">
        <v>0</v>
      </c>
      <c r="AA1132" s="30">
        <v>0</v>
      </c>
      <c r="AB1132" s="30">
        <v>0</v>
      </c>
      <c r="AC1132" s="30">
        <v>0</v>
      </c>
      <c r="AD1132" s="30">
        <v>0</v>
      </c>
      <c r="AE1132" s="89" t="s">
        <v>68</v>
      </c>
      <c r="AF1132" s="89"/>
      <c r="AG1132" s="89" t="s">
        <v>133</v>
      </c>
      <c r="AH1132" s="72" t="s">
        <v>68</v>
      </c>
      <c r="AI1132" s="30">
        <v>4</v>
      </c>
      <c r="AJ1132" s="89" t="s">
        <v>6336</v>
      </c>
      <c r="AK1132" s="89" t="s">
        <v>6337</v>
      </c>
      <c r="AL1132" s="91">
        <v>40763</v>
      </c>
      <c r="AM1132" s="91"/>
      <c r="AN1132" s="91"/>
      <c r="AO1132" s="91"/>
      <c r="AP1132" s="73" t="e">
        <f>MID(VLOOKUP(K1132,#REF!,2,FALSE),1,2)</f>
        <v>#REF!</v>
      </c>
      <c r="AQ1132" s="89">
        <f>DATE(2011,7,18)</f>
        <v>40742</v>
      </c>
      <c r="AR1132" s="82">
        <f t="shared" si="74"/>
        <v>18</v>
      </c>
      <c r="AS1132" s="83">
        <f t="shared" si="75"/>
        <v>7</v>
      </c>
      <c r="AT1132" s="84">
        <f t="shared" si="76"/>
        <v>2011</v>
      </c>
      <c r="AU1132" s="86"/>
      <c r="AV1132" s="86"/>
      <c r="AW1132" s="87"/>
      <c r="AX1132" s="86"/>
      <c r="AY1132" s="83"/>
      <c r="AZ1132" s="84"/>
      <c r="BA1132" s="86"/>
      <c r="BB1132" s="86"/>
    </row>
    <row r="1133" spans="1:54" ht="36.75" customHeight="1">
      <c r="A1133" s="30"/>
      <c r="B1133" s="30" t="s">
        <v>55</v>
      </c>
      <c r="C1133" s="69" t="str">
        <f t="shared" si="73"/>
        <v>Closed</v>
      </c>
      <c r="D1133" s="27" t="s">
        <v>6338</v>
      </c>
      <c r="E1133" s="29" t="s">
        <v>6339</v>
      </c>
      <c r="F1133" s="30" t="s">
        <v>2601</v>
      </c>
      <c r="G1133" s="89">
        <f>DATE(2011,7,20)</f>
        <v>40744</v>
      </c>
      <c r="H1133" s="90">
        <v>1.7243055555555555</v>
      </c>
      <c r="I1133" s="30" t="s">
        <v>125</v>
      </c>
      <c r="J1133" s="89" t="s">
        <v>6340</v>
      </c>
      <c r="K1133" s="30" t="s">
        <v>2603</v>
      </c>
      <c r="L1133" s="30" t="s">
        <v>6341</v>
      </c>
      <c r="M1133" s="30" t="s">
        <v>63</v>
      </c>
      <c r="N1133" s="30">
        <v>0</v>
      </c>
      <c r="O1133" s="30" t="s">
        <v>64</v>
      </c>
      <c r="P1133" s="89" t="s">
        <v>65</v>
      </c>
      <c r="Q1133" s="89" t="s">
        <v>6342</v>
      </c>
      <c r="R1133" s="89" t="s">
        <v>2606</v>
      </c>
      <c r="S1133" s="30">
        <v>0</v>
      </c>
      <c r="T1133" s="233" t="s">
        <v>68</v>
      </c>
      <c r="U1133" s="30">
        <v>0</v>
      </c>
      <c r="V1133" s="233" t="s">
        <v>68</v>
      </c>
      <c r="W1133" s="30">
        <v>0</v>
      </c>
      <c r="X1133" s="30">
        <v>0</v>
      </c>
      <c r="Y1133" s="30">
        <v>0</v>
      </c>
      <c r="Z1133" s="233" t="s">
        <v>68</v>
      </c>
      <c r="AA1133" s="30">
        <v>0</v>
      </c>
      <c r="AB1133" s="30">
        <v>0</v>
      </c>
      <c r="AC1133" s="30">
        <v>0</v>
      </c>
      <c r="AD1133" s="30">
        <v>0</v>
      </c>
      <c r="AE1133" s="89" t="s">
        <v>68</v>
      </c>
      <c r="AF1133" s="89"/>
      <c r="AG1133" s="89" t="s">
        <v>352</v>
      </c>
      <c r="AH1133" s="72" t="s">
        <v>68</v>
      </c>
      <c r="AI1133" s="30">
        <v>2</v>
      </c>
      <c r="AJ1133" s="89" t="s">
        <v>68</v>
      </c>
      <c r="AK1133" s="89" t="s">
        <v>68</v>
      </c>
      <c r="AL1133" s="91">
        <v>40752</v>
      </c>
      <c r="AM1133" s="91"/>
      <c r="AN1133" s="91"/>
      <c r="AO1133" s="91"/>
      <c r="AP1133" s="73" t="e">
        <f>MID(VLOOKUP(K1133,#REF!,2,FALSE),1,2)</f>
        <v>#REF!</v>
      </c>
      <c r="AQ1133" s="89">
        <f>DATE(2011,7,20)</f>
        <v>40744</v>
      </c>
      <c r="AR1133" s="82">
        <f t="shared" si="74"/>
        <v>20</v>
      </c>
      <c r="AS1133" s="83">
        <f t="shared" si="75"/>
        <v>7</v>
      </c>
      <c r="AT1133" s="84">
        <f t="shared" si="76"/>
        <v>2011</v>
      </c>
      <c r="AU1133" s="86"/>
      <c r="AV1133" s="86"/>
      <c r="AW1133" s="87"/>
      <c r="AX1133" s="86"/>
      <c r="AY1133" s="83"/>
      <c r="AZ1133" s="84"/>
      <c r="BA1133" s="86"/>
      <c r="BB1133" s="86"/>
    </row>
    <row r="1134" spans="1:54" ht="36.75" customHeight="1">
      <c r="A1134" s="30"/>
      <c r="B1134" s="30" t="s">
        <v>55</v>
      </c>
      <c r="C1134" s="69" t="str">
        <f t="shared" si="73"/>
        <v>Closed</v>
      </c>
      <c r="D1134" s="27" t="s">
        <v>6343</v>
      </c>
      <c r="E1134" s="29" t="s">
        <v>6344</v>
      </c>
      <c r="F1134" s="30" t="s">
        <v>638</v>
      </c>
      <c r="G1134" s="89">
        <f>DATE(2011,7,20)</f>
        <v>40744</v>
      </c>
      <c r="H1134" s="90">
        <v>1.6840277777777777</v>
      </c>
      <c r="I1134" s="30" t="s">
        <v>278</v>
      </c>
      <c r="J1134" s="89" t="s">
        <v>6345</v>
      </c>
      <c r="K1134" s="30" t="s">
        <v>640</v>
      </c>
      <c r="L1134" s="30" t="s">
        <v>6346</v>
      </c>
      <c r="M1134" s="30" t="s">
        <v>63</v>
      </c>
      <c r="N1134" s="30" t="s">
        <v>99</v>
      </c>
      <c r="O1134" s="30" t="s">
        <v>64</v>
      </c>
      <c r="P1134" s="89" t="s">
        <v>165</v>
      </c>
      <c r="Q1134" s="89" t="s">
        <v>642</v>
      </c>
      <c r="R1134" s="89" t="s">
        <v>643</v>
      </c>
      <c r="S1134" s="30">
        <v>0</v>
      </c>
      <c r="T1134" s="233">
        <v>1</v>
      </c>
      <c r="U1134" s="30">
        <v>0</v>
      </c>
      <c r="V1134" s="233">
        <v>0</v>
      </c>
      <c r="W1134" s="30">
        <v>0</v>
      </c>
      <c r="X1134" s="30">
        <v>1</v>
      </c>
      <c r="Y1134" s="30">
        <v>0</v>
      </c>
      <c r="Z1134" s="233">
        <v>0</v>
      </c>
      <c r="AA1134" s="30">
        <v>0</v>
      </c>
      <c r="AB1134" s="30">
        <v>0</v>
      </c>
      <c r="AC1134" s="30">
        <v>0</v>
      </c>
      <c r="AD1134" s="30">
        <v>0</v>
      </c>
      <c r="AE1134" s="89" t="s">
        <v>68</v>
      </c>
      <c r="AF1134" s="89"/>
      <c r="AG1134" s="89" t="s">
        <v>352</v>
      </c>
      <c r="AH1134" s="72">
        <v>40753</v>
      </c>
      <c r="AI1134" s="30">
        <v>3</v>
      </c>
      <c r="AJ1134" s="89" t="s">
        <v>6347</v>
      </c>
      <c r="AK1134" s="89" t="s">
        <v>1233</v>
      </c>
      <c r="AL1134" s="91">
        <v>40774</v>
      </c>
      <c r="AM1134" s="91"/>
      <c r="AN1134" s="91"/>
      <c r="AO1134" s="91"/>
      <c r="AP1134" s="73" t="e">
        <f>MID(VLOOKUP(K1134,#REF!,2,FALSE),1,2)</f>
        <v>#REF!</v>
      </c>
      <c r="AQ1134" s="89">
        <f>DATE(2011,7,20)</f>
        <v>40744</v>
      </c>
      <c r="AR1134" s="82">
        <f t="shared" si="74"/>
        <v>20</v>
      </c>
      <c r="AS1134" s="83">
        <f t="shared" si="75"/>
        <v>7</v>
      </c>
      <c r="AT1134" s="84">
        <f t="shared" si="76"/>
        <v>2011</v>
      </c>
      <c r="AU1134" s="86"/>
      <c r="AV1134" s="86"/>
      <c r="AW1134" s="87"/>
      <c r="AX1134" s="86"/>
      <c r="AY1134" s="83"/>
      <c r="AZ1134" s="84"/>
      <c r="BA1134" s="86"/>
      <c r="BB1134" s="86"/>
    </row>
    <row r="1135" spans="1:54" ht="36.75" customHeight="1">
      <c r="A1135" s="30"/>
      <c r="B1135" s="30" t="s">
        <v>55</v>
      </c>
      <c r="C1135" s="69" t="str">
        <f t="shared" si="73"/>
        <v>Closed</v>
      </c>
      <c r="D1135" s="27" t="s">
        <v>6348</v>
      </c>
      <c r="E1135" s="29" t="s">
        <v>6349</v>
      </c>
      <c r="F1135" s="30" t="s">
        <v>423</v>
      </c>
      <c r="G1135" s="89">
        <f>DATE(2011,7,21)</f>
        <v>40745</v>
      </c>
      <c r="H1135" s="90">
        <v>1.4902777777777778</v>
      </c>
      <c r="I1135" s="30" t="s">
        <v>156</v>
      </c>
      <c r="J1135" s="89" t="s">
        <v>6350</v>
      </c>
      <c r="K1135" s="30" t="s">
        <v>425</v>
      </c>
      <c r="L1135" s="30" t="s">
        <v>6351</v>
      </c>
      <c r="M1135" s="30" t="s">
        <v>63</v>
      </c>
      <c r="N1135" s="30" t="s">
        <v>99</v>
      </c>
      <c r="O1135" s="30" t="s">
        <v>64</v>
      </c>
      <c r="P1135" s="89" t="s">
        <v>165</v>
      </c>
      <c r="Q1135" s="89" t="s">
        <v>4551</v>
      </c>
      <c r="R1135" s="89" t="s">
        <v>3103</v>
      </c>
      <c r="S1135" s="30">
        <v>0</v>
      </c>
      <c r="T1135" s="233">
        <v>0</v>
      </c>
      <c r="U1135" s="30">
        <v>0</v>
      </c>
      <c r="V1135" s="233">
        <v>0</v>
      </c>
      <c r="W1135" s="30">
        <v>0</v>
      </c>
      <c r="X1135" s="30">
        <v>0</v>
      </c>
      <c r="Y1135" s="30">
        <v>1</v>
      </c>
      <c r="Z1135" s="233">
        <v>0</v>
      </c>
      <c r="AA1135" s="30">
        <v>0</v>
      </c>
      <c r="AB1135" s="30">
        <v>0</v>
      </c>
      <c r="AC1135" s="30">
        <v>0</v>
      </c>
      <c r="AD1135" s="30">
        <v>1</v>
      </c>
      <c r="AE1135" s="89" t="s">
        <v>92</v>
      </c>
      <c r="AF1135" s="89"/>
      <c r="AG1135" s="89" t="s">
        <v>352</v>
      </c>
      <c r="AH1135" s="72">
        <v>40750</v>
      </c>
      <c r="AI1135" s="30">
        <v>6</v>
      </c>
      <c r="AJ1135" s="89" t="s">
        <v>6352</v>
      </c>
      <c r="AK1135" s="89" t="s">
        <v>6353</v>
      </c>
      <c r="AL1135" s="91">
        <v>40750</v>
      </c>
      <c r="AM1135" s="91"/>
      <c r="AN1135" s="91"/>
      <c r="AO1135" s="91"/>
      <c r="AP1135" s="73" t="e">
        <f>MID(VLOOKUP(K1135,#REF!,2,FALSE),1,2)</f>
        <v>#REF!</v>
      </c>
      <c r="AQ1135" s="89">
        <f>DATE(2011,7,21)</f>
        <v>40745</v>
      </c>
      <c r="AR1135" s="82">
        <f t="shared" si="74"/>
        <v>21</v>
      </c>
      <c r="AS1135" s="83">
        <f t="shared" si="75"/>
        <v>7</v>
      </c>
      <c r="AT1135" s="84">
        <f t="shared" si="76"/>
        <v>2011</v>
      </c>
      <c r="AU1135" s="86"/>
      <c r="AV1135" s="86"/>
      <c r="AW1135" s="87"/>
      <c r="AX1135" s="86"/>
      <c r="AY1135" s="83"/>
      <c r="AZ1135" s="84"/>
      <c r="BA1135" s="86"/>
      <c r="BB1135" s="86"/>
    </row>
    <row r="1136" spans="1:54" ht="36.75" customHeight="1">
      <c r="A1136" s="30"/>
      <c r="B1136" s="30" t="s">
        <v>55</v>
      </c>
      <c r="C1136" s="69" t="str">
        <f t="shared" si="73"/>
        <v>Closed</v>
      </c>
      <c r="D1136" s="27" t="s">
        <v>6354</v>
      </c>
      <c r="E1136" s="29" t="s">
        <v>6355</v>
      </c>
      <c r="F1136" s="30" t="s">
        <v>1572</v>
      </c>
      <c r="G1136" s="89">
        <f>DATE(2011,7,21)</f>
        <v>40745</v>
      </c>
      <c r="H1136" s="90">
        <v>1.2743055555555556</v>
      </c>
      <c r="I1136" s="30" t="s">
        <v>125</v>
      </c>
      <c r="J1136" s="89" t="s">
        <v>6356</v>
      </c>
      <c r="K1136" s="30" t="s">
        <v>1574</v>
      </c>
      <c r="L1136" s="30" t="s">
        <v>6357</v>
      </c>
      <c r="M1136" s="30" t="s">
        <v>63</v>
      </c>
      <c r="N1136" s="30">
        <v>0</v>
      </c>
      <c r="O1136" s="30" t="s">
        <v>64</v>
      </c>
      <c r="P1136" s="89" t="s">
        <v>78</v>
      </c>
      <c r="Q1136" s="89" t="s">
        <v>4920</v>
      </c>
      <c r="R1136" s="89">
        <v>0</v>
      </c>
      <c r="S1136" s="30">
        <v>0</v>
      </c>
      <c r="T1136" s="233">
        <v>0</v>
      </c>
      <c r="U1136" s="30">
        <v>0</v>
      </c>
      <c r="V1136" s="233">
        <v>0</v>
      </c>
      <c r="W1136" s="30">
        <v>0</v>
      </c>
      <c r="X1136" s="30">
        <v>0</v>
      </c>
      <c r="Y1136" s="30">
        <v>0</v>
      </c>
      <c r="Z1136" s="233">
        <v>0</v>
      </c>
      <c r="AA1136" s="30">
        <v>0</v>
      </c>
      <c r="AB1136" s="30">
        <v>0</v>
      </c>
      <c r="AC1136" s="30">
        <v>0</v>
      </c>
      <c r="AD1136" s="30">
        <v>0</v>
      </c>
      <c r="AE1136" s="89" t="s">
        <v>68</v>
      </c>
      <c r="AF1136" s="89"/>
      <c r="AG1136" s="89" t="s">
        <v>133</v>
      </c>
      <c r="AH1136" s="72" t="s">
        <v>68</v>
      </c>
      <c r="AI1136" s="30">
        <v>0</v>
      </c>
      <c r="AJ1136" s="89" t="s">
        <v>6358</v>
      </c>
      <c r="AK1136" s="89" t="s">
        <v>68</v>
      </c>
      <c r="AL1136" s="91">
        <v>40746</v>
      </c>
      <c r="AM1136" s="91"/>
      <c r="AN1136" s="91"/>
      <c r="AO1136" s="91"/>
      <c r="AP1136" s="73" t="e">
        <f>MID(VLOOKUP(K1136,#REF!,2,FALSE),1,2)</f>
        <v>#REF!</v>
      </c>
      <c r="AQ1136" s="89">
        <f>DATE(2011,7,21)</f>
        <v>40745</v>
      </c>
      <c r="AR1136" s="82">
        <f t="shared" si="74"/>
        <v>21</v>
      </c>
      <c r="AS1136" s="83">
        <f t="shared" si="75"/>
        <v>7</v>
      </c>
      <c r="AT1136" s="84">
        <f t="shared" si="76"/>
        <v>2011</v>
      </c>
      <c r="AU1136" s="86"/>
      <c r="AV1136" s="86"/>
      <c r="AW1136" s="87"/>
      <c r="AX1136" s="86"/>
      <c r="AY1136" s="83"/>
      <c r="AZ1136" s="84"/>
      <c r="BA1136" s="86"/>
      <c r="BB1136" s="86"/>
    </row>
    <row r="1137" spans="1:54" ht="36.75" customHeight="1">
      <c r="A1137" s="30"/>
      <c r="B1137" s="30" t="s">
        <v>55</v>
      </c>
      <c r="C1137" s="69" t="str">
        <f t="shared" si="73"/>
        <v>Closed</v>
      </c>
      <c r="D1137" s="27" t="s">
        <v>6359</v>
      </c>
      <c r="E1137" s="29" t="s">
        <v>6360</v>
      </c>
      <c r="F1137" s="30" t="s">
        <v>835</v>
      </c>
      <c r="G1137" s="89">
        <f>DATE(2011,7,22)</f>
        <v>40746</v>
      </c>
      <c r="H1137" s="90">
        <v>1.1548611111111111</v>
      </c>
      <c r="I1137" s="30" t="s">
        <v>86</v>
      </c>
      <c r="J1137" s="89" t="s">
        <v>6361</v>
      </c>
      <c r="K1137" s="30" t="s">
        <v>837</v>
      </c>
      <c r="L1137" s="30" t="s">
        <v>6362</v>
      </c>
      <c r="M1137" s="30" t="s">
        <v>63</v>
      </c>
      <c r="N1137" s="30" t="s">
        <v>142</v>
      </c>
      <c r="O1137" s="30" t="s">
        <v>64</v>
      </c>
      <c r="P1137" s="89" t="s">
        <v>165</v>
      </c>
      <c r="Q1137" s="89" t="s">
        <v>2162</v>
      </c>
      <c r="R1137" s="89" t="s">
        <v>840</v>
      </c>
      <c r="S1137" s="30">
        <v>0</v>
      </c>
      <c r="T1137" s="233">
        <v>0</v>
      </c>
      <c r="U1137" s="30">
        <v>0</v>
      </c>
      <c r="V1137" s="233">
        <v>0</v>
      </c>
      <c r="W1137" s="30">
        <v>0</v>
      </c>
      <c r="X1137" s="30">
        <v>0</v>
      </c>
      <c r="Y1137" s="30">
        <v>0</v>
      </c>
      <c r="Z1137" s="233">
        <v>0</v>
      </c>
      <c r="AA1137" s="30">
        <v>0</v>
      </c>
      <c r="AB1137" s="30">
        <v>0</v>
      </c>
      <c r="AC1137" s="30">
        <v>0</v>
      </c>
      <c r="AD1137" s="30">
        <v>0</v>
      </c>
      <c r="AE1137" s="89" t="s">
        <v>92</v>
      </c>
      <c r="AF1137" s="89"/>
      <c r="AG1137" s="89" t="s">
        <v>352</v>
      </c>
      <c r="AH1137" s="72" t="s">
        <v>68</v>
      </c>
      <c r="AI1137" s="30">
        <v>0</v>
      </c>
      <c r="AJ1137" s="89" t="s">
        <v>6363</v>
      </c>
      <c r="AK1137" s="89" t="s">
        <v>68</v>
      </c>
      <c r="AL1137" s="91">
        <v>40792</v>
      </c>
      <c r="AM1137" s="91"/>
      <c r="AN1137" s="91"/>
      <c r="AO1137" s="91"/>
      <c r="AP1137" s="73" t="e">
        <f>MID(VLOOKUP(K1137,#REF!,2,FALSE),1,2)</f>
        <v>#REF!</v>
      </c>
      <c r="AQ1137" s="89">
        <f>DATE(2011,7,22)</f>
        <v>40746</v>
      </c>
      <c r="AR1137" s="82">
        <f t="shared" si="74"/>
        <v>22</v>
      </c>
      <c r="AS1137" s="83">
        <f t="shared" si="75"/>
        <v>7</v>
      </c>
      <c r="AT1137" s="84">
        <f t="shared" si="76"/>
        <v>2011</v>
      </c>
      <c r="AU1137" s="86"/>
      <c r="AV1137" s="86"/>
      <c r="AW1137" s="87"/>
      <c r="AX1137" s="86"/>
      <c r="AY1137" s="83"/>
      <c r="AZ1137" s="84"/>
      <c r="BA1137" s="86"/>
      <c r="BB1137" s="86"/>
    </row>
    <row r="1138" spans="1:54" ht="36.75" customHeight="1">
      <c r="A1138" s="30"/>
      <c r="B1138" s="30" t="s">
        <v>55</v>
      </c>
      <c r="C1138" s="69" t="str">
        <f t="shared" si="73"/>
        <v>Closed</v>
      </c>
      <c r="D1138" s="27" t="s">
        <v>6364</v>
      </c>
      <c r="E1138" s="29" t="s">
        <v>6365</v>
      </c>
      <c r="F1138" s="30" t="s">
        <v>377</v>
      </c>
      <c r="G1138" s="89">
        <f>DATE(2011,7,23)</f>
        <v>40747</v>
      </c>
      <c r="H1138" s="90">
        <v>1.9041666666666668</v>
      </c>
      <c r="I1138" s="30" t="s">
        <v>116</v>
      </c>
      <c r="J1138" s="89" t="s">
        <v>6366</v>
      </c>
      <c r="K1138" s="30" t="s">
        <v>379</v>
      </c>
      <c r="L1138" s="30" t="s">
        <v>6367</v>
      </c>
      <c r="M1138" s="30" t="s">
        <v>63</v>
      </c>
      <c r="N1138" s="30" t="s">
        <v>89</v>
      </c>
      <c r="O1138" s="30" t="s">
        <v>64</v>
      </c>
      <c r="P1138" s="89" t="s">
        <v>165</v>
      </c>
      <c r="Q1138" s="89" t="s">
        <v>6368</v>
      </c>
      <c r="R1138" s="89" t="s">
        <v>382</v>
      </c>
      <c r="S1138" s="30">
        <v>0</v>
      </c>
      <c r="T1138" s="233">
        <v>0</v>
      </c>
      <c r="U1138" s="30">
        <v>3</v>
      </c>
      <c r="V1138" s="233">
        <v>0</v>
      </c>
      <c r="W1138" s="30">
        <v>0</v>
      </c>
      <c r="X1138" s="30">
        <v>3</v>
      </c>
      <c r="Y1138" s="30">
        <v>0</v>
      </c>
      <c r="Z1138" s="233">
        <v>0</v>
      </c>
      <c r="AA1138" s="30">
        <v>0</v>
      </c>
      <c r="AB1138" s="30">
        <v>0</v>
      </c>
      <c r="AC1138" s="30">
        <v>0</v>
      </c>
      <c r="AD1138" s="30">
        <v>0</v>
      </c>
      <c r="AE1138" s="89" t="s">
        <v>92</v>
      </c>
      <c r="AF1138" s="89"/>
      <c r="AG1138" s="89" t="s">
        <v>352</v>
      </c>
      <c r="AH1138" s="72">
        <v>40751</v>
      </c>
      <c r="AI1138" s="30">
        <v>10</v>
      </c>
      <c r="AJ1138" s="89" t="s">
        <v>6369</v>
      </c>
      <c r="AK1138" s="89" t="s">
        <v>68</v>
      </c>
      <c r="AL1138" s="91">
        <v>40751</v>
      </c>
      <c r="AM1138" s="91"/>
      <c r="AN1138" s="91"/>
      <c r="AO1138" s="91"/>
      <c r="AP1138" s="73" t="e">
        <f>MID(VLOOKUP(K1138,#REF!,2,FALSE),1,2)</f>
        <v>#REF!</v>
      </c>
      <c r="AQ1138" s="89">
        <f>DATE(2011,7,23)</f>
        <v>40747</v>
      </c>
      <c r="AR1138" s="82">
        <f t="shared" si="74"/>
        <v>23</v>
      </c>
      <c r="AS1138" s="83">
        <f t="shared" si="75"/>
        <v>7</v>
      </c>
      <c r="AT1138" s="84">
        <f t="shared" si="76"/>
        <v>2011</v>
      </c>
      <c r="AU1138" s="86"/>
      <c r="AV1138" s="86"/>
      <c r="AW1138" s="87"/>
      <c r="AX1138" s="86"/>
      <c r="AY1138" s="83"/>
      <c r="AZ1138" s="84"/>
      <c r="BA1138" s="86"/>
      <c r="BB1138" s="86"/>
    </row>
    <row r="1139" spans="1:54" ht="36.75" customHeight="1">
      <c r="A1139" s="30"/>
      <c r="B1139" s="30" t="s">
        <v>55</v>
      </c>
      <c r="C1139" s="69" t="str">
        <f t="shared" si="73"/>
        <v>Closed</v>
      </c>
      <c r="D1139" s="27" t="s">
        <v>6370</v>
      </c>
      <c r="E1139" s="29" t="s">
        <v>6371</v>
      </c>
      <c r="F1139" s="30" t="s">
        <v>582</v>
      </c>
      <c r="G1139" s="89">
        <f>DATE(2011,7,26)</f>
        <v>40750</v>
      </c>
      <c r="H1139" s="90">
        <v>1.65</v>
      </c>
      <c r="I1139" s="30" t="s">
        <v>125</v>
      </c>
      <c r="J1139" s="89" t="s">
        <v>6372</v>
      </c>
      <c r="K1139" s="30" t="s">
        <v>584</v>
      </c>
      <c r="L1139" s="30" t="s">
        <v>6373</v>
      </c>
      <c r="M1139" s="30" t="s">
        <v>63</v>
      </c>
      <c r="N1139" s="30" t="s">
        <v>142</v>
      </c>
      <c r="O1139" s="30" t="s">
        <v>77</v>
      </c>
      <c r="P1139" s="89" t="s">
        <v>165</v>
      </c>
      <c r="Q1139" s="89" t="s">
        <v>4487</v>
      </c>
      <c r="R1139" s="89" t="s">
        <v>587</v>
      </c>
      <c r="S1139" s="30">
        <v>0</v>
      </c>
      <c r="T1139" s="233">
        <v>0</v>
      </c>
      <c r="U1139" s="30">
        <v>0</v>
      </c>
      <c r="V1139" s="233">
        <v>0</v>
      </c>
      <c r="W1139" s="30">
        <v>0</v>
      </c>
      <c r="X1139" s="30">
        <v>0</v>
      </c>
      <c r="Y1139" s="30">
        <v>0</v>
      </c>
      <c r="Z1139" s="233">
        <v>0</v>
      </c>
      <c r="AA1139" s="30">
        <v>0</v>
      </c>
      <c r="AB1139" s="30">
        <v>0</v>
      </c>
      <c r="AC1139" s="30">
        <v>0</v>
      </c>
      <c r="AD1139" s="30">
        <v>0</v>
      </c>
      <c r="AE1139" s="89" t="s">
        <v>394</v>
      </c>
      <c r="AF1139" s="89"/>
      <c r="AG1139" s="89" t="s">
        <v>133</v>
      </c>
      <c r="AH1139" s="72">
        <v>40765</v>
      </c>
      <c r="AI1139" s="30">
        <v>1</v>
      </c>
      <c r="AJ1139" s="89" t="s">
        <v>6374</v>
      </c>
      <c r="AK1139" s="89" t="s">
        <v>1233</v>
      </c>
      <c r="AL1139" s="91">
        <v>40760</v>
      </c>
      <c r="AM1139" s="91"/>
      <c r="AN1139" s="91"/>
      <c r="AO1139" s="91"/>
      <c r="AP1139" s="73" t="e">
        <f>MID(VLOOKUP(K1139,#REF!,2,FALSE),1,2)</f>
        <v>#REF!</v>
      </c>
      <c r="AQ1139" s="89">
        <f>DATE(2011,7,26)</f>
        <v>40750</v>
      </c>
      <c r="AR1139" s="82">
        <f t="shared" si="74"/>
        <v>26</v>
      </c>
      <c r="AS1139" s="83">
        <f t="shared" si="75"/>
        <v>7</v>
      </c>
      <c r="AT1139" s="84">
        <f t="shared" si="76"/>
        <v>2011</v>
      </c>
      <c r="AU1139" s="86"/>
      <c r="AV1139" s="86"/>
      <c r="AW1139" s="87"/>
      <c r="AX1139" s="86"/>
      <c r="AY1139" s="83"/>
      <c r="AZ1139" s="84"/>
      <c r="BA1139" s="86"/>
      <c r="BB1139" s="86"/>
    </row>
    <row r="1140" spans="1:54" ht="36.75" customHeight="1">
      <c r="A1140" s="30"/>
      <c r="B1140" s="30" t="s">
        <v>55</v>
      </c>
      <c r="C1140" s="69" t="str">
        <f t="shared" si="73"/>
        <v>Closed</v>
      </c>
      <c r="D1140" s="27" t="s">
        <v>6375</v>
      </c>
      <c r="E1140" s="29" t="s">
        <v>6376</v>
      </c>
      <c r="F1140" s="30" t="s">
        <v>2336</v>
      </c>
      <c r="G1140" s="89">
        <f>DATE(2011,7,26)</f>
        <v>40750</v>
      </c>
      <c r="H1140" s="90">
        <v>1.9236111111111112</v>
      </c>
      <c r="I1140" s="30" t="s">
        <v>156</v>
      </c>
      <c r="J1140" s="89" t="s">
        <v>6377</v>
      </c>
      <c r="K1140" s="30" t="s">
        <v>2338</v>
      </c>
      <c r="L1140" s="30" t="s">
        <v>6378</v>
      </c>
      <c r="M1140" s="30" t="s">
        <v>63</v>
      </c>
      <c r="N1140" s="30">
        <v>0</v>
      </c>
      <c r="O1140" s="30" t="s">
        <v>64</v>
      </c>
      <c r="P1140" s="89" t="s">
        <v>78</v>
      </c>
      <c r="Q1140" s="89" t="s">
        <v>6379</v>
      </c>
      <c r="R1140" s="89" t="s">
        <v>2341</v>
      </c>
      <c r="S1140" s="30">
        <v>0</v>
      </c>
      <c r="T1140" s="233">
        <v>0</v>
      </c>
      <c r="U1140" s="30">
        <v>0</v>
      </c>
      <c r="V1140" s="233">
        <v>1</v>
      </c>
      <c r="W1140" s="30">
        <v>2</v>
      </c>
      <c r="X1140" s="30">
        <v>3</v>
      </c>
      <c r="Y1140" s="30">
        <v>0</v>
      </c>
      <c r="Z1140" s="233">
        <v>0</v>
      </c>
      <c r="AA1140" s="30">
        <v>0</v>
      </c>
      <c r="AB1140" s="30">
        <v>0</v>
      </c>
      <c r="AC1140" s="30">
        <v>0</v>
      </c>
      <c r="AD1140" s="30">
        <v>0</v>
      </c>
      <c r="AE1140" s="89" t="s">
        <v>68</v>
      </c>
      <c r="AF1140" s="89"/>
      <c r="AG1140" s="89" t="s">
        <v>82</v>
      </c>
      <c r="AH1140" s="72" t="s">
        <v>68</v>
      </c>
      <c r="AI1140" s="30">
        <v>2</v>
      </c>
      <c r="AJ1140" s="89" t="s">
        <v>6380</v>
      </c>
      <c r="AK1140" s="89" t="s">
        <v>6381</v>
      </c>
      <c r="AL1140" s="91">
        <v>40773</v>
      </c>
      <c r="AM1140" s="91"/>
      <c r="AN1140" s="91"/>
      <c r="AO1140" s="91"/>
      <c r="AP1140" s="73" t="e">
        <f>MID(VLOOKUP(K1140,#REF!,2,FALSE),1,2)</f>
        <v>#REF!</v>
      </c>
      <c r="AQ1140" s="89">
        <f>DATE(2011,7,26)</f>
        <v>40750</v>
      </c>
      <c r="AR1140" s="82">
        <f t="shared" si="74"/>
        <v>26</v>
      </c>
      <c r="AS1140" s="83">
        <f t="shared" si="75"/>
        <v>7</v>
      </c>
      <c r="AT1140" s="84">
        <f t="shared" si="76"/>
        <v>2011</v>
      </c>
      <c r="AU1140" s="86"/>
      <c r="AV1140" s="86"/>
      <c r="AW1140" s="87"/>
      <c r="AX1140" s="86"/>
      <c r="AY1140" s="83"/>
      <c r="AZ1140" s="84"/>
      <c r="BA1140" s="86"/>
      <c r="BB1140" s="86"/>
    </row>
    <row r="1141" spans="1:54" ht="36.75" customHeight="1">
      <c r="A1141" s="30"/>
      <c r="B1141" s="30" t="s">
        <v>55</v>
      </c>
      <c r="C1141" s="69" t="str">
        <f t="shared" si="73"/>
        <v>Closed</v>
      </c>
      <c r="D1141" s="27" t="s">
        <v>6382</v>
      </c>
      <c r="E1141" s="29" t="s">
        <v>6383</v>
      </c>
      <c r="F1141" s="30" t="s">
        <v>1572</v>
      </c>
      <c r="G1141" s="89">
        <f>DATE(2011,7,27)</f>
        <v>40751</v>
      </c>
      <c r="H1141" s="90">
        <v>1.1097222222222223</v>
      </c>
      <c r="I1141" s="30" t="s">
        <v>73</v>
      </c>
      <c r="J1141" s="89" t="s">
        <v>6384</v>
      </c>
      <c r="K1141" s="30" t="s">
        <v>1574</v>
      </c>
      <c r="L1141" s="30" t="s">
        <v>6385</v>
      </c>
      <c r="M1141" s="30" t="s">
        <v>63</v>
      </c>
      <c r="N1141" s="30">
        <v>0</v>
      </c>
      <c r="O1141" s="30" t="s">
        <v>77</v>
      </c>
      <c r="P1141" s="89" t="s">
        <v>78</v>
      </c>
      <c r="Q1141" s="89" t="s">
        <v>2655</v>
      </c>
      <c r="R1141" s="89">
        <v>0</v>
      </c>
      <c r="S1141" s="30">
        <v>0</v>
      </c>
      <c r="T1141" s="233">
        <v>0</v>
      </c>
      <c r="U1141" s="30">
        <v>0</v>
      </c>
      <c r="V1141" s="233">
        <v>0</v>
      </c>
      <c r="W1141" s="30">
        <v>0</v>
      </c>
      <c r="X1141" s="30">
        <v>0</v>
      </c>
      <c r="Y1141" s="30">
        <v>0</v>
      </c>
      <c r="Z1141" s="233">
        <v>0</v>
      </c>
      <c r="AA1141" s="30">
        <v>0</v>
      </c>
      <c r="AB1141" s="30">
        <v>0</v>
      </c>
      <c r="AC1141" s="30">
        <v>0</v>
      </c>
      <c r="AD1141" s="30">
        <v>0</v>
      </c>
      <c r="AE1141" s="89" t="s">
        <v>68</v>
      </c>
      <c r="AF1141" s="89"/>
      <c r="AG1141" s="89" t="s">
        <v>133</v>
      </c>
      <c r="AH1141" s="72">
        <v>40751</v>
      </c>
      <c r="AI1141" s="30">
        <v>0</v>
      </c>
      <c r="AJ1141" s="89" t="s">
        <v>6386</v>
      </c>
      <c r="AK1141" s="89" t="s">
        <v>6387</v>
      </c>
      <c r="AL1141" s="91">
        <v>40763</v>
      </c>
      <c r="AM1141" s="91"/>
      <c r="AN1141" s="91"/>
      <c r="AO1141" s="91"/>
      <c r="AP1141" s="73" t="e">
        <f>MID(VLOOKUP(K1141,#REF!,2,FALSE),1,2)</f>
        <v>#REF!</v>
      </c>
      <c r="AQ1141" s="89">
        <f>DATE(2011,7,27)</f>
        <v>40751</v>
      </c>
      <c r="AR1141" s="82">
        <f t="shared" si="74"/>
        <v>27</v>
      </c>
      <c r="AS1141" s="83">
        <f t="shared" si="75"/>
        <v>7</v>
      </c>
      <c r="AT1141" s="84">
        <f t="shared" si="76"/>
        <v>2011</v>
      </c>
      <c r="AU1141" s="86"/>
      <c r="AV1141" s="86"/>
      <c r="AW1141" s="87"/>
      <c r="AX1141" s="86"/>
      <c r="AY1141" s="83"/>
      <c r="AZ1141" s="84"/>
      <c r="BA1141" s="86"/>
      <c r="BB1141" s="86"/>
    </row>
    <row r="1142" spans="1:54" ht="36.75" customHeight="1">
      <c r="A1142" s="30"/>
      <c r="B1142" s="30" t="s">
        <v>55</v>
      </c>
      <c r="C1142" s="69" t="str">
        <f t="shared" si="73"/>
        <v>Closed</v>
      </c>
      <c r="D1142" s="27" t="s">
        <v>6388</v>
      </c>
      <c r="E1142" s="29" t="s">
        <v>6389</v>
      </c>
      <c r="F1142" s="30" t="s">
        <v>233</v>
      </c>
      <c r="G1142" s="89">
        <f>DATE(2011,7,27)</f>
        <v>40751</v>
      </c>
      <c r="H1142" s="90">
        <v>1.7465277777777777</v>
      </c>
      <c r="I1142" s="30" t="s">
        <v>73</v>
      </c>
      <c r="J1142" s="89" t="s">
        <v>6390</v>
      </c>
      <c r="K1142" s="30" t="s">
        <v>235</v>
      </c>
      <c r="L1142" s="30" t="s">
        <v>6391</v>
      </c>
      <c r="M1142" s="30" t="s">
        <v>63</v>
      </c>
      <c r="N1142" s="30">
        <v>0</v>
      </c>
      <c r="O1142" s="30" t="s">
        <v>64</v>
      </c>
      <c r="P1142" s="89" t="s">
        <v>165</v>
      </c>
      <c r="Q1142" s="89" t="s">
        <v>359</v>
      </c>
      <c r="R1142" s="89" t="s">
        <v>238</v>
      </c>
      <c r="S1142" s="30">
        <v>0</v>
      </c>
      <c r="T1142" s="233">
        <v>0</v>
      </c>
      <c r="U1142" s="30">
        <v>0</v>
      </c>
      <c r="V1142" s="233">
        <v>0</v>
      </c>
      <c r="W1142" s="30">
        <v>0</v>
      </c>
      <c r="X1142" s="30">
        <v>0</v>
      </c>
      <c r="Y1142" s="30">
        <v>0</v>
      </c>
      <c r="Z1142" s="233">
        <v>0</v>
      </c>
      <c r="AA1142" s="30">
        <v>0</v>
      </c>
      <c r="AB1142" s="30">
        <v>0</v>
      </c>
      <c r="AC1142" s="30">
        <v>0</v>
      </c>
      <c r="AD1142" s="30">
        <v>0</v>
      </c>
      <c r="AE1142" s="89" t="s">
        <v>68</v>
      </c>
      <c r="AF1142" s="89"/>
      <c r="AG1142" s="89" t="s">
        <v>133</v>
      </c>
      <c r="AH1142" s="72" t="s">
        <v>68</v>
      </c>
      <c r="AI1142" s="30">
        <v>5</v>
      </c>
      <c r="AJ1142" s="89" t="s">
        <v>6392</v>
      </c>
      <c r="AK1142" s="89" t="s">
        <v>6393</v>
      </c>
      <c r="AL1142" s="91">
        <v>40764</v>
      </c>
      <c r="AM1142" s="91"/>
      <c r="AN1142" s="91"/>
      <c r="AO1142" s="91"/>
      <c r="AP1142" s="73" t="e">
        <f>MID(VLOOKUP(K1142,#REF!,2,FALSE),1,2)</f>
        <v>#REF!</v>
      </c>
      <c r="AQ1142" s="89">
        <f>DATE(2011,7,27)</f>
        <v>40751</v>
      </c>
      <c r="AR1142" s="82">
        <f t="shared" si="74"/>
        <v>27</v>
      </c>
      <c r="AS1142" s="83">
        <f t="shared" si="75"/>
        <v>7</v>
      </c>
      <c r="AT1142" s="84">
        <f t="shared" si="76"/>
        <v>2011</v>
      </c>
      <c r="AU1142" s="86"/>
      <c r="AV1142" s="86"/>
      <c r="AW1142" s="87"/>
      <c r="AX1142" s="86"/>
      <c r="AY1142" s="83"/>
      <c r="AZ1142" s="84"/>
      <c r="BA1142" s="86"/>
      <c r="BB1142" s="86"/>
    </row>
    <row r="1143" spans="1:54" ht="36.75" customHeight="1">
      <c r="A1143" s="30"/>
      <c r="B1143" s="30" t="s">
        <v>55</v>
      </c>
      <c r="C1143" s="69" t="str">
        <f t="shared" si="73"/>
        <v>Closed</v>
      </c>
      <c r="D1143" s="27" t="s">
        <v>6394</v>
      </c>
      <c r="E1143" s="29" t="s">
        <v>6395</v>
      </c>
      <c r="F1143" s="30" t="s">
        <v>423</v>
      </c>
      <c r="G1143" s="89">
        <f>DATE(2011,7,29)</f>
        <v>40753</v>
      </c>
      <c r="H1143" s="90">
        <v>1.4270833333333333</v>
      </c>
      <c r="I1143" s="30" t="s">
        <v>73</v>
      </c>
      <c r="J1143" s="89" t="s">
        <v>6396</v>
      </c>
      <c r="K1143" s="30" t="s">
        <v>425</v>
      </c>
      <c r="L1143" s="30" t="s">
        <v>6397</v>
      </c>
      <c r="M1143" s="30" t="s">
        <v>63</v>
      </c>
      <c r="N1143" s="30">
        <v>0</v>
      </c>
      <c r="O1143" s="30" t="s">
        <v>77</v>
      </c>
      <c r="P1143" s="89" t="s">
        <v>86</v>
      </c>
      <c r="Q1143" s="89" t="s">
        <v>427</v>
      </c>
      <c r="R1143" s="89" t="s">
        <v>3103</v>
      </c>
      <c r="S1143" s="30">
        <v>0</v>
      </c>
      <c r="T1143" s="233" t="s">
        <v>68</v>
      </c>
      <c r="U1143" s="30">
        <v>0</v>
      </c>
      <c r="V1143" s="233" t="s">
        <v>68</v>
      </c>
      <c r="W1143" s="30">
        <v>0</v>
      </c>
      <c r="X1143" s="30">
        <v>0</v>
      </c>
      <c r="Y1143" s="30">
        <v>0</v>
      </c>
      <c r="Z1143" s="233" t="s">
        <v>68</v>
      </c>
      <c r="AA1143" s="30">
        <v>0</v>
      </c>
      <c r="AB1143" s="30">
        <v>0</v>
      </c>
      <c r="AC1143" s="30">
        <v>0</v>
      </c>
      <c r="AD1143" s="30">
        <v>0</v>
      </c>
      <c r="AE1143" s="89" t="s">
        <v>68</v>
      </c>
      <c r="AF1143" s="89"/>
      <c r="AG1143" s="89" t="s">
        <v>133</v>
      </c>
      <c r="AH1143" s="72" t="s">
        <v>68</v>
      </c>
      <c r="AI1143" s="30">
        <v>2</v>
      </c>
      <c r="AJ1143" s="89" t="s">
        <v>68</v>
      </c>
      <c r="AK1143" s="89" t="s">
        <v>2348</v>
      </c>
      <c r="AL1143" s="91">
        <v>40773</v>
      </c>
      <c r="AM1143" s="91"/>
      <c r="AN1143" s="91"/>
      <c r="AO1143" s="91"/>
      <c r="AP1143" s="73" t="e">
        <f>MID(VLOOKUP(K1143,#REF!,2,FALSE),1,2)</f>
        <v>#REF!</v>
      </c>
      <c r="AQ1143" s="89">
        <f>DATE(2011,7,29)</f>
        <v>40753</v>
      </c>
      <c r="AR1143" s="82">
        <f t="shared" si="74"/>
        <v>29</v>
      </c>
      <c r="AS1143" s="83">
        <f t="shared" si="75"/>
        <v>7</v>
      </c>
      <c r="AT1143" s="84">
        <f t="shared" si="76"/>
        <v>2011</v>
      </c>
      <c r="AU1143" s="86"/>
      <c r="AV1143" s="86"/>
      <c r="AW1143" s="87"/>
      <c r="AX1143" s="86"/>
      <c r="AY1143" s="83"/>
      <c r="AZ1143" s="84"/>
      <c r="BA1143" s="86"/>
      <c r="BB1143" s="86"/>
    </row>
    <row r="1144" spans="1:54" ht="36.75" customHeight="1">
      <c r="A1144" s="30"/>
      <c r="B1144" s="30" t="s">
        <v>55</v>
      </c>
      <c r="C1144" s="69" t="str">
        <f t="shared" si="73"/>
        <v>Closed</v>
      </c>
      <c r="D1144" s="27" t="s">
        <v>6398</v>
      </c>
      <c r="E1144" s="29" t="s">
        <v>6399</v>
      </c>
      <c r="F1144" s="30" t="s">
        <v>423</v>
      </c>
      <c r="G1144" s="89">
        <f>DATE(2011,7,29)</f>
        <v>40753</v>
      </c>
      <c r="H1144" s="90">
        <v>1.6333333333333333</v>
      </c>
      <c r="I1144" s="30" t="s">
        <v>278</v>
      </c>
      <c r="J1144" s="89" t="s">
        <v>6400</v>
      </c>
      <c r="K1144" s="30" t="s">
        <v>425</v>
      </c>
      <c r="L1144" s="30" t="s">
        <v>6401</v>
      </c>
      <c r="M1144" s="30" t="s">
        <v>63</v>
      </c>
      <c r="N1144" s="30" t="s">
        <v>89</v>
      </c>
      <c r="O1144" s="30" t="s">
        <v>77</v>
      </c>
      <c r="P1144" s="89" t="s">
        <v>165</v>
      </c>
      <c r="Q1144" s="89" t="s">
        <v>6402</v>
      </c>
      <c r="R1144" s="89" t="s">
        <v>3103</v>
      </c>
      <c r="S1144" s="30">
        <v>0</v>
      </c>
      <c r="T1144" s="233">
        <v>0</v>
      </c>
      <c r="U1144" s="30">
        <v>0</v>
      </c>
      <c r="V1144" s="233">
        <v>0</v>
      </c>
      <c r="W1144" s="30">
        <v>0</v>
      </c>
      <c r="X1144" s="30">
        <v>0</v>
      </c>
      <c r="Y1144" s="30">
        <v>0</v>
      </c>
      <c r="Z1144" s="233">
        <v>0</v>
      </c>
      <c r="AA1144" s="30">
        <v>0</v>
      </c>
      <c r="AB1144" s="30">
        <v>0</v>
      </c>
      <c r="AC1144" s="30">
        <v>0</v>
      </c>
      <c r="AD1144" s="30">
        <v>0</v>
      </c>
      <c r="AE1144" s="89" t="s">
        <v>68</v>
      </c>
      <c r="AF1144" s="89"/>
      <c r="AG1144" s="89" t="s">
        <v>133</v>
      </c>
      <c r="AH1144" s="72">
        <v>41186</v>
      </c>
      <c r="AI1144" s="30">
        <v>4</v>
      </c>
      <c r="AJ1144" s="89" t="s">
        <v>6403</v>
      </c>
      <c r="AK1144" s="89" t="s">
        <v>6404</v>
      </c>
      <c r="AL1144" s="91">
        <v>41009</v>
      </c>
      <c r="AM1144" s="91"/>
      <c r="AN1144" s="91"/>
      <c r="AO1144" s="91"/>
      <c r="AP1144" s="73" t="e">
        <f>MID(VLOOKUP(K1144,#REF!,2,FALSE),1,2)</f>
        <v>#REF!</v>
      </c>
      <c r="AQ1144" s="89">
        <f>DATE(2011,7,29)</f>
        <v>40753</v>
      </c>
      <c r="AR1144" s="82">
        <f t="shared" si="74"/>
        <v>29</v>
      </c>
      <c r="AS1144" s="83">
        <f t="shared" si="75"/>
        <v>7</v>
      </c>
      <c r="AT1144" s="84">
        <f t="shared" si="76"/>
        <v>2011</v>
      </c>
      <c r="AU1144" s="86"/>
      <c r="AV1144" s="86"/>
      <c r="AW1144" s="87"/>
      <c r="AX1144" s="86"/>
      <c r="AY1144" s="83"/>
      <c r="AZ1144" s="84"/>
      <c r="BA1144" s="86"/>
      <c r="BB1144" s="86"/>
    </row>
    <row r="1145" spans="1:54" ht="36.75" customHeight="1">
      <c r="A1145" s="30"/>
      <c r="B1145" s="30" t="s">
        <v>2124</v>
      </c>
      <c r="C1145" s="69" t="str">
        <f t="shared" si="73"/>
        <v>Open</v>
      </c>
      <c r="D1145" s="27" t="s">
        <v>6405</v>
      </c>
      <c r="E1145" s="29" t="s">
        <v>6406</v>
      </c>
      <c r="F1145" s="30" t="s">
        <v>5683</v>
      </c>
      <c r="G1145" s="89">
        <f>DATE(2011,7,31)</f>
        <v>40755</v>
      </c>
      <c r="H1145" s="90">
        <v>1.7465277777777777</v>
      </c>
      <c r="I1145" s="30" t="s">
        <v>116</v>
      </c>
      <c r="J1145" s="89" t="s">
        <v>6407</v>
      </c>
      <c r="K1145" s="30" t="s">
        <v>5685</v>
      </c>
      <c r="L1145" s="30" t="s">
        <v>6408</v>
      </c>
      <c r="M1145" s="30" t="s">
        <v>63</v>
      </c>
      <c r="N1145" s="30">
        <v>0</v>
      </c>
      <c r="O1145" s="30" t="s">
        <v>64</v>
      </c>
      <c r="P1145" s="89" t="s">
        <v>65</v>
      </c>
      <c r="Q1145" s="89" t="s">
        <v>5687</v>
      </c>
      <c r="R1145" s="89" t="s">
        <v>5688</v>
      </c>
      <c r="S1145" s="30">
        <v>0</v>
      </c>
      <c r="T1145" s="233">
        <v>0</v>
      </c>
      <c r="U1145" s="30">
        <v>1</v>
      </c>
      <c r="V1145" s="233">
        <v>0</v>
      </c>
      <c r="W1145" s="30">
        <v>0</v>
      </c>
      <c r="X1145" s="30">
        <v>1</v>
      </c>
      <c r="Y1145" s="30">
        <v>0</v>
      </c>
      <c r="Z1145" s="233">
        <v>0</v>
      </c>
      <c r="AA1145" s="30">
        <v>0</v>
      </c>
      <c r="AB1145" s="30">
        <v>0</v>
      </c>
      <c r="AC1145" s="30">
        <v>0</v>
      </c>
      <c r="AD1145" s="30">
        <v>0</v>
      </c>
      <c r="AE1145" s="89" t="s">
        <v>68</v>
      </c>
      <c r="AF1145" s="89"/>
      <c r="AG1145" s="89" t="s">
        <v>82</v>
      </c>
      <c r="AH1145" s="72" t="s">
        <v>68</v>
      </c>
      <c r="AI1145" s="30">
        <v>0</v>
      </c>
      <c r="AJ1145" s="89" t="s">
        <v>68</v>
      </c>
      <c r="AK1145" s="89" t="s">
        <v>68</v>
      </c>
      <c r="AL1145" s="91">
        <v>40883</v>
      </c>
      <c r="AM1145" s="91"/>
      <c r="AN1145" s="91"/>
      <c r="AO1145" s="91"/>
      <c r="AP1145" s="73" t="e">
        <f>MID(VLOOKUP(K1145,#REF!,2,FALSE),1,2)</f>
        <v>#REF!</v>
      </c>
      <c r="AQ1145" s="89">
        <f>DATE(2011,7,31)</f>
        <v>40755</v>
      </c>
      <c r="AR1145" s="82">
        <f t="shared" si="74"/>
        <v>31</v>
      </c>
      <c r="AS1145" s="83">
        <f t="shared" si="75"/>
        <v>7</v>
      </c>
      <c r="AT1145" s="84">
        <f t="shared" si="76"/>
        <v>2011</v>
      </c>
      <c r="AU1145" s="86"/>
      <c r="AV1145" s="86"/>
      <c r="AW1145" s="87"/>
      <c r="AX1145" s="86"/>
      <c r="AY1145" s="83"/>
      <c r="AZ1145" s="84"/>
      <c r="BA1145" s="86"/>
      <c r="BB1145" s="86"/>
    </row>
    <row r="1146" spans="1:54" ht="36.75" customHeight="1">
      <c r="A1146" s="30"/>
      <c r="B1146" s="30" t="s">
        <v>55</v>
      </c>
      <c r="C1146" s="69" t="str">
        <f t="shared" si="73"/>
        <v>Closed</v>
      </c>
      <c r="D1146" s="27" t="s">
        <v>6409</v>
      </c>
      <c r="E1146" s="29" t="s">
        <v>6410</v>
      </c>
      <c r="F1146" s="30" t="s">
        <v>377</v>
      </c>
      <c r="G1146" s="89">
        <f>DATE(2011,7,31)</f>
        <v>40755</v>
      </c>
      <c r="H1146" s="90">
        <v>1.6680555555555556</v>
      </c>
      <c r="I1146" s="30" t="s">
        <v>73</v>
      </c>
      <c r="J1146" s="89" t="s">
        <v>6411</v>
      </c>
      <c r="K1146" s="30" t="s">
        <v>379</v>
      </c>
      <c r="L1146" s="30" t="s">
        <v>6412</v>
      </c>
      <c r="M1146" s="30" t="s">
        <v>63</v>
      </c>
      <c r="N1146" s="30">
        <v>0</v>
      </c>
      <c r="O1146" s="30" t="s">
        <v>77</v>
      </c>
      <c r="P1146" s="89" t="s">
        <v>91</v>
      </c>
      <c r="Q1146" s="89" t="s">
        <v>2906</v>
      </c>
      <c r="R1146" s="89" t="s">
        <v>382</v>
      </c>
      <c r="S1146" s="30">
        <v>0</v>
      </c>
      <c r="T1146" s="233" t="s">
        <v>68</v>
      </c>
      <c r="U1146" s="30">
        <v>0</v>
      </c>
      <c r="V1146" s="233" t="s">
        <v>68</v>
      </c>
      <c r="W1146" s="30">
        <v>0</v>
      </c>
      <c r="X1146" s="30">
        <v>0</v>
      </c>
      <c r="Y1146" s="30">
        <v>0</v>
      </c>
      <c r="Z1146" s="233" t="s">
        <v>68</v>
      </c>
      <c r="AA1146" s="30">
        <v>0</v>
      </c>
      <c r="AB1146" s="30">
        <v>0</v>
      </c>
      <c r="AC1146" s="30">
        <v>0</v>
      </c>
      <c r="AD1146" s="30">
        <v>0</v>
      </c>
      <c r="AE1146" s="89" t="s">
        <v>68</v>
      </c>
      <c r="AF1146" s="89"/>
      <c r="AG1146" s="89" t="s">
        <v>133</v>
      </c>
      <c r="AH1146" s="72" t="s">
        <v>68</v>
      </c>
      <c r="AI1146" s="30">
        <v>4</v>
      </c>
      <c r="AJ1146" s="89" t="s">
        <v>68</v>
      </c>
      <c r="AK1146" s="89" t="s">
        <v>68</v>
      </c>
      <c r="AL1146" s="91">
        <v>40756</v>
      </c>
      <c r="AM1146" s="91"/>
      <c r="AN1146" s="91"/>
      <c r="AO1146" s="91"/>
      <c r="AP1146" s="73" t="e">
        <f>MID(VLOOKUP(K1146,#REF!,2,FALSE),1,2)</f>
        <v>#REF!</v>
      </c>
      <c r="AQ1146" s="89">
        <f>DATE(2011,7,31)</f>
        <v>40755</v>
      </c>
      <c r="AR1146" s="82">
        <f t="shared" si="74"/>
        <v>31</v>
      </c>
      <c r="AS1146" s="83">
        <f t="shared" si="75"/>
        <v>7</v>
      </c>
      <c r="AT1146" s="84">
        <f t="shared" si="76"/>
        <v>2011</v>
      </c>
      <c r="AU1146" s="86"/>
      <c r="AV1146" s="86"/>
      <c r="AW1146" s="87"/>
      <c r="AX1146" s="86"/>
      <c r="AY1146" s="83"/>
      <c r="AZ1146" s="84"/>
      <c r="BA1146" s="86"/>
      <c r="BB1146" s="86"/>
    </row>
    <row r="1147" spans="1:54" ht="36.75" customHeight="1">
      <c r="A1147" s="30"/>
      <c r="B1147" s="30" t="s">
        <v>55</v>
      </c>
      <c r="C1147" s="69" t="str">
        <f t="shared" si="73"/>
        <v>Closed</v>
      </c>
      <c r="D1147" s="27" t="s">
        <v>6413</v>
      </c>
      <c r="E1147" s="29" t="s">
        <v>6414</v>
      </c>
      <c r="F1147" s="30" t="s">
        <v>835</v>
      </c>
      <c r="G1147" s="89">
        <f>DATE(2011,8,3)</f>
        <v>40758</v>
      </c>
      <c r="H1147" s="90">
        <v>1.4895833333333333</v>
      </c>
      <c r="I1147" s="30" t="s">
        <v>116</v>
      </c>
      <c r="J1147" s="89" t="s">
        <v>6415</v>
      </c>
      <c r="K1147" s="30" t="s">
        <v>837</v>
      </c>
      <c r="L1147" s="30" t="s">
        <v>6416</v>
      </c>
      <c r="M1147" s="30" t="s">
        <v>63</v>
      </c>
      <c r="N1147" s="30" t="s">
        <v>99</v>
      </c>
      <c r="O1147" s="30" t="s">
        <v>64</v>
      </c>
      <c r="P1147" s="89" t="s">
        <v>65</v>
      </c>
      <c r="Q1147" s="89" t="s">
        <v>2162</v>
      </c>
      <c r="R1147" s="89" t="s">
        <v>840</v>
      </c>
      <c r="S1147" s="30">
        <v>0</v>
      </c>
      <c r="T1147" s="233">
        <v>0</v>
      </c>
      <c r="U1147" s="30">
        <v>2</v>
      </c>
      <c r="V1147" s="233">
        <v>0</v>
      </c>
      <c r="W1147" s="30">
        <v>0</v>
      </c>
      <c r="X1147" s="30">
        <v>2</v>
      </c>
      <c r="Y1147" s="30">
        <v>0</v>
      </c>
      <c r="Z1147" s="233">
        <v>0</v>
      </c>
      <c r="AA1147" s="30">
        <v>0</v>
      </c>
      <c r="AB1147" s="30">
        <v>0</v>
      </c>
      <c r="AC1147" s="30">
        <v>0</v>
      </c>
      <c r="AD1147" s="30">
        <v>0</v>
      </c>
      <c r="AE1147" s="89" t="s">
        <v>92</v>
      </c>
      <c r="AF1147" s="89"/>
      <c r="AG1147" s="89" t="s">
        <v>352</v>
      </c>
      <c r="AH1147" s="72">
        <v>40785</v>
      </c>
      <c r="AI1147" s="30">
        <v>1</v>
      </c>
      <c r="AJ1147" s="89" t="s">
        <v>6417</v>
      </c>
      <c r="AK1147" s="89" t="s">
        <v>68</v>
      </c>
      <c r="AL1147" s="91">
        <v>40792</v>
      </c>
      <c r="AM1147" s="91"/>
      <c r="AN1147" s="91"/>
      <c r="AO1147" s="91"/>
      <c r="AP1147" s="73" t="e">
        <f>MID(VLOOKUP(K1147,#REF!,2,FALSE),1,2)</f>
        <v>#REF!</v>
      </c>
      <c r="AQ1147" s="89">
        <f>DATE(2011,8,3)</f>
        <v>40758</v>
      </c>
      <c r="AR1147" s="82">
        <f t="shared" si="74"/>
        <v>3</v>
      </c>
      <c r="AS1147" s="83">
        <f t="shared" si="75"/>
        <v>8</v>
      </c>
      <c r="AT1147" s="84">
        <f t="shared" si="76"/>
        <v>2011</v>
      </c>
      <c r="AU1147" s="86"/>
      <c r="AV1147" s="86"/>
      <c r="AW1147" s="87"/>
      <c r="AX1147" s="86"/>
      <c r="AY1147" s="83"/>
      <c r="AZ1147" s="84"/>
      <c r="BA1147" s="86"/>
      <c r="BB1147" s="86"/>
    </row>
    <row r="1148" spans="1:54" ht="36.75" customHeight="1">
      <c r="A1148" s="30"/>
      <c r="B1148" s="30" t="s">
        <v>55</v>
      </c>
      <c r="C1148" s="69" t="str">
        <f t="shared" si="73"/>
        <v>Closed</v>
      </c>
      <c r="D1148" s="27" t="s">
        <v>6418</v>
      </c>
      <c r="E1148" s="29" t="s">
        <v>6419</v>
      </c>
      <c r="F1148" s="30" t="s">
        <v>835</v>
      </c>
      <c r="G1148" s="89">
        <f>DATE(2011,8,8)</f>
        <v>40763</v>
      </c>
      <c r="H1148" s="90">
        <v>1.4854166666666666</v>
      </c>
      <c r="I1148" s="30" t="s">
        <v>278</v>
      </c>
      <c r="J1148" s="89" t="s">
        <v>6420</v>
      </c>
      <c r="K1148" s="30" t="s">
        <v>837</v>
      </c>
      <c r="L1148" s="30" t="s">
        <v>6421</v>
      </c>
      <c r="M1148" s="30" t="s">
        <v>63</v>
      </c>
      <c r="N1148" s="30" t="s">
        <v>142</v>
      </c>
      <c r="O1148" s="30" t="s">
        <v>64</v>
      </c>
      <c r="P1148" s="89" t="s">
        <v>65</v>
      </c>
      <c r="Q1148" s="89" t="s">
        <v>2162</v>
      </c>
      <c r="R1148" s="89" t="s">
        <v>840</v>
      </c>
      <c r="S1148" s="30">
        <v>1</v>
      </c>
      <c r="T1148" s="233">
        <v>0</v>
      </c>
      <c r="U1148" s="30">
        <v>0</v>
      </c>
      <c r="V1148" s="233">
        <v>0</v>
      </c>
      <c r="W1148" s="30">
        <v>0</v>
      </c>
      <c r="X1148" s="30">
        <v>1</v>
      </c>
      <c r="Y1148" s="30">
        <v>0</v>
      </c>
      <c r="Z1148" s="233">
        <v>0</v>
      </c>
      <c r="AA1148" s="30">
        <v>0</v>
      </c>
      <c r="AB1148" s="30">
        <v>0</v>
      </c>
      <c r="AC1148" s="30">
        <v>0</v>
      </c>
      <c r="AD1148" s="30">
        <v>0</v>
      </c>
      <c r="AE1148" s="89" t="s">
        <v>92</v>
      </c>
      <c r="AF1148" s="89"/>
      <c r="AG1148" s="89" t="s">
        <v>352</v>
      </c>
      <c r="AH1148" s="72">
        <v>40792</v>
      </c>
      <c r="AI1148" s="30">
        <v>0</v>
      </c>
      <c r="AJ1148" s="89" t="s">
        <v>6422</v>
      </c>
      <c r="AK1148" s="89" t="s">
        <v>6423</v>
      </c>
      <c r="AL1148" s="91">
        <v>40792</v>
      </c>
      <c r="AM1148" s="91"/>
      <c r="AN1148" s="91"/>
      <c r="AO1148" s="91"/>
      <c r="AP1148" s="73" t="e">
        <f>MID(VLOOKUP(K1148,#REF!,2,FALSE),1,2)</f>
        <v>#REF!</v>
      </c>
      <c r="AQ1148" s="89">
        <f>DATE(2011,8,8)</f>
        <v>40763</v>
      </c>
      <c r="AR1148" s="82">
        <f t="shared" si="74"/>
        <v>8</v>
      </c>
      <c r="AS1148" s="83">
        <f t="shared" si="75"/>
        <v>8</v>
      </c>
      <c r="AT1148" s="84">
        <f t="shared" si="76"/>
        <v>2011</v>
      </c>
      <c r="AU1148" s="86"/>
      <c r="AV1148" s="86"/>
      <c r="AW1148" s="87"/>
      <c r="AX1148" s="86"/>
      <c r="AY1148" s="83"/>
      <c r="AZ1148" s="84"/>
      <c r="BA1148" s="86"/>
      <c r="BB1148" s="86"/>
    </row>
    <row r="1149" spans="1:54" ht="36.75" customHeight="1">
      <c r="A1149" s="30"/>
      <c r="B1149" s="30" t="s">
        <v>55</v>
      </c>
      <c r="C1149" s="69" t="str">
        <f t="shared" si="73"/>
        <v>Closed</v>
      </c>
      <c r="D1149" s="27" t="s">
        <v>6424</v>
      </c>
      <c r="E1149" s="29" t="s">
        <v>6425</v>
      </c>
      <c r="F1149" s="30" t="s">
        <v>2336</v>
      </c>
      <c r="G1149" s="89">
        <f>DATE(2011,8,12)</f>
        <v>40767</v>
      </c>
      <c r="H1149" s="90">
        <v>1.6770833333333335</v>
      </c>
      <c r="I1149" s="30" t="s">
        <v>73</v>
      </c>
      <c r="J1149" s="89" t="s">
        <v>6426</v>
      </c>
      <c r="K1149" s="30" t="s">
        <v>2338</v>
      </c>
      <c r="L1149" s="30" t="s">
        <v>6427</v>
      </c>
      <c r="M1149" s="30" t="s">
        <v>63</v>
      </c>
      <c r="N1149" s="30" t="s">
        <v>142</v>
      </c>
      <c r="O1149" s="30" t="s">
        <v>77</v>
      </c>
      <c r="P1149" s="89" t="s">
        <v>65</v>
      </c>
      <c r="Q1149" s="89" t="s">
        <v>2945</v>
      </c>
      <c r="R1149" s="89" t="s">
        <v>2341</v>
      </c>
      <c r="S1149" s="30">
        <v>2</v>
      </c>
      <c r="T1149" s="233">
        <v>0</v>
      </c>
      <c r="U1149" s="30">
        <v>0</v>
      </c>
      <c r="V1149" s="233">
        <v>0</v>
      </c>
      <c r="W1149" s="30">
        <v>0</v>
      </c>
      <c r="X1149" s="30">
        <v>2</v>
      </c>
      <c r="Y1149" s="30">
        <v>33</v>
      </c>
      <c r="Z1149" s="233">
        <v>1</v>
      </c>
      <c r="AA1149" s="30">
        <v>0</v>
      </c>
      <c r="AB1149" s="30">
        <v>0</v>
      </c>
      <c r="AC1149" s="30">
        <v>0</v>
      </c>
      <c r="AD1149" s="30">
        <v>34</v>
      </c>
      <c r="AE1149" s="89" t="s">
        <v>394</v>
      </c>
      <c r="AF1149" s="89"/>
      <c r="AG1149" s="89" t="s">
        <v>82</v>
      </c>
      <c r="AH1149" s="72">
        <v>40774</v>
      </c>
      <c r="AI1149" s="30">
        <v>11</v>
      </c>
      <c r="AJ1149" s="89" t="s">
        <v>6428</v>
      </c>
      <c r="AK1149" s="89" t="s">
        <v>6429</v>
      </c>
      <c r="AL1149" s="91">
        <v>40773</v>
      </c>
      <c r="AM1149" s="91"/>
      <c r="AN1149" s="91"/>
      <c r="AO1149" s="91"/>
      <c r="AP1149" s="73" t="e">
        <f>MID(VLOOKUP(K1149,#REF!,2,FALSE),1,2)</f>
        <v>#REF!</v>
      </c>
      <c r="AQ1149" s="89">
        <f>DATE(2011,8,12)</f>
        <v>40767</v>
      </c>
      <c r="AR1149" s="82">
        <f t="shared" si="74"/>
        <v>12</v>
      </c>
      <c r="AS1149" s="83">
        <f t="shared" si="75"/>
        <v>8</v>
      </c>
      <c r="AT1149" s="84">
        <f t="shared" si="76"/>
        <v>2011</v>
      </c>
      <c r="AU1149" s="86"/>
      <c r="AV1149" s="86"/>
      <c r="AW1149" s="87"/>
      <c r="AX1149" s="86"/>
      <c r="AY1149" s="83"/>
      <c r="AZ1149" s="84"/>
      <c r="BA1149" s="86"/>
      <c r="BB1149" s="86"/>
    </row>
    <row r="1150" spans="1:54" ht="36.75" customHeight="1">
      <c r="A1150" s="30"/>
      <c r="B1150" s="30" t="s">
        <v>55</v>
      </c>
      <c r="C1150" s="69" t="str">
        <f t="shared" si="73"/>
        <v>Closed</v>
      </c>
      <c r="D1150" s="27" t="s">
        <v>6430</v>
      </c>
      <c r="E1150" s="29" t="s">
        <v>6431</v>
      </c>
      <c r="F1150" s="30" t="s">
        <v>1572</v>
      </c>
      <c r="G1150" s="89">
        <f>DATE(2011,8,16)</f>
        <v>40771</v>
      </c>
      <c r="H1150" s="90">
        <v>1.5625</v>
      </c>
      <c r="I1150" s="30" t="s">
        <v>73</v>
      </c>
      <c r="J1150" s="89" t="s">
        <v>6432</v>
      </c>
      <c r="K1150" s="30" t="s">
        <v>1574</v>
      </c>
      <c r="L1150" s="30" t="s">
        <v>6433</v>
      </c>
      <c r="M1150" s="30" t="s">
        <v>63</v>
      </c>
      <c r="N1150" s="30">
        <v>0</v>
      </c>
      <c r="O1150" s="30" t="s">
        <v>64</v>
      </c>
      <c r="P1150" s="89" t="s">
        <v>301</v>
      </c>
      <c r="Q1150" s="89" t="s">
        <v>6434</v>
      </c>
      <c r="R1150" s="89">
        <v>0</v>
      </c>
      <c r="S1150" s="30">
        <v>0</v>
      </c>
      <c r="T1150" s="233">
        <v>0</v>
      </c>
      <c r="U1150" s="30">
        <v>0</v>
      </c>
      <c r="V1150" s="233">
        <v>0</v>
      </c>
      <c r="W1150" s="30">
        <v>0</v>
      </c>
      <c r="X1150" s="30">
        <v>0</v>
      </c>
      <c r="Y1150" s="30">
        <v>0</v>
      </c>
      <c r="Z1150" s="233">
        <v>0</v>
      </c>
      <c r="AA1150" s="30">
        <v>0</v>
      </c>
      <c r="AB1150" s="30">
        <v>0</v>
      </c>
      <c r="AC1150" s="30">
        <v>0</v>
      </c>
      <c r="AD1150" s="30">
        <v>0</v>
      </c>
      <c r="AE1150" s="89" t="s">
        <v>92</v>
      </c>
      <c r="AF1150" s="89"/>
      <c r="AG1150" s="89" t="s">
        <v>133</v>
      </c>
      <c r="AH1150" s="72" t="s">
        <v>68</v>
      </c>
      <c r="AI1150" s="30">
        <v>0</v>
      </c>
      <c r="AJ1150" s="89" t="s">
        <v>6435</v>
      </c>
      <c r="AK1150" s="89" t="s">
        <v>1233</v>
      </c>
      <c r="AL1150" s="91">
        <v>40774</v>
      </c>
      <c r="AM1150" s="91"/>
      <c r="AN1150" s="91"/>
      <c r="AO1150" s="91"/>
      <c r="AP1150" s="73" t="e">
        <f>MID(VLOOKUP(K1150,#REF!,2,FALSE),1,2)</f>
        <v>#REF!</v>
      </c>
      <c r="AQ1150" s="89">
        <f>DATE(2011,8,16)</f>
        <v>40771</v>
      </c>
      <c r="AR1150" s="82">
        <f t="shared" si="74"/>
        <v>16</v>
      </c>
      <c r="AS1150" s="83">
        <f t="shared" si="75"/>
        <v>8</v>
      </c>
      <c r="AT1150" s="84">
        <f t="shared" si="76"/>
        <v>2011</v>
      </c>
      <c r="AU1150" s="86"/>
      <c r="AV1150" s="86"/>
      <c r="AW1150" s="87"/>
      <c r="AX1150" s="86"/>
      <c r="AY1150" s="83"/>
      <c r="AZ1150" s="84"/>
      <c r="BA1150" s="86"/>
      <c r="BB1150" s="86"/>
    </row>
    <row r="1151" spans="1:54" ht="36.75" customHeight="1">
      <c r="A1151" s="30"/>
      <c r="B1151" s="30" t="s">
        <v>55</v>
      </c>
      <c r="C1151" s="69" t="str">
        <f t="shared" si="73"/>
        <v>Closed</v>
      </c>
      <c r="D1151" s="27" t="s">
        <v>6436</v>
      </c>
      <c r="E1151" s="29" t="s">
        <v>6437</v>
      </c>
      <c r="F1151" s="30" t="s">
        <v>1572</v>
      </c>
      <c r="G1151" s="89">
        <f>DATE(2011,8,17)</f>
        <v>40772</v>
      </c>
      <c r="H1151" s="90">
        <v>1.8194444444444446</v>
      </c>
      <c r="I1151" s="30" t="s">
        <v>73</v>
      </c>
      <c r="J1151" s="89" t="s">
        <v>6438</v>
      </c>
      <c r="K1151" s="30" t="s">
        <v>1574</v>
      </c>
      <c r="L1151" s="30" t="s">
        <v>6439</v>
      </c>
      <c r="M1151" s="30" t="s">
        <v>63</v>
      </c>
      <c r="N1151" s="30">
        <v>0</v>
      </c>
      <c r="O1151" s="30" t="s">
        <v>77</v>
      </c>
      <c r="P1151" s="89" t="s">
        <v>78</v>
      </c>
      <c r="Q1151" s="89" t="s">
        <v>2437</v>
      </c>
      <c r="R1151" s="89">
        <v>0</v>
      </c>
      <c r="S1151" s="30">
        <v>0</v>
      </c>
      <c r="T1151" s="233">
        <v>0</v>
      </c>
      <c r="U1151" s="30">
        <v>0</v>
      </c>
      <c r="V1151" s="233">
        <v>0</v>
      </c>
      <c r="W1151" s="30">
        <v>0</v>
      </c>
      <c r="X1151" s="30">
        <v>0</v>
      </c>
      <c r="Y1151" s="30">
        <v>0</v>
      </c>
      <c r="Z1151" s="233">
        <v>0</v>
      </c>
      <c r="AA1151" s="30">
        <v>0</v>
      </c>
      <c r="AB1151" s="30">
        <v>0</v>
      </c>
      <c r="AC1151" s="30">
        <v>0</v>
      </c>
      <c r="AD1151" s="30">
        <v>0</v>
      </c>
      <c r="AE1151" s="89" t="s">
        <v>92</v>
      </c>
      <c r="AF1151" s="89"/>
      <c r="AG1151" s="89" t="s">
        <v>133</v>
      </c>
      <c r="AH1151" s="72" t="s">
        <v>68</v>
      </c>
      <c r="AI1151" s="30">
        <v>0</v>
      </c>
      <c r="AJ1151" s="89" t="s">
        <v>6440</v>
      </c>
      <c r="AK1151" s="89" t="s">
        <v>1233</v>
      </c>
      <c r="AL1151" s="91">
        <v>40774</v>
      </c>
      <c r="AM1151" s="91"/>
      <c r="AN1151" s="91"/>
      <c r="AO1151" s="91"/>
      <c r="AP1151" s="73" t="e">
        <f>MID(VLOOKUP(K1151,#REF!,2,FALSE),1,2)</f>
        <v>#REF!</v>
      </c>
      <c r="AQ1151" s="89">
        <f>DATE(2011,8,17)</f>
        <v>40772</v>
      </c>
      <c r="AR1151" s="82">
        <f t="shared" si="74"/>
        <v>17</v>
      </c>
      <c r="AS1151" s="83">
        <f t="shared" si="75"/>
        <v>8</v>
      </c>
      <c r="AT1151" s="84">
        <f t="shared" si="76"/>
        <v>2011</v>
      </c>
      <c r="AU1151" s="86"/>
      <c r="AV1151" s="86"/>
      <c r="AW1151" s="87"/>
      <c r="AX1151" s="86"/>
      <c r="AY1151" s="83"/>
      <c r="AZ1151" s="84"/>
      <c r="BA1151" s="86"/>
      <c r="BB1151" s="86"/>
    </row>
    <row r="1152" spans="1:54" ht="36.75" customHeight="1">
      <c r="A1152" s="30"/>
      <c r="B1152" s="30" t="s">
        <v>55</v>
      </c>
      <c r="C1152" s="69" t="str">
        <f t="shared" si="73"/>
        <v>Closed</v>
      </c>
      <c r="D1152" s="27" t="s">
        <v>6441</v>
      </c>
      <c r="E1152" s="29" t="s">
        <v>6442</v>
      </c>
      <c r="F1152" s="30" t="s">
        <v>1572</v>
      </c>
      <c r="G1152" s="89">
        <f>DATE(2011,8,22)</f>
        <v>40777</v>
      </c>
      <c r="H1152" s="90">
        <v>1.2430555555555556</v>
      </c>
      <c r="I1152" s="30" t="s">
        <v>125</v>
      </c>
      <c r="J1152" s="89" t="s">
        <v>6443</v>
      </c>
      <c r="K1152" s="30" t="s">
        <v>1574</v>
      </c>
      <c r="L1152" s="30" t="s">
        <v>6444</v>
      </c>
      <c r="M1152" s="30" t="s">
        <v>63</v>
      </c>
      <c r="N1152" s="30">
        <v>0</v>
      </c>
      <c r="O1152" s="30" t="s">
        <v>77</v>
      </c>
      <c r="P1152" s="89" t="s">
        <v>78</v>
      </c>
      <c r="Q1152" s="89" t="s">
        <v>2655</v>
      </c>
      <c r="R1152" s="89">
        <v>0</v>
      </c>
      <c r="S1152" s="30">
        <v>0</v>
      </c>
      <c r="T1152" s="233">
        <v>0</v>
      </c>
      <c r="U1152" s="30">
        <v>0</v>
      </c>
      <c r="V1152" s="233">
        <v>0</v>
      </c>
      <c r="W1152" s="30">
        <v>0</v>
      </c>
      <c r="X1152" s="30">
        <v>0</v>
      </c>
      <c r="Y1152" s="30">
        <v>0</v>
      </c>
      <c r="Z1152" s="233">
        <v>0</v>
      </c>
      <c r="AA1152" s="30">
        <v>0</v>
      </c>
      <c r="AB1152" s="30">
        <v>0</v>
      </c>
      <c r="AC1152" s="30">
        <v>0</v>
      </c>
      <c r="AD1152" s="30">
        <v>0</v>
      </c>
      <c r="AE1152" s="89" t="s">
        <v>92</v>
      </c>
      <c r="AF1152" s="89"/>
      <c r="AG1152" s="89" t="s">
        <v>133</v>
      </c>
      <c r="AH1152" s="72">
        <v>40778</v>
      </c>
      <c r="AI1152" s="30">
        <v>0</v>
      </c>
      <c r="AJ1152" s="89" t="s">
        <v>6445</v>
      </c>
      <c r="AK1152" s="89" t="s">
        <v>6446</v>
      </c>
      <c r="AL1152" s="91">
        <v>40784</v>
      </c>
      <c r="AM1152" s="91"/>
      <c r="AN1152" s="91"/>
      <c r="AO1152" s="91"/>
      <c r="AP1152" s="73" t="e">
        <f>MID(VLOOKUP(K1152,#REF!,2,FALSE),1,2)</f>
        <v>#REF!</v>
      </c>
      <c r="AQ1152" s="89">
        <f>DATE(2011,8,22)</f>
        <v>40777</v>
      </c>
      <c r="AR1152" s="82">
        <f t="shared" si="74"/>
        <v>22</v>
      </c>
      <c r="AS1152" s="83">
        <f t="shared" si="75"/>
        <v>8</v>
      </c>
      <c r="AT1152" s="84">
        <f t="shared" si="76"/>
        <v>2011</v>
      </c>
      <c r="AU1152" s="86"/>
      <c r="AV1152" s="86"/>
      <c r="AW1152" s="87"/>
      <c r="AX1152" s="86"/>
      <c r="AY1152" s="83"/>
      <c r="AZ1152" s="84"/>
      <c r="BA1152" s="86"/>
      <c r="BB1152" s="86"/>
    </row>
    <row r="1153" spans="1:54" ht="36.75" customHeight="1">
      <c r="A1153" s="30"/>
      <c r="B1153" s="30" t="s">
        <v>55</v>
      </c>
      <c r="C1153" s="69" t="str">
        <f t="shared" si="73"/>
        <v>Closed</v>
      </c>
      <c r="D1153" s="27" t="s">
        <v>6447</v>
      </c>
      <c r="E1153" s="29" t="s">
        <v>6448</v>
      </c>
      <c r="F1153" s="30" t="s">
        <v>423</v>
      </c>
      <c r="G1153" s="89">
        <f>DATE(2011,8,23)</f>
        <v>40778</v>
      </c>
      <c r="H1153" s="90">
        <v>1.9090277777777778</v>
      </c>
      <c r="I1153" s="30" t="s">
        <v>198</v>
      </c>
      <c r="J1153" s="89" t="s">
        <v>6449</v>
      </c>
      <c r="K1153" s="30" t="s">
        <v>425</v>
      </c>
      <c r="L1153" s="30" t="s">
        <v>6450</v>
      </c>
      <c r="M1153" s="30" t="s">
        <v>63</v>
      </c>
      <c r="N1153" s="30" t="s">
        <v>89</v>
      </c>
      <c r="O1153" s="30" t="s">
        <v>77</v>
      </c>
      <c r="P1153" s="89" t="s">
        <v>1912</v>
      </c>
      <c r="Q1153" s="89" t="s">
        <v>3461</v>
      </c>
      <c r="R1153" s="89" t="s">
        <v>3103</v>
      </c>
      <c r="S1153" s="30">
        <v>0</v>
      </c>
      <c r="T1153" s="233">
        <v>0</v>
      </c>
      <c r="U1153" s="30">
        <v>0</v>
      </c>
      <c r="V1153" s="233">
        <v>0</v>
      </c>
      <c r="W1153" s="30">
        <v>0</v>
      </c>
      <c r="X1153" s="30">
        <v>0</v>
      </c>
      <c r="Y1153" s="30">
        <v>0</v>
      </c>
      <c r="Z1153" s="233">
        <v>1</v>
      </c>
      <c r="AA1153" s="30">
        <v>0</v>
      </c>
      <c r="AB1153" s="30">
        <v>0</v>
      </c>
      <c r="AC1153" s="30">
        <v>0</v>
      </c>
      <c r="AD1153" s="30">
        <v>1</v>
      </c>
      <c r="AE1153" s="89" t="s">
        <v>394</v>
      </c>
      <c r="AF1153" s="89"/>
      <c r="AG1153" s="89" t="s">
        <v>133</v>
      </c>
      <c r="AH1153" s="72">
        <v>40780</v>
      </c>
      <c r="AI1153" s="30">
        <v>6</v>
      </c>
      <c r="AJ1153" s="89" t="s">
        <v>6451</v>
      </c>
      <c r="AK1153" s="89" t="s">
        <v>6452</v>
      </c>
      <c r="AL1153" s="91">
        <v>40780</v>
      </c>
      <c r="AM1153" s="91"/>
      <c r="AN1153" s="91"/>
      <c r="AO1153" s="91"/>
      <c r="AP1153" s="73" t="e">
        <f>MID(VLOOKUP(K1153,#REF!,2,FALSE),1,2)</f>
        <v>#REF!</v>
      </c>
      <c r="AQ1153" s="89">
        <f>DATE(2011,8,23)</f>
        <v>40778</v>
      </c>
      <c r="AR1153" s="82">
        <f t="shared" si="74"/>
        <v>23</v>
      </c>
      <c r="AS1153" s="83">
        <f t="shared" si="75"/>
        <v>8</v>
      </c>
      <c r="AT1153" s="84">
        <f t="shared" si="76"/>
        <v>2011</v>
      </c>
      <c r="AU1153" s="86"/>
      <c r="AV1153" s="86"/>
      <c r="AW1153" s="87"/>
      <c r="AX1153" s="86"/>
      <c r="AY1153" s="83"/>
      <c r="AZ1153" s="84"/>
      <c r="BA1153" s="86"/>
      <c r="BB1153" s="86"/>
    </row>
    <row r="1154" spans="1:54" ht="36.75" customHeight="1">
      <c r="A1154" s="30"/>
      <c r="B1154" s="30" t="s">
        <v>55</v>
      </c>
      <c r="C1154" s="69" t="str">
        <f t="shared" ref="C1154:C1217" si="77">IF(B1154="Notification","Open",IF(B1154="Interim Statement","In progress","Closed"))</f>
        <v>Closed</v>
      </c>
      <c r="D1154" s="27" t="s">
        <v>6453</v>
      </c>
      <c r="E1154" s="29" t="s">
        <v>6454</v>
      </c>
      <c r="F1154" s="30" t="s">
        <v>6455</v>
      </c>
      <c r="G1154" s="89">
        <f>DATE(2011,8,23)</f>
        <v>40778</v>
      </c>
      <c r="H1154" s="90">
        <v>1.4375</v>
      </c>
      <c r="I1154" s="30" t="s">
        <v>73</v>
      </c>
      <c r="J1154" s="89" t="s">
        <v>6456</v>
      </c>
      <c r="K1154" s="30" t="s">
        <v>584</v>
      </c>
      <c r="L1154" s="30" t="s">
        <v>6457</v>
      </c>
      <c r="M1154" s="30" t="s">
        <v>63</v>
      </c>
      <c r="N1154" s="30" t="s">
        <v>142</v>
      </c>
      <c r="O1154" s="30" t="s">
        <v>64</v>
      </c>
      <c r="P1154" s="89" t="s">
        <v>78</v>
      </c>
      <c r="Q1154" s="89" t="s">
        <v>586</v>
      </c>
      <c r="R1154" s="89" t="s">
        <v>587</v>
      </c>
      <c r="S1154" s="30">
        <v>0</v>
      </c>
      <c r="T1154" s="233">
        <v>0</v>
      </c>
      <c r="U1154" s="30">
        <v>0</v>
      </c>
      <c r="V1154" s="233">
        <v>0</v>
      </c>
      <c r="W1154" s="30">
        <v>0</v>
      </c>
      <c r="X1154" s="30">
        <v>0</v>
      </c>
      <c r="Y1154" s="30">
        <v>0</v>
      </c>
      <c r="Z1154" s="233">
        <v>0</v>
      </c>
      <c r="AA1154" s="30">
        <v>0</v>
      </c>
      <c r="AB1154" s="30">
        <v>0</v>
      </c>
      <c r="AC1154" s="30">
        <v>0</v>
      </c>
      <c r="AD1154" s="30">
        <v>0</v>
      </c>
      <c r="AE1154" s="89" t="s">
        <v>145</v>
      </c>
      <c r="AF1154" s="89" t="s">
        <v>6458</v>
      </c>
      <c r="AG1154" s="89" t="s">
        <v>6459</v>
      </c>
      <c r="AH1154" s="72">
        <v>40779</v>
      </c>
      <c r="AI1154" s="30">
        <v>0</v>
      </c>
      <c r="AJ1154" s="89" t="s">
        <v>6460</v>
      </c>
      <c r="AK1154" s="89" t="s">
        <v>68</v>
      </c>
      <c r="AL1154" s="91">
        <v>40806</v>
      </c>
      <c r="AM1154" s="91"/>
      <c r="AN1154" s="89">
        <v>44643</v>
      </c>
      <c r="AO1154" s="91">
        <v>44641</v>
      </c>
      <c r="AP1154" s="73" t="e">
        <f>MID(VLOOKUP(K1154,#REF!,2,FALSE),1,2)</f>
        <v>#REF!</v>
      </c>
      <c r="AQ1154" s="89">
        <f>DATE(2011,8,23)</f>
        <v>40778</v>
      </c>
      <c r="AR1154" s="82">
        <f t="shared" ref="AR1154:AR1217" si="78">DAY(AQ1154)</f>
        <v>23</v>
      </c>
      <c r="AS1154" s="83">
        <f t="shared" ref="AS1154:AS1217" si="79">MONTH(AQ1154)</f>
        <v>8</v>
      </c>
      <c r="AT1154" s="84">
        <f t="shared" ref="AT1154:AT1217" si="80">YEAR(AQ1154)</f>
        <v>2011</v>
      </c>
      <c r="AU1154" s="86"/>
      <c r="AV1154" s="86"/>
      <c r="AW1154" s="87"/>
      <c r="AX1154" s="86"/>
      <c r="AY1154" s="83"/>
      <c r="AZ1154" s="84"/>
      <c r="BA1154" s="86"/>
      <c r="BB1154" s="86"/>
    </row>
    <row r="1155" spans="1:54" ht="36.75" customHeight="1">
      <c r="A1155" s="30"/>
      <c r="B1155" s="30" t="s">
        <v>55</v>
      </c>
      <c r="C1155" s="69" t="str">
        <f t="shared" si="77"/>
        <v>Closed</v>
      </c>
      <c r="D1155" s="27" t="s">
        <v>6461</v>
      </c>
      <c r="E1155" s="29" t="s">
        <v>6462</v>
      </c>
      <c r="F1155" s="30" t="s">
        <v>233</v>
      </c>
      <c r="G1155" s="89">
        <f>DATE(2011,8,24)</f>
        <v>40779</v>
      </c>
      <c r="H1155" s="90">
        <v>1.5791666666666666</v>
      </c>
      <c r="I1155" s="30" t="s">
        <v>116</v>
      </c>
      <c r="J1155" s="89" t="s">
        <v>6463</v>
      </c>
      <c r="K1155" s="30" t="s">
        <v>235</v>
      </c>
      <c r="L1155" s="30" t="s">
        <v>6464</v>
      </c>
      <c r="M1155" s="30" t="s">
        <v>63</v>
      </c>
      <c r="N1155" s="30">
        <v>0</v>
      </c>
      <c r="O1155" s="30" t="s">
        <v>64</v>
      </c>
      <c r="P1155" s="89" t="s">
        <v>165</v>
      </c>
      <c r="Q1155" s="89" t="s">
        <v>2876</v>
      </c>
      <c r="R1155" s="89" t="s">
        <v>238</v>
      </c>
      <c r="S1155" s="30">
        <v>0</v>
      </c>
      <c r="T1155" s="233">
        <v>0</v>
      </c>
      <c r="U1155" s="30">
        <v>1</v>
      </c>
      <c r="V1155" s="233">
        <v>0</v>
      </c>
      <c r="W1155" s="30">
        <v>0</v>
      </c>
      <c r="X1155" s="30">
        <v>1</v>
      </c>
      <c r="Y1155" s="30">
        <v>0</v>
      </c>
      <c r="Z1155" s="233">
        <v>0</v>
      </c>
      <c r="AA1155" s="30">
        <v>0</v>
      </c>
      <c r="AB1155" s="30">
        <v>0</v>
      </c>
      <c r="AC1155" s="30">
        <v>0</v>
      </c>
      <c r="AD1155" s="30">
        <v>0</v>
      </c>
      <c r="AE1155" s="89" t="s">
        <v>68</v>
      </c>
      <c r="AF1155" s="89"/>
      <c r="AG1155" s="89" t="s">
        <v>82</v>
      </c>
      <c r="AH1155" s="72" t="s">
        <v>68</v>
      </c>
      <c r="AI1155" s="30">
        <v>4</v>
      </c>
      <c r="AJ1155" s="89" t="s">
        <v>6465</v>
      </c>
      <c r="AK1155" s="89" t="s">
        <v>6466</v>
      </c>
      <c r="AL1155" s="91">
        <v>40788</v>
      </c>
      <c r="AM1155" s="91"/>
      <c r="AN1155" s="91"/>
      <c r="AO1155" s="91"/>
      <c r="AP1155" s="73" t="e">
        <f>MID(VLOOKUP(K1155,#REF!,2,FALSE),1,2)</f>
        <v>#REF!</v>
      </c>
      <c r="AQ1155" s="89">
        <f>DATE(2011,8,24)</f>
        <v>40779</v>
      </c>
      <c r="AR1155" s="82">
        <f t="shared" si="78"/>
        <v>24</v>
      </c>
      <c r="AS1155" s="83">
        <f t="shared" si="79"/>
        <v>8</v>
      </c>
      <c r="AT1155" s="84">
        <f t="shared" si="80"/>
        <v>2011</v>
      </c>
      <c r="AU1155" s="86"/>
      <c r="AV1155" s="86"/>
      <c r="AW1155" s="87"/>
      <c r="AX1155" s="86"/>
      <c r="AY1155" s="83"/>
      <c r="AZ1155" s="84"/>
      <c r="BA1155" s="86"/>
      <c r="BB1155" s="86"/>
    </row>
    <row r="1156" spans="1:54" ht="36.75" customHeight="1">
      <c r="A1156" s="30"/>
      <c r="B1156" s="30" t="s">
        <v>55</v>
      </c>
      <c r="C1156" s="69" t="str">
        <f t="shared" si="77"/>
        <v>Closed</v>
      </c>
      <c r="D1156" s="27" t="s">
        <v>6467</v>
      </c>
      <c r="E1156" s="29" t="s">
        <v>6468</v>
      </c>
      <c r="F1156" s="30" t="s">
        <v>124</v>
      </c>
      <c r="G1156" s="89">
        <f>DATE(2011,8,25)</f>
        <v>40780</v>
      </c>
      <c r="H1156" s="90">
        <v>1.6666666666666665</v>
      </c>
      <c r="I1156" s="30" t="s">
        <v>86</v>
      </c>
      <c r="J1156" s="89" t="s">
        <v>6469</v>
      </c>
      <c r="K1156" s="30" t="s">
        <v>127</v>
      </c>
      <c r="L1156" s="30" t="s">
        <v>6470</v>
      </c>
      <c r="M1156" s="30" t="s">
        <v>63</v>
      </c>
      <c r="N1156" s="30">
        <v>0</v>
      </c>
      <c r="O1156" s="30" t="s">
        <v>77</v>
      </c>
      <c r="P1156" s="89" t="s">
        <v>165</v>
      </c>
      <c r="Q1156" s="89" t="s">
        <v>3598</v>
      </c>
      <c r="R1156" s="89" t="s">
        <v>167</v>
      </c>
      <c r="S1156" s="30">
        <v>0</v>
      </c>
      <c r="T1156" s="233" t="s">
        <v>68</v>
      </c>
      <c r="U1156" s="30">
        <v>0</v>
      </c>
      <c r="V1156" s="233" t="s">
        <v>68</v>
      </c>
      <c r="W1156" s="30">
        <v>0</v>
      </c>
      <c r="X1156" s="30">
        <v>0</v>
      </c>
      <c r="Y1156" s="30">
        <v>0</v>
      </c>
      <c r="Z1156" s="233" t="s">
        <v>68</v>
      </c>
      <c r="AA1156" s="30">
        <v>0</v>
      </c>
      <c r="AB1156" s="30">
        <v>0</v>
      </c>
      <c r="AC1156" s="30">
        <v>0</v>
      </c>
      <c r="AD1156" s="30">
        <v>0</v>
      </c>
      <c r="AE1156" s="89" t="s">
        <v>68</v>
      </c>
      <c r="AF1156" s="89"/>
      <c r="AG1156" s="89" t="s">
        <v>133</v>
      </c>
      <c r="AH1156" s="72" t="s">
        <v>68</v>
      </c>
      <c r="AI1156" s="30">
        <v>1</v>
      </c>
      <c r="AJ1156" s="89" t="s">
        <v>6471</v>
      </c>
      <c r="AK1156" s="89" t="s">
        <v>68</v>
      </c>
      <c r="AL1156" s="91">
        <v>40827</v>
      </c>
      <c r="AM1156" s="91"/>
      <c r="AN1156" s="91"/>
      <c r="AO1156" s="91"/>
      <c r="AP1156" s="73" t="e">
        <f>MID(VLOOKUP(K1156,#REF!,2,FALSE),1,2)</f>
        <v>#REF!</v>
      </c>
      <c r="AQ1156" s="89">
        <f>DATE(2011,8,25)</f>
        <v>40780</v>
      </c>
      <c r="AR1156" s="82">
        <f t="shared" si="78"/>
        <v>25</v>
      </c>
      <c r="AS1156" s="83">
        <f t="shared" si="79"/>
        <v>8</v>
      </c>
      <c r="AT1156" s="84">
        <f t="shared" si="80"/>
        <v>2011</v>
      </c>
      <c r="AU1156" s="86"/>
      <c r="AV1156" s="86"/>
      <c r="AW1156" s="87"/>
      <c r="AX1156" s="86"/>
      <c r="AY1156" s="83"/>
      <c r="AZ1156" s="84"/>
      <c r="BA1156" s="86"/>
      <c r="BB1156" s="86"/>
    </row>
    <row r="1157" spans="1:54" ht="36.75" customHeight="1">
      <c r="A1157" s="30"/>
      <c r="B1157" s="30" t="s">
        <v>2124</v>
      </c>
      <c r="C1157" s="69" t="str">
        <f t="shared" si="77"/>
        <v>Open</v>
      </c>
      <c r="D1157" s="27" t="s">
        <v>6472</v>
      </c>
      <c r="E1157" s="29" t="s">
        <v>6473</v>
      </c>
      <c r="F1157" s="30" t="s">
        <v>3148</v>
      </c>
      <c r="G1157" s="89">
        <f>DATE(2011,8,26)</f>
        <v>40781</v>
      </c>
      <c r="H1157" s="90">
        <v>1.6069444444444443</v>
      </c>
      <c r="I1157" s="30" t="s">
        <v>198</v>
      </c>
      <c r="J1157" s="89" t="s">
        <v>6474</v>
      </c>
      <c r="K1157" s="30" t="s">
        <v>3150</v>
      </c>
      <c r="L1157" s="30" t="s">
        <v>6475</v>
      </c>
      <c r="M1157" s="30" t="s">
        <v>63</v>
      </c>
      <c r="N1157" s="30">
        <v>0</v>
      </c>
      <c r="O1157" s="30" t="s">
        <v>77</v>
      </c>
      <c r="P1157" s="89" t="s">
        <v>216</v>
      </c>
      <c r="Q1157" s="89" t="s">
        <v>6476</v>
      </c>
      <c r="R1157" s="89" t="s">
        <v>3153</v>
      </c>
      <c r="S1157" s="30">
        <v>0</v>
      </c>
      <c r="T1157" s="233">
        <v>0</v>
      </c>
      <c r="U1157" s="30">
        <v>0</v>
      </c>
      <c r="V1157" s="233" t="s">
        <v>68</v>
      </c>
      <c r="W1157" s="30">
        <v>0</v>
      </c>
      <c r="X1157" s="30">
        <v>0</v>
      </c>
      <c r="Y1157" s="30">
        <v>9</v>
      </c>
      <c r="Z1157" s="233">
        <v>1</v>
      </c>
      <c r="AA1157" s="30">
        <v>0</v>
      </c>
      <c r="AB1157" s="30">
        <v>0</v>
      </c>
      <c r="AC1157" s="30">
        <v>0</v>
      </c>
      <c r="AD1157" s="30">
        <v>10</v>
      </c>
      <c r="AE1157" s="89" t="s">
        <v>68</v>
      </c>
      <c r="AF1157" s="89"/>
      <c r="AG1157" s="89" t="s">
        <v>82</v>
      </c>
      <c r="AH1157" s="72" t="s">
        <v>68</v>
      </c>
      <c r="AI1157" s="30">
        <v>0</v>
      </c>
      <c r="AJ1157" s="89" t="s">
        <v>68</v>
      </c>
      <c r="AK1157" s="89" t="s">
        <v>68</v>
      </c>
      <c r="AL1157" s="91">
        <v>40786</v>
      </c>
      <c r="AM1157" s="91"/>
      <c r="AN1157" s="91"/>
      <c r="AO1157" s="91"/>
      <c r="AP1157" s="73" t="e">
        <f>MID(VLOOKUP(K1157,#REF!,2,FALSE),1,2)</f>
        <v>#REF!</v>
      </c>
      <c r="AQ1157" s="89">
        <f>DATE(2011,8,26)</f>
        <v>40781</v>
      </c>
      <c r="AR1157" s="82">
        <f t="shared" si="78"/>
        <v>26</v>
      </c>
      <c r="AS1157" s="83">
        <f t="shared" si="79"/>
        <v>8</v>
      </c>
      <c r="AT1157" s="84">
        <f t="shared" si="80"/>
        <v>2011</v>
      </c>
      <c r="AU1157" s="86"/>
      <c r="AV1157" s="86"/>
      <c r="AW1157" s="87"/>
      <c r="AX1157" s="86"/>
      <c r="AY1157" s="83"/>
      <c r="AZ1157" s="84"/>
      <c r="BA1157" s="86"/>
      <c r="BB1157" s="86"/>
    </row>
    <row r="1158" spans="1:54" ht="36.75" customHeight="1">
      <c r="A1158" s="30"/>
      <c r="B1158" s="30" t="s">
        <v>55</v>
      </c>
      <c r="C1158" s="69" t="str">
        <f t="shared" si="77"/>
        <v>Closed</v>
      </c>
      <c r="D1158" s="27" t="s">
        <v>6477</v>
      </c>
      <c r="E1158" s="29" t="s">
        <v>6478</v>
      </c>
      <c r="F1158" s="30" t="s">
        <v>233</v>
      </c>
      <c r="G1158" s="89">
        <f>DATE(2011,8,26)</f>
        <v>40781</v>
      </c>
      <c r="H1158" s="90">
        <v>1.03125</v>
      </c>
      <c r="I1158" s="30" t="s">
        <v>73</v>
      </c>
      <c r="J1158" s="89" t="s">
        <v>6479</v>
      </c>
      <c r="K1158" s="30" t="s">
        <v>235</v>
      </c>
      <c r="L1158" s="30" t="s">
        <v>6480</v>
      </c>
      <c r="M1158" s="30" t="s">
        <v>63</v>
      </c>
      <c r="N1158" s="30">
        <v>0</v>
      </c>
      <c r="O1158" s="30" t="s">
        <v>64</v>
      </c>
      <c r="P1158" s="89" t="s">
        <v>78</v>
      </c>
      <c r="Q1158" s="89" t="s">
        <v>4042</v>
      </c>
      <c r="R1158" s="89" t="s">
        <v>238</v>
      </c>
      <c r="S1158" s="30">
        <v>0</v>
      </c>
      <c r="T1158" s="233">
        <v>0</v>
      </c>
      <c r="U1158" s="30">
        <v>0</v>
      </c>
      <c r="V1158" s="233">
        <v>0</v>
      </c>
      <c r="W1158" s="30">
        <v>0</v>
      </c>
      <c r="X1158" s="30">
        <v>0</v>
      </c>
      <c r="Y1158" s="30">
        <v>0</v>
      </c>
      <c r="Z1158" s="233">
        <v>0</v>
      </c>
      <c r="AA1158" s="30">
        <v>0</v>
      </c>
      <c r="AB1158" s="30">
        <v>0</v>
      </c>
      <c r="AC1158" s="30">
        <v>0</v>
      </c>
      <c r="AD1158" s="30">
        <v>0</v>
      </c>
      <c r="AE1158" s="89" t="s">
        <v>68</v>
      </c>
      <c r="AF1158" s="89"/>
      <c r="AG1158" s="89" t="s">
        <v>133</v>
      </c>
      <c r="AH1158" s="72" t="s">
        <v>68</v>
      </c>
      <c r="AI1158" s="30">
        <v>4</v>
      </c>
      <c r="AJ1158" s="89" t="s">
        <v>6481</v>
      </c>
      <c r="AK1158" s="89" t="s">
        <v>6482</v>
      </c>
      <c r="AL1158" s="91">
        <v>40857</v>
      </c>
      <c r="AM1158" s="91"/>
      <c r="AN1158" s="91"/>
      <c r="AO1158" s="91"/>
      <c r="AP1158" s="73" t="e">
        <f>MID(VLOOKUP(K1158,#REF!,2,FALSE),1,2)</f>
        <v>#REF!</v>
      </c>
      <c r="AQ1158" s="89">
        <f>DATE(2011,8,26)</f>
        <v>40781</v>
      </c>
      <c r="AR1158" s="82">
        <f t="shared" si="78"/>
        <v>26</v>
      </c>
      <c r="AS1158" s="83">
        <f t="shared" si="79"/>
        <v>8</v>
      </c>
      <c r="AT1158" s="84">
        <f t="shared" si="80"/>
        <v>2011</v>
      </c>
      <c r="AU1158" s="86"/>
      <c r="AV1158" s="86"/>
      <c r="AW1158" s="87"/>
      <c r="AX1158" s="86"/>
      <c r="AY1158" s="83"/>
      <c r="AZ1158" s="84"/>
      <c r="BA1158" s="86"/>
      <c r="BB1158" s="86"/>
    </row>
    <row r="1159" spans="1:54" ht="36.75" customHeight="1">
      <c r="A1159" s="30"/>
      <c r="B1159" s="30" t="s">
        <v>55</v>
      </c>
      <c r="C1159" s="69" t="str">
        <f t="shared" si="77"/>
        <v>Closed</v>
      </c>
      <c r="D1159" s="27" t="s">
        <v>6483</v>
      </c>
      <c r="E1159" s="29" t="s">
        <v>6484</v>
      </c>
      <c r="F1159" s="30" t="s">
        <v>638</v>
      </c>
      <c r="G1159" s="89">
        <f>DATE(2011,8,27)</f>
        <v>40782</v>
      </c>
      <c r="H1159" s="90">
        <v>1.8937499999999998</v>
      </c>
      <c r="I1159" s="30" t="s">
        <v>73</v>
      </c>
      <c r="J1159" s="89" t="s">
        <v>6485</v>
      </c>
      <c r="K1159" s="30" t="s">
        <v>640</v>
      </c>
      <c r="L1159" s="30" t="s">
        <v>6486</v>
      </c>
      <c r="M1159" s="30" t="s">
        <v>63</v>
      </c>
      <c r="N1159" s="30" t="s">
        <v>142</v>
      </c>
      <c r="O1159" s="30" t="s">
        <v>77</v>
      </c>
      <c r="P1159" s="89" t="s">
        <v>86</v>
      </c>
      <c r="Q1159" s="89" t="s">
        <v>642</v>
      </c>
      <c r="R1159" s="89" t="s">
        <v>643</v>
      </c>
      <c r="S1159" s="30">
        <v>0</v>
      </c>
      <c r="T1159" s="233">
        <v>0</v>
      </c>
      <c r="U1159" s="30">
        <v>0</v>
      </c>
      <c r="V1159" s="233">
        <v>0</v>
      </c>
      <c r="W1159" s="30">
        <v>0</v>
      </c>
      <c r="X1159" s="30">
        <v>0</v>
      </c>
      <c r="Y1159" s="30">
        <v>0</v>
      </c>
      <c r="Z1159" s="233">
        <v>0</v>
      </c>
      <c r="AA1159" s="30">
        <v>0</v>
      </c>
      <c r="AB1159" s="30">
        <v>0</v>
      </c>
      <c r="AC1159" s="30">
        <v>0</v>
      </c>
      <c r="AD1159" s="30">
        <v>0</v>
      </c>
      <c r="AE1159" s="89" t="s">
        <v>68</v>
      </c>
      <c r="AF1159" s="89"/>
      <c r="AG1159" s="89" t="s">
        <v>352</v>
      </c>
      <c r="AH1159" s="72">
        <v>40806</v>
      </c>
      <c r="AI1159" s="30">
        <v>1</v>
      </c>
      <c r="AJ1159" s="89" t="s">
        <v>6487</v>
      </c>
      <c r="AK1159" s="89" t="s">
        <v>68</v>
      </c>
      <c r="AL1159" s="91">
        <v>40823</v>
      </c>
      <c r="AM1159" s="91"/>
      <c r="AN1159" s="91"/>
      <c r="AO1159" s="91"/>
      <c r="AP1159" s="73" t="e">
        <f>MID(VLOOKUP(K1159,#REF!,2,FALSE),1,2)</f>
        <v>#REF!</v>
      </c>
      <c r="AQ1159" s="89">
        <f>DATE(2011,8,27)</f>
        <v>40782</v>
      </c>
      <c r="AR1159" s="82">
        <f t="shared" si="78"/>
        <v>27</v>
      </c>
      <c r="AS1159" s="83">
        <f t="shared" si="79"/>
        <v>8</v>
      </c>
      <c r="AT1159" s="84">
        <f t="shared" si="80"/>
        <v>2011</v>
      </c>
      <c r="AU1159" s="86"/>
      <c r="AV1159" s="86"/>
      <c r="AW1159" s="87"/>
      <c r="AX1159" s="86"/>
      <c r="AY1159" s="83"/>
      <c r="AZ1159" s="84"/>
      <c r="BA1159" s="86"/>
      <c r="BB1159" s="86"/>
    </row>
    <row r="1160" spans="1:54" ht="36.75" customHeight="1">
      <c r="A1160" s="30"/>
      <c r="B1160" s="30" t="s">
        <v>55</v>
      </c>
      <c r="C1160" s="69" t="str">
        <f t="shared" si="77"/>
        <v>Closed</v>
      </c>
      <c r="D1160" s="27" t="s">
        <v>6488</v>
      </c>
      <c r="E1160" s="29" t="s">
        <v>6489</v>
      </c>
      <c r="F1160" s="30" t="s">
        <v>835</v>
      </c>
      <c r="G1160" s="89">
        <f>DATE(2011,8,29)</f>
        <v>40784</v>
      </c>
      <c r="H1160" s="90">
        <v>1.4013888888888888</v>
      </c>
      <c r="I1160" s="30" t="s">
        <v>73</v>
      </c>
      <c r="J1160" s="89" t="s">
        <v>6490</v>
      </c>
      <c r="K1160" s="30" t="s">
        <v>837</v>
      </c>
      <c r="L1160" s="30" t="s">
        <v>6491</v>
      </c>
      <c r="M1160" s="30" t="s">
        <v>63</v>
      </c>
      <c r="N1160" s="30" t="s">
        <v>99</v>
      </c>
      <c r="O1160" s="30" t="s">
        <v>77</v>
      </c>
      <c r="P1160" s="89" t="s">
        <v>78</v>
      </c>
      <c r="Q1160" s="89" t="s">
        <v>4708</v>
      </c>
      <c r="R1160" s="89" t="s">
        <v>840</v>
      </c>
      <c r="S1160" s="30">
        <v>0</v>
      </c>
      <c r="T1160" s="233">
        <v>0</v>
      </c>
      <c r="U1160" s="30">
        <v>0</v>
      </c>
      <c r="V1160" s="233">
        <v>0</v>
      </c>
      <c r="W1160" s="30">
        <v>0</v>
      </c>
      <c r="X1160" s="30">
        <v>0</v>
      </c>
      <c r="Y1160" s="30">
        <v>0</v>
      </c>
      <c r="Z1160" s="233">
        <v>0</v>
      </c>
      <c r="AA1160" s="30">
        <v>0</v>
      </c>
      <c r="AB1160" s="30">
        <v>0</v>
      </c>
      <c r="AC1160" s="30">
        <v>0</v>
      </c>
      <c r="AD1160" s="30">
        <v>0</v>
      </c>
      <c r="AE1160" s="89" t="s">
        <v>92</v>
      </c>
      <c r="AF1160" s="89"/>
      <c r="AG1160" s="89" t="s">
        <v>352</v>
      </c>
      <c r="AH1160" s="72">
        <v>40784</v>
      </c>
      <c r="AI1160" s="30">
        <v>1</v>
      </c>
      <c r="AJ1160" s="89" t="s">
        <v>6492</v>
      </c>
      <c r="AK1160" s="89" t="s">
        <v>68</v>
      </c>
      <c r="AL1160" s="91">
        <v>40792</v>
      </c>
      <c r="AM1160" s="91"/>
      <c r="AN1160" s="91"/>
      <c r="AO1160" s="91"/>
      <c r="AP1160" s="73" t="e">
        <f>MID(VLOOKUP(K1160,#REF!,2,FALSE),1,2)</f>
        <v>#REF!</v>
      </c>
      <c r="AQ1160" s="89">
        <f>DATE(2011,8,29)</f>
        <v>40784</v>
      </c>
      <c r="AR1160" s="82">
        <f t="shared" si="78"/>
        <v>29</v>
      </c>
      <c r="AS1160" s="83">
        <f t="shared" si="79"/>
        <v>8</v>
      </c>
      <c r="AT1160" s="84">
        <f t="shared" si="80"/>
        <v>2011</v>
      </c>
      <c r="AU1160" s="86"/>
      <c r="AV1160" s="86"/>
      <c r="AW1160" s="87"/>
      <c r="AX1160" s="86"/>
      <c r="AY1160" s="83"/>
      <c r="AZ1160" s="84"/>
      <c r="BA1160" s="86"/>
      <c r="BB1160" s="86"/>
    </row>
    <row r="1161" spans="1:54" ht="36.75" customHeight="1">
      <c r="A1161" s="30"/>
      <c r="B1161" s="30" t="s">
        <v>55</v>
      </c>
      <c r="C1161" s="69" t="str">
        <f t="shared" si="77"/>
        <v>Closed</v>
      </c>
      <c r="D1161" s="27" t="s">
        <v>6493</v>
      </c>
      <c r="E1161" s="29" t="s">
        <v>6494</v>
      </c>
      <c r="F1161" s="30" t="s">
        <v>423</v>
      </c>
      <c r="G1161" s="89">
        <f>DATE(2011,8,31)</f>
        <v>40786</v>
      </c>
      <c r="H1161" s="90">
        <v>1.2145833333333333</v>
      </c>
      <c r="I1161" s="30" t="s">
        <v>198</v>
      </c>
      <c r="J1161" s="89" t="s">
        <v>6495</v>
      </c>
      <c r="K1161" s="30" t="s">
        <v>425</v>
      </c>
      <c r="L1161" s="30" t="s">
        <v>6496</v>
      </c>
      <c r="M1161" s="30" t="s">
        <v>63</v>
      </c>
      <c r="N1161" s="30">
        <v>0</v>
      </c>
      <c r="O1161" s="30" t="s">
        <v>64</v>
      </c>
      <c r="P1161" s="89" t="s">
        <v>216</v>
      </c>
      <c r="Q1161" s="89" t="s">
        <v>3461</v>
      </c>
      <c r="R1161" s="89" t="s">
        <v>3103</v>
      </c>
      <c r="S1161" s="30">
        <v>0</v>
      </c>
      <c r="T1161" s="233" t="s">
        <v>68</v>
      </c>
      <c r="U1161" s="30">
        <v>0</v>
      </c>
      <c r="V1161" s="233" t="s">
        <v>68</v>
      </c>
      <c r="W1161" s="30">
        <v>0</v>
      </c>
      <c r="X1161" s="30">
        <v>0</v>
      </c>
      <c r="Y1161" s="30">
        <v>0</v>
      </c>
      <c r="Z1161" s="233" t="s">
        <v>68</v>
      </c>
      <c r="AA1161" s="30">
        <v>0</v>
      </c>
      <c r="AB1161" s="30">
        <v>0</v>
      </c>
      <c r="AC1161" s="30">
        <v>0</v>
      </c>
      <c r="AD1161" s="30">
        <v>0</v>
      </c>
      <c r="AE1161" s="89" t="s">
        <v>68</v>
      </c>
      <c r="AF1161" s="89"/>
      <c r="AG1161" s="89" t="s">
        <v>133</v>
      </c>
      <c r="AH1161" s="72" t="s">
        <v>68</v>
      </c>
      <c r="AI1161" s="30">
        <v>0</v>
      </c>
      <c r="AJ1161" s="89" t="s">
        <v>68</v>
      </c>
      <c r="AK1161" s="89" t="s">
        <v>68</v>
      </c>
      <c r="AL1161" s="91">
        <v>40799</v>
      </c>
      <c r="AM1161" s="91"/>
      <c r="AN1161" s="91"/>
      <c r="AO1161" s="91"/>
      <c r="AP1161" s="73" t="e">
        <f>MID(VLOOKUP(K1161,#REF!,2,FALSE),1,2)</f>
        <v>#REF!</v>
      </c>
      <c r="AQ1161" s="89">
        <f>DATE(2011,8,31)</f>
        <v>40786</v>
      </c>
      <c r="AR1161" s="82">
        <f t="shared" si="78"/>
        <v>31</v>
      </c>
      <c r="AS1161" s="83">
        <f t="shared" si="79"/>
        <v>8</v>
      </c>
      <c r="AT1161" s="84">
        <f t="shared" si="80"/>
        <v>2011</v>
      </c>
      <c r="AU1161" s="86"/>
      <c r="AV1161" s="86"/>
      <c r="AW1161" s="87"/>
      <c r="AX1161" s="86"/>
      <c r="AY1161" s="83"/>
      <c r="AZ1161" s="84"/>
      <c r="BA1161" s="86"/>
      <c r="BB1161" s="86"/>
    </row>
    <row r="1162" spans="1:54" ht="36.75" customHeight="1">
      <c r="A1162" s="30"/>
      <c r="B1162" s="30" t="s">
        <v>55</v>
      </c>
      <c r="C1162" s="69" t="str">
        <f t="shared" si="77"/>
        <v>Closed</v>
      </c>
      <c r="D1162" s="27" t="s">
        <v>6497</v>
      </c>
      <c r="E1162" s="29" t="s">
        <v>6498</v>
      </c>
      <c r="F1162" s="30" t="s">
        <v>1770</v>
      </c>
      <c r="G1162" s="89">
        <f>DATE(2011,9,2)</f>
        <v>40788</v>
      </c>
      <c r="H1162" s="90">
        <v>1.4583333333333333</v>
      </c>
      <c r="I1162" s="30" t="s">
        <v>73</v>
      </c>
      <c r="J1162" s="89" t="s">
        <v>6499</v>
      </c>
      <c r="K1162" s="30" t="s">
        <v>1772</v>
      </c>
      <c r="L1162" s="30" t="s">
        <v>6500</v>
      </c>
      <c r="M1162" s="30" t="s">
        <v>63</v>
      </c>
      <c r="N1162" s="30" t="s">
        <v>99</v>
      </c>
      <c r="O1162" s="30" t="s">
        <v>86</v>
      </c>
      <c r="P1162" s="89" t="s">
        <v>91</v>
      </c>
      <c r="Q1162" s="89" t="s">
        <v>6501</v>
      </c>
      <c r="R1162" s="89" t="s">
        <v>1775</v>
      </c>
      <c r="S1162" s="30">
        <v>0</v>
      </c>
      <c r="T1162" s="233">
        <v>0</v>
      </c>
      <c r="U1162" s="30">
        <v>0</v>
      </c>
      <c r="V1162" s="233">
        <v>0</v>
      </c>
      <c r="W1162" s="30">
        <v>0</v>
      </c>
      <c r="X1162" s="30">
        <v>0</v>
      </c>
      <c r="Y1162" s="30">
        <v>0</v>
      </c>
      <c r="Z1162" s="233">
        <v>0</v>
      </c>
      <c r="AA1162" s="30">
        <v>0</v>
      </c>
      <c r="AB1162" s="30">
        <v>0</v>
      </c>
      <c r="AC1162" s="30">
        <v>0</v>
      </c>
      <c r="AD1162" s="30">
        <v>0</v>
      </c>
      <c r="AE1162" s="89" t="s">
        <v>92</v>
      </c>
      <c r="AF1162" s="89"/>
      <c r="AG1162" s="89" t="s">
        <v>133</v>
      </c>
      <c r="AH1162" s="72">
        <v>40808</v>
      </c>
      <c r="AI1162" s="30">
        <v>2</v>
      </c>
      <c r="AJ1162" s="89" t="s">
        <v>6502</v>
      </c>
      <c r="AK1162" s="89" t="s">
        <v>6503</v>
      </c>
      <c r="AL1162" s="91">
        <v>41358</v>
      </c>
      <c r="AM1162" s="91"/>
      <c r="AN1162" s="91"/>
      <c r="AO1162" s="91"/>
      <c r="AP1162" s="73" t="e">
        <f>MID(VLOOKUP(K1162,#REF!,2,FALSE),1,2)</f>
        <v>#REF!</v>
      </c>
      <c r="AQ1162" s="89">
        <f>DATE(2011,9,2)</f>
        <v>40788</v>
      </c>
      <c r="AR1162" s="82">
        <f t="shared" si="78"/>
        <v>2</v>
      </c>
      <c r="AS1162" s="83">
        <f t="shared" si="79"/>
        <v>9</v>
      </c>
      <c r="AT1162" s="84">
        <f t="shared" si="80"/>
        <v>2011</v>
      </c>
      <c r="AU1162" s="86"/>
      <c r="AV1162" s="86"/>
      <c r="AW1162" s="87"/>
      <c r="AX1162" s="86"/>
      <c r="AY1162" s="83"/>
      <c r="AZ1162" s="84"/>
      <c r="BA1162" s="86"/>
      <c r="BB1162" s="86"/>
    </row>
    <row r="1163" spans="1:54" ht="36.75" customHeight="1">
      <c r="A1163" s="30"/>
      <c r="B1163" s="30" t="s">
        <v>55</v>
      </c>
      <c r="C1163" s="69" t="str">
        <f t="shared" si="77"/>
        <v>Closed</v>
      </c>
      <c r="D1163" s="27" t="s">
        <v>6504</v>
      </c>
      <c r="E1163" s="29" t="s">
        <v>6505</v>
      </c>
      <c r="F1163" s="30" t="s">
        <v>233</v>
      </c>
      <c r="G1163" s="89">
        <f>DATE(2011,9,4)</f>
        <v>40790</v>
      </c>
      <c r="H1163" s="90">
        <v>1.5229166666666667</v>
      </c>
      <c r="I1163" s="30" t="s">
        <v>86</v>
      </c>
      <c r="J1163" s="89" t="s">
        <v>6506</v>
      </c>
      <c r="K1163" s="30" t="s">
        <v>235</v>
      </c>
      <c r="L1163" s="30" t="s">
        <v>6507</v>
      </c>
      <c r="M1163" s="30" t="s">
        <v>63</v>
      </c>
      <c r="N1163" s="30" t="s">
        <v>142</v>
      </c>
      <c r="O1163" s="30" t="s">
        <v>64</v>
      </c>
      <c r="P1163" s="89" t="s">
        <v>165</v>
      </c>
      <c r="Q1163" s="89" t="s">
        <v>1428</v>
      </c>
      <c r="R1163" s="89" t="s">
        <v>238</v>
      </c>
      <c r="S1163" s="30">
        <v>0</v>
      </c>
      <c r="T1163" s="233">
        <v>0</v>
      </c>
      <c r="U1163" s="30">
        <v>0</v>
      </c>
      <c r="V1163" s="233">
        <v>0</v>
      </c>
      <c r="W1163" s="30">
        <v>0</v>
      </c>
      <c r="X1163" s="30">
        <v>0</v>
      </c>
      <c r="Y1163" s="30">
        <v>0</v>
      </c>
      <c r="Z1163" s="233">
        <v>0</v>
      </c>
      <c r="AA1163" s="30">
        <v>0</v>
      </c>
      <c r="AB1163" s="30">
        <v>0</v>
      </c>
      <c r="AC1163" s="30">
        <v>0</v>
      </c>
      <c r="AD1163" s="30">
        <v>0</v>
      </c>
      <c r="AE1163" s="89" t="s">
        <v>68</v>
      </c>
      <c r="AF1163" s="89"/>
      <c r="AG1163" s="89" t="s">
        <v>133</v>
      </c>
      <c r="AH1163" s="72" t="s">
        <v>68</v>
      </c>
      <c r="AI1163" s="30">
        <v>7</v>
      </c>
      <c r="AJ1163" s="89" t="s">
        <v>6508</v>
      </c>
      <c r="AK1163" s="89" t="s">
        <v>6509</v>
      </c>
      <c r="AL1163" s="91">
        <v>40827</v>
      </c>
      <c r="AM1163" s="91"/>
      <c r="AN1163" s="91"/>
      <c r="AO1163" s="91"/>
      <c r="AP1163" s="73" t="e">
        <f>MID(VLOOKUP(K1163,#REF!,2,FALSE),1,2)</f>
        <v>#REF!</v>
      </c>
      <c r="AQ1163" s="89">
        <f>DATE(2011,9,4)</f>
        <v>40790</v>
      </c>
      <c r="AR1163" s="82">
        <f t="shared" si="78"/>
        <v>4</v>
      </c>
      <c r="AS1163" s="83">
        <f t="shared" si="79"/>
        <v>9</v>
      </c>
      <c r="AT1163" s="84">
        <f t="shared" si="80"/>
        <v>2011</v>
      </c>
      <c r="AU1163" s="86"/>
      <c r="AV1163" s="86"/>
      <c r="AW1163" s="87"/>
      <c r="AX1163" s="86"/>
      <c r="AY1163" s="83"/>
      <c r="AZ1163" s="84"/>
      <c r="BA1163" s="86"/>
      <c r="BB1163" s="86"/>
    </row>
    <row r="1164" spans="1:54" ht="36.75" customHeight="1">
      <c r="A1164" s="30"/>
      <c r="B1164" s="30" t="s">
        <v>55</v>
      </c>
      <c r="C1164" s="69" t="str">
        <f t="shared" si="77"/>
        <v>Closed</v>
      </c>
      <c r="D1164" s="27" t="s">
        <v>6510</v>
      </c>
      <c r="E1164" s="29" t="s">
        <v>6511</v>
      </c>
      <c r="F1164" s="30" t="s">
        <v>124</v>
      </c>
      <c r="G1164" s="89">
        <f>DATE(2011,9,5)</f>
        <v>40791</v>
      </c>
      <c r="H1164" s="90">
        <v>1.2805555555555554</v>
      </c>
      <c r="I1164" s="30" t="s">
        <v>73</v>
      </c>
      <c r="J1164" s="89" t="s">
        <v>6512</v>
      </c>
      <c r="K1164" s="30" t="s">
        <v>127</v>
      </c>
      <c r="L1164" s="30" t="s">
        <v>6513</v>
      </c>
      <c r="M1164" s="30" t="s">
        <v>63</v>
      </c>
      <c r="N1164" s="30" t="s">
        <v>99</v>
      </c>
      <c r="O1164" s="30" t="s">
        <v>64</v>
      </c>
      <c r="P1164" s="89" t="s">
        <v>165</v>
      </c>
      <c r="Q1164" s="89" t="s">
        <v>229</v>
      </c>
      <c r="R1164" s="89" t="s">
        <v>167</v>
      </c>
      <c r="S1164" s="30">
        <v>0</v>
      </c>
      <c r="T1164" s="233">
        <v>0</v>
      </c>
      <c r="U1164" s="30">
        <v>0</v>
      </c>
      <c r="V1164" s="233">
        <v>0</v>
      </c>
      <c r="W1164" s="30">
        <v>0</v>
      </c>
      <c r="X1164" s="30">
        <v>0</v>
      </c>
      <c r="Y1164" s="30">
        <v>0</v>
      </c>
      <c r="Z1164" s="233">
        <v>2</v>
      </c>
      <c r="AA1164" s="30">
        <v>0</v>
      </c>
      <c r="AB1164" s="30">
        <v>0</v>
      </c>
      <c r="AC1164" s="30">
        <v>0</v>
      </c>
      <c r="AD1164" s="30">
        <v>2</v>
      </c>
      <c r="AE1164" s="89" t="s">
        <v>68</v>
      </c>
      <c r="AF1164" s="89"/>
      <c r="AG1164" s="89" t="s">
        <v>133</v>
      </c>
      <c r="AH1164" s="72">
        <v>40791</v>
      </c>
      <c r="AI1164" s="30">
        <v>2</v>
      </c>
      <c r="AJ1164" s="89" t="s">
        <v>6514</v>
      </c>
      <c r="AK1164" s="89" t="s">
        <v>68</v>
      </c>
      <c r="AL1164" s="91">
        <v>40798</v>
      </c>
      <c r="AM1164" s="91"/>
      <c r="AN1164" s="91"/>
      <c r="AO1164" s="91"/>
      <c r="AP1164" s="73" t="e">
        <f>MID(VLOOKUP(K1164,#REF!,2,FALSE),1,2)</f>
        <v>#REF!</v>
      </c>
      <c r="AQ1164" s="89">
        <f>DATE(2011,9,5)</f>
        <v>40791</v>
      </c>
      <c r="AR1164" s="82">
        <f t="shared" si="78"/>
        <v>5</v>
      </c>
      <c r="AS1164" s="83">
        <f t="shared" si="79"/>
        <v>9</v>
      </c>
      <c r="AT1164" s="84">
        <f t="shared" si="80"/>
        <v>2011</v>
      </c>
      <c r="AU1164" s="86"/>
      <c r="AV1164" s="86"/>
      <c r="AW1164" s="87"/>
      <c r="AX1164" s="86"/>
      <c r="AY1164" s="83"/>
      <c r="AZ1164" s="84"/>
      <c r="BA1164" s="86"/>
      <c r="BB1164" s="86"/>
    </row>
    <row r="1165" spans="1:54" ht="36.75" customHeight="1">
      <c r="A1165" s="30"/>
      <c r="B1165" s="30" t="s">
        <v>55</v>
      </c>
      <c r="C1165" s="69" t="str">
        <f t="shared" si="77"/>
        <v>Closed</v>
      </c>
      <c r="D1165" s="27" t="s">
        <v>6515</v>
      </c>
      <c r="E1165" s="29" t="s">
        <v>6516</v>
      </c>
      <c r="F1165" s="30" t="s">
        <v>423</v>
      </c>
      <c r="G1165" s="89">
        <f>DATE(2011,9,7)</f>
        <v>40793</v>
      </c>
      <c r="H1165" s="90">
        <v>1.5979166666666667</v>
      </c>
      <c r="I1165" s="30" t="s">
        <v>73</v>
      </c>
      <c r="J1165" s="89" t="s">
        <v>6517</v>
      </c>
      <c r="K1165" s="30" t="s">
        <v>425</v>
      </c>
      <c r="L1165" s="30" t="s">
        <v>6518</v>
      </c>
      <c r="M1165" s="30" t="s">
        <v>63</v>
      </c>
      <c r="N1165" s="30" t="s">
        <v>89</v>
      </c>
      <c r="O1165" s="30" t="s">
        <v>77</v>
      </c>
      <c r="P1165" s="89" t="s">
        <v>78</v>
      </c>
      <c r="Q1165" s="89" t="s">
        <v>2582</v>
      </c>
      <c r="R1165" s="89" t="s">
        <v>3103</v>
      </c>
      <c r="S1165" s="30">
        <v>0</v>
      </c>
      <c r="T1165" s="233">
        <v>0</v>
      </c>
      <c r="U1165" s="30">
        <v>0</v>
      </c>
      <c r="V1165" s="233">
        <v>0</v>
      </c>
      <c r="W1165" s="30">
        <v>0</v>
      </c>
      <c r="X1165" s="30">
        <v>0</v>
      </c>
      <c r="Y1165" s="30">
        <v>0</v>
      </c>
      <c r="Z1165" s="233">
        <v>0</v>
      </c>
      <c r="AA1165" s="30">
        <v>0</v>
      </c>
      <c r="AB1165" s="30">
        <v>0</v>
      </c>
      <c r="AC1165" s="30">
        <v>0</v>
      </c>
      <c r="AD1165" s="30">
        <v>0</v>
      </c>
      <c r="AE1165" s="89" t="s">
        <v>92</v>
      </c>
      <c r="AF1165" s="89"/>
      <c r="AG1165" s="89" t="s">
        <v>133</v>
      </c>
      <c r="AH1165" s="72">
        <v>40799</v>
      </c>
      <c r="AI1165" s="30">
        <v>3</v>
      </c>
      <c r="AJ1165" s="89" t="s">
        <v>6519</v>
      </c>
      <c r="AK1165" s="89" t="s">
        <v>6520</v>
      </c>
      <c r="AL1165" s="91">
        <v>40800</v>
      </c>
      <c r="AM1165" s="91"/>
      <c r="AN1165" s="91"/>
      <c r="AO1165" s="91"/>
      <c r="AP1165" s="73" t="e">
        <f>MID(VLOOKUP(K1165,#REF!,2,FALSE),1,2)</f>
        <v>#REF!</v>
      </c>
      <c r="AQ1165" s="89">
        <f>DATE(2011,9,7)</f>
        <v>40793</v>
      </c>
      <c r="AR1165" s="82">
        <f t="shared" si="78"/>
        <v>7</v>
      </c>
      <c r="AS1165" s="83">
        <f t="shared" si="79"/>
        <v>9</v>
      </c>
      <c r="AT1165" s="84">
        <f t="shared" si="80"/>
        <v>2011</v>
      </c>
      <c r="AU1165" s="86"/>
      <c r="AV1165" s="86"/>
      <c r="AW1165" s="87"/>
      <c r="AX1165" s="86"/>
      <c r="AY1165" s="83"/>
      <c r="AZ1165" s="84"/>
      <c r="BA1165" s="86"/>
      <c r="BB1165" s="86"/>
    </row>
    <row r="1166" spans="1:54" ht="36.75" customHeight="1">
      <c r="A1166" s="30"/>
      <c r="B1166" s="30" t="s">
        <v>55</v>
      </c>
      <c r="C1166" s="69" t="str">
        <f t="shared" si="77"/>
        <v>Closed</v>
      </c>
      <c r="D1166" s="27" t="s">
        <v>6521</v>
      </c>
      <c r="E1166" s="29" t="s">
        <v>6522</v>
      </c>
      <c r="F1166" s="30" t="s">
        <v>233</v>
      </c>
      <c r="G1166" s="89">
        <f>DATE(2011,9,10)</f>
        <v>40796</v>
      </c>
      <c r="H1166" s="90">
        <v>1.125</v>
      </c>
      <c r="I1166" s="30" t="s">
        <v>86</v>
      </c>
      <c r="J1166" s="89" t="s">
        <v>6523</v>
      </c>
      <c r="K1166" s="30" t="s">
        <v>235</v>
      </c>
      <c r="L1166" s="30" t="s">
        <v>6524</v>
      </c>
      <c r="M1166" s="30" t="s">
        <v>63</v>
      </c>
      <c r="N1166" s="30">
        <v>0</v>
      </c>
      <c r="O1166" s="30" t="s">
        <v>86</v>
      </c>
      <c r="P1166" s="89" t="s">
        <v>86</v>
      </c>
      <c r="Q1166" s="89" t="s">
        <v>718</v>
      </c>
      <c r="R1166" s="89" t="s">
        <v>238</v>
      </c>
      <c r="S1166" s="30">
        <v>0</v>
      </c>
      <c r="T1166" s="233">
        <v>0</v>
      </c>
      <c r="U1166" s="30">
        <v>0</v>
      </c>
      <c r="V1166" s="233">
        <v>0</v>
      </c>
      <c r="W1166" s="30">
        <v>0</v>
      </c>
      <c r="X1166" s="30">
        <v>0</v>
      </c>
      <c r="Y1166" s="30">
        <v>0</v>
      </c>
      <c r="Z1166" s="233">
        <v>0</v>
      </c>
      <c r="AA1166" s="30">
        <v>0</v>
      </c>
      <c r="AB1166" s="30">
        <v>0</v>
      </c>
      <c r="AC1166" s="30">
        <v>0</v>
      </c>
      <c r="AD1166" s="30">
        <v>0</v>
      </c>
      <c r="AE1166" s="89" t="s">
        <v>68</v>
      </c>
      <c r="AF1166" s="89"/>
      <c r="AG1166" s="89" t="s">
        <v>133</v>
      </c>
      <c r="AH1166" s="72" t="s">
        <v>68</v>
      </c>
      <c r="AI1166" s="30">
        <v>6</v>
      </c>
      <c r="AJ1166" s="89" t="s">
        <v>6525</v>
      </c>
      <c r="AK1166" s="89" t="s">
        <v>6526</v>
      </c>
      <c r="AL1166" s="91">
        <v>40857</v>
      </c>
      <c r="AM1166" s="91"/>
      <c r="AN1166" s="91"/>
      <c r="AO1166" s="91"/>
      <c r="AP1166" s="73" t="e">
        <f>MID(VLOOKUP(K1166,#REF!,2,FALSE),1,2)</f>
        <v>#REF!</v>
      </c>
      <c r="AQ1166" s="89">
        <f>DATE(2011,9,10)</f>
        <v>40796</v>
      </c>
      <c r="AR1166" s="82">
        <f t="shared" si="78"/>
        <v>10</v>
      </c>
      <c r="AS1166" s="83">
        <f t="shared" si="79"/>
        <v>9</v>
      </c>
      <c r="AT1166" s="84">
        <f t="shared" si="80"/>
        <v>2011</v>
      </c>
      <c r="AU1166" s="86"/>
      <c r="AV1166" s="86"/>
      <c r="AW1166" s="87"/>
      <c r="AX1166" s="86"/>
      <c r="AY1166" s="83"/>
      <c r="AZ1166" s="84"/>
      <c r="BA1166" s="86"/>
      <c r="BB1166" s="86"/>
    </row>
    <row r="1167" spans="1:54" ht="36.75" customHeight="1">
      <c r="A1167" s="30"/>
      <c r="B1167" s="30" t="s">
        <v>55</v>
      </c>
      <c r="C1167" s="69" t="str">
        <f t="shared" si="77"/>
        <v>Closed</v>
      </c>
      <c r="D1167" s="27" t="s">
        <v>6527</v>
      </c>
      <c r="E1167" s="29" t="s">
        <v>6528</v>
      </c>
      <c r="F1167" s="30" t="s">
        <v>582</v>
      </c>
      <c r="G1167" s="89">
        <f>DATE(2011,9,11)</f>
        <v>40797</v>
      </c>
      <c r="H1167" s="90">
        <v>1.5874999999999999</v>
      </c>
      <c r="I1167" s="30" t="s">
        <v>156</v>
      </c>
      <c r="J1167" s="89" t="s">
        <v>6529</v>
      </c>
      <c r="K1167" s="30" t="s">
        <v>584</v>
      </c>
      <c r="L1167" s="30" t="s">
        <v>6530</v>
      </c>
      <c r="M1167" s="30" t="s">
        <v>63</v>
      </c>
      <c r="N1167" s="30" t="s">
        <v>142</v>
      </c>
      <c r="O1167" s="30" t="s">
        <v>64</v>
      </c>
      <c r="P1167" s="89" t="s">
        <v>65</v>
      </c>
      <c r="Q1167" s="89" t="s">
        <v>4830</v>
      </c>
      <c r="R1167" s="89" t="s">
        <v>587</v>
      </c>
      <c r="S1167" s="30">
        <v>0</v>
      </c>
      <c r="T1167" s="233">
        <v>0</v>
      </c>
      <c r="U1167" s="30">
        <v>0</v>
      </c>
      <c r="V1167" s="233">
        <v>0</v>
      </c>
      <c r="W1167" s="30">
        <v>0</v>
      </c>
      <c r="X1167" s="30">
        <v>0</v>
      </c>
      <c r="Y1167" s="30">
        <v>0</v>
      </c>
      <c r="Z1167" s="233">
        <v>0</v>
      </c>
      <c r="AA1167" s="30">
        <v>0</v>
      </c>
      <c r="AB1167" s="30">
        <v>0</v>
      </c>
      <c r="AC1167" s="30">
        <v>0</v>
      </c>
      <c r="AD1167" s="30">
        <v>0</v>
      </c>
      <c r="AE1167" s="89" t="s">
        <v>68</v>
      </c>
      <c r="AF1167" s="89"/>
      <c r="AG1167" s="89" t="s">
        <v>133</v>
      </c>
      <c r="AH1167" s="72">
        <v>40859</v>
      </c>
      <c r="AI1167" s="30">
        <v>2</v>
      </c>
      <c r="AJ1167" s="89" t="s">
        <v>6531</v>
      </c>
      <c r="AK1167" s="89" t="s">
        <v>1233</v>
      </c>
      <c r="AL1167" s="91">
        <v>40921</v>
      </c>
      <c r="AM1167" s="91"/>
      <c r="AN1167" s="91"/>
      <c r="AO1167" s="91"/>
      <c r="AP1167" s="73" t="e">
        <f>MID(VLOOKUP(K1167,#REF!,2,FALSE),1,2)</f>
        <v>#REF!</v>
      </c>
      <c r="AQ1167" s="89">
        <f>DATE(2011,9,11)</f>
        <v>40797</v>
      </c>
      <c r="AR1167" s="82">
        <f t="shared" si="78"/>
        <v>11</v>
      </c>
      <c r="AS1167" s="83">
        <f t="shared" si="79"/>
        <v>9</v>
      </c>
      <c r="AT1167" s="84">
        <f t="shared" si="80"/>
        <v>2011</v>
      </c>
      <c r="AU1167" s="86"/>
      <c r="AV1167" s="86"/>
      <c r="AW1167" s="87"/>
      <c r="AX1167" s="86"/>
      <c r="AY1167" s="83"/>
      <c r="AZ1167" s="84"/>
      <c r="BA1167" s="86"/>
      <c r="BB1167" s="86"/>
    </row>
    <row r="1168" spans="1:54" ht="36.75" customHeight="1">
      <c r="A1168" s="30"/>
      <c r="B1168" s="30" t="s">
        <v>55</v>
      </c>
      <c r="C1168" s="69" t="str">
        <f t="shared" si="77"/>
        <v>Closed</v>
      </c>
      <c r="D1168" s="27" t="s">
        <v>6532</v>
      </c>
      <c r="E1168" s="29" t="s">
        <v>6533</v>
      </c>
      <c r="F1168" s="30" t="s">
        <v>423</v>
      </c>
      <c r="G1168" s="89">
        <f>DATE(2011,9,12)</f>
        <v>40798</v>
      </c>
      <c r="H1168" s="90">
        <v>1.3284722222222223</v>
      </c>
      <c r="I1168" s="30" t="s">
        <v>73</v>
      </c>
      <c r="J1168" s="89" t="s">
        <v>6534</v>
      </c>
      <c r="K1168" s="30" t="s">
        <v>425</v>
      </c>
      <c r="L1168" s="30" t="s">
        <v>6535</v>
      </c>
      <c r="M1168" s="30" t="s">
        <v>63</v>
      </c>
      <c r="N1168" s="30" t="s">
        <v>89</v>
      </c>
      <c r="O1168" s="30" t="s">
        <v>77</v>
      </c>
      <c r="P1168" s="89" t="s">
        <v>91</v>
      </c>
      <c r="Q1168" s="89" t="s">
        <v>2582</v>
      </c>
      <c r="R1168" s="89" t="s">
        <v>3103</v>
      </c>
      <c r="S1168" s="30">
        <v>0</v>
      </c>
      <c r="T1168" s="233">
        <v>1</v>
      </c>
      <c r="U1168" s="30">
        <v>0</v>
      </c>
      <c r="V1168" s="233">
        <v>0</v>
      </c>
      <c r="W1168" s="30">
        <v>0</v>
      </c>
      <c r="X1168" s="30">
        <v>1</v>
      </c>
      <c r="Y1168" s="30">
        <v>0</v>
      </c>
      <c r="Z1168" s="233">
        <v>0</v>
      </c>
      <c r="AA1168" s="30">
        <v>0</v>
      </c>
      <c r="AB1168" s="30">
        <v>0</v>
      </c>
      <c r="AC1168" s="30">
        <v>0</v>
      </c>
      <c r="AD1168" s="30">
        <v>0</v>
      </c>
      <c r="AE1168" s="89" t="s">
        <v>92</v>
      </c>
      <c r="AF1168" s="89"/>
      <c r="AG1168" s="89" t="s">
        <v>133</v>
      </c>
      <c r="AH1168" s="72">
        <v>40800</v>
      </c>
      <c r="AI1168" s="30">
        <v>3</v>
      </c>
      <c r="AJ1168" s="89" t="s">
        <v>6536</v>
      </c>
      <c r="AK1168" s="89" t="s">
        <v>6537</v>
      </c>
      <c r="AL1168" s="91">
        <v>40800</v>
      </c>
      <c r="AM1168" s="91"/>
      <c r="AN1168" s="91"/>
      <c r="AO1168" s="91"/>
      <c r="AP1168" s="73" t="e">
        <f>MID(VLOOKUP(K1168,#REF!,2,FALSE),1,2)</f>
        <v>#REF!</v>
      </c>
      <c r="AQ1168" s="89">
        <f>DATE(2011,9,12)</f>
        <v>40798</v>
      </c>
      <c r="AR1168" s="82">
        <f t="shared" si="78"/>
        <v>12</v>
      </c>
      <c r="AS1168" s="83">
        <f t="shared" si="79"/>
        <v>9</v>
      </c>
      <c r="AT1168" s="84">
        <f t="shared" si="80"/>
        <v>2011</v>
      </c>
      <c r="AU1168" s="86"/>
      <c r="AV1168" s="86"/>
      <c r="AW1168" s="87"/>
      <c r="AX1168" s="86"/>
      <c r="AY1168" s="83"/>
      <c r="AZ1168" s="84"/>
      <c r="BA1168" s="86"/>
      <c r="BB1168" s="86"/>
    </row>
    <row r="1169" spans="1:54" ht="36.75" customHeight="1">
      <c r="A1169" s="30"/>
      <c r="B1169" s="30" t="s">
        <v>55</v>
      </c>
      <c r="C1169" s="69" t="str">
        <f t="shared" si="77"/>
        <v>Closed</v>
      </c>
      <c r="D1169" s="27" t="s">
        <v>6538</v>
      </c>
      <c r="E1169" s="29" t="s">
        <v>6539</v>
      </c>
      <c r="F1169" s="30" t="s">
        <v>835</v>
      </c>
      <c r="G1169" s="89">
        <f>DATE(2011,9,16)</f>
        <v>40802</v>
      </c>
      <c r="H1169" s="90">
        <v>1.6180555555555556</v>
      </c>
      <c r="I1169" s="30" t="s">
        <v>86</v>
      </c>
      <c r="J1169" s="89" t="s">
        <v>6540</v>
      </c>
      <c r="K1169" s="30" t="s">
        <v>837</v>
      </c>
      <c r="L1169" s="30" t="s">
        <v>6541</v>
      </c>
      <c r="M1169" s="30" t="s">
        <v>63</v>
      </c>
      <c r="N1169" s="30">
        <v>0</v>
      </c>
      <c r="O1169" s="30" t="s">
        <v>77</v>
      </c>
      <c r="P1169" s="89" t="s">
        <v>91</v>
      </c>
      <c r="Q1169" s="89" t="s">
        <v>2162</v>
      </c>
      <c r="R1169" s="89" t="s">
        <v>840</v>
      </c>
      <c r="S1169" s="30">
        <v>0</v>
      </c>
      <c r="T1169" s="233">
        <v>0</v>
      </c>
      <c r="U1169" s="30">
        <v>0</v>
      </c>
      <c r="V1169" s="233">
        <v>0</v>
      </c>
      <c r="W1169" s="30">
        <v>0</v>
      </c>
      <c r="X1169" s="30">
        <v>0</v>
      </c>
      <c r="Y1169" s="30">
        <v>0</v>
      </c>
      <c r="Z1169" s="233">
        <v>0</v>
      </c>
      <c r="AA1169" s="30">
        <v>0</v>
      </c>
      <c r="AB1169" s="30">
        <v>0</v>
      </c>
      <c r="AC1169" s="30">
        <v>0</v>
      </c>
      <c r="AD1169" s="30">
        <v>0</v>
      </c>
      <c r="AE1169" s="89" t="s">
        <v>92</v>
      </c>
      <c r="AF1169" s="89"/>
      <c r="AG1169" s="89" t="s">
        <v>352</v>
      </c>
      <c r="AH1169" s="72" t="s">
        <v>68</v>
      </c>
      <c r="AI1169" s="30">
        <v>0</v>
      </c>
      <c r="AJ1169" s="89" t="s">
        <v>6542</v>
      </c>
      <c r="AK1169" s="89" t="s">
        <v>68</v>
      </c>
      <c r="AL1169" s="91">
        <v>40820</v>
      </c>
      <c r="AM1169" s="91"/>
      <c r="AN1169" s="91"/>
      <c r="AO1169" s="91"/>
      <c r="AP1169" s="73" t="e">
        <f>MID(VLOOKUP(K1169,#REF!,2,FALSE),1,2)</f>
        <v>#REF!</v>
      </c>
      <c r="AQ1169" s="89">
        <f>DATE(2011,9,16)</f>
        <v>40802</v>
      </c>
      <c r="AR1169" s="82">
        <f t="shared" si="78"/>
        <v>16</v>
      </c>
      <c r="AS1169" s="83">
        <f t="shared" si="79"/>
        <v>9</v>
      </c>
      <c r="AT1169" s="84">
        <f t="shared" si="80"/>
        <v>2011</v>
      </c>
      <c r="AU1169" s="86"/>
      <c r="AV1169" s="86"/>
      <c r="AW1169" s="87"/>
      <c r="AX1169" s="86"/>
      <c r="AY1169" s="83"/>
      <c r="AZ1169" s="84"/>
      <c r="BA1169" s="86"/>
      <c r="BB1169" s="86"/>
    </row>
    <row r="1170" spans="1:54" ht="36.75" customHeight="1">
      <c r="A1170" s="30"/>
      <c r="B1170" s="30" t="s">
        <v>55</v>
      </c>
      <c r="C1170" s="69" t="str">
        <f t="shared" si="77"/>
        <v>Closed</v>
      </c>
      <c r="D1170" s="27" t="s">
        <v>6543</v>
      </c>
      <c r="E1170" s="29" t="s">
        <v>6544</v>
      </c>
      <c r="F1170" s="30" t="s">
        <v>835</v>
      </c>
      <c r="G1170" s="89">
        <f>DATE(2011,9,18)</f>
        <v>40804</v>
      </c>
      <c r="H1170" s="90">
        <v>1.9548611111111112</v>
      </c>
      <c r="I1170" s="30" t="s">
        <v>104</v>
      </c>
      <c r="J1170" s="89" t="s">
        <v>6545</v>
      </c>
      <c r="K1170" s="30" t="s">
        <v>837</v>
      </c>
      <c r="L1170" s="30" t="s">
        <v>6546</v>
      </c>
      <c r="M1170" s="30" t="s">
        <v>63</v>
      </c>
      <c r="N1170" s="30" t="s">
        <v>99</v>
      </c>
      <c r="O1170" s="30" t="s">
        <v>77</v>
      </c>
      <c r="P1170" s="89" t="s">
        <v>812</v>
      </c>
      <c r="Q1170" s="89" t="s">
        <v>4311</v>
      </c>
      <c r="R1170" s="89" t="s">
        <v>2797</v>
      </c>
      <c r="S1170" s="30">
        <v>0</v>
      </c>
      <c r="T1170" s="233">
        <v>0</v>
      </c>
      <c r="U1170" s="30">
        <v>0</v>
      </c>
      <c r="V1170" s="233">
        <v>0</v>
      </c>
      <c r="W1170" s="30">
        <v>0</v>
      </c>
      <c r="X1170" s="30">
        <v>0</v>
      </c>
      <c r="Y1170" s="30">
        <v>0</v>
      </c>
      <c r="Z1170" s="233">
        <v>0</v>
      </c>
      <c r="AA1170" s="30">
        <v>0</v>
      </c>
      <c r="AB1170" s="30">
        <v>0</v>
      </c>
      <c r="AC1170" s="30">
        <v>0</v>
      </c>
      <c r="AD1170" s="30">
        <v>0</v>
      </c>
      <c r="AE1170" s="89" t="s">
        <v>92</v>
      </c>
      <c r="AF1170" s="89"/>
      <c r="AG1170" s="89" t="s">
        <v>352</v>
      </c>
      <c r="AH1170" s="72">
        <v>40805</v>
      </c>
      <c r="AI1170" s="30">
        <v>2</v>
      </c>
      <c r="AJ1170" s="89" t="s">
        <v>6053</v>
      </c>
      <c r="AK1170" s="89" t="s">
        <v>6547</v>
      </c>
      <c r="AL1170" s="91">
        <v>40814</v>
      </c>
      <c r="AM1170" s="91"/>
      <c r="AN1170" s="91"/>
      <c r="AO1170" s="91"/>
      <c r="AP1170" s="73" t="e">
        <f>MID(VLOOKUP(K1170,#REF!,2,FALSE),1,2)</f>
        <v>#REF!</v>
      </c>
      <c r="AQ1170" s="89">
        <f>DATE(2011,9,18)</f>
        <v>40804</v>
      </c>
      <c r="AR1170" s="82">
        <f t="shared" si="78"/>
        <v>18</v>
      </c>
      <c r="AS1170" s="83">
        <f t="shared" si="79"/>
        <v>9</v>
      </c>
      <c r="AT1170" s="84">
        <f t="shared" si="80"/>
        <v>2011</v>
      </c>
      <c r="AU1170" s="86"/>
      <c r="AV1170" s="86"/>
      <c r="AW1170" s="87"/>
      <c r="AX1170" s="86"/>
      <c r="AY1170" s="83"/>
      <c r="AZ1170" s="84"/>
      <c r="BA1170" s="86"/>
      <c r="BB1170" s="86"/>
    </row>
    <row r="1171" spans="1:54" ht="36.75" customHeight="1">
      <c r="A1171" s="30"/>
      <c r="B1171" s="30" t="s">
        <v>55</v>
      </c>
      <c r="C1171" s="69" t="str">
        <f t="shared" si="77"/>
        <v>Closed</v>
      </c>
      <c r="D1171" s="27" t="s">
        <v>6548</v>
      </c>
      <c r="E1171" s="29" t="s">
        <v>6549</v>
      </c>
      <c r="F1171" s="30" t="s">
        <v>423</v>
      </c>
      <c r="G1171" s="89">
        <f>DATE(2011,9,19)</f>
        <v>40805</v>
      </c>
      <c r="H1171" s="90">
        <v>1.2583333333333333</v>
      </c>
      <c r="I1171" s="30" t="s">
        <v>198</v>
      </c>
      <c r="J1171" s="89" t="s">
        <v>6550</v>
      </c>
      <c r="K1171" s="30" t="s">
        <v>425</v>
      </c>
      <c r="L1171" s="30" t="s">
        <v>6551</v>
      </c>
      <c r="M1171" s="30" t="s">
        <v>255</v>
      </c>
      <c r="N1171" s="30" t="s">
        <v>142</v>
      </c>
      <c r="O1171" s="30" t="s">
        <v>77</v>
      </c>
      <c r="P1171" s="89" t="s">
        <v>6552</v>
      </c>
      <c r="Q1171" s="89" t="s">
        <v>6553</v>
      </c>
      <c r="R1171" s="89" t="s">
        <v>6554</v>
      </c>
      <c r="S1171" s="30">
        <v>0</v>
      </c>
      <c r="T1171" s="233">
        <v>0</v>
      </c>
      <c r="U1171" s="30">
        <v>0</v>
      </c>
      <c r="V1171" s="233">
        <v>0</v>
      </c>
      <c r="W1171" s="30">
        <v>0</v>
      </c>
      <c r="X1171" s="30">
        <v>0</v>
      </c>
      <c r="Y1171" s="30">
        <v>0</v>
      </c>
      <c r="Z1171" s="233">
        <v>0</v>
      </c>
      <c r="AA1171" s="30">
        <v>0</v>
      </c>
      <c r="AB1171" s="30">
        <v>0</v>
      </c>
      <c r="AC1171" s="30">
        <v>0</v>
      </c>
      <c r="AD1171" s="30">
        <v>0</v>
      </c>
      <c r="AE1171" s="89" t="s">
        <v>145</v>
      </c>
      <c r="AF1171" s="89"/>
      <c r="AG1171" s="89" t="s">
        <v>367</v>
      </c>
      <c r="AH1171" s="72">
        <v>40812</v>
      </c>
      <c r="AI1171" s="30">
        <v>3</v>
      </c>
      <c r="AJ1171" s="89" t="s">
        <v>6555</v>
      </c>
      <c r="AK1171" s="89" t="s">
        <v>712</v>
      </c>
      <c r="AL1171" s="91">
        <v>40812</v>
      </c>
      <c r="AM1171" s="91"/>
      <c r="AN1171" s="91"/>
      <c r="AO1171" s="91"/>
      <c r="AP1171" s="73" t="e">
        <f>MID(VLOOKUP(K1171,#REF!,2,FALSE),1,2)</f>
        <v>#REF!</v>
      </c>
      <c r="AQ1171" s="89">
        <f>DATE(2011,9,19)</f>
        <v>40805</v>
      </c>
      <c r="AR1171" s="82">
        <f t="shared" si="78"/>
        <v>19</v>
      </c>
      <c r="AS1171" s="83">
        <f t="shared" si="79"/>
        <v>9</v>
      </c>
      <c r="AT1171" s="84">
        <f t="shared" si="80"/>
        <v>2011</v>
      </c>
      <c r="AU1171" s="86"/>
      <c r="AV1171" s="86"/>
      <c r="AW1171" s="87"/>
      <c r="AX1171" s="86"/>
      <c r="AY1171" s="83"/>
      <c r="AZ1171" s="84"/>
      <c r="BA1171" s="86"/>
      <c r="BB1171" s="86"/>
    </row>
    <row r="1172" spans="1:54" ht="36.75" customHeight="1">
      <c r="A1172" s="30"/>
      <c r="B1172" s="30" t="s">
        <v>55</v>
      </c>
      <c r="C1172" s="69" t="str">
        <f t="shared" si="77"/>
        <v>Closed</v>
      </c>
      <c r="D1172" s="27" t="s">
        <v>6556</v>
      </c>
      <c r="E1172" s="29" t="s">
        <v>6557</v>
      </c>
      <c r="F1172" s="30" t="s">
        <v>835</v>
      </c>
      <c r="G1172" s="89">
        <f>DATE(2011,9,19)</f>
        <v>40805</v>
      </c>
      <c r="H1172" s="90">
        <v>1.8680555555555554</v>
      </c>
      <c r="I1172" s="30" t="s">
        <v>86</v>
      </c>
      <c r="J1172" s="89" t="s">
        <v>6558</v>
      </c>
      <c r="K1172" s="30" t="s">
        <v>837</v>
      </c>
      <c r="L1172" s="30" t="s">
        <v>6559</v>
      </c>
      <c r="M1172" s="30" t="s">
        <v>63</v>
      </c>
      <c r="N1172" s="30" t="s">
        <v>142</v>
      </c>
      <c r="O1172" s="30" t="s">
        <v>77</v>
      </c>
      <c r="P1172" s="89" t="s">
        <v>78</v>
      </c>
      <c r="Q1172" s="89" t="s">
        <v>6560</v>
      </c>
      <c r="R1172" s="89" t="s">
        <v>840</v>
      </c>
      <c r="S1172" s="30">
        <v>0</v>
      </c>
      <c r="T1172" s="233">
        <v>0</v>
      </c>
      <c r="U1172" s="30">
        <v>0</v>
      </c>
      <c r="V1172" s="233">
        <v>0</v>
      </c>
      <c r="W1172" s="30">
        <v>0</v>
      </c>
      <c r="X1172" s="30">
        <v>0</v>
      </c>
      <c r="Y1172" s="30">
        <v>0</v>
      </c>
      <c r="Z1172" s="233">
        <v>1</v>
      </c>
      <c r="AA1172" s="30">
        <v>0</v>
      </c>
      <c r="AB1172" s="30">
        <v>0</v>
      </c>
      <c r="AC1172" s="30">
        <v>0</v>
      </c>
      <c r="AD1172" s="30">
        <v>1</v>
      </c>
      <c r="AE1172" s="89" t="s">
        <v>68</v>
      </c>
      <c r="AF1172" s="89"/>
      <c r="AG1172" s="89" t="s">
        <v>352</v>
      </c>
      <c r="AH1172" s="72">
        <v>40806</v>
      </c>
      <c r="AI1172" s="30">
        <v>0</v>
      </c>
      <c r="AJ1172" s="89" t="s">
        <v>6561</v>
      </c>
      <c r="AK1172" s="89" t="s">
        <v>68</v>
      </c>
      <c r="AL1172" s="91">
        <v>40806</v>
      </c>
      <c r="AM1172" s="91"/>
      <c r="AN1172" s="91"/>
      <c r="AO1172" s="91"/>
      <c r="AP1172" s="73" t="e">
        <f>MID(VLOOKUP(K1172,#REF!,2,FALSE),1,2)</f>
        <v>#REF!</v>
      </c>
      <c r="AQ1172" s="89">
        <f>DATE(2011,9,19)</f>
        <v>40805</v>
      </c>
      <c r="AR1172" s="82">
        <f t="shared" si="78"/>
        <v>19</v>
      </c>
      <c r="AS1172" s="83">
        <f t="shared" si="79"/>
        <v>9</v>
      </c>
      <c r="AT1172" s="84">
        <f t="shared" si="80"/>
        <v>2011</v>
      </c>
      <c r="AU1172" s="86"/>
      <c r="AV1172" s="86"/>
      <c r="AW1172" s="87"/>
      <c r="AX1172" s="86"/>
      <c r="AY1172" s="83"/>
      <c r="AZ1172" s="84"/>
      <c r="BA1172" s="86"/>
      <c r="BB1172" s="86"/>
    </row>
    <row r="1173" spans="1:54" ht="36.75" customHeight="1">
      <c r="A1173" s="30"/>
      <c r="B1173" s="30" t="s">
        <v>55</v>
      </c>
      <c r="C1173" s="69" t="str">
        <f t="shared" si="77"/>
        <v>Closed</v>
      </c>
      <c r="D1173" s="27" t="s">
        <v>6562</v>
      </c>
      <c r="E1173" s="29" t="s">
        <v>6563</v>
      </c>
      <c r="F1173" s="30" t="s">
        <v>582</v>
      </c>
      <c r="G1173" s="89">
        <f>DATE(2011,9,20)</f>
        <v>40806</v>
      </c>
      <c r="H1173" s="90">
        <v>1.5499999999999998</v>
      </c>
      <c r="I1173" s="30" t="s">
        <v>116</v>
      </c>
      <c r="J1173" s="89" t="s">
        <v>6564</v>
      </c>
      <c r="K1173" s="30" t="s">
        <v>584</v>
      </c>
      <c r="L1173" s="30" t="s">
        <v>6565</v>
      </c>
      <c r="M1173" s="30" t="s">
        <v>63</v>
      </c>
      <c r="N1173" s="30" t="s">
        <v>142</v>
      </c>
      <c r="O1173" s="30" t="s">
        <v>64</v>
      </c>
      <c r="P1173" s="89" t="s">
        <v>165</v>
      </c>
      <c r="Q1173" s="89" t="s">
        <v>4487</v>
      </c>
      <c r="R1173" s="89" t="s">
        <v>587</v>
      </c>
      <c r="S1173" s="30">
        <v>0</v>
      </c>
      <c r="T1173" s="233">
        <v>0</v>
      </c>
      <c r="U1173" s="30">
        <v>0</v>
      </c>
      <c r="V1173" s="233">
        <v>0</v>
      </c>
      <c r="W1173" s="30">
        <v>0</v>
      </c>
      <c r="X1173" s="30">
        <v>0</v>
      </c>
      <c r="Y1173" s="30">
        <v>6</v>
      </c>
      <c r="Z1173" s="233">
        <v>0</v>
      </c>
      <c r="AA1173" s="30">
        <v>0</v>
      </c>
      <c r="AB1173" s="30">
        <v>0</v>
      </c>
      <c r="AC1173" s="30">
        <v>0</v>
      </c>
      <c r="AD1173" s="30">
        <v>6</v>
      </c>
      <c r="AE1173" s="89" t="s">
        <v>68</v>
      </c>
      <c r="AF1173" s="89"/>
      <c r="AG1173" s="89" t="s">
        <v>133</v>
      </c>
      <c r="AH1173" s="72">
        <v>40807</v>
      </c>
      <c r="AI1173" s="30">
        <v>0</v>
      </c>
      <c r="AJ1173" s="89" t="s">
        <v>6566</v>
      </c>
      <c r="AK1173" s="89" t="s">
        <v>1233</v>
      </c>
      <c r="AL1173" s="91">
        <v>40814</v>
      </c>
      <c r="AM1173" s="91"/>
      <c r="AN1173" s="91"/>
      <c r="AO1173" s="91"/>
      <c r="AP1173" s="73" t="e">
        <f>MID(VLOOKUP(K1173,#REF!,2,FALSE),1,2)</f>
        <v>#REF!</v>
      </c>
      <c r="AQ1173" s="89">
        <f>DATE(2011,9,20)</f>
        <v>40806</v>
      </c>
      <c r="AR1173" s="82">
        <f t="shared" si="78"/>
        <v>20</v>
      </c>
      <c r="AS1173" s="83">
        <f t="shared" si="79"/>
        <v>9</v>
      </c>
      <c r="AT1173" s="84">
        <f t="shared" si="80"/>
        <v>2011</v>
      </c>
      <c r="AU1173" s="86"/>
      <c r="AV1173" s="86"/>
      <c r="AW1173" s="87"/>
      <c r="AX1173" s="86"/>
      <c r="AY1173" s="83"/>
      <c r="AZ1173" s="84"/>
      <c r="BA1173" s="86"/>
      <c r="BB1173" s="86"/>
    </row>
    <row r="1174" spans="1:54" ht="36.75" customHeight="1">
      <c r="A1174" s="30"/>
      <c r="B1174" s="30" t="s">
        <v>55</v>
      </c>
      <c r="C1174" s="69" t="str">
        <f t="shared" si="77"/>
        <v>Closed</v>
      </c>
      <c r="D1174" s="27" t="s">
        <v>6567</v>
      </c>
      <c r="E1174" s="29" t="s">
        <v>6568</v>
      </c>
      <c r="F1174" s="30" t="s">
        <v>582</v>
      </c>
      <c r="G1174" s="89">
        <f>DATE(2011,9,21)</f>
        <v>40807</v>
      </c>
      <c r="H1174" s="90">
        <v>1.85</v>
      </c>
      <c r="I1174" s="30" t="s">
        <v>198</v>
      </c>
      <c r="J1174" s="89" t="s">
        <v>6569</v>
      </c>
      <c r="K1174" s="30" t="s">
        <v>584</v>
      </c>
      <c r="L1174" s="30" t="s">
        <v>6570</v>
      </c>
      <c r="M1174" s="30" t="s">
        <v>63</v>
      </c>
      <c r="N1174" s="30" t="s">
        <v>142</v>
      </c>
      <c r="O1174" s="30" t="s">
        <v>77</v>
      </c>
      <c r="P1174" s="89" t="s">
        <v>78</v>
      </c>
      <c r="Q1174" s="89" t="s">
        <v>6571</v>
      </c>
      <c r="R1174" s="89" t="s">
        <v>587</v>
      </c>
      <c r="S1174" s="30">
        <v>0</v>
      </c>
      <c r="T1174" s="233">
        <v>0</v>
      </c>
      <c r="U1174" s="30">
        <v>0</v>
      </c>
      <c r="V1174" s="233">
        <v>0</v>
      </c>
      <c r="W1174" s="30">
        <v>0</v>
      </c>
      <c r="X1174" s="30">
        <v>0</v>
      </c>
      <c r="Y1174" s="30">
        <v>0</v>
      </c>
      <c r="Z1174" s="233">
        <v>1</v>
      </c>
      <c r="AA1174" s="30">
        <v>0</v>
      </c>
      <c r="AB1174" s="30">
        <v>0</v>
      </c>
      <c r="AC1174" s="30">
        <v>0</v>
      </c>
      <c r="AD1174" s="30">
        <v>1</v>
      </c>
      <c r="AE1174" s="89" t="s">
        <v>68</v>
      </c>
      <c r="AF1174" s="89"/>
      <c r="AG1174" s="89" t="s">
        <v>82</v>
      </c>
      <c r="AH1174" s="72">
        <v>41539</v>
      </c>
      <c r="AI1174" s="30">
        <v>1</v>
      </c>
      <c r="AJ1174" s="89" t="s">
        <v>6572</v>
      </c>
      <c r="AK1174" s="89" t="s">
        <v>1233</v>
      </c>
      <c r="AL1174" s="91">
        <v>40808</v>
      </c>
      <c r="AM1174" s="91"/>
      <c r="AN1174" s="91"/>
      <c r="AO1174" s="91"/>
      <c r="AP1174" s="73" t="e">
        <f>MID(VLOOKUP(K1174,#REF!,2,FALSE),1,2)</f>
        <v>#REF!</v>
      </c>
      <c r="AQ1174" s="89">
        <f>DATE(2011,9,21)</f>
        <v>40807</v>
      </c>
      <c r="AR1174" s="82">
        <f t="shared" si="78"/>
        <v>21</v>
      </c>
      <c r="AS1174" s="83">
        <f t="shared" si="79"/>
        <v>9</v>
      </c>
      <c r="AT1174" s="84">
        <f t="shared" si="80"/>
        <v>2011</v>
      </c>
      <c r="AU1174" s="86"/>
      <c r="AV1174" s="86"/>
      <c r="AW1174" s="87"/>
      <c r="AX1174" s="86"/>
      <c r="AY1174" s="83"/>
      <c r="AZ1174" s="84"/>
      <c r="BA1174" s="86"/>
      <c r="BB1174" s="86"/>
    </row>
    <row r="1175" spans="1:54" ht="36.75" customHeight="1">
      <c r="A1175" s="30"/>
      <c r="B1175" s="30" t="s">
        <v>55</v>
      </c>
      <c r="C1175" s="69" t="str">
        <f t="shared" si="77"/>
        <v>Closed</v>
      </c>
      <c r="D1175" s="27" t="s">
        <v>6573</v>
      </c>
      <c r="E1175" s="29" t="s">
        <v>6574</v>
      </c>
      <c r="F1175" s="30" t="s">
        <v>835</v>
      </c>
      <c r="G1175" s="89">
        <f>DATE(2011,9,21)</f>
        <v>40807</v>
      </c>
      <c r="H1175" s="90">
        <v>1.2270833333333333</v>
      </c>
      <c r="I1175" s="30" t="s">
        <v>104</v>
      </c>
      <c r="J1175" s="89" t="s">
        <v>6575</v>
      </c>
      <c r="K1175" s="30" t="s">
        <v>837</v>
      </c>
      <c r="L1175" s="30" t="s">
        <v>5822</v>
      </c>
      <c r="M1175" s="30" t="s">
        <v>63</v>
      </c>
      <c r="N1175" s="30" t="s">
        <v>142</v>
      </c>
      <c r="O1175" s="30" t="s">
        <v>77</v>
      </c>
      <c r="P1175" s="89" t="s">
        <v>301</v>
      </c>
      <c r="Q1175" s="89" t="s">
        <v>6576</v>
      </c>
      <c r="R1175" s="89" t="s">
        <v>840</v>
      </c>
      <c r="S1175" s="30">
        <v>0</v>
      </c>
      <c r="T1175" s="233">
        <v>0</v>
      </c>
      <c r="U1175" s="30">
        <v>0</v>
      </c>
      <c r="V1175" s="233">
        <v>0</v>
      </c>
      <c r="W1175" s="30">
        <v>0</v>
      </c>
      <c r="X1175" s="30">
        <v>0</v>
      </c>
      <c r="Y1175" s="30">
        <v>0</v>
      </c>
      <c r="Z1175" s="233">
        <v>0</v>
      </c>
      <c r="AA1175" s="30">
        <v>0</v>
      </c>
      <c r="AB1175" s="30">
        <v>0</v>
      </c>
      <c r="AC1175" s="30">
        <v>0</v>
      </c>
      <c r="AD1175" s="30">
        <v>0</v>
      </c>
      <c r="AE1175" s="89" t="s">
        <v>92</v>
      </c>
      <c r="AF1175" s="89"/>
      <c r="AG1175" s="89" t="s">
        <v>352</v>
      </c>
      <c r="AH1175" s="72" t="s">
        <v>68</v>
      </c>
      <c r="AI1175" s="30">
        <v>0</v>
      </c>
      <c r="AJ1175" s="89" t="s">
        <v>6577</v>
      </c>
      <c r="AK1175" s="89" t="s">
        <v>68</v>
      </c>
      <c r="AL1175" s="91">
        <v>40814</v>
      </c>
      <c r="AM1175" s="91"/>
      <c r="AN1175" s="91"/>
      <c r="AO1175" s="91"/>
      <c r="AP1175" s="73" t="e">
        <f>MID(VLOOKUP(K1175,#REF!,2,FALSE),1,2)</f>
        <v>#REF!</v>
      </c>
      <c r="AQ1175" s="89">
        <f>DATE(2011,9,21)</f>
        <v>40807</v>
      </c>
      <c r="AR1175" s="82">
        <f t="shared" si="78"/>
        <v>21</v>
      </c>
      <c r="AS1175" s="83">
        <f t="shared" si="79"/>
        <v>9</v>
      </c>
      <c r="AT1175" s="84">
        <f t="shared" si="80"/>
        <v>2011</v>
      </c>
      <c r="AU1175" s="86"/>
      <c r="AV1175" s="86"/>
      <c r="AW1175" s="87"/>
      <c r="AX1175" s="86"/>
      <c r="AY1175" s="83"/>
      <c r="AZ1175" s="84"/>
      <c r="BA1175" s="86"/>
      <c r="BB1175" s="86"/>
    </row>
    <row r="1176" spans="1:54" ht="36.75" customHeight="1">
      <c r="A1176" s="30"/>
      <c r="B1176" s="30" t="s">
        <v>55</v>
      </c>
      <c r="C1176" s="69" t="str">
        <f t="shared" si="77"/>
        <v>Closed</v>
      </c>
      <c r="D1176" s="27" t="s">
        <v>6578</v>
      </c>
      <c r="E1176" s="29" t="s">
        <v>6579</v>
      </c>
      <c r="F1176" s="30" t="s">
        <v>835</v>
      </c>
      <c r="G1176" s="89">
        <f>DATE(2011,9,22)</f>
        <v>40808</v>
      </c>
      <c r="H1176" s="90">
        <v>1.2083333333333333</v>
      </c>
      <c r="I1176" s="30" t="s">
        <v>73</v>
      </c>
      <c r="J1176" s="89" t="s">
        <v>6580</v>
      </c>
      <c r="K1176" s="30" t="s">
        <v>837</v>
      </c>
      <c r="L1176" s="30" t="s">
        <v>6299</v>
      </c>
      <c r="M1176" s="30" t="s">
        <v>63</v>
      </c>
      <c r="N1176" s="30" t="s">
        <v>142</v>
      </c>
      <c r="O1176" s="30" t="s">
        <v>77</v>
      </c>
      <c r="P1176" s="89" t="s">
        <v>78</v>
      </c>
      <c r="Q1176" s="89" t="s">
        <v>6581</v>
      </c>
      <c r="R1176" s="89" t="s">
        <v>840</v>
      </c>
      <c r="S1176" s="30">
        <v>0</v>
      </c>
      <c r="T1176" s="233">
        <v>0</v>
      </c>
      <c r="U1176" s="30">
        <v>0</v>
      </c>
      <c r="V1176" s="233">
        <v>0</v>
      </c>
      <c r="W1176" s="30">
        <v>0</v>
      </c>
      <c r="X1176" s="30">
        <v>0</v>
      </c>
      <c r="Y1176" s="30">
        <v>0</v>
      </c>
      <c r="Z1176" s="233">
        <v>0</v>
      </c>
      <c r="AA1176" s="30">
        <v>0</v>
      </c>
      <c r="AB1176" s="30">
        <v>0</v>
      </c>
      <c r="AC1176" s="30">
        <v>0</v>
      </c>
      <c r="AD1176" s="30">
        <v>0</v>
      </c>
      <c r="AE1176" s="89" t="s">
        <v>92</v>
      </c>
      <c r="AF1176" s="89"/>
      <c r="AG1176" s="89" t="s">
        <v>352</v>
      </c>
      <c r="AH1176" s="72">
        <v>40814</v>
      </c>
      <c r="AI1176" s="30">
        <v>0</v>
      </c>
      <c r="AJ1176" s="89" t="s">
        <v>6582</v>
      </c>
      <c r="AK1176" s="89" t="s">
        <v>68</v>
      </c>
      <c r="AL1176" s="91">
        <v>40814</v>
      </c>
      <c r="AM1176" s="91"/>
      <c r="AN1176" s="91"/>
      <c r="AO1176" s="91"/>
      <c r="AP1176" s="73" t="e">
        <f>MID(VLOOKUP(K1176,#REF!,2,FALSE),1,2)</f>
        <v>#REF!</v>
      </c>
      <c r="AQ1176" s="89">
        <f>DATE(2011,9,22)</f>
        <v>40808</v>
      </c>
      <c r="AR1176" s="82">
        <f t="shared" si="78"/>
        <v>22</v>
      </c>
      <c r="AS1176" s="83">
        <f t="shared" si="79"/>
        <v>9</v>
      </c>
      <c r="AT1176" s="84">
        <f t="shared" si="80"/>
        <v>2011</v>
      </c>
      <c r="AU1176" s="86"/>
      <c r="AV1176" s="86"/>
      <c r="AW1176" s="87"/>
      <c r="AX1176" s="86"/>
      <c r="AY1176" s="83"/>
      <c r="AZ1176" s="84"/>
      <c r="BA1176" s="86"/>
      <c r="BB1176" s="86"/>
    </row>
    <row r="1177" spans="1:54" ht="36.75" customHeight="1">
      <c r="A1177" s="30"/>
      <c r="B1177" s="30" t="s">
        <v>55</v>
      </c>
      <c r="C1177" s="69" t="str">
        <f t="shared" si="77"/>
        <v>Closed</v>
      </c>
      <c r="D1177" s="27" t="s">
        <v>6583</v>
      </c>
      <c r="E1177" s="29" t="s">
        <v>6584</v>
      </c>
      <c r="F1177" s="30" t="s">
        <v>1572</v>
      </c>
      <c r="G1177" s="89">
        <f>DATE(2011,9,22)</f>
        <v>40808</v>
      </c>
      <c r="H1177" s="90">
        <v>1.3319444444444444</v>
      </c>
      <c r="I1177" s="30" t="s">
        <v>125</v>
      </c>
      <c r="J1177" s="89" t="s">
        <v>6585</v>
      </c>
      <c r="K1177" s="30" t="s">
        <v>1574</v>
      </c>
      <c r="L1177" s="30" t="s">
        <v>6586</v>
      </c>
      <c r="M1177" s="30" t="s">
        <v>63</v>
      </c>
      <c r="N1177" s="30" t="s">
        <v>142</v>
      </c>
      <c r="O1177" s="30" t="s">
        <v>64</v>
      </c>
      <c r="P1177" s="89" t="s">
        <v>65</v>
      </c>
      <c r="Q1177" s="89" t="s">
        <v>2413</v>
      </c>
      <c r="R1177" s="89">
        <v>0</v>
      </c>
      <c r="S1177" s="30">
        <v>0</v>
      </c>
      <c r="T1177" s="233">
        <v>0</v>
      </c>
      <c r="U1177" s="30">
        <v>0</v>
      </c>
      <c r="V1177" s="233">
        <v>0</v>
      </c>
      <c r="W1177" s="30">
        <v>0</v>
      </c>
      <c r="X1177" s="30">
        <v>0</v>
      </c>
      <c r="Y1177" s="30">
        <v>0</v>
      </c>
      <c r="Z1177" s="233">
        <v>0</v>
      </c>
      <c r="AA1177" s="30">
        <v>0</v>
      </c>
      <c r="AB1177" s="30">
        <v>0</v>
      </c>
      <c r="AC1177" s="30">
        <v>0</v>
      </c>
      <c r="AD1177" s="30">
        <v>0</v>
      </c>
      <c r="AE1177" s="89" t="s">
        <v>92</v>
      </c>
      <c r="AF1177" s="89"/>
      <c r="AG1177" s="89" t="s">
        <v>133</v>
      </c>
      <c r="AH1177" s="72">
        <v>40808</v>
      </c>
      <c r="AI1177" s="30">
        <v>0</v>
      </c>
      <c r="AJ1177" s="89" t="s">
        <v>6587</v>
      </c>
      <c r="AK1177" s="89" t="s">
        <v>1233</v>
      </c>
      <c r="AL1177" s="91">
        <v>40812</v>
      </c>
      <c r="AM1177" s="91"/>
      <c r="AN1177" s="91"/>
      <c r="AO1177" s="91"/>
      <c r="AP1177" s="73" t="e">
        <f>MID(VLOOKUP(K1177,#REF!,2,FALSE),1,2)</f>
        <v>#REF!</v>
      </c>
      <c r="AQ1177" s="89">
        <f>DATE(2011,9,22)</f>
        <v>40808</v>
      </c>
      <c r="AR1177" s="82">
        <f t="shared" si="78"/>
        <v>22</v>
      </c>
      <c r="AS1177" s="83">
        <f t="shared" si="79"/>
        <v>9</v>
      </c>
      <c r="AT1177" s="84">
        <f t="shared" si="80"/>
        <v>2011</v>
      </c>
      <c r="AU1177" s="86"/>
      <c r="AV1177" s="86"/>
      <c r="AW1177" s="87"/>
      <c r="AX1177" s="86"/>
      <c r="AY1177" s="83"/>
      <c r="AZ1177" s="84"/>
      <c r="BA1177" s="86"/>
      <c r="BB1177" s="86"/>
    </row>
    <row r="1178" spans="1:54" ht="36.75" customHeight="1">
      <c r="A1178" s="30"/>
      <c r="B1178" s="30" t="s">
        <v>2124</v>
      </c>
      <c r="C1178" s="69" t="str">
        <f t="shared" si="77"/>
        <v>Open</v>
      </c>
      <c r="D1178" s="27" t="s">
        <v>6588</v>
      </c>
      <c r="E1178" s="29" t="s">
        <v>6589</v>
      </c>
      <c r="F1178" s="30" t="s">
        <v>3148</v>
      </c>
      <c r="G1178" s="89">
        <f>DATE(2011,9,23)</f>
        <v>40809</v>
      </c>
      <c r="H1178" s="90">
        <v>1.4458333333333333</v>
      </c>
      <c r="I1178" s="30" t="s">
        <v>278</v>
      </c>
      <c r="J1178" s="89" t="s">
        <v>6590</v>
      </c>
      <c r="K1178" s="30" t="s">
        <v>3150</v>
      </c>
      <c r="L1178" s="30" t="s">
        <v>6591</v>
      </c>
      <c r="M1178" s="30" t="s">
        <v>63</v>
      </c>
      <c r="N1178" s="30">
        <v>0</v>
      </c>
      <c r="O1178" s="30" t="s">
        <v>77</v>
      </c>
      <c r="P1178" s="89" t="s">
        <v>78</v>
      </c>
      <c r="Q1178" s="89" t="s">
        <v>4529</v>
      </c>
      <c r="R1178" s="89" t="s">
        <v>3153</v>
      </c>
      <c r="S1178" s="30">
        <v>1</v>
      </c>
      <c r="T1178" s="233">
        <v>0</v>
      </c>
      <c r="U1178" s="30">
        <v>0</v>
      </c>
      <c r="V1178" s="233">
        <v>0</v>
      </c>
      <c r="W1178" s="30">
        <v>0</v>
      </c>
      <c r="X1178" s="30">
        <v>1</v>
      </c>
      <c r="Y1178" s="30">
        <v>0</v>
      </c>
      <c r="Z1178" s="233">
        <v>0</v>
      </c>
      <c r="AA1178" s="30">
        <v>0</v>
      </c>
      <c r="AB1178" s="30">
        <v>0</v>
      </c>
      <c r="AC1178" s="30">
        <v>0</v>
      </c>
      <c r="AD1178" s="30">
        <v>0</v>
      </c>
      <c r="AE1178" s="89" t="s">
        <v>68</v>
      </c>
      <c r="AF1178" s="89"/>
      <c r="AG1178" s="89" t="s">
        <v>133</v>
      </c>
      <c r="AH1178" s="72" t="s">
        <v>68</v>
      </c>
      <c r="AI1178" s="30">
        <v>0</v>
      </c>
      <c r="AJ1178" s="89" t="s">
        <v>68</v>
      </c>
      <c r="AK1178" s="89" t="s">
        <v>68</v>
      </c>
      <c r="AL1178" s="91">
        <v>40815</v>
      </c>
      <c r="AM1178" s="91"/>
      <c r="AN1178" s="91"/>
      <c r="AO1178" s="91"/>
      <c r="AP1178" s="73" t="e">
        <f>MID(VLOOKUP(K1178,#REF!,2,FALSE),1,2)</f>
        <v>#REF!</v>
      </c>
      <c r="AQ1178" s="89">
        <f>DATE(2011,9,23)</f>
        <v>40809</v>
      </c>
      <c r="AR1178" s="82">
        <f t="shared" si="78"/>
        <v>23</v>
      </c>
      <c r="AS1178" s="83">
        <f t="shared" si="79"/>
        <v>9</v>
      </c>
      <c r="AT1178" s="84">
        <f t="shared" si="80"/>
        <v>2011</v>
      </c>
      <c r="AU1178" s="86"/>
      <c r="AV1178" s="86"/>
      <c r="AW1178" s="87"/>
      <c r="AX1178" s="86"/>
      <c r="AY1178" s="83"/>
      <c r="AZ1178" s="84"/>
      <c r="BA1178" s="86"/>
      <c r="BB1178" s="86"/>
    </row>
    <row r="1179" spans="1:54" ht="36.75" customHeight="1">
      <c r="A1179" s="30"/>
      <c r="B1179" s="30" t="s">
        <v>55</v>
      </c>
      <c r="C1179" s="69" t="str">
        <f t="shared" si="77"/>
        <v>Closed</v>
      </c>
      <c r="D1179" s="27" t="s">
        <v>6592</v>
      </c>
      <c r="E1179" s="29" t="s">
        <v>6593</v>
      </c>
      <c r="F1179" s="30" t="s">
        <v>233</v>
      </c>
      <c r="G1179" s="89">
        <f>DATE(2011,9,23)</f>
        <v>40809</v>
      </c>
      <c r="H1179" s="90">
        <v>1.2250000000000001</v>
      </c>
      <c r="I1179" s="30" t="s">
        <v>86</v>
      </c>
      <c r="J1179" s="89" t="s">
        <v>6594</v>
      </c>
      <c r="K1179" s="30" t="s">
        <v>235</v>
      </c>
      <c r="L1179" s="30" t="s">
        <v>6595</v>
      </c>
      <c r="M1179" s="30" t="s">
        <v>63</v>
      </c>
      <c r="N1179" s="30" t="s">
        <v>142</v>
      </c>
      <c r="O1179" s="30" t="s">
        <v>64</v>
      </c>
      <c r="P1179" s="89" t="s">
        <v>301</v>
      </c>
      <c r="Q1179" s="89" t="s">
        <v>1664</v>
      </c>
      <c r="R1179" s="89" t="s">
        <v>238</v>
      </c>
      <c r="S1179" s="30">
        <v>0</v>
      </c>
      <c r="T1179" s="233">
        <v>0</v>
      </c>
      <c r="U1179" s="30">
        <v>0</v>
      </c>
      <c r="V1179" s="233">
        <v>0</v>
      </c>
      <c r="W1179" s="30">
        <v>0</v>
      </c>
      <c r="X1179" s="30">
        <v>0</v>
      </c>
      <c r="Y1179" s="30">
        <v>0</v>
      </c>
      <c r="Z1179" s="233">
        <v>0</v>
      </c>
      <c r="AA1179" s="30">
        <v>0</v>
      </c>
      <c r="AB1179" s="30">
        <v>0</v>
      </c>
      <c r="AC1179" s="30">
        <v>0</v>
      </c>
      <c r="AD1179" s="30">
        <v>0</v>
      </c>
      <c r="AE1179" s="89" t="s">
        <v>92</v>
      </c>
      <c r="AF1179" s="89"/>
      <c r="AG1179" s="89" t="s">
        <v>133</v>
      </c>
      <c r="AH1179" s="72" t="s">
        <v>68</v>
      </c>
      <c r="AI1179" s="30">
        <v>9</v>
      </c>
      <c r="AJ1179" s="89" t="s">
        <v>6596</v>
      </c>
      <c r="AK1179" s="89" t="s">
        <v>6597</v>
      </c>
      <c r="AL1179" s="91">
        <v>40827</v>
      </c>
      <c r="AM1179" s="91"/>
      <c r="AN1179" s="91"/>
      <c r="AO1179" s="91"/>
      <c r="AP1179" s="73" t="e">
        <f>MID(VLOOKUP(K1179,#REF!,2,FALSE),1,2)</f>
        <v>#REF!</v>
      </c>
      <c r="AQ1179" s="89">
        <f>DATE(2011,9,23)</f>
        <v>40809</v>
      </c>
      <c r="AR1179" s="82">
        <f t="shared" si="78"/>
        <v>23</v>
      </c>
      <c r="AS1179" s="83">
        <f t="shared" si="79"/>
        <v>9</v>
      </c>
      <c r="AT1179" s="84">
        <f t="shared" si="80"/>
        <v>2011</v>
      </c>
      <c r="AU1179" s="86"/>
      <c r="AV1179" s="86"/>
      <c r="AW1179" s="87"/>
      <c r="AX1179" s="86"/>
      <c r="AY1179" s="83"/>
      <c r="AZ1179" s="84"/>
      <c r="BA1179" s="86"/>
      <c r="BB1179" s="86"/>
    </row>
    <row r="1180" spans="1:54" ht="36.75" customHeight="1">
      <c r="A1180" s="30"/>
      <c r="B1180" s="30" t="s">
        <v>55</v>
      </c>
      <c r="C1180" s="69" t="str">
        <f t="shared" si="77"/>
        <v>Closed</v>
      </c>
      <c r="D1180" s="27" t="s">
        <v>6598</v>
      </c>
      <c r="E1180" s="29" t="s">
        <v>6599</v>
      </c>
      <c r="F1180" s="30" t="s">
        <v>377</v>
      </c>
      <c r="G1180" s="89">
        <f>DATE(2011,9,24)</f>
        <v>40810</v>
      </c>
      <c r="H1180" s="90">
        <v>1.5513888888888889</v>
      </c>
      <c r="I1180" s="30" t="s">
        <v>6600</v>
      </c>
      <c r="J1180" s="89" t="s">
        <v>6601</v>
      </c>
      <c r="K1180" s="30" t="s">
        <v>379</v>
      </c>
      <c r="L1180" s="30" t="s">
        <v>6602</v>
      </c>
      <c r="M1180" s="30" t="s">
        <v>63</v>
      </c>
      <c r="N1180" s="30" t="s">
        <v>142</v>
      </c>
      <c r="O1180" s="30" t="s">
        <v>64</v>
      </c>
      <c r="P1180" s="89" t="s">
        <v>65</v>
      </c>
      <c r="Q1180" s="89" t="s">
        <v>2906</v>
      </c>
      <c r="R1180" s="89" t="s">
        <v>382</v>
      </c>
      <c r="S1180" s="30">
        <v>0</v>
      </c>
      <c r="T1180" s="233">
        <v>0</v>
      </c>
      <c r="U1180" s="30">
        <v>0</v>
      </c>
      <c r="V1180" s="233">
        <v>0</v>
      </c>
      <c r="W1180" s="30">
        <v>0</v>
      </c>
      <c r="X1180" s="30">
        <v>0</v>
      </c>
      <c r="Y1180" s="30">
        <v>0</v>
      </c>
      <c r="Z1180" s="233">
        <v>0</v>
      </c>
      <c r="AA1180" s="30">
        <v>0</v>
      </c>
      <c r="AB1180" s="30">
        <v>0</v>
      </c>
      <c r="AC1180" s="30">
        <v>0</v>
      </c>
      <c r="AD1180" s="30">
        <v>0</v>
      </c>
      <c r="AE1180" s="89" t="s">
        <v>92</v>
      </c>
      <c r="AF1180" s="89"/>
      <c r="AG1180" s="89" t="s">
        <v>133</v>
      </c>
      <c r="AH1180" s="72">
        <v>41178</v>
      </c>
      <c r="AI1180" s="30">
        <v>1</v>
      </c>
      <c r="AJ1180" s="89" t="s">
        <v>6603</v>
      </c>
      <c r="AK1180" s="89" t="s">
        <v>6604</v>
      </c>
      <c r="AL1180" s="91">
        <v>40815</v>
      </c>
      <c r="AM1180" s="91"/>
      <c r="AN1180" s="91"/>
      <c r="AO1180" s="91"/>
      <c r="AP1180" s="73" t="e">
        <f>MID(VLOOKUP(K1180,#REF!,2,FALSE),1,2)</f>
        <v>#REF!</v>
      </c>
      <c r="AQ1180" s="89">
        <f>DATE(2011,9,24)</f>
        <v>40810</v>
      </c>
      <c r="AR1180" s="82">
        <f t="shared" si="78"/>
        <v>24</v>
      </c>
      <c r="AS1180" s="83">
        <f t="shared" si="79"/>
        <v>9</v>
      </c>
      <c r="AT1180" s="84">
        <f t="shared" si="80"/>
        <v>2011</v>
      </c>
      <c r="AU1180" s="86"/>
      <c r="AV1180" s="86"/>
      <c r="AW1180" s="87"/>
      <c r="AX1180" s="86"/>
      <c r="AY1180" s="83"/>
      <c r="AZ1180" s="84"/>
      <c r="BA1180" s="86"/>
      <c r="BB1180" s="86"/>
    </row>
    <row r="1181" spans="1:54" ht="36.75" customHeight="1">
      <c r="A1181" s="30"/>
      <c r="B1181" s="30" t="s">
        <v>55</v>
      </c>
      <c r="C1181" s="69" t="str">
        <f t="shared" si="77"/>
        <v>Closed</v>
      </c>
      <c r="D1181" s="27" t="s">
        <v>6605</v>
      </c>
      <c r="E1181" s="29" t="s">
        <v>6606</v>
      </c>
      <c r="F1181" s="30" t="s">
        <v>233</v>
      </c>
      <c r="G1181" s="89">
        <f>DATE(2011,9,25)</f>
        <v>40811</v>
      </c>
      <c r="H1181" s="90">
        <v>1.4340277777777777</v>
      </c>
      <c r="I1181" s="30" t="s">
        <v>156</v>
      </c>
      <c r="J1181" s="89" t="s">
        <v>6607</v>
      </c>
      <c r="K1181" s="30" t="s">
        <v>235</v>
      </c>
      <c r="L1181" s="30" t="s">
        <v>6608</v>
      </c>
      <c r="M1181" s="30" t="s">
        <v>63</v>
      </c>
      <c r="N1181" s="30">
        <v>0</v>
      </c>
      <c r="O1181" s="30" t="s">
        <v>64</v>
      </c>
      <c r="P1181" s="89" t="s">
        <v>165</v>
      </c>
      <c r="Q1181" s="89" t="s">
        <v>6103</v>
      </c>
      <c r="R1181" s="89" t="s">
        <v>238</v>
      </c>
      <c r="S1181" s="30">
        <v>0</v>
      </c>
      <c r="T1181" s="233">
        <v>0</v>
      </c>
      <c r="U1181" s="30">
        <v>0</v>
      </c>
      <c r="V1181" s="233">
        <v>0</v>
      </c>
      <c r="W1181" s="30">
        <v>0</v>
      </c>
      <c r="X1181" s="30">
        <v>0</v>
      </c>
      <c r="Y1181" s="30">
        <v>0</v>
      </c>
      <c r="Z1181" s="233">
        <v>1</v>
      </c>
      <c r="AA1181" s="30">
        <v>1</v>
      </c>
      <c r="AB1181" s="30">
        <v>0</v>
      </c>
      <c r="AC1181" s="30">
        <v>0</v>
      </c>
      <c r="AD1181" s="30">
        <v>2</v>
      </c>
      <c r="AE1181" s="89" t="s">
        <v>68</v>
      </c>
      <c r="AF1181" s="89"/>
      <c r="AG1181" s="89" t="s">
        <v>133</v>
      </c>
      <c r="AH1181" s="72" t="s">
        <v>68</v>
      </c>
      <c r="AI1181" s="30">
        <v>0</v>
      </c>
      <c r="AJ1181" s="89" t="s">
        <v>6609</v>
      </c>
      <c r="AK1181" s="89" t="s">
        <v>68</v>
      </c>
      <c r="AL1181" s="91">
        <v>41001</v>
      </c>
      <c r="AM1181" s="91"/>
      <c r="AN1181" s="91"/>
      <c r="AO1181" s="91"/>
      <c r="AP1181" s="73" t="e">
        <f>MID(VLOOKUP(K1181,#REF!,2,FALSE),1,2)</f>
        <v>#REF!</v>
      </c>
      <c r="AQ1181" s="89">
        <f>DATE(2011,9,25)</f>
        <v>40811</v>
      </c>
      <c r="AR1181" s="82">
        <f t="shared" si="78"/>
        <v>25</v>
      </c>
      <c r="AS1181" s="83">
        <f t="shared" si="79"/>
        <v>9</v>
      </c>
      <c r="AT1181" s="84">
        <f t="shared" si="80"/>
        <v>2011</v>
      </c>
      <c r="AU1181" s="86"/>
      <c r="AV1181" s="86"/>
      <c r="AW1181" s="87"/>
      <c r="AX1181" s="86"/>
      <c r="AY1181" s="83"/>
      <c r="AZ1181" s="84"/>
      <c r="BA1181" s="86"/>
      <c r="BB1181" s="86"/>
    </row>
    <row r="1182" spans="1:54" ht="36.75" customHeight="1">
      <c r="A1182" s="30"/>
      <c r="B1182" s="30" t="s">
        <v>55</v>
      </c>
      <c r="C1182" s="69" t="str">
        <f t="shared" si="77"/>
        <v>Closed</v>
      </c>
      <c r="D1182" s="27" t="s">
        <v>6610</v>
      </c>
      <c r="E1182" s="29" t="s">
        <v>6611</v>
      </c>
      <c r="F1182" s="30" t="s">
        <v>197</v>
      </c>
      <c r="G1182" s="89">
        <f>DATE(2011,9,29)</f>
        <v>40815</v>
      </c>
      <c r="H1182" s="90">
        <v>1.6034722222222222</v>
      </c>
      <c r="I1182" s="30" t="s">
        <v>73</v>
      </c>
      <c r="J1182" s="89" t="s">
        <v>6612</v>
      </c>
      <c r="K1182" s="30" t="s">
        <v>200</v>
      </c>
      <c r="L1182" s="30" t="s">
        <v>6613</v>
      </c>
      <c r="M1182" s="30" t="s">
        <v>63</v>
      </c>
      <c r="N1182" s="30" t="s">
        <v>99</v>
      </c>
      <c r="O1182" s="30" t="s">
        <v>64</v>
      </c>
      <c r="P1182" s="89" t="s">
        <v>78</v>
      </c>
      <c r="Q1182" s="89" t="s">
        <v>1716</v>
      </c>
      <c r="R1182" s="89" t="s">
        <v>203</v>
      </c>
      <c r="S1182" s="30">
        <v>0</v>
      </c>
      <c r="T1182" s="233">
        <v>0</v>
      </c>
      <c r="U1182" s="30">
        <v>0</v>
      </c>
      <c r="V1182" s="233">
        <v>0</v>
      </c>
      <c r="W1182" s="30">
        <v>0</v>
      </c>
      <c r="X1182" s="30">
        <v>0</v>
      </c>
      <c r="Y1182" s="30">
        <v>0</v>
      </c>
      <c r="Z1182" s="233">
        <v>0</v>
      </c>
      <c r="AA1182" s="30">
        <v>0</v>
      </c>
      <c r="AB1182" s="30">
        <v>0</v>
      </c>
      <c r="AC1182" s="30">
        <v>0</v>
      </c>
      <c r="AD1182" s="30">
        <v>0</v>
      </c>
      <c r="AE1182" s="89" t="s">
        <v>394</v>
      </c>
      <c r="AF1182" s="89"/>
      <c r="AG1182" s="89" t="s">
        <v>133</v>
      </c>
      <c r="AH1182" s="72">
        <v>40815</v>
      </c>
      <c r="AI1182" s="30">
        <v>4</v>
      </c>
      <c r="AJ1182" s="89" t="s">
        <v>6614</v>
      </c>
      <c r="AK1182" s="89" t="s">
        <v>68</v>
      </c>
      <c r="AL1182" s="91">
        <v>41115</v>
      </c>
      <c r="AM1182" s="91"/>
      <c r="AN1182" s="91"/>
      <c r="AO1182" s="91"/>
      <c r="AP1182" s="73" t="e">
        <f>MID(VLOOKUP(K1182,#REF!,2,FALSE),1,2)</f>
        <v>#REF!</v>
      </c>
      <c r="AQ1182" s="89">
        <f>DATE(2011,9,29)</f>
        <v>40815</v>
      </c>
      <c r="AR1182" s="82">
        <f t="shared" si="78"/>
        <v>29</v>
      </c>
      <c r="AS1182" s="83">
        <f t="shared" si="79"/>
        <v>9</v>
      </c>
      <c r="AT1182" s="84">
        <f t="shared" si="80"/>
        <v>2011</v>
      </c>
      <c r="AU1182" s="86"/>
      <c r="AV1182" s="86"/>
      <c r="AW1182" s="87"/>
      <c r="AX1182" s="86"/>
      <c r="AY1182" s="83"/>
      <c r="AZ1182" s="84"/>
      <c r="BA1182" s="86"/>
      <c r="BB1182" s="86"/>
    </row>
    <row r="1183" spans="1:54" ht="36.75" customHeight="1">
      <c r="A1183" s="30"/>
      <c r="B1183" s="30" t="s">
        <v>55</v>
      </c>
      <c r="C1183" s="69" t="str">
        <f t="shared" si="77"/>
        <v>Closed</v>
      </c>
      <c r="D1183" s="27" t="s">
        <v>6615</v>
      </c>
      <c r="E1183" s="29" t="s">
        <v>6616</v>
      </c>
      <c r="F1183" s="30" t="s">
        <v>423</v>
      </c>
      <c r="G1183" s="89">
        <f>DATE(2011,9,29)</f>
        <v>40815</v>
      </c>
      <c r="H1183" s="90">
        <v>1.6041666666666665</v>
      </c>
      <c r="I1183" s="30" t="s">
        <v>156</v>
      </c>
      <c r="J1183" s="89" t="s">
        <v>6617</v>
      </c>
      <c r="K1183" s="30" t="s">
        <v>425</v>
      </c>
      <c r="L1183" s="30" t="s">
        <v>6618</v>
      </c>
      <c r="M1183" s="30" t="s">
        <v>63</v>
      </c>
      <c r="N1183" s="30">
        <v>0</v>
      </c>
      <c r="O1183" s="30" t="s">
        <v>86</v>
      </c>
      <c r="P1183" s="89" t="s">
        <v>91</v>
      </c>
      <c r="Q1183" s="89" t="s">
        <v>6619</v>
      </c>
      <c r="R1183" s="89">
        <v>0</v>
      </c>
      <c r="S1183" s="30">
        <v>0</v>
      </c>
      <c r="T1183" s="233">
        <v>1</v>
      </c>
      <c r="U1183" s="30">
        <v>0</v>
      </c>
      <c r="V1183" s="233">
        <v>0</v>
      </c>
      <c r="W1183" s="30">
        <v>0</v>
      </c>
      <c r="X1183" s="30">
        <v>1</v>
      </c>
      <c r="Y1183" s="30">
        <v>0</v>
      </c>
      <c r="Z1183" s="233">
        <v>0</v>
      </c>
      <c r="AA1183" s="30">
        <v>0</v>
      </c>
      <c r="AB1183" s="30">
        <v>0</v>
      </c>
      <c r="AC1183" s="30">
        <v>0</v>
      </c>
      <c r="AD1183" s="30">
        <v>0</v>
      </c>
      <c r="AE1183" s="89" t="s">
        <v>68</v>
      </c>
      <c r="AF1183" s="89"/>
      <c r="AG1183" s="89" t="s">
        <v>1417</v>
      </c>
      <c r="AH1183" s="72" t="s">
        <v>68</v>
      </c>
      <c r="AI1183" s="30">
        <v>0</v>
      </c>
      <c r="AJ1183" s="89" t="s">
        <v>68</v>
      </c>
      <c r="AK1183" s="89" t="s">
        <v>712</v>
      </c>
      <c r="AL1183" s="91">
        <v>40826</v>
      </c>
      <c r="AM1183" s="91"/>
      <c r="AN1183" s="91"/>
      <c r="AO1183" s="91"/>
      <c r="AP1183" s="73" t="e">
        <f>MID(VLOOKUP(K1183,#REF!,2,FALSE),1,2)</f>
        <v>#REF!</v>
      </c>
      <c r="AQ1183" s="89">
        <f>DATE(2011,9,29)</f>
        <v>40815</v>
      </c>
      <c r="AR1183" s="82">
        <f t="shared" si="78"/>
        <v>29</v>
      </c>
      <c r="AS1183" s="83">
        <f t="shared" si="79"/>
        <v>9</v>
      </c>
      <c r="AT1183" s="84">
        <f t="shared" si="80"/>
        <v>2011</v>
      </c>
      <c r="AU1183" s="86"/>
      <c r="AV1183" s="86"/>
      <c r="AW1183" s="87"/>
      <c r="AX1183" s="86"/>
      <c r="AY1183" s="83"/>
      <c r="AZ1183" s="84"/>
      <c r="BA1183" s="86"/>
      <c r="BB1183" s="86"/>
    </row>
    <row r="1184" spans="1:54" ht="36.75" customHeight="1">
      <c r="A1184" s="30"/>
      <c r="B1184" s="30" t="s">
        <v>55</v>
      </c>
      <c r="C1184" s="69" t="str">
        <f t="shared" si="77"/>
        <v>Closed</v>
      </c>
      <c r="D1184" s="27" t="s">
        <v>6620</v>
      </c>
      <c r="E1184" s="29" t="s">
        <v>6621</v>
      </c>
      <c r="F1184" s="30" t="s">
        <v>1938</v>
      </c>
      <c r="G1184" s="89">
        <f>DATE(2011,9,29)</f>
        <v>40815</v>
      </c>
      <c r="H1184" s="90">
        <v>1.4583333333333333</v>
      </c>
      <c r="I1184" s="30" t="s">
        <v>86</v>
      </c>
      <c r="J1184" s="89" t="s">
        <v>6622</v>
      </c>
      <c r="K1184" s="30" t="s">
        <v>1940</v>
      </c>
      <c r="L1184" s="30" t="s">
        <v>6623</v>
      </c>
      <c r="M1184" s="30" t="s">
        <v>63</v>
      </c>
      <c r="N1184" s="30">
        <v>0</v>
      </c>
      <c r="O1184" s="30" t="s">
        <v>77</v>
      </c>
      <c r="P1184" s="89" t="s">
        <v>381</v>
      </c>
      <c r="Q1184" s="89" t="s">
        <v>1942</v>
      </c>
      <c r="R1184" s="89" t="s">
        <v>1942</v>
      </c>
      <c r="S1184" s="30">
        <v>0</v>
      </c>
      <c r="T1184" s="233">
        <v>0</v>
      </c>
      <c r="U1184" s="30">
        <v>0</v>
      </c>
      <c r="V1184" s="233">
        <v>0</v>
      </c>
      <c r="W1184" s="30">
        <v>0</v>
      </c>
      <c r="X1184" s="30">
        <v>0</v>
      </c>
      <c r="Y1184" s="30">
        <v>0</v>
      </c>
      <c r="Z1184" s="233">
        <v>0</v>
      </c>
      <c r="AA1184" s="30">
        <v>0</v>
      </c>
      <c r="AB1184" s="30">
        <v>0</v>
      </c>
      <c r="AC1184" s="30">
        <v>0</v>
      </c>
      <c r="AD1184" s="30">
        <v>0</v>
      </c>
      <c r="AE1184" s="89" t="s">
        <v>68</v>
      </c>
      <c r="AF1184" s="89"/>
      <c r="AG1184" s="89" t="s">
        <v>133</v>
      </c>
      <c r="AH1184" s="72" t="s">
        <v>68</v>
      </c>
      <c r="AI1184" s="30">
        <v>4</v>
      </c>
      <c r="AJ1184" s="89" t="s">
        <v>6624</v>
      </c>
      <c r="AK1184" s="89" t="s">
        <v>6625</v>
      </c>
      <c r="AL1184" s="91">
        <v>40840</v>
      </c>
      <c r="AM1184" s="91"/>
      <c r="AN1184" s="91"/>
      <c r="AO1184" s="91"/>
      <c r="AP1184" s="73" t="e">
        <f>MID(VLOOKUP(K1184,#REF!,2,FALSE),1,2)</f>
        <v>#REF!</v>
      </c>
      <c r="AQ1184" s="89">
        <f>DATE(2011,9,29)</f>
        <v>40815</v>
      </c>
      <c r="AR1184" s="82">
        <f t="shared" si="78"/>
        <v>29</v>
      </c>
      <c r="AS1184" s="83">
        <f t="shared" si="79"/>
        <v>9</v>
      </c>
      <c r="AT1184" s="84">
        <f t="shared" si="80"/>
        <v>2011</v>
      </c>
      <c r="AU1184" s="86"/>
      <c r="AV1184" s="86"/>
      <c r="AW1184" s="87"/>
      <c r="AX1184" s="86"/>
      <c r="AY1184" s="83"/>
      <c r="AZ1184" s="84"/>
      <c r="BA1184" s="86"/>
      <c r="BB1184" s="86"/>
    </row>
    <row r="1185" spans="1:54" ht="36.75" customHeight="1">
      <c r="A1185" s="30"/>
      <c r="B1185" s="30" t="s">
        <v>55</v>
      </c>
      <c r="C1185" s="69" t="str">
        <f t="shared" si="77"/>
        <v>Closed</v>
      </c>
      <c r="D1185" s="27" t="s">
        <v>6626</v>
      </c>
      <c r="E1185" s="29" t="s">
        <v>6627</v>
      </c>
      <c r="F1185" s="30" t="s">
        <v>1572</v>
      </c>
      <c r="G1185" s="89">
        <f>DATE(2011,9,29)</f>
        <v>40815</v>
      </c>
      <c r="H1185" s="90">
        <v>1.20625</v>
      </c>
      <c r="I1185" s="30" t="s">
        <v>125</v>
      </c>
      <c r="J1185" s="89" t="s">
        <v>6628</v>
      </c>
      <c r="K1185" s="30" t="s">
        <v>1574</v>
      </c>
      <c r="L1185" s="30" t="s">
        <v>6629</v>
      </c>
      <c r="M1185" s="30" t="s">
        <v>63</v>
      </c>
      <c r="N1185" s="30">
        <v>0</v>
      </c>
      <c r="O1185" s="30" t="s">
        <v>64</v>
      </c>
      <c r="P1185" s="89" t="s">
        <v>78</v>
      </c>
      <c r="Q1185" s="89" t="s">
        <v>2655</v>
      </c>
      <c r="R1185" s="89">
        <v>0</v>
      </c>
      <c r="S1185" s="30">
        <v>0</v>
      </c>
      <c r="T1185" s="233">
        <v>0</v>
      </c>
      <c r="U1185" s="30">
        <v>0</v>
      </c>
      <c r="V1185" s="233">
        <v>0</v>
      </c>
      <c r="W1185" s="30">
        <v>0</v>
      </c>
      <c r="X1185" s="30">
        <v>0</v>
      </c>
      <c r="Y1185" s="30">
        <v>0</v>
      </c>
      <c r="Z1185" s="233">
        <v>0</v>
      </c>
      <c r="AA1185" s="30">
        <v>0</v>
      </c>
      <c r="AB1185" s="30">
        <v>0</v>
      </c>
      <c r="AC1185" s="30">
        <v>0</v>
      </c>
      <c r="AD1185" s="30">
        <v>0</v>
      </c>
      <c r="AE1185" s="89" t="s">
        <v>92</v>
      </c>
      <c r="AF1185" s="89"/>
      <c r="AG1185" s="89" t="s">
        <v>133</v>
      </c>
      <c r="AH1185" s="72">
        <v>40816</v>
      </c>
      <c r="AI1185" s="30">
        <v>0</v>
      </c>
      <c r="AJ1185" s="89" t="s">
        <v>6630</v>
      </c>
      <c r="AK1185" s="89" t="s">
        <v>1233</v>
      </c>
      <c r="AL1185" s="91">
        <v>40821</v>
      </c>
      <c r="AM1185" s="91"/>
      <c r="AN1185" s="91"/>
      <c r="AO1185" s="91"/>
      <c r="AP1185" s="73" t="e">
        <f>MID(VLOOKUP(K1185,#REF!,2,FALSE),1,2)</f>
        <v>#REF!</v>
      </c>
      <c r="AQ1185" s="89">
        <f>DATE(2011,9,29)</f>
        <v>40815</v>
      </c>
      <c r="AR1185" s="82">
        <f t="shared" si="78"/>
        <v>29</v>
      </c>
      <c r="AS1185" s="83">
        <f t="shared" si="79"/>
        <v>9</v>
      </c>
      <c r="AT1185" s="84">
        <f t="shared" si="80"/>
        <v>2011</v>
      </c>
      <c r="AU1185" s="86"/>
      <c r="AV1185" s="86"/>
      <c r="AW1185" s="87"/>
      <c r="AX1185" s="86"/>
      <c r="AY1185" s="83"/>
      <c r="AZ1185" s="84"/>
      <c r="BA1185" s="86"/>
      <c r="BB1185" s="86"/>
    </row>
    <row r="1186" spans="1:54" ht="36.75" customHeight="1">
      <c r="A1186" s="30"/>
      <c r="B1186" s="30" t="s">
        <v>55</v>
      </c>
      <c r="C1186" s="69" t="str">
        <f t="shared" si="77"/>
        <v>Closed</v>
      </c>
      <c r="D1186" s="27" t="s">
        <v>6631</v>
      </c>
      <c r="E1186" s="29" t="s">
        <v>6632</v>
      </c>
      <c r="F1186" s="30" t="s">
        <v>197</v>
      </c>
      <c r="G1186" s="89">
        <f>DATE(2011,10,1)</f>
        <v>40817</v>
      </c>
      <c r="H1186" s="90">
        <v>1.7083333333333335</v>
      </c>
      <c r="I1186" s="30" t="s">
        <v>116</v>
      </c>
      <c r="J1186" s="89" t="s">
        <v>6633</v>
      </c>
      <c r="K1186" s="30" t="s">
        <v>200</v>
      </c>
      <c r="L1186" s="30" t="s">
        <v>6634</v>
      </c>
      <c r="M1186" s="30" t="s">
        <v>63</v>
      </c>
      <c r="N1186" s="30" t="s">
        <v>142</v>
      </c>
      <c r="O1186" s="30" t="s">
        <v>77</v>
      </c>
      <c r="P1186" s="89" t="s">
        <v>65</v>
      </c>
      <c r="Q1186" s="89" t="s">
        <v>202</v>
      </c>
      <c r="R1186" s="89" t="s">
        <v>203</v>
      </c>
      <c r="S1186" s="30">
        <v>0</v>
      </c>
      <c r="T1186" s="233">
        <v>0</v>
      </c>
      <c r="U1186" s="30">
        <v>1</v>
      </c>
      <c r="V1186" s="233">
        <v>0</v>
      </c>
      <c r="W1186" s="30">
        <v>0</v>
      </c>
      <c r="X1186" s="30">
        <v>1</v>
      </c>
      <c r="Y1186" s="30">
        <v>0</v>
      </c>
      <c r="Z1186" s="233">
        <v>0</v>
      </c>
      <c r="AA1186" s="30">
        <v>0</v>
      </c>
      <c r="AB1186" s="30">
        <v>0</v>
      </c>
      <c r="AC1186" s="30">
        <v>0</v>
      </c>
      <c r="AD1186" s="30">
        <v>0</v>
      </c>
      <c r="AE1186" s="89" t="s">
        <v>68</v>
      </c>
      <c r="AF1186" s="89"/>
      <c r="AG1186" s="89" t="s">
        <v>82</v>
      </c>
      <c r="AH1186" s="72">
        <v>40820</v>
      </c>
      <c r="AI1186" s="30">
        <v>0</v>
      </c>
      <c r="AJ1186" s="89" t="s">
        <v>6635</v>
      </c>
      <c r="AK1186" s="89" t="s">
        <v>68</v>
      </c>
      <c r="AL1186" s="91">
        <v>40956</v>
      </c>
      <c r="AM1186" s="91"/>
      <c r="AN1186" s="91"/>
      <c r="AO1186" s="91"/>
      <c r="AP1186" s="73" t="e">
        <f>MID(VLOOKUP(K1186,#REF!,2,FALSE),1,2)</f>
        <v>#REF!</v>
      </c>
      <c r="AQ1186" s="89">
        <f>DATE(2011,10,1)</f>
        <v>40817</v>
      </c>
      <c r="AR1186" s="82">
        <f t="shared" si="78"/>
        <v>1</v>
      </c>
      <c r="AS1186" s="83">
        <f t="shared" si="79"/>
        <v>10</v>
      </c>
      <c r="AT1186" s="84">
        <f t="shared" si="80"/>
        <v>2011</v>
      </c>
      <c r="AU1186" s="86"/>
      <c r="AV1186" s="86"/>
      <c r="AW1186" s="87"/>
      <c r="AX1186" s="86"/>
      <c r="AY1186" s="83"/>
      <c r="AZ1186" s="84"/>
      <c r="BA1186" s="86"/>
      <c r="BB1186" s="86"/>
    </row>
    <row r="1187" spans="1:54" ht="36.75" customHeight="1">
      <c r="A1187" s="30"/>
      <c r="B1187" s="30" t="s">
        <v>55</v>
      </c>
      <c r="C1187" s="69" t="str">
        <f t="shared" si="77"/>
        <v>Closed</v>
      </c>
      <c r="D1187" s="27" t="s">
        <v>6636</v>
      </c>
      <c r="E1187" s="29" t="s">
        <v>6637</v>
      </c>
      <c r="F1187" s="30" t="s">
        <v>1572</v>
      </c>
      <c r="G1187" s="89">
        <f>DATE(2011,10,2)</f>
        <v>40818</v>
      </c>
      <c r="H1187" s="90">
        <v>1.7888888888888888</v>
      </c>
      <c r="I1187" s="30" t="s">
        <v>73</v>
      </c>
      <c r="J1187" s="89" t="s">
        <v>6638</v>
      </c>
      <c r="K1187" s="30" t="s">
        <v>1574</v>
      </c>
      <c r="L1187" s="30" t="s">
        <v>6639</v>
      </c>
      <c r="M1187" s="30" t="s">
        <v>63</v>
      </c>
      <c r="N1187" s="30">
        <v>0</v>
      </c>
      <c r="O1187" s="30" t="s">
        <v>77</v>
      </c>
      <c r="P1187" s="89" t="s">
        <v>78</v>
      </c>
      <c r="Q1187" s="89" t="s">
        <v>4920</v>
      </c>
      <c r="R1187" s="89">
        <v>0</v>
      </c>
      <c r="S1187" s="30">
        <v>0</v>
      </c>
      <c r="T1187" s="233">
        <v>0</v>
      </c>
      <c r="U1187" s="30">
        <v>0</v>
      </c>
      <c r="V1187" s="233">
        <v>0</v>
      </c>
      <c r="W1187" s="30">
        <v>0</v>
      </c>
      <c r="X1187" s="30">
        <v>0</v>
      </c>
      <c r="Y1187" s="30">
        <v>0</v>
      </c>
      <c r="Z1187" s="233">
        <v>0</v>
      </c>
      <c r="AA1187" s="30">
        <v>0</v>
      </c>
      <c r="AB1187" s="30">
        <v>0</v>
      </c>
      <c r="AC1187" s="30">
        <v>0</v>
      </c>
      <c r="AD1187" s="30">
        <v>0</v>
      </c>
      <c r="AE1187" s="89" t="s">
        <v>68</v>
      </c>
      <c r="AF1187" s="89"/>
      <c r="AG1187" s="89" t="s">
        <v>133</v>
      </c>
      <c r="AH1187" s="72">
        <v>40820</v>
      </c>
      <c r="AI1187" s="30">
        <v>0</v>
      </c>
      <c r="AJ1187" s="89" t="s">
        <v>6640</v>
      </c>
      <c r="AK1187" s="89" t="s">
        <v>5792</v>
      </c>
      <c r="AL1187" s="91">
        <v>40821</v>
      </c>
      <c r="AM1187" s="91"/>
      <c r="AN1187" s="91"/>
      <c r="AO1187" s="91"/>
      <c r="AP1187" s="73" t="e">
        <f>MID(VLOOKUP(K1187,#REF!,2,FALSE),1,2)</f>
        <v>#REF!</v>
      </c>
      <c r="AQ1187" s="89">
        <f>DATE(2011,10,2)</f>
        <v>40818</v>
      </c>
      <c r="AR1187" s="82">
        <f t="shared" si="78"/>
        <v>2</v>
      </c>
      <c r="AS1187" s="83">
        <f t="shared" si="79"/>
        <v>10</v>
      </c>
      <c r="AT1187" s="84">
        <f t="shared" si="80"/>
        <v>2011</v>
      </c>
      <c r="AU1187" s="86"/>
      <c r="AV1187" s="86"/>
      <c r="AW1187" s="87"/>
      <c r="AX1187" s="86"/>
      <c r="AY1187" s="83"/>
      <c r="AZ1187" s="84"/>
      <c r="BA1187" s="86"/>
      <c r="BB1187" s="86"/>
    </row>
    <row r="1188" spans="1:54" ht="36.75" customHeight="1">
      <c r="A1188" s="30"/>
      <c r="B1188" s="30" t="s">
        <v>55</v>
      </c>
      <c r="C1188" s="69" t="str">
        <f t="shared" si="77"/>
        <v>Closed</v>
      </c>
      <c r="D1188" s="27" t="s">
        <v>6641</v>
      </c>
      <c r="E1188" s="29" t="s">
        <v>6642</v>
      </c>
      <c r="F1188" s="30" t="s">
        <v>197</v>
      </c>
      <c r="G1188" s="89">
        <f>DATE(2011,10,3)</f>
        <v>40819</v>
      </c>
      <c r="H1188" s="90">
        <v>1.6062500000000002</v>
      </c>
      <c r="I1188" s="30" t="s">
        <v>116</v>
      </c>
      <c r="J1188" s="89" t="s">
        <v>6643</v>
      </c>
      <c r="K1188" s="30" t="s">
        <v>200</v>
      </c>
      <c r="L1188" s="30" t="s">
        <v>6644</v>
      </c>
      <c r="M1188" s="30" t="s">
        <v>63</v>
      </c>
      <c r="N1188" s="30" t="s">
        <v>99</v>
      </c>
      <c r="O1188" s="30" t="s">
        <v>64</v>
      </c>
      <c r="P1188" s="89" t="s">
        <v>165</v>
      </c>
      <c r="Q1188" s="89" t="s">
        <v>202</v>
      </c>
      <c r="R1188" s="89" t="s">
        <v>203</v>
      </c>
      <c r="S1188" s="30">
        <v>0</v>
      </c>
      <c r="T1188" s="233">
        <v>0</v>
      </c>
      <c r="U1188" s="30">
        <v>1</v>
      </c>
      <c r="V1188" s="233">
        <v>0</v>
      </c>
      <c r="W1188" s="30">
        <v>0</v>
      </c>
      <c r="X1188" s="30">
        <v>1</v>
      </c>
      <c r="Y1188" s="30">
        <v>0</v>
      </c>
      <c r="Z1188" s="233">
        <v>0</v>
      </c>
      <c r="AA1188" s="30">
        <v>0</v>
      </c>
      <c r="AB1188" s="30">
        <v>0</v>
      </c>
      <c r="AC1188" s="30">
        <v>0</v>
      </c>
      <c r="AD1188" s="30">
        <v>0</v>
      </c>
      <c r="AE1188" s="89" t="s">
        <v>92</v>
      </c>
      <c r="AF1188" s="89"/>
      <c r="AG1188" s="89" t="s">
        <v>82</v>
      </c>
      <c r="AH1188" s="72">
        <v>40822</v>
      </c>
      <c r="AI1188" s="30">
        <v>2</v>
      </c>
      <c r="AJ1188" s="89" t="s">
        <v>6645</v>
      </c>
      <c r="AK1188" s="89" t="s">
        <v>1233</v>
      </c>
      <c r="AL1188" s="91">
        <v>40956</v>
      </c>
      <c r="AM1188" s="91"/>
      <c r="AN1188" s="91"/>
      <c r="AO1188" s="91"/>
      <c r="AP1188" s="73" t="e">
        <f>MID(VLOOKUP(K1188,#REF!,2,FALSE),1,2)</f>
        <v>#REF!</v>
      </c>
      <c r="AQ1188" s="89">
        <f>DATE(2011,10,3)</f>
        <v>40819</v>
      </c>
      <c r="AR1188" s="82">
        <f t="shared" si="78"/>
        <v>3</v>
      </c>
      <c r="AS1188" s="83">
        <f t="shared" si="79"/>
        <v>10</v>
      </c>
      <c r="AT1188" s="84">
        <f t="shared" si="80"/>
        <v>2011</v>
      </c>
      <c r="AU1188" s="86"/>
      <c r="AV1188" s="86"/>
      <c r="AW1188" s="87"/>
      <c r="AX1188" s="86"/>
      <c r="AY1188" s="83"/>
      <c r="AZ1188" s="84"/>
      <c r="BA1188" s="86"/>
      <c r="BB1188" s="86"/>
    </row>
    <row r="1189" spans="1:54" ht="36.75" customHeight="1">
      <c r="A1189" s="30"/>
      <c r="B1189" s="30" t="s">
        <v>55</v>
      </c>
      <c r="C1189" s="69" t="str">
        <f t="shared" si="77"/>
        <v>Closed</v>
      </c>
      <c r="D1189" s="27" t="s">
        <v>6646</v>
      </c>
      <c r="E1189" s="29" t="s">
        <v>6647</v>
      </c>
      <c r="F1189" s="30" t="s">
        <v>233</v>
      </c>
      <c r="G1189" s="89">
        <f>DATE(2011,10,3)</f>
        <v>40819</v>
      </c>
      <c r="H1189" s="90">
        <v>1.6631944444444444</v>
      </c>
      <c r="I1189" s="30" t="s">
        <v>116</v>
      </c>
      <c r="J1189" s="89" t="s">
        <v>6648</v>
      </c>
      <c r="K1189" s="30" t="s">
        <v>235</v>
      </c>
      <c r="L1189" s="30" t="s">
        <v>6649</v>
      </c>
      <c r="M1189" s="30" t="s">
        <v>63</v>
      </c>
      <c r="N1189" s="30">
        <v>0</v>
      </c>
      <c r="O1189" s="30" t="s">
        <v>64</v>
      </c>
      <c r="P1189" s="89" t="s">
        <v>165</v>
      </c>
      <c r="Q1189" s="89" t="s">
        <v>1428</v>
      </c>
      <c r="R1189" s="89" t="s">
        <v>238</v>
      </c>
      <c r="S1189" s="30">
        <v>0</v>
      </c>
      <c r="T1189" s="233">
        <v>0</v>
      </c>
      <c r="U1189" s="30">
        <v>1</v>
      </c>
      <c r="V1189" s="233">
        <v>0</v>
      </c>
      <c r="W1189" s="30">
        <v>0</v>
      </c>
      <c r="X1189" s="30">
        <v>1</v>
      </c>
      <c r="Y1189" s="30">
        <v>0</v>
      </c>
      <c r="Z1189" s="233">
        <v>0</v>
      </c>
      <c r="AA1189" s="30">
        <v>0</v>
      </c>
      <c r="AB1189" s="30">
        <v>0</v>
      </c>
      <c r="AC1189" s="30">
        <v>0</v>
      </c>
      <c r="AD1189" s="30">
        <v>0</v>
      </c>
      <c r="AE1189" s="89" t="s">
        <v>68</v>
      </c>
      <c r="AF1189" s="89"/>
      <c r="AG1189" s="89" t="s">
        <v>82</v>
      </c>
      <c r="AH1189" s="72" t="s">
        <v>68</v>
      </c>
      <c r="AI1189" s="30">
        <v>5</v>
      </c>
      <c r="AJ1189" s="89" t="s">
        <v>6650</v>
      </c>
      <c r="AK1189" s="89" t="s">
        <v>6651</v>
      </c>
      <c r="AL1189" s="91">
        <v>40906</v>
      </c>
      <c r="AM1189" s="91"/>
      <c r="AN1189" s="91"/>
      <c r="AO1189" s="91"/>
      <c r="AP1189" s="73" t="e">
        <f>MID(VLOOKUP(K1189,#REF!,2,FALSE),1,2)</f>
        <v>#REF!</v>
      </c>
      <c r="AQ1189" s="89">
        <f>DATE(2011,10,3)</f>
        <v>40819</v>
      </c>
      <c r="AR1189" s="82">
        <f t="shared" si="78"/>
        <v>3</v>
      </c>
      <c r="AS1189" s="83">
        <f t="shared" si="79"/>
        <v>10</v>
      </c>
      <c r="AT1189" s="84">
        <f t="shared" si="80"/>
        <v>2011</v>
      </c>
      <c r="AU1189" s="86"/>
      <c r="AV1189" s="86"/>
      <c r="AW1189" s="87"/>
      <c r="AX1189" s="86"/>
      <c r="AY1189" s="83"/>
      <c r="AZ1189" s="84"/>
      <c r="BA1189" s="86"/>
      <c r="BB1189" s="86"/>
    </row>
    <row r="1190" spans="1:54" ht="36.75" customHeight="1">
      <c r="A1190" s="30"/>
      <c r="B1190" s="30" t="s">
        <v>55</v>
      </c>
      <c r="C1190" s="69" t="str">
        <f t="shared" si="77"/>
        <v>Closed</v>
      </c>
      <c r="D1190" s="27" t="s">
        <v>6652</v>
      </c>
      <c r="E1190" s="29" t="s">
        <v>6653</v>
      </c>
      <c r="F1190" s="30" t="s">
        <v>582</v>
      </c>
      <c r="G1190" s="89">
        <f>DATE(2011,10,4)</f>
        <v>40820</v>
      </c>
      <c r="H1190" s="90">
        <v>1.3416666666666666</v>
      </c>
      <c r="I1190" s="30" t="s">
        <v>73</v>
      </c>
      <c r="J1190" s="89" t="s">
        <v>6654</v>
      </c>
      <c r="K1190" s="30" t="s">
        <v>584</v>
      </c>
      <c r="L1190" s="30" t="s">
        <v>6655</v>
      </c>
      <c r="M1190" s="30" t="s">
        <v>63</v>
      </c>
      <c r="N1190" s="30" t="s">
        <v>142</v>
      </c>
      <c r="O1190" s="30" t="s">
        <v>77</v>
      </c>
      <c r="P1190" s="89" t="s">
        <v>78</v>
      </c>
      <c r="Q1190" s="89" t="s">
        <v>6656</v>
      </c>
      <c r="R1190" s="89" t="s">
        <v>587</v>
      </c>
      <c r="S1190" s="30">
        <v>0</v>
      </c>
      <c r="T1190" s="233">
        <v>0</v>
      </c>
      <c r="U1190" s="30">
        <v>0</v>
      </c>
      <c r="V1190" s="233">
        <v>0</v>
      </c>
      <c r="W1190" s="30">
        <v>0</v>
      </c>
      <c r="X1190" s="30">
        <v>0</v>
      </c>
      <c r="Y1190" s="30">
        <v>0</v>
      </c>
      <c r="Z1190" s="233">
        <v>0</v>
      </c>
      <c r="AA1190" s="30">
        <v>0</v>
      </c>
      <c r="AB1190" s="30">
        <v>0</v>
      </c>
      <c r="AC1190" s="30">
        <v>0</v>
      </c>
      <c r="AD1190" s="30">
        <v>0</v>
      </c>
      <c r="AE1190" s="89" t="s">
        <v>394</v>
      </c>
      <c r="AF1190" s="89"/>
      <c r="AG1190" s="89" t="s">
        <v>82</v>
      </c>
      <c r="AH1190" s="72">
        <v>40823</v>
      </c>
      <c r="AI1190" s="30">
        <v>0</v>
      </c>
      <c r="AJ1190" s="89" t="s">
        <v>6657</v>
      </c>
      <c r="AK1190" s="89" t="s">
        <v>1233</v>
      </c>
      <c r="AL1190" s="91">
        <v>40823</v>
      </c>
      <c r="AM1190" s="91"/>
      <c r="AN1190" s="91"/>
      <c r="AO1190" s="91"/>
      <c r="AP1190" s="73" t="e">
        <f>MID(VLOOKUP(K1190,#REF!,2,FALSE),1,2)</f>
        <v>#REF!</v>
      </c>
      <c r="AQ1190" s="89">
        <f>DATE(2011,10,4)</f>
        <v>40820</v>
      </c>
      <c r="AR1190" s="82">
        <f t="shared" si="78"/>
        <v>4</v>
      </c>
      <c r="AS1190" s="83">
        <f t="shared" si="79"/>
        <v>10</v>
      </c>
      <c r="AT1190" s="84">
        <f t="shared" si="80"/>
        <v>2011</v>
      </c>
      <c r="AU1190" s="86"/>
      <c r="AV1190" s="86"/>
      <c r="AW1190" s="87"/>
      <c r="AX1190" s="86"/>
      <c r="AY1190" s="83"/>
      <c r="AZ1190" s="84"/>
      <c r="BA1190" s="86"/>
      <c r="BB1190" s="86"/>
    </row>
    <row r="1191" spans="1:54" ht="36.75" customHeight="1">
      <c r="A1191" s="30"/>
      <c r="B1191" s="30" t="s">
        <v>55</v>
      </c>
      <c r="C1191" s="69" t="str">
        <f t="shared" si="77"/>
        <v>Closed</v>
      </c>
      <c r="D1191" s="27" t="s">
        <v>6658</v>
      </c>
      <c r="E1191" s="29" t="s">
        <v>6659</v>
      </c>
      <c r="F1191" s="30" t="s">
        <v>423</v>
      </c>
      <c r="G1191" s="89">
        <f>DATE(2011,10,6)</f>
        <v>40822</v>
      </c>
      <c r="H1191" s="90">
        <v>1.0263888888888888</v>
      </c>
      <c r="I1191" s="30" t="s">
        <v>198</v>
      </c>
      <c r="J1191" s="89" t="s">
        <v>6660</v>
      </c>
      <c r="K1191" s="30" t="s">
        <v>425</v>
      </c>
      <c r="L1191" s="30" t="s">
        <v>6661</v>
      </c>
      <c r="M1191" s="30" t="s">
        <v>63</v>
      </c>
      <c r="N1191" s="30" t="s">
        <v>142</v>
      </c>
      <c r="O1191" s="30" t="s">
        <v>64</v>
      </c>
      <c r="P1191" s="89" t="s">
        <v>78</v>
      </c>
      <c r="Q1191" s="89" t="s">
        <v>2582</v>
      </c>
      <c r="R1191" s="89" t="s">
        <v>3103</v>
      </c>
      <c r="S1191" s="30">
        <v>0</v>
      </c>
      <c r="T1191" s="233">
        <v>0</v>
      </c>
      <c r="U1191" s="30">
        <v>0</v>
      </c>
      <c r="V1191" s="233">
        <v>0</v>
      </c>
      <c r="W1191" s="30">
        <v>0</v>
      </c>
      <c r="X1191" s="30">
        <v>0</v>
      </c>
      <c r="Y1191" s="30">
        <v>0</v>
      </c>
      <c r="Z1191" s="233">
        <v>0</v>
      </c>
      <c r="AA1191" s="30">
        <v>0</v>
      </c>
      <c r="AB1191" s="30">
        <v>0</v>
      </c>
      <c r="AC1191" s="30">
        <v>0</v>
      </c>
      <c r="AD1191" s="30">
        <v>0</v>
      </c>
      <c r="AE1191" s="89" t="s">
        <v>394</v>
      </c>
      <c r="AF1191" s="89"/>
      <c r="AG1191" s="89" t="s">
        <v>133</v>
      </c>
      <c r="AH1191" s="72">
        <v>40857</v>
      </c>
      <c r="AI1191" s="30">
        <v>0</v>
      </c>
      <c r="AJ1191" s="89" t="s">
        <v>6662</v>
      </c>
      <c r="AK1191" s="89" t="s">
        <v>6663</v>
      </c>
      <c r="AL1191" s="91">
        <v>40827</v>
      </c>
      <c r="AM1191" s="91"/>
      <c r="AN1191" s="91"/>
      <c r="AO1191" s="91"/>
      <c r="AP1191" s="73" t="e">
        <f>MID(VLOOKUP(K1191,#REF!,2,FALSE),1,2)</f>
        <v>#REF!</v>
      </c>
      <c r="AQ1191" s="89">
        <f>DATE(2011,10,6)</f>
        <v>40822</v>
      </c>
      <c r="AR1191" s="82">
        <f t="shared" si="78"/>
        <v>6</v>
      </c>
      <c r="AS1191" s="83">
        <f t="shared" si="79"/>
        <v>10</v>
      </c>
      <c r="AT1191" s="84">
        <f t="shared" si="80"/>
        <v>2011</v>
      </c>
      <c r="AU1191" s="86"/>
      <c r="AV1191" s="86"/>
      <c r="AW1191" s="87"/>
      <c r="AX1191" s="86"/>
      <c r="AY1191" s="83"/>
      <c r="AZ1191" s="84"/>
      <c r="BA1191" s="86"/>
      <c r="BB1191" s="86"/>
    </row>
    <row r="1192" spans="1:54" ht="36.75" customHeight="1">
      <c r="A1192" s="30"/>
      <c r="B1192" s="30" t="s">
        <v>55</v>
      </c>
      <c r="C1192" s="69" t="str">
        <f t="shared" si="77"/>
        <v>Closed</v>
      </c>
      <c r="D1192" s="27" t="s">
        <v>6664</v>
      </c>
      <c r="E1192" s="29" t="s">
        <v>6665</v>
      </c>
      <c r="F1192" s="30" t="s">
        <v>1572</v>
      </c>
      <c r="G1192" s="89">
        <f>DATE(2011,10,10)</f>
        <v>40826</v>
      </c>
      <c r="H1192" s="90">
        <v>1.40625</v>
      </c>
      <c r="I1192" s="30" t="s">
        <v>125</v>
      </c>
      <c r="J1192" s="89" t="s">
        <v>6666</v>
      </c>
      <c r="K1192" s="30" t="s">
        <v>1574</v>
      </c>
      <c r="L1192" s="30" t="s">
        <v>6667</v>
      </c>
      <c r="M1192" s="30" t="s">
        <v>63</v>
      </c>
      <c r="N1192" s="30" t="s">
        <v>142</v>
      </c>
      <c r="O1192" s="30" t="s">
        <v>64</v>
      </c>
      <c r="P1192" s="89" t="s">
        <v>78</v>
      </c>
      <c r="Q1192" s="89" t="s">
        <v>2655</v>
      </c>
      <c r="R1192" s="89">
        <v>0</v>
      </c>
      <c r="S1192" s="30">
        <v>0</v>
      </c>
      <c r="T1192" s="233">
        <v>0</v>
      </c>
      <c r="U1192" s="30">
        <v>0</v>
      </c>
      <c r="V1192" s="233">
        <v>0</v>
      </c>
      <c r="W1192" s="30">
        <v>0</v>
      </c>
      <c r="X1192" s="30">
        <v>0</v>
      </c>
      <c r="Y1192" s="30">
        <v>0</v>
      </c>
      <c r="Z1192" s="233">
        <v>0</v>
      </c>
      <c r="AA1192" s="30">
        <v>0</v>
      </c>
      <c r="AB1192" s="30">
        <v>0</v>
      </c>
      <c r="AC1192" s="30">
        <v>0</v>
      </c>
      <c r="AD1192" s="30">
        <v>0</v>
      </c>
      <c r="AE1192" s="89" t="s">
        <v>92</v>
      </c>
      <c r="AF1192" s="89"/>
      <c r="AG1192" s="89" t="s">
        <v>133</v>
      </c>
      <c r="AH1192" s="72">
        <v>40827</v>
      </c>
      <c r="AI1192" s="30">
        <v>0</v>
      </c>
      <c r="AJ1192" s="89" t="s">
        <v>6668</v>
      </c>
      <c r="AK1192" s="89" t="s">
        <v>1233</v>
      </c>
      <c r="AL1192" s="91">
        <v>40830</v>
      </c>
      <c r="AM1192" s="91"/>
      <c r="AN1192" s="91"/>
      <c r="AO1192" s="91"/>
      <c r="AP1192" s="73" t="e">
        <f>MID(VLOOKUP(K1192,#REF!,2,FALSE),1,2)</f>
        <v>#REF!</v>
      </c>
      <c r="AQ1192" s="89">
        <f>DATE(2011,10,10)</f>
        <v>40826</v>
      </c>
      <c r="AR1192" s="82">
        <f t="shared" si="78"/>
        <v>10</v>
      </c>
      <c r="AS1192" s="83">
        <f t="shared" si="79"/>
        <v>10</v>
      </c>
      <c r="AT1192" s="84">
        <f t="shared" si="80"/>
        <v>2011</v>
      </c>
      <c r="AU1192" s="86"/>
      <c r="AV1192" s="86"/>
      <c r="AW1192" s="87"/>
      <c r="AX1192" s="86"/>
      <c r="AY1192" s="83"/>
      <c r="AZ1192" s="84"/>
      <c r="BA1192" s="86"/>
      <c r="BB1192" s="86"/>
    </row>
    <row r="1193" spans="1:54" ht="36.75" customHeight="1">
      <c r="A1193" s="30"/>
      <c r="B1193" s="30" t="s">
        <v>2124</v>
      </c>
      <c r="C1193" s="69" t="str">
        <f t="shared" si="77"/>
        <v>Open</v>
      </c>
      <c r="D1193" s="27" t="s">
        <v>6669</v>
      </c>
      <c r="E1193" s="29" t="s">
        <v>6670</v>
      </c>
      <c r="F1193" s="30" t="s">
        <v>3148</v>
      </c>
      <c r="G1193" s="89">
        <f>DATE(2011,10,10)</f>
        <v>40826</v>
      </c>
      <c r="H1193" s="90">
        <v>1.0874999999999999</v>
      </c>
      <c r="I1193" s="30" t="s">
        <v>73</v>
      </c>
      <c r="J1193" s="89" t="s">
        <v>6671</v>
      </c>
      <c r="K1193" s="30" t="s">
        <v>3150</v>
      </c>
      <c r="L1193" s="30" t="s">
        <v>6672</v>
      </c>
      <c r="M1193" s="30" t="s">
        <v>63</v>
      </c>
      <c r="N1193" s="30">
        <v>0</v>
      </c>
      <c r="O1193" s="30" t="s">
        <v>77</v>
      </c>
      <c r="P1193" s="89" t="s">
        <v>78</v>
      </c>
      <c r="Q1193" s="89" t="s">
        <v>3152</v>
      </c>
      <c r="R1193" s="89" t="s">
        <v>3153</v>
      </c>
      <c r="S1193" s="30">
        <v>0</v>
      </c>
      <c r="T1193" s="233" t="s">
        <v>68</v>
      </c>
      <c r="U1193" s="30">
        <v>0</v>
      </c>
      <c r="V1193" s="233" t="s">
        <v>68</v>
      </c>
      <c r="W1193" s="30">
        <v>0</v>
      </c>
      <c r="X1193" s="30">
        <v>0</v>
      </c>
      <c r="Y1193" s="30">
        <v>0</v>
      </c>
      <c r="Z1193" s="233" t="s">
        <v>68</v>
      </c>
      <c r="AA1193" s="30">
        <v>0</v>
      </c>
      <c r="AB1193" s="30">
        <v>0</v>
      </c>
      <c r="AC1193" s="30">
        <v>0</v>
      </c>
      <c r="AD1193" s="30">
        <v>0</v>
      </c>
      <c r="AE1193" s="89" t="s">
        <v>68</v>
      </c>
      <c r="AF1193" s="89"/>
      <c r="AG1193" s="89" t="s">
        <v>352</v>
      </c>
      <c r="AH1193" s="72" t="s">
        <v>68</v>
      </c>
      <c r="AI1193" s="30">
        <v>0</v>
      </c>
      <c r="AJ1193" s="89" t="s">
        <v>68</v>
      </c>
      <c r="AK1193" s="89" t="s">
        <v>68</v>
      </c>
      <c r="AL1193" s="91">
        <v>40833</v>
      </c>
      <c r="AM1193" s="91"/>
      <c r="AN1193" s="91"/>
      <c r="AO1193" s="91"/>
      <c r="AP1193" s="73" t="e">
        <f>MID(VLOOKUP(K1193,#REF!,2,FALSE),1,2)</f>
        <v>#REF!</v>
      </c>
      <c r="AQ1193" s="89">
        <f>DATE(2011,10,10)</f>
        <v>40826</v>
      </c>
      <c r="AR1193" s="82">
        <f t="shared" si="78"/>
        <v>10</v>
      </c>
      <c r="AS1193" s="83">
        <f t="shared" si="79"/>
        <v>10</v>
      </c>
      <c r="AT1193" s="84">
        <f t="shared" si="80"/>
        <v>2011</v>
      </c>
      <c r="AU1193" s="86"/>
      <c r="AV1193" s="86"/>
      <c r="AW1193" s="87"/>
      <c r="AX1193" s="86"/>
      <c r="AY1193" s="83"/>
      <c r="AZ1193" s="84"/>
      <c r="BA1193" s="86"/>
      <c r="BB1193" s="86"/>
    </row>
    <row r="1194" spans="1:54" ht="36.75" customHeight="1">
      <c r="A1194" s="30"/>
      <c r="B1194" s="30" t="s">
        <v>2124</v>
      </c>
      <c r="C1194" s="69" t="str">
        <f t="shared" si="77"/>
        <v>Open</v>
      </c>
      <c r="D1194" s="27" t="s">
        <v>6673</v>
      </c>
      <c r="E1194" s="29" t="s">
        <v>6674</v>
      </c>
      <c r="F1194" s="30" t="s">
        <v>3148</v>
      </c>
      <c r="G1194" s="89">
        <f>DATE(2011,10,10)</f>
        <v>40826</v>
      </c>
      <c r="H1194" s="90">
        <v>1.6215277777777777</v>
      </c>
      <c r="I1194" s="30" t="s">
        <v>116</v>
      </c>
      <c r="J1194" s="89" t="s">
        <v>6675</v>
      </c>
      <c r="K1194" s="30" t="s">
        <v>3150</v>
      </c>
      <c r="L1194" s="30" t="s">
        <v>6676</v>
      </c>
      <c r="M1194" s="30" t="s">
        <v>63</v>
      </c>
      <c r="N1194" s="30">
        <v>0</v>
      </c>
      <c r="O1194" s="30" t="s">
        <v>64</v>
      </c>
      <c r="P1194" s="89" t="s">
        <v>165</v>
      </c>
      <c r="Q1194" s="89" t="s">
        <v>3152</v>
      </c>
      <c r="R1194" s="89" t="s">
        <v>3153</v>
      </c>
      <c r="S1194" s="30">
        <v>0</v>
      </c>
      <c r="T1194" s="233" t="s">
        <v>68</v>
      </c>
      <c r="U1194" s="30">
        <v>0</v>
      </c>
      <c r="V1194" s="233" t="s">
        <v>68</v>
      </c>
      <c r="W1194" s="30">
        <v>0</v>
      </c>
      <c r="X1194" s="30">
        <v>0</v>
      </c>
      <c r="Y1194" s="30">
        <v>0</v>
      </c>
      <c r="Z1194" s="233" t="s">
        <v>68</v>
      </c>
      <c r="AA1194" s="30">
        <v>0</v>
      </c>
      <c r="AB1194" s="30">
        <v>0</v>
      </c>
      <c r="AC1194" s="30">
        <v>0</v>
      </c>
      <c r="AD1194" s="30">
        <v>0</v>
      </c>
      <c r="AE1194" s="89" t="s">
        <v>68</v>
      </c>
      <c r="AF1194" s="89"/>
      <c r="AG1194" s="89" t="s">
        <v>133</v>
      </c>
      <c r="AH1194" s="72" t="s">
        <v>68</v>
      </c>
      <c r="AI1194" s="30">
        <v>0</v>
      </c>
      <c r="AJ1194" s="89" t="s">
        <v>68</v>
      </c>
      <c r="AK1194" s="89" t="s">
        <v>68</v>
      </c>
      <c r="AL1194" s="91">
        <v>40833</v>
      </c>
      <c r="AM1194" s="91"/>
      <c r="AN1194" s="91"/>
      <c r="AO1194" s="91"/>
      <c r="AP1194" s="73" t="e">
        <f>MID(VLOOKUP(K1194,#REF!,2,FALSE),1,2)</f>
        <v>#REF!</v>
      </c>
      <c r="AQ1194" s="89">
        <f>DATE(2011,10,10)</f>
        <v>40826</v>
      </c>
      <c r="AR1194" s="82">
        <f t="shared" si="78"/>
        <v>10</v>
      </c>
      <c r="AS1194" s="83">
        <f t="shared" si="79"/>
        <v>10</v>
      </c>
      <c r="AT1194" s="84">
        <f t="shared" si="80"/>
        <v>2011</v>
      </c>
      <c r="AU1194" s="86"/>
      <c r="AV1194" s="86"/>
      <c r="AW1194" s="87"/>
      <c r="AX1194" s="86"/>
      <c r="AY1194" s="83"/>
      <c r="AZ1194" s="84"/>
      <c r="BA1194" s="86"/>
      <c r="BB1194" s="86"/>
    </row>
    <row r="1195" spans="1:54" ht="36.75" customHeight="1">
      <c r="A1195" s="30"/>
      <c r="B1195" s="30" t="s">
        <v>55</v>
      </c>
      <c r="C1195" s="69" t="str">
        <f t="shared" si="77"/>
        <v>Closed</v>
      </c>
      <c r="D1195" s="27" t="s">
        <v>6677</v>
      </c>
      <c r="E1195" s="29" t="s">
        <v>6678</v>
      </c>
      <c r="F1195" s="30" t="s">
        <v>233</v>
      </c>
      <c r="G1195" s="89">
        <f>DATE(2011,10,10)</f>
        <v>40826</v>
      </c>
      <c r="H1195" s="90">
        <v>1.745138888888889</v>
      </c>
      <c r="I1195" s="30" t="s">
        <v>278</v>
      </c>
      <c r="J1195" s="89" t="s">
        <v>6679</v>
      </c>
      <c r="K1195" s="30" t="s">
        <v>235</v>
      </c>
      <c r="L1195" s="30" t="s">
        <v>6680</v>
      </c>
      <c r="M1195" s="30" t="s">
        <v>63</v>
      </c>
      <c r="N1195" s="30">
        <v>0</v>
      </c>
      <c r="O1195" s="30" t="s">
        <v>77</v>
      </c>
      <c r="P1195" s="89" t="s">
        <v>165</v>
      </c>
      <c r="Q1195" s="89" t="s">
        <v>6103</v>
      </c>
      <c r="R1195" s="89" t="s">
        <v>238</v>
      </c>
      <c r="S1195" s="30">
        <v>0</v>
      </c>
      <c r="T1195" s="233" t="s">
        <v>68</v>
      </c>
      <c r="U1195" s="30">
        <v>0</v>
      </c>
      <c r="V1195" s="233" t="s">
        <v>68</v>
      </c>
      <c r="W1195" s="30">
        <v>0</v>
      </c>
      <c r="X1195" s="30">
        <v>0</v>
      </c>
      <c r="Y1195" s="30">
        <v>0</v>
      </c>
      <c r="Z1195" s="233" t="s">
        <v>68</v>
      </c>
      <c r="AA1195" s="30">
        <v>0</v>
      </c>
      <c r="AB1195" s="30">
        <v>0</v>
      </c>
      <c r="AC1195" s="30">
        <v>0</v>
      </c>
      <c r="AD1195" s="30">
        <v>0</v>
      </c>
      <c r="AE1195" s="89" t="s">
        <v>68</v>
      </c>
      <c r="AF1195" s="89"/>
      <c r="AG1195" s="89" t="s">
        <v>133</v>
      </c>
      <c r="AH1195" s="72" t="s">
        <v>68</v>
      </c>
      <c r="AI1195" s="30">
        <v>1</v>
      </c>
      <c r="AJ1195" s="89" t="s">
        <v>6681</v>
      </c>
      <c r="AK1195" s="89" t="s">
        <v>6682</v>
      </c>
      <c r="AL1195" s="91">
        <v>41057</v>
      </c>
      <c r="AM1195" s="91"/>
      <c r="AN1195" s="91"/>
      <c r="AO1195" s="91"/>
      <c r="AP1195" s="73" t="e">
        <f>MID(VLOOKUP(K1195,#REF!,2,FALSE),1,2)</f>
        <v>#REF!</v>
      </c>
      <c r="AQ1195" s="89">
        <f>DATE(2011,10,10)</f>
        <v>40826</v>
      </c>
      <c r="AR1195" s="82">
        <f t="shared" si="78"/>
        <v>10</v>
      </c>
      <c r="AS1195" s="83">
        <f t="shared" si="79"/>
        <v>10</v>
      </c>
      <c r="AT1195" s="84">
        <f t="shared" si="80"/>
        <v>2011</v>
      </c>
      <c r="AU1195" s="86"/>
      <c r="AV1195" s="86"/>
      <c r="AW1195" s="87"/>
      <c r="AX1195" s="86"/>
      <c r="AY1195" s="83"/>
      <c r="AZ1195" s="84"/>
      <c r="BA1195" s="86"/>
      <c r="BB1195" s="86"/>
    </row>
    <row r="1196" spans="1:54" ht="36.75" customHeight="1">
      <c r="A1196" s="30"/>
      <c r="B1196" s="30" t="s">
        <v>55</v>
      </c>
      <c r="C1196" s="69" t="str">
        <f t="shared" si="77"/>
        <v>Closed</v>
      </c>
      <c r="D1196" s="27" t="s">
        <v>6683</v>
      </c>
      <c r="E1196" s="29" t="s">
        <v>6684</v>
      </c>
      <c r="F1196" s="30" t="s">
        <v>638</v>
      </c>
      <c r="G1196" s="89">
        <f>DATE(2011,10,12)</f>
        <v>40828</v>
      </c>
      <c r="H1196" s="90">
        <v>1.7361111111111112</v>
      </c>
      <c r="I1196" s="30" t="s">
        <v>73</v>
      </c>
      <c r="J1196" s="89" t="s">
        <v>6685</v>
      </c>
      <c r="K1196" s="30" t="s">
        <v>640</v>
      </c>
      <c r="L1196" s="30" t="s">
        <v>6686</v>
      </c>
      <c r="M1196" s="30" t="s">
        <v>63</v>
      </c>
      <c r="N1196" s="30" t="s">
        <v>142</v>
      </c>
      <c r="O1196" s="30" t="s">
        <v>77</v>
      </c>
      <c r="P1196" s="89" t="s">
        <v>165</v>
      </c>
      <c r="Q1196" s="89" t="s">
        <v>642</v>
      </c>
      <c r="R1196" s="89" t="s">
        <v>643</v>
      </c>
      <c r="S1196" s="30">
        <v>0</v>
      </c>
      <c r="T1196" s="233">
        <v>0</v>
      </c>
      <c r="U1196" s="30">
        <v>0</v>
      </c>
      <c r="V1196" s="233">
        <v>0</v>
      </c>
      <c r="W1196" s="30">
        <v>0</v>
      </c>
      <c r="X1196" s="30">
        <v>0</v>
      </c>
      <c r="Y1196" s="30">
        <v>0</v>
      </c>
      <c r="Z1196" s="233">
        <v>0</v>
      </c>
      <c r="AA1196" s="30">
        <v>0</v>
      </c>
      <c r="AB1196" s="30">
        <v>0</v>
      </c>
      <c r="AC1196" s="30">
        <v>0</v>
      </c>
      <c r="AD1196" s="30">
        <v>0</v>
      </c>
      <c r="AE1196" s="89" t="s">
        <v>68</v>
      </c>
      <c r="AF1196" s="89"/>
      <c r="AG1196" s="89" t="s">
        <v>352</v>
      </c>
      <c r="AH1196" s="72" t="s">
        <v>68</v>
      </c>
      <c r="AI1196" s="30">
        <v>3</v>
      </c>
      <c r="AJ1196" s="89" t="s">
        <v>6687</v>
      </c>
      <c r="AK1196" s="89" t="s">
        <v>1233</v>
      </c>
      <c r="AL1196" s="91">
        <v>40863</v>
      </c>
      <c r="AM1196" s="91"/>
      <c r="AN1196" s="91"/>
      <c r="AO1196" s="91"/>
      <c r="AP1196" s="73" t="e">
        <f>MID(VLOOKUP(K1196,#REF!,2,FALSE),1,2)</f>
        <v>#REF!</v>
      </c>
      <c r="AQ1196" s="89">
        <f>DATE(2011,10,12)</f>
        <v>40828</v>
      </c>
      <c r="AR1196" s="82">
        <f t="shared" si="78"/>
        <v>12</v>
      </c>
      <c r="AS1196" s="83">
        <f t="shared" si="79"/>
        <v>10</v>
      </c>
      <c r="AT1196" s="84">
        <f t="shared" si="80"/>
        <v>2011</v>
      </c>
      <c r="AU1196" s="86"/>
      <c r="AV1196" s="86"/>
      <c r="AW1196" s="87"/>
      <c r="AX1196" s="86"/>
      <c r="AY1196" s="83"/>
      <c r="AZ1196" s="84"/>
      <c r="BA1196" s="86"/>
      <c r="BB1196" s="86"/>
    </row>
    <row r="1197" spans="1:54" ht="36.75" customHeight="1">
      <c r="A1197" s="30"/>
      <c r="B1197" s="30" t="s">
        <v>55</v>
      </c>
      <c r="C1197" s="69" t="str">
        <f t="shared" si="77"/>
        <v>Closed</v>
      </c>
      <c r="D1197" s="27" t="s">
        <v>6688</v>
      </c>
      <c r="E1197" s="29" t="s">
        <v>6689</v>
      </c>
      <c r="F1197" s="30" t="s">
        <v>115</v>
      </c>
      <c r="G1197" s="89">
        <f>DATE(2011,10,12)</f>
        <v>40828</v>
      </c>
      <c r="H1197" s="90">
        <v>1.7194444444444446</v>
      </c>
      <c r="I1197" s="30" t="s">
        <v>116</v>
      </c>
      <c r="J1197" s="89" t="s">
        <v>6690</v>
      </c>
      <c r="K1197" s="30" t="s">
        <v>118</v>
      </c>
      <c r="L1197" s="30" t="s">
        <v>6691</v>
      </c>
      <c r="M1197" s="30" t="s">
        <v>63</v>
      </c>
      <c r="N1197" s="30" t="s">
        <v>142</v>
      </c>
      <c r="O1197" s="30" t="s">
        <v>64</v>
      </c>
      <c r="P1197" s="89" t="s">
        <v>165</v>
      </c>
      <c r="Q1197" s="89" t="s">
        <v>120</v>
      </c>
      <c r="R1197" s="89" t="s">
        <v>121</v>
      </c>
      <c r="S1197" s="30">
        <v>2</v>
      </c>
      <c r="T1197" s="233">
        <v>0</v>
      </c>
      <c r="U1197" s="30">
        <v>0</v>
      </c>
      <c r="V1197" s="233">
        <v>0</v>
      </c>
      <c r="W1197" s="30">
        <v>0</v>
      </c>
      <c r="X1197" s="30">
        <v>2</v>
      </c>
      <c r="Y1197" s="30">
        <v>9</v>
      </c>
      <c r="Z1197" s="233">
        <v>0</v>
      </c>
      <c r="AA1197" s="30">
        <v>0</v>
      </c>
      <c r="AB1197" s="30">
        <v>0</v>
      </c>
      <c r="AC1197" s="30">
        <v>0</v>
      </c>
      <c r="AD1197" s="30">
        <v>9</v>
      </c>
      <c r="AE1197" s="89" t="s">
        <v>145</v>
      </c>
      <c r="AF1197" s="89"/>
      <c r="AG1197" s="89" t="s">
        <v>82</v>
      </c>
      <c r="AH1197" s="72">
        <v>40829</v>
      </c>
      <c r="AI1197" s="30">
        <v>2</v>
      </c>
      <c r="AJ1197" s="89" t="s">
        <v>6692</v>
      </c>
      <c r="AK1197" s="89" t="s">
        <v>6693</v>
      </c>
      <c r="AL1197" s="91">
        <v>40835</v>
      </c>
      <c r="AM1197" s="91"/>
      <c r="AN1197" s="91"/>
      <c r="AO1197" s="91"/>
      <c r="AP1197" s="73" t="e">
        <f>MID(VLOOKUP(K1197,#REF!,2,FALSE),1,2)</f>
        <v>#REF!</v>
      </c>
      <c r="AQ1197" s="89">
        <f>DATE(2011,10,12)</f>
        <v>40828</v>
      </c>
      <c r="AR1197" s="82">
        <f t="shared" si="78"/>
        <v>12</v>
      </c>
      <c r="AS1197" s="83">
        <f t="shared" si="79"/>
        <v>10</v>
      </c>
      <c r="AT1197" s="84">
        <f t="shared" si="80"/>
        <v>2011</v>
      </c>
      <c r="AU1197" s="86"/>
      <c r="AV1197" s="86"/>
      <c r="AW1197" s="87"/>
      <c r="AX1197" s="86"/>
      <c r="AY1197" s="83"/>
      <c r="AZ1197" s="84"/>
      <c r="BA1197" s="86"/>
      <c r="BB1197" s="86"/>
    </row>
    <row r="1198" spans="1:54" ht="36.75" customHeight="1">
      <c r="A1198" s="30"/>
      <c r="B1198" s="30" t="s">
        <v>55</v>
      </c>
      <c r="C1198" s="69" t="str">
        <f t="shared" si="77"/>
        <v>Closed</v>
      </c>
      <c r="D1198" s="27" t="s">
        <v>6694</v>
      </c>
      <c r="E1198" s="29" t="s">
        <v>6695</v>
      </c>
      <c r="F1198" s="30" t="s">
        <v>423</v>
      </c>
      <c r="G1198" s="89">
        <f>DATE(2011,10,17)</f>
        <v>40833</v>
      </c>
      <c r="H1198" s="90">
        <v>1.1701388888888888</v>
      </c>
      <c r="I1198" s="30" t="s">
        <v>156</v>
      </c>
      <c r="J1198" s="89" t="s">
        <v>6696</v>
      </c>
      <c r="K1198" s="30" t="s">
        <v>425</v>
      </c>
      <c r="L1198" s="30" t="s">
        <v>6697</v>
      </c>
      <c r="M1198" s="30" t="s">
        <v>63</v>
      </c>
      <c r="N1198" s="30">
        <v>0</v>
      </c>
      <c r="O1198" s="30" t="s">
        <v>64</v>
      </c>
      <c r="P1198" s="89" t="s">
        <v>165</v>
      </c>
      <c r="Q1198" s="89" t="s">
        <v>427</v>
      </c>
      <c r="R1198" s="89" t="s">
        <v>3103</v>
      </c>
      <c r="S1198" s="30">
        <v>0</v>
      </c>
      <c r="T1198" s="233" t="s">
        <v>68</v>
      </c>
      <c r="U1198" s="30">
        <v>0</v>
      </c>
      <c r="V1198" s="233" t="s">
        <v>68</v>
      </c>
      <c r="W1198" s="30">
        <v>0</v>
      </c>
      <c r="X1198" s="30">
        <v>0</v>
      </c>
      <c r="Y1198" s="30">
        <v>0</v>
      </c>
      <c r="Z1198" s="233" t="s">
        <v>68</v>
      </c>
      <c r="AA1198" s="30">
        <v>0</v>
      </c>
      <c r="AB1198" s="30">
        <v>0</v>
      </c>
      <c r="AC1198" s="30">
        <v>0</v>
      </c>
      <c r="AD1198" s="30">
        <v>0</v>
      </c>
      <c r="AE1198" s="89" t="s">
        <v>68</v>
      </c>
      <c r="AF1198" s="89"/>
      <c r="AG1198" s="89" t="s">
        <v>133</v>
      </c>
      <c r="AH1198" s="72" t="s">
        <v>68</v>
      </c>
      <c r="AI1198" s="30">
        <v>4</v>
      </c>
      <c r="AJ1198" s="89" t="s">
        <v>68</v>
      </c>
      <c r="AK1198" s="89" t="s">
        <v>712</v>
      </c>
      <c r="AL1198" s="91">
        <v>40842</v>
      </c>
      <c r="AM1198" s="91"/>
      <c r="AN1198" s="91"/>
      <c r="AO1198" s="91"/>
      <c r="AP1198" s="73" t="e">
        <f>MID(VLOOKUP(K1198,#REF!,2,FALSE),1,2)</f>
        <v>#REF!</v>
      </c>
      <c r="AQ1198" s="89">
        <f>DATE(2011,10,17)</f>
        <v>40833</v>
      </c>
      <c r="AR1198" s="82">
        <f t="shared" si="78"/>
        <v>17</v>
      </c>
      <c r="AS1198" s="83">
        <f t="shared" si="79"/>
        <v>10</v>
      </c>
      <c r="AT1198" s="84">
        <f t="shared" si="80"/>
        <v>2011</v>
      </c>
      <c r="AU1198" s="86"/>
      <c r="AV1198" s="86"/>
      <c r="AW1198" s="87"/>
      <c r="AX1198" s="86"/>
      <c r="AY1198" s="83"/>
      <c r="AZ1198" s="84"/>
      <c r="BA1198" s="86"/>
      <c r="BB1198" s="86"/>
    </row>
    <row r="1199" spans="1:54" ht="36.75" customHeight="1">
      <c r="A1199" s="30"/>
      <c r="B1199" s="30" t="s">
        <v>55</v>
      </c>
      <c r="C1199" s="69" t="str">
        <f t="shared" si="77"/>
        <v>Closed</v>
      </c>
      <c r="D1199" s="27" t="s">
        <v>6698</v>
      </c>
      <c r="E1199" s="29" t="s">
        <v>6699</v>
      </c>
      <c r="F1199" s="30" t="s">
        <v>1938</v>
      </c>
      <c r="G1199" s="89">
        <f>DATE(2011,10,18)</f>
        <v>40834</v>
      </c>
      <c r="H1199" s="90">
        <v>1.6736111111111112</v>
      </c>
      <c r="I1199" s="30" t="s">
        <v>86</v>
      </c>
      <c r="J1199" s="89" t="s">
        <v>6700</v>
      </c>
      <c r="K1199" s="30" t="s">
        <v>1940</v>
      </c>
      <c r="L1199" s="30" t="s">
        <v>6701</v>
      </c>
      <c r="M1199" s="30" t="s">
        <v>63</v>
      </c>
      <c r="N1199" s="30" t="s">
        <v>142</v>
      </c>
      <c r="O1199" s="30" t="s">
        <v>77</v>
      </c>
      <c r="P1199" s="89" t="s">
        <v>65</v>
      </c>
      <c r="Q1199" s="89" t="s">
        <v>1942</v>
      </c>
      <c r="R1199" s="89" t="s">
        <v>1942</v>
      </c>
      <c r="S1199" s="30">
        <v>0</v>
      </c>
      <c r="T1199" s="233">
        <v>0</v>
      </c>
      <c r="U1199" s="30">
        <v>0</v>
      </c>
      <c r="V1199" s="233">
        <v>0</v>
      </c>
      <c r="W1199" s="30">
        <v>0</v>
      </c>
      <c r="X1199" s="30">
        <v>0</v>
      </c>
      <c r="Y1199" s="30">
        <v>0</v>
      </c>
      <c r="Z1199" s="233">
        <v>0</v>
      </c>
      <c r="AA1199" s="30">
        <v>0</v>
      </c>
      <c r="AB1199" s="30">
        <v>0</v>
      </c>
      <c r="AC1199" s="30">
        <v>0</v>
      </c>
      <c r="AD1199" s="30">
        <v>0</v>
      </c>
      <c r="AE1199" s="89" t="s">
        <v>68</v>
      </c>
      <c r="AF1199" s="89"/>
      <c r="AG1199" s="89" t="s">
        <v>133</v>
      </c>
      <c r="AH1199" s="72" t="s">
        <v>68</v>
      </c>
      <c r="AI1199" s="30">
        <v>3</v>
      </c>
      <c r="AJ1199" s="89" t="s">
        <v>6702</v>
      </c>
      <c r="AK1199" s="89" t="s">
        <v>6703</v>
      </c>
      <c r="AL1199" s="91">
        <v>40841</v>
      </c>
      <c r="AM1199" s="91"/>
      <c r="AN1199" s="91"/>
      <c r="AO1199" s="91"/>
      <c r="AP1199" s="73" t="e">
        <f>MID(VLOOKUP(K1199,#REF!,2,FALSE),1,2)</f>
        <v>#REF!</v>
      </c>
      <c r="AQ1199" s="89">
        <f>DATE(2011,10,18)</f>
        <v>40834</v>
      </c>
      <c r="AR1199" s="82">
        <f t="shared" si="78"/>
        <v>18</v>
      </c>
      <c r="AS1199" s="83">
        <f t="shared" si="79"/>
        <v>10</v>
      </c>
      <c r="AT1199" s="84">
        <f t="shared" si="80"/>
        <v>2011</v>
      </c>
      <c r="AU1199" s="86"/>
      <c r="AV1199" s="86"/>
      <c r="AW1199" s="87"/>
      <c r="AX1199" s="86"/>
      <c r="AY1199" s="83"/>
      <c r="AZ1199" s="84"/>
      <c r="BA1199" s="86"/>
      <c r="BB1199" s="86"/>
    </row>
    <row r="1200" spans="1:54" ht="36.75" customHeight="1">
      <c r="A1200" s="30"/>
      <c r="B1200" s="30" t="s">
        <v>55</v>
      </c>
      <c r="C1200" s="69" t="str">
        <f t="shared" si="77"/>
        <v>Closed</v>
      </c>
      <c r="D1200" s="27" t="s">
        <v>6704</v>
      </c>
      <c r="E1200" s="29" t="s">
        <v>6705</v>
      </c>
      <c r="F1200" s="30" t="s">
        <v>197</v>
      </c>
      <c r="G1200" s="89">
        <f>DATE(2011,10,19)</f>
        <v>40835</v>
      </c>
      <c r="H1200" s="90">
        <v>1.5618055555555554</v>
      </c>
      <c r="I1200" s="30" t="s">
        <v>116</v>
      </c>
      <c r="J1200" s="89" t="s">
        <v>6706</v>
      </c>
      <c r="K1200" s="30" t="s">
        <v>200</v>
      </c>
      <c r="L1200" s="30" t="s">
        <v>6707</v>
      </c>
      <c r="M1200" s="30" t="s">
        <v>63</v>
      </c>
      <c r="N1200" s="30" t="s">
        <v>99</v>
      </c>
      <c r="O1200" s="30" t="s">
        <v>64</v>
      </c>
      <c r="P1200" s="89" t="s">
        <v>165</v>
      </c>
      <c r="Q1200" s="89" t="s">
        <v>202</v>
      </c>
      <c r="R1200" s="89" t="s">
        <v>203</v>
      </c>
      <c r="S1200" s="30">
        <v>0</v>
      </c>
      <c r="T1200" s="233">
        <v>0</v>
      </c>
      <c r="U1200" s="30">
        <v>1</v>
      </c>
      <c r="V1200" s="233">
        <v>0</v>
      </c>
      <c r="W1200" s="30">
        <v>0</v>
      </c>
      <c r="X1200" s="30">
        <v>1</v>
      </c>
      <c r="Y1200" s="30">
        <v>0</v>
      </c>
      <c r="Z1200" s="233">
        <v>0</v>
      </c>
      <c r="AA1200" s="30">
        <v>0</v>
      </c>
      <c r="AB1200" s="30">
        <v>0</v>
      </c>
      <c r="AC1200" s="30">
        <v>0</v>
      </c>
      <c r="AD1200" s="30">
        <v>0</v>
      </c>
      <c r="AE1200" s="89" t="s">
        <v>394</v>
      </c>
      <c r="AF1200" s="89"/>
      <c r="AG1200" s="89" t="s">
        <v>82</v>
      </c>
      <c r="AH1200" s="72">
        <v>40846</v>
      </c>
      <c r="AI1200" s="30">
        <v>1</v>
      </c>
      <c r="AJ1200" s="89" t="s">
        <v>6708</v>
      </c>
      <c r="AK1200" s="89" t="s">
        <v>68</v>
      </c>
      <c r="AL1200" s="91">
        <v>40956</v>
      </c>
      <c r="AM1200" s="91"/>
      <c r="AN1200" s="91"/>
      <c r="AO1200" s="91"/>
      <c r="AP1200" s="73" t="e">
        <f>MID(VLOOKUP(K1200,#REF!,2,FALSE),1,2)</f>
        <v>#REF!</v>
      </c>
      <c r="AQ1200" s="89">
        <f>DATE(2011,10,19)</f>
        <v>40835</v>
      </c>
      <c r="AR1200" s="82">
        <f t="shared" si="78"/>
        <v>19</v>
      </c>
      <c r="AS1200" s="83">
        <f t="shared" si="79"/>
        <v>10</v>
      </c>
      <c r="AT1200" s="84">
        <f t="shared" si="80"/>
        <v>2011</v>
      </c>
      <c r="AU1200" s="86"/>
      <c r="AV1200" s="86"/>
      <c r="AW1200" s="87"/>
      <c r="AX1200" s="86"/>
      <c r="AY1200" s="83"/>
      <c r="AZ1200" s="84"/>
      <c r="BA1200" s="86"/>
      <c r="BB1200" s="86"/>
    </row>
    <row r="1201" spans="1:54" ht="36.75" customHeight="1">
      <c r="A1201" s="30"/>
      <c r="B1201" s="30" t="s">
        <v>55</v>
      </c>
      <c r="C1201" s="69" t="str">
        <f t="shared" si="77"/>
        <v>Closed</v>
      </c>
      <c r="D1201" s="27" t="s">
        <v>6709</v>
      </c>
      <c r="E1201" s="29" t="s">
        <v>6710</v>
      </c>
      <c r="F1201" s="30" t="s">
        <v>115</v>
      </c>
      <c r="G1201" s="89">
        <f>DATE(2011,10,20)</f>
        <v>40836</v>
      </c>
      <c r="H1201" s="90">
        <v>1.7291666666666665</v>
      </c>
      <c r="I1201" s="30" t="s">
        <v>73</v>
      </c>
      <c r="J1201" s="89" t="s">
        <v>6711</v>
      </c>
      <c r="K1201" s="30" t="s">
        <v>118</v>
      </c>
      <c r="L1201" s="30" t="s">
        <v>6712</v>
      </c>
      <c r="M1201" s="30" t="s">
        <v>63</v>
      </c>
      <c r="N1201" s="30" t="s">
        <v>142</v>
      </c>
      <c r="O1201" s="30" t="s">
        <v>64</v>
      </c>
      <c r="P1201" s="89" t="s">
        <v>78</v>
      </c>
      <c r="Q1201" s="89" t="s">
        <v>120</v>
      </c>
      <c r="R1201" s="89" t="s">
        <v>121</v>
      </c>
      <c r="S1201" s="30">
        <v>0</v>
      </c>
      <c r="T1201" s="233">
        <v>0</v>
      </c>
      <c r="U1201" s="30">
        <v>0</v>
      </c>
      <c r="V1201" s="233">
        <v>0</v>
      </c>
      <c r="W1201" s="30">
        <v>0</v>
      </c>
      <c r="X1201" s="30">
        <v>0</v>
      </c>
      <c r="Y1201" s="30">
        <v>0</v>
      </c>
      <c r="Z1201" s="233">
        <v>0</v>
      </c>
      <c r="AA1201" s="30">
        <v>0</v>
      </c>
      <c r="AB1201" s="30">
        <v>0</v>
      </c>
      <c r="AC1201" s="30">
        <v>0</v>
      </c>
      <c r="AD1201" s="30">
        <v>0</v>
      </c>
      <c r="AE1201" s="89" t="s">
        <v>394</v>
      </c>
      <c r="AF1201" s="89"/>
      <c r="AG1201" s="89" t="s">
        <v>82</v>
      </c>
      <c r="AH1201" s="72">
        <v>40840</v>
      </c>
      <c r="AI1201" s="30">
        <v>1</v>
      </c>
      <c r="AJ1201" s="89" t="s">
        <v>6713</v>
      </c>
      <c r="AK1201" s="89" t="s">
        <v>6714</v>
      </c>
      <c r="AL1201" s="91">
        <v>40847</v>
      </c>
      <c r="AM1201" s="91"/>
      <c r="AN1201" s="91"/>
      <c r="AO1201" s="91"/>
      <c r="AP1201" s="73" t="e">
        <f>MID(VLOOKUP(K1201,#REF!,2,FALSE),1,2)</f>
        <v>#REF!</v>
      </c>
      <c r="AQ1201" s="89">
        <f>DATE(2011,10,20)</f>
        <v>40836</v>
      </c>
      <c r="AR1201" s="82">
        <f t="shared" si="78"/>
        <v>20</v>
      </c>
      <c r="AS1201" s="83">
        <f t="shared" si="79"/>
        <v>10</v>
      </c>
      <c r="AT1201" s="84">
        <f t="shared" si="80"/>
        <v>2011</v>
      </c>
      <c r="AU1201" s="86"/>
      <c r="AV1201" s="86"/>
      <c r="AW1201" s="87"/>
      <c r="AX1201" s="86"/>
      <c r="AY1201" s="83"/>
      <c r="AZ1201" s="84"/>
      <c r="BA1201" s="86"/>
      <c r="BB1201" s="86"/>
    </row>
    <row r="1202" spans="1:54" ht="36.75" customHeight="1">
      <c r="A1202" s="30"/>
      <c r="B1202" s="30" t="s">
        <v>55</v>
      </c>
      <c r="C1202" s="69" t="str">
        <f t="shared" si="77"/>
        <v>Closed</v>
      </c>
      <c r="D1202" s="27" t="s">
        <v>6715</v>
      </c>
      <c r="E1202" s="29" t="s">
        <v>6716</v>
      </c>
      <c r="F1202" s="30" t="s">
        <v>1572</v>
      </c>
      <c r="G1202" s="89">
        <f>DATE(2011,10,20)</f>
        <v>40836</v>
      </c>
      <c r="H1202" s="90">
        <v>1.5666666666666667</v>
      </c>
      <c r="I1202" s="30" t="s">
        <v>73</v>
      </c>
      <c r="J1202" s="89" t="s">
        <v>6717</v>
      </c>
      <c r="K1202" s="30" t="s">
        <v>1574</v>
      </c>
      <c r="L1202" s="30" t="s">
        <v>6718</v>
      </c>
      <c r="M1202" s="30" t="s">
        <v>63</v>
      </c>
      <c r="N1202" s="30">
        <v>0</v>
      </c>
      <c r="O1202" s="30" t="s">
        <v>77</v>
      </c>
      <c r="P1202" s="89" t="s">
        <v>78</v>
      </c>
      <c r="Q1202" s="89" t="s">
        <v>2655</v>
      </c>
      <c r="R1202" s="89">
        <v>0</v>
      </c>
      <c r="S1202" s="30">
        <v>0</v>
      </c>
      <c r="T1202" s="233">
        <v>0</v>
      </c>
      <c r="U1202" s="30">
        <v>0</v>
      </c>
      <c r="V1202" s="233">
        <v>0</v>
      </c>
      <c r="W1202" s="30">
        <v>0</v>
      </c>
      <c r="X1202" s="30">
        <v>0</v>
      </c>
      <c r="Y1202" s="30">
        <v>0</v>
      </c>
      <c r="Z1202" s="233">
        <v>0</v>
      </c>
      <c r="AA1202" s="30">
        <v>0</v>
      </c>
      <c r="AB1202" s="30">
        <v>0</v>
      </c>
      <c r="AC1202" s="30">
        <v>0</v>
      </c>
      <c r="AD1202" s="30">
        <v>0</v>
      </c>
      <c r="AE1202" s="89" t="s">
        <v>92</v>
      </c>
      <c r="AF1202" s="89"/>
      <c r="AG1202" s="89" t="s">
        <v>133</v>
      </c>
      <c r="AH1202" s="72" t="s">
        <v>68</v>
      </c>
      <c r="AI1202" s="30">
        <v>0</v>
      </c>
      <c r="AJ1202" s="89" t="s">
        <v>6719</v>
      </c>
      <c r="AK1202" s="89" t="s">
        <v>1233</v>
      </c>
      <c r="AL1202" s="91">
        <v>40841</v>
      </c>
      <c r="AM1202" s="91"/>
      <c r="AN1202" s="91"/>
      <c r="AO1202" s="91"/>
      <c r="AP1202" s="73" t="e">
        <f>MID(VLOOKUP(K1202,#REF!,2,FALSE),1,2)</f>
        <v>#REF!</v>
      </c>
      <c r="AQ1202" s="89">
        <f>DATE(2011,10,20)</f>
        <v>40836</v>
      </c>
      <c r="AR1202" s="82">
        <f t="shared" si="78"/>
        <v>20</v>
      </c>
      <c r="AS1202" s="83">
        <f t="shared" si="79"/>
        <v>10</v>
      </c>
      <c r="AT1202" s="84">
        <f t="shared" si="80"/>
        <v>2011</v>
      </c>
      <c r="AU1202" s="86"/>
      <c r="AV1202" s="86"/>
      <c r="AW1202" s="87"/>
      <c r="AX1202" s="86"/>
      <c r="AY1202" s="83"/>
      <c r="AZ1202" s="84"/>
      <c r="BA1202" s="86"/>
      <c r="BB1202" s="86"/>
    </row>
    <row r="1203" spans="1:54" ht="36.75" customHeight="1">
      <c r="A1203" s="30"/>
      <c r="B1203" s="30" t="s">
        <v>55</v>
      </c>
      <c r="C1203" s="69" t="str">
        <f t="shared" si="77"/>
        <v>Closed</v>
      </c>
      <c r="D1203" s="27" t="s">
        <v>6720</v>
      </c>
      <c r="E1203" s="29" t="s">
        <v>6721</v>
      </c>
      <c r="F1203" s="30" t="s">
        <v>423</v>
      </c>
      <c r="G1203" s="89">
        <f>DATE(2011,10,22)</f>
        <v>40838</v>
      </c>
      <c r="H1203" s="90">
        <v>1.8097222222222222</v>
      </c>
      <c r="I1203" s="30" t="s">
        <v>73</v>
      </c>
      <c r="J1203" s="89" t="s">
        <v>6722</v>
      </c>
      <c r="K1203" s="30" t="s">
        <v>425</v>
      </c>
      <c r="L1203" s="30" t="s">
        <v>6723</v>
      </c>
      <c r="M1203" s="30" t="s">
        <v>63</v>
      </c>
      <c r="N1203" s="30">
        <v>0</v>
      </c>
      <c r="O1203" s="30" t="s">
        <v>64</v>
      </c>
      <c r="P1203" s="89" t="s">
        <v>165</v>
      </c>
      <c r="Q1203" s="89" t="s">
        <v>427</v>
      </c>
      <c r="R1203" s="89" t="s">
        <v>3103</v>
      </c>
      <c r="S1203" s="30">
        <v>0</v>
      </c>
      <c r="T1203" s="233">
        <v>0</v>
      </c>
      <c r="U1203" s="30">
        <v>0</v>
      </c>
      <c r="V1203" s="233">
        <v>0</v>
      </c>
      <c r="W1203" s="30">
        <v>0</v>
      </c>
      <c r="X1203" s="30">
        <v>0</v>
      </c>
      <c r="Y1203" s="30">
        <v>6</v>
      </c>
      <c r="Z1203" s="233">
        <v>1</v>
      </c>
      <c r="AA1203" s="30">
        <v>0</v>
      </c>
      <c r="AB1203" s="30">
        <v>0</v>
      </c>
      <c r="AC1203" s="30">
        <v>0</v>
      </c>
      <c r="AD1203" s="30">
        <v>7</v>
      </c>
      <c r="AE1203" s="89" t="s">
        <v>68</v>
      </c>
      <c r="AF1203" s="89"/>
      <c r="AG1203" s="89" t="s">
        <v>82</v>
      </c>
      <c r="AH1203" s="72" t="s">
        <v>68</v>
      </c>
      <c r="AI1203" s="30">
        <v>4</v>
      </c>
      <c r="AJ1203" s="89" t="s">
        <v>68</v>
      </c>
      <c r="AK1203" s="89" t="s">
        <v>712</v>
      </c>
      <c r="AL1203" s="91">
        <v>40840</v>
      </c>
      <c r="AM1203" s="91"/>
      <c r="AN1203" s="91"/>
      <c r="AO1203" s="91"/>
      <c r="AP1203" s="73" t="e">
        <f>MID(VLOOKUP(K1203,#REF!,2,FALSE),1,2)</f>
        <v>#REF!</v>
      </c>
      <c r="AQ1203" s="89">
        <f>DATE(2011,10,22)</f>
        <v>40838</v>
      </c>
      <c r="AR1203" s="82">
        <f t="shared" si="78"/>
        <v>22</v>
      </c>
      <c r="AS1203" s="83">
        <f t="shared" si="79"/>
        <v>10</v>
      </c>
      <c r="AT1203" s="84">
        <f t="shared" si="80"/>
        <v>2011</v>
      </c>
      <c r="AU1203" s="86"/>
      <c r="AV1203" s="86"/>
      <c r="AW1203" s="87"/>
      <c r="AX1203" s="86"/>
      <c r="AY1203" s="83"/>
      <c r="AZ1203" s="84"/>
      <c r="BA1203" s="86"/>
      <c r="BB1203" s="86"/>
    </row>
    <row r="1204" spans="1:54" ht="36.75" customHeight="1">
      <c r="A1204" s="30"/>
      <c r="B1204" s="30" t="s">
        <v>55</v>
      </c>
      <c r="C1204" s="69" t="str">
        <f t="shared" si="77"/>
        <v>Closed</v>
      </c>
      <c r="D1204" s="27" t="s">
        <v>6724</v>
      </c>
      <c r="E1204" s="29" t="s">
        <v>6725</v>
      </c>
      <c r="F1204" s="30" t="s">
        <v>124</v>
      </c>
      <c r="G1204" s="89">
        <f>DATE(2011,10,22)</f>
        <v>40838</v>
      </c>
      <c r="H1204" s="90">
        <v>1.4166666666666667</v>
      </c>
      <c r="I1204" s="30" t="s">
        <v>125</v>
      </c>
      <c r="J1204" s="89" t="s">
        <v>6726</v>
      </c>
      <c r="K1204" s="30" t="s">
        <v>127</v>
      </c>
      <c r="L1204" s="30" t="s">
        <v>6727</v>
      </c>
      <c r="M1204" s="30" t="s">
        <v>63</v>
      </c>
      <c r="N1204" s="30" t="s">
        <v>99</v>
      </c>
      <c r="O1204" s="30" t="s">
        <v>64</v>
      </c>
      <c r="P1204" s="89" t="s">
        <v>165</v>
      </c>
      <c r="Q1204" s="89" t="s">
        <v>3598</v>
      </c>
      <c r="R1204" s="89" t="s">
        <v>167</v>
      </c>
      <c r="S1204" s="30">
        <v>0</v>
      </c>
      <c r="T1204" s="233">
        <v>0</v>
      </c>
      <c r="U1204" s="30">
        <v>0</v>
      </c>
      <c r="V1204" s="233">
        <v>0</v>
      </c>
      <c r="W1204" s="30">
        <v>0</v>
      </c>
      <c r="X1204" s="30">
        <v>0</v>
      </c>
      <c r="Y1204" s="30">
        <v>0</v>
      </c>
      <c r="Z1204" s="233">
        <v>0</v>
      </c>
      <c r="AA1204" s="30">
        <v>0</v>
      </c>
      <c r="AB1204" s="30">
        <v>0</v>
      </c>
      <c r="AC1204" s="30">
        <v>0</v>
      </c>
      <c r="AD1204" s="30">
        <v>0</v>
      </c>
      <c r="AE1204" s="89" t="s">
        <v>92</v>
      </c>
      <c r="AF1204" s="89"/>
      <c r="AG1204" s="89" t="s">
        <v>352</v>
      </c>
      <c r="AH1204" s="72">
        <v>40854</v>
      </c>
      <c r="AI1204" s="30">
        <v>0</v>
      </c>
      <c r="AJ1204" s="89" t="s">
        <v>6728</v>
      </c>
      <c r="AK1204" s="89" t="s">
        <v>68</v>
      </c>
      <c r="AL1204" s="91">
        <v>40862</v>
      </c>
      <c r="AM1204" s="91"/>
      <c r="AN1204" s="91"/>
      <c r="AO1204" s="91"/>
      <c r="AP1204" s="73" t="e">
        <f>MID(VLOOKUP(K1204,#REF!,2,FALSE),1,2)</f>
        <v>#REF!</v>
      </c>
      <c r="AQ1204" s="89">
        <f>DATE(2011,10,22)</f>
        <v>40838</v>
      </c>
      <c r="AR1204" s="82">
        <f t="shared" si="78"/>
        <v>22</v>
      </c>
      <c r="AS1204" s="83">
        <f t="shared" si="79"/>
        <v>10</v>
      </c>
      <c r="AT1204" s="84">
        <f t="shared" si="80"/>
        <v>2011</v>
      </c>
      <c r="AU1204" s="86"/>
      <c r="AV1204" s="86"/>
      <c r="AW1204" s="87"/>
      <c r="AX1204" s="86"/>
      <c r="AY1204" s="83"/>
      <c r="AZ1204" s="84"/>
      <c r="BA1204" s="86"/>
      <c r="BB1204" s="86"/>
    </row>
    <row r="1205" spans="1:54" ht="36.75" customHeight="1">
      <c r="A1205" s="30"/>
      <c r="B1205" s="30" t="s">
        <v>55</v>
      </c>
      <c r="C1205" s="69" t="str">
        <f t="shared" si="77"/>
        <v>Closed</v>
      </c>
      <c r="D1205" s="27" t="s">
        <v>6729</v>
      </c>
      <c r="E1205" s="29" t="s">
        <v>6730</v>
      </c>
      <c r="F1205" s="30" t="s">
        <v>233</v>
      </c>
      <c r="G1205" s="89">
        <f>DATE(2011,10,22)</f>
        <v>40838</v>
      </c>
      <c r="H1205" s="90">
        <v>1.9777777777777779</v>
      </c>
      <c r="I1205" s="30" t="s">
        <v>278</v>
      </c>
      <c r="J1205" s="89" t="s">
        <v>6731</v>
      </c>
      <c r="K1205" s="30" t="s">
        <v>235</v>
      </c>
      <c r="L1205" s="30" t="s">
        <v>6732</v>
      </c>
      <c r="M1205" s="30" t="s">
        <v>63</v>
      </c>
      <c r="N1205" s="30">
        <v>0</v>
      </c>
      <c r="O1205" s="30" t="s">
        <v>77</v>
      </c>
      <c r="P1205" s="89" t="s">
        <v>165</v>
      </c>
      <c r="Q1205" s="89" t="s">
        <v>265</v>
      </c>
      <c r="R1205" s="89" t="s">
        <v>238</v>
      </c>
      <c r="S1205" s="30">
        <v>1</v>
      </c>
      <c r="T1205" s="233">
        <v>0</v>
      </c>
      <c r="U1205" s="30">
        <v>0</v>
      </c>
      <c r="V1205" s="233">
        <v>0</v>
      </c>
      <c r="W1205" s="30">
        <v>0</v>
      </c>
      <c r="X1205" s="30">
        <v>1</v>
      </c>
      <c r="Y1205" s="30">
        <v>0</v>
      </c>
      <c r="Z1205" s="233">
        <v>0</v>
      </c>
      <c r="AA1205" s="30">
        <v>0</v>
      </c>
      <c r="AB1205" s="30">
        <v>0</v>
      </c>
      <c r="AC1205" s="30">
        <v>0</v>
      </c>
      <c r="AD1205" s="30">
        <v>0</v>
      </c>
      <c r="AE1205" s="89" t="s">
        <v>68</v>
      </c>
      <c r="AF1205" s="89"/>
      <c r="AG1205" s="89" t="s">
        <v>82</v>
      </c>
      <c r="AH1205" s="72" t="s">
        <v>68</v>
      </c>
      <c r="AI1205" s="30">
        <v>3</v>
      </c>
      <c r="AJ1205" s="89" t="s">
        <v>6733</v>
      </c>
      <c r="AK1205" s="89" t="s">
        <v>6734</v>
      </c>
      <c r="AL1205" s="91">
        <v>40889</v>
      </c>
      <c r="AM1205" s="91"/>
      <c r="AN1205" s="91"/>
      <c r="AO1205" s="91"/>
      <c r="AP1205" s="73" t="e">
        <f>MID(VLOOKUP(K1205,#REF!,2,FALSE),1,2)</f>
        <v>#REF!</v>
      </c>
      <c r="AQ1205" s="89">
        <f>DATE(2011,10,22)</f>
        <v>40838</v>
      </c>
      <c r="AR1205" s="82">
        <f t="shared" si="78"/>
        <v>22</v>
      </c>
      <c r="AS1205" s="83">
        <f t="shared" si="79"/>
        <v>10</v>
      </c>
      <c r="AT1205" s="84">
        <f t="shared" si="80"/>
        <v>2011</v>
      </c>
      <c r="AU1205" s="86"/>
      <c r="AV1205" s="86"/>
      <c r="AW1205" s="87"/>
      <c r="AX1205" s="86"/>
      <c r="AY1205" s="83"/>
      <c r="AZ1205" s="84"/>
      <c r="BA1205" s="86"/>
      <c r="BB1205" s="86"/>
    </row>
    <row r="1206" spans="1:54" ht="36.75" customHeight="1">
      <c r="A1206" s="30"/>
      <c r="B1206" s="30" t="s">
        <v>55</v>
      </c>
      <c r="C1206" s="69" t="str">
        <f t="shared" si="77"/>
        <v>Closed</v>
      </c>
      <c r="D1206" s="27" t="s">
        <v>6735</v>
      </c>
      <c r="E1206" s="29" t="s">
        <v>6736</v>
      </c>
      <c r="F1206" s="30" t="s">
        <v>638</v>
      </c>
      <c r="G1206" s="89">
        <f>DATE(2011,10,26)</f>
        <v>40842</v>
      </c>
      <c r="H1206" s="90">
        <v>1.6833333333333331</v>
      </c>
      <c r="I1206" s="30" t="s">
        <v>73</v>
      </c>
      <c r="J1206" s="89" t="s">
        <v>6737</v>
      </c>
      <c r="K1206" s="30" t="s">
        <v>640</v>
      </c>
      <c r="L1206" s="30" t="s">
        <v>6738</v>
      </c>
      <c r="M1206" s="30" t="s">
        <v>63</v>
      </c>
      <c r="N1206" s="30" t="s">
        <v>99</v>
      </c>
      <c r="O1206" s="30" t="s">
        <v>77</v>
      </c>
      <c r="P1206" s="89" t="s">
        <v>86</v>
      </c>
      <c r="Q1206" s="89" t="s">
        <v>642</v>
      </c>
      <c r="R1206" s="89" t="s">
        <v>643</v>
      </c>
      <c r="S1206" s="30">
        <v>0</v>
      </c>
      <c r="T1206" s="233">
        <v>0</v>
      </c>
      <c r="U1206" s="30">
        <v>0</v>
      </c>
      <c r="V1206" s="233">
        <v>0</v>
      </c>
      <c r="W1206" s="30">
        <v>0</v>
      </c>
      <c r="X1206" s="30">
        <v>0</v>
      </c>
      <c r="Y1206" s="30">
        <v>0</v>
      </c>
      <c r="Z1206" s="233">
        <v>0</v>
      </c>
      <c r="AA1206" s="30">
        <v>0</v>
      </c>
      <c r="AB1206" s="30">
        <v>0</v>
      </c>
      <c r="AC1206" s="30">
        <v>0</v>
      </c>
      <c r="AD1206" s="30">
        <v>0</v>
      </c>
      <c r="AE1206" s="89" t="s">
        <v>68</v>
      </c>
      <c r="AF1206" s="89"/>
      <c r="AG1206" s="89" t="s">
        <v>352</v>
      </c>
      <c r="AH1206" s="72">
        <v>40876</v>
      </c>
      <c r="AI1206" s="30">
        <v>0</v>
      </c>
      <c r="AJ1206" s="89" t="s">
        <v>6739</v>
      </c>
      <c r="AK1206" s="89" t="s">
        <v>68</v>
      </c>
      <c r="AL1206" s="91">
        <v>40886</v>
      </c>
      <c r="AM1206" s="91"/>
      <c r="AN1206" s="91"/>
      <c r="AO1206" s="91"/>
      <c r="AP1206" s="73" t="e">
        <f>MID(VLOOKUP(K1206,#REF!,2,FALSE),1,2)</f>
        <v>#REF!</v>
      </c>
      <c r="AQ1206" s="89">
        <f>DATE(2011,10,26)</f>
        <v>40842</v>
      </c>
      <c r="AR1206" s="82">
        <f t="shared" si="78"/>
        <v>26</v>
      </c>
      <c r="AS1206" s="83">
        <f t="shared" si="79"/>
        <v>10</v>
      </c>
      <c r="AT1206" s="84">
        <f t="shared" si="80"/>
        <v>2011</v>
      </c>
      <c r="AU1206" s="86"/>
      <c r="AV1206" s="86"/>
      <c r="AW1206" s="87"/>
      <c r="AX1206" s="86"/>
      <c r="AY1206" s="83"/>
      <c r="AZ1206" s="84"/>
      <c r="BA1206" s="86"/>
      <c r="BB1206" s="86"/>
    </row>
    <row r="1207" spans="1:54" ht="36.75" customHeight="1">
      <c r="A1207" s="30"/>
      <c r="B1207" s="30" t="s">
        <v>55</v>
      </c>
      <c r="C1207" s="69" t="str">
        <f t="shared" si="77"/>
        <v>Closed</v>
      </c>
      <c r="D1207" s="27" t="s">
        <v>6740</v>
      </c>
      <c r="E1207" s="29" t="s">
        <v>6741</v>
      </c>
      <c r="F1207" s="30" t="s">
        <v>835</v>
      </c>
      <c r="G1207" s="89">
        <f>DATE(2011,10,26)</f>
        <v>40842</v>
      </c>
      <c r="H1207" s="90">
        <v>1.7326388888888888</v>
      </c>
      <c r="I1207" s="30" t="s">
        <v>73</v>
      </c>
      <c r="J1207" s="89" t="s">
        <v>6742</v>
      </c>
      <c r="K1207" s="30" t="s">
        <v>837</v>
      </c>
      <c r="L1207" s="30" t="s">
        <v>6743</v>
      </c>
      <c r="M1207" s="30" t="s">
        <v>63</v>
      </c>
      <c r="N1207" s="30" t="s">
        <v>99</v>
      </c>
      <c r="O1207" s="30" t="s">
        <v>64</v>
      </c>
      <c r="P1207" s="89" t="s">
        <v>65</v>
      </c>
      <c r="Q1207" s="89" t="s">
        <v>2162</v>
      </c>
      <c r="R1207" s="89" t="s">
        <v>840</v>
      </c>
      <c r="S1207" s="30">
        <v>0</v>
      </c>
      <c r="T1207" s="233">
        <v>0</v>
      </c>
      <c r="U1207" s="30">
        <v>0</v>
      </c>
      <c r="V1207" s="233">
        <v>0</v>
      </c>
      <c r="W1207" s="30">
        <v>0</v>
      </c>
      <c r="X1207" s="30">
        <v>0</v>
      </c>
      <c r="Y1207" s="30">
        <v>0</v>
      </c>
      <c r="Z1207" s="233">
        <v>0</v>
      </c>
      <c r="AA1207" s="30">
        <v>0</v>
      </c>
      <c r="AB1207" s="30">
        <v>0</v>
      </c>
      <c r="AC1207" s="30">
        <v>0</v>
      </c>
      <c r="AD1207" s="30">
        <v>0</v>
      </c>
      <c r="AE1207" s="89" t="s">
        <v>92</v>
      </c>
      <c r="AF1207" s="89"/>
      <c r="AG1207" s="89" t="s">
        <v>352</v>
      </c>
      <c r="AH1207" s="72">
        <v>40842</v>
      </c>
      <c r="AI1207" s="30">
        <v>0</v>
      </c>
      <c r="AJ1207" s="89" t="s">
        <v>6744</v>
      </c>
      <c r="AK1207" s="89" t="s">
        <v>6745</v>
      </c>
      <c r="AL1207" s="91">
        <v>40854</v>
      </c>
      <c r="AM1207" s="91"/>
      <c r="AN1207" s="91"/>
      <c r="AO1207" s="91"/>
      <c r="AP1207" s="73" t="e">
        <f>MID(VLOOKUP(K1207,#REF!,2,FALSE),1,2)</f>
        <v>#REF!</v>
      </c>
      <c r="AQ1207" s="89">
        <f>DATE(2011,10,26)</f>
        <v>40842</v>
      </c>
      <c r="AR1207" s="82">
        <f t="shared" si="78"/>
        <v>26</v>
      </c>
      <c r="AS1207" s="83">
        <f t="shared" si="79"/>
        <v>10</v>
      </c>
      <c r="AT1207" s="84">
        <f t="shared" si="80"/>
        <v>2011</v>
      </c>
      <c r="AU1207" s="86"/>
      <c r="AV1207" s="86"/>
      <c r="AW1207" s="87"/>
      <c r="AX1207" s="86"/>
      <c r="AY1207" s="83"/>
      <c r="AZ1207" s="84"/>
      <c r="BA1207" s="86"/>
      <c r="BB1207" s="86"/>
    </row>
    <row r="1208" spans="1:54" ht="36.75" customHeight="1">
      <c r="A1208" s="30"/>
      <c r="B1208" s="30" t="s">
        <v>55</v>
      </c>
      <c r="C1208" s="69" t="str">
        <f t="shared" si="77"/>
        <v>Closed</v>
      </c>
      <c r="D1208" s="27" t="s">
        <v>6746</v>
      </c>
      <c r="E1208" s="29" t="s">
        <v>6747</v>
      </c>
      <c r="F1208" s="30" t="s">
        <v>638</v>
      </c>
      <c r="G1208" s="89">
        <f>DATE(2011,10,27)</f>
        <v>40843</v>
      </c>
      <c r="H1208" s="90">
        <v>1.6006944444444444</v>
      </c>
      <c r="I1208" s="30" t="s">
        <v>73</v>
      </c>
      <c r="J1208" s="89" t="s">
        <v>6748</v>
      </c>
      <c r="K1208" s="30" t="s">
        <v>640</v>
      </c>
      <c r="L1208" s="30" t="s">
        <v>6749</v>
      </c>
      <c r="M1208" s="30" t="s">
        <v>63</v>
      </c>
      <c r="N1208" s="30" t="s">
        <v>99</v>
      </c>
      <c r="O1208" s="30" t="s">
        <v>77</v>
      </c>
      <c r="P1208" s="89" t="s">
        <v>165</v>
      </c>
      <c r="Q1208" s="89" t="s">
        <v>3246</v>
      </c>
      <c r="R1208" s="89" t="s">
        <v>3246</v>
      </c>
      <c r="S1208" s="30">
        <v>0</v>
      </c>
      <c r="T1208" s="233">
        <v>0</v>
      </c>
      <c r="U1208" s="30">
        <v>0</v>
      </c>
      <c r="V1208" s="233">
        <v>0</v>
      </c>
      <c r="W1208" s="30">
        <v>0</v>
      </c>
      <c r="X1208" s="30">
        <v>0</v>
      </c>
      <c r="Y1208" s="30">
        <v>0</v>
      </c>
      <c r="Z1208" s="233">
        <v>0</v>
      </c>
      <c r="AA1208" s="30">
        <v>0</v>
      </c>
      <c r="AB1208" s="30">
        <v>0</v>
      </c>
      <c r="AC1208" s="30">
        <v>0</v>
      </c>
      <c r="AD1208" s="30">
        <v>0</v>
      </c>
      <c r="AE1208" s="89" t="s">
        <v>68</v>
      </c>
      <c r="AF1208" s="89"/>
      <c r="AG1208" s="89" t="s">
        <v>352</v>
      </c>
      <c r="AH1208" s="72">
        <v>40876</v>
      </c>
      <c r="AI1208" s="30">
        <v>1</v>
      </c>
      <c r="AJ1208" s="89" t="s">
        <v>6750</v>
      </c>
      <c r="AK1208" s="89" t="s">
        <v>68</v>
      </c>
      <c r="AL1208" s="91">
        <v>40886</v>
      </c>
      <c r="AM1208" s="91"/>
      <c r="AN1208" s="91"/>
      <c r="AO1208" s="91"/>
      <c r="AP1208" s="73" t="e">
        <f>MID(VLOOKUP(K1208,#REF!,2,FALSE),1,2)</f>
        <v>#REF!</v>
      </c>
      <c r="AQ1208" s="89">
        <f>DATE(2011,10,27)</f>
        <v>40843</v>
      </c>
      <c r="AR1208" s="82">
        <f t="shared" si="78"/>
        <v>27</v>
      </c>
      <c r="AS1208" s="83">
        <f t="shared" si="79"/>
        <v>10</v>
      </c>
      <c r="AT1208" s="84">
        <f t="shared" si="80"/>
        <v>2011</v>
      </c>
      <c r="AU1208" s="86"/>
      <c r="AV1208" s="86"/>
      <c r="AW1208" s="87"/>
      <c r="AX1208" s="86"/>
      <c r="AY1208" s="83"/>
      <c r="AZ1208" s="84"/>
      <c r="BA1208" s="86"/>
      <c r="BB1208" s="86"/>
    </row>
    <row r="1209" spans="1:54" ht="36.75" customHeight="1">
      <c r="A1209" s="30"/>
      <c r="B1209" s="30" t="s">
        <v>55</v>
      </c>
      <c r="C1209" s="69" t="str">
        <f t="shared" si="77"/>
        <v>Closed</v>
      </c>
      <c r="D1209" s="27" t="s">
        <v>6751</v>
      </c>
      <c r="E1209" s="29" t="s">
        <v>6752</v>
      </c>
      <c r="F1209" s="30" t="s">
        <v>835</v>
      </c>
      <c r="G1209" s="89">
        <f>DATE(2011,10,27)</f>
        <v>40843</v>
      </c>
      <c r="H1209" s="90">
        <v>1.1979166666666667</v>
      </c>
      <c r="I1209" s="30" t="s">
        <v>104</v>
      </c>
      <c r="J1209" s="89" t="s">
        <v>6753</v>
      </c>
      <c r="K1209" s="30" t="s">
        <v>837</v>
      </c>
      <c r="L1209" s="30" t="s">
        <v>6754</v>
      </c>
      <c r="M1209" s="30" t="s">
        <v>63</v>
      </c>
      <c r="N1209" s="30" t="s">
        <v>99</v>
      </c>
      <c r="O1209" s="30" t="s">
        <v>77</v>
      </c>
      <c r="P1209" s="89" t="s">
        <v>216</v>
      </c>
      <c r="Q1209" s="89" t="s">
        <v>5840</v>
      </c>
      <c r="R1209" s="89" t="s">
        <v>840</v>
      </c>
      <c r="S1209" s="30">
        <v>0</v>
      </c>
      <c r="T1209" s="233">
        <v>0</v>
      </c>
      <c r="U1209" s="30">
        <v>0</v>
      </c>
      <c r="V1209" s="233">
        <v>0</v>
      </c>
      <c r="W1209" s="30">
        <v>0</v>
      </c>
      <c r="X1209" s="30">
        <v>0</v>
      </c>
      <c r="Y1209" s="30">
        <v>0</v>
      </c>
      <c r="Z1209" s="233">
        <v>0</v>
      </c>
      <c r="AA1209" s="30">
        <v>0</v>
      </c>
      <c r="AB1209" s="30">
        <v>0</v>
      </c>
      <c r="AC1209" s="30">
        <v>0</v>
      </c>
      <c r="AD1209" s="30">
        <v>0</v>
      </c>
      <c r="AE1209" s="89" t="s">
        <v>92</v>
      </c>
      <c r="AF1209" s="89"/>
      <c r="AG1209" s="89" t="s">
        <v>352</v>
      </c>
      <c r="AH1209" s="72">
        <v>40843</v>
      </c>
      <c r="AI1209" s="30">
        <v>0</v>
      </c>
      <c r="AJ1209" s="89" t="s">
        <v>6755</v>
      </c>
      <c r="AK1209" s="89" t="s">
        <v>68</v>
      </c>
      <c r="AL1209" s="91">
        <v>40854</v>
      </c>
      <c r="AM1209" s="91"/>
      <c r="AN1209" s="91"/>
      <c r="AO1209" s="91"/>
      <c r="AP1209" s="73" t="e">
        <f>MID(VLOOKUP(K1209,#REF!,2,FALSE),1,2)</f>
        <v>#REF!</v>
      </c>
      <c r="AQ1209" s="89">
        <f>DATE(2011,10,27)</f>
        <v>40843</v>
      </c>
      <c r="AR1209" s="82">
        <f t="shared" si="78"/>
        <v>27</v>
      </c>
      <c r="AS1209" s="83">
        <f t="shared" si="79"/>
        <v>10</v>
      </c>
      <c r="AT1209" s="84">
        <f t="shared" si="80"/>
        <v>2011</v>
      </c>
      <c r="AU1209" s="86"/>
      <c r="AV1209" s="86"/>
      <c r="AW1209" s="87"/>
      <c r="AX1209" s="86"/>
      <c r="AY1209" s="83"/>
      <c r="AZ1209" s="84"/>
      <c r="BA1209" s="86"/>
      <c r="BB1209" s="86"/>
    </row>
    <row r="1210" spans="1:54" ht="36.75" customHeight="1">
      <c r="A1210" s="30"/>
      <c r="B1210" s="30" t="s">
        <v>55</v>
      </c>
      <c r="C1210" s="69" t="str">
        <f t="shared" si="77"/>
        <v>Closed</v>
      </c>
      <c r="D1210" s="27" t="s">
        <v>6756</v>
      </c>
      <c r="E1210" s="29" t="s">
        <v>6757</v>
      </c>
      <c r="F1210" s="30" t="s">
        <v>124</v>
      </c>
      <c r="G1210" s="89">
        <f>DATE(2011,10,28)</f>
        <v>40844</v>
      </c>
      <c r="H1210" s="90">
        <v>1.0756944444444445</v>
      </c>
      <c r="I1210" s="30" t="s">
        <v>73</v>
      </c>
      <c r="J1210" s="89" t="s">
        <v>6758</v>
      </c>
      <c r="K1210" s="30" t="s">
        <v>127</v>
      </c>
      <c r="L1210" s="30" t="s">
        <v>6759</v>
      </c>
      <c r="M1210" s="30" t="s">
        <v>63</v>
      </c>
      <c r="N1210" s="30" t="s">
        <v>142</v>
      </c>
      <c r="O1210" s="30" t="s">
        <v>77</v>
      </c>
      <c r="P1210" s="89" t="s">
        <v>78</v>
      </c>
      <c r="Q1210" s="89" t="s">
        <v>143</v>
      </c>
      <c r="R1210" s="89" t="s">
        <v>167</v>
      </c>
      <c r="S1210" s="30">
        <v>0</v>
      </c>
      <c r="T1210" s="233">
        <v>0</v>
      </c>
      <c r="U1210" s="30">
        <v>0</v>
      </c>
      <c r="V1210" s="233">
        <v>0</v>
      </c>
      <c r="W1210" s="30">
        <v>0</v>
      </c>
      <c r="X1210" s="30">
        <v>0</v>
      </c>
      <c r="Y1210" s="30">
        <v>0</v>
      </c>
      <c r="Z1210" s="233">
        <v>0</v>
      </c>
      <c r="AA1210" s="30">
        <v>0</v>
      </c>
      <c r="AB1210" s="30">
        <v>0</v>
      </c>
      <c r="AC1210" s="30">
        <v>0</v>
      </c>
      <c r="AD1210" s="30">
        <v>0</v>
      </c>
      <c r="AE1210" s="89" t="s">
        <v>68</v>
      </c>
      <c r="AF1210" s="89"/>
      <c r="AG1210" s="89" t="s">
        <v>133</v>
      </c>
      <c r="AH1210" s="72">
        <v>40602</v>
      </c>
      <c r="AI1210" s="30">
        <v>0</v>
      </c>
      <c r="AJ1210" s="89" t="s">
        <v>6760</v>
      </c>
      <c r="AK1210" s="89" t="s">
        <v>68</v>
      </c>
      <c r="AL1210" s="91">
        <v>40882</v>
      </c>
      <c r="AM1210" s="91"/>
      <c r="AN1210" s="91"/>
      <c r="AO1210" s="91"/>
      <c r="AP1210" s="73" t="e">
        <f>MID(VLOOKUP(K1210,#REF!,2,FALSE),1,2)</f>
        <v>#REF!</v>
      </c>
      <c r="AQ1210" s="89">
        <f>DATE(2011,10,28)</f>
        <v>40844</v>
      </c>
      <c r="AR1210" s="82">
        <f t="shared" si="78"/>
        <v>28</v>
      </c>
      <c r="AS1210" s="83">
        <f t="shared" si="79"/>
        <v>10</v>
      </c>
      <c r="AT1210" s="84">
        <f t="shared" si="80"/>
        <v>2011</v>
      </c>
      <c r="AU1210" s="86"/>
      <c r="AV1210" s="86"/>
      <c r="AW1210" s="87"/>
      <c r="AX1210" s="86"/>
      <c r="AY1210" s="83"/>
      <c r="AZ1210" s="84"/>
      <c r="BA1210" s="86"/>
      <c r="BB1210" s="86"/>
    </row>
    <row r="1211" spans="1:54" ht="36.75" customHeight="1">
      <c r="A1211" s="30"/>
      <c r="B1211" s="30" t="s">
        <v>55</v>
      </c>
      <c r="C1211" s="69" t="str">
        <f t="shared" si="77"/>
        <v>Closed</v>
      </c>
      <c r="D1211" s="27" t="s">
        <v>6761</v>
      </c>
      <c r="E1211" s="29" t="s">
        <v>6762</v>
      </c>
      <c r="F1211" s="30" t="s">
        <v>197</v>
      </c>
      <c r="G1211" s="89">
        <f>DATE(2011,10,31)</f>
        <v>40847</v>
      </c>
      <c r="H1211" s="90">
        <v>1.3548611111111111</v>
      </c>
      <c r="I1211" s="30" t="s">
        <v>116</v>
      </c>
      <c r="J1211" s="89" t="s">
        <v>6763</v>
      </c>
      <c r="K1211" s="30" t="s">
        <v>200</v>
      </c>
      <c r="L1211" s="30" t="s">
        <v>6764</v>
      </c>
      <c r="M1211" s="30" t="s">
        <v>63</v>
      </c>
      <c r="N1211" s="30" t="s">
        <v>99</v>
      </c>
      <c r="O1211" s="30" t="s">
        <v>77</v>
      </c>
      <c r="P1211" s="89" t="s">
        <v>165</v>
      </c>
      <c r="Q1211" s="89" t="s">
        <v>202</v>
      </c>
      <c r="R1211" s="89">
        <v>0</v>
      </c>
      <c r="S1211" s="30">
        <v>0</v>
      </c>
      <c r="T1211" s="233">
        <v>0</v>
      </c>
      <c r="U1211" s="30">
        <v>1</v>
      </c>
      <c r="V1211" s="233">
        <v>0</v>
      </c>
      <c r="W1211" s="30">
        <v>0</v>
      </c>
      <c r="X1211" s="30">
        <v>1</v>
      </c>
      <c r="Y1211" s="30">
        <v>0</v>
      </c>
      <c r="Z1211" s="233">
        <v>0</v>
      </c>
      <c r="AA1211" s="30">
        <v>0</v>
      </c>
      <c r="AB1211" s="30">
        <v>0</v>
      </c>
      <c r="AC1211" s="30">
        <v>0</v>
      </c>
      <c r="AD1211" s="30">
        <v>0</v>
      </c>
      <c r="AE1211" s="89" t="s">
        <v>68</v>
      </c>
      <c r="AF1211" s="89"/>
      <c r="AG1211" s="89" t="s">
        <v>82</v>
      </c>
      <c r="AH1211" s="72">
        <v>40847</v>
      </c>
      <c r="AI1211" s="30">
        <v>0</v>
      </c>
      <c r="AJ1211" s="89" t="s">
        <v>6765</v>
      </c>
      <c r="AK1211" s="89" t="s">
        <v>68</v>
      </c>
      <c r="AL1211" s="91">
        <v>40956</v>
      </c>
      <c r="AM1211" s="91"/>
      <c r="AN1211" s="91"/>
      <c r="AO1211" s="91"/>
      <c r="AP1211" s="73" t="e">
        <f>MID(VLOOKUP(K1211,#REF!,2,FALSE),1,2)</f>
        <v>#REF!</v>
      </c>
      <c r="AQ1211" s="89">
        <f>DATE(2011,10,31)</f>
        <v>40847</v>
      </c>
      <c r="AR1211" s="82">
        <f t="shared" si="78"/>
        <v>31</v>
      </c>
      <c r="AS1211" s="83">
        <f t="shared" si="79"/>
        <v>10</v>
      </c>
      <c r="AT1211" s="84">
        <f t="shared" si="80"/>
        <v>2011</v>
      </c>
      <c r="AU1211" s="86"/>
      <c r="AV1211" s="86"/>
      <c r="AW1211" s="87"/>
      <c r="AX1211" s="86"/>
      <c r="AY1211" s="83"/>
      <c r="AZ1211" s="84"/>
      <c r="BA1211" s="86"/>
      <c r="BB1211" s="86"/>
    </row>
    <row r="1212" spans="1:54" ht="36.75" customHeight="1">
      <c r="A1212" s="30"/>
      <c r="B1212" s="30" t="s">
        <v>55</v>
      </c>
      <c r="C1212" s="69" t="str">
        <f t="shared" si="77"/>
        <v>Closed</v>
      </c>
      <c r="D1212" s="27" t="s">
        <v>6766</v>
      </c>
      <c r="E1212" s="29" t="s">
        <v>6767</v>
      </c>
      <c r="F1212" s="30" t="s">
        <v>138</v>
      </c>
      <c r="G1212" s="89">
        <f>DATE(2011,11,1)</f>
        <v>40848</v>
      </c>
      <c r="H1212" s="90">
        <v>1.5520833333333335</v>
      </c>
      <c r="I1212" s="30" t="s">
        <v>2264</v>
      </c>
      <c r="J1212" s="89" t="s">
        <v>6768</v>
      </c>
      <c r="K1212" s="30" t="s">
        <v>140</v>
      </c>
      <c r="L1212" s="30" t="s">
        <v>6769</v>
      </c>
      <c r="M1212" s="30" t="s">
        <v>63</v>
      </c>
      <c r="N1212" s="30" t="s">
        <v>99</v>
      </c>
      <c r="O1212" s="30" t="s">
        <v>64</v>
      </c>
      <c r="P1212" s="89" t="s">
        <v>301</v>
      </c>
      <c r="Q1212" s="89" t="s">
        <v>6770</v>
      </c>
      <c r="R1212" s="89">
        <v>0</v>
      </c>
      <c r="S1212" s="30">
        <v>0</v>
      </c>
      <c r="T1212" s="233">
        <v>0</v>
      </c>
      <c r="U1212" s="30">
        <v>0</v>
      </c>
      <c r="V1212" s="233">
        <v>0</v>
      </c>
      <c r="W1212" s="30">
        <v>0</v>
      </c>
      <c r="X1212" s="30">
        <v>0</v>
      </c>
      <c r="Y1212" s="30">
        <v>0</v>
      </c>
      <c r="Z1212" s="233">
        <v>0</v>
      </c>
      <c r="AA1212" s="30">
        <v>0</v>
      </c>
      <c r="AB1212" s="30">
        <v>0</v>
      </c>
      <c r="AC1212" s="30">
        <v>0</v>
      </c>
      <c r="AD1212" s="30">
        <v>0</v>
      </c>
      <c r="AE1212" s="89" t="s">
        <v>68</v>
      </c>
      <c r="AF1212" s="89"/>
      <c r="AG1212" s="89" t="s">
        <v>133</v>
      </c>
      <c r="AH1212" s="72">
        <v>40855</v>
      </c>
      <c r="AI1212" s="30">
        <v>3</v>
      </c>
      <c r="AJ1212" s="89" t="s">
        <v>6771</v>
      </c>
      <c r="AK1212" s="89" t="s">
        <v>6772</v>
      </c>
      <c r="AL1212" s="91">
        <v>40869</v>
      </c>
      <c r="AM1212" s="91"/>
      <c r="AN1212" s="91"/>
      <c r="AO1212" s="91"/>
      <c r="AP1212" s="73" t="e">
        <f>MID(VLOOKUP(K1212,#REF!,2,FALSE),1,2)</f>
        <v>#REF!</v>
      </c>
      <c r="AQ1212" s="89">
        <f>DATE(2011,11,1)</f>
        <v>40848</v>
      </c>
      <c r="AR1212" s="82">
        <f t="shared" si="78"/>
        <v>1</v>
      </c>
      <c r="AS1212" s="83">
        <f t="shared" si="79"/>
        <v>11</v>
      </c>
      <c r="AT1212" s="84">
        <f t="shared" si="80"/>
        <v>2011</v>
      </c>
      <c r="AU1212" s="86"/>
      <c r="AV1212" s="86"/>
      <c r="AW1212" s="87"/>
      <c r="AX1212" s="86"/>
      <c r="AY1212" s="83"/>
      <c r="AZ1212" s="84"/>
      <c r="BA1212" s="86"/>
      <c r="BB1212" s="86"/>
    </row>
    <row r="1213" spans="1:54" ht="36.75" customHeight="1">
      <c r="A1213" s="30"/>
      <c r="B1213" s="30" t="s">
        <v>55</v>
      </c>
      <c r="C1213" s="69" t="str">
        <f t="shared" si="77"/>
        <v>Closed</v>
      </c>
      <c r="D1213" s="27" t="s">
        <v>6773</v>
      </c>
      <c r="E1213" s="29" t="s">
        <v>6774</v>
      </c>
      <c r="F1213" s="30" t="s">
        <v>138</v>
      </c>
      <c r="G1213" s="89">
        <f>DATE(2011,11,2)</f>
        <v>40849</v>
      </c>
      <c r="H1213" s="90">
        <v>1.817361111111111</v>
      </c>
      <c r="I1213" s="30" t="s">
        <v>6775</v>
      </c>
      <c r="J1213" s="89" t="s">
        <v>6776</v>
      </c>
      <c r="K1213" s="30" t="s">
        <v>140</v>
      </c>
      <c r="L1213" s="30" t="s">
        <v>6777</v>
      </c>
      <c r="M1213" s="30" t="s">
        <v>63</v>
      </c>
      <c r="N1213" s="30" t="s">
        <v>142</v>
      </c>
      <c r="O1213" s="30" t="s">
        <v>77</v>
      </c>
      <c r="P1213" s="89" t="s">
        <v>86</v>
      </c>
      <c r="Q1213" s="89" t="s">
        <v>6778</v>
      </c>
      <c r="R1213" s="89" t="s">
        <v>4934</v>
      </c>
      <c r="S1213" s="30">
        <v>0</v>
      </c>
      <c r="T1213" s="233">
        <v>0</v>
      </c>
      <c r="U1213" s="30">
        <v>0</v>
      </c>
      <c r="V1213" s="233">
        <v>0</v>
      </c>
      <c r="W1213" s="30">
        <v>0</v>
      </c>
      <c r="X1213" s="30">
        <v>0</v>
      </c>
      <c r="Y1213" s="30">
        <v>0</v>
      </c>
      <c r="Z1213" s="233">
        <v>0</v>
      </c>
      <c r="AA1213" s="30">
        <v>0</v>
      </c>
      <c r="AB1213" s="30">
        <v>0</v>
      </c>
      <c r="AC1213" s="30">
        <v>0</v>
      </c>
      <c r="AD1213" s="30">
        <v>0</v>
      </c>
      <c r="AE1213" s="89" t="s">
        <v>92</v>
      </c>
      <c r="AF1213" s="89"/>
      <c r="AG1213" s="89" t="s">
        <v>133</v>
      </c>
      <c r="AH1213" s="72">
        <v>40850</v>
      </c>
      <c r="AI1213" s="30">
        <v>2</v>
      </c>
      <c r="AJ1213" s="89" t="s">
        <v>6779</v>
      </c>
      <c r="AK1213" s="89" t="s">
        <v>6780</v>
      </c>
      <c r="AL1213" s="91">
        <v>40869</v>
      </c>
      <c r="AM1213" s="91"/>
      <c r="AN1213" s="91"/>
      <c r="AO1213" s="91"/>
      <c r="AP1213" s="73" t="e">
        <f>MID(VLOOKUP(K1213,#REF!,2,FALSE),1,2)</f>
        <v>#REF!</v>
      </c>
      <c r="AQ1213" s="89">
        <f>DATE(2011,11,2)</f>
        <v>40849</v>
      </c>
      <c r="AR1213" s="82">
        <f t="shared" si="78"/>
        <v>2</v>
      </c>
      <c r="AS1213" s="83">
        <f t="shared" si="79"/>
        <v>11</v>
      </c>
      <c r="AT1213" s="84">
        <f t="shared" si="80"/>
        <v>2011</v>
      </c>
      <c r="AU1213" s="86"/>
      <c r="AV1213" s="86"/>
      <c r="AW1213" s="87"/>
      <c r="AX1213" s="86"/>
      <c r="AY1213" s="83"/>
      <c r="AZ1213" s="84"/>
      <c r="BA1213" s="86"/>
      <c r="BB1213" s="86"/>
    </row>
    <row r="1214" spans="1:54" ht="36.75" customHeight="1">
      <c r="A1214" s="30"/>
      <c r="B1214" s="30" t="s">
        <v>55</v>
      </c>
      <c r="C1214" s="69" t="str">
        <f t="shared" si="77"/>
        <v>Closed</v>
      </c>
      <c r="D1214" s="27" t="s">
        <v>6781</v>
      </c>
      <c r="E1214" s="29" t="s">
        <v>6782</v>
      </c>
      <c r="F1214" s="30" t="s">
        <v>638</v>
      </c>
      <c r="G1214" s="89">
        <f>DATE(2011,11,5)</f>
        <v>40852</v>
      </c>
      <c r="H1214" s="90">
        <v>1.4465277777777779</v>
      </c>
      <c r="I1214" s="30" t="s">
        <v>104</v>
      </c>
      <c r="J1214" s="89" t="s">
        <v>6783</v>
      </c>
      <c r="K1214" s="30" t="s">
        <v>640</v>
      </c>
      <c r="L1214" s="30" t="s">
        <v>6784</v>
      </c>
      <c r="M1214" s="30" t="s">
        <v>63</v>
      </c>
      <c r="N1214" s="30" t="s">
        <v>142</v>
      </c>
      <c r="O1214" s="30" t="s">
        <v>77</v>
      </c>
      <c r="P1214" s="89" t="s">
        <v>86</v>
      </c>
      <c r="Q1214" s="89" t="s">
        <v>642</v>
      </c>
      <c r="R1214" s="89" t="s">
        <v>643</v>
      </c>
      <c r="S1214" s="30">
        <v>0</v>
      </c>
      <c r="T1214" s="233">
        <v>0</v>
      </c>
      <c r="U1214" s="30">
        <v>0</v>
      </c>
      <c r="V1214" s="233">
        <v>0</v>
      </c>
      <c r="W1214" s="30">
        <v>0</v>
      </c>
      <c r="X1214" s="30">
        <v>0</v>
      </c>
      <c r="Y1214" s="30">
        <v>0</v>
      </c>
      <c r="Z1214" s="233">
        <v>0</v>
      </c>
      <c r="AA1214" s="30">
        <v>0</v>
      </c>
      <c r="AB1214" s="30">
        <v>0</v>
      </c>
      <c r="AC1214" s="30">
        <v>0</v>
      </c>
      <c r="AD1214" s="30">
        <v>0</v>
      </c>
      <c r="AE1214" s="89" t="s">
        <v>68</v>
      </c>
      <c r="AF1214" s="89"/>
      <c r="AG1214" s="89" t="s">
        <v>352</v>
      </c>
      <c r="AH1214" s="72">
        <v>40876</v>
      </c>
      <c r="AI1214" s="30">
        <v>0</v>
      </c>
      <c r="AJ1214" s="89" t="s">
        <v>6785</v>
      </c>
      <c r="AK1214" s="89" t="s">
        <v>1233</v>
      </c>
      <c r="AL1214" s="91">
        <v>40886</v>
      </c>
      <c r="AM1214" s="91"/>
      <c r="AN1214" s="91"/>
      <c r="AO1214" s="91"/>
      <c r="AP1214" s="73" t="e">
        <f>MID(VLOOKUP(K1214,#REF!,2,FALSE),1,2)</f>
        <v>#REF!</v>
      </c>
      <c r="AQ1214" s="89">
        <f>DATE(2011,11,5)</f>
        <v>40852</v>
      </c>
      <c r="AR1214" s="82">
        <f t="shared" si="78"/>
        <v>5</v>
      </c>
      <c r="AS1214" s="83">
        <f t="shared" si="79"/>
        <v>11</v>
      </c>
      <c r="AT1214" s="84">
        <f t="shared" si="80"/>
        <v>2011</v>
      </c>
      <c r="AU1214" s="86"/>
      <c r="AV1214" s="86"/>
      <c r="AW1214" s="87"/>
      <c r="AX1214" s="86"/>
      <c r="AY1214" s="83"/>
      <c r="AZ1214" s="84"/>
      <c r="BA1214" s="86"/>
      <c r="BB1214" s="86"/>
    </row>
    <row r="1215" spans="1:54" ht="36.75" customHeight="1">
      <c r="A1215" s="30"/>
      <c r="B1215" s="30" t="s">
        <v>55</v>
      </c>
      <c r="C1215" s="69" t="str">
        <f t="shared" si="77"/>
        <v>Closed</v>
      </c>
      <c r="D1215" s="27" t="s">
        <v>6786</v>
      </c>
      <c r="E1215" s="29" t="s">
        <v>6787</v>
      </c>
      <c r="F1215" s="30" t="s">
        <v>451</v>
      </c>
      <c r="G1215" s="89">
        <f>DATE(2011,11,7)</f>
        <v>40854</v>
      </c>
      <c r="H1215" s="90">
        <v>1.6368055555555556</v>
      </c>
      <c r="I1215" s="30" t="s">
        <v>104</v>
      </c>
      <c r="J1215" s="89" t="s">
        <v>6788</v>
      </c>
      <c r="K1215" s="30" t="s">
        <v>453</v>
      </c>
      <c r="L1215" s="30" t="s">
        <v>6789</v>
      </c>
      <c r="M1215" s="30" t="s">
        <v>63</v>
      </c>
      <c r="N1215" s="30" t="s">
        <v>142</v>
      </c>
      <c r="O1215" s="30" t="s">
        <v>64</v>
      </c>
      <c r="P1215" s="89" t="s">
        <v>65</v>
      </c>
      <c r="Q1215" s="89" t="s">
        <v>571</v>
      </c>
      <c r="R1215" s="89" t="s">
        <v>572</v>
      </c>
      <c r="S1215" s="30">
        <v>0</v>
      </c>
      <c r="T1215" s="233">
        <v>0</v>
      </c>
      <c r="U1215" s="30">
        <v>0</v>
      </c>
      <c r="V1215" s="233">
        <v>0</v>
      </c>
      <c r="W1215" s="30">
        <v>0</v>
      </c>
      <c r="X1215" s="30">
        <v>0</v>
      </c>
      <c r="Y1215" s="30">
        <v>0</v>
      </c>
      <c r="Z1215" s="233">
        <v>0</v>
      </c>
      <c r="AA1215" s="30">
        <v>0</v>
      </c>
      <c r="AB1215" s="30">
        <v>0</v>
      </c>
      <c r="AC1215" s="30">
        <v>0</v>
      </c>
      <c r="AD1215" s="30">
        <v>0</v>
      </c>
      <c r="AE1215" s="89" t="s">
        <v>92</v>
      </c>
      <c r="AF1215" s="89"/>
      <c r="AG1215" s="89" t="s">
        <v>133</v>
      </c>
      <c r="AH1215" s="72">
        <v>40855</v>
      </c>
      <c r="AI1215" s="30">
        <v>3</v>
      </c>
      <c r="AJ1215" s="89" t="s">
        <v>6790</v>
      </c>
      <c r="AK1215" s="89" t="s">
        <v>6791</v>
      </c>
      <c r="AL1215" s="91">
        <v>40900</v>
      </c>
      <c r="AM1215" s="91"/>
      <c r="AN1215" s="91"/>
      <c r="AO1215" s="91"/>
      <c r="AP1215" s="73" t="e">
        <f>MID(VLOOKUP(K1215,#REF!,2,FALSE),1,2)</f>
        <v>#REF!</v>
      </c>
      <c r="AQ1215" s="89">
        <f>DATE(2011,11,7)</f>
        <v>40854</v>
      </c>
      <c r="AR1215" s="82">
        <f t="shared" si="78"/>
        <v>7</v>
      </c>
      <c r="AS1215" s="83">
        <f t="shared" si="79"/>
        <v>11</v>
      </c>
      <c r="AT1215" s="84">
        <f t="shared" si="80"/>
        <v>2011</v>
      </c>
      <c r="AU1215" s="86"/>
      <c r="AV1215" s="86"/>
      <c r="AW1215" s="87"/>
      <c r="AX1215" s="86"/>
      <c r="AY1215" s="83"/>
      <c r="AZ1215" s="84"/>
      <c r="BA1215" s="86"/>
      <c r="BB1215" s="86"/>
    </row>
    <row r="1216" spans="1:54" ht="36.75" customHeight="1">
      <c r="A1216" s="30"/>
      <c r="B1216" s="30" t="s">
        <v>55</v>
      </c>
      <c r="C1216" s="69" t="str">
        <f t="shared" si="77"/>
        <v>Closed</v>
      </c>
      <c r="D1216" s="27" t="s">
        <v>6792</v>
      </c>
      <c r="E1216" s="29" t="s">
        <v>6793</v>
      </c>
      <c r="F1216" s="30" t="s">
        <v>835</v>
      </c>
      <c r="G1216" s="89">
        <f>DATE(2011,11,7)</f>
        <v>40854</v>
      </c>
      <c r="H1216" s="90">
        <v>1.4444444444444444</v>
      </c>
      <c r="I1216" s="30" t="s">
        <v>116</v>
      </c>
      <c r="J1216" s="89" t="s">
        <v>6794</v>
      </c>
      <c r="K1216" s="30" t="s">
        <v>837</v>
      </c>
      <c r="L1216" s="30" t="s">
        <v>6795</v>
      </c>
      <c r="M1216" s="30" t="s">
        <v>63</v>
      </c>
      <c r="N1216" s="30" t="s">
        <v>142</v>
      </c>
      <c r="O1216" s="30" t="s">
        <v>64</v>
      </c>
      <c r="P1216" s="89" t="s">
        <v>65</v>
      </c>
      <c r="Q1216" s="89" t="s">
        <v>2162</v>
      </c>
      <c r="R1216" s="89" t="s">
        <v>840</v>
      </c>
      <c r="S1216" s="30">
        <v>0</v>
      </c>
      <c r="T1216" s="233">
        <v>0</v>
      </c>
      <c r="U1216" s="30">
        <v>1</v>
      </c>
      <c r="V1216" s="233">
        <v>0</v>
      </c>
      <c r="W1216" s="30">
        <v>0</v>
      </c>
      <c r="X1216" s="30">
        <v>1</v>
      </c>
      <c r="Y1216" s="30">
        <v>0</v>
      </c>
      <c r="Z1216" s="233">
        <v>0</v>
      </c>
      <c r="AA1216" s="30">
        <v>0</v>
      </c>
      <c r="AB1216" s="30">
        <v>0</v>
      </c>
      <c r="AC1216" s="30">
        <v>0</v>
      </c>
      <c r="AD1216" s="30">
        <v>0</v>
      </c>
      <c r="AE1216" s="89" t="s">
        <v>92</v>
      </c>
      <c r="AF1216" s="89"/>
      <c r="AG1216" s="89" t="s">
        <v>352</v>
      </c>
      <c r="AH1216" s="72">
        <v>40855</v>
      </c>
      <c r="AI1216" s="30">
        <v>0</v>
      </c>
      <c r="AJ1216" s="89" t="s">
        <v>6796</v>
      </c>
      <c r="AK1216" s="89" t="s">
        <v>68</v>
      </c>
      <c r="AL1216" s="91">
        <v>40855</v>
      </c>
      <c r="AM1216" s="91"/>
      <c r="AN1216" s="91"/>
      <c r="AO1216" s="91"/>
      <c r="AP1216" s="73" t="e">
        <f>MID(VLOOKUP(K1216,#REF!,2,FALSE),1,2)</f>
        <v>#REF!</v>
      </c>
      <c r="AQ1216" s="89">
        <f>DATE(2011,11,7)</f>
        <v>40854</v>
      </c>
      <c r="AR1216" s="82">
        <f t="shared" si="78"/>
        <v>7</v>
      </c>
      <c r="AS1216" s="83">
        <f t="shared" si="79"/>
        <v>11</v>
      </c>
      <c r="AT1216" s="84">
        <f t="shared" si="80"/>
        <v>2011</v>
      </c>
      <c r="AU1216" s="86"/>
      <c r="AV1216" s="86"/>
      <c r="AW1216" s="87"/>
      <c r="AX1216" s="86"/>
      <c r="AY1216" s="83"/>
      <c r="AZ1216" s="84"/>
      <c r="BA1216" s="86"/>
      <c r="BB1216" s="86"/>
    </row>
    <row r="1217" spans="1:54" ht="36.75" customHeight="1">
      <c r="A1217" s="30"/>
      <c r="B1217" s="30" t="s">
        <v>55</v>
      </c>
      <c r="C1217" s="69" t="str">
        <f t="shared" si="77"/>
        <v>Closed</v>
      </c>
      <c r="D1217" s="27" t="s">
        <v>6797</v>
      </c>
      <c r="E1217" s="29" t="s">
        <v>6798</v>
      </c>
      <c r="F1217" s="30" t="s">
        <v>1572</v>
      </c>
      <c r="G1217" s="89">
        <f>DATE(2011,11,15)</f>
        <v>40862</v>
      </c>
      <c r="H1217" s="90">
        <v>1.3159722222222223</v>
      </c>
      <c r="I1217" s="30" t="s">
        <v>73</v>
      </c>
      <c r="J1217" s="89" t="s">
        <v>6799</v>
      </c>
      <c r="K1217" s="30" t="s">
        <v>1574</v>
      </c>
      <c r="L1217" s="30" t="s">
        <v>6800</v>
      </c>
      <c r="M1217" s="30" t="s">
        <v>63</v>
      </c>
      <c r="N1217" s="30">
        <v>0</v>
      </c>
      <c r="O1217" s="30" t="s">
        <v>64</v>
      </c>
      <c r="P1217" s="89" t="s">
        <v>78</v>
      </c>
      <c r="Q1217" s="89" t="s">
        <v>2655</v>
      </c>
      <c r="R1217" s="89">
        <v>0</v>
      </c>
      <c r="S1217" s="30">
        <v>0</v>
      </c>
      <c r="T1217" s="233">
        <v>0</v>
      </c>
      <c r="U1217" s="30">
        <v>0</v>
      </c>
      <c r="V1217" s="233">
        <v>0</v>
      </c>
      <c r="W1217" s="30">
        <v>0</v>
      </c>
      <c r="X1217" s="30">
        <v>0</v>
      </c>
      <c r="Y1217" s="30">
        <v>0</v>
      </c>
      <c r="Z1217" s="233">
        <v>0</v>
      </c>
      <c r="AA1217" s="30">
        <v>0</v>
      </c>
      <c r="AB1217" s="30">
        <v>0</v>
      </c>
      <c r="AC1217" s="30">
        <v>0</v>
      </c>
      <c r="AD1217" s="30">
        <v>0</v>
      </c>
      <c r="AE1217" s="89" t="s">
        <v>92</v>
      </c>
      <c r="AF1217" s="89"/>
      <c r="AG1217" s="89" t="s">
        <v>133</v>
      </c>
      <c r="AH1217" s="72" t="s">
        <v>68</v>
      </c>
      <c r="AI1217" s="30">
        <v>0</v>
      </c>
      <c r="AJ1217" s="89" t="s">
        <v>6801</v>
      </c>
      <c r="AK1217" s="89" t="s">
        <v>1233</v>
      </c>
      <c r="AL1217" s="91">
        <v>40864</v>
      </c>
      <c r="AM1217" s="91"/>
      <c r="AN1217" s="91"/>
      <c r="AO1217" s="91"/>
      <c r="AP1217" s="73" t="e">
        <f>MID(VLOOKUP(K1217,#REF!,2,FALSE),1,2)</f>
        <v>#REF!</v>
      </c>
      <c r="AQ1217" s="89">
        <f>DATE(2011,11,15)</f>
        <v>40862</v>
      </c>
      <c r="AR1217" s="82">
        <f t="shared" si="78"/>
        <v>15</v>
      </c>
      <c r="AS1217" s="83">
        <f t="shared" si="79"/>
        <v>11</v>
      </c>
      <c r="AT1217" s="84">
        <f t="shared" si="80"/>
        <v>2011</v>
      </c>
      <c r="AU1217" s="86"/>
      <c r="AV1217" s="86"/>
      <c r="AW1217" s="87"/>
      <c r="AX1217" s="86"/>
      <c r="AY1217" s="83"/>
      <c r="AZ1217" s="84"/>
      <c r="BA1217" s="86"/>
      <c r="BB1217" s="86"/>
    </row>
    <row r="1218" spans="1:54" ht="36.75" customHeight="1">
      <c r="A1218" s="30"/>
      <c r="B1218" s="30" t="s">
        <v>55</v>
      </c>
      <c r="C1218" s="69" t="str">
        <f t="shared" ref="C1218:C1281" si="81">IF(B1218="Notification","Open",IF(B1218="Interim Statement","In progress","Closed"))</f>
        <v>Closed</v>
      </c>
      <c r="D1218" s="27" t="s">
        <v>6802</v>
      </c>
      <c r="E1218" s="29" t="s">
        <v>6803</v>
      </c>
      <c r="F1218" s="30" t="s">
        <v>423</v>
      </c>
      <c r="G1218" s="89">
        <f>DATE(2011,11,17)</f>
        <v>40864</v>
      </c>
      <c r="H1218" s="90">
        <v>1.9500000000000002</v>
      </c>
      <c r="I1218" s="30" t="s">
        <v>73</v>
      </c>
      <c r="J1218" s="89" t="s">
        <v>6804</v>
      </c>
      <c r="K1218" s="30" t="s">
        <v>425</v>
      </c>
      <c r="L1218" s="30" t="s">
        <v>6805</v>
      </c>
      <c r="M1218" s="30" t="s">
        <v>63</v>
      </c>
      <c r="N1218" s="30" t="s">
        <v>99</v>
      </c>
      <c r="O1218" s="30" t="s">
        <v>64</v>
      </c>
      <c r="P1218" s="89" t="s">
        <v>165</v>
      </c>
      <c r="Q1218" s="89" t="s">
        <v>427</v>
      </c>
      <c r="R1218" s="89" t="s">
        <v>3103</v>
      </c>
      <c r="S1218" s="30">
        <v>0</v>
      </c>
      <c r="T1218" s="233">
        <v>0</v>
      </c>
      <c r="U1218" s="30">
        <v>0</v>
      </c>
      <c r="V1218" s="233">
        <v>0</v>
      </c>
      <c r="W1218" s="30">
        <v>0</v>
      </c>
      <c r="X1218" s="30">
        <v>0</v>
      </c>
      <c r="Y1218" s="30">
        <v>0</v>
      </c>
      <c r="Z1218" s="233">
        <v>0</v>
      </c>
      <c r="AA1218" s="30">
        <v>0</v>
      </c>
      <c r="AB1218" s="30">
        <v>0</v>
      </c>
      <c r="AC1218" s="30">
        <v>0</v>
      </c>
      <c r="AD1218" s="30">
        <v>0</v>
      </c>
      <c r="AE1218" s="89" t="s">
        <v>92</v>
      </c>
      <c r="AF1218" s="89"/>
      <c r="AG1218" s="89" t="s">
        <v>133</v>
      </c>
      <c r="AH1218" s="72">
        <v>40870</v>
      </c>
      <c r="AI1218" s="30">
        <v>3</v>
      </c>
      <c r="AJ1218" s="89" t="s">
        <v>6806</v>
      </c>
      <c r="AK1218" s="89" t="s">
        <v>6807</v>
      </c>
      <c r="AL1218" s="91">
        <v>40870</v>
      </c>
      <c r="AM1218" s="91"/>
      <c r="AN1218" s="91"/>
      <c r="AO1218" s="91"/>
      <c r="AP1218" s="73" t="e">
        <f>MID(VLOOKUP(K1218,#REF!,2,FALSE),1,2)</f>
        <v>#REF!</v>
      </c>
      <c r="AQ1218" s="89">
        <f>DATE(2011,11,17)</f>
        <v>40864</v>
      </c>
      <c r="AR1218" s="82">
        <f t="shared" ref="AR1218:AR1281" si="82">DAY(AQ1218)</f>
        <v>17</v>
      </c>
      <c r="AS1218" s="83">
        <f t="shared" ref="AS1218:AS1281" si="83">MONTH(AQ1218)</f>
        <v>11</v>
      </c>
      <c r="AT1218" s="84">
        <f t="shared" ref="AT1218:AT1281" si="84">YEAR(AQ1218)</f>
        <v>2011</v>
      </c>
      <c r="AU1218" s="86"/>
      <c r="AV1218" s="86"/>
      <c r="AW1218" s="87"/>
      <c r="AX1218" s="86"/>
      <c r="AY1218" s="83"/>
      <c r="AZ1218" s="84"/>
      <c r="BA1218" s="86"/>
      <c r="BB1218" s="86"/>
    </row>
    <row r="1219" spans="1:54" ht="36.75" customHeight="1">
      <c r="A1219" s="30"/>
      <c r="B1219" s="30" t="s">
        <v>55</v>
      </c>
      <c r="C1219" s="69" t="str">
        <f t="shared" si="81"/>
        <v>Closed</v>
      </c>
      <c r="D1219" s="27" t="s">
        <v>6808</v>
      </c>
      <c r="E1219" s="29" t="s">
        <v>6809</v>
      </c>
      <c r="F1219" s="30" t="s">
        <v>835</v>
      </c>
      <c r="G1219" s="89">
        <f>DATE(2011,11,17)</f>
        <v>40864</v>
      </c>
      <c r="H1219" s="90">
        <v>1.7048611111111112</v>
      </c>
      <c r="I1219" s="30" t="s">
        <v>116</v>
      </c>
      <c r="J1219" s="89" t="s">
        <v>6810</v>
      </c>
      <c r="K1219" s="30" t="s">
        <v>837</v>
      </c>
      <c r="L1219" s="30" t="s">
        <v>6811</v>
      </c>
      <c r="M1219" s="30" t="s">
        <v>63</v>
      </c>
      <c r="N1219" s="30" t="s">
        <v>99</v>
      </c>
      <c r="O1219" s="30" t="s">
        <v>64</v>
      </c>
      <c r="P1219" s="89" t="s">
        <v>165</v>
      </c>
      <c r="Q1219" s="89" t="s">
        <v>2162</v>
      </c>
      <c r="R1219" s="89" t="s">
        <v>840</v>
      </c>
      <c r="S1219" s="30">
        <v>0</v>
      </c>
      <c r="T1219" s="233">
        <v>0</v>
      </c>
      <c r="U1219" s="30">
        <v>0</v>
      </c>
      <c r="V1219" s="233">
        <v>0</v>
      </c>
      <c r="W1219" s="30">
        <v>0</v>
      </c>
      <c r="X1219" s="30">
        <v>0</v>
      </c>
      <c r="Y1219" s="30">
        <v>0</v>
      </c>
      <c r="Z1219" s="233">
        <v>0</v>
      </c>
      <c r="AA1219" s="30">
        <v>1</v>
      </c>
      <c r="AB1219" s="30">
        <v>0</v>
      </c>
      <c r="AC1219" s="30">
        <v>0</v>
      </c>
      <c r="AD1219" s="30">
        <v>1</v>
      </c>
      <c r="AE1219" s="89" t="s">
        <v>68</v>
      </c>
      <c r="AF1219" s="89"/>
      <c r="AG1219" s="89" t="s">
        <v>352</v>
      </c>
      <c r="AH1219" s="72">
        <v>40864</v>
      </c>
      <c r="AI1219" s="30">
        <v>0</v>
      </c>
      <c r="AJ1219" s="89" t="s">
        <v>6812</v>
      </c>
      <c r="AK1219" s="89" t="s">
        <v>68</v>
      </c>
      <c r="AL1219" s="91">
        <v>40865</v>
      </c>
      <c r="AM1219" s="91"/>
      <c r="AN1219" s="91"/>
      <c r="AO1219" s="91"/>
      <c r="AP1219" s="73" t="e">
        <f>MID(VLOOKUP(K1219,#REF!,2,FALSE),1,2)</f>
        <v>#REF!</v>
      </c>
      <c r="AQ1219" s="89">
        <f>DATE(2011,11,17)</f>
        <v>40864</v>
      </c>
      <c r="AR1219" s="82">
        <f t="shared" si="82"/>
        <v>17</v>
      </c>
      <c r="AS1219" s="83">
        <f t="shared" si="83"/>
        <v>11</v>
      </c>
      <c r="AT1219" s="84">
        <f t="shared" si="84"/>
        <v>2011</v>
      </c>
      <c r="AU1219" s="86"/>
      <c r="AV1219" s="86"/>
      <c r="AW1219" s="87"/>
      <c r="AX1219" s="86"/>
      <c r="AY1219" s="83"/>
      <c r="AZ1219" s="84"/>
      <c r="BA1219" s="86"/>
      <c r="BB1219" s="86"/>
    </row>
    <row r="1220" spans="1:54" ht="36.75" customHeight="1">
      <c r="A1220" s="30"/>
      <c r="B1220" s="30" t="s">
        <v>55</v>
      </c>
      <c r="C1220" s="69" t="str">
        <f t="shared" si="81"/>
        <v>Closed</v>
      </c>
      <c r="D1220" s="27" t="s">
        <v>6813</v>
      </c>
      <c r="E1220" s="29" t="s">
        <v>6814</v>
      </c>
      <c r="F1220" s="30" t="s">
        <v>835</v>
      </c>
      <c r="G1220" s="89">
        <f>DATE(2011,11,20)</f>
        <v>40867</v>
      </c>
      <c r="H1220" s="90">
        <v>1.4375</v>
      </c>
      <c r="I1220" s="30" t="s">
        <v>116</v>
      </c>
      <c r="J1220" s="89" t="s">
        <v>6815</v>
      </c>
      <c r="K1220" s="30" t="s">
        <v>837</v>
      </c>
      <c r="L1220" s="30" t="s">
        <v>6816</v>
      </c>
      <c r="M1220" s="30" t="s">
        <v>63</v>
      </c>
      <c r="N1220" s="30" t="s">
        <v>142</v>
      </c>
      <c r="O1220" s="30" t="s">
        <v>64</v>
      </c>
      <c r="P1220" s="89" t="s">
        <v>165</v>
      </c>
      <c r="Q1220" s="89" t="s">
        <v>4210</v>
      </c>
      <c r="R1220" s="89" t="s">
        <v>4210</v>
      </c>
      <c r="S1220" s="30">
        <v>0</v>
      </c>
      <c r="T1220" s="233">
        <v>0</v>
      </c>
      <c r="U1220" s="30">
        <v>0</v>
      </c>
      <c r="V1220" s="233">
        <v>0</v>
      </c>
      <c r="W1220" s="30">
        <v>0</v>
      </c>
      <c r="X1220" s="30">
        <v>0</v>
      </c>
      <c r="Y1220" s="30">
        <v>0</v>
      </c>
      <c r="Z1220" s="233">
        <v>0</v>
      </c>
      <c r="AA1220" s="30">
        <v>1</v>
      </c>
      <c r="AB1220" s="30">
        <v>0</v>
      </c>
      <c r="AC1220" s="30">
        <v>0</v>
      </c>
      <c r="AD1220" s="30">
        <v>1</v>
      </c>
      <c r="AE1220" s="89" t="s">
        <v>92</v>
      </c>
      <c r="AF1220" s="89"/>
      <c r="AG1220" s="89" t="s">
        <v>352</v>
      </c>
      <c r="AH1220" s="72">
        <v>40877</v>
      </c>
      <c r="AI1220" s="30">
        <v>0</v>
      </c>
      <c r="AJ1220" s="89" t="s">
        <v>6817</v>
      </c>
      <c r="AK1220" s="89" t="s">
        <v>68</v>
      </c>
      <c r="AL1220" s="91">
        <v>40882</v>
      </c>
      <c r="AM1220" s="91"/>
      <c r="AN1220" s="91"/>
      <c r="AO1220" s="91"/>
      <c r="AP1220" s="73" t="e">
        <f>MID(VLOOKUP(K1220,#REF!,2,FALSE),1,2)</f>
        <v>#REF!</v>
      </c>
      <c r="AQ1220" s="89">
        <f>DATE(2011,11,20)</f>
        <v>40867</v>
      </c>
      <c r="AR1220" s="82">
        <f t="shared" si="82"/>
        <v>20</v>
      </c>
      <c r="AS1220" s="83">
        <f t="shared" si="83"/>
        <v>11</v>
      </c>
      <c r="AT1220" s="84">
        <f t="shared" si="84"/>
        <v>2011</v>
      </c>
      <c r="AU1220" s="86"/>
      <c r="AV1220" s="86"/>
      <c r="AW1220" s="87"/>
      <c r="AX1220" s="86"/>
      <c r="AY1220" s="83"/>
      <c r="AZ1220" s="84"/>
      <c r="BA1220" s="86"/>
      <c r="BB1220" s="86"/>
    </row>
    <row r="1221" spans="1:54" ht="36.75" customHeight="1">
      <c r="A1221" s="30"/>
      <c r="B1221" s="30" t="s">
        <v>55</v>
      </c>
      <c r="C1221" s="69" t="str">
        <f t="shared" si="81"/>
        <v>Closed</v>
      </c>
      <c r="D1221" s="27" t="s">
        <v>6818</v>
      </c>
      <c r="E1221" s="29" t="s">
        <v>6819</v>
      </c>
      <c r="F1221" s="30" t="s">
        <v>423</v>
      </c>
      <c r="G1221" s="89">
        <f>DATE(2011,11,22)</f>
        <v>40869</v>
      </c>
      <c r="H1221" s="90">
        <v>1.96875</v>
      </c>
      <c r="I1221" s="30" t="s">
        <v>156</v>
      </c>
      <c r="J1221" s="89" t="s">
        <v>6820</v>
      </c>
      <c r="K1221" s="30" t="s">
        <v>425</v>
      </c>
      <c r="L1221" s="30" t="s">
        <v>6821</v>
      </c>
      <c r="M1221" s="30" t="s">
        <v>63</v>
      </c>
      <c r="N1221" s="30" t="s">
        <v>142</v>
      </c>
      <c r="O1221" s="30" t="s">
        <v>77</v>
      </c>
      <c r="P1221" s="89" t="s">
        <v>78</v>
      </c>
      <c r="Q1221" s="89" t="s">
        <v>2582</v>
      </c>
      <c r="R1221" s="89" t="s">
        <v>3103</v>
      </c>
      <c r="S1221" s="30">
        <v>0</v>
      </c>
      <c r="T1221" s="233">
        <v>0</v>
      </c>
      <c r="U1221" s="30">
        <v>0</v>
      </c>
      <c r="V1221" s="233">
        <v>0</v>
      </c>
      <c r="W1221" s="30">
        <v>0</v>
      </c>
      <c r="X1221" s="30">
        <v>0</v>
      </c>
      <c r="Y1221" s="30">
        <v>0</v>
      </c>
      <c r="Z1221" s="233">
        <v>0</v>
      </c>
      <c r="AA1221" s="30">
        <v>0</v>
      </c>
      <c r="AB1221" s="30">
        <v>0</v>
      </c>
      <c r="AC1221" s="30">
        <v>0</v>
      </c>
      <c r="AD1221" s="30">
        <v>0</v>
      </c>
      <c r="AE1221" s="89" t="s">
        <v>92</v>
      </c>
      <c r="AF1221" s="89"/>
      <c r="AG1221" s="89" t="s">
        <v>69</v>
      </c>
      <c r="AH1221" s="72">
        <v>40932</v>
      </c>
      <c r="AI1221" s="30">
        <v>3</v>
      </c>
      <c r="AJ1221" s="89" t="s">
        <v>6822</v>
      </c>
      <c r="AK1221" s="89" t="s">
        <v>6823</v>
      </c>
      <c r="AL1221" s="91">
        <v>40934</v>
      </c>
      <c r="AM1221" s="91"/>
      <c r="AN1221" s="91"/>
      <c r="AO1221" s="91"/>
      <c r="AP1221" s="73" t="e">
        <f>MID(VLOOKUP(K1221,#REF!,2,FALSE),1,2)</f>
        <v>#REF!</v>
      </c>
      <c r="AQ1221" s="89">
        <f>DATE(2011,11,22)</f>
        <v>40869</v>
      </c>
      <c r="AR1221" s="82">
        <f t="shared" si="82"/>
        <v>22</v>
      </c>
      <c r="AS1221" s="83">
        <f t="shared" si="83"/>
        <v>11</v>
      </c>
      <c r="AT1221" s="84">
        <f t="shared" si="84"/>
        <v>2011</v>
      </c>
      <c r="AU1221" s="86"/>
      <c r="AV1221" s="86"/>
      <c r="AW1221" s="87"/>
      <c r="AX1221" s="86"/>
      <c r="AY1221" s="83"/>
      <c r="AZ1221" s="84"/>
      <c r="BA1221" s="86"/>
      <c r="BB1221" s="86"/>
    </row>
    <row r="1222" spans="1:54" ht="36.75" customHeight="1">
      <c r="A1222" s="30"/>
      <c r="B1222" s="30" t="s">
        <v>55</v>
      </c>
      <c r="C1222" s="69" t="str">
        <f t="shared" si="81"/>
        <v>Closed</v>
      </c>
      <c r="D1222" s="27" t="s">
        <v>6824</v>
      </c>
      <c r="E1222" s="29" t="s">
        <v>6825</v>
      </c>
      <c r="F1222" s="30" t="s">
        <v>377</v>
      </c>
      <c r="G1222" s="89">
        <f>DATE(2011,11,22)</f>
        <v>40869</v>
      </c>
      <c r="H1222" s="90">
        <v>1.78125</v>
      </c>
      <c r="I1222" s="30" t="s">
        <v>73</v>
      </c>
      <c r="J1222" s="89" t="s">
        <v>6826</v>
      </c>
      <c r="K1222" s="30" t="s">
        <v>379</v>
      </c>
      <c r="L1222" s="30" t="s">
        <v>6827</v>
      </c>
      <c r="M1222" s="30" t="s">
        <v>63</v>
      </c>
      <c r="N1222" s="30" t="s">
        <v>99</v>
      </c>
      <c r="O1222" s="30" t="s">
        <v>64</v>
      </c>
      <c r="P1222" s="89" t="s">
        <v>165</v>
      </c>
      <c r="Q1222" s="89" t="s">
        <v>2906</v>
      </c>
      <c r="R1222" s="89" t="s">
        <v>382</v>
      </c>
      <c r="S1222" s="30">
        <v>0</v>
      </c>
      <c r="T1222" s="233">
        <v>0</v>
      </c>
      <c r="U1222" s="30">
        <v>0</v>
      </c>
      <c r="V1222" s="233">
        <v>0</v>
      </c>
      <c r="W1222" s="30">
        <v>0</v>
      </c>
      <c r="X1222" s="30">
        <v>0</v>
      </c>
      <c r="Y1222" s="30">
        <v>0</v>
      </c>
      <c r="Z1222" s="233">
        <v>0</v>
      </c>
      <c r="AA1222" s="30">
        <v>0</v>
      </c>
      <c r="AB1222" s="30">
        <v>0</v>
      </c>
      <c r="AC1222" s="30">
        <v>0</v>
      </c>
      <c r="AD1222" s="30">
        <v>0</v>
      </c>
      <c r="AE1222" s="89" t="s">
        <v>394</v>
      </c>
      <c r="AF1222" s="89"/>
      <c r="AG1222" s="89" t="s">
        <v>82</v>
      </c>
      <c r="AH1222" s="72">
        <v>40869</v>
      </c>
      <c r="AI1222" s="30">
        <v>2</v>
      </c>
      <c r="AJ1222" s="89" t="s">
        <v>6828</v>
      </c>
      <c r="AK1222" s="89" t="s">
        <v>6829</v>
      </c>
      <c r="AL1222" s="91">
        <v>40876</v>
      </c>
      <c r="AM1222" s="91"/>
      <c r="AN1222" s="91"/>
      <c r="AO1222" s="91"/>
      <c r="AP1222" s="73" t="e">
        <f>MID(VLOOKUP(K1222,#REF!,2,FALSE),1,2)</f>
        <v>#REF!</v>
      </c>
      <c r="AQ1222" s="89">
        <f>DATE(2011,11,22)</f>
        <v>40869</v>
      </c>
      <c r="AR1222" s="82">
        <f t="shared" si="82"/>
        <v>22</v>
      </c>
      <c r="AS1222" s="83">
        <f t="shared" si="83"/>
        <v>11</v>
      </c>
      <c r="AT1222" s="84">
        <f t="shared" si="84"/>
        <v>2011</v>
      </c>
      <c r="AU1222" s="86"/>
      <c r="AV1222" s="86"/>
      <c r="AW1222" s="87"/>
      <c r="AX1222" s="86"/>
      <c r="AY1222" s="83"/>
      <c r="AZ1222" s="84"/>
      <c r="BA1222" s="86"/>
      <c r="BB1222" s="86"/>
    </row>
    <row r="1223" spans="1:54" ht="36.75" customHeight="1">
      <c r="A1223" s="30"/>
      <c r="B1223" s="30" t="s">
        <v>55</v>
      </c>
      <c r="C1223" s="69" t="str">
        <f t="shared" si="81"/>
        <v>Closed</v>
      </c>
      <c r="D1223" s="27" t="s">
        <v>6830</v>
      </c>
      <c r="E1223" s="29" t="s">
        <v>6831</v>
      </c>
      <c r="F1223" s="30" t="s">
        <v>233</v>
      </c>
      <c r="G1223" s="89">
        <f>DATE(2011,11,30)</f>
        <v>40877</v>
      </c>
      <c r="H1223" s="90">
        <v>1.8159722222222223</v>
      </c>
      <c r="I1223" s="30" t="s">
        <v>156</v>
      </c>
      <c r="J1223" s="89" t="s">
        <v>6832</v>
      </c>
      <c r="K1223" s="30" t="s">
        <v>235</v>
      </c>
      <c r="L1223" s="30" t="s">
        <v>6833</v>
      </c>
      <c r="M1223" s="30" t="s">
        <v>63</v>
      </c>
      <c r="N1223" s="30" t="s">
        <v>142</v>
      </c>
      <c r="O1223" s="30" t="s">
        <v>64</v>
      </c>
      <c r="P1223" s="89" t="s">
        <v>165</v>
      </c>
      <c r="Q1223" s="89" t="s">
        <v>2876</v>
      </c>
      <c r="R1223" s="89" t="s">
        <v>238</v>
      </c>
      <c r="S1223" s="30">
        <v>0</v>
      </c>
      <c r="T1223" s="233">
        <v>0</v>
      </c>
      <c r="U1223" s="30">
        <v>0</v>
      </c>
      <c r="V1223" s="233">
        <v>0</v>
      </c>
      <c r="W1223" s="30">
        <v>0</v>
      </c>
      <c r="X1223" s="30">
        <v>0</v>
      </c>
      <c r="Y1223" s="30">
        <v>0</v>
      </c>
      <c r="Z1223" s="233">
        <v>0</v>
      </c>
      <c r="AA1223" s="30">
        <v>0</v>
      </c>
      <c r="AB1223" s="30">
        <v>0</v>
      </c>
      <c r="AC1223" s="30">
        <v>0</v>
      </c>
      <c r="AD1223" s="30">
        <v>0</v>
      </c>
      <c r="AE1223" s="89" t="s">
        <v>68</v>
      </c>
      <c r="AF1223" s="89"/>
      <c r="AG1223" s="89" t="s">
        <v>133</v>
      </c>
      <c r="AH1223" s="72" t="s">
        <v>68</v>
      </c>
      <c r="AI1223" s="30">
        <v>9</v>
      </c>
      <c r="AJ1223" s="89" t="s">
        <v>6834</v>
      </c>
      <c r="AK1223" s="89" t="s">
        <v>6835</v>
      </c>
      <c r="AL1223" s="91">
        <v>40919</v>
      </c>
      <c r="AM1223" s="91"/>
      <c r="AN1223" s="91"/>
      <c r="AO1223" s="91"/>
      <c r="AP1223" s="73" t="e">
        <f>MID(VLOOKUP(K1223,#REF!,2,FALSE),1,2)</f>
        <v>#REF!</v>
      </c>
      <c r="AQ1223" s="89">
        <f>DATE(2011,11,30)</f>
        <v>40877</v>
      </c>
      <c r="AR1223" s="82">
        <f t="shared" si="82"/>
        <v>30</v>
      </c>
      <c r="AS1223" s="83">
        <f t="shared" si="83"/>
        <v>11</v>
      </c>
      <c r="AT1223" s="84">
        <f t="shared" si="84"/>
        <v>2011</v>
      </c>
      <c r="AU1223" s="86"/>
      <c r="AV1223" s="86"/>
      <c r="AW1223" s="87"/>
      <c r="AX1223" s="86"/>
      <c r="AY1223" s="83"/>
      <c r="AZ1223" s="84"/>
      <c r="BA1223" s="86"/>
      <c r="BB1223" s="86"/>
    </row>
    <row r="1224" spans="1:54" ht="36.75" customHeight="1">
      <c r="A1224" s="30"/>
      <c r="B1224" s="30" t="s">
        <v>55</v>
      </c>
      <c r="C1224" s="69" t="str">
        <f t="shared" si="81"/>
        <v>Closed</v>
      </c>
      <c r="D1224" s="27" t="s">
        <v>6836</v>
      </c>
      <c r="E1224" s="29" t="s">
        <v>6837</v>
      </c>
      <c r="F1224" s="30" t="s">
        <v>1572</v>
      </c>
      <c r="G1224" s="89">
        <f>DATE(2011,12,2)</f>
        <v>40879</v>
      </c>
      <c r="H1224" s="90">
        <v>1.8013888888888889</v>
      </c>
      <c r="I1224" s="30" t="s">
        <v>73</v>
      </c>
      <c r="J1224" s="89" t="s">
        <v>6838</v>
      </c>
      <c r="K1224" s="30" t="s">
        <v>1574</v>
      </c>
      <c r="L1224" s="30" t="s">
        <v>6839</v>
      </c>
      <c r="M1224" s="30" t="s">
        <v>63</v>
      </c>
      <c r="N1224" s="30">
        <v>0</v>
      </c>
      <c r="O1224" s="30" t="s">
        <v>64</v>
      </c>
      <c r="P1224" s="89" t="s">
        <v>78</v>
      </c>
      <c r="Q1224" s="89" t="s">
        <v>2655</v>
      </c>
      <c r="R1224" s="89">
        <v>0</v>
      </c>
      <c r="S1224" s="30">
        <v>0</v>
      </c>
      <c r="T1224" s="233">
        <v>0</v>
      </c>
      <c r="U1224" s="30">
        <v>0</v>
      </c>
      <c r="V1224" s="233">
        <v>0</v>
      </c>
      <c r="W1224" s="30">
        <v>0</v>
      </c>
      <c r="X1224" s="30">
        <v>0</v>
      </c>
      <c r="Y1224" s="30">
        <v>0</v>
      </c>
      <c r="Z1224" s="233">
        <v>0</v>
      </c>
      <c r="AA1224" s="30">
        <v>0</v>
      </c>
      <c r="AB1224" s="30">
        <v>0</v>
      </c>
      <c r="AC1224" s="30">
        <v>0</v>
      </c>
      <c r="AD1224" s="30">
        <v>0</v>
      </c>
      <c r="AE1224" s="89" t="s">
        <v>92</v>
      </c>
      <c r="AF1224" s="89"/>
      <c r="AG1224" s="89" t="s">
        <v>133</v>
      </c>
      <c r="AH1224" s="72" t="s">
        <v>68</v>
      </c>
      <c r="AI1224" s="30">
        <v>0</v>
      </c>
      <c r="AJ1224" s="89" t="s">
        <v>6840</v>
      </c>
      <c r="AK1224" s="89" t="s">
        <v>1233</v>
      </c>
      <c r="AL1224" s="91">
        <v>40883</v>
      </c>
      <c r="AM1224" s="91"/>
      <c r="AN1224" s="91"/>
      <c r="AO1224" s="91"/>
      <c r="AP1224" s="73" t="e">
        <f>MID(VLOOKUP(K1224,#REF!,2,FALSE),1,2)</f>
        <v>#REF!</v>
      </c>
      <c r="AQ1224" s="89">
        <f>DATE(2011,12,2)</f>
        <v>40879</v>
      </c>
      <c r="AR1224" s="82">
        <f t="shared" si="82"/>
        <v>2</v>
      </c>
      <c r="AS1224" s="83">
        <f t="shared" si="83"/>
        <v>12</v>
      </c>
      <c r="AT1224" s="84">
        <f t="shared" si="84"/>
        <v>2011</v>
      </c>
      <c r="AU1224" s="86"/>
      <c r="AV1224" s="86"/>
      <c r="AW1224" s="87"/>
      <c r="AX1224" s="86"/>
      <c r="AY1224" s="83"/>
      <c r="AZ1224" s="84"/>
      <c r="BA1224" s="86"/>
      <c r="BB1224" s="86"/>
    </row>
    <row r="1225" spans="1:54" ht="36.75" customHeight="1">
      <c r="A1225" s="30"/>
      <c r="B1225" s="30" t="s">
        <v>55</v>
      </c>
      <c r="C1225" s="69" t="str">
        <f t="shared" si="81"/>
        <v>Closed</v>
      </c>
      <c r="D1225" s="27" t="s">
        <v>6841</v>
      </c>
      <c r="E1225" s="29" t="s">
        <v>6842</v>
      </c>
      <c r="F1225" s="30" t="s">
        <v>115</v>
      </c>
      <c r="G1225" s="89">
        <f>DATE(2011,12,4)</f>
        <v>40881</v>
      </c>
      <c r="H1225" s="90">
        <v>1.7222222222222223</v>
      </c>
      <c r="I1225" s="30" t="s">
        <v>116</v>
      </c>
      <c r="J1225" s="89" t="s">
        <v>6843</v>
      </c>
      <c r="K1225" s="30" t="s">
        <v>118</v>
      </c>
      <c r="L1225" s="30" t="s">
        <v>6844</v>
      </c>
      <c r="M1225" s="30" t="s">
        <v>63</v>
      </c>
      <c r="N1225" s="30" t="s">
        <v>99</v>
      </c>
      <c r="O1225" s="30" t="s">
        <v>64</v>
      </c>
      <c r="P1225" s="89" t="s">
        <v>165</v>
      </c>
      <c r="Q1225" s="89" t="s">
        <v>120</v>
      </c>
      <c r="R1225" s="89" t="s">
        <v>121</v>
      </c>
      <c r="S1225" s="30">
        <v>0</v>
      </c>
      <c r="T1225" s="233">
        <v>0</v>
      </c>
      <c r="U1225" s="30">
        <v>4</v>
      </c>
      <c r="V1225" s="233">
        <v>0</v>
      </c>
      <c r="W1225" s="30">
        <v>0</v>
      </c>
      <c r="X1225" s="30">
        <v>4</v>
      </c>
      <c r="Y1225" s="30">
        <v>0</v>
      </c>
      <c r="Z1225" s="233">
        <v>0</v>
      </c>
      <c r="AA1225" s="30">
        <v>1</v>
      </c>
      <c r="AB1225" s="30">
        <v>0</v>
      </c>
      <c r="AC1225" s="30">
        <v>0</v>
      </c>
      <c r="AD1225" s="30">
        <v>1</v>
      </c>
      <c r="AE1225" s="89" t="s">
        <v>92</v>
      </c>
      <c r="AF1225" s="89"/>
      <c r="AG1225" s="89" t="s">
        <v>82</v>
      </c>
      <c r="AH1225" s="72">
        <v>40882</v>
      </c>
      <c r="AI1225" s="30">
        <v>2</v>
      </c>
      <c r="AJ1225" s="89" t="s">
        <v>6845</v>
      </c>
      <c r="AK1225" s="89" t="s">
        <v>6846</v>
      </c>
      <c r="AL1225" s="91">
        <v>40911</v>
      </c>
      <c r="AM1225" s="91"/>
      <c r="AN1225" s="91"/>
      <c r="AO1225" s="91"/>
      <c r="AP1225" s="73" t="e">
        <f>MID(VLOOKUP(K1225,#REF!,2,FALSE),1,2)</f>
        <v>#REF!</v>
      </c>
      <c r="AQ1225" s="89">
        <f>DATE(2011,12,4)</f>
        <v>40881</v>
      </c>
      <c r="AR1225" s="82">
        <f t="shared" si="82"/>
        <v>4</v>
      </c>
      <c r="AS1225" s="83">
        <f t="shared" si="83"/>
        <v>12</v>
      </c>
      <c r="AT1225" s="84">
        <f t="shared" si="84"/>
        <v>2011</v>
      </c>
      <c r="AU1225" s="86"/>
      <c r="AV1225" s="86"/>
      <c r="AW1225" s="87"/>
      <c r="AX1225" s="86"/>
      <c r="AY1225" s="83"/>
      <c r="AZ1225" s="84"/>
      <c r="BA1225" s="86"/>
      <c r="BB1225" s="86"/>
    </row>
    <row r="1226" spans="1:54" ht="36.75" customHeight="1">
      <c r="A1226" s="30"/>
      <c r="B1226" s="30" t="s">
        <v>55</v>
      </c>
      <c r="C1226" s="69" t="str">
        <f t="shared" si="81"/>
        <v>Closed</v>
      </c>
      <c r="D1226" s="27" t="s">
        <v>6847</v>
      </c>
      <c r="E1226" s="29" t="s">
        <v>6848</v>
      </c>
      <c r="F1226" s="30" t="s">
        <v>423</v>
      </c>
      <c r="G1226" s="89">
        <f>DATE(2011,12,5)</f>
        <v>40882</v>
      </c>
      <c r="H1226" s="90">
        <v>1.6236111111111111</v>
      </c>
      <c r="I1226" s="30" t="s">
        <v>104</v>
      </c>
      <c r="J1226" s="89" t="s">
        <v>6849</v>
      </c>
      <c r="K1226" s="30" t="s">
        <v>425</v>
      </c>
      <c r="L1226" s="30" t="s">
        <v>6850</v>
      </c>
      <c r="M1226" s="30" t="s">
        <v>63</v>
      </c>
      <c r="N1226" s="30" t="s">
        <v>99</v>
      </c>
      <c r="O1226" s="30" t="s">
        <v>77</v>
      </c>
      <c r="P1226" s="89" t="s">
        <v>165</v>
      </c>
      <c r="Q1226" s="89" t="s">
        <v>427</v>
      </c>
      <c r="R1226" s="89" t="s">
        <v>3103</v>
      </c>
      <c r="S1226" s="30">
        <v>0</v>
      </c>
      <c r="T1226" s="233">
        <v>0</v>
      </c>
      <c r="U1226" s="30">
        <v>0</v>
      </c>
      <c r="V1226" s="233">
        <v>0</v>
      </c>
      <c r="W1226" s="30">
        <v>0</v>
      </c>
      <c r="X1226" s="30">
        <v>0</v>
      </c>
      <c r="Y1226" s="30">
        <v>0</v>
      </c>
      <c r="Z1226" s="233">
        <v>0</v>
      </c>
      <c r="AA1226" s="30">
        <v>0</v>
      </c>
      <c r="AB1226" s="30">
        <v>0</v>
      </c>
      <c r="AC1226" s="30">
        <v>0</v>
      </c>
      <c r="AD1226" s="30">
        <v>0</v>
      </c>
      <c r="AE1226" s="89" t="s">
        <v>68</v>
      </c>
      <c r="AF1226" s="89"/>
      <c r="AG1226" s="89" t="s">
        <v>133</v>
      </c>
      <c r="AH1226" s="72">
        <v>41244</v>
      </c>
      <c r="AI1226" s="30">
        <v>6</v>
      </c>
      <c r="AJ1226" s="89" t="s">
        <v>6851</v>
      </c>
      <c r="AK1226" s="89" t="s">
        <v>6852</v>
      </c>
      <c r="AL1226" s="91">
        <v>40920</v>
      </c>
      <c r="AM1226" s="91"/>
      <c r="AN1226" s="91"/>
      <c r="AO1226" s="91"/>
      <c r="AP1226" s="73" t="e">
        <f>MID(VLOOKUP(K1226,#REF!,2,FALSE),1,2)</f>
        <v>#REF!</v>
      </c>
      <c r="AQ1226" s="89">
        <f>DATE(2011,12,5)</f>
        <v>40882</v>
      </c>
      <c r="AR1226" s="82">
        <f t="shared" si="82"/>
        <v>5</v>
      </c>
      <c r="AS1226" s="83">
        <f t="shared" si="83"/>
        <v>12</v>
      </c>
      <c r="AT1226" s="84">
        <f t="shared" si="84"/>
        <v>2011</v>
      </c>
      <c r="AU1226" s="86"/>
      <c r="AV1226" s="86"/>
      <c r="AW1226" s="87"/>
      <c r="AX1226" s="86"/>
      <c r="AY1226" s="83"/>
      <c r="AZ1226" s="84"/>
      <c r="BA1226" s="86"/>
      <c r="BB1226" s="86"/>
    </row>
    <row r="1227" spans="1:54" ht="36.75" customHeight="1">
      <c r="A1227" s="30"/>
      <c r="B1227" s="30" t="s">
        <v>55</v>
      </c>
      <c r="C1227" s="69" t="str">
        <f t="shared" si="81"/>
        <v>Closed</v>
      </c>
      <c r="D1227" s="27" t="s">
        <v>6853</v>
      </c>
      <c r="E1227" s="29" t="s">
        <v>6854</v>
      </c>
      <c r="F1227" s="30" t="s">
        <v>835</v>
      </c>
      <c r="G1227" s="89">
        <f>DATE(2011,12,5)</f>
        <v>40882</v>
      </c>
      <c r="H1227" s="90">
        <v>1.8125</v>
      </c>
      <c r="I1227" s="30" t="s">
        <v>73</v>
      </c>
      <c r="J1227" s="89" t="s">
        <v>6855</v>
      </c>
      <c r="K1227" s="30" t="s">
        <v>837</v>
      </c>
      <c r="L1227" s="30" t="s">
        <v>6856</v>
      </c>
      <c r="M1227" s="30" t="s">
        <v>255</v>
      </c>
      <c r="N1227" s="30" t="s">
        <v>142</v>
      </c>
      <c r="O1227" s="30" t="s">
        <v>64</v>
      </c>
      <c r="P1227" s="89" t="s">
        <v>86</v>
      </c>
      <c r="Q1227" s="89" t="s">
        <v>4210</v>
      </c>
      <c r="R1227" s="89" t="s">
        <v>4210</v>
      </c>
      <c r="S1227" s="30">
        <v>0</v>
      </c>
      <c r="T1227" s="233">
        <v>0</v>
      </c>
      <c r="U1227" s="30">
        <v>0</v>
      </c>
      <c r="V1227" s="233">
        <v>0</v>
      </c>
      <c r="W1227" s="30">
        <v>0</v>
      </c>
      <c r="X1227" s="30">
        <v>0</v>
      </c>
      <c r="Y1227" s="30">
        <v>0</v>
      </c>
      <c r="Z1227" s="233">
        <v>0</v>
      </c>
      <c r="AA1227" s="30">
        <v>0</v>
      </c>
      <c r="AB1227" s="30">
        <v>0</v>
      </c>
      <c r="AC1227" s="30">
        <v>0</v>
      </c>
      <c r="AD1227" s="30">
        <v>0</v>
      </c>
      <c r="AE1227" s="89" t="s">
        <v>92</v>
      </c>
      <c r="AF1227" s="89"/>
      <c r="AG1227" s="89" t="s">
        <v>367</v>
      </c>
      <c r="AH1227" s="72">
        <v>40881</v>
      </c>
      <c r="AI1227" s="30">
        <v>1</v>
      </c>
      <c r="AJ1227" s="89" t="s">
        <v>6857</v>
      </c>
      <c r="AK1227" s="89" t="s">
        <v>68</v>
      </c>
      <c r="AL1227" s="91">
        <v>40882</v>
      </c>
      <c r="AM1227" s="91"/>
      <c r="AN1227" s="91"/>
      <c r="AO1227" s="91"/>
      <c r="AP1227" s="73" t="e">
        <f>MID(VLOOKUP(K1227,#REF!,2,FALSE),1,2)</f>
        <v>#REF!</v>
      </c>
      <c r="AQ1227" s="89">
        <f>DATE(2011,12,5)</f>
        <v>40882</v>
      </c>
      <c r="AR1227" s="82">
        <f t="shared" si="82"/>
        <v>5</v>
      </c>
      <c r="AS1227" s="83">
        <f t="shared" si="83"/>
        <v>12</v>
      </c>
      <c r="AT1227" s="84">
        <f t="shared" si="84"/>
        <v>2011</v>
      </c>
      <c r="AU1227" s="86"/>
      <c r="AV1227" s="86"/>
      <c r="AW1227" s="87"/>
      <c r="AX1227" s="86"/>
      <c r="AY1227" s="83"/>
      <c r="AZ1227" s="84"/>
      <c r="BA1227" s="86"/>
      <c r="BB1227" s="86"/>
    </row>
    <row r="1228" spans="1:54" ht="36.75" customHeight="1">
      <c r="A1228" s="30"/>
      <c r="B1228" s="30" t="s">
        <v>55</v>
      </c>
      <c r="C1228" s="69" t="str">
        <f t="shared" si="81"/>
        <v>Closed</v>
      </c>
      <c r="D1228" s="27" t="s">
        <v>6858</v>
      </c>
      <c r="E1228" s="29" t="s">
        <v>6859</v>
      </c>
      <c r="F1228" s="30" t="s">
        <v>1572</v>
      </c>
      <c r="G1228" s="89">
        <f>DATE(2011,12,5)</f>
        <v>40882</v>
      </c>
      <c r="H1228" s="90">
        <v>1.8312499999999998</v>
      </c>
      <c r="I1228" s="30" t="s">
        <v>73</v>
      </c>
      <c r="J1228" s="89" t="s">
        <v>6860</v>
      </c>
      <c r="K1228" s="30" t="s">
        <v>1574</v>
      </c>
      <c r="L1228" s="30" t="s">
        <v>6861</v>
      </c>
      <c r="M1228" s="30" t="s">
        <v>63</v>
      </c>
      <c r="N1228" s="30" t="s">
        <v>99</v>
      </c>
      <c r="O1228" s="30" t="s">
        <v>64</v>
      </c>
      <c r="P1228" s="89" t="s">
        <v>165</v>
      </c>
      <c r="Q1228" s="89" t="s">
        <v>2413</v>
      </c>
      <c r="R1228" s="89">
        <v>0</v>
      </c>
      <c r="S1228" s="30">
        <v>0</v>
      </c>
      <c r="T1228" s="233">
        <v>0</v>
      </c>
      <c r="U1228" s="30">
        <v>0</v>
      </c>
      <c r="V1228" s="233">
        <v>0</v>
      </c>
      <c r="W1228" s="30">
        <v>0</v>
      </c>
      <c r="X1228" s="30">
        <v>0</v>
      </c>
      <c r="Y1228" s="30">
        <v>0</v>
      </c>
      <c r="Z1228" s="233">
        <v>0</v>
      </c>
      <c r="AA1228" s="30">
        <v>0</v>
      </c>
      <c r="AB1228" s="30">
        <v>0</v>
      </c>
      <c r="AC1228" s="30">
        <v>0</v>
      </c>
      <c r="AD1228" s="30">
        <v>0</v>
      </c>
      <c r="AE1228" s="89" t="s">
        <v>92</v>
      </c>
      <c r="AF1228" s="89"/>
      <c r="AG1228" s="89" t="s">
        <v>133</v>
      </c>
      <c r="AH1228" s="72">
        <v>40883</v>
      </c>
      <c r="AI1228" s="30">
        <v>0</v>
      </c>
      <c r="AJ1228" s="89" t="s">
        <v>6862</v>
      </c>
      <c r="AK1228" s="89" t="s">
        <v>6863</v>
      </c>
      <c r="AL1228" s="91">
        <v>40885</v>
      </c>
      <c r="AM1228" s="91"/>
      <c r="AN1228" s="91"/>
      <c r="AO1228" s="91"/>
      <c r="AP1228" s="73" t="e">
        <f>MID(VLOOKUP(K1228,#REF!,2,FALSE),1,2)</f>
        <v>#REF!</v>
      </c>
      <c r="AQ1228" s="89">
        <f>DATE(2011,12,5)</f>
        <v>40882</v>
      </c>
      <c r="AR1228" s="82">
        <f t="shared" si="82"/>
        <v>5</v>
      </c>
      <c r="AS1228" s="83">
        <f t="shared" si="83"/>
        <v>12</v>
      </c>
      <c r="AT1228" s="84">
        <f t="shared" si="84"/>
        <v>2011</v>
      </c>
      <c r="AU1228" s="86"/>
      <c r="AV1228" s="86"/>
      <c r="AW1228" s="87"/>
      <c r="AX1228" s="86"/>
      <c r="AY1228" s="83"/>
      <c r="AZ1228" s="84"/>
      <c r="BA1228" s="86"/>
      <c r="BB1228" s="86"/>
    </row>
    <row r="1229" spans="1:54" ht="36.75" customHeight="1">
      <c r="A1229" s="30"/>
      <c r="B1229" s="30" t="s">
        <v>55</v>
      </c>
      <c r="C1229" s="69" t="str">
        <f t="shared" si="81"/>
        <v>Closed</v>
      </c>
      <c r="D1229" s="27" t="s">
        <v>6864</v>
      </c>
      <c r="E1229" s="29" t="s">
        <v>6865</v>
      </c>
      <c r="F1229" s="30" t="s">
        <v>835</v>
      </c>
      <c r="G1229" s="89">
        <f>DATE(2011,12,7)</f>
        <v>40884</v>
      </c>
      <c r="H1229" s="90">
        <v>1.2868055555555555</v>
      </c>
      <c r="I1229" s="30" t="s">
        <v>198</v>
      </c>
      <c r="J1229" s="89" t="s">
        <v>6866</v>
      </c>
      <c r="K1229" s="30" t="s">
        <v>837</v>
      </c>
      <c r="L1229" s="30" t="s">
        <v>6867</v>
      </c>
      <c r="M1229" s="30" t="s">
        <v>63</v>
      </c>
      <c r="N1229" s="30" t="s">
        <v>142</v>
      </c>
      <c r="O1229" s="30" t="s">
        <v>77</v>
      </c>
      <c r="P1229" s="89" t="s">
        <v>216</v>
      </c>
      <c r="Q1229" s="89" t="s">
        <v>6868</v>
      </c>
      <c r="R1229" s="89" t="s">
        <v>840</v>
      </c>
      <c r="S1229" s="30">
        <v>0</v>
      </c>
      <c r="T1229" s="233">
        <v>0</v>
      </c>
      <c r="U1229" s="30">
        <v>0</v>
      </c>
      <c r="V1229" s="233">
        <v>0</v>
      </c>
      <c r="W1229" s="30">
        <v>0</v>
      </c>
      <c r="X1229" s="30">
        <v>0</v>
      </c>
      <c r="Y1229" s="30">
        <v>0</v>
      </c>
      <c r="Z1229" s="233">
        <v>0</v>
      </c>
      <c r="AA1229" s="30">
        <v>0</v>
      </c>
      <c r="AB1229" s="30">
        <v>0</v>
      </c>
      <c r="AC1229" s="30">
        <v>0</v>
      </c>
      <c r="AD1229" s="30">
        <v>0</v>
      </c>
      <c r="AE1229" s="89" t="s">
        <v>68</v>
      </c>
      <c r="AF1229" s="89"/>
      <c r="AG1229" s="89" t="s">
        <v>352</v>
      </c>
      <c r="AH1229" s="72">
        <v>40884</v>
      </c>
      <c r="AI1229" s="30">
        <v>0</v>
      </c>
      <c r="AJ1229" s="89" t="s">
        <v>6869</v>
      </c>
      <c r="AK1229" s="89" t="s">
        <v>68</v>
      </c>
      <c r="AL1229" s="91">
        <v>40912</v>
      </c>
      <c r="AM1229" s="91"/>
      <c r="AN1229" s="91"/>
      <c r="AO1229" s="91"/>
      <c r="AP1229" s="73" t="e">
        <f>MID(VLOOKUP(K1229,#REF!,2,FALSE),1,2)</f>
        <v>#REF!</v>
      </c>
      <c r="AQ1229" s="89">
        <f>DATE(2011,12,7)</f>
        <v>40884</v>
      </c>
      <c r="AR1229" s="82">
        <f t="shared" si="82"/>
        <v>7</v>
      </c>
      <c r="AS1229" s="83">
        <f t="shared" si="83"/>
        <v>12</v>
      </c>
      <c r="AT1229" s="84">
        <f t="shared" si="84"/>
        <v>2011</v>
      </c>
      <c r="AU1229" s="86"/>
      <c r="AV1229" s="86"/>
      <c r="AW1229" s="87"/>
      <c r="AX1229" s="86"/>
      <c r="AY1229" s="83"/>
      <c r="AZ1229" s="84"/>
      <c r="BA1229" s="86"/>
      <c r="BB1229" s="86"/>
    </row>
    <row r="1230" spans="1:54" ht="36.75" customHeight="1">
      <c r="A1230" s="30"/>
      <c r="B1230" s="30" t="s">
        <v>55</v>
      </c>
      <c r="C1230" s="69" t="str">
        <f t="shared" si="81"/>
        <v>Closed</v>
      </c>
      <c r="D1230" s="27" t="s">
        <v>6870</v>
      </c>
      <c r="E1230" s="29" t="s">
        <v>6871</v>
      </c>
      <c r="F1230" s="30" t="s">
        <v>423</v>
      </c>
      <c r="G1230" s="89">
        <f>DATE(2011,12,8)</f>
        <v>40885</v>
      </c>
      <c r="H1230" s="90">
        <v>1.2833333333333332</v>
      </c>
      <c r="I1230" s="30" t="s">
        <v>6872</v>
      </c>
      <c r="J1230" s="89" t="s">
        <v>6873</v>
      </c>
      <c r="K1230" s="30" t="s">
        <v>425</v>
      </c>
      <c r="L1230" s="30" t="s">
        <v>6874</v>
      </c>
      <c r="M1230" s="30" t="s">
        <v>63</v>
      </c>
      <c r="N1230" s="30" t="s">
        <v>89</v>
      </c>
      <c r="O1230" s="30" t="s">
        <v>6875</v>
      </c>
      <c r="P1230" s="89" t="s">
        <v>91</v>
      </c>
      <c r="Q1230" s="89" t="s">
        <v>5199</v>
      </c>
      <c r="R1230" s="89" t="s">
        <v>5200</v>
      </c>
      <c r="S1230" s="30">
        <v>0</v>
      </c>
      <c r="T1230" s="233">
        <v>0</v>
      </c>
      <c r="U1230" s="30">
        <v>0</v>
      </c>
      <c r="V1230" s="233">
        <v>0</v>
      </c>
      <c r="W1230" s="30">
        <v>0</v>
      </c>
      <c r="X1230" s="30">
        <v>0</v>
      </c>
      <c r="Y1230" s="30">
        <v>0</v>
      </c>
      <c r="Z1230" s="233">
        <v>0</v>
      </c>
      <c r="AA1230" s="30">
        <v>0</v>
      </c>
      <c r="AB1230" s="30">
        <v>0</v>
      </c>
      <c r="AC1230" s="30">
        <v>0</v>
      </c>
      <c r="AD1230" s="30">
        <v>0</v>
      </c>
      <c r="AE1230" s="89" t="s">
        <v>92</v>
      </c>
      <c r="AF1230" s="89"/>
      <c r="AG1230" s="89" t="s">
        <v>1417</v>
      </c>
      <c r="AH1230" s="72">
        <v>40920</v>
      </c>
      <c r="AI1230" s="30">
        <v>2</v>
      </c>
      <c r="AJ1230" s="89" t="s">
        <v>6876</v>
      </c>
      <c r="AK1230" s="89" t="s">
        <v>6877</v>
      </c>
      <c r="AL1230" s="91">
        <v>40920</v>
      </c>
      <c r="AM1230" s="91"/>
      <c r="AN1230" s="91"/>
      <c r="AO1230" s="91"/>
      <c r="AP1230" s="73" t="e">
        <f>MID(VLOOKUP(K1230,#REF!,2,FALSE),1,2)</f>
        <v>#REF!</v>
      </c>
      <c r="AQ1230" s="89">
        <f>DATE(2011,12,8)</f>
        <v>40885</v>
      </c>
      <c r="AR1230" s="82">
        <f t="shared" si="82"/>
        <v>8</v>
      </c>
      <c r="AS1230" s="83">
        <f t="shared" si="83"/>
        <v>12</v>
      </c>
      <c r="AT1230" s="84">
        <f t="shared" si="84"/>
        <v>2011</v>
      </c>
      <c r="AU1230" s="86"/>
      <c r="AV1230" s="86"/>
      <c r="AW1230" s="87"/>
      <c r="AX1230" s="86"/>
      <c r="AY1230" s="83"/>
      <c r="AZ1230" s="84"/>
      <c r="BA1230" s="86"/>
      <c r="BB1230" s="86"/>
    </row>
    <row r="1231" spans="1:54" ht="36.75" customHeight="1">
      <c r="A1231" s="30"/>
      <c r="B1231" s="30" t="s">
        <v>55</v>
      </c>
      <c r="C1231" s="69" t="str">
        <f t="shared" si="81"/>
        <v>Closed</v>
      </c>
      <c r="D1231" s="27" t="s">
        <v>6878</v>
      </c>
      <c r="E1231" s="29" t="s">
        <v>6879</v>
      </c>
      <c r="F1231" s="30" t="s">
        <v>835</v>
      </c>
      <c r="G1231" s="89">
        <f>DATE(2011,12,9)</f>
        <v>40886</v>
      </c>
      <c r="H1231" s="90">
        <v>1.6756944444444444</v>
      </c>
      <c r="I1231" s="30" t="s">
        <v>104</v>
      </c>
      <c r="J1231" s="89" t="s">
        <v>6880</v>
      </c>
      <c r="K1231" s="30" t="s">
        <v>837</v>
      </c>
      <c r="L1231" s="30" t="s">
        <v>6881</v>
      </c>
      <c r="M1231" s="30" t="s">
        <v>63</v>
      </c>
      <c r="N1231" s="30">
        <v>0</v>
      </c>
      <c r="O1231" s="30" t="s">
        <v>77</v>
      </c>
      <c r="P1231" s="89" t="s">
        <v>1216</v>
      </c>
      <c r="Q1231" s="89" t="s">
        <v>2162</v>
      </c>
      <c r="R1231" s="89" t="s">
        <v>840</v>
      </c>
      <c r="S1231" s="30">
        <v>0</v>
      </c>
      <c r="T1231" s="233">
        <v>0</v>
      </c>
      <c r="U1231" s="30">
        <v>0</v>
      </c>
      <c r="V1231" s="233">
        <v>0</v>
      </c>
      <c r="W1231" s="30">
        <v>0</v>
      </c>
      <c r="X1231" s="30">
        <v>0</v>
      </c>
      <c r="Y1231" s="30">
        <v>0</v>
      </c>
      <c r="Z1231" s="233">
        <v>0</v>
      </c>
      <c r="AA1231" s="30">
        <v>0</v>
      </c>
      <c r="AB1231" s="30">
        <v>0</v>
      </c>
      <c r="AC1231" s="30">
        <v>0</v>
      </c>
      <c r="AD1231" s="30">
        <v>0</v>
      </c>
      <c r="AE1231" s="89" t="s">
        <v>92</v>
      </c>
      <c r="AF1231" s="89"/>
      <c r="AG1231" s="89" t="s">
        <v>352</v>
      </c>
      <c r="AH1231" s="72" t="s">
        <v>68</v>
      </c>
      <c r="AI1231" s="30">
        <v>0</v>
      </c>
      <c r="AJ1231" s="89" t="s">
        <v>6882</v>
      </c>
      <c r="AK1231" s="89" t="s">
        <v>68</v>
      </c>
      <c r="AL1231" s="91">
        <v>40912</v>
      </c>
      <c r="AM1231" s="91"/>
      <c r="AN1231" s="91"/>
      <c r="AO1231" s="91"/>
      <c r="AP1231" s="73" t="e">
        <f>MID(VLOOKUP(K1231,#REF!,2,FALSE),1,2)</f>
        <v>#REF!</v>
      </c>
      <c r="AQ1231" s="89">
        <f>DATE(2011,12,9)</f>
        <v>40886</v>
      </c>
      <c r="AR1231" s="82">
        <f t="shared" si="82"/>
        <v>9</v>
      </c>
      <c r="AS1231" s="83">
        <f t="shared" si="83"/>
        <v>12</v>
      </c>
      <c r="AT1231" s="84">
        <f t="shared" si="84"/>
        <v>2011</v>
      </c>
      <c r="AU1231" s="86"/>
      <c r="AV1231" s="86"/>
      <c r="AW1231" s="87"/>
      <c r="AX1231" s="86"/>
      <c r="AY1231" s="83"/>
      <c r="AZ1231" s="84"/>
      <c r="BA1231" s="86"/>
      <c r="BB1231" s="86"/>
    </row>
    <row r="1232" spans="1:54" ht="36.75" customHeight="1">
      <c r="A1232" s="30"/>
      <c r="B1232" s="30" t="s">
        <v>55</v>
      </c>
      <c r="C1232" s="69" t="str">
        <f t="shared" si="81"/>
        <v>Closed</v>
      </c>
      <c r="D1232" s="27" t="s">
        <v>6883</v>
      </c>
      <c r="E1232" s="29" t="s">
        <v>6884</v>
      </c>
      <c r="F1232" s="30" t="s">
        <v>197</v>
      </c>
      <c r="G1232" s="89">
        <f>DATE(2011,12,11)</f>
        <v>40888</v>
      </c>
      <c r="H1232" s="90">
        <v>1.7118055555555554</v>
      </c>
      <c r="I1232" s="30" t="s">
        <v>198</v>
      </c>
      <c r="J1232" s="89" t="s">
        <v>6885</v>
      </c>
      <c r="K1232" s="30" t="s">
        <v>200</v>
      </c>
      <c r="L1232" s="30" t="s">
        <v>6886</v>
      </c>
      <c r="M1232" s="30" t="s">
        <v>63</v>
      </c>
      <c r="N1232" s="30" t="s">
        <v>142</v>
      </c>
      <c r="O1232" s="30" t="s">
        <v>77</v>
      </c>
      <c r="P1232" s="89" t="s">
        <v>165</v>
      </c>
      <c r="Q1232" s="89" t="s">
        <v>202</v>
      </c>
      <c r="R1232" s="89" t="s">
        <v>203</v>
      </c>
      <c r="S1232" s="30">
        <v>0</v>
      </c>
      <c r="T1232" s="233">
        <v>0</v>
      </c>
      <c r="U1232" s="30">
        <v>0</v>
      </c>
      <c r="V1232" s="233">
        <v>0</v>
      </c>
      <c r="W1232" s="30">
        <v>0</v>
      </c>
      <c r="X1232" s="30">
        <v>0</v>
      </c>
      <c r="Y1232" s="30">
        <v>0</v>
      </c>
      <c r="Z1232" s="233">
        <v>0</v>
      </c>
      <c r="AA1232" s="30">
        <v>0</v>
      </c>
      <c r="AB1232" s="30">
        <v>0</v>
      </c>
      <c r="AC1232" s="30">
        <v>0</v>
      </c>
      <c r="AD1232" s="30">
        <v>0</v>
      </c>
      <c r="AE1232" s="89" t="s">
        <v>394</v>
      </c>
      <c r="AF1232" s="89"/>
      <c r="AG1232" s="89" t="s">
        <v>133</v>
      </c>
      <c r="AH1232" s="72"/>
      <c r="AI1232" s="30">
        <v>5</v>
      </c>
      <c r="AJ1232" s="89" t="s">
        <v>6887</v>
      </c>
      <c r="AK1232" s="89" t="s">
        <v>1233</v>
      </c>
      <c r="AL1232" s="91">
        <v>40956</v>
      </c>
      <c r="AM1232" s="91"/>
      <c r="AN1232" s="91"/>
      <c r="AO1232" s="91"/>
      <c r="AP1232" s="73" t="e">
        <f>MID(VLOOKUP(K1232,#REF!,2,FALSE),1,2)</f>
        <v>#REF!</v>
      </c>
      <c r="AQ1232" s="89">
        <f>DATE(2011,12,11)</f>
        <v>40888</v>
      </c>
      <c r="AR1232" s="82">
        <f t="shared" si="82"/>
        <v>11</v>
      </c>
      <c r="AS1232" s="83">
        <f t="shared" si="83"/>
        <v>12</v>
      </c>
      <c r="AT1232" s="84">
        <f t="shared" si="84"/>
        <v>2011</v>
      </c>
      <c r="AU1232" s="86"/>
      <c r="AV1232" s="86"/>
      <c r="AW1232" s="87"/>
      <c r="AX1232" s="86"/>
      <c r="AY1232" s="83"/>
      <c r="AZ1232" s="84"/>
      <c r="BA1232" s="86"/>
      <c r="BB1232" s="86"/>
    </row>
    <row r="1233" spans="1:54" ht="36.75" customHeight="1">
      <c r="A1233" s="30"/>
      <c r="B1233" s="30" t="s">
        <v>55</v>
      </c>
      <c r="C1233" s="69" t="str">
        <f t="shared" si="81"/>
        <v>Closed</v>
      </c>
      <c r="D1233" s="27" t="s">
        <v>6888</v>
      </c>
      <c r="E1233" s="29" t="s">
        <v>6889</v>
      </c>
      <c r="F1233" s="30" t="s">
        <v>835</v>
      </c>
      <c r="G1233" s="89">
        <f>DATE(2011,12,13)</f>
        <v>40890</v>
      </c>
      <c r="H1233" s="90">
        <v>1.4618055555555556</v>
      </c>
      <c r="I1233" s="30" t="s">
        <v>104</v>
      </c>
      <c r="J1233" s="89" t="s">
        <v>6890</v>
      </c>
      <c r="K1233" s="30" t="s">
        <v>837</v>
      </c>
      <c r="L1233" s="30" t="s">
        <v>6891</v>
      </c>
      <c r="M1233" s="30" t="s">
        <v>63</v>
      </c>
      <c r="N1233" s="30">
        <v>0</v>
      </c>
      <c r="O1233" s="30" t="s">
        <v>77</v>
      </c>
      <c r="P1233" s="89" t="s">
        <v>2931</v>
      </c>
      <c r="Q1233" s="89" t="s">
        <v>6018</v>
      </c>
      <c r="R1233" s="89" t="s">
        <v>840</v>
      </c>
      <c r="S1233" s="30">
        <v>0</v>
      </c>
      <c r="T1233" s="233">
        <v>0</v>
      </c>
      <c r="U1233" s="30">
        <v>0</v>
      </c>
      <c r="V1233" s="233">
        <v>0</v>
      </c>
      <c r="W1233" s="30">
        <v>0</v>
      </c>
      <c r="X1233" s="30">
        <v>0</v>
      </c>
      <c r="Y1233" s="30">
        <v>0</v>
      </c>
      <c r="Z1233" s="233">
        <v>0</v>
      </c>
      <c r="AA1233" s="30">
        <v>0</v>
      </c>
      <c r="AB1233" s="30">
        <v>0</v>
      </c>
      <c r="AC1233" s="30">
        <v>0</v>
      </c>
      <c r="AD1233" s="30">
        <v>0</v>
      </c>
      <c r="AE1233" s="89" t="s">
        <v>92</v>
      </c>
      <c r="AF1233" s="89"/>
      <c r="AG1233" s="89" t="s">
        <v>352</v>
      </c>
      <c r="AH1233" s="72" t="s">
        <v>68</v>
      </c>
      <c r="AI1233" s="30">
        <v>0</v>
      </c>
      <c r="AJ1233" s="89" t="s">
        <v>6892</v>
      </c>
      <c r="AK1233" s="89" t="s">
        <v>6893</v>
      </c>
      <c r="AL1233" s="91">
        <v>40912</v>
      </c>
      <c r="AM1233" s="91"/>
      <c r="AN1233" s="91"/>
      <c r="AO1233" s="91"/>
      <c r="AP1233" s="73" t="e">
        <f>MID(VLOOKUP(K1233,#REF!,2,FALSE),1,2)</f>
        <v>#REF!</v>
      </c>
      <c r="AQ1233" s="89">
        <f>DATE(2011,12,13)</f>
        <v>40890</v>
      </c>
      <c r="AR1233" s="82">
        <f t="shared" si="82"/>
        <v>13</v>
      </c>
      <c r="AS1233" s="83">
        <f t="shared" si="83"/>
        <v>12</v>
      </c>
      <c r="AT1233" s="84">
        <f t="shared" si="84"/>
        <v>2011</v>
      </c>
      <c r="AU1233" s="86"/>
      <c r="AV1233" s="86"/>
      <c r="AW1233" s="87"/>
      <c r="AX1233" s="86"/>
      <c r="AY1233" s="83"/>
      <c r="AZ1233" s="84"/>
      <c r="BA1233" s="86"/>
      <c r="BB1233" s="86"/>
    </row>
    <row r="1234" spans="1:54" ht="36.75" customHeight="1">
      <c r="A1234" s="30"/>
      <c r="B1234" s="30" t="s">
        <v>2124</v>
      </c>
      <c r="C1234" s="69" t="str">
        <f t="shared" si="81"/>
        <v>Open</v>
      </c>
      <c r="D1234" s="27" t="s">
        <v>6894</v>
      </c>
      <c r="E1234" s="29" t="s">
        <v>6895</v>
      </c>
      <c r="F1234" s="30" t="s">
        <v>5683</v>
      </c>
      <c r="G1234" s="89">
        <f>DATE(2011,12,15)</f>
        <v>40892</v>
      </c>
      <c r="H1234" s="90">
        <v>1.7361111111111112</v>
      </c>
      <c r="I1234" s="30" t="s">
        <v>278</v>
      </c>
      <c r="J1234" s="89" t="s">
        <v>6896</v>
      </c>
      <c r="K1234" s="30" t="s">
        <v>5685</v>
      </c>
      <c r="L1234" s="30" t="s">
        <v>6897</v>
      </c>
      <c r="M1234" s="30" t="s">
        <v>63</v>
      </c>
      <c r="N1234" s="30">
        <v>0</v>
      </c>
      <c r="O1234" s="30" t="s">
        <v>64</v>
      </c>
      <c r="P1234" s="89" t="s">
        <v>65</v>
      </c>
      <c r="Q1234" s="89" t="s">
        <v>5687</v>
      </c>
      <c r="R1234" s="89" t="s">
        <v>5688</v>
      </c>
      <c r="S1234" s="30">
        <v>0</v>
      </c>
      <c r="T1234" s="233">
        <v>0</v>
      </c>
      <c r="U1234" s="30">
        <v>0</v>
      </c>
      <c r="V1234" s="233">
        <v>1</v>
      </c>
      <c r="W1234" s="30">
        <v>0</v>
      </c>
      <c r="X1234" s="30">
        <v>1</v>
      </c>
      <c r="Y1234" s="30">
        <v>0</v>
      </c>
      <c r="Z1234" s="233">
        <v>0</v>
      </c>
      <c r="AA1234" s="30">
        <v>0</v>
      </c>
      <c r="AB1234" s="30">
        <v>0</v>
      </c>
      <c r="AC1234" s="30">
        <v>0</v>
      </c>
      <c r="AD1234" s="30">
        <v>0</v>
      </c>
      <c r="AE1234" s="89" t="s">
        <v>68</v>
      </c>
      <c r="AF1234" s="89"/>
      <c r="AG1234" s="89" t="s">
        <v>82</v>
      </c>
      <c r="AH1234" s="72" t="s">
        <v>68</v>
      </c>
      <c r="AI1234" s="30">
        <v>0</v>
      </c>
      <c r="AJ1234" s="89" t="s">
        <v>68</v>
      </c>
      <c r="AK1234" s="89" t="s">
        <v>68</v>
      </c>
      <c r="AL1234" s="91">
        <v>40905</v>
      </c>
      <c r="AM1234" s="91"/>
      <c r="AN1234" s="91"/>
      <c r="AO1234" s="91"/>
      <c r="AP1234" s="73" t="e">
        <f>MID(VLOOKUP(K1234,#REF!,2,FALSE),1,2)</f>
        <v>#REF!</v>
      </c>
      <c r="AQ1234" s="89">
        <f>DATE(2011,12,15)</f>
        <v>40892</v>
      </c>
      <c r="AR1234" s="82">
        <f t="shared" si="82"/>
        <v>15</v>
      </c>
      <c r="AS1234" s="83">
        <f t="shared" si="83"/>
        <v>12</v>
      </c>
      <c r="AT1234" s="84">
        <f t="shared" si="84"/>
        <v>2011</v>
      </c>
      <c r="AU1234" s="86"/>
      <c r="AV1234" s="86"/>
      <c r="AW1234" s="87"/>
      <c r="AX1234" s="86"/>
      <c r="AY1234" s="83"/>
      <c r="AZ1234" s="84"/>
      <c r="BA1234" s="86"/>
      <c r="BB1234" s="86"/>
    </row>
    <row r="1235" spans="1:54" ht="36.75" customHeight="1">
      <c r="A1235" s="30"/>
      <c r="B1235" s="30" t="s">
        <v>55</v>
      </c>
      <c r="C1235" s="69" t="str">
        <f t="shared" si="81"/>
        <v>Closed</v>
      </c>
      <c r="D1235" s="27" t="s">
        <v>6898</v>
      </c>
      <c r="E1235" s="29" t="s">
        <v>6899</v>
      </c>
      <c r="F1235" s="30" t="s">
        <v>638</v>
      </c>
      <c r="G1235" s="89">
        <f>DATE(2011,12,15)</f>
        <v>40892</v>
      </c>
      <c r="H1235" s="90">
        <v>1.3277777777777777</v>
      </c>
      <c r="I1235" s="30" t="s">
        <v>73</v>
      </c>
      <c r="J1235" s="89" t="s">
        <v>6900</v>
      </c>
      <c r="K1235" s="30" t="s">
        <v>640</v>
      </c>
      <c r="L1235" s="30" t="s">
        <v>6901</v>
      </c>
      <c r="M1235" s="30" t="s">
        <v>63</v>
      </c>
      <c r="N1235" s="30" t="s">
        <v>99</v>
      </c>
      <c r="O1235" s="30" t="s">
        <v>77</v>
      </c>
      <c r="P1235" s="89" t="s">
        <v>6902</v>
      </c>
      <c r="Q1235" s="89" t="s">
        <v>642</v>
      </c>
      <c r="R1235" s="89" t="s">
        <v>643</v>
      </c>
      <c r="S1235" s="30">
        <v>0</v>
      </c>
      <c r="T1235" s="233">
        <v>0</v>
      </c>
      <c r="U1235" s="30">
        <v>0</v>
      </c>
      <c r="V1235" s="233">
        <v>0</v>
      </c>
      <c r="W1235" s="30">
        <v>0</v>
      </c>
      <c r="X1235" s="30">
        <v>0</v>
      </c>
      <c r="Y1235" s="30">
        <v>0</v>
      </c>
      <c r="Z1235" s="233">
        <v>0</v>
      </c>
      <c r="AA1235" s="30">
        <v>0</v>
      </c>
      <c r="AB1235" s="30">
        <v>0</v>
      </c>
      <c r="AC1235" s="30">
        <v>0</v>
      </c>
      <c r="AD1235" s="30">
        <v>0</v>
      </c>
      <c r="AE1235" s="89" t="s">
        <v>68</v>
      </c>
      <c r="AF1235" s="89"/>
      <c r="AG1235" s="89" t="s">
        <v>352</v>
      </c>
      <c r="AH1235" s="72" t="s">
        <v>68</v>
      </c>
      <c r="AI1235" s="30">
        <v>0</v>
      </c>
      <c r="AJ1235" s="89" t="s">
        <v>6903</v>
      </c>
      <c r="AK1235" s="89" t="s">
        <v>1233</v>
      </c>
      <c r="AL1235" s="91">
        <v>40906</v>
      </c>
      <c r="AM1235" s="91"/>
      <c r="AN1235" s="91"/>
      <c r="AO1235" s="91"/>
      <c r="AP1235" s="73" t="e">
        <f>MID(VLOOKUP(K1235,#REF!,2,FALSE),1,2)</f>
        <v>#REF!</v>
      </c>
      <c r="AQ1235" s="89">
        <f>DATE(2011,12,15)</f>
        <v>40892</v>
      </c>
      <c r="AR1235" s="82">
        <f t="shared" si="82"/>
        <v>15</v>
      </c>
      <c r="AS1235" s="83">
        <f t="shared" si="83"/>
        <v>12</v>
      </c>
      <c r="AT1235" s="84">
        <f t="shared" si="84"/>
        <v>2011</v>
      </c>
      <c r="AU1235" s="86"/>
      <c r="AV1235" s="86"/>
      <c r="AW1235" s="87"/>
      <c r="AX1235" s="86"/>
      <c r="AY1235" s="83"/>
      <c r="AZ1235" s="84"/>
      <c r="BA1235" s="86"/>
      <c r="BB1235" s="86"/>
    </row>
    <row r="1236" spans="1:54" ht="36.75" customHeight="1">
      <c r="A1236" s="30"/>
      <c r="B1236" s="30" t="s">
        <v>55</v>
      </c>
      <c r="C1236" s="69" t="str">
        <f t="shared" si="81"/>
        <v>Closed</v>
      </c>
      <c r="D1236" s="27" t="s">
        <v>6904</v>
      </c>
      <c r="E1236" s="29" t="s">
        <v>6905</v>
      </c>
      <c r="F1236" s="30" t="s">
        <v>624</v>
      </c>
      <c r="G1236" s="89">
        <f>DATE(2011,12,17)</f>
        <v>40894</v>
      </c>
      <c r="H1236" s="90">
        <v>1.7993055555555557</v>
      </c>
      <c r="I1236" s="30" t="s">
        <v>278</v>
      </c>
      <c r="J1236" s="89" t="s">
        <v>6906</v>
      </c>
      <c r="K1236" s="30" t="s">
        <v>626</v>
      </c>
      <c r="L1236" s="30" t="s">
        <v>6907</v>
      </c>
      <c r="M1236" s="30" t="s">
        <v>63</v>
      </c>
      <c r="N1236" s="30">
        <v>0</v>
      </c>
      <c r="O1236" s="30" t="s">
        <v>77</v>
      </c>
      <c r="P1236" s="89" t="s">
        <v>462</v>
      </c>
      <c r="Q1236" s="89" t="s">
        <v>628</v>
      </c>
      <c r="R1236" s="89" t="s">
        <v>629</v>
      </c>
      <c r="S1236" s="30">
        <v>1</v>
      </c>
      <c r="T1236" s="233">
        <v>0</v>
      </c>
      <c r="U1236" s="30">
        <v>0</v>
      </c>
      <c r="V1236" s="233">
        <v>0</v>
      </c>
      <c r="W1236" s="30">
        <v>0</v>
      </c>
      <c r="X1236" s="30">
        <v>1</v>
      </c>
      <c r="Y1236" s="30">
        <v>0</v>
      </c>
      <c r="Z1236" s="233">
        <v>0</v>
      </c>
      <c r="AA1236" s="30">
        <v>0</v>
      </c>
      <c r="AB1236" s="30">
        <v>0</v>
      </c>
      <c r="AC1236" s="30">
        <v>0</v>
      </c>
      <c r="AD1236" s="30">
        <v>0</v>
      </c>
      <c r="AE1236" s="89" t="s">
        <v>68</v>
      </c>
      <c r="AF1236" s="89"/>
      <c r="AG1236" s="89" t="s">
        <v>82</v>
      </c>
      <c r="AH1236" s="72" t="s">
        <v>68</v>
      </c>
      <c r="AI1236" s="30">
        <v>2</v>
      </c>
      <c r="AJ1236" s="89" t="s">
        <v>6908</v>
      </c>
      <c r="AK1236" s="89" t="s">
        <v>68</v>
      </c>
      <c r="AL1236" s="91">
        <v>41029</v>
      </c>
      <c r="AM1236" s="91"/>
      <c r="AN1236" s="91"/>
      <c r="AO1236" s="91"/>
      <c r="AP1236" s="73" t="e">
        <f>MID(VLOOKUP(K1236,#REF!,2,FALSE),1,2)</f>
        <v>#REF!</v>
      </c>
      <c r="AQ1236" s="89">
        <f>DATE(2011,12,17)</f>
        <v>40894</v>
      </c>
      <c r="AR1236" s="82">
        <f t="shared" si="82"/>
        <v>17</v>
      </c>
      <c r="AS1236" s="83">
        <f t="shared" si="83"/>
        <v>12</v>
      </c>
      <c r="AT1236" s="84">
        <f t="shared" si="84"/>
        <v>2011</v>
      </c>
      <c r="AU1236" s="86"/>
      <c r="AV1236" s="86"/>
      <c r="AW1236" s="87"/>
      <c r="AX1236" s="86"/>
      <c r="AY1236" s="83"/>
      <c r="AZ1236" s="84"/>
      <c r="BA1236" s="86"/>
      <c r="BB1236" s="86"/>
    </row>
    <row r="1237" spans="1:54" ht="36.75" customHeight="1">
      <c r="A1237" s="30"/>
      <c r="B1237" s="30" t="s">
        <v>55</v>
      </c>
      <c r="C1237" s="69" t="str">
        <f t="shared" si="81"/>
        <v>Closed</v>
      </c>
      <c r="D1237" s="27" t="s">
        <v>6909</v>
      </c>
      <c r="E1237" s="29" t="s">
        <v>6910</v>
      </c>
      <c r="F1237" s="30" t="s">
        <v>1572</v>
      </c>
      <c r="G1237" s="89">
        <f>DATE(2011,12,18)</f>
        <v>40895</v>
      </c>
      <c r="H1237" s="90">
        <v>1.7638888888888888</v>
      </c>
      <c r="I1237" s="30" t="s">
        <v>73</v>
      </c>
      <c r="J1237" s="89" t="s">
        <v>6911</v>
      </c>
      <c r="K1237" s="30" t="s">
        <v>1574</v>
      </c>
      <c r="L1237" s="30" t="s">
        <v>6912</v>
      </c>
      <c r="M1237" s="30" t="s">
        <v>63</v>
      </c>
      <c r="N1237" s="30" t="s">
        <v>142</v>
      </c>
      <c r="O1237" s="30" t="s">
        <v>77</v>
      </c>
      <c r="P1237" s="89" t="s">
        <v>78</v>
      </c>
      <c r="Q1237" s="89" t="s">
        <v>2655</v>
      </c>
      <c r="R1237" s="89">
        <v>0</v>
      </c>
      <c r="S1237" s="30">
        <v>0</v>
      </c>
      <c r="T1237" s="233">
        <v>0</v>
      </c>
      <c r="U1237" s="30">
        <v>0</v>
      </c>
      <c r="V1237" s="233">
        <v>0</v>
      </c>
      <c r="W1237" s="30">
        <v>0</v>
      </c>
      <c r="X1237" s="30">
        <v>0</v>
      </c>
      <c r="Y1237" s="30">
        <v>0</v>
      </c>
      <c r="Z1237" s="233">
        <v>0</v>
      </c>
      <c r="AA1237" s="30">
        <v>0</v>
      </c>
      <c r="AB1237" s="30">
        <v>0</v>
      </c>
      <c r="AC1237" s="30">
        <v>0</v>
      </c>
      <c r="AD1237" s="30">
        <v>0</v>
      </c>
      <c r="AE1237" s="89" t="s">
        <v>92</v>
      </c>
      <c r="AF1237" s="89"/>
      <c r="AG1237" s="89" t="s">
        <v>352</v>
      </c>
      <c r="AH1237" s="72">
        <v>40897</v>
      </c>
      <c r="AI1237" s="30">
        <v>0</v>
      </c>
      <c r="AJ1237" s="89" t="s">
        <v>6913</v>
      </c>
      <c r="AK1237" s="89" t="s">
        <v>6914</v>
      </c>
      <c r="AL1237" s="91">
        <v>40911</v>
      </c>
      <c r="AM1237" s="91"/>
      <c r="AN1237" s="91"/>
      <c r="AO1237" s="91"/>
      <c r="AP1237" s="73" t="e">
        <f>MID(VLOOKUP(K1237,#REF!,2,FALSE),1,2)</f>
        <v>#REF!</v>
      </c>
      <c r="AQ1237" s="89">
        <f>DATE(2011,12,18)</f>
        <v>40895</v>
      </c>
      <c r="AR1237" s="82">
        <f t="shared" si="82"/>
        <v>18</v>
      </c>
      <c r="AS1237" s="83">
        <f t="shared" si="83"/>
        <v>12</v>
      </c>
      <c r="AT1237" s="84">
        <f t="shared" si="84"/>
        <v>2011</v>
      </c>
      <c r="AU1237" s="86"/>
      <c r="AV1237" s="86"/>
      <c r="AW1237" s="87"/>
      <c r="AX1237" s="86"/>
      <c r="AY1237" s="83"/>
      <c r="AZ1237" s="84"/>
      <c r="BA1237" s="86"/>
      <c r="BB1237" s="86"/>
    </row>
    <row r="1238" spans="1:54" ht="36.75" customHeight="1">
      <c r="A1238" s="30"/>
      <c r="B1238" s="30" t="s">
        <v>55</v>
      </c>
      <c r="C1238" s="69" t="str">
        <f t="shared" si="81"/>
        <v>Closed</v>
      </c>
      <c r="D1238" s="27" t="s">
        <v>6915</v>
      </c>
      <c r="E1238" s="29" t="s">
        <v>6916</v>
      </c>
      <c r="F1238" s="30" t="s">
        <v>638</v>
      </c>
      <c r="G1238" s="89">
        <f>DATE(2011,12,19)</f>
        <v>40896</v>
      </c>
      <c r="H1238" s="90">
        <v>1.2284722222222222</v>
      </c>
      <c r="I1238" s="30" t="s">
        <v>86</v>
      </c>
      <c r="J1238" s="89" t="s">
        <v>6917</v>
      </c>
      <c r="K1238" s="30" t="s">
        <v>640</v>
      </c>
      <c r="L1238" s="30" t="s">
        <v>6918</v>
      </c>
      <c r="M1238" s="30" t="s">
        <v>63</v>
      </c>
      <c r="N1238" s="30" t="s">
        <v>142</v>
      </c>
      <c r="O1238" s="30" t="s">
        <v>77</v>
      </c>
      <c r="P1238" s="89" t="s">
        <v>6902</v>
      </c>
      <c r="Q1238" s="89" t="s">
        <v>642</v>
      </c>
      <c r="R1238" s="89" t="s">
        <v>643</v>
      </c>
      <c r="S1238" s="30">
        <v>0</v>
      </c>
      <c r="T1238" s="233">
        <v>0</v>
      </c>
      <c r="U1238" s="30">
        <v>0</v>
      </c>
      <c r="V1238" s="233">
        <v>0</v>
      </c>
      <c r="W1238" s="30">
        <v>0</v>
      </c>
      <c r="X1238" s="30">
        <v>0</v>
      </c>
      <c r="Y1238" s="30">
        <v>0</v>
      </c>
      <c r="Z1238" s="233">
        <v>0</v>
      </c>
      <c r="AA1238" s="30">
        <v>0</v>
      </c>
      <c r="AB1238" s="30">
        <v>0</v>
      </c>
      <c r="AC1238" s="30">
        <v>0</v>
      </c>
      <c r="AD1238" s="30">
        <v>0</v>
      </c>
      <c r="AE1238" s="89" t="s">
        <v>68</v>
      </c>
      <c r="AF1238" s="89"/>
      <c r="AG1238" s="89" t="s">
        <v>352</v>
      </c>
      <c r="AH1238" s="72">
        <v>40904</v>
      </c>
      <c r="AI1238" s="30">
        <v>1</v>
      </c>
      <c r="AJ1238" s="89" t="s">
        <v>6919</v>
      </c>
      <c r="AK1238" s="89" t="s">
        <v>6920</v>
      </c>
      <c r="AL1238" s="91">
        <v>40906</v>
      </c>
      <c r="AM1238" s="91"/>
      <c r="AN1238" s="91"/>
      <c r="AO1238" s="91"/>
      <c r="AP1238" s="73" t="e">
        <f>MID(VLOOKUP(K1238,#REF!,2,FALSE),1,2)</f>
        <v>#REF!</v>
      </c>
      <c r="AQ1238" s="89">
        <f>DATE(2011,12,19)</f>
        <v>40896</v>
      </c>
      <c r="AR1238" s="82">
        <f t="shared" si="82"/>
        <v>19</v>
      </c>
      <c r="AS1238" s="83">
        <f t="shared" si="83"/>
        <v>12</v>
      </c>
      <c r="AT1238" s="84">
        <f t="shared" si="84"/>
        <v>2011</v>
      </c>
      <c r="AU1238" s="86"/>
      <c r="AV1238" s="86"/>
      <c r="AW1238" s="87"/>
      <c r="AX1238" s="86"/>
      <c r="AY1238" s="83"/>
      <c r="AZ1238" s="84"/>
      <c r="BA1238" s="86"/>
      <c r="BB1238" s="86"/>
    </row>
    <row r="1239" spans="1:54" ht="36.75" customHeight="1">
      <c r="A1239" s="30"/>
      <c r="B1239" s="30" t="s">
        <v>55</v>
      </c>
      <c r="C1239" s="69" t="str">
        <f t="shared" si="81"/>
        <v>Closed</v>
      </c>
      <c r="D1239" s="27" t="s">
        <v>6921</v>
      </c>
      <c r="E1239" s="29" t="s">
        <v>6922</v>
      </c>
      <c r="F1239" s="30" t="s">
        <v>233</v>
      </c>
      <c r="G1239" s="89">
        <f>DATE(2011,12,19)</f>
        <v>40896</v>
      </c>
      <c r="H1239" s="90">
        <v>1.4097222222222223</v>
      </c>
      <c r="I1239" s="30" t="s">
        <v>116</v>
      </c>
      <c r="J1239" s="89" t="s">
        <v>6923</v>
      </c>
      <c r="K1239" s="30" t="s">
        <v>235</v>
      </c>
      <c r="L1239" s="30" t="s">
        <v>6924</v>
      </c>
      <c r="M1239" s="30" t="s">
        <v>63</v>
      </c>
      <c r="N1239" s="30">
        <v>0</v>
      </c>
      <c r="O1239" s="30" t="s">
        <v>64</v>
      </c>
      <c r="P1239" s="89" t="s">
        <v>165</v>
      </c>
      <c r="Q1239" s="89" t="s">
        <v>2174</v>
      </c>
      <c r="R1239" s="89" t="s">
        <v>238</v>
      </c>
      <c r="S1239" s="30">
        <v>0</v>
      </c>
      <c r="T1239" s="233">
        <v>0</v>
      </c>
      <c r="U1239" s="30">
        <v>0</v>
      </c>
      <c r="V1239" s="233">
        <v>0</v>
      </c>
      <c r="W1239" s="30">
        <v>0</v>
      </c>
      <c r="X1239" s="30">
        <v>0</v>
      </c>
      <c r="Y1239" s="30">
        <v>1</v>
      </c>
      <c r="Z1239" s="233">
        <v>0</v>
      </c>
      <c r="AA1239" s="30">
        <v>0</v>
      </c>
      <c r="AB1239" s="30">
        <v>0</v>
      </c>
      <c r="AC1239" s="30">
        <v>0</v>
      </c>
      <c r="AD1239" s="30">
        <v>1</v>
      </c>
      <c r="AE1239" s="89" t="s">
        <v>68</v>
      </c>
      <c r="AF1239" s="89"/>
      <c r="AG1239" s="89" t="s">
        <v>133</v>
      </c>
      <c r="AH1239" s="72" t="s">
        <v>68</v>
      </c>
      <c r="AI1239" s="30">
        <v>6</v>
      </c>
      <c r="AJ1239" s="89" t="s">
        <v>6925</v>
      </c>
      <c r="AK1239" s="89" t="s">
        <v>6926</v>
      </c>
      <c r="AL1239" s="91">
        <v>40925</v>
      </c>
      <c r="AM1239" s="91"/>
      <c r="AN1239" s="91"/>
      <c r="AO1239" s="91"/>
      <c r="AP1239" s="73" t="e">
        <f>MID(VLOOKUP(K1239,#REF!,2,FALSE),1,2)</f>
        <v>#REF!</v>
      </c>
      <c r="AQ1239" s="89">
        <f>DATE(2011,12,19)</f>
        <v>40896</v>
      </c>
      <c r="AR1239" s="82">
        <f t="shared" si="82"/>
        <v>19</v>
      </c>
      <c r="AS1239" s="83">
        <f t="shared" si="83"/>
        <v>12</v>
      </c>
      <c r="AT1239" s="84">
        <f t="shared" si="84"/>
        <v>2011</v>
      </c>
      <c r="AU1239" s="86"/>
      <c r="AV1239" s="86"/>
      <c r="AW1239" s="87"/>
      <c r="AX1239" s="86"/>
      <c r="AY1239" s="83"/>
      <c r="AZ1239" s="84"/>
      <c r="BA1239" s="86"/>
      <c r="BB1239" s="86"/>
    </row>
    <row r="1240" spans="1:54" ht="36.75" customHeight="1">
      <c r="A1240" s="30"/>
      <c r="B1240" s="30" t="s">
        <v>55</v>
      </c>
      <c r="C1240" s="69" t="str">
        <f t="shared" si="81"/>
        <v>Closed</v>
      </c>
      <c r="D1240" s="27" t="s">
        <v>6927</v>
      </c>
      <c r="E1240" s="29" t="s">
        <v>6928</v>
      </c>
      <c r="F1240" s="30" t="s">
        <v>638</v>
      </c>
      <c r="G1240" s="89">
        <f>DATE(2011,12,27)</f>
        <v>40904</v>
      </c>
      <c r="H1240" s="90">
        <v>1.4847222222222223</v>
      </c>
      <c r="I1240" s="30" t="s">
        <v>73</v>
      </c>
      <c r="J1240" s="89" t="s">
        <v>6929</v>
      </c>
      <c r="K1240" s="30" t="s">
        <v>640</v>
      </c>
      <c r="L1240" s="30" t="s">
        <v>6930</v>
      </c>
      <c r="M1240" s="30" t="s">
        <v>63</v>
      </c>
      <c r="N1240" s="30" t="s">
        <v>99</v>
      </c>
      <c r="O1240" s="30" t="s">
        <v>77</v>
      </c>
      <c r="P1240" s="89" t="s">
        <v>65</v>
      </c>
      <c r="Q1240" s="89" t="s">
        <v>642</v>
      </c>
      <c r="R1240" s="89" t="s">
        <v>643</v>
      </c>
      <c r="S1240" s="30">
        <v>0</v>
      </c>
      <c r="T1240" s="233">
        <v>0</v>
      </c>
      <c r="U1240" s="30">
        <v>0</v>
      </c>
      <c r="V1240" s="233">
        <v>0</v>
      </c>
      <c r="W1240" s="30">
        <v>0</v>
      </c>
      <c r="X1240" s="30">
        <v>0</v>
      </c>
      <c r="Y1240" s="30">
        <v>0</v>
      </c>
      <c r="Z1240" s="233">
        <v>0</v>
      </c>
      <c r="AA1240" s="30">
        <v>0</v>
      </c>
      <c r="AB1240" s="30">
        <v>0</v>
      </c>
      <c r="AC1240" s="30">
        <v>0</v>
      </c>
      <c r="AD1240" s="30">
        <v>0</v>
      </c>
      <c r="AE1240" s="89" t="s">
        <v>68</v>
      </c>
      <c r="AF1240" s="89"/>
      <c r="AG1240" s="89" t="s">
        <v>352</v>
      </c>
      <c r="AH1240" s="72">
        <v>40967</v>
      </c>
      <c r="AI1240" s="30">
        <v>1</v>
      </c>
      <c r="AJ1240" s="89" t="s">
        <v>6931</v>
      </c>
      <c r="AK1240" s="89" t="s">
        <v>68</v>
      </c>
      <c r="AL1240" s="91">
        <v>40977</v>
      </c>
      <c r="AM1240" s="91"/>
      <c r="AN1240" s="91"/>
      <c r="AO1240" s="91"/>
      <c r="AP1240" s="73" t="e">
        <f>MID(VLOOKUP(K1240,#REF!,2,FALSE),1,2)</f>
        <v>#REF!</v>
      </c>
      <c r="AQ1240" s="89">
        <f>DATE(2011,12,27)</f>
        <v>40904</v>
      </c>
      <c r="AR1240" s="82">
        <f t="shared" si="82"/>
        <v>27</v>
      </c>
      <c r="AS1240" s="83">
        <f t="shared" si="83"/>
        <v>12</v>
      </c>
      <c r="AT1240" s="84">
        <f t="shared" si="84"/>
        <v>2011</v>
      </c>
      <c r="AU1240" s="86"/>
      <c r="AV1240" s="86"/>
      <c r="AW1240" s="87"/>
      <c r="AX1240" s="86"/>
      <c r="AY1240" s="83"/>
      <c r="AZ1240" s="84"/>
      <c r="BA1240" s="86"/>
      <c r="BB1240" s="86"/>
    </row>
    <row r="1241" spans="1:54" ht="36.75" customHeight="1">
      <c r="A1241" s="30"/>
      <c r="B1241" s="30" t="s">
        <v>55</v>
      </c>
      <c r="C1241" s="69" t="str">
        <f t="shared" si="81"/>
        <v>Closed</v>
      </c>
      <c r="D1241" s="27" t="s">
        <v>6932</v>
      </c>
      <c r="E1241" s="29" t="s">
        <v>6933</v>
      </c>
      <c r="F1241" s="30" t="s">
        <v>197</v>
      </c>
      <c r="G1241" s="89">
        <f>DATE(2011,12,28)</f>
        <v>40905</v>
      </c>
      <c r="H1241" s="90">
        <v>1.4284722222222221</v>
      </c>
      <c r="I1241" s="30" t="s">
        <v>116</v>
      </c>
      <c r="J1241" s="89" t="s">
        <v>6934</v>
      </c>
      <c r="K1241" s="30" t="s">
        <v>200</v>
      </c>
      <c r="L1241" s="30" t="s">
        <v>6935</v>
      </c>
      <c r="M1241" s="30" t="s">
        <v>63</v>
      </c>
      <c r="N1241" s="30" t="s">
        <v>99</v>
      </c>
      <c r="O1241" s="30" t="s">
        <v>64</v>
      </c>
      <c r="P1241" s="89" t="s">
        <v>78</v>
      </c>
      <c r="Q1241" s="89" t="s">
        <v>1716</v>
      </c>
      <c r="R1241" s="89" t="s">
        <v>203</v>
      </c>
      <c r="S1241" s="30">
        <v>0</v>
      </c>
      <c r="T1241" s="233">
        <v>0</v>
      </c>
      <c r="U1241" s="30">
        <v>0</v>
      </c>
      <c r="V1241" s="233">
        <v>0</v>
      </c>
      <c r="W1241" s="30">
        <v>0</v>
      </c>
      <c r="X1241" s="30">
        <v>0</v>
      </c>
      <c r="Y1241" s="30">
        <v>0</v>
      </c>
      <c r="Z1241" s="233">
        <v>0</v>
      </c>
      <c r="AA1241" s="30">
        <v>1</v>
      </c>
      <c r="AB1241" s="30">
        <v>0</v>
      </c>
      <c r="AC1241" s="30">
        <v>0</v>
      </c>
      <c r="AD1241" s="30">
        <v>1</v>
      </c>
      <c r="AE1241" s="89" t="s">
        <v>92</v>
      </c>
      <c r="AF1241" s="89"/>
      <c r="AG1241" s="89" t="s">
        <v>352</v>
      </c>
      <c r="AH1241" s="72">
        <v>40905</v>
      </c>
      <c r="AI1241" s="30">
        <v>2</v>
      </c>
      <c r="AJ1241" s="89" t="s">
        <v>6936</v>
      </c>
      <c r="AK1241" s="89" t="s">
        <v>68</v>
      </c>
      <c r="AL1241" s="91">
        <v>41116</v>
      </c>
      <c r="AM1241" s="91"/>
      <c r="AN1241" s="91"/>
      <c r="AO1241" s="91"/>
      <c r="AP1241" s="73" t="e">
        <f>MID(VLOOKUP(K1241,#REF!,2,FALSE),1,2)</f>
        <v>#REF!</v>
      </c>
      <c r="AQ1241" s="89">
        <f>DATE(2011,12,28)</f>
        <v>40905</v>
      </c>
      <c r="AR1241" s="82">
        <f t="shared" si="82"/>
        <v>28</v>
      </c>
      <c r="AS1241" s="83">
        <f t="shared" si="83"/>
        <v>12</v>
      </c>
      <c r="AT1241" s="84">
        <f t="shared" si="84"/>
        <v>2011</v>
      </c>
      <c r="AU1241" s="86"/>
      <c r="AV1241" s="86"/>
      <c r="AW1241" s="87"/>
      <c r="AX1241" s="86"/>
      <c r="AY1241" s="83"/>
      <c r="AZ1241" s="84"/>
      <c r="BA1241" s="86"/>
      <c r="BB1241" s="86"/>
    </row>
    <row r="1242" spans="1:54" ht="36.75" customHeight="1">
      <c r="A1242" s="30"/>
      <c r="B1242" s="30" t="s">
        <v>55</v>
      </c>
      <c r="C1242" s="69" t="str">
        <f t="shared" si="81"/>
        <v>Closed</v>
      </c>
      <c r="D1242" s="27" t="s">
        <v>6937</v>
      </c>
      <c r="E1242" s="29" t="s">
        <v>6938</v>
      </c>
      <c r="F1242" s="30" t="s">
        <v>58</v>
      </c>
      <c r="G1242" s="89">
        <f>DATE(2012,1,1)</f>
        <v>40909</v>
      </c>
      <c r="H1242" s="90">
        <v>1.0006944444444446</v>
      </c>
      <c r="I1242" s="30" t="s">
        <v>116</v>
      </c>
      <c r="J1242" s="89" t="s">
        <v>6939</v>
      </c>
      <c r="K1242" s="30" t="s">
        <v>61</v>
      </c>
      <c r="L1242" s="30" t="s">
        <v>6940</v>
      </c>
      <c r="M1242" s="30" t="s">
        <v>63</v>
      </c>
      <c r="N1242" s="30" t="s">
        <v>99</v>
      </c>
      <c r="O1242" s="30" t="s">
        <v>64</v>
      </c>
      <c r="P1242" s="89" t="s">
        <v>6941</v>
      </c>
      <c r="Q1242" s="89" t="s">
        <v>4203</v>
      </c>
      <c r="R1242" s="89">
        <v>0</v>
      </c>
      <c r="S1242" s="30">
        <v>0</v>
      </c>
      <c r="T1242" s="233">
        <v>0</v>
      </c>
      <c r="U1242" s="30">
        <v>6</v>
      </c>
      <c r="V1242" s="233">
        <v>0</v>
      </c>
      <c r="W1242" s="30">
        <v>0</v>
      </c>
      <c r="X1242" s="30">
        <v>6</v>
      </c>
      <c r="Y1242" s="30">
        <v>0</v>
      </c>
      <c r="Z1242" s="233">
        <v>0</v>
      </c>
      <c r="AA1242" s="30">
        <v>6</v>
      </c>
      <c r="AB1242" s="30">
        <v>0</v>
      </c>
      <c r="AC1242" s="30">
        <v>0</v>
      </c>
      <c r="AD1242" s="30">
        <v>6</v>
      </c>
      <c r="AE1242" s="89" t="s">
        <v>145</v>
      </c>
      <c r="AF1242" s="89"/>
      <c r="AG1242" s="89" t="s">
        <v>352</v>
      </c>
      <c r="AH1242" s="72">
        <v>40938</v>
      </c>
      <c r="AI1242" s="30">
        <v>1</v>
      </c>
      <c r="AJ1242" s="89" t="s">
        <v>6942</v>
      </c>
      <c r="AK1242" s="89" t="s">
        <v>68</v>
      </c>
      <c r="AL1242" s="91">
        <v>40942</v>
      </c>
      <c r="AM1242" s="91"/>
      <c r="AN1242" s="91"/>
      <c r="AO1242" s="91"/>
      <c r="AP1242" s="73" t="e">
        <f>MID(VLOOKUP(K1242,#REF!,2,FALSE),1,2)</f>
        <v>#REF!</v>
      </c>
      <c r="AQ1242" s="89">
        <f>DATE(2012,1,1)</f>
        <v>40909</v>
      </c>
      <c r="AR1242" s="82">
        <f t="shared" si="82"/>
        <v>1</v>
      </c>
      <c r="AS1242" s="83">
        <f t="shared" si="83"/>
        <v>1</v>
      </c>
      <c r="AT1242" s="84">
        <f t="shared" si="84"/>
        <v>2012</v>
      </c>
      <c r="AU1242" s="86"/>
      <c r="AV1242" s="86"/>
      <c r="AW1242" s="87"/>
      <c r="AX1242" s="86"/>
      <c r="AY1242" s="83"/>
      <c r="AZ1242" s="84"/>
      <c r="BA1242" s="86"/>
      <c r="BB1242" s="86"/>
    </row>
    <row r="1243" spans="1:54" ht="36.75" customHeight="1">
      <c r="A1243" s="30"/>
      <c r="B1243" s="30" t="s">
        <v>55</v>
      </c>
      <c r="C1243" s="69" t="str">
        <f t="shared" si="81"/>
        <v>Closed</v>
      </c>
      <c r="D1243" s="27" t="s">
        <v>6943</v>
      </c>
      <c r="E1243" s="29" t="s">
        <v>6944</v>
      </c>
      <c r="F1243" s="30" t="s">
        <v>197</v>
      </c>
      <c r="G1243" s="89">
        <f>DATE(2012,1,2)</f>
        <v>40910</v>
      </c>
      <c r="H1243" s="90">
        <v>1.3611111111111112</v>
      </c>
      <c r="I1243" s="30" t="s">
        <v>116</v>
      </c>
      <c r="J1243" s="89" t="s">
        <v>6945</v>
      </c>
      <c r="K1243" s="30" t="s">
        <v>200</v>
      </c>
      <c r="L1243" s="30" t="s">
        <v>6946</v>
      </c>
      <c r="M1243" s="30" t="s">
        <v>63</v>
      </c>
      <c r="N1243" s="30" t="s">
        <v>99</v>
      </c>
      <c r="O1243" s="30" t="s">
        <v>64</v>
      </c>
      <c r="P1243" s="89" t="s">
        <v>165</v>
      </c>
      <c r="Q1243" s="89" t="s">
        <v>202</v>
      </c>
      <c r="R1243" s="89" t="s">
        <v>203</v>
      </c>
      <c r="S1243" s="30">
        <v>0</v>
      </c>
      <c r="T1243" s="233">
        <v>0</v>
      </c>
      <c r="U1243" s="30">
        <v>1</v>
      </c>
      <c r="V1243" s="233">
        <v>0</v>
      </c>
      <c r="W1243" s="30">
        <v>0</v>
      </c>
      <c r="X1243" s="30">
        <v>1</v>
      </c>
      <c r="Y1243" s="30">
        <v>0</v>
      </c>
      <c r="Z1243" s="233">
        <v>0</v>
      </c>
      <c r="AA1243" s="30">
        <v>0</v>
      </c>
      <c r="AB1243" s="30">
        <v>0</v>
      </c>
      <c r="AC1243" s="30">
        <v>0</v>
      </c>
      <c r="AD1243" s="30">
        <v>0</v>
      </c>
      <c r="AE1243" s="89" t="s">
        <v>92</v>
      </c>
      <c r="AF1243" s="89"/>
      <c r="AG1243" s="89" t="s">
        <v>82</v>
      </c>
      <c r="AH1243" s="72">
        <v>40926</v>
      </c>
      <c r="AI1243" s="30">
        <v>0</v>
      </c>
      <c r="AJ1243" s="89" t="s">
        <v>6947</v>
      </c>
      <c r="AK1243" s="89" t="s">
        <v>68</v>
      </c>
      <c r="AL1243" s="91">
        <v>41148</v>
      </c>
      <c r="AM1243" s="91"/>
      <c r="AN1243" s="91"/>
      <c r="AO1243" s="91"/>
      <c r="AP1243" s="73" t="e">
        <f>MID(VLOOKUP(K1243,#REF!,2,FALSE),1,2)</f>
        <v>#REF!</v>
      </c>
      <c r="AQ1243" s="89">
        <f>DATE(2012,1,2)</f>
        <v>40910</v>
      </c>
      <c r="AR1243" s="82">
        <f t="shared" si="82"/>
        <v>2</v>
      </c>
      <c r="AS1243" s="83">
        <f t="shared" si="83"/>
        <v>1</v>
      </c>
      <c r="AT1243" s="84">
        <f t="shared" si="84"/>
        <v>2012</v>
      </c>
      <c r="AU1243" s="86"/>
      <c r="AV1243" s="86"/>
      <c r="AW1243" s="87"/>
      <c r="AX1243" s="86"/>
      <c r="AY1243" s="83"/>
      <c r="AZ1243" s="84"/>
      <c r="BA1243" s="86"/>
      <c r="BB1243" s="86"/>
    </row>
    <row r="1244" spans="1:54" ht="36.75" customHeight="1">
      <c r="A1244" s="30"/>
      <c r="B1244" s="30" t="s">
        <v>55</v>
      </c>
      <c r="C1244" s="69" t="str">
        <f t="shared" si="81"/>
        <v>Closed</v>
      </c>
      <c r="D1244" s="27" t="s">
        <v>6948</v>
      </c>
      <c r="E1244" s="29" t="s">
        <v>6949</v>
      </c>
      <c r="F1244" s="30" t="s">
        <v>233</v>
      </c>
      <c r="G1244" s="89">
        <f>DATE(2012,1,5)</f>
        <v>40913</v>
      </c>
      <c r="H1244" s="90">
        <v>1.304861111111111</v>
      </c>
      <c r="I1244" s="30" t="s">
        <v>86</v>
      </c>
      <c r="J1244" s="89" t="s">
        <v>6950</v>
      </c>
      <c r="K1244" s="30" t="s">
        <v>235</v>
      </c>
      <c r="L1244" s="30" t="s">
        <v>6951</v>
      </c>
      <c r="M1244" s="30" t="s">
        <v>63</v>
      </c>
      <c r="N1244" s="30" t="s">
        <v>142</v>
      </c>
      <c r="O1244" s="30" t="s">
        <v>64</v>
      </c>
      <c r="P1244" s="89" t="s">
        <v>165</v>
      </c>
      <c r="Q1244" s="89" t="s">
        <v>6103</v>
      </c>
      <c r="R1244" s="89" t="s">
        <v>238</v>
      </c>
      <c r="S1244" s="30">
        <v>0</v>
      </c>
      <c r="T1244" s="233">
        <v>0</v>
      </c>
      <c r="U1244" s="30">
        <v>0</v>
      </c>
      <c r="V1244" s="233">
        <v>0</v>
      </c>
      <c r="W1244" s="30">
        <v>0</v>
      </c>
      <c r="X1244" s="30">
        <v>0</v>
      </c>
      <c r="Y1244" s="30">
        <v>0</v>
      </c>
      <c r="Z1244" s="233">
        <v>0</v>
      </c>
      <c r="AA1244" s="30">
        <v>0</v>
      </c>
      <c r="AB1244" s="30">
        <v>0</v>
      </c>
      <c r="AC1244" s="30">
        <v>0</v>
      </c>
      <c r="AD1244" s="30">
        <v>0</v>
      </c>
      <c r="AE1244" s="89" t="s">
        <v>68</v>
      </c>
      <c r="AF1244" s="89"/>
      <c r="AG1244" s="89" t="s">
        <v>133</v>
      </c>
      <c r="AH1244" s="72" t="s">
        <v>68</v>
      </c>
      <c r="AI1244" s="30">
        <v>2</v>
      </c>
      <c r="AJ1244" s="89" t="s">
        <v>6952</v>
      </c>
      <c r="AK1244" s="89" t="s">
        <v>6953</v>
      </c>
      <c r="AL1244" s="91">
        <v>40946</v>
      </c>
      <c r="AM1244" s="91"/>
      <c r="AN1244" s="91"/>
      <c r="AO1244" s="91"/>
      <c r="AP1244" s="73" t="e">
        <f>MID(VLOOKUP(K1244,#REF!,2,FALSE),1,2)</f>
        <v>#REF!</v>
      </c>
      <c r="AQ1244" s="89">
        <f>DATE(2012,1,5)</f>
        <v>40913</v>
      </c>
      <c r="AR1244" s="82">
        <f t="shared" si="82"/>
        <v>5</v>
      </c>
      <c r="AS1244" s="83">
        <f t="shared" si="83"/>
        <v>1</v>
      </c>
      <c r="AT1244" s="84">
        <f t="shared" si="84"/>
        <v>2012</v>
      </c>
      <c r="AU1244" s="86"/>
      <c r="AV1244" s="86"/>
      <c r="AW1244" s="87"/>
      <c r="AX1244" s="86"/>
      <c r="AY1244" s="83"/>
      <c r="AZ1244" s="84"/>
      <c r="BA1244" s="86"/>
      <c r="BB1244" s="86"/>
    </row>
    <row r="1245" spans="1:54" ht="36.75" customHeight="1">
      <c r="A1245" s="30"/>
      <c r="B1245" s="30" t="s">
        <v>55</v>
      </c>
      <c r="C1245" s="69" t="str">
        <f t="shared" si="81"/>
        <v>Closed</v>
      </c>
      <c r="D1245" s="27" t="s">
        <v>6954</v>
      </c>
      <c r="E1245" s="29" t="s">
        <v>6955</v>
      </c>
      <c r="F1245" s="30" t="s">
        <v>2547</v>
      </c>
      <c r="G1245" s="89">
        <f>DATE(2012,1,8)</f>
        <v>40916</v>
      </c>
      <c r="H1245" s="90">
        <v>1.9236111111111112</v>
      </c>
      <c r="I1245" s="30" t="s">
        <v>73</v>
      </c>
      <c r="J1245" s="89" t="s">
        <v>6956</v>
      </c>
      <c r="K1245" s="30" t="s">
        <v>2549</v>
      </c>
      <c r="L1245" s="30" t="s">
        <v>6957</v>
      </c>
      <c r="M1245" s="30" t="s">
        <v>63</v>
      </c>
      <c r="N1245" s="30" t="s">
        <v>99</v>
      </c>
      <c r="O1245" s="30" t="s">
        <v>64</v>
      </c>
      <c r="P1245" s="89" t="s">
        <v>78</v>
      </c>
      <c r="Q1245" s="89" t="s">
        <v>3504</v>
      </c>
      <c r="R1245" s="89">
        <v>0</v>
      </c>
      <c r="S1245" s="30">
        <v>0</v>
      </c>
      <c r="T1245" s="233">
        <v>0</v>
      </c>
      <c r="U1245" s="30">
        <v>0</v>
      </c>
      <c r="V1245" s="233">
        <v>0</v>
      </c>
      <c r="W1245" s="30">
        <v>0</v>
      </c>
      <c r="X1245" s="30">
        <v>0</v>
      </c>
      <c r="Y1245" s="30">
        <v>0</v>
      </c>
      <c r="Z1245" s="233">
        <v>0</v>
      </c>
      <c r="AA1245" s="30">
        <v>0</v>
      </c>
      <c r="AB1245" s="30">
        <v>0</v>
      </c>
      <c r="AC1245" s="30">
        <v>0</v>
      </c>
      <c r="AD1245" s="30">
        <v>0</v>
      </c>
      <c r="AE1245" s="89" t="s">
        <v>394</v>
      </c>
      <c r="AF1245" s="89"/>
      <c r="AG1245" s="89" t="s">
        <v>133</v>
      </c>
      <c r="AH1245" s="72">
        <v>40917</v>
      </c>
      <c r="AI1245" s="30">
        <v>3</v>
      </c>
      <c r="AJ1245" s="89" t="s">
        <v>6958</v>
      </c>
      <c r="AK1245" s="89" t="s">
        <v>6959</v>
      </c>
      <c r="AL1245" s="91">
        <v>40919</v>
      </c>
      <c r="AM1245" s="91"/>
      <c r="AN1245" s="91"/>
      <c r="AO1245" s="91"/>
      <c r="AP1245" s="73" t="e">
        <f>MID(VLOOKUP(K1245,#REF!,2,FALSE),1,2)</f>
        <v>#REF!</v>
      </c>
      <c r="AQ1245" s="89">
        <f>DATE(2012,1,8)</f>
        <v>40916</v>
      </c>
      <c r="AR1245" s="82">
        <f t="shared" si="82"/>
        <v>8</v>
      </c>
      <c r="AS1245" s="83">
        <f t="shared" si="83"/>
        <v>1</v>
      </c>
      <c r="AT1245" s="84">
        <f t="shared" si="84"/>
        <v>2012</v>
      </c>
      <c r="AU1245" s="86"/>
      <c r="AV1245" s="86"/>
      <c r="AW1245" s="87"/>
      <c r="AX1245" s="86"/>
      <c r="AY1245" s="83"/>
      <c r="AZ1245" s="84"/>
      <c r="BA1245" s="86"/>
      <c r="BB1245" s="86"/>
    </row>
    <row r="1246" spans="1:54" ht="36.75" customHeight="1">
      <c r="A1246" s="30"/>
      <c r="B1246" s="30" t="s">
        <v>2124</v>
      </c>
      <c r="C1246" s="69" t="str">
        <f t="shared" si="81"/>
        <v>Open</v>
      </c>
      <c r="D1246" s="27" t="s">
        <v>6960</v>
      </c>
      <c r="E1246" s="29" t="s">
        <v>6961</v>
      </c>
      <c r="F1246" s="30" t="s">
        <v>3148</v>
      </c>
      <c r="G1246" s="89">
        <f>DATE(2012,1,10)</f>
        <v>40918</v>
      </c>
      <c r="H1246" s="90">
        <v>1.4624999999999999</v>
      </c>
      <c r="I1246" s="30" t="s">
        <v>116</v>
      </c>
      <c r="J1246" s="89" t="s">
        <v>6962</v>
      </c>
      <c r="K1246" s="30" t="s">
        <v>3150</v>
      </c>
      <c r="L1246" s="30" t="s">
        <v>6963</v>
      </c>
      <c r="M1246" s="30" t="s">
        <v>63</v>
      </c>
      <c r="N1246" s="30">
        <v>0</v>
      </c>
      <c r="O1246" s="30" t="s">
        <v>64</v>
      </c>
      <c r="P1246" s="89" t="s">
        <v>165</v>
      </c>
      <c r="Q1246" s="89" t="s">
        <v>4529</v>
      </c>
      <c r="R1246" s="89" t="s">
        <v>3153</v>
      </c>
      <c r="S1246" s="30">
        <v>0</v>
      </c>
      <c r="T1246" s="233">
        <v>0</v>
      </c>
      <c r="U1246" s="30">
        <v>1</v>
      </c>
      <c r="V1246" s="233">
        <v>0</v>
      </c>
      <c r="W1246" s="30">
        <v>0</v>
      </c>
      <c r="X1246" s="30">
        <v>1</v>
      </c>
      <c r="Y1246" s="30">
        <v>0</v>
      </c>
      <c r="Z1246" s="233">
        <v>0</v>
      </c>
      <c r="AA1246" s="30">
        <v>0</v>
      </c>
      <c r="AB1246" s="30">
        <v>0</v>
      </c>
      <c r="AC1246" s="30">
        <v>0</v>
      </c>
      <c r="AD1246" s="30">
        <v>0</v>
      </c>
      <c r="AE1246" s="89" t="s">
        <v>68</v>
      </c>
      <c r="AF1246" s="89"/>
      <c r="AG1246" s="89" t="s">
        <v>133</v>
      </c>
      <c r="AH1246" s="72" t="s">
        <v>68</v>
      </c>
      <c r="AI1246" s="30">
        <v>0</v>
      </c>
      <c r="AJ1246" s="89" t="s">
        <v>68</v>
      </c>
      <c r="AK1246" s="89" t="s">
        <v>68</v>
      </c>
      <c r="AL1246" s="91">
        <v>40925</v>
      </c>
      <c r="AM1246" s="91"/>
      <c r="AN1246" s="91"/>
      <c r="AO1246" s="91"/>
      <c r="AP1246" s="73" t="e">
        <f>MID(VLOOKUP(K1246,#REF!,2,FALSE),1,2)</f>
        <v>#REF!</v>
      </c>
      <c r="AQ1246" s="89">
        <f>DATE(2012,1,10)</f>
        <v>40918</v>
      </c>
      <c r="AR1246" s="82">
        <f t="shared" si="82"/>
        <v>10</v>
      </c>
      <c r="AS1246" s="83">
        <f t="shared" si="83"/>
        <v>1</v>
      </c>
      <c r="AT1246" s="84">
        <f t="shared" si="84"/>
        <v>2012</v>
      </c>
      <c r="AU1246" s="86"/>
      <c r="AV1246" s="86"/>
      <c r="AW1246" s="87"/>
      <c r="AX1246" s="86"/>
      <c r="AY1246" s="83"/>
      <c r="AZ1246" s="84"/>
      <c r="BA1246" s="86"/>
      <c r="BB1246" s="86"/>
    </row>
    <row r="1247" spans="1:54" ht="36.75" customHeight="1">
      <c r="A1247" s="30"/>
      <c r="B1247" s="30" t="s">
        <v>55</v>
      </c>
      <c r="C1247" s="69" t="str">
        <f t="shared" si="81"/>
        <v>Closed</v>
      </c>
      <c r="D1247" s="27" t="s">
        <v>6964</v>
      </c>
      <c r="E1247" s="29" t="s">
        <v>6965</v>
      </c>
      <c r="F1247" s="30" t="s">
        <v>197</v>
      </c>
      <c r="G1247" s="89">
        <f>DATE(2012,1,12)</f>
        <v>40920</v>
      </c>
      <c r="H1247" s="90">
        <v>1.6409722222222221</v>
      </c>
      <c r="I1247" s="30" t="s">
        <v>116</v>
      </c>
      <c r="J1247" s="89" t="s">
        <v>6966</v>
      </c>
      <c r="K1247" s="30" t="s">
        <v>200</v>
      </c>
      <c r="L1247" s="30" t="s">
        <v>6967</v>
      </c>
      <c r="M1247" s="30" t="s">
        <v>63</v>
      </c>
      <c r="N1247" s="30" t="s">
        <v>99</v>
      </c>
      <c r="O1247" s="30" t="s">
        <v>77</v>
      </c>
      <c r="P1247" s="89" t="s">
        <v>165</v>
      </c>
      <c r="Q1247" s="89" t="s">
        <v>202</v>
      </c>
      <c r="R1247" s="89" t="s">
        <v>203</v>
      </c>
      <c r="S1247" s="30">
        <v>0</v>
      </c>
      <c r="T1247" s="233">
        <v>0</v>
      </c>
      <c r="U1247" s="30">
        <v>0</v>
      </c>
      <c r="V1247" s="233">
        <v>0</v>
      </c>
      <c r="W1247" s="30">
        <v>0</v>
      </c>
      <c r="X1247" s="30">
        <v>0</v>
      </c>
      <c r="Y1247" s="30">
        <v>0</v>
      </c>
      <c r="Z1247" s="233">
        <v>0</v>
      </c>
      <c r="AA1247" s="30">
        <v>1</v>
      </c>
      <c r="AB1247" s="30">
        <v>0</v>
      </c>
      <c r="AC1247" s="30">
        <v>0</v>
      </c>
      <c r="AD1247" s="30">
        <v>1</v>
      </c>
      <c r="AE1247" s="89" t="s">
        <v>92</v>
      </c>
      <c r="AF1247" s="89"/>
      <c r="AG1247" s="89" t="s">
        <v>352</v>
      </c>
      <c r="AH1247" s="72">
        <v>40920</v>
      </c>
      <c r="AI1247" s="30">
        <v>3</v>
      </c>
      <c r="AJ1247" s="89" t="s">
        <v>6968</v>
      </c>
      <c r="AK1247" s="89" t="s">
        <v>68</v>
      </c>
      <c r="AL1247" s="91">
        <v>41148</v>
      </c>
      <c r="AM1247" s="91"/>
      <c r="AN1247" s="91"/>
      <c r="AO1247" s="91"/>
      <c r="AP1247" s="73" t="e">
        <f>MID(VLOOKUP(K1247,#REF!,2,FALSE),1,2)</f>
        <v>#REF!</v>
      </c>
      <c r="AQ1247" s="89">
        <f>DATE(2012,1,12)</f>
        <v>40920</v>
      </c>
      <c r="AR1247" s="82">
        <f t="shared" si="82"/>
        <v>12</v>
      </c>
      <c r="AS1247" s="83">
        <f t="shared" si="83"/>
        <v>1</v>
      </c>
      <c r="AT1247" s="84">
        <f t="shared" si="84"/>
        <v>2012</v>
      </c>
      <c r="AU1247" s="86"/>
      <c r="AV1247" s="86"/>
      <c r="AW1247" s="87"/>
      <c r="AX1247" s="86"/>
      <c r="AY1247" s="83"/>
      <c r="AZ1247" s="84"/>
      <c r="BA1247" s="86"/>
      <c r="BB1247" s="86"/>
    </row>
    <row r="1248" spans="1:54" ht="36.75" customHeight="1">
      <c r="A1248" s="30"/>
      <c r="B1248" s="30" t="s">
        <v>55</v>
      </c>
      <c r="C1248" s="69" t="str">
        <f t="shared" si="81"/>
        <v>Closed</v>
      </c>
      <c r="D1248" s="27" t="s">
        <v>6969</v>
      </c>
      <c r="E1248" s="29" t="s">
        <v>6970</v>
      </c>
      <c r="F1248" s="30" t="s">
        <v>638</v>
      </c>
      <c r="G1248" s="89">
        <f>DATE(2012,1,12)</f>
        <v>40920</v>
      </c>
      <c r="H1248" s="90">
        <v>1.5965277777777778</v>
      </c>
      <c r="I1248" s="30" t="s">
        <v>198</v>
      </c>
      <c r="J1248" s="89" t="s">
        <v>6971</v>
      </c>
      <c r="K1248" s="30" t="s">
        <v>640</v>
      </c>
      <c r="L1248" s="30" t="s">
        <v>6972</v>
      </c>
      <c r="M1248" s="30" t="s">
        <v>63</v>
      </c>
      <c r="N1248" s="30" t="s">
        <v>99</v>
      </c>
      <c r="O1248" s="30" t="s">
        <v>77</v>
      </c>
      <c r="P1248" s="89" t="s">
        <v>6973</v>
      </c>
      <c r="Q1248" s="89" t="s">
        <v>3246</v>
      </c>
      <c r="R1248" s="89" t="s">
        <v>3246</v>
      </c>
      <c r="S1248" s="30">
        <v>0</v>
      </c>
      <c r="T1248" s="233">
        <v>0</v>
      </c>
      <c r="U1248" s="30">
        <v>0</v>
      </c>
      <c r="V1248" s="233">
        <v>0</v>
      </c>
      <c r="W1248" s="30">
        <v>0</v>
      </c>
      <c r="X1248" s="30">
        <v>0</v>
      </c>
      <c r="Y1248" s="30">
        <v>0</v>
      </c>
      <c r="Z1248" s="233">
        <v>0</v>
      </c>
      <c r="AA1248" s="30">
        <v>0</v>
      </c>
      <c r="AB1248" s="30">
        <v>0</v>
      </c>
      <c r="AC1248" s="30">
        <v>0</v>
      </c>
      <c r="AD1248" s="30">
        <v>0</v>
      </c>
      <c r="AE1248" s="89" t="s">
        <v>92</v>
      </c>
      <c r="AF1248" s="89"/>
      <c r="AG1248" s="89" t="s">
        <v>352</v>
      </c>
      <c r="AH1248" s="72">
        <v>40939</v>
      </c>
      <c r="AI1248" s="30">
        <v>1</v>
      </c>
      <c r="AJ1248" s="89" t="s">
        <v>6974</v>
      </c>
      <c r="AK1248" s="89" t="s">
        <v>68</v>
      </c>
      <c r="AL1248" s="91">
        <v>40945</v>
      </c>
      <c r="AM1248" s="91"/>
      <c r="AN1248" s="91"/>
      <c r="AO1248" s="91"/>
      <c r="AP1248" s="73" t="e">
        <f>MID(VLOOKUP(K1248,#REF!,2,FALSE),1,2)</f>
        <v>#REF!</v>
      </c>
      <c r="AQ1248" s="89">
        <f>DATE(2012,1,12)</f>
        <v>40920</v>
      </c>
      <c r="AR1248" s="82">
        <f t="shared" si="82"/>
        <v>12</v>
      </c>
      <c r="AS1248" s="83">
        <f t="shared" si="83"/>
        <v>1</v>
      </c>
      <c r="AT1248" s="84">
        <f t="shared" si="84"/>
        <v>2012</v>
      </c>
      <c r="AU1248" s="86"/>
      <c r="AV1248" s="86"/>
      <c r="AW1248" s="87"/>
      <c r="AX1248" s="86"/>
      <c r="AY1248" s="83"/>
      <c r="AZ1248" s="84"/>
      <c r="BA1248" s="86"/>
      <c r="BB1248" s="86"/>
    </row>
    <row r="1249" spans="1:54" ht="36.75" customHeight="1">
      <c r="A1249" s="30"/>
      <c r="B1249" s="30" t="s">
        <v>55</v>
      </c>
      <c r="C1249" s="69" t="str">
        <f t="shared" si="81"/>
        <v>Closed</v>
      </c>
      <c r="D1249" s="27" t="s">
        <v>6975</v>
      </c>
      <c r="E1249" s="29" t="s">
        <v>6976</v>
      </c>
      <c r="F1249" s="30" t="s">
        <v>582</v>
      </c>
      <c r="G1249" s="89">
        <f>DATE(2012,1,13)</f>
        <v>40921</v>
      </c>
      <c r="H1249" s="90">
        <v>1.7374999999999998</v>
      </c>
      <c r="I1249" s="30" t="s">
        <v>156</v>
      </c>
      <c r="J1249" s="89" t="s">
        <v>6977</v>
      </c>
      <c r="K1249" s="30" t="s">
        <v>584</v>
      </c>
      <c r="L1249" s="30" t="s">
        <v>6978</v>
      </c>
      <c r="M1249" s="30" t="s">
        <v>63</v>
      </c>
      <c r="N1249" s="30" t="s">
        <v>142</v>
      </c>
      <c r="O1249" s="30" t="s">
        <v>64</v>
      </c>
      <c r="P1249" s="89" t="s">
        <v>165</v>
      </c>
      <c r="Q1249" s="89" t="s">
        <v>6979</v>
      </c>
      <c r="R1249" s="89" t="s">
        <v>587</v>
      </c>
      <c r="S1249" s="30">
        <v>1</v>
      </c>
      <c r="T1249" s="233">
        <v>0</v>
      </c>
      <c r="U1249" s="30">
        <v>0</v>
      </c>
      <c r="V1249" s="233">
        <v>0</v>
      </c>
      <c r="W1249" s="30">
        <v>0</v>
      </c>
      <c r="X1249" s="30">
        <v>1</v>
      </c>
      <c r="Y1249" s="30">
        <v>2</v>
      </c>
      <c r="Z1249" s="233">
        <v>0</v>
      </c>
      <c r="AA1249" s="30">
        <v>0</v>
      </c>
      <c r="AB1249" s="30">
        <v>0</v>
      </c>
      <c r="AC1249" s="30">
        <v>0</v>
      </c>
      <c r="AD1249" s="30">
        <v>2</v>
      </c>
      <c r="AE1249" s="89" t="s">
        <v>394</v>
      </c>
      <c r="AF1249" s="89"/>
      <c r="AG1249" s="89" t="s">
        <v>82</v>
      </c>
      <c r="AH1249" s="72">
        <v>40926</v>
      </c>
      <c r="AI1249" s="30">
        <v>0</v>
      </c>
      <c r="AJ1249" s="89" t="s">
        <v>6980</v>
      </c>
      <c r="AK1249" s="89" t="s">
        <v>1233</v>
      </c>
      <c r="AL1249" s="91">
        <v>40921</v>
      </c>
      <c r="AM1249" s="91"/>
      <c r="AN1249" s="91"/>
      <c r="AO1249" s="91"/>
      <c r="AP1249" s="73" t="e">
        <f>MID(VLOOKUP(K1249,#REF!,2,FALSE),1,2)</f>
        <v>#REF!</v>
      </c>
      <c r="AQ1249" s="89">
        <f>DATE(2012,1,13)</f>
        <v>40921</v>
      </c>
      <c r="AR1249" s="82">
        <f t="shared" si="82"/>
        <v>13</v>
      </c>
      <c r="AS1249" s="83">
        <f t="shared" si="83"/>
        <v>1</v>
      </c>
      <c r="AT1249" s="84">
        <f t="shared" si="84"/>
        <v>2012</v>
      </c>
      <c r="AU1249" s="86"/>
      <c r="AV1249" s="86"/>
      <c r="AW1249" s="87"/>
      <c r="AX1249" s="86"/>
      <c r="AY1249" s="83"/>
      <c r="AZ1249" s="84"/>
      <c r="BA1249" s="86"/>
      <c r="BB1249" s="86"/>
    </row>
    <row r="1250" spans="1:54" ht="36.75" customHeight="1">
      <c r="A1250" s="30"/>
      <c r="B1250" s="30" t="s">
        <v>55</v>
      </c>
      <c r="C1250" s="69" t="str">
        <f t="shared" si="81"/>
        <v>Closed</v>
      </c>
      <c r="D1250" s="27" t="s">
        <v>6981</v>
      </c>
      <c r="E1250" s="29" t="s">
        <v>6982</v>
      </c>
      <c r="F1250" s="30" t="s">
        <v>124</v>
      </c>
      <c r="G1250" s="89">
        <f>DATE(2012,1,13)</f>
        <v>40921</v>
      </c>
      <c r="H1250" s="90">
        <v>1.9479166666666665</v>
      </c>
      <c r="I1250" s="30" t="s">
        <v>73</v>
      </c>
      <c r="J1250" s="89" t="s">
        <v>6983</v>
      </c>
      <c r="K1250" s="30" t="s">
        <v>127</v>
      </c>
      <c r="L1250" s="30" t="s">
        <v>6984</v>
      </c>
      <c r="M1250" s="30" t="s">
        <v>63</v>
      </c>
      <c r="N1250" s="30" t="s">
        <v>99</v>
      </c>
      <c r="O1250" s="30" t="s">
        <v>77</v>
      </c>
      <c r="P1250" s="89" t="s">
        <v>78</v>
      </c>
      <c r="Q1250" s="89" t="s">
        <v>401</v>
      </c>
      <c r="R1250" s="89" t="s">
        <v>167</v>
      </c>
      <c r="S1250" s="30">
        <v>0</v>
      </c>
      <c r="T1250" s="233">
        <v>0</v>
      </c>
      <c r="U1250" s="30">
        <v>0</v>
      </c>
      <c r="V1250" s="233">
        <v>0</v>
      </c>
      <c r="W1250" s="30">
        <v>0</v>
      </c>
      <c r="X1250" s="30">
        <v>0</v>
      </c>
      <c r="Y1250" s="30">
        <v>0</v>
      </c>
      <c r="Z1250" s="233">
        <v>0</v>
      </c>
      <c r="AA1250" s="30">
        <v>0</v>
      </c>
      <c r="AB1250" s="30">
        <v>0</v>
      </c>
      <c r="AC1250" s="30">
        <v>0</v>
      </c>
      <c r="AD1250" s="30">
        <v>0</v>
      </c>
      <c r="AE1250" s="89" t="s">
        <v>68</v>
      </c>
      <c r="AF1250" s="89"/>
      <c r="AG1250" s="89" t="s">
        <v>82</v>
      </c>
      <c r="AH1250" s="72">
        <v>40933</v>
      </c>
      <c r="AI1250" s="30">
        <v>1</v>
      </c>
      <c r="AJ1250" s="89" t="s">
        <v>6985</v>
      </c>
      <c r="AK1250" s="89" t="s">
        <v>68</v>
      </c>
      <c r="AL1250" s="91">
        <v>40933</v>
      </c>
      <c r="AM1250" s="91"/>
      <c r="AN1250" s="91"/>
      <c r="AO1250" s="91"/>
      <c r="AP1250" s="73" t="e">
        <f>MID(VLOOKUP(K1250,#REF!,2,FALSE),1,2)</f>
        <v>#REF!</v>
      </c>
      <c r="AQ1250" s="89">
        <f>DATE(2012,1,13)</f>
        <v>40921</v>
      </c>
      <c r="AR1250" s="82">
        <f t="shared" si="82"/>
        <v>13</v>
      </c>
      <c r="AS1250" s="83">
        <f t="shared" si="83"/>
        <v>1</v>
      </c>
      <c r="AT1250" s="84">
        <f t="shared" si="84"/>
        <v>2012</v>
      </c>
      <c r="AU1250" s="86"/>
      <c r="AV1250" s="86"/>
      <c r="AW1250" s="87"/>
      <c r="AX1250" s="86"/>
      <c r="AY1250" s="83"/>
      <c r="AZ1250" s="84"/>
      <c r="BA1250" s="86"/>
      <c r="BB1250" s="86"/>
    </row>
    <row r="1251" spans="1:54" ht="36.75" customHeight="1">
      <c r="A1251" s="30"/>
      <c r="B1251" s="30" t="s">
        <v>55</v>
      </c>
      <c r="C1251" s="69" t="str">
        <f t="shared" si="81"/>
        <v>Closed</v>
      </c>
      <c r="D1251" s="27" t="s">
        <v>6986</v>
      </c>
      <c r="E1251" s="29" t="s">
        <v>6987</v>
      </c>
      <c r="F1251" s="30" t="s">
        <v>58</v>
      </c>
      <c r="G1251" s="89">
        <f>DATE(2012,1,14)</f>
        <v>40922</v>
      </c>
      <c r="H1251" s="90">
        <v>1.0069444444444444</v>
      </c>
      <c r="I1251" s="30" t="s">
        <v>73</v>
      </c>
      <c r="J1251" s="89" t="s">
        <v>6988</v>
      </c>
      <c r="K1251" s="30" t="s">
        <v>61</v>
      </c>
      <c r="L1251" s="30" t="s">
        <v>6989</v>
      </c>
      <c r="M1251" s="30" t="s">
        <v>63</v>
      </c>
      <c r="N1251" s="30" t="s">
        <v>89</v>
      </c>
      <c r="O1251" s="30" t="s">
        <v>90</v>
      </c>
      <c r="P1251" s="89" t="s">
        <v>78</v>
      </c>
      <c r="Q1251" s="89" t="s">
        <v>66</v>
      </c>
      <c r="R1251" s="89" t="s">
        <v>67</v>
      </c>
      <c r="S1251" s="30">
        <v>0</v>
      </c>
      <c r="T1251" s="233">
        <v>0</v>
      </c>
      <c r="U1251" s="30">
        <v>0</v>
      </c>
      <c r="V1251" s="233">
        <v>0</v>
      </c>
      <c r="W1251" s="30">
        <v>0</v>
      </c>
      <c r="X1251" s="30">
        <v>0</v>
      </c>
      <c r="Y1251" s="30">
        <v>0</v>
      </c>
      <c r="Z1251" s="233">
        <v>0</v>
      </c>
      <c r="AA1251" s="30">
        <v>0</v>
      </c>
      <c r="AB1251" s="30">
        <v>0</v>
      </c>
      <c r="AC1251" s="30">
        <v>0</v>
      </c>
      <c r="AD1251" s="30">
        <v>0</v>
      </c>
      <c r="AE1251" s="89" t="s">
        <v>394</v>
      </c>
      <c r="AF1251" s="89"/>
      <c r="AG1251" s="89" t="s">
        <v>133</v>
      </c>
      <c r="AH1251" s="72">
        <v>40940</v>
      </c>
      <c r="AI1251" s="30">
        <v>2</v>
      </c>
      <c r="AJ1251" s="89" t="s">
        <v>6990</v>
      </c>
      <c r="AK1251" s="89" t="s">
        <v>6991</v>
      </c>
      <c r="AL1251" s="91">
        <v>40925</v>
      </c>
      <c r="AM1251" s="91"/>
      <c r="AN1251" s="91"/>
      <c r="AO1251" s="91"/>
      <c r="AP1251" s="73" t="e">
        <f>MID(VLOOKUP(K1251,#REF!,2,FALSE),1,2)</f>
        <v>#REF!</v>
      </c>
      <c r="AQ1251" s="89">
        <f>DATE(2012,1,14)</f>
        <v>40922</v>
      </c>
      <c r="AR1251" s="82">
        <f t="shared" si="82"/>
        <v>14</v>
      </c>
      <c r="AS1251" s="83">
        <f t="shared" si="83"/>
        <v>1</v>
      </c>
      <c r="AT1251" s="84">
        <f t="shared" si="84"/>
        <v>2012</v>
      </c>
      <c r="AU1251" s="86"/>
      <c r="AV1251" s="86"/>
      <c r="AW1251" s="87"/>
      <c r="AX1251" s="86"/>
      <c r="AY1251" s="83"/>
      <c r="AZ1251" s="84"/>
      <c r="BA1251" s="86"/>
      <c r="BB1251" s="86"/>
    </row>
    <row r="1252" spans="1:54" ht="36.75" customHeight="1">
      <c r="A1252" s="30"/>
      <c r="B1252" s="30" t="s">
        <v>55</v>
      </c>
      <c r="C1252" s="69" t="str">
        <f t="shared" si="81"/>
        <v>Closed</v>
      </c>
      <c r="D1252" s="27" t="s">
        <v>6992</v>
      </c>
      <c r="E1252" s="29" t="s">
        <v>6993</v>
      </c>
      <c r="F1252" s="30" t="s">
        <v>638</v>
      </c>
      <c r="G1252" s="89">
        <f>DATE(2012,1,15)</f>
        <v>40923</v>
      </c>
      <c r="H1252" s="90">
        <v>1.3416666666666666</v>
      </c>
      <c r="I1252" s="30" t="s">
        <v>73</v>
      </c>
      <c r="J1252" s="89" t="s">
        <v>6994</v>
      </c>
      <c r="K1252" s="30" t="s">
        <v>640</v>
      </c>
      <c r="L1252" s="30" t="s">
        <v>6995</v>
      </c>
      <c r="M1252" s="30" t="s">
        <v>63</v>
      </c>
      <c r="N1252" s="30" t="s">
        <v>99</v>
      </c>
      <c r="O1252" s="30" t="s">
        <v>77</v>
      </c>
      <c r="P1252" s="89" t="s">
        <v>78</v>
      </c>
      <c r="Q1252" s="89" t="s">
        <v>3246</v>
      </c>
      <c r="R1252" s="89" t="s">
        <v>3246</v>
      </c>
      <c r="S1252" s="30">
        <v>0</v>
      </c>
      <c r="T1252" s="233">
        <v>0</v>
      </c>
      <c r="U1252" s="30">
        <v>0</v>
      </c>
      <c r="V1252" s="233">
        <v>0</v>
      </c>
      <c r="W1252" s="30">
        <v>0</v>
      </c>
      <c r="X1252" s="30">
        <v>0</v>
      </c>
      <c r="Y1252" s="30">
        <v>0</v>
      </c>
      <c r="Z1252" s="233">
        <v>0</v>
      </c>
      <c r="AA1252" s="30">
        <v>0</v>
      </c>
      <c r="AB1252" s="30">
        <v>0</v>
      </c>
      <c r="AC1252" s="30">
        <v>0</v>
      </c>
      <c r="AD1252" s="30">
        <v>0</v>
      </c>
      <c r="AE1252" s="89" t="s">
        <v>68</v>
      </c>
      <c r="AF1252" s="89"/>
      <c r="AG1252" s="89" t="s">
        <v>352</v>
      </c>
      <c r="AH1252" s="72">
        <v>40939</v>
      </c>
      <c r="AI1252" s="30">
        <v>3</v>
      </c>
      <c r="AJ1252" s="89" t="s">
        <v>6996</v>
      </c>
      <c r="AK1252" s="89" t="s">
        <v>68</v>
      </c>
      <c r="AL1252" s="91">
        <v>40945</v>
      </c>
      <c r="AM1252" s="91"/>
      <c r="AN1252" s="91"/>
      <c r="AO1252" s="91"/>
      <c r="AP1252" s="73" t="e">
        <f>MID(VLOOKUP(K1252,#REF!,2,FALSE),1,2)</f>
        <v>#REF!</v>
      </c>
      <c r="AQ1252" s="89">
        <f>DATE(2012,1,15)</f>
        <v>40923</v>
      </c>
      <c r="AR1252" s="82">
        <f t="shared" si="82"/>
        <v>15</v>
      </c>
      <c r="AS1252" s="83">
        <f t="shared" si="83"/>
        <v>1</v>
      </c>
      <c r="AT1252" s="84">
        <f t="shared" si="84"/>
        <v>2012</v>
      </c>
      <c r="AU1252" s="86"/>
      <c r="AV1252" s="86"/>
      <c r="AW1252" s="87"/>
      <c r="AX1252" s="86"/>
      <c r="AY1252" s="83"/>
      <c r="AZ1252" s="84"/>
      <c r="BA1252" s="86"/>
      <c r="BB1252" s="86"/>
    </row>
    <row r="1253" spans="1:54" ht="36.75" customHeight="1">
      <c r="A1253" s="30"/>
      <c r="B1253" s="30" t="s">
        <v>55</v>
      </c>
      <c r="C1253" s="69" t="str">
        <f t="shared" si="81"/>
        <v>Closed</v>
      </c>
      <c r="D1253" s="27" t="s">
        <v>6997</v>
      </c>
      <c r="E1253" s="29" t="s">
        <v>6998</v>
      </c>
      <c r="F1253" s="30" t="s">
        <v>1572</v>
      </c>
      <c r="G1253" s="89">
        <f>DATE(2012,1,16)</f>
        <v>40924</v>
      </c>
      <c r="H1253" s="90">
        <v>1.5833333333333335</v>
      </c>
      <c r="I1253" s="30" t="s">
        <v>73</v>
      </c>
      <c r="J1253" s="89" t="s">
        <v>6999</v>
      </c>
      <c r="K1253" s="30" t="s">
        <v>1574</v>
      </c>
      <c r="L1253" s="30" t="s">
        <v>7000</v>
      </c>
      <c r="M1253" s="30" t="s">
        <v>63</v>
      </c>
      <c r="N1253" s="30" t="s">
        <v>99</v>
      </c>
      <c r="O1253" s="30" t="s">
        <v>77</v>
      </c>
      <c r="P1253" s="89" t="s">
        <v>381</v>
      </c>
      <c r="Q1253" s="89" t="s">
        <v>2437</v>
      </c>
      <c r="R1253" s="89">
        <v>0</v>
      </c>
      <c r="S1253" s="30">
        <v>0</v>
      </c>
      <c r="T1253" s="233">
        <v>0</v>
      </c>
      <c r="U1253" s="30">
        <v>0</v>
      </c>
      <c r="V1253" s="233">
        <v>0</v>
      </c>
      <c r="W1253" s="30">
        <v>0</v>
      </c>
      <c r="X1253" s="30">
        <v>0</v>
      </c>
      <c r="Y1253" s="30">
        <v>0</v>
      </c>
      <c r="Z1253" s="233">
        <v>0</v>
      </c>
      <c r="AA1253" s="30">
        <v>0</v>
      </c>
      <c r="AB1253" s="30">
        <v>0</v>
      </c>
      <c r="AC1253" s="30">
        <v>0</v>
      </c>
      <c r="AD1253" s="30">
        <v>0</v>
      </c>
      <c r="AE1253" s="89" t="s">
        <v>92</v>
      </c>
      <c r="AF1253" s="89"/>
      <c r="AG1253" s="89" t="s">
        <v>133</v>
      </c>
      <c r="AH1253" s="72" t="s">
        <v>68</v>
      </c>
      <c r="AI1253" s="30">
        <v>0</v>
      </c>
      <c r="AJ1253" s="89" t="s">
        <v>7001</v>
      </c>
      <c r="AK1253" s="89" t="s">
        <v>7002</v>
      </c>
      <c r="AL1253" s="91">
        <v>40927</v>
      </c>
      <c r="AM1253" s="91"/>
      <c r="AN1253" s="91"/>
      <c r="AO1253" s="91"/>
      <c r="AP1253" s="73" t="e">
        <f>MID(VLOOKUP(K1253,#REF!,2,FALSE),1,2)</f>
        <v>#REF!</v>
      </c>
      <c r="AQ1253" s="89">
        <f>DATE(2012,1,16)</f>
        <v>40924</v>
      </c>
      <c r="AR1253" s="82">
        <f t="shared" si="82"/>
        <v>16</v>
      </c>
      <c r="AS1253" s="83">
        <f t="shared" si="83"/>
        <v>1</v>
      </c>
      <c r="AT1253" s="84">
        <f t="shared" si="84"/>
        <v>2012</v>
      </c>
      <c r="AU1253" s="86"/>
      <c r="AV1253" s="86"/>
      <c r="AW1253" s="87"/>
      <c r="AX1253" s="86"/>
      <c r="AY1253" s="83"/>
      <c r="AZ1253" s="84"/>
      <c r="BA1253" s="86"/>
      <c r="BB1253" s="86"/>
    </row>
    <row r="1254" spans="1:54" ht="36.75" customHeight="1">
      <c r="A1254" s="30"/>
      <c r="B1254" s="30" t="s">
        <v>55</v>
      </c>
      <c r="C1254" s="69" t="str">
        <f t="shared" si="81"/>
        <v>Closed</v>
      </c>
      <c r="D1254" s="27" t="s">
        <v>7003</v>
      </c>
      <c r="E1254" s="29" t="s">
        <v>7004</v>
      </c>
      <c r="F1254" s="30" t="s">
        <v>638</v>
      </c>
      <c r="G1254" s="89">
        <f>DATE(2012,1,19)</f>
        <v>40927</v>
      </c>
      <c r="H1254" s="90">
        <v>1.29375</v>
      </c>
      <c r="I1254" s="30" t="s">
        <v>73</v>
      </c>
      <c r="J1254" s="89" t="s">
        <v>7005</v>
      </c>
      <c r="K1254" s="30" t="s">
        <v>640</v>
      </c>
      <c r="L1254" s="30" t="s">
        <v>7006</v>
      </c>
      <c r="M1254" s="30" t="s">
        <v>63</v>
      </c>
      <c r="N1254" s="30" t="s">
        <v>99</v>
      </c>
      <c r="O1254" s="30" t="s">
        <v>64</v>
      </c>
      <c r="P1254" s="89" t="s">
        <v>78</v>
      </c>
      <c r="Q1254" s="89" t="s">
        <v>3246</v>
      </c>
      <c r="R1254" s="89" t="s">
        <v>3246</v>
      </c>
      <c r="S1254" s="30">
        <v>0</v>
      </c>
      <c r="T1254" s="233">
        <v>0</v>
      </c>
      <c r="U1254" s="30">
        <v>0</v>
      </c>
      <c r="V1254" s="233">
        <v>0</v>
      </c>
      <c r="W1254" s="30">
        <v>0</v>
      </c>
      <c r="X1254" s="30">
        <v>0</v>
      </c>
      <c r="Y1254" s="30">
        <v>0</v>
      </c>
      <c r="Z1254" s="233">
        <v>0</v>
      </c>
      <c r="AA1254" s="30">
        <v>0</v>
      </c>
      <c r="AB1254" s="30">
        <v>0</v>
      </c>
      <c r="AC1254" s="30">
        <v>0</v>
      </c>
      <c r="AD1254" s="30">
        <v>0</v>
      </c>
      <c r="AE1254" s="89" t="s">
        <v>68</v>
      </c>
      <c r="AF1254" s="89"/>
      <c r="AG1254" s="89" t="s">
        <v>352</v>
      </c>
      <c r="AH1254" s="72">
        <v>40939</v>
      </c>
      <c r="AI1254" s="30">
        <v>0</v>
      </c>
      <c r="AJ1254" s="89" t="s">
        <v>7007</v>
      </c>
      <c r="AK1254" s="89" t="s">
        <v>68</v>
      </c>
      <c r="AL1254" s="91">
        <v>40945</v>
      </c>
      <c r="AM1254" s="91"/>
      <c r="AN1254" s="91"/>
      <c r="AO1254" s="91"/>
      <c r="AP1254" s="73" t="e">
        <f>MID(VLOOKUP(K1254,#REF!,2,FALSE),1,2)</f>
        <v>#REF!</v>
      </c>
      <c r="AQ1254" s="89">
        <f>DATE(2012,1,19)</f>
        <v>40927</v>
      </c>
      <c r="AR1254" s="82">
        <f t="shared" si="82"/>
        <v>19</v>
      </c>
      <c r="AS1254" s="83">
        <f t="shared" si="83"/>
        <v>1</v>
      </c>
      <c r="AT1254" s="84">
        <f t="shared" si="84"/>
        <v>2012</v>
      </c>
      <c r="AU1254" s="86"/>
      <c r="AV1254" s="86"/>
      <c r="AW1254" s="87"/>
      <c r="AX1254" s="86"/>
      <c r="AY1254" s="83"/>
      <c r="AZ1254" s="84"/>
      <c r="BA1254" s="86"/>
      <c r="BB1254" s="86"/>
    </row>
    <row r="1255" spans="1:54" ht="36.75" customHeight="1">
      <c r="A1255" s="30"/>
      <c r="B1255" s="30" t="s">
        <v>55</v>
      </c>
      <c r="C1255" s="69" t="str">
        <f t="shared" si="81"/>
        <v>Closed</v>
      </c>
      <c r="D1255" s="27" t="s">
        <v>7008</v>
      </c>
      <c r="E1255" s="29" t="s">
        <v>7009</v>
      </c>
      <c r="F1255" s="30" t="s">
        <v>638</v>
      </c>
      <c r="G1255" s="89">
        <f>DATE(2012,1,19)</f>
        <v>40927</v>
      </c>
      <c r="H1255" s="90">
        <v>1.7708333333333335</v>
      </c>
      <c r="I1255" s="30" t="s">
        <v>198</v>
      </c>
      <c r="J1255" s="89" t="s">
        <v>7010</v>
      </c>
      <c r="K1255" s="30" t="s">
        <v>640</v>
      </c>
      <c r="L1255" s="30" t="s">
        <v>7011</v>
      </c>
      <c r="M1255" s="30" t="s">
        <v>63</v>
      </c>
      <c r="N1255" s="30" t="s">
        <v>142</v>
      </c>
      <c r="O1255" s="30" t="s">
        <v>64</v>
      </c>
      <c r="P1255" s="89" t="s">
        <v>7012</v>
      </c>
      <c r="Q1255" s="89" t="s">
        <v>642</v>
      </c>
      <c r="R1255" s="89" t="s">
        <v>643</v>
      </c>
      <c r="S1255" s="30">
        <v>0</v>
      </c>
      <c r="T1255" s="233">
        <v>0</v>
      </c>
      <c r="U1255" s="30">
        <v>0</v>
      </c>
      <c r="V1255" s="233">
        <v>0</v>
      </c>
      <c r="W1255" s="30">
        <v>0</v>
      </c>
      <c r="X1255" s="30">
        <v>0</v>
      </c>
      <c r="Y1255" s="30">
        <v>0</v>
      </c>
      <c r="Z1255" s="233">
        <v>0</v>
      </c>
      <c r="AA1255" s="30">
        <v>0</v>
      </c>
      <c r="AB1255" s="30">
        <v>0</v>
      </c>
      <c r="AC1255" s="30">
        <v>0</v>
      </c>
      <c r="AD1255" s="30">
        <v>0</v>
      </c>
      <c r="AE1255" s="89" t="s">
        <v>68</v>
      </c>
      <c r="AF1255" s="89"/>
      <c r="AG1255" s="89" t="s">
        <v>352</v>
      </c>
      <c r="AH1255" s="72">
        <v>40939</v>
      </c>
      <c r="AI1255" s="30">
        <v>2</v>
      </c>
      <c r="AJ1255" s="89" t="s">
        <v>7013</v>
      </c>
      <c r="AK1255" s="89" t="s">
        <v>68</v>
      </c>
      <c r="AL1255" s="91">
        <v>40945</v>
      </c>
      <c r="AM1255" s="91"/>
      <c r="AN1255" s="91"/>
      <c r="AO1255" s="91"/>
      <c r="AP1255" s="73" t="e">
        <f>MID(VLOOKUP(K1255,#REF!,2,FALSE),1,2)</f>
        <v>#REF!</v>
      </c>
      <c r="AQ1255" s="89">
        <f>DATE(2012,1,19)</f>
        <v>40927</v>
      </c>
      <c r="AR1255" s="82">
        <f t="shared" si="82"/>
        <v>19</v>
      </c>
      <c r="AS1255" s="83">
        <f t="shared" si="83"/>
        <v>1</v>
      </c>
      <c r="AT1255" s="84">
        <f t="shared" si="84"/>
        <v>2012</v>
      </c>
      <c r="AU1255" s="86"/>
      <c r="AV1255" s="86"/>
      <c r="AW1255" s="87"/>
      <c r="AX1255" s="86"/>
      <c r="AY1255" s="83"/>
      <c r="AZ1255" s="84"/>
      <c r="BA1255" s="86"/>
      <c r="BB1255" s="86"/>
    </row>
    <row r="1256" spans="1:54" ht="36.75" customHeight="1">
      <c r="A1256" s="30"/>
      <c r="B1256" s="30" t="s">
        <v>55</v>
      </c>
      <c r="C1256" s="69" t="str">
        <f t="shared" si="81"/>
        <v>Closed</v>
      </c>
      <c r="D1256" s="27" t="s">
        <v>7014</v>
      </c>
      <c r="E1256" s="29" t="s">
        <v>7015</v>
      </c>
      <c r="F1256" s="30" t="s">
        <v>423</v>
      </c>
      <c r="G1256" s="89">
        <f>DATE(2012,1,20)</f>
        <v>40928</v>
      </c>
      <c r="H1256" s="90">
        <v>1.4895833333333333</v>
      </c>
      <c r="I1256" s="30" t="s">
        <v>116</v>
      </c>
      <c r="J1256" s="89" t="s">
        <v>7016</v>
      </c>
      <c r="K1256" s="30" t="s">
        <v>425</v>
      </c>
      <c r="L1256" s="30" t="s">
        <v>7017</v>
      </c>
      <c r="M1256" s="30" t="s">
        <v>63</v>
      </c>
      <c r="N1256" s="30" t="s">
        <v>142</v>
      </c>
      <c r="O1256" s="30" t="s">
        <v>77</v>
      </c>
      <c r="P1256" s="89" t="s">
        <v>165</v>
      </c>
      <c r="Q1256" s="89" t="s">
        <v>427</v>
      </c>
      <c r="R1256" s="89" t="s">
        <v>3103</v>
      </c>
      <c r="S1256" s="30">
        <v>0</v>
      </c>
      <c r="T1256" s="233">
        <v>0</v>
      </c>
      <c r="U1256" s="30">
        <v>1</v>
      </c>
      <c r="V1256" s="233">
        <v>0</v>
      </c>
      <c r="W1256" s="30">
        <v>0</v>
      </c>
      <c r="X1256" s="30">
        <v>1</v>
      </c>
      <c r="Y1256" s="30">
        <v>0</v>
      </c>
      <c r="Z1256" s="233">
        <v>0</v>
      </c>
      <c r="AA1256" s="30">
        <v>0</v>
      </c>
      <c r="AB1256" s="30">
        <v>0</v>
      </c>
      <c r="AC1256" s="30">
        <v>0</v>
      </c>
      <c r="AD1256" s="30">
        <v>0</v>
      </c>
      <c r="AE1256" s="89" t="s">
        <v>68</v>
      </c>
      <c r="AF1256" s="89"/>
      <c r="AG1256" s="89" t="s">
        <v>133</v>
      </c>
      <c r="AH1256" s="72">
        <v>40968</v>
      </c>
      <c r="AI1256" s="30">
        <v>2</v>
      </c>
      <c r="AJ1256" s="89" t="s">
        <v>7018</v>
      </c>
      <c r="AK1256" s="89" t="s">
        <v>7019</v>
      </c>
      <c r="AL1256" s="91">
        <v>40968</v>
      </c>
      <c r="AM1256" s="91"/>
      <c r="AN1256" s="91"/>
      <c r="AO1256" s="91"/>
      <c r="AP1256" s="73" t="e">
        <f>MID(VLOOKUP(K1256,#REF!,2,FALSE),1,2)</f>
        <v>#REF!</v>
      </c>
      <c r="AQ1256" s="89">
        <f>DATE(2012,1,20)</f>
        <v>40928</v>
      </c>
      <c r="AR1256" s="82">
        <f t="shared" si="82"/>
        <v>20</v>
      </c>
      <c r="AS1256" s="83">
        <f t="shared" si="83"/>
        <v>1</v>
      </c>
      <c r="AT1256" s="84">
        <f t="shared" si="84"/>
        <v>2012</v>
      </c>
      <c r="AU1256" s="86"/>
      <c r="AV1256" s="86"/>
      <c r="AW1256" s="87"/>
      <c r="AX1256" s="86"/>
      <c r="AY1256" s="83"/>
      <c r="AZ1256" s="84"/>
      <c r="BA1256" s="86"/>
      <c r="BB1256" s="86"/>
    </row>
    <row r="1257" spans="1:54" ht="36.75" customHeight="1">
      <c r="A1257" s="30"/>
      <c r="B1257" s="30" t="s">
        <v>55</v>
      </c>
      <c r="C1257" s="69" t="str">
        <f t="shared" si="81"/>
        <v>Closed</v>
      </c>
      <c r="D1257" s="27" t="s">
        <v>7020</v>
      </c>
      <c r="E1257" s="29" t="s">
        <v>7021</v>
      </c>
      <c r="F1257" s="30" t="s">
        <v>582</v>
      </c>
      <c r="G1257" s="89">
        <f>DATE(2012,1,21)</f>
        <v>40929</v>
      </c>
      <c r="H1257" s="90">
        <v>1.6805555555555554</v>
      </c>
      <c r="I1257" s="30" t="s">
        <v>73</v>
      </c>
      <c r="J1257" s="89" t="s">
        <v>7022</v>
      </c>
      <c r="K1257" s="30" t="s">
        <v>584</v>
      </c>
      <c r="L1257" s="30" t="s">
        <v>7023</v>
      </c>
      <c r="M1257" s="30" t="s">
        <v>63</v>
      </c>
      <c r="N1257" s="30" t="s">
        <v>142</v>
      </c>
      <c r="O1257" s="30" t="s">
        <v>64</v>
      </c>
      <c r="P1257" s="89" t="s">
        <v>78</v>
      </c>
      <c r="Q1257" s="89" t="s">
        <v>586</v>
      </c>
      <c r="R1257" s="89" t="s">
        <v>587</v>
      </c>
      <c r="S1257" s="30">
        <v>0</v>
      </c>
      <c r="T1257" s="233">
        <v>0</v>
      </c>
      <c r="U1257" s="30">
        <v>0</v>
      </c>
      <c r="V1257" s="233">
        <v>0</v>
      </c>
      <c r="W1257" s="30">
        <v>0</v>
      </c>
      <c r="X1257" s="30">
        <v>0</v>
      </c>
      <c r="Y1257" s="30">
        <v>0</v>
      </c>
      <c r="Z1257" s="233">
        <v>0</v>
      </c>
      <c r="AA1257" s="30">
        <v>0</v>
      </c>
      <c r="AB1257" s="30">
        <v>0</v>
      </c>
      <c r="AC1257" s="30">
        <v>0</v>
      </c>
      <c r="AD1257" s="30">
        <v>0</v>
      </c>
      <c r="AE1257" s="89" t="s">
        <v>145</v>
      </c>
      <c r="AF1257" s="89"/>
      <c r="AG1257" s="89" t="s">
        <v>133</v>
      </c>
      <c r="AH1257" s="72">
        <v>40932</v>
      </c>
      <c r="AI1257" s="30">
        <v>0</v>
      </c>
      <c r="AJ1257" s="89" t="s">
        <v>7024</v>
      </c>
      <c r="AK1257" s="89" t="s">
        <v>1233</v>
      </c>
      <c r="AL1257" s="91">
        <v>40933</v>
      </c>
      <c r="AM1257" s="91"/>
      <c r="AN1257" s="91"/>
      <c r="AO1257" s="91"/>
      <c r="AP1257" s="73" t="e">
        <f>MID(VLOOKUP(K1257,#REF!,2,FALSE),1,2)</f>
        <v>#REF!</v>
      </c>
      <c r="AQ1257" s="89">
        <f>DATE(2012,1,21)</f>
        <v>40929</v>
      </c>
      <c r="AR1257" s="82">
        <f t="shared" si="82"/>
        <v>21</v>
      </c>
      <c r="AS1257" s="83">
        <f t="shared" si="83"/>
        <v>1</v>
      </c>
      <c r="AT1257" s="84">
        <f t="shared" si="84"/>
        <v>2012</v>
      </c>
      <c r="AU1257" s="86"/>
      <c r="AV1257" s="86"/>
      <c r="AW1257" s="87"/>
      <c r="AX1257" s="86"/>
      <c r="AY1257" s="83"/>
      <c r="AZ1257" s="84"/>
      <c r="BA1257" s="86"/>
      <c r="BB1257" s="86"/>
    </row>
    <row r="1258" spans="1:54" ht="36.75" customHeight="1">
      <c r="A1258" s="30"/>
      <c r="B1258" s="30" t="s">
        <v>2124</v>
      </c>
      <c r="C1258" s="69" t="str">
        <f t="shared" si="81"/>
        <v>Open</v>
      </c>
      <c r="D1258" s="27" t="s">
        <v>7025</v>
      </c>
      <c r="E1258" s="29" t="s">
        <v>7026</v>
      </c>
      <c r="F1258" s="30" t="s">
        <v>5683</v>
      </c>
      <c r="G1258" s="89">
        <f>DATE(2012,1,21)</f>
        <v>40929</v>
      </c>
      <c r="H1258" s="90">
        <v>1.3965277777777778</v>
      </c>
      <c r="I1258" s="30" t="s">
        <v>73</v>
      </c>
      <c r="J1258" s="89" t="s">
        <v>7027</v>
      </c>
      <c r="K1258" s="30" t="s">
        <v>5685</v>
      </c>
      <c r="L1258" s="30" t="s">
        <v>7028</v>
      </c>
      <c r="M1258" s="30" t="s">
        <v>63</v>
      </c>
      <c r="N1258" s="30">
        <v>0</v>
      </c>
      <c r="O1258" s="30" t="s">
        <v>77</v>
      </c>
      <c r="P1258" s="89" t="s">
        <v>165</v>
      </c>
      <c r="Q1258" s="89" t="s">
        <v>5687</v>
      </c>
      <c r="R1258" s="89" t="s">
        <v>5688</v>
      </c>
      <c r="S1258" s="30">
        <v>0</v>
      </c>
      <c r="T1258" s="233" t="s">
        <v>68</v>
      </c>
      <c r="U1258" s="30">
        <v>0</v>
      </c>
      <c r="V1258" s="233" t="s">
        <v>68</v>
      </c>
      <c r="W1258" s="30">
        <v>0</v>
      </c>
      <c r="X1258" s="30">
        <v>0</v>
      </c>
      <c r="Y1258" s="30">
        <v>0</v>
      </c>
      <c r="Z1258" s="233" t="s">
        <v>68</v>
      </c>
      <c r="AA1258" s="30">
        <v>0</v>
      </c>
      <c r="AB1258" s="30">
        <v>0</v>
      </c>
      <c r="AC1258" s="30">
        <v>0</v>
      </c>
      <c r="AD1258" s="30">
        <v>0</v>
      </c>
      <c r="AE1258" s="89" t="s">
        <v>68</v>
      </c>
      <c r="AF1258" s="89"/>
      <c r="AG1258" s="89" t="s">
        <v>352</v>
      </c>
      <c r="AH1258" s="72" t="s">
        <v>68</v>
      </c>
      <c r="AI1258" s="30">
        <v>0</v>
      </c>
      <c r="AJ1258" s="89" t="s">
        <v>68</v>
      </c>
      <c r="AK1258" s="89" t="s">
        <v>68</v>
      </c>
      <c r="AL1258" s="91">
        <v>40935</v>
      </c>
      <c r="AM1258" s="91"/>
      <c r="AN1258" s="91"/>
      <c r="AO1258" s="91"/>
      <c r="AP1258" s="73" t="e">
        <f>MID(VLOOKUP(K1258,#REF!,2,FALSE),1,2)</f>
        <v>#REF!</v>
      </c>
      <c r="AQ1258" s="89">
        <f>DATE(2012,1,21)</f>
        <v>40929</v>
      </c>
      <c r="AR1258" s="82">
        <f t="shared" si="82"/>
        <v>21</v>
      </c>
      <c r="AS1258" s="83">
        <f t="shared" si="83"/>
        <v>1</v>
      </c>
      <c r="AT1258" s="84">
        <f t="shared" si="84"/>
        <v>2012</v>
      </c>
      <c r="AU1258" s="86"/>
      <c r="AV1258" s="86"/>
      <c r="AW1258" s="87"/>
      <c r="AX1258" s="86"/>
      <c r="AY1258" s="83"/>
      <c r="AZ1258" s="84"/>
      <c r="BA1258" s="86"/>
      <c r="BB1258" s="86"/>
    </row>
    <row r="1259" spans="1:54" ht="36.75" customHeight="1">
      <c r="A1259" s="30"/>
      <c r="B1259" s="30" t="s">
        <v>55</v>
      </c>
      <c r="C1259" s="69" t="str">
        <f t="shared" si="81"/>
        <v>Closed</v>
      </c>
      <c r="D1259" s="27" t="s">
        <v>7029</v>
      </c>
      <c r="E1259" s="29" t="s">
        <v>7030</v>
      </c>
      <c r="F1259" s="30" t="s">
        <v>423</v>
      </c>
      <c r="G1259" s="89">
        <f>DATE(2012,1,24)</f>
        <v>40932</v>
      </c>
      <c r="H1259" s="90">
        <v>1.5750000000000002</v>
      </c>
      <c r="I1259" s="30" t="s">
        <v>278</v>
      </c>
      <c r="J1259" s="89" t="s">
        <v>7031</v>
      </c>
      <c r="K1259" s="30" t="s">
        <v>425</v>
      </c>
      <c r="L1259" s="30" t="s">
        <v>7032</v>
      </c>
      <c r="M1259" s="30" t="s">
        <v>63</v>
      </c>
      <c r="N1259" s="30" t="s">
        <v>99</v>
      </c>
      <c r="O1259" s="30" t="s">
        <v>6875</v>
      </c>
      <c r="P1259" s="89" t="s">
        <v>91</v>
      </c>
      <c r="Q1259" s="89" t="s">
        <v>2582</v>
      </c>
      <c r="R1259" s="89">
        <v>0</v>
      </c>
      <c r="S1259" s="30">
        <v>0</v>
      </c>
      <c r="T1259" s="233">
        <v>0</v>
      </c>
      <c r="U1259" s="30">
        <v>0</v>
      </c>
      <c r="V1259" s="233">
        <v>0</v>
      </c>
      <c r="W1259" s="30">
        <v>0</v>
      </c>
      <c r="X1259" s="30">
        <v>0</v>
      </c>
      <c r="Y1259" s="30">
        <v>0</v>
      </c>
      <c r="Z1259" s="233">
        <v>1</v>
      </c>
      <c r="AA1259" s="30">
        <v>0</v>
      </c>
      <c r="AB1259" s="30">
        <v>0</v>
      </c>
      <c r="AC1259" s="30">
        <v>0</v>
      </c>
      <c r="AD1259" s="30">
        <v>1</v>
      </c>
      <c r="AE1259" s="89" t="s">
        <v>92</v>
      </c>
      <c r="AF1259" s="89"/>
      <c r="AG1259" s="89" t="s">
        <v>1417</v>
      </c>
      <c r="AH1259" s="72">
        <v>41062</v>
      </c>
      <c r="AI1259" s="30">
        <v>3</v>
      </c>
      <c r="AJ1259" s="89" t="s">
        <v>7033</v>
      </c>
      <c r="AK1259" s="89" t="s">
        <v>7034</v>
      </c>
      <c r="AL1259" s="91">
        <v>40945</v>
      </c>
      <c r="AM1259" s="91"/>
      <c r="AN1259" s="91"/>
      <c r="AO1259" s="91"/>
      <c r="AP1259" s="73" t="e">
        <f>MID(VLOOKUP(K1259,#REF!,2,FALSE),1,2)</f>
        <v>#REF!</v>
      </c>
      <c r="AQ1259" s="89">
        <f>DATE(2012,1,24)</f>
        <v>40932</v>
      </c>
      <c r="AR1259" s="82">
        <f t="shared" si="82"/>
        <v>24</v>
      </c>
      <c r="AS1259" s="83">
        <f t="shared" si="83"/>
        <v>1</v>
      </c>
      <c r="AT1259" s="84">
        <f t="shared" si="84"/>
        <v>2012</v>
      </c>
      <c r="AU1259" s="86"/>
      <c r="AV1259" s="86"/>
      <c r="AW1259" s="87"/>
      <c r="AX1259" s="86"/>
      <c r="AY1259" s="83"/>
      <c r="AZ1259" s="84"/>
      <c r="BA1259" s="86"/>
      <c r="BB1259" s="86"/>
    </row>
    <row r="1260" spans="1:54" ht="36.75" customHeight="1">
      <c r="A1260" s="30"/>
      <c r="B1260" s="30" t="s">
        <v>55</v>
      </c>
      <c r="C1260" s="69" t="str">
        <f t="shared" si="81"/>
        <v>Closed</v>
      </c>
      <c r="D1260" s="27" t="s">
        <v>7035</v>
      </c>
      <c r="E1260" s="29" t="s">
        <v>7036</v>
      </c>
      <c r="F1260" s="30" t="s">
        <v>1770</v>
      </c>
      <c r="G1260" s="89">
        <f>DATE(2012,1,25)</f>
        <v>40933</v>
      </c>
      <c r="H1260" s="90">
        <v>1.8652777777777776</v>
      </c>
      <c r="I1260" s="30" t="s">
        <v>73</v>
      </c>
      <c r="J1260" s="89" t="s">
        <v>7037</v>
      </c>
      <c r="K1260" s="30" t="s">
        <v>1772</v>
      </c>
      <c r="L1260" s="30" t="s">
        <v>7038</v>
      </c>
      <c r="M1260" s="30" t="s">
        <v>63</v>
      </c>
      <c r="N1260" s="30" t="s">
        <v>142</v>
      </c>
      <c r="O1260" s="30" t="s">
        <v>64</v>
      </c>
      <c r="P1260" s="89" t="s">
        <v>78</v>
      </c>
      <c r="Q1260" s="89" t="s">
        <v>6501</v>
      </c>
      <c r="R1260" s="89" t="s">
        <v>1775</v>
      </c>
      <c r="S1260" s="30">
        <v>0</v>
      </c>
      <c r="T1260" s="233">
        <v>0</v>
      </c>
      <c r="U1260" s="30">
        <v>0</v>
      </c>
      <c r="V1260" s="233">
        <v>0</v>
      </c>
      <c r="W1260" s="30">
        <v>0</v>
      </c>
      <c r="X1260" s="30">
        <v>0</v>
      </c>
      <c r="Y1260" s="30">
        <v>0</v>
      </c>
      <c r="Z1260" s="233">
        <v>0</v>
      </c>
      <c r="AA1260" s="30">
        <v>0</v>
      </c>
      <c r="AB1260" s="30">
        <v>0</v>
      </c>
      <c r="AC1260" s="30">
        <v>0</v>
      </c>
      <c r="AD1260" s="30">
        <v>0</v>
      </c>
      <c r="AE1260" s="89" t="s">
        <v>92</v>
      </c>
      <c r="AF1260" s="89"/>
      <c r="AG1260" s="89" t="s">
        <v>133</v>
      </c>
      <c r="AH1260" s="72">
        <v>40940</v>
      </c>
      <c r="AI1260" s="30">
        <v>0</v>
      </c>
      <c r="AJ1260" s="89" t="s">
        <v>7039</v>
      </c>
      <c r="AK1260" s="89" t="s">
        <v>7040</v>
      </c>
      <c r="AL1260" s="91">
        <v>41031</v>
      </c>
      <c r="AM1260" s="91"/>
      <c r="AN1260" s="91"/>
      <c r="AO1260" s="91"/>
      <c r="AP1260" s="73" t="e">
        <f>MID(VLOOKUP(K1260,#REF!,2,FALSE),1,2)</f>
        <v>#REF!</v>
      </c>
      <c r="AQ1260" s="89">
        <f>DATE(2012,1,25)</f>
        <v>40933</v>
      </c>
      <c r="AR1260" s="82">
        <f t="shared" si="82"/>
        <v>25</v>
      </c>
      <c r="AS1260" s="83">
        <f t="shared" si="83"/>
        <v>1</v>
      </c>
      <c r="AT1260" s="84">
        <f t="shared" si="84"/>
        <v>2012</v>
      </c>
      <c r="AU1260" s="86"/>
      <c r="AV1260" s="86"/>
      <c r="AW1260" s="87"/>
      <c r="AX1260" s="86"/>
      <c r="AY1260" s="83"/>
      <c r="AZ1260" s="84"/>
      <c r="BA1260" s="86"/>
      <c r="BB1260" s="86"/>
    </row>
    <row r="1261" spans="1:54" ht="36.75" customHeight="1">
      <c r="A1261" s="30"/>
      <c r="B1261" s="30" t="s">
        <v>55</v>
      </c>
      <c r="C1261" s="69" t="str">
        <f t="shared" si="81"/>
        <v>Closed</v>
      </c>
      <c r="D1261" s="27" t="s">
        <v>7041</v>
      </c>
      <c r="E1261" s="29" t="s">
        <v>7042</v>
      </c>
      <c r="F1261" s="30" t="s">
        <v>835</v>
      </c>
      <c r="G1261" s="89">
        <f>DATE(2012,1,25)</f>
        <v>40933</v>
      </c>
      <c r="H1261" s="90">
        <v>1.4159722222222222</v>
      </c>
      <c r="I1261" s="30" t="s">
        <v>104</v>
      </c>
      <c r="J1261" s="89" t="s">
        <v>7043</v>
      </c>
      <c r="K1261" s="30" t="s">
        <v>837</v>
      </c>
      <c r="L1261" s="30" t="s">
        <v>7044</v>
      </c>
      <c r="M1261" s="30" t="s">
        <v>63</v>
      </c>
      <c r="N1261" s="30">
        <v>0</v>
      </c>
      <c r="O1261" s="30" t="s">
        <v>77</v>
      </c>
      <c r="P1261" s="89" t="s">
        <v>65</v>
      </c>
      <c r="Q1261" s="89" t="s">
        <v>2162</v>
      </c>
      <c r="R1261" s="89" t="s">
        <v>840</v>
      </c>
      <c r="S1261" s="30">
        <v>0</v>
      </c>
      <c r="T1261" s="233">
        <v>0</v>
      </c>
      <c r="U1261" s="30">
        <v>0</v>
      </c>
      <c r="V1261" s="233">
        <v>0</v>
      </c>
      <c r="W1261" s="30">
        <v>0</v>
      </c>
      <c r="X1261" s="30">
        <v>0</v>
      </c>
      <c r="Y1261" s="30">
        <v>0</v>
      </c>
      <c r="Z1261" s="233">
        <v>0</v>
      </c>
      <c r="AA1261" s="30">
        <v>0</v>
      </c>
      <c r="AB1261" s="30">
        <v>0</v>
      </c>
      <c r="AC1261" s="30">
        <v>0</v>
      </c>
      <c r="AD1261" s="30">
        <v>0</v>
      </c>
      <c r="AE1261" s="89" t="s">
        <v>92</v>
      </c>
      <c r="AF1261" s="89"/>
      <c r="AG1261" s="89" t="s">
        <v>352</v>
      </c>
      <c r="AH1261" s="72">
        <v>40975</v>
      </c>
      <c r="AI1261" s="30">
        <v>0</v>
      </c>
      <c r="AJ1261" s="89" t="s">
        <v>7045</v>
      </c>
      <c r="AK1261" s="89" t="s">
        <v>7046</v>
      </c>
      <c r="AL1261" s="91">
        <v>40975</v>
      </c>
      <c r="AM1261" s="91"/>
      <c r="AN1261" s="91"/>
      <c r="AO1261" s="91"/>
      <c r="AP1261" s="73" t="e">
        <f>MID(VLOOKUP(K1261,#REF!,2,FALSE),1,2)</f>
        <v>#REF!</v>
      </c>
      <c r="AQ1261" s="89">
        <f>DATE(2012,1,25)</f>
        <v>40933</v>
      </c>
      <c r="AR1261" s="82">
        <f t="shared" si="82"/>
        <v>25</v>
      </c>
      <c r="AS1261" s="83">
        <f t="shared" si="83"/>
        <v>1</v>
      </c>
      <c r="AT1261" s="84">
        <f t="shared" si="84"/>
        <v>2012</v>
      </c>
      <c r="AU1261" s="86"/>
      <c r="AV1261" s="86"/>
      <c r="AW1261" s="87"/>
      <c r="AX1261" s="86"/>
      <c r="AY1261" s="83"/>
      <c r="AZ1261" s="84"/>
      <c r="BA1261" s="86"/>
      <c r="BB1261" s="86"/>
    </row>
    <row r="1262" spans="1:54" ht="36.75" customHeight="1">
      <c r="A1262" s="30"/>
      <c r="B1262" s="30" t="s">
        <v>55</v>
      </c>
      <c r="C1262" s="69" t="str">
        <f t="shared" si="81"/>
        <v>Closed</v>
      </c>
      <c r="D1262" s="27" t="s">
        <v>7047</v>
      </c>
      <c r="E1262" s="29" t="s">
        <v>7048</v>
      </c>
      <c r="F1262" s="30" t="s">
        <v>835</v>
      </c>
      <c r="G1262" s="89">
        <f>DATE(2012,1,25)</f>
        <v>40933</v>
      </c>
      <c r="H1262" s="90">
        <v>1.567361111111111</v>
      </c>
      <c r="I1262" s="30" t="s">
        <v>116</v>
      </c>
      <c r="J1262" s="89" t="s">
        <v>7049</v>
      </c>
      <c r="K1262" s="30" t="s">
        <v>837</v>
      </c>
      <c r="L1262" s="30" t="s">
        <v>7050</v>
      </c>
      <c r="M1262" s="30" t="s">
        <v>63</v>
      </c>
      <c r="N1262" s="30" t="s">
        <v>99</v>
      </c>
      <c r="O1262" s="30" t="s">
        <v>64</v>
      </c>
      <c r="P1262" s="89" t="s">
        <v>165</v>
      </c>
      <c r="Q1262" s="89" t="s">
        <v>4311</v>
      </c>
      <c r="R1262" s="89" t="s">
        <v>2797</v>
      </c>
      <c r="S1262" s="30">
        <v>0</v>
      </c>
      <c r="T1262" s="233">
        <v>0</v>
      </c>
      <c r="U1262" s="30">
        <v>2</v>
      </c>
      <c r="V1262" s="233">
        <v>0</v>
      </c>
      <c r="W1262" s="30">
        <v>0</v>
      </c>
      <c r="X1262" s="30">
        <v>2</v>
      </c>
      <c r="Y1262" s="30">
        <v>0</v>
      </c>
      <c r="Z1262" s="233">
        <v>0</v>
      </c>
      <c r="AA1262" s="30">
        <v>1</v>
      </c>
      <c r="AB1262" s="30">
        <v>0</v>
      </c>
      <c r="AC1262" s="30">
        <v>0</v>
      </c>
      <c r="AD1262" s="30">
        <v>1</v>
      </c>
      <c r="AE1262" s="89" t="s">
        <v>92</v>
      </c>
      <c r="AF1262" s="89"/>
      <c r="AG1262" s="89" t="s">
        <v>352</v>
      </c>
      <c r="AH1262" s="72" t="s">
        <v>68</v>
      </c>
      <c r="AI1262" s="30">
        <v>0</v>
      </c>
      <c r="AJ1262" s="89" t="s">
        <v>7051</v>
      </c>
      <c r="AK1262" s="89" t="s">
        <v>68</v>
      </c>
      <c r="AL1262" s="91">
        <v>40975</v>
      </c>
      <c r="AM1262" s="91"/>
      <c r="AN1262" s="91"/>
      <c r="AO1262" s="91"/>
      <c r="AP1262" s="73" t="e">
        <f>MID(VLOOKUP(K1262,#REF!,2,FALSE),1,2)</f>
        <v>#REF!</v>
      </c>
      <c r="AQ1262" s="89">
        <f>DATE(2012,1,25)</f>
        <v>40933</v>
      </c>
      <c r="AR1262" s="82">
        <f t="shared" si="82"/>
        <v>25</v>
      </c>
      <c r="AS1262" s="83">
        <f t="shared" si="83"/>
        <v>1</v>
      </c>
      <c r="AT1262" s="84">
        <f t="shared" si="84"/>
        <v>2012</v>
      </c>
      <c r="AU1262" s="86"/>
      <c r="AV1262" s="86"/>
      <c r="AW1262" s="87"/>
      <c r="AX1262" s="86"/>
      <c r="AY1262" s="83"/>
      <c r="AZ1262" s="84"/>
      <c r="BA1262" s="86"/>
      <c r="BB1262" s="86"/>
    </row>
    <row r="1263" spans="1:54" ht="36.75" customHeight="1">
      <c r="A1263" s="30"/>
      <c r="B1263" s="30" t="s">
        <v>55</v>
      </c>
      <c r="C1263" s="69" t="str">
        <f t="shared" si="81"/>
        <v>Closed</v>
      </c>
      <c r="D1263" s="27" t="s">
        <v>7052</v>
      </c>
      <c r="E1263" s="29" t="s">
        <v>7053</v>
      </c>
      <c r="F1263" s="30" t="s">
        <v>197</v>
      </c>
      <c r="G1263" s="89">
        <f>DATE(2012,1,27)</f>
        <v>40935</v>
      </c>
      <c r="H1263" s="90">
        <v>1.6215277777777777</v>
      </c>
      <c r="I1263" s="30" t="s">
        <v>278</v>
      </c>
      <c r="J1263" s="89" t="s">
        <v>7054</v>
      </c>
      <c r="K1263" s="30" t="s">
        <v>200</v>
      </c>
      <c r="L1263" s="30" t="s">
        <v>7055</v>
      </c>
      <c r="M1263" s="30" t="s">
        <v>63</v>
      </c>
      <c r="N1263" s="30" t="s">
        <v>142</v>
      </c>
      <c r="O1263" s="30" t="s">
        <v>77</v>
      </c>
      <c r="P1263" s="89" t="s">
        <v>91</v>
      </c>
      <c r="Q1263" s="89" t="s">
        <v>6274</v>
      </c>
      <c r="R1263" s="89" t="s">
        <v>203</v>
      </c>
      <c r="S1263" s="30">
        <v>0</v>
      </c>
      <c r="T1263" s="233">
        <v>0</v>
      </c>
      <c r="U1263" s="30">
        <v>0</v>
      </c>
      <c r="V1263" s="233">
        <v>0</v>
      </c>
      <c r="W1263" s="30">
        <v>0</v>
      </c>
      <c r="X1263" s="30">
        <v>0</v>
      </c>
      <c r="Y1263" s="30">
        <v>0</v>
      </c>
      <c r="Z1263" s="233">
        <v>0</v>
      </c>
      <c r="AA1263" s="30">
        <v>0</v>
      </c>
      <c r="AB1263" s="30">
        <v>0</v>
      </c>
      <c r="AC1263" s="30">
        <v>0</v>
      </c>
      <c r="AD1263" s="30">
        <v>0</v>
      </c>
      <c r="AE1263" s="89" t="s">
        <v>145</v>
      </c>
      <c r="AF1263" s="89"/>
      <c r="AG1263" s="89" t="s">
        <v>82</v>
      </c>
      <c r="AH1263" s="72">
        <v>41150</v>
      </c>
      <c r="AI1263" s="30">
        <v>1</v>
      </c>
      <c r="AJ1263" s="89" t="s">
        <v>7056</v>
      </c>
      <c r="AK1263" s="89" t="s">
        <v>1233</v>
      </c>
      <c r="AL1263" s="91">
        <v>41152</v>
      </c>
      <c r="AM1263" s="91"/>
      <c r="AN1263" s="91"/>
      <c r="AO1263" s="91"/>
      <c r="AP1263" s="73" t="e">
        <f>MID(VLOOKUP(K1263,#REF!,2,FALSE),1,2)</f>
        <v>#REF!</v>
      </c>
      <c r="AQ1263" s="89">
        <f>DATE(2012,1,27)</f>
        <v>40935</v>
      </c>
      <c r="AR1263" s="82">
        <f t="shared" si="82"/>
        <v>27</v>
      </c>
      <c r="AS1263" s="83">
        <f t="shared" si="83"/>
        <v>1</v>
      </c>
      <c r="AT1263" s="84">
        <f t="shared" si="84"/>
        <v>2012</v>
      </c>
      <c r="AU1263" s="86"/>
      <c r="AV1263" s="86"/>
      <c r="AW1263" s="87"/>
      <c r="AX1263" s="86"/>
      <c r="AY1263" s="83"/>
      <c r="AZ1263" s="84"/>
      <c r="BA1263" s="86"/>
      <c r="BB1263" s="86"/>
    </row>
    <row r="1264" spans="1:54" ht="36.75" customHeight="1">
      <c r="A1264" s="30"/>
      <c r="B1264" s="30" t="s">
        <v>55</v>
      </c>
      <c r="C1264" s="69" t="str">
        <f t="shared" si="81"/>
        <v>Closed</v>
      </c>
      <c r="D1264" s="27" t="s">
        <v>7057</v>
      </c>
      <c r="E1264" s="29" t="s">
        <v>7058</v>
      </c>
      <c r="F1264" s="30" t="s">
        <v>233</v>
      </c>
      <c r="G1264" s="89">
        <f>DATE(2012,1,28)</f>
        <v>40936</v>
      </c>
      <c r="H1264" s="90">
        <v>1.5729166666666665</v>
      </c>
      <c r="I1264" s="30" t="s">
        <v>73</v>
      </c>
      <c r="J1264" s="89" t="s">
        <v>7059</v>
      </c>
      <c r="K1264" s="30" t="s">
        <v>235</v>
      </c>
      <c r="L1264" s="30" t="s">
        <v>7060</v>
      </c>
      <c r="M1264" s="30" t="s">
        <v>63</v>
      </c>
      <c r="N1264" s="30" t="s">
        <v>89</v>
      </c>
      <c r="O1264" s="30" t="s">
        <v>64</v>
      </c>
      <c r="P1264" s="89" t="s">
        <v>78</v>
      </c>
      <c r="Q1264" s="89" t="s">
        <v>434</v>
      </c>
      <c r="R1264" s="89" t="s">
        <v>238</v>
      </c>
      <c r="S1264" s="30">
        <v>0</v>
      </c>
      <c r="T1264" s="233">
        <v>0</v>
      </c>
      <c r="U1264" s="30">
        <v>0</v>
      </c>
      <c r="V1264" s="233">
        <v>0</v>
      </c>
      <c r="W1264" s="30">
        <v>0</v>
      </c>
      <c r="X1264" s="30">
        <v>0</v>
      </c>
      <c r="Y1264" s="30">
        <v>0</v>
      </c>
      <c r="Z1264" s="233">
        <v>0</v>
      </c>
      <c r="AA1264" s="30">
        <v>0</v>
      </c>
      <c r="AB1264" s="30">
        <v>0</v>
      </c>
      <c r="AC1264" s="30">
        <v>0</v>
      </c>
      <c r="AD1264" s="30">
        <v>0</v>
      </c>
      <c r="AE1264" s="89" t="s">
        <v>68</v>
      </c>
      <c r="AF1264" s="89"/>
      <c r="AG1264" s="89" t="s">
        <v>133</v>
      </c>
      <c r="AH1264" s="72" t="s">
        <v>68</v>
      </c>
      <c r="AI1264" s="30">
        <v>5</v>
      </c>
      <c r="AJ1264" s="89" t="s">
        <v>7061</v>
      </c>
      <c r="AK1264" s="89" t="s">
        <v>7062</v>
      </c>
      <c r="AL1264" s="91">
        <v>40955</v>
      </c>
      <c r="AM1264" s="91"/>
      <c r="AN1264" s="91"/>
      <c r="AO1264" s="91"/>
      <c r="AP1264" s="73" t="e">
        <f>MID(VLOOKUP(K1264,#REF!,2,FALSE),1,2)</f>
        <v>#REF!</v>
      </c>
      <c r="AQ1264" s="89">
        <f>DATE(2012,1,28)</f>
        <v>40936</v>
      </c>
      <c r="AR1264" s="82">
        <f t="shared" si="82"/>
        <v>28</v>
      </c>
      <c r="AS1264" s="83">
        <f t="shared" si="83"/>
        <v>1</v>
      </c>
      <c r="AT1264" s="84">
        <f t="shared" si="84"/>
        <v>2012</v>
      </c>
      <c r="AU1264" s="86"/>
      <c r="AV1264" s="86"/>
      <c r="AW1264" s="87"/>
      <c r="AX1264" s="86"/>
      <c r="AY1264" s="83"/>
      <c r="AZ1264" s="84"/>
      <c r="BA1264" s="86"/>
      <c r="BB1264" s="86"/>
    </row>
    <row r="1265" spans="1:54" ht="36.75" customHeight="1">
      <c r="A1265" s="30"/>
      <c r="B1265" s="30" t="s">
        <v>55</v>
      </c>
      <c r="C1265" s="69" t="str">
        <f t="shared" si="81"/>
        <v>Closed</v>
      </c>
      <c r="D1265" s="27" t="s">
        <v>7063</v>
      </c>
      <c r="E1265" s="29" t="s">
        <v>7064</v>
      </c>
      <c r="F1265" s="30" t="s">
        <v>233</v>
      </c>
      <c r="G1265" s="89">
        <f>DATE(2012,1,28)</f>
        <v>40936</v>
      </c>
      <c r="H1265" s="90">
        <v>1.4854166666666666</v>
      </c>
      <c r="I1265" s="30" t="s">
        <v>116</v>
      </c>
      <c r="J1265" s="89" t="s">
        <v>7065</v>
      </c>
      <c r="K1265" s="30" t="s">
        <v>235</v>
      </c>
      <c r="L1265" s="30" t="s">
        <v>7066</v>
      </c>
      <c r="M1265" s="30" t="s">
        <v>63</v>
      </c>
      <c r="N1265" s="30" t="s">
        <v>142</v>
      </c>
      <c r="O1265" s="30" t="s">
        <v>64</v>
      </c>
      <c r="P1265" s="89" t="s">
        <v>165</v>
      </c>
      <c r="Q1265" s="89" t="s">
        <v>2876</v>
      </c>
      <c r="R1265" s="89" t="s">
        <v>238</v>
      </c>
      <c r="S1265" s="30">
        <v>0</v>
      </c>
      <c r="T1265" s="233">
        <v>0</v>
      </c>
      <c r="U1265" s="30">
        <v>1</v>
      </c>
      <c r="V1265" s="233">
        <v>0</v>
      </c>
      <c r="W1265" s="30">
        <v>0</v>
      </c>
      <c r="X1265" s="30">
        <v>1</v>
      </c>
      <c r="Y1265" s="30">
        <v>0</v>
      </c>
      <c r="Z1265" s="233">
        <v>0</v>
      </c>
      <c r="AA1265" s="30">
        <v>0</v>
      </c>
      <c r="AB1265" s="30">
        <v>0</v>
      </c>
      <c r="AC1265" s="30">
        <v>0</v>
      </c>
      <c r="AD1265" s="30">
        <v>0</v>
      </c>
      <c r="AE1265" s="89" t="s">
        <v>68</v>
      </c>
      <c r="AF1265" s="89"/>
      <c r="AG1265" s="89" t="s">
        <v>133</v>
      </c>
      <c r="AH1265" s="72" t="s">
        <v>68</v>
      </c>
      <c r="AI1265" s="30">
        <v>3</v>
      </c>
      <c r="AJ1265" s="89" t="s">
        <v>7067</v>
      </c>
      <c r="AK1265" s="89" t="s">
        <v>7068</v>
      </c>
      <c r="AL1265" s="91">
        <v>40984</v>
      </c>
      <c r="AM1265" s="91"/>
      <c r="AN1265" s="91"/>
      <c r="AO1265" s="91"/>
      <c r="AP1265" s="73" t="e">
        <f>MID(VLOOKUP(K1265,#REF!,2,FALSE),1,2)</f>
        <v>#REF!</v>
      </c>
      <c r="AQ1265" s="89">
        <f>DATE(2012,1,28)</f>
        <v>40936</v>
      </c>
      <c r="AR1265" s="82">
        <f t="shared" si="82"/>
        <v>28</v>
      </c>
      <c r="AS1265" s="83">
        <f t="shared" si="83"/>
        <v>1</v>
      </c>
      <c r="AT1265" s="84">
        <f t="shared" si="84"/>
        <v>2012</v>
      </c>
      <c r="AU1265" s="86"/>
      <c r="AV1265" s="86"/>
      <c r="AW1265" s="87"/>
      <c r="AX1265" s="86"/>
      <c r="AY1265" s="83"/>
      <c r="AZ1265" s="84"/>
      <c r="BA1265" s="86"/>
      <c r="BB1265" s="86"/>
    </row>
    <row r="1266" spans="1:54" ht="36.75" customHeight="1">
      <c r="A1266" s="30"/>
      <c r="B1266" s="30" t="s">
        <v>55</v>
      </c>
      <c r="C1266" s="69" t="str">
        <f t="shared" si="81"/>
        <v>Closed</v>
      </c>
      <c r="D1266" s="27" t="s">
        <v>7069</v>
      </c>
      <c r="E1266" s="29" t="s">
        <v>7070</v>
      </c>
      <c r="F1266" s="30" t="s">
        <v>138</v>
      </c>
      <c r="G1266" s="89">
        <f>DATE(2012,1,30)</f>
        <v>40938</v>
      </c>
      <c r="H1266" s="90">
        <v>1.5833333333333335</v>
      </c>
      <c r="I1266" s="30" t="s">
        <v>104</v>
      </c>
      <c r="J1266" s="89" t="s">
        <v>7071</v>
      </c>
      <c r="K1266" s="30" t="s">
        <v>140</v>
      </c>
      <c r="L1266" s="30" t="s">
        <v>7072</v>
      </c>
      <c r="M1266" s="30" t="s">
        <v>63</v>
      </c>
      <c r="N1266" s="30" t="s">
        <v>89</v>
      </c>
      <c r="O1266" s="30" t="s">
        <v>77</v>
      </c>
      <c r="P1266" s="89" t="s">
        <v>2551</v>
      </c>
      <c r="Q1266" s="89" t="s">
        <v>143</v>
      </c>
      <c r="R1266" s="89" t="s">
        <v>4934</v>
      </c>
      <c r="S1266" s="30">
        <v>0</v>
      </c>
      <c r="T1266" s="233">
        <v>0</v>
      </c>
      <c r="U1266" s="30">
        <v>0</v>
      </c>
      <c r="V1266" s="233">
        <v>0</v>
      </c>
      <c r="W1266" s="30">
        <v>0</v>
      </c>
      <c r="X1266" s="30">
        <v>0</v>
      </c>
      <c r="Y1266" s="30">
        <v>0</v>
      </c>
      <c r="Z1266" s="233">
        <v>0</v>
      </c>
      <c r="AA1266" s="30">
        <v>0</v>
      </c>
      <c r="AB1266" s="30">
        <v>0</v>
      </c>
      <c r="AC1266" s="30">
        <v>0</v>
      </c>
      <c r="AD1266" s="30">
        <v>0</v>
      </c>
      <c r="AE1266" s="89" t="s">
        <v>92</v>
      </c>
      <c r="AF1266" s="89"/>
      <c r="AG1266" s="89" t="s">
        <v>133</v>
      </c>
      <c r="AH1266" s="72">
        <v>40938</v>
      </c>
      <c r="AI1266" s="30">
        <v>4</v>
      </c>
      <c r="AJ1266" s="89" t="s">
        <v>7073</v>
      </c>
      <c r="AK1266" s="89" t="s">
        <v>7074</v>
      </c>
      <c r="AL1266" s="91">
        <v>40938</v>
      </c>
      <c r="AM1266" s="91"/>
      <c r="AN1266" s="91"/>
      <c r="AO1266" s="91"/>
      <c r="AP1266" s="73" t="e">
        <f>MID(VLOOKUP(K1266,#REF!,2,FALSE),1,2)</f>
        <v>#REF!</v>
      </c>
      <c r="AQ1266" s="89">
        <f>DATE(2012,1,30)</f>
        <v>40938</v>
      </c>
      <c r="AR1266" s="82">
        <f t="shared" si="82"/>
        <v>30</v>
      </c>
      <c r="AS1266" s="83">
        <f t="shared" si="83"/>
        <v>1</v>
      </c>
      <c r="AT1266" s="84">
        <f t="shared" si="84"/>
        <v>2012</v>
      </c>
      <c r="AU1266" s="86"/>
      <c r="AV1266" s="86"/>
      <c r="AW1266" s="87"/>
      <c r="AX1266" s="86"/>
      <c r="AY1266" s="83"/>
      <c r="AZ1266" s="84"/>
      <c r="BA1266" s="86"/>
      <c r="BB1266" s="86"/>
    </row>
    <row r="1267" spans="1:54" ht="36.75" customHeight="1">
      <c r="A1267" s="30"/>
      <c r="B1267" s="30" t="s">
        <v>55</v>
      </c>
      <c r="C1267" s="69" t="str">
        <f t="shared" si="81"/>
        <v>Closed</v>
      </c>
      <c r="D1267" s="27" t="s">
        <v>7075</v>
      </c>
      <c r="E1267" s="29" t="s">
        <v>7076</v>
      </c>
      <c r="F1267" s="30" t="s">
        <v>451</v>
      </c>
      <c r="G1267" s="89">
        <f>DATE(2012,1,31)</f>
        <v>40939</v>
      </c>
      <c r="H1267" s="90">
        <v>1.5326388888888889</v>
      </c>
      <c r="I1267" s="30" t="s">
        <v>116</v>
      </c>
      <c r="J1267" s="89" t="s">
        <v>7077</v>
      </c>
      <c r="K1267" s="30" t="s">
        <v>453</v>
      </c>
      <c r="L1267" s="30" t="s">
        <v>7078</v>
      </c>
      <c r="M1267" s="30" t="s">
        <v>63</v>
      </c>
      <c r="N1267" s="30" t="s">
        <v>99</v>
      </c>
      <c r="O1267" s="30" t="s">
        <v>64</v>
      </c>
      <c r="P1267" s="89" t="s">
        <v>165</v>
      </c>
      <c r="Q1267" s="89" t="s">
        <v>665</v>
      </c>
      <c r="R1267" s="89" t="s">
        <v>572</v>
      </c>
      <c r="S1267" s="30">
        <v>0</v>
      </c>
      <c r="T1267" s="233">
        <v>0</v>
      </c>
      <c r="U1267" s="30">
        <v>1</v>
      </c>
      <c r="V1267" s="233">
        <v>0</v>
      </c>
      <c r="W1267" s="30">
        <v>0</v>
      </c>
      <c r="X1267" s="30">
        <v>1</v>
      </c>
      <c r="Y1267" s="30">
        <v>0</v>
      </c>
      <c r="Z1267" s="233">
        <v>0</v>
      </c>
      <c r="AA1267" s="30">
        <v>0</v>
      </c>
      <c r="AB1267" s="30">
        <v>0</v>
      </c>
      <c r="AC1267" s="30">
        <v>0</v>
      </c>
      <c r="AD1267" s="30">
        <v>0</v>
      </c>
      <c r="AE1267" s="89" t="s">
        <v>92</v>
      </c>
      <c r="AF1267" s="89"/>
      <c r="AG1267" s="89" t="s">
        <v>82</v>
      </c>
      <c r="AH1267" s="72">
        <v>40939</v>
      </c>
      <c r="AI1267" s="30">
        <v>0</v>
      </c>
      <c r="AJ1267" s="89" t="s">
        <v>7079</v>
      </c>
      <c r="AK1267" s="89" t="s">
        <v>1233</v>
      </c>
      <c r="AL1267" s="91">
        <v>42831</v>
      </c>
      <c r="AM1267" s="91"/>
      <c r="AN1267" s="91"/>
      <c r="AO1267" s="91"/>
      <c r="AP1267" s="73" t="e">
        <f>MID(VLOOKUP(K1267,#REF!,2,FALSE),1,2)</f>
        <v>#REF!</v>
      </c>
      <c r="AQ1267" s="89">
        <f>DATE(2012,1,31)</f>
        <v>40939</v>
      </c>
      <c r="AR1267" s="82">
        <f t="shared" si="82"/>
        <v>31</v>
      </c>
      <c r="AS1267" s="83">
        <f t="shared" si="83"/>
        <v>1</v>
      </c>
      <c r="AT1267" s="84">
        <f t="shared" si="84"/>
        <v>2012</v>
      </c>
      <c r="AU1267" s="86"/>
      <c r="AV1267" s="86"/>
      <c r="AW1267" s="87"/>
      <c r="AX1267" s="86"/>
      <c r="AY1267" s="83"/>
      <c r="AZ1267" s="84"/>
      <c r="BA1267" s="86"/>
      <c r="BB1267" s="86"/>
    </row>
    <row r="1268" spans="1:54" ht="36.75" customHeight="1">
      <c r="A1268" s="30"/>
      <c r="B1268" s="30" t="s">
        <v>55</v>
      </c>
      <c r="C1268" s="69" t="str">
        <f t="shared" si="81"/>
        <v>Closed</v>
      </c>
      <c r="D1268" s="27" t="s">
        <v>7080</v>
      </c>
      <c r="E1268" s="29" t="s">
        <v>7081</v>
      </c>
      <c r="F1268" s="30" t="s">
        <v>1572</v>
      </c>
      <c r="G1268" s="89">
        <f>DATE(2012,1,31)</f>
        <v>40939</v>
      </c>
      <c r="H1268" s="90">
        <v>1.6493055555555556</v>
      </c>
      <c r="I1268" s="30" t="s">
        <v>73</v>
      </c>
      <c r="J1268" s="89" t="s">
        <v>7082</v>
      </c>
      <c r="K1268" s="30" t="s">
        <v>1574</v>
      </c>
      <c r="L1268" s="30" t="s">
        <v>7083</v>
      </c>
      <c r="M1268" s="30" t="s">
        <v>63</v>
      </c>
      <c r="N1268" s="30" t="s">
        <v>99</v>
      </c>
      <c r="O1268" s="30" t="s">
        <v>64</v>
      </c>
      <c r="P1268" s="89" t="s">
        <v>78</v>
      </c>
      <c r="Q1268" s="89" t="s">
        <v>2655</v>
      </c>
      <c r="R1268" s="89">
        <v>0</v>
      </c>
      <c r="S1268" s="30">
        <v>0</v>
      </c>
      <c r="T1268" s="233">
        <v>0</v>
      </c>
      <c r="U1268" s="30">
        <v>0</v>
      </c>
      <c r="V1268" s="233">
        <v>0</v>
      </c>
      <c r="W1268" s="30">
        <v>0</v>
      </c>
      <c r="X1268" s="30">
        <v>0</v>
      </c>
      <c r="Y1268" s="30">
        <v>0</v>
      </c>
      <c r="Z1268" s="233">
        <v>0</v>
      </c>
      <c r="AA1268" s="30">
        <v>0</v>
      </c>
      <c r="AB1268" s="30">
        <v>0</v>
      </c>
      <c r="AC1268" s="30">
        <v>0</v>
      </c>
      <c r="AD1268" s="30">
        <v>0</v>
      </c>
      <c r="AE1268" s="89" t="s">
        <v>92</v>
      </c>
      <c r="AF1268" s="89"/>
      <c r="AG1268" s="89" t="s">
        <v>133</v>
      </c>
      <c r="AH1268" s="72">
        <v>40941</v>
      </c>
      <c r="AI1268" s="30">
        <v>0</v>
      </c>
      <c r="AJ1268" s="89" t="s">
        <v>7084</v>
      </c>
      <c r="AK1268" s="89" t="s">
        <v>68</v>
      </c>
      <c r="AL1268" s="91">
        <v>40945</v>
      </c>
      <c r="AM1268" s="91"/>
      <c r="AN1268" s="91"/>
      <c r="AO1268" s="91"/>
      <c r="AP1268" s="73" t="e">
        <f>MID(VLOOKUP(K1268,#REF!,2,FALSE),1,2)</f>
        <v>#REF!</v>
      </c>
      <c r="AQ1268" s="89">
        <f>DATE(2012,1,31)</f>
        <v>40939</v>
      </c>
      <c r="AR1268" s="82">
        <f t="shared" si="82"/>
        <v>31</v>
      </c>
      <c r="AS1268" s="83">
        <f t="shared" si="83"/>
        <v>1</v>
      </c>
      <c r="AT1268" s="84">
        <f t="shared" si="84"/>
        <v>2012</v>
      </c>
      <c r="AU1268" s="86"/>
      <c r="AV1268" s="86"/>
      <c r="AW1268" s="87"/>
      <c r="AX1268" s="86"/>
      <c r="AY1268" s="83"/>
      <c r="AZ1268" s="84"/>
      <c r="BA1268" s="86"/>
      <c r="BB1268" s="86"/>
    </row>
    <row r="1269" spans="1:54" ht="36.75" customHeight="1">
      <c r="A1269" s="30"/>
      <c r="B1269" s="30" t="s">
        <v>55</v>
      </c>
      <c r="C1269" s="69" t="str">
        <f t="shared" si="81"/>
        <v>Closed</v>
      </c>
      <c r="D1269" s="27" t="s">
        <v>7085</v>
      </c>
      <c r="E1269" s="29" t="s">
        <v>7086</v>
      </c>
      <c r="F1269" s="30" t="s">
        <v>115</v>
      </c>
      <c r="G1269" s="89">
        <f>DATE(2012,2,1)</f>
        <v>40940</v>
      </c>
      <c r="H1269" s="90">
        <v>1.2569444444444444</v>
      </c>
      <c r="I1269" s="30" t="s">
        <v>156</v>
      </c>
      <c r="J1269" s="89" t="s">
        <v>7087</v>
      </c>
      <c r="K1269" s="30" t="s">
        <v>118</v>
      </c>
      <c r="L1269" s="30" t="s">
        <v>7088</v>
      </c>
      <c r="M1269" s="30" t="s">
        <v>63</v>
      </c>
      <c r="N1269" s="30" t="s">
        <v>89</v>
      </c>
      <c r="O1269" s="30" t="s">
        <v>64</v>
      </c>
      <c r="P1269" s="89" t="s">
        <v>165</v>
      </c>
      <c r="Q1269" s="89" t="s">
        <v>120</v>
      </c>
      <c r="R1269" s="89" t="s">
        <v>121</v>
      </c>
      <c r="S1269" s="30">
        <v>0</v>
      </c>
      <c r="T1269" s="233">
        <v>0</v>
      </c>
      <c r="U1269" s="30">
        <v>0</v>
      </c>
      <c r="V1269" s="233">
        <v>0</v>
      </c>
      <c r="W1269" s="30">
        <v>0</v>
      </c>
      <c r="X1269" s="30">
        <v>0</v>
      </c>
      <c r="Y1269" s="30">
        <v>0</v>
      </c>
      <c r="Z1269" s="233">
        <v>1</v>
      </c>
      <c r="AA1269" s="30">
        <v>0</v>
      </c>
      <c r="AB1269" s="30">
        <v>0</v>
      </c>
      <c r="AC1269" s="30">
        <v>0</v>
      </c>
      <c r="AD1269" s="30">
        <v>1</v>
      </c>
      <c r="AE1269" s="89" t="s">
        <v>68</v>
      </c>
      <c r="AF1269" s="89"/>
      <c r="AG1269" s="89" t="s">
        <v>82</v>
      </c>
      <c r="AH1269" s="72">
        <v>40950</v>
      </c>
      <c r="AI1269" s="30">
        <v>3</v>
      </c>
      <c r="AJ1269" s="89" t="s">
        <v>7089</v>
      </c>
      <c r="AK1269" s="89" t="s">
        <v>68</v>
      </c>
      <c r="AL1269" s="91">
        <v>40989</v>
      </c>
      <c r="AM1269" s="91"/>
      <c r="AN1269" s="91"/>
      <c r="AO1269" s="91"/>
      <c r="AP1269" s="73" t="e">
        <f>MID(VLOOKUP(K1269,#REF!,2,FALSE),1,2)</f>
        <v>#REF!</v>
      </c>
      <c r="AQ1269" s="89">
        <f>DATE(2012,2,1)</f>
        <v>40940</v>
      </c>
      <c r="AR1269" s="82">
        <f t="shared" si="82"/>
        <v>1</v>
      </c>
      <c r="AS1269" s="83">
        <f t="shared" si="83"/>
        <v>2</v>
      </c>
      <c r="AT1269" s="84">
        <f t="shared" si="84"/>
        <v>2012</v>
      </c>
      <c r="AU1269" s="86"/>
      <c r="AV1269" s="86"/>
      <c r="AW1269" s="87"/>
      <c r="AX1269" s="86"/>
      <c r="AY1269" s="83"/>
      <c r="AZ1269" s="84"/>
      <c r="BA1269" s="86"/>
      <c r="BB1269" s="86"/>
    </row>
    <row r="1270" spans="1:54" ht="36.75" customHeight="1">
      <c r="A1270" s="30"/>
      <c r="B1270" s="30" t="s">
        <v>55</v>
      </c>
      <c r="C1270" s="69" t="str">
        <f t="shared" si="81"/>
        <v>Closed</v>
      </c>
      <c r="D1270" s="27" t="s">
        <v>7090</v>
      </c>
      <c r="E1270" s="29" t="s">
        <v>7091</v>
      </c>
      <c r="F1270" s="30" t="s">
        <v>835</v>
      </c>
      <c r="G1270" s="89">
        <f>DATE(2012,2,1)</f>
        <v>40940</v>
      </c>
      <c r="H1270" s="90">
        <v>1.2395833333333333</v>
      </c>
      <c r="I1270" s="30" t="s">
        <v>73</v>
      </c>
      <c r="J1270" s="89" t="s">
        <v>7092</v>
      </c>
      <c r="K1270" s="30" t="s">
        <v>837</v>
      </c>
      <c r="L1270" s="30" t="s">
        <v>7093</v>
      </c>
      <c r="M1270" s="30" t="s">
        <v>255</v>
      </c>
      <c r="N1270" s="30" t="s">
        <v>142</v>
      </c>
      <c r="O1270" s="30" t="s">
        <v>64</v>
      </c>
      <c r="P1270" s="89" t="s">
        <v>6552</v>
      </c>
      <c r="Q1270" s="89" t="s">
        <v>4210</v>
      </c>
      <c r="R1270" s="89" t="s">
        <v>4210</v>
      </c>
      <c r="S1270" s="30">
        <v>0</v>
      </c>
      <c r="T1270" s="233">
        <v>0</v>
      </c>
      <c r="U1270" s="30">
        <v>0</v>
      </c>
      <c r="V1270" s="233">
        <v>0</v>
      </c>
      <c r="W1270" s="30">
        <v>0</v>
      </c>
      <c r="X1270" s="30">
        <v>0</v>
      </c>
      <c r="Y1270" s="30">
        <v>0</v>
      </c>
      <c r="Z1270" s="233">
        <v>0</v>
      </c>
      <c r="AA1270" s="30">
        <v>0</v>
      </c>
      <c r="AB1270" s="30">
        <v>0</v>
      </c>
      <c r="AC1270" s="30">
        <v>0</v>
      </c>
      <c r="AD1270" s="30">
        <v>0</v>
      </c>
      <c r="AE1270" s="89" t="s">
        <v>92</v>
      </c>
      <c r="AF1270" s="89"/>
      <c r="AG1270" s="89" t="s">
        <v>367</v>
      </c>
      <c r="AH1270" s="72">
        <v>41309</v>
      </c>
      <c r="AI1270" s="30">
        <v>0</v>
      </c>
      <c r="AJ1270" s="89" t="s">
        <v>7094</v>
      </c>
      <c r="AK1270" s="89" t="s">
        <v>68</v>
      </c>
      <c r="AL1270" s="91">
        <v>40975</v>
      </c>
      <c r="AM1270" s="91"/>
      <c r="AN1270" s="91"/>
      <c r="AO1270" s="91"/>
      <c r="AP1270" s="73" t="e">
        <f>MID(VLOOKUP(K1270,#REF!,2,FALSE),1,2)</f>
        <v>#REF!</v>
      </c>
      <c r="AQ1270" s="89">
        <f>DATE(2012,2,1)</f>
        <v>40940</v>
      </c>
      <c r="AR1270" s="82">
        <f t="shared" si="82"/>
        <v>1</v>
      </c>
      <c r="AS1270" s="83">
        <f t="shared" si="83"/>
        <v>2</v>
      </c>
      <c r="AT1270" s="84">
        <f t="shared" si="84"/>
        <v>2012</v>
      </c>
      <c r="AU1270" s="86"/>
      <c r="AV1270" s="86"/>
      <c r="AW1270" s="87"/>
      <c r="AX1270" s="86"/>
      <c r="AY1270" s="83"/>
      <c r="AZ1270" s="84"/>
      <c r="BA1270" s="86"/>
      <c r="BB1270" s="86"/>
    </row>
    <row r="1271" spans="1:54" ht="36.75" customHeight="1">
      <c r="A1271" s="30"/>
      <c r="B1271" s="30" t="s">
        <v>55</v>
      </c>
      <c r="C1271" s="69" t="str">
        <f t="shared" si="81"/>
        <v>Closed</v>
      </c>
      <c r="D1271" s="27" t="s">
        <v>7095</v>
      </c>
      <c r="E1271" s="29" t="s">
        <v>7096</v>
      </c>
      <c r="F1271" s="30" t="s">
        <v>197</v>
      </c>
      <c r="G1271" s="89">
        <f>DATE(2012,2,2)</f>
        <v>40941</v>
      </c>
      <c r="H1271" s="90">
        <v>1.8812500000000001</v>
      </c>
      <c r="I1271" s="30" t="s">
        <v>156</v>
      </c>
      <c r="J1271" s="89" t="s">
        <v>7097</v>
      </c>
      <c r="K1271" s="30" t="s">
        <v>200</v>
      </c>
      <c r="L1271" s="30" t="s">
        <v>7098</v>
      </c>
      <c r="M1271" s="30" t="s">
        <v>63</v>
      </c>
      <c r="N1271" s="30" t="s">
        <v>142</v>
      </c>
      <c r="O1271" s="30" t="s">
        <v>64</v>
      </c>
      <c r="P1271" s="89" t="s">
        <v>553</v>
      </c>
      <c r="Q1271" s="89" t="s">
        <v>7099</v>
      </c>
      <c r="R1271" s="89" t="s">
        <v>203</v>
      </c>
      <c r="S1271" s="30">
        <v>0</v>
      </c>
      <c r="T1271" s="233">
        <v>0</v>
      </c>
      <c r="U1271" s="30">
        <v>0</v>
      </c>
      <c r="V1271" s="233">
        <v>0</v>
      </c>
      <c r="W1271" s="30">
        <v>0</v>
      </c>
      <c r="X1271" s="30">
        <v>0</v>
      </c>
      <c r="Y1271" s="30">
        <v>0</v>
      </c>
      <c r="Z1271" s="233">
        <v>0</v>
      </c>
      <c r="AA1271" s="30">
        <v>0</v>
      </c>
      <c r="AB1271" s="30">
        <v>0</v>
      </c>
      <c r="AC1271" s="30">
        <v>0</v>
      </c>
      <c r="AD1271" s="30">
        <v>0</v>
      </c>
      <c r="AE1271" s="89" t="s">
        <v>394</v>
      </c>
      <c r="AF1271" s="89"/>
      <c r="AG1271" s="89" t="s">
        <v>82</v>
      </c>
      <c r="AH1271" s="72">
        <v>40942</v>
      </c>
      <c r="AI1271" s="30">
        <v>2</v>
      </c>
      <c r="AJ1271" s="89" t="s">
        <v>7100</v>
      </c>
      <c r="AK1271" s="89" t="s">
        <v>68</v>
      </c>
      <c r="AL1271" s="91">
        <v>40956</v>
      </c>
      <c r="AM1271" s="91"/>
      <c r="AN1271" s="91"/>
      <c r="AO1271" s="91"/>
      <c r="AP1271" s="73" t="e">
        <f>MID(VLOOKUP(K1271,#REF!,2,FALSE),1,2)</f>
        <v>#REF!</v>
      </c>
      <c r="AQ1271" s="89">
        <f>DATE(2012,2,2)</f>
        <v>40941</v>
      </c>
      <c r="AR1271" s="82">
        <f t="shared" si="82"/>
        <v>2</v>
      </c>
      <c r="AS1271" s="83">
        <f t="shared" si="83"/>
        <v>2</v>
      </c>
      <c r="AT1271" s="84">
        <f t="shared" si="84"/>
        <v>2012</v>
      </c>
      <c r="AU1271" s="86"/>
      <c r="AV1271" s="86"/>
      <c r="AW1271" s="87"/>
      <c r="AX1271" s="86"/>
      <c r="AY1271" s="83"/>
      <c r="AZ1271" s="84"/>
      <c r="BA1271" s="86"/>
      <c r="BB1271" s="86"/>
    </row>
    <row r="1272" spans="1:54" ht="36.75" customHeight="1">
      <c r="A1272" s="30"/>
      <c r="B1272" s="30" t="s">
        <v>55</v>
      </c>
      <c r="C1272" s="69" t="str">
        <f t="shared" si="81"/>
        <v>Closed</v>
      </c>
      <c r="D1272" s="27" t="s">
        <v>7101</v>
      </c>
      <c r="E1272" s="29" t="s">
        <v>7102</v>
      </c>
      <c r="F1272" s="30" t="s">
        <v>115</v>
      </c>
      <c r="G1272" s="89">
        <f>DATE(2012,2,2)</f>
        <v>40941</v>
      </c>
      <c r="H1272" s="90">
        <v>1.0090277777777779</v>
      </c>
      <c r="I1272" s="30" t="s">
        <v>198</v>
      </c>
      <c r="J1272" s="89" t="s">
        <v>7103</v>
      </c>
      <c r="K1272" s="30" t="s">
        <v>118</v>
      </c>
      <c r="L1272" s="30" t="s">
        <v>7104</v>
      </c>
      <c r="M1272" s="30" t="s">
        <v>63</v>
      </c>
      <c r="N1272" s="30" t="s">
        <v>142</v>
      </c>
      <c r="O1272" s="30" t="s">
        <v>64</v>
      </c>
      <c r="P1272" s="89" t="s">
        <v>6175</v>
      </c>
      <c r="Q1272" s="89" t="s">
        <v>7105</v>
      </c>
      <c r="R1272" s="89" t="s">
        <v>121</v>
      </c>
      <c r="S1272" s="30">
        <v>0</v>
      </c>
      <c r="T1272" s="233">
        <v>0</v>
      </c>
      <c r="U1272" s="30">
        <v>0</v>
      </c>
      <c r="V1272" s="233">
        <v>0</v>
      </c>
      <c r="W1272" s="30">
        <v>0</v>
      </c>
      <c r="X1272" s="30">
        <v>0</v>
      </c>
      <c r="Y1272" s="30">
        <v>0</v>
      </c>
      <c r="Z1272" s="233">
        <v>0</v>
      </c>
      <c r="AA1272" s="30">
        <v>0</v>
      </c>
      <c r="AB1272" s="30">
        <v>0</v>
      </c>
      <c r="AC1272" s="30">
        <v>0</v>
      </c>
      <c r="AD1272" s="30">
        <v>0</v>
      </c>
      <c r="AE1272" s="89" t="s">
        <v>394</v>
      </c>
      <c r="AF1272" s="89"/>
      <c r="AG1272" s="89" t="s">
        <v>82</v>
      </c>
      <c r="AH1272" s="72">
        <v>40942</v>
      </c>
      <c r="AI1272" s="30">
        <v>1</v>
      </c>
      <c r="AJ1272" s="89" t="s">
        <v>7106</v>
      </c>
      <c r="AK1272" s="89" t="s">
        <v>7107</v>
      </c>
      <c r="AL1272" s="91">
        <v>40946</v>
      </c>
      <c r="AM1272" s="91"/>
      <c r="AN1272" s="91"/>
      <c r="AO1272" s="91"/>
      <c r="AP1272" s="73" t="e">
        <f>MID(VLOOKUP(K1272,#REF!,2,FALSE),1,2)</f>
        <v>#REF!</v>
      </c>
      <c r="AQ1272" s="89">
        <f>DATE(2012,2,2)</f>
        <v>40941</v>
      </c>
      <c r="AR1272" s="82">
        <f t="shared" si="82"/>
        <v>2</v>
      </c>
      <c r="AS1272" s="83">
        <f t="shared" si="83"/>
        <v>2</v>
      </c>
      <c r="AT1272" s="84">
        <f t="shared" si="84"/>
        <v>2012</v>
      </c>
      <c r="AU1272" s="86"/>
      <c r="AV1272" s="86"/>
      <c r="AW1272" s="87"/>
      <c r="AX1272" s="86"/>
      <c r="AY1272" s="83"/>
      <c r="AZ1272" s="84"/>
      <c r="BA1272" s="86"/>
      <c r="BB1272" s="86"/>
    </row>
    <row r="1273" spans="1:54" ht="36.75" customHeight="1">
      <c r="A1273" s="30"/>
      <c r="B1273" s="30" t="s">
        <v>55</v>
      </c>
      <c r="C1273" s="69" t="str">
        <f t="shared" si="81"/>
        <v>Closed</v>
      </c>
      <c r="D1273" s="27" t="s">
        <v>7108</v>
      </c>
      <c r="E1273" s="29" t="s">
        <v>7109</v>
      </c>
      <c r="F1273" s="30" t="s">
        <v>197</v>
      </c>
      <c r="G1273" s="89">
        <f>DATE(2012,2,3)</f>
        <v>40942</v>
      </c>
      <c r="H1273" s="90">
        <v>1.5659722222222223</v>
      </c>
      <c r="I1273" s="30" t="s">
        <v>116</v>
      </c>
      <c r="J1273" s="89" t="s">
        <v>7110</v>
      </c>
      <c r="K1273" s="30" t="s">
        <v>200</v>
      </c>
      <c r="L1273" s="30" t="s">
        <v>7111</v>
      </c>
      <c r="M1273" s="30" t="s">
        <v>63</v>
      </c>
      <c r="N1273" s="30" t="s">
        <v>99</v>
      </c>
      <c r="O1273" s="30" t="s">
        <v>64</v>
      </c>
      <c r="P1273" s="89" t="s">
        <v>78</v>
      </c>
      <c r="Q1273" s="89" t="s">
        <v>3144</v>
      </c>
      <c r="R1273" s="89" t="s">
        <v>203</v>
      </c>
      <c r="S1273" s="30">
        <v>0</v>
      </c>
      <c r="T1273" s="233">
        <v>0</v>
      </c>
      <c r="U1273" s="30">
        <v>1</v>
      </c>
      <c r="V1273" s="233">
        <v>0</v>
      </c>
      <c r="W1273" s="30">
        <v>0</v>
      </c>
      <c r="X1273" s="30">
        <v>1</v>
      </c>
      <c r="Y1273" s="30">
        <v>0</v>
      </c>
      <c r="Z1273" s="233">
        <v>0</v>
      </c>
      <c r="AA1273" s="30">
        <v>0</v>
      </c>
      <c r="AB1273" s="30">
        <v>0</v>
      </c>
      <c r="AC1273" s="30">
        <v>0</v>
      </c>
      <c r="AD1273" s="30">
        <v>0</v>
      </c>
      <c r="AE1273" s="89" t="s">
        <v>92</v>
      </c>
      <c r="AF1273" s="89"/>
      <c r="AG1273" s="89" t="s">
        <v>82</v>
      </c>
      <c r="AH1273" s="72">
        <v>40942</v>
      </c>
      <c r="AI1273" s="30">
        <v>1</v>
      </c>
      <c r="AJ1273" s="89" t="s">
        <v>7112</v>
      </c>
      <c r="AK1273" s="89" t="s">
        <v>1233</v>
      </c>
      <c r="AL1273" s="91">
        <v>41107</v>
      </c>
      <c r="AM1273" s="91"/>
      <c r="AN1273" s="91"/>
      <c r="AO1273" s="91"/>
      <c r="AP1273" s="73" t="e">
        <f>MID(VLOOKUP(K1273,#REF!,2,FALSE),1,2)</f>
        <v>#REF!</v>
      </c>
      <c r="AQ1273" s="89">
        <f>DATE(2012,2,3)</f>
        <v>40942</v>
      </c>
      <c r="AR1273" s="82">
        <f t="shared" si="82"/>
        <v>3</v>
      </c>
      <c r="AS1273" s="83">
        <f t="shared" si="83"/>
        <v>2</v>
      </c>
      <c r="AT1273" s="84">
        <f t="shared" si="84"/>
        <v>2012</v>
      </c>
      <c r="AU1273" s="86"/>
      <c r="AV1273" s="86"/>
      <c r="AW1273" s="87"/>
      <c r="AX1273" s="86"/>
      <c r="AY1273" s="83"/>
      <c r="AZ1273" s="84"/>
      <c r="BA1273" s="86"/>
      <c r="BB1273" s="86"/>
    </row>
    <row r="1274" spans="1:54" ht="36.75" customHeight="1">
      <c r="A1274" s="30"/>
      <c r="B1274" s="30" t="s">
        <v>55</v>
      </c>
      <c r="C1274" s="69" t="str">
        <f t="shared" si="81"/>
        <v>Closed</v>
      </c>
      <c r="D1274" s="27" t="s">
        <v>7113</v>
      </c>
      <c r="E1274" s="29" t="s">
        <v>7114</v>
      </c>
      <c r="F1274" s="30" t="s">
        <v>233</v>
      </c>
      <c r="G1274" s="89">
        <f>DATE(2012,2,3)</f>
        <v>40942</v>
      </c>
      <c r="H1274" s="90">
        <v>1.1027777777777779</v>
      </c>
      <c r="I1274" s="30" t="s">
        <v>73</v>
      </c>
      <c r="J1274" s="89" t="s">
        <v>7115</v>
      </c>
      <c r="K1274" s="30" t="s">
        <v>235</v>
      </c>
      <c r="L1274" s="30" t="s">
        <v>7116</v>
      </c>
      <c r="M1274" s="30" t="s">
        <v>63</v>
      </c>
      <c r="N1274" s="30" t="s">
        <v>89</v>
      </c>
      <c r="O1274" s="30" t="s">
        <v>64</v>
      </c>
      <c r="P1274" s="89" t="s">
        <v>381</v>
      </c>
      <c r="Q1274" s="89" t="s">
        <v>7117</v>
      </c>
      <c r="R1274" s="89" t="s">
        <v>238</v>
      </c>
      <c r="S1274" s="30">
        <v>0</v>
      </c>
      <c r="T1274" s="233">
        <v>0</v>
      </c>
      <c r="U1274" s="30">
        <v>0</v>
      </c>
      <c r="V1274" s="233">
        <v>0</v>
      </c>
      <c r="W1274" s="30">
        <v>0</v>
      </c>
      <c r="X1274" s="30">
        <v>0</v>
      </c>
      <c r="Y1274" s="30">
        <v>0</v>
      </c>
      <c r="Z1274" s="233">
        <v>0</v>
      </c>
      <c r="AA1274" s="30">
        <v>0</v>
      </c>
      <c r="AB1274" s="30">
        <v>0</v>
      </c>
      <c r="AC1274" s="30">
        <v>0</v>
      </c>
      <c r="AD1274" s="30">
        <v>0</v>
      </c>
      <c r="AE1274" s="89" t="s">
        <v>68</v>
      </c>
      <c r="AF1274" s="89"/>
      <c r="AG1274" s="89" t="s">
        <v>133</v>
      </c>
      <c r="AH1274" s="72" t="s">
        <v>68</v>
      </c>
      <c r="AI1274" s="30">
        <v>3</v>
      </c>
      <c r="AJ1274" s="89" t="s">
        <v>7118</v>
      </c>
      <c r="AK1274" s="89" t="s">
        <v>7119</v>
      </c>
      <c r="AL1274" s="91">
        <v>40955</v>
      </c>
      <c r="AM1274" s="91"/>
      <c r="AN1274" s="91"/>
      <c r="AO1274" s="91"/>
      <c r="AP1274" s="73" t="e">
        <f>MID(VLOOKUP(K1274,#REF!,2,FALSE),1,2)</f>
        <v>#REF!</v>
      </c>
      <c r="AQ1274" s="89">
        <f>DATE(2012,2,3)</f>
        <v>40942</v>
      </c>
      <c r="AR1274" s="82">
        <f t="shared" si="82"/>
        <v>3</v>
      </c>
      <c r="AS1274" s="83">
        <f t="shared" si="83"/>
        <v>2</v>
      </c>
      <c r="AT1274" s="84">
        <f t="shared" si="84"/>
        <v>2012</v>
      </c>
      <c r="AU1274" s="86"/>
      <c r="AV1274" s="86"/>
      <c r="AW1274" s="87"/>
      <c r="AX1274" s="86"/>
      <c r="AY1274" s="83"/>
      <c r="AZ1274" s="84"/>
      <c r="BA1274" s="86"/>
      <c r="BB1274" s="86"/>
    </row>
    <row r="1275" spans="1:54" ht="36.75" customHeight="1">
      <c r="A1275" s="30"/>
      <c r="B1275" s="30" t="s">
        <v>55</v>
      </c>
      <c r="C1275" s="69" t="str">
        <f t="shared" si="81"/>
        <v>Closed</v>
      </c>
      <c r="D1275" s="27" t="s">
        <v>7120</v>
      </c>
      <c r="E1275" s="29" t="s">
        <v>7121</v>
      </c>
      <c r="F1275" s="30" t="s">
        <v>638</v>
      </c>
      <c r="G1275" s="89">
        <f>DATE(2012,2,9)</f>
        <v>40948</v>
      </c>
      <c r="H1275" s="90">
        <v>1.4048611111111111</v>
      </c>
      <c r="I1275" s="30" t="s">
        <v>156</v>
      </c>
      <c r="J1275" s="89" t="s">
        <v>7122</v>
      </c>
      <c r="K1275" s="30" t="s">
        <v>640</v>
      </c>
      <c r="L1275" s="30" t="s">
        <v>7123</v>
      </c>
      <c r="M1275" s="30" t="s">
        <v>63</v>
      </c>
      <c r="N1275" s="30" t="s">
        <v>142</v>
      </c>
      <c r="O1275" s="30" t="s">
        <v>77</v>
      </c>
      <c r="P1275" s="89" t="s">
        <v>6902</v>
      </c>
      <c r="Q1275" s="89" t="s">
        <v>642</v>
      </c>
      <c r="R1275" s="89" t="s">
        <v>643</v>
      </c>
      <c r="S1275" s="30">
        <v>0</v>
      </c>
      <c r="T1275" s="233">
        <v>0</v>
      </c>
      <c r="U1275" s="30">
        <v>0</v>
      </c>
      <c r="V1275" s="233">
        <v>0</v>
      </c>
      <c r="W1275" s="30">
        <v>0</v>
      </c>
      <c r="X1275" s="30">
        <v>0</v>
      </c>
      <c r="Y1275" s="30">
        <v>0</v>
      </c>
      <c r="Z1275" s="233">
        <v>1</v>
      </c>
      <c r="AA1275" s="30">
        <v>0</v>
      </c>
      <c r="AB1275" s="30">
        <v>0</v>
      </c>
      <c r="AC1275" s="30">
        <v>0</v>
      </c>
      <c r="AD1275" s="30">
        <v>1</v>
      </c>
      <c r="AE1275" s="89" t="s">
        <v>68</v>
      </c>
      <c r="AF1275" s="89"/>
      <c r="AG1275" s="89" t="s">
        <v>352</v>
      </c>
      <c r="AH1275" s="72">
        <v>40967</v>
      </c>
      <c r="AI1275" s="30">
        <v>2</v>
      </c>
      <c r="AJ1275" s="89" t="s">
        <v>7124</v>
      </c>
      <c r="AK1275" s="89" t="s">
        <v>68</v>
      </c>
      <c r="AL1275" s="91">
        <v>40977</v>
      </c>
      <c r="AM1275" s="91"/>
      <c r="AN1275" s="91"/>
      <c r="AO1275" s="91"/>
      <c r="AP1275" s="73" t="e">
        <f>MID(VLOOKUP(K1275,#REF!,2,FALSE),1,2)</f>
        <v>#REF!</v>
      </c>
      <c r="AQ1275" s="89">
        <f>DATE(2012,2,9)</f>
        <v>40948</v>
      </c>
      <c r="AR1275" s="82">
        <f t="shared" si="82"/>
        <v>9</v>
      </c>
      <c r="AS1275" s="83">
        <f t="shared" si="83"/>
        <v>2</v>
      </c>
      <c r="AT1275" s="84">
        <f t="shared" si="84"/>
        <v>2012</v>
      </c>
      <c r="AU1275" s="86"/>
      <c r="AV1275" s="86"/>
      <c r="AW1275" s="87"/>
      <c r="AX1275" s="86"/>
      <c r="AY1275" s="83"/>
      <c r="AZ1275" s="84"/>
      <c r="BA1275" s="86"/>
      <c r="BB1275" s="86"/>
    </row>
    <row r="1276" spans="1:54" ht="36.75" customHeight="1">
      <c r="A1276" s="30"/>
      <c r="B1276" s="30" t="s">
        <v>55</v>
      </c>
      <c r="C1276" s="69" t="str">
        <f t="shared" si="81"/>
        <v>Closed</v>
      </c>
      <c r="D1276" s="27" t="s">
        <v>7125</v>
      </c>
      <c r="E1276" s="29" t="s">
        <v>7126</v>
      </c>
      <c r="F1276" s="30" t="s">
        <v>835</v>
      </c>
      <c r="G1276" s="89">
        <f>DATE(2012,2,9)</f>
        <v>40948</v>
      </c>
      <c r="H1276" s="90">
        <v>1.7229166666666669</v>
      </c>
      <c r="I1276" s="30" t="s">
        <v>104</v>
      </c>
      <c r="J1276" s="89" t="s">
        <v>7127</v>
      </c>
      <c r="K1276" s="30" t="s">
        <v>837</v>
      </c>
      <c r="L1276" s="30" t="s">
        <v>7128</v>
      </c>
      <c r="M1276" s="30" t="s">
        <v>63</v>
      </c>
      <c r="N1276" s="30" t="s">
        <v>142</v>
      </c>
      <c r="O1276" s="30" t="s">
        <v>77</v>
      </c>
      <c r="P1276" s="89" t="s">
        <v>1912</v>
      </c>
      <c r="Q1276" s="89" t="s">
        <v>7129</v>
      </c>
      <c r="R1276" s="89" t="s">
        <v>840</v>
      </c>
      <c r="S1276" s="30">
        <v>0</v>
      </c>
      <c r="T1276" s="233">
        <v>0</v>
      </c>
      <c r="U1276" s="30">
        <v>0</v>
      </c>
      <c r="V1276" s="233">
        <v>0</v>
      </c>
      <c r="W1276" s="30">
        <v>0</v>
      </c>
      <c r="X1276" s="30">
        <v>0</v>
      </c>
      <c r="Y1276" s="30">
        <v>0</v>
      </c>
      <c r="Z1276" s="233">
        <v>0</v>
      </c>
      <c r="AA1276" s="30">
        <v>0</v>
      </c>
      <c r="AB1276" s="30">
        <v>0</v>
      </c>
      <c r="AC1276" s="30">
        <v>0</v>
      </c>
      <c r="AD1276" s="30">
        <v>0</v>
      </c>
      <c r="AE1276" s="89" t="s">
        <v>92</v>
      </c>
      <c r="AF1276" s="89"/>
      <c r="AG1276" s="89" t="s">
        <v>352</v>
      </c>
      <c r="AH1276" s="72">
        <v>40949</v>
      </c>
      <c r="AI1276" s="30">
        <v>1</v>
      </c>
      <c r="AJ1276" s="89" t="s">
        <v>7130</v>
      </c>
      <c r="AK1276" s="89" t="s">
        <v>7131</v>
      </c>
      <c r="AL1276" s="91">
        <v>40949</v>
      </c>
      <c r="AM1276" s="91"/>
      <c r="AN1276" s="91"/>
      <c r="AO1276" s="91"/>
      <c r="AP1276" s="73" t="e">
        <f>MID(VLOOKUP(K1276,#REF!,2,FALSE),1,2)</f>
        <v>#REF!</v>
      </c>
      <c r="AQ1276" s="89">
        <f>DATE(2012,2,9)</f>
        <v>40948</v>
      </c>
      <c r="AR1276" s="82">
        <f t="shared" si="82"/>
        <v>9</v>
      </c>
      <c r="AS1276" s="83">
        <f t="shared" si="83"/>
        <v>2</v>
      </c>
      <c r="AT1276" s="84">
        <f t="shared" si="84"/>
        <v>2012</v>
      </c>
      <c r="AU1276" s="86"/>
      <c r="AV1276" s="86"/>
      <c r="AW1276" s="87"/>
      <c r="AX1276" s="86"/>
      <c r="AY1276" s="83"/>
      <c r="AZ1276" s="84"/>
      <c r="BA1276" s="86"/>
      <c r="BB1276" s="86"/>
    </row>
    <row r="1277" spans="1:54" ht="36.75" customHeight="1">
      <c r="A1277" s="30"/>
      <c r="B1277" s="30" t="s">
        <v>55</v>
      </c>
      <c r="C1277" s="69" t="str">
        <f t="shared" si="81"/>
        <v>Closed</v>
      </c>
      <c r="D1277" s="27" t="s">
        <v>7132</v>
      </c>
      <c r="E1277" s="29" t="s">
        <v>7133</v>
      </c>
      <c r="F1277" s="30" t="s">
        <v>138</v>
      </c>
      <c r="G1277" s="89">
        <f>DATE(2012,2,9)</f>
        <v>40948</v>
      </c>
      <c r="H1277" s="90">
        <v>1.2895833333333333</v>
      </c>
      <c r="I1277" s="30" t="s">
        <v>116</v>
      </c>
      <c r="J1277" s="89" t="s">
        <v>7134</v>
      </c>
      <c r="K1277" s="30" t="s">
        <v>140</v>
      </c>
      <c r="L1277" s="30" t="s">
        <v>7135</v>
      </c>
      <c r="M1277" s="30" t="s">
        <v>63</v>
      </c>
      <c r="N1277" s="30" t="s">
        <v>99</v>
      </c>
      <c r="O1277" s="30" t="s">
        <v>64</v>
      </c>
      <c r="P1277" s="89" t="s">
        <v>165</v>
      </c>
      <c r="Q1277" s="89" t="s">
        <v>2081</v>
      </c>
      <c r="R1277" s="89" t="s">
        <v>185</v>
      </c>
      <c r="S1277" s="30">
        <v>0</v>
      </c>
      <c r="T1277" s="233">
        <v>0</v>
      </c>
      <c r="U1277" s="30">
        <v>0</v>
      </c>
      <c r="V1277" s="233">
        <v>0</v>
      </c>
      <c r="W1277" s="30">
        <v>0</v>
      </c>
      <c r="X1277" s="30">
        <v>0</v>
      </c>
      <c r="Y1277" s="30">
        <v>0</v>
      </c>
      <c r="Z1277" s="233">
        <v>1</v>
      </c>
      <c r="AA1277" s="30">
        <v>0</v>
      </c>
      <c r="AB1277" s="30">
        <v>0</v>
      </c>
      <c r="AC1277" s="30">
        <v>0</v>
      </c>
      <c r="AD1277" s="30">
        <v>1</v>
      </c>
      <c r="AE1277" s="89" t="s">
        <v>145</v>
      </c>
      <c r="AF1277" s="89"/>
      <c r="AG1277" s="89" t="s">
        <v>133</v>
      </c>
      <c r="AH1277" s="72">
        <v>40948</v>
      </c>
      <c r="AI1277" s="30">
        <v>2</v>
      </c>
      <c r="AJ1277" s="89" t="s">
        <v>7136</v>
      </c>
      <c r="AK1277" s="89" t="s">
        <v>7137</v>
      </c>
      <c r="AL1277" s="91">
        <v>40952</v>
      </c>
      <c r="AM1277" s="91"/>
      <c r="AN1277" s="91"/>
      <c r="AO1277" s="91"/>
      <c r="AP1277" s="73" t="e">
        <f>MID(VLOOKUP(K1277,#REF!,2,FALSE),1,2)</f>
        <v>#REF!</v>
      </c>
      <c r="AQ1277" s="89">
        <f>DATE(2012,2,9)</f>
        <v>40948</v>
      </c>
      <c r="AR1277" s="82">
        <f t="shared" si="82"/>
        <v>9</v>
      </c>
      <c r="AS1277" s="83">
        <f t="shared" si="83"/>
        <v>2</v>
      </c>
      <c r="AT1277" s="84">
        <f t="shared" si="84"/>
        <v>2012</v>
      </c>
      <c r="AU1277" s="86"/>
      <c r="AV1277" s="86"/>
      <c r="AW1277" s="87"/>
      <c r="AX1277" s="86"/>
      <c r="AY1277" s="83"/>
      <c r="AZ1277" s="84"/>
      <c r="BA1277" s="86"/>
      <c r="BB1277" s="86"/>
    </row>
    <row r="1278" spans="1:54" ht="36.75" customHeight="1">
      <c r="A1278" s="30"/>
      <c r="B1278" s="30" t="s">
        <v>55</v>
      </c>
      <c r="C1278" s="69" t="str">
        <f t="shared" si="81"/>
        <v>Closed</v>
      </c>
      <c r="D1278" s="27" t="s">
        <v>7138</v>
      </c>
      <c r="E1278" s="29" t="s">
        <v>7139</v>
      </c>
      <c r="F1278" s="30" t="s">
        <v>451</v>
      </c>
      <c r="G1278" s="89">
        <f>DATE(2012,2,13)</f>
        <v>40952</v>
      </c>
      <c r="H1278" s="90">
        <v>1.5076388888888888</v>
      </c>
      <c r="I1278" s="30" t="s">
        <v>116</v>
      </c>
      <c r="J1278" s="89" t="s">
        <v>7140</v>
      </c>
      <c r="K1278" s="30" t="s">
        <v>453</v>
      </c>
      <c r="L1278" s="30" t="s">
        <v>7141</v>
      </c>
      <c r="M1278" s="30" t="s">
        <v>63</v>
      </c>
      <c r="N1278" s="30" t="s">
        <v>99</v>
      </c>
      <c r="O1278" s="30" t="s">
        <v>77</v>
      </c>
      <c r="P1278" s="89" t="s">
        <v>165</v>
      </c>
      <c r="Q1278" s="89" t="s">
        <v>571</v>
      </c>
      <c r="R1278" s="89" t="s">
        <v>572</v>
      </c>
      <c r="S1278" s="30">
        <v>0</v>
      </c>
      <c r="T1278" s="233">
        <v>0</v>
      </c>
      <c r="U1278" s="30">
        <v>1</v>
      </c>
      <c r="V1278" s="233">
        <v>0</v>
      </c>
      <c r="W1278" s="30">
        <v>0</v>
      </c>
      <c r="X1278" s="30">
        <v>1</v>
      </c>
      <c r="Y1278" s="30">
        <v>0</v>
      </c>
      <c r="Z1278" s="233">
        <v>0</v>
      </c>
      <c r="AA1278" s="30">
        <v>0</v>
      </c>
      <c r="AB1278" s="30">
        <v>0</v>
      </c>
      <c r="AC1278" s="30">
        <v>0</v>
      </c>
      <c r="AD1278" s="30">
        <v>0</v>
      </c>
      <c r="AE1278" s="89" t="s">
        <v>92</v>
      </c>
      <c r="AF1278" s="89"/>
      <c r="AG1278" s="89" t="s">
        <v>82</v>
      </c>
      <c r="AH1278" s="72">
        <v>40952</v>
      </c>
      <c r="AI1278" s="30">
        <v>2</v>
      </c>
      <c r="AJ1278" s="89" t="s">
        <v>7142</v>
      </c>
      <c r="AK1278" s="89" t="s">
        <v>7143</v>
      </c>
      <c r="AL1278" s="91">
        <v>41380</v>
      </c>
      <c r="AM1278" s="91"/>
      <c r="AN1278" s="91"/>
      <c r="AO1278" s="91"/>
      <c r="AP1278" s="73" t="e">
        <f>MID(VLOOKUP(K1278,#REF!,2,FALSE),1,2)</f>
        <v>#REF!</v>
      </c>
      <c r="AQ1278" s="89">
        <f>DATE(2012,2,13)</f>
        <v>40952</v>
      </c>
      <c r="AR1278" s="82">
        <f t="shared" si="82"/>
        <v>13</v>
      </c>
      <c r="AS1278" s="83">
        <f t="shared" si="83"/>
        <v>2</v>
      </c>
      <c r="AT1278" s="84">
        <f t="shared" si="84"/>
        <v>2012</v>
      </c>
      <c r="AU1278" s="86"/>
      <c r="AV1278" s="86"/>
      <c r="AW1278" s="87"/>
      <c r="AX1278" s="86"/>
      <c r="AY1278" s="83"/>
      <c r="AZ1278" s="84"/>
      <c r="BA1278" s="86"/>
      <c r="BB1278" s="86"/>
    </row>
    <row r="1279" spans="1:54" ht="36.75" customHeight="1">
      <c r="A1279" s="30"/>
      <c r="B1279" s="30" t="s">
        <v>55</v>
      </c>
      <c r="C1279" s="69" t="str">
        <f t="shared" si="81"/>
        <v>Closed</v>
      </c>
      <c r="D1279" s="27" t="s">
        <v>7144</v>
      </c>
      <c r="E1279" s="29" t="s">
        <v>7145</v>
      </c>
      <c r="F1279" s="30" t="s">
        <v>124</v>
      </c>
      <c r="G1279" s="89">
        <f>DATE(2012,2,14)</f>
        <v>40953</v>
      </c>
      <c r="H1279" s="90">
        <v>1.5833333333333335</v>
      </c>
      <c r="I1279" s="30" t="s">
        <v>198</v>
      </c>
      <c r="J1279" s="89" t="s">
        <v>7146</v>
      </c>
      <c r="K1279" s="30" t="s">
        <v>127</v>
      </c>
      <c r="L1279" s="30" t="s">
        <v>7147</v>
      </c>
      <c r="M1279" s="30" t="s">
        <v>63</v>
      </c>
      <c r="N1279" s="30" t="s">
        <v>99</v>
      </c>
      <c r="O1279" s="30" t="s">
        <v>77</v>
      </c>
      <c r="P1279" s="89" t="s">
        <v>2931</v>
      </c>
      <c r="Q1279" s="89" t="s">
        <v>7148</v>
      </c>
      <c r="R1279" s="89" t="s">
        <v>167</v>
      </c>
      <c r="S1279" s="30">
        <v>0</v>
      </c>
      <c r="T1279" s="233">
        <v>0</v>
      </c>
      <c r="U1279" s="30">
        <v>0</v>
      </c>
      <c r="V1279" s="233">
        <v>0</v>
      </c>
      <c r="W1279" s="30">
        <v>0</v>
      </c>
      <c r="X1279" s="30">
        <v>0</v>
      </c>
      <c r="Y1279" s="30">
        <v>0</v>
      </c>
      <c r="Z1279" s="233">
        <v>0</v>
      </c>
      <c r="AA1279" s="30">
        <v>0</v>
      </c>
      <c r="AB1279" s="30">
        <v>0</v>
      </c>
      <c r="AC1279" s="30">
        <v>0</v>
      </c>
      <c r="AD1279" s="30">
        <v>0</v>
      </c>
      <c r="AE1279" s="89" t="s">
        <v>92</v>
      </c>
      <c r="AF1279" s="89"/>
      <c r="AG1279" s="89" t="s">
        <v>874</v>
      </c>
      <c r="AH1279" s="72">
        <v>40954</v>
      </c>
      <c r="AI1279" s="30">
        <v>1</v>
      </c>
      <c r="AJ1279" s="89" t="s">
        <v>7149</v>
      </c>
      <c r="AK1279" s="89" t="s">
        <v>68</v>
      </c>
      <c r="AL1279" s="91">
        <v>40966</v>
      </c>
      <c r="AM1279" s="91"/>
      <c r="AN1279" s="91"/>
      <c r="AO1279" s="91"/>
      <c r="AP1279" s="73" t="e">
        <f>MID(VLOOKUP(K1279,#REF!,2,FALSE),1,2)</f>
        <v>#REF!</v>
      </c>
      <c r="AQ1279" s="89">
        <f>DATE(2012,2,14)</f>
        <v>40953</v>
      </c>
      <c r="AR1279" s="82">
        <f t="shared" si="82"/>
        <v>14</v>
      </c>
      <c r="AS1279" s="83">
        <f t="shared" si="83"/>
        <v>2</v>
      </c>
      <c r="AT1279" s="84">
        <f t="shared" si="84"/>
        <v>2012</v>
      </c>
      <c r="AU1279" s="86"/>
      <c r="AV1279" s="86"/>
      <c r="AW1279" s="87"/>
      <c r="AX1279" s="86"/>
      <c r="AY1279" s="83"/>
      <c r="AZ1279" s="84"/>
      <c r="BA1279" s="86"/>
      <c r="BB1279" s="86"/>
    </row>
    <row r="1280" spans="1:54" ht="36.75" customHeight="1">
      <c r="A1280" s="30"/>
      <c r="B1280" s="30" t="s">
        <v>55</v>
      </c>
      <c r="C1280" s="69" t="str">
        <f t="shared" si="81"/>
        <v>Closed</v>
      </c>
      <c r="D1280" s="27" t="s">
        <v>7150</v>
      </c>
      <c r="E1280" s="29" t="s">
        <v>7151</v>
      </c>
      <c r="F1280" s="30" t="s">
        <v>124</v>
      </c>
      <c r="G1280" s="89">
        <f>DATE(2012,2,15)</f>
        <v>40954</v>
      </c>
      <c r="H1280" s="90">
        <v>1.4375</v>
      </c>
      <c r="I1280" s="30" t="s">
        <v>73</v>
      </c>
      <c r="J1280" s="89" t="s">
        <v>7152</v>
      </c>
      <c r="K1280" s="30" t="s">
        <v>127</v>
      </c>
      <c r="L1280" s="30" t="s">
        <v>7153</v>
      </c>
      <c r="M1280" s="30" t="s">
        <v>63</v>
      </c>
      <c r="N1280" s="30" t="s">
        <v>99</v>
      </c>
      <c r="O1280" s="30" t="s">
        <v>64</v>
      </c>
      <c r="P1280" s="89" t="s">
        <v>86</v>
      </c>
      <c r="Q1280" s="89" t="s">
        <v>229</v>
      </c>
      <c r="R1280" s="89" t="s">
        <v>167</v>
      </c>
      <c r="S1280" s="30">
        <v>0</v>
      </c>
      <c r="T1280" s="233">
        <v>0</v>
      </c>
      <c r="U1280" s="30">
        <v>0</v>
      </c>
      <c r="V1280" s="233">
        <v>0</v>
      </c>
      <c r="W1280" s="30">
        <v>0</v>
      </c>
      <c r="X1280" s="30">
        <v>0</v>
      </c>
      <c r="Y1280" s="30">
        <v>2</v>
      </c>
      <c r="Z1280" s="233">
        <v>3</v>
      </c>
      <c r="AA1280" s="30">
        <v>0</v>
      </c>
      <c r="AB1280" s="30">
        <v>0</v>
      </c>
      <c r="AC1280" s="30">
        <v>0</v>
      </c>
      <c r="AD1280" s="30">
        <v>5</v>
      </c>
      <c r="AE1280" s="89" t="s">
        <v>68</v>
      </c>
      <c r="AF1280" s="89"/>
      <c r="AG1280" s="89" t="s">
        <v>82</v>
      </c>
      <c r="AH1280" s="72">
        <v>40954</v>
      </c>
      <c r="AI1280" s="30">
        <v>1</v>
      </c>
      <c r="AJ1280" s="89" t="s">
        <v>7154</v>
      </c>
      <c r="AK1280" s="89" t="s">
        <v>68</v>
      </c>
      <c r="AL1280" s="91">
        <v>40957</v>
      </c>
      <c r="AM1280" s="91"/>
      <c r="AN1280" s="91"/>
      <c r="AO1280" s="91"/>
      <c r="AP1280" s="73" t="e">
        <f>MID(VLOOKUP(K1280,#REF!,2,FALSE),1,2)</f>
        <v>#REF!</v>
      </c>
      <c r="AQ1280" s="89">
        <f>DATE(2012,2,15)</f>
        <v>40954</v>
      </c>
      <c r="AR1280" s="82">
        <f t="shared" si="82"/>
        <v>15</v>
      </c>
      <c r="AS1280" s="83">
        <f t="shared" si="83"/>
        <v>2</v>
      </c>
      <c r="AT1280" s="84">
        <f t="shared" si="84"/>
        <v>2012</v>
      </c>
      <c r="AU1280" s="86"/>
      <c r="AV1280" s="86"/>
      <c r="AW1280" s="87"/>
      <c r="AX1280" s="86"/>
      <c r="AY1280" s="83"/>
      <c r="AZ1280" s="84"/>
      <c r="BA1280" s="86"/>
      <c r="BB1280" s="86"/>
    </row>
    <row r="1281" spans="1:54" ht="36.75" customHeight="1">
      <c r="A1281" s="30"/>
      <c r="B1281" s="30" t="s">
        <v>55</v>
      </c>
      <c r="C1281" s="69" t="str">
        <f t="shared" si="81"/>
        <v>Closed</v>
      </c>
      <c r="D1281" s="27" t="s">
        <v>7155</v>
      </c>
      <c r="E1281" s="29" t="s">
        <v>7156</v>
      </c>
      <c r="F1281" s="30" t="s">
        <v>423</v>
      </c>
      <c r="G1281" s="89">
        <f>DATE(2012,2,16)</f>
        <v>40955</v>
      </c>
      <c r="H1281" s="90">
        <v>1.7173611111111109</v>
      </c>
      <c r="I1281" s="30" t="s">
        <v>104</v>
      </c>
      <c r="J1281" s="89" t="s">
        <v>7157</v>
      </c>
      <c r="K1281" s="30" t="s">
        <v>425</v>
      </c>
      <c r="L1281" s="30" t="s">
        <v>7158</v>
      </c>
      <c r="M1281" s="30" t="s">
        <v>63</v>
      </c>
      <c r="N1281" s="30" t="s">
        <v>99</v>
      </c>
      <c r="O1281" s="30" t="s">
        <v>64</v>
      </c>
      <c r="P1281" s="89" t="s">
        <v>165</v>
      </c>
      <c r="Q1281" s="89" t="s">
        <v>427</v>
      </c>
      <c r="R1281" s="89" t="s">
        <v>3103</v>
      </c>
      <c r="S1281" s="30">
        <v>0</v>
      </c>
      <c r="T1281" s="233">
        <v>0</v>
      </c>
      <c r="U1281" s="30">
        <v>0</v>
      </c>
      <c r="V1281" s="233">
        <v>0</v>
      </c>
      <c r="W1281" s="30">
        <v>0</v>
      </c>
      <c r="X1281" s="30">
        <v>0</v>
      </c>
      <c r="Y1281" s="30">
        <v>0</v>
      </c>
      <c r="Z1281" s="233">
        <v>0</v>
      </c>
      <c r="AA1281" s="30">
        <v>0</v>
      </c>
      <c r="AB1281" s="30">
        <v>0</v>
      </c>
      <c r="AC1281" s="30">
        <v>0</v>
      </c>
      <c r="AD1281" s="30">
        <v>0</v>
      </c>
      <c r="AE1281" s="89" t="s">
        <v>92</v>
      </c>
      <c r="AF1281" s="89"/>
      <c r="AG1281" s="89" t="s">
        <v>874</v>
      </c>
      <c r="AH1281" s="72">
        <v>41023</v>
      </c>
      <c r="AI1281" s="30">
        <v>6</v>
      </c>
      <c r="AJ1281" s="89" t="s">
        <v>7159</v>
      </c>
      <c r="AK1281" s="89" t="s">
        <v>7160</v>
      </c>
      <c r="AL1281" s="91">
        <v>41026</v>
      </c>
      <c r="AM1281" s="91"/>
      <c r="AN1281" s="91"/>
      <c r="AO1281" s="91"/>
      <c r="AP1281" s="73" t="e">
        <f>MID(VLOOKUP(K1281,#REF!,2,FALSE),1,2)</f>
        <v>#REF!</v>
      </c>
      <c r="AQ1281" s="89">
        <f>DATE(2012,2,16)</f>
        <v>40955</v>
      </c>
      <c r="AR1281" s="82">
        <f t="shared" si="82"/>
        <v>16</v>
      </c>
      <c r="AS1281" s="83">
        <f t="shared" si="83"/>
        <v>2</v>
      </c>
      <c r="AT1281" s="84">
        <f t="shared" si="84"/>
        <v>2012</v>
      </c>
      <c r="AU1281" s="86"/>
      <c r="AV1281" s="86"/>
      <c r="AW1281" s="87"/>
      <c r="AX1281" s="86"/>
      <c r="AY1281" s="83"/>
      <c r="AZ1281" s="84"/>
      <c r="BA1281" s="86"/>
      <c r="BB1281" s="86"/>
    </row>
    <row r="1282" spans="1:54" ht="36.75" customHeight="1">
      <c r="A1282" s="30"/>
      <c r="B1282" s="30" t="s">
        <v>55</v>
      </c>
      <c r="C1282" s="69" t="str">
        <f t="shared" ref="C1282:C1345" si="85">IF(B1282="Notification","Open",IF(B1282="Interim Statement","In progress","Closed"))</f>
        <v>Closed</v>
      </c>
      <c r="D1282" s="27" t="s">
        <v>7161</v>
      </c>
      <c r="E1282" s="29" t="s">
        <v>7162</v>
      </c>
      <c r="F1282" s="30" t="s">
        <v>233</v>
      </c>
      <c r="G1282" s="89">
        <f>DATE(2012,2,17)</f>
        <v>40956</v>
      </c>
      <c r="H1282" s="90">
        <v>1.2673611111111112</v>
      </c>
      <c r="I1282" s="30" t="s">
        <v>73</v>
      </c>
      <c r="J1282" s="89" t="s">
        <v>7163</v>
      </c>
      <c r="K1282" s="30" t="s">
        <v>235</v>
      </c>
      <c r="L1282" s="30" t="s">
        <v>7164</v>
      </c>
      <c r="M1282" s="30" t="s">
        <v>255</v>
      </c>
      <c r="N1282" s="30" t="s">
        <v>142</v>
      </c>
      <c r="O1282" s="30" t="s">
        <v>64</v>
      </c>
      <c r="P1282" s="89" t="s">
        <v>6552</v>
      </c>
      <c r="Q1282" s="89" t="s">
        <v>1893</v>
      </c>
      <c r="R1282" s="89" t="s">
        <v>238</v>
      </c>
      <c r="S1282" s="30">
        <v>0</v>
      </c>
      <c r="T1282" s="233">
        <v>0</v>
      </c>
      <c r="U1282" s="30">
        <v>0</v>
      </c>
      <c r="V1282" s="233">
        <v>0</v>
      </c>
      <c r="W1282" s="30">
        <v>0</v>
      </c>
      <c r="X1282" s="30">
        <v>0</v>
      </c>
      <c r="Y1282" s="30">
        <v>0</v>
      </c>
      <c r="Z1282" s="233">
        <v>0</v>
      </c>
      <c r="AA1282" s="30">
        <v>0</v>
      </c>
      <c r="AB1282" s="30">
        <v>0</v>
      </c>
      <c r="AC1282" s="30">
        <v>0</v>
      </c>
      <c r="AD1282" s="30">
        <v>0</v>
      </c>
      <c r="AE1282" s="89" t="s">
        <v>68</v>
      </c>
      <c r="AF1282" s="89"/>
      <c r="AG1282" s="89" t="s">
        <v>133</v>
      </c>
      <c r="AH1282" s="72" t="s">
        <v>68</v>
      </c>
      <c r="AI1282" s="30">
        <v>3</v>
      </c>
      <c r="AJ1282" s="89" t="s">
        <v>7165</v>
      </c>
      <c r="AK1282" s="89" t="s">
        <v>7166</v>
      </c>
      <c r="AL1282" s="91">
        <v>40976</v>
      </c>
      <c r="AM1282" s="91"/>
      <c r="AN1282" s="91"/>
      <c r="AO1282" s="91"/>
      <c r="AP1282" s="73" t="e">
        <f>MID(VLOOKUP(K1282,#REF!,2,FALSE),1,2)</f>
        <v>#REF!</v>
      </c>
      <c r="AQ1282" s="89">
        <f>DATE(2012,2,17)</f>
        <v>40956</v>
      </c>
      <c r="AR1282" s="82">
        <f t="shared" ref="AR1282:AR1345" si="86">DAY(AQ1282)</f>
        <v>17</v>
      </c>
      <c r="AS1282" s="83">
        <f t="shared" ref="AS1282:AS1345" si="87">MONTH(AQ1282)</f>
        <v>2</v>
      </c>
      <c r="AT1282" s="84">
        <f t="shared" ref="AT1282:AT1345" si="88">YEAR(AQ1282)</f>
        <v>2012</v>
      </c>
      <c r="AU1282" s="86"/>
      <c r="AV1282" s="86"/>
      <c r="AW1282" s="87"/>
      <c r="AX1282" s="86"/>
      <c r="AY1282" s="83"/>
      <c r="AZ1282" s="84"/>
      <c r="BA1282" s="86"/>
      <c r="BB1282" s="86"/>
    </row>
    <row r="1283" spans="1:54" ht="36.75" customHeight="1">
      <c r="A1283" s="30"/>
      <c r="B1283" s="30" t="s">
        <v>55</v>
      </c>
      <c r="C1283" s="69" t="str">
        <f t="shared" si="85"/>
        <v>Closed</v>
      </c>
      <c r="D1283" s="27" t="s">
        <v>7167</v>
      </c>
      <c r="E1283" s="29" t="s">
        <v>7168</v>
      </c>
      <c r="F1283" s="30" t="s">
        <v>1938</v>
      </c>
      <c r="G1283" s="89">
        <f>DATE(2012,2,18)</f>
        <v>40957</v>
      </c>
      <c r="H1283" s="90">
        <v>0</v>
      </c>
      <c r="I1283" s="30" t="s">
        <v>2078</v>
      </c>
      <c r="J1283" s="89" t="s">
        <v>7169</v>
      </c>
      <c r="K1283" s="30" t="s">
        <v>1940</v>
      </c>
      <c r="L1283" s="30" t="s">
        <v>7170</v>
      </c>
      <c r="M1283" s="30" t="s">
        <v>63</v>
      </c>
      <c r="N1283" s="30" t="s">
        <v>142</v>
      </c>
      <c r="O1283" s="30" t="s">
        <v>64</v>
      </c>
      <c r="P1283" s="89" t="s">
        <v>65</v>
      </c>
      <c r="Q1283" s="89" t="s">
        <v>1942</v>
      </c>
      <c r="R1283" s="89" t="s">
        <v>1942</v>
      </c>
      <c r="S1283" s="30">
        <v>0</v>
      </c>
      <c r="T1283" s="233">
        <v>0</v>
      </c>
      <c r="U1283" s="30">
        <v>0</v>
      </c>
      <c r="V1283" s="233">
        <v>0</v>
      </c>
      <c r="W1283" s="30">
        <v>0</v>
      </c>
      <c r="X1283" s="30">
        <v>0</v>
      </c>
      <c r="Y1283" s="30">
        <v>0</v>
      </c>
      <c r="Z1283" s="233">
        <v>0</v>
      </c>
      <c r="AA1283" s="30">
        <v>0</v>
      </c>
      <c r="AB1283" s="30">
        <v>0</v>
      </c>
      <c r="AC1283" s="30">
        <v>0</v>
      </c>
      <c r="AD1283" s="30">
        <v>0</v>
      </c>
      <c r="AE1283" s="89" t="s">
        <v>92</v>
      </c>
      <c r="AF1283" s="89"/>
      <c r="AG1283" s="89" t="s">
        <v>352</v>
      </c>
      <c r="AH1283" s="72">
        <v>40962</v>
      </c>
      <c r="AI1283" s="30">
        <v>6</v>
      </c>
      <c r="AJ1283" s="89" t="s">
        <v>7171</v>
      </c>
      <c r="AK1283" s="89" t="s">
        <v>7172</v>
      </c>
      <c r="AL1283" s="91">
        <v>41702</v>
      </c>
      <c r="AM1283" s="91"/>
      <c r="AN1283" s="91"/>
      <c r="AO1283" s="91"/>
      <c r="AP1283" s="73" t="e">
        <f>MID(VLOOKUP(K1283,#REF!,2,FALSE),1,2)</f>
        <v>#REF!</v>
      </c>
      <c r="AQ1283" s="89">
        <f>DATE(2012,2,18)</f>
        <v>40957</v>
      </c>
      <c r="AR1283" s="82">
        <f t="shared" si="86"/>
        <v>18</v>
      </c>
      <c r="AS1283" s="83">
        <f t="shared" si="87"/>
        <v>2</v>
      </c>
      <c r="AT1283" s="84">
        <f t="shared" si="88"/>
        <v>2012</v>
      </c>
      <c r="AU1283" s="86"/>
      <c r="AV1283" s="86"/>
      <c r="AW1283" s="87"/>
      <c r="AX1283" s="86"/>
      <c r="AY1283" s="83"/>
      <c r="AZ1283" s="84"/>
      <c r="BA1283" s="86"/>
      <c r="BB1283" s="86"/>
    </row>
    <row r="1284" spans="1:54" ht="36.75" customHeight="1">
      <c r="A1284" s="30"/>
      <c r="B1284" s="30" t="s">
        <v>55</v>
      </c>
      <c r="C1284" s="69" t="str">
        <f t="shared" si="85"/>
        <v>Closed</v>
      </c>
      <c r="D1284" s="27" t="s">
        <v>7173</v>
      </c>
      <c r="E1284" s="29" t="s">
        <v>7174</v>
      </c>
      <c r="F1284" s="30" t="s">
        <v>835</v>
      </c>
      <c r="G1284" s="89">
        <f>DATE(2012,2,19)</f>
        <v>40958</v>
      </c>
      <c r="H1284" s="90">
        <v>1.4145833333333333</v>
      </c>
      <c r="I1284" s="30" t="s">
        <v>86</v>
      </c>
      <c r="J1284" s="89" t="s">
        <v>7175</v>
      </c>
      <c r="K1284" s="30" t="s">
        <v>837</v>
      </c>
      <c r="L1284" s="30" t="s">
        <v>7176</v>
      </c>
      <c r="M1284" s="30" t="s">
        <v>63</v>
      </c>
      <c r="N1284" s="30" t="s">
        <v>99</v>
      </c>
      <c r="O1284" s="30" t="s">
        <v>77</v>
      </c>
      <c r="P1284" s="89" t="s">
        <v>91</v>
      </c>
      <c r="Q1284" s="89" t="s">
        <v>4311</v>
      </c>
      <c r="R1284" s="89" t="s">
        <v>2797</v>
      </c>
      <c r="S1284" s="30">
        <v>0</v>
      </c>
      <c r="T1284" s="233">
        <v>0</v>
      </c>
      <c r="U1284" s="30">
        <v>0</v>
      </c>
      <c r="V1284" s="233">
        <v>0</v>
      </c>
      <c r="W1284" s="30">
        <v>0</v>
      </c>
      <c r="X1284" s="30">
        <v>0</v>
      </c>
      <c r="Y1284" s="30">
        <v>0</v>
      </c>
      <c r="Z1284" s="233">
        <v>0</v>
      </c>
      <c r="AA1284" s="30">
        <v>0</v>
      </c>
      <c r="AB1284" s="30">
        <v>0</v>
      </c>
      <c r="AC1284" s="30">
        <v>0</v>
      </c>
      <c r="AD1284" s="30">
        <v>0</v>
      </c>
      <c r="AE1284" s="89" t="s">
        <v>92</v>
      </c>
      <c r="AF1284" s="89"/>
      <c r="AG1284" s="89" t="s">
        <v>352</v>
      </c>
      <c r="AH1284" s="72">
        <v>40958</v>
      </c>
      <c r="AI1284" s="30">
        <v>1</v>
      </c>
      <c r="AJ1284" s="89" t="s">
        <v>7177</v>
      </c>
      <c r="AK1284" s="89" t="s">
        <v>68</v>
      </c>
      <c r="AL1284" s="91">
        <v>40958</v>
      </c>
      <c r="AM1284" s="91"/>
      <c r="AN1284" s="91"/>
      <c r="AO1284" s="91"/>
      <c r="AP1284" s="73" t="e">
        <f>MID(VLOOKUP(K1284,#REF!,2,FALSE),1,2)</f>
        <v>#REF!</v>
      </c>
      <c r="AQ1284" s="89">
        <f>DATE(2012,2,19)</f>
        <v>40958</v>
      </c>
      <c r="AR1284" s="82">
        <f t="shared" si="86"/>
        <v>19</v>
      </c>
      <c r="AS1284" s="83">
        <f t="shared" si="87"/>
        <v>2</v>
      </c>
      <c r="AT1284" s="84">
        <f t="shared" si="88"/>
        <v>2012</v>
      </c>
      <c r="AU1284" s="86"/>
      <c r="AV1284" s="86"/>
      <c r="AW1284" s="87"/>
      <c r="AX1284" s="86"/>
      <c r="AY1284" s="83"/>
      <c r="AZ1284" s="84"/>
      <c r="BA1284" s="86"/>
      <c r="BB1284" s="86"/>
    </row>
    <row r="1285" spans="1:54" ht="36.75" customHeight="1">
      <c r="A1285" s="30"/>
      <c r="B1285" s="30" t="s">
        <v>55</v>
      </c>
      <c r="C1285" s="69" t="str">
        <f t="shared" si="85"/>
        <v>Closed</v>
      </c>
      <c r="D1285" s="27" t="s">
        <v>7178</v>
      </c>
      <c r="E1285" s="29" t="s">
        <v>7179</v>
      </c>
      <c r="F1285" s="30" t="s">
        <v>624</v>
      </c>
      <c r="G1285" s="89">
        <f>DATE(2012,2,20)</f>
        <v>40959</v>
      </c>
      <c r="H1285" s="90">
        <v>1.879861111111111</v>
      </c>
      <c r="I1285" s="30" t="s">
        <v>278</v>
      </c>
      <c r="J1285" s="89" t="s">
        <v>6906</v>
      </c>
      <c r="K1285" s="30" t="s">
        <v>626</v>
      </c>
      <c r="L1285" s="30" t="s">
        <v>7180</v>
      </c>
      <c r="M1285" s="30" t="s">
        <v>63</v>
      </c>
      <c r="N1285" s="30">
        <v>0</v>
      </c>
      <c r="O1285" s="30" t="s">
        <v>77</v>
      </c>
      <c r="P1285" s="89" t="s">
        <v>165</v>
      </c>
      <c r="Q1285" s="89" t="s">
        <v>7181</v>
      </c>
      <c r="R1285" s="89" t="s">
        <v>629</v>
      </c>
      <c r="S1285" s="30">
        <v>1</v>
      </c>
      <c r="T1285" s="233">
        <v>0</v>
      </c>
      <c r="U1285" s="30">
        <v>0</v>
      </c>
      <c r="V1285" s="233">
        <v>0</v>
      </c>
      <c r="W1285" s="30">
        <v>0</v>
      </c>
      <c r="X1285" s="30">
        <v>1</v>
      </c>
      <c r="Y1285" s="30">
        <v>0</v>
      </c>
      <c r="Z1285" s="233">
        <v>0</v>
      </c>
      <c r="AA1285" s="30">
        <v>0</v>
      </c>
      <c r="AB1285" s="30">
        <v>0</v>
      </c>
      <c r="AC1285" s="30">
        <v>0</v>
      </c>
      <c r="AD1285" s="30">
        <v>0</v>
      </c>
      <c r="AE1285" s="89" t="s">
        <v>68</v>
      </c>
      <c r="AF1285" s="89"/>
      <c r="AG1285" s="89" t="s">
        <v>82</v>
      </c>
      <c r="AH1285" s="72" t="s">
        <v>68</v>
      </c>
      <c r="AI1285" s="30">
        <v>1</v>
      </c>
      <c r="AJ1285" s="89" t="s">
        <v>6908</v>
      </c>
      <c r="AK1285" s="89" t="s">
        <v>68</v>
      </c>
      <c r="AL1285" s="91">
        <v>41029</v>
      </c>
      <c r="AM1285" s="91"/>
      <c r="AN1285" s="91"/>
      <c r="AO1285" s="91"/>
      <c r="AP1285" s="73" t="e">
        <f>MID(VLOOKUP(K1285,#REF!,2,FALSE),1,2)</f>
        <v>#REF!</v>
      </c>
      <c r="AQ1285" s="89">
        <f>DATE(2012,2,20)</f>
        <v>40959</v>
      </c>
      <c r="AR1285" s="82">
        <f t="shared" si="86"/>
        <v>20</v>
      </c>
      <c r="AS1285" s="83">
        <f t="shared" si="87"/>
        <v>2</v>
      </c>
      <c r="AT1285" s="84">
        <f t="shared" si="88"/>
        <v>2012</v>
      </c>
      <c r="AU1285" s="86"/>
      <c r="AV1285" s="86"/>
      <c r="AW1285" s="87"/>
      <c r="AX1285" s="86"/>
      <c r="AY1285" s="83"/>
      <c r="AZ1285" s="84"/>
      <c r="BA1285" s="86"/>
      <c r="BB1285" s="86"/>
    </row>
    <row r="1286" spans="1:54" ht="36.75" customHeight="1">
      <c r="A1286" s="30"/>
      <c r="B1286" s="30" t="s">
        <v>55</v>
      </c>
      <c r="C1286" s="69" t="str">
        <f t="shared" si="85"/>
        <v>Closed</v>
      </c>
      <c r="D1286" s="27" t="s">
        <v>7182</v>
      </c>
      <c r="E1286" s="29" t="s">
        <v>7183</v>
      </c>
      <c r="F1286" s="30" t="s">
        <v>197</v>
      </c>
      <c r="G1286" s="89">
        <f>DATE(2012,2,21)</f>
        <v>40960</v>
      </c>
      <c r="H1286" s="90">
        <v>0</v>
      </c>
      <c r="I1286" s="30" t="s">
        <v>73</v>
      </c>
      <c r="J1286" s="89" t="s">
        <v>7184</v>
      </c>
      <c r="K1286" s="30" t="s">
        <v>200</v>
      </c>
      <c r="L1286" s="30" t="s">
        <v>7185</v>
      </c>
      <c r="M1286" s="30" t="s">
        <v>63</v>
      </c>
      <c r="N1286" s="30" t="s">
        <v>99</v>
      </c>
      <c r="O1286" s="30" t="s">
        <v>64</v>
      </c>
      <c r="P1286" s="89" t="s">
        <v>65</v>
      </c>
      <c r="Q1286" s="89" t="s">
        <v>200</v>
      </c>
      <c r="R1286" s="89" t="s">
        <v>200</v>
      </c>
      <c r="S1286" s="30">
        <v>0</v>
      </c>
      <c r="T1286" s="233">
        <v>0</v>
      </c>
      <c r="U1286" s="30">
        <v>0</v>
      </c>
      <c r="V1286" s="233">
        <v>0</v>
      </c>
      <c r="W1286" s="30">
        <v>0</v>
      </c>
      <c r="X1286" s="30">
        <v>0</v>
      </c>
      <c r="Y1286" s="30">
        <v>0</v>
      </c>
      <c r="Z1286" s="233">
        <v>0</v>
      </c>
      <c r="AA1286" s="30">
        <v>0</v>
      </c>
      <c r="AB1286" s="30">
        <v>0</v>
      </c>
      <c r="AC1286" s="30">
        <v>0</v>
      </c>
      <c r="AD1286" s="30">
        <v>0</v>
      </c>
      <c r="AE1286" s="89" t="s">
        <v>394</v>
      </c>
      <c r="AF1286" s="89"/>
      <c r="AG1286" s="89" t="s">
        <v>133</v>
      </c>
      <c r="AH1286" s="72">
        <v>40960</v>
      </c>
      <c r="AI1286" s="30">
        <v>3</v>
      </c>
      <c r="AJ1286" s="89" t="s">
        <v>7186</v>
      </c>
      <c r="AK1286" s="89" t="s">
        <v>1233</v>
      </c>
      <c r="AL1286" s="91">
        <v>41535</v>
      </c>
      <c r="AM1286" s="91"/>
      <c r="AN1286" s="91"/>
      <c r="AO1286" s="91"/>
      <c r="AP1286" s="73" t="e">
        <f>MID(VLOOKUP(K1286,#REF!,2,FALSE),1,2)</f>
        <v>#REF!</v>
      </c>
      <c r="AQ1286" s="89">
        <f>DATE(2012,2,21)</f>
        <v>40960</v>
      </c>
      <c r="AR1286" s="82">
        <f t="shared" si="86"/>
        <v>21</v>
      </c>
      <c r="AS1286" s="83">
        <f t="shared" si="87"/>
        <v>2</v>
      </c>
      <c r="AT1286" s="84">
        <f t="shared" si="88"/>
        <v>2012</v>
      </c>
      <c r="AU1286" s="86"/>
      <c r="AV1286" s="86"/>
      <c r="AW1286" s="87"/>
      <c r="AX1286" s="86"/>
      <c r="AY1286" s="83"/>
      <c r="AZ1286" s="84"/>
      <c r="BA1286" s="86"/>
      <c r="BB1286" s="86"/>
    </row>
    <row r="1287" spans="1:54" ht="36.75" customHeight="1">
      <c r="A1287" s="30"/>
      <c r="B1287" s="30" t="s">
        <v>55</v>
      </c>
      <c r="C1287" s="69" t="str">
        <f t="shared" si="85"/>
        <v>Closed</v>
      </c>
      <c r="D1287" s="27" t="s">
        <v>7187</v>
      </c>
      <c r="E1287" s="29" t="s">
        <v>7188</v>
      </c>
      <c r="F1287" s="30" t="s">
        <v>1572</v>
      </c>
      <c r="G1287" s="89">
        <f>DATE(2012,2,21)</f>
        <v>40960</v>
      </c>
      <c r="H1287" s="90">
        <v>1.7444444444444445</v>
      </c>
      <c r="I1287" s="30" t="s">
        <v>73</v>
      </c>
      <c r="J1287" s="89" t="s">
        <v>7189</v>
      </c>
      <c r="K1287" s="30" t="s">
        <v>1574</v>
      </c>
      <c r="L1287" s="30" t="s">
        <v>7190</v>
      </c>
      <c r="M1287" s="30" t="s">
        <v>63</v>
      </c>
      <c r="N1287" s="30" t="s">
        <v>99</v>
      </c>
      <c r="O1287" s="30" t="s">
        <v>64</v>
      </c>
      <c r="P1287" s="89" t="s">
        <v>165</v>
      </c>
      <c r="Q1287" s="89" t="s">
        <v>7191</v>
      </c>
      <c r="R1287" s="89">
        <v>0</v>
      </c>
      <c r="S1287" s="30">
        <v>0</v>
      </c>
      <c r="T1287" s="233">
        <v>0</v>
      </c>
      <c r="U1287" s="30">
        <v>0</v>
      </c>
      <c r="V1287" s="233">
        <v>0</v>
      </c>
      <c r="W1287" s="30">
        <v>0</v>
      </c>
      <c r="X1287" s="30">
        <v>0</v>
      </c>
      <c r="Y1287" s="30">
        <v>0</v>
      </c>
      <c r="Z1287" s="233">
        <v>0</v>
      </c>
      <c r="AA1287" s="30">
        <v>0</v>
      </c>
      <c r="AB1287" s="30">
        <v>0</v>
      </c>
      <c r="AC1287" s="30">
        <v>0</v>
      </c>
      <c r="AD1287" s="30">
        <v>0</v>
      </c>
      <c r="AE1287" s="89" t="s">
        <v>92</v>
      </c>
      <c r="AF1287" s="89"/>
      <c r="AG1287" s="89" t="s">
        <v>133</v>
      </c>
      <c r="AH1287" s="72">
        <v>40961</v>
      </c>
      <c r="AI1287" s="30">
        <v>0</v>
      </c>
      <c r="AJ1287" s="89" t="s">
        <v>7192</v>
      </c>
      <c r="AK1287" s="89" t="s">
        <v>7193</v>
      </c>
      <c r="AL1287" s="91">
        <v>40962</v>
      </c>
      <c r="AM1287" s="91"/>
      <c r="AN1287" s="91"/>
      <c r="AO1287" s="91"/>
      <c r="AP1287" s="73" t="e">
        <f>MID(VLOOKUP(K1287,#REF!,2,FALSE),1,2)</f>
        <v>#REF!</v>
      </c>
      <c r="AQ1287" s="89">
        <f>DATE(2012,2,21)</f>
        <v>40960</v>
      </c>
      <c r="AR1287" s="82">
        <f t="shared" si="86"/>
        <v>21</v>
      </c>
      <c r="AS1287" s="83">
        <f t="shared" si="87"/>
        <v>2</v>
      </c>
      <c r="AT1287" s="84">
        <f t="shared" si="88"/>
        <v>2012</v>
      </c>
      <c r="AU1287" s="86"/>
      <c r="AV1287" s="86"/>
      <c r="AW1287" s="87"/>
      <c r="AX1287" s="86"/>
      <c r="AY1287" s="83"/>
      <c r="AZ1287" s="84"/>
      <c r="BA1287" s="86"/>
      <c r="BB1287" s="86"/>
    </row>
    <row r="1288" spans="1:54" ht="36.75" customHeight="1">
      <c r="A1288" s="30"/>
      <c r="B1288" s="30" t="s">
        <v>55</v>
      </c>
      <c r="C1288" s="69" t="str">
        <f t="shared" si="85"/>
        <v>Closed</v>
      </c>
      <c r="D1288" s="27" t="s">
        <v>7194</v>
      </c>
      <c r="E1288" s="29" t="s">
        <v>7195</v>
      </c>
      <c r="F1288" s="30" t="s">
        <v>835</v>
      </c>
      <c r="G1288" s="89">
        <f>DATE(2012,2,24)</f>
        <v>40963</v>
      </c>
      <c r="H1288" s="90">
        <v>1.6694444444444443</v>
      </c>
      <c r="I1288" s="30" t="s">
        <v>86</v>
      </c>
      <c r="J1288" s="89" t="s">
        <v>7196</v>
      </c>
      <c r="K1288" s="30" t="s">
        <v>837</v>
      </c>
      <c r="L1288" s="30" t="s">
        <v>7197</v>
      </c>
      <c r="M1288" s="30" t="s">
        <v>63</v>
      </c>
      <c r="N1288" s="30" t="s">
        <v>142</v>
      </c>
      <c r="O1288" s="30" t="s">
        <v>64</v>
      </c>
      <c r="P1288" s="89" t="s">
        <v>165</v>
      </c>
      <c r="Q1288" s="89" t="s">
        <v>2162</v>
      </c>
      <c r="R1288" s="89" t="s">
        <v>840</v>
      </c>
      <c r="S1288" s="30">
        <v>0</v>
      </c>
      <c r="T1288" s="233">
        <v>0</v>
      </c>
      <c r="U1288" s="30">
        <v>0</v>
      </c>
      <c r="V1288" s="233">
        <v>0</v>
      </c>
      <c r="W1288" s="30">
        <v>0</v>
      </c>
      <c r="X1288" s="30">
        <v>0</v>
      </c>
      <c r="Y1288" s="30">
        <v>0</v>
      </c>
      <c r="Z1288" s="233">
        <v>0</v>
      </c>
      <c r="AA1288" s="30">
        <v>0</v>
      </c>
      <c r="AB1288" s="30">
        <v>0</v>
      </c>
      <c r="AC1288" s="30">
        <v>0</v>
      </c>
      <c r="AD1288" s="30">
        <v>0</v>
      </c>
      <c r="AE1288" s="89" t="s">
        <v>92</v>
      </c>
      <c r="AF1288" s="89"/>
      <c r="AG1288" s="89" t="s">
        <v>352</v>
      </c>
      <c r="AH1288" s="72">
        <v>40963</v>
      </c>
      <c r="AI1288" s="30">
        <v>0</v>
      </c>
      <c r="AJ1288" s="89" t="s">
        <v>7198</v>
      </c>
      <c r="AK1288" s="89" t="s">
        <v>68</v>
      </c>
      <c r="AL1288" s="91">
        <v>40963</v>
      </c>
      <c r="AM1288" s="91"/>
      <c r="AN1288" s="91"/>
      <c r="AO1288" s="91"/>
      <c r="AP1288" s="73" t="e">
        <f>MID(VLOOKUP(K1288,#REF!,2,FALSE),1,2)</f>
        <v>#REF!</v>
      </c>
      <c r="AQ1288" s="89">
        <f>DATE(2012,2,24)</f>
        <v>40963</v>
      </c>
      <c r="AR1288" s="82">
        <f t="shared" si="86"/>
        <v>24</v>
      </c>
      <c r="AS1288" s="83">
        <f t="shared" si="87"/>
        <v>2</v>
      </c>
      <c r="AT1288" s="84">
        <f t="shared" si="88"/>
        <v>2012</v>
      </c>
      <c r="AU1288" s="86"/>
      <c r="AV1288" s="86"/>
      <c r="AW1288" s="87"/>
      <c r="AX1288" s="86"/>
      <c r="AY1288" s="83"/>
      <c r="AZ1288" s="84"/>
      <c r="BA1288" s="86"/>
      <c r="BB1288" s="86"/>
    </row>
    <row r="1289" spans="1:54" ht="36.75" customHeight="1">
      <c r="A1289" s="30"/>
      <c r="B1289" s="30" t="s">
        <v>55</v>
      </c>
      <c r="C1289" s="69" t="str">
        <f t="shared" si="85"/>
        <v>Closed</v>
      </c>
      <c r="D1289" s="27" t="s">
        <v>7199</v>
      </c>
      <c r="E1289" s="29" t="s">
        <v>7200</v>
      </c>
      <c r="F1289" s="30" t="s">
        <v>835</v>
      </c>
      <c r="G1289" s="89">
        <f>DATE(2012,2,25)</f>
        <v>40964</v>
      </c>
      <c r="H1289" s="90">
        <v>1.4243055555555555</v>
      </c>
      <c r="I1289" s="30" t="s">
        <v>73</v>
      </c>
      <c r="J1289" s="89" t="s">
        <v>7201</v>
      </c>
      <c r="K1289" s="30" t="s">
        <v>837</v>
      </c>
      <c r="L1289" s="30" t="s">
        <v>7202</v>
      </c>
      <c r="M1289" s="30" t="s">
        <v>63</v>
      </c>
      <c r="N1289" s="30" t="s">
        <v>99</v>
      </c>
      <c r="O1289" s="30" t="s">
        <v>77</v>
      </c>
      <c r="P1289" s="89" t="s">
        <v>78</v>
      </c>
      <c r="Q1289" s="89" t="s">
        <v>4708</v>
      </c>
      <c r="R1289" s="89" t="s">
        <v>840</v>
      </c>
      <c r="S1289" s="30">
        <v>0</v>
      </c>
      <c r="T1289" s="233">
        <v>0</v>
      </c>
      <c r="U1289" s="30">
        <v>0</v>
      </c>
      <c r="V1289" s="233">
        <v>0</v>
      </c>
      <c r="W1289" s="30">
        <v>0</v>
      </c>
      <c r="X1289" s="30">
        <v>0</v>
      </c>
      <c r="Y1289" s="30">
        <v>0</v>
      </c>
      <c r="Z1289" s="233">
        <v>0</v>
      </c>
      <c r="AA1289" s="30">
        <v>0</v>
      </c>
      <c r="AB1289" s="30">
        <v>0</v>
      </c>
      <c r="AC1289" s="30">
        <v>0</v>
      </c>
      <c r="AD1289" s="30">
        <v>0</v>
      </c>
      <c r="AE1289" s="89" t="s">
        <v>394</v>
      </c>
      <c r="AF1289" s="89"/>
      <c r="AG1289" s="89" t="s">
        <v>352</v>
      </c>
      <c r="AH1289" s="72">
        <v>40964</v>
      </c>
      <c r="AI1289" s="30">
        <v>2</v>
      </c>
      <c r="AJ1289" s="89" t="s">
        <v>7203</v>
      </c>
      <c r="AK1289" s="89" t="s">
        <v>68</v>
      </c>
      <c r="AL1289" s="91">
        <v>40964</v>
      </c>
      <c r="AM1289" s="91"/>
      <c r="AN1289" s="91"/>
      <c r="AO1289" s="91"/>
      <c r="AP1289" s="73" t="e">
        <f>MID(VLOOKUP(K1289,#REF!,2,FALSE),1,2)</f>
        <v>#REF!</v>
      </c>
      <c r="AQ1289" s="89">
        <f>DATE(2012,2,25)</f>
        <v>40964</v>
      </c>
      <c r="AR1289" s="82">
        <f t="shared" si="86"/>
        <v>25</v>
      </c>
      <c r="AS1289" s="83">
        <f t="shared" si="87"/>
        <v>2</v>
      </c>
      <c r="AT1289" s="84">
        <f t="shared" si="88"/>
        <v>2012</v>
      </c>
      <c r="AU1289" s="86"/>
      <c r="AV1289" s="86"/>
      <c r="AW1289" s="87"/>
      <c r="AX1289" s="86"/>
      <c r="AY1289" s="83"/>
      <c r="AZ1289" s="84"/>
      <c r="BA1289" s="86"/>
      <c r="BB1289" s="86"/>
    </row>
    <row r="1290" spans="1:54" ht="36.75" customHeight="1">
      <c r="A1290" s="30"/>
      <c r="B1290" s="30" t="s">
        <v>55</v>
      </c>
      <c r="C1290" s="69" t="str">
        <f t="shared" si="85"/>
        <v>Closed</v>
      </c>
      <c r="D1290" s="27" t="s">
        <v>7204</v>
      </c>
      <c r="E1290" s="29" t="s">
        <v>7205</v>
      </c>
      <c r="F1290" s="30" t="s">
        <v>423</v>
      </c>
      <c r="G1290" s="89">
        <f>DATE(2012,2,27)</f>
        <v>40966</v>
      </c>
      <c r="H1290" s="90">
        <v>1.3333333333333333</v>
      </c>
      <c r="I1290" s="30" t="s">
        <v>116</v>
      </c>
      <c r="J1290" s="89" t="s">
        <v>7206</v>
      </c>
      <c r="K1290" s="30" t="s">
        <v>425</v>
      </c>
      <c r="L1290" s="30" t="s">
        <v>7207</v>
      </c>
      <c r="M1290" s="30" t="s">
        <v>63</v>
      </c>
      <c r="N1290" s="30" t="s">
        <v>99</v>
      </c>
      <c r="O1290" s="30" t="s">
        <v>64</v>
      </c>
      <c r="P1290" s="89" t="s">
        <v>86</v>
      </c>
      <c r="Q1290" s="89" t="s">
        <v>427</v>
      </c>
      <c r="R1290" s="89" t="s">
        <v>3103</v>
      </c>
      <c r="S1290" s="30">
        <v>0</v>
      </c>
      <c r="T1290" s="233">
        <v>0</v>
      </c>
      <c r="U1290" s="30">
        <v>1</v>
      </c>
      <c r="V1290" s="233">
        <v>0</v>
      </c>
      <c r="W1290" s="30">
        <v>0</v>
      </c>
      <c r="X1290" s="30">
        <v>1</v>
      </c>
      <c r="Y1290" s="30">
        <v>0</v>
      </c>
      <c r="Z1290" s="233">
        <v>0</v>
      </c>
      <c r="AA1290" s="30">
        <v>0</v>
      </c>
      <c r="AB1290" s="30">
        <v>0</v>
      </c>
      <c r="AC1290" s="30">
        <v>0</v>
      </c>
      <c r="AD1290" s="30">
        <v>0</v>
      </c>
      <c r="AE1290" s="89" t="s">
        <v>92</v>
      </c>
      <c r="AF1290" s="89"/>
      <c r="AG1290" s="89" t="s">
        <v>133</v>
      </c>
      <c r="AH1290" s="72">
        <v>40968</v>
      </c>
      <c r="AI1290" s="30">
        <v>1</v>
      </c>
      <c r="AJ1290" s="89" t="s">
        <v>7208</v>
      </c>
      <c r="AK1290" s="89" t="s">
        <v>7209</v>
      </c>
      <c r="AL1290" s="91">
        <v>40968</v>
      </c>
      <c r="AM1290" s="91"/>
      <c r="AN1290" s="91"/>
      <c r="AO1290" s="91"/>
      <c r="AP1290" s="73" t="e">
        <f>MID(VLOOKUP(K1290,#REF!,2,FALSE),1,2)</f>
        <v>#REF!</v>
      </c>
      <c r="AQ1290" s="89">
        <f>DATE(2012,2,27)</f>
        <v>40966</v>
      </c>
      <c r="AR1290" s="82">
        <f t="shared" si="86"/>
        <v>27</v>
      </c>
      <c r="AS1290" s="83">
        <f t="shared" si="87"/>
        <v>2</v>
      </c>
      <c r="AT1290" s="84">
        <f t="shared" si="88"/>
        <v>2012</v>
      </c>
      <c r="AU1290" s="86"/>
      <c r="AV1290" s="86"/>
      <c r="AW1290" s="87"/>
      <c r="AX1290" s="86"/>
      <c r="AY1290" s="83"/>
      <c r="AZ1290" s="84"/>
      <c r="BA1290" s="86"/>
      <c r="BB1290" s="86"/>
    </row>
    <row r="1291" spans="1:54" ht="36.75" customHeight="1">
      <c r="A1291" s="30"/>
      <c r="B1291" s="30" t="s">
        <v>2124</v>
      </c>
      <c r="C1291" s="69" t="str">
        <f t="shared" si="85"/>
        <v>Open</v>
      </c>
      <c r="D1291" s="27" t="s">
        <v>7210</v>
      </c>
      <c r="E1291" s="29" t="s">
        <v>7211</v>
      </c>
      <c r="F1291" s="30" t="s">
        <v>5683</v>
      </c>
      <c r="G1291" s="89">
        <f>DATE(2012,2,27)</f>
        <v>40966</v>
      </c>
      <c r="H1291" s="90">
        <v>1.6368055555555556</v>
      </c>
      <c r="I1291" s="30" t="s">
        <v>431</v>
      </c>
      <c r="J1291" s="89" t="s">
        <v>7212</v>
      </c>
      <c r="K1291" s="30" t="s">
        <v>5685</v>
      </c>
      <c r="L1291" s="30" t="s">
        <v>7213</v>
      </c>
      <c r="M1291" s="30" t="s">
        <v>63</v>
      </c>
      <c r="N1291" s="30">
        <v>0</v>
      </c>
      <c r="O1291" s="30" t="s">
        <v>64</v>
      </c>
      <c r="P1291" s="89" t="s">
        <v>165</v>
      </c>
      <c r="Q1291" s="89" t="s">
        <v>5687</v>
      </c>
      <c r="R1291" s="89" t="s">
        <v>5688</v>
      </c>
      <c r="S1291" s="30">
        <v>0</v>
      </c>
      <c r="T1291" s="233" t="s">
        <v>68</v>
      </c>
      <c r="U1291" s="30">
        <v>0</v>
      </c>
      <c r="V1291" s="233" t="s">
        <v>68</v>
      </c>
      <c r="W1291" s="30">
        <v>0</v>
      </c>
      <c r="X1291" s="30">
        <v>0</v>
      </c>
      <c r="Y1291" s="30">
        <v>0</v>
      </c>
      <c r="Z1291" s="233" t="s">
        <v>68</v>
      </c>
      <c r="AA1291" s="30">
        <v>0</v>
      </c>
      <c r="AB1291" s="30">
        <v>0</v>
      </c>
      <c r="AC1291" s="30">
        <v>0</v>
      </c>
      <c r="AD1291" s="30">
        <v>0</v>
      </c>
      <c r="AE1291" s="89" t="s">
        <v>68</v>
      </c>
      <c r="AF1291" s="89"/>
      <c r="AG1291" s="89" t="s">
        <v>7214</v>
      </c>
      <c r="AH1291" s="72" t="s">
        <v>68</v>
      </c>
      <c r="AI1291" s="30">
        <v>0</v>
      </c>
      <c r="AJ1291" s="89" t="s">
        <v>68</v>
      </c>
      <c r="AK1291" s="89" t="s">
        <v>68</v>
      </c>
      <c r="AL1291" s="91">
        <v>41073</v>
      </c>
      <c r="AM1291" s="91"/>
      <c r="AN1291" s="91"/>
      <c r="AO1291" s="91"/>
      <c r="AP1291" s="73" t="e">
        <f>MID(VLOOKUP(K1291,#REF!,2,FALSE),1,2)</f>
        <v>#REF!</v>
      </c>
      <c r="AQ1291" s="89">
        <f>DATE(2012,2,27)</f>
        <v>40966</v>
      </c>
      <c r="AR1291" s="82">
        <f t="shared" si="86"/>
        <v>27</v>
      </c>
      <c r="AS1291" s="83">
        <f t="shared" si="87"/>
        <v>2</v>
      </c>
      <c r="AT1291" s="84">
        <f t="shared" si="88"/>
        <v>2012</v>
      </c>
      <c r="AU1291" s="86"/>
      <c r="AV1291" s="86"/>
      <c r="AW1291" s="87"/>
      <c r="AX1291" s="86"/>
      <c r="AY1291" s="83"/>
      <c r="AZ1291" s="84"/>
      <c r="BA1291" s="86"/>
      <c r="BB1291" s="86"/>
    </row>
    <row r="1292" spans="1:54" ht="36.75" customHeight="1">
      <c r="A1292" s="30"/>
      <c r="B1292" s="30" t="s">
        <v>55</v>
      </c>
      <c r="C1292" s="69" t="str">
        <f t="shared" si="85"/>
        <v>Closed</v>
      </c>
      <c r="D1292" s="27" t="s">
        <v>7215</v>
      </c>
      <c r="E1292" s="29" t="s">
        <v>7216</v>
      </c>
      <c r="F1292" s="30" t="s">
        <v>377</v>
      </c>
      <c r="G1292" s="89">
        <f>DATE(2012,2,27)</f>
        <v>40966</v>
      </c>
      <c r="H1292" s="90">
        <v>1.8069444444444445</v>
      </c>
      <c r="I1292" s="30" t="s">
        <v>86</v>
      </c>
      <c r="J1292" s="89" t="s">
        <v>7217</v>
      </c>
      <c r="K1292" s="30" t="s">
        <v>379</v>
      </c>
      <c r="L1292" s="30" t="s">
        <v>7218</v>
      </c>
      <c r="M1292" s="30" t="s">
        <v>63</v>
      </c>
      <c r="N1292" s="30" t="s">
        <v>142</v>
      </c>
      <c r="O1292" s="30" t="s">
        <v>64</v>
      </c>
      <c r="P1292" s="89" t="s">
        <v>462</v>
      </c>
      <c r="Q1292" s="89" t="s">
        <v>2906</v>
      </c>
      <c r="R1292" s="89" t="s">
        <v>382</v>
      </c>
      <c r="S1292" s="30">
        <v>0</v>
      </c>
      <c r="T1292" s="233">
        <v>0</v>
      </c>
      <c r="U1292" s="30">
        <v>0</v>
      </c>
      <c r="V1292" s="233">
        <v>0</v>
      </c>
      <c r="W1292" s="30">
        <v>0</v>
      </c>
      <c r="X1292" s="30">
        <v>0</v>
      </c>
      <c r="Y1292" s="30">
        <v>0</v>
      </c>
      <c r="Z1292" s="233">
        <v>0</v>
      </c>
      <c r="AA1292" s="30">
        <v>0</v>
      </c>
      <c r="AB1292" s="30">
        <v>0</v>
      </c>
      <c r="AC1292" s="30">
        <v>0</v>
      </c>
      <c r="AD1292" s="30">
        <v>0</v>
      </c>
      <c r="AE1292" s="89" t="s">
        <v>68</v>
      </c>
      <c r="AF1292" s="89"/>
      <c r="AG1292" s="89" t="s">
        <v>133</v>
      </c>
      <c r="AH1292" s="72">
        <v>40966</v>
      </c>
      <c r="AI1292" s="30">
        <v>7</v>
      </c>
      <c r="AJ1292" s="89" t="s">
        <v>7219</v>
      </c>
      <c r="AK1292" s="89" t="s">
        <v>7220</v>
      </c>
      <c r="AL1292" s="91">
        <v>40974</v>
      </c>
      <c r="AM1292" s="91"/>
      <c r="AN1292" s="91"/>
      <c r="AO1292" s="91"/>
      <c r="AP1292" s="73" t="e">
        <f>MID(VLOOKUP(K1292,#REF!,2,FALSE),1,2)</f>
        <v>#REF!</v>
      </c>
      <c r="AQ1292" s="89">
        <f>DATE(2012,2,27)</f>
        <v>40966</v>
      </c>
      <c r="AR1292" s="82">
        <f t="shared" si="86"/>
        <v>27</v>
      </c>
      <c r="AS1292" s="83">
        <f t="shared" si="87"/>
        <v>2</v>
      </c>
      <c r="AT1292" s="84">
        <f t="shared" si="88"/>
        <v>2012</v>
      </c>
      <c r="AU1292" s="86"/>
      <c r="AV1292" s="86"/>
      <c r="AW1292" s="87"/>
      <c r="AX1292" s="86"/>
      <c r="AY1292" s="83"/>
      <c r="AZ1292" s="84"/>
      <c r="BA1292" s="86"/>
      <c r="BB1292" s="86"/>
    </row>
    <row r="1293" spans="1:54" ht="36.75" customHeight="1">
      <c r="A1293" s="30"/>
      <c r="B1293" s="30" t="s">
        <v>55</v>
      </c>
      <c r="C1293" s="69" t="str">
        <f t="shared" si="85"/>
        <v>Closed</v>
      </c>
      <c r="D1293" s="27" t="s">
        <v>7221</v>
      </c>
      <c r="E1293" s="29" t="s">
        <v>7222</v>
      </c>
      <c r="F1293" s="30" t="s">
        <v>423</v>
      </c>
      <c r="G1293" s="89">
        <f>DATE(2012,2,29)</f>
        <v>40968</v>
      </c>
      <c r="H1293" s="90">
        <v>1.5923611111111111</v>
      </c>
      <c r="I1293" s="30" t="s">
        <v>116</v>
      </c>
      <c r="J1293" s="89" t="s">
        <v>7223</v>
      </c>
      <c r="K1293" s="30" t="s">
        <v>425</v>
      </c>
      <c r="L1293" s="30" t="s">
        <v>7224</v>
      </c>
      <c r="M1293" s="30" t="s">
        <v>63</v>
      </c>
      <c r="N1293" s="30" t="s">
        <v>142</v>
      </c>
      <c r="O1293" s="30" t="s">
        <v>77</v>
      </c>
      <c r="P1293" s="89" t="s">
        <v>65</v>
      </c>
      <c r="Q1293" s="89" t="s">
        <v>427</v>
      </c>
      <c r="R1293" s="89" t="s">
        <v>3103</v>
      </c>
      <c r="S1293" s="30">
        <v>0</v>
      </c>
      <c r="T1293" s="233">
        <v>0</v>
      </c>
      <c r="U1293" s="30">
        <v>0</v>
      </c>
      <c r="V1293" s="233">
        <v>0</v>
      </c>
      <c r="W1293" s="30">
        <v>0</v>
      </c>
      <c r="X1293" s="30">
        <v>0</v>
      </c>
      <c r="Y1293" s="30">
        <v>0</v>
      </c>
      <c r="Z1293" s="233">
        <v>0</v>
      </c>
      <c r="AA1293" s="30">
        <v>0</v>
      </c>
      <c r="AB1293" s="30">
        <v>0</v>
      </c>
      <c r="AC1293" s="30">
        <v>0</v>
      </c>
      <c r="AD1293" s="30">
        <v>0</v>
      </c>
      <c r="AE1293" s="89" t="s">
        <v>394</v>
      </c>
      <c r="AF1293" s="89"/>
      <c r="AG1293" s="89" t="s">
        <v>133</v>
      </c>
      <c r="AH1293" s="72">
        <v>41124</v>
      </c>
      <c r="AI1293" s="30">
        <v>2</v>
      </c>
      <c r="AJ1293" s="89" t="s">
        <v>7225</v>
      </c>
      <c r="AK1293" s="89" t="s">
        <v>712</v>
      </c>
      <c r="AL1293" s="91">
        <v>40976</v>
      </c>
      <c r="AM1293" s="91"/>
      <c r="AN1293" s="91"/>
      <c r="AO1293" s="91"/>
      <c r="AP1293" s="73" t="e">
        <f>MID(VLOOKUP(K1293,#REF!,2,FALSE),1,2)</f>
        <v>#REF!</v>
      </c>
      <c r="AQ1293" s="89">
        <f>DATE(2012,2,29)</f>
        <v>40968</v>
      </c>
      <c r="AR1293" s="82">
        <f t="shared" si="86"/>
        <v>29</v>
      </c>
      <c r="AS1293" s="83">
        <f t="shared" si="87"/>
        <v>2</v>
      </c>
      <c r="AT1293" s="84">
        <f t="shared" si="88"/>
        <v>2012</v>
      </c>
      <c r="AU1293" s="86"/>
      <c r="AV1293" s="86"/>
      <c r="AW1293" s="87"/>
      <c r="AX1293" s="86"/>
      <c r="AY1293" s="83"/>
      <c r="AZ1293" s="84"/>
      <c r="BA1293" s="86"/>
      <c r="BB1293" s="86"/>
    </row>
    <row r="1294" spans="1:54" ht="36.75" customHeight="1">
      <c r="A1294" s="30"/>
      <c r="B1294" s="30" t="s">
        <v>55</v>
      </c>
      <c r="C1294" s="69" t="str">
        <f t="shared" si="85"/>
        <v>Closed</v>
      </c>
      <c r="D1294" s="27" t="s">
        <v>7226</v>
      </c>
      <c r="E1294" s="29" t="s">
        <v>7227</v>
      </c>
      <c r="F1294" s="30" t="s">
        <v>377</v>
      </c>
      <c r="G1294" s="89">
        <f>DATE(2012,2,29)</f>
        <v>40968</v>
      </c>
      <c r="H1294" s="90">
        <v>1.9166666666666665</v>
      </c>
      <c r="I1294" s="30" t="s">
        <v>116</v>
      </c>
      <c r="J1294" s="89" t="s">
        <v>7228</v>
      </c>
      <c r="K1294" s="30" t="s">
        <v>379</v>
      </c>
      <c r="L1294" s="30" t="s">
        <v>7229</v>
      </c>
      <c r="M1294" s="30" t="s">
        <v>63</v>
      </c>
      <c r="N1294" s="30" t="s">
        <v>99</v>
      </c>
      <c r="O1294" s="30" t="s">
        <v>64</v>
      </c>
      <c r="P1294" s="89" t="s">
        <v>165</v>
      </c>
      <c r="Q1294" s="89" t="s">
        <v>2906</v>
      </c>
      <c r="R1294" s="89" t="s">
        <v>382</v>
      </c>
      <c r="S1294" s="30">
        <v>0</v>
      </c>
      <c r="T1294" s="233">
        <v>0</v>
      </c>
      <c r="U1294" s="30">
        <v>1</v>
      </c>
      <c r="V1294" s="233">
        <v>0</v>
      </c>
      <c r="W1294" s="30">
        <v>0</v>
      </c>
      <c r="X1294" s="30">
        <v>1</v>
      </c>
      <c r="Y1294" s="30">
        <v>0</v>
      </c>
      <c r="Z1294" s="233">
        <v>0</v>
      </c>
      <c r="AA1294" s="30">
        <v>1</v>
      </c>
      <c r="AB1294" s="30">
        <v>0</v>
      </c>
      <c r="AC1294" s="30">
        <v>0</v>
      </c>
      <c r="AD1294" s="30">
        <v>1</v>
      </c>
      <c r="AE1294" s="89" t="s">
        <v>92</v>
      </c>
      <c r="AF1294" s="89"/>
      <c r="AG1294" s="89" t="s">
        <v>874</v>
      </c>
      <c r="AH1294" s="72">
        <v>40969</v>
      </c>
      <c r="AI1294" s="30">
        <v>2</v>
      </c>
      <c r="AJ1294" s="89" t="s">
        <v>7230</v>
      </c>
      <c r="AK1294" s="89" t="s">
        <v>68</v>
      </c>
      <c r="AL1294" s="91">
        <v>40974</v>
      </c>
      <c r="AM1294" s="91"/>
      <c r="AN1294" s="91"/>
      <c r="AO1294" s="91"/>
      <c r="AP1294" s="73" t="e">
        <f>MID(VLOOKUP(K1294,#REF!,2,FALSE),1,2)</f>
        <v>#REF!</v>
      </c>
      <c r="AQ1294" s="89">
        <f>DATE(2012,2,29)</f>
        <v>40968</v>
      </c>
      <c r="AR1294" s="82">
        <f t="shared" si="86"/>
        <v>29</v>
      </c>
      <c r="AS1294" s="83">
        <f t="shared" si="87"/>
        <v>2</v>
      </c>
      <c r="AT1294" s="84">
        <f t="shared" si="88"/>
        <v>2012</v>
      </c>
      <c r="AU1294" s="86"/>
      <c r="AV1294" s="86"/>
      <c r="AW1294" s="87"/>
      <c r="AX1294" s="86"/>
      <c r="AY1294" s="83"/>
      <c r="AZ1294" s="84"/>
      <c r="BA1294" s="86"/>
      <c r="BB1294" s="86"/>
    </row>
    <row r="1295" spans="1:54" ht="36.75" customHeight="1">
      <c r="A1295" s="30"/>
      <c r="B1295" s="30" t="s">
        <v>55</v>
      </c>
      <c r="C1295" s="69" t="str">
        <f t="shared" si="85"/>
        <v>Closed</v>
      </c>
      <c r="D1295" s="27" t="s">
        <v>7231</v>
      </c>
      <c r="E1295" s="29" t="s">
        <v>7232</v>
      </c>
      <c r="F1295" s="30" t="s">
        <v>1572</v>
      </c>
      <c r="G1295" s="89">
        <f>DATE(2012,3,1)</f>
        <v>40969</v>
      </c>
      <c r="H1295" s="90">
        <v>1.6284722222222223</v>
      </c>
      <c r="I1295" s="30" t="s">
        <v>73</v>
      </c>
      <c r="J1295" s="89" t="s">
        <v>7233</v>
      </c>
      <c r="K1295" s="30" t="s">
        <v>1574</v>
      </c>
      <c r="L1295" s="30" t="s">
        <v>7234</v>
      </c>
      <c r="M1295" s="30" t="s">
        <v>63</v>
      </c>
      <c r="N1295" s="30" t="s">
        <v>142</v>
      </c>
      <c r="O1295" s="30" t="s">
        <v>77</v>
      </c>
      <c r="P1295" s="89" t="s">
        <v>78</v>
      </c>
      <c r="Q1295" s="89" t="s">
        <v>2655</v>
      </c>
      <c r="R1295" s="89">
        <v>0</v>
      </c>
      <c r="S1295" s="30">
        <v>0</v>
      </c>
      <c r="T1295" s="233">
        <v>0</v>
      </c>
      <c r="U1295" s="30">
        <v>0</v>
      </c>
      <c r="V1295" s="233">
        <v>0</v>
      </c>
      <c r="W1295" s="30">
        <v>0</v>
      </c>
      <c r="X1295" s="30">
        <v>0</v>
      </c>
      <c r="Y1295" s="30">
        <v>0</v>
      </c>
      <c r="Z1295" s="233">
        <v>0</v>
      </c>
      <c r="AA1295" s="30">
        <v>0</v>
      </c>
      <c r="AB1295" s="30">
        <v>0</v>
      </c>
      <c r="AC1295" s="30">
        <v>0</v>
      </c>
      <c r="AD1295" s="30">
        <v>0</v>
      </c>
      <c r="AE1295" s="89" t="s">
        <v>92</v>
      </c>
      <c r="AF1295" s="89"/>
      <c r="AG1295" s="89" t="s">
        <v>133</v>
      </c>
      <c r="AH1295" s="72">
        <v>40970</v>
      </c>
      <c r="AI1295" s="30">
        <v>0</v>
      </c>
      <c r="AJ1295" s="89" t="s">
        <v>7235</v>
      </c>
      <c r="AK1295" s="89" t="s">
        <v>7236</v>
      </c>
      <c r="AL1295" s="91">
        <v>40973</v>
      </c>
      <c r="AM1295" s="91"/>
      <c r="AN1295" s="91"/>
      <c r="AO1295" s="91"/>
      <c r="AP1295" s="73" t="e">
        <f>MID(VLOOKUP(K1295,#REF!,2,FALSE),1,2)</f>
        <v>#REF!</v>
      </c>
      <c r="AQ1295" s="89">
        <f>DATE(2012,3,1)</f>
        <v>40969</v>
      </c>
      <c r="AR1295" s="82">
        <f t="shared" si="86"/>
        <v>1</v>
      </c>
      <c r="AS1295" s="83">
        <f t="shared" si="87"/>
        <v>3</v>
      </c>
      <c r="AT1295" s="84">
        <f t="shared" si="88"/>
        <v>2012</v>
      </c>
      <c r="AU1295" s="86"/>
      <c r="AV1295" s="86"/>
      <c r="AW1295" s="87"/>
      <c r="AX1295" s="86"/>
      <c r="AY1295" s="83"/>
      <c r="AZ1295" s="84"/>
      <c r="BA1295" s="86"/>
      <c r="BB1295" s="86"/>
    </row>
    <row r="1296" spans="1:54" ht="36.75" customHeight="1">
      <c r="A1296" s="30"/>
      <c r="B1296" s="30" t="s">
        <v>55</v>
      </c>
      <c r="C1296" s="69" t="str">
        <f t="shared" si="85"/>
        <v>Closed</v>
      </c>
      <c r="D1296" s="27" t="s">
        <v>7237</v>
      </c>
      <c r="E1296" s="29" t="s">
        <v>7238</v>
      </c>
      <c r="F1296" s="30" t="s">
        <v>197</v>
      </c>
      <c r="G1296" s="89">
        <f>DATE(2012,3,2)</f>
        <v>40970</v>
      </c>
      <c r="H1296" s="90">
        <v>1.4909722222222221</v>
      </c>
      <c r="I1296" s="30" t="s">
        <v>116</v>
      </c>
      <c r="J1296" s="89" t="s">
        <v>7239</v>
      </c>
      <c r="K1296" s="30" t="s">
        <v>200</v>
      </c>
      <c r="L1296" s="30" t="s">
        <v>7240</v>
      </c>
      <c r="M1296" s="30" t="s">
        <v>63</v>
      </c>
      <c r="N1296" s="30" t="s">
        <v>142</v>
      </c>
      <c r="O1296" s="30" t="s">
        <v>64</v>
      </c>
      <c r="P1296" s="89" t="s">
        <v>165</v>
      </c>
      <c r="Q1296" s="89" t="s">
        <v>202</v>
      </c>
      <c r="R1296" s="89" t="s">
        <v>203</v>
      </c>
      <c r="S1296" s="30">
        <v>0</v>
      </c>
      <c r="T1296" s="233">
        <v>0</v>
      </c>
      <c r="U1296" s="30">
        <v>1</v>
      </c>
      <c r="V1296" s="233">
        <v>0</v>
      </c>
      <c r="W1296" s="30">
        <v>0</v>
      </c>
      <c r="X1296" s="30">
        <v>1</v>
      </c>
      <c r="Y1296" s="30">
        <v>0</v>
      </c>
      <c r="Z1296" s="233">
        <v>0</v>
      </c>
      <c r="AA1296" s="30">
        <v>0</v>
      </c>
      <c r="AB1296" s="30">
        <v>0</v>
      </c>
      <c r="AC1296" s="30">
        <v>0</v>
      </c>
      <c r="AD1296" s="30">
        <v>0</v>
      </c>
      <c r="AE1296" s="89" t="s">
        <v>92</v>
      </c>
      <c r="AF1296" s="89"/>
      <c r="AG1296" s="89" t="s">
        <v>82</v>
      </c>
      <c r="AH1296" s="72">
        <v>40970</v>
      </c>
      <c r="AI1296" s="30">
        <v>1</v>
      </c>
      <c r="AJ1296" s="89" t="s">
        <v>7241</v>
      </c>
      <c r="AK1296" s="89" t="s">
        <v>68</v>
      </c>
      <c r="AL1296" s="91">
        <v>41106</v>
      </c>
      <c r="AM1296" s="91"/>
      <c r="AN1296" s="91"/>
      <c r="AO1296" s="91"/>
      <c r="AP1296" s="73" t="e">
        <f>MID(VLOOKUP(K1296,#REF!,2,FALSE),1,2)</f>
        <v>#REF!</v>
      </c>
      <c r="AQ1296" s="89">
        <f>DATE(2012,3,2)</f>
        <v>40970</v>
      </c>
      <c r="AR1296" s="82">
        <f t="shared" si="86"/>
        <v>2</v>
      </c>
      <c r="AS1296" s="83">
        <f t="shared" si="87"/>
        <v>3</v>
      </c>
      <c r="AT1296" s="84">
        <f t="shared" si="88"/>
        <v>2012</v>
      </c>
      <c r="AU1296" s="86"/>
      <c r="AV1296" s="86"/>
      <c r="AW1296" s="87"/>
      <c r="AX1296" s="86"/>
      <c r="AY1296" s="83"/>
      <c r="AZ1296" s="84"/>
      <c r="BA1296" s="86"/>
      <c r="BB1296" s="86"/>
    </row>
    <row r="1297" spans="1:54" ht="36.75" customHeight="1">
      <c r="A1297" s="30"/>
      <c r="B1297" s="30" t="s">
        <v>55</v>
      </c>
      <c r="C1297" s="69" t="str">
        <f t="shared" si="85"/>
        <v>Closed</v>
      </c>
      <c r="D1297" s="27" t="s">
        <v>7242</v>
      </c>
      <c r="E1297" s="29" t="s">
        <v>7243</v>
      </c>
      <c r="F1297" s="30" t="s">
        <v>2336</v>
      </c>
      <c r="G1297" s="89">
        <f>DATE(2012,3,3)</f>
        <v>40971</v>
      </c>
      <c r="H1297" s="90">
        <v>1.8715277777777777</v>
      </c>
      <c r="I1297" s="30" t="s">
        <v>198</v>
      </c>
      <c r="J1297" s="89" t="s">
        <v>7244</v>
      </c>
      <c r="K1297" s="30" t="s">
        <v>2338</v>
      </c>
      <c r="L1297" s="30" t="s">
        <v>7245</v>
      </c>
      <c r="M1297" s="30" t="s">
        <v>63</v>
      </c>
      <c r="N1297" s="30" t="s">
        <v>142</v>
      </c>
      <c r="O1297" s="30" t="s">
        <v>64</v>
      </c>
      <c r="P1297" s="89" t="s">
        <v>65</v>
      </c>
      <c r="Q1297" s="89" t="s">
        <v>7246</v>
      </c>
      <c r="R1297" s="89" t="s">
        <v>2341</v>
      </c>
      <c r="S1297" s="30">
        <v>11</v>
      </c>
      <c r="T1297" s="233">
        <v>5</v>
      </c>
      <c r="U1297" s="30">
        <v>0</v>
      </c>
      <c r="V1297" s="233">
        <v>0</v>
      </c>
      <c r="W1297" s="30">
        <v>0</v>
      </c>
      <c r="X1297" s="30">
        <v>16</v>
      </c>
      <c r="Y1297" s="30">
        <v>59</v>
      </c>
      <c r="Z1297" s="233">
        <v>2</v>
      </c>
      <c r="AA1297" s="30">
        <v>0</v>
      </c>
      <c r="AB1297" s="30">
        <v>0</v>
      </c>
      <c r="AC1297" s="30">
        <v>0</v>
      </c>
      <c r="AD1297" s="30">
        <v>61</v>
      </c>
      <c r="AE1297" s="89" t="s">
        <v>145</v>
      </c>
      <c r="AF1297" s="89"/>
      <c r="AG1297" s="89" t="s">
        <v>82</v>
      </c>
      <c r="AH1297" s="72">
        <v>40988</v>
      </c>
      <c r="AI1297" s="30">
        <v>19</v>
      </c>
      <c r="AJ1297" s="89" t="s">
        <v>7247</v>
      </c>
      <c r="AK1297" s="89" t="s">
        <v>7248</v>
      </c>
      <c r="AL1297" s="91">
        <v>40982</v>
      </c>
      <c r="AM1297" s="91"/>
      <c r="AN1297" s="91"/>
      <c r="AO1297" s="91"/>
      <c r="AP1297" s="73" t="e">
        <f>MID(VLOOKUP(K1297,#REF!,2,FALSE),1,2)</f>
        <v>#REF!</v>
      </c>
      <c r="AQ1297" s="89">
        <f>DATE(2012,3,3)</f>
        <v>40971</v>
      </c>
      <c r="AR1297" s="82">
        <f t="shared" si="86"/>
        <v>3</v>
      </c>
      <c r="AS1297" s="83">
        <f t="shared" si="87"/>
        <v>3</v>
      </c>
      <c r="AT1297" s="84">
        <f t="shared" si="88"/>
        <v>2012</v>
      </c>
      <c r="AU1297" s="86"/>
      <c r="AV1297" s="86"/>
      <c r="AW1297" s="87"/>
      <c r="AX1297" s="86"/>
      <c r="AY1297" s="83"/>
      <c r="AZ1297" s="84"/>
      <c r="BA1297" s="86"/>
      <c r="BB1297" s="86"/>
    </row>
    <row r="1298" spans="1:54" ht="36.75" customHeight="1">
      <c r="A1298" s="30"/>
      <c r="B1298" s="30" t="s">
        <v>55</v>
      </c>
      <c r="C1298" s="69" t="str">
        <f t="shared" si="85"/>
        <v>Closed</v>
      </c>
      <c r="D1298" s="27" t="s">
        <v>7249</v>
      </c>
      <c r="E1298" s="29" t="s">
        <v>7250</v>
      </c>
      <c r="F1298" s="30" t="s">
        <v>423</v>
      </c>
      <c r="G1298" s="89">
        <f>DATE(2012,3,5)</f>
        <v>40973</v>
      </c>
      <c r="H1298" s="90">
        <v>1.320138888888889</v>
      </c>
      <c r="I1298" s="30" t="s">
        <v>116</v>
      </c>
      <c r="J1298" s="89" t="s">
        <v>7251</v>
      </c>
      <c r="K1298" s="30" t="s">
        <v>425</v>
      </c>
      <c r="L1298" s="30" t="s">
        <v>7252</v>
      </c>
      <c r="M1298" s="30" t="s">
        <v>63</v>
      </c>
      <c r="N1298" s="30" t="s">
        <v>99</v>
      </c>
      <c r="O1298" s="30" t="s">
        <v>64</v>
      </c>
      <c r="P1298" s="89" t="s">
        <v>165</v>
      </c>
      <c r="Q1298" s="89" t="s">
        <v>427</v>
      </c>
      <c r="R1298" s="89" t="s">
        <v>3103</v>
      </c>
      <c r="S1298" s="30">
        <v>0</v>
      </c>
      <c r="T1298" s="233">
        <v>0</v>
      </c>
      <c r="U1298" s="30">
        <v>0</v>
      </c>
      <c r="V1298" s="233">
        <v>0</v>
      </c>
      <c r="W1298" s="30">
        <v>0</v>
      </c>
      <c r="X1298" s="30">
        <v>0</v>
      </c>
      <c r="Y1298" s="30">
        <v>0</v>
      </c>
      <c r="Z1298" s="233">
        <v>0</v>
      </c>
      <c r="AA1298" s="30">
        <v>0</v>
      </c>
      <c r="AB1298" s="30">
        <v>0</v>
      </c>
      <c r="AC1298" s="30">
        <v>0</v>
      </c>
      <c r="AD1298" s="30">
        <v>0</v>
      </c>
      <c r="AE1298" s="89" t="s">
        <v>92</v>
      </c>
      <c r="AF1298" s="89"/>
      <c r="AG1298" s="89" t="s">
        <v>133</v>
      </c>
      <c r="AH1298" s="72">
        <v>41124</v>
      </c>
      <c r="AI1298" s="30">
        <v>2</v>
      </c>
      <c r="AJ1298" s="89" t="s">
        <v>7208</v>
      </c>
      <c r="AK1298" s="89" t="s">
        <v>7019</v>
      </c>
      <c r="AL1298" s="91">
        <v>40976</v>
      </c>
      <c r="AM1298" s="91"/>
      <c r="AN1298" s="91"/>
      <c r="AO1298" s="91"/>
      <c r="AP1298" s="73" t="e">
        <f>MID(VLOOKUP(K1298,#REF!,2,FALSE),1,2)</f>
        <v>#REF!</v>
      </c>
      <c r="AQ1298" s="89">
        <f>DATE(2012,3,5)</f>
        <v>40973</v>
      </c>
      <c r="AR1298" s="82">
        <f t="shared" si="86"/>
        <v>5</v>
      </c>
      <c r="AS1298" s="83">
        <f t="shared" si="87"/>
        <v>3</v>
      </c>
      <c r="AT1298" s="84">
        <f t="shared" si="88"/>
        <v>2012</v>
      </c>
      <c r="AU1298" s="86"/>
      <c r="AV1298" s="86"/>
      <c r="AW1298" s="87"/>
      <c r="AX1298" s="86"/>
      <c r="AY1298" s="83"/>
      <c r="AZ1298" s="84"/>
      <c r="BA1298" s="86"/>
      <c r="BB1298" s="86"/>
    </row>
    <row r="1299" spans="1:54" ht="36.75" customHeight="1">
      <c r="A1299" s="30"/>
      <c r="B1299" s="30" t="s">
        <v>55</v>
      </c>
      <c r="C1299" s="69" t="str">
        <f t="shared" si="85"/>
        <v>Closed</v>
      </c>
      <c r="D1299" s="27" t="s">
        <v>7253</v>
      </c>
      <c r="E1299" s="29" t="s">
        <v>7254</v>
      </c>
      <c r="F1299" s="30" t="s">
        <v>197</v>
      </c>
      <c r="G1299" s="89">
        <f>DATE(2012,3,6)</f>
        <v>40974</v>
      </c>
      <c r="H1299" s="90">
        <v>1.3479166666666667</v>
      </c>
      <c r="I1299" s="30" t="s">
        <v>116</v>
      </c>
      <c r="J1299" s="89" t="s">
        <v>7255</v>
      </c>
      <c r="K1299" s="30" t="s">
        <v>200</v>
      </c>
      <c r="L1299" s="30" t="s">
        <v>7256</v>
      </c>
      <c r="M1299" s="30" t="s">
        <v>63</v>
      </c>
      <c r="N1299" s="30" t="s">
        <v>99</v>
      </c>
      <c r="O1299" s="30" t="s">
        <v>77</v>
      </c>
      <c r="P1299" s="89" t="s">
        <v>78</v>
      </c>
      <c r="Q1299" s="89">
        <v>0</v>
      </c>
      <c r="R1299" s="89">
        <v>0</v>
      </c>
      <c r="S1299" s="30">
        <v>0</v>
      </c>
      <c r="T1299" s="233">
        <v>0</v>
      </c>
      <c r="U1299" s="30">
        <v>0</v>
      </c>
      <c r="V1299" s="233">
        <v>0</v>
      </c>
      <c r="W1299" s="30">
        <v>0</v>
      </c>
      <c r="X1299" s="30">
        <v>0</v>
      </c>
      <c r="Y1299" s="30">
        <v>0</v>
      </c>
      <c r="Z1299" s="233">
        <v>0</v>
      </c>
      <c r="AA1299" s="30">
        <v>1</v>
      </c>
      <c r="AB1299" s="30">
        <v>0</v>
      </c>
      <c r="AC1299" s="30">
        <v>0</v>
      </c>
      <c r="AD1299" s="30">
        <v>1</v>
      </c>
      <c r="AE1299" s="89" t="s">
        <v>92</v>
      </c>
      <c r="AF1299" s="89"/>
      <c r="AG1299" s="89" t="s">
        <v>133</v>
      </c>
      <c r="AH1299" s="72">
        <v>40975</v>
      </c>
      <c r="AI1299" s="30">
        <v>1</v>
      </c>
      <c r="AJ1299" s="89" t="s">
        <v>7257</v>
      </c>
      <c r="AK1299" s="89" t="s">
        <v>1233</v>
      </c>
      <c r="AL1299" s="91">
        <v>40975</v>
      </c>
      <c r="AM1299" s="91"/>
      <c r="AN1299" s="91"/>
      <c r="AO1299" s="91"/>
      <c r="AP1299" s="73" t="e">
        <f>MID(VLOOKUP(K1299,#REF!,2,FALSE),1,2)</f>
        <v>#REF!</v>
      </c>
      <c r="AQ1299" s="89">
        <f>DATE(2012,3,6)</f>
        <v>40974</v>
      </c>
      <c r="AR1299" s="82">
        <f t="shared" si="86"/>
        <v>6</v>
      </c>
      <c r="AS1299" s="83">
        <f t="shared" si="87"/>
        <v>3</v>
      </c>
      <c r="AT1299" s="84">
        <f t="shared" si="88"/>
        <v>2012</v>
      </c>
      <c r="AU1299" s="86"/>
      <c r="AV1299" s="86"/>
      <c r="AW1299" s="87"/>
      <c r="AX1299" s="86"/>
      <c r="AY1299" s="83"/>
      <c r="AZ1299" s="84"/>
      <c r="BA1299" s="86"/>
      <c r="BB1299" s="86"/>
    </row>
    <row r="1300" spans="1:54" ht="36.75" customHeight="1">
      <c r="A1300" s="30"/>
      <c r="B1300" s="30" t="s">
        <v>55</v>
      </c>
      <c r="C1300" s="69" t="str">
        <f t="shared" si="85"/>
        <v>Closed</v>
      </c>
      <c r="D1300" s="27" t="s">
        <v>7258</v>
      </c>
      <c r="E1300" s="29" t="s">
        <v>7259</v>
      </c>
      <c r="F1300" s="30" t="s">
        <v>835</v>
      </c>
      <c r="G1300" s="89">
        <f>DATE(2012,3,6)</f>
        <v>40974</v>
      </c>
      <c r="H1300" s="90">
        <v>1.8861111111111111</v>
      </c>
      <c r="I1300" s="30" t="s">
        <v>86</v>
      </c>
      <c r="J1300" s="89" t="s">
        <v>7260</v>
      </c>
      <c r="K1300" s="30" t="s">
        <v>837</v>
      </c>
      <c r="L1300" s="30" t="s">
        <v>7261</v>
      </c>
      <c r="M1300" s="30" t="s">
        <v>63</v>
      </c>
      <c r="N1300" s="30" t="s">
        <v>99</v>
      </c>
      <c r="O1300" s="30" t="s">
        <v>64</v>
      </c>
      <c r="P1300" s="89" t="s">
        <v>65</v>
      </c>
      <c r="Q1300" s="89" t="s">
        <v>2162</v>
      </c>
      <c r="R1300" s="89" t="s">
        <v>840</v>
      </c>
      <c r="S1300" s="30">
        <v>0</v>
      </c>
      <c r="T1300" s="233">
        <v>0</v>
      </c>
      <c r="U1300" s="30">
        <v>0</v>
      </c>
      <c r="V1300" s="233">
        <v>0</v>
      </c>
      <c r="W1300" s="30">
        <v>0</v>
      </c>
      <c r="X1300" s="30">
        <v>0</v>
      </c>
      <c r="Y1300" s="30">
        <v>0</v>
      </c>
      <c r="Z1300" s="233">
        <v>0</v>
      </c>
      <c r="AA1300" s="30">
        <v>0</v>
      </c>
      <c r="AB1300" s="30">
        <v>0</v>
      </c>
      <c r="AC1300" s="30">
        <v>0</v>
      </c>
      <c r="AD1300" s="30">
        <v>0</v>
      </c>
      <c r="AE1300" s="89" t="s">
        <v>92</v>
      </c>
      <c r="AF1300" s="89"/>
      <c r="AG1300" s="89" t="s">
        <v>352</v>
      </c>
      <c r="AH1300" s="72" t="s">
        <v>68</v>
      </c>
      <c r="AI1300" s="30">
        <v>0</v>
      </c>
      <c r="AJ1300" s="89" t="s">
        <v>7262</v>
      </c>
      <c r="AK1300" s="89" t="s">
        <v>68</v>
      </c>
      <c r="AL1300" s="91">
        <v>41025</v>
      </c>
      <c r="AM1300" s="91"/>
      <c r="AN1300" s="91"/>
      <c r="AO1300" s="91"/>
      <c r="AP1300" s="73" t="e">
        <f>MID(VLOOKUP(K1300,#REF!,2,FALSE),1,2)</f>
        <v>#REF!</v>
      </c>
      <c r="AQ1300" s="89">
        <f>DATE(2012,3,6)</f>
        <v>40974</v>
      </c>
      <c r="AR1300" s="82">
        <f t="shared" si="86"/>
        <v>6</v>
      </c>
      <c r="AS1300" s="83">
        <f t="shared" si="87"/>
        <v>3</v>
      </c>
      <c r="AT1300" s="84">
        <f t="shared" si="88"/>
        <v>2012</v>
      </c>
      <c r="AU1300" s="86"/>
      <c r="AV1300" s="86"/>
      <c r="AW1300" s="87"/>
      <c r="AX1300" s="86"/>
      <c r="AY1300" s="83"/>
      <c r="AZ1300" s="84"/>
      <c r="BA1300" s="86"/>
      <c r="BB1300" s="86"/>
    </row>
    <row r="1301" spans="1:54" ht="36.75" customHeight="1">
      <c r="A1301" s="30"/>
      <c r="B1301" s="30" t="s">
        <v>55</v>
      </c>
      <c r="C1301" s="69" t="str">
        <f t="shared" si="85"/>
        <v>Closed</v>
      </c>
      <c r="D1301" s="27" t="s">
        <v>7263</v>
      </c>
      <c r="E1301" s="29" t="s">
        <v>7264</v>
      </c>
      <c r="F1301" s="30" t="s">
        <v>1938</v>
      </c>
      <c r="G1301" s="89">
        <f>DATE(2012,3,6)</f>
        <v>40974</v>
      </c>
      <c r="H1301" s="90">
        <v>1.625</v>
      </c>
      <c r="I1301" s="30" t="s">
        <v>86</v>
      </c>
      <c r="J1301" s="89" t="s">
        <v>7265</v>
      </c>
      <c r="K1301" s="30" t="s">
        <v>1940</v>
      </c>
      <c r="L1301" s="30" t="s">
        <v>7266</v>
      </c>
      <c r="M1301" s="30" t="s">
        <v>63</v>
      </c>
      <c r="N1301" s="30" t="s">
        <v>89</v>
      </c>
      <c r="O1301" s="30" t="s">
        <v>64</v>
      </c>
      <c r="P1301" s="89" t="s">
        <v>301</v>
      </c>
      <c r="Q1301" s="89" t="s">
        <v>1942</v>
      </c>
      <c r="R1301" s="89" t="s">
        <v>1942</v>
      </c>
      <c r="S1301" s="30">
        <v>0</v>
      </c>
      <c r="T1301" s="233">
        <v>0</v>
      </c>
      <c r="U1301" s="30">
        <v>0</v>
      </c>
      <c r="V1301" s="233">
        <v>0</v>
      </c>
      <c r="W1301" s="30">
        <v>0</v>
      </c>
      <c r="X1301" s="30">
        <v>0</v>
      </c>
      <c r="Y1301" s="30">
        <v>0</v>
      </c>
      <c r="Z1301" s="233">
        <v>0</v>
      </c>
      <c r="AA1301" s="30">
        <v>0</v>
      </c>
      <c r="AB1301" s="30">
        <v>0</v>
      </c>
      <c r="AC1301" s="30">
        <v>0</v>
      </c>
      <c r="AD1301" s="30">
        <v>0</v>
      </c>
      <c r="AE1301" s="89" t="s">
        <v>92</v>
      </c>
      <c r="AF1301" s="89"/>
      <c r="AG1301" s="89" t="s">
        <v>352</v>
      </c>
      <c r="AH1301" s="72">
        <v>40981</v>
      </c>
      <c r="AI1301" s="30">
        <v>6</v>
      </c>
      <c r="AJ1301" s="89" t="s">
        <v>7267</v>
      </c>
      <c r="AK1301" s="89" t="s">
        <v>68</v>
      </c>
      <c r="AL1301" s="91">
        <v>40982</v>
      </c>
      <c r="AM1301" s="91"/>
      <c r="AN1301" s="91"/>
      <c r="AO1301" s="91"/>
      <c r="AP1301" s="73" t="e">
        <f>MID(VLOOKUP(K1301,#REF!,2,FALSE),1,2)</f>
        <v>#REF!</v>
      </c>
      <c r="AQ1301" s="89">
        <f>DATE(2012,3,6)</f>
        <v>40974</v>
      </c>
      <c r="AR1301" s="82">
        <f t="shared" si="86"/>
        <v>6</v>
      </c>
      <c r="AS1301" s="83">
        <f t="shared" si="87"/>
        <v>3</v>
      </c>
      <c r="AT1301" s="84">
        <f t="shared" si="88"/>
        <v>2012</v>
      </c>
      <c r="AU1301" s="86"/>
      <c r="AV1301" s="86"/>
      <c r="AW1301" s="87"/>
      <c r="AX1301" s="86"/>
      <c r="AY1301" s="83"/>
      <c r="AZ1301" s="84"/>
      <c r="BA1301" s="86"/>
      <c r="BB1301" s="86"/>
    </row>
    <row r="1302" spans="1:54" ht="36.75" customHeight="1">
      <c r="A1302" s="30"/>
      <c r="B1302" s="30" t="s">
        <v>55</v>
      </c>
      <c r="C1302" s="69" t="str">
        <f t="shared" si="85"/>
        <v>Closed</v>
      </c>
      <c r="D1302" s="27" t="s">
        <v>7268</v>
      </c>
      <c r="E1302" s="29" t="s">
        <v>7269</v>
      </c>
      <c r="F1302" s="30" t="s">
        <v>1938</v>
      </c>
      <c r="G1302" s="89">
        <f>DATE(2012,3,6)</f>
        <v>40974</v>
      </c>
      <c r="H1302" s="90">
        <v>1.3333333333333333</v>
      </c>
      <c r="I1302" s="30" t="s">
        <v>86</v>
      </c>
      <c r="J1302" s="89" t="s">
        <v>7270</v>
      </c>
      <c r="K1302" s="30" t="s">
        <v>1940</v>
      </c>
      <c r="L1302" s="30" t="s">
        <v>7271</v>
      </c>
      <c r="M1302" s="30" t="s">
        <v>63</v>
      </c>
      <c r="N1302" s="30" t="s">
        <v>142</v>
      </c>
      <c r="O1302" s="30" t="s">
        <v>77</v>
      </c>
      <c r="P1302" s="89" t="s">
        <v>165</v>
      </c>
      <c r="Q1302" s="89" t="s">
        <v>1942</v>
      </c>
      <c r="R1302" s="89" t="s">
        <v>1942</v>
      </c>
      <c r="S1302" s="30">
        <v>0</v>
      </c>
      <c r="T1302" s="233">
        <v>0</v>
      </c>
      <c r="U1302" s="30">
        <v>0</v>
      </c>
      <c r="V1302" s="233">
        <v>0</v>
      </c>
      <c r="W1302" s="30">
        <v>0</v>
      </c>
      <c r="X1302" s="30">
        <v>0</v>
      </c>
      <c r="Y1302" s="30">
        <v>0</v>
      </c>
      <c r="Z1302" s="233">
        <v>0</v>
      </c>
      <c r="AA1302" s="30">
        <v>0</v>
      </c>
      <c r="AB1302" s="30">
        <v>0</v>
      </c>
      <c r="AC1302" s="30">
        <v>0</v>
      </c>
      <c r="AD1302" s="30">
        <v>0</v>
      </c>
      <c r="AE1302" s="89" t="s">
        <v>92</v>
      </c>
      <c r="AF1302" s="89"/>
      <c r="AG1302" s="89" t="s">
        <v>133</v>
      </c>
      <c r="AH1302" s="72">
        <v>40980</v>
      </c>
      <c r="AI1302" s="30">
        <v>3</v>
      </c>
      <c r="AJ1302" s="89" t="s">
        <v>7272</v>
      </c>
      <c r="AK1302" s="89" t="s">
        <v>7273</v>
      </c>
      <c r="AL1302" s="91">
        <v>40982</v>
      </c>
      <c r="AM1302" s="91"/>
      <c r="AN1302" s="91"/>
      <c r="AO1302" s="91"/>
      <c r="AP1302" s="73" t="e">
        <f>MID(VLOOKUP(K1302,#REF!,2,FALSE),1,2)</f>
        <v>#REF!</v>
      </c>
      <c r="AQ1302" s="89">
        <f>DATE(2012,3,6)</f>
        <v>40974</v>
      </c>
      <c r="AR1302" s="82">
        <f t="shared" si="86"/>
        <v>6</v>
      </c>
      <c r="AS1302" s="83">
        <f t="shared" si="87"/>
        <v>3</v>
      </c>
      <c r="AT1302" s="84">
        <f t="shared" si="88"/>
        <v>2012</v>
      </c>
      <c r="AU1302" s="86"/>
      <c r="AV1302" s="86"/>
      <c r="AW1302" s="87"/>
      <c r="AX1302" s="86"/>
      <c r="AY1302" s="83"/>
      <c r="AZ1302" s="84"/>
      <c r="BA1302" s="86"/>
      <c r="BB1302" s="86"/>
    </row>
    <row r="1303" spans="1:54" ht="36.75" customHeight="1">
      <c r="A1303" s="30"/>
      <c r="B1303" s="30" t="s">
        <v>55</v>
      </c>
      <c r="C1303" s="69" t="str">
        <f t="shared" si="85"/>
        <v>Closed</v>
      </c>
      <c r="D1303" s="27" t="s">
        <v>7274</v>
      </c>
      <c r="E1303" s="29" t="s">
        <v>7275</v>
      </c>
      <c r="F1303" s="30" t="s">
        <v>638</v>
      </c>
      <c r="G1303" s="89">
        <f>DATE(2012,3,12)</f>
        <v>40980</v>
      </c>
      <c r="H1303" s="90">
        <v>1.4791666666666667</v>
      </c>
      <c r="I1303" s="30" t="s">
        <v>156</v>
      </c>
      <c r="J1303" s="89" t="s">
        <v>7276</v>
      </c>
      <c r="K1303" s="30" t="s">
        <v>640</v>
      </c>
      <c r="L1303" s="30" t="s">
        <v>7277</v>
      </c>
      <c r="M1303" s="30" t="s">
        <v>63</v>
      </c>
      <c r="N1303" s="30" t="s">
        <v>142</v>
      </c>
      <c r="O1303" s="30" t="s">
        <v>77</v>
      </c>
      <c r="P1303" s="89" t="s">
        <v>65</v>
      </c>
      <c r="Q1303" s="89" t="s">
        <v>642</v>
      </c>
      <c r="R1303" s="89" t="s">
        <v>643</v>
      </c>
      <c r="S1303" s="30">
        <v>0</v>
      </c>
      <c r="T1303" s="233">
        <v>0</v>
      </c>
      <c r="U1303" s="30">
        <v>0</v>
      </c>
      <c r="V1303" s="233">
        <v>0</v>
      </c>
      <c r="W1303" s="30">
        <v>0</v>
      </c>
      <c r="X1303" s="30">
        <v>0</v>
      </c>
      <c r="Y1303" s="30">
        <v>0</v>
      </c>
      <c r="Z1303" s="233">
        <v>0</v>
      </c>
      <c r="AA1303" s="30">
        <v>0</v>
      </c>
      <c r="AB1303" s="30">
        <v>0</v>
      </c>
      <c r="AC1303" s="30">
        <v>0</v>
      </c>
      <c r="AD1303" s="30">
        <v>0</v>
      </c>
      <c r="AE1303" s="89" t="s">
        <v>68</v>
      </c>
      <c r="AF1303" s="89"/>
      <c r="AG1303" s="89" t="s">
        <v>352</v>
      </c>
      <c r="AH1303" s="72">
        <v>40995</v>
      </c>
      <c r="AI1303" s="30">
        <v>2</v>
      </c>
      <c r="AJ1303" s="89" t="s">
        <v>7278</v>
      </c>
      <c r="AK1303" s="89" t="s">
        <v>68</v>
      </c>
      <c r="AL1303" s="91">
        <v>41017</v>
      </c>
      <c r="AM1303" s="91"/>
      <c r="AN1303" s="91"/>
      <c r="AO1303" s="91"/>
      <c r="AP1303" s="73" t="e">
        <f>MID(VLOOKUP(K1303,#REF!,2,FALSE),1,2)</f>
        <v>#REF!</v>
      </c>
      <c r="AQ1303" s="89">
        <f>DATE(2012,3,12)</f>
        <v>40980</v>
      </c>
      <c r="AR1303" s="82">
        <f t="shared" si="86"/>
        <v>12</v>
      </c>
      <c r="AS1303" s="83">
        <f t="shared" si="87"/>
        <v>3</v>
      </c>
      <c r="AT1303" s="84">
        <f t="shared" si="88"/>
        <v>2012</v>
      </c>
      <c r="AU1303" s="86"/>
      <c r="AV1303" s="86"/>
      <c r="AW1303" s="87"/>
      <c r="AX1303" s="86"/>
      <c r="AY1303" s="83"/>
      <c r="AZ1303" s="84"/>
      <c r="BA1303" s="86"/>
      <c r="BB1303" s="86"/>
    </row>
    <row r="1304" spans="1:54" ht="36.75" customHeight="1">
      <c r="A1304" s="30"/>
      <c r="B1304" s="30" t="s">
        <v>55</v>
      </c>
      <c r="C1304" s="69" t="str">
        <f t="shared" si="85"/>
        <v>Closed</v>
      </c>
      <c r="D1304" s="27" t="s">
        <v>7279</v>
      </c>
      <c r="E1304" s="29" t="s">
        <v>7280</v>
      </c>
      <c r="F1304" s="30" t="s">
        <v>138</v>
      </c>
      <c r="G1304" s="89">
        <f>DATE(2012,3,12)</f>
        <v>40980</v>
      </c>
      <c r="H1304" s="90">
        <v>0</v>
      </c>
      <c r="I1304" s="30" t="s">
        <v>278</v>
      </c>
      <c r="J1304" s="89" t="s">
        <v>7281</v>
      </c>
      <c r="K1304" s="30" t="s">
        <v>140</v>
      </c>
      <c r="L1304" s="30" t="s">
        <v>140</v>
      </c>
      <c r="M1304" s="30" t="s">
        <v>63</v>
      </c>
      <c r="N1304" s="30" t="s">
        <v>142</v>
      </c>
      <c r="O1304" s="30" t="s">
        <v>64</v>
      </c>
      <c r="P1304" s="89" t="s">
        <v>86</v>
      </c>
      <c r="Q1304" s="89" t="s">
        <v>140</v>
      </c>
      <c r="R1304" s="89" t="s">
        <v>4934</v>
      </c>
      <c r="S1304" s="30">
        <v>0</v>
      </c>
      <c r="T1304" s="233">
        <v>0</v>
      </c>
      <c r="U1304" s="30">
        <v>0</v>
      </c>
      <c r="V1304" s="233">
        <v>0</v>
      </c>
      <c r="W1304" s="30">
        <v>0</v>
      </c>
      <c r="X1304" s="30">
        <v>0</v>
      </c>
      <c r="Y1304" s="30">
        <v>0</v>
      </c>
      <c r="Z1304" s="233">
        <v>0</v>
      </c>
      <c r="AA1304" s="30">
        <v>0</v>
      </c>
      <c r="AB1304" s="30">
        <v>0</v>
      </c>
      <c r="AC1304" s="30">
        <v>0</v>
      </c>
      <c r="AD1304" s="30">
        <v>0</v>
      </c>
      <c r="AE1304" s="89" t="s">
        <v>394</v>
      </c>
      <c r="AF1304" s="89"/>
      <c r="AG1304" s="89" t="s">
        <v>352</v>
      </c>
      <c r="AH1304" s="72">
        <v>41233</v>
      </c>
      <c r="AI1304" s="30">
        <v>6</v>
      </c>
      <c r="AJ1304" s="89" t="s">
        <v>7282</v>
      </c>
      <c r="AK1304" s="89" t="s">
        <v>7283</v>
      </c>
      <c r="AL1304" s="91">
        <v>41337</v>
      </c>
      <c r="AM1304" s="91"/>
      <c r="AN1304" s="91"/>
      <c r="AO1304" s="91"/>
      <c r="AP1304" s="73" t="e">
        <f>MID(VLOOKUP(K1304,#REF!,2,FALSE),1,2)</f>
        <v>#REF!</v>
      </c>
      <c r="AQ1304" s="89">
        <f>DATE(2012,12,3)</f>
        <v>41246</v>
      </c>
      <c r="AR1304" s="82">
        <f t="shared" si="86"/>
        <v>3</v>
      </c>
      <c r="AS1304" s="83">
        <f t="shared" si="87"/>
        <v>12</v>
      </c>
      <c r="AT1304" s="84">
        <f t="shared" si="88"/>
        <v>2012</v>
      </c>
      <c r="AU1304" s="86"/>
      <c r="AV1304" s="86"/>
      <c r="AW1304" s="87"/>
      <c r="AX1304" s="86"/>
      <c r="AY1304" s="83"/>
      <c r="AZ1304" s="84"/>
      <c r="BA1304" s="86"/>
      <c r="BB1304" s="86"/>
    </row>
    <row r="1305" spans="1:54" ht="36.75" customHeight="1">
      <c r="A1305" s="30"/>
      <c r="B1305" s="30" t="s">
        <v>2124</v>
      </c>
      <c r="C1305" s="69" t="str">
        <f t="shared" si="85"/>
        <v>Open</v>
      </c>
      <c r="D1305" s="27" t="s">
        <v>7284</v>
      </c>
      <c r="E1305" s="29" t="s">
        <v>7285</v>
      </c>
      <c r="F1305" s="30" t="s">
        <v>5683</v>
      </c>
      <c r="G1305" s="89">
        <f>DATE(2012,3,14)</f>
        <v>40982</v>
      </c>
      <c r="H1305" s="90">
        <v>1.6354166666666665</v>
      </c>
      <c r="I1305" s="30" t="s">
        <v>278</v>
      </c>
      <c r="J1305" s="89" t="s">
        <v>7286</v>
      </c>
      <c r="K1305" s="30" t="s">
        <v>5685</v>
      </c>
      <c r="L1305" s="30" t="s">
        <v>7287</v>
      </c>
      <c r="M1305" s="30" t="s">
        <v>63</v>
      </c>
      <c r="N1305" s="30">
        <v>0</v>
      </c>
      <c r="O1305" s="30" t="s">
        <v>64</v>
      </c>
      <c r="P1305" s="89" t="s">
        <v>78</v>
      </c>
      <c r="Q1305" s="89" t="s">
        <v>5687</v>
      </c>
      <c r="R1305" s="89" t="s">
        <v>5688</v>
      </c>
      <c r="S1305" s="30">
        <v>0</v>
      </c>
      <c r="T1305" s="233">
        <v>0</v>
      </c>
      <c r="U1305" s="30">
        <v>0</v>
      </c>
      <c r="V1305" s="233">
        <v>1</v>
      </c>
      <c r="W1305" s="30">
        <v>0</v>
      </c>
      <c r="X1305" s="30">
        <v>1</v>
      </c>
      <c r="Y1305" s="30">
        <v>0</v>
      </c>
      <c r="Z1305" s="233">
        <v>0</v>
      </c>
      <c r="AA1305" s="30">
        <v>0</v>
      </c>
      <c r="AB1305" s="30">
        <v>0</v>
      </c>
      <c r="AC1305" s="30">
        <v>0</v>
      </c>
      <c r="AD1305" s="30">
        <v>0</v>
      </c>
      <c r="AE1305" s="89" t="s">
        <v>68</v>
      </c>
      <c r="AF1305" s="89"/>
      <c r="AG1305" s="89" t="s">
        <v>82</v>
      </c>
      <c r="AH1305" s="72" t="s">
        <v>68</v>
      </c>
      <c r="AI1305" s="30">
        <v>0</v>
      </c>
      <c r="AJ1305" s="89" t="s">
        <v>68</v>
      </c>
      <c r="AK1305" s="89" t="s">
        <v>68</v>
      </c>
      <c r="AL1305" s="91">
        <v>41073</v>
      </c>
      <c r="AM1305" s="91"/>
      <c r="AN1305" s="91"/>
      <c r="AO1305" s="91"/>
      <c r="AP1305" s="73" t="e">
        <f>MID(VLOOKUP(K1305,#REF!,2,FALSE),1,2)</f>
        <v>#REF!</v>
      </c>
      <c r="AQ1305" s="89">
        <f>DATE(2012,3,14)</f>
        <v>40982</v>
      </c>
      <c r="AR1305" s="82">
        <f t="shared" si="86"/>
        <v>14</v>
      </c>
      <c r="AS1305" s="83">
        <f t="shared" si="87"/>
        <v>3</v>
      </c>
      <c r="AT1305" s="84">
        <f t="shared" si="88"/>
        <v>2012</v>
      </c>
      <c r="AU1305" s="86"/>
      <c r="AV1305" s="86"/>
      <c r="AW1305" s="87"/>
      <c r="AX1305" s="86"/>
      <c r="AY1305" s="83"/>
      <c r="AZ1305" s="84"/>
      <c r="BA1305" s="86"/>
      <c r="BB1305" s="86"/>
    </row>
    <row r="1306" spans="1:54" ht="36.75" customHeight="1">
      <c r="A1306" s="30"/>
      <c r="B1306" s="30" t="s">
        <v>55</v>
      </c>
      <c r="C1306" s="69" t="str">
        <f t="shared" si="85"/>
        <v>Closed</v>
      </c>
      <c r="D1306" s="27" t="s">
        <v>7288</v>
      </c>
      <c r="E1306" s="29" t="s">
        <v>7289</v>
      </c>
      <c r="F1306" s="30" t="s">
        <v>835</v>
      </c>
      <c r="G1306" s="89">
        <f>DATE(2012,3,14)</f>
        <v>40982</v>
      </c>
      <c r="H1306" s="90">
        <v>1.78125</v>
      </c>
      <c r="I1306" s="30" t="s">
        <v>198</v>
      </c>
      <c r="J1306" s="89" t="s">
        <v>7290</v>
      </c>
      <c r="K1306" s="30" t="s">
        <v>837</v>
      </c>
      <c r="L1306" s="30" t="s">
        <v>7291</v>
      </c>
      <c r="M1306" s="30" t="s">
        <v>63</v>
      </c>
      <c r="N1306" s="30" t="s">
        <v>142</v>
      </c>
      <c r="O1306" s="30" t="s">
        <v>77</v>
      </c>
      <c r="P1306" s="89" t="s">
        <v>216</v>
      </c>
      <c r="Q1306" s="89" t="s">
        <v>5840</v>
      </c>
      <c r="R1306" s="89" t="s">
        <v>840</v>
      </c>
      <c r="S1306" s="30">
        <v>0</v>
      </c>
      <c r="T1306" s="233">
        <v>0</v>
      </c>
      <c r="U1306" s="30">
        <v>0</v>
      </c>
      <c r="V1306" s="233">
        <v>0</v>
      </c>
      <c r="W1306" s="30">
        <v>0</v>
      </c>
      <c r="X1306" s="30">
        <v>0</v>
      </c>
      <c r="Y1306" s="30">
        <v>0</v>
      </c>
      <c r="Z1306" s="233">
        <v>0</v>
      </c>
      <c r="AA1306" s="30">
        <v>0</v>
      </c>
      <c r="AB1306" s="30">
        <v>0</v>
      </c>
      <c r="AC1306" s="30">
        <v>0</v>
      </c>
      <c r="AD1306" s="30">
        <v>0</v>
      </c>
      <c r="AE1306" s="89" t="s">
        <v>92</v>
      </c>
      <c r="AF1306" s="89"/>
      <c r="AG1306" s="89" t="s">
        <v>352</v>
      </c>
      <c r="AH1306" s="72">
        <v>40983</v>
      </c>
      <c r="AI1306" s="30">
        <v>5</v>
      </c>
      <c r="AJ1306" s="89" t="s">
        <v>7292</v>
      </c>
      <c r="AK1306" s="89" t="s">
        <v>7293</v>
      </c>
      <c r="AL1306" s="91">
        <v>40983</v>
      </c>
      <c r="AM1306" s="91"/>
      <c r="AN1306" s="91"/>
      <c r="AO1306" s="91"/>
      <c r="AP1306" s="73" t="e">
        <f>MID(VLOOKUP(K1306,#REF!,2,FALSE),1,2)</f>
        <v>#REF!</v>
      </c>
      <c r="AQ1306" s="89">
        <f>DATE(2012,3,14)</f>
        <v>40982</v>
      </c>
      <c r="AR1306" s="82">
        <f t="shared" si="86"/>
        <v>14</v>
      </c>
      <c r="AS1306" s="83">
        <f t="shared" si="87"/>
        <v>3</v>
      </c>
      <c r="AT1306" s="84">
        <f t="shared" si="88"/>
        <v>2012</v>
      </c>
      <c r="AU1306" s="86"/>
      <c r="AV1306" s="86"/>
      <c r="AW1306" s="87"/>
      <c r="AX1306" s="86"/>
      <c r="AY1306" s="83"/>
      <c r="AZ1306" s="84"/>
      <c r="BA1306" s="86"/>
      <c r="BB1306" s="86"/>
    </row>
    <row r="1307" spans="1:54" ht="36.75" customHeight="1">
      <c r="A1307" s="30"/>
      <c r="B1307" s="30" t="s">
        <v>55</v>
      </c>
      <c r="C1307" s="69" t="str">
        <f t="shared" si="85"/>
        <v>Closed</v>
      </c>
      <c r="D1307" s="27" t="s">
        <v>7294</v>
      </c>
      <c r="E1307" s="29" t="s">
        <v>7295</v>
      </c>
      <c r="F1307" s="30" t="s">
        <v>835</v>
      </c>
      <c r="G1307" s="89">
        <f>DATE(2012,3,15)</f>
        <v>40983</v>
      </c>
      <c r="H1307" s="90">
        <v>1.2972222222222223</v>
      </c>
      <c r="I1307" s="30" t="s">
        <v>104</v>
      </c>
      <c r="J1307" s="89" t="s">
        <v>7296</v>
      </c>
      <c r="K1307" s="30" t="s">
        <v>837</v>
      </c>
      <c r="L1307" s="30" t="s">
        <v>7297</v>
      </c>
      <c r="M1307" s="30" t="s">
        <v>63</v>
      </c>
      <c r="N1307" s="30" t="s">
        <v>142</v>
      </c>
      <c r="O1307" s="30" t="s">
        <v>77</v>
      </c>
      <c r="P1307" s="89" t="s">
        <v>165</v>
      </c>
      <c r="Q1307" s="89" t="s">
        <v>2162</v>
      </c>
      <c r="R1307" s="89" t="s">
        <v>840</v>
      </c>
      <c r="S1307" s="30">
        <v>0</v>
      </c>
      <c r="T1307" s="233">
        <v>0</v>
      </c>
      <c r="U1307" s="30">
        <v>0</v>
      </c>
      <c r="V1307" s="233">
        <v>0</v>
      </c>
      <c r="W1307" s="30">
        <v>0</v>
      </c>
      <c r="X1307" s="30">
        <v>0</v>
      </c>
      <c r="Y1307" s="30">
        <v>0</v>
      </c>
      <c r="Z1307" s="233">
        <v>0</v>
      </c>
      <c r="AA1307" s="30">
        <v>0</v>
      </c>
      <c r="AB1307" s="30">
        <v>0</v>
      </c>
      <c r="AC1307" s="30">
        <v>0</v>
      </c>
      <c r="AD1307" s="30">
        <v>0</v>
      </c>
      <c r="AE1307" s="89" t="s">
        <v>92</v>
      </c>
      <c r="AF1307" s="89"/>
      <c r="AG1307" s="89" t="s">
        <v>352</v>
      </c>
      <c r="AH1307" s="72" t="s">
        <v>68</v>
      </c>
      <c r="AI1307" s="30">
        <v>0</v>
      </c>
      <c r="AJ1307" s="89" t="s">
        <v>7298</v>
      </c>
      <c r="AK1307" s="89" t="s">
        <v>68</v>
      </c>
      <c r="AL1307" s="91">
        <v>40987</v>
      </c>
      <c r="AM1307" s="91"/>
      <c r="AN1307" s="91"/>
      <c r="AO1307" s="91"/>
      <c r="AP1307" s="73" t="e">
        <f>MID(VLOOKUP(K1307,#REF!,2,FALSE),1,2)</f>
        <v>#REF!</v>
      </c>
      <c r="AQ1307" s="89">
        <f>DATE(2012,3,15)</f>
        <v>40983</v>
      </c>
      <c r="AR1307" s="82">
        <f t="shared" si="86"/>
        <v>15</v>
      </c>
      <c r="AS1307" s="83">
        <f t="shared" si="87"/>
        <v>3</v>
      </c>
      <c r="AT1307" s="84">
        <f t="shared" si="88"/>
        <v>2012</v>
      </c>
      <c r="AU1307" s="86"/>
      <c r="AV1307" s="86"/>
      <c r="AW1307" s="87"/>
      <c r="AX1307" s="86"/>
      <c r="AY1307" s="83"/>
      <c r="AZ1307" s="84"/>
      <c r="BA1307" s="86"/>
      <c r="BB1307" s="86"/>
    </row>
    <row r="1308" spans="1:54" ht="36.75" customHeight="1">
      <c r="A1308" s="30"/>
      <c r="B1308" s="30" t="s">
        <v>55</v>
      </c>
      <c r="C1308" s="69" t="str">
        <f t="shared" si="85"/>
        <v>Closed</v>
      </c>
      <c r="D1308" s="27" t="s">
        <v>7299</v>
      </c>
      <c r="E1308" s="29" t="s">
        <v>7300</v>
      </c>
      <c r="F1308" s="30" t="s">
        <v>1572</v>
      </c>
      <c r="G1308" s="89">
        <f>DATE(2012,3,15)</f>
        <v>40983</v>
      </c>
      <c r="H1308" s="90">
        <v>1.9368055555555554</v>
      </c>
      <c r="I1308" s="30" t="s">
        <v>73</v>
      </c>
      <c r="J1308" s="89" t="s">
        <v>7301</v>
      </c>
      <c r="K1308" s="30" t="s">
        <v>1574</v>
      </c>
      <c r="L1308" s="30" t="s">
        <v>7302</v>
      </c>
      <c r="M1308" s="30" t="s">
        <v>63</v>
      </c>
      <c r="N1308" s="30">
        <v>0</v>
      </c>
      <c r="O1308" s="30" t="s">
        <v>77</v>
      </c>
      <c r="P1308" s="89" t="s">
        <v>78</v>
      </c>
      <c r="Q1308" s="89" t="s">
        <v>2655</v>
      </c>
      <c r="R1308" s="89">
        <v>0</v>
      </c>
      <c r="S1308" s="30">
        <v>0</v>
      </c>
      <c r="T1308" s="233">
        <v>0</v>
      </c>
      <c r="U1308" s="30">
        <v>0</v>
      </c>
      <c r="V1308" s="233">
        <v>0</v>
      </c>
      <c r="W1308" s="30">
        <v>0</v>
      </c>
      <c r="X1308" s="30">
        <v>0</v>
      </c>
      <c r="Y1308" s="30">
        <v>0</v>
      </c>
      <c r="Z1308" s="233">
        <v>0</v>
      </c>
      <c r="AA1308" s="30">
        <v>0</v>
      </c>
      <c r="AB1308" s="30">
        <v>0</v>
      </c>
      <c r="AC1308" s="30">
        <v>0</v>
      </c>
      <c r="AD1308" s="30">
        <v>0</v>
      </c>
      <c r="AE1308" s="89" t="s">
        <v>92</v>
      </c>
      <c r="AF1308" s="89"/>
      <c r="AG1308" s="89" t="s">
        <v>352</v>
      </c>
      <c r="AH1308" s="72">
        <v>40987</v>
      </c>
      <c r="AI1308" s="30">
        <v>0</v>
      </c>
      <c r="AJ1308" s="89" t="s">
        <v>7303</v>
      </c>
      <c r="AK1308" s="89" t="s">
        <v>6914</v>
      </c>
      <c r="AL1308" s="91">
        <v>40989</v>
      </c>
      <c r="AM1308" s="91"/>
      <c r="AN1308" s="91"/>
      <c r="AO1308" s="91"/>
      <c r="AP1308" s="73" t="e">
        <f>MID(VLOOKUP(K1308,#REF!,2,FALSE),1,2)</f>
        <v>#REF!</v>
      </c>
      <c r="AQ1308" s="89">
        <f>DATE(2012,3,15)</f>
        <v>40983</v>
      </c>
      <c r="AR1308" s="82">
        <f t="shared" si="86"/>
        <v>15</v>
      </c>
      <c r="AS1308" s="83">
        <f t="shared" si="87"/>
        <v>3</v>
      </c>
      <c r="AT1308" s="84">
        <f t="shared" si="88"/>
        <v>2012</v>
      </c>
      <c r="AU1308" s="86"/>
      <c r="AV1308" s="86"/>
      <c r="AW1308" s="87"/>
      <c r="AX1308" s="86"/>
      <c r="AY1308" s="83"/>
      <c r="AZ1308" s="84"/>
      <c r="BA1308" s="86"/>
      <c r="BB1308" s="86"/>
    </row>
    <row r="1309" spans="1:54" ht="36.75" customHeight="1">
      <c r="A1309" s="30"/>
      <c r="B1309" s="30" t="s">
        <v>55</v>
      </c>
      <c r="C1309" s="69" t="str">
        <f t="shared" si="85"/>
        <v>Closed</v>
      </c>
      <c r="D1309" s="27" t="s">
        <v>7304</v>
      </c>
      <c r="E1309" s="29" t="s">
        <v>7305</v>
      </c>
      <c r="F1309" s="30" t="s">
        <v>233</v>
      </c>
      <c r="G1309" s="89">
        <f>DATE(2012,3,19)</f>
        <v>40987</v>
      </c>
      <c r="H1309" s="90">
        <v>1.8104166666666668</v>
      </c>
      <c r="I1309" s="30" t="s">
        <v>86</v>
      </c>
      <c r="J1309" s="89" t="s">
        <v>7306</v>
      </c>
      <c r="K1309" s="30" t="s">
        <v>235</v>
      </c>
      <c r="L1309" s="30" t="s">
        <v>7307</v>
      </c>
      <c r="M1309" s="30" t="s">
        <v>63</v>
      </c>
      <c r="N1309" s="30">
        <v>0</v>
      </c>
      <c r="O1309" s="30" t="s">
        <v>64</v>
      </c>
      <c r="P1309" s="89" t="s">
        <v>301</v>
      </c>
      <c r="Q1309" s="89" t="s">
        <v>7308</v>
      </c>
      <c r="R1309" s="89" t="s">
        <v>238</v>
      </c>
      <c r="S1309" s="30">
        <v>0</v>
      </c>
      <c r="T1309" s="233">
        <v>0</v>
      </c>
      <c r="U1309" s="30">
        <v>0</v>
      </c>
      <c r="V1309" s="233">
        <v>0</v>
      </c>
      <c r="W1309" s="30">
        <v>0</v>
      </c>
      <c r="X1309" s="30">
        <v>0</v>
      </c>
      <c r="Y1309" s="30">
        <v>0</v>
      </c>
      <c r="Z1309" s="233">
        <v>0</v>
      </c>
      <c r="AA1309" s="30">
        <v>0</v>
      </c>
      <c r="AB1309" s="30">
        <v>0</v>
      </c>
      <c r="AC1309" s="30">
        <v>0</v>
      </c>
      <c r="AD1309" s="30">
        <v>0</v>
      </c>
      <c r="AE1309" s="89" t="s">
        <v>92</v>
      </c>
      <c r="AF1309" s="89"/>
      <c r="AG1309" s="89" t="s">
        <v>133</v>
      </c>
      <c r="AH1309" s="72" t="s">
        <v>68</v>
      </c>
      <c r="AI1309" s="30">
        <v>7</v>
      </c>
      <c r="AJ1309" s="89" t="s">
        <v>7309</v>
      </c>
      <c r="AK1309" s="89" t="s">
        <v>7310</v>
      </c>
      <c r="AL1309" s="91">
        <v>41003</v>
      </c>
      <c r="AM1309" s="91"/>
      <c r="AN1309" s="91"/>
      <c r="AO1309" s="91"/>
      <c r="AP1309" s="73" t="e">
        <f>MID(VLOOKUP(K1309,#REF!,2,FALSE),1,2)</f>
        <v>#REF!</v>
      </c>
      <c r="AQ1309" s="89">
        <f>DATE(2012,3,19)</f>
        <v>40987</v>
      </c>
      <c r="AR1309" s="82">
        <f t="shared" si="86"/>
        <v>19</v>
      </c>
      <c r="AS1309" s="83">
        <f t="shared" si="87"/>
        <v>3</v>
      </c>
      <c r="AT1309" s="84">
        <f t="shared" si="88"/>
        <v>2012</v>
      </c>
      <c r="AU1309" s="86"/>
      <c r="AV1309" s="86"/>
      <c r="AW1309" s="87"/>
      <c r="AX1309" s="86"/>
      <c r="AY1309" s="83"/>
      <c r="AZ1309" s="84"/>
      <c r="BA1309" s="86"/>
      <c r="BB1309" s="86"/>
    </row>
    <row r="1310" spans="1:54" ht="36.75" customHeight="1">
      <c r="A1310" s="30"/>
      <c r="B1310" s="30" t="s">
        <v>55</v>
      </c>
      <c r="C1310" s="69" t="str">
        <f t="shared" si="85"/>
        <v>Closed</v>
      </c>
      <c r="D1310" s="27" t="s">
        <v>7311</v>
      </c>
      <c r="E1310" s="29" t="s">
        <v>7312</v>
      </c>
      <c r="F1310" s="30" t="s">
        <v>197</v>
      </c>
      <c r="G1310" s="89">
        <f>DATE(2012,3,20)</f>
        <v>40988</v>
      </c>
      <c r="H1310" s="90">
        <v>0</v>
      </c>
      <c r="I1310" s="30" t="s">
        <v>116</v>
      </c>
      <c r="J1310" s="89" t="s">
        <v>7313</v>
      </c>
      <c r="K1310" s="30" t="s">
        <v>200</v>
      </c>
      <c r="L1310" s="30" t="s">
        <v>7314</v>
      </c>
      <c r="M1310" s="30" t="s">
        <v>63</v>
      </c>
      <c r="N1310" s="30" t="s">
        <v>142</v>
      </c>
      <c r="O1310" s="30" t="s">
        <v>86</v>
      </c>
      <c r="P1310" s="89" t="s">
        <v>65</v>
      </c>
      <c r="Q1310" s="89" t="s">
        <v>200</v>
      </c>
      <c r="R1310" s="89" t="s">
        <v>200</v>
      </c>
      <c r="S1310" s="30">
        <v>0</v>
      </c>
      <c r="T1310" s="233">
        <v>0</v>
      </c>
      <c r="U1310" s="30">
        <v>0</v>
      </c>
      <c r="V1310" s="233">
        <v>0</v>
      </c>
      <c r="W1310" s="30">
        <v>0</v>
      </c>
      <c r="X1310" s="30">
        <v>0</v>
      </c>
      <c r="Y1310" s="30">
        <v>0</v>
      </c>
      <c r="Z1310" s="233">
        <v>0</v>
      </c>
      <c r="AA1310" s="30">
        <v>1</v>
      </c>
      <c r="AB1310" s="30">
        <v>0</v>
      </c>
      <c r="AC1310" s="30">
        <v>0</v>
      </c>
      <c r="AD1310" s="30">
        <v>1</v>
      </c>
      <c r="AE1310" s="89" t="s">
        <v>394</v>
      </c>
      <c r="AF1310" s="89"/>
      <c r="AG1310" s="89" t="s">
        <v>133</v>
      </c>
      <c r="AH1310" s="72">
        <v>40988</v>
      </c>
      <c r="AI1310" s="30">
        <v>2</v>
      </c>
      <c r="AJ1310" s="89" t="s">
        <v>7315</v>
      </c>
      <c r="AK1310" s="89" t="s">
        <v>7316</v>
      </c>
      <c r="AL1310" s="91">
        <v>41535</v>
      </c>
      <c r="AM1310" s="91"/>
      <c r="AN1310" s="91"/>
      <c r="AO1310" s="91"/>
      <c r="AP1310" s="73" t="e">
        <f>MID(VLOOKUP(K1310,#REF!,2,FALSE),1,2)</f>
        <v>#REF!</v>
      </c>
      <c r="AQ1310" s="89">
        <f>DATE(2012,3,20)</f>
        <v>40988</v>
      </c>
      <c r="AR1310" s="82">
        <f t="shared" si="86"/>
        <v>20</v>
      </c>
      <c r="AS1310" s="83">
        <f t="shared" si="87"/>
        <v>3</v>
      </c>
      <c r="AT1310" s="84">
        <f t="shared" si="88"/>
        <v>2012</v>
      </c>
      <c r="AU1310" s="86"/>
      <c r="AV1310" s="86"/>
      <c r="AW1310" s="87"/>
      <c r="AX1310" s="86"/>
      <c r="AY1310" s="83"/>
      <c r="AZ1310" s="84"/>
      <c r="BA1310" s="86"/>
      <c r="BB1310" s="86"/>
    </row>
    <row r="1311" spans="1:54" ht="36.75" customHeight="1">
      <c r="A1311" s="30"/>
      <c r="B1311" s="30" t="s">
        <v>55</v>
      </c>
      <c r="C1311" s="69" t="str">
        <f t="shared" si="85"/>
        <v>Closed</v>
      </c>
      <c r="D1311" s="27" t="s">
        <v>7317</v>
      </c>
      <c r="E1311" s="29" t="s">
        <v>7318</v>
      </c>
      <c r="F1311" s="30" t="s">
        <v>197</v>
      </c>
      <c r="G1311" s="89">
        <f>DATE(2012,3,20)</f>
        <v>40988</v>
      </c>
      <c r="H1311" s="90">
        <v>1.8687499999999999</v>
      </c>
      <c r="I1311" s="30" t="s">
        <v>116</v>
      </c>
      <c r="J1311" s="89" t="s">
        <v>7319</v>
      </c>
      <c r="K1311" s="30" t="s">
        <v>200</v>
      </c>
      <c r="L1311" s="30" t="s">
        <v>7320</v>
      </c>
      <c r="M1311" s="30" t="s">
        <v>63</v>
      </c>
      <c r="N1311" s="30" t="s">
        <v>142</v>
      </c>
      <c r="O1311" s="30" t="s">
        <v>64</v>
      </c>
      <c r="P1311" s="89" t="s">
        <v>165</v>
      </c>
      <c r="Q1311" s="89">
        <v>0</v>
      </c>
      <c r="R1311" s="89">
        <v>0</v>
      </c>
      <c r="S1311" s="30">
        <v>0</v>
      </c>
      <c r="T1311" s="233">
        <v>0</v>
      </c>
      <c r="U1311" s="30">
        <v>0</v>
      </c>
      <c r="V1311" s="233">
        <v>0</v>
      </c>
      <c r="W1311" s="30">
        <v>0</v>
      </c>
      <c r="X1311" s="30">
        <v>0</v>
      </c>
      <c r="Y1311" s="30">
        <v>0</v>
      </c>
      <c r="Z1311" s="233">
        <v>0</v>
      </c>
      <c r="AA1311" s="30">
        <v>1</v>
      </c>
      <c r="AB1311" s="30">
        <v>0</v>
      </c>
      <c r="AC1311" s="30">
        <v>0</v>
      </c>
      <c r="AD1311" s="30">
        <v>1</v>
      </c>
      <c r="AE1311" s="89" t="s">
        <v>92</v>
      </c>
      <c r="AF1311" s="89"/>
      <c r="AG1311" s="89" t="s">
        <v>133</v>
      </c>
      <c r="AH1311" s="72">
        <v>40995</v>
      </c>
      <c r="AI1311" s="30">
        <v>0</v>
      </c>
      <c r="AJ1311" s="89" t="s">
        <v>7321</v>
      </c>
      <c r="AK1311" s="89" t="s">
        <v>1233</v>
      </c>
      <c r="AL1311" s="91">
        <v>41687</v>
      </c>
      <c r="AM1311" s="91"/>
      <c r="AN1311" s="91"/>
      <c r="AO1311" s="91"/>
      <c r="AP1311" s="73" t="e">
        <f>MID(VLOOKUP(K1311,#REF!,2,FALSE),1,2)</f>
        <v>#REF!</v>
      </c>
      <c r="AQ1311" s="89">
        <f>DATE(2012,3,20)</f>
        <v>40988</v>
      </c>
      <c r="AR1311" s="82">
        <f t="shared" si="86"/>
        <v>20</v>
      </c>
      <c r="AS1311" s="83">
        <f t="shared" si="87"/>
        <v>3</v>
      </c>
      <c r="AT1311" s="84">
        <f t="shared" si="88"/>
        <v>2012</v>
      </c>
      <c r="AU1311" s="86"/>
      <c r="AV1311" s="86"/>
      <c r="AW1311" s="87"/>
      <c r="AX1311" s="86"/>
      <c r="AY1311" s="83"/>
      <c r="AZ1311" s="84"/>
      <c r="BA1311" s="86"/>
      <c r="BB1311" s="86"/>
    </row>
    <row r="1312" spans="1:54" ht="36.75" customHeight="1">
      <c r="A1312" s="30"/>
      <c r="B1312" s="30" t="s">
        <v>55</v>
      </c>
      <c r="C1312" s="69" t="str">
        <f t="shared" si="85"/>
        <v>Closed</v>
      </c>
      <c r="D1312" s="27" t="s">
        <v>7322</v>
      </c>
      <c r="E1312" s="29" t="s">
        <v>7323</v>
      </c>
      <c r="F1312" s="30" t="s">
        <v>197</v>
      </c>
      <c r="G1312" s="89">
        <f>DATE(2012,3,21)</f>
        <v>40989</v>
      </c>
      <c r="H1312" s="90">
        <v>0</v>
      </c>
      <c r="I1312" s="30" t="s">
        <v>116</v>
      </c>
      <c r="J1312" s="89" t="s">
        <v>7324</v>
      </c>
      <c r="K1312" s="30" t="s">
        <v>200</v>
      </c>
      <c r="L1312" s="30" t="s">
        <v>7325</v>
      </c>
      <c r="M1312" s="30" t="s">
        <v>63</v>
      </c>
      <c r="N1312" s="30" t="s">
        <v>99</v>
      </c>
      <c r="O1312" s="30" t="s">
        <v>64</v>
      </c>
      <c r="P1312" s="89" t="s">
        <v>78</v>
      </c>
      <c r="Q1312" s="89" t="s">
        <v>1716</v>
      </c>
      <c r="R1312" s="89" t="s">
        <v>203</v>
      </c>
      <c r="S1312" s="30">
        <v>0</v>
      </c>
      <c r="T1312" s="233">
        <v>0</v>
      </c>
      <c r="U1312" s="30">
        <v>1</v>
      </c>
      <c r="V1312" s="233">
        <v>0</v>
      </c>
      <c r="W1312" s="30">
        <v>0</v>
      </c>
      <c r="X1312" s="30">
        <v>1</v>
      </c>
      <c r="Y1312" s="30">
        <v>0</v>
      </c>
      <c r="Z1312" s="233">
        <v>0</v>
      </c>
      <c r="AA1312" s="30">
        <v>0</v>
      </c>
      <c r="AB1312" s="30">
        <v>0</v>
      </c>
      <c r="AC1312" s="30">
        <v>0</v>
      </c>
      <c r="AD1312" s="30">
        <v>0</v>
      </c>
      <c r="AE1312" s="89" t="s">
        <v>92</v>
      </c>
      <c r="AF1312" s="89"/>
      <c r="AG1312" s="89" t="s">
        <v>82</v>
      </c>
      <c r="AH1312" s="72">
        <v>40989</v>
      </c>
      <c r="AI1312" s="30">
        <v>1</v>
      </c>
      <c r="AJ1312" s="89" t="s">
        <v>7241</v>
      </c>
      <c r="AK1312" s="89" t="s">
        <v>68</v>
      </c>
      <c r="AL1312" s="91">
        <v>41106</v>
      </c>
      <c r="AM1312" s="91"/>
      <c r="AN1312" s="91"/>
      <c r="AO1312" s="91"/>
      <c r="AP1312" s="73" t="e">
        <f>MID(VLOOKUP(K1312,#REF!,2,FALSE),1,2)</f>
        <v>#REF!</v>
      </c>
      <c r="AQ1312" s="89">
        <f>DATE(2012,3,21)</f>
        <v>40989</v>
      </c>
      <c r="AR1312" s="82">
        <f t="shared" si="86"/>
        <v>21</v>
      </c>
      <c r="AS1312" s="83">
        <f t="shared" si="87"/>
        <v>3</v>
      </c>
      <c r="AT1312" s="84">
        <f t="shared" si="88"/>
        <v>2012</v>
      </c>
      <c r="AU1312" s="86"/>
      <c r="AV1312" s="86"/>
      <c r="AW1312" s="87"/>
      <c r="AX1312" s="86"/>
      <c r="AY1312" s="83"/>
      <c r="AZ1312" s="84"/>
      <c r="BA1312" s="86"/>
      <c r="BB1312" s="86"/>
    </row>
    <row r="1313" spans="1:54" ht="36.75" customHeight="1">
      <c r="A1313" s="30"/>
      <c r="B1313" s="30" t="s">
        <v>55</v>
      </c>
      <c r="C1313" s="69" t="str">
        <f t="shared" si="85"/>
        <v>Closed</v>
      </c>
      <c r="D1313" s="27" t="s">
        <v>7326</v>
      </c>
      <c r="E1313" s="29" t="s">
        <v>7327</v>
      </c>
      <c r="F1313" s="30" t="s">
        <v>233</v>
      </c>
      <c r="G1313" s="89">
        <f>DATE(2012,3,22)</f>
        <v>40990</v>
      </c>
      <c r="H1313" s="90">
        <v>1.4</v>
      </c>
      <c r="I1313" s="30" t="s">
        <v>2418</v>
      </c>
      <c r="J1313" s="89" t="s">
        <v>7328</v>
      </c>
      <c r="K1313" s="30" t="s">
        <v>235</v>
      </c>
      <c r="L1313" s="30" t="s">
        <v>7329</v>
      </c>
      <c r="M1313" s="30" t="s">
        <v>63</v>
      </c>
      <c r="N1313" s="30" t="s">
        <v>99</v>
      </c>
      <c r="O1313" s="30" t="s">
        <v>64</v>
      </c>
      <c r="P1313" s="89" t="s">
        <v>78</v>
      </c>
      <c r="Q1313" s="89" t="s">
        <v>718</v>
      </c>
      <c r="R1313" s="89" t="s">
        <v>238</v>
      </c>
      <c r="S1313" s="30">
        <v>0</v>
      </c>
      <c r="T1313" s="233">
        <v>0</v>
      </c>
      <c r="U1313" s="30">
        <v>0</v>
      </c>
      <c r="V1313" s="233">
        <v>0</v>
      </c>
      <c r="W1313" s="30">
        <v>0</v>
      </c>
      <c r="X1313" s="30">
        <v>0</v>
      </c>
      <c r="Y1313" s="30">
        <v>0</v>
      </c>
      <c r="Z1313" s="233">
        <v>0</v>
      </c>
      <c r="AA1313" s="30">
        <v>0</v>
      </c>
      <c r="AB1313" s="30">
        <v>0</v>
      </c>
      <c r="AC1313" s="30">
        <v>0</v>
      </c>
      <c r="AD1313" s="30">
        <v>0</v>
      </c>
      <c r="AE1313" s="89" t="s">
        <v>92</v>
      </c>
      <c r="AF1313" s="89"/>
      <c r="AG1313" s="89" t="s">
        <v>352</v>
      </c>
      <c r="AH1313" s="72">
        <v>41022</v>
      </c>
      <c r="AI1313" s="30">
        <v>5</v>
      </c>
      <c r="AJ1313" s="89" t="s">
        <v>7330</v>
      </c>
      <c r="AK1313" s="89" t="s">
        <v>7331</v>
      </c>
      <c r="AL1313" s="91">
        <v>41439</v>
      </c>
      <c r="AM1313" s="91"/>
      <c r="AN1313" s="91"/>
      <c r="AO1313" s="91"/>
      <c r="AP1313" s="73" t="e">
        <f>MID(VLOOKUP(K1313,#REF!,2,FALSE),1,2)</f>
        <v>#REF!</v>
      </c>
      <c r="AQ1313" s="89">
        <f>DATE(2012,3,22)</f>
        <v>40990</v>
      </c>
      <c r="AR1313" s="82">
        <f t="shared" si="86"/>
        <v>22</v>
      </c>
      <c r="AS1313" s="83">
        <f t="shared" si="87"/>
        <v>3</v>
      </c>
      <c r="AT1313" s="84">
        <f t="shared" si="88"/>
        <v>2012</v>
      </c>
      <c r="AU1313" s="86"/>
      <c r="AV1313" s="86"/>
      <c r="AW1313" s="87"/>
      <c r="AX1313" s="86"/>
      <c r="AY1313" s="83"/>
      <c r="AZ1313" s="84"/>
      <c r="BA1313" s="86"/>
      <c r="BB1313" s="86"/>
    </row>
    <row r="1314" spans="1:54" ht="36.75" customHeight="1">
      <c r="A1314" s="30"/>
      <c r="B1314" s="30" t="s">
        <v>2124</v>
      </c>
      <c r="C1314" s="69" t="str">
        <f t="shared" si="85"/>
        <v>Open</v>
      </c>
      <c r="D1314" s="27" t="s">
        <v>7332</v>
      </c>
      <c r="E1314" s="29" t="s">
        <v>7333</v>
      </c>
      <c r="F1314" s="30" t="s">
        <v>5683</v>
      </c>
      <c r="G1314" s="89">
        <f>DATE(2012,3,24)</f>
        <v>40992</v>
      </c>
      <c r="H1314" s="90">
        <v>1.3541666666666667</v>
      </c>
      <c r="I1314" s="30" t="s">
        <v>116</v>
      </c>
      <c r="J1314" s="89" t="s">
        <v>7334</v>
      </c>
      <c r="K1314" s="30" t="s">
        <v>5685</v>
      </c>
      <c r="L1314" s="30" t="s">
        <v>7335</v>
      </c>
      <c r="M1314" s="30" t="s">
        <v>63</v>
      </c>
      <c r="N1314" s="30">
        <v>0</v>
      </c>
      <c r="O1314" s="30" t="s">
        <v>64</v>
      </c>
      <c r="P1314" s="89" t="s">
        <v>65</v>
      </c>
      <c r="Q1314" s="89" t="s">
        <v>5687</v>
      </c>
      <c r="R1314" s="89" t="s">
        <v>5688</v>
      </c>
      <c r="S1314" s="30">
        <v>0</v>
      </c>
      <c r="T1314" s="233">
        <v>0</v>
      </c>
      <c r="U1314" s="30">
        <v>0</v>
      </c>
      <c r="V1314" s="233">
        <v>0</v>
      </c>
      <c r="W1314" s="30">
        <v>0</v>
      </c>
      <c r="X1314" s="30">
        <v>0</v>
      </c>
      <c r="Y1314" s="30">
        <v>0</v>
      </c>
      <c r="Z1314" s="233">
        <v>0</v>
      </c>
      <c r="AA1314" s="30">
        <v>1</v>
      </c>
      <c r="AB1314" s="30">
        <v>0</v>
      </c>
      <c r="AC1314" s="30">
        <v>0</v>
      </c>
      <c r="AD1314" s="30">
        <v>1</v>
      </c>
      <c r="AE1314" s="89" t="s">
        <v>92</v>
      </c>
      <c r="AF1314" s="89"/>
      <c r="AG1314" s="89" t="s">
        <v>133</v>
      </c>
      <c r="AH1314" s="72" t="s">
        <v>68</v>
      </c>
      <c r="AI1314" s="30">
        <v>0</v>
      </c>
      <c r="AJ1314" s="89" t="s">
        <v>68</v>
      </c>
      <c r="AK1314" s="89" t="s">
        <v>68</v>
      </c>
      <c r="AL1314" s="91">
        <v>41073</v>
      </c>
      <c r="AM1314" s="91"/>
      <c r="AN1314" s="91"/>
      <c r="AO1314" s="91"/>
      <c r="AP1314" s="73" t="e">
        <f>MID(VLOOKUP(K1314,#REF!,2,FALSE),1,2)</f>
        <v>#REF!</v>
      </c>
      <c r="AQ1314" s="89">
        <f>DATE(2012,3,24)</f>
        <v>40992</v>
      </c>
      <c r="AR1314" s="82">
        <f t="shared" si="86"/>
        <v>24</v>
      </c>
      <c r="AS1314" s="83">
        <f t="shared" si="87"/>
        <v>3</v>
      </c>
      <c r="AT1314" s="84">
        <f t="shared" si="88"/>
        <v>2012</v>
      </c>
      <c r="AU1314" s="86"/>
      <c r="AV1314" s="86"/>
      <c r="AW1314" s="87"/>
      <c r="AX1314" s="86"/>
      <c r="AY1314" s="83"/>
      <c r="AZ1314" s="84"/>
      <c r="BA1314" s="86"/>
      <c r="BB1314" s="86"/>
    </row>
    <row r="1315" spans="1:54" ht="36.75" customHeight="1">
      <c r="A1315" s="30"/>
      <c r="B1315" s="30" t="s">
        <v>55</v>
      </c>
      <c r="C1315" s="69" t="str">
        <f t="shared" si="85"/>
        <v>Closed</v>
      </c>
      <c r="D1315" s="27" t="s">
        <v>7336</v>
      </c>
      <c r="E1315" s="29" t="s">
        <v>7337</v>
      </c>
      <c r="F1315" s="30" t="s">
        <v>1572</v>
      </c>
      <c r="G1315" s="89">
        <f>DATE(2012,3,24)</f>
        <v>40992</v>
      </c>
      <c r="H1315" s="90">
        <v>1.5416666666666665</v>
      </c>
      <c r="I1315" s="30" t="s">
        <v>73</v>
      </c>
      <c r="J1315" s="89" t="s">
        <v>7338</v>
      </c>
      <c r="K1315" s="30" t="s">
        <v>1574</v>
      </c>
      <c r="L1315" s="30" t="s">
        <v>7339</v>
      </c>
      <c r="M1315" s="30" t="s">
        <v>63</v>
      </c>
      <c r="N1315" s="30" t="s">
        <v>89</v>
      </c>
      <c r="O1315" s="30" t="s">
        <v>77</v>
      </c>
      <c r="P1315" s="89" t="s">
        <v>78</v>
      </c>
      <c r="Q1315" s="89" t="s">
        <v>2655</v>
      </c>
      <c r="R1315" s="89">
        <v>0</v>
      </c>
      <c r="S1315" s="30">
        <v>0</v>
      </c>
      <c r="T1315" s="233">
        <v>0</v>
      </c>
      <c r="U1315" s="30">
        <v>0</v>
      </c>
      <c r="V1315" s="233">
        <v>0</v>
      </c>
      <c r="W1315" s="30">
        <v>0</v>
      </c>
      <c r="X1315" s="30">
        <v>0</v>
      </c>
      <c r="Y1315" s="30">
        <v>0</v>
      </c>
      <c r="Z1315" s="233">
        <v>0</v>
      </c>
      <c r="AA1315" s="30">
        <v>0</v>
      </c>
      <c r="AB1315" s="30">
        <v>0</v>
      </c>
      <c r="AC1315" s="30">
        <v>0</v>
      </c>
      <c r="AD1315" s="30">
        <v>0</v>
      </c>
      <c r="AE1315" s="89" t="s">
        <v>92</v>
      </c>
      <c r="AF1315" s="89"/>
      <c r="AG1315" s="89" t="s">
        <v>352</v>
      </c>
      <c r="AH1315" s="72">
        <v>41209</v>
      </c>
      <c r="AI1315" s="30">
        <v>0</v>
      </c>
      <c r="AJ1315" s="89" t="s">
        <v>7340</v>
      </c>
      <c r="AK1315" s="89" t="s">
        <v>5792</v>
      </c>
      <c r="AL1315" s="91">
        <v>40997</v>
      </c>
      <c r="AM1315" s="91"/>
      <c r="AN1315" s="91"/>
      <c r="AO1315" s="91"/>
      <c r="AP1315" s="73" t="e">
        <f>MID(VLOOKUP(K1315,#REF!,2,FALSE),1,2)</f>
        <v>#REF!</v>
      </c>
      <c r="AQ1315" s="89">
        <f>DATE(2012,3,24)</f>
        <v>40992</v>
      </c>
      <c r="AR1315" s="82">
        <f t="shared" si="86"/>
        <v>24</v>
      </c>
      <c r="AS1315" s="83">
        <f t="shared" si="87"/>
        <v>3</v>
      </c>
      <c r="AT1315" s="84">
        <f t="shared" si="88"/>
        <v>2012</v>
      </c>
      <c r="AU1315" s="86"/>
      <c r="AV1315" s="86"/>
      <c r="AW1315" s="87"/>
      <c r="AX1315" s="86"/>
      <c r="AY1315" s="83"/>
      <c r="AZ1315" s="84"/>
      <c r="BA1315" s="86"/>
      <c r="BB1315" s="86"/>
    </row>
    <row r="1316" spans="1:54" ht="36.75" customHeight="1">
      <c r="A1316" s="30"/>
      <c r="B1316" s="30" t="s">
        <v>55</v>
      </c>
      <c r="C1316" s="69" t="str">
        <f t="shared" si="85"/>
        <v>Closed</v>
      </c>
      <c r="D1316" s="27" t="s">
        <v>7341</v>
      </c>
      <c r="E1316" s="29" t="s">
        <v>7342</v>
      </c>
      <c r="F1316" s="30" t="s">
        <v>1572</v>
      </c>
      <c r="G1316" s="89">
        <f>DATE(2012,3,24)</f>
        <v>40992</v>
      </c>
      <c r="H1316" s="90">
        <v>1.6875</v>
      </c>
      <c r="I1316" s="30" t="s">
        <v>73</v>
      </c>
      <c r="J1316" s="89" t="s">
        <v>7343</v>
      </c>
      <c r="K1316" s="30" t="s">
        <v>1574</v>
      </c>
      <c r="L1316" s="30" t="s">
        <v>7344</v>
      </c>
      <c r="M1316" s="30" t="s">
        <v>63</v>
      </c>
      <c r="N1316" s="30" t="s">
        <v>99</v>
      </c>
      <c r="O1316" s="30" t="s">
        <v>77</v>
      </c>
      <c r="P1316" s="89" t="s">
        <v>165</v>
      </c>
      <c r="Q1316" s="89" t="s">
        <v>2413</v>
      </c>
      <c r="R1316" s="89">
        <v>0</v>
      </c>
      <c r="S1316" s="30">
        <v>0</v>
      </c>
      <c r="T1316" s="233">
        <v>0</v>
      </c>
      <c r="U1316" s="30">
        <v>0</v>
      </c>
      <c r="V1316" s="233">
        <v>0</v>
      </c>
      <c r="W1316" s="30">
        <v>0</v>
      </c>
      <c r="X1316" s="30">
        <v>0</v>
      </c>
      <c r="Y1316" s="30">
        <v>0</v>
      </c>
      <c r="Z1316" s="233">
        <v>0</v>
      </c>
      <c r="AA1316" s="30">
        <v>0</v>
      </c>
      <c r="AB1316" s="30">
        <v>0</v>
      </c>
      <c r="AC1316" s="30">
        <v>0</v>
      </c>
      <c r="AD1316" s="30">
        <v>0</v>
      </c>
      <c r="AE1316" s="89" t="s">
        <v>92</v>
      </c>
      <c r="AF1316" s="89"/>
      <c r="AG1316" s="89" t="s">
        <v>352</v>
      </c>
      <c r="AH1316" s="72">
        <v>40995</v>
      </c>
      <c r="AI1316" s="30">
        <v>0</v>
      </c>
      <c r="AJ1316" s="89" t="s">
        <v>7345</v>
      </c>
      <c r="AK1316" s="89" t="s">
        <v>7346</v>
      </c>
      <c r="AL1316" s="91">
        <v>40998</v>
      </c>
      <c r="AM1316" s="91"/>
      <c r="AN1316" s="91"/>
      <c r="AO1316" s="91"/>
      <c r="AP1316" s="73" t="e">
        <f>MID(VLOOKUP(K1316,#REF!,2,FALSE),1,2)</f>
        <v>#REF!</v>
      </c>
      <c r="AQ1316" s="89">
        <f>DATE(2012,3,24)</f>
        <v>40992</v>
      </c>
      <c r="AR1316" s="82">
        <f t="shared" si="86"/>
        <v>24</v>
      </c>
      <c r="AS1316" s="83">
        <f t="shared" si="87"/>
        <v>3</v>
      </c>
      <c r="AT1316" s="84">
        <f t="shared" si="88"/>
        <v>2012</v>
      </c>
      <c r="AU1316" s="86"/>
      <c r="AV1316" s="86"/>
      <c r="AW1316" s="87"/>
      <c r="AX1316" s="86"/>
      <c r="AY1316" s="83"/>
      <c r="AZ1316" s="84"/>
      <c r="BA1316" s="86"/>
      <c r="BB1316" s="86"/>
    </row>
    <row r="1317" spans="1:54" ht="36.75" customHeight="1">
      <c r="A1317" s="30"/>
      <c r="B1317" s="30" t="s">
        <v>55</v>
      </c>
      <c r="C1317" s="69" t="str">
        <f t="shared" si="85"/>
        <v>Closed</v>
      </c>
      <c r="D1317" s="27" t="s">
        <v>7347</v>
      </c>
      <c r="E1317" s="29" t="s">
        <v>7348</v>
      </c>
      <c r="F1317" s="30" t="s">
        <v>233</v>
      </c>
      <c r="G1317" s="89">
        <f>DATE(2012,3,25)</f>
        <v>40993</v>
      </c>
      <c r="H1317" s="90">
        <v>1.2854166666666667</v>
      </c>
      <c r="I1317" s="30" t="s">
        <v>156</v>
      </c>
      <c r="J1317" s="89" t="s">
        <v>7349</v>
      </c>
      <c r="K1317" s="30" t="s">
        <v>235</v>
      </c>
      <c r="L1317" s="30" t="s">
        <v>7350</v>
      </c>
      <c r="M1317" s="30" t="s">
        <v>63</v>
      </c>
      <c r="N1317" s="30">
        <v>0</v>
      </c>
      <c r="O1317" s="30" t="s">
        <v>77</v>
      </c>
      <c r="P1317" s="89" t="s">
        <v>86</v>
      </c>
      <c r="Q1317" s="89" t="s">
        <v>718</v>
      </c>
      <c r="R1317" s="89" t="s">
        <v>238</v>
      </c>
      <c r="S1317" s="30">
        <v>0</v>
      </c>
      <c r="T1317" s="233">
        <v>0</v>
      </c>
      <c r="U1317" s="30">
        <v>0</v>
      </c>
      <c r="V1317" s="233">
        <v>0</v>
      </c>
      <c r="W1317" s="30">
        <v>0</v>
      </c>
      <c r="X1317" s="30">
        <v>0</v>
      </c>
      <c r="Y1317" s="30">
        <v>0</v>
      </c>
      <c r="Z1317" s="233">
        <v>0</v>
      </c>
      <c r="AA1317" s="30">
        <v>0</v>
      </c>
      <c r="AB1317" s="30">
        <v>0</v>
      </c>
      <c r="AC1317" s="30">
        <v>0</v>
      </c>
      <c r="AD1317" s="30">
        <v>0</v>
      </c>
      <c r="AE1317" s="89" t="s">
        <v>92</v>
      </c>
      <c r="AF1317" s="89"/>
      <c r="AG1317" s="89" t="s">
        <v>133</v>
      </c>
      <c r="AH1317" s="72" t="s">
        <v>68</v>
      </c>
      <c r="AI1317" s="30">
        <v>5</v>
      </c>
      <c r="AJ1317" s="89" t="s">
        <v>7351</v>
      </c>
      <c r="AK1317" s="89" t="s">
        <v>7352</v>
      </c>
      <c r="AL1317" s="91">
        <v>41003</v>
      </c>
      <c r="AM1317" s="91"/>
      <c r="AN1317" s="91"/>
      <c r="AO1317" s="91"/>
      <c r="AP1317" s="73" t="e">
        <f>MID(VLOOKUP(K1317,#REF!,2,FALSE),1,2)</f>
        <v>#REF!</v>
      </c>
      <c r="AQ1317" s="89">
        <f>DATE(2012,3,25)</f>
        <v>40993</v>
      </c>
      <c r="AR1317" s="82">
        <f t="shared" si="86"/>
        <v>25</v>
      </c>
      <c r="AS1317" s="83">
        <f t="shared" si="87"/>
        <v>3</v>
      </c>
      <c r="AT1317" s="84">
        <f t="shared" si="88"/>
        <v>2012</v>
      </c>
      <c r="AU1317" s="86"/>
      <c r="AV1317" s="86"/>
      <c r="AW1317" s="87"/>
      <c r="AX1317" s="86"/>
      <c r="AY1317" s="83"/>
      <c r="AZ1317" s="84"/>
      <c r="BA1317" s="86"/>
      <c r="BB1317" s="86"/>
    </row>
    <row r="1318" spans="1:54" ht="36.75" customHeight="1">
      <c r="A1318" s="30"/>
      <c r="B1318" s="30" t="s">
        <v>55</v>
      </c>
      <c r="C1318" s="69" t="str">
        <f t="shared" si="85"/>
        <v>Closed</v>
      </c>
      <c r="D1318" s="27" t="s">
        <v>7353</v>
      </c>
      <c r="E1318" s="29" t="s">
        <v>7354</v>
      </c>
      <c r="F1318" s="30" t="s">
        <v>423</v>
      </c>
      <c r="G1318" s="89">
        <f>DATE(2012,3,29)</f>
        <v>40997</v>
      </c>
      <c r="H1318" s="90">
        <v>1.6319444444444444</v>
      </c>
      <c r="I1318" s="30" t="s">
        <v>6872</v>
      </c>
      <c r="J1318" s="89" t="s">
        <v>7355</v>
      </c>
      <c r="K1318" s="30" t="s">
        <v>425</v>
      </c>
      <c r="L1318" s="30" t="s">
        <v>7356</v>
      </c>
      <c r="M1318" s="30" t="s">
        <v>63</v>
      </c>
      <c r="N1318" s="30" t="s">
        <v>89</v>
      </c>
      <c r="O1318" s="30" t="s">
        <v>77</v>
      </c>
      <c r="P1318" s="89" t="s">
        <v>65</v>
      </c>
      <c r="Q1318" s="89" t="s">
        <v>427</v>
      </c>
      <c r="R1318" s="89" t="s">
        <v>3103</v>
      </c>
      <c r="S1318" s="30">
        <v>0</v>
      </c>
      <c r="T1318" s="233">
        <v>0</v>
      </c>
      <c r="U1318" s="30">
        <v>0</v>
      </c>
      <c r="V1318" s="233">
        <v>0</v>
      </c>
      <c r="W1318" s="30">
        <v>0</v>
      </c>
      <c r="X1318" s="30">
        <v>0</v>
      </c>
      <c r="Y1318" s="30">
        <v>0</v>
      </c>
      <c r="Z1318" s="233">
        <v>0</v>
      </c>
      <c r="AA1318" s="30">
        <v>0</v>
      </c>
      <c r="AB1318" s="30">
        <v>0</v>
      </c>
      <c r="AC1318" s="30">
        <v>0</v>
      </c>
      <c r="AD1318" s="30">
        <v>0</v>
      </c>
      <c r="AE1318" s="89" t="s">
        <v>92</v>
      </c>
      <c r="AF1318" s="89"/>
      <c r="AG1318" s="89" t="s">
        <v>133</v>
      </c>
      <c r="AH1318" s="72">
        <v>41141</v>
      </c>
      <c r="AI1318" s="30">
        <v>8</v>
      </c>
      <c r="AJ1318" s="89" t="s">
        <v>6851</v>
      </c>
      <c r="AK1318" s="89" t="s">
        <v>7357</v>
      </c>
      <c r="AL1318" s="91">
        <v>41144</v>
      </c>
      <c r="AM1318" s="91"/>
      <c r="AN1318" s="91"/>
      <c r="AO1318" s="91"/>
      <c r="AP1318" s="73" t="e">
        <f>MID(VLOOKUP(K1318,#REF!,2,FALSE),1,2)</f>
        <v>#REF!</v>
      </c>
      <c r="AQ1318" s="89">
        <f>DATE(2012,3,29)</f>
        <v>40997</v>
      </c>
      <c r="AR1318" s="82">
        <f t="shared" si="86"/>
        <v>29</v>
      </c>
      <c r="AS1318" s="83">
        <f t="shared" si="87"/>
        <v>3</v>
      </c>
      <c r="AT1318" s="84">
        <f t="shared" si="88"/>
        <v>2012</v>
      </c>
      <c r="AU1318" s="86"/>
      <c r="AV1318" s="86"/>
      <c r="AW1318" s="87"/>
      <c r="AX1318" s="86"/>
      <c r="AY1318" s="83"/>
      <c r="AZ1318" s="84"/>
      <c r="BA1318" s="86"/>
      <c r="BB1318" s="86"/>
    </row>
    <row r="1319" spans="1:54" ht="36.75" customHeight="1">
      <c r="A1319" s="30"/>
      <c r="B1319" s="30" t="s">
        <v>55</v>
      </c>
      <c r="C1319" s="69" t="str">
        <f t="shared" si="85"/>
        <v>Closed</v>
      </c>
      <c r="D1319" s="27" t="s">
        <v>7358</v>
      </c>
      <c r="E1319" s="29" t="s">
        <v>7359</v>
      </c>
      <c r="F1319" s="30" t="s">
        <v>423</v>
      </c>
      <c r="G1319" s="89">
        <f>DATE(2012,3,31)</f>
        <v>40999</v>
      </c>
      <c r="H1319" s="90">
        <v>1.6437499999999998</v>
      </c>
      <c r="I1319" s="30" t="s">
        <v>198</v>
      </c>
      <c r="J1319" s="89" t="s">
        <v>7360</v>
      </c>
      <c r="K1319" s="30" t="s">
        <v>425</v>
      </c>
      <c r="L1319" s="30" t="s">
        <v>7361</v>
      </c>
      <c r="M1319" s="30" t="s">
        <v>63</v>
      </c>
      <c r="N1319" s="30" t="s">
        <v>99</v>
      </c>
      <c r="O1319" s="30" t="s">
        <v>64</v>
      </c>
      <c r="P1319" s="89" t="s">
        <v>7362</v>
      </c>
      <c r="Q1319" s="89" t="s">
        <v>427</v>
      </c>
      <c r="R1319" s="89" t="s">
        <v>3103</v>
      </c>
      <c r="S1319" s="30">
        <v>0</v>
      </c>
      <c r="T1319" s="233">
        <v>0</v>
      </c>
      <c r="U1319" s="30">
        <v>0</v>
      </c>
      <c r="V1319" s="233">
        <v>0</v>
      </c>
      <c r="W1319" s="30">
        <v>0</v>
      </c>
      <c r="X1319" s="30">
        <v>0</v>
      </c>
      <c r="Y1319" s="30">
        <v>0</v>
      </c>
      <c r="Z1319" s="233">
        <v>0</v>
      </c>
      <c r="AA1319" s="30">
        <v>0</v>
      </c>
      <c r="AB1319" s="30">
        <v>0</v>
      </c>
      <c r="AC1319" s="30">
        <v>0</v>
      </c>
      <c r="AD1319" s="30">
        <v>0</v>
      </c>
      <c r="AE1319" s="89" t="s">
        <v>92</v>
      </c>
      <c r="AF1319" s="89"/>
      <c r="AG1319" s="89" t="s">
        <v>133</v>
      </c>
      <c r="AH1319" s="72">
        <v>41099</v>
      </c>
      <c r="AI1319" s="30">
        <v>3</v>
      </c>
      <c r="AJ1319" s="89" t="s">
        <v>7363</v>
      </c>
      <c r="AK1319" s="89" t="s">
        <v>7364</v>
      </c>
      <c r="AL1319" s="91">
        <v>41161</v>
      </c>
      <c r="AM1319" s="91"/>
      <c r="AN1319" s="91"/>
      <c r="AO1319" s="91"/>
      <c r="AP1319" s="73" t="e">
        <f>MID(VLOOKUP(K1319,#REF!,2,FALSE),1,2)</f>
        <v>#REF!</v>
      </c>
      <c r="AQ1319" s="89">
        <f>DATE(2012,3,31)</f>
        <v>40999</v>
      </c>
      <c r="AR1319" s="82">
        <f t="shared" si="86"/>
        <v>31</v>
      </c>
      <c r="AS1319" s="83">
        <f t="shared" si="87"/>
        <v>3</v>
      </c>
      <c r="AT1319" s="84">
        <f t="shared" si="88"/>
        <v>2012</v>
      </c>
      <c r="AU1319" s="86"/>
      <c r="AV1319" s="86"/>
      <c r="AW1319" s="87"/>
      <c r="AX1319" s="86"/>
      <c r="AY1319" s="83"/>
      <c r="AZ1319" s="84"/>
      <c r="BA1319" s="86"/>
      <c r="BB1319" s="86"/>
    </row>
    <row r="1320" spans="1:54" ht="36.75" customHeight="1">
      <c r="A1320" s="30"/>
      <c r="B1320" s="30" t="s">
        <v>55</v>
      </c>
      <c r="C1320" s="69" t="str">
        <f t="shared" si="85"/>
        <v>Closed</v>
      </c>
      <c r="D1320" s="27" t="s">
        <v>7365</v>
      </c>
      <c r="E1320" s="29" t="s">
        <v>7366</v>
      </c>
      <c r="F1320" s="30" t="s">
        <v>377</v>
      </c>
      <c r="G1320" s="89">
        <f>DATE(2012,3,31)</f>
        <v>40999</v>
      </c>
      <c r="H1320" s="90">
        <v>1.0944444444444446</v>
      </c>
      <c r="I1320" s="30" t="s">
        <v>73</v>
      </c>
      <c r="J1320" s="89" t="s">
        <v>7367</v>
      </c>
      <c r="K1320" s="30" t="s">
        <v>379</v>
      </c>
      <c r="L1320" s="30" t="s">
        <v>7368</v>
      </c>
      <c r="M1320" s="30" t="s">
        <v>63</v>
      </c>
      <c r="N1320" s="30" t="s">
        <v>142</v>
      </c>
      <c r="O1320" s="30" t="s">
        <v>77</v>
      </c>
      <c r="P1320" s="89" t="s">
        <v>78</v>
      </c>
      <c r="Q1320" s="89" t="s">
        <v>2906</v>
      </c>
      <c r="R1320" s="89" t="s">
        <v>382</v>
      </c>
      <c r="S1320" s="30">
        <v>0</v>
      </c>
      <c r="T1320" s="233">
        <v>0</v>
      </c>
      <c r="U1320" s="30">
        <v>0</v>
      </c>
      <c r="V1320" s="233">
        <v>0</v>
      </c>
      <c r="W1320" s="30">
        <v>0</v>
      </c>
      <c r="X1320" s="30">
        <v>0</v>
      </c>
      <c r="Y1320" s="30">
        <v>0</v>
      </c>
      <c r="Z1320" s="233">
        <v>0</v>
      </c>
      <c r="AA1320" s="30">
        <v>0</v>
      </c>
      <c r="AB1320" s="30">
        <v>0</v>
      </c>
      <c r="AC1320" s="30">
        <v>0</v>
      </c>
      <c r="AD1320" s="30">
        <v>0</v>
      </c>
      <c r="AE1320" s="89" t="s">
        <v>92</v>
      </c>
      <c r="AF1320" s="89"/>
      <c r="AG1320" s="89" t="s">
        <v>133</v>
      </c>
      <c r="AH1320" s="72">
        <v>41003</v>
      </c>
      <c r="AI1320" s="30">
        <v>5</v>
      </c>
      <c r="AJ1320" s="89" t="s">
        <v>7369</v>
      </c>
      <c r="AK1320" s="89" t="s">
        <v>7370</v>
      </c>
      <c r="AL1320" s="91">
        <v>41004</v>
      </c>
      <c r="AM1320" s="91"/>
      <c r="AN1320" s="91"/>
      <c r="AO1320" s="91"/>
      <c r="AP1320" s="73" t="e">
        <f>MID(VLOOKUP(K1320,#REF!,2,FALSE),1,2)</f>
        <v>#REF!</v>
      </c>
      <c r="AQ1320" s="89">
        <f>DATE(2012,3,31)</f>
        <v>40999</v>
      </c>
      <c r="AR1320" s="82">
        <f t="shared" si="86"/>
        <v>31</v>
      </c>
      <c r="AS1320" s="83">
        <f t="shared" si="87"/>
        <v>3</v>
      </c>
      <c r="AT1320" s="84">
        <f t="shared" si="88"/>
        <v>2012</v>
      </c>
      <c r="AU1320" s="86"/>
      <c r="AV1320" s="86"/>
      <c r="AW1320" s="87"/>
      <c r="AX1320" s="86"/>
      <c r="AY1320" s="83"/>
      <c r="AZ1320" s="84"/>
      <c r="BA1320" s="86"/>
      <c r="BB1320" s="86"/>
    </row>
    <row r="1321" spans="1:54" ht="36.75" customHeight="1">
      <c r="A1321" s="30"/>
      <c r="B1321" s="30" t="s">
        <v>55</v>
      </c>
      <c r="C1321" s="69" t="str">
        <f t="shared" si="85"/>
        <v>Closed</v>
      </c>
      <c r="D1321" s="27" t="s">
        <v>7371</v>
      </c>
      <c r="E1321" s="29" t="s">
        <v>7372</v>
      </c>
      <c r="F1321" s="30" t="s">
        <v>1572</v>
      </c>
      <c r="G1321" s="89">
        <f>DATE(2012,4,3)</f>
        <v>41002</v>
      </c>
      <c r="H1321" s="90">
        <v>1.78125</v>
      </c>
      <c r="I1321" s="30" t="s">
        <v>73</v>
      </c>
      <c r="J1321" s="89" t="s">
        <v>7373</v>
      </c>
      <c r="K1321" s="30" t="s">
        <v>1574</v>
      </c>
      <c r="L1321" s="30" t="s">
        <v>7374</v>
      </c>
      <c r="M1321" s="30" t="s">
        <v>63</v>
      </c>
      <c r="N1321" s="30" t="s">
        <v>142</v>
      </c>
      <c r="O1321" s="30" t="s">
        <v>64</v>
      </c>
      <c r="P1321" s="89" t="s">
        <v>78</v>
      </c>
      <c r="Q1321" s="89" t="s">
        <v>5266</v>
      </c>
      <c r="R1321" s="89">
        <v>0</v>
      </c>
      <c r="S1321" s="30">
        <v>0</v>
      </c>
      <c r="T1321" s="233">
        <v>0</v>
      </c>
      <c r="U1321" s="30">
        <v>0</v>
      </c>
      <c r="V1321" s="233">
        <v>0</v>
      </c>
      <c r="W1321" s="30">
        <v>0</v>
      </c>
      <c r="X1321" s="30">
        <v>0</v>
      </c>
      <c r="Y1321" s="30">
        <v>0</v>
      </c>
      <c r="Z1321" s="233">
        <v>0</v>
      </c>
      <c r="AA1321" s="30">
        <v>0</v>
      </c>
      <c r="AB1321" s="30">
        <v>0</v>
      </c>
      <c r="AC1321" s="30">
        <v>0</v>
      </c>
      <c r="AD1321" s="30">
        <v>0</v>
      </c>
      <c r="AE1321" s="89" t="s">
        <v>92</v>
      </c>
      <c r="AF1321" s="89"/>
      <c r="AG1321" s="89" t="s">
        <v>133</v>
      </c>
      <c r="AH1321" s="72">
        <v>41004</v>
      </c>
      <c r="AI1321" s="30">
        <v>0</v>
      </c>
      <c r="AJ1321" s="89" t="s">
        <v>7375</v>
      </c>
      <c r="AK1321" s="89" t="s">
        <v>7376</v>
      </c>
      <c r="AL1321" s="91">
        <v>41008</v>
      </c>
      <c r="AM1321" s="91"/>
      <c r="AN1321" s="91"/>
      <c r="AO1321" s="91"/>
      <c r="AP1321" s="73" t="e">
        <f>MID(VLOOKUP(K1321,#REF!,2,FALSE),1,2)</f>
        <v>#REF!</v>
      </c>
      <c r="AQ1321" s="89">
        <f>DATE(2012,4,3)</f>
        <v>41002</v>
      </c>
      <c r="AR1321" s="82">
        <f t="shared" si="86"/>
        <v>3</v>
      </c>
      <c r="AS1321" s="83">
        <f t="shared" si="87"/>
        <v>4</v>
      </c>
      <c r="AT1321" s="84">
        <f t="shared" si="88"/>
        <v>2012</v>
      </c>
      <c r="AU1321" s="86"/>
      <c r="AV1321" s="86"/>
      <c r="AW1321" s="87"/>
      <c r="AX1321" s="86"/>
      <c r="AY1321" s="83"/>
      <c r="AZ1321" s="84"/>
      <c r="BA1321" s="86"/>
      <c r="BB1321" s="86"/>
    </row>
    <row r="1322" spans="1:54" ht="36.75" customHeight="1">
      <c r="A1322" s="30"/>
      <c r="B1322" s="30" t="s">
        <v>2124</v>
      </c>
      <c r="C1322" s="69" t="str">
        <f t="shared" si="85"/>
        <v>Open</v>
      </c>
      <c r="D1322" s="27" t="s">
        <v>7377</v>
      </c>
      <c r="E1322" s="29" t="s">
        <v>7378</v>
      </c>
      <c r="F1322" s="30" t="s">
        <v>5683</v>
      </c>
      <c r="G1322" s="89">
        <f>DATE(2012,4,4)</f>
        <v>41003</v>
      </c>
      <c r="H1322" s="90">
        <v>1.6875</v>
      </c>
      <c r="I1322" s="30" t="s">
        <v>116</v>
      </c>
      <c r="J1322" s="89" t="s">
        <v>7379</v>
      </c>
      <c r="K1322" s="30" t="s">
        <v>5685</v>
      </c>
      <c r="L1322" s="30" t="s">
        <v>7380</v>
      </c>
      <c r="M1322" s="30" t="s">
        <v>63</v>
      </c>
      <c r="N1322" s="30">
        <v>0</v>
      </c>
      <c r="O1322" s="30" t="s">
        <v>64</v>
      </c>
      <c r="P1322" s="89" t="s">
        <v>65</v>
      </c>
      <c r="Q1322" s="89" t="s">
        <v>5687</v>
      </c>
      <c r="R1322" s="89" t="s">
        <v>5688</v>
      </c>
      <c r="S1322" s="30">
        <v>0</v>
      </c>
      <c r="T1322" s="233">
        <v>0</v>
      </c>
      <c r="U1322" s="30">
        <v>3</v>
      </c>
      <c r="V1322" s="233">
        <v>0</v>
      </c>
      <c r="W1322" s="30">
        <v>0</v>
      </c>
      <c r="X1322" s="30">
        <v>3</v>
      </c>
      <c r="Y1322" s="30">
        <v>0</v>
      </c>
      <c r="Z1322" s="233">
        <v>0</v>
      </c>
      <c r="AA1322" s="30">
        <v>0</v>
      </c>
      <c r="AB1322" s="30">
        <v>0</v>
      </c>
      <c r="AC1322" s="30">
        <v>0</v>
      </c>
      <c r="AD1322" s="30">
        <v>0</v>
      </c>
      <c r="AE1322" s="89" t="s">
        <v>68</v>
      </c>
      <c r="AF1322" s="89"/>
      <c r="AG1322" s="89" t="s">
        <v>82</v>
      </c>
      <c r="AH1322" s="72" t="s">
        <v>68</v>
      </c>
      <c r="AI1322" s="30">
        <v>0</v>
      </c>
      <c r="AJ1322" s="89" t="s">
        <v>68</v>
      </c>
      <c r="AK1322" s="89" t="s">
        <v>68</v>
      </c>
      <c r="AL1322" s="91">
        <v>41073</v>
      </c>
      <c r="AM1322" s="91"/>
      <c r="AN1322" s="91"/>
      <c r="AO1322" s="91"/>
      <c r="AP1322" s="73" t="e">
        <f>MID(VLOOKUP(K1322,#REF!,2,FALSE),1,2)</f>
        <v>#REF!</v>
      </c>
      <c r="AQ1322" s="89">
        <f>DATE(2012,4,4)</f>
        <v>41003</v>
      </c>
      <c r="AR1322" s="82">
        <f t="shared" si="86"/>
        <v>4</v>
      </c>
      <c r="AS1322" s="83">
        <f t="shared" si="87"/>
        <v>4</v>
      </c>
      <c r="AT1322" s="84">
        <f t="shared" si="88"/>
        <v>2012</v>
      </c>
      <c r="AU1322" s="86"/>
      <c r="AV1322" s="86"/>
      <c r="AW1322" s="87"/>
      <c r="AX1322" s="86"/>
      <c r="AY1322" s="83"/>
      <c r="AZ1322" s="84"/>
      <c r="BA1322" s="86"/>
      <c r="BB1322" s="86"/>
    </row>
    <row r="1323" spans="1:54" ht="36.75" customHeight="1">
      <c r="A1323" s="30"/>
      <c r="B1323" s="30" t="s">
        <v>55</v>
      </c>
      <c r="C1323" s="69" t="str">
        <f t="shared" si="85"/>
        <v>Closed</v>
      </c>
      <c r="D1323" s="27" t="s">
        <v>7381</v>
      </c>
      <c r="E1323" s="29" t="s">
        <v>7382</v>
      </c>
      <c r="F1323" s="30" t="s">
        <v>835</v>
      </c>
      <c r="G1323" s="89">
        <f>DATE(2012,4,4)</f>
        <v>41003</v>
      </c>
      <c r="H1323" s="90">
        <v>1.2250000000000001</v>
      </c>
      <c r="I1323" s="30" t="s">
        <v>198</v>
      </c>
      <c r="J1323" s="89" t="s">
        <v>7383</v>
      </c>
      <c r="K1323" s="30" t="s">
        <v>837</v>
      </c>
      <c r="L1323" s="30" t="s">
        <v>7384</v>
      </c>
      <c r="M1323" s="30" t="s">
        <v>63</v>
      </c>
      <c r="N1323" s="30" t="s">
        <v>142</v>
      </c>
      <c r="O1323" s="30" t="s">
        <v>77</v>
      </c>
      <c r="P1323" s="89" t="s">
        <v>165</v>
      </c>
      <c r="Q1323" s="89" t="s">
        <v>2162</v>
      </c>
      <c r="R1323" s="89" t="s">
        <v>840</v>
      </c>
      <c r="S1323" s="30">
        <v>0</v>
      </c>
      <c r="T1323" s="233">
        <v>0</v>
      </c>
      <c r="U1323" s="30">
        <v>0</v>
      </c>
      <c r="V1323" s="233">
        <v>0</v>
      </c>
      <c r="W1323" s="30">
        <v>0</v>
      </c>
      <c r="X1323" s="30">
        <v>0</v>
      </c>
      <c r="Y1323" s="30">
        <v>0</v>
      </c>
      <c r="Z1323" s="233">
        <v>0</v>
      </c>
      <c r="AA1323" s="30">
        <v>0</v>
      </c>
      <c r="AB1323" s="30">
        <v>0</v>
      </c>
      <c r="AC1323" s="30">
        <v>0</v>
      </c>
      <c r="AD1323" s="30">
        <v>0</v>
      </c>
      <c r="AE1323" s="89" t="s">
        <v>92</v>
      </c>
      <c r="AF1323" s="89"/>
      <c r="AG1323" s="89" t="s">
        <v>352</v>
      </c>
      <c r="AH1323" s="72">
        <v>41025</v>
      </c>
      <c r="AI1323" s="30">
        <v>0</v>
      </c>
      <c r="AJ1323" s="89" t="s">
        <v>7385</v>
      </c>
      <c r="AK1323" s="89" t="s">
        <v>68</v>
      </c>
      <c r="AL1323" s="91">
        <v>41284</v>
      </c>
      <c r="AM1323" s="91"/>
      <c r="AN1323" s="91"/>
      <c r="AO1323" s="91"/>
      <c r="AP1323" s="73" t="e">
        <f>MID(VLOOKUP(K1323,#REF!,2,FALSE),1,2)</f>
        <v>#REF!</v>
      </c>
      <c r="AQ1323" s="89">
        <f>DATE(2012,4,4)</f>
        <v>41003</v>
      </c>
      <c r="AR1323" s="82">
        <f t="shared" si="86"/>
        <v>4</v>
      </c>
      <c r="AS1323" s="83">
        <f t="shared" si="87"/>
        <v>4</v>
      </c>
      <c r="AT1323" s="84">
        <f t="shared" si="88"/>
        <v>2012</v>
      </c>
      <c r="AU1323" s="86"/>
      <c r="AV1323" s="86"/>
      <c r="AW1323" s="87"/>
      <c r="AX1323" s="86"/>
      <c r="AY1323" s="83"/>
      <c r="AZ1323" s="84"/>
      <c r="BA1323" s="86"/>
      <c r="BB1323" s="86"/>
    </row>
    <row r="1324" spans="1:54" ht="36.75" customHeight="1">
      <c r="A1324" s="30"/>
      <c r="B1324" s="30" t="s">
        <v>2124</v>
      </c>
      <c r="C1324" s="69" t="str">
        <f t="shared" si="85"/>
        <v>Open</v>
      </c>
      <c r="D1324" s="27" t="s">
        <v>7386</v>
      </c>
      <c r="E1324" s="29" t="s">
        <v>7387</v>
      </c>
      <c r="F1324" s="30" t="s">
        <v>5683</v>
      </c>
      <c r="G1324" s="89">
        <f>DATE(2012,4,6)</f>
        <v>41005</v>
      </c>
      <c r="H1324" s="90">
        <v>1.5229166666666667</v>
      </c>
      <c r="I1324" s="30" t="s">
        <v>156</v>
      </c>
      <c r="J1324" s="89" t="s">
        <v>7388</v>
      </c>
      <c r="K1324" s="30" t="s">
        <v>5685</v>
      </c>
      <c r="L1324" s="30" t="s">
        <v>7389</v>
      </c>
      <c r="M1324" s="30" t="s">
        <v>63</v>
      </c>
      <c r="N1324" s="30">
        <v>0</v>
      </c>
      <c r="O1324" s="30" t="s">
        <v>64</v>
      </c>
      <c r="P1324" s="89" t="s">
        <v>65</v>
      </c>
      <c r="Q1324" s="89" t="s">
        <v>5687</v>
      </c>
      <c r="R1324" s="89" t="s">
        <v>5688</v>
      </c>
      <c r="S1324" s="30">
        <v>0</v>
      </c>
      <c r="T1324" s="233">
        <v>0</v>
      </c>
      <c r="U1324" s="30">
        <v>0</v>
      </c>
      <c r="V1324" s="233">
        <v>0</v>
      </c>
      <c r="W1324" s="30">
        <v>4</v>
      </c>
      <c r="X1324" s="30">
        <v>4</v>
      </c>
      <c r="Y1324" s="30">
        <v>0</v>
      </c>
      <c r="Z1324" s="233">
        <v>0</v>
      </c>
      <c r="AA1324" s="30">
        <v>0</v>
      </c>
      <c r="AB1324" s="30">
        <v>0</v>
      </c>
      <c r="AC1324" s="30">
        <v>0</v>
      </c>
      <c r="AD1324" s="30">
        <v>0</v>
      </c>
      <c r="AE1324" s="89" t="s">
        <v>68</v>
      </c>
      <c r="AF1324" s="89"/>
      <c r="AG1324" s="89" t="s">
        <v>82</v>
      </c>
      <c r="AH1324" s="72" t="s">
        <v>68</v>
      </c>
      <c r="AI1324" s="30">
        <v>0</v>
      </c>
      <c r="AJ1324" s="89" t="s">
        <v>68</v>
      </c>
      <c r="AK1324" s="89" t="s">
        <v>68</v>
      </c>
      <c r="AL1324" s="91">
        <v>41073</v>
      </c>
      <c r="AM1324" s="91"/>
      <c r="AN1324" s="91"/>
      <c r="AO1324" s="91"/>
      <c r="AP1324" s="73" t="e">
        <f>MID(VLOOKUP(K1324,#REF!,2,FALSE),1,2)</f>
        <v>#REF!</v>
      </c>
      <c r="AQ1324" s="89">
        <f>DATE(2012,4,6)</f>
        <v>41005</v>
      </c>
      <c r="AR1324" s="82">
        <f t="shared" si="86"/>
        <v>6</v>
      </c>
      <c r="AS1324" s="83">
        <f t="shared" si="87"/>
        <v>4</v>
      </c>
      <c r="AT1324" s="84">
        <f t="shared" si="88"/>
        <v>2012</v>
      </c>
      <c r="AU1324" s="86"/>
      <c r="AV1324" s="86"/>
      <c r="AW1324" s="87"/>
      <c r="AX1324" s="86"/>
      <c r="AY1324" s="83"/>
      <c r="AZ1324" s="84"/>
      <c r="BA1324" s="86"/>
      <c r="BB1324" s="86"/>
    </row>
    <row r="1325" spans="1:54" ht="36.75" customHeight="1">
      <c r="A1325" s="30"/>
      <c r="B1325" s="30" t="s">
        <v>55</v>
      </c>
      <c r="C1325" s="69" t="str">
        <f t="shared" si="85"/>
        <v>Closed</v>
      </c>
      <c r="D1325" s="27" t="s">
        <v>7390</v>
      </c>
      <c r="E1325" s="29" t="s">
        <v>7391</v>
      </c>
      <c r="F1325" s="30" t="s">
        <v>1770</v>
      </c>
      <c r="G1325" s="89">
        <f>DATE(2012,4,12)</f>
        <v>41011</v>
      </c>
      <c r="H1325" s="90">
        <v>1.7583333333333333</v>
      </c>
      <c r="I1325" s="30" t="s">
        <v>73</v>
      </c>
      <c r="J1325" s="89" t="s">
        <v>7392</v>
      </c>
      <c r="K1325" s="30" t="s">
        <v>1772</v>
      </c>
      <c r="L1325" s="30" t="s">
        <v>7393</v>
      </c>
      <c r="M1325" s="30" t="s">
        <v>63</v>
      </c>
      <c r="N1325" s="30" t="s">
        <v>142</v>
      </c>
      <c r="O1325" s="30" t="s">
        <v>64</v>
      </c>
      <c r="P1325" s="89" t="s">
        <v>78</v>
      </c>
      <c r="Q1325" s="89" t="s">
        <v>6501</v>
      </c>
      <c r="R1325" s="89" t="s">
        <v>1775</v>
      </c>
      <c r="S1325" s="30">
        <v>0</v>
      </c>
      <c r="T1325" s="233">
        <v>0</v>
      </c>
      <c r="U1325" s="30">
        <v>0</v>
      </c>
      <c r="V1325" s="233">
        <v>0</v>
      </c>
      <c r="W1325" s="30">
        <v>0</v>
      </c>
      <c r="X1325" s="30">
        <v>0</v>
      </c>
      <c r="Y1325" s="30">
        <v>0</v>
      </c>
      <c r="Z1325" s="233">
        <v>0</v>
      </c>
      <c r="AA1325" s="30">
        <v>0</v>
      </c>
      <c r="AB1325" s="30">
        <v>0</v>
      </c>
      <c r="AC1325" s="30">
        <v>0</v>
      </c>
      <c r="AD1325" s="30">
        <v>0</v>
      </c>
      <c r="AE1325" s="89" t="s">
        <v>394</v>
      </c>
      <c r="AF1325" s="89"/>
      <c r="AG1325" s="89" t="s">
        <v>133</v>
      </c>
      <c r="AH1325" s="72">
        <v>41011</v>
      </c>
      <c r="AI1325" s="30">
        <v>0</v>
      </c>
      <c r="AJ1325" s="89" t="s">
        <v>7394</v>
      </c>
      <c r="AK1325" s="89" t="s">
        <v>68</v>
      </c>
      <c r="AL1325" s="91">
        <v>41031</v>
      </c>
      <c r="AM1325" s="91"/>
      <c r="AN1325" s="91"/>
      <c r="AO1325" s="91"/>
      <c r="AP1325" s="73" t="e">
        <f>MID(VLOOKUP(K1325,#REF!,2,FALSE),1,2)</f>
        <v>#REF!</v>
      </c>
      <c r="AQ1325" s="89">
        <f>DATE(2012,4,12)</f>
        <v>41011</v>
      </c>
      <c r="AR1325" s="82">
        <f t="shared" si="86"/>
        <v>12</v>
      </c>
      <c r="AS1325" s="83">
        <f t="shared" si="87"/>
        <v>4</v>
      </c>
      <c r="AT1325" s="84">
        <f t="shared" si="88"/>
        <v>2012</v>
      </c>
      <c r="AU1325" s="86"/>
      <c r="AV1325" s="86"/>
      <c r="AW1325" s="87"/>
      <c r="AX1325" s="86"/>
      <c r="AY1325" s="83"/>
      <c r="AZ1325" s="84"/>
      <c r="BA1325" s="86"/>
      <c r="BB1325" s="86"/>
    </row>
    <row r="1326" spans="1:54" ht="36.75" customHeight="1">
      <c r="A1326" s="30"/>
      <c r="B1326" s="30" t="s">
        <v>55</v>
      </c>
      <c r="C1326" s="69" t="str">
        <f t="shared" si="85"/>
        <v>Closed</v>
      </c>
      <c r="D1326" s="27" t="s">
        <v>7395</v>
      </c>
      <c r="E1326" s="29" t="s">
        <v>7396</v>
      </c>
      <c r="F1326" s="30" t="s">
        <v>233</v>
      </c>
      <c r="G1326" s="89">
        <f>DATE(2012,4,12)</f>
        <v>41011</v>
      </c>
      <c r="H1326" s="90">
        <v>1.4152777777777779</v>
      </c>
      <c r="I1326" s="30" t="s">
        <v>278</v>
      </c>
      <c r="J1326" s="89" t="s">
        <v>7397</v>
      </c>
      <c r="K1326" s="30" t="s">
        <v>235</v>
      </c>
      <c r="L1326" s="30" t="s">
        <v>7398</v>
      </c>
      <c r="M1326" s="30" t="s">
        <v>129</v>
      </c>
      <c r="N1326" s="30" t="s">
        <v>142</v>
      </c>
      <c r="O1326" s="30" t="s">
        <v>77</v>
      </c>
      <c r="P1326" s="89" t="s">
        <v>165</v>
      </c>
      <c r="Q1326" s="89" t="s">
        <v>7399</v>
      </c>
      <c r="R1326" s="89">
        <v>0</v>
      </c>
      <c r="S1326" s="30">
        <v>0</v>
      </c>
      <c r="T1326" s="233">
        <v>0</v>
      </c>
      <c r="U1326" s="30">
        <v>0</v>
      </c>
      <c r="V1326" s="233">
        <v>0</v>
      </c>
      <c r="W1326" s="30">
        <v>0</v>
      </c>
      <c r="X1326" s="30">
        <v>0</v>
      </c>
      <c r="Y1326" s="30">
        <v>0</v>
      </c>
      <c r="Z1326" s="233">
        <v>0</v>
      </c>
      <c r="AA1326" s="30">
        <v>0</v>
      </c>
      <c r="AB1326" s="30">
        <v>0</v>
      </c>
      <c r="AC1326" s="30">
        <v>0</v>
      </c>
      <c r="AD1326" s="30">
        <v>0</v>
      </c>
      <c r="AE1326" s="89" t="s">
        <v>92</v>
      </c>
      <c r="AF1326" s="89"/>
      <c r="AG1326" s="89" t="s">
        <v>133</v>
      </c>
      <c r="AH1326" s="72">
        <v>41015</v>
      </c>
      <c r="AI1326" s="30">
        <v>5</v>
      </c>
      <c r="AJ1326" s="89" t="s">
        <v>7400</v>
      </c>
      <c r="AK1326" s="89" t="s">
        <v>7401</v>
      </c>
      <c r="AL1326" s="91">
        <v>41032</v>
      </c>
      <c r="AM1326" s="91"/>
      <c r="AN1326" s="91"/>
      <c r="AO1326" s="91"/>
      <c r="AP1326" s="73" t="e">
        <f>MID(VLOOKUP(K1326,#REF!,2,FALSE),1,2)</f>
        <v>#REF!</v>
      </c>
      <c r="AQ1326" s="89">
        <f>DATE(2012,4,12)</f>
        <v>41011</v>
      </c>
      <c r="AR1326" s="82">
        <f t="shared" si="86"/>
        <v>12</v>
      </c>
      <c r="AS1326" s="83">
        <f t="shared" si="87"/>
        <v>4</v>
      </c>
      <c r="AT1326" s="84">
        <f t="shared" si="88"/>
        <v>2012</v>
      </c>
      <c r="AU1326" s="86"/>
      <c r="AV1326" s="86"/>
      <c r="AW1326" s="87"/>
      <c r="AX1326" s="86"/>
      <c r="AY1326" s="83"/>
      <c r="AZ1326" s="84"/>
      <c r="BA1326" s="86"/>
      <c r="BB1326" s="86"/>
    </row>
    <row r="1327" spans="1:54" ht="36.75" customHeight="1">
      <c r="A1327" s="30"/>
      <c r="B1327" s="30" t="s">
        <v>55</v>
      </c>
      <c r="C1327" s="69" t="str">
        <f t="shared" si="85"/>
        <v>Closed</v>
      </c>
      <c r="D1327" s="27" t="s">
        <v>7402</v>
      </c>
      <c r="E1327" s="29" t="s">
        <v>7403</v>
      </c>
      <c r="F1327" s="30" t="s">
        <v>582</v>
      </c>
      <c r="G1327" s="89">
        <f>DATE(2012,4,13)</f>
        <v>41012</v>
      </c>
      <c r="H1327" s="90">
        <v>1.0402777777777779</v>
      </c>
      <c r="I1327" s="30" t="s">
        <v>198</v>
      </c>
      <c r="J1327" s="89" t="s">
        <v>7404</v>
      </c>
      <c r="K1327" s="30" t="s">
        <v>584</v>
      </c>
      <c r="L1327" s="30" t="s">
        <v>7405</v>
      </c>
      <c r="M1327" s="30" t="s">
        <v>63</v>
      </c>
      <c r="N1327" s="30" t="s">
        <v>142</v>
      </c>
      <c r="O1327" s="30" t="s">
        <v>64</v>
      </c>
      <c r="P1327" s="89" t="s">
        <v>2931</v>
      </c>
      <c r="Q1327" s="89" t="s">
        <v>7406</v>
      </c>
      <c r="R1327" s="89" t="s">
        <v>587</v>
      </c>
      <c r="S1327" s="30">
        <v>0</v>
      </c>
      <c r="T1327" s="233">
        <v>3</v>
      </c>
      <c r="U1327" s="30">
        <v>0</v>
      </c>
      <c r="V1327" s="233">
        <v>0</v>
      </c>
      <c r="W1327" s="30">
        <v>0</v>
      </c>
      <c r="X1327" s="30">
        <v>3</v>
      </c>
      <c r="Y1327" s="30">
        <v>0</v>
      </c>
      <c r="Z1327" s="233">
        <v>0</v>
      </c>
      <c r="AA1327" s="30">
        <v>0</v>
      </c>
      <c r="AB1327" s="30">
        <v>0</v>
      </c>
      <c r="AC1327" s="30">
        <v>0</v>
      </c>
      <c r="AD1327" s="30">
        <v>0</v>
      </c>
      <c r="AE1327" s="89" t="s">
        <v>394</v>
      </c>
      <c r="AF1327" s="89"/>
      <c r="AG1327" s="89" t="s">
        <v>82</v>
      </c>
      <c r="AH1327" s="72">
        <v>41012</v>
      </c>
      <c r="AI1327" s="30">
        <v>1</v>
      </c>
      <c r="AJ1327" s="89" t="s">
        <v>7407</v>
      </c>
      <c r="AK1327" s="89" t="s">
        <v>1233</v>
      </c>
      <c r="AL1327" s="91">
        <v>41012</v>
      </c>
      <c r="AM1327" s="91"/>
      <c r="AN1327" s="91"/>
      <c r="AO1327" s="91"/>
      <c r="AP1327" s="73" t="e">
        <f>MID(VLOOKUP(K1327,#REF!,2,FALSE),1,2)</f>
        <v>#REF!</v>
      </c>
      <c r="AQ1327" s="89">
        <f>DATE(2012,4,13)</f>
        <v>41012</v>
      </c>
      <c r="AR1327" s="82">
        <f t="shared" si="86"/>
        <v>13</v>
      </c>
      <c r="AS1327" s="83">
        <f t="shared" si="87"/>
        <v>4</v>
      </c>
      <c r="AT1327" s="84">
        <f t="shared" si="88"/>
        <v>2012</v>
      </c>
      <c r="AU1327" s="86"/>
      <c r="AV1327" s="86"/>
      <c r="AW1327" s="87"/>
      <c r="AX1327" s="86"/>
      <c r="AY1327" s="83"/>
      <c r="AZ1327" s="84"/>
      <c r="BA1327" s="86"/>
      <c r="BB1327" s="86"/>
    </row>
    <row r="1328" spans="1:54" ht="36.75" customHeight="1">
      <c r="A1328" s="30"/>
      <c r="B1328" s="30" t="s">
        <v>55</v>
      </c>
      <c r="C1328" s="69" t="str">
        <f t="shared" si="85"/>
        <v>Closed</v>
      </c>
      <c r="D1328" s="27" t="s">
        <v>7408</v>
      </c>
      <c r="E1328" s="29" t="s">
        <v>7409</v>
      </c>
      <c r="F1328" s="30" t="s">
        <v>835</v>
      </c>
      <c r="G1328" s="89">
        <f>DATE(2012,4,13)</f>
        <v>41012</v>
      </c>
      <c r="H1328" s="90">
        <v>1.5173611111111112</v>
      </c>
      <c r="I1328" s="30" t="s">
        <v>116</v>
      </c>
      <c r="J1328" s="89" t="s">
        <v>7410</v>
      </c>
      <c r="K1328" s="30" t="s">
        <v>837</v>
      </c>
      <c r="L1328" s="30" t="s">
        <v>7411</v>
      </c>
      <c r="M1328" s="30" t="s">
        <v>63</v>
      </c>
      <c r="N1328" s="30" t="s">
        <v>99</v>
      </c>
      <c r="O1328" s="30" t="s">
        <v>64</v>
      </c>
      <c r="P1328" s="89" t="s">
        <v>165</v>
      </c>
      <c r="Q1328" s="89" t="s">
        <v>4311</v>
      </c>
      <c r="R1328" s="89" t="s">
        <v>2797</v>
      </c>
      <c r="S1328" s="30">
        <v>0</v>
      </c>
      <c r="T1328" s="233">
        <v>0</v>
      </c>
      <c r="U1328" s="30">
        <v>3</v>
      </c>
      <c r="V1328" s="233">
        <v>0</v>
      </c>
      <c r="W1328" s="30">
        <v>0</v>
      </c>
      <c r="X1328" s="30">
        <v>3</v>
      </c>
      <c r="Y1328" s="30">
        <v>0</v>
      </c>
      <c r="Z1328" s="233">
        <v>0</v>
      </c>
      <c r="AA1328" s="30">
        <v>3</v>
      </c>
      <c r="AB1328" s="30">
        <v>0</v>
      </c>
      <c r="AC1328" s="30">
        <v>0</v>
      </c>
      <c r="AD1328" s="30">
        <v>3</v>
      </c>
      <c r="AE1328" s="89" t="s">
        <v>92</v>
      </c>
      <c r="AF1328" s="89"/>
      <c r="AG1328" s="89" t="s">
        <v>352</v>
      </c>
      <c r="AH1328" s="72" t="s">
        <v>68</v>
      </c>
      <c r="AI1328" s="30">
        <v>0</v>
      </c>
      <c r="AJ1328" s="89" t="s">
        <v>7412</v>
      </c>
      <c r="AK1328" s="89" t="s">
        <v>68</v>
      </c>
      <c r="AL1328" s="91">
        <v>41025</v>
      </c>
      <c r="AM1328" s="91"/>
      <c r="AN1328" s="91"/>
      <c r="AO1328" s="91"/>
      <c r="AP1328" s="73" t="e">
        <f>MID(VLOOKUP(K1328,#REF!,2,FALSE),1,2)</f>
        <v>#REF!</v>
      </c>
      <c r="AQ1328" s="89">
        <f>DATE(2012,4,13)</f>
        <v>41012</v>
      </c>
      <c r="AR1328" s="82">
        <f t="shared" si="86"/>
        <v>13</v>
      </c>
      <c r="AS1328" s="83">
        <f t="shared" si="87"/>
        <v>4</v>
      </c>
      <c r="AT1328" s="84">
        <f t="shared" si="88"/>
        <v>2012</v>
      </c>
      <c r="AU1328" s="86"/>
      <c r="AV1328" s="86"/>
      <c r="AW1328" s="87"/>
      <c r="AX1328" s="86"/>
      <c r="AY1328" s="83"/>
      <c r="AZ1328" s="84"/>
      <c r="BA1328" s="86"/>
      <c r="BB1328" s="86"/>
    </row>
    <row r="1329" spans="1:54" ht="36.75" customHeight="1">
      <c r="A1329" s="30"/>
      <c r="B1329" s="30" t="s">
        <v>55</v>
      </c>
      <c r="C1329" s="69" t="str">
        <f t="shared" si="85"/>
        <v>Closed</v>
      </c>
      <c r="D1329" s="27" t="s">
        <v>7413</v>
      </c>
      <c r="E1329" s="29" t="s">
        <v>7414</v>
      </c>
      <c r="F1329" s="30" t="s">
        <v>72</v>
      </c>
      <c r="G1329" s="89">
        <f>DATE(2012,4,13)</f>
        <v>41012</v>
      </c>
      <c r="H1329" s="90">
        <v>1.4375</v>
      </c>
      <c r="I1329" s="30" t="s">
        <v>198</v>
      </c>
      <c r="J1329" s="89" t="s">
        <v>7415</v>
      </c>
      <c r="K1329" s="30" t="s">
        <v>75</v>
      </c>
      <c r="L1329" s="30" t="s">
        <v>7416</v>
      </c>
      <c r="M1329" s="30" t="s">
        <v>63</v>
      </c>
      <c r="N1329" s="30" t="s">
        <v>142</v>
      </c>
      <c r="O1329" s="30" t="s">
        <v>64</v>
      </c>
      <c r="P1329" s="89" t="s">
        <v>78</v>
      </c>
      <c r="Q1329" s="89" t="s">
        <v>7417</v>
      </c>
      <c r="R1329" s="89" t="s">
        <v>7418</v>
      </c>
      <c r="S1329" s="30">
        <v>0</v>
      </c>
      <c r="T1329" s="233">
        <v>0</v>
      </c>
      <c r="U1329" s="30">
        <v>0</v>
      </c>
      <c r="V1329" s="233">
        <v>0</v>
      </c>
      <c r="W1329" s="30">
        <v>0</v>
      </c>
      <c r="X1329" s="30">
        <v>0</v>
      </c>
      <c r="Y1329" s="30">
        <v>0</v>
      </c>
      <c r="Z1329" s="233">
        <v>0</v>
      </c>
      <c r="AA1329" s="30">
        <v>0</v>
      </c>
      <c r="AB1329" s="30">
        <v>0</v>
      </c>
      <c r="AC1329" s="30">
        <v>0</v>
      </c>
      <c r="AD1329" s="30">
        <v>0</v>
      </c>
      <c r="AE1329" s="89" t="s">
        <v>145</v>
      </c>
      <c r="AF1329" s="89"/>
      <c r="AG1329" s="89" t="s">
        <v>82</v>
      </c>
      <c r="AH1329" s="72">
        <v>41019</v>
      </c>
      <c r="AI1329" s="30">
        <v>0</v>
      </c>
      <c r="AJ1329" s="89" t="s">
        <v>7419</v>
      </c>
      <c r="AK1329" s="89" t="s">
        <v>7420</v>
      </c>
      <c r="AL1329" s="91">
        <v>41050</v>
      </c>
      <c r="AM1329" s="91"/>
      <c r="AN1329" s="91"/>
      <c r="AO1329" s="91"/>
      <c r="AP1329" s="73" t="e">
        <f>MID(VLOOKUP(K1329,#REF!,2,FALSE),1,2)</f>
        <v>#REF!</v>
      </c>
      <c r="AQ1329" s="89">
        <f>DATE(2012,4,13)</f>
        <v>41012</v>
      </c>
      <c r="AR1329" s="82">
        <f t="shared" si="86"/>
        <v>13</v>
      </c>
      <c r="AS1329" s="83">
        <f t="shared" si="87"/>
        <v>4</v>
      </c>
      <c r="AT1329" s="84">
        <f t="shared" si="88"/>
        <v>2012</v>
      </c>
      <c r="AU1329" s="86"/>
      <c r="AV1329" s="86"/>
      <c r="AW1329" s="87"/>
      <c r="AX1329" s="86"/>
      <c r="AY1329" s="83"/>
      <c r="AZ1329" s="84"/>
      <c r="BA1329" s="86"/>
      <c r="BB1329" s="86"/>
    </row>
    <row r="1330" spans="1:54" ht="36.75" customHeight="1">
      <c r="A1330" s="30"/>
      <c r="B1330" s="30" t="s">
        <v>55</v>
      </c>
      <c r="C1330" s="69" t="str">
        <f t="shared" si="85"/>
        <v>Closed</v>
      </c>
      <c r="D1330" s="27" t="s">
        <v>7421</v>
      </c>
      <c r="E1330" s="29" t="s">
        <v>7422</v>
      </c>
      <c r="F1330" s="30" t="s">
        <v>197</v>
      </c>
      <c r="G1330" s="89">
        <f>DATE(2012,4,14)</f>
        <v>41013</v>
      </c>
      <c r="H1330" s="90">
        <v>1.1458333333333333</v>
      </c>
      <c r="I1330" s="30" t="s">
        <v>198</v>
      </c>
      <c r="J1330" s="89" t="s">
        <v>7423</v>
      </c>
      <c r="K1330" s="30" t="s">
        <v>200</v>
      </c>
      <c r="L1330" s="30" t="s">
        <v>7424</v>
      </c>
      <c r="M1330" s="30" t="s">
        <v>63</v>
      </c>
      <c r="N1330" s="30" t="s">
        <v>142</v>
      </c>
      <c r="O1330" s="30" t="s">
        <v>77</v>
      </c>
      <c r="P1330" s="89" t="s">
        <v>2551</v>
      </c>
      <c r="Q1330" s="89">
        <v>0</v>
      </c>
      <c r="R1330" s="89">
        <v>0</v>
      </c>
      <c r="S1330" s="30">
        <v>0</v>
      </c>
      <c r="T1330" s="232">
        <v>0</v>
      </c>
      <c r="U1330" s="30">
        <v>0</v>
      </c>
      <c r="V1330" s="232">
        <v>0</v>
      </c>
      <c r="W1330" s="30">
        <v>0</v>
      </c>
      <c r="X1330" s="30">
        <v>0</v>
      </c>
      <c r="Y1330" s="30">
        <v>0</v>
      </c>
      <c r="Z1330" s="232">
        <v>0</v>
      </c>
      <c r="AA1330" s="30">
        <v>0</v>
      </c>
      <c r="AB1330" s="30">
        <v>0</v>
      </c>
      <c r="AC1330" s="30">
        <v>0</v>
      </c>
      <c r="AD1330" s="30">
        <v>0</v>
      </c>
      <c r="AE1330" s="89" t="s">
        <v>394</v>
      </c>
      <c r="AF1330" s="89"/>
      <c r="AG1330" s="89" t="s">
        <v>133</v>
      </c>
      <c r="AH1330" s="72">
        <v>41013</v>
      </c>
      <c r="AI1330" s="30">
        <v>1</v>
      </c>
      <c r="AJ1330" s="89" t="s">
        <v>7425</v>
      </c>
      <c r="AK1330" s="89" t="s">
        <v>1233</v>
      </c>
      <c r="AL1330" s="91">
        <v>41526</v>
      </c>
      <c r="AM1330" s="91"/>
      <c r="AN1330" s="91"/>
      <c r="AO1330" s="91"/>
      <c r="AP1330" s="73" t="e">
        <f>MID(VLOOKUP(K1330,#REF!,2,FALSE),1,2)</f>
        <v>#REF!</v>
      </c>
      <c r="AQ1330" s="89">
        <f>DATE(2012,4,14)</f>
        <v>41013</v>
      </c>
      <c r="AR1330" s="82">
        <f t="shared" si="86"/>
        <v>14</v>
      </c>
      <c r="AS1330" s="83">
        <f t="shared" si="87"/>
        <v>4</v>
      </c>
      <c r="AT1330" s="84">
        <f t="shared" si="88"/>
        <v>2012</v>
      </c>
      <c r="AU1330" s="86"/>
      <c r="AV1330" s="86"/>
      <c r="AW1330" s="87"/>
      <c r="AX1330" s="86"/>
      <c r="AY1330" s="83"/>
      <c r="AZ1330" s="84"/>
      <c r="BA1330" s="86"/>
      <c r="BB1330" s="86"/>
    </row>
    <row r="1331" spans="1:54" ht="36.75" customHeight="1">
      <c r="A1331" s="98" t="s">
        <v>4910</v>
      </c>
      <c r="B1331" s="30" t="s">
        <v>55</v>
      </c>
      <c r="C1331" s="69" t="str">
        <f t="shared" si="85"/>
        <v>Closed</v>
      </c>
      <c r="D1331" s="27" t="s">
        <v>7426</v>
      </c>
      <c r="E1331" s="29" t="s">
        <v>7427</v>
      </c>
      <c r="F1331" s="30" t="s">
        <v>582</v>
      </c>
      <c r="G1331" s="89">
        <f>DATE(2012,4,16)</f>
        <v>41015</v>
      </c>
      <c r="H1331" s="90">
        <v>1.8909722222222221</v>
      </c>
      <c r="I1331" s="30" t="s">
        <v>73</v>
      </c>
      <c r="J1331" s="89" t="s">
        <v>7428</v>
      </c>
      <c r="K1331" s="30" t="s">
        <v>584</v>
      </c>
      <c r="L1331" s="30" t="s">
        <v>7429</v>
      </c>
      <c r="M1331" s="30" t="s">
        <v>63</v>
      </c>
      <c r="N1331" s="30">
        <v>0</v>
      </c>
      <c r="O1331" s="30" t="s">
        <v>77</v>
      </c>
      <c r="P1331" s="89" t="s">
        <v>78</v>
      </c>
      <c r="Q1331" s="89" t="s">
        <v>7430</v>
      </c>
      <c r="R1331" s="89" t="s">
        <v>587</v>
      </c>
      <c r="S1331" s="30">
        <v>0</v>
      </c>
      <c r="T1331" s="101" t="s">
        <v>68</v>
      </c>
      <c r="U1331" s="30">
        <v>0</v>
      </c>
      <c r="V1331" s="101" t="s">
        <v>68</v>
      </c>
      <c r="W1331" s="30">
        <v>0</v>
      </c>
      <c r="X1331" s="30">
        <v>0</v>
      </c>
      <c r="Y1331" s="30">
        <v>0</v>
      </c>
      <c r="Z1331" s="101" t="s">
        <v>68</v>
      </c>
      <c r="AA1331" s="30">
        <v>0</v>
      </c>
      <c r="AB1331" s="30">
        <v>0</v>
      </c>
      <c r="AC1331" s="30">
        <v>0</v>
      </c>
      <c r="AD1331" s="30">
        <v>0</v>
      </c>
      <c r="AE1331" s="89" t="s">
        <v>68</v>
      </c>
      <c r="AF1331" s="89"/>
      <c r="AG1331" s="89" t="s">
        <v>82</v>
      </c>
      <c r="AH1331" s="72" t="s">
        <v>68</v>
      </c>
      <c r="AI1331" s="30">
        <v>0</v>
      </c>
      <c r="AJ1331" s="89" t="s">
        <v>68</v>
      </c>
      <c r="AK1331" s="89" t="s">
        <v>68</v>
      </c>
      <c r="AL1331" s="91">
        <v>41023</v>
      </c>
      <c r="AM1331" s="91"/>
      <c r="AN1331" s="91"/>
      <c r="AO1331" s="91"/>
      <c r="AP1331" s="73" t="e">
        <f>MID(VLOOKUP(K1331,#REF!,2,FALSE),1,2)</f>
        <v>#REF!</v>
      </c>
      <c r="AQ1331" s="89">
        <f>DATE(2012,4,16)</f>
        <v>41015</v>
      </c>
      <c r="AR1331" s="82">
        <f t="shared" si="86"/>
        <v>16</v>
      </c>
      <c r="AS1331" s="83">
        <f t="shared" si="87"/>
        <v>4</v>
      </c>
      <c r="AT1331" s="84">
        <f t="shared" si="88"/>
        <v>2012</v>
      </c>
      <c r="AU1331" s="86"/>
      <c r="AV1331" s="86"/>
      <c r="AW1331" s="87"/>
      <c r="AX1331" s="86"/>
      <c r="AY1331" s="83"/>
      <c r="AZ1331" s="84"/>
      <c r="BA1331" s="86"/>
      <c r="BB1331" s="86"/>
    </row>
    <row r="1332" spans="1:54" ht="36.75" customHeight="1">
      <c r="A1332" s="30"/>
      <c r="B1332" s="30" t="s">
        <v>55</v>
      </c>
      <c r="C1332" s="69" t="str">
        <f t="shared" si="85"/>
        <v>Closed</v>
      </c>
      <c r="D1332" s="27" t="s">
        <v>7431</v>
      </c>
      <c r="E1332" s="29" t="s">
        <v>7432</v>
      </c>
      <c r="F1332" s="30" t="s">
        <v>638</v>
      </c>
      <c r="G1332" s="89">
        <f>DATE(2012,4,18)</f>
        <v>41017</v>
      </c>
      <c r="H1332" s="90">
        <v>1.4541666666666666</v>
      </c>
      <c r="I1332" s="30" t="s">
        <v>104</v>
      </c>
      <c r="J1332" s="89" t="s">
        <v>7433</v>
      </c>
      <c r="K1332" s="30" t="s">
        <v>640</v>
      </c>
      <c r="L1332" s="30" t="s">
        <v>7434</v>
      </c>
      <c r="M1332" s="30" t="s">
        <v>63</v>
      </c>
      <c r="N1332" s="30" t="s">
        <v>99</v>
      </c>
      <c r="O1332" s="30" t="s">
        <v>77</v>
      </c>
      <c r="P1332" s="89" t="s">
        <v>78</v>
      </c>
      <c r="Q1332" s="89" t="s">
        <v>3246</v>
      </c>
      <c r="R1332" s="89" t="s">
        <v>3246</v>
      </c>
      <c r="S1332" s="30">
        <v>0</v>
      </c>
      <c r="T1332" s="233">
        <v>0</v>
      </c>
      <c r="U1332" s="30">
        <v>0</v>
      </c>
      <c r="V1332" s="233">
        <v>0</v>
      </c>
      <c r="W1332" s="30">
        <v>0</v>
      </c>
      <c r="X1332" s="30">
        <v>0</v>
      </c>
      <c r="Y1332" s="30">
        <v>0</v>
      </c>
      <c r="Z1332" s="233">
        <v>0</v>
      </c>
      <c r="AA1332" s="30">
        <v>0</v>
      </c>
      <c r="AB1332" s="30">
        <v>0</v>
      </c>
      <c r="AC1332" s="30">
        <v>0</v>
      </c>
      <c r="AD1332" s="30">
        <v>0</v>
      </c>
      <c r="AE1332" s="89" t="s">
        <v>68</v>
      </c>
      <c r="AF1332" s="89"/>
      <c r="AG1332" s="89" t="s">
        <v>352</v>
      </c>
      <c r="AH1332" s="72">
        <v>41023</v>
      </c>
      <c r="AI1332" s="30">
        <v>1</v>
      </c>
      <c r="AJ1332" s="89" t="s">
        <v>7435</v>
      </c>
      <c r="AK1332" s="89" t="s">
        <v>68</v>
      </c>
      <c r="AL1332" s="91">
        <v>41024</v>
      </c>
      <c r="AM1332" s="91"/>
      <c r="AN1332" s="91"/>
      <c r="AO1332" s="91"/>
      <c r="AP1332" s="73" t="e">
        <f>MID(VLOOKUP(K1332,#REF!,2,FALSE),1,2)</f>
        <v>#REF!</v>
      </c>
      <c r="AQ1332" s="89">
        <f>DATE(2012,4,18)</f>
        <v>41017</v>
      </c>
      <c r="AR1332" s="82">
        <f t="shared" si="86"/>
        <v>18</v>
      </c>
      <c r="AS1332" s="83">
        <f t="shared" si="87"/>
        <v>4</v>
      </c>
      <c r="AT1332" s="84">
        <f t="shared" si="88"/>
        <v>2012</v>
      </c>
      <c r="AU1332" s="86"/>
      <c r="AV1332" s="86"/>
      <c r="AW1332" s="87"/>
      <c r="AX1332" s="86"/>
      <c r="AY1332" s="83"/>
      <c r="AZ1332" s="84"/>
      <c r="BA1332" s="86"/>
      <c r="BB1332" s="86"/>
    </row>
    <row r="1333" spans="1:54" ht="36.75" customHeight="1">
      <c r="A1333" s="30"/>
      <c r="B1333" s="30" t="s">
        <v>55</v>
      </c>
      <c r="C1333" s="69" t="str">
        <f t="shared" si="85"/>
        <v>Closed</v>
      </c>
      <c r="D1333" s="27" t="s">
        <v>7436</v>
      </c>
      <c r="E1333" s="29" t="s">
        <v>7437</v>
      </c>
      <c r="F1333" s="30" t="s">
        <v>1572</v>
      </c>
      <c r="G1333" s="89">
        <f>DATE(2012,4,19)</f>
        <v>41018</v>
      </c>
      <c r="H1333" s="90">
        <v>1.3506944444444444</v>
      </c>
      <c r="I1333" s="30" t="s">
        <v>73</v>
      </c>
      <c r="J1333" s="89" t="s">
        <v>7438</v>
      </c>
      <c r="K1333" s="30" t="s">
        <v>1574</v>
      </c>
      <c r="L1333" s="30" t="s">
        <v>7439</v>
      </c>
      <c r="M1333" s="30" t="s">
        <v>63</v>
      </c>
      <c r="N1333" s="30" t="s">
        <v>142</v>
      </c>
      <c r="O1333" s="30" t="s">
        <v>64</v>
      </c>
      <c r="P1333" s="89" t="s">
        <v>78</v>
      </c>
      <c r="Q1333" s="89" t="s">
        <v>4920</v>
      </c>
      <c r="R1333" s="89">
        <v>0</v>
      </c>
      <c r="S1333" s="30">
        <v>0</v>
      </c>
      <c r="T1333" s="233">
        <v>0</v>
      </c>
      <c r="U1333" s="30">
        <v>0</v>
      </c>
      <c r="V1333" s="233">
        <v>0</v>
      </c>
      <c r="W1333" s="30">
        <v>0</v>
      </c>
      <c r="X1333" s="30">
        <v>0</v>
      </c>
      <c r="Y1333" s="30">
        <v>0</v>
      </c>
      <c r="Z1333" s="233">
        <v>0</v>
      </c>
      <c r="AA1333" s="30">
        <v>0</v>
      </c>
      <c r="AB1333" s="30">
        <v>0</v>
      </c>
      <c r="AC1333" s="30">
        <v>0</v>
      </c>
      <c r="AD1333" s="30">
        <v>0</v>
      </c>
      <c r="AE1333" s="89" t="s">
        <v>68</v>
      </c>
      <c r="AF1333" s="89"/>
      <c r="AG1333" s="89" t="s">
        <v>133</v>
      </c>
      <c r="AH1333" s="72">
        <v>41019</v>
      </c>
      <c r="AI1333" s="30">
        <v>0</v>
      </c>
      <c r="AJ1333" s="89" t="s">
        <v>7440</v>
      </c>
      <c r="AK1333" s="89" t="s">
        <v>1233</v>
      </c>
      <c r="AL1333" s="91">
        <v>41043</v>
      </c>
      <c r="AM1333" s="91"/>
      <c r="AN1333" s="91"/>
      <c r="AO1333" s="91"/>
      <c r="AP1333" s="73" t="e">
        <f>MID(VLOOKUP(K1333,#REF!,2,FALSE),1,2)</f>
        <v>#REF!</v>
      </c>
      <c r="AQ1333" s="89">
        <f>DATE(2012,4,19)</f>
        <v>41018</v>
      </c>
      <c r="AR1333" s="82">
        <f t="shared" si="86"/>
        <v>19</v>
      </c>
      <c r="AS1333" s="83">
        <f t="shared" si="87"/>
        <v>4</v>
      </c>
      <c r="AT1333" s="84">
        <f t="shared" si="88"/>
        <v>2012</v>
      </c>
      <c r="AU1333" s="86"/>
      <c r="AV1333" s="86"/>
      <c r="AW1333" s="87"/>
      <c r="AX1333" s="86"/>
      <c r="AY1333" s="83"/>
      <c r="AZ1333" s="84"/>
      <c r="BA1333" s="86"/>
      <c r="BB1333" s="86"/>
    </row>
    <row r="1334" spans="1:54" ht="36.75" customHeight="1">
      <c r="A1334" s="30"/>
      <c r="B1334" s="30" t="s">
        <v>55</v>
      </c>
      <c r="C1334" s="69" t="str">
        <f t="shared" si="85"/>
        <v>Closed</v>
      </c>
      <c r="D1334" s="27" t="s">
        <v>7441</v>
      </c>
      <c r="E1334" s="29" t="s">
        <v>7442</v>
      </c>
      <c r="F1334" s="30" t="s">
        <v>72</v>
      </c>
      <c r="G1334" s="89">
        <f>DATE(2012,4,21)</f>
        <v>41020</v>
      </c>
      <c r="H1334" s="90">
        <v>1.7659722222222221</v>
      </c>
      <c r="I1334" s="30" t="s">
        <v>198</v>
      </c>
      <c r="J1334" s="89" t="s">
        <v>7443</v>
      </c>
      <c r="K1334" s="30" t="s">
        <v>75</v>
      </c>
      <c r="L1334" s="30" t="s">
        <v>7444</v>
      </c>
      <c r="M1334" s="30" t="s">
        <v>63</v>
      </c>
      <c r="N1334" s="30" t="s">
        <v>89</v>
      </c>
      <c r="O1334" s="30" t="s">
        <v>77</v>
      </c>
      <c r="P1334" s="89" t="s">
        <v>1216</v>
      </c>
      <c r="Q1334" s="89" t="s">
        <v>7445</v>
      </c>
      <c r="R1334" s="89" t="s">
        <v>80</v>
      </c>
      <c r="S1334" s="30">
        <v>1</v>
      </c>
      <c r="T1334" s="233">
        <v>0</v>
      </c>
      <c r="U1334" s="30">
        <v>0</v>
      </c>
      <c r="V1334" s="233">
        <v>0</v>
      </c>
      <c r="W1334" s="30">
        <v>0</v>
      </c>
      <c r="X1334" s="30">
        <v>1</v>
      </c>
      <c r="Y1334" s="30">
        <v>22</v>
      </c>
      <c r="Z1334" s="233">
        <v>1</v>
      </c>
      <c r="AA1334" s="30">
        <v>0</v>
      </c>
      <c r="AB1334" s="30">
        <v>0</v>
      </c>
      <c r="AC1334" s="30">
        <v>0</v>
      </c>
      <c r="AD1334" s="30">
        <v>23</v>
      </c>
      <c r="AE1334" s="89" t="s">
        <v>145</v>
      </c>
      <c r="AF1334" s="89"/>
      <c r="AG1334" s="89" t="s">
        <v>82</v>
      </c>
      <c r="AH1334" s="72">
        <v>41020</v>
      </c>
      <c r="AI1334" s="30">
        <v>8</v>
      </c>
      <c r="AJ1334" s="89" t="s">
        <v>7446</v>
      </c>
      <c r="AK1334" s="89" t="s">
        <v>7447</v>
      </c>
      <c r="AL1334" s="91">
        <v>41050</v>
      </c>
      <c r="AM1334" s="91"/>
      <c r="AN1334" s="91"/>
      <c r="AO1334" s="91"/>
      <c r="AP1334" s="73" t="e">
        <f>MID(VLOOKUP(K1334,#REF!,2,FALSE),1,2)</f>
        <v>#REF!</v>
      </c>
      <c r="AQ1334" s="89">
        <f>DATE(2012,4,21)</f>
        <v>41020</v>
      </c>
      <c r="AR1334" s="82">
        <f t="shared" si="86"/>
        <v>21</v>
      </c>
      <c r="AS1334" s="83">
        <f t="shared" si="87"/>
        <v>4</v>
      </c>
      <c r="AT1334" s="84">
        <f t="shared" si="88"/>
        <v>2012</v>
      </c>
      <c r="AU1334" s="86"/>
      <c r="AV1334" s="86"/>
      <c r="AW1334" s="87"/>
      <c r="AX1334" s="86"/>
      <c r="AY1334" s="83"/>
      <c r="AZ1334" s="84"/>
      <c r="BA1334" s="86"/>
      <c r="BB1334" s="86"/>
    </row>
    <row r="1335" spans="1:54" ht="36.75" customHeight="1">
      <c r="A1335" s="30"/>
      <c r="B1335" s="30" t="s">
        <v>2124</v>
      </c>
      <c r="C1335" s="69" t="str">
        <f t="shared" si="85"/>
        <v>Open</v>
      </c>
      <c r="D1335" s="27" t="s">
        <v>7448</v>
      </c>
      <c r="E1335" s="29" t="s">
        <v>7449</v>
      </c>
      <c r="F1335" s="30" t="s">
        <v>5683</v>
      </c>
      <c r="G1335" s="89">
        <f>DATE(2012,4,24)</f>
        <v>41023</v>
      </c>
      <c r="H1335" s="90">
        <v>1.3388888888888888</v>
      </c>
      <c r="I1335" s="30" t="s">
        <v>198</v>
      </c>
      <c r="J1335" s="89" t="s">
        <v>7450</v>
      </c>
      <c r="K1335" s="30" t="s">
        <v>5685</v>
      </c>
      <c r="L1335" s="30" t="s">
        <v>7451</v>
      </c>
      <c r="M1335" s="30" t="s">
        <v>63</v>
      </c>
      <c r="N1335" s="30">
        <v>0</v>
      </c>
      <c r="O1335" s="30" t="s">
        <v>77</v>
      </c>
      <c r="P1335" s="89" t="s">
        <v>165</v>
      </c>
      <c r="Q1335" s="89" t="s">
        <v>5687</v>
      </c>
      <c r="R1335" s="89" t="s">
        <v>5688</v>
      </c>
      <c r="S1335" s="30">
        <v>0</v>
      </c>
      <c r="T1335" s="233" t="s">
        <v>68</v>
      </c>
      <c r="U1335" s="30">
        <v>0</v>
      </c>
      <c r="V1335" s="233" t="s">
        <v>68</v>
      </c>
      <c r="W1335" s="30">
        <v>0</v>
      </c>
      <c r="X1335" s="30">
        <v>0</v>
      </c>
      <c r="Y1335" s="30">
        <v>0</v>
      </c>
      <c r="Z1335" s="233" t="s">
        <v>68</v>
      </c>
      <c r="AA1335" s="30">
        <v>0</v>
      </c>
      <c r="AB1335" s="30">
        <v>0</v>
      </c>
      <c r="AC1335" s="30">
        <v>0</v>
      </c>
      <c r="AD1335" s="30">
        <v>0</v>
      </c>
      <c r="AE1335" s="89" t="s">
        <v>68</v>
      </c>
      <c r="AF1335" s="89"/>
      <c r="AG1335" s="89" t="s">
        <v>874</v>
      </c>
      <c r="AH1335" s="72" t="s">
        <v>68</v>
      </c>
      <c r="AI1335" s="30">
        <v>0</v>
      </c>
      <c r="AJ1335" s="89" t="s">
        <v>68</v>
      </c>
      <c r="AK1335" s="89" t="s">
        <v>68</v>
      </c>
      <c r="AL1335" s="91">
        <v>41073</v>
      </c>
      <c r="AM1335" s="91"/>
      <c r="AN1335" s="91"/>
      <c r="AO1335" s="91"/>
      <c r="AP1335" s="73" t="e">
        <f>MID(VLOOKUP(K1335,#REF!,2,FALSE),1,2)</f>
        <v>#REF!</v>
      </c>
      <c r="AQ1335" s="89">
        <f>DATE(2012,4,24)</f>
        <v>41023</v>
      </c>
      <c r="AR1335" s="82">
        <f t="shared" si="86"/>
        <v>24</v>
      </c>
      <c r="AS1335" s="83">
        <f t="shared" si="87"/>
        <v>4</v>
      </c>
      <c r="AT1335" s="84">
        <f t="shared" si="88"/>
        <v>2012</v>
      </c>
      <c r="AU1335" s="86"/>
      <c r="AV1335" s="86"/>
      <c r="AW1335" s="87"/>
      <c r="AX1335" s="86"/>
      <c r="AY1335" s="83"/>
      <c r="AZ1335" s="84"/>
      <c r="BA1335" s="86"/>
      <c r="BB1335" s="86"/>
    </row>
    <row r="1336" spans="1:54" ht="36.75" customHeight="1">
      <c r="A1336" s="30"/>
      <c r="B1336" s="30" t="s">
        <v>55</v>
      </c>
      <c r="C1336" s="69" t="str">
        <f t="shared" si="85"/>
        <v>Closed</v>
      </c>
      <c r="D1336" s="27" t="s">
        <v>7452</v>
      </c>
      <c r="E1336" s="29" t="s">
        <v>7453</v>
      </c>
      <c r="F1336" s="30" t="s">
        <v>197</v>
      </c>
      <c r="G1336" s="89">
        <f>DATE(2012,4,26)</f>
        <v>41025</v>
      </c>
      <c r="H1336" s="90">
        <v>1.6965277777777779</v>
      </c>
      <c r="I1336" s="30" t="s">
        <v>73</v>
      </c>
      <c r="J1336" s="89" t="s">
        <v>7454</v>
      </c>
      <c r="K1336" s="30" t="s">
        <v>200</v>
      </c>
      <c r="L1336" s="30" t="s">
        <v>7455</v>
      </c>
      <c r="M1336" s="30" t="s">
        <v>63</v>
      </c>
      <c r="N1336" s="30" t="s">
        <v>142</v>
      </c>
      <c r="O1336" s="30" t="s">
        <v>90</v>
      </c>
      <c r="P1336" s="89" t="s">
        <v>78</v>
      </c>
      <c r="Q1336" s="89" t="s">
        <v>1716</v>
      </c>
      <c r="R1336" s="89" t="s">
        <v>203</v>
      </c>
      <c r="S1336" s="30">
        <v>0</v>
      </c>
      <c r="T1336" s="233">
        <v>0</v>
      </c>
      <c r="U1336" s="30">
        <v>0</v>
      </c>
      <c r="V1336" s="233">
        <v>0</v>
      </c>
      <c r="W1336" s="30">
        <v>0</v>
      </c>
      <c r="X1336" s="30">
        <v>0</v>
      </c>
      <c r="Y1336" s="30">
        <v>0</v>
      </c>
      <c r="Z1336" s="233">
        <v>0</v>
      </c>
      <c r="AA1336" s="30">
        <v>0</v>
      </c>
      <c r="AB1336" s="30">
        <v>0</v>
      </c>
      <c r="AC1336" s="30">
        <v>0</v>
      </c>
      <c r="AD1336" s="30">
        <v>0</v>
      </c>
      <c r="AE1336" s="89" t="s">
        <v>394</v>
      </c>
      <c r="AF1336" s="89"/>
      <c r="AG1336" s="89" t="s">
        <v>133</v>
      </c>
      <c r="AH1336" s="72">
        <v>41025</v>
      </c>
      <c r="AI1336" s="30">
        <v>3</v>
      </c>
      <c r="AJ1336" s="89" t="s">
        <v>7456</v>
      </c>
      <c r="AK1336" s="89" t="s">
        <v>1233</v>
      </c>
      <c r="AL1336" s="91">
        <v>41402</v>
      </c>
      <c r="AM1336" s="91"/>
      <c r="AN1336" s="91"/>
      <c r="AO1336" s="91"/>
      <c r="AP1336" s="73" t="e">
        <f>MID(VLOOKUP(K1336,#REF!,2,FALSE),1,2)</f>
        <v>#REF!</v>
      </c>
      <c r="AQ1336" s="89">
        <f>DATE(2012,4,26)</f>
        <v>41025</v>
      </c>
      <c r="AR1336" s="82">
        <f t="shared" si="86"/>
        <v>26</v>
      </c>
      <c r="AS1336" s="83">
        <f t="shared" si="87"/>
        <v>4</v>
      </c>
      <c r="AT1336" s="84">
        <f t="shared" si="88"/>
        <v>2012</v>
      </c>
      <c r="AU1336" s="86"/>
      <c r="AV1336" s="86"/>
      <c r="AW1336" s="87"/>
      <c r="AX1336" s="86"/>
      <c r="AY1336" s="83"/>
      <c r="AZ1336" s="84"/>
      <c r="BA1336" s="86"/>
      <c r="BB1336" s="86"/>
    </row>
    <row r="1337" spans="1:54" ht="36.75" customHeight="1">
      <c r="A1337" s="30"/>
      <c r="B1337" s="30" t="s">
        <v>55</v>
      </c>
      <c r="C1337" s="69" t="str">
        <f t="shared" si="85"/>
        <v>Closed</v>
      </c>
      <c r="D1337" s="27" t="s">
        <v>7457</v>
      </c>
      <c r="E1337" s="29" t="s">
        <v>7458</v>
      </c>
      <c r="F1337" s="30" t="s">
        <v>638</v>
      </c>
      <c r="G1337" s="89">
        <f>DATE(2012,4,26)</f>
        <v>41025</v>
      </c>
      <c r="H1337" s="90">
        <v>1.9986111111111109</v>
      </c>
      <c r="I1337" s="30" t="s">
        <v>104</v>
      </c>
      <c r="J1337" s="89" t="s">
        <v>7459</v>
      </c>
      <c r="K1337" s="30" t="s">
        <v>640</v>
      </c>
      <c r="L1337" s="30" t="s">
        <v>7460</v>
      </c>
      <c r="M1337" s="30" t="s">
        <v>63</v>
      </c>
      <c r="N1337" s="30" t="s">
        <v>99</v>
      </c>
      <c r="O1337" s="30" t="s">
        <v>6875</v>
      </c>
      <c r="P1337" s="89" t="s">
        <v>78</v>
      </c>
      <c r="Q1337" s="89" t="s">
        <v>7461</v>
      </c>
      <c r="R1337" s="89" t="s">
        <v>643</v>
      </c>
      <c r="S1337" s="30">
        <v>0</v>
      </c>
      <c r="T1337" s="233">
        <v>0</v>
      </c>
      <c r="U1337" s="30">
        <v>0</v>
      </c>
      <c r="V1337" s="233">
        <v>0</v>
      </c>
      <c r="W1337" s="30">
        <v>0</v>
      </c>
      <c r="X1337" s="30">
        <v>0</v>
      </c>
      <c r="Y1337" s="30">
        <v>0</v>
      </c>
      <c r="Z1337" s="233">
        <v>0</v>
      </c>
      <c r="AA1337" s="30">
        <v>0</v>
      </c>
      <c r="AB1337" s="30">
        <v>0</v>
      </c>
      <c r="AC1337" s="30">
        <v>0</v>
      </c>
      <c r="AD1337" s="30">
        <v>0</v>
      </c>
      <c r="AE1337" s="89" t="s">
        <v>68</v>
      </c>
      <c r="AF1337" s="89"/>
      <c r="AG1337" s="89" t="s">
        <v>352</v>
      </c>
      <c r="AH1337" s="72">
        <v>41058</v>
      </c>
      <c r="AI1337" s="30">
        <v>0</v>
      </c>
      <c r="AJ1337" s="89" t="s">
        <v>7462</v>
      </c>
      <c r="AK1337" s="89" t="s">
        <v>68</v>
      </c>
      <c r="AL1337" s="91">
        <v>41061</v>
      </c>
      <c r="AM1337" s="91"/>
      <c r="AN1337" s="91"/>
      <c r="AO1337" s="91"/>
      <c r="AP1337" s="73" t="e">
        <f>MID(VLOOKUP(K1337,#REF!,2,FALSE),1,2)</f>
        <v>#REF!</v>
      </c>
      <c r="AQ1337" s="89">
        <f>DATE(2012,4,26)</f>
        <v>41025</v>
      </c>
      <c r="AR1337" s="82">
        <f t="shared" si="86"/>
        <v>26</v>
      </c>
      <c r="AS1337" s="83">
        <f t="shared" si="87"/>
        <v>4</v>
      </c>
      <c r="AT1337" s="84">
        <f t="shared" si="88"/>
        <v>2012</v>
      </c>
      <c r="AU1337" s="86"/>
      <c r="AV1337" s="86"/>
      <c r="AW1337" s="87"/>
      <c r="AX1337" s="86"/>
      <c r="AY1337" s="83"/>
      <c r="AZ1337" s="84"/>
      <c r="BA1337" s="86"/>
      <c r="BB1337" s="86"/>
    </row>
    <row r="1338" spans="1:54" ht="36.75" customHeight="1">
      <c r="A1338" s="30"/>
      <c r="B1338" s="30" t="s">
        <v>55</v>
      </c>
      <c r="C1338" s="69" t="str">
        <f t="shared" si="85"/>
        <v>Closed</v>
      </c>
      <c r="D1338" s="27" t="s">
        <v>7463</v>
      </c>
      <c r="E1338" s="29" t="s">
        <v>7464</v>
      </c>
      <c r="F1338" s="30" t="s">
        <v>377</v>
      </c>
      <c r="G1338" s="89">
        <f>DATE(2012,4,26)</f>
        <v>41025</v>
      </c>
      <c r="H1338" s="90">
        <v>1.7902777777777779</v>
      </c>
      <c r="I1338" s="30" t="s">
        <v>73</v>
      </c>
      <c r="J1338" s="89" t="s">
        <v>7465</v>
      </c>
      <c r="K1338" s="30" t="s">
        <v>379</v>
      </c>
      <c r="L1338" s="30" t="s">
        <v>7466</v>
      </c>
      <c r="M1338" s="30" t="s">
        <v>63</v>
      </c>
      <c r="N1338" s="30" t="s">
        <v>89</v>
      </c>
      <c r="O1338" s="30" t="s">
        <v>77</v>
      </c>
      <c r="P1338" s="89" t="s">
        <v>462</v>
      </c>
      <c r="Q1338" s="89" t="s">
        <v>2906</v>
      </c>
      <c r="R1338" s="89" t="s">
        <v>382</v>
      </c>
      <c r="S1338" s="30">
        <v>0</v>
      </c>
      <c r="T1338" s="233">
        <v>0</v>
      </c>
      <c r="U1338" s="30">
        <v>0</v>
      </c>
      <c r="V1338" s="233">
        <v>0</v>
      </c>
      <c r="W1338" s="30">
        <v>0</v>
      </c>
      <c r="X1338" s="30">
        <v>0</v>
      </c>
      <c r="Y1338" s="30">
        <v>0</v>
      </c>
      <c r="Z1338" s="233">
        <v>0</v>
      </c>
      <c r="AA1338" s="30">
        <v>0</v>
      </c>
      <c r="AB1338" s="30">
        <v>0</v>
      </c>
      <c r="AC1338" s="30">
        <v>0</v>
      </c>
      <c r="AD1338" s="30">
        <v>0</v>
      </c>
      <c r="AE1338" s="89" t="s">
        <v>145</v>
      </c>
      <c r="AF1338" s="89"/>
      <c r="AG1338" s="89" t="s">
        <v>82</v>
      </c>
      <c r="AH1338" s="72">
        <v>41025</v>
      </c>
      <c r="AI1338" s="30">
        <v>4</v>
      </c>
      <c r="AJ1338" s="89" t="s">
        <v>7467</v>
      </c>
      <c r="AK1338" s="89" t="s">
        <v>7468</v>
      </c>
      <c r="AL1338" s="91">
        <v>41032</v>
      </c>
      <c r="AM1338" s="91"/>
      <c r="AN1338" s="91"/>
      <c r="AO1338" s="91"/>
      <c r="AP1338" s="73" t="e">
        <f>MID(VLOOKUP(K1338,#REF!,2,FALSE),1,2)</f>
        <v>#REF!</v>
      </c>
      <c r="AQ1338" s="89">
        <f>DATE(2012,4,26)</f>
        <v>41025</v>
      </c>
      <c r="AR1338" s="82">
        <f t="shared" si="86"/>
        <v>26</v>
      </c>
      <c r="AS1338" s="83">
        <f t="shared" si="87"/>
        <v>4</v>
      </c>
      <c r="AT1338" s="84">
        <f t="shared" si="88"/>
        <v>2012</v>
      </c>
      <c r="AU1338" s="86"/>
      <c r="AV1338" s="86"/>
      <c r="AW1338" s="87"/>
      <c r="AX1338" s="86"/>
      <c r="AY1338" s="83"/>
      <c r="AZ1338" s="84"/>
      <c r="BA1338" s="86"/>
      <c r="BB1338" s="86"/>
    </row>
    <row r="1339" spans="1:54" ht="36.75" customHeight="1">
      <c r="A1339" s="30"/>
      <c r="B1339" s="30" t="s">
        <v>55</v>
      </c>
      <c r="C1339" s="69" t="str">
        <f t="shared" si="85"/>
        <v>Closed</v>
      </c>
      <c r="D1339" s="27" t="s">
        <v>7469</v>
      </c>
      <c r="E1339" s="29" t="s">
        <v>7470</v>
      </c>
      <c r="F1339" s="30" t="s">
        <v>233</v>
      </c>
      <c r="G1339" s="89">
        <f>DATE(2012,4,26)</f>
        <v>41025</v>
      </c>
      <c r="H1339" s="90">
        <v>1.5694444444444444</v>
      </c>
      <c r="I1339" s="30" t="s">
        <v>104</v>
      </c>
      <c r="J1339" s="89" t="s">
        <v>7471</v>
      </c>
      <c r="K1339" s="30" t="s">
        <v>235</v>
      </c>
      <c r="L1339" s="30" t="s">
        <v>7472</v>
      </c>
      <c r="M1339" s="30" t="s">
        <v>63</v>
      </c>
      <c r="N1339" s="30" t="s">
        <v>89</v>
      </c>
      <c r="O1339" s="30" t="s">
        <v>64</v>
      </c>
      <c r="P1339" s="89" t="s">
        <v>381</v>
      </c>
      <c r="Q1339" s="89">
        <v>0</v>
      </c>
      <c r="R1339" s="89" t="s">
        <v>238</v>
      </c>
      <c r="S1339" s="30">
        <v>0</v>
      </c>
      <c r="T1339" s="233">
        <v>0</v>
      </c>
      <c r="U1339" s="30">
        <v>0</v>
      </c>
      <c r="V1339" s="233">
        <v>0</v>
      </c>
      <c r="W1339" s="30">
        <v>0</v>
      </c>
      <c r="X1339" s="30">
        <v>0</v>
      </c>
      <c r="Y1339" s="30">
        <v>0</v>
      </c>
      <c r="Z1339" s="233">
        <v>0</v>
      </c>
      <c r="AA1339" s="30">
        <v>0</v>
      </c>
      <c r="AB1339" s="30">
        <v>0</v>
      </c>
      <c r="AC1339" s="30">
        <v>0</v>
      </c>
      <c r="AD1339" s="30">
        <v>0</v>
      </c>
      <c r="AE1339" s="89" t="s">
        <v>92</v>
      </c>
      <c r="AF1339" s="89"/>
      <c r="AG1339" s="89" t="s">
        <v>133</v>
      </c>
      <c r="AH1339" s="72">
        <v>41218</v>
      </c>
      <c r="AI1339" s="30">
        <v>5</v>
      </c>
      <c r="AJ1339" s="89" t="s">
        <v>7473</v>
      </c>
      <c r="AK1339" s="89" t="s">
        <v>7474</v>
      </c>
      <c r="AL1339" s="91">
        <v>41254</v>
      </c>
      <c r="AM1339" s="91"/>
      <c r="AN1339" s="91"/>
      <c r="AO1339" s="91"/>
      <c r="AP1339" s="73" t="e">
        <f>MID(VLOOKUP(K1339,#REF!,2,FALSE),1,2)</f>
        <v>#REF!</v>
      </c>
      <c r="AQ1339" s="89">
        <f>DATE(2012,4,26)</f>
        <v>41025</v>
      </c>
      <c r="AR1339" s="82">
        <f t="shared" si="86"/>
        <v>26</v>
      </c>
      <c r="AS1339" s="83">
        <f t="shared" si="87"/>
        <v>4</v>
      </c>
      <c r="AT1339" s="84">
        <f t="shared" si="88"/>
        <v>2012</v>
      </c>
      <c r="AU1339" s="86"/>
      <c r="AV1339" s="86"/>
      <c r="AW1339" s="87"/>
      <c r="AX1339" s="86"/>
      <c r="AY1339" s="83"/>
      <c r="AZ1339" s="84"/>
      <c r="BA1339" s="86"/>
      <c r="BB1339" s="86"/>
    </row>
    <row r="1340" spans="1:54" ht="36.75" customHeight="1">
      <c r="A1340" s="30"/>
      <c r="B1340" s="30" t="s">
        <v>55</v>
      </c>
      <c r="C1340" s="69" t="str">
        <f t="shared" si="85"/>
        <v>Closed</v>
      </c>
      <c r="D1340" s="27" t="s">
        <v>7475</v>
      </c>
      <c r="E1340" s="29" t="s">
        <v>7476</v>
      </c>
      <c r="F1340" s="30" t="s">
        <v>197</v>
      </c>
      <c r="G1340" s="89">
        <f>DATE(2012,4,29)</f>
        <v>41028</v>
      </c>
      <c r="H1340" s="90">
        <v>1.5305555555555554</v>
      </c>
      <c r="I1340" s="30" t="s">
        <v>116</v>
      </c>
      <c r="J1340" s="89" t="s">
        <v>7477</v>
      </c>
      <c r="K1340" s="30" t="s">
        <v>200</v>
      </c>
      <c r="L1340" s="30" t="s">
        <v>7478</v>
      </c>
      <c r="M1340" s="30" t="s">
        <v>63</v>
      </c>
      <c r="N1340" s="30" t="s">
        <v>99</v>
      </c>
      <c r="O1340" s="30" t="s">
        <v>64</v>
      </c>
      <c r="P1340" s="89" t="s">
        <v>78</v>
      </c>
      <c r="Q1340" s="89" t="s">
        <v>1716</v>
      </c>
      <c r="R1340" s="89" t="s">
        <v>203</v>
      </c>
      <c r="S1340" s="30">
        <v>0</v>
      </c>
      <c r="T1340" s="233">
        <v>0</v>
      </c>
      <c r="U1340" s="30">
        <v>1</v>
      </c>
      <c r="V1340" s="233">
        <v>0</v>
      </c>
      <c r="W1340" s="30">
        <v>0</v>
      </c>
      <c r="X1340" s="30">
        <v>1</v>
      </c>
      <c r="Y1340" s="30">
        <v>0</v>
      </c>
      <c r="Z1340" s="233">
        <v>0</v>
      </c>
      <c r="AA1340" s="30">
        <v>1</v>
      </c>
      <c r="AB1340" s="30">
        <v>0</v>
      </c>
      <c r="AC1340" s="30">
        <v>0</v>
      </c>
      <c r="AD1340" s="30">
        <v>1</v>
      </c>
      <c r="AE1340" s="89" t="s">
        <v>92</v>
      </c>
      <c r="AF1340" s="89"/>
      <c r="AG1340" s="89" t="s">
        <v>82</v>
      </c>
      <c r="AH1340" s="72">
        <v>41028</v>
      </c>
      <c r="AI1340" s="30">
        <v>0</v>
      </c>
      <c r="AJ1340" s="89" t="s">
        <v>7479</v>
      </c>
      <c r="AK1340" s="89" t="s">
        <v>68</v>
      </c>
      <c r="AL1340" s="91">
        <v>41107</v>
      </c>
      <c r="AM1340" s="91"/>
      <c r="AN1340" s="91"/>
      <c r="AO1340" s="91"/>
      <c r="AP1340" s="73" t="e">
        <f>MID(VLOOKUP(K1340,#REF!,2,FALSE),1,2)</f>
        <v>#REF!</v>
      </c>
      <c r="AQ1340" s="89">
        <f>DATE(2012,4,29)</f>
        <v>41028</v>
      </c>
      <c r="AR1340" s="82">
        <f t="shared" si="86"/>
        <v>29</v>
      </c>
      <c r="AS1340" s="83">
        <f t="shared" si="87"/>
        <v>4</v>
      </c>
      <c r="AT1340" s="84">
        <f t="shared" si="88"/>
        <v>2012</v>
      </c>
      <c r="AU1340" s="86"/>
      <c r="AV1340" s="86"/>
      <c r="AW1340" s="87"/>
      <c r="AX1340" s="86"/>
      <c r="AY1340" s="83"/>
      <c r="AZ1340" s="84"/>
      <c r="BA1340" s="86"/>
      <c r="BB1340" s="86"/>
    </row>
    <row r="1341" spans="1:54" ht="36.75" customHeight="1">
      <c r="A1341" s="30"/>
      <c r="B1341" s="30" t="s">
        <v>55</v>
      </c>
      <c r="C1341" s="69" t="str">
        <f t="shared" si="85"/>
        <v>Closed</v>
      </c>
      <c r="D1341" s="27" t="s">
        <v>7480</v>
      </c>
      <c r="E1341" s="29" t="s">
        <v>7481</v>
      </c>
      <c r="F1341" s="30" t="s">
        <v>197</v>
      </c>
      <c r="G1341" s="89">
        <f>DATE(2012,5,2)</f>
        <v>41031</v>
      </c>
      <c r="H1341" s="90">
        <v>1.9201388888888888</v>
      </c>
      <c r="I1341" s="30" t="s">
        <v>7482</v>
      </c>
      <c r="J1341" s="89" t="s">
        <v>7483</v>
      </c>
      <c r="K1341" s="30" t="s">
        <v>200</v>
      </c>
      <c r="L1341" s="30" t="s">
        <v>7185</v>
      </c>
      <c r="M1341" s="30" t="s">
        <v>63</v>
      </c>
      <c r="N1341" s="30" t="s">
        <v>142</v>
      </c>
      <c r="O1341" s="30" t="s">
        <v>90</v>
      </c>
      <c r="P1341" s="89" t="s">
        <v>91</v>
      </c>
      <c r="Q1341" s="89">
        <v>0</v>
      </c>
      <c r="R1341" s="89">
        <v>0</v>
      </c>
      <c r="S1341" s="30">
        <v>0</v>
      </c>
      <c r="T1341" s="233">
        <v>0</v>
      </c>
      <c r="U1341" s="30">
        <v>0</v>
      </c>
      <c r="V1341" s="233">
        <v>0</v>
      </c>
      <c r="W1341" s="30">
        <v>0</v>
      </c>
      <c r="X1341" s="30">
        <v>0</v>
      </c>
      <c r="Y1341" s="30">
        <v>0</v>
      </c>
      <c r="Z1341" s="233">
        <v>0</v>
      </c>
      <c r="AA1341" s="30">
        <v>0</v>
      </c>
      <c r="AB1341" s="30">
        <v>0</v>
      </c>
      <c r="AC1341" s="30">
        <v>0</v>
      </c>
      <c r="AD1341" s="30">
        <v>0</v>
      </c>
      <c r="AE1341" s="89" t="s">
        <v>92</v>
      </c>
      <c r="AF1341" s="89"/>
      <c r="AG1341" s="89" t="s">
        <v>1507</v>
      </c>
      <c r="AH1341" s="72">
        <v>41397</v>
      </c>
      <c r="AI1341" s="30">
        <v>5</v>
      </c>
      <c r="AJ1341" s="89" t="s">
        <v>7484</v>
      </c>
      <c r="AK1341" s="89" t="s">
        <v>1233</v>
      </c>
      <c r="AL1341" s="91">
        <v>41654</v>
      </c>
      <c r="AM1341" s="91"/>
      <c r="AN1341" s="91"/>
      <c r="AO1341" s="91"/>
      <c r="AP1341" s="73" t="e">
        <f>MID(VLOOKUP(K1341,#REF!,2,FALSE),1,2)</f>
        <v>#REF!</v>
      </c>
      <c r="AQ1341" s="89">
        <f>DATE(2012,5,2)</f>
        <v>41031</v>
      </c>
      <c r="AR1341" s="82">
        <f t="shared" si="86"/>
        <v>2</v>
      </c>
      <c r="AS1341" s="83">
        <f t="shared" si="87"/>
        <v>5</v>
      </c>
      <c r="AT1341" s="84">
        <f t="shared" si="88"/>
        <v>2012</v>
      </c>
      <c r="AU1341" s="86"/>
      <c r="AV1341" s="86"/>
      <c r="AW1341" s="87"/>
      <c r="AX1341" s="86"/>
      <c r="AY1341" s="83"/>
      <c r="AZ1341" s="84"/>
      <c r="BA1341" s="86"/>
      <c r="BB1341" s="86"/>
    </row>
    <row r="1342" spans="1:54" ht="36.75" customHeight="1">
      <c r="A1342" s="30"/>
      <c r="B1342" s="30" t="s">
        <v>55</v>
      </c>
      <c r="C1342" s="69" t="str">
        <f t="shared" si="85"/>
        <v>Closed</v>
      </c>
      <c r="D1342" s="27" t="s">
        <v>7485</v>
      </c>
      <c r="E1342" s="29" t="s">
        <v>7486</v>
      </c>
      <c r="F1342" s="30" t="s">
        <v>233</v>
      </c>
      <c r="G1342" s="89">
        <f>DATE(2012,5,2)</f>
        <v>41031</v>
      </c>
      <c r="H1342" s="90">
        <v>1.6875</v>
      </c>
      <c r="I1342" s="30" t="s">
        <v>116</v>
      </c>
      <c r="J1342" s="89" t="s">
        <v>7487</v>
      </c>
      <c r="K1342" s="30" t="s">
        <v>235</v>
      </c>
      <c r="L1342" s="30" t="s">
        <v>7488</v>
      </c>
      <c r="M1342" s="30" t="s">
        <v>63</v>
      </c>
      <c r="N1342" s="30" t="s">
        <v>142</v>
      </c>
      <c r="O1342" s="30" t="s">
        <v>64</v>
      </c>
      <c r="P1342" s="89" t="s">
        <v>165</v>
      </c>
      <c r="Q1342" s="89" t="s">
        <v>2538</v>
      </c>
      <c r="R1342" s="89" t="s">
        <v>238</v>
      </c>
      <c r="S1342" s="30">
        <v>0</v>
      </c>
      <c r="T1342" s="233">
        <v>0</v>
      </c>
      <c r="U1342" s="30">
        <v>1</v>
      </c>
      <c r="V1342" s="233">
        <v>0</v>
      </c>
      <c r="W1342" s="30">
        <v>0</v>
      </c>
      <c r="X1342" s="30">
        <v>1</v>
      </c>
      <c r="Y1342" s="30">
        <v>0</v>
      </c>
      <c r="Z1342" s="233">
        <v>0</v>
      </c>
      <c r="AA1342" s="30">
        <v>0</v>
      </c>
      <c r="AB1342" s="30">
        <v>0</v>
      </c>
      <c r="AC1342" s="30">
        <v>0</v>
      </c>
      <c r="AD1342" s="30">
        <v>0</v>
      </c>
      <c r="AE1342" s="89" t="s">
        <v>68</v>
      </c>
      <c r="AF1342" s="89"/>
      <c r="AG1342" s="89" t="s">
        <v>133</v>
      </c>
      <c r="AH1342" s="72" t="s">
        <v>68</v>
      </c>
      <c r="AI1342" s="30">
        <v>1</v>
      </c>
      <c r="AJ1342" s="89" t="s">
        <v>7489</v>
      </c>
      <c r="AK1342" s="89" t="s">
        <v>7490</v>
      </c>
      <c r="AL1342" s="91">
        <v>41051</v>
      </c>
      <c r="AM1342" s="91"/>
      <c r="AN1342" s="91"/>
      <c r="AO1342" s="91"/>
      <c r="AP1342" s="73" t="e">
        <f>MID(VLOOKUP(K1342,#REF!,2,FALSE),1,2)</f>
        <v>#REF!</v>
      </c>
      <c r="AQ1342" s="89">
        <f>DATE(2012,5,2)</f>
        <v>41031</v>
      </c>
      <c r="AR1342" s="82">
        <f t="shared" si="86"/>
        <v>2</v>
      </c>
      <c r="AS1342" s="83">
        <f t="shared" si="87"/>
        <v>5</v>
      </c>
      <c r="AT1342" s="84">
        <f t="shared" si="88"/>
        <v>2012</v>
      </c>
      <c r="AU1342" s="86"/>
      <c r="AV1342" s="86"/>
      <c r="AW1342" s="87"/>
      <c r="AX1342" s="86"/>
      <c r="AY1342" s="83"/>
      <c r="AZ1342" s="84"/>
      <c r="BA1342" s="86"/>
      <c r="BB1342" s="86"/>
    </row>
    <row r="1343" spans="1:54" ht="36.75" customHeight="1">
      <c r="A1343" s="30"/>
      <c r="B1343" s="30" t="s">
        <v>55</v>
      </c>
      <c r="C1343" s="69" t="str">
        <f t="shared" si="85"/>
        <v>Closed</v>
      </c>
      <c r="D1343" s="27" t="s">
        <v>7491</v>
      </c>
      <c r="E1343" s="29" t="s">
        <v>7492</v>
      </c>
      <c r="F1343" s="30" t="s">
        <v>1770</v>
      </c>
      <c r="G1343" s="89">
        <f>DATE(2012,5,4)</f>
        <v>41033</v>
      </c>
      <c r="H1343" s="90">
        <v>1.4125000000000001</v>
      </c>
      <c r="I1343" s="30" t="s">
        <v>198</v>
      </c>
      <c r="J1343" s="89" t="s">
        <v>7493</v>
      </c>
      <c r="K1343" s="30" t="s">
        <v>1772</v>
      </c>
      <c r="L1343" s="30" t="s">
        <v>7494</v>
      </c>
      <c r="M1343" s="30" t="s">
        <v>63</v>
      </c>
      <c r="N1343" s="30" t="s">
        <v>142</v>
      </c>
      <c r="O1343" s="30" t="s">
        <v>64</v>
      </c>
      <c r="P1343" s="89" t="s">
        <v>78</v>
      </c>
      <c r="Q1343" s="89" t="s">
        <v>6501</v>
      </c>
      <c r="R1343" s="89" t="s">
        <v>1775</v>
      </c>
      <c r="S1343" s="30">
        <v>0</v>
      </c>
      <c r="T1343" s="233">
        <v>0</v>
      </c>
      <c r="U1343" s="30">
        <v>0</v>
      </c>
      <c r="V1343" s="233">
        <v>0</v>
      </c>
      <c r="W1343" s="30">
        <v>0</v>
      </c>
      <c r="X1343" s="30">
        <v>0</v>
      </c>
      <c r="Y1343" s="30">
        <v>0</v>
      </c>
      <c r="Z1343" s="233">
        <v>0</v>
      </c>
      <c r="AA1343" s="30">
        <v>0</v>
      </c>
      <c r="AB1343" s="30">
        <v>0</v>
      </c>
      <c r="AC1343" s="30">
        <v>0</v>
      </c>
      <c r="AD1343" s="30">
        <v>0</v>
      </c>
      <c r="AE1343" s="89" t="s">
        <v>394</v>
      </c>
      <c r="AF1343" s="89"/>
      <c r="AG1343" s="89" t="s">
        <v>7495</v>
      </c>
      <c r="AH1343" s="72">
        <v>41040</v>
      </c>
      <c r="AI1343" s="30">
        <v>2</v>
      </c>
      <c r="AJ1343" s="89" t="s">
        <v>7496</v>
      </c>
      <c r="AK1343" s="89" t="s">
        <v>7497</v>
      </c>
      <c r="AL1343" s="91">
        <v>41358</v>
      </c>
      <c r="AM1343" s="91"/>
      <c r="AN1343" s="91"/>
      <c r="AO1343" s="91"/>
      <c r="AP1343" s="73" t="e">
        <f>MID(VLOOKUP(K1343,#REF!,2,FALSE),1,2)</f>
        <v>#REF!</v>
      </c>
      <c r="AQ1343" s="89">
        <f>DATE(2012,5,4)</f>
        <v>41033</v>
      </c>
      <c r="AR1343" s="82">
        <f t="shared" si="86"/>
        <v>4</v>
      </c>
      <c r="AS1343" s="83">
        <f t="shared" si="87"/>
        <v>5</v>
      </c>
      <c r="AT1343" s="84">
        <f t="shared" si="88"/>
        <v>2012</v>
      </c>
      <c r="AU1343" s="86"/>
      <c r="AV1343" s="86"/>
      <c r="AW1343" s="87"/>
      <c r="AX1343" s="86"/>
      <c r="AY1343" s="83"/>
      <c r="AZ1343" s="84"/>
      <c r="BA1343" s="86"/>
      <c r="BB1343" s="86"/>
    </row>
    <row r="1344" spans="1:54" ht="36.75" customHeight="1">
      <c r="A1344" s="30"/>
      <c r="B1344" s="30" t="s">
        <v>55</v>
      </c>
      <c r="C1344" s="69" t="str">
        <f t="shared" si="85"/>
        <v>Closed</v>
      </c>
      <c r="D1344" s="27" t="s">
        <v>7498</v>
      </c>
      <c r="E1344" s="29" t="s">
        <v>7499</v>
      </c>
      <c r="F1344" s="30" t="s">
        <v>423</v>
      </c>
      <c r="G1344" s="89">
        <f>DATE(2012,5,7)</f>
        <v>41036</v>
      </c>
      <c r="H1344" s="90">
        <v>1.6354166666666665</v>
      </c>
      <c r="I1344" s="30" t="s">
        <v>116</v>
      </c>
      <c r="J1344" s="89" t="s">
        <v>7500</v>
      </c>
      <c r="K1344" s="30" t="s">
        <v>425</v>
      </c>
      <c r="L1344" s="30" t="s">
        <v>7501</v>
      </c>
      <c r="M1344" s="30" t="s">
        <v>63</v>
      </c>
      <c r="N1344" s="30" t="s">
        <v>89</v>
      </c>
      <c r="O1344" s="30" t="s">
        <v>77</v>
      </c>
      <c r="P1344" s="89" t="s">
        <v>65</v>
      </c>
      <c r="Q1344" s="89" t="s">
        <v>427</v>
      </c>
      <c r="R1344" s="89" t="s">
        <v>3103</v>
      </c>
      <c r="S1344" s="30">
        <v>0</v>
      </c>
      <c r="T1344" s="233">
        <v>0</v>
      </c>
      <c r="U1344" s="30">
        <v>0</v>
      </c>
      <c r="V1344" s="233">
        <v>0</v>
      </c>
      <c r="W1344" s="30">
        <v>0</v>
      </c>
      <c r="X1344" s="30">
        <v>0</v>
      </c>
      <c r="Y1344" s="30">
        <v>0</v>
      </c>
      <c r="Z1344" s="233">
        <v>0</v>
      </c>
      <c r="AA1344" s="30">
        <v>0</v>
      </c>
      <c r="AB1344" s="30">
        <v>0</v>
      </c>
      <c r="AC1344" s="30">
        <v>0</v>
      </c>
      <c r="AD1344" s="30">
        <v>0</v>
      </c>
      <c r="AE1344" s="89" t="s">
        <v>92</v>
      </c>
      <c r="AF1344" s="89"/>
      <c r="AG1344" s="89" t="s">
        <v>133</v>
      </c>
      <c r="AH1344" s="72">
        <v>41058</v>
      </c>
      <c r="AI1344" s="30">
        <v>4</v>
      </c>
      <c r="AJ1344" s="89" t="s">
        <v>7502</v>
      </c>
      <c r="AK1344" s="89" t="s">
        <v>7019</v>
      </c>
      <c r="AL1344" s="91">
        <v>41058</v>
      </c>
      <c r="AM1344" s="91"/>
      <c r="AN1344" s="91"/>
      <c r="AO1344" s="91"/>
      <c r="AP1344" s="73" t="e">
        <f>MID(VLOOKUP(K1344,#REF!,2,FALSE),1,2)</f>
        <v>#REF!</v>
      </c>
      <c r="AQ1344" s="89">
        <f>DATE(2012,5,7)</f>
        <v>41036</v>
      </c>
      <c r="AR1344" s="82">
        <f t="shared" si="86"/>
        <v>7</v>
      </c>
      <c r="AS1344" s="83">
        <f t="shared" si="87"/>
        <v>5</v>
      </c>
      <c r="AT1344" s="84">
        <f t="shared" si="88"/>
        <v>2012</v>
      </c>
      <c r="AU1344" s="86"/>
      <c r="AV1344" s="86"/>
      <c r="AW1344" s="87"/>
      <c r="AX1344" s="86"/>
      <c r="AY1344" s="83"/>
      <c r="AZ1344" s="84"/>
      <c r="BA1344" s="86"/>
      <c r="BB1344" s="86"/>
    </row>
    <row r="1345" spans="1:54" ht="36.75" customHeight="1">
      <c r="A1345" s="30"/>
      <c r="B1345" s="30" t="s">
        <v>55</v>
      </c>
      <c r="C1345" s="69" t="str">
        <f t="shared" si="85"/>
        <v>Closed</v>
      </c>
      <c r="D1345" s="27" t="s">
        <v>7503</v>
      </c>
      <c r="E1345" s="29" t="s">
        <v>7504</v>
      </c>
      <c r="F1345" s="30" t="s">
        <v>197</v>
      </c>
      <c r="G1345" s="89">
        <f>DATE(2012,5,9)</f>
        <v>41038</v>
      </c>
      <c r="H1345" s="90">
        <v>1.59375</v>
      </c>
      <c r="I1345" s="30" t="s">
        <v>116</v>
      </c>
      <c r="J1345" s="89" t="s">
        <v>7505</v>
      </c>
      <c r="K1345" s="30" t="s">
        <v>200</v>
      </c>
      <c r="L1345" s="30" t="s">
        <v>7506</v>
      </c>
      <c r="M1345" s="30" t="s">
        <v>63</v>
      </c>
      <c r="N1345" s="30" t="s">
        <v>99</v>
      </c>
      <c r="O1345" s="30" t="s">
        <v>64</v>
      </c>
      <c r="P1345" s="89" t="s">
        <v>165</v>
      </c>
      <c r="Q1345" s="89" t="s">
        <v>202</v>
      </c>
      <c r="R1345" s="89" t="s">
        <v>203</v>
      </c>
      <c r="S1345" s="30">
        <v>0</v>
      </c>
      <c r="T1345" s="233">
        <v>0</v>
      </c>
      <c r="U1345" s="30">
        <v>1</v>
      </c>
      <c r="V1345" s="233">
        <v>0</v>
      </c>
      <c r="W1345" s="30">
        <v>0</v>
      </c>
      <c r="X1345" s="30">
        <v>1</v>
      </c>
      <c r="Y1345" s="30">
        <v>0</v>
      </c>
      <c r="Z1345" s="233">
        <v>0</v>
      </c>
      <c r="AA1345" s="30">
        <v>0</v>
      </c>
      <c r="AB1345" s="30">
        <v>0</v>
      </c>
      <c r="AC1345" s="30">
        <v>0</v>
      </c>
      <c r="AD1345" s="30">
        <v>0</v>
      </c>
      <c r="AE1345" s="89" t="s">
        <v>92</v>
      </c>
      <c r="AF1345" s="89"/>
      <c r="AG1345" s="89" t="s">
        <v>82</v>
      </c>
      <c r="AH1345" s="72">
        <v>41038</v>
      </c>
      <c r="AI1345" s="30">
        <v>0</v>
      </c>
      <c r="AJ1345" s="89" t="s">
        <v>7507</v>
      </c>
      <c r="AK1345" s="89" t="s">
        <v>1233</v>
      </c>
      <c r="AL1345" s="91">
        <v>41107</v>
      </c>
      <c r="AM1345" s="91"/>
      <c r="AN1345" s="91"/>
      <c r="AO1345" s="91"/>
      <c r="AP1345" s="73" t="e">
        <f>MID(VLOOKUP(K1345,#REF!,2,FALSE),1,2)</f>
        <v>#REF!</v>
      </c>
      <c r="AQ1345" s="89">
        <f>DATE(2012,5,9)</f>
        <v>41038</v>
      </c>
      <c r="AR1345" s="82">
        <f t="shared" si="86"/>
        <v>9</v>
      </c>
      <c r="AS1345" s="83">
        <f t="shared" si="87"/>
        <v>5</v>
      </c>
      <c r="AT1345" s="84">
        <f t="shared" si="88"/>
        <v>2012</v>
      </c>
      <c r="AU1345" s="86"/>
      <c r="AV1345" s="86"/>
      <c r="AW1345" s="87"/>
      <c r="AX1345" s="86"/>
      <c r="AY1345" s="83"/>
      <c r="AZ1345" s="84"/>
      <c r="BA1345" s="86"/>
      <c r="BB1345" s="86"/>
    </row>
    <row r="1346" spans="1:54" ht="36.75" customHeight="1">
      <c r="A1346" s="30"/>
      <c r="B1346" s="30" t="s">
        <v>55</v>
      </c>
      <c r="C1346" s="69" t="str">
        <f t="shared" ref="C1346:C1409" si="89">IF(B1346="Notification","Open",IF(B1346="Interim Statement","In progress","Closed"))</f>
        <v>Closed</v>
      </c>
      <c r="D1346" s="27" t="s">
        <v>7508</v>
      </c>
      <c r="E1346" s="29" t="s">
        <v>7509</v>
      </c>
      <c r="F1346" s="30" t="s">
        <v>638</v>
      </c>
      <c r="G1346" s="89">
        <f>DATE(2012,5,9)</f>
        <v>41038</v>
      </c>
      <c r="H1346" s="90">
        <v>1.598611111111111</v>
      </c>
      <c r="I1346" s="30" t="s">
        <v>104</v>
      </c>
      <c r="J1346" s="89" t="s">
        <v>7510</v>
      </c>
      <c r="K1346" s="30" t="s">
        <v>640</v>
      </c>
      <c r="L1346" s="30" t="s">
        <v>7511</v>
      </c>
      <c r="M1346" s="30" t="s">
        <v>63</v>
      </c>
      <c r="N1346" s="30" t="s">
        <v>99</v>
      </c>
      <c r="O1346" s="30" t="s">
        <v>77</v>
      </c>
      <c r="P1346" s="89" t="s">
        <v>165</v>
      </c>
      <c r="Q1346" s="89" t="s">
        <v>3246</v>
      </c>
      <c r="R1346" s="89" t="s">
        <v>3246</v>
      </c>
      <c r="S1346" s="30">
        <v>0</v>
      </c>
      <c r="T1346" s="233">
        <v>0</v>
      </c>
      <c r="U1346" s="30">
        <v>0</v>
      </c>
      <c r="V1346" s="233">
        <v>0</v>
      </c>
      <c r="W1346" s="30">
        <v>0</v>
      </c>
      <c r="X1346" s="30">
        <v>0</v>
      </c>
      <c r="Y1346" s="30">
        <v>0</v>
      </c>
      <c r="Z1346" s="233">
        <v>0</v>
      </c>
      <c r="AA1346" s="30">
        <v>0</v>
      </c>
      <c r="AB1346" s="30">
        <v>0</v>
      </c>
      <c r="AC1346" s="30">
        <v>0</v>
      </c>
      <c r="AD1346" s="30">
        <v>0</v>
      </c>
      <c r="AE1346" s="89" t="s">
        <v>68</v>
      </c>
      <c r="AF1346" s="89"/>
      <c r="AG1346" s="89" t="s">
        <v>352</v>
      </c>
      <c r="AH1346" s="72">
        <v>41058</v>
      </c>
      <c r="AI1346" s="30">
        <v>2</v>
      </c>
      <c r="AJ1346" s="89" t="s">
        <v>7512</v>
      </c>
      <c r="AK1346" s="89" t="s">
        <v>68</v>
      </c>
      <c r="AL1346" s="91">
        <v>41061</v>
      </c>
      <c r="AM1346" s="91"/>
      <c r="AN1346" s="91"/>
      <c r="AO1346" s="91"/>
      <c r="AP1346" s="73" t="e">
        <f>MID(VLOOKUP(K1346,#REF!,2,FALSE),1,2)</f>
        <v>#REF!</v>
      </c>
      <c r="AQ1346" s="89">
        <f>DATE(2012,5,9)</f>
        <v>41038</v>
      </c>
      <c r="AR1346" s="82">
        <f t="shared" ref="AR1346:AR1409" si="90">DAY(AQ1346)</f>
        <v>9</v>
      </c>
      <c r="AS1346" s="83">
        <f t="shared" ref="AS1346:AS1409" si="91">MONTH(AQ1346)</f>
        <v>5</v>
      </c>
      <c r="AT1346" s="84">
        <f t="shared" ref="AT1346:AT1409" si="92">YEAR(AQ1346)</f>
        <v>2012</v>
      </c>
      <c r="AU1346" s="86"/>
      <c r="AV1346" s="86"/>
      <c r="AW1346" s="87"/>
      <c r="AX1346" s="86"/>
      <c r="AY1346" s="83"/>
      <c r="AZ1346" s="84"/>
      <c r="BA1346" s="86"/>
      <c r="BB1346" s="86"/>
    </row>
    <row r="1347" spans="1:54" ht="36.75" customHeight="1">
      <c r="A1347" s="30"/>
      <c r="B1347" s="30" t="s">
        <v>55</v>
      </c>
      <c r="C1347" s="69" t="str">
        <f t="shared" si="89"/>
        <v>Closed</v>
      </c>
      <c r="D1347" s="27" t="s">
        <v>7513</v>
      </c>
      <c r="E1347" s="29" t="s">
        <v>7514</v>
      </c>
      <c r="F1347" s="30" t="s">
        <v>1572</v>
      </c>
      <c r="G1347" s="89">
        <f>DATE(2012,5,10)</f>
        <v>41039</v>
      </c>
      <c r="H1347" s="90">
        <v>1.46875</v>
      </c>
      <c r="I1347" s="30" t="s">
        <v>73</v>
      </c>
      <c r="J1347" s="89" t="s">
        <v>7515</v>
      </c>
      <c r="K1347" s="30" t="s">
        <v>1574</v>
      </c>
      <c r="L1347" s="30" t="s">
        <v>7516</v>
      </c>
      <c r="M1347" s="30" t="s">
        <v>63</v>
      </c>
      <c r="N1347" s="30" t="s">
        <v>142</v>
      </c>
      <c r="O1347" s="30" t="s">
        <v>77</v>
      </c>
      <c r="P1347" s="89" t="s">
        <v>78</v>
      </c>
      <c r="Q1347" s="89" t="s">
        <v>4920</v>
      </c>
      <c r="R1347" s="89">
        <v>0</v>
      </c>
      <c r="S1347" s="30">
        <v>0</v>
      </c>
      <c r="T1347" s="233">
        <v>0</v>
      </c>
      <c r="U1347" s="30">
        <v>0</v>
      </c>
      <c r="V1347" s="233">
        <v>0</v>
      </c>
      <c r="W1347" s="30">
        <v>0</v>
      </c>
      <c r="X1347" s="30">
        <v>0</v>
      </c>
      <c r="Y1347" s="30">
        <v>0</v>
      </c>
      <c r="Z1347" s="233">
        <v>0</v>
      </c>
      <c r="AA1347" s="30">
        <v>0</v>
      </c>
      <c r="AB1347" s="30">
        <v>0</v>
      </c>
      <c r="AC1347" s="30">
        <v>0</v>
      </c>
      <c r="AD1347" s="30">
        <v>0</v>
      </c>
      <c r="AE1347" s="89" t="s">
        <v>92</v>
      </c>
      <c r="AF1347" s="89"/>
      <c r="AG1347" s="89" t="s">
        <v>133</v>
      </c>
      <c r="AH1347" s="72">
        <v>41040</v>
      </c>
      <c r="AI1347" s="30">
        <v>0</v>
      </c>
      <c r="AJ1347" s="89" t="s">
        <v>7517</v>
      </c>
      <c r="AK1347" s="89" t="s">
        <v>1233</v>
      </c>
      <c r="AL1347" s="91">
        <v>41043</v>
      </c>
      <c r="AM1347" s="91"/>
      <c r="AN1347" s="91"/>
      <c r="AO1347" s="91"/>
      <c r="AP1347" s="73" t="e">
        <f>MID(VLOOKUP(K1347,#REF!,2,FALSE),1,2)</f>
        <v>#REF!</v>
      </c>
      <c r="AQ1347" s="89">
        <f>DATE(2012,5,10)</f>
        <v>41039</v>
      </c>
      <c r="AR1347" s="82">
        <f t="shared" si="90"/>
        <v>10</v>
      </c>
      <c r="AS1347" s="83">
        <f t="shared" si="91"/>
        <v>5</v>
      </c>
      <c r="AT1347" s="84">
        <f t="shared" si="92"/>
        <v>2012</v>
      </c>
      <c r="AU1347" s="86"/>
      <c r="AV1347" s="86"/>
      <c r="AW1347" s="87"/>
      <c r="AX1347" s="86"/>
      <c r="AY1347" s="83"/>
      <c r="AZ1347" s="84"/>
      <c r="BA1347" s="86"/>
      <c r="BB1347" s="86"/>
    </row>
    <row r="1348" spans="1:54" ht="36.75" customHeight="1">
      <c r="A1348" s="30"/>
      <c r="B1348" s="30" t="s">
        <v>55</v>
      </c>
      <c r="C1348" s="69" t="str">
        <f t="shared" si="89"/>
        <v>Closed</v>
      </c>
      <c r="D1348" s="27" t="s">
        <v>7518</v>
      </c>
      <c r="E1348" s="29" t="s">
        <v>7519</v>
      </c>
      <c r="F1348" s="30" t="s">
        <v>1770</v>
      </c>
      <c r="G1348" s="89">
        <f>DATE(2012,5,11)</f>
        <v>41040</v>
      </c>
      <c r="H1348" s="90">
        <v>1.48125</v>
      </c>
      <c r="I1348" s="30" t="s">
        <v>198</v>
      </c>
      <c r="J1348" s="89" t="s">
        <v>7520</v>
      </c>
      <c r="K1348" s="30" t="s">
        <v>1772</v>
      </c>
      <c r="L1348" s="30" t="s">
        <v>7521</v>
      </c>
      <c r="M1348" s="30" t="s">
        <v>63</v>
      </c>
      <c r="N1348" s="30" t="s">
        <v>142</v>
      </c>
      <c r="O1348" s="30" t="s">
        <v>64</v>
      </c>
      <c r="P1348" s="89" t="s">
        <v>78</v>
      </c>
      <c r="Q1348" s="89" t="s">
        <v>6501</v>
      </c>
      <c r="R1348" s="89" t="s">
        <v>1775</v>
      </c>
      <c r="S1348" s="30">
        <v>0</v>
      </c>
      <c r="T1348" s="233">
        <v>0</v>
      </c>
      <c r="U1348" s="30">
        <v>0</v>
      </c>
      <c r="V1348" s="233">
        <v>0</v>
      </c>
      <c r="W1348" s="30">
        <v>0</v>
      </c>
      <c r="X1348" s="30">
        <v>0</v>
      </c>
      <c r="Y1348" s="30">
        <v>0</v>
      </c>
      <c r="Z1348" s="233">
        <v>0</v>
      </c>
      <c r="AA1348" s="30">
        <v>0</v>
      </c>
      <c r="AB1348" s="30">
        <v>0</v>
      </c>
      <c r="AC1348" s="30">
        <v>0</v>
      </c>
      <c r="AD1348" s="30">
        <v>0</v>
      </c>
      <c r="AE1348" s="89" t="s">
        <v>394</v>
      </c>
      <c r="AF1348" s="89"/>
      <c r="AG1348" s="89" t="s">
        <v>82</v>
      </c>
      <c r="AH1348" s="72">
        <v>41040</v>
      </c>
      <c r="AI1348" s="30">
        <v>8</v>
      </c>
      <c r="AJ1348" s="89" t="s">
        <v>7522</v>
      </c>
      <c r="AK1348" s="89" t="s">
        <v>68</v>
      </c>
      <c r="AL1348" s="91">
        <v>41045</v>
      </c>
      <c r="AM1348" s="91"/>
      <c r="AN1348" s="91"/>
      <c r="AO1348" s="91"/>
      <c r="AP1348" s="73" t="e">
        <f>MID(VLOOKUP(K1348,#REF!,2,FALSE),1,2)</f>
        <v>#REF!</v>
      </c>
      <c r="AQ1348" s="89">
        <f>DATE(2012,5,11)</f>
        <v>41040</v>
      </c>
      <c r="AR1348" s="82">
        <f t="shared" si="90"/>
        <v>11</v>
      </c>
      <c r="AS1348" s="83">
        <f t="shared" si="91"/>
        <v>5</v>
      </c>
      <c r="AT1348" s="84">
        <f t="shared" si="92"/>
        <v>2012</v>
      </c>
      <c r="AU1348" s="86"/>
      <c r="AV1348" s="86"/>
      <c r="AW1348" s="87"/>
      <c r="AX1348" s="86"/>
      <c r="AY1348" s="83"/>
      <c r="AZ1348" s="84"/>
      <c r="BA1348" s="86"/>
      <c r="BB1348" s="86"/>
    </row>
    <row r="1349" spans="1:54" ht="36.75" customHeight="1">
      <c r="A1349" s="30"/>
      <c r="B1349" s="30" t="s">
        <v>55</v>
      </c>
      <c r="C1349" s="69" t="str">
        <f t="shared" si="89"/>
        <v>Closed</v>
      </c>
      <c r="D1349" s="27" t="s">
        <v>7523</v>
      </c>
      <c r="E1349" s="29" t="s">
        <v>7524</v>
      </c>
      <c r="F1349" s="30" t="s">
        <v>638</v>
      </c>
      <c r="G1349" s="89">
        <f>DATE(2012,5,11)</f>
        <v>41040</v>
      </c>
      <c r="H1349" s="90">
        <v>1.8569444444444443</v>
      </c>
      <c r="I1349" s="30" t="s">
        <v>156</v>
      </c>
      <c r="J1349" s="89" t="s">
        <v>7525</v>
      </c>
      <c r="K1349" s="30" t="s">
        <v>640</v>
      </c>
      <c r="L1349" s="30" t="s">
        <v>7526</v>
      </c>
      <c r="M1349" s="30" t="s">
        <v>63</v>
      </c>
      <c r="N1349" s="30" t="s">
        <v>99</v>
      </c>
      <c r="O1349" s="30" t="s">
        <v>64</v>
      </c>
      <c r="P1349" s="89" t="s">
        <v>6902</v>
      </c>
      <c r="Q1349" s="89" t="s">
        <v>3246</v>
      </c>
      <c r="R1349" s="89" t="s">
        <v>3246</v>
      </c>
      <c r="S1349" s="30">
        <v>0</v>
      </c>
      <c r="T1349" s="233">
        <v>0</v>
      </c>
      <c r="U1349" s="30">
        <v>0</v>
      </c>
      <c r="V1349" s="233">
        <v>0</v>
      </c>
      <c r="W1349" s="30">
        <v>0</v>
      </c>
      <c r="X1349" s="30">
        <v>0</v>
      </c>
      <c r="Y1349" s="30">
        <v>0</v>
      </c>
      <c r="Z1349" s="233">
        <v>0</v>
      </c>
      <c r="AA1349" s="30">
        <v>0</v>
      </c>
      <c r="AB1349" s="30">
        <v>0</v>
      </c>
      <c r="AC1349" s="30">
        <v>0</v>
      </c>
      <c r="AD1349" s="30">
        <v>0</v>
      </c>
      <c r="AE1349" s="89" t="s">
        <v>68</v>
      </c>
      <c r="AF1349" s="89"/>
      <c r="AG1349" s="89" t="s">
        <v>352</v>
      </c>
      <c r="AH1349" s="72">
        <v>41058</v>
      </c>
      <c r="AI1349" s="30">
        <v>0</v>
      </c>
      <c r="AJ1349" s="89" t="s">
        <v>7527</v>
      </c>
      <c r="AK1349" s="89" t="s">
        <v>68</v>
      </c>
      <c r="AL1349" s="91">
        <v>41061</v>
      </c>
      <c r="AM1349" s="91"/>
      <c r="AN1349" s="91"/>
      <c r="AO1349" s="91"/>
      <c r="AP1349" s="73" t="e">
        <f>MID(VLOOKUP(K1349,#REF!,2,FALSE),1,2)</f>
        <v>#REF!</v>
      </c>
      <c r="AQ1349" s="89">
        <f>DATE(2012,5,11)</f>
        <v>41040</v>
      </c>
      <c r="AR1349" s="82">
        <f t="shared" si="90"/>
        <v>11</v>
      </c>
      <c r="AS1349" s="83">
        <f t="shared" si="91"/>
        <v>5</v>
      </c>
      <c r="AT1349" s="84">
        <f t="shared" si="92"/>
        <v>2012</v>
      </c>
      <c r="AU1349" s="86"/>
      <c r="AV1349" s="86"/>
      <c r="AW1349" s="87"/>
      <c r="AX1349" s="86"/>
      <c r="AY1349" s="83"/>
      <c r="AZ1349" s="84"/>
      <c r="BA1349" s="86"/>
      <c r="BB1349" s="86"/>
    </row>
    <row r="1350" spans="1:54" ht="36.75" customHeight="1">
      <c r="A1350" s="30"/>
      <c r="B1350" s="30" t="s">
        <v>55</v>
      </c>
      <c r="C1350" s="69" t="str">
        <f t="shared" si="89"/>
        <v>Closed</v>
      </c>
      <c r="D1350" s="27" t="s">
        <v>7528</v>
      </c>
      <c r="E1350" s="29" t="s">
        <v>7529</v>
      </c>
      <c r="F1350" s="30" t="s">
        <v>835</v>
      </c>
      <c r="G1350" s="89">
        <f>DATE(2012,5,12)</f>
        <v>41041</v>
      </c>
      <c r="H1350" s="90">
        <v>1.6041666666666665</v>
      </c>
      <c r="I1350" s="30" t="s">
        <v>73</v>
      </c>
      <c r="J1350" s="89" t="s">
        <v>7530</v>
      </c>
      <c r="K1350" s="30" t="s">
        <v>837</v>
      </c>
      <c r="L1350" s="30" t="s">
        <v>7531</v>
      </c>
      <c r="M1350" s="30" t="s">
        <v>63</v>
      </c>
      <c r="N1350" s="30" t="s">
        <v>142</v>
      </c>
      <c r="O1350" s="30" t="s">
        <v>64</v>
      </c>
      <c r="P1350" s="89" t="s">
        <v>78</v>
      </c>
      <c r="Q1350" s="89" t="s">
        <v>4708</v>
      </c>
      <c r="R1350" s="89" t="s">
        <v>840</v>
      </c>
      <c r="S1350" s="30">
        <v>0</v>
      </c>
      <c r="T1350" s="233">
        <v>0</v>
      </c>
      <c r="U1350" s="30">
        <v>0</v>
      </c>
      <c r="V1350" s="233">
        <v>0</v>
      </c>
      <c r="W1350" s="30">
        <v>0</v>
      </c>
      <c r="X1350" s="30">
        <v>0</v>
      </c>
      <c r="Y1350" s="30">
        <v>0</v>
      </c>
      <c r="Z1350" s="233">
        <v>0</v>
      </c>
      <c r="AA1350" s="30">
        <v>0</v>
      </c>
      <c r="AB1350" s="30">
        <v>0</v>
      </c>
      <c r="AC1350" s="30">
        <v>0</v>
      </c>
      <c r="AD1350" s="30">
        <v>0</v>
      </c>
      <c r="AE1350" s="89" t="s">
        <v>394</v>
      </c>
      <c r="AF1350" s="89"/>
      <c r="AG1350" s="89" t="s">
        <v>352</v>
      </c>
      <c r="AH1350" s="72">
        <v>41041</v>
      </c>
      <c r="AI1350" s="30">
        <v>1</v>
      </c>
      <c r="AJ1350" s="89" t="s">
        <v>7532</v>
      </c>
      <c r="AK1350" s="89" t="s">
        <v>7533</v>
      </c>
      <c r="AL1350" s="91">
        <v>41071</v>
      </c>
      <c r="AM1350" s="91"/>
      <c r="AN1350" s="91"/>
      <c r="AO1350" s="91"/>
      <c r="AP1350" s="73" t="e">
        <f>MID(VLOOKUP(K1350,#REF!,2,FALSE),1,2)</f>
        <v>#REF!</v>
      </c>
      <c r="AQ1350" s="89">
        <f>DATE(2012,5,12)</f>
        <v>41041</v>
      </c>
      <c r="AR1350" s="82">
        <f t="shared" si="90"/>
        <v>12</v>
      </c>
      <c r="AS1350" s="83">
        <f t="shared" si="91"/>
        <v>5</v>
      </c>
      <c r="AT1350" s="84">
        <f t="shared" si="92"/>
        <v>2012</v>
      </c>
      <c r="AU1350" s="86"/>
      <c r="AV1350" s="86"/>
      <c r="AW1350" s="87"/>
      <c r="AX1350" s="86"/>
      <c r="AY1350" s="83"/>
      <c r="AZ1350" s="84"/>
      <c r="BA1350" s="86"/>
      <c r="BB1350" s="86"/>
    </row>
    <row r="1351" spans="1:54" ht="36.75" customHeight="1">
      <c r="A1351" s="30"/>
      <c r="B1351" s="30" t="s">
        <v>55</v>
      </c>
      <c r="C1351" s="69" t="str">
        <f t="shared" si="89"/>
        <v>Closed</v>
      </c>
      <c r="D1351" s="27" t="s">
        <v>7534</v>
      </c>
      <c r="E1351" s="29" t="s">
        <v>7535</v>
      </c>
      <c r="F1351" s="30" t="s">
        <v>233</v>
      </c>
      <c r="G1351" s="89">
        <f>DATE(2012,5,16)</f>
        <v>41045</v>
      </c>
      <c r="H1351" s="90">
        <v>1.4055555555555554</v>
      </c>
      <c r="I1351" s="30" t="s">
        <v>278</v>
      </c>
      <c r="J1351" s="89" t="s">
        <v>7536</v>
      </c>
      <c r="K1351" s="30" t="s">
        <v>235</v>
      </c>
      <c r="L1351" s="30" t="s">
        <v>7537</v>
      </c>
      <c r="M1351" s="30" t="s">
        <v>255</v>
      </c>
      <c r="N1351" s="30" t="s">
        <v>142</v>
      </c>
      <c r="O1351" s="30" t="s">
        <v>77</v>
      </c>
      <c r="P1351" s="89" t="s">
        <v>165</v>
      </c>
      <c r="Q1351" s="89" t="s">
        <v>1893</v>
      </c>
      <c r="R1351" s="89" t="s">
        <v>1894</v>
      </c>
      <c r="S1351" s="30">
        <v>0</v>
      </c>
      <c r="T1351" s="233">
        <v>0</v>
      </c>
      <c r="U1351" s="30">
        <v>0</v>
      </c>
      <c r="V1351" s="233">
        <v>0</v>
      </c>
      <c r="W1351" s="30">
        <v>0</v>
      </c>
      <c r="X1351" s="30">
        <v>0</v>
      </c>
      <c r="Y1351" s="30">
        <v>0</v>
      </c>
      <c r="Z1351" s="233">
        <v>0</v>
      </c>
      <c r="AA1351" s="30">
        <v>1</v>
      </c>
      <c r="AB1351" s="30">
        <v>0</v>
      </c>
      <c r="AC1351" s="30">
        <v>0</v>
      </c>
      <c r="AD1351" s="30">
        <v>1</v>
      </c>
      <c r="AE1351" s="89" t="s">
        <v>68</v>
      </c>
      <c r="AF1351" s="89"/>
      <c r="AG1351" s="89" t="s">
        <v>133</v>
      </c>
      <c r="AH1351" s="72" t="s">
        <v>68</v>
      </c>
      <c r="AI1351" s="30">
        <v>5</v>
      </c>
      <c r="AJ1351" s="89" t="s">
        <v>7538</v>
      </c>
      <c r="AK1351" s="89" t="s">
        <v>7539</v>
      </c>
      <c r="AL1351" s="91">
        <v>41094</v>
      </c>
      <c r="AM1351" s="91"/>
      <c r="AN1351" s="91"/>
      <c r="AO1351" s="91"/>
      <c r="AP1351" s="73" t="e">
        <f>MID(VLOOKUP(K1351,#REF!,2,FALSE),1,2)</f>
        <v>#REF!</v>
      </c>
      <c r="AQ1351" s="89">
        <f>DATE(2012,5,16)</f>
        <v>41045</v>
      </c>
      <c r="AR1351" s="82">
        <f t="shared" si="90"/>
        <v>16</v>
      </c>
      <c r="AS1351" s="83">
        <f t="shared" si="91"/>
        <v>5</v>
      </c>
      <c r="AT1351" s="84">
        <f t="shared" si="92"/>
        <v>2012</v>
      </c>
      <c r="AU1351" s="86"/>
      <c r="AV1351" s="86"/>
      <c r="AW1351" s="87"/>
      <c r="AX1351" s="86"/>
      <c r="AY1351" s="83"/>
      <c r="AZ1351" s="84"/>
      <c r="BA1351" s="86"/>
      <c r="BB1351" s="86"/>
    </row>
    <row r="1352" spans="1:54" ht="36.75" customHeight="1">
      <c r="A1352" s="30"/>
      <c r="B1352" s="30" t="s">
        <v>55</v>
      </c>
      <c r="C1352" s="69" t="str">
        <f t="shared" si="89"/>
        <v>Closed</v>
      </c>
      <c r="D1352" s="27" t="s">
        <v>7540</v>
      </c>
      <c r="E1352" s="29" t="s">
        <v>7541</v>
      </c>
      <c r="F1352" s="30" t="s">
        <v>423</v>
      </c>
      <c r="G1352" s="89">
        <f>DATE(2012,5,20)</f>
        <v>41049</v>
      </c>
      <c r="H1352" s="90">
        <v>1.9847222222222221</v>
      </c>
      <c r="I1352" s="30" t="s">
        <v>73</v>
      </c>
      <c r="J1352" s="89" t="s">
        <v>7542</v>
      </c>
      <c r="K1352" s="30" t="s">
        <v>425</v>
      </c>
      <c r="L1352" s="30" t="s">
        <v>7543</v>
      </c>
      <c r="M1352" s="30" t="s">
        <v>63</v>
      </c>
      <c r="N1352" s="30" t="s">
        <v>142</v>
      </c>
      <c r="O1352" s="30" t="s">
        <v>64</v>
      </c>
      <c r="P1352" s="89" t="s">
        <v>78</v>
      </c>
      <c r="Q1352" s="89" t="s">
        <v>2582</v>
      </c>
      <c r="R1352" s="89" t="s">
        <v>3103</v>
      </c>
      <c r="S1352" s="30">
        <v>0</v>
      </c>
      <c r="T1352" s="233">
        <v>0</v>
      </c>
      <c r="U1352" s="30">
        <v>0</v>
      </c>
      <c r="V1352" s="233">
        <v>0</v>
      </c>
      <c r="W1352" s="30">
        <v>0</v>
      </c>
      <c r="X1352" s="30">
        <v>0</v>
      </c>
      <c r="Y1352" s="30">
        <v>0</v>
      </c>
      <c r="Z1352" s="233">
        <v>0</v>
      </c>
      <c r="AA1352" s="30">
        <v>0</v>
      </c>
      <c r="AB1352" s="30">
        <v>0</v>
      </c>
      <c r="AC1352" s="30">
        <v>0</v>
      </c>
      <c r="AD1352" s="30">
        <v>0</v>
      </c>
      <c r="AE1352" s="89" t="s">
        <v>394</v>
      </c>
      <c r="AF1352" s="89"/>
      <c r="AG1352" s="89" t="s">
        <v>82</v>
      </c>
      <c r="AH1352" s="72">
        <v>41057</v>
      </c>
      <c r="AI1352" s="30">
        <v>1</v>
      </c>
      <c r="AJ1352" s="89" t="s">
        <v>7544</v>
      </c>
      <c r="AK1352" s="89" t="s">
        <v>7545</v>
      </c>
      <c r="AL1352" s="91">
        <v>41057</v>
      </c>
      <c r="AM1352" s="91"/>
      <c r="AN1352" s="91"/>
      <c r="AO1352" s="91"/>
      <c r="AP1352" s="73" t="e">
        <f>MID(VLOOKUP(K1352,#REF!,2,FALSE),1,2)</f>
        <v>#REF!</v>
      </c>
      <c r="AQ1352" s="89">
        <f>DATE(2012,5,20)</f>
        <v>41049</v>
      </c>
      <c r="AR1352" s="82">
        <f t="shared" si="90"/>
        <v>20</v>
      </c>
      <c r="AS1352" s="83">
        <f t="shared" si="91"/>
        <v>5</v>
      </c>
      <c r="AT1352" s="84">
        <f t="shared" si="92"/>
        <v>2012</v>
      </c>
      <c r="AU1352" s="86"/>
      <c r="AV1352" s="86"/>
      <c r="AW1352" s="87"/>
      <c r="AX1352" s="86"/>
      <c r="AY1352" s="83"/>
      <c r="AZ1352" s="84"/>
      <c r="BA1352" s="86"/>
      <c r="BB1352" s="86"/>
    </row>
    <row r="1353" spans="1:54" ht="36.75" customHeight="1">
      <c r="A1353" s="30"/>
      <c r="B1353" s="30" t="s">
        <v>55</v>
      </c>
      <c r="C1353" s="69" t="str">
        <f t="shared" si="89"/>
        <v>Closed</v>
      </c>
      <c r="D1353" s="27" t="s">
        <v>7546</v>
      </c>
      <c r="E1353" s="29" t="s">
        <v>7547</v>
      </c>
      <c r="F1353" s="30" t="s">
        <v>197</v>
      </c>
      <c r="G1353" s="89">
        <f>DATE(2012,5,21)</f>
        <v>41050</v>
      </c>
      <c r="H1353" s="90">
        <v>0</v>
      </c>
      <c r="I1353" s="30" t="s">
        <v>278</v>
      </c>
      <c r="J1353" s="89" t="s">
        <v>7548</v>
      </c>
      <c r="K1353" s="30" t="s">
        <v>200</v>
      </c>
      <c r="L1353" s="30" t="s">
        <v>7549</v>
      </c>
      <c r="M1353" s="30" t="s">
        <v>63</v>
      </c>
      <c r="N1353" s="30" t="s">
        <v>142</v>
      </c>
      <c r="O1353" s="30" t="s">
        <v>77</v>
      </c>
      <c r="P1353" s="89" t="s">
        <v>91</v>
      </c>
      <c r="Q1353" s="89" t="s">
        <v>200</v>
      </c>
      <c r="R1353" s="89" t="s">
        <v>200</v>
      </c>
      <c r="S1353" s="30">
        <v>0</v>
      </c>
      <c r="T1353" s="233">
        <v>0</v>
      </c>
      <c r="U1353" s="30">
        <v>0</v>
      </c>
      <c r="V1353" s="233">
        <v>0</v>
      </c>
      <c r="W1353" s="30">
        <v>0</v>
      </c>
      <c r="X1353" s="30">
        <v>0</v>
      </c>
      <c r="Y1353" s="30">
        <v>0</v>
      </c>
      <c r="Z1353" s="233">
        <v>3</v>
      </c>
      <c r="AA1353" s="30">
        <v>0</v>
      </c>
      <c r="AB1353" s="30">
        <v>0</v>
      </c>
      <c r="AC1353" s="30">
        <v>0</v>
      </c>
      <c r="AD1353" s="30">
        <v>3</v>
      </c>
      <c r="AE1353" s="89" t="s">
        <v>394</v>
      </c>
      <c r="AF1353" s="89"/>
      <c r="AG1353" s="89" t="s">
        <v>133</v>
      </c>
      <c r="AH1353" s="72">
        <v>41050</v>
      </c>
      <c r="AI1353" s="30">
        <v>0</v>
      </c>
      <c r="AJ1353" s="89" t="s">
        <v>7550</v>
      </c>
      <c r="AK1353" s="89" t="s">
        <v>1233</v>
      </c>
      <c r="AL1353" s="91">
        <v>41535</v>
      </c>
      <c r="AM1353" s="91"/>
      <c r="AN1353" s="91"/>
      <c r="AO1353" s="91"/>
      <c r="AP1353" s="73" t="e">
        <f>MID(VLOOKUP(K1353,#REF!,2,FALSE),1,2)</f>
        <v>#REF!</v>
      </c>
      <c r="AQ1353" s="89">
        <f>DATE(2012,5,21)</f>
        <v>41050</v>
      </c>
      <c r="AR1353" s="82">
        <f t="shared" si="90"/>
        <v>21</v>
      </c>
      <c r="AS1353" s="83">
        <f t="shared" si="91"/>
        <v>5</v>
      </c>
      <c r="AT1353" s="84">
        <f t="shared" si="92"/>
        <v>2012</v>
      </c>
      <c r="AU1353" s="86"/>
      <c r="AV1353" s="86"/>
      <c r="AW1353" s="87"/>
      <c r="AX1353" s="86"/>
      <c r="AY1353" s="83"/>
      <c r="AZ1353" s="84"/>
      <c r="BA1353" s="86"/>
      <c r="BB1353" s="86"/>
    </row>
    <row r="1354" spans="1:54" ht="36.75" customHeight="1">
      <c r="A1354" s="30"/>
      <c r="B1354" s="30" t="s">
        <v>55</v>
      </c>
      <c r="C1354" s="69" t="str">
        <f t="shared" si="89"/>
        <v>Closed</v>
      </c>
      <c r="D1354" s="27" t="s">
        <v>7551</v>
      </c>
      <c r="E1354" s="29" t="s">
        <v>7552</v>
      </c>
      <c r="F1354" s="30" t="s">
        <v>233</v>
      </c>
      <c r="G1354" s="89">
        <f>DATE(2012,5,21)</f>
        <v>41050</v>
      </c>
      <c r="H1354" s="90">
        <v>1.5138888888888888</v>
      </c>
      <c r="I1354" s="30" t="s">
        <v>278</v>
      </c>
      <c r="J1354" s="89" t="s">
        <v>7553</v>
      </c>
      <c r="K1354" s="30" t="s">
        <v>235</v>
      </c>
      <c r="L1354" s="30" t="s">
        <v>7554</v>
      </c>
      <c r="M1354" s="30" t="s">
        <v>63</v>
      </c>
      <c r="N1354" s="30">
        <v>0</v>
      </c>
      <c r="O1354" s="30" t="s">
        <v>77</v>
      </c>
      <c r="P1354" s="89" t="s">
        <v>91</v>
      </c>
      <c r="Q1354" s="89" t="s">
        <v>654</v>
      </c>
      <c r="R1354" s="89" t="s">
        <v>654</v>
      </c>
      <c r="S1354" s="30">
        <v>0</v>
      </c>
      <c r="T1354" s="233">
        <v>1</v>
      </c>
      <c r="U1354" s="30">
        <v>0</v>
      </c>
      <c r="V1354" s="233">
        <v>0</v>
      </c>
      <c r="W1354" s="30">
        <v>0</v>
      </c>
      <c r="X1354" s="30">
        <v>1</v>
      </c>
      <c r="Y1354" s="30">
        <v>0</v>
      </c>
      <c r="Z1354" s="233">
        <v>0</v>
      </c>
      <c r="AA1354" s="30">
        <v>0</v>
      </c>
      <c r="AB1354" s="30">
        <v>0</v>
      </c>
      <c r="AC1354" s="30">
        <v>0</v>
      </c>
      <c r="AD1354" s="30">
        <v>0</v>
      </c>
      <c r="AE1354" s="89" t="s">
        <v>68</v>
      </c>
      <c r="AF1354" s="89"/>
      <c r="AG1354" s="89" t="s">
        <v>82</v>
      </c>
      <c r="AH1354" s="72" t="s">
        <v>68</v>
      </c>
      <c r="AI1354" s="30">
        <v>1</v>
      </c>
      <c r="AJ1354" s="89" t="s">
        <v>7555</v>
      </c>
      <c r="AK1354" s="89" t="s">
        <v>7556</v>
      </c>
      <c r="AL1354" s="91">
        <v>41094</v>
      </c>
      <c r="AM1354" s="91"/>
      <c r="AN1354" s="91"/>
      <c r="AO1354" s="91"/>
      <c r="AP1354" s="73" t="e">
        <f>MID(VLOOKUP(K1354,#REF!,2,FALSE),1,2)</f>
        <v>#REF!</v>
      </c>
      <c r="AQ1354" s="89">
        <f>DATE(2012,5,21)</f>
        <v>41050</v>
      </c>
      <c r="AR1354" s="82">
        <f t="shared" si="90"/>
        <v>21</v>
      </c>
      <c r="AS1354" s="83">
        <f t="shared" si="91"/>
        <v>5</v>
      </c>
      <c r="AT1354" s="84">
        <f t="shared" si="92"/>
        <v>2012</v>
      </c>
      <c r="AU1354" s="86"/>
      <c r="AV1354" s="86"/>
      <c r="AW1354" s="87"/>
      <c r="AX1354" s="86"/>
      <c r="AY1354" s="83"/>
      <c r="AZ1354" s="84"/>
      <c r="BA1354" s="86"/>
      <c r="BB1354" s="86"/>
    </row>
    <row r="1355" spans="1:54" ht="36.75" customHeight="1">
      <c r="A1355" s="30"/>
      <c r="B1355" s="30" t="s">
        <v>55</v>
      </c>
      <c r="C1355" s="69" t="str">
        <f t="shared" si="89"/>
        <v>Closed</v>
      </c>
      <c r="D1355" s="27" t="s">
        <v>7557</v>
      </c>
      <c r="E1355" s="29" t="s">
        <v>7558</v>
      </c>
      <c r="F1355" s="30" t="s">
        <v>197</v>
      </c>
      <c r="G1355" s="89">
        <f>DATE(2012,5,22)</f>
        <v>41051</v>
      </c>
      <c r="H1355" s="90">
        <v>1.3166666666666667</v>
      </c>
      <c r="I1355" s="30" t="s">
        <v>116</v>
      </c>
      <c r="J1355" s="89" t="s">
        <v>7559</v>
      </c>
      <c r="K1355" s="30" t="s">
        <v>200</v>
      </c>
      <c r="L1355" s="30" t="s">
        <v>7560</v>
      </c>
      <c r="M1355" s="30" t="s">
        <v>63</v>
      </c>
      <c r="N1355" s="30" t="s">
        <v>99</v>
      </c>
      <c r="O1355" s="30" t="s">
        <v>64</v>
      </c>
      <c r="P1355" s="89" t="s">
        <v>165</v>
      </c>
      <c r="Q1355" s="89" t="s">
        <v>202</v>
      </c>
      <c r="R1355" s="89" t="s">
        <v>203</v>
      </c>
      <c r="S1355" s="30">
        <v>0</v>
      </c>
      <c r="T1355" s="233">
        <v>0</v>
      </c>
      <c r="U1355" s="30">
        <v>1</v>
      </c>
      <c r="V1355" s="233">
        <v>0</v>
      </c>
      <c r="W1355" s="30">
        <v>0</v>
      </c>
      <c r="X1355" s="30">
        <v>1</v>
      </c>
      <c r="Y1355" s="30">
        <v>0</v>
      </c>
      <c r="Z1355" s="233">
        <v>0</v>
      </c>
      <c r="AA1355" s="30">
        <v>0</v>
      </c>
      <c r="AB1355" s="30">
        <v>0</v>
      </c>
      <c r="AC1355" s="30">
        <v>0</v>
      </c>
      <c r="AD1355" s="30">
        <v>0</v>
      </c>
      <c r="AE1355" s="89" t="s">
        <v>92</v>
      </c>
      <c r="AF1355" s="89"/>
      <c r="AG1355" s="89" t="s">
        <v>82</v>
      </c>
      <c r="AH1355" s="72">
        <v>41057</v>
      </c>
      <c r="AI1355" s="30">
        <v>3</v>
      </c>
      <c r="AJ1355" s="89" t="s">
        <v>7561</v>
      </c>
      <c r="AK1355" s="89" t="s">
        <v>68</v>
      </c>
      <c r="AL1355" s="91">
        <v>41115</v>
      </c>
      <c r="AM1355" s="91"/>
      <c r="AN1355" s="91"/>
      <c r="AO1355" s="91"/>
      <c r="AP1355" s="73" t="e">
        <f>MID(VLOOKUP(K1355,#REF!,2,FALSE),1,2)</f>
        <v>#REF!</v>
      </c>
      <c r="AQ1355" s="89">
        <f>DATE(2012,5,22)</f>
        <v>41051</v>
      </c>
      <c r="AR1355" s="82">
        <f t="shared" si="90"/>
        <v>22</v>
      </c>
      <c r="AS1355" s="83">
        <f t="shared" si="91"/>
        <v>5</v>
      </c>
      <c r="AT1355" s="84">
        <f t="shared" si="92"/>
        <v>2012</v>
      </c>
      <c r="AU1355" s="86"/>
      <c r="AV1355" s="86"/>
      <c r="AW1355" s="87"/>
      <c r="AX1355" s="86"/>
      <c r="AY1355" s="83"/>
      <c r="AZ1355" s="84"/>
      <c r="BA1355" s="86"/>
      <c r="BB1355" s="86"/>
    </row>
    <row r="1356" spans="1:54" ht="36.75" customHeight="1">
      <c r="A1356" s="30"/>
      <c r="B1356" s="30" t="s">
        <v>55</v>
      </c>
      <c r="C1356" s="69" t="str">
        <f t="shared" si="89"/>
        <v>Closed</v>
      </c>
      <c r="D1356" s="27" t="s">
        <v>7562</v>
      </c>
      <c r="E1356" s="29" t="s">
        <v>7563</v>
      </c>
      <c r="F1356" s="30" t="s">
        <v>58</v>
      </c>
      <c r="G1356" s="89">
        <f>DATE(2012,5,22)</f>
        <v>41051</v>
      </c>
      <c r="H1356" s="90">
        <v>1.1312500000000001</v>
      </c>
      <c r="I1356" s="30" t="s">
        <v>73</v>
      </c>
      <c r="J1356" s="89" t="s">
        <v>7564</v>
      </c>
      <c r="K1356" s="30" t="s">
        <v>61</v>
      </c>
      <c r="L1356" s="30" t="s">
        <v>7565</v>
      </c>
      <c r="M1356" s="30" t="s">
        <v>63</v>
      </c>
      <c r="N1356" s="30" t="s">
        <v>89</v>
      </c>
      <c r="O1356" s="30" t="s">
        <v>90</v>
      </c>
      <c r="P1356" s="89" t="s">
        <v>78</v>
      </c>
      <c r="Q1356" s="89" t="s">
        <v>66</v>
      </c>
      <c r="R1356" s="89">
        <v>0</v>
      </c>
      <c r="S1356" s="30">
        <v>0</v>
      </c>
      <c r="T1356" s="233">
        <v>0</v>
      </c>
      <c r="U1356" s="30">
        <v>0</v>
      </c>
      <c r="V1356" s="233">
        <v>0</v>
      </c>
      <c r="W1356" s="30">
        <v>0</v>
      </c>
      <c r="X1356" s="30">
        <v>0</v>
      </c>
      <c r="Y1356" s="30">
        <v>0</v>
      </c>
      <c r="Z1356" s="233">
        <v>0</v>
      </c>
      <c r="AA1356" s="30">
        <v>0</v>
      </c>
      <c r="AB1356" s="30">
        <v>0</v>
      </c>
      <c r="AC1356" s="30">
        <v>0</v>
      </c>
      <c r="AD1356" s="30">
        <v>0</v>
      </c>
      <c r="AE1356" s="89" t="s">
        <v>394</v>
      </c>
      <c r="AF1356" s="89"/>
      <c r="AG1356" s="89" t="s">
        <v>133</v>
      </c>
      <c r="AH1356" s="72">
        <v>41051</v>
      </c>
      <c r="AI1356" s="30">
        <v>5</v>
      </c>
      <c r="AJ1356" s="89" t="s">
        <v>7566</v>
      </c>
      <c r="AK1356" s="89" t="s">
        <v>7567</v>
      </c>
      <c r="AL1356" s="91">
        <v>41071</v>
      </c>
      <c r="AM1356" s="91"/>
      <c r="AN1356" s="91"/>
      <c r="AO1356" s="91"/>
      <c r="AP1356" s="73" t="e">
        <f>MID(VLOOKUP(K1356,#REF!,2,FALSE),1,2)</f>
        <v>#REF!</v>
      </c>
      <c r="AQ1356" s="89">
        <f>DATE(2012,5,22)</f>
        <v>41051</v>
      </c>
      <c r="AR1356" s="82">
        <f t="shared" si="90"/>
        <v>22</v>
      </c>
      <c r="AS1356" s="83">
        <f t="shared" si="91"/>
        <v>5</v>
      </c>
      <c r="AT1356" s="84">
        <f t="shared" si="92"/>
        <v>2012</v>
      </c>
      <c r="AU1356" s="86"/>
      <c r="AV1356" s="86"/>
      <c r="AW1356" s="87"/>
      <c r="AX1356" s="86"/>
      <c r="AY1356" s="83"/>
      <c r="AZ1356" s="84"/>
      <c r="BA1356" s="86"/>
      <c r="BB1356" s="86"/>
    </row>
    <row r="1357" spans="1:54" ht="36.75" customHeight="1">
      <c r="A1357" s="30"/>
      <c r="B1357" s="30" t="s">
        <v>55</v>
      </c>
      <c r="C1357" s="69" t="str">
        <f t="shared" si="89"/>
        <v>Closed</v>
      </c>
      <c r="D1357" s="27" t="s">
        <v>7568</v>
      </c>
      <c r="E1357" s="29" t="s">
        <v>7569</v>
      </c>
      <c r="F1357" s="30" t="s">
        <v>115</v>
      </c>
      <c r="G1357" s="89">
        <f>DATE(2012,5,22)</f>
        <v>41051</v>
      </c>
      <c r="H1357" s="90">
        <v>1.6284722222222223</v>
      </c>
      <c r="I1357" s="30" t="s">
        <v>156</v>
      </c>
      <c r="J1357" s="89" t="s">
        <v>7570</v>
      </c>
      <c r="K1357" s="30" t="s">
        <v>118</v>
      </c>
      <c r="L1357" s="30" t="s">
        <v>7571</v>
      </c>
      <c r="M1357" s="30" t="s">
        <v>63</v>
      </c>
      <c r="N1357" s="30" t="s">
        <v>142</v>
      </c>
      <c r="O1357" s="30" t="s">
        <v>64</v>
      </c>
      <c r="P1357" s="89" t="s">
        <v>165</v>
      </c>
      <c r="Q1357" s="89" t="s">
        <v>120</v>
      </c>
      <c r="R1357" s="89" t="s">
        <v>121</v>
      </c>
      <c r="S1357" s="30">
        <v>0</v>
      </c>
      <c r="T1357" s="233">
        <v>0</v>
      </c>
      <c r="U1357" s="30">
        <v>0</v>
      </c>
      <c r="V1357" s="233">
        <v>0</v>
      </c>
      <c r="W1357" s="30">
        <v>0</v>
      </c>
      <c r="X1357" s="30">
        <v>0</v>
      </c>
      <c r="Y1357" s="30">
        <v>0</v>
      </c>
      <c r="Z1357" s="233">
        <v>0</v>
      </c>
      <c r="AA1357" s="30">
        <v>0</v>
      </c>
      <c r="AB1357" s="30">
        <v>0</v>
      </c>
      <c r="AC1357" s="30">
        <v>0</v>
      </c>
      <c r="AD1357" s="30">
        <v>0</v>
      </c>
      <c r="AE1357" s="89" t="s">
        <v>394</v>
      </c>
      <c r="AF1357" s="89"/>
      <c r="AG1357" s="89" t="s">
        <v>133</v>
      </c>
      <c r="AH1357" s="72">
        <v>41058</v>
      </c>
      <c r="AI1357" s="30">
        <v>3</v>
      </c>
      <c r="AJ1357" s="89" t="s">
        <v>7572</v>
      </c>
      <c r="AK1357" s="89" t="s">
        <v>7573</v>
      </c>
      <c r="AL1357" s="91">
        <v>41058</v>
      </c>
      <c r="AM1357" s="91"/>
      <c r="AN1357" s="91"/>
      <c r="AO1357" s="91"/>
      <c r="AP1357" s="73" t="e">
        <f>MID(VLOOKUP(K1357,#REF!,2,FALSE),1,2)</f>
        <v>#REF!</v>
      </c>
      <c r="AQ1357" s="89">
        <f>DATE(2012,5,22)</f>
        <v>41051</v>
      </c>
      <c r="AR1357" s="82">
        <f t="shared" si="90"/>
        <v>22</v>
      </c>
      <c r="AS1357" s="83">
        <f t="shared" si="91"/>
        <v>5</v>
      </c>
      <c r="AT1357" s="84">
        <f t="shared" si="92"/>
        <v>2012</v>
      </c>
      <c r="AU1357" s="86"/>
      <c r="AV1357" s="86"/>
      <c r="AW1357" s="87"/>
      <c r="AX1357" s="86"/>
      <c r="AY1357" s="83"/>
      <c r="AZ1357" s="84"/>
      <c r="BA1357" s="86"/>
      <c r="BB1357" s="86"/>
    </row>
    <row r="1358" spans="1:54" ht="36.75" customHeight="1">
      <c r="A1358" s="30"/>
      <c r="B1358" s="30" t="s">
        <v>55</v>
      </c>
      <c r="C1358" s="69" t="str">
        <f t="shared" si="89"/>
        <v>Closed</v>
      </c>
      <c r="D1358" s="27" t="s">
        <v>7574</v>
      </c>
      <c r="E1358" s="29" t="s">
        <v>7575</v>
      </c>
      <c r="F1358" s="30" t="s">
        <v>638</v>
      </c>
      <c r="G1358" s="89">
        <f>DATE(2012,5,23)</f>
        <v>41052</v>
      </c>
      <c r="H1358" s="90">
        <v>1.8888888888888888</v>
      </c>
      <c r="I1358" s="30" t="s">
        <v>86</v>
      </c>
      <c r="J1358" s="89" t="s">
        <v>7576</v>
      </c>
      <c r="K1358" s="30" t="s">
        <v>640</v>
      </c>
      <c r="L1358" s="30" t="s">
        <v>7577</v>
      </c>
      <c r="M1358" s="30" t="s">
        <v>63</v>
      </c>
      <c r="N1358" s="30" t="s">
        <v>99</v>
      </c>
      <c r="O1358" s="30" t="s">
        <v>77</v>
      </c>
      <c r="P1358" s="89" t="s">
        <v>165</v>
      </c>
      <c r="Q1358" s="89" t="s">
        <v>642</v>
      </c>
      <c r="R1358" s="89" t="s">
        <v>643</v>
      </c>
      <c r="S1358" s="30">
        <v>0</v>
      </c>
      <c r="T1358" s="233">
        <v>0</v>
      </c>
      <c r="U1358" s="30">
        <v>0</v>
      </c>
      <c r="V1358" s="233">
        <v>0</v>
      </c>
      <c r="W1358" s="30">
        <v>0</v>
      </c>
      <c r="X1358" s="30">
        <v>0</v>
      </c>
      <c r="Y1358" s="30">
        <v>0</v>
      </c>
      <c r="Z1358" s="233">
        <v>0</v>
      </c>
      <c r="AA1358" s="30">
        <v>0</v>
      </c>
      <c r="AB1358" s="30">
        <v>0</v>
      </c>
      <c r="AC1358" s="30">
        <v>0</v>
      </c>
      <c r="AD1358" s="30">
        <v>0</v>
      </c>
      <c r="AE1358" s="89" t="s">
        <v>68</v>
      </c>
      <c r="AF1358" s="89"/>
      <c r="AG1358" s="89" t="s">
        <v>352</v>
      </c>
      <c r="AH1358" s="72">
        <v>41058</v>
      </c>
      <c r="AI1358" s="30">
        <v>1</v>
      </c>
      <c r="AJ1358" s="89" t="s">
        <v>7578</v>
      </c>
      <c r="AK1358" s="89" t="s">
        <v>68</v>
      </c>
      <c r="AL1358" s="91">
        <v>41061</v>
      </c>
      <c r="AM1358" s="91"/>
      <c r="AN1358" s="91"/>
      <c r="AO1358" s="91"/>
      <c r="AP1358" s="73" t="e">
        <f>MID(VLOOKUP(K1358,#REF!,2,FALSE),1,2)</f>
        <v>#REF!</v>
      </c>
      <c r="AQ1358" s="89">
        <f>DATE(2012,5,23)</f>
        <v>41052</v>
      </c>
      <c r="AR1358" s="82">
        <f t="shared" si="90"/>
        <v>23</v>
      </c>
      <c r="AS1358" s="83">
        <f t="shared" si="91"/>
        <v>5</v>
      </c>
      <c r="AT1358" s="84">
        <f t="shared" si="92"/>
        <v>2012</v>
      </c>
      <c r="AU1358" s="86"/>
      <c r="AV1358" s="86"/>
      <c r="AW1358" s="87"/>
      <c r="AX1358" s="86"/>
      <c r="AY1358" s="83"/>
      <c r="AZ1358" s="84"/>
      <c r="BA1358" s="86"/>
      <c r="BB1358" s="86"/>
    </row>
    <row r="1359" spans="1:54" ht="36.75" customHeight="1">
      <c r="A1359" s="30"/>
      <c r="B1359" s="30" t="s">
        <v>55</v>
      </c>
      <c r="C1359" s="69" t="str">
        <f t="shared" si="89"/>
        <v>Closed</v>
      </c>
      <c r="D1359" s="27" t="s">
        <v>7579</v>
      </c>
      <c r="E1359" s="29" t="s">
        <v>7580</v>
      </c>
      <c r="F1359" s="30" t="s">
        <v>423</v>
      </c>
      <c r="G1359" s="89">
        <f>DATE(2012,5,25)</f>
        <v>41054</v>
      </c>
      <c r="H1359" s="90">
        <v>1.5229166666666667</v>
      </c>
      <c r="I1359" s="30" t="s">
        <v>116</v>
      </c>
      <c r="J1359" s="89" t="s">
        <v>7581</v>
      </c>
      <c r="K1359" s="30" t="s">
        <v>425</v>
      </c>
      <c r="L1359" s="30" t="s">
        <v>7582</v>
      </c>
      <c r="M1359" s="30" t="s">
        <v>63</v>
      </c>
      <c r="N1359" s="30" t="s">
        <v>99</v>
      </c>
      <c r="O1359" s="30" t="s">
        <v>64</v>
      </c>
      <c r="P1359" s="89" t="s">
        <v>301</v>
      </c>
      <c r="Q1359" s="89" t="s">
        <v>7583</v>
      </c>
      <c r="R1359" s="89" t="s">
        <v>3103</v>
      </c>
      <c r="S1359" s="30">
        <v>0</v>
      </c>
      <c r="T1359" s="233">
        <v>0</v>
      </c>
      <c r="U1359" s="30">
        <v>1</v>
      </c>
      <c r="V1359" s="233">
        <v>0</v>
      </c>
      <c r="W1359" s="30">
        <v>0</v>
      </c>
      <c r="X1359" s="30">
        <v>1</v>
      </c>
      <c r="Y1359" s="30">
        <v>0</v>
      </c>
      <c r="Z1359" s="233">
        <v>0</v>
      </c>
      <c r="AA1359" s="30">
        <v>2</v>
      </c>
      <c r="AB1359" s="30">
        <v>0</v>
      </c>
      <c r="AC1359" s="30">
        <v>0</v>
      </c>
      <c r="AD1359" s="30">
        <v>2</v>
      </c>
      <c r="AE1359" s="89" t="s">
        <v>92</v>
      </c>
      <c r="AF1359" s="89"/>
      <c r="AG1359" s="89" t="s">
        <v>133</v>
      </c>
      <c r="AH1359" s="72">
        <v>41057</v>
      </c>
      <c r="AI1359" s="30">
        <v>0</v>
      </c>
      <c r="AJ1359" s="89" t="s">
        <v>7584</v>
      </c>
      <c r="AK1359" s="89" t="s">
        <v>7019</v>
      </c>
      <c r="AL1359" s="91">
        <v>41057</v>
      </c>
      <c r="AM1359" s="91"/>
      <c r="AN1359" s="91"/>
      <c r="AO1359" s="91"/>
      <c r="AP1359" s="73" t="e">
        <f>MID(VLOOKUP(K1359,#REF!,2,FALSE),1,2)</f>
        <v>#REF!</v>
      </c>
      <c r="AQ1359" s="89">
        <f>DATE(2012,5,25)</f>
        <v>41054</v>
      </c>
      <c r="AR1359" s="82">
        <f t="shared" si="90"/>
        <v>25</v>
      </c>
      <c r="AS1359" s="83">
        <f t="shared" si="91"/>
        <v>5</v>
      </c>
      <c r="AT1359" s="84">
        <f t="shared" si="92"/>
        <v>2012</v>
      </c>
      <c r="AU1359" s="86"/>
      <c r="AV1359" s="86"/>
      <c r="AW1359" s="87"/>
      <c r="AX1359" s="86"/>
      <c r="AY1359" s="83"/>
      <c r="AZ1359" s="84"/>
      <c r="BA1359" s="86"/>
      <c r="BB1359" s="86"/>
    </row>
    <row r="1360" spans="1:54" ht="36.75" customHeight="1">
      <c r="A1360" s="30"/>
      <c r="B1360" s="30" t="s">
        <v>55</v>
      </c>
      <c r="C1360" s="69" t="str">
        <f t="shared" si="89"/>
        <v>Closed</v>
      </c>
      <c r="D1360" s="27" t="s">
        <v>7585</v>
      </c>
      <c r="E1360" s="29" t="s">
        <v>7586</v>
      </c>
      <c r="F1360" s="30" t="s">
        <v>835</v>
      </c>
      <c r="G1360" s="89">
        <f>DATE(2012,5,26)</f>
        <v>41055</v>
      </c>
      <c r="H1360" s="90">
        <v>1.6736111111111112</v>
      </c>
      <c r="I1360" s="30" t="s">
        <v>116</v>
      </c>
      <c r="J1360" s="89" t="s">
        <v>7587</v>
      </c>
      <c r="K1360" s="30" t="s">
        <v>837</v>
      </c>
      <c r="L1360" s="30" t="s">
        <v>7588</v>
      </c>
      <c r="M1360" s="30" t="s">
        <v>63</v>
      </c>
      <c r="N1360" s="30" t="s">
        <v>99</v>
      </c>
      <c r="O1360" s="30" t="s">
        <v>64</v>
      </c>
      <c r="P1360" s="89" t="s">
        <v>165</v>
      </c>
      <c r="Q1360" s="89" t="s">
        <v>2162</v>
      </c>
      <c r="R1360" s="89" t="s">
        <v>840</v>
      </c>
      <c r="S1360" s="30">
        <v>0</v>
      </c>
      <c r="T1360" s="233">
        <v>0</v>
      </c>
      <c r="U1360" s="30">
        <v>2</v>
      </c>
      <c r="V1360" s="233">
        <v>0</v>
      </c>
      <c r="W1360" s="30">
        <v>0</v>
      </c>
      <c r="X1360" s="30">
        <v>2</v>
      </c>
      <c r="Y1360" s="30">
        <v>0</v>
      </c>
      <c r="Z1360" s="233">
        <v>0</v>
      </c>
      <c r="AA1360" s="30">
        <v>0</v>
      </c>
      <c r="AB1360" s="30">
        <v>0</v>
      </c>
      <c r="AC1360" s="30">
        <v>0</v>
      </c>
      <c r="AD1360" s="30">
        <v>0</v>
      </c>
      <c r="AE1360" s="89" t="s">
        <v>92</v>
      </c>
      <c r="AF1360" s="89"/>
      <c r="AG1360" s="89" t="s">
        <v>352</v>
      </c>
      <c r="AH1360" s="72">
        <v>41055</v>
      </c>
      <c r="AI1360" s="30">
        <v>0</v>
      </c>
      <c r="AJ1360" s="89" t="s">
        <v>7589</v>
      </c>
      <c r="AK1360" s="89" t="s">
        <v>7590</v>
      </c>
      <c r="AL1360" s="91">
        <v>41055</v>
      </c>
      <c r="AM1360" s="91"/>
      <c r="AN1360" s="91"/>
      <c r="AO1360" s="91"/>
      <c r="AP1360" s="73" t="e">
        <f>MID(VLOOKUP(K1360,#REF!,2,FALSE),1,2)</f>
        <v>#REF!</v>
      </c>
      <c r="AQ1360" s="89">
        <f>DATE(2012,5,26)</f>
        <v>41055</v>
      </c>
      <c r="AR1360" s="82">
        <f t="shared" si="90"/>
        <v>26</v>
      </c>
      <c r="AS1360" s="83">
        <f t="shared" si="91"/>
        <v>5</v>
      </c>
      <c r="AT1360" s="84">
        <f t="shared" si="92"/>
        <v>2012</v>
      </c>
      <c r="AU1360" s="86"/>
      <c r="AV1360" s="86"/>
      <c r="AW1360" s="87"/>
      <c r="AX1360" s="86"/>
      <c r="AY1360" s="83"/>
      <c r="AZ1360" s="84"/>
      <c r="BA1360" s="86"/>
      <c r="BB1360" s="86"/>
    </row>
    <row r="1361" spans="1:54" ht="36.75" customHeight="1">
      <c r="A1361" s="30"/>
      <c r="B1361" s="30" t="s">
        <v>55</v>
      </c>
      <c r="C1361" s="69" t="str">
        <f t="shared" si="89"/>
        <v>Closed</v>
      </c>
      <c r="D1361" s="27" t="s">
        <v>7591</v>
      </c>
      <c r="E1361" s="29" t="s">
        <v>7592</v>
      </c>
      <c r="F1361" s="30" t="s">
        <v>197</v>
      </c>
      <c r="G1361" s="89">
        <f>DATE(2012,5,29)</f>
        <v>41058</v>
      </c>
      <c r="H1361" s="90">
        <v>0</v>
      </c>
      <c r="I1361" s="30" t="s">
        <v>73</v>
      </c>
      <c r="J1361" s="89" t="s">
        <v>7593</v>
      </c>
      <c r="K1361" s="30" t="s">
        <v>200</v>
      </c>
      <c r="L1361" s="30" t="s">
        <v>7185</v>
      </c>
      <c r="M1361" s="30" t="s">
        <v>63</v>
      </c>
      <c r="N1361" s="30" t="s">
        <v>99</v>
      </c>
      <c r="O1361" s="30" t="s">
        <v>77</v>
      </c>
      <c r="P1361" s="89" t="s">
        <v>78</v>
      </c>
      <c r="Q1361" s="89" t="s">
        <v>200</v>
      </c>
      <c r="R1361" s="89" t="s">
        <v>200</v>
      </c>
      <c r="S1361" s="30">
        <v>0</v>
      </c>
      <c r="T1361" s="233">
        <v>0</v>
      </c>
      <c r="U1361" s="30">
        <v>0</v>
      </c>
      <c r="V1361" s="233">
        <v>0</v>
      </c>
      <c r="W1361" s="30">
        <v>0</v>
      </c>
      <c r="X1361" s="30">
        <v>0</v>
      </c>
      <c r="Y1361" s="30">
        <v>0</v>
      </c>
      <c r="Z1361" s="233">
        <v>0</v>
      </c>
      <c r="AA1361" s="30">
        <v>0</v>
      </c>
      <c r="AB1361" s="30">
        <v>0</v>
      </c>
      <c r="AC1361" s="30">
        <v>0</v>
      </c>
      <c r="AD1361" s="30">
        <v>0</v>
      </c>
      <c r="AE1361" s="89" t="s">
        <v>92</v>
      </c>
      <c r="AF1361" s="89"/>
      <c r="AG1361" s="89" t="s">
        <v>133</v>
      </c>
      <c r="AH1361" s="72">
        <v>41058</v>
      </c>
      <c r="AI1361" s="30">
        <v>4</v>
      </c>
      <c r="AJ1361" s="89" t="s">
        <v>7594</v>
      </c>
      <c r="AK1361" s="89" t="s">
        <v>7595</v>
      </c>
      <c r="AL1361" s="91">
        <v>41535</v>
      </c>
      <c r="AM1361" s="91"/>
      <c r="AN1361" s="91"/>
      <c r="AO1361" s="91"/>
      <c r="AP1361" s="73" t="e">
        <f>MID(VLOOKUP(K1361,#REF!,2,FALSE),1,2)</f>
        <v>#REF!</v>
      </c>
      <c r="AQ1361" s="89">
        <f>DATE(2012,5,29)</f>
        <v>41058</v>
      </c>
      <c r="AR1361" s="82">
        <f t="shared" si="90"/>
        <v>29</v>
      </c>
      <c r="AS1361" s="83">
        <f t="shared" si="91"/>
        <v>5</v>
      </c>
      <c r="AT1361" s="84">
        <f t="shared" si="92"/>
        <v>2012</v>
      </c>
      <c r="AU1361" s="86"/>
      <c r="AV1361" s="86"/>
      <c r="AW1361" s="87"/>
      <c r="AX1361" s="86"/>
      <c r="AY1361" s="83"/>
      <c r="AZ1361" s="84"/>
      <c r="BA1361" s="86"/>
      <c r="BB1361" s="86"/>
    </row>
    <row r="1362" spans="1:54" ht="36.75" customHeight="1">
      <c r="A1362" s="30"/>
      <c r="B1362" s="30" t="s">
        <v>55</v>
      </c>
      <c r="C1362" s="69" t="str">
        <f t="shared" si="89"/>
        <v>Closed</v>
      </c>
      <c r="D1362" s="27" t="s">
        <v>7596</v>
      </c>
      <c r="E1362" s="29" t="s">
        <v>7597</v>
      </c>
      <c r="F1362" s="30" t="s">
        <v>835</v>
      </c>
      <c r="G1362" s="89">
        <f>DATE(2012,5,31)</f>
        <v>41060</v>
      </c>
      <c r="H1362" s="90">
        <v>1.3423611111111111</v>
      </c>
      <c r="I1362" s="30" t="s">
        <v>116</v>
      </c>
      <c r="J1362" s="89" t="s">
        <v>7598</v>
      </c>
      <c r="K1362" s="30" t="s">
        <v>837</v>
      </c>
      <c r="L1362" s="30" t="s">
        <v>7599</v>
      </c>
      <c r="M1362" s="30" t="s">
        <v>63</v>
      </c>
      <c r="N1362" s="30" t="s">
        <v>99</v>
      </c>
      <c r="O1362" s="30" t="s">
        <v>64</v>
      </c>
      <c r="P1362" s="89" t="s">
        <v>65</v>
      </c>
      <c r="Q1362" s="89" t="s">
        <v>2162</v>
      </c>
      <c r="R1362" s="89" t="s">
        <v>840</v>
      </c>
      <c r="S1362" s="30">
        <v>0</v>
      </c>
      <c r="T1362" s="233">
        <v>0</v>
      </c>
      <c r="U1362" s="30">
        <v>1</v>
      </c>
      <c r="V1362" s="233">
        <v>0</v>
      </c>
      <c r="W1362" s="30">
        <v>0</v>
      </c>
      <c r="X1362" s="30">
        <v>1</v>
      </c>
      <c r="Y1362" s="30">
        <v>0</v>
      </c>
      <c r="Z1362" s="233">
        <v>0</v>
      </c>
      <c r="AA1362" s="30">
        <v>0</v>
      </c>
      <c r="AB1362" s="30">
        <v>0</v>
      </c>
      <c r="AC1362" s="30">
        <v>0</v>
      </c>
      <c r="AD1362" s="30">
        <v>0</v>
      </c>
      <c r="AE1362" s="89" t="s">
        <v>92</v>
      </c>
      <c r="AF1362" s="89"/>
      <c r="AG1362" s="89" t="s">
        <v>352</v>
      </c>
      <c r="AH1362" s="72">
        <v>41060</v>
      </c>
      <c r="AI1362" s="30">
        <v>1</v>
      </c>
      <c r="AJ1362" s="89" t="s">
        <v>7600</v>
      </c>
      <c r="AK1362" s="89" t="s">
        <v>68</v>
      </c>
      <c r="AL1362" s="91">
        <v>41060</v>
      </c>
      <c r="AM1362" s="91"/>
      <c r="AN1362" s="91"/>
      <c r="AO1362" s="91"/>
      <c r="AP1362" s="73" t="e">
        <f>MID(VLOOKUP(K1362,#REF!,2,FALSE),1,2)</f>
        <v>#REF!</v>
      </c>
      <c r="AQ1362" s="89">
        <f>DATE(2012,5,31)</f>
        <v>41060</v>
      </c>
      <c r="AR1362" s="82">
        <f t="shared" si="90"/>
        <v>31</v>
      </c>
      <c r="AS1362" s="83">
        <f t="shared" si="91"/>
        <v>5</v>
      </c>
      <c r="AT1362" s="84">
        <f t="shared" si="92"/>
        <v>2012</v>
      </c>
      <c r="AU1362" s="86"/>
      <c r="AV1362" s="86"/>
      <c r="AW1362" s="87"/>
      <c r="AX1362" s="86"/>
      <c r="AY1362" s="83"/>
      <c r="AZ1362" s="84"/>
      <c r="BA1362" s="86"/>
      <c r="BB1362" s="86"/>
    </row>
    <row r="1363" spans="1:54" ht="36.75" customHeight="1">
      <c r="A1363" s="30"/>
      <c r="B1363" s="30" t="s">
        <v>55</v>
      </c>
      <c r="C1363" s="69" t="str">
        <f t="shared" si="89"/>
        <v>Closed</v>
      </c>
      <c r="D1363" s="27" t="s">
        <v>7601</v>
      </c>
      <c r="E1363" s="29" t="s">
        <v>7602</v>
      </c>
      <c r="F1363" s="30" t="s">
        <v>835</v>
      </c>
      <c r="G1363" s="89">
        <f>DATE(2012,5,31)</f>
        <v>41060</v>
      </c>
      <c r="H1363" s="90">
        <v>1.3979166666666667</v>
      </c>
      <c r="I1363" s="30" t="s">
        <v>116</v>
      </c>
      <c r="J1363" s="89" t="s">
        <v>7603</v>
      </c>
      <c r="K1363" s="30" t="s">
        <v>837</v>
      </c>
      <c r="L1363" s="30" t="s">
        <v>7604</v>
      </c>
      <c r="M1363" s="30" t="s">
        <v>63</v>
      </c>
      <c r="N1363" s="30" t="s">
        <v>99</v>
      </c>
      <c r="O1363" s="30" t="s">
        <v>64</v>
      </c>
      <c r="P1363" s="89" t="s">
        <v>78</v>
      </c>
      <c r="Q1363" s="89" t="s">
        <v>7605</v>
      </c>
      <c r="R1363" s="89" t="s">
        <v>840</v>
      </c>
      <c r="S1363" s="30">
        <v>0</v>
      </c>
      <c r="T1363" s="233">
        <v>0</v>
      </c>
      <c r="U1363" s="30">
        <v>1</v>
      </c>
      <c r="V1363" s="233">
        <v>0</v>
      </c>
      <c r="W1363" s="30">
        <v>0</v>
      </c>
      <c r="X1363" s="30">
        <v>1</v>
      </c>
      <c r="Y1363" s="30">
        <v>0</v>
      </c>
      <c r="Z1363" s="233">
        <v>0</v>
      </c>
      <c r="AA1363" s="30">
        <v>0</v>
      </c>
      <c r="AB1363" s="30">
        <v>0</v>
      </c>
      <c r="AC1363" s="30">
        <v>0</v>
      </c>
      <c r="AD1363" s="30">
        <v>0</v>
      </c>
      <c r="AE1363" s="89" t="s">
        <v>92</v>
      </c>
      <c r="AF1363" s="89"/>
      <c r="AG1363" s="89" t="s">
        <v>352</v>
      </c>
      <c r="AH1363" s="72">
        <v>41060</v>
      </c>
      <c r="AI1363" s="30">
        <v>0</v>
      </c>
      <c r="AJ1363" s="89" t="s">
        <v>7606</v>
      </c>
      <c r="AK1363" s="89" t="s">
        <v>68</v>
      </c>
      <c r="AL1363" s="91">
        <v>41060</v>
      </c>
      <c r="AM1363" s="91"/>
      <c r="AN1363" s="91"/>
      <c r="AO1363" s="91"/>
      <c r="AP1363" s="73" t="e">
        <f>MID(VLOOKUP(K1363,#REF!,2,FALSE),1,2)</f>
        <v>#REF!</v>
      </c>
      <c r="AQ1363" s="89">
        <f>DATE(2012,5,31)</f>
        <v>41060</v>
      </c>
      <c r="AR1363" s="82">
        <f t="shared" si="90"/>
        <v>31</v>
      </c>
      <c r="AS1363" s="83">
        <f t="shared" si="91"/>
        <v>5</v>
      </c>
      <c r="AT1363" s="84">
        <f t="shared" si="92"/>
        <v>2012</v>
      </c>
      <c r="AU1363" s="86"/>
      <c r="AV1363" s="86"/>
      <c r="AW1363" s="87"/>
      <c r="AX1363" s="86"/>
      <c r="AY1363" s="83"/>
      <c r="AZ1363" s="84"/>
      <c r="BA1363" s="86"/>
      <c r="BB1363" s="86"/>
    </row>
    <row r="1364" spans="1:54" ht="36.75" customHeight="1">
      <c r="A1364" s="30"/>
      <c r="B1364" s="30" t="s">
        <v>55</v>
      </c>
      <c r="C1364" s="69" t="str">
        <f t="shared" si="89"/>
        <v>Closed</v>
      </c>
      <c r="D1364" s="27" t="s">
        <v>7607</v>
      </c>
      <c r="E1364" s="29" t="s">
        <v>7608</v>
      </c>
      <c r="F1364" s="30" t="s">
        <v>124</v>
      </c>
      <c r="G1364" s="89">
        <f>DATE(2012,5,31)</f>
        <v>41060</v>
      </c>
      <c r="H1364" s="90">
        <v>1.1090277777777777</v>
      </c>
      <c r="I1364" s="30" t="s">
        <v>86</v>
      </c>
      <c r="J1364" s="89" t="s">
        <v>7609</v>
      </c>
      <c r="K1364" s="30" t="s">
        <v>127</v>
      </c>
      <c r="L1364" s="30" t="s">
        <v>7610</v>
      </c>
      <c r="M1364" s="30" t="s">
        <v>129</v>
      </c>
      <c r="N1364" s="30" t="s">
        <v>142</v>
      </c>
      <c r="O1364" s="30" t="s">
        <v>77</v>
      </c>
      <c r="P1364" s="89" t="s">
        <v>301</v>
      </c>
      <c r="Q1364" s="89" t="s">
        <v>130</v>
      </c>
      <c r="R1364" s="89">
        <v>0</v>
      </c>
      <c r="S1364" s="30">
        <v>0</v>
      </c>
      <c r="T1364" s="233">
        <v>0</v>
      </c>
      <c r="U1364" s="30">
        <v>0</v>
      </c>
      <c r="V1364" s="233">
        <v>0</v>
      </c>
      <c r="W1364" s="30">
        <v>0</v>
      </c>
      <c r="X1364" s="30">
        <v>0</v>
      </c>
      <c r="Y1364" s="30">
        <v>0</v>
      </c>
      <c r="Z1364" s="233">
        <v>0</v>
      </c>
      <c r="AA1364" s="30">
        <v>0</v>
      </c>
      <c r="AB1364" s="30">
        <v>0</v>
      </c>
      <c r="AC1364" s="30">
        <v>0</v>
      </c>
      <c r="AD1364" s="30">
        <v>0</v>
      </c>
      <c r="AE1364" s="89" t="s">
        <v>68</v>
      </c>
      <c r="AF1364" s="89"/>
      <c r="AG1364" s="89" t="s">
        <v>367</v>
      </c>
      <c r="AH1364" s="72">
        <v>41095</v>
      </c>
      <c r="AI1364" s="30">
        <v>1</v>
      </c>
      <c r="AJ1364" s="89" t="s">
        <v>7611</v>
      </c>
      <c r="AK1364" s="89" t="s">
        <v>7612</v>
      </c>
      <c r="AL1364" s="91">
        <v>41096</v>
      </c>
      <c r="AM1364" s="91"/>
      <c r="AN1364" s="91"/>
      <c r="AO1364" s="91"/>
      <c r="AP1364" s="73" t="e">
        <f>MID(VLOOKUP(K1364,#REF!,2,FALSE),1,2)</f>
        <v>#REF!</v>
      </c>
      <c r="AQ1364" s="89">
        <f>DATE(2012,5,31)</f>
        <v>41060</v>
      </c>
      <c r="AR1364" s="82">
        <f t="shared" si="90"/>
        <v>31</v>
      </c>
      <c r="AS1364" s="83">
        <f t="shared" si="91"/>
        <v>5</v>
      </c>
      <c r="AT1364" s="84">
        <f t="shared" si="92"/>
        <v>2012</v>
      </c>
      <c r="AU1364" s="86"/>
      <c r="AV1364" s="86"/>
      <c r="AW1364" s="87"/>
      <c r="AX1364" s="86"/>
      <c r="AY1364" s="83"/>
      <c r="AZ1364" s="84"/>
      <c r="BA1364" s="86"/>
      <c r="BB1364" s="86"/>
    </row>
    <row r="1365" spans="1:54" ht="36.75" customHeight="1">
      <c r="A1365" s="30"/>
      <c r="B1365" s="30" t="s">
        <v>55</v>
      </c>
      <c r="C1365" s="69" t="str">
        <f t="shared" si="89"/>
        <v>Closed</v>
      </c>
      <c r="D1365" s="27" t="s">
        <v>7613</v>
      </c>
      <c r="E1365" s="29" t="s">
        <v>7614</v>
      </c>
      <c r="F1365" s="30" t="s">
        <v>638</v>
      </c>
      <c r="G1365" s="89">
        <f>DATE(2012,6,1)</f>
        <v>41061</v>
      </c>
      <c r="H1365" s="90">
        <v>1.6055555555555556</v>
      </c>
      <c r="I1365" s="30" t="s">
        <v>73</v>
      </c>
      <c r="J1365" s="89" t="s">
        <v>7615</v>
      </c>
      <c r="K1365" s="30" t="s">
        <v>640</v>
      </c>
      <c r="L1365" s="30" t="s">
        <v>7616</v>
      </c>
      <c r="M1365" s="30" t="s">
        <v>63</v>
      </c>
      <c r="N1365" s="30" t="s">
        <v>99</v>
      </c>
      <c r="O1365" s="30" t="s">
        <v>64</v>
      </c>
      <c r="P1365" s="89" t="s">
        <v>78</v>
      </c>
      <c r="Q1365" s="89" t="s">
        <v>4904</v>
      </c>
      <c r="R1365" s="89" t="s">
        <v>643</v>
      </c>
      <c r="S1365" s="30">
        <v>0</v>
      </c>
      <c r="T1365" s="233">
        <v>0</v>
      </c>
      <c r="U1365" s="30">
        <v>0</v>
      </c>
      <c r="V1365" s="233">
        <v>0</v>
      </c>
      <c r="W1365" s="30">
        <v>0</v>
      </c>
      <c r="X1365" s="30">
        <v>0</v>
      </c>
      <c r="Y1365" s="30">
        <v>0</v>
      </c>
      <c r="Z1365" s="233">
        <v>0</v>
      </c>
      <c r="AA1365" s="30">
        <v>0</v>
      </c>
      <c r="AB1365" s="30">
        <v>0</v>
      </c>
      <c r="AC1365" s="30">
        <v>0</v>
      </c>
      <c r="AD1365" s="30">
        <v>0</v>
      </c>
      <c r="AE1365" s="89" t="s">
        <v>394</v>
      </c>
      <c r="AF1365" s="89"/>
      <c r="AG1365" s="89" t="s">
        <v>352</v>
      </c>
      <c r="AH1365" s="72">
        <v>41086</v>
      </c>
      <c r="AI1365" s="30">
        <v>1</v>
      </c>
      <c r="AJ1365" s="89" t="s">
        <v>7617</v>
      </c>
      <c r="AK1365" s="89" t="s">
        <v>68</v>
      </c>
      <c r="AL1365" s="91">
        <v>41088</v>
      </c>
      <c r="AM1365" s="91"/>
      <c r="AN1365" s="91"/>
      <c r="AO1365" s="91"/>
      <c r="AP1365" s="73" t="e">
        <f>MID(VLOOKUP(K1365,#REF!,2,FALSE),1,2)</f>
        <v>#REF!</v>
      </c>
      <c r="AQ1365" s="89">
        <f>DATE(2012,6,1)</f>
        <v>41061</v>
      </c>
      <c r="AR1365" s="82">
        <f t="shared" si="90"/>
        <v>1</v>
      </c>
      <c r="AS1365" s="83">
        <f t="shared" si="91"/>
        <v>6</v>
      </c>
      <c r="AT1365" s="84">
        <f t="shared" si="92"/>
        <v>2012</v>
      </c>
      <c r="AU1365" s="86"/>
      <c r="AV1365" s="86"/>
      <c r="AW1365" s="87"/>
      <c r="AX1365" s="86"/>
      <c r="AY1365" s="83"/>
      <c r="AZ1365" s="84"/>
      <c r="BA1365" s="86"/>
      <c r="BB1365" s="86"/>
    </row>
    <row r="1366" spans="1:54" ht="36.75" customHeight="1">
      <c r="A1366" s="30"/>
      <c r="B1366" s="30" t="s">
        <v>55</v>
      </c>
      <c r="C1366" s="69" t="str">
        <f t="shared" si="89"/>
        <v>Closed</v>
      </c>
      <c r="D1366" s="27" t="s">
        <v>7618</v>
      </c>
      <c r="E1366" s="29" t="s">
        <v>7619</v>
      </c>
      <c r="F1366" s="30" t="s">
        <v>197</v>
      </c>
      <c r="G1366" s="89">
        <f>DATE(2012,6,4)</f>
        <v>41064</v>
      </c>
      <c r="H1366" s="90">
        <v>0</v>
      </c>
      <c r="I1366" s="30" t="s">
        <v>2418</v>
      </c>
      <c r="J1366" s="89" t="s">
        <v>7620</v>
      </c>
      <c r="K1366" s="30" t="s">
        <v>200</v>
      </c>
      <c r="L1366" s="30" t="s">
        <v>7621</v>
      </c>
      <c r="M1366" s="30" t="s">
        <v>63</v>
      </c>
      <c r="N1366" s="30" t="s">
        <v>99</v>
      </c>
      <c r="O1366" s="30" t="s">
        <v>77</v>
      </c>
      <c r="P1366" s="89" t="s">
        <v>165</v>
      </c>
      <c r="Q1366" s="89" t="s">
        <v>200</v>
      </c>
      <c r="R1366" s="89" t="s">
        <v>200</v>
      </c>
      <c r="S1366" s="30">
        <v>0</v>
      </c>
      <c r="T1366" s="233">
        <v>0</v>
      </c>
      <c r="U1366" s="30">
        <v>0</v>
      </c>
      <c r="V1366" s="233">
        <v>0</v>
      </c>
      <c r="W1366" s="30">
        <v>0</v>
      </c>
      <c r="X1366" s="30">
        <v>0</v>
      </c>
      <c r="Y1366" s="30">
        <v>0</v>
      </c>
      <c r="Z1366" s="233">
        <v>0</v>
      </c>
      <c r="AA1366" s="30">
        <v>0</v>
      </c>
      <c r="AB1366" s="30">
        <v>0</v>
      </c>
      <c r="AC1366" s="30">
        <v>0</v>
      </c>
      <c r="AD1366" s="30">
        <v>0</v>
      </c>
      <c r="AE1366" s="89" t="s">
        <v>92</v>
      </c>
      <c r="AF1366" s="89"/>
      <c r="AG1366" s="89" t="s">
        <v>133</v>
      </c>
      <c r="AH1366" s="72">
        <v>41064</v>
      </c>
      <c r="AI1366" s="30">
        <v>3</v>
      </c>
      <c r="AJ1366" s="89" t="s">
        <v>7622</v>
      </c>
      <c r="AK1366" s="89" t="s">
        <v>1233</v>
      </c>
      <c r="AL1366" s="91">
        <v>41535</v>
      </c>
      <c r="AM1366" s="91"/>
      <c r="AN1366" s="91"/>
      <c r="AO1366" s="91"/>
      <c r="AP1366" s="73" t="e">
        <f>MID(VLOOKUP(K1366,#REF!,2,FALSE),1,2)</f>
        <v>#REF!</v>
      </c>
      <c r="AQ1366" s="89">
        <f>DATE(2012,6,4)</f>
        <v>41064</v>
      </c>
      <c r="AR1366" s="82">
        <f t="shared" si="90"/>
        <v>4</v>
      </c>
      <c r="AS1366" s="83">
        <f t="shared" si="91"/>
        <v>6</v>
      </c>
      <c r="AT1366" s="84">
        <f t="shared" si="92"/>
        <v>2012</v>
      </c>
      <c r="AU1366" s="86"/>
      <c r="AV1366" s="86"/>
      <c r="AW1366" s="87"/>
      <c r="AX1366" s="86"/>
      <c r="AY1366" s="83"/>
      <c r="AZ1366" s="84"/>
      <c r="BA1366" s="86"/>
      <c r="BB1366" s="86"/>
    </row>
    <row r="1367" spans="1:54" ht="36.75" customHeight="1">
      <c r="A1367" s="30"/>
      <c r="B1367" s="30" t="s">
        <v>55</v>
      </c>
      <c r="C1367" s="69" t="str">
        <f t="shared" si="89"/>
        <v>Closed</v>
      </c>
      <c r="D1367" s="27" t="s">
        <v>7623</v>
      </c>
      <c r="E1367" s="29" t="s">
        <v>7624</v>
      </c>
      <c r="F1367" s="30" t="s">
        <v>835</v>
      </c>
      <c r="G1367" s="89">
        <f>DATE(2012,6,5)</f>
        <v>41065</v>
      </c>
      <c r="H1367" s="90">
        <v>1.8416666666666668</v>
      </c>
      <c r="I1367" s="30" t="s">
        <v>73</v>
      </c>
      <c r="J1367" s="89" t="s">
        <v>7625</v>
      </c>
      <c r="K1367" s="30" t="s">
        <v>837</v>
      </c>
      <c r="L1367" s="30" t="s">
        <v>7626</v>
      </c>
      <c r="M1367" s="30" t="s">
        <v>63</v>
      </c>
      <c r="N1367" s="30" t="s">
        <v>142</v>
      </c>
      <c r="O1367" s="30" t="s">
        <v>77</v>
      </c>
      <c r="P1367" s="89" t="s">
        <v>381</v>
      </c>
      <c r="Q1367" s="89" t="s">
        <v>3061</v>
      </c>
      <c r="R1367" s="89" t="s">
        <v>840</v>
      </c>
      <c r="S1367" s="30">
        <v>0</v>
      </c>
      <c r="T1367" s="233">
        <v>0</v>
      </c>
      <c r="U1367" s="30">
        <v>0</v>
      </c>
      <c r="V1367" s="233">
        <v>0</v>
      </c>
      <c r="W1367" s="30">
        <v>0</v>
      </c>
      <c r="X1367" s="30">
        <v>0</v>
      </c>
      <c r="Y1367" s="30">
        <v>0</v>
      </c>
      <c r="Z1367" s="233">
        <v>0</v>
      </c>
      <c r="AA1367" s="30">
        <v>0</v>
      </c>
      <c r="AB1367" s="30">
        <v>0</v>
      </c>
      <c r="AC1367" s="30">
        <v>0</v>
      </c>
      <c r="AD1367" s="30">
        <v>0</v>
      </c>
      <c r="AE1367" s="89" t="s">
        <v>92</v>
      </c>
      <c r="AF1367" s="89"/>
      <c r="AG1367" s="89" t="s">
        <v>352</v>
      </c>
      <c r="AH1367" s="72">
        <v>41079</v>
      </c>
      <c r="AI1367" s="30">
        <v>0</v>
      </c>
      <c r="AJ1367" s="89" t="s">
        <v>7627</v>
      </c>
      <c r="AK1367" s="89" t="s">
        <v>68</v>
      </c>
      <c r="AL1367" s="91">
        <v>41065</v>
      </c>
      <c r="AM1367" s="91"/>
      <c r="AN1367" s="91"/>
      <c r="AO1367" s="91"/>
      <c r="AP1367" s="73" t="e">
        <f>MID(VLOOKUP(K1367,#REF!,2,FALSE),1,2)</f>
        <v>#REF!</v>
      </c>
      <c r="AQ1367" s="89">
        <f>DATE(2012,6,5)</f>
        <v>41065</v>
      </c>
      <c r="AR1367" s="82">
        <f t="shared" si="90"/>
        <v>5</v>
      </c>
      <c r="AS1367" s="83">
        <f t="shared" si="91"/>
        <v>6</v>
      </c>
      <c r="AT1367" s="84">
        <f t="shared" si="92"/>
        <v>2012</v>
      </c>
      <c r="AU1367" s="86"/>
      <c r="AV1367" s="86"/>
      <c r="AW1367" s="87"/>
      <c r="AX1367" s="86"/>
      <c r="AY1367" s="83"/>
      <c r="AZ1367" s="84"/>
      <c r="BA1367" s="86"/>
      <c r="BB1367" s="86"/>
    </row>
    <row r="1368" spans="1:54" ht="36.75" customHeight="1">
      <c r="A1368" s="30"/>
      <c r="B1368" s="30" t="s">
        <v>55</v>
      </c>
      <c r="C1368" s="69" t="str">
        <f t="shared" si="89"/>
        <v>Closed</v>
      </c>
      <c r="D1368" s="27" t="s">
        <v>7628</v>
      </c>
      <c r="E1368" s="29" t="s">
        <v>7629</v>
      </c>
      <c r="F1368" s="30" t="s">
        <v>377</v>
      </c>
      <c r="G1368" s="89">
        <f>DATE(2012,6,6)</f>
        <v>41066</v>
      </c>
      <c r="H1368" s="90">
        <v>1.4965277777777777</v>
      </c>
      <c r="I1368" s="30" t="s">
        <v>73</v>
      </c>
      <c r="J1368" s="89" t="s">
        <v>7630</v>
      </c>
      <c r="K1368" s="30" t="s">
        <v>379</v>
      </c>
      <c r="L1368" s="30" t="s">
        <v>7631</v>
      </c>
      <c r="M1368" s="30" t="s">
        <v>63</v>
      </c>
      <c r="N1368" s="30" t="s">
        <v>142</v>
      </c>
      <c r="O1368" s="30" t="s">
        <v>77</v>
      </c>
      <c r="P1368" s="89" t="s">
        <v>78</v>
      </c>
      <c r="Q1368" s="89" t="s">
        <v>7632</v>
      </c>
      <c r="R1368" s="89" t="s">
        <v>382</v>
      </c>
      <c r="S1368" s="30">
        <v>0</v>
      </c>
      <c r="T1368" s="233">
        <v>0</v>
      </c>
      <c r="U1368" s="30">
        <v>0</v>
      </c>
      <c r="V1368" s="233">
        <v>0</v>
      </c>
      <c r="W1368" s="30">
        <v>0</v>
      </c>
      <c r="X1368" s="30">
        <v>0</v>
      </c>
      <c r="Y1368" s="30">
        <v>0</v>
      </c>
      <c r="Z1368" s="233">
        <v>0</v>
      </c>
      <c r="AA1368" s="30">
        <v>0</v>
      </c>
      <c r="AB1368" s="30">
        <v>0</v>
      </c>
      <c r="AC1368" s="30">
        <v>0</v>
      </c>
      <c r="AD1368" s="30">
        <v>0</v>
      </c>
      <c r="AE1368" s="89" t="s">
        <v>145</v>
      </c>
      <c r="AF1368" s="89"/>
      <c r="AG1368" s="89" t="s">
        <v>82</v>
      </c>
      <c r="AH1368" s="72">
        <v>41067</v>
      </c>
      <c r="AI1368" s="30">
        <v>4</v>
      </c>
      <c r="AJ1368" s="89" t="s">
        <v>7633</v>
      </c>
      <c r="AK1368" s="89" t="s">
        <v>7634</v>
      </c>
      <c r="AL1368" s="91">
        <v>41067</v>
      </c>
      <c r="AM1368" s="91"/>
      <c r="AN1368" s="91"/>
      <c r="AO1368" s="91"/>
      <c r="AP1368" s="73" t="e">
        <f>MID(VLOOKUP(K1368,#REF!,2,FALSE),1,2)</f>
        <v>#REF!</v>
      </c>
      <c r="AQ1368" s="89">
        <f>DATE(2012,6,6)</f>
        <v>41066</v>
      </c>
      <c r="AR1368" s="82">
        <f t="shared" si="90"/>
        <v>6</v>
      </c>
      <c r="AS1368" s="83">
        <f t="shared" si="91"/>
        <v>6</v>
      </c>
      <c r="AT1368" s="84">
        <f t="shared" si="92"/>
        <v>2012</v>
      </c>
      <c r="AU1368" s="86"/>
      <c r="AV1368" s="86"/>
      <c r="AW1368" s="87"/>
      <c r="AX1368" s="86"/>
      <c r="AY1368" s="83"/>
      <c r="AZ1368" s="84"/>
      <c r="BA1368" s="86"/>
      <c r="BB1368" s="86"/>
    </row>
    <row r="1369" spans="1:54" ht="36.75" customHeight="1">
      <c r="A1369" s="30"/>
      <c r="B1369" s="30" t="s">
        <v>55</v>
      </c>
      <c r="C1369" s="69" t="str">
        <f t="shared" si="89"/>
        <v>Closed</v>
      </c>
      <c r="D1369" s="27" t="s">
        <v>7635</v>
      </c>
      <c r="E1369" s="29" t="s">
        <v>7636</v>
      </c>
      <c r="F1369" s="30" t="s">
        <v>138</v>
      </c>
      <c r="G1369" s="89">
        <f>DATE(2012,6,12)</f>
        <v>41072</v>
      </c>
      <c r="H1369" s="90">
        <v>1.4395833333333334</v>
      </c>
      <c r="I1369" s="30" t="s">
        <v>278</v>
      </c>
      <c r="J1369" s="89" t="s">
        <v>7637</v>
      </c>
      <c r="K1369" s="30" t="s">
        <v>140</v>
      </c>
      <c r="L1369" s="30" t="s">
        <v>7638</v>
      </c>
      <c r="M1369" s="30" t="s">
        <v>63</v>
      </c>
      <c r="N1369" s="30" t="s">
        <v>99</v>
      </c>
      <c r="O1369" s="30" t="s">
        <v>64</v>
      </c>
      <c r="P1369" s="89" t="s">
        <v>165</v>
      </c>
      <c r="Q1369" s="89" t="s">
        <v>7639</v>
      </c>
      <c r="R1369" s="89" t="s">
        <v>4934</v>
      </c>
      <c r="S1369" s="30">
        <v>0</v>
      </c>
      <c r="T1369" s="233">
        <v>0</v>
      </c>
      <c r="U1369" s="30">
        <v>0</v>
      </c>
      <c r="V1369" s="233">
        <v>0</v>
      </c>
      <c r="W1369" s="30">
        <v>0</v>
      </c>
      <c r="X1369" s="30">
        <v>0</v>
      </c>
      <c r="Y1369" s="30">
        <v>0</v>
      </c>
      <c r="Z1369" s="233">
        <v>0</v>
      </c>
      <c r="AA1369" s="30">
        <v>0</v>
      </c>
      <c r="AB1369" s="30">
        <v>0</v>
      </c>
      <c r="AC1369" s="30">
        <v>0</v>
      </c>
      <c r="AD1369" s="30">
        <v>0</v>
      </c>
      <c r="AE1369" s="89" t="s">
        <v>92</v>
      </c>
      <c r="AF1369" s="89"/>
      <c r="AG1369" s="89" t="s">
        <v>133</v>
      </c>
      <c r="AH1369" s="72">
        <v>41122</v>
      </c>
      <c r="AI1369" s="30">
        <v>5</v>
      </c>
      <c r="AJ1369" s="89" t="s">
        <v>7640</v>
      </c>
      <c r="AK1369" s="89" t="s">
        <v>7641</v>
      </c>
      <c r="AL1369" s="91">
        <v>41127</v>
      </c>
      <c r="AM1369" s="91"/>
      <c r="AN1369" s="91"/>
      <c r="AO1369" s="91"/>
      <c r="AP1369" s="73" t="e">
        <f>MID(VLOOKUP(K1369,#REF!,2,FALSE),1,2)</f>
        <v>#REF!</v>
      </c>
      <c r="AQ1369" s="89">
        <f>DATE(2012,6,12)</f>
        <v>41072</v>
      </c>
      <c r="AR1369" s="82">
        <f t="shared" si="90"/>
        <v>12</v>
      </c>
      <c r="AS1369" s="83">
        <f t="shared" si="91"/>
        <v>6</v>
      </c>
      <c r="AT1369" s="84">
        <f t="shared" si="92"/>
        <v>2012</v>
      </c>
      <c r="AU1369" s="86"/>
      <c r="AV1369" s="86"/>
      <c r="AW1369" s="87"/>
      <c r="AX1369" s="86"/>
      <c r="AY1369" s="83"/>
      <c r="AZ1369" s="84"/>
      <c r="BA1369" s="86"/>
      <c r="BB1369" s="86"/>
    </row>
    <row r="1370" spans="1:54" ht="36.75" customHeight="1">
      <c r="A1370" s="30"/>
      <c r="B1370" s="30" t="s">
        <v>55</v>
      </c>
      <c r="C1370" s="69" t="str">
        <f t="shared" si="89"/>
        <v>Closed</v>
      </c>
      <c r="D1370" s="27" t="s">
        <v>7642</v>
      </c>
      <c r="E1370" s="29" t="s">
        <v>7643</v>
      </c>
      <c r="F1370" s="30" t="s">
        <v>1770</v>
      </c>
      <c r="G1370" s="89">
        <f>DATE(2012,6,14)</f>
        <v>41074</v>
      </c>
      <c r="H1370" s="90">
        <v>1.6166666666666667</v>
      </c>
      <c r="I1370" s="30" t="s">
        <v>156</v>
      </c>
      <c r="J1370" s="89" t="s">
        <v>7644</v>
      </c>
      <c r="K1370" s="30" t="s">
        <v>1772</v>
      </c>
      <c r="L1370" s="30" t="s">
        <v>7645</v>
      </c>
      <c r="M1370" s="30" t="s">
        <v>63</v>
      </c>
      <c r="N1370" s="30" t="s">
        <v>142</v>
      </c>
      <c r="O1370" s="30" t="s">
        <v>64</v>
      </c>
      <c r="P1370" s="89" t="s">
        <v>65</v>
      </c>
      <c r="Q1370" s="89">
        <v>0</v>
      </c>
      <c r="R1370" s="89" t="s">
        <v>1775</v>
      </c>
      <c r="S1370" s="30">
        <v>0</v>
      </c>
      <c r="T1370" s="233">
        <v>0</v>
      </c>
      <c r="U1370" s="30">
        <v>0</v>
      </c>
      <c r="V1370" s="233">
        <v>0</v>
      </c>
      <c r="W1370" s="30">
        <v>1</v>
      </c>
      <c r="X1370" s="30">
        <v>1</v>
      </c>
      <c r="Y1370" s="30">
        <v>0</v>
      </c>
      <c r="Z1370" s="233">
        <v>0</v>
      </c>
      <c r="AA1370" s="30">
        <v>0</v>
      </c>
      <c r="AB1370" s="30">
        <v>0</v>
      </c>
      <c r="AC1370" s="30">
        <v>1</v>
      </c>
      <c r="AD1370" s="30">
        <v>1</v>
      </c>
      <c r="AE1370" s="89" t="s">
        <v>92</v>
      </c>
      <c r="AF1370" s="89"/>
      <c r="AG1370" s="89" t="s">
        <v>82</v>
      </c>
      <c r="AH1370" s="72">
        <v>41080</v>
      </c>
      <c r="AI1370" s="30">
        <v>5</v>
      </c>
      <c r="AJ1370" s="89" t="s">
        <v>7646</v>
      </c>
      <c r="AK1370" s="89" t="s">
        <v>7647</v>
      </c>
      <c r="AL1370" s="91">
        <v>41087</v>
      </c>
      <c r="AM1370" s="91"/>
      <c r="AN1370" s="91"/>
      <c r="AO1370" s="91"/>
      <c r="AP1370" s="73" t="e">
        <f>MID(VLOOKUP(K1370,#REF!,2,FALSE),1,2)</f>
        <v>#REF!</v>
      </c>
      <c r="AQ1370" s="89">
        <f>DATE(2012,6,14)</f>
        <v>41074</v>
      </c>
      <c r="AR1370" s="82">
        <f t="shared" si="90"/>
        <v>14</v>
      </c>
      <c r="AS1370" s="83">
        <f t="shared" si="91"/>
        <v>6</v>
      </c>
      <c r="AT1370" s="84">
        <f t="shared" si="92"/>
        <v>2012</v>
      </c>
      <c r="AU1370" s="86"/>
      <c r="AV1370" s="86"/>
      <c r="AW1370" s="87"/>
      <c r="AX1370" s="86"/>
      <c r="AY1370" s="83"/>
      <c r="AZ1370" s="84"/>
      <c r="BA1370" s="86"/>
      <c r="BB1370" s="86"/>
    </row>
    <row r="1371" spans="1:54" ht="36.75" customHeight="1">
      <c r="A1371" s="30"/>
      <c r="B1371" s="30" t="s">
        <v>55</v>
      </c>
      <c r="C1371" s="69" t="str">
        <f t="shared" si="89"/>
        <v>Closed</v>
      </c>
      <c r="D1371" s="27" t="s">
        <v>7648</v>
      </c>
      <c r="E1371" s="29" t="s">
        <v>7649</v>
      </c>
      <c r="F1371" s="30" t="s">
        <v>638</v>
      </c>
      <c r="G1371" s="89">
        <f>DATE(2012,6,15)</f>
        <v>41075</v>
      </c>
      <c r="H1371" s="90">
        <v>1.3034722222222221</v>
      </c>
      <c r="I1371" s="30" t="s">
        <v>104</v>
      </c>
      <c r="J1371" s="89" t="s">
        <v>7650</v>
      </c>
      <c r="K1371" s="30" t="s">
        <v>640</v>
      </c>
      <c r="L1371" s="30" t="s">
        <v>7651</v>
      </c>
      <c r="M1371" s="30" t="s">
        <v>63</v>
      </c>
      <c r="N1371" s="30" t="s">
        <v>142</v>
      </c>
      <c r="O1371" s="30" t="s">
        <v>77</v>
      </c>
      <c r="P1371" s="89" t="s">
        <v>78</v>
      </c>
      <c r="Q1371" s="89" t="s">
        <v>4904</v>
      </c>
      <c r="R1371" s="89" t="s">
        <v>643</v>
      </c>
      <c r="S1371" s="30">
        <v>0</v>
      </c>
      <c r="T1371" s="233">
        <v>0</v>
      </c>
      <c r="U1371" s="30">
        <v>0</v>
      </c>
      <c r="V1371" s="233">
        <v>0</v>
      </c>
      <c r="W1371" s="30">
        <v>0</v>
      </c>
      <c r="X1371" s="30">
        <v>0</v>
      </c>
      <c r="Y1371" s="30">
        <v>0</v>
      </c>
      <c r="Z1371" s="233">
        <v>0</v>
      </c>
      <c r="AA1371" s="30">
        <v>0</v>
      </c>
      <c r="AB1371" s="30">
        <v>0</v>
      </c>
      <c r="AC1371" s="30">
        <v>0</v>
      </c>
      <c r="AD1371" s="30">
        <v>0</v>
      </c>
      <c r="AE1371" s="89" t="s">
        <v>92</v>
      </c>
      <c r="AF1371" s="89"/>
      <c r="AG1371" s="89" t="s">
        <v>352</v>
      </c>
      <c r="AH1371" s="72">
        <v>41116</v>
      </c>
      <c r="AI1371" s="30">
        <v>0</v>
      </c>
      <c r="AJ1371" s="89" t="s">
        <v>7652</v>
      </c>
      <c r="AK1371" s="89" t="s">
        <v>68</v>
      </c>
      <c r="AL1371" s="91">
        <v>41088</v>
      </c>
      <c r="AM1371" s="91"/>
      <c r="AN1371" s="91"/>
      <c r="AO1371" s="91"/>
      <c r="AP1371" s="73" t="e">
        <f>MID(VLOOKUP(K1371,#REF!,2,FALSE),1,2)</f>
        <v>#REF!</v>
      </c>
      <c r="AQ1371" s="89">
        <f>DATE(2012,6,15)</f>
        <v>41075</v>
      </c>
      <c r="AR1371" s="82">
        <f t="shared" si="90"/>
        <v>15</v>
      </c>
      <c r="AS1371" s="83">
        <f t="shared" si="91"/>
        <v>6</v>
      </c>
      <c r="AT1371" s="84">
        <f t="shared" si="92"/>
        <v>2012</v>
      </c>
      <c r="AU1371" s="86"/>
      <c r="AV1371" s="86"/>
      <c r="AW1371" s="87"/>
      <c r="AX1371" s="86"/>
      <c r="AY1371" s="83"/>
      <c r="AZ1371" s="84"/>
      <c r="BA1371" s="86"/>
      <c r="BB1371" s="86"/>
    </row>
    <row r="1372" spans="1:54" ht="36.75" customHeight="1">
      <c r="A1372" s="30"/>
      <c r="B1372" s="30" t="s">
        <v>55</v>
      </c>
      <c r="C1372" s="69" t="str">
        <f t="shared" si="89"/>
        <v>Closed</v>
      </c>
      <c r="D1372" s="27" t="s">
        <v>7653</v>
      </c>
      <c r="E1372" s="29" t="s">
        <v>7654</v>
      </c>
      <c r="F1372" s="30" t="s">
        <v>197</v>
      </c>
      <c r="G1372" s="89">
        <f>DATE(2012,6,17)</f>
        <v>41077</v>
      </c>
      <c r="H1372" s="90">
        <v>1.6305555555555555</v>
      </c>
      <c r="I1372" s="30" t="s">
        <v>116</v>
      </c>
      <c r="J1372" s="89" t="s">
        <v>7655</v>
      </c>
      <c r="K1372" s="30" t="s">
        <v>200</v>
      </c>
      <c r="L1372" s="30" t="s">
        <v>7656</v>
      </c>
      <c r="M1372" s="30" t="s">
        <v>63</v>
      </c>
      <c r="N1372" s="30" t="s">
        <v>99</v>
      </c>
      <c r="O1372" s="30" t="s">
        <v>77</v>
      </c>
      <c r="P1372" s="89" t="s">
        <v>165</v>
      </c>
      <c r="Q1372" s="89" t="s">
        <v>202</v>
      </c>
      <c r="R1372" s="89" t="s">
        <v>203</v>
      </c>
      <c r="S1372" s="30">
        <v>0</v>
      </c>
      <c r="T1372" s="233">
        <v>0</v>
      </c>
      <c r="U1372" s="30">
        <v>1</v>
      </c>
      <c r="V1372" s="233">
        <v>0</v>
      </c>
      <c r="W1372" s="30">
        <v>0</v>
      </c>
      <c r="X1372" s="30">
        <v>1</v>
      </c>
      <c r="Y1372" s="30">
        <v>0</v>
      </c>
      <c r="Z1372" s="233">
        <v>0</v>
      </c>
      <c r="AA1372" s="30">
        <v>0</v>
      </c>
      <c r="AB1372" s="30">
        <v>0</v>
      </c>
      <c r="AC1372" s="30">
        <v>0</v>
      </c>
      <c r="AD1372" s="30">
        <v>0</v>
      </c>
      <c r="AE1372" s="89" t="s">
        <v>92</v>
      </c>
      <c r="AF1372" s="89"/>
      <c r="AG1372" s="89" t="s">
        <v>82</v>
      </c>
      <c r="AH1372" s="72">
        <v>41085</v>
      </c>
      <c r="AI1372" s="30">
        <v>1</v>
      </c>
      <c r="AJ1372" s="89" t="s">
        <v>7657</v>
      </c>
      <c r="AK1372" s="89" t="s">
        <v>68</v>
      </c>
      <c r="AL1372" s="91">
        <v>41148</v>
      </c>
      <c r="AM1372" s="91"/>
      <c r="AN1372" s="91"/>
      <c r="AO1372" s="91"/>
      <c r="AP1372" s="73" t="e">
        <f>MID(VLOOKUP(K1372,#REF!,2,FALSE),1,2)</f>
        <v>#REF!</v>
      </c>
      <c r="AQ1372" s="89">
        <f>DATE(2012,6,17)</f>
        <v>41077</v>
      </c>
      <c r="AR1372" s="82">
        <f t="shared" si="90"/>
        <v>17</v>
      </c>
      <c r="AS1372" s="83">
        <f t="shared" si="91"/>
        <v>6</v>
      </c>
      <c r="AT1372" s="84">
        <f t="shared" si="92"/>
        <v>2012</v>
      </c>
      <c r="AU1372" s="86"/>
      <c r="AV1372" s="86"/>
      <c r="AW1372" s="87"/>
      <c r="AX1372" s="86"/>
      <c r="AY1372" s="83"/>
      <c r="AZ1372" s="84"/>
      <c r="BA1372" s="86"/>
      <c r="BB1372" s="86"/>
    </row>
    <row r="1373" spans="1:54" ht="36.75" customHeight="1">
      <c r="A1373" s="30"/>
      <c r="B1373" s="30" t="s">
        <v>55</v>
      </c>
      <c r="C1373" s="69" t="str">
        <f t="shared" si="89"/>
        <v>Closed</v>
      </c>
      <c r="D1373" s="27" t="s">
        <v>7658</v>
      </c>
      <c r="E1373" s="29" t="s">
        <v>7659</v>
      </c>
      <c r="F1373" s="30" t="s">
        <v>197</v>
      </c>
      <c r="G1373" s="89">
        <f>DATE(2012,6,17)</f>
        <v>41077</v>
      </c>
      <c r="H1373" s="90">
        <v>1.7888888888888888</v>
      </c>
      <c r="I1373" s="30" t="s">
        <v>156</v>
      </c>
      <c r="J1373" s="89" t="s">
        <v>7660</v>
      </c>
      <c r="K1373" s="30" t="s">
        <v>200</v>
      </c>
      <c r="L1373" s="30" t="s">
        <v>7661</v>
      </c>
      <c r="M1373" s="30" t="s">
        <v>63</v>
      </c>
      <c r="N1373" s="30" t="s">
        <v>142</v>
      </c>
      <c r="O1373" s="30" t="s">
        <v>64</v>
      </c>
      <c r="P1373" s="89" t="s">
        <v>65</v>
      </c>
      <c r="Q1373" s="89" t="s">
        <v>202</v>
      </c>
      <c r="R1373" s="89" t="s">
        <v>203</v>
      </c>
      <c r="S1373" s="30">
        <v>0</v>
      </c>
      <c r="T1373" s="233">
        <v>0</v>
      </c>
      <c r="U1373" s="30">
        <v>0</v>
      </c>
      <c r="V1373" s="233">
        <v>0</v>
      </c>
      <c r="W1373" s="30">
        <v>0</v>
      </c>
      <c r="X1373" s="30">
        <v>0</v>
      </c>
      <c r="Y1373" s="30">
        <v>1</v>
      </c>
      <c r="Z1373" s="233">
        <v>0</v>
      </c>
      <c r="AA1373" s="30">
        <v>0</v>
      </c>
      <c r="AB1373" s="30">
        <v>0</v>
      </c>
      <c r="AC1373" s="30">
        <v>0</v>
      </c>
      <c r="AD1373" s="30">
        <v>1</v>
      </c>
      <c r="AE1373" s="89" t="s">
        <v>145</v>
      </c>
      <c r="AF1373" s="89"/>
      <c r="AG1373" s="89" t="s">
        <v>82</v>
      </c>
      <c r="AH1373" s="72">
        <v>41079</v>
      </c>
      <c r="AI1373" s="30">
        <v>0</v>
      </c>
      <c r="AJ1373" s="89" t="s">
        <v>7662</v>
      </c>
      <c r="AK1373" s="89" t="s">
        <v>1233</v>
      </c>
      <c r="AL1373" s="91">
        <v>41148</v>
      </c>
      <c r="AM1373" s="91"/>
      <c r="AN1373" s="91"/>
      <c r="AO1373" s="91"/>
      <c r="AP1373" s="73" t="e">
        <f>MID(VLOOKUP(K1373,#REF!,2,FALSE),1,2)</f>
        <v>#REF!</v>
      </c>
      <c r="AQ1373" s="89">
        <f>DATE(2012,6,17)</f>
        <v>41077</v>
      </c>
      <c r="AR1373" s="82">
        <f t="shared" si="90"/>
        <v>17</v>
      </c>
      <c r="AS1373" s="83">
        <f t="shared" si="91"/>
        <v>6</v>
      </c>
      <c r="AT1373" s="84">
        <f t="shared" si="92"/>
        <v>2012</v>
      </c>
      <c r="AU1373" s="86"/>
      <c r="AV1373" s="86"/>
      <c r="AW1373" s="87"/>
      <c r="AX1373" s="86"/>
      <c r="AY1373" s="83"/>
      <c r="AZ1373" s="84"/>
      <c r="BA1373" s="86"/>
      <c r="BB1373" s="86"/>
    </row>
    <row r="1374" spans="1:54" ht="36.75" customHeight="1">
      <c r="A1374" s="30"/>
      <c r="B1374" s="30" t="s">
        <v>55</v>
      </c>
      <c r="C1374" s="69" t="str">
        <f t="shared" si="89"/>
        <v>Closed</v>
      </c>
      <c r="D1374" s="27" t="s">
        <v>7663</v>
      </c>
      <c r="E1374" s="29" t="s">
        <v>7664</v>
      </c>
      <c r="F1374" s="30" t="s">
        <v>1938</v>
      </c>
      <c r="G1374" s="89">
        <f>DATE(2012,6,20)</f>
        <v>41080</v>
      </c>
      <c r="H1374" s="90">
        <v>0</v>
      </c>
      <c r="I1374" s="30" t="s">
        <v>116</v>
      </c>
      <c r="J1374" s="89" t="s">
        <v>7665</v>
      </c>
      <c r="K1374" s="30" t="s">
        <v>1940</v>
      </c>
      <c r="L1374" s="30" t="s">
        <v>7666</v>
      </c>
      <c r="M1374" s="30" t="s">
        <v>63</v>
      </c>
      <c r="N1374" s="30" t="s">
        <v>99</v>
      </c>
      <c r="O1374" s="30" t="s">
        <v>64</v>
      </c>
      <c r="P1374" s="89" t="s">
        <v>6941</v>
      </c>
      <c r="Q1374" s="89" t="s">
        <v>1942</v>
      </c>
      <c r="R1374" s="89" t="s">
        <v>1942</v>
      </c>
      <c r="S1374" s="30">
        <v>0</v>
      </c>
      <c r="T1374" s="233">
        <v>0</v>
      </c>
      <c r="U1374" s="30">
        <v>0</v>
      </c>
      <c r="V1374" s="233">
        <v>0</v>
      </c>
      <c r="W1374" s="30">
        <v>0</v>
      </c>
      <c r="X1374" s="30">
        <v>0</v>
      </c>
      <c r="Y1374" s="30">
        <v>0</v>
      </c>
      <c r="Z1374" s="233">
        <v>0</v>
      </c>
      <c r="AA1374" s="30">
        <v>0</v>
      </c>
      <c r="AB1374" s="30">
        <v>0</v>
      </c>
      <c r="AC1374" s="30">
        <v>0</v>
      </c>
      <c r="AD1374" s="30">
        <v>0</v>
      </c>
      <c r="AE1374" s="89" t="s">
        <v>92</v>
      </c>
      <c r="AF1374" s="89"/>
      <c r="AG1374" s="89" t="s">
        <v>7667</v>
      </c>
      <c r="AH1374" s="72">
        <v>41176</v>
      </c>
      <c r="AI1374" s="30">
        <v>3</v>
      </c>
      <c r="AJ1374" s="89" t="s">
        <v>7668</v>
      </c>
      <c r="AK1374" s="89" t="s">
        <v>7669</v>
      </c>
      <c r="AL1374" s="91">
        <v>41180</v>
      </c>
      <c r="AM1374" s="91"/>
      <c r="AN1374" s="91"/>
      <c r="AO1374" s="91"/>
      <c r="AP1374" s="73" t="e">
        <f>MID(VLOOKUP(K1374,#REF!,2,FALSE),1,2)</f>
        <v>#REF!</v>
      </c>
      <c r="AQ1374" s="89">
        <f>DATE(2012,6,20)</f>
        <v>41080</v>
      </c>
      <c r="AR1374" s="82">
        <f t="shared" si="90"/>
        <v>20</v>
      </c>
      <c r="AS1374" s="83">
        <f t="shared" si="91"/>
        <v>6</v>
      </c>
      <c r="AT1374" s="84">
        <f t="shared" si="92"/>
        <v>2012</v>
      </c>
      <c r="AU1374" s="86"/>
      <c r="AV1374" s="86"/>
      <c r="AW1374" s="87"/>
      <c r="AX1374" s="86"/>
      <c r="AY1374" s="83"/>
      <c r="AZ1374" s="84"/>
      <c r="BA1374" s="86"/>
      <c r="BB1374" s="86"/>
    </row>
    <row r="1375" spans="1:54" ht="36.75" customHeight="1">
      <c r="A1375" s="30"/>
      <c r="B1375" s="30" t="s">
        <v>55</v>
      </c>
      <c r="C1375" s="69" t="str">
        <f t="shared" si="89"/>
        <v>Closed</v>
      </c>
      <c r="D1375" s="27" t="s">
        <v>7670</v>
      </c>
      <c r="E1375" s="29" t="s">
        <v>7671</v>
      </c>
      <c r="F1375" s="30" t="s">
        <v>638</v>
      </c>
      <c r="G1375" s="89">
        <f>DATE(2012,6,21)</f>
        <v>41081</v>
      </c>
      <c r="H1375" s="90">
        <v>1.3687499999999999</v>
      </c>
      <c r="I1375" s="30" t="s">
        <v>73</v>
      </c>
      <c r="J1375" s="89" t="s">
        <v>7672</v>
      </c>
      <c r="K1375" s="30" t="s">
        <v>640</v>
      </c>
      <c r="L1375" s="30" t="s">
        <v>7673</v>
      </c>
      <c r="M1375" s="30" t="s">
        <v>63</v>
      </c>
      <c r="N1375" s="30" t="s">
        <v>99</v>
      </c>
      <c r="O1375" s="30" t="s">
        <v>77</v>
      </c>
      <c r="P1375" s="89" t="s">
        <v>65</v>
      </c>
      <c r="Q1375" s="89" t="s">
        <v>642</v>
      </c>
      <c r="R1375" s="89" t="s">
        <v>643</v>
      </c>
      <c r="S1375" s="30">
        <v>0</v>
      </c>
      <c r="T1375" s="233">
        <v>0</v>
      </c>
      <c r="U1375" s="30">
        <v>0</v>
      </c>
      <c r="V1375" s="233">
        <v>0</v>
      </c>
      <c r="W1375" s="30">
        <v>0</v>
      </c>
      <c r="X1375" s="30">
        <v>0</v>
      </c>
      <c r="Y1375" s="30">
        <v>0</v>
      </c>
      <c r="Z1375" s="233">
        <v>0</v>
      </c>
      <c r="AA1375" s="30">
        <v>0</v>
      </c>
      <c r="AB1375" s="30">
        <v>0</v>
      </c>
      <c r="AC1375" s="30">
        <v>0</v>
      </c>
      <c r="AD1375" s="30">
        <v>0</v>
      </c>
      <c r="AE1375" s="89" t="s">
        <v>92</v>
      </c>
      <c r="AF1375" s="89"/>
      <c r="AG1375" s="89" t="s">
        <v>352</v>
      </c>
      <c r="AH1375" s="72">
        <v>41114</v>
      </c>
      <c r="AI1375" s="30">
        <v>2</v>
      </c>
      <c r="AJ1375" s="89" t="s">
        <v>7674</v>
      </c>
      <c r="AK1375" s="89" t="s">
        <v>68</v>
      </c>
      <c r="AL1375" s="91">
        <v>41148</v>
      </c>
      <c r="AM1375" s="91"/>
      <c r="AN1375" s="91"/>
      <c r="AO1375" s="91"/>
      <c r="AP1375" s="73" t="e">
        <f>MID(VLOOKUP(K1375,#REF!,2,FALSE),1,2)</f>
        <v>#REF!</v>
      </c>
      <c r="AQ1375" s="89">
        <f>DATE(2012,6,21)</f>
        <v>41081</v>
      </c>
      <c r="AR1375" s="82">
        <f t="shared" si="90"/>
        <v>21</v>
      </c>
      <c r="AS1375" s="83">
        <f t="shared" si="91"/>
        <v>6</v>
      </c>
      <c r="AT1375" s="84">
        <f t="shared" si="92"/>
        <v>2012</v>
      </c>
      <c r="AU1375" s="86"/>
      <c r="AV1375" s="86"/>
      <c r="AW1375" s="87"/>
      <c r="AX1375" s="86"/>
      <c r="AY1375" s="83"/>
      <c r="AZ1375" s="84"/>
      <c r="BA1375" s="86"/>
      <c r="BB1375" s="86"/>
    </row>
    <row r="1376" spans="1:54" ht="36.75" customHeight="1">
      <c r="A1376" s="30"/>
      <c r="B1376" s="30" t="s">
        <v>55</v>
      </c>
      <c r="C1376" s="69" t="str">
        <f t="shared" si="89"/>
        <v>Closed</v>
      </c>
      <c r="D1376" s="27" t="s">
        <v>7675</v>
      </c>
      <c r="E1376" s="29" t="s">
        <v>7676</v>
      </c>
      <c r="F1376" s="30" t="s">
        <v>835</v>
      </c>
      <c r="G1376" s="89">
        <f>DATE(2012,6,21)</f>
        <v>41081</v>
      </c>
      <c r="H1376" s="90">
        <v>1.4916666666666667</v>
      </c>
      <c r="I1376" s="30" t="s">
        <v>116</v>
      </c>
      <c r="J1376" s="89" t="s">
        <v>7677</v>
      </c>
      <c r="K1376" s="30" t="s">
        <v>837</v>
      </c>
      <c r="L1376" s="30" t="s">
        <v>7678</v>
      </c>
      <c r="M1376" s="30" t="s">
        <v>63</v>
      </c>
      <c r="N1376" s="30" t="s">
        <v>99</v>
      </c>
      <c r="O1376" s="30" t="s">
        <v>64</v>
      </c>
      <c r="P1376" s="89" t="s">
        <v>165</v>
      </c>
      <c r="Q1376" s="89" t="s">
        <v>2162</v>
      </c>
      <c r="R1376" s="89" t="s">
        <v>840</v>
      </c>
      <c r="S1376" s="30">
        <v>0</v>
      </c>
      <c r="T1376" s="233">
        <v>0</v>
      </c>
      <c r="U1376" s="30">
        <v>1</v>
      </c>
      <c r="V1376" s="233">
        <v>0</v>
      </c>
      <c r="W1376" s="30">
        <v>0</v>
      </c>
      <c r="X1376" s="30">
        <v>1</v>
      </c>
      <c r="Y1376" s="30">
        <v>0</v>
      </c>
      <c r="Z1376" s="233">
        <v>0</v>
      </c>
      <c r="AA1376" s="30">
        <v>1</v>
      </c>
      <c r="AB1376" s="30">
        <v>0</v>
      </c>
      <c r="AC1376" s="30">
        <v>0</v>
      </c>
      <c r="AD1376" s="30">
        <v>1</v>
      </c>
      <c r="AE1376" s="89" t="s">
        <v>92</v>
      </c>
      <c r="AF1376" s="89"/>
      <c r="AG1376" s="89" t="s">
        <v>352</v>
      </c>
      <c r="AH1376" s="72">
        <v>41082</v>
      </c>
      <c r="AI1376" s="30">
        <v>1</v>
      </c>
      <c r="AJ1376" s="89" t="s">
        <v>7679</v>
      </c>
      <c r="AK1376" s="89" t="s">
        <v>68</v>
      </c>
      <c r="AL1376" s="91">
        <v>41082</v>
      </c>
      <c r="AM1376" s="91"/>
      <c r="AN1376" s="91"/>
      <c r="AO1376" s="91"/>
      <c r="AP1376" s="73" t="e">
        <f>MID(VLOOKUP(K1376,#REF!,2,FALSE),1,2)</f>
        <v>#REF!</v>
      </c>
      <c r="AQ1376" s="89">
        <f>DATE(2012,6,21)</f>
        <v>41081</v>
      </c>
      <c r="AR1376" s="82">
        <f t="shared" si="90"/>
        <v>21</v>
      </c>
      <c r="AS1376" s="83">
        <f t="shared" si="91"/>
        <v>6</v>
      </c>
      <c r="AT1376" s="84">
        <f t="shared" si="92"/>
        <v>2012</v>
      </c>
      <c r="AU1376" s="86"/>
      <c r="AV1376" s="86"/>
      <c r="AW1376" s="87"/>
      <c r="AX1376" s="86"/>
      <c r="AY1376" s="83"/>
      <c r="AZ1376" s="84"/>
      <c r="BA1376" s="86"/>
      <c r="BB1376" s="86"/>
    </row>
    <row r="1377" spans="1:54" ht="36.75" customHeight="1">
      <c r="A1377" s="30"/>
      <c r="B1377" s="30" t="s">
        <v>55</v>
      </c>
      <c r="C1377" s="69" t="str">
        <f t="shared" si="89"/>
        <v>Closed</v>
      </c>
      <c r="D1377" s="27" t="s">
        <v>7680</v>
      </c>
      <c r="E1377" s="29" t="s">
        <v>7681</v>
      </c>
      <c r="F1377" s="30" t="s">
        <v>835</v>
      </c>
      <c r="G1377" s="89">
        <f>DATE(2012,6,24)</f>
        <v>41084</v>
      </c>
      <c r="H1377" s="90">
        <v>1.7604166666666665</v>
      </c>
      <c r="I1377" s="30" t="s">
        <v>116</v>
      </c>
      <c r="J1377" s="89" t="s">
        <v>7682</v>
      </c>
      <c r="K1377" s="30" t="s">
        <v>837</v>
      </c>
      <c r="L1377" s="30" t="s">
        <v>7683</v>
      </c>
      <c r="M1377" s="30" t="s">
        <v>63</v>
      </c>
      <c r="N1377" s="30" t="s">
        <v>99</v>
      </c>
      <c r="O1377" s="30" t="s">
        <v>64</v>
      </c>
      <c r="P1377" s="89" t="s">
        <v>165</v>
      </c>
      <c r="Q1377" s="89" t="s">
        <v>2162</v>
      </c>
      <c r="R1377" s="89" t="s">
        <v>840</v>
      </c>
      <c r="S1377" s="30">
        <v>0</v>
      </c>
      <c r="T1377" s="233">
        <v>0</v>
      </c>
      <c r="U1377" s="30">
        <v>2</v>
      </c>
      <c r="V1377" s="233">
        <v>0</v>
      </c>
      <c r="W1377" s="30">
        <v>0</v>
      </c>
      <c r="X1377" s="30">
        <v>2</v>
      </c>
      <c r="Y1377" s="30">
        <v>0</v>
      </c>
      <c r="Z1377" s="233">
        <v>0</v>
      </c>
      <c r="AA1377" s="30">
        <v>0</v>
      </c>
      <c r="AB1377" s="30">
        <v>0</v>
      </c>
      <c r="AC1377" s="30">
        <v>0</v>
      </c>
      <c r="AD1377" s="30">
        <v>0</v>
      </c>
      <c r="AE1377" s="89" t="s">
        <v>92</v>
      </c>
      <c r="AF1377" s="89"/>
      <c r="AG1377" s="89" t="s">
        <v>352</v>
      </c>
      <c r="AH1377" s="72">
        <v>41085</v>
      </c>
      <c r="AI1377" s="30">
        <v>0</v>
      </c>
      <c r="AJ1377" s="89" t="s">
        <v>7684</v>
      </c>
      <c r="AK1377" s="89" t="s">
        <v>68</v>
      </c>
      <c r="AL1377" s="91">
        <v>41085</v>
      </c>
      <c r="AM1377" s="91"/>
      <c r="AN1377" s="91"/>
      <c r="AO1377" s="91"/>
      <c r="AP1377" s="73" t="e">
        <f>MID(VLOOKUP(K1377,#REF!,2,FALSE),1,2)</f>
        <v>#REF!</v>
      </c>
      <c r="AQ1377" s="89">
        <f>DATE(2012,6,24)</f>
        <v>41084</v>
      </c>
      <c r="AR1377" s="82">
        <f t="shared" si="90"/>
        <v>24</v>
      </c>
      <c r="AS1377" s="83">
        <f t="shared" si="91"/>
        <v>6</v>
      </c>
      <c r="AT1377" s="84">
        <f t="shared" si="92"/>
        <v>2012</v>
      </c>
      <c r="AU1377" s="86"/>
      <c r="AV1377" s="86"/>
      <c r="AW1377" s="87"/>
      <c r="AX1377" s="86"/>
      <c r="AY1377" s="83"/>
      <c r="AZ1377" s="84"/>
      <c r="BA1377" s="86"/>
      <c r="BB1377" s="86"/>
    </row>
    <row r="1378" spans="1:54" ht="36.75" customHeight="1">
      <c r="A1378" s="30"/>
      <c r="B1378" s="30" t="s">
        <v>55</v>
      </c>
      <c r="C1378" s="69" t="str">
        <f t="shared" si="89"/>
        <v>Closed</v>
      </c>
      <c r="D1378" s="27" t="s">
        <v>7685</v>
      </c>
      <c r="E1378" s="29" t="s">
        <v>7686</v>
      </c>
      <c r="F1378" s="30" t="s">
        <v>423</v>
      </c>
      <c r="G1378" s="89">
        <f>DATE(2012,6,25)</f>
        <v>41085</v>
      </c>
      <c r="H1378" s="90">
        <v>1.8368055555555554</v>
      </c>
      <c r="I1378" s="30" t="s">
        <v>104</v>
      </c>
      <c r="J1378" s="89" t="s">
        <v>7687</v>
      </c>
      <c r="K1378" s="30" t="s">
        <v>425</v>
      </c>
      <c r="L1378" s="30" t="s">
        <v>7688</v>
      </c>
      <c r="M1378" s="30" t="s">
        <v>63</v>
      </c>
      <c r="N1378" s="30" t="s">
        <v>89</v>
      </c>
      <c r="O1378" s="30" t="s">
        <v>77</v>
      </c>
      <c r="P1378" s="89" t="s">
        <v>65</v>
      </c>
      <c r="Q1378" s="89" t="s">
        <v>427</v>
      </c>
      <c r="R1378" s="89" t="s">
        <v>3103</v>
      </c>
      <c r="S1378" s="30">
        <v>0</v>
      </c>
      <c r="T1378" s="233">
        <v>0</v>
      </c>
      <c r="U1378" s="30">
        <v>0</v>
      </c>
      <c r="V1378" s="233">
        <v>0</v>
      </c>
      <c r="W1378" s="30">
        <v>0</v>
      </c>
      <c r="X1378" s="30">
        <v>0</v>
      </c>
      <c r="Y1378" s="30">
        <v>0</v>
      </c>
      <c r="Z1378" s="233">
        <v>0</v>
      </c>
      <c r="AA1378" s="30">
        <v>0</v>
      </c>
      <c r="AB1378" s="30">
        <v>0</v>
      </c>
      <c r="AC1378" s="30">
        <v>0</v>
      </c>
      <c r="AD1378" s="30">
        <v>0</v>
      </c>
      <c r="AE1378" s="89" t="s">
        <v>92</v>
      </c>
      <c r="AF1378" s="89"/>
      <c r="AG1378" s="89" t="s">
        <v>133</v>
      </c>
      <c r="AH1378" s="72">
        <v>41256</v>
      </c>
      <c r="AI1378" s="30">
        <v>4</v>
      </c>
      <c r="AJ1378" s="89" t="s">
        <v>7689</v>
      </c>
      <c r="AK1378" s="89" t="s">
        <v>7690</v>
      </c>
      <c r="AL1378" s="91">
        <v>41261</v>
      </c>
      <c r="AM1378" s="91"/>
      <c r="AN1378" s="91"/>
      <c r="AO1378" s="91"/>
      <c r="AP1378" s="73" t="e">
        <f>MID(VLOOKUP(K1378,#REF!,2,FALSE),1,2)</f>
        <v>#REF!</v>
      </c>
      <c r="AQ1378" s="89">
        <f>DATE(2012,6,25)</f>
        <v>41085</v>
      </c>
      <c r="AR1378" s="82">
        <f t="shared" si="90"/>
        <v>25</v>
      </c>
      <c r="AS1378" s="83">
        <f t="shared" si="91"/>
        <v>6</v>
      </c>
      <c r="AT1378" s="84">
        <f t="shared" si="92"/>
        <v>2012</v>
      </c>
      <c r="AU1378" s="86"/>
      <c r="AV1378" s="86"/>
      <c r="AW1378" s="87"/>
      <c r="AX1378" s="86"/>
      <c r="AY1378" s="83"/>
      <c r="AZ1378" s="84"/>
      <c r="BA1378" s="86"/>
      <c r="BB1378" s="86"/>
    </row>
    <row r="1379" spans="1:54" ht="36.75" customHeight="1">
      <c r="A1379" s="30"/>
      <c r="B1379" s="30" t="s">
        <v>55</v>
      </c>
      <c r="C1379" s="69" t="str">
        <f t="shared" si="89"/>
        <v>Closed</v>
      </c>
      <c r="D1379" s="27" t="s">
        <v>7691</v>
      </c>
      <c r="E1379" s="29" t="s">
        <v>7692</v>
      </c>
      <c r="F1379" s="30" t="s">
        <v>582</v>
      </c>
      <c r="G1379" s="89">
        <f>DATE(2012,6,25)</f>
        <v>41085</v>
      </c>
      <c r="H1379" s="90">
        <v>1.4375</v>
      </c>
      <c r="I1379" s="30" t="s">
        <v>125</v>
      </c>
      <c r="J1379" s="89" t="s">
        <v>7693</v>
      </c>
      <c r="K1379" s="30" t="s">
        <v>584</v>
      </c>
      <c r="L1379" s="30" t="s">
        <v>7694</v>
      </c>
      <c r="M1379" s="30" t="s">
        <v>63</v>
      </c>
      <c r="N1379" s="30" t="s">
        <v>142</v>
      </c>
      <c r="O1379" s="30" t="s">
        <v>64</v>
      </c>
      <c r="P1379" s="89" t="s">
        <v>165</v>
      </c>
      <c r="Q1379" s="89" t="s">
        <v>3903</v>
      </c>
      <c r="R1379" s="89" t="s">
        <v>587</v>
      </c>
      <c r="S1379" s="30">
        <v>0</v>
      </c>
      <c r="T1379" s="233">
        <v>0</v>
      </c>
      <c r="U1379" s="30">
        <v>0</v>
      </c>
      <c r="V1379" s="233">
        <v>0</v>
      </c>
      <c r="W1379" s="30">
        <v>0</v>
      </c>
      <c r="X1379" s="30">
        <v>0</v>
      </c>
      <c r="Y1379" s="30">
        <v>0</v>
      </c>
      <c r="Z1379" s="233">
        <v>0</v>
      </c>
      <c r="AA1379" s="30">
        <v>0</v>
      </c>
      <c r="AB1379" s="30">
        <v>0</v>
      </c>
      <c r="AC1379" s="30">
        <v>0</v>
      </c>
      <c r="AD1379" s="30">
        <v>0</v>
      </c>
      <c r="AE1379" s="89" t="s">
        <v>394</v>
      </c>
      <c r="AF1379" s="89"/>
      <c r="AG1379" s="89" t="s">
        <v>133</v>
      </c>
      <c r="AH1379" s="72">
        <v>41092</v>
      </c>
      <c r="AI1379" s="30">
        <v>0</v>
      </c>
      <c r="AJ1379" s="89" t="s">
        <v>7695</v>
      </c>
      <c r="AK1379" s="89" t="s">
        <v>1233</v>
      </c>
      <c r="AL1379" s="91">
        <v>41088</v>
      </c>
      <c r="AM1379" s="91"/>
      <c r="AN1379" s="91"/>
      <c r="AO1379" s="91"/>
      <c r="AP1379" s="73" t="e">
        <f>MID(VLOOKUP(K1379,#REF!,2,FALSE),1,2)</f>
        <v>#REF!</v>
      </c>
      <c r="AQ1379" s="89">
        <f>DATE(2012,6,25)</f>
        <v>41085</v>
      </c>
      <c r="AR1379" s="82">
        <f t="shared" si="90"/>
        <v>25</v>
      </c>
      <c r="AS1379" s="83">
        <f t="shared" si="91"/>
        <v>6</v>
      </c>
      <c r="AT1379" s="84">
        <f t="shared" si="92"/>
        <v>2012</v>
      </c>
      <c r="AU1379" s="86"/>
      <c r="AV1379" s="86"/>
      <c r="AW1379" s="87"/>
      <c r="AX1379" s="86"/>
      <c r="AY1379" s="83"/>
      <c r="AZ1379" s="84"/>
      <c r="BA1379" s="86"/>
      <c r="BB1379" s="86"/>
    </row>
    <row r="1380" spans="1:54" ht="36.75" customHeight="1">
      <c r="A1380" s="30"/>
      <c r="B1380" s="30" t="s">
        <v>55</v>
      </c>
      <c r="C1380" s="69" t="str">
        <f t="shared" si="89"/>
        <v>Closed</v>
      </c>
      <c r="D1380" s="27" t="s">
        <v>7696</v>
      </c>
      <c r="E1380" s="29" t="s">
        <v>7697</v>
      </c>
      <c r="F1380" s="30" t="s">
        <v>197</v>
      </c>
      <c r="G1380" s="89">
        <f>DATE(2012,6,26)</f>
        <v>41086</v>
      </c>
      <c r="H1380" s="90">
        <v>1.7465277777777777</v>
      </c>
      <c r="I1380" s="30" t="s">
        <v>116</v>
      </c>
      <c r="J1380" s="89" t="s">
        <v>7698</v>
      </c>
      <c r="K1380" s="30" t="s">
        <v>200</v>
      </c>
      <c r="L1380" s="30" t="s">
        <v>7699</v>
      </c>
      <c r="M1380" s="30" t="s">
        <v>63</v>
      </c>
      <c r="N1380" s="30" t="s">
        <v>99</v>
      </c>
      <c r="O1380" s="30" t="s">
        <v>64</v>
      </c>
      <c r="P1380" s="89" t="s">
        <v>165</v>
      </c>
      <c r="Q1380" s="89" t="s">
        <v>7700</v>
      </c>
      <c r="R1380" s="89">
        <v>0</v>
      </c>
      <c r="S1380" s="30">
        <v>0</v>
      </c>
      <c r="T1380" s="233">
        <v>0</v>
      </c>
      <c r="U1380" s="30">
        <v>0</v>
      </c>
      <c r="V1380" s="233">
        <v>0</v>
      </c>
      <c r="W1380" s="30">
        <v>0</v>
      </c>
      <c r="X1380" s="30">
        <v>0</v>
      </c>
      <c r="Y1380" s="30">
        <v>0</v>
      </c>
      <c r="Z1380" s="233">
        <v>0</v>
      </c>
      <c r="AA1380" s="30">
        <v>0</v>
      </c>
      <c r="AB1380" s="30">
        <v>0</v>
      </c>
      <c r="AC1380" s="30">
        <v>0</v>
      </c>
      <c r="AD1380" s="30">
        <v>0</v>
      </c>
      <c r="AE1380" s="89" t="s">
        <v>92</v>
      </c>
      <c r="AF1380" s="89"/>
      <c r="AG1380" s="89" t="s">
        <v>133</v>
      </c>
      <c r="AH1380" s="72">
        <v>41088</v>
      </c>
      <c r="AI1380" s="30">
        <v>3</v>
      </c>
      <c r="AJ1380" s="89" t="s">
        <v>7701</v>
      </c>
      <c r="AK1380" s="89" t="s">
        <v>1233</v>
      </c>
      <c r="AL1380" s="91">
        <v>41157</v>
      </c>
      <c r="AM1380" s="91"/>
      <c r="AN1380" s="91"/>
      <c r="AO1380" s="91"/>
      <c r="AP1380" s="73" t="e">
        <f>MID(VLOOKUP(K1380,#REF!,2,FALSE),1,2)</f>
        <v>#REF!</v>
      </c>
      <c r="AQ1380" s="89">
        <f>DATE(2012,6,26)</f>
        <v>41086</v>
      </c>
      <c r="AR1380" s="82">
        <f t="shared" si="90"/>
        <v>26</v>
      </c>
      <c r="AS1380" s="83">
        <f t="shared" si="91"/>
        <v>6</v>
      </c>
      <c r="AT1380" s="84">
        <f t="shared" si="92"/>
        <v>2012</v>
      </c>
      <c r="AU1380" s="86"/>
      <c r="AV1380" s="86"/>
      <c r="AW1380" s="87"/>
      <c r="AX1380" s="86"/>
      <c r="AY1380" s="83"/>
      <c r="AZ1380" s="84"/>
      <c r="BA1380" s="86"/>
      <c r="BB1380" s="86"/>
    </row>
    <row r="1381" spans="1:54" ht="36.75" customHeight="1">
      <c r="A1381" s="30"/>
      <c r="B1381" s="30" t="s">
        <v>55</v>
      </c>
      <c r="C1381" s="69" t="str">
        <f t="shared" si="89"/>
        <v>Closed</v>
      </c>
      <c r="D1381" s="27" t="s">
        <v>7702</v>
      </c>
      <c r="E1381" s="29" t="s">
        <v>7703</v>
      </c>
      <c r="F1381" s="30" t="s">
        <v>835</v>
      </c>
      <c r="G1381" s="89">
        <f>DATE(2012,6,27)</f>
        <v>41087</v>
      </c>
      <c r="H1381" s="90">
        <v>1.8583333333333334</v>
      </c>
      <c r="I1381" s="30" t="s">
        <v>278</v>
      </c>
      <c r="J1381" s="89" t="s">
        <v>7704</v>
      </c>
      <c r="K1381" s="30" t="s">
        <v>837</v>
      </c>
      <c r="L1381" s="30" t="s">
        <v>7705</v>
      </c>
      <c r="M1381" s="30" t="s">
        <v>63</v>
      </c>
      <c r="N1381" s="30" t="s">
        <v>99</v>
      </c>
      <c r="O1381" s="30" t="s">
        <v>64</v>
      </c>
      <c r="P1381" s="89" t="s">
        <v>65</v>
      </c>
      <c r="Q1381" s="89" t="s">
        <v>2162</v>
      </c>
      <c r="R1381" s="89" t="s">
        <v>840</v>
      </c>
      <c r="S1381" s="30">
        <v>0</v>
      </c>
      <c r="T1381" s="233">
        <v>0</v>
      </c>
      <c r="U1381" s="30">
        <v>0</v>
      </c>
      <c r="V1381" s="233">
        <v>0</v>
      </c>
      <c r="W1381" s="30">
        <v>0</v>
      </c>
      <c r="X1381" s="30">
        <v>0</v>
      </c>
      <c r="Y1381" s="30">
        <v>0</v>
      </c>
      <c r="Z1381" s="233">
        <v>0</v>
      </c>
      <c r="AA1381" s="30">
        <v>0</v>
      </c>
      <c r="AB1381" s="30">
        <v>0</v>
      </c>
      <c r="AC1381" s="30">
        <v>0</v>
      </c>
      <c r="AD1381" s="30">
        <v>0</v>
      </c>
      <c r="AE1381" s="89" t="s">
        <v>92</v>
      </c>
      <c r="AF1381" s="89"/>
      <c r="AG1381" s="89" t="s">
        <v>352</v>
      </c>
      <c r="AH1381" s="72">
        <v>41089</v>
      </c>
      <c r="AI1381" s="30">
        <v>0</v>
      </c>
      <c r="AJ1381" s="89" t="s">
        <v>7706</v>
      </c>
      <c r="AK1381" s="89" t="s">
        <v>68</v>
      </c>
      <c r="AL1381" s="91">
        <v>41108</v>
      </c>
      <c r="AM1381" s="91"/>
      <c r="AN1381" s="91"/>
      <c r="AO1381" s="91"/>
      <c r="AP1381" s="73" t="e">
        <f>MID(VLOOKUP(K1381,#REF!,2,FALSE),1,2)</f>
        <v>#REF!</v>
      </c>
      <c r="AQ1381" s="89">
        <f>DATE(2012,6,27)</f>
        <v>41087</v>
      </c>
      <c r="AR1381" s="82">
        <f t="shared" si="90"/>
        <v>27</v>
      </c>
      <c r="AS1381" s="83">
        <f t="shared" si="91"/>
        <v>6</v>
      </c>
      <c r="AT1381" s="84">
        <f t="shared" si="92"/>
        <v>2012</v>
      </c>
      <c r="AU1381" s="86"/>
      <c r="AV1381" s="86"/>
      <c r="AW1381" s="87"/>
      <c r="AX1381" s="86"/>
      <c r="AY1381" s="83"/>
      <c r="AZ1381" s="84"/>
      <c r="BA1381" s="86"/>
      <c r="BB1381" s="86"/>
    </row>
    <row r="1382" spans="1:54" ht="36.75" customHeight="1">
      <c r="A1382" s="30"/>
      <c r="B1382" s="30" t="s">
        <v>55</v>
      </c>
      <c r="C1382" s="69" t="str">
        <f t="shared" si="89"/>
        <v>Closed</v>
      </c>
      <c r="D1382" s="27" t="s">
        <v>7707</v>
      </c>
      <c r="E1382" s="29" t="s">
        <v>7708</v>
      </c>
      <c r="F1382" s="30" t="s">
        <v>835</v>
      </c>
      <c r="G1382" s="89">
        <f>DATE(2012,6,27)</f>
        <v>41087</v>
      </c>
      <c r="H1382" s="90">
        <v>1.3479166666666667</v>
      </c>
      <c r="I1382" s="30" t="s">
        <v>86</v>
      </c>
      <c r="J1382" s="89" t="s">
        <v>7709</v>
      </c>
      <c r="K1382" s="30" t="s">
        <v>837</v>
      </c>
      <c r="L1382" s="30" t="s">
        <v>7710</v>
      </c>
      <c r="M1382" s="30" t="s">
        <v>63</v>
      </c>
      <c r="N1382" s="30" t="s">
        <v>99</v>
      </c>
      <c r="O1382" s="30" t="s">
        <v>64</v>
      </c>
      <c r="P1382" s="89" t="s">
        <v>65</v>
      </c>
      <c r="Q1382" s="89" t="s">
        <v>2162</v>
      </c>
      <c r="R1382" s="89" t="s">
        <v>840</v>
      </c>
      <c r="S1382" s="30">
        <v>0</v>
      </c>
      <c r="T1382" s="233">
        <v>0</v>
      </c>
      <c r="U1382" s="30">
        <v>0</v>
      </c>
      <c r="V1382" s="233">
        <v>0</v>
      </c>
      <c r="W1382" s="30">
        <v>0</v>
      </c>
      <c r="X1382" s="30">
        <v>0</v>
      </c>
      <c r="Y1382" s="30">
        <v>0</v>
      </c>
      <c r="Z1382" s="233">
        <v>0</v>
      </c>
      <c r="AA1382" s="30">
        <v>0</v>
      </c>
      <c r="AB1382" s="30">
        <v>0</v>
      </c>
      <c r="AC1382" s="30">
        <v>0</v>
      </c>
      <c r="AD1382" s="30">
        <v>0</v>
      </c>
      <c r="AE1382" s="89" t="s">
        <v>92</v>
      </c>
      <c r="AF1382" s="89"/>
      <c r="AG1382" s="89" t="s">
        <v>352</v>
      </c>
      <c r="AH1382" s="72">
        <v>41106</v>
      </c>
      <c r="AI1382" s="30">
        <v>0</v>
      </c>
      <c r="AJ1382" s="89" t="s">
        <v>7711</v>
      </c>
      <c r="AK1382" s="89" t="s">
        <v>7712</v>
      </c>
      <c r="AL1382" s="91">
        <v>41285</v>
      </c>
      <c r="AM1382" s="91"/>
      <c r="AN1382" s="91"/>
      <c r="AO1382" s="91"/>
      <c r="AP1382" s="73" t="e">
        <f>MID(VLOOKUP(K1382,#REF!,2,FALSE),1,2)</f>
        <v>#REF!</v>
      </c>
      <c r="AQ1382" s="89">
        <f>DATE(2012,6,27)</f>
        <v>41087</v>
      </c>
      <c r="AR1382" s="82">
        <f t="shared" si="90"/>
        <v>27</v>
      </c>
      <c r="AS1382" s="83">
        <f t="shared" si="91"/>
        <v>6</v>
      </c>
      <c r="AT1382" s="84">
        <f t="shared" si="92"/>
        <v>2012</v>
      </c>
      <c r="AU1382" s="86"/>
      <c r="AV1382" s="86"/>
      <c r="AW1382" s="87"/>
      <c r="AX1382" s="86"/>
      <c r="AY1382" s="83"/>
      <c r="AZ1382" s="84"/>
      <c r="BA1382" s="86"/>
      <c r="BB1382" s="86"/>
    </row>
    <row r="1383" spans="1:54" ht="36.75" customHeight="1">
      <c r="A1383" s="30"/>
      <c r="B1383" s="30" t="s">
        <v>55</v>
      </c>
      <c r="C1383" s="69" t="str">
        <f t="shared" si="89"/>
        <v>Closed</v>
      </c>
      <c r="D1383" s="27" t="s">
        <v>7713</v>
      </c>
      <c r="E1383" s="29" t="s">
        <v>7714</v>
      </c>
      <c r="F1383" s="30" t="s">
        <v>233</v>
      </c>
      <c r="G1383" s="89">
        <f>DATE(2012,6,28)</f>
        <v>41088</v>
      </c>
      <c r="H1383" s="90">
        <v>1.2986111111111112</v>
      </c>
      <c r="I1383" s="30" t="s">
        <v>4280</v>
      </c>
      <c r="J1383" s="89" t="s">
        <v>7715</v>
      </c>
      <c r="K1383" s="30" t="s">
        <v>235</v>
      </c>
      <c r="L1383" s="30" t="s">
        <v>7716</v>
      </c>
      <c r="M1383" s="30" t="s">
        <v>63</v>
      </c>
      <c r="N1383" s="30" t="s">
        <v>89</v>
      </c>
      <c r="O1383" s="30" t="s">
        <v>64</v>
      </c>
      <c r="P1383" s="89" t="s">
        <v>6941</v>
      </c>
      <c r="Q1383" s="89" t="s">
        <v>675</v>
      </c>
      <c r="R1383" s="89" t="s">
        <v>675</v>
      </c>
      <c r="S1383" s="30">
        <v>0</v>
      </c>
      <c r="T1383" s="233">
        <v>0</v>
      </c>
      <c r="U1383" s="30">
        <v>0</v>
      </c>
      <c r="V1383" s="233">
        <v>0</v>
      </c>
      <c r="W1383" s="30">
        <v>0</v>
      </c>
      <c r="X1383" s="30">
        <v>0</v>
      </c>
      <c r="Y1383" s="30">
        <v>0</v>
      </c>
      <c r="Z1383" s="233">
        <v>0</v>
      </c>
      <c r="AA1383" s="30">
        <v>0</v>
      </c>
      <c r="AB1383" s="30">
        <v>0</v>
      </c>
      <c r="AC1383" s="30">
        <v>0</v>
      </c>
      <c r="AD1383" s="30">
        <v>0</v>
      </c>
      <c r="AE1383" s="89" t="s">
        <v>394</v>
      </c>
      <c r="AF1383" s="89"/>
      <c r="AG1383" s="89" t="s">
        <v>133</v>
      </c>
      <c r="AH1383" s="72">
        <v>41155</v>
      </c>
      <c r="AI1383" s="30">
        <v>5</v>
      </c>
      <c r="AJ1383" s="89" t="s">
        <v>7717</v>
      </c>
      <c r="AK1383" s="89" t="s">
        <v>7718</v>
      </c>
      <c r="AL1383" s="91">
        <v>41211</v>
      </c>
      <c r="AM1383" s="91"/>
      <c r="AN1383" s="91"/>
      <c r="AO1383" s="91"/>
      <c r="AP1383" s="73" t="e">
        <f>MID(VLOOKUP(K1383,#REF!,2,FALSE),1,2)</f>
        <v>#REF!</v>
      </c>
      <c r="AQ1383" s="89">
        <f>DATE(2012,6,28)</f>
        <v>41088</v>
      </c>
      <c r="AR1383" s="82">
        <f t="shared" si="90"/>
        <v>28</v>
      </c>
      <c r="AS1383" s="83">
        <f t="shared" si="91"/>
        <v>6</v>
      </c>
      <c r="AT1383" s="84">
        <f t="shared" si="92"/>
        <v>2012</v>
      </c>
      <c r="AU1383" s="86"/>
      <c r="AV1383" s="86"/>
      <c r="AW1383" s="87"/>
      <c r="AX1383" s="86"/>
      <c r="AY1383" s="83"/>
      <c r="AZ1383" s="84"/>
      <c r="BA1383" s="86"/>
      <c r="BB1383" s="86"/>
    </row>
    <row r="1384" spans="1:54" ht="36.75" customHeight="1">
      <c r="A1384" s="30"/>
      <c r="B1384" s="30" t="s">
        <v>55</v>
      </c>
      <c r="C1384" s="69" t="str">
        <f t="shared" si="89"/>
        <v>Closed</v>
      </c>
      <c r="D1384" s="27" t="s">
        <v>7719</v>
      </c>
      <c r="E1384" s="29" t="s">
        <v>7720</v>
      </c>
      <c r="F1384" s="30" t="s">
        <v>233</v>
      </c>
      <c r="G1384" s="89">
        <f>DATE(2012,6,28)</f>
        <v>41088</v>
      </c>
      <c r="H1384" s="90">
        <v>1.7951388888888888</v>
      </c>
      <c r="I1384" s="30" t="s">
        <v>156</v>
      </c>
      <c r="J1384" s="89" t="s">
        <v>7721</v>
      </c>
      <c r="K1384" s="30" t="s">
        <v>235</v>
      </c>
      <c r="L1384" s="30" t="s">
        <v>7722</v>
      </c>
      <c r="M1384" s="30" t="s">
        <v>63</v>
      </c>
      <c r="N1384" s="30" t="s">
        <v>99</v>
      </c>
      <c r="O1384" s="30" t="s">
        <v>64</v>
      </c>
      <c r="P1384" s="89" t="s">
        <v>78</v>
      </c>
      <c r="Q1384" s="89" t="s">
        <v>2759</v>
      </c>
      <c r="R1384" s="89" t="s">
        <v>238</v>
      </c>
      <c r="S1384" s="30">
        <v>0</v>
      </c>
      <c r="T1384" s="233">
        <v>0</v>
      </c>
      <c r="U1384" s="30">
        <v>0</v>
      </c>
      <c r="V1384" s="233">
        <v>0</v>
      </c>
      <c r="W1384" s="30">
        <v>0</v>
      </c>
      <c r="X1384" s="30">
        <v>0</v>
      </c>
      <c r="Y1384" s="30">
        <v>0</v>
      </c>
      <c r="Z1384" s="233">
        <v>0</v>
      </c>
      <c r="AA1384" s="30">
        <v>0</v>
      </c>
      <c r="AB1384" s="30">
        <v>0</v>
      </c>
      <c r="AC1384" s="30">
        <v>0</v>
      </c>
      <c r="AD1384" s="30">
        <v>0</v>
      </c>
      <c r="AE1384" s="89" t="s">
        <v>394</v>
      </c>
      <c r="AF1384" s="89"/>
      <c r="AG1384" s="89" t="s">
        <v>82</v>
      </c>
      <c r="AH1384" s="72">
        <v>41113</v>
      </c>
      <c r="AI1384" s="30">
        <v>5</v>
      </c>
      <c r="AJ1384" s="89" t="s">
        <v>7723</v>
      </c>
      <c r="AK1384" s="89" t="s">
        <v>7723</v>
      </c>
      <c r="AL1384" s="91">
        <v>41281</v>
      </c>
      <c r="AM1384" s="91"/>
      <c r="AN1384" s="91"/>
      <c r="AO1384" s="91"/>
      <c r="AP1384" s="73" t="e">
        <f>MID(VLOOKUP(K1384,#REF!,2,FALSE),1,2)</f>
        <v>#REF!</v>
      </c>
      <c r="AQ1384" s="89">
        <f>DATE(2012,6,28)</f>
        <v>41088</v>
      </c>
      <c r="AR1384" s="82">
        <f t="shared" si="90"/>
        <v>28</v>
      </c>
      <c r="AS1384" s="83">
        <f t="shared" si="91"/>
        <v>6</v>
      </c>
      <c r="AT1384" s="84">
        <f t="shared" si="92"/>
        <v>2012</v>
      </c>
      <c r="AU1384" s="86"/>
      <c r="AV1384" s="86"/>
      <c r="AW1384" s="87"/>
      <c r="AX1384" s="86"/>
      <c r="AY1384" s="83"/>
      <c r="AZ1384" s="84"/>
      <c r="BA1384" s="86"/>
      <c r="BB1384" s="86"/>
    </row>
    <row r="1385" spans="1:54" ht="36.75" customHeight="1">
      <c r="A1385" s="30"/>
      <c r="B1385" s="30" t="s">
        <v>55</v>
      </c>
      <c r="C1385" s="69" t="str">
        <f t="shared" si="89"/>
        <v>Closed</v>
      </c>
      <c r="D1385" s="27" t="s">
        <v>7724</v>
      </c>
      <c r="E1385" s="29" t="s">
        <v>7725</v>
      </c>
      <c r="F1385" s="30" t="s">
        <v>451</v>
      </c>
      <c r="G1385" s="89">
        <f>DATE(2012,6,29)</f>
        <v>41089</v>
      </c>
      <c r="H1385" s="90">
        <v>1.2902777777777779</v>
      </c>
      <c r="I1385" s="30" t="s">
        <v>116</v>
      </c>
      <c r="J1385" s="89" t="s">
        <v>7726</v>
      </c>
      <c r="K1385" s="30" t="s">
        <v>453</v>
      </c>
      <c r="L1385" s="30" t="s">
        <v>7727</v>
      </c>
      <c r="M1385" s="30" t="s">
        <v>63</v>
      </c>
      <c r="N1385" s="30" t="s">
        <v>99</v>
      </c>
      <c r="O1385" s="30" t="s">
        <v>64</v>
      </c>
      <c r="P1385" s="89" t="s">
        <v>165</v>
      </c>
      <c r="Q1385" s="89" t="s">
        <v>571</v>
      </c>
      <c r="R1385" s="89" t="s">
        <v>572</v>
      </c>
      <c r="S1385" s="30">
        <v>0</v>
      </c>
      <c r="T1385" s="233">
        <v>0</v>
      </c>
      <c r="U1385" s="30">
        <v>1</v>
      </c>
      <c r="V1385" s="233">
        <v>0</v>
      </c>
      <c r="W1385" s="30">
        <v>0</v>
      </c>
      <c r="X1385" s="30">
        <v>1</v>
      </c>
      <c r="Y1385" s="30">
        <v>0</v>
      </c>
      <c r="Z1385" s="233">
        <v>0</v>
      </c>
      <c r="AA1385" s="30">
        <v>0</v>
      </c>
      <c r="AB1385" s="30">
        <v>0</v>
      </c>
      <c r="AC1385" s="30">
        <v>0</v>
      </c>
      <c r="AD1385" s="30">
        <v>0</v>
      </c>
      <c r="AE1385" s="89" t="s">
        <v>92</v>
      </c>
      <c r="AF1385" s="89"/>
      <c r="AG1385" s="89" t="s">
        <v>82</v>
      </c>
      <c r="AH1385" s="72">
        <v>41095</v>
      </c>
      <c r="AI1385" s="30">
        <v>1</v>
      </c>
      <c r="AJ1385" s="89" t="s">
        <v>7728</v>
      </c>
      <c r="AK1385" s="89" t="s">
        <v>68</v>
      </c>
      <c r="AL1385" s="91">
        <v>42831</v>
      </c>
      <c r="AM1385" s="91"/>
      <c r="AN1385" s="91"/>
      <c r="AO1385" s="91"/>
      <c r="AP1385" s="73" t="e">
        <f>MID(VLOOKUP(K1385,#REF!,2,FALSE),1,2)</f>
        <v>#REF!</v>
      </c>
      <c r="AQ1385" s="89">
        <f>DATE(2012,6,29)</f>
        <v>41089</v>
      </c>
      <c r="AR1385" s="82">
        <f t="shared" si="90"/>
        <v>29</v>
      </c>
      <c r="AS1385" s="83">
        <f t="shared" si="91"/>
        <v>6</v>
      </c>
      <c r="AT1385" s="84">
        <f t="shared" si="92"/>
        <v>2012</v>
      </c>
      <c r="AU1385" s="86"/>
      <c r="AV1385" s="86"/>
      <c r="AW1385" s="87"/>
      <c r="AX1385" s="86"/>
      <c r="AY1385" s="83"/>
      <c r="AZ1385" s="84"/>
      <c r="BA1385" s="86"/>
      <c r="BB1385" s="86"/>
    </row>
    <row r="1386" spans="1:54" ht="36.75" customHeight="1">
      <c r="A1386" s="30"/>
      <c r="B1386" s="30" t="s">
        <v>55</v>
      </c>
      <c r="C1386" s="69" t="str">
        <f t="shared" si="89"/>
        <v>Closed</v>
      </c>
      <c r="D1386" s="27" t="s">
        <v>7729</v>
      </c>
      <c r="E1386" s="29" t="s">
        <v>7730</v>
      </c>
      <c r="F1386" s="30" t="s">
        <v>638</v>
      </c>
      <c r="G1386" s="89">
        <f>DATE(2012,7,1)</f>
        <v>41091</v>
      </c>
      <c r="H1386" s="90">
        <v>1.4041666666666666</v>
      </c>
      <c r="I1386" s="30" t="s">
        <v>73</v>
      </c>
      <c r="J1386" s="89" t="s">
        <v>7731</v>
      </c>
      <c r="K1386" s="30" t="s">
        <v>640</v>
      </c>
      <c r="L1386" s="30" t="s">
        <v>7732</v>
      </c>
      <c r="M1386" s="30" t="s">
        <v>63</v>
      </c>
      <c r="N1386" s="30" t="s">
        <v>99</v>
      </c>
      <c r="O1386" s="30" t="s">
        <v>77</v>
      </c>
      <c r="P1386" s="89" t="s">
        <v>65</v>
      </c>
      <c r="Q1386" s="89" t="s">
        <v>642</v>
      </c>
      <c r="R1386" s="89" t="s">
        <v>643</v>
      </c>
      <c r="S1386" s="30">
        <v>0</v>
      </c>
      <c r="T1386" s="233">
        <v>0</v>
      </c>
      <c r="U1386" s="30">
        <v>0</v>
      </c>
      <c r="V1386" s="233">
        <v>0</v>
      </c>
      <c r="W1386" s="30">
        <v>0</v>
      </c>
      <c r="X1386" s="30">
        <v>0</v>
      </c>
      <c r="Y1386" s="30">
        <v>0</v>
      </c>
      <c r="Z1386" s="233">
        <v>0</v>
      </c>
      <c r="AA1386" s="30">
        <v>0</v>
      </c>
      <c r="AB1386" s="30">
        <v>0</v>
      </c>
      <c r="AC1386" s="30">
        <v>0</v>
      </c>
      <c r="AD1386" s="30">
        <v>0</v>
      </c>
      <c r="AE1386" s="89" t="s">
        <v>92</v>
      </c>
      <c r="AF1386" s="89"/>
      <c r="AG1386" s="89" t="s">
        <v>352</v>
      </c>
      <c r="AH1386" s="72">
        <v>41114</v>
      </c>
      <c r="AI1386" s="30">
        <v>0</v>
      </c>
      <c r="AJ1386" s="89" t="s">
        <v>7733</v>
      </c>
      <c r="AK1386" s="89" t="s">
        <v>68</v>
      </c>
      <c r="AL1386" s="91">
        <v>41148</v>
      </c>
      <c r="AM1386" s="91"/>
      <c r="AN1386" s="91"/>
      <c r="AO1386" s="91"/>
      <c r="AP1386" s="73" t="e">
        <f>MID(VLOOKUP(K1386,#REF!,2,FALSE),1,2)</f>
        <v>#REF!</v>
      </c>
      <c r="AQ1386" s="89">
        <f>DATE(2012,7,1)</f>
        <v>41091</v>
      </c>
      <c r="AR1386" s="82">
        <f t="shared" si="90"/>
        <v>1</v>
      </c>
      <c r="AS1386" s="83">
        <f t="shared" si="91"/>
        <v>7</v>
      </c>
      <c r="AT1386" s="84">
        <f t="shared" si="92"/>
        <v>2012</v>
      </c>
      <c r="AU1386" s="86" t="s">
        <v>7734</v>
      </c>
      <c r="AV1386" s="86"/>
      <c r="AW1386" s="87"/>
      <c r="AX1386" s="86"/>
      <c r="AY1386" s="83"/>
      <c r="AZ1386" s="84"/>
      <c r="BA1386" s="86"/>
      <c r="BB1386" s="86"/>
    </row>
    <row r="1387" spans="1:54" ht="36.75" customHeight="1">
      <c r="A1387" s="30"/>
      <c r="B1387" s="30" t="s">
        <v>55</v>
      </c>
      <c r="C1387" s="69" t="str">
        <f t="shared" si="89"/>
        <v>Closed</v>
      </c>
      <c r="D1387" s="27" t="s">
        <v>7735</v>
      </c>
      <c r="E1387" s="29" t="s">
        <v>7736</v>
      </c>
      <c r="F1387" s="30" t="s">
        <v>1572</v>
      </c>
      <c r="G1387" s="89">
        <f>DATE(2012,7,1)</f>
        <v>41091</v>
      </c>
      <c r="H1387" s="90">
        <v>1.320138888888889</v>
      </c>
      <c r="I1387" s="30" t="s">
        <v>73</v>
      </c>
      <c r="J1387" s="89" t="s">
        <v>7737</v>
      </c>
      <c r="K1387" s="30" t="s">
        <v>1574</v>
      </c>
      <c r="L1387" s="30" t="s">
        <v>7738</v>
      </c>
      <c r="M1387" s="30" t="s">
        <v>63</v>
      </c>
      <c r="N1387" s="30" t="s">
        <v>142</v>
      </c>
      <c r="O1387" s="30" t="s">
        <v>77</v>
      </c>
      <c r="P1387" s="89" t="s">
        <v>78</v>
      </c>
      <c r="Q1387" s="89" t="s">
        <v>2655</v>
      </c>
      <c r="R1387" s="89">
        <v>0</v>
      </c>
      <c r="S1387" s="30">
        <v>0</v>
      </c>
      <c r="T1387" s="233">
        <v>0</v>
      </c>
      <c r="U1387" s="30">
        <v>0</v>
      </c>
      <c r="V1387" s="233">
        <v>0</v>
      </c>
      <c r="W1387" s="30">
        <v>0</v>
      </c>
      <c r="X1387" s="30">
        <v>0</v>
      </c>
      <c r="Y1387" s="30">
        <v>0</v>
      </c>
      <c r="Z1387" s="233">
        <v>0</v>
      </c>
      <c r="AA1387" s="30">
        <v>0</v>
      </c>
      <c r="AB1387" s="30">
        <v>0</v>
      </c>
      <c r="AC1387" s="30">
        <v>0</v>
      </c>
      <c r="AD1387" s="30">
        <v>0</v>
      </c>
      <c r="AE1387" s="89" t="s">
        <v>92</v>
      </c>
      <c r="AF1387" s="89"/>
      <c r="AG1387" s="89" t="s">
        <v>352</v>
      </c>
      <c r="AH1387" s="72">
        <v>41092</v>
      </c>
      <c r="AI1387" s="30">
        <v>0</v>
      </c>
      <c r="AJ1387" s="89" t="s">
        <v>7739</v>
      </c>
      <c r="AK1387" s="89" t="s">
        <v>6863</v>
      </c>
      <c r="AL1387" s="91">
        <v>41093</v>
      </c>
      <c r="AM1387" s="91"/>
      <c r="AN1387" s="91"/>
      <c r="AO1387" s="91"/>
      <c r="AP1387" s="73" t="e">
        <f>MID(VLOOKUP(K1387,#REF!,2,FALSE),1,2)</f>
        <v>#REF!</v>
      </c>
      <c r="AQ1387" s="89">
        <f>DATE(2012,7,1)</f>
        <v>41091</v>
      </c>
      <c r="AR1387" s="82">
        <f t="shared" si="90"/>
        <v>1</v>
      </c>
      <c r="AS1387" s="83">
        <f t="shared" si="91"/>
        <v>7</v>
      </c>
      <c r="AT1387" s="84">
        <f t="shared" si="92"/>
        <v>2012</v>
      </c>
      <c r="AU1387" s="86"/>
      <c r="AV1387" s="86"/>
      <c r="AW1387" s="87"/>
      <c r="AX1387" s="86"/>
      <c r="AY1387" s="83"/>
      <c r="AZ1387" s="84"/>
      <c r="BA1387" s="86"/>
      <c r="BB1387" s="86"/>
    </row>
    <row r="1388" spans="1:54" ht="36.75" customHeight="1">
      <c r="A1388" s="30"/>
      <c r="B1388" s="30" t="s">
        <v>55</v>
      </c>
      <c r="C1388" s="69" t="str">
        <f t="shared" si="89"/>
        <v>Closed</v>
      </c>
      <c r="D1388" s="27" t="s">
        <v>7740</v>
      </c>
      <c r="E1388" s="29" t="s">
        <v>7741</v>
      </c>
      <c r="F1388" s="30" t="s">
        <v>197</v>
      </c>
      <c r="G1388" s="89">
        <f>DATE(2012,7,3)</f>
        <v>41093</v>
      </c>
      <c r="H1388" s="90">
        <v>1.6944444444444446</v>
      </c>
      <c r="I1388" s="30" t="s">
        <v>73</v>
      </c>
      <c r="J1388" s="89" t="s">
        <v>7742</v>
      </c>
      <c r="K1388" s="30" t="s">
        <v>200</v>
      </c>
      <c r="L1388" s="30" t="s">
        <v>7743</v>
      </c>
      <c r="M1388" s="30" t="s">
        <v>63</v>
      </c>
      <c r="N1388" s="30" t="s">
        <v>99</v>
      </c>
      <c r="O1388" s="30" t="s">
        <v>64</v>
      </c>
      <c r="P1388" s="89" t="s">
        <v>78</v>
      </c>
      <c r="Q1388" s="89" t="s">
        <v>1716</v>
      </c>
      <c r="R1388" s="89" t="s">
        <v>203</v>
      </c>
      <c r="S1388" s="30">
        <v>0</v>
      </c>
      <c r="T1388" s="233">
        <v>0</v>
      </c>
      <c r="U1388" s="30">
        <v>0</v>
      </c>
      <c r="V1388" s="233">
        <v>0</v>
      </c>
      <c r="W1388" s="30">
        <v>0</v>
      </c>
      <c r="X1388" s="30">
        <v>0</v>
      </c>
      <c r="Y1388" s="30">
        <v>0</v>
      </c>
      <c r="Z1388" s="233">
        <v>0</v>
      </c>
      <c r="AA1388" s="30">
        <v>0</v>
      </c>
      <c r="AB1388" s="30">
        <v>0</v>
      </c>
      <c r="AC1388" s="30">
        <v>0</v>
      </c>
      <c r="AD1388" s="30">
        <v>0</v>
      </c>
      <c r="AE1388" s="89" t="s">
        <v>394</v>
      </c>
      <c r="AF1388" s="89"/>
      <c r="AG1388" s="89" t="s">
        <v>352</v>
      </c>
      <c r="AH1388" s="72">
        <v>41093</v>
      </c>
      <c r="AI1388" s="30">
        <v>3</v>
      </c>
      <c r="AJ1388" s="89" t="s">
        <v>7744</v>
      </c>
      <c r="AK1388" s="89" t="s">
        <v>68</v>
      </c>
      <c r="AL1388" s="91">
        <v>41110</v>
      </c>
      <c r="AM1388" s="91"/>
      <c r="AN1388" s="91"/>
      <c r="AO1388" s="91"/>
      <c r="AP1388" s="73" t="e">
        <f>MID(VLOOKUP(K1388,#REF!,2,FALSE),1,2)</f>
        <v>#REF!</v>
      </c>
      <c r="AQ1388" s="89">
        <f>DATE(2012,7,3)</f>
        <v>41093</v>
      </c>
      <c r="AR1388" s="82">
        <f t="shared" si="90"/>
        <v>3</v>
      </c>
      <c r="AS1388" s="83">
        <f t="shared" si="91"/>
        <v>7</v>
      </c>
      <c r="AT1388" s="84">
        <f t="shared" si="92"/>
        <v>2012</v>
      </c>
      <c r="AU1388" s="86"/>
      <c r="AV1388" s="86"/>
      <c r="AW1388" s="87"/>
      <c r="AX1388" s="86"/>
      <c r="AY1388" s="83"/>
      <c r="AZ1388" s="84"/>
      <c r="BA1388" s="86"/>
      <c r="BB1388" s="86"/>
    </row>
    <row r="1389" spans="1:54" ht="36.75" customHeight="1">
      <c r="A1389" s="30"/>
      <c r="B1389" s="30" t="s">
        <v>55</v>
      </c>
      <c r="C1389" s="69" t="str">
        <f t="shared" si="89"/>
        <v>Closed</v>
      </c>
      <c r="D1389" s="27" t="s">
        <v>7745</v>
      </c>
      <c r="E1389" s="29" t="s">
        <v>7746</v>
      </c>
      <c r="F1389" s="30" t="s">
        <v>197</v>
      </c>
      <c r="G1389" s="89">
        <f>DATE(2012,7,4)</f>
        <v>41094</v>
      </c>
      <c r="H1389" s="90">
        <v>1.682638888888889</v>
      </c>
      <c r="I1389" s="30" t="s">
        <v>116</v>
      </c>
      <c r="J1389" s="89" t="s">
        <v>7747</v>
      </c>
      <c r="K1389" s="30" t="s">
        <v>200</v>
      </c>
      <c r="L1389" s="30" t="s">
        <v>7748</v>
      </c>
      <c r="M1389" s="30" t="s">
        <v>63</v>
      </c>
      <c r="N1389" s="30" t="s">
        <v>99</v>
      </c>
      <c r="O1389" s="30" t="s">
        <v>64</v>
      </c>
      <c r="P1389" s="89" t="s">
        <v>165</v>
      </c>
      <c r="Q1389" s="89" t="s">
        <v>202</v>
      </c>
      <c r="R1389" s="89" t="s">
        <v>203</v>
      </c>
      <c r="S1389" s="30">
        <v>0</v>
      </c>
      <c r="T1389" s="233">
        <v>0</v>
      </c>
      <c r="U1389" s="30">
        <v>1</v>
      </c>
      <c r="V1389" s="233">
        <v>0</v>
      </c>
      <c r="W1389" s="30">
        <v>0</v>
      </c>
      <c r="X1389" s="30">
        <v>1</v>
      </c>
      <c r="Y1389" s="30">
        <v>0</v>
      </c>
      <c r="Z1389" s="233">
        <v>0</v>
      </c>
      <c r="AA1389" s="30">
        <v>1</v>
      </c>
      <c r="AB1389" s="30">
        <v>0</v>
      </c>
      <c r="AC1389" s="30">
        <v>0</v>
      </c>
      <c r="AD1389" s="30">
        <v>1</v>
      </c>
      <c r="AE1389" s="89" t="s">
        <v>92</v>
      </c>
      <c r="AF1389" s="89"/>
      <c r="AG1389" s="89" t="s">
        <v>82</v>
      </c>
      <c r="AH1389" s="72">
        <v>41094</v>
      </c>
      <c r="AI1389" s="30">
        <v>1</v>
      </c>
      <c r="AJ1389" s="89" t="s">
        <v>7657</v>
      </c>
      <c r="AK1389" s="89" t="s">
        <v>68</v>
      </c>
      <c r="AL1389" s="91">
        <v>41148</v>
      </c>
      <c r="AM1389" s="91"/>
      <c r="AN1389" s="91"/>
      <c r="AO1389" s="91"/>
      <c r="AP1389" s="73" t="e">
        <f>MID(VLOOKUP(K1389,#REF!,2,FALSE),1,2)</f>
        <v>#REF!</v>
      </c>
      <c r="AQ1389" s="89">
        <f>DATE(2012,7,4)</f>
        <v>41094</v>
      </c>
      <c r="AR1389" s="82">
        <f t="shared" si="90"/>
        <v>4</v>
      </c>
      <c r="AS1389" s="83">
        <f t="shared" si="91"/>
        <v>7</v>
      </c>
      <c r="AT1389" s="84">
        <f t="shared" si="92"/>
        <v>2012</v>
      </c>
      <c r="AU1389" s="86"/>
      <c r="AV1389" s="86"/>
      <c r="AW1389" s="87"/>
      <c r="AX1389" s="86"/>
      <c r="AY1389" s="83"/>
      <c r="AZ1389" s="84"/>
      <c r="BA1389" s="86"/>
      <c r="BB1389" s="86"/>
    </row>
    <row r="1390" spans="1:54" ht="36.75" customHeight="1">
      <c r="A1390" s="30"/>
      <c r="B1390" s="30" t="s">
        <v>55</v>
      </c>
      <c r="C1390" s="69" t="str">
        <f t="shared" si="89"/>
        <v>Closed</v>
      </c>
      <c r="D1390" s="27" t="s">
        <v>7749</v>
      </c>
      <c r="E1390" s="29" t="s">
        <v>7750</v>
      </c>
      <c r="F1390" s="30" t="s">
        <v>115</v>
      </c>
      <c r="G1390" s="89">
        <f>DATE(2012,7,4)</f>
        <v>41094</v>
      </c>
      <c r="H1390" s="90">
        <v>1.3631944444444444</v>
      </c>
      <c r="I1390" s="30" t="s">
        <v>156</v>
      </c>
      <c r="J1390" s="89" t="s">
        <v>7751</v>
      </c>
      <c r="K1390" s="30" t="s">
        <v>118</v>
      </c>
      <c r="L1390" s="30" t="s">
        <v>7752</v>
      </c>
      <c r="M1390" s="30" t="s">
        <v>63</v>
      </c>
      <c r="N1390" s="30" t="s">
        <v>142</v>
      </c>
      <c r="O1390" s="30" t="s">
        <v>64</v>
      </c>
      <c r="P1390" s="89" t="s">
        <v>165</v>
      </c>
      <c r="Q1390" s="89" t="s">
        <v>120</v>
      </c>
      <c r="R1390" s="89" t="s">
        <v>121</v>
      </c>
      <c r="S1390" s="30">
        <v>0</v>
      </c>
      <c r="T1390" s="233">
        <v>0</v>
      </c>
      <c r="U1390" s="30">
        <v>0</v>
      </c>
      <c r="V1390" s="233">
        <v>0</v>
      </c>
      <c r="W1390" s="30">
        <v>0</v>
      </c>
      <c r="X1390" s="30">
        <v>0</v>
      </c>
      <c r="Y1390" s="30">
        <v>0</v>
      </c>
      <c r="Z1390" s="233">
        <v>0</v>
      </c>
      <c r="AA1390" s="30">
        <v>0</v>
      </c>
      <c r="AB1390" s="30">
        <v>0</v>
      </c>
      <c r="AC1390" s="30">
        <v>0</v>
      </c>
      <c r="AD1390" s="30">
        <v>0</v>
      </c>
      <c r="AE1390" s="89" t="s">
        <v>92</v>
      </c>
      <c r="AF1390" s="89"/>
      <c r="AG1390" s="89" t="s">
        <v>352</v>
      </c>
      <c r="AH1390" s="72">
        <v>41096</v>
      </c>
      <c r="AI1390" s="30">
        <v>3</v>
      </c>
      <c r="AJ1390" s="89" t="s">
        <v>7753</v>
      </c>
      <c r="AK1390" s="89" t="s">
        <v>7754</v>
      </c>
      <c r="AL1390" s="91">
        <v>41159</v>
      </c>
      <c r="AM1390" s="91"/>
      <c r="AN1390" s="91"/>
      <c r="AO1390" s="91"/>
      <c r="AP1390" s="73" t="e">
        <f>MID(VLOOKUP(K1390,#REF!,2,FALSE),1,2)</f>
        <v>#REF!</v>
      </c>
      <c r="AQ1390" s="89">
        <f>DATE(2012,7,4)</f>
        <v>41094</v>
      </c>
      <c r="AR1390" s="82">
        <f t="shared" si="90"/>
        <v>4</v>
      </c>
      <c r="AS1390" s="83">
        <f t="shared" si="91"/>
        <v>7</v>
      </c>
      <c r="AT1390" s="84">
        <f t="shared" si="92"/>
        <v>2012</v>
      </c>
      <c r="AU1390" s="86"/>
      <c r="AV1390" s="86"/>
      <c r="AW1390" s="87"/>
      <c r="AX1390" s="86"/>
      <c r="AY1390" s="83"/>
      <c r="AZ1390" s="84"/>
      <c r="BA1390" s="86"/>
      <c r="BB1390" s="86"/>
    </row>
    <row r="1391" spans="1:54" ht="36.75" customHeight="1">
      <c r="A1391" s="30"/>
      <c r="B1391" s="30" t="s">
        <v>55</v>
      </c>
      <c r="C1391" s="69" t="str">
        <f t="shared" si="89"/>
        <v>Closed</v>
      </c>
      <c r="D1391" s="27" t="s">
        <v>7755</v>
      </c>
      <c r="E1391" s="29" t="s">
        <v>7756</v>
      </c>
      <c r="F1391" s="30" t="s">
        <v>835</v>
      </c>
      <c r="G1391" s="89">
        <f>DATE(2012,7,5)</f>
        <v>41095</v>
      </c>
      <c r="H1391" s="90">
        <v>1.2722222222222221</v>
      </c>
      <c r="I1391" s="30" t="s">
        <v>198</v>
      </c>
      <c r="J1391" s="89" t="s">
        <v>7757</v>
      </c>
      <c r="K1391" s="30" t="s">
        <v>837</v>
      </c>
      <c r="L1391" s="30" t="s">
        <v>7758</v>
      </c>
      <c r="M1391" s="30" t="s">
        <v>63</v>
      </c>
      <c r="N1391" s="30" t="s">
        <v>142</v>
      </c>
      <c r="O1391" s="30" t="s">
        <v>77</v>
      </c>
      <c r="P1391" s="89" t="s">
        <v>1912</v>
      </c>
      <c r="Q1391" s="89" t="s">
        <v>5135</v>
      </c>
      <c r="R1391" s="89" t="s">
        <v>840</v>
      </c>
      <c r="S1391" s="30">
        <v>0</v>
      </c>
      <c r="T1391" s="233">
        <v>0</v>
      </c>
      <c r="U1391" s="30">
        <v>0</v>
      </c>
      <c r="V1391" s="233">
        <v>0</v>
      </c>
      <c r="W1391" s="30">
        <v>0</v>
      </c>
      <c r="X1391" s="30">
        <v>0</v>
      </c>
      <c r="Y1391" s="30">
        <v>0</v>
      </c>
      <c r="Z1391" s="233">
        <v>0</v>
      </c>
      <c r="AA1391" s="30">
        <v>0</v>
      </c>
      <c r="AB1391" s="30">
        <v>0</v>
      </c>
      <c r="AC1391" s="30">
        <v>0</v>
      </c>
      <c r="AD1391" s="30">
        <v>0</v>
      </c>
      <c r="AE1391" s="89" t="s">
        <v>92</v>
      </c>
      <c r="AF1391" s="89"/>
      <c r="AG1391" s="89" t="s">
        <v>352</v>
      </c>
      <c r="AH1391" s="72">
        <v>41095</v>
      </c>
      <c r="AI1391" s="30">
        <v>1</v>
      </c>
      <c r="AJ1391" s="89" t="s">
        <v>7759</v>
      </c>
      <c r="AK1391" s="89" t="s">
        <v>7760</v>
      </c>
      <c r="AL1391" s="91">
        <v>41095</v>
      </c>
      <c r="AM1391" s="91"/>
      <c r="AN1391" s="91"/>
      <c r="AO1391" s="91"/>
      <c r="AP1391" s="73" t="e">
        <f>MID(VLOOKUP(K1391,#REF!,2,FALSE),1,2)</f>
        <v>#REF!</v>
      </c>
      <c r="AQ1391" s="89">
        <f>DATE(2012,7,5)</f>
        <v>41095</v>
      </c>
      <c r="AR1391" s="82">
        <f t="shared" si="90"/>
        <v>5</v>
      </c>
      <c r="AS1391" s="83">
        <f t="shared" si="91"/>
        <v>7</v>
      </c>
      <c r="AT1391" s="84">
        <f t="shared" si="92"/>
        <v>2012</v>
      </c>
      <c r="AU1391" s="86"/>
      <c r="AV1391" s="86"/>
      <c r="AW1391" s="87"/>
      <c r="AX1391" s="86"/>
      <c r="AY1391" s="83"/>
      <c r="AZ1391" s="84"/>
      <c r="BA1391" s="86"/>
      <c r="BB1391" s="86"/>
    </row>
    <row r="1392" spans="1:54" ht="36.75" customHeight="1">
      <c r="A1392" s="30"/>
      <c r="B1392" s="30" t="s">
        <v>55</v>
      </c>
      <c r="C1392" s="69" t="str">
        <f t="shared" si="89"/>
        <v>Closed</v>
      </c>
      <c r="D1392" s="27" t="s">
        <v>7761</v>
      </c>
      <c r="E1392" s="29" t="s">
        <v>7762</v>
      </c>
      <c r="F1392" s="30" t="s">
        <v>1572</v>
      </c>
      <c r="G1392" s="89">
        <f>DATE(2012,7,5)</f>
        <v>41095</v>
      </c>
      <c r="H1392" s="90">
        <v>1.7326388888888888</v>
      </c>
      <c r="I1392" s="30" t="s">
        <v>116</v>
      </c>
      <c r="J1392" s="89" t="s">
        <v>7763</v>
      </c>
      <c r="K1392" s="30" t="s">
        <v>1574</v>
      </c>
      <c r="L1392" s="30" t="s">
        <v>7764</v>
      </c>
      <c r="M1392" s="30" t="s">
        <v>63</v>
      </c>
      <c r="N1392" s="30" t="s">
        <v>99</v>
      </c>
      <c r="O1392" s="30" t="s">
        <v>64</v>
      </c>
      <c r="P1392" s="89" t="s">
        <v>91</v>
      </c>
      <c r="Q1392" s="89" t="s">
        <v>2655</v>
      </c>
      <c r="R1392" s="89" t="s">
        <v>6434</v>
      </c>
      <c r="S1392" s="30">
        <v>0</v>
      </c>
      <c r="T1392" s="233">
        <v>0</v>
      </c>
      <c r="U1392" s="30">
        <v>2</v>
      </c>
      <c r="V1392" s="233">
        <v>0</v>
      </c>
      <c r="W1392" s="30">
        <v>0</v>
      </c>
      <c r="X1392" s="30">
        <v>2</v>
      </c>
      <c r="Y1392" s="30">
        <v>0</v>
      </c>
      <c r="Z1392" s="233">
        <v>0</v>
      </c>
      <c r="AA1392" s="30">
        <v>2</v>
      </c>
      <c r="AB1392" s="30">
        <v>0</v>
      </c>
      <c r="AC1392" s="30">
        <v>0</v>
      </c>
      <c r="AD1392" s="30">
        <v>2</v>
      </c>
      <c r="AE1392" s="89" t="s">
        <v>394</v>
      </c>
      <c r="AF1392" s="89"/>
      <c r="AG1392" s="89" t="s">
        <v>352</v>
      </c>
      <c r="AH1392" s="72">
        <v>41099</v>
      </c>
      <c r="AI1392" s="30">
        <v>5</v>
      </c>
      <c r="AJ1392" s="89" t="s">
        <v>7765</v>
      </c>
      <c r="AK1392" s="89" t="s">
        <v>712</v>
      </c>
      <c r="AL1392" s="91">
        <v>41135</v>
      </c>
      <c r="AM1392" s="91"/>
      <c r="AN1392" s="91"/>
      <c r="AO1392" s="91"/>
      <c r="AP1392" s="73" t="e">
        <f>MID(VLOOKUP(K1392,#REF!,2,FALSE),1,2)</f>
        <v>#REF!</v>
      </c>
      <c r="AQ1392" s="89">
        <f>DATE(2012,7,5)</f>
        <v>41095</v>
      </c>
      <c r="AR1392" s="82">
        <f t="shared" si="90"/>
        <v>5</v>
      </c>
      <c r="AS1392" s="83">
        <f t="shared" si="91"/>
        <v>7</v>
      </c>
      <c r="AT1392" s="84">
        <f t="shared" si="92"/>
        <v>2012</v>
      </c>
      <c r="AU1392" s="86"/>
      <c r="AV1392" s="86"/>
      <c r="AW1392" s="87"/>
      <c r="AX1392" s="86"/>
      <c r="AY1392" s="83"/>
      <c r="AZ1392" s="84"/>
      <c r="BA1392" s="86"/>
      <c r="BB1392" s="86"/>
    </row>
    <row r="1393" spans="1:54" ht="36.75" customHeight="1">
      <c r="A1393" s="30"/>
      <c r="B1393" s="30" t="s">
        <v>55</v>
      </c>
      <c r="C1393" s="69" t="str">
        <f t="shared" si="89"/>
        <v>Closed</v>
      </c>
      <c r="D1393" s="27" t="s">
        <v>7766</v>
      </c>
      <c r="E1393" s="29" t="s">
        <v>7767</v>
      </c>
      <c r="F1393" s="30" t="s">
        <v>197</v>
      </c>
      <c r="G1393" s="89">
        <f>DATE(2012,7,6)</f>
        <v>41096</v>
      </c>
      <c r="H1393" s="90">
        <v>1.4145833333333333</v>
      </c>
      <c r="I1393" s="30" t="s">
        <v>116</v>
      </c>
      <c r="J1393" s="89" t="s">
        <v>7768</v>
      </c>
      <c r="K1393" s="30" t="s">
        <v>200</v>
      </c>
      <c r="L1393" s="30" t="s">
        <v>7769</v>
      </c>
      <c r="M1393" s="30" t="s">
        <v>63</v>
      </c>
      <c r="N1393" s="30" t="s">
        <v>99</v>
      </c>
      <c r="O1393" s="30" t="s">
        <v>64</v>
      </c>
      <c r="P1393" s="89" t="s">
        <v>165</v>
      </c>
      <c r="Q1393" s="89">
        <v>0</v>
      </c>
      <c r="R1393" s="89">
        <v>0</v>
      </c>
      <c r="S1393" s="30">
        <v>0</v>
      </c>
      <c r="T1393" s="233">
        <v>0</v>
      </c>
      <c r="U1393" s="30">
        <v>0</v>
      </c>
      <c r="V1393" s="233">
        <v>0</v>
      </c>
      <c r="W1393" s="30">
        <v>0</v>
      </c>
      <c r="X1393" s="30">
        <v>0</v>
      </c>
      <c r="Y1393" s="30">
        <v>0</v>
      </c>
      <c r="Z1393" s="233">
        <v>0</v>
      </c>
      <c r="AA1393" s="30">
        <v>1</v>
      </c>
      <c r="AB1393" s="30">
        <v>0</v>
      </c>
      <c r="AC1393" s="30">
        <v>0</v>
      </c>
      <c r="AD1393" s="30">
        <v>1</v>
      </c>
      <c r="AE1393" s="89" t="s">
        <v>92</v>
      </c>
      <c r="AF1393" s="89"/>
      <c r="AG1393" s="89" t="s">
        <v>352</v>
      </c>
      <c r="AH1393" s="72">
        <v>41106</v>
      </c>
      <c r="AI1393" s="30">
        <v>0</v>
      </c>
      <c r="AJ1393" s="89" t="s">
        <v>7507</v>
      </c>
      <c r="AK1393" s="89" t="s">
        <v>1233</v>
      </c>
      <c r="AL1393" s="91">
        <v>41163</v>
      </c>
      <c r="AM1393" s="91"/>
      <c r="AN1393" s="91"/>
      <c r="AO1393" s="91"/>
      <c r="AP1393" s="73" t="e">
        <f>MID(VLOOKUP(K1393,#REF!,2,FALSE),1,2)</f>
        <v>#REF!</v>
      </c>
      <c r="AQ1393" s="89">
        <f>DATE(2012,7,6)</f>
        <v>41096</v>
      </c>
      <c r="AR1393" s="82">
        <f t="shared" si="90"/>
        <v>6</v>
      </c>
      <c r="AS1393" s="83">
        <f t="shared" si="91"/>
        <v>7</v>
      </c>
      <c r="AT1393" s="84">
        <f t="shared" si="92"/>
        <v>2012</v>
      </c>
      <c r="AU1393" s="86"/>
      <c r="AV1393" s="86"/>
      <c r="AW1393" s="87"/>
      <c r="AX1393" s="86"/>
      <c r="AY1393" s="83"/>
      <c r="AZ1393" s="84"/>
      <c r="BA1393" s="86"/>
      <c r="BB1393" s="86"/>
    </row>
    <row r="1394" spans="1:54" ht="36.75" customHeight="1">
      <c r="A1394" s="30"/>
      <c r="B1394" s="30" t="s">
        <v>55</v>
      </c>
      <c r="C1394" s="69" t="str">
        <f t="shared" si="89"/>
        <v>Closed</v>
      </c>
      <c r="D1394" s="27" t="s">
        <v>7770</v>
      </c>
      <c r="E1394" s="29" t="s">
        <v>7771</v>
      </c>
      <c r="F1394" s="30" t="s">
        <v>197</v>
      </c>
      <c r="G1394" s="89">
        <f>DATE(2012,7,6)</f>
        <v>41096</v>
      </c>
      <c r="H1394" s="90">
        <v>0</v>
      </c>
      <c r="I1394" s="30" t="s">
        <v>116</v>
      </c>
      <c r="J1394" s="89" t="s">
        <v>7772</v>
      </c>
      <c r="K1394" s="30" t="s">
        <v>200</v>
      </c>
      <c r="L1394" s="30" t="s">
        <v>7773</v>
      </c>
      <c r="M1394" s="30" t="s">
        <v>63</v>
      </c>
      <c r="N1394" s="30" t="s">
        <v>99</v>
      </c>
      <c r="O1394" s="30" t="s">
        <v>64</v>
      </c>
      <c r="P1394" s="89" t="s">
        <v>165</v>
      </c>
      <c r="Q1394" s="89" t="s">
        <v>200</v>
      </c>
      <c r="R1394" s="89" t="s">
        <v>200</v>
      </c>
      <c r="S1394" s="30">
        <v>0</v>
      </c>
      <c r="T1394" s="233">
        <v>0</v>
      </c>
      <c r="U1394" s="30">
        <v>0</v>
      </c>
      <c r="V1394" s="233">
        <v>0</v>
      </c>
      <c r="W1394" s="30">
        <v>0</v>
      </c>
      <c r="X1394" s="30">
        <v>0</v>
      </c>
      <c r="Y1394" s="30">
        <v>0</v>
      </c>
      <c r="Z1394" s="233">
        <v>0</v>
      </c>
      <c r="AA1394" s="30">
        <v>1</v>
      </c>
      <c r="AB1394" s="30">
        <v>0</v>
      </c>
      <c r="AC1394" s="30">
        <v>0</v>
      </c>
      <c r="AD1394" s="30">
        <v>1</v>
      </c>
      <c r="AE1394" s="89" t="s">
        <v>92</v>
      </c>
      <c r="AF1394" s="89"/>
      <c r="AG1394" s="89" t="s">
        <v>133</v>
      </c>
      <c r="AH1394" s="72">
        <v>41095</v>
      </c>
      <c r="AI1394" s="30">
        <v>2</v>
      </c>
      <c r="AJ1394" s="89" t="s">
        <v>7774</v>
      </c>
      <c r="AK1394" s="89" t="s">
        <v>1233</v>
      </c>
      <c r="AL1394" s="91">
        <v>41535</v>
      </c>
      <c r="AM1394" s="91"/>
      <c r="AN1394" s="91"/>
      <c r="AO1394" s="91"/>
      <c r="AP1394" s="73" t="e">
        <f>MID(VLOOKUP(K1394,#REF!,2,FALSE),1,2)</f>
        <v>#REF!</v>
      </c>
      <c r="AQ1394" s="89">
        <f>DATE(2012,7,6)</f>
        <v>41096</v>
      </c>
      <c r="AR1394" s="82">
        <f t="shared" si="90"/>
        <v>6</v>
      </c>
      <c r="AS1394" s="83">
        <f t="shared" si="91"/>
        <v>7</v>
      </c>
      <c r="AT1394" s="84">
        <f t="shared" si="92"/>
        <v>2012</v>
      </c>
      <c r="AU1394" s="86"/>
      <c r="AV1394" s="86"/>
      <c r="AW1394" s="87"/>
      <c r="AX1394" s="86"/>
      <c r="AY1394" s="83"/>
      <c r="AZ1394" s="84"/>
      <c r="BA1394" s="86"/>
      <c r="BB1394" s="86"/>
    </row>
    <row r="1395" spans="1:54" ht="36.75" customHeight="1">
      <c r="A1395" s="30"/>
      <c r="B1395" s="30" t="s">
        <v>55</v>
      </c>
      <c r="C1395" s="69" t="str">
        <f t="shared" si="89"/>
        <v>Closed</v>
      </c>
      <c r="D1395" s="27" t="s">
        <v>7775</v>
      </c>
      <c r="E1395" s="29" t="s">
        <v>7776</v>
      </c>
      <c r="F1395" s="30" t="s">
        <v>233</v>
      </c>
      <c r="G1395" s="89">
        <f>DATE(2012,7,7)</f>
        <v>41097</v>
      </c>
      <c r="H1395" s="90">
        <v>1.59375</v>
      </c>
      <c r="I1395" s="30" t="s">
        <v>73</v>
      </c>
      <c r="J1395" s="89" t="s">
        <v>7777</v>
      </c>
      <c r="K1395" s="30" t="s">
        <v>235</v>
      </c>
      <c r="L1395" s="30" t="s">
        <v>7778</v>
      </c>
      <c r="M1395" s="30" t="s">
        <v>63</v>
      </c>
      <c r="N1395" s="30" t="s">
        <v>89</v>
      </c>
      <c r="O1395" s="30" t="s">
        <v>64</v>
      </c>
      <c r="P1395" s="89" t="s">
        <v>78</v>
      </c>
      <c r="Q1395" s="89" t="s">
        <v>7308</v>
      </c>
      <c r="R1395" s="89" t="s">
        <v>238</v>
      </c>
      <c r="S1395" s="30">
        <v>0</v>
      </c>
      <c r="T1395" s="233">
        <v>0</v>
      </c>
      <c r="U1395" s="30">
        <v>0</v>
      </c>
      <c r="V1395" s="233">
        <v>0</v>
      </c>
      <c r="W1395" s="30">
        <v>0</v>
      </c>
      <c r="X1395" s="30">
        <v>0</v>
      </c>
      <c r="Y1395" s="30">
        <v>0</v>
      </c>
      <c r="Z1395" s="233">
        <v>0</v>
      </c>
      <c r="AA1395" s="30">
        <v>0</v>
      </c>
      <c r="AB1395" s="30">
        <v>0</v>
      </c>
      <c r="AC1395" s="30">
        <v>0</v>
      </c>
      <c r="AD1395" s="30">
        <v>0</v>
      </c>
      <c r="AE1395" s="89" t="s">
        <v>92</v>
      </c>
      <c r="AF1395" s="89"/>
      <c r="AG1395" s="89" t="s">
        <v>133</v>
      </c>
      <c r="AH1395" s="72">
        <v>41106</v>
      </c>
      <c r="AI1395" s="30">
        <v>4</v>
      </c>
      <c r="AJ1395" s="89" t="s">
        <v>7779</v>
      </c>
      <c r="AK1395" s="89" t="s">
        <v>7780</v>
      </c>
      <c r="AL1395" s="91">
        <v>41122</v>
      </c>
      <c r="AM1395" s="91"/>
      <c r="AN1395" s="91"/>
      <c r="AO1395" s="91"/>
      <c r="AP1395" s="73" t="e">
        <f>MID(VLOOKUP(K1395,#REF!,2,FALSE),1,2)</f>
        <v>#REF!</v>
      </c>
      <c r="AQ1395" s="89">
        <f>DATE(2012,7,7)</f>
        <v>41097</v>
      </c>
      <c r="AR1395" s="82">
        <f t="shared" si="90"/>
        <v>7</v>
      </c>
      <c r="AS1395" s="83">
        <f t="shared" si="91"/>
        <v>7</v>
      </c>
      <c r="AT1395" s="84">
        <f t="shared" si="92"/>
        <v>2012</v>
      </c>
      <c r="AU1395" s="86"/>
      <c r="AV1395" s="86"/>
      <c r="AW1395" s="87"/>
      <c r="AX1395" s="86"/>
      <c r="AY1395" s="83"/>
      <c r="AZ1395" s="84"/>
      <c r="BA1395" s="86"/>
      <c r="BB1395" s="86"/>
    </row>
    <row r="1396" spans="1:54" ht="36.75" customHeight="1">
      <c r="A1396" s="30"/>
      <c r="B1396" s="30" t="s">
        <v>55</v>
      </c>
      <c r="C1396" s="69" t="str">
        <f t="shared" si="89"/>
        <v>Closed</v>
      </c>
      <c r="D1396" s="27" t="s">
        <v>7781</v>
      </c>
      <c r="E1396" s="29" t="s">
        <v>7782</v>
      </c>
      <c r="F1396" s="30" t="s">
        <v>377</v>
      </c>
      <c r="G1396" s="89">
        <f>DATE(2012,7,14)</f>
        <v>41104</v>
      </c>
      <c r="H1396" s="90">
        <v>1.3923611111111112</v>
      </c>
      <c r="I1396" s="30" t="s">
        <v>73</v>
      </c>
      <c r="J1396" s="89" t="s">
        <v>7783</v>
      </c>
      <c r="K1396" s="30" t="s">
        <v>379</v>
      </c>
      <c r="L1396" s="30" t="s">
        <v>7784</v>
      </c>
      <c r="M1396" s="30" t="s">
        <v>63</v>
      </c>
      <c r="N1396" s="30" t="s">
        <v>89</v>
      </c>
      <c r="O1396" s="30" t="s">
        <v>64</v>
      </c>
      <c r="P1396" s="89" t="s">
        <v>165</v>
      </c>
      <c r="Q1396" s="89" t="s">
        <v>2906</v>
      </c>
      <c r="R1396" s="89" t="s">
        <v>382</v>
      </c>
      <c r="S1396" s="30">
        <v>0</v>
      </c>
      <c r="T1396" s="233">
        <v>0</v>
      </c>
      <c r="U1396" s="30">
        <v>0</v>
      </c>
      <c r="V1396" s="233">
        <v>0</v>
      </c>
      <c r="W1396" s="30">
        <v>0</v>
      </c>
      <c r="X1396" s="30">
        <v>0</v>
      </c>
      <c r="Y1396" s="30">
        <v>0</v>
      </c>
      <c r="Z1396" s="233">
        <v>0</v>
      </c>
      <c r="AA1396" s="30">
        <v>0</v>
      </c>
      <c r="AB1396" s="30">
        <v>0</v>
      </c>
      <c r="AC1396" s="30">
        <v>0</v>
      </c>
      <c r="AD1396" s="30">
        <v>0</v>
      </c>
      <c r="AE1396" s="89" t="s">
        <v>394</v>
      </c>
      <c r="AF1396" s="89"/>
      <c r="AG1396" s="89" t="s">
        <v>133</v>
      </c>
      <c r="AH1396" s="72">
        <v>41104</v>
      </c>
      <c r="AI1396" s="30">
        <v>2</v>
      </c>
      <c r="AJ1396" s="89" t="s">
        <v>7785</v>
      </c>
      <c r="AK1396" s="89" t="s">
        <v>7786</v>
      </c>
      <c r="AL1396" s="91">
        <v>41108</v>
      </c>
      <c r="AM1396" s="91"/>
      <c r="AN1396" s="91"/>
      <c r="AO1396" s="91"/>
      <c r="AP1396" s="73" t="e">
        <f>MID(VLOOKUP(K1396,#REF!,2,FALSE),1,2)</f>
        <v>#REF!</v>
      </c>
      <c r="AQ1396" s="89">
        <f>DATE(2012,7,14)</f>
        <v>41104</v>
      </c>
      <c r="AR1396" s="82">
        <f t="shared" si="90"/>
        <v>14</v>
      </c>
      <c r="AS1396" s="83">
        <f t="shared" si="91"/>
        <v>7</v>
      </c>
      <c r="AT1396" s="84">
        <f t="shared" si="92"/>
        <v>2012</v>
      </c>
      <c r="AU1396" s="86"/>
      <c r="AV1396" s="86"/>
      <c r="AW1396" s="87"/>
      <c r="AX1396" s="86"/>
      <c r="AY1396" s="83"/>
      <c r="AZ1396" s="84"/>
      <c r="BA1396" s="86"/>
      <c r="BB1396" s="86"/>
    </row>
    <row r="1397" spans="1:54" ht="36.75" customHeight="1">
      <c r="A1397" s="30"/>
      <c r="B1397" s="30" t="s">
        <v>55</v>
      </c>
      <c r="C1397" s="69" t="str">
        <f t="shared" si="89"/>
        <v>Closed</v>
      </c>
      <c r="D1397" s="27" t="s">
        <v>7787</v>
      </c>
      <c r="E1397" s="29" t="s">
        <v>7788</v>
      </c>
      <c r="F1397" s="30" t="s">
        <v>233</v>
      </c>
      <c r="G1397" s="89">
        <f>DATE(2012,7,16)</f>
        <v>41106</v>
      </c>
      <c r="H1397" s="90">
        <v>1.5729166666666665</v>
      </c>
      <c r="I1397" s="30" t="s">
        <v>278</v>
      </c>
      <c r="J1397" s="89" t="s">
        <v>7789</v>
      </c>
      <c r="K1397" s="30" t="s">
        <v>235</v>
      </c>
      <c r="L1397" s="30" t="s">
        <v>7790</v>
      </c>
      <c r="M1397" s="30" t="s">
        <v>63</v>
      </c>
      <c r="N1397" s="30" t="s">
        <v>142</v>
      </c>
      <c r="O1397" s="30" t="s">
        <v>64</v>
      </c>
      <c r="P1397" s="89" t="s">
        <v>165</v>
      </c>
      <c r="Q1397" s="89">
        <v>0</v>
      </c>
      <c r="R1397" s="89" t="s">
        <v>238</v>
      </c>
      <c r="S1397" s="30">
        <v>0</v>
      </c>
      <c r="T1397" s="233">
        <v>0</v>
      </c>
      <c r="U1397" s="30">
        <v>0</v>
      </c>
      <c r="V1397" s="233">
        <v>0</v>
      </c>
      <c r="W1397" s="30">
        <v>0</v>
      </c>
      <c r="X1397" s="30">
        <v>0</v>
      </c>
      <c r="Y1397" s="30">
        <v>0</v>
      </c>
      <c r="Z1397" s="233">
        <v>0</v>
      </c>
      <c r="AA1397" s="30">
        <v>0</v>
      </c>
      <c r="AB1397" s="30">
        <v>0</v>
      </c>
      <c r="AC1397" s="30">
        <v>0</v>
      </c>
      <c r="AD1397" s="30">
        <v>0</v>
      </c>
      <c r="AE1397" s="89" t="s">
        <v>92</v>
      </c>
      <c r="AF1397" s="89"/>
      <c r="AG1397" s="89" t="s">
        <v>133</v>
      </c>
      <c r="AH1397" s="72">
        <v>41276</v>
      </c>
      <c r="AI1397" s="30">
        <v>2</v>
      </c>
      <c r="AJ1397" s="89" t="s">
        <v>7791</v>
      </c>
      <c r="AK1397" s="89" t="s">
        <v>7792</v>
      </c>
      <c r="AL1397" s="91">
        <v>41281</v>
      </c>
      <c r="AM1397" s="91"/>
      <c r="AN1397" s="91"/>
      <c r="AO1397" s="91"/>
      <c r="AP1397" s="73" t="e">
        <f>MID(VLOOKUP(K1397,#REF!,2,FALSE),1,2)</f>
        <v>#REF!</v>
      </c>
      <c r="AQ1397" s="89">
        <f>DATE(2012,7,16)</f>
        <v>41106</v>
      </c>
      <c r="AR1397" s="82">
        <f t="shared" si="90"/>
        <v>16</v>
      </c>
      <c r="AS1397" s="83">
        <f t="shared" si="91"/>
        <v>7</v>
      </c>
      <c r="AT1397" s="84">
        <f t="shared" si="92"/>
        <v>2012</v>
      </c>
      <c r="AU1397" s="86"/>
      <c r="AV1397" s="86"/>
      <c r="AW1397" s="87"/>
      <c r="AX1397" s="86"/>
      <c r="AY1397" s="83"/>
      <c r="AZ1397" s="84"/>
      <c r="BA1397" s="86"/>
      <c r="BB1397" s="86"/>
    </row>
    <row r="1398" spans="1:54" ht="36.75" customHeight="1">
      <c r="A1398" s="30"/>
      <c r="B1398" s="30" t="s">
        <v>55</v>
      </c>
      <c r="C1398" s="69" t="str">
        <f t="shared" si="89"/>
        <v>Closed</v>
      </c>
      <c r="D1398" s="27" t="s">
        <v>7793</v>
      </c>
      <c r="E1398" s="29" t="s">
        <v>7794</v>
      </c>
      <c r="F1398" s="30" t="s">
        <v>835</v>
      </c>
      <c r="G1398" s="89">
        <f>DATE(2012,7,17)</f>
        <v>41107</v>
      </c>
      <c r="H1398" s="90">
        <v>1.3715277777777777</v>
      </c>
      <c r="I1398" s="30" t="s">
        <v>73</v>
      </c>
      <c r="J1398" s="89" t="s">
        <v>7795</v>
      </c>
      <c r="K1398" s="30" t="s">
        <v>837</v>
      </c>
      <c r="L1398" s="30" t="s">
        <v>7796</v>
      </c>
      <c r="M1398" s="30" t="s">
        <v>255</v>
      </c>
      <c r="N1398" s="30" t="s">
        <v>142</v>
      </c>
      <c r="O1398" s="30" t="s">
        <v>64</v>
      </c>
      <c r="P1398" s="89" t="s">
        <v>6552</v>
      </c>
      <c r="Q1398" s="89" t="s">
        <v>4210</v>
      </c>
      <c r="R1398" s="89" t="s">
        <v>4210</v>
      </c>
      <c r="S1398" s="30">
        <v>0</v>
      </c>
      <c r="T1398" s="233">
        <v>0</v>
      </c>
      <c r="U1398" s="30">
        <v>0</v>
      </c>
      <c r="V1398" s="233">
        <v>0</v>
      </c>
      <c r="W1398" s="30">
        <v>0</v>
      </c>
      <c r="X1398" s="30">
        <v>0</v>
      </c>
      <c r="Y1398" s="30">
        <v>0</v>
      </c>
      <c r="Z1398" s="233">
        <v>0</v>
      </c>
      <c r="AA1398" s="30">
        <v>0</v>
      </c>
      <c r="AB1398" s="30">
        <v>0</v>
      </c>
      <c r="AC1398" s="30">
        <v>0</v>
      </c>
      <c r="AD1398" s="30">
        <v>0</v>
      </c>
      <c r="AE1398" s="89" t="s">
        <v>92</v>
      </c>
      <c r="AF1398" s="89"/>
      <c r="AG1398" s="89" t="s">
        <v>352</v>
      </c>
      <c r="AH1398" s="72">
        <v>41107</v>
      </c>
      <c r="AI1398" s="30">
        <v>2</v>
      </c>
      <c r="AJ1398" s="89" t="s">
        <v>7797</v>
      </c>
      <c r="AK1398" s="89" t="s">
        <v>68</v>
      </c>
      <c r="AL1398" s="91">
        <v>41108</v>
      </c>
      <c r="AM1398" s="91"/>
      <c r="AN1398" s="91"/>
      <c r="AO1398" s="91"/>
      <c r="AP1398" s="73" t="e">
        <f>MID(VLOOKUP(K1398,#REF!,2,FALSE),1,2)</f>
        <v>#REF!</v>
      </c>
      <c r="AQ1398" s="89">
        <f>DATE(2012,7,17)</f>
        <v>41107</v>
      </c>
      <c r="AR1398" s="82">
        <f t="shared" si="90"/>
        <v>17</v>
      </c>
      <c r="AS1398" s="83">
        <f t="shared" si="91"/>
        <v>7</v>
      </c>
      <c r="AT1398" s="84">
        <f t="shared" si="92"/>
        <v>2012</v>
      </c>
      <c r="AU1398" s="86"/>
      <c r="AV1398" s="86"/>
      <c r="AW1398" s="87"/>
      <c r="AX1398" s="86"/>
      <c r="AY1398" s="83"/>
      <c r="AZ1398" s="84"/>
      <c r="BA1398" s="86"/>
      <c r="BB1398" s="86"/>
    </row>
    <row r="1399" spans="1:54" ht="36.75" customHeight="1">
      <c r="A1399" s="30"/>
      <c r="B1399" s="30" t="s">
        <v>55</v>
      </c>
      <c r="C1399" s="69" t="str">
        <f t="shared" si="89"/>
        <v>Closed</v>
      </c>
      <c r="D1399" s="27" t="s">
        <v>7798</v>
      </c>
      <c r="E1399" s="29" t="s">
        <v>7799</v>
      </c>
      <c r="F1399" s="30" t="s">
        <v>835</v>
      </c>
      <c r="G1399" s="89">
        <f>DATE(2012,7,18)</f>
        <v>41108</v>
      </c>
      <c r="H1399" s="90">
        <v>1.1993055555555556</v>
      </c>
      <c r="I1399" s="30" t="s">
        <v>73</v>
      </c>
      <c r="J1399" s="89" t="s">
        <v>7800</v>
      </c>
      <c r="K1399" s="30" t="s">
        <v>837</v>
      </c>
      <c r="L1399" s="30" t="s">
        <v>7796</v>
      </c>
      <c r="M1399" s="30" t="s">
        <v>255</v>
      </c>
      <c r="N1399" s="30" t="s">
        <v>142</v>
      </c>
      <c r="O1399" s="30" t="s">
        <v>64</v>
      </c>
      <c r="P1399" s="89" t="s">
        <v>6552</v>
      </c>
      <c r="Q1399" s="89" t="s">
        <v>4210</v>
      </c>
      <c r="R1399" s="89" t="s">
        <v>4210</v>
      </c>
      <c r="S1399" s="30">
        <v>0</v>
      </c>
      <c r="T1399" s="233">
        <v>0</v>
      </c>
      <c r="U1399" s="30">
        <v>0</v>
      </c>
      <c r="V1399" s="233">
        <v>0</v>
      </c>
      <c r="W1399" s="30">
        <v>0</v>
      </c>
      <c r="X1399" s="30">
        <v>0</v>
      </c>
      <c r="Y1399" s="30">
        <v>0</v>
      </c>
      <c r="Z1399" s="233">
        <v>0</v>
      </c>
      <c r="AA1399" s="30">
        <v>0</v>
      </c>
      <c r="AB1399" s="30">
        <v>0</v>
      </c>
      <c r="AC1399" s="30">
        <v>0</v>
      </c>
      <c r="AD1399" s="30">
        <v>0</v>
      </c>
      <c r="AE1399" s="89" t="s">
        <v>92</v>
      </c>
      <c r="AF1399" s="89"/>
      <c r="AG1399" s="89" t="s">
        <v>352</v>
      </c>
      <c r="AH1399" s="72">
        <v>41108</v>
      </c>
      <c r="AI1399" s="30">
        <v>0</v>
      </c>
      <c r="AJ1399" s="89" t="s">
        <v>7801</v>
      </c>
      <c r="AK1399" s="89" t="s">
        <v>68</v>
      </c>
      <c r="AL1399" s="91">
        <v>41108</v>
      </c>
      <c r="AM1399" s="91"/>
      <c r="AN1399" s="91"/>
      <c r="AO1399" s="91"/>
      <c r="AP1399" s="73" t="e">
        <f>MID(VLOOKUP(K1399,#REF!,2,FALSE),1,2)</f>
        <v>#REF!</v>
      </c>
      <c r="AQ1399" s="89">
        <f>DATE(2012,7,18)</f>
        <v>41108</v>
      </c>
      <c r="AR1399" s="82">
        <f t="shared" si="90"/>
        <v>18</v>
      </c>
      <c r="AS1399" s="83">
        <f t="shared" si="91"/>
        <v>7</v>
      </c>
      <c r="AT1399" s="84">
        <f t="shared" si="92"/>
        <v>2012</v>
      </c>
      <c r="AU1399" s="86"/>
      <c r="AV1399" s="86"/>
      <c r="AW1399" s="87"/>
      <c r="AX1399" s="86"/>
      <c r="AY1399" s="83"/>
      <c r="AZ1399" s="84"/>
      <c r="BA1399" s="86"/>
      <c r="BB1399" s="86"/>
    </row>
    <row r="1400" spans="1:54" ht="36.75" customHeight="1">
      <c r="A1400" s="30"/>
      <c r="B1400" s="30" t="s">
        <v>55</v>
      </c>
      <c r="C1400" s="69" t="str">
        <f t="shared" si="89"/>
        <v>Closed</v>
      </c>
      <c r="D1400" s="27" t="s">
        <v>7802</v>
      </c>
      <c r="E1400" s="29" t="s">
        <v>7803</v>
      </c>
      <c r="F1400" s="30" t="s">
        <v>638</v>
      </c>
      <c r="G1400" s="89">
        <f>DATE(2012,7,19)</f>
        <v>41109</v>
      </c>
      <c r="H1400" s="90">
        <v>1.0048611111111112</v>
      </c>
      <c r="I1400" s="30" t="s">
        <v>73</v>
      </c>
      <c r="J1400" s="89" t="s">
        <v>7804</v>
      </c>
      <c r="K1400" s="30" t="s">
        <v>640</v>
      </c>
      <c r="L1400" s="30" t="s">
        <v>7805</v>
      </c>
      <c r="M1400" s="30" t="s">
        <v>63</v>
      </c>
      <c r="N1400" s="30" t="s">
        <v>99</v>
      </c>
      <c r="O1400" s="30" t="s">
        <v>64</v>
      </c>
      <c r="P1400" s="89" t="s">
        <v>78</v>
      </c>
      <c r="Q1400" s="89" t="s">
        <v>4904</v>
      </c>
      <c r="R1400" s="89" t="s">
        <v>643</v>
      </c>
      <c r="S1400" s="30">
        <v>0</v>
      </c>
      <c r="T1400" s="233">
        <v>0</v>
      </c>
      <c r="U1400" s="30">
        <v>0</v>
      </c>
      <c r="V1400" s="233">
        <v>0</v>
      </c>
      <c r="W1400" s="30">
        <v>0</v>
      </c>
      <c r="X1400" s="30">
        <v>0</v>
      </c>
      <c r="Y1400" s="30">
        <v>0</v>
      </c>
      <c r="Z1400" s="233">
        <v>0</v>
      </c>
      <c r="AA1400" s="30">
        <v>0</v>
      </c>
      <c r="AB1400" s="30">
        <v>0</v>
      </c>
      <c r="AC1400" s="30">
        <v>0</v>
      </c>
      <c r="AD1400" s="30">
        <v>0</v>
      </c>
      <c r="AE1400" s="89" t="s">
        <v>394</v>
      </c>
      <c r="AF1400" s="89"/>
      <c r="AG1400" s="89" t="s">
        <v>352</v>
      </c>
      <c r="AH1400" s="72">
        <v>41114</v>
      </c>
      <c r="AI1400" s="30">
        <v>3</v>
      </c>
      <c r="AJ1400" s="89" t="s">
        <v>7806</v>
      </c>
      <c r="AK1400" s="89" t="s">
        <v>7807</v>
      </c>
      <c r="AL1400" s="91">
        <v>41148</v>
      </c>
      <c r="AM1400" s="91"/>
      <c r="AN1400" s="91"/>
      <c r="AO1400" s="91"/>
      <c r="AP1400" s="73" t="e">
        <f>MID(VLOOKUP(K1400,#REF!,2,FALSE),1,2)</f>
        <v>#REF!</v>
      </c>
      <c r="AQ1400" s="89">
        <f>DATE(2012,7,19)</f>
        <v>41109</v>
      </c>
      <c r="AR1400" s="82">
        <f t="shared" si="90"/>
        <v>19</v>
      </c>
      <c r="AS1400" s="83">
        <f t="shared" si="91"/>
        <v>7</v>
      </c>
      <c r="AT1400" s="84">
        <f t="shared" si="92"/>
        <v>2012</v>
      </c>
      <c r="AU1400" s="86"/>
      <c r="AV1400" s="86"/>
      <c r="AW1400" s="87"/>
      <c r="AX1400" s="86"/>
      <c r="AY1400" s="83"/>
      <c r="AZ1400" s="84"/>
      <c r="BA1400" s="86"/>
      <c r="BB1400" s="86"/>
    </row>
    <row r="1401" spans="1:54" ht="36.75" customHeight="1">
      <c r="A1401" s="30"/>
      <c r="B1401" s="30" t="s">
        <v>55</v>
      </c>
      <c r="C1401" s="69" t="str">
        <f t="shared" si="89"/>
        <v>Closed</v>
      </c>
      <c r="D1401" s="27" t="s">
        <v>7808</v>
      </c>
      <c r="E1401" s="29" t="s">
        <v>7809</v>
      </c>
      <c r="F1401" s="30" t="s">
        <v>624</v>
      </c>
      <c r="G1401" s="89">
        <f>DATE(2012,7,19)</f>
        <v>41109</v>
      </c>
      <c r="H1401" s="90">
        <v>1.4006944444444445</v>
      </c>
      <c r="I1401" s="30" t="s">
        <v>278</v>
      </c>
      <c r="J1401" s="89" t="s">
        <v>7810</v>
      </c>
      <c r="K1401" s="30" t="s">
        <v>626</v>
      </c>
      <c r="L1401" s="30" t="s">
        <v>7811</v>
      </c>
      <c r="M1401" s="30" t="s">
        <v>63</v>
      </c>
      <c r="N1401" s="30" t="s">
        <v>89</v>
      </c>
      <c r="O1401" s="30" t="s">
        <v>77</v>
      </c>
      <c r="P1401" s="89" t="s">
        <v>91</v>
      </c>
      <c r="Q1401" s="89" t="s">
        <v>749</v>
      </c>
      <c r="R1401" s="89" t="s">
        <v>629</v>
      </c>
      <c r="S1401" s="30">
        <v>0</v>
      </c>
      <c r="T1401" s="233">
        <v>1</v>
      </c>
      <c r="U1401" s="30">
        <v>0</v>
      </c>
      <c r="V1401" s="233">
        <v>0</v>
      </c>
      <c r="W1401" s="30">
        <v>0</v>
      </c>
      <c r="X1401" s="30">
        <v>1</v>
      </c>
      <c r="Y1401" s="30">
        <v>0</v>
      </c>
      <c r="Z1401" s="233">
        <v>0</v>
      </c>
      <c r="AA1401" s="30">
        <v>0</v>
      </c>
      <c r="AB1401" s="30">
        <v>0</v>
      </c>
      <c r="AC1401" s="30">
        <v>0</v>
      </c>
      <c r="AD1401" s="30">
        <v>0</v>
      </c>
      <c r="AE1401" s="89" t="s">
        <v>92</v>
      </c>
      <c r="AF1401" s="89"/>
      <c r="AG1401" s="89" t="s">
        <v>82</v>
      </c>
      <c r="AH1401" s="72">
        <v>41113</v>
      </c>
      <c r="AI1401" s="30">
        <v>1</v>
      </c>
      <c r="AJ1401" s="89" t="s">
        <v>7812</v>
      </c>
      <c r="AK1401" s="89" t="s">
        <v>68</v>
      </c>
      <c r="AL1401" s="91">
        <v>41191</v>
      </c>
      <c r="AM1401" s="91"/>
      <c r="AN1401" s="91"/>
      <c r="AO1401" s="91"/>
      <c r="AP1401" s="73" t="e">
        <f>MID(VLOOKUP(K1401,#REF!,2,FALSE),1,2)</f>
        <v>#REF!</v>
      </c>
      <c r="AQ1401" s="89">
        <f>DATE(2012,7,19)</f>
        <v>41109</v>
      </c>
      <c r="AR1401" s="82">
        <f t="shared" si="90"/>
        <v>19</v>
      </c>
      <c r="AS1401" s="83">
        <f t="shared" si="91"/>
        <v>7</v>
      </c>
      <c r="AT1401" s="84">
        <f t="shared" si="92"/>
        <v>2012</v>
      </c>
      <c r="AU1401" s="86"/>
      <c r="AV1401" s="86"/>
      <c r="AW1401" s="87"/>
      <c r="AX1401" s="86"/>
      <c r="AY1401" s="83"/>
      <c r="AZ1401" s="84"/>
      <c r="BA1401" s="86"/>
      <c r="BB1401" s="86"/>
    </row>
    <row r="1402" spans="1:54" ht="36.75" customHeight="1">
      <c r="A1402" s="30"/>
      <c r="B1402" s="30" t="s">
        <v>55</v>
      </c>
      <c r="C1402" s="69" t="str">
        <f t="shared" si="89"/>
        <v>Closed</v>
      </c>
      <c r="D1402" s="27" t="s">
        <v>7813</v>
      </c>
      <c r="E1402" s="29" t="s">
        <v>7814</v>
      </c>
      <c r="F1402" s="30" t="s">
        <v>835</v>
      </c>
      <c r="G1402" s="89">
        <f>DATE(2012,7,20)</f>
        <v>41110</v>
      </c>
      <c r="H1402" s="90">
        <v>1.3145833333333332</v>
      </c>
      <c r="I1402" s="30" t="s">
        <v>104</v>
      </c>
      <c r="J1402" s="89" t="s">
        <v>7815</v>
      </c>
      <c r="K1402" s="30" t="s">
        <v>837</v>
      </c>
      <c r="L1402" s="30" t="s">
        <v>7816</v>
      </c>
      <c r="M1402" s="30" t="s">
        <v>63</v>
      </c>
      <c r="N1402" s="30" t="s">
        <v>99</v>
      </c>
      <c r="O1402" s="30" t="s">
        <v>64</v>
      </c>
      <c r="P1402" s="89" t="s">
        <v>165</v>
      </c>
      <c r="Q1402" s="89" t="s">
        <v>2162</v>
      </c>
      <c r="R1402" s="89" t="s">
        <v>840</v>
      </c>
      <c r="S1402" s="30">
        <v>0</v>
      </c>
      <c r="T1402" s="233">
        <v>0</v>
      </c>
      <c r="U1402" s="30">
        <v>0</v>
      </c>
      <c r="V1402" s="233">
        <v>0</v>
      </c>
      <c r="W1402" s="30">
        <v>0</v>
      </c>
      <c r="X1402" s="30">
        <v>0</v>
      </c>
      <c r="Y1402" s="30">
        <v>0</v>
      </c>
      <c r="Z1402" s="233">
        <v>0</v>
      </c>
      <c r="AA1402" s="30">
        <v>0</v>
      </c>
      <c r="AB1402" s="30">
        <v>0</v>
      </c>
      <c r="AC1402" s="30">
        <v>0</v>
      </c>
      <c r="AD1402" s="30">
        <v>0</v>
      </c>
      <c r="AE1402" s="89" t="s">
        <v>92</v>
      </c>
      <c r="AF1402" s="89"/>
      <c r="AG1402" s="89" t="s">
        <v>352</v>
      </c>
      <c r="AH1402" s="72">
        <v>41110</v>
      </c>
      <c r="AI1402" s="30">
        <v>3</v>
      </c>
      <c r="AJ1402" s="89" t="s">
        <v>7817</v>
      </c>
      <c r="AK1402" s="89" t="s">
        <v>1233</v>
      </c>
      <c r="AL1402" s="91">
        <v>41117</v>
      </c>
      <c r="AM1402" s="91"/>
      <c r="AN1402" s="91"/>
      <c r="AO1402" s="91"/>
      <c r="AP1402" s="73" t="e">
        <f>MID(VLOOKUP(K1402,#REF!,2,FALSE),1,2)</f>
        <v>#REF!</v>
      </c>
      <c r="AQ1402" s="89">
        <f>DATE(2012,7,20)</f>
        <v>41110</v>
      </c>
      <c r="AR1402" s="82">
        <f t="shared" si="90"/>
        <v>20</v>
      </c>
      <c r="AS1402" s="83">
        <f t="shared" si="91"/>
        <v>7</v>
      </c>
      <c r="AT1402" s="84">
        <f t="shared" si="92"/>
        <v>2012</v>
      </c>
      <c r="AU1402" s="86"/>
      <c r="AV1402" s="86"/>
      <c r="AW1402" s="87"/>
      <c r="AX1402" s="86"/>
      <c r="AY1402" s="83"/>
      <c r="AZ1402" s="84"/>
      <c r="BA1402" s="86"/>
      <c r="BB1402" s="86"/>
    </row>
    <row r="1403" spans="1:54" ht="36.75" customHeight="1">
      <c r="A1403" s="30"/>
      <c r="B1403" s="30" t="s">
        <v>55</v>
      </c>
      <c r="C1403" s="69" t="str">
        <f t="shared" si="89"/>
        <v>Closed</v>
      </c>
      <c r="D1403" s="27" t="s">
        <v>7818</v>
      </c>
      <c r="E1403" s="29" t="s">
        <v>7819</v>
      </c>
      <c r="F1403" s="30" t="s">
        <v>423</v>
      </c>
      <c r="G1403" s="89">
        <f>DATE(2012,7,23)</f>
        <v>41113</v>
      </c>
      <c r="H1403" s="90">
        <v>1.3819444444444444</v>
      </c>
      <c r="I1403" s="30" t="s">
        <v>156</v>
      </c>
      <c r="J1403" s="89" t="s">
        <v>7820</v>
      </c>
      <c r="K1403" s="30" t="s">
        <v>425</v>
      </c>
      <c r="L1403" s="30" t="s">
        <v>7821</v>
      </c>
      <c r="M1403" s="30" t="s">
        <v>63</v>
      </c>
      <c r="N1403" s="30" t="s">
        <v>99</v>
      </c>
      <c r="O1403" s="30" t="s">
        <v>64</v>
      </c>
      <c r="P1403" s="89" t="s">
        <v>78</v>
      </c>
      <c r="Q1403" s="89" t="s">
        <v>2582</v>
      </c>
      <c r="R1403" s="89" t="s">
        <v>3103</v>
      </c>
      <c r="S1403" s="30">
        <v>0</v>
      </c>
      <c r="T1403" s="233">
        <v>0</v>
      </c>
      <c r="U1403" s="30">
        <v>0</v>
      </c>
      <c r="V1403" s="233">
        <v>0</v>
      </c>
      <c r="W1403" s="30">
        <v>0</v>
      </c>
      <c r="X1403" s="30">
        <v>0</v>
      </c>
      <c r="Y1403" s="30">
        <v>0</v>
      </c>
      <c r="Z1403" s="233">
        <v>0</v>
      </c>
      <c r="AA1403" s="30">
        <v>0</v>
      </c>
      <c r="AB1403" s="30">
        <v>0</v>
      </c>
      <c r="AC1403" s="30">
        <v>0</v>
      </c>
      <c r="AD1403" s="30">
        <v>0</v>
      </c>
      <c r="AE1403" s="89" t="s">
        <v>92</v>
      </c>
      <c r="AF1403" s="89"/>
      <c r="AG1403" s="89" t="s">
        <v>1507</v>
      </c>
      <c r="AH1403" s="72">
        <v>41038</v>
      </c>
      <c r="AI1403" s="30">
        <v>2</v>
      </c>
      <c r="AJ1403" s="89" t="s">
        <v>7822</v>
      </c>
      <c r="AK1403" s="89" t="s">
        <v>7823</v>
      </c>
      <c r="AL1403" s="91">
        <v>41162</v>
      </c>
      <c r="AM1403" s="91"/>
      <c r="AN1403" s="91"/>
      <c r="AO1403" s="91"/>
      <c r="AP1403" s="73" t="e">
        <f>MID(VLOOKUP(K1403,#REF!,2,FALSE),1,2)</f>
        <v>#REF!</v>
      </c>
      <c r="AQ1403" s="89">
        <f>DATE(2012,7,23)</f>
        <v>41113</v>
      </c>
      <c r="AR1403" s="82">
        <f t="shared" si="90"/>
        <v>23</v>
      </c>
      <c r="AS1403" s="83">
        <f t="shared" si="91"/>
        <v>7</v>
      </c>
      <c r="AT1403" s="84">
        <f t="shared" si="92"/>
        <v>2012</v>
      </c>
      <c r="AU1403" s="86"/>
      <c r="AV1403" s="86"/>
      <c r="AW1403" s="87"/>
      <c r="AX1403" s="86"/>
      <c r="AY1403" s="83"/>
      <c r="AZ1403" s="84"/>
      <c r="BA1403" s="86"/>
      <c r="BB1403" s="86"/>
    </row>
    <row r="1404" spans="1:54" ht="36.75" customHeight="1">
      <c r="A1404" s="30"/>
      <c r="B1404" s="30" t="s">
        <v>55</v>
      </c>
      <c r="C1404" s="69" t="str">
        <f t="shared" si="89"/>
        <v>Closed</v>
      </c>
      <c r="D1404" s="27" t="s">
        <v>7824</v>
      </c>
      <c r="E1404" s="29" t="s">
        <v>7825</v>
      </c>
      <c r="F1404" s="30" t="s">
        <v>582</v>
      </c>
      <c r="G1404" s="89">
        <f>DATE(2012,7,24)</f>
        <v>41114</v>
      </c>
      <c r="H1404" s="90">
        <v>1.4847222222222223</v>
      </c>
      <c r="I1404" s="30" t="s">
        <v>73</v>
      </c>
      <c r="J1404" s="89" t="s">
        <v>7826</v>
      </c>
      <c r="K1404" s="30" t="s">
        <v>584</v>
      </c>
      <c r="L1404" s="30" t="s">
        <v>7827</v>
      </c>
      <c r="M1404" s="30" t="s">
        <v>63</v>
      </c>
      <c r="N1404" s="30" t="s">
        <v>89</v>
      </c>
      <c r="O1404" s="30" t="s">
        <v>77</v>
      </c>
      <c r="P1404" s="89" t="s">
        <v>65</v>
      </c>
      <c r="Q1404" s="89" t="s">
        <v>2021</v>
      </c>
      <c r="R1404" s="89" t="s">
        <v>587</v>
      </c>
      <c r="S1404" s="30">
        <v>0</v>
      </c>
      <c r="T1404" s="233">
        <v>0</v>
      </c>
      <c r="U1404" s="30">
        <v>0</v>
      </c>
      <c r="V1404" s="233">
        <v>0</v>
      </c>
      <c r="W1404" s="30">
        <v>0</v>
      </c>
      <c r="X1404" s="30">
        <v>0</v>
      </c>
      <c r="Y1404" s="30">
        <v>0</v>
      </c>
      <c r="Z1404" s="233">
        <v>0</v>
      </c>
      <c r="AA1404" s="30">
        <v>0</v>
      </c>
      <c r="AB1404" s="30">
        <v>0</v>
      </c>
      <c r="AC1404" s="30">
        <v>0</v>
      </c>
      <c r="AD1404" s="30">
        <v>0</v>
      </c>
      <c r="AE1404" s="89" t="s">
        <v>394</v>
      </c>
      <c r="AF1404" s="89"/>
      <c r="AG1404" s="89" t="s">
        <v>133</v>
      </c>
      <c r="AH1404" s="72">
        <v>41117</v>
      </c>
      <c r="AI1404" s="30">
        <v>2</v>
      </c>
      <c r="AJ1404" s="89" t="s">
        <v>7828</v>
      </c>
      <c r="AK1404" s="89" t="s">
        <v>1233</v>
      </c>
      <c r="AL1404" s="91">
        <v>41145</v>
      </c>
      <c r="AM1404" s="91"/>
      <c r="AN1404" s="91"/>
      <c r="AO1404" s="91"/>
      <c r="AP1404" s="73" t="e">
        <f>MID(VLOOKUP(K1404,#REF!,2,FALSE),1,2)</f>
        <v>#REF!</v>
      </c>
      <c r="AQ1404" s="89">
        <f>DATE(2012,7,24)</f>
        <v>41114</v>
      </c>
      <c r="AR1404" s="82">
        <f t="shared" si="90"/>
        <v>24</v>
      </c>
      <c r="AS1404" s="83">
        <f t="shared" si="91"/>
        <v>7</v>
      </c>
      <c r="AT1404" s="84">
        <f t="shared" si="92"/>
        <v>2012</v>
      </c>
      <c r="AU1404" s="86"/>
      <c r="AV1404" s="86"/>
      <c r="AW1404" s="87"/>
      <c r="AX1404" s="86"/>
      <c r="AY1404" s="83"/>
      <c r="AZ1404" s="84"/>
      <c r="BA1404" s="86"/>
      <c r="BB1404" s="86"/>
    </row>
    <row r="1405" spans="1:54" ht="36.75" customHeight="1">
      <c r="A1405" s="30"/>
      <c r="B1405" s="30" t="s">
        <v>55</v>
      </c>
      <c r="C1405" s="69" t="str">
        <f t="shared" si="89"/>
        <v>Closed</v>
      </c>
      <c r="D1405" s="27" t="s">
        <v>7829</v>
      </c>
      <c r="E1405" s="29" t="s">
        <v>7830</v>
      </c>
      <c r="F1405" s="30" t="s">
        <v>582</v>
      </c>
      <c r="G1405" s="89">
        <f>DATE(2012,7,25)</f>
        <v>41115</v>
      </c>
      <c r="H1405" s="90">
        <v>1.3854166666666667</v>
      </c>
      <c r="I1405" s="30" t="s">
        <v>73</v>
      </c>
      <c r="J1405" s="89" t="s">
        <v>7831</v>
      </c>
      <c r="K1405" s="30" t="s">
        <v>584</v>
      </c>
      <c r="L1405" s="30" t="s">
        <v>7832</v>
      </c>
      <c r="M1405" s="30" t="s">
        <v>63</v>
      </c>
      <c r="N1405" s="30" t="s">
        <v>89</v>
      </c>
      <c r="O1405" s="30" t="s">
        <v>77</v>
      </c>
      <c r="P1405" s="89" t="s">
        <v>78</v>
      </c>
      <c r="Q1405" s="89" t="s">
        <v>7430</v>
      </c>
      <c r="R1405" s="89" t="s">
        <v>587</v>
      </c>
      <c r="S1405" s="30">
        <v>0</v>
      </c>
      <c r="T1405" s="233">
        <v>0</v>
      </c>
      <c r="U1405" s="30">
        <v>0</v>
      </c>
      <c r="V1405" s="233">
        <v>0</v>
      </c>
      <c r="W1405" s="30">
        <v>0</v>
      </c>
      <c r="X1405" s="30">
        <v>0</v>
      </c>
      <c r="Y1405" s="30">
        <v>0</v>
      </c>
      <c r="Z1405" s="233">
        <v>0</v>
      </c>
      <c r="AA1405" s="30">
        <v>0</v>
      </c>
      <c r="AB1405" s="30">
        <v>0</v>
      </c>
      <c r="AC1405" s="30">
        <v>0</v>
      </c>
      <c r="AD1405" s="30">
        <v>0</v>
      </c>
      <c r="AE1405" s="89" t="s">
        <v>394</v>
      </c>
      <c r="AF1405" s="89"/>
      <c r="AG1405" s="89" t="s">
        <v>133</v>
      </c>
      <c r="AH1405" s="72">
        <v>41117</v>
      </c>
      <c r="AI1405" s="30">
        <v>0</v>
      </c>
      <c r="AJ1405" s="89" t="s">
        <v>7833</v>
      </c>
      <c r="AK1405" s="89" t="s">
        <v>1233</v>
      </c>
      <c r="AL1405" s="91">
        <v>41145</v>
      </c>
      <c r="AM1405" s="91"/>
      <c r="AN1405" s="91"/>
      <c r="AO1405" s="91"/>
      <c r="AP1405" s="73" t="e">
        <f>MID(VLOOKUP(K1405,#REF!,2,FALSE),1,2)</f>
        <v>#REF!</v>
      </c>
      <c r="AQ1405" s="89">
        <f>DATE(2012,7,25)</f>
        <v>41115</v>
      </c>
      <c r="AR1405" s="82">
        <f t="shared" si="90"/>
        <v>25</v>
      </c>
      <c r="AS1405" s="83">
        <f t="shared" si="91"/>
        <v>7</v>
      </c>
      <c r="AT1405" s="84">
        <f t="shared" si="92"/>
        <v>2012</v>
      </c>
      <c r="AU1405" s="86"/>
      <c r="AV1405" s="86"/>
      <c r="AW1405" s="87"/>
      <c r="AX1405" s="86"/>
      <c r="AY1405" s="83"/>
      <c r="AZ1405" s="84"/>
      <c r="BA1405" s="86"/>
      <c r="BB1405" s="86"/>
    </row>
    <row r="1406" spans="1:54" ht="36.75" customHeight="1">
      <c r="A1406" s="30"/>
      <c r="B1406" s="30" t="s">
        <v>55</v>
      </c>
      <c r="C1406" s="69" t="str">
        <f t="shared" si="89"/>
        <v>Closed</v>
      </c>
      <c r="D1406" s="27" t="s">
        <v>7834</v>
      </c>
      <c r="E1406" s="29" t="s">
        <v>7835</v>
      </c>
      <c r="F1406" s="30" t="s">
        <v>582</v>
      </c>
      <c r="G1406" s="89">
        <f>DATE(2012,7,26)</f>
        <v>41116</v>
      </c>
      <c r="H1406" s="90">
        <v>1.8458333333333332</v>
      </c>
      <c r="I1406" s="30" t="s">
        <v>198</v>
      </c>
      <c r="J1406" s="89" t="s">
        <v>7836</v>
      </c>
      <c r="K1406" s="30" t="s">
        <v>584</v>
      </c>
      <c r="L1406" s="30" t="s">
        <v>7837</v>
      </c>
      <c r="M1406" s="30" t="s">
        <v>63</v>
      </c>
      <c r="N1406" s="30" t="s">
        <v>142</v>
      </c>
      <c r="O1406" s="30" t="s">
        <v>77</v>
      </c>
      <c r="P1406" s="89" t="s">
        <v>78</v>
      </c>
      <c r="Q1406" s="89" t="s">
        <v>7838</v>
      </c>
      <c r="R1406" s="89" t="s">
        <v>587</v>
      </c>
      <c r="S1406" s="30">
        <v>0</v>
      </c>
      <c r="T1406" s="233">
        <v>1</v>
      </c>
      <c r="U1406" s="30">
        <v>0</v>
      </c>
      <c r="V1406" s="233">
        <v>0</v>
      </c>
      <c r="W1406" s="30">
        <v>0</v>
      </c>
      <c r="X1406" s="30">
        <v>1</v>
      </c>
      <c r="Y1406" s="30">
        <v>0</v>
      </c>
      <c r="Z1406" s="233">
        <v>1</v>
      </c>
      <c r="AA1406" s="30">
        <v>0</v>
      </c>
      <c r="AB1406" s="30">
        <v>0</v>
      </c>
      <c r="AC1406" s="30">
        <v>0</v>
      </c>
      <c r="AD1406" s="30">
        <v>1</v>
      </c>
      <c r="AE1406" s="89" t="s">
        <v>145</v>
      </c>
      <c r="AF1406" s="89"/>
      <c r="AG1406" s="89" t="s">
        <v>82</v>
      </c>
      <c r="AH1406" s="72">
        <v>41117</v>
      </c>
      <c r="AI1406" s="30">
        <v>0</v>
      </c>
      <c r="AJ1406" s="89" t="s">
        <v>7839</v>
      </c>
      <c r="AK1406" s="89" t="s">
        <v>1233</v>
      </c>
      <c r="AL1406" s="91">
        <v>41145</v>
      </c>
      <c r="AM1406" s="91"/>
      <c r="AN1406" s="91"/>
      <c r="AO1406" s="91"/>
      <c r="AP1406" s="73" t="e">
        <f>MID(VLOOKUP(K1406,#REF!,2,FALSE),1,2)</f>
        <v>#REF!</v>
      </c>
      <c r="AQ1406" s="89">
        <f>DATE(2012,7,26)</f>
        <v>41116</v>
      </c>
      <c r="AR1406" s="82">
        <f t="shared" si="90"/>
        <v>26</v>
      </c>
      <c r="AS1406" s="83">
        <f t="shared" si="91"/>
        <v>7</v>
      </c>
      <c r="AT1406" s="84">
        <f t="shared" si="92"/>
        <v>2012</v>
      </c>
      <c r="AU1406" s="86"/>
      <c r="AV1406" s="86"/>
      <c r="AW1406" s="87"/>
      <c r="AX1406" s="86"/>
      <c r="AY1406" s="83"/>
      <c r="AZ1406" s="84"/>
      <c r="BA1406" s="86"/>
      <c r="BB1406" s="86"/>
    </row>
    <row r="1407" spans="1:54" ht="36.75" customHeight="1">
      <c r="A1407" s="30"/>
      <c r="B1407" s="30" t="s">
        <v>55</v>
      </c>
      <c r="C1407" s="69" t="str">
        <f t="shared" si="89"/>
        <v>Closed</v>
      </c>
      <c r="D1407" s="27" t="s">
        <v>7840</v>
      </c>
      <c r="E1407" s="29" t="s">
        <v>7841</v>
      </c>
      <c r="F1407" s="30" t="s">
        <v>638</v>
      </c>
      <c r="G1407" s="89">
        <f>DATE(2012,7,26)</f>
        <v>41116</v>
      </c>
      <c r="H1407" s="90">
        <v>1.59375</v>
      </c>
      <c r="I1407" s="30" t="s">
        <v>104</v>
      </c>
      <c r="J1407" s="89" t="s">
        <v>7842</v>
      </c>
      <c r="K1407" s="30" t="s">
        <v>640</v>
      </c>
      <c r="L1407" s="30" t="s">
        <v>7843</v>
      </c>
      <c r="M1407" s="30" t="s">
        <v>63</v>
      </c>
      <c r="N1407" s="30" t="s">
        <v>142</v>
      </c>
      <c r="O1407" s="30" t="s">
        <v>77</v>
      </c>
      <c r="P1407" s="89" t="s">
        <v>65</v>
      </c>
      <c r="Q1407" s="89" t="s">
        <v>642</v>
      </c>
      <c r="R1407" s="89" t="s">
        <v>643</v>
      </c>
      <c r="S1407" s="30">
        <v>0</v>
      </c>
      <c r="T1407" s="233">
        <v>0</v>
      </c>
      <c r="U1407" s="30">
        <v>0</v>
      </c>
      <c r="V1407" s="233">
        <v>0</v>
      </c>
      <c r="W1407" s="30">
        <v>0</v>
      </c>
      <c r="X1407" s="30">
        <v>0</v>
      </c>
      <c r="Y1407" s="30">
        <v>0</v>
      </c>
      <c r="Z1407" s="233">
        <v>0</v>
      </c>
      <c r="AA1407" s="30">
        <v>0</v>
      </c>
      <c r="AB1407" s="30">
        <v>0</v>
      </c>
      <c r="AC1407" s="30">
        <v>0</v>
      </c>
      <c r="AD1407" s="30">
        <v>0</v>
      </c>
      <c r="AE1407" s="89" t="s">
        <v>92</v>
      </c>
      <c r="AF1407" s="89"/>
      <c r="AG1407" s="89" t="s">
        <v>352</v>
      </c>
      <c r="AH1407" s="72">
        <v>41177</v>
      </c>
      <c r="AI1407" s="30">
        <v>0</v>
      </c>
      <c r="AJ1407" s="89" t="s">
        <v>7844</v>
      </c>
      <c r="AK1407" s="89" t="s">
        <v>68</v>
      </c>
      <c r="AL1407" s="91">
        <v>41185</v>
      </c>
      <c r="AM1407" s="91"/>
      <c r="AN1407" s="91"/>
      <c r="AO1407" s="91"/>
      <c r="AP1407" s="73" t="e">
        <f>MID(VLOOKUP(K1407,#REF!,2,FALSE),1,2)</f>
        <v>#REF!</v>
      </c>
      <c r="AQ1407" s="89">
        <f>DATE(2012,7,26)</f>
        <v>41116</v>
      </c>
      <c r="AR1407" s="82">
        <f t="shared" si="90"/>
        <v>26</v>
      </c>
      <c r="AS1407" s="83">
        <f t="shared" si="91"/>
        <v>7</v>
      </c>
      <c r="AT1407" s="84">
        <f t="shared" si="92"/>
        <v>2012</v>
      </c>
      <c r="AU1407" s="86"/>
      <c r="AV1407" s="86"/>
      <c r="AW1407" s="87"/>
      <c r="AX1407" s="86"/>
      <c r="AY1407" s="83"/>
      <c r="AZ1407" s="84"/>
      <c r="BA1407" s="86"/>
      <c r="BB1407" s="86"/>
    </row>
    <row r="1408" spans="1:54" ht="36.75" customHeight="1">
      <c r="A1408" s="30"/>
      <c r="B1408" s="30" t="s">
        <v>55</v>
      </c>
      <c r="C1408" s="69" t="str">
        <f t="shared" si="89"/>
        <v>Closed</v>
      </c>
      <c r="D1408" s="27" t="s">
        <v>7845</v>
      </c>
      <c r="E1408" s="29" t="s">
        <v>7846</v>
      </c>
      <c r="F1408" s="30" t="s">
        <v>423</v>
      </c>
      <c r="G1408" s="89">
        <f>DATE(2012,7,28)</f>
        <v>41118</v>
      </c>
      <c r="H1408" s="90">
        <v>1.2319444444444445</v>
      </c>
      <c r="I1408" s="30" t="s">
        <v>116</v>
      </c>
      <c r="J1408" s="89" t="s">
        <v>7847</v>
      </c>
      <c r="K1408" s="30" t="s">
        <v>425</v>
      </c>
      <c r="L1408" s="30" t="s">
        <v>7848</v>
      </c>
      <c r="M1408" s="30" t="s">
        <v>63</v>
      </c>
      <c r="N1408" s="30" t="s">
        <v>99</v>
      </c>
      <c r="O1408" s="30" t="s">
        <v>6875</v>
      </c>
      <c r="P1408" s="89" t="s">
        <v>78</v>
      </c>
      <c r="Q1408" s="89" t="s">
        <v>2582</v>
      </c>
      <c r="R1408" s="89" t="s">
        <v>7849</v>
      </c>
      <c r="S1408" s="30">
        <v>0</v>
      </c>
      <c r="T1408" s="233">
        <v>0</v>
      </c>
      <c r="U1408" s="30">
        <v>1</v>
      </c>
      <c r="V1408" s="233">
        <v>0</v>
      </c>
      <c r="W1408" s="30">
        <v>0</v>
      </c>
      <c r="X1408" s="30">
        <v>1</v>
      </c>
      <c r="Y1408" s="30">
        <v>0</v>
      </c>
      <c r="Z1408" s="233">
        <v>0</v>
      </c>
      <c r="AA1408" s="30">
        <v>0</v>
      </c>
      <c r="AB1408" s="30">
        <v>0</v>
      </c>
      <c r="AC1408" s="30">
        <v>0</v>
      </c>
      <c r="AD1408" s="30">
        <v>0</v>
      </c>
      <c r="AE1408" s="89" t="s">
        <v>92</v>
      </c>
      <c r="AF1408" s="89"/>
      <c r="AG1408" s="89" t="s">
        <v>133</v>
      </c>
      <c r="AH1408" s="72">
        <v>41141</v>
      </c>
      <c r="AI1408" s="30">
        <v>3</v>
      </c>
      <c r="AJ1408" s="89" t="s">
        <v>7850</v>
      </c>
      <c r="AK1408" s="89" t="s">
        <v>7851</v>
      </c>
      <c r="AL1408" s="91">
        <v>41144</v>
      </c>
      <c r="AM1408" s="91"/>
      <c r="AN1408" s="91"/>
      <c r="AO1408" s="91"/>
      <c r="AP1408" s="73" t="e">
        <f>MID(VLOOKUP(K1408,#REF!,2,FALSE),1,2)</f>
        <v>#REF!</v>
      </c>
      <c r="AQ1408" s="89">
        <f>DATE(2012,7,28)</f>
        <v>41118</v>
      </c>
      <c r="AR1408" s="82">
        <f t="shared" si="90"/>
        <v>28</v>
      </c>
      <c r="AS1408" s="83">
        <f t="shared" si="91"/>
        <v>7</v>
      </c>
      <c r="AT1408" s="84">
        <f t="shared" si="92"/>
        <v>2012</v>
      </c>
      <c r="AU1408" s="86"/>
      <c r="AV1408" s="86"/>
      <c r="AW1408" s="87"/>
      <c r="AX1408" s="86"/>
      <c r="AY1408" s="83"/>
      <c r="AZ1408" s="84"/>
      <c r="BA1408" s="86"/>
      <c r="BB1408" s="86"/>
    </row>
    <row r="1409" spans="1:54" ht="36.75" customHeight="1">
      <c r="A1409" s="30"/>
      <c r="B1409" s="30" t="s">
        <v>55</v>
      </c>
      <c r="C1409" s="69" t="str">
        <f t="shared" si="89"/>
        <v>Closed</v>
      </c>
      <c r="D1409" s="27" t="s">
        <v>7852</v>
      </c>
      <c r="E1409" s="29" t="s">
        <v>7853</v>
      </c>
      <c r="F1409" s="30" t="s">
        <v>197</v>
      </c>
      <c r="G1409" s="89">
        <f>DATE(2012,7,31)</f>
        <v>41121</v>
      </c>
      <c r="H1409" s="90">
        <v>1.7888888888888888</v>
      </c>
      <c r="I1409" s="30" t="s">
        <v>116</v>
      </c>
      <c r="J1409" s="89" t="s">
        <v>7854</v>
      </c>
      <c r="K1409" s="30" t="s">
        <v>200</v>
      </c>
      <c r="L1409" s="30" t="s">
        <v>7855</v>
      </c>
      <c r="M1409" s="30" t="s">
        <v>63</v>
      </c>
      <c r="N1409" s="30" t="s">
        <v>99</v>
      </c>
      <c r="O1409" s="30" t="s">
        <v>64</v>
      </c>
      <c r="P1409" s="89" t="s">
        <v>165</v>
      </c>
      <c r="Q1409" s="89" t="s">
        <v>202</v>
      </c>
      <c r="R1409" s="89" t="s">
        <v>203</v>
      </c>
      <c r="S1409" s="30">
        <v>0</v>
      </c>
      <c r="T1409" s="233">
        <v>0</v>
      </c>
      <c r="U1409" s="30">
        <v>1</v>
      </c>
      <c r="V1409" s="233">
        <v>0</v>
      </c>
      <c r="W1409" s="30">
        <v>0</v>
      </c>
      <c r="X1409" s="30">
        <v>1</v>
      </c>
      <c r="Y1409" s="30">
        <v>0</v>
      </c>
      <c r="Z1409" s="233">
        <v>0</v>
      </c>
      <c r="AA1409" s="30">
        <v>0</v>
      </c>
      <c r="AB1409" s="30">
        <v>0</v>
      </c>
      <c r="AC1409" s="30">
        <v>0</v>
      </c>
      <c r="AD1409" s="30">
        <v>0</v>
      </c>
      <c r="AE1409" s="89" t="s">
        <v>92</v>
      </c>
      <c r="AF1409" s="89"/>
      <c r="AG1409" s="89" t="s">
        <v>82</v>
      </c>
      <c r="AH1409" s="72">
        <v>41122</v>
      </c>
      <c r="AI1409" s="30">
        <v>3</v>
      </c>
      <c r="AJ1409" s="89" t="s">
        <v>7856</v>
      </c>
      <c r="AK1409" s="89" t="s">
        <v>1233</v>
      </c>
      <c r="AL1409" s="91">
        <v>41148</v>
      </c>
      <c r="AM1409" s="91"/>
      <c r="AN1409" s="91"/>
      <c r="AO1409" s="91"/>
      <c r="AP1409" s="73" t="e">
        <f>MID(VLOOKUP(K1409,#REF!,2,FALSE),1,2)</f>
        <v>#REF!</v>
      </c>
      <c r="AQ1409" s="89">
        <f>DATE(2012,7,31)</f>
        <v>41121</v>
      </c>
      <c r="AR1409" s="82">
        <f t="shared" si="90"/>
        <v>31</v>
      </c>
      <c r="AS1409" s="83">
        <f t="shared" si="91"/>
        <v>7</v>
      </c>
      <c r="AT1409" s="84">
        <f t="shared" si="92"/>
        <v>2012</v>
      </c>
      <c r="AU1409" s="86"/>
      <c r="AV1409" s="86"/>
      <c r="AW1409" s="87"/>
      <c r="AX1409" s="86"/>
      <c r="AY1409" s="83"/>
      <c r="AZ1409" s="84"/>
      <c r="BA1409" s="86"/>
      <c r="BB1409" s="86"/>
    </row>
    <row r="1410" spans="1:54" ht="36.75" customHeight="1">
      <c r="A1410" s="30"/>
      <c r="B1410" s="30" t="s">
        <v>55</v>
      </c>
      <c r="C1410" s="69" t="str">
        <f t="shared" ref="C1410:C1473" si="93">IF(B1410="Notification","Open",IF(B1410="Interim Statement","In progress","Closed"))</f>
        <v>Closed</v>
      </c>
      <c r="D1410" s="27" t="s">
        <v>7857</v>
      </c>
      <c r="E1410" s="29" t="s">
        <v>7858</v>
      </c>
      <c r="F1410" s="30" t="s">
        <v>1572</v>
      </c>
      <c r="G1410" s="89">
        <f>DATE(2012,8,2)</f>
        <v>41123</v>
      </c>
      <c r="H1410" s="90">
        <v>1.5486111111111112</v>
      </c>
      <c r="I1410" s="30" t="s">
        <v>125</v>
      </c>
      <c r="J1410" s="89" t="s">
        <v>7859</v>
      </c>
      <c r="K1410" s="30" t="s">
        <v>1574</v>
      </c>
      <c r="L1410" s="30" t="s">
        <v>7860</v>
      </c>
      <c r="M1410" s="30" t="s">
        <v>63</v>
      </c>
      <c r="N1410" s="30" t="s">
        <v>99</v>
      </c>
      <c r="O1410" s="30" t="s">
        <v>64</v>
      </c>
      <c r="P1410" s="89" t="s">
        <v>301</v>
      </c>
      <c r="Q1410" s="89" t="s">
        <v>6434</v>
      </c>
      <c r="R1410" s="89">
        <v>0</v>
      </c>
      <c r="S1410" s="30">
        <v>0</v>
      </c>
      <c r="T1410" s="233">
        <v>0</v>
      </c>
      <c r="U1410" s="30">
        <v>0</v>
      </c>
      <c r="V1410" s="233">
        <v>0</v>
      </c>
      <c r="W1410" s="30">
        <v>0</v>
      </c>
      <c r="X1410" s="30">
        <v>0</v>
      </c>
      <c r="Y1410" s="30">
        <v>0</v>
      </c>
      <c r="Z1410" s="233">
        <v>0</v>
      </c>
      <c r="AA1410" s="30">
        <v>0</v>
      </c>
      <c r="AB1410" s="30">
        <v>0</v>
      </c>
      <c r="AC1410" s="30">
        <v>0</v>
      </c>
      <c r="AD1410" s="30">
        <v>0</v>
      </c>
      <c r="AE1410" s="89" t="s">
        <v>92</v>
      </c>
      <c r="AF1410" s="89"/>
      <c r="AG1410" s="89" t="s">
        <v>133</v>
      </c>
      <c r="AH1410" s="72">
        <v>41124</v>
      </c>
      <c r="AI1410" s="30">
        <v>0</v>
      </c>
      <c r="AJ1410" s="89" t="s">
        <v>7861</v>
      </c>
      <c r="AK1410" s="89" t="s">
        <v>7862</v>
      </c>
      <c r="AL1410" s="91">
        <v>41135</v>
      </c>
      <c r="AM1410" s="91"/>
      <c r="AN1410" s="91"/>
      <c r="AO1410" s="91"/>
      <c r="AP1410" s="73" t="e">
        <f>MID(VLOOKUP(K1410,#REF!,2,FALSE),1,2)</f>
        <v>#REF!</v>
      </c>
      <c r="AQ1410" s="89">
        <f>DATE(2012,8,2)</f>
        <v>41123</v>
      </c>
      <c r="AR1410" s="82">
        <f t="shared" ref="AR1410:AR1473" si="94">DAY(AQ1410)</f>
        <v>2</v>
      </c>
      <c r="AS1410" s="83">
        <f t="shared" ref="AS1410:AS1473" si="95">MONTH(AQ1410)</f>
        <v>8</v>
      </c>
      <c r="AT1410" s="84">
        <f t="shared" ref="AT1410:AT1473" si="96">YEAR(AQ1410)</f>
        <v>2012</v>
      </c>
      <c r="AU1410" s="86"/>
      <c r="AV1410" s="86"/>
      <c r="AW1410" s="87"/>
      <c r="AX1410" s="86"/>
      <c r="AY1410" s="83"/>
      <c r="AZ1410" s="84"/>
      <c r="BA1410" s="86"/>
      <c r="BB1410" s="86"/>
    </row>
    <row r="1411" spans="1:54" ht="36.75" customHeight="1">
      <c r="A1411" s="30"/>
      <c r="B1411" s="30" t="s">
        <v>55</v>
      </c>
      <c r="C1411" s="69" t="str">
        <f t="shared" si="93"/>
        <v>Closed</v>
      </c>
      <c r="D1411" s="27" t="s">
        <v>7863</v>
      </c>
      <c r="E1411" s="29" t="s">
        <v>7864</v>
      </c>
      <c r="F1411" s="30" t="s">
        <v>233</v>
      </c>
      <c r="G1411" s="89">
        <f>DATE(2012,8,6)</f>
        <v>41127</v>
      </c>
      <c r="H1411" s="90">
        <v>1.3923611111111112</v>
      </c>
      <c r="I1411" s="30" t="s">
        <v>278</v>
      </c>
      <c r="J1411" s="89" t="s">
        <v>7865</v>
      </c>
      <c r="K1411" s="30" t="s">
        <v>235</v>
      </c>
      <c r="L1411" s="30" t="s">
        <v>7866</v>
      </c>
      <c r="M1411" s="30" t="s">
        <v>63</v>
      </c>
      <c r="N1411" s="30" t="s">
        <v>99</v>
      </c>
      <c r="O1411" s="30" t="s">
        <v>64</v>
      </c>
      <c r="P1411" s="89" t="s">
        <v>165</v>
      </c>
      <c r="Q1411" s="89" t="s">
        <v>2538</v>
      </c>
      <c r="R1411" s="89" t="s">
        <v>238</v>
      </c>
      <c r="S1411" s="30">
        <v>0</v>
      </c>
      <c r="T1411" s="233">
        <v>0</v>
      </c>
      <c r="U1411" s="30">
        <v>0</v>
      </c>
      <c r="V1411" s="233">
        <v>0</v>
      </c>
      <c r="W1411" s="30">
        <v>0</v>
      </c>
      <c r="X1411" s="30">
        <v>0</v>
      </c>
      <c r="Y1411" s="30">
        <v>0</v>
      </c>
      <c r="Z1411" s="233">
        <v>1</v>
      </c>
      <c r="AA1411" s="30">
        <v>0</v>
      </c>
      <c r="AB1411" s="30">
        <v>0</v>
      </c>
      <c r="AC1411" s="30">
        <v>0</v>
      </c>
      <c r="AD1411" s="30">
        <v>1</v>
      </c>
      <c r="AE1411" s="89" t="s">
        <v>92</v>
      </c>
      <c r="AF1411" s="89"/>
      <c r="AG1411" s="89" t="s">
        <v>133</v>
      </c>
      <c r="AH1411" s="72">
        <v>41135</v>
      </c>
      <c r="AI1411" s="30">
        <v>5</v>
      </c>
      <c r="AJ1411" s="89" t="s">
        <v>7867</v>
      </c>
      <c r="AK1411" s="89" t="s">
        <v>7868</v>
      </c>
      <c r="AL1411" s="91">
        <v>41138</v>
      </c>
      <c r="AM1411" s="91"/>
      <c r="AN1411" s="91"/>
      <c r="AO1411" s="91"/>
      <c r="AP1411" s="73" t="e">
        <f>MID(VLOOKUP(K1411,#REF!,2,FALSE),1,2)</f>
        <v>#REF!</v>
      </c>
      <c r="AQ1411" s="89">
        <f>DATE(2012,8,6)</f>
        <v>41127</v>
      </c>
      <c r="AR1411" s="82">
        <f t="shared" si="94"/>
        <v>6</v>
      </c>
      <c r="AS1411" s="83">
        <f t="shared" si="95"/>
        <v>8</v>
      </c>
      <c r="AT1411" s="84">
        <f t="shared" si="96"/>
        <v>2012</v>
      </c>
      <c r="AU1411" s="86"/>
      <c r="AV1411" s="86"/>
      <c r="AW1411" s="87"/>
      <c r="AX1411" s="86"/>
      <c r="AY1411" s="83"/>
      <c r="AZ1411" s="84"/>
      <c r="BA1411" s="86"/>
      <c r="BB1411" s="86"/>
    </row>
    <row r="1412" spans="1:54" ht="36.75" customHeight="1">
      <c r="A1412" s="30"/>
      <c r="B1412" s="30" t="s">
        <v>55</v>
      </c>
      <c r="C1412" s="69" t="str">
        <f t="shared" si="93"/>
        <v>Closed</v>
      </c>
      <c r="D1412" s="27" t="s">
        <v>7869</v>
      </c>
      <c r="E1412" s="29" t="s">
        <v>7870</v>
      </c>
      <c r="F1412" s="30" t="s">
        <v>835</v>
      </c>
      <c r="G1412" s="89">
        <f>DATE(2012,8,7)</f>
        <v>41128</v>
      </c>
      <c r="H1412" s="90">
        <v>1.3194444444444444</v>
      </c>
      <c r="I1412" s="30" t="s">
        <v>116</v>
      </c>
      <c r="J1412" s="89" t="s">
        <v>7871</v>
      </c>
      <c r="K1412" s="30" t="s">
        <v>837</v>
      </c>
      <c r="L1412" s="30" t="s">
        <v>7872</v>
      </c>
      <c r="M1412" s="30" t="s">
        <v>63</v>
      </c>
      <c r="N1412" s="30" t="s">
        <v>99</v>
      </c>
      <c r="O1412" s="30" t="s">
        <v>64</v>
      </c>
      <c r="P1412" s="89" t="s">
        <v>165</v>
      </c>
      <c r="Q1412" s="89" t="s">
        <v>2796</v>
      </c>
      <c r="R1412" s="89" t="s">
        <v>2797</v>
      </c>
      <c r="S1412" s="30">
        <v>0</v>
      </c>
      <c r="T1412" s="233">
        <v>0</v>
      </c>
      <c r="U1412" s="30">
        <v>0</v>
      </c>
      <c r="V1412" s="233">
        <v>0</v>
      </c>
      <c r="W1412" s="30">
        <v>0</v>
      </c>
      <c r="X1412" s="30">
        <v>0</v>
      </c>
      <c r="Y1412" s="30">
        <v>1</v>
      </c>
      <c r="Z1412" s="233">
        <v>0</v>
      </c>
      <c r="AA1412" s="30">
        <v>1</v>
      </c>
      <c r="AB1412" s="30">
        <v>0</v>
      </c>
      <c r="AC1412" s="30">
        <v>0</v>
      </c>
      <c r="AD1412" s="30">
        <v>2</v>
      </c>
      <c r="AE1412" s="89" t="s">
        <v>92</v>
      </c>
      <c r="AF1412" s="89"/>
      <c r="AG1412" s="89" t="s">
        <v>352</v>
      </c>
      <c r="AH1412" s="72">
        <v>41128</v>
      </c>
      <c r="AI1412" s="30">
        <v>1</v>
      </c>
      <c r="AJ1412" s="89" t="s">
        <v>7873</v>
      </c>
      <c r="AK1412" s="89" t="s">
        <v>7874</v>
      </c>
      <c r="AL1412" s="91">
        <v>41128</v>
      </c>
      <c r="AM1412" s="91"/>
      <c r="AN1412" s="91"/>
      <c r="AO1412" s="91"/>
      <c r="AP1412" s="73" t="e">
        <f>MID(VLOOKUP(K1412,#REF!,2,FALSE),1,2)</f>
        <v>#REF!</v>
      </c>
      <c r="AQ1412" s="89">
        <f>DATE(2012,8,7)</f>
        <v>41128</v>
      </c>
      <c r="AR1412" s="82">
        <f t="shared" si="94"/>
        <v>7</v>
      </c>
      <c r="AS1412" s="83">
        <f t="shared" si="95"/>
        <v>8</v>
      </c>
      <c r="AT1412" s="84">
        <f t="shared" si="96"/>
        <v>2012</v>
      </c>
      <c r="AU1412" s="86"/>
      <c r="AV1412" s="86"/>
      <c r="AW1412" s="87"/>
      <c r="AX1412" s="86"/>
      <c r="AY1412" s="83"/>
      <c r="AZ1412" s="84"/>
      <c r="BA1412" s="86"/>
      <c r="BB1412" s="86"/>
    </row>
    <row r="1413" spans="1:54" ht="36.75" customHeight="1">
      <c r="A1413" s="30"/>
      <c r="B1413" s="30" t="s">
        <v>55</v>
      </c>
      <c r="C1413" s="69" t="str">
        <f t="shared" si="93"/>
        <v>Closed</v>
      </c>
      <c r="D1413" s="27" t="s">
        <v>7875</v>
      </c>
      <c r="E1413" s="29" t="s">
        <v>7876</v>
      </c>
      <c r="F1413" s="30" t="s">
        <v>233</v>
      </c>
      <c r="G1413" s="89">
        <f>DATE(2012,8,10)</f>
        <v>41131</v>
      </c>
      <c r="H1413" s="90">
        <v>1.1979166666666667</v>
      </c>
      <c r="I1413" s="30" t="s">
        <v>198</v>
      </c>
      <c r="J1413" s="89" t="s">
        <v>7877</v>
      </c>
      <c r="K1413" s="30" t="s">
        <v>235</v>
      </c>
      <c r="L1413" s="30" t="s">
        <v>7878</v>
      </c>
      <c r="M1413" s="30" t="s">
        <v>63</v>
      </c>
      <c r="N1413" s="30" t="s">
        <v>142</v>
      </c>
      <c r="O1413" s="30" t="s">
        <v>64</v>
      </c>
      <c r="P1413" s="89" t="s">
        <v>301</v>
      </c>
      <c r="Q1413" s="89" t="s">
        <v>7879</v>
      </c>
      <c r="R1413" s="89" t="s">
        <v>238</v>
      </c>
      <c r="S1413" s="30">
        <v>0</v>
      </c>
      <c r="T1413" s="233">
        <v>0</v>
      </c>
      <c r="U1413" s="30">
        <v>0</v>
      </c>
      <c r="V1413" s="233">
        <v>0</v>
      </c>
      <c r="W1413" s="30">
        <v>0</v>
      </c>
      <c r="X1413" s="30">
        <v>0</v>
      </c>
      <c r="Y1413" s="30">
        <v>0</v>
      </c>
      <c r="Z1413" s="233">
        <v>0</v>
      </c>
      <c r="AA1413" s="30">
        <v>0</v>
      </c>
      <c r="AB1413" s="30">
        <v>0</v>
      </c>
      <c r="AC1413" s="30">
        <v>0</v>
      </c>
      <c r="AD1413" s="30">
        <v>0</v>
      </c>
      <c r="AE1413" s="89" t="s">
        <v>394</v>
      </c>
      <c r="AF1413" s="89"/>
      <c r="AG1413" s="89" t="s">
        <v>133</v>
      </c>
      <c r="AH1413" s="72">
        <v>41135</v>
      </c>
      <c r="AI1413" s="30">
        <v>3</v>
      </c>
      <c r="AJ1413" s="89" t="s">
        <v>7880</v>
      </c>
      <c r="AK1413" s="89" t="s">
        <v>7881</v>
      </c>
      <c r="AL1413" s="91">
        <v>41136</v>
      </c>
      <c r="AM1413" s="91"/>
      <c r="AN1413" s="91"/>
      <c r="AO1413" s="91"/>
      <c r="AP1413" s="73" t="e">
        <f>MID(VLOOKUP(K1413,#REF!,2,FALSE),1,2)</f>
        <v>#REF!</v>
      </c>
      <c r="AQ1413" s="89">
        <f>DATE(2012,8,10)</f>
        <v>41131</v>
      </c>
      <c r="AR1413" s="82">
        <f t="shared" si="94"/>
        <v>10</v>
      </c>
      <c r="AS1413" s="83">
        <f t="shared" si="95"/>
        <v>8</v>
      </c>
      <c r="AT1413" s="84">
        <f t="shared" si="96"/>
        <v>2012</v>
      </c>
      <c r="AU1413" s="86"/>
      <c r="AV1413" s="86"/>
      <c r="AW1413" s="87"/>
      <c r="AX1413" s="86"/>
      <c r="AY1413" s="83"/>
      <c r="AZ1413" s="84"/>
      <c r="BA1413" s="86"/>
      <c r="BB1413" s="86"/>
    </row>
    <row r="1414" spans="1:54" ht="36.75" customHeight="1">
      <c r="A1414" s="30"/>
      <c r="B1414" s="30" t="s">
        <v>55</v>
      </c>
      <c r="C1414" s="69" t="str">
        <f t="shared" si="93"/>
        <v>Closed</v>
      </c>
      <c r="D1414" s="27" t="s">
        <v>7882</v>
      </c>
      <c r="E1414" s="29" t="s">
        <v>7883</v>
      </c>
      <c r="F1414" s="30" t="s">
        <v>835</v>
      </c>
      <c r="G1414" s="89">
        <f>DATE(2012,8,14)</f>
        <v>41135</v>
      </c>
      <c r="H1414" s="90">
        <v>1.3701388888888888</v>
      </c>
      <c r="I1414" s="30" t="s">
        <v>73</v>
      </c>
      <c r="J1414" s="89" t="s">
        <v>7884</v>
      </c>
      <c r="K1414" s="30" t="s">
        <v>837</v>
      </c>
      <c r="L1414" s="30" t="s">
        <v>7885</v>
      </c>
      <c r="M1414" s="30" t="s">
        <v>63</v>
      </c>
      <c r="N1414" s="30" t="s">
        <v>142</v>
      </c>
      <c r="O1414" s="30" t="s">
        <v>77</v>
      </c>
      <c r="P1414" s="89" t="s">
        <v>78</v>
      </c>
      <c r="Q1414" s="89" t="s">
        <v>7886</v>
      </c>
      <c r="R1414" s="89" t="s">
        <v>840</v>
      </c>
      <c r="S1414" s="30">
        <v>0</v>
      </c>
      <c r="T1414" s="233">
        <v>0</v>
      </c>
      <c r="U1414" s="30">
        <v>0</v>
      </c>
      <c r="V1414" s="233">
        <v>0</v>
      </c>
      <c r="W1414" s="30">
        <v>0</v>
      </c>
      <c r="X1414" s="30">
        <v>0</v>
      </c>
      <c r="Y1414" s="30">
        <v>0</v>
      </c>
      <c r="Z1414" s="233">
        <v>0</v>
      </c>
      <c r="AA1414" s="30">
        <v>0</v>
      </c>
      <c r="AB1414" s="30">
        <v>0</v>
      </c>
      <c r="AC1414" s="30">
        <v>0</v>
      </c>
      <c r="AD1414" s="30">
        <v>0</v>
      </c>
      <c r="AE1414" s="89" t="s">
        <v>92</v>
      </c>
      <c r="AF1414" s="89"/>
      <c r="AG1414" s="89" t="s">
        <v>352</v>
      </c>
      <c r="AH1414" s="72">
        <v>41501</v>
      </c>
      <c r="AI1414" s="30">
        <v>0</v>
      </c>
      <c r="AJ1414" s="89" t="s">
        <v>7887</v>
      </c>
      <c r="AK1414" s="89" t="s">
        <v>1233</v>
      </c>
      <c r="AL1414" s="91">
        <v>41136</v>
      </c>
      <c r="AM1414" s="91"/>
      <c r="AN1414" s="91"/>
      <c r="AO1414" s="91"/>
      <c r="AP1414" s="73" t="e">
        <f>MID(VLOOKUP(K1414,#REF!,2,FALSE),1,2)</f>
        <v>#REF!</v>
      </c>
      <c r="AQ1414" s="89">
        <f>DATE(2012,8,14)</f>
        <v>41135</v>
      </c>
      <c r="AR1414" s="82">
        <f t="shared" si="94"/>
        <v>14</v>
      </c>
      <c r="AS1414" s="83">
        <f t="shared" si="95"/>
        <v>8</v>
      </c>
      <c r="AT1414" s="84">
        <f t="shared" si="96"/>
        <v>2012</v>
      </c>
      <c r="AU1414" s="86"/>
      <c r="AV1414" s="86"/>
      <c r="AW1414" s="87"/>
      <c r="AX1414" s="86"/>
      <c r="AY1414" s="83"/>
      <c r="AZ1414" s="84"/>
      <c r="BA1414" s="86"/>
      <c r="BB1414" s="86"/>
    </row>
    <row r="1415" spans="1:54" ht="36.75" customHeight="1">
      <c r="A1415" s="30"/>
      <c r="B1415" s="30" t="s">
        <v>55</v>
      </c>
      <c r="C1415" s="69" t="str">
        <f t="shared" si="93"/>
        <v>Closed</v>
      </c>
      <c r="D1415" s="27" t="s">
        <v>7888</v>
      </c>
      <c r="E1415" s="29" t="s">
        <v>7889</v>
      </c>
      <c r="F1415" s="30" t="s">
        <v>1572</v>
      </c>
      <c r="G1415" s="89">
        <f>DATE(2012,8,19)</f>
        <v>41140</v>
      </c>
      <c r="H1415" s="90">
        <v>1.6944444444444446</v>
      </c>
      <c r="I1415" s="30" t="s">
        <v>73</v>
      </c>
      <c r="J1415" s="89" t="s">
        <v>7890</v>
      </c>
      <c r="K1415" s="30" t="s">
        <v>1574</v>
      </c>
      <c r="L1415" s="30" t="s">
        <v>7891</v>
      </c>
      <c r="M1415" s="30" t="s">
        <v>63</v>
      </c>
      <c r="N1415" s="30" t="s">
        <v>99</v>
      </c>
      <c r="O1415" s="30" t="s">
        <v>64</v>
      </c>
      <c r="P1415" s="89"/>
      <c r="Q1415" s="89" t="s">
        <v>5619</v>
      </c>
      <c r="R1415" s="89" t="s">
        <v>7892</v>
      </c>
      <c r="S1415" s="30">
        <v>0</v>
      </c>
      <c r="T1415" s="233">
        <v>0</v>
      </c>
      <c r="U1415" s="30">
        <v>0</v>
      </c>
      <c r="V1415" s="233">
        <v>0</v>
      </c>
      <c r="W1415" s="30">
        <v>0</v>
      </c>
      <c r="X1415" s="30">
        <v>0</v>
      </c>
      <c r="Y1415" s="30">
        <v>0</v>
      </c>
      <c r="Z1415" s="233">
        <v>0</v>
      </c>
      <c r="AA1415" s="30">
        <v>0</v>
      </c>
      <c r="AB1415" s="30">
        <v>0</v>
      </c>
      <c r="AC1415" s="30">
        <v>0</v>
      </c>
      <c r="AD1415" s="30">
        <v>0</v>
      </c>
      <c r="AE1415" s="89" t="s">
        <v>92</v>
      </c>
      <c r="AF1415" s="89"/>
      <c r="AG1415" s="89" t="s">
        <v>133</v>
      </c>
      <c r="AH1415" s="72">
        <v>41141</v>
      </c>
      <c r="AI1415" s="30">
        <v>0</v>
      </c>
      <c r="AJ1415" s="89" t="s">
        <v>7893</v>
      </c>
      <c r="AK1415" s="89" t="s">
        <v>68</v>
      </c>
      <c r="AL1415" s="91">
        <v>41158</v>
      </c>
      <c r="AM1415" s="91"/>
      <c r="AN1415" s="91"/>
      <c r="AO1415" s="91"/>
      <c r="AP1415" s="73" t="e">
        <f>MID(VLOOKUP(K1415,#REF!,2,FALSE),1,2)</f>
        <v>#REF!</v>
      </c>
      <c r="AQ1415" s="89">
        <f>DATE(2012,8,19)</f>
        <v>41140</v>
      </c>
      <c r="AR1415" s="82">
        <f t="shared" si="94"/>
        <v>19</v>
      </c>
      <c r="AS1415" s="83">
        <f t="shared" si="95"/>
        <v>8</v>
      </c>
      <c r="AT1415" s="84">
        <f t="shared" si="96"/>
        <v>2012</v>
      </c>
      <c r="AU1415" s="86"/>
      <c r="AV1415" s="86"/>
      <c r="AW1415" s="87"/>
      <c r="AX1415" s="86"/>
      <c r="AY1415" s="83"/>
      <c r="AZ1415" s="84"/>
      <c r="BA1415" s="86"/>
      <c r="BB1415" s="86"/>
    </row>
    <row r="1416" spans="1:54" ht="36.75" customHeight="1">
      <c r="A1416" s="30"/>
      <c r="B1416" s="30" t="s">
        <v>55</v>
      </c>
      <c r="C1416" s="69" t="str">
        <f t="shared" si="93"/>
        <v>Closed</v>
      </c>
      <c r="D1416" s="27" t="s">
        <v>7894</v>
      </c>
      <c r="E1416" s="29" t="s">
        <v>7895</v>
      </c>
      <c r="F1416" s="30" t="s">
        <v>582</v>
      </c>
      <c r="G1416" s="89">
        <f>DATE(2012,8,21)</f>
        <v>41142</v>
      </c>
      <c r="H1416" s="90">
        <v>1.4875</v>
      </c>
      <c r="I1416" s="30" t="s">
        <v>73</v>
      </c>
      <c r="J1416" s="89" t="s">
        <v>7896</v>
      </c>
      <c r="K1416" s="30" t="s">
        <v>584</v>
      </c>
      <c r="L1416" s="30" t="s">
        <v>7897</v>
      </c>
      <c r="M1416" s="30" t="s">
        <v>63</v>
      </c>
      <c r="N1416" s="30" t="s">
        <v>142</v>
      </c>
      <c r="O1416" s="30" t="s">
        <v>77</v>
      </c>
      <c r="P1416" s="89" t="s">
        <v>165</v>
      </c>
      <c r="Q1416" s="89" t="s">
        <v>1301</v>
      </c>
      <c r="R1416" s="89" t="s">
        <v>1301</v>
      </c>
      <c r="S1416" s="30">
        <v>0</v>
      </c>
      <c r="T1416" s="233">
        <v>0</v>
      </c>
      <c r="U1416" s="30">
        <v>0</v>
      </c>
      <c r="V1416" s="233">
        <v>0</v>
      </c>
      <c r="W1416" s="30">
        <v>0</v>
      </c>
      <c r="X1416" s="30">
        <v>0</v>
      </c>
      <c r="Y1416" s="30">
        <v>0</v>
      </c>
      <c r="Z1416" s="233">
        <v>0</v>
      </c>
      <c r="AA1416" s="30">
        <v>0</v>
      </c>
      <c r="AB1416" s="30">
        <v>0</v>
      </c>
      <c r="AC1416" s="30">
        <v>0</v>
      </c>
      <c r="AD1416" s="30">
        <v>0</v>
      </c>
      <c r="AE1416" s="89" t="s">
        <v>394</v>
      </c>
      <c r="AF1416" s="89"/>
      <c r="AG1416" s="89" t="s">
        <v>133</v>
      </c>
      <c r="AH1416" s="72">
        <v>41143</v>
      </c>
      <c r="AI1416" s="30">
        <v>0</v>
      </c>
      <c r="AJ1416" s="89" t="s">
        <v>7898</v>
      </c>
      <c r="AK1416" s="89" t="s">
        <v>1233</v>
      </c>
      <c r="AL1416" s="91">
        <v>41145</v>
      </c>
      <c r="AM1416" s="91"/>
      <c r="AN1416" s="91"/>
      <c r="AO1416" s="91"/>
      <c r="AP1416" s="73" t="e">
        <f>MID(VLOOKUP(K1416,#REF!,2,FALSE),1,2)</f>
        <v>#REF!</v>
      </c>
      <c r="AQ1416" s="89">
        <f>DATE(2012,8,21)</f>
        <v>41142</v>
      </c>
      <c r="AR1416" s="82">
        <f t="shared" si="94"/>
        <v>21</v>
      </c>
      <c r="AS1416" s="83">
        <f t="shared" si="95"/>
        <v>8</v>
      </c>
      <c r="AT1416" s="84">
        <f t="shared" si="96"/>
        <v>2012</v>
      </c>
      <c r="AU1416" s="86"/>
      <c r="AV1416" s="86"/>
      <c r="AW1416" s="87"/>
      <c r="AX1416" s="86"/>
      <c r="AY1416" s="83"/>
      <c r="AZ1416" s="84"/>
      <c r="BA1416" s="86"/>
      <c r="BB1416" s="86"/>
    </row>
    <row r="1417" spans="1:54" ht="36.75" customHeight="1">
      <c r="A1417" s="30"/>
      <c r="B1417" s="30" t="s">
        <v>55</v>
      </c>
      <c r="C1417" s="69" t="str">
        <f t="shared" si="93"/>
        <v>Closed</v>
      </c>
      <c r="D1417" s="27" t="s">
        <v>7899</v>
      </c>
      <c r="E1417" s="29" t="s">
        <v>7900</v>
      </c>
      <c r="F1417" s="30" t="s">
        <v>124</v>
      </c>
      <c r="G1417" s="89">
        <f>DATE(2012,8,21)</f>
        <v>41142</v>
      </c>
      <c r="H1417" s="90">
        <v>1.6277777777777778</v>
      </c>
      <c r="I1417" s="30" t="s">
        <v>2418</v>
      </c>
      <c r="J1417" s="89" t="s">
        <v>7901</v>
      </c>
      <c r="K1417" s="30" t="s">
        <v>127</v>
      </c>
      <c r="L1417" s="30" t="s">
        <v>7902</v>
      </c>
      <c r="M1417" s="30" t="s">
        <v>63</v>
      </c>
      <c r="N1417" s="30" t="s">
        <v>99</v>
      </c>
      <c r="O1417" s="30" t="s">
        <v>64</v>
      </c>
      <c r="P1417" s="89" t="s">
        <v>165</v>
      </c>
      <c r="Q1417" s="89" t="s">
        <v>229</v>
      </c>
      <c r="R1417" s="89" t="s">
        <v>167</v>
      </c>
      <c r="S1417" s="30">
        <v>0</v>
      </c>
      <c r="T1417" s="233">
        <v>0</v>
      </c>
      <c r="U1417" s="30">
        <v>0</v>
      </c>
      <c r="V1417" s="233">
        <v>0</v>
      </c>
      <c r="W1417" s="30">
        <v>0</v>
      </c>
      <c r="X1417" s="30">
        <v>0</v>
      </c>
      <c r="Y1417" s="30">
        <v>0</v>
      </c>
      <c r="Z1417" s="233">
        <v>0</v>
      </c>
      <c r="AA1417" s="30">
        <v>0</v>
      </c>
      <c r="AB1417" s="30">
        <v>0</v>
      </c>
      <c r="AC1417" s="30">
        <v>0</v>
      </c>
      <c r="AD1417" s="30">
        <v>0</v>
      </c>
      <c r="AE1417" s="89" t="s">
        <v>92</v>
      </c>
      <c r="AF1417" s="89"/>
      <c r="AG1417" s="89" t="s">
        <v>133</v>
      </c>
      <c r="AH1417" s="72">
        <v>41149</v>
      </c>
      <c r="AI1417" s="30">
        <v>1</v>
      </c>
      <c r="AJ1417" s="89" t="s">
        <v>7903</v>
      </c>
      <c r="AK1417" s="89" t="s">
        <v>68</v>
      </c>
      <c r="AL1417" s="91">
        <v>41152</v>
      </c>
      <c r="AM1417" s="91"/>
      <c r="AN1417" s="91"/>
      <c r="AO1417" s="91"/>
      <c r="AP1417" s="73" t="e">
        <f>MID(VLOOKUP(K1417,#REF!,2,FALSE),1,2)</f>
        <v>#REF!</v>
      </c>
      <c r="AQ1417" s="89">
        <f>DATE(2012,8,21)</f>
        <v>41142</v>
      </c>
      <c r="AR1417" s="82">
        <f t="shared" si="94"/>
        <v>21</v>
      </c>
      <c r="AS1417" s="83">
        <f t="shared" si="95"/>
        <v>8</v>
      </c>
      <c r="AT1417" s="84">
        <f t="shared" si="96"/>
        <v>2012</v>
      </c>
      <c r="AU1417" s="86"/>
      <c r="AV1417" s="86"/>
      <c r="AW1417" s="87"/>
      <c r="AX1417" s="86"/>
      <c r="AY1417" s="83"/>
      <c r="AZ1417" s="84"/>
      <c r="BA1417" s="86"/>
      <c r="BB1417" s="86"/>
    </row>
    <row r="1418" spans="1:54" ht="36.75" customHeight="1">
      <c r="A1418" s="30"/>
      <c r="B1418" s="30" t="s">
        <v>55</v>
      </c>
      <c r="C1418" s="69" t="str">
        <f t="shared" si="93"/>
        <v>Closed</v>
      </c>
      <c r="D1418" s="27" t="s">
        <v>7904</v>
      </c>
      <c r="E1418" s="29" t="s">
        <v>7905</v>
      </c>
      <c r="F1418" s="30" t="s">
        <v>197</v>
      </c>
      <c r="G1418" s="89">
        <f>DATE(2012,8,22)</f>
        <v>41143</v>
      </c>
      <c r="H1418" s="90">
        <v>1.8381944444444445</v>
      </c>
      <c r="I1418" s="30" t="s">
        <v>5494</v>
      </c>
      <c r="J1418" s="89" t="s">
        <v>7906</v>
      </c>
      <c r="K1418" s="30" t="s">
        <v>200</v>
      </c>
      <c r="L1418" s="30" t="s">
        <v>7907</v>
      </c>
      <c r="M1418" s="30" t="s">
        <v>63</v>
      </c>
      <c r="N1418" s="30" t="s">
        <v>142</v>
      </c>
      <c r="O1418" s="30" t="s">
        <v>90</v>
      </c>
      <c r="P1418" s="89" t="s">
        <v>91</v>
      </c>
      <c r="Q1418" s="89">
        <v>0</v>
      </c>
      <c r="R1418" s="89">
        <v>0</v>
      </c>
      <c r="S1418" s="30">
        <v>0</v>
      </c>
      <c r="T1418" s="233">
        <v>0</v>
      </c>
      <c r="U1418" s="30">
        <v>0</v>
      </c>
      <c r="V1418" s="233">
        <v>0</v>
      </c>
      <c r="W1418" s="30">
        <v>0</v>
      </c>
      <c r="X1418" s="30">
        <v>0</v>
      </c>
      <c r="Y1418" s="30">
        <v>0</v>
      </c>
      <c r="Z1418" s="233">
        <v>0</v>
      </c>
      <c r="AA1418" s="30">
        <v>0</v>
      </c>
      <c r="AB1418" s="30">
        <v>0</v>
      </c>
      <c r="AC1418" s="30">
        <v>0</v>
      </c>
      <c r="AD1418" s="30">
        <v>0</v>
      </c>
      <c r="AE1418" s="89" t="s">
        <v>92</v>
      </c>
      <c r="AF1418" s="89"/>
      <c r="AG1418" s="89" t="s">
        <v>1507</v>
      </c>
      <c r="AH1418" s="72">
        <v>41288</v>
      </c>
      <c r="AI1418" s="30">
        <v>5</v>
      </c>
      <c r="AJ1418" s="89" t="s">
        <v>7908</v>
      </c>
      <c r="AK1418" s="89" t="s">
        <v>1233</v>
      </c>
      <c r="AL1418" s="91">
        <v>41533</v>
      </c>
      <c r="AM1418" s="91"/>
      <c r="AN1418" s="91"/>
      <c r="AO1418" s="91"/>
      <c r="AP1418" s="73" t="e">
        <f>MID(VLOOKUP(K1418,#REF!,2,FALSE),1,2)</f>
        <v>#REF!</v>
      </c>
      <c r="AQ1418" s="89">
        <f>DATE(2012,8,22)</f>
        <v>41143</v>
      </c>
      <c r="AR1418" s="82">
        <f t="shared" si="94"/>
        <v>22</v>
      </c>
      <c r="AS1418" s="83">
        <f t="shared" si="95"/>
        <v>8</v>
      </c>
      <c r="AT1418" s="84">
        <f t="shared" si="96"/>
        <v>2012</v>
      </c>
      <c r="AU1418" s="86"/>
      <c r="AV1418" s="86"/>
      <c r="AW1418" s="87"/>
      <c r="AX1418" s="86"/>
      <c r="AY1418" s="83"/>
      <c r="AZ1418" s="84"/>
      <c r="BA1418" s="86"/>
      <c r="BB1418" s="86"/>
    </row>
    <row r="1419" spans="1:54" ht="36.75" customHeight="1">
      <c r="A1419" s="30"/>
      <c r="B1419" s="30" t="s">
        <v>55</v>
      </c>
      <c r="C1419" s="69" t="str">
        <f t="shared" si="93"/>
        <v>Closed</v>
      </c>
      <c r="D1419" s="27" t="s">
        <v>7909</v>
      </c>
      <c r="E1419" s="29" t="s">
        <v>7910</v>
      </c>
      <c r="F1419" s="30" t="s">
        <v>423</v>
      </c>
      <c r="G1419" s="89">
        <f>DATE(2012,8,26)</f>
        <v>41147</v>
      </c>
      <c r="H1419" s="90">
        <v>1.445138888888889</v>
      </c>
      <c r="I1419" s="30" t="s">
        <v>156</v>
      </c>
      <c r="J1419" s="89" t="s">
        <v>7911</v>
      </c>
      <c r="K1419" s="30" t="s">
        <v>425</v>
      </c>
      <c r="L1419" s="30" t="s">
        <v>7912</v>
      </c>
      <c r="M1419" s="30" t="s">
        <v>63</v>
      </c>
      <c r="N1419" s="30" t="s">
        <v>99</v>
      </c>
      <c r="O1419" s="30" t="s">
        <v>64</v>
      </c>
      <c r="P1419" s="89" t="s">
        <v>165</v>
      </c>
      <c r="Q1419" s="89" t="s">
        <v>427</v>
      </c>
      <c r="R1419" s="89" t="s">
        <v>3103</v>
      </c>
      <c r="S1419" s="30">
        <v>0</v>
      </c>
      <c r="T1419" s="233">
        <v>0</v>
      </c>
      <c r="U1419" s="30">
        <v>0</v>
      </c>
      <c r="V1419" s="233">
        <v>0</v>
      </c>
      <c r="W1419" s="30">
        <v>0</v>
      </c>
      <c r="X1419" s="30">
        <v>0</v>
      </c>
      <c r="Y1419" s="30">
        <v>0</v>
      </c>
      <c r="Z1419" s="233">
        <v>0</v>
      </c>
      <c r="AA1419" s="30">
        <v>0</v>
      </c>
      <c r="AB1419" s="30">
        <v>0</v>
      </c>
      <c r="AC1419" s="30">
        <v>0</v>
      </c>
      <c r="AD1419" s="30">
        <v>0</v>
      </c>
      <c r="AE1419" s="89" t="s">
        <v>92</v>
      </c>
      <c r="AF1419" s="89"/>
      <c r="AG1419" s="89" t="s">
        <v>352</v>
      </c>
      <c r="AH1419" s="72">
        <v>41149</v>
      </c>
      <c r="AI1419" s="30">
        <v>7</v>
      </c>
      <c r="AJ1419" s="89" t="s">
        <v>7913</v>
      </c>
      <c r="AK1419" s="89" t="s">
        <v>7914</v>
      </c>
      <c r="AL1419" s="91">
        <v>41151</v>
      </c>
      <c r="AM1419" s="91"/>
      <c r="AN1419" s="91"/>
      <c r="AO1419" s="91"/>
      <c r="AP1419" s="73" t="e">
        <f>MID(VLOOKUP(K1419,#REF!,2,FALSE),1,2)</f>
        <v>#REF!</v>
      </c>
      <c r="AQ1419" s="89">
        <f>DATE(2012,8,26)</f>
        <v>41147</v>
      </c>
      <c r="AR1419" s="82">
        <f t="shared" si="94"/>
        <v>26</v>
      </c>
      <c r="AS1419" s="83">
        <f t="shared" si="95"/>
        <v>8</v>
      </c>
      <c r="AT1419" s="84">
        <f t="shared" si="96"/>
        <v>2012</v>
      </c>
      <c r="AU1419" s="86"/>
      <c r="AV1419" s="86"/>
      <c r="AW1419" s="87"/>
      <c r="AX1419" s="86"/>
      <c r="AY1419" s="83"/>
      <c r="AZ1419" s="84"/>
      <c r="BA1419" s="86"/>
      <c r="BB1419" s="86"/>
    </row>
    <row r="1420" spans="1:54" ht="36.75" customHeight="1">
      <c r="A1420" s="30"/>
      <c r="B1420" s="30" t="s">
        <v>55</v>
      </c>
      <c r="C1420" s="69" t="str">
        <f t="shared" si="93"/>
        <v>Closed</v>
      </c>
      <c r="D1420" s="27" t="s">
        <v>7915</v>
      </c>
      <c r="E1420" s="29" t="s">
        <v>7916</v>
      </c>
      <c r="F1420" s="30" t="s">
        <v>835</v>
      </c>
      <c r="G1420" s="89">
        <f>DATE(2012,8,27)</f>
        <v>41148</v>
      </c>
      <c r="H1420" s="90">
        <v>1.9097222222222223</v>
      </c>
      <c r="I1420" s="30" t="s">
        <v>487</v>
      </c>
      <c r="J1420" s="89" t="s">
        <v>7917</v>
      </c>
      <c r="K1420" s="30" t="s">
        <v>837</v>
      </c>
      <c r="L1420" s="30" t="s">
        <v>7918</v>
      </c>
      <c r="M1420" s="30" t="s">
        <v>63</v>
      </c>
      <c r="N1420" s="30" t="s">
        <v>142</v>
      </c>
      <c r="O1420" s="30" t="s">
        <v>64</v>
      </c>
      <c r="P1420" s="89" t="s">
        <v>6017</v>
      </c>
      <c r="Q1420" s="89" t="s">
        <v>7919</v>
      </c>
      <c r="R1420" s="89" t="s">
        <v>840</v>
      </c>
      <c r="S1420" s="30">
        <v>0</v>
      </c>
      <c r="T1420" s="233">
        <v>0</v>
      </c>
      <c r="U1420" s="30">
        <v>0</v>
      </c>
      <c r="V1420" s="233">
        <v>0</v>
      </c>
      <c r="W1420" s="30">
        <v>0</v>
      </c>
      <c r="X1420" s="30">
        <v>0</v>
      </c>
      <c r="Y1420" s="30">
        <v>0</v>
      </c>
      <c r="Z1420" s="233">
        <v>0</v>
      </c>
      <c r="AA1420" s="30">
        <v>0</v>
      </c>
      <c r="AB1420" s="30">
        <v>0</v>
      </c>
      <c r="AC1420" s="30">
        <v>0</v>
      </c>
      <c r="AD1420" s="30">
        <v>0</v>
      </c>
      <c r="AE1420" s="89" t="s">
        <v>92</v>
      </c>
      <c r="AF1420" s="89"/>
      <c r="AG1420" s="89" t="s">
        <v>352</v>
      </c>
      <c r="AH1420" s="72">
        <v>41149</v>
      </c>
      <c r="AI1420" s="30">
        <v>0</v>
      </c>
      <c r="AJ1420" s="89" t="s">
        <v>7920</v>
      </c>
      <c r="AK1420" s="89" t="s">
        <v>7921</v>
      </c>
      <c r="AL1420" s="91">
        <v>41285</v>
      </c>
      <c r="AM1420" s="91"/>
      <c r="AN1420" s="91"/>
      <c r="AO1420" s="91"/>
      <c r="AP1420" s="73" t="e">
        <f>MID(VLOOKUP(K1420,#REF!,2,FALSE),1,2)</f>
        <v>#REF!</v>
      </c>
      <c r="AQ1420" s="89">
        <f>DATE(2012,8,27)</f>
        <v>41148</v>
      </c>
      <c r="AR1420" s="82">
        <f t="shared" si="94"/>
        <v>27</v>
      </c>
      <c r="AS1420" s="83">
        <f t="shared" si="95"/>
        <v>8</v>
      </c>
      <c r="AT1420" s="84">
        <f t="shared" si="96"/>
        <v>2012</v>
      </c>
      <c r="AU1420" s="86"/>
      <c r="AV1420" s="86"/>
      <c r="AW1420" s="87"/>
      <c r="AX1420" s="86"/>
      <c r="AY1420" s="83"/>
      <c r="AZ1420" s="84"/>
      <c r="BA1420" s="86"/>
      <c r="BB1420" s="86"/>
    </row>
    <row r="1421" spans="1:54" ht="36.75" customHeight="1">
      <c r="A1421" s="30"/>
      <c r="B1421" s="30" t="s">
        <v>55</v>
      </c>
      <c r="C1421" s="69" t="str">
        <f t="shared" si="93"/>
        <v>Closed</v>
      </c>
      <c r="D1421" s="27" t="s">
        <v>7922</v>
      </c>
      <c r="E1421" s="29" t="s">
        <v>7923</v>
      </c>
      <c r="F1421" s="30" t="s">
        <v>835</v>
      </c>
      <c r="G1421" s="89">
        <f>DATE(2012,8,28)</f>
        <v>41149</v>
      </c>
      <c r="H1421" s="90">
        <v>1.6965277777777779</v>
      </c>
      <c r="I1421" s="30" t="s">
        <v>125</v>
      </c>
      <c r="J1421" s="89" t="s">
        <v>7924</v>
      </c>
      <c r="K1421" s="30" t="s">
        <v>837</v>
      </c>
      <c r="L1421" s="30" t="s">
        <v>7925</v>
      </c>
      <c r="M1421" s="30" t="s">
        <v>63</v>
      </c>
      <c r="N1421" s="30" t="s">
        <v>99</v>
      </c>
      <c r="O1421" s="30" t="s">
        <v>6875</v>
      </c>
      <c r="P1421" s="89" t="s">
        <v>86</v>
      </c>
      <c r="Q1421" s="89" t="s">
        <v>2162</v>
      </c>
      <c r="R1421" s="89" t="s">
        <v>840</v>
      </c>
      <c r="S1421" s="30">
        <v>0</v>
      </c>
      <c r="T1421" s="233">
        <v>0</v>
      </c>
      <c r="U1421" s="30">
        <v>0</v>
      </c>
      <c r="V1421" s="233">
        <v>0</v>
      </c>
      <c r="W1421" s="30">
        <v>0</v>
      </c>
      <c r="X1421" s="30">
        <v>0</v>
      </c>
      <c r="Y1421" s="30">
        <v>0</v>
      </c>
      <c r="Z1421" s="233">
        <v>0</v>
      </c>
      <c r="AA1421" s="30">
        <v>0</v>
      </c>
      <c r="AB1421" s="30">
        <v>0</v>
      </c>
      <c r="AC1421" s="30">
        <v>0</v>
      </c>
      <c r="AD1421" s="30">
        <v>0</v>
      </c>
      <c r="AE1421" s="89" t="s">
        <v>92</v>
      </c>
      <c r="AF1421" s="89"/>
      <c r="AG1421" s="89" t="s">
        <v>1507</v>
      </c>
      <c r="AH1421" s="72">
        <v>41263</v>
      </c>
      <c r="AI1421" s="30">
        <v>0</v>
      </c>
      <c r="AJ1421" s="89" t="s">
        <v>7926</v>
      </c>
      <c r="AK1421" s="89" t="s">
        <v>7927</v>
      </c>
      <c r="AL1421" s="91">
        <v>41159</v>
      </c>
      <c r="AM1421" s="91"/>
      <c r="AN1421" s="91"/>
      <c r="AO1421" s="91"/>
      <c r="AP1421" s="73" t="e">
        <f>MID(VLOOKUP(K1421,#REF!,2,FALSE),1,2)</f>
        <v>#REF!</v>
      </c>
      <c r="AQ1421" s="89">
        <f>DATE(2012,8,28)</f>
        <v>41149</v>
      </c>
      <c r="AR1421" s="82">
        <f t="shared" si="94"/>
        <v>28</v>
      </c>
      <c r="AS1421" s="83">
        <f t="shared" si="95"/>
        <v>8</v>
      </c>
      <c r="AT1421" s="84">
        <f t="shared" si="96"/>
        <v>2012</v>
      </c>
      <c r="AU1421" s="86"/>
      <c r="AV1421" s="86"/>
      <c r="AW1421" s="87"/>
      <c r="AX1421" s="86"/>
      <c r="AY1421" s="83"/>
      <c r="AZ1421" s="84"/>
      <c r="BA1421" s="86"/>
      <c r="BB1421" s="86"/>
    </row>
    <row r="1422" spans="1:54" ht="36.75" customHeight="1">
      <c r="A1422" s="30"/>
      <c r="B1422" s="30" t="s">
        <v>55</v>
      </c>
      <c r="C1422" s="69" t="str">
        <f t="shared" si="93"/>
        <v>Closed</v>
      </c>
      <c r="D1422" s="27" t="s">
        <v>7928</v>
      </c>
      <c r="E1422" s="29" t="s">
        <v>7929</v>
      </c>
      <c r="F1422" s="30" t="s">
        <v>1572</v>
      </c>
      <c r="G1422" s="89">
        <f>DATE(2012,8,30)</f>
        <v>41151</v>
      </c>
      <c r="H1422" s="90">
        <v>1.9375</v>
      </c>
      <c r="I1422" s="30" t="s">
        <v>73</v>
      </c>
      <c r="J1422" s="89" t="s">
        <v>7930</v>
      </c>
      <c r="K1422" s="30" t="s">
        <v>1574</v>
      </c>
      <c r="L1422" s="30" t="s">
        <v>7931</v>
      </c>
      <c r="M1422" s="30" t="s">
        <v>63</v>
      </c>
      <c r="N1422" s="30" t="s">
        <v>142</v>
      </c>
      <c r="O1422" s="30" t="s">
        <v>77</v>
      </c>
      <c r="P1422" s="89" t="s">
        <v>78</v>
      </c>
      <c r="Q1422" s="89" t="s">
        <v>7932</v>
      </c>
      <c r="R1422" s="89" t="s">
        <v>6434</v>
      </c>
      <c r="S1422" s="30">
        <v>0</v>
      </c>
      <c r="T1422" s="233">
        <v>0</v>
      </c>
      <c r="U1422" s="30">
        <v>0</v>
      </c>
      <c r="V1422" s="233">
        <v>0</v>
      </c>
      <c r="W1422" s="30">
        <v>0</v>
      </c>
      <c r="X1422" s="30">
        <v>0</v>
      </c>
      <c r="Y1422" s="30">
        <v>0</v>
      </c>
      <c r="Z1422" s="233">
        <v>0</v>
      </c>
      <c r="AA1422" s="30">
        <v>0</v>
      </c>
      <c r="AB1422" s="30">
        <v>0</v>
      </c>
      <c r="AC1422" s="30">
        <v>0</v>
      </c>
      <c r="AD1422" s="30">
        <v>0</v>
      </c>
      <c r="AE1422" s="89" t="s">
        <v>92</v>
      </c>
      <c r="AF1422" s="89"/>
      <c r="AG1422" s="89" t="s">
        <v>133</v>
      </c>
      <c r="AH1422" s="72">
        <v>41156</v>
      </c>
      <c r="AI1422" s="30">
        <v>0</v>
      </c>
      <c r="AJ1422" s="89" t="s">
        <v>7933</v>
      </c>
      <c r="AK1422" s="89" t="s">
        <v>68</v>
      </c>
      <c r="AL1422" s="91">
        <v>41158</v>
      </c>
      <c r="AM1422" s="91"/>
      <c r="AN1422" s="91"/>
      <c r="AO1422" s="91"/>
      <c r="AP1422" s="73" t="e">
        <f>MID(VLOOKUP(K1422,#REF!,2,FALSE),1,2)</f>
        <v>#REF!</v>
      </c>
      <c r="AQ1422" s="89">
        <f>DATE(2012,8,30)</f>
        <v>41151</v>
      </c>
      <c r="AR1422" s="82">
        <f t="shared" si="94"/>
        <v>30</v>
      </c>
      <c r="AS1422" s="83">
        <f t="shared" si="95"/>
        <v>8</v>
      </c>
      <c r="AT1422" s="84">
        <f t="shared" si="96"/>
        <v>2012</v>
      </c>
      <c r="AU1422" s="86"/>
      <c r="AV1422" s="86"/>
      <c r="AW1422" s="87"/>
      <c r="AX1422" s="86"/>
      <c r="AY1422" s="83"/>
      <c r="AZ1422" s="84"/>
      <c r="BA1422" s="86"/>
      <c r="BB1422" s="86"/>
    </row>
    <row r="1423" spans="1:54" ht="36.75" customHeight="1">
      <c r="A1423" s="30"/>
      <c r="B1423" s="30" t="s">
        <v>55</v>
      </c>
      <c r="C1423" s="69" t="str">
        <f t="shared" si="93"/>
        <v>Closed</v>
      </c>
      <c r="D1423" s="27" t="s">
        <v>7934</v>
      </c>
      <c r="E1423" s="29" t="s">
        <v>7935</v>
      </c>
      <c r="F1423" s="30" t="s">
        <v>1572</v>
      </c>
      <c r="G1423" s="89">
        <f>DATE(2012,9,2)</f>
        <v>41154</v>
      </c>
      <c r="H1423" s="90">
        <v>1.1770833333333333</v>
      </c>
      <c r="I1423" s="30" t="s">
        <v>73</v>
      </c>
      <c r="J1423" s="89" t="s">
        <v>7936</v>
      </c>
      <c r="K1423" s="30" t="s">
        <v>1574</v>
      </c>
      <c r="L1423" s="30" t="s">
        <v>7937</v>
      </c>
      <c r="M1423" s="30" t="s">
        <v>63</v>
      </c>
      <c r="N1423" s="30" t="s">
        <v>89</v>
      </c>
      <c r="O1423" s="30" t="s">
        <v>77</v>
      </c>
      <c r="P1423" s="89" t="s">
        <v>78</v>
      </c>
      <c r="Q1423" s="89" t="s">
        <v>7938</v>
      </c>
      <c r="R1423" s="89" t="s">
        <v>6434</v>
      </c>
      <c r="S1423" s="30">
        <v>0</v>
      </c>
      <c r="T1423" s="233">
        <v>0</v>
      </c>
      <c r="U1423" s="30">
        <v>0</v>
      </c>
      <c r="V1423" s="233">
        <v>0</v>
      </c>
      <c r="W1423" s="30">
        <v>0</v>
      </c>
      <c r="X1423" s="30">
        <v>0</v>
      </c>
      <c r="Y1423" s="30">
        <v>0</v>
      </c>
      <c r="Z1423" s="233">
        <v>0</v>
      </c>
      <c r="AA1423" s="30">
        <v>0</v>
      </c>
      <c r="AB1423" s="30">
        <v>0</v>
      </c>
      <c r="AC1423" s="30">
        <v>0</v>
      </c>
      <c r="AD1423" s="30">
        <v>0</v>
      </c>
      <c r="AE1423" s="89" t="s">
        <v>92</v>
      </c>
      <c r="AF1423" s="89"/>
      <c r="AG1423" s="89" t="s">
        <v>133</v>
      </c>
      <c r="AH1423" s="72">
        <v>41156</v>
      </c>
      <c r="AI1423" s="30">
        <v>1</v>
      </c>
      <c r="AJ1423" s="89" t="s">
        <v>7939</v>
      </c>
      <c r="AK1423" s="89" t="s">
        <v>7940</v>
      </c>
      <c r="AL1423" s="91">
        <v>41159</v>
      </c>
      <c r="AM1423" s="91"/>
      <c r="AN1423" s="91"/>
      <c r="AO1423" s="91"/>
      <c r="AP1423" s="73" t="e">
        <f>MID(VLOOKUP(K1423,#REF!,2,FALSE),1,2)</f>
        <v>#REF!</v>
      </c>
      <c r="AQ1423" s="89">
        <f>DATE(2012,9,2)</f>
        <v>41154</v>
      </c>
      <c r="AR1423" s="82">
        <f t="shared" si="94"/>
        <v>2</v>
      </c>
      <c r="AS1423" s="83">
        <f t="shared" si="95"/>
        <v>9</v>
      </c>
      <c r="AT1423" s="84">
        <f t="shared" si="96"/>
        <v>2012</v>
      </c>
      <c r="AU1423" s="86"/>
      <c r="AV1423" s="86"/>
      <c r="AW1423" s="87"/>
      <c r="AX1423" s="86"/>
      <c r="AY1423" s="83"/>
      <c r="AZ1423" s="84"/>
      <c r="BA1423" s="86"/>
      <c r="BB1423" s="86"/>
    </row>
    <row r="1424" spans="1:54" ht="36.75" customHeight="1">
      <c r="A1424" s="30"/>
      <c r="B1424" s="30" t="s">
        <v>55</v>
      </c>
      <c r="C1424" s="69" t="str">
        <f t="shared" si="93"/>
        <v>Closed</v>
      </c>
      <c r="D1424" s="27" t="s">
        <v>7941</v>
      </c>
      <c r="E1424" s="29" t="s">
        <v>7942</v>
      </c>
      <c r="F1424" s="30" t="s">
        <v>1572</v>
      </c>
      <c r="G1424" s="89">
        <f>DATE(2012,9,2)</f>
        <v>41154</v>
      </c>
      <c r="H1424" s="90">
        <v>1.8263888888888888</v>
      </c>
      <c r="I1424" s="30" t="s">
        <v>73</v>
      </c>
      <c r="J1424" s="89" t="s">
        <v>7943</v>
      </c>
      <c r="K1424" s="30" t="s">
        <v>1574</v>
      </c>
      <c r="L1424" s="30" t="s">
        <v>7944</v>
      </c>
      <c r="M1424" s="30" t="s">
        <v>63</v>
      </c>
      <c r="N1424" s="30" t="s">
        <v>89</v>
      </c>
      <c r="O1424" s="30" t="s">
        <v>77</v>
      </c>
      <c r="P1424" s="89" t="s">
        <v>78</v>
      </c>
      <c r="Q1424" s="89" t="s">
        <v>7932</v>
      </c>
      <c r="R1424" s="89" t="s">
        <v>6434</v>
      </c>
      <c r="S1424" s="30">
        <v>0</v>
      </c>
      <c r="T1424" s="233">
        <v>0</v>
      </c>
      <c r="U1424" s="30">
        <v>0</v>
      </c>
      <c r="V1424" s="233">
        <v>0</v>
      </c>
      <c r="W1424" s="30">
        <v>0</v>
      </c>
      <c r="X1424" s="30">
        <v>0</v>
      </c>
      <c r="Y1424" s="30">
        <v>0</v>
      </c>
      <c r="Z1424" s="233">
        <v>0</v>
      </c>
      <c r="AA1424" s="30">
        <v>0</v>
      </c>
      <c r="AB1424" s="30">
        <v>0</v>
      </c>
      <c r="AC1424" s="30">
        <v>0</v>
      </c>
      <c r="AD1424" s="30">
        <v>0</v>
      </c>
      <c r="AE1424" s="89" t="s">
        <v>92</v>
      </c>
      <c r="AF1424" s="89"/>
      <c r="AG1424" s="89" t="s">
        <v>133</v>
      </c>
      <c r="AH1424" s="72">
        <v>41156</v>
      </c>
      <c r="AI1424" s="30">
        <v>0</v>
      </c>
      <c r="AJ1424" s="89" t="s">
        <v>7945</v>
      </c>
      <c r="AK1424" s="89" t="s">
        <v>7946</v>
      </c>
      <c r="AL1424" s="91">
        <v>41159</v>
      </c>
      <c r="AM1424" s="91"/>
      <c r="AN1424" s="91"/>
      <c r="AO1424" s="91"/>
      <c r="AP1424" s="73" t="e">
        <f>MID(VLOOKUP(K1424,#REF!,2,FALSE),1,2)</f>
        <v>#REF!</v>
      </c>
      <c r="AQ1424" s="89">
        <f>DATE(2012,9,2)</f>
        <v>41154</v>
      </c>
      <c r="AR1424" s="82">
        <f t="shared" si="94"/>
        <v>2</v>
      </c>
      <c r="AS1424" s="83">
        <f t="shared" si="95"/>
        <v>9</v>
      </c>
      <c r="AT1424" s="84">
        <f t="shared" si="96"/>
        <v>2012</v>
      </c>
      <c r="AU1424" s="86"/>
      <c r="AV1424" s="86"/>
      <c r="AW1424" s="87"/>
      <c r="AX1424" s="86"/>
      <c r="AY1424" s="83"/>
      <c r="AZ1424" s="84"/>
      <c r="BA1424" s="86"/>
      <c r="BB1424" s="86"/>
    </row>
    <row r="1425" spans="1:54" ht="36.75" customHeight="1">
      <c r="A1425" s="30"/>
      <c r="B1425" s="30" t="s">
        <v>55</v>
      </c>
      <c r="C1425" s="69" t="str">
        <f t="shared" si="93"/>
        <v>Closed</v>
      </c>
      <c r="D1425" s="27" t="s">
        <v>7947</v>
      </c>
      <c r="E1425" s="29" t="s">
        <v>7948</v>
      </c>
      <c r="F1425" s="30" t="s">
        <v>624</v>
      </c>
      <c r="G1425" s="89">
        <f>DATE(2012,9,2)</f>
        <v>41154</v>
      </c>
      <c r="H1425" s="90">
        <v>1.2493055555555554</v>
      </c>
      <c r="I1425" s="30" t="s">
        <v>104</v>
      </c>
      <c r="J1425" s="89" t="s">
        <v>7949</v>
      </c>
      <c r="K1425" s="30" t="s">
        <v>626</v>
      </c>
      <c r="L1425" s="30" t="s">
        <v>7950</v>
      </c>
      <c r="M1425" s="30" t="s">
        <v>63</v>
      </c>
      <c r="N1425" s="30" t="s">
        <v>99</v>
      </c>
      <c r="O1425" s="30" t="s">
        <v>77</v>
      </c>
      <c r="P1425" s="89" t="s">
        <v>165</v>
      </c>
      <c r="Q1425" s="89" t="s">
        <v>7951</v>
      </c>
      <c r="R1425" s="89" t="s">
        <v>629</v>
      </c>
      <c r="S1425" s="30">
        <v>0</v>
      </c>
      <c r="T1425" s="233">
        <v>0</v>
      </c>
      <c r="U1425" s="30">
        <v>0</v>
      </c>
      <c r="V1425" s="233">
        <v>0</v>
      </c>
      <c r="W1425" s="30">
        <v>0</v>
      </c>
      <c r="X1425" s="30">
        <v>0</v>
      </c>
      <c r="Y1425" s="30">
        <v>0</v>
      </c>
      <c r="Z1425" s="233">
        <v>0</v>
      </c>
      <c r="AA1425" s="30">
        <v>0</v>
      </c>
      <c r="AB1425" s="30">
        <v>0</v>
      </c>
      <c r="AC1425" s="30">
        <v>0</v>
      </c>
      <c r="AD1425" s="30">
        <v>0</v>
      </c>
      <c r="AE1425" s="89" t="s">
        <v>92</v>
      </c>
      <c r="AF1425" s="89"/>
      <c r="AG1425" s="89" t="s">
        <v>352</v>
      </c>
      <c r="AH1425" s="72">
        <v>40948</v>
      </c>
      <c r="AI1425" s="30">
        <v>3</v>
      </c>
      <c r="AJ1425" s="89" t="s">
        <v>7952</v>
      </c>
      <c r="AK1425" s="89" t="s">
        <v>68</v>
      </c>
      <c r="AL1425" s="91">
        <v>41254</v>
      </c>
      <c r="AM1425" s="91"/>
      <c r="AN1425" s="91"/>
      <c r="AO1425" s="91"/>
      <c r="AP1425" s="73" t="e">
        <f>MID(VLOOKUP(K1425,#REF!,2,FALSE),1,2)</f>
        <v>#REF!</v>
      </c>
      <c r="AQ1425" s="89">
        <f>DATE(2012,9,2)</f>
        <v>41154</v>
      </c>
      <c r="AR1425" s="82">
        <f t="shared" si="94"/>
        <v>2</v>
      </c>
      <c r="AS1425" s="83">
        <f t="shared" si="95"/>
        <v>9</v>
      </c>
      <c r="AT1425" s="84">
        <f t="shared" si="96"/>
        <v>2012</v>
      </c>
      <c r="AU1425" s="86"/>
      <c r="AV1425" s="86"/>
      <c r="AW1425" s="87"/>
      <c r="AX1425" s="86"/>
      <c r="AY1425" s="83"/>
      <c r="AZ1425" s="84"/>
      <c r="BA1425" s="86"/>
      <c r="BB1425" s="86"/>
    </row>
    <row r="1426" spans="1:54" ht="36.75" customHeight="1">
      <c r="A1426" s="30"/>
      <c r="B1426" s="30" t="s">
        <v>55</v>
      </c>
      <c r="C1426" s="69" t="str">
        <f t="shared" si="93"/>
        <v>Closed</v>
      </c>
      <c r="D1426" s="27" t="s">
        <v>7953</v>
      </c>
      <c r="E1426" s="29" t="s">
        <v>7954</v>
      </c>
      <c r="F1426" s="30" t="s">
        <v>638</v>
      </c>
      <c r="G1426" s="89">
        <f>DATE(2012,9,6)</f>
        <v>41158</v>
      </c>
      <c r="H1426" s="90">
        <v>1.1298611111111112</v>
      </c>
      <c r="I1426" s="30" t="s">
        <v>73</v>
      </c>
      <c r="J1426" s="89" t="s">
        <v>7955</v>
      </c>
      <c r="K1426" s="30" t="s">
        <v>640</v>
      </c>
      <c r="L1426" s="30" t="s">
        <v>7956</v>
      </c>
      <c r="M1426" s="30" t="s">
        <v>63</v>
      </c>
      <c r="N1426" s="30" t="s">
        <v>99</v>
      </c>
      <c r="O1426" s="30" t="s">
        <v>64</v>
      </c>
      <c r="P1426" s="89" t="s">
        <v>78</v>
      </c>
      <c r="Q1426" s="89" t="s">
        <v>642</v>
      </c>
      <c r="R1426" s="89" t="s">
        <v>643</v>
      </c>
      <c r="S1426" s="30">
        <v>0</v>
      </c>
      <c r="T1426" s="233">
        <v>0</v>
      </c>
      <c r="U1426" s="30">
        <v>0</v>
      </c>
      <c r="V1426" s="233">
        <v>0</v>
      </c>
      <c r="W1426" s="30">
        <v>0</v>
      </c>
      <c r="X1426" s="30">
        <v>0</v>
      </c>
      <c r="Y1426" s="30">
        <v>0</v>
      </c>
      <c r="Z1426" s="233">
        <v>0</v>
      </c>
      <c r="AA1426" s="30">
        <v>0</v>
      </c>
      <c r="AB1426" s="30">
        <v>0</v>
      </c>
      <c r="AC1426" s="30">
        <v>0</v>
      </c>
      <c r="AD1426" s="30">
        <v>0</v>
      </c>
      <c r="AE1426" s="89" t="s">
        <v>92</v>
      </c>
      <c r="AF1426" s="89"/>
      <c r="AG1426" s="89" t="s">
        <v>352</v>
      </c>
      <c r="AH1426" s="72">
        <v>41177</v>
      </c>
      <c r="AI1426" s="30">
        <v>6</v>
      </c>
      <c r="AJ1426" s="89" t="s">
        <v>7957</v>
      </c>
      <c r="AK1426" s="89" t="s">
        <v>68</v>
      </c>
      <c r="AL1426" s="91">
        <v>41185</v>
      </c>
      <c r="AM1426" s="91"/>
      <c r="AN1426" s="91"/>
      <c r="AO1426" s="91"/>
      <c r="AP1426" s="73" t="e">
        <f>MID(VLOOKUP(K1426,#REF!,2,FALSE),1,2)</f>
        <v>#REF!</v>
      </c>
      <c r="AQ1426" s="89">
        <f>DATE(2012,9,6)</f>
        <v>41158</v>
      </c>
      <c r="AR1426" s="82">
        <f t="shared" si="94"/>
        <v>6</v>
      </c>
      <c r="AS1426" s="83">
        <f t="shared" si="95"/>
        <v>9</v>
      </c>
      <c r="AT1426" s="84">
        <f t="shared" si="96"/>
        <v>2012</v>
      </c>
      <c r="AU1426" s="86"/>
      <c r="AV1426" s="86"/>
      <c r="AW1426" s="87"/>
      <c r="AX1426" s="86"/>
      <c r="AY1426" s="83"/>
      <c r="AZ1426" s="84"/>
      <c r="BA1426" s="86"/>
      <c r="BB1426" s="86"/>
    </row>
    <row r="1427" spans="1:54" ht="36.75" customHeight="1">
      <c r="A1427" s="30"/>
      <c r="B1427" s="30" t="s">
        <v>55</v>
      </c>
      <c r="C1427" s="69" t="str">
        <f t="shared" si="93"/>
        <v>Closed</v>
      </c>
      <c r="D1427" s="27" t="s">
        <v>7958</v>
      </c>
      <c r="E1427" s="29" t="s">
        <v>7959</v>
      </c>
      <c r="F1427" s="30" t="s">
        <v>197</v>
      </c>
      <c r="G1427" s="89">
        <f>DATE(2012,9,7)</f>
        <v>41159</v>
      </c>
      <c r="H1427" s="90">
        <v>1.3194444444444444</v>
      </c>
      <c r="I1427" s="30" t="s">
        <v>116</v>
      </c>
      <c r="J1427" s="89" t="s">
        <v>7960</v>
      </c>
      <c r="K1427" s="30" t="s">
        <v>200</v>
      </c>
      <c r="L1427" s="30" t="s">
        <v>7961</v>
      </c>
      <c r="M1427" s="30" t="s">
        <v>63</v>
      </c>
      <c r="N1427" s="30" t="s">
        <v>99</v>
      </c>
      <c r="O1427" s="30" t="s">
        <v>64</v>
      </c>
      <c r="P1427" s="89" t="s">
        <v>165</v>
      </c>
      <c r="Q1427" s="89">
        <v>0</v>
      </c>
      <c r="R1427" s="89">
        <v>0</v>
      </c>
      <c r="S1427" s="30">
        <v>0</v>
      </c>
      <c r="T1427" s="233">
        <v>0</v>
      </c>
      <c r="U1427" s="30">
        <v>0</v>
      </c>
      <c r="V1427" s="233">
        <v>0</v>
      </c>
      <c r="W1427" s="30">
        <v>0</v>
      </c>
      <c r="X1427" s="30">
        <v>0</v>
      </c>
      <c r="Y1427" s="30">
        <v>0</v>
      </c>
      <c r="Z1427" s="233">
        <v>0</v>
      </c>
      <c r="AA1427" s="30">
        <v>0</v>
      </c>
      <c r="AB1427" s="30">
        <v>0</v>
      </c>
      <c r="AC1427" s="30">
        <v>0</v>
      </c>
      <c r="AD1427" s="30">
        <v>0</v>
      </c>
      <c r="AE1427" s="89" t="s">
        <v>92</v>
      </c>
      <c r="AF1427" s="89"/>
      <c r="AG1427" s="89" t="s">
        <v>352</v>
      </c>
      <c r="AH1427" s="72">
        <v>41172</v>
      </c>
      <c r="AI1427" s="30">
        <v>1</v>
      </c>
      <c r="AJ1427" s="89" t="s">
        <v>7962</v>
      </c>
      <c r="AK1427" s="89" t="s">
        <v>1233</v>
      </c>
      <c r="AL1427" s="91">
        <v>41654</v>
      </c>
      <c r="AM1427" s="91"/>
      <c r="AN1427" s="91"/>
      <c r="AO1427" s="91"/>
      <c r="AP1427" s="73" t="e">
        <f>MID(VLOOKUP(K1427,#REF!,2,FALSE),1,2)</f>
        <v>#REF!</v>
      </c>
      <c r="AQ1427" s="89">
        <f>DATE(2012,9,7)</f>
        <v>41159</v>
      </c>
      <c r="AR1427" s="82">
        <f t="shared" si="94"/>
        <v>7</v>
      </c>
      <c r="AS1427" s="83">
        <f t="shared" si="95"/>
        <v>9</v>
      </c>
      <c r="AT1427" s="84">
        <f t="shared" si="96"/>
        <v>2012</v>
      </c>
      <c r="AU1427" s="86"/>
      <c r="AV1427" s="86"/>
      <c r="AW1427" s="87"/>
      <c r="AX1427" s="86"/>
      <c r="AY1427" s="83"/>
      <c r="AZ1427" s="84"/>
      <c r="BA1427" s="86"/>
      <c r="BB1427" s="86"/>
    </row>
    <row r="1428" spans="1:54" ht="36.75" customHeight="1">
      <c r="A1428" s="30"/>
      <c r="B1428" s="30" t="s">
        <v>55</v>
      </c>
      <c r="C1428" s="69" t="str">
        <f t="shared" si="93"/>
        <v>Closed</v>
      </c>
      <c r="D1428" s="27" t="s">
        <v>7963</v>
      </c>
      <c r="E1428" s="29" t="s">
        <v>7964</v>
      </c>
      <c r="F1428" s="30" t="s">
        <v>423</v>
      </c>
      <c r="G1428" s="89">
        <f>DATE(2012,9,10)</f>
        <v>41162</v>
      </c>
      <c r="H1428" s="90">
        <v>1.2201388888888889</v>
      </c>
      <c r="I1428" s="30" t="s">
        <v>73</v>
      </c>
      <c r="J1428" s="89" t="s">
        <v>7965</v>
      </c>
      <c r="K1428" s="30" t="s">
        <v>425</v>
      </c>
      <c r="L1428" s="30" t="s">
        <v>7966</v>
      </c>
      <c r="M1428" s="30" t="s">
        <v>63</v>
      </c>
      <c r="N1428" s="30" t="s">
        <v>142</v>
      </c>
      <c r="O1428" s="30" t="s">
        <v>64</v>
      </c>
      <c r="P1428" s="89" t="s">
        <v>78</v>
      </c>
      <c r="Q1428" s="89" t="s">
        <v>5199</v>
      </c>
      <c r="R1428" s="89" t="s">
        <v>3103</v>
      </c>
      <c r="S1428" s="30">
        <v>0</v>
      </c>
      <c r="T1428" s="233">
        <v>0</v>
      </c>
      <c r="U1428" s="30">
        <v>0</v>
      </c>
      <c r="V1428" s="233">
        <v>0</v>
      </c>
      <c r="W1428" s="30">
        <v>0</v>
      </c>
      <c r="X1428" s="30">
        <v>0</v>
      </c>
      <c r="Y1428" s="30">
        <v>0</v>
      </c>
      <c r="Z1428" s="233">
        <v>0</v>
      </c>
      <c r="AA1428" s="30">
        <v>0</v>
      </c>
      <c r="AB1428" s="30">
        <v>0</v>
      </c>
      <c r="AC1428" s="30">
        <v>0</v>
      </c>
      <c r="AD1428" s="30">
        <v>0</v>
      </c>
      <c r="AE1428" s="89" t="s">
        <v>394</v>
      </c>
      <c r="AF1428" s="89"/>
      <c r="AG1428" s="89" t="s">
        <v>133</v>
      </c>
      <c r="AH1428" s="72">
        <v>41191</v>
      </c>
      <c r="AI1428" s="30">
        <v>8</v>
      </c>
      <c r="AJ1428" s="89" t="s">
        <v>7967</v>
      </c>
      <c r="AK1428" s="89" t="s">
        <v>7968</v>
      </c>
      <c r="AL1428" s="91">
        <v>41163</v>
      </c>
      <c r="AM1428" s="91"/>
      <c r="AN1428" s="91"/>
      <c r="AO1428" s="91"/>
      <c r="AP1428" s="73" t="e">
        <f>MID(VLOOKUP(K1428,#REF!,2,FALSE),1,2)</f>
        <v>#REF!</v>
      </c>
      <c r="AQ1428" s="89">
        <f>DATE(2012,9,10)</f>
        <v>41162</v>
      </c>
      <c r="AR1428" s="82">
        <f t="shared" si="94"/>
        <v>10</v>
      </c>
      <c r="AS1428" s="83">
        <f t="shared" si="95"/>
        <v>9</v>
      </c>
      <c r="AT1428" s="84">
        <f t="shared" si="96"/>
        <v>2012</v>
      </c>
      <c r="AU1428" s="86"/>
      <c r="AV1428" s="86"/>
      <c r="AW1428" s="87"/>
      <c r="AX1428" s="86"/>
      <c r="AY1428" s="83"/>
      <c r="AZ1428" s="84"/>
      <c r="BA1428" s="86"/>
      <c r="BB1428" s="86"/>
    </row>
    <row r="1429" spans="1:54" ht="36.75" customHeight="1">
      <c r="A1429" s="30"/>
      <c r="B1429" s="30" t="s">
        <v>55</v>
      </c>
      <c r="C1429" s="69" t="str">
        <f t="shared" si="93"/>
        <v>Closed</v>
      </c>
      <c r="D1429" s="27" t="s">
        <v>7969</v>
      </c>
      <c r="E1429" s="29" t="s">
        <v>7970</v>
      </c>
      <c r="F1429" s="30" t="s">
        <v>124</v>
      </c>
      <c r="G1429" s="89">
        <f>DATE(2012,9,14)</f>
        <v>41166</v>
      </c>
      <c r="H1429" s="90">
        <v>1.7465277777777777</v>
      </c>
      <c r="I1429" s="30" t="s">
        <v>198</v>
      </c>
      <c r="J1429" s="89" t="s">
        <v>7971</v>
      </c>
      <c r="K1429" s="30" t="s">
        <v>127</v>
      </c>
      <c r="L1429" s="30" t="s">
        <v>7972</v>
      </c>
      <c r="M1429" s="30" t="s">
        <v>63</v>
      </c>
      <c r="N1429" s="30" t="s">
        <v>89</v>
      </c>
      <c r="O1429" s="30" t="s">
        <v>90</v>
      </c>
      <c r="P1429" s="89" t="s">
        <v>91</v>
      </c>
      <c r="Q1429" s="89" t="s">
        <v>4232</v>
      </c>
      <c r="R1429" s="89" t="s">
        <v>167</v>
      </c>
      <c r="S1429" s="30">
        <v>0</v>
      </c>
      <c r="T1429" s="233">
        <v>0</v>
      </c>
      <c r="U1429" s="30">
        <v>0</v>
      </c>
      <c r="V1429" s="233">
        <v>0</v>
      </c>
      <c r="W1429" s="30">
        <v>0</v>
      </c>
      <c r="X1429" s="30">
        <v>0</v>
      </c>
      <c r="Y1429" s="30">
        <v>0</v>
      </c>
      <c r="Z1429" s="233">
        <v>1</v>
      </c>
      <c r="AA1429" s="30">
        <v>0</v>
      </c>
      <c r="AB1429" s="30">
        <v>0</v>
      </c>
      <c r="AC1429" s="30">
        <v>0</v>
      </c>
      <c r="AD1429" s="30">
        <v>1</v>
      </c>
      <c r="AE1429" s="89" t="s">
        <v>92</v>
      </c>
      <c r="AF1429" s="89"/>
      <c r="AG1429" s="89" t="s">
        <v>133</v>
      </c>
      <c r="AH1429" s="72">
        <v>41178</v>
      </c>
      <c r="AI1429" s="30">
        <v>0</v>
      </c>
      <c r="AJ1429" s="89" t="s">
        <v>7973</v>
      </c>
      <c r="AK1429" s="89" t="s">
        <v>1233</v>
      </c>
      <c r="AL1429" s="91">
        <v>41183</v>
      </c>
      <c r="AM1429" s="91"/>
      <c r="AN1429" s="91"/>
      <c r="AO1429" s="91"/>
      <c r="AP1429" s="73" t="e">
        <f>MID(VLOOKUP(K1429,#REF!,2,FALSE),1,2)</f>
        <v>#REF!</v>
      </c>
      <c r="AQ1429" s="89">
        <f>DATE(2012,9,14)</f>
        <v>41166</v>
      </c>
      <c r="AR1429" s="82">
        <f t="shared" si="94"/>
        <v>14</v>
      </c>
      <c r="AS1429" s="83">
        <f t="shared" si="95"/>
        <v>9</v>
      </c>
      <c r="AT1429" s="84">
        <f t="shared" si="96"/>
        <v>2012</v>
      </c>
      <c r="AU1429" s="86"/>
      <c r="AV1429" s="86"/>
      <c r="AW1429" s="87"/>
      <c r="AX1429" s="86"/>
      <c r="AY1429" s="83"/>
      <c r="AZ1429" s="84"/>
      <c r="BA1429" s="86"/>
      <c r="BB1429" s="86"/>
    </row>
    <row r="1430" spans="1:54" ht="36.75" customHeight="1">
      <c r="A1430" s="30"/>
      <c r="B1430" s="30" t="s">
        <v>55</v>
      </c>
      <c r="C1430" s="69" t="str">
        <f t="shared" si="93"/>
        <v>Closed</v>
      </c>
      <c r="D1430" s="27" t="s">
        <v>7974</v>
      </c>
      <c r="E1430" s="29" t="s">
        <v>7975</v>
      </c>
      <c r="F1430" s="30" t="s">
        <v>233</v>
      </c>
      <c r="G1430" s="89">
        <f>DATE(2012,9,14)</f>
        <v>41166</v>
      </c>
      <c r="H1430" s="90">
        <v>1.5833333333333335</v>
      </c>
      <c r="I1430" s="30" t="s">
        <v>431</v>
      </c>
      <c r="J1430" s="89" t="s">
        <v>7976</v>
      </c>
      <c r="K1430" s="30" t="s">
        <v>235</v>
      </c>
      <c r="L1430" s="30" t="s">
        <v>7977</v>
      </c>
      <c r="M1430" s="30" t="s">
        <v>63</v>
      </c>
      <c r="N1430" s="30" t="s">
        <v>142</v>
      </c>
      <c r="O1430" s="30" t="s">
        <v>64</v>
      </c>
      <c r="P1430" s="89" t="s">
        <v>86</v>
      </c>
      <c r="Q1430" s="89" t="s">
        <v>718</v>
      </c>
      <c r="R1430" s="89" t="s">
        <v>238</v>
      </c>
      <c r="S1430" s="30">
        <v>0</v>
      </c>
      <c r="T1430" s="233">
        <v>0</v>
      </c>
      <c r="U1430" s="30">
        <v>0</v>
      </c>
      <c r="V1430" s="233">
        <v>0</v>
      </c>
      <c r="W1430" s="30">
        <v>0</v>
      </c>
      <c r="X1430" s="30">
        <v>0</v>
      </c>
      <c r="Y1430" s="30">
        <v>0</v>
      </c>
      <c r="Z1430" s="233">
        <v>0</v>
      </c>
      <c r="AA1430" s="30">
        <v>0</v>
      </c>
      <c r="AB1430" s="30">
        <v>0</v>
      </c>
      <c r="AC1430" s="30">
        <v>0</v>
      </c>
      <c r="AD1430" s="30">
        <v>0</v>
      </c>
      <c r="AE1430" s="89" t="s">
        <v>92</v>
      </c>
      <c r="AF1430" s="89"/>
      <c r="AG1430" s="89" t="s">
        <v>352</v>
      </c>
      <c r="AH1430" s="72">
        <v>41253</v>
      </c>
      <c r="AI1430" s="30">
        <v>5</v>
      </c>
      <c r="AJ1430" s="89" t="s">
        <v>7978</v>
      </c>
      <c r="AK1430" s="89" t="s">
        <v>7978</v>
      </c>
      <c r="AL1430" s="91">
        <v>41264</v>
      </c>
      <c r="AM1430" s="91"/>
      <c r="AN1430" s="91"/>
      <c r="AO1430" s="91"/>
      <c r="AP1430" s="73" t="e">
        <f>MID(VLOOKUP(K1430,#REF!,2,FALSE),1,2)</f>
        <v>#REF!</v>
      </c>
      <c r="AQ1430" s="89">
        <f>DATE(2012,9,14)</f>
        <v>41166</v>
      </c>
      <c r="AR1430" s="82">
        <f t="shared" si="94"/>
        <v>14</v>
      </c>
      <c r="AS1430" s="83">
        <f t="shared" si="95"/>
        <v>9</v>
      </c>
      <c r="AT1430" s="84">
        <f t="shared" si="96"/>
        <v>2012</v>
      </c>
      <c r="AU1430" s="86"/>
      <c r="AV1430" s="86"/>
      <c r="AW1430" s="87"/>
      <c r="AX1430" s="86"/>
      <c r="AY1430" s="83"/>
      <c r="AZ1430" s="84"/>
      <c r="BA1430" s="86"/>
      <c r="BB1430" s="86"/>
    </row>
    <row r="1431" spans="1:54" ht="36.75" customHeight="1">
      <c r="A1431" s="30"/>
      <c r="B1431" s="30" t="s">
        <v>55</v>
      </c>
      <c r="C1431" s="69" t="str">
        <f t="shared" si="93"/>
        <v>Closed</v>
      </c>
      <c r="D1431" s="27" t="s">
        <v>7979</v>
      </c>
      <c r="E1431" s="29" t="s">
        <v>7980</v>
      </c>
      <c r="F1431" s="30" t="s">
        <v>197</v>
      </c>
      <c r="G1431" s="89">
        <f>DATE(2012,9,16)</f>
        <v>41168</v>
      </c>
      <c r="H1431" s="90">
        <v>1.598611111111111</v>
      </c>
      <c r="I1431" s="30" t="s">
        <v>73</v>
      </c>
      <c r="J1431" s="89" t="s">
        <v>7981</v>
      </c>
      <c r="K1431" s="30" t="s">
        <v>200</v>
      </c>
      <c r="L1431" s="30" t="s">
        <v>7961</v>
      </c>
      <c r="M1431" s="30" t="s">
        <v>63</v>
      </c>
      <c r="N1431" s="30" t="s">
        <v>99</v>
      </c>
      <c r="O1431" s="30" t="s">
        <v>64</v>
      </c>
      <c r="P1431" s="89" t="s">
        <v>7982</v>
      </c>
      <c r="Q1431" s="89">
        <v>0</v>
      </c>
      <c r="R1431" s="89">
        <v>0</v>
      </c>
      <c r="S1431" s="30">
        <v>0</v>
      </c>
      <c r="T1431" s="233">
        <v>0</v>
      </c>
      <c r="U1431" s="30">
        <v>0</v>
      </c>
      <c r="V1431" s="233">
        <v>0</v>
      </c>
      <c r="W1431" s="30">
        <v>0</v>
      </c>
      <c r="X1431" s="30">
        <v>0</v>
      </c>
      <c r="Y1431" s="30">
        <v>0</v>
      </c>
      <c r="Z1431" s="233">
        <v>0</v>
      </c>
      <c r="AA1431" s="30">
        <v>0</v>
      </c>
      <c r="AB1431" s="30">
        <v>0</v>
      </c>
      <c r="AC1431" s="30">
        <v>0</v>
      </c>
      <c r="AD1431" s="30">
        <v>0</v>
      </c>
      <c r="AE1431" s="89" t="s">
        <v>92</v>
      </c>
      <c r="AF1431" s="89"/>
      <c r="AG1431" s="89" t="s">
        <v>1507</v>
      </c>
      <c r="AH1431" s="72">
        <v>41169</v>
      </c>
      <c r="AI1431" s="30">
        <v>10</v>
      </c>
      <c r="AJ1431" s="89" t="s">
        <v>7983</v>
      </c>
      <c r="AK1431" s="89" t="s">
        <v>1233</v>
      </c>
      <c r="AL1431" s="91">
        <v>41654</v>
      </c>
      <c r="AM1431" s="91"/>
      <c r="AN1431" s="91"/>
      <c r="AO1431" s="91"/>
      <c r="AP1431" s="73" t="e">
        <f>MID(VLOOKUP(K1431,#REF!,2,FALSE),1,2)</f>
        <v>#REF!</v>
      </c>
      <c r="AQ1431" s="89">
        <f>DATE(2012,9,16)</f>
        <v>41168</v>
      </c>
      <c r="AR1431" s="82">
        <f t="shared" si="94"/>
        <v>16</v>
      </c>
      <c r="AS1431" s="83">
        <f t="shared" si="95"/>
        <v>9</v>
      </c>
      <c r="AT1431" s="84">
        <f t="shared" si="96"/>
        <v>2012</v>
      </c>
      <c r="AU1431" s="86"/>
      <c r="AV1431" s="86"/>
      <c r="AW1431" s="87"/>
      <c r="AX1431" s="86"/>
      <c r="AY1431" s="83"/>
      <c r="AZ1431" s="84"/>
      <c r="BA1431" s="86"/>
      <c r="BB1431" s="86"/>
    </row>
    <row r="1432" spans="1:54" ht="36.75" customHeight="1">
      <c r="A1432" s="30"/>
      <c r="B1432" s="30" t="s">
        <v>55</v>
      </c>
      <c r="C1432" s="69" t="str">
        <f t="shared" si="93"/>
        <v>Closed</v>
      </c>
      <c r="D1432" s="27" t="s">
        <v>7984</v>
      </c>
      <c r="E1432" s="29" t="s">
        <v>7985</v>
      </c>
      <c r="F1432" s="30" t="s">
        <v>835</v>
      </c>
      <c r="G1432" s="89">
        <f>DATE(2012,9,19)</f>
        <v>41171</v>
      </c>
      <c r="H1432" s="90">
        <v>1.4409722222222223</v>
      </c>
      <c r="I1432" s="30" t="s">
        <v>116</v>
      </c>
      <c r="J1432" s="89" t="s">
        <v>7986</v>
      </c>
      <c r="K1432" s="30" t="s">
        <v>837</v>
      </c>
      <c r="L1432" s="30" t="s">
        <v>7987</v>
      </c>
      <c r="M1432" s="30" t="s">
        <v>63</v>
      </c>
      <c r="N1432" s="30" t="s">
        <v>99</v>
      </c>
      <c r="O1432" s="30" t="s">
        <v>64</v>
      </c>
      <c r="P1432" s="89" t="s">
        <v>165</v>
      </c>
      <c r="Q1432" s="89" t="s">
        <v>2162</v>
      </c>
      <c r="R1432" s="89" t="s">
        <v>840</v>
      </c>
      <c r="S1432" s="30">
        <v>0</v>
      </c>
      <c r="T1432" s="233">
        <v>0</v>
      </c>
      <c r="U1432" s="30">
        <v>0</v>
      </c>
      <c r="V1432" s="233">
        <v>0</v>
      </c>
      <c r="W1432" s="30">
        <v>0</v>
      </c>
      <c r="X1432" s="30">
        <v>0</v>
      </c>
      <c r="Y1432" s="30">
        <v>0</v>
      </c>
      <c r="Z1432" s="233">
        <v>0</v>
      </c>
      <c r="AA1432" s="30">
        <v>0</v>
      </c>
      <c r="AB1432" s="30">
        <v>0</v>
      </c>
      <c r="AC1432" s="30">
        <v>0</v>
      </c>
      <c r="AD1432" s="30">
        <v>0</v>
      </c>
      <c r="AE1432" s="89" t="s">
        <v>92</v>
      </c>
      <c r="AF1432" s="89"/>
      <c r="AG1432" s="89" t="s">
        <v>352</v>
      </c>
      <c r="AH1432" s="72">
        <v>41177</v>
      </c>
      <c r="AI1432" s="30">
        <v>0</v>
      </c>
      <c r="AJ1432" s="89" t="s">
        <v>7988</v>
      </c>
      <c r="AK1432" s="89" t="s">
        <v>68</v>
      </c>
      <c r="AL1432" s="91">
        <v>41284</v>
      </c>
      <c r="AM1432" s="91"/>
      <c r="AN1432" s="91"/>
      <c r="AO1432" s="91"/>
      <c r="AP1432" s="73" t="e">
        <f>MID(VLOOKUP(K1432,#REF!,2,FALSE),1,2)</f>
        <v>#REF!</v>
      </c>
      <c r="AQ1432" s="89">
        <f>DATE(2012,9,19)</f>
        <v>41171</v>
      </c>
      <c r="AR1432" s="82">
        <f t="shared" si="94"/>
        <v>19</v>
      </c>
      <c r="AS1432" s="83">
        <f t="shared" si="95"/>
        <v>9</v>
      </c>
      <c r="AT1432" s="84">
        <f t="shared" si="96"/>
        <v>2012</v>
      </c>
      <c r="AU1432" s="86"/>
      <c r="AV1432" s="86"/>
      <c r="AW1432" s="87"/>
      <c r="AX1432" s="86"/>
      <c r="AY1432" s="83"/>
      <c r="AZ1432" s="84"/>
      <c r="BA1432" s="86"/>
      <c r="BB1432" s="86"/>
    </row>
    <row r="1433" spans="1:54" ht="36.75" customHeight="1">
      <c r="A1433" s="30"/>
      <c r="B1433" s="30" t="s">
        <v>55</v>
      </c>
      <c r="C1433" s="69" t="str">
        <f t="shared" si="93"/>
        <v>Closed</v>
      </c>
      <c r="D1433" s="27" t="s">
        <v>7989</v>
      </c>
      <c r="E1433" s="29" t="s">
        <v>7990</v>
      </c>
      <c r="F1433" s="30" t="s">
        <v>835</v>
      </c>
      <c r="G1433" s="89">
        <f>DATE(2012,9,19)</f>
        <v>41171</v>
      </c>
      <c r="H1433" s="90">
        <v>1.4256944444444444</v>
      </c>
      <c r="I1433" s="30" t="s">
        <v>278</v>
      </c>
      <c r="J1433" s="89" t="s">
        <v>7991</v>
      </c>
      <c r="K1433" s="30" t="s">
        <v>837</v>
      </c>
      <c r="L1433" s="30" t="s">
        <v>7992</v>
      </c>
      <c r="M1433" s="30" t="s">
        <v>63</v>
      </c>
      <c r="N1433" s="30" t="s">
        <v>142</v>
      </c>
      <c r="O1433" s="30" t="s">
        <v>77</v>
      </c>
      <c r="P1433" s="89" t="s">
        <v>65</v>
      </c>
      <c r="Q1433" s="89" t="s">
        <v>2162</v>
      </c>
      <c r="R1433" s="89" t="s">
        <v>840</v>
      </c>
      <c r="S1433" s="30">
        <v>0</v>
      </c>
      <c r="T1433" s="233">
        <v>0</v>
      </c>
      <c r="U1433" s="30">
        <v>0</v>
      </c>
      <c r="V1433" s="233">
        <v>1</v>
      </c>
      <c r="W1433" s="30">
        <v>0</v>
      </c>
      <c r="X1433" s="30">
        <v>1</v>
      </c>
      <c r="Y1433" s="30">
        <v>0</v>
      </c>
      <c r="Z1433" s="233">
        <v>0</v>
      </c>
      <c r="AA1433" s="30">
        <v>0</v>
      </c>
      <c r="AB1433" s="30">
        <v>0</v>
      </c>
      <c r="AC1433" s="30">
        <v>0</v>
      </c>
      <c r="AD1433" s="30">
        <v>0</v>
      </c>
      <c r="AE1433" s="89" t="s">
        <v>92</v>
      </c>
      <c r="AF1433" s="89"/>
      <c r="AG1433" s="89" t="s">
        <v>352</v>
      </c>
      <c r="AH1433" s="72">
        <v>41171</v>
      </c>
      <c r="AI1433" s="30">
        <v>1</v>
      </c>
      <c r="AJ1433" s="89" t="s">
        <v>7993</v>
      </c>
      <c r="AK1433" s="89" t="s">
        <v>7994</v>
      </c>
      <c r="AL1433" s="91">
        <v>41296</v>
      </c>
      <c r="AM1433" s="91"/>
      <c r="AN1433" s="91"/>
      <c r="AO1433" s="91"/>
      <c r="AP1433" s="73" t="e">
        <f>MID(VLOOKUP(K1433,#REF!,2,FALSE),1,2)</f>
        <v>#REF!</v>
      </c>
      <c r="AQ1433" s="89">
        <f>DATE(2012,9,19)</f>
        <v>41171</v>
      </c>
      <c r="AR1433" s="82">
        <f t="shared" si="94"/>
        <v>19</v>
      </c>
      <c r="AS1433" s="83">
        <f t="shared" si="95"/>
        <v>9</v>
      </c>
      <c r="AT1433" s="84">
        <f t="shared" si="96"/>
        <v>2012</v>
      </c>
      <c r="AU1433" s="86"/>
      <c r="AV1433" s="86"/>
      <c r="AW1433" s="87"/>
      <c r="AX1433" s="86"/>
      <c r="AY1433" s="83"/>
      <c r="AZ1433" s="84"/>
      <c r="BA1433" s="86"/>
      <c r="BB1433" s="86"/>
    </row>
    <row r="1434" spans="1:54" ht="36.75" customHeight="1">
      <c r="A1434" s="30"/>
      <c r="B1434" s="30" t="s">
        <v>55</v>
      </c>
      <c r="C1434" s="69" t="str">
        <f t="shared" si="93"/>
        <v>Closed</v>
      </c>
      <c r="D1434" s="27" t="s">
        <v>7995</v>
      </c>
      <c r="E1434" s="29" t="s">
        <v>7996</v>
      </c>
      <c r="F1434" s="30" t="s">
        <v>138</v>
      </c>
      <c r="G1434" s="89">
        <f>DATE(2012,9,20)</f>
        <v>41172</v>
      </c>
      <c r="H1434" s="90">
        <v>1.567361111111111</v>
      </c>
      <c r="I1434" s="30" t="s">
        <v>278</v>
      </c>
      <c r="J1434" s="89" t="s">
        <v>7997</v>
      </c>
      <c r="K1434" s="30" t="s">
        <v>140</v>
      </c>
      <c r="L1434" s="30" t="s">
        <v>7998</v>
      </c>
      <c r="M1434" s="30" t="s">
        <v>63</v>
      </c>
      <c r="N1434" s="30" t="s">
        <v>89</v>
      </c>
      <c r="O1434" s="30" t="s">
        <v>90</v>
      </c>
      <c r="P1434" s="89" t="s">
        <v>91</v>
      </c>
      <c r="Q1434" s="89" t="s">
        <v>143</v>
      </c>
      <c r="R1434" s="89" t="s">
        <v>144</v>
      </c>
      <c r="S1434" s="30">
        <v>0</v>
      </c>
      <c r="T1434" s="233">
        <v>1</v>
      </c>
      <c r="U1434" s="30">
        <v>0</v>
      </c>
      <c r="V1434" s="233">
        <v>0</v>
      </c>
      <c r="W1434" s="30">
        <v>0</v>
      </c>
      <c r="X1434" s="30">
        <v>1</v>
      </c>
      <c r="Y1434" s="30">
        <v>0</v>
      </c>
      <c r="Z1434" s="233">
        <v>0</v>
      </c>
      <c r="AA1434" s="30">
        <v>0</v>
      </c>
      <c r="AB1434" s="30">
        <v>0</v>
      </c>
      <c r="AC1434" s="30">
        <v>0</v>
      </c>
      <c r="AD1434" s="30">
        <v>0</v>
      </c>
      <c r="AE1434" s="89" t="s">
        <v>92</v>
      </c>
      <c r="AF1434" s="89"/>
      <c r="AG1434" s="89" t="s">
        <v>133</v>
      </c>
      <c r="AH1434" s="72">
        <v>41176</v>
      </c>
      <c r="AI1434" s="30">
        <v>2</v>
      </c>
      <c r="AJ1434" s="89" t="s">
        <v>7999</v>
      </c>
      <c r="AK1434" s="89" t="s">
        <v>8000</v>
      </c>
      <c r="AL1434" s="91">
        <v>41338</v>
      </c>
      <c r="AM1434" s="91"/>
      <c r="AN1434" s="91"/>
      <c r="AO1434" s="91"/>
      <c r="AP1434" s="73" t="e">
        <f>MID(VLOOKUP(K1434,#REF!,2,FALSE),1,2)</f>
        <v>#REF!</v>
      </c>
      <c r="AQ1434" s="89">
        <f>DATE(2012,9,20)</f>
        <v>41172</v>
      </c>
      <c r="AR1434" s="82">
        <f t="shared" si="94"/>
        <v>20</v>
      </c>
      <c r="AS1434" s="83">
        <f t="shared" si="95"/>
        <v>9</v>
      </c>
      <c r="AT1434" s="84">
        <f t="shared" si="96"/>
        <v>2012</v>
      </c>
      <c r="AU1434" s="86"/>
      <c r="AV1434" s="86"/>
      <c r="AW1434" s="87"/>
      <c r="AX1434" s="86"/>
      <c r="AY1434" s="83"/>
      <c r="AZ1434" s="84"/>
      <c r="BA1434" s="86"/>
      <c r="BB1434" s="86"/>
    </row>
    <row r="1435" spans="1:54" ht="36.75" customHeight="1">
      <c r="A1435" s="30"/>
      <c r="B1435" s="30" t="s">
        <v>55</v>
      </c>
      <c r="C1435" s="69" t="str">
        <f t="shared" si="93"/>
        <v>Closed</v>
      </c>
      <c r="D1435" s="27" t="s">
        <v>8001</v>
      </c>
      <c r="E1435" s="29" t="s">
        <v>8002</v>
      </c>
      <c r="F1435" s="30" t="s">
        <v>197</v>
      </c>
      <c r="G1435" s="89">
        <f>DATE(2012,9,21)</f>
        <v>41173</v>
      </c>
      <c r="H1435" s="90">
        <v>0</v>
      </c>
      <c r="I1435" s="30" t="s">
        <v>116</v>
      </c>
      <c r="J1435" s="89" t="s">
        <v>8003</v>
      </c>
      <c r="K1435" s="30" t="s">
        <v>200</v>
      </c>
      <c r="L1435" s="30" t="s">
        <v>8004</v>
      </c>
      <c r="M1435" s="30" t="s">
        <v>63</v>
      </c>
      <c r="N1435" s="30" t="s">
        <v>99</v>
      </c>
      <c r="O1435" s="30" t="s">
        <v>64</v>
      </c>
      <c r="P1435" s="89" t="s">
        <v>165</v>
      </c>
      <c r="Q1435" s="89" t="s">
        <v>200</v>
      </c>
      <c r="R1435" s="89" t="s">
        <v>200</v>
      </c>
      <c r="S1435" s="30">
        <v>0</v>
      </c>
      <c r="T1435" s="233">
        <v>0</v>
      </c>
      <c r="U1435" s="30">
        <v>0</v>
      </c>
      <c r="V1435" s="233">
        <v>0</v>
      </c>
      <c r="W1435" s="30">
        <v>0</v>
      </c>
      <c r="X1435" s="30">
        <v>0</v>
      </c>
      <c r="Y1435" s="30">
        <v>0</v>
      </c>
      <c r="Z1435" s="233">
        <v>0</v>
      </c>
      <c r="AA1435" s="30">
        <v>1</v>
      </c>
      <c r="AB1435" s="30">
        <v>0</v>
      </c>
      <c r="AC1435" s="30">
        <v>0</v>
      </c>
      <c r="AD1435" s="30">
        <v>1</v>
      </c>
      <c r="AE1435" s="89" t="s">
        <v>92</v>
      </c>
      <c r="AF1435" s="89"/>
      <c r="AG1435" s="89" t="s">
        <v>133</v>
      </c>
      <c r="AH1435" s="72">
        <v>41173</v>
      </c>
      <c r="AI1435" s="30">
        <v>5</v>
      </c>
      <c r="AJ1435" s="89" t="s">
        <v>7774</v>
      </c>
      <c r="AK1435" s="89" t="s">
        <v>1233</v>
      </c>
      <c r="AL1435" s="91">
        <v>41536</v>
      </c>
      <c r="AM1435" s="91"/>
      <c r="AN1435" s="91"/>
      <c r="AO1435" s="91"/>
      <c r="AP1435" s="73" t="e">
        <f>MID(VLOOKUP(K1435,#REF!,2,FALSE),1,2)</f>
        <v>#REF!</v>
      </c>
      <c r="AQ1435" s="89">
        <f>DATE(2012,9,21)</f>
        <v>41173</v>
      </c>
      <c r="AR1435" s="82">
        <f t="shared" si="94"/>
        <v>21</v>
      </c>
      <c r="AS1435" s="83">
        <f t="shared" si="95"/>
        <v>9</v>
      </c>
      <c r="AT1435" s="84">
        <f t="shared" si="96"/>
        <v>2012</v>
      </c>
      <c r="AU1435" s="86"/>
      <c r="AV1435" s="86"/>
      <c r="AW1435" s="87"/>
      <c r="AX1435" s="86"/>
      <c r="AY1435" s="83"/>
      <c r="AZ1435" s="84"/>
      <c r="BA1435" s="86"/>
      <c r="BB1435" s="86"/>
    </row>
    <row r="1436" spans="1:54" ht="36.75" customHeight="1">
      <c r="A1436" s="30"/>
      <c r="B1436" s="30" t="s">
        <v>55</v>
      </c>
      <c r="C1436" s="69" t="str">
        <f t="shared" si="93"/>
        <v>Closed</v>
      </c>
      <c r="D1436" s="27" t="s">
        <v>8005</v>
      </c>
      <c r="E1436" s="29" t="s">
        <v>8006</v>
      </c>
      <c r="F1436" s="30" t="s">
        <v>377</v>
      </c>
      <c r="G1436" s="89">
        <f>DATE(2012,9,21)</f>
        <v>41173</v>
      </c>
      <c r="H1436" s="90">
        <v>1.2951388888888888</v>
      </c>
      <c r="I1436" s="30" t="s">
        <v>116</v>
      </c>
      <c r="J1436" s="89" t="s">
        <v>8007</v>
      </c>
      <c r="K1436" s="30" t="s">
        <v>379</v>
      </c>
      <c r="L1436" s="30" t="s">
        <v>8008</v>
      </c>
      <c r="M1436" s="30" t="s">
        <v>63</v>
      </c>
      <c r="N1436" s="30" t="s">
        <v>142</v>
      </c>
      <c r="O1436" s="30" t="s">
        <v>64</v>
      </c>
      <c r="P1436" s="89" t="s">
        <v>381</v>
      </c>
      <c r="Q1436" s="89" t="s">
        <v>2906</v>
      </c>
      <c r="R1436" s="89" t="s">
        <v>382</v>
      </c>
      <c r="S1436" s="30">
        <v>0</v>
      </c>
      <c r="T1436" s="233">
        <v>0</v>
      </c>
      <c r="U1436" s="30">
        <v>0</v>
      </c>
      <c r="V1436" s="233">
        <v>0</v>
      </c>
      <c r="W1436" s="30">
        <v>0</v>
      </c>
      <c r="X1436" s="30">
        <v>0</v>
      </c>
      <c r="Y1436" s="30">
        <v>0</v>
      </c>
      <c r="Z1436" s="233">
        <v>0</v>
      </c>
      <c r="AA1436" s="30">
        <v>0</v>
      </c>
      <c r="AB1436" s="30">
        <v>0</v>
      </c>
      <c r="AC1436" s="30">
        <v>0</v>
      </c>
      <c r="AD1436" s="30">
        <v>0</v>
      </c>
      <c r="AE1436" s="89" t="s">
        <v>394</v>
      </c>
      <c r="AF1436" s="89"/>
      <c r="AG1436" s="89" t="s">
        <v>352</v>
      </c>
      <c r="AH1436" s="72">
        <v>41176</v>
      </c>
      <c r="AI1436" s="30">
        <v>3</v>
      </c>
      <c r="AJ1436" s="89" t="s">
        <v>8009</v>
      </c>
      <c r="AK1436" s="89" t="s">
        <v>8010</v>
      </c>
      <c r="AL1436" s="91">
        <v>41184</v>
      </c>
      <c r="AM1436" s="91"/>
      <c r="AN1436" s="91"/>
      <c r="AO1436" s="91"/>
      <c r="AP1436" s="73" t="e">
        <f>MID(VLOOKUP(K1436,#REF!,2,FALSE),1,2)</f>
        <v>#REF!</v>
      </c>
      <c r="AQ1436" s="89">
        <f>DATE(2012,9,21)</f>
        <v>41173</v>
      </c>
      <c r="AR1436" s="82">
        <f t="shared" si="94"/>
        <v>21</v>
      </c>
      <c r="AS1436" s="83">
        <f t="shared" si="95"/>
        <v>9</v>
      </c>
      <c r="AT1436" s="84">
        <f t="shared" si="96"/>
        <v>2012</v>
      </c>
      <c r="AU1436" s="86"/>
      <c r="AV1436" s="86"/>
      <c r="AW1436" s="87"/>
      <c r="AX1436" s="86"/>
      <c r="AY1436" s="83"/>
      <c r="AZ1436" s="84"/>
      <c r="BA1436" s="86"/>
      <c r="BB1436" s="86"/>
    </row>
    <row r="1437" spans="1:54" ht="36.75" customHeight="1">
      <c r="A1437" s="30"/>
      <c r="B1437" s="30" t="s">
        <v>55</v>
      </c>
      <c r="C1437" s="69" t="str">
        <f t="shared" si="93"/>
        <v>Closed</v>
      </c>
      <c r="D1437" s="27" t="s">
        <v>8011</v>
      </c>
      <c r="E1437" s="29" t="s">
        <v>8012</v>
      </c>
      <c r="F1437" s="30" t="s">
        <v>197</v>
      </c>
      <c r="G1437" s="89">
        <f>DATE(2012,9,22)</f>
        <v>41174</v>
      </c>
      <c r="H1437" s="90">
        <v>1.2534722222222223</v>
      </c>
      <c r="I1437" s="30" t="s">
        <v>73</v>
      </c>
      <c r="J1437" s="89" t="s">
        <v>8013</v>
      </c>
      <c r="K1437" s="30" t="s">
        <v>200</v>
      </c>
      <c r="L1437" s="30" t="s">
        <v>8014</v>
      </c>
      <c r="M1437" s="30" t="s">
        <v>63</v>
      </c>
      <c r="N1437" s="30" t="s">
        <v>142</v>
      </c>
      <c r="O1437" s="30" t="s">
        <v>77</v>
      </c>
      <c r="P1437" s="89" t="s">
        <v>78</v>
      </c>
      <c r="Q1437" s="89">
        <v>0</v>
      </c>
      <c r="R1437" s="89">
        <v>0</v>
      </c>
      <c r="S1437" s="30">
        <v>0</v>
      </c>
      <c r="T1437" s="233">
        <v>0</v>
      </c>
      <c r="U1437" s="30">
        <v>0</v>
      </c>
      <c r="V1437" s="233">
        <v>0</v>
      </c>
      <c r="W1437" s="30">
        <v>0</v>
      </c>
      <c r="X1437" s="30">
        <v>0</v>
      </c>
      <c r="Y1437" s="30">
        <v>0</v>
      </c>
      <c r="Z1437" s="233">
        <v>0</v>
      </c>
      <c r="AA1437" s="30">
        <v>0</v>
      </c>
      <c r="AB1437" s="30">
        <v>0</v>
      </c>
      <c r="AC1437" s="30">
        <v>0</v>
      </c>
      <c r="AD1437" s="30">
        <v>0</v>
      </c>
      <c r="AE1437" s="89" t="s">
        <v>394</v>
      </c>
      <c r="AF1437" s="89"/>
      <c r="AG1437" s="89" t="s">
        <v>133</v>
      </c>
      <c r="AH1437" s="72">
        <v>41174</v>
      </c>
      <c r="AI1437" s="30">
        <v>8</v>
      </c>
      <c r="AJ1437" s="89" t="s">
        <v>8015</v>
      </c>
      <c r="AK1437" s="89" t="s">
        <v>1233</v>
      </c>
      <c r="AL1437" s="91">
        <v>41423</v>
      </c>
      <c r="AM1437" s="91"/>
      <c r="AN1437" s="91"/>
      <c r="AO1437" s="91"/>
      <c r="AP1437" s="73" t="e">
        <f>MID(VLOOKUP(K1437,#REF!,2,FALSE),1,2)</f>
        <v>#REF!</v>
      </c>
      <c r="AQ1437" s="89">
        <f>DATE(2012,9,22)</f>
        <v>41174</v>
      </c>
      <c r="AR1437" s="82">
        <f t="shared" si="94"/>
        <v>22</v>
      </c>
      <c r="AS1437" s="83">
        <f t="shared" si="95"/>
        <v>9</v>
      </c>
      <c r="AT1437" s="84">
        <f t="shared" si="96"/>
        <v>2012</v>
      </c>
      <c r="AU1437" s="86"/>
      <c r="AV1437" s="86"/>
      <c r="AW1437" s="87"/>
      <c r="AX1437" s="86"/>
      <c r="AY1437" s="83"/>
      <c r="AZ1437" s="84"/>
      <c r="BA1437" s="86"/>
      <c r="BB1437" s="86"/>
    </row>
    <row r="1438" spans="1:54" ht="36.75" customHeight="1">
      <c r="A1438" s="30"/>
      <c r="B1438" s="30" t="s">
        <v>55</v>
      </c>
      <c r="C1438" s="69" t="str">
        <f t="shared" si="93"/>
        <v>Closed</v>
      </c>
      <c r="D1438" s="27" t="s">
        <v>8016</v>
      </c>
      <c r="E1438" s="29" t="s">
        <v>8017</v>
      </c>
      <c r="F1438" s="30" t="s">
        <v>377</v>
      </c>
      <c r="G1438" s="89">
        <f>DATE(2012,9,24)</f>
        <v>41176</v>
      </c>
      <c r="H1438" s="90">
        <v>1.5659722222222223</v>
      </c>
      <c r="I1438" s="30" t="s">
        <v>116</v>
      </c>
      <c r="J1438" s="89" t="s">
        <v>8018</v>
      </c>
      <c r="K1438" s="30" t="s">
        <v>379</v>
      </c>
      <c r="L1438" s="30" t="s">
        <v>8019</v>
      </c>
      <c r="M1438" s="30" t="s">
        <v>63</v>
      </c>
      <c r="N1438" s="30" t="s">
        <v>142</v>
      </c>
      <c r="O1438" s="30" t="s">
        <v>64</v>
      </c>
      <c r="P1438" s="89" t="s">
        <v>462</v>
      </c>
      <c r="Q1438" s="89" t="s">
        <v>2906</v>
      </c>
      <c r="R1438" s="89" t="s">
        <v>382</v>
      </c>
      <c r="S1438" s="30">
        <v>0</v>
      </c>
      <c r="T1438" s="233">
        <v>1</v>
      </c>
      <c r="U1438" s="30">
        <v>0</v>
      </c>
      <c r="V1438" s="233">
        <v>0</v>
      </c>
      <c r="W1438" s="30">
        <v>0</v>
      </c>
      <c r="X1438" s="30">
        <v>1</v>
      </c>
      <c r="Y1438" s="30">
        <v>0</v>
      </c>
      <c r="Z1438" s="233">
        <v>0</v>
      </c>
      <c r="AA1438" s="30">
        <v>0</v>
      </c>
      <c r="AB1438" s="30">
        <v>0</v>
      </c>
      <c r="AC1438" s="30">
        <v>0</v>
      </c>
      <c r="AD1438" s="30">
        <v>0</v>
      </c>
      <c r="AE1438" s="89" t="s">
        <v>145</v>
      </c>
      <c r="AF1438" s="89"/>
      <c r="AG1438" s="89" t="s">
        <v>82</v>
      </c>
      <c r="AH1438" s="72">
        <v>41176</v>
      </c>
      <c r="AI1438" s="30">
        <v>3</v>
      </c>
      <c r="AJ1438" s="89" t="s">
        <v>8020</v>
      </c>
      <c r="AK1438" s="89" t="s">
        <v>8010</v>
      </c>
      <c r="AL1438" s="91">
        <v>41184</v>
      </c>
      <c r="AM1438" s="91"/>
      <c r="AN1438" s="91"/>
      <c r="AO1438" s="91"/>
      <c r="AP1438" s="73" t="e">
        <f>MID(VLOOKUP(K1438,#REF!,2,FALSE),1,2)</f>
        <v>#REF!</v>
      </c>
      <c r="AQ1438" s="89">
        <f>DATE(2012,9,24)</f>
        <v>41176</v>
      </c>
      <c r="AR1438" s="82">
        <f t="shared" si="94"/>
        <v>24</v>
      </c>
      <c r="AS1438" s="83">
        <f t="shared" si="95"/>
        <v>9</v>
      </c>
      <c r="AT1438" s="84">
        <f t="shared" si="96"/>
        <v>2012</v>
      </c>
      <c r="AU1438" s="86"/>
      <c r="AV1438" s="86"/>
      <c r="AW1438" s="87"/>
      <c r="AX1438" s="86"/>
      <c r="AY1438" s="83"/>
      <c r="AZ1438" s="84"/>
      <c r="BA1438" s="86"/>
      <c r="BB1438" s="86"/>
    </row>
    <row r="1439" spans="1:54" ht="36.75" customHeight="1">
      <c r="A1439" s="30"/>
      <c r="B1439" s="30" t="s">
        <v>55</v>
      </c>
      <c r="C1439" s="69" t="str">
        <f t="shared" si="93"/>
        <v>Closed</v>
      </c>
      <c r="D1439" s="27" t="s">
        <v>8021</v>
      </c>
      <c r="E1439" s="29" t="s">
        <v>8022</v>
      </c>
      <c r="F1439" s="30" t="s">
        <v>124</v>
      </c>
      <c r="G1439" s="89">
        <f>DATE(2012,9,26)</f>
        <v>41178</v>
      </c>
      <c r="H1439" s="90">
        <v>1.7965277777777779</v>
      </c>
      <c r="I1439" s="30" t="s">
        <v>2264</v>
      </c>
      <c r="J1439" s="89" t="s">
        <v>8023</v>
      </c>
      <c r="K1439" s="30" t="s">
        <v>127</v>
      </c>
      <c r="L1439" s="30" t="s">
        <v>8024</v>
      </c>
      <c r="M1439" s="30" t="s">
        <v>63</v>
      </c>
      <c r="N1439" s="30" t="s">
        <v>89</v>
      </c>
      <c r="O1439" s="30" t="s">
        <v>77</v>
      </c>
      <c r="P1439" s="89" t="s">
        <v>8025</v>
      </c>
      <c r="Q1439" s="89" t="s">
        <v>8026</v>
      </c>
      <c r="R1439" s="89" t="s">
        <v>167</v>
      </c>
      <c r="S1439" s="30">
        <v>0</v>
      </c>
      <c r="T1439" s="233">
        <v>0</v>
      </c>
      <c r="U1439" s="30">
        <v>0</v>
      </c>
      <c r="V1439" s="233">
        <v>0</v>
      </c>
      <c r="W1439" s="30">
        <v>0</v>
      </c>
      <c r="X1439" s="30">
        <v>0</v>
      </c>
      <c r="Y1439" s="30">
        <v>0</v>
      </c>
      <c r="Z1439" s="233">
        <v>0</v>
      </c>
      <c r="AA1439" s="30">
        <v>0</v>
      </c>
      <c r="AB1439" s="30">
        <v>0</v>
      </c>
      <c r="AC1439" s="30">
        <v>0</v>
      </c>
      <c r="AD1439" s="30">
        <v>0</v>
      </c>
      <c r="AE1439" s="89" t="s">
        <v>92</v>
      </c>
      <c r="AF1439" s="89"/>
      <c r="AG1439" s="89" t="s">
        <v>133</v>
      </c>
      <c r="AH1439" s="72">
        <v>41183</v>
      </c>
      <c r="AI1439" s="30">
        <v>1</v>
      </c>
      <c r="AJ1439" s="89" t="s">
        <v>8027</v>
      </c>
      <c r="AK1439" s="89" t="s">
        <v>8028</v>
      </c>
      <c r="AL1439" s="91">
        <v>41184</v>
      </c>
      <c r="AM1439" s="91"/>
      <c r="AN1439" s="91"/>
      <c r="AO1439" s="91"/>
      <c r="AP1439" s="73" t="e">
        <f>MID(VLOOKUP(K1439,#REF!,2,FALSE),1,2)</f>
        <v>#REF!</v>
      </c>
      <c r="AQ1439" s="89">
        <f>DATE(2012,9,26)</f>
        <v>41178</v>
      </c>
      <c r="AR1439" s="82">
        <f t="shared" si="94"/>
        <v>26</v>
      </c>
      <c r="AS1439" s="83">
        <f t="shared" si="95"/>
        <v>9</v>
      </c>
      <c r="AT1439" s="84">
        <f t="shared" si="96"/>
        <v>2012</v>
      </c>
      <c r="AU1439" s="86"/>
      <c r="AV1439" s="86"/>
      <c r="AW1439" s="87"/>
      <c r="AX1439" s="86"/>
      <c r="AY1439" s="83"/>
      <c r="AZ1439" s="84"/>
      <c r="BA1439" s="86"/>
      <c r="BB1439" s="86"/>
    </row>
    <row r="1440" spans="1:54" ht="36.75" customHeight="1">
      <c r="A1440" s="30"/>
      <c r="B1440" s="30" t="s">
        <v>55</v>
      </c>
      <c r="C1440" s="69" t="str">
        <f t="shared" si="93"/>
        <v>Closed</v>
      </c>
      <c r="D1440" s="27" t="s">
        <v>8029</v>
      </c>
      <c r="E1440" s="29" t="s">
        <v>8030</v>
      </c>
      <c r="F1440" s="30" t="s">
        <v>197</v>
      </c>
      <c r="G1440" s="89">
        <f>DATE(2012,9,28)</f>
        <v>41180</v>
      </c>
      <c r="H1440" s="90">
        <v>1.2402777777777778</v>
      </c>
      <c r="I1440" s="30" t="s">
        <v>73</v>
      </c>
      <c r="J1440" s="89" t="s">
        <v>8031</v>
      </c>
      <c r="K1440" s="30" t="s">
        <v>200</v>
      </c>
      <c r="L1440" s="30" t="s">
        <v>7185</v>
      </c>
      <c r="M1440" s="30" t="s">
        <v>63</v>
      </c>
      <c r="N1440" s="30" t="s">
        <v>142</v>
      </c>
      <c r="O1440" s="30" t="s">
        <v>77</v>
      </c>
      <c r="P1440" s="89" t="s">
        <v>65</v>
      </c>
      <c r="Q1440" s="89">
        <v>0</v>
      </c>
      <c r="R1440" s="89">
        <v>0</v>
      </c>
      <c r="S1440" s="30">
        <v>0</v>
      </c>
      <c r="T1440" s="233">
        <v>0</v>
      </c>
      <c r="U1440" s="30">
        <v>0</v>
      </c>
      <c r="V1440" s="233">
        <v>0</v>
      </c>
      <c r="W1440" s="30">
        <v>0</v>
      </c>
      <c r="X1440" s="30">
        <v>0</v>
      </c>
      <c r="Y1440" s="30">
        <v>0</v>
      </c>
      <c r="Z1440" s="233">
        <v>0</v>
      </c>
      <c r="AA1440" s="30">
        <v>0</v>
      </c>
      <c r="AB1440" s="30">
        <v>0</v>
      </c>
      <c r="AC1440" s="30">
        <v>0</v>
      </c>
      <c r="AD1440" s="30">
        <v>0</v>
      </c>
      <c r="AE1440" s="89" t="s">
        <v>394</v>
      </c>
      <c r="AF1440" s="89"/>
      <c r="AG1440" s="89" t="s">
        <v>133</v>
      </c>
      <c r="AH1440" s="72">
        <v>41180</v>
      </c>
      <c r="AI1440" s="30">
        <v>4</v>
      </c>
      <c r="AJ1440" s="89" t="s">
        <v>8032</v>
      </c>
      <c r="AK1440" s="89" t="s">
        <v>1233</v>
      </c>
      <c r="AL1440" s="91">
        <v>41183</v>
      </c>
      <c r="AM1440" s="91"/>
      <c r="AN1440" s="91"/>
      <c r="AO1440" s="91"/>
      <c r="AP1440" s="73" t="e">
        <f>MID(VLOOKUP(K1440,#REF!,2,FALSE),1,2)</f>
        <v>#REF!</v>
      </c>
      <c r="AQ1440" s="89">
        <f>DATE(2012,9,28)</f>
        <v>41180</v>
      </c>
      <c r="AR1440" s="82">
        <f t="shared" si="94"/>
        <v>28</v>
      </c>
      <c r="AS1440" s="83">
        <f t="shared" si="95"/>
        <v>9</v>
      </c>
      <c r="AT1440" s="84">
        <f t="shared" si="96"/>
        <v>2012</v>
      </c>
      <c r="AU1440" s="86"/>
      <c r="AV1440" s="86"/>
      <c r="AW1440" s="87"/>
      <c r="AX1440" s="86"/>
      <c r="AY1440" s="83"/>
      <c r="AZ1440" s="84"/>
      <c r="BA1440" s="86"/>
      <c r="BB1440" s="86"/>
    </row>
    <row r="1441" spans="1:54" ht="36.75" customHeight="1">
      <c r="A1441" s="30"/>
      <c r="B1441" s="30" t="s">
        <v>55</v>
      </c>
      <c r="C1441" s="69" t="str">
        <f t="shared" si="93"/>
        <v>Closed</v>
      </c>
      <c r="D1441" s="27" t="s">
        <v>8033</v>
      </c>
      <c r="E1441" s="29" t="s">
        <v>8034</v>
      </c>
      <c r="F1441" s="30" t="s">
        <v>1572</v>
      </c>
      <c r="G1441" s="89">
        <f>DATE(2012,9,28)</f>
        <v>41180</v>
      </c>
      <c r="H1441" s="90">
        <v>1.2333333333333334</v>
      </c>
      <c r="I1441" s="30" t="s">
        <v>73</v>
      </c>
      <c r="J1441" s="89" t="s">
        <v>8035</v>
      </c>
      <c r="K1441" s="30" t="s">
        <v>1574</v>
      </c>
      <c r="L1441" s="30" t="s">
        <v>8036</v>
      </c>
      <c r="M1441" s="30" t="s">
        <v>63</v>
      </c>
      <c r="N1441" s="30" t="s">
        <v>99</v>
      </c>
      <c r="O1441" s="30" t="s">
        <v>77</v>
      </c>
      <c r="P1441" s="89" t="s">
        <v>78</v>
      </c>
      <c r="Q1441" s="89" t="s">
        <v>2655</v>
      </c>
      <c r="R1441" s="89" t="s">
        <v>6434</v>
      </c>
      <c r="S1441" s="30">
        <v>0</v>
      </c>
      <c r="T1441" s="233">
        <v>0</v>
      </c>
      <c r="U1441" s="30">
        <v>0</v>
      </c>
      <c r="V1441" s="233">
        <v>0</v>
      </c>
      <c r="W1441" s="30">
        <v>0</v>
      </c>
      <c r="X1441" s="30">
        <v>0</v>
      </c>
      <c r="Y1441" s="30">
        <v>0</v>
      </c>
      <c r="Z1441" s="233">
        <v>0</v>
      </c>
      <c r="AA1441" s="30">
        <v>0</v>
      </c>
      <c r="AB1441" s="30">
        <v>0</v>
      </c>
      <c r="AC1441" s="30">
        <v>0</v>
      </c>
      <c r="AD1441" s="30">
        <v>0</v>
      </c>
      <c r="AE1441" s="89" t="s">
        <v>92</v>
      </c>
      <c r="AF1441" s="89"/>
      <c r="AG1441" s="89" t="s">
        <v>133</v>
      </c>
      <c r="AH1441" s="72">
        <v>41180</v>
      </c>
      <c r="AI1441" s="30">
        <v>0</v>
      </c>
      <c r="AJ1441" s="89" t="s">
        <v>8037</v>
      </c>
      <c r="AK1441" s="89" t="s">
        <v>8038</v>
      </c>
      <c r="AL1441" s="91">
        <v>41190</v>
      </c>
      <c r="AM1441" s="91"/>
      <c r="AN1441" s="91"/>
      <c r="AO1441" s="91"/>
      <c r="AP1441" s="73" t="e">
        <f>MID(VLOOKUP(K1441,#REF!,2,FALSE),1,2)</f>
        <v>#REF!</v>
      </c>
      <c r="AQ1441" s="89">
        <f>DATE(2012,9,28)</f>
        <v>41180</v>
      </c>
      <c r="AR1441" s="82">
        <f t="shared" si="94"/>
        <v>28</v>
      </c>
      <c r="AS1441" s="83">
        <f t="shared" si="95"/>
        <v>9</v>
      </c>
      <c r="AT1441" s="84">
        <f t="shared" si="96"/>
        <v>2012</v>
      </c>
      <c r="AU1441" s="86"/>
      <c r="AV1441" s="86"/>
      <c r="AW1441" s="87"/>
      <c r="AX1441" s="86"/>
      <c r="AY1441" s="83"/>
      <c r="AZ1441" s="84"/>
      <c r="BA1441" s="86"/>
      <c r="BB1441" s="86"/>
    </row>
    <row r="1442" spans="1:54" ht="36.75" customHeight="1">
      <c r="A1442" s="30"/>
      <c r="B1442" s="30" t="s">
        <v>55</v>
      </c>
      <c r="C1442" s="69" t="str">
        <f t="shared" si="93"/>
        <v>Closed</v>
      </c>
      <c r="D1442" s="27" t="s">
        <v>8039</v>
      </c>
      <c r="E1442" s="29" t="s">
        <v>8040</v>
      </c>
      <c r="F1442" s="30" t="s">
        <v>582</v>
      </c>
      <c r="G1442" s="89">
        <f>DATE(2012,9,29)</f>
        <v>41181</v>
      </c>
      <c r="H1442" s="90">
        <v>1.4875</v>
      </c>
      <c r="I1442" s="30" t="s">
        <v>73</v>
      </c>
      <c r="J1442" s="89" t="s">
        <v>8041</v>
      </c>
      <c r="K1442" s="30" t="s">
        <v>584</v>
      </c>
      <c r="L1442" s="30" t="s">
        <v>7827</v>
      </c>
      <c r="M1442" s="30" t="s">
        <v>63</v>
      </c>
      <c r="N1442" s="30" t="s">
        <v>89</v>
      </c>
      <c r="O1442" s="30" t="s">
        <v>77</v>
      </c>
      <c r="P1442" s="89" t="s">
        <v>65</v>
      </c>
      <c r="Q1442" s="89" t="s">
        <v>2021</v>
      </c>
      <c r="R1442" s="89" t="s">
        <v>587</v>
      </c>
      <c r="S1442" s="30">
        <v>0</v>
      </c>
      <c r="T1442" s="233">
        <v>0</v>
      </c>
      <c r="U1442" s="30">
        <v>0</v>
      </c>
      <c r="V1442" s="233">
        <v>0</v>
      </c>
      <c r="W1442" s="30">
        <v>0</v>
      </c>
      <c r="X1442" s="30">
        <v>0</v>
      </c>
      <c r="Y1442" s="30">
        <v>0</v>
      </c>
      <c r="Z1442" s="233">
        <v>0</v>
      </c>
      <c r="AA1442" s="30">
        <v>0</v>
      </c>
      <c r="AB1442" s="30">
        <v>0</v>
      </c>
      <c r="AC1442" s="30">
        <v>0</v>
      </c>
      <c r="AD1442" s="30">
        <v>0</v>
      </c>
      <c r="AE1442" s="89" t="s">
        <v>394</v>
      </c>
      <c r="AF1442" s="89"/>
      <c r="AG1442" s="89" t="s">
        <v>589</v>
      </c>
      <c r="AH1442" s="72">
        <v>41183</v>
      </c>
      <c r="AI1442" s="30">
        <v>0</v>
      </c>
      <c r="AJ1442" s="89" t="s">
        <v>8042</v>
      </c>
      <c r="AK1442" s="89" t="s">
        <v>1233</v>
      </c>
      <c r="AL1442" s="91">
        <v>43439</v>
      </c>
      <c r="AM1442" s="91"/>
      <c r="AN1442" s="91"/>
      <c r="AO1442" s="91"/>
      <c r="AP1442" s="73" t="e">
        <f>MID(VLOOKUP(K1442,#REF!,2,FALSE),1,2)</f>
        <v>#REF!</v>
      </c>
      <c r="AQ1442" s="89">
        <f>DATE(2012,9,29)</f>
        <v>41181</v>
      </c>
      <c r="AR1442" s="82">
        <f t="shared" si="94"/>
        <v>29</v>
      </c>
      <c r="AS1442" s="83">
        <f t="shared" si="95"/>
        <v>9</v>
      </c>
      <c r="AT1442" s="84">
        <f t="shared" si="96"/>
        <v>2012</v>
      </c>
      <c r="AU1442" s="86"/>
      <c r="AV1442" s="86"/>
      <c r="AW1442" s="87">
        <f>AU1442-AV1442</f>
        <v>0</v>
      </c>
      <c r="AX1442" s="86"/>
      <c r="AY1442" s="83"/>
      <c r="AZ1442" s="84"/>
      <c r="BA1442" s="86"/>
      <c r="BB1442" s="86"/>
    </row>
    <row r="1443" spans="1:54" ht="36.75" customHeight="1">
      <c r="A1443" s="30"/>
      <c r="B1443" s="30" t="s">
        <v>55</v>
      </c>
      <c r="C1443" s="69" t="str">
        <f t="shared" si="93"/>
        <v>Closed</v>
      </c>
      <c r="D1443" s="27" t="s">
        <v>8043</v>
      </c>
      <c r="E1443" s="29" t="s">
        <v>8044</v>
      </c>
      <c r="F1443" s="30" t="s">
        <v>1572</v>
      </c>
      <c r="G1443" s="89">
        <f>DATE(2012,10,2)</f>
        <v>41184</v>
      </c>
      <c r="H1443" s="90">
        <v>1.7986111111111112</v>
      </c>
      <c r="I1443" s="30" t="s">
        <v>73</v>
      </c>
      <c r="J1443" s="89" t="s">
        <v>8045</v>
      </c>
      <c r="K1443" s="30" t="s">
        <v>1574</v>
      </c>
      <c r="L1443" s="30" t="s">
        <v>8046</v>
      </c>
      <c r="M1443" s="30" t="s">
        <v>63</v>
      </c>
      <c r="N1443" s="30" t="s">
        <v>99</v>
      </c>
      <c r="O1443" s="30" t="s">
        <v>64</v>
      </c>
      <c r="P1443" s="89" t="s">
        <v>78</v>
      </c>
      <c r="Q1443" s="89" t="s">
        <v>5266</v>
      </c>
      <c r="R1443" s="89" t="s">
        <v>6434</v>
      </c>
      <c r="S1443" s="30">
        <v>0</v>
      </c>
      <c r="T1443" s="233">
        <v>0</v>
      </c>
      <c r="U1443" s="30">
        <v>0</v>
      </c>
      <c r="V1443" s="233">
        <v>0</v>
      </c>
      <c r="W1443" s="30">
        <v>0</v>
      </c>
      <c r="X1443" s="30">
        <v>0</v>
      </c>
      <c r="Y1443" s="30">
        <v>0</v>
      </c>
      <c r="Z1443" s="233">
        <v>0</v>
      </c>
      <c r="AA1443" s="30">
        <v>0</v>
      </c>
      <c r="AB1443" s="30">
        <v>0</v>
      </c>
      <c r="AC1443" s="30">
        <v>0</v>
      </c>
      <c r="AD1443" s="30">
        <v>0</v>
      </c>
      <c r="AE1443" s="89" t="s">
        <v>92</v>
      </c>
      <c r="AF1443" s="89"/>
      <c r="AG1443" s="89" t="s">
        <v>133</v>
      </c>
      <c r="AH1443" s="72">
        <v>41186</v>
      </c>
      <c r="AI1443" s="30">
        <v>0</v>
      </c>
      <c r="AJ1443" s="89" t="s">
        <v>8047</v>
      </c>
      <c r="AK1443" s="89" t="s">
        <v>8048</v>
      </c>
      <c r="AL1443" s="91">
        <v>41190</v>
      </c>
      <c r="AM1443" s="91"/>
      <c r="AN1443" s="91"/>
      <c r="AO1443" s="91"/>
      <c r="AP1443" s="73" t="e">
        <f>MID(VLOOKUP(K1443,#REF!,2,FALSE),1,2)</f>
        <v>#REF!</v>
      </c>
      <c r="AQ1443" s="89">
        <f>DATE(2012,10,2)</f>
        <v>41184</v>
      </c>
      <c r="AR1443" s="82">
        <f t="shared" si="94"/>
        <v>2</v>
      </c>
      <c r="AS1443" s="83">
        <f t="shared" si="95"/>
        <v>10</v>
      </c>
      <c r="AT1443" s="84">
        <f t="shared" si="96"/>
        <v>2012</v>
      </c>
      <c r="AU1443" s="86"/>
      <c r="AV1443" s="86"/>
      <c r="AW1443" s="87"/>
      <c r="AX1443" s="86"/>
      <c r="AY1443" s="83"/>
      <c r="AZ1443" s="84"/>
      <c r="BA1443" s="86"/>
      <c r="BB1443" s="86"/>
    </row>
    <row r="1444" spans="1:54" ht="36.75" customHeight="1">
      <c r="A1444" s="30"/>
      <c r="B1444" s="30" t="s">
        <v>55</v>
      </c>
      <c r="C1444" s="69" t="str">
        <f t="shared" si="93"/>
        <v>Closed</v>
      </c>
      <c r="D1444" s="27" t="s">
        <v>8049</v>
      </c>
      <c r="E1444" s="29" t="s">
        <v>8050</v>
      </c>
      <c r="F1444" s="30" t="s">
        <v>624</v>
      </c>
      <c r="G1444" s="89">
        <f>DATE(2012,10,2)</f>
        <v>41184</v>
      </c>
      <c r="H1444" s="90">
        <v>1.5833333333333335</v>
      </c>
      <c r="I1444" s="30" t="s">
        <v>5494</v>
      </c>
      <c r="J1444" s="89" t="s">
        <v>8051</v>
      </c>
      <c r="K1444" s="30" t="s">
        <v>626</v>
      </c>
      <c r="L1444" s="30" t="s">
        <v>8052</v>
      </c>
      <c r="M1444" s="30" t="s">
        <v>63</v>
      </c>
      <c r="N1444" s="30" t="s">
        <v>89</v>
      </c>
      <c r="O1444" s="30" t="s">
        <v>77</v>
      </c>
      <c r="P1444" s="89" t="s">
        <v>381</v>
      </c>
      <c r="Q1444" s="89">
        <v>0</v>
      </c>
      <c r="R1444" s="89" t="s">
        <v>629</v>
      </c>
      <c r="S1444" s="30">
        <v>0</v>
      </c>
      <c r="T1444" s="233">
        <v>0</v>
      </c>
      <c r="U1444" s="30">
        <v>0</v>
      </c>
      <c r="V1444" s="233">
        <v>0</v>
      </c>
      <c r="W1444" s="30">
        <v>0</v>
      </c>
      <c r="X1444" s="30">
        <v>0</v>
      </c>
      <c r="Y1444" s="30">
        <v>0</v>
      </c>
      <c r="Z1444" s="233">
        <v>0</v>
      </c>
      <c r="AA1444" s="30">
        <v>0</v>
      </c>
      <c r="AB1444" s="30">
        <v>0</v>
      </c>
      <c r="AC1444" s="30">
        <v>0</v>
      </c>
      <c r="AD1444" s="30">
        <v>0</v>
      </c>
      <c r="AE1444" s="89" t="s">
        <v>92</v>
      </c>
      <c r="AF1444" s="89"/>
      <c r="AG1444" s="89" t="s">
        <v>1507</v>
      </c>
      <c r="AH1444" s="72">
        <v>41184</v>
      </c>
      <c r="AI1444" s="30">
        <v>1</v>
      </c>
      <c r="AJ1444" s="89" t="s">
        <v>8053</v>
      </c>
      <c r="AK1444" s="89" t="s">
        <v>68</v>
      </c>
      <c r="AL1444" s="91">
        <v>41325</v>
      </c>
      <c r="AM1444" s="91"/>
      <c r="AN1444" s="91"/>
      <c r="AO1444" s="91"/>
      <c r="AP1444" s="73" t="e">
        <f>MID(VLOOKUP(K1444,#REF!,2,FALSE),1,2)</f>
        <v>#REF!</v>
      </c>
      <c r="AQ1444" s="89">
        <f>DATE(2012,10,2)</f>
        <v>41184</v>
      </c>
      <c r="AR1444" s="82">
        <f t="shared" si="94"/>
        <v>2</v>
      </c>
      <c r="AS1444" s="83">
        <f t="shared" si="95"/>
        <v>10</v>
      </c>
      <c r="AT1444" s="84">
        <f t="shared" si="96"/>
        <v>2012</v>
      </c>
      <c r="AU1444" s="86"/>
      <c r="AV1444" s="86"/>
      <c r="AW1444" s="87"/>
      <c r="AX1444" s="86"/>
      <c r="AY1444" s="83"/>
      <c r="AZ1444" s="84"/>
      <c r="BA1444" s="86"/>
      <c r="BB1444" s="86"/>
    </row>
    <row r="1445" spans="1:54" ht="36.75" customHeight="1">
      <c r="A1445" s="30"/>
      <c r="B1445" s="30" t="s">
        <v>55</v>
      </c>
      <c r="C1445" s="69" t="str">
        <f t="shared" si="93"/>
        <v>Closed</v>
      </c>
      <c r="D1445" s="27" t="s">
        <v>8054</v>
      </c>
      <c r="E1445" s="29" t="s">
        <v>8055</v>
      </c>
      <c r="F1445" s="30" t="s">
        <v>124</v>
      </c>
      <c r="G1445" s="89">
        <f>DATE(2012,10,7)</f>
        <v>41189</v>
      </c>
      <c r="H1445" s="90">
        <v>1.6458333333333335</v>
      </c>
      <c r="I1445" s="30" t="s">
        <v>125</v>
      </c>
      <c r="J1445" s="89" t="s">
        <v>8056</v>
      </c>
      <c r="K1445" s="30" t="s">
        <v>127</v>
      </c>
      <c r="L1445" s="30" t="s">
        <v>8057</v>
      </c>
      <c r="M1445" s="30" t="s">
        <v>63</v>
      </c>
      <c r="N1445" s="30" t="s">
        <v>89</v>
      </c>
      <c r="O1445" s="30" t="s">
        <v>77</v>
      </c>
      <c r="P1445" s="89" t="s">
        <v>165</v>
      </c>
      <c r="Q1445" s="89" t="s">
        <v>3181</v>
      </c>
      <c r="R1445" s="89" t="s">
        <v>167</v>
      </c>
      <c r="S1445" s="30">
        <v>0</v>
      </c>
      <c r="T1445" s="233">
        <v>0</v>
      </c>
      <c r="U1445" s="30">
        <v>0</v>
      </c>
      <c r="V1445" s="233">
        <v>0</v>
      </c>
      <c r="W1445" s="30">
        <v>0</v>
      </c>
      <c r="X1445" s="30">
        <v>0</v>
      </c>
      <c r="Y1445" s="30">
        <v>0</v>
      </c>
      <c r="Z1445" s="233">
        <v>0</v>
      </c>
      <c r="AA1445" s="30">
        <v>0</v>
      </c>
      <c r="AB1445" s="30">
        <v>0</v>
      </c>
      <c r="AC1445" s="30">
        <v>0</v>
      </c>
      <c r="AD1445" s="30">
        <v>0</v>
      </c>
      <c r="AE1445" s="89" t="s">
        <v>92</v>
      </c>
      <c r="AF1445" s="89"/>
      <c r="AG1445" s="89" t="s">
        <v>133</v>
      </c>
      <c r="AH1445" s="72">
        <v>41214</v>
      </c>
      <c r="AI1445" s="30">
        <v>1</v>
      </c>
      <c r="AJ1445" s="89" t="s">
        <v>8058</v>
      </c>
      <c r="AK1445" s="89" t="s">
        <v>68</v>
      </c>
      <c r="AL1445" s="91">
        <v>41218</v>
      </c>
      <c r="AM1445" s="91"/>
      <c r="AN1445" s="91"/>
      <c r="AO1445" s="91"/>
      <c r="AP1445" s="73" t="e">
        <f>MID(VLOOKUP(K1445,#REF!,2,FALSE),1,2)</f>
        <v>#REF!</v>
      </c>
      <c r="AQ1445" s="89">
        <f>DATE(2012,10,7)</f>
        <v>41189</v>
      </c>
      <c r="AR1445" s="82">
        <f t="shared" si="94"/>
        <v>7</v>
      </c>
      <c r="AS1445" s="83">
        <f t="shared" si="95"/>
        <v>10</v>
      </c>
      <c r="AT1445" s="84">
        <f t="shared" si="96"/>
        <v>2012</v>
      </c>
      <c r="AU1445" s="86"/>
      <c r="AV1445" s="86"/>
      <c r="AW1445" s="87"/>
      <c r="AX1445" s="86"/>
      <c r="AY1445" s="83"/>
      <c r="AZ1445" s="84"/>
      <c r="BA1445" s="86"/>
      <c r="BB1445" s="86"/>
    </row>
    <row r="1446" spans="1:54" ht="36.75" customHeight="1">
      <c r="A1446" s="30"/>
      <c r="B1446" s="30" t="s">
        <v>55</v>
      </c>
      <c r="C1446" s="69" t="str">
        <f t="shared" si="93"/>
        <v>Closed</v>
      </c>
      <c r="D1446" s="27" t="s">
        <v>8059</v>
      </c>
      <c r="E1446" s="29" t="s">
        <v>8060</v>
      </c>
      <c r="F1446" s="30" t="s">
        <v>638</v>
      </c>
      <c r="G1446" s="89">
        <f>DATE(2012,10,8)</f>
        <v>41190</v>
      </c>
      <c r="H1446" s="90">
        <v>1.325</v>
      </c>
      <c r="I1446" s="30" t="s">
        <v>7482</v>
      </c>
      <c r="J1446" s="89" t="s">
        <v>8061</v>
      </c>
      <c r="K1446" s="30" t="s">
        <v>640</v>
      </c>
      <c r="L1446" s="30" t="s">
        <v>8062</v>
      </c>
      <c r="M1446" s="30" t="s">
        <v>63</v>
      </c>
      <c r="N1446" s="30" t="s">
        <v>99</v>
      </c>
      <c r="O1446" s="30" t="s">
        <v>64</v>
      </c>
      <c r="P1446" s="89" t="s">
        <v>165</v>
      </c>
      <c r="Q1446" s="89" t="s">
        <v>642</v>
      </c>
      <c r="R1446" s="89" t="s">
        <v>643</v>
      </c>
      <c r="S1446" s="30">
        <v>0</v>
      </c>
      <c r="T1446" s="233">
        <v>0</v>
      </c>
      <c r="U1446" s="30">
        <v>0</v>
      </c>
      <c r="V1446" s="233">
        <v>0</v>
      </c>
      <c r="W1446" s="30">
        <v>0</v>
      </c>
      <c r="X1446" s="30">
        <v>0</v>
      </c>
      <c r="Y1446" s="30">
        <v>0</v>
      </c>
      <c r="Z1446" s="233">
        <v>0</v>
      </c>
      <c r="AA1446" s="30">
        <v>0</v>
      </c>
      <c r="AB1446" s="30">
        <v>0</v>
      </c>
      <c r="AC1446" s="30">
        <v>0</v>
      </c>
      <c r="AD1446" s="30">
        <v>0</v>
      </c>
      <c r="AE1446" s="89" t="s">
        <v>92</v>
      </c>
      <c r="AF1446" s="89"/>
      <c r="AG1446" s="89" t="s">
        <v>352</v>
      </c>
      <c r="AH1446" s="72">
        <v>41204</v>
      </c>
      <c r="AI1446" s="30">
        <v>1</v>
      </c>
      <c r="AJ1446" s="89" t="s">
        <v>8063</v>
      </c>
      <c r="AK1446" s="89" t="s">
        <v>68</v>
      </c>
      <c r="AL1446" s="91">
        <v>41206</v>
      </c>
      <c r="AM1446" s="91"/>
      <c r="AN1446" s="91"/>
      <c r="AO1446" s="91"/>
      <c r="AP1446" s="73" t="e">
        <f>MID(VLOOKUP(K1446,#REF!,2,FALSE),1,2)</f>
        <v>#REF!</v>
      </c>
      <c r="AQ1446" s="89">
        <f>DATE(2012,10,8)</f>
        <v>41190</v>
      </c>
      <c r="AR1446" s="82">
        <f t="shared" si="94"/>
        <v>8</v>
      </c>
      <c r="AS1446" s="83">
        <f t="shared" si="95"/>
        <v>10</v>
      </c>
      <c r="AT1446" s="84">
        <f t="shared" si="96"/>
        <v>2012</v>
      </c>
      <c r="AU1446" s="86"/>
      <c r="AV1446" s="86"/>
      <c r="AW1446" s="87"/>
      <c r="AX1446" s="86"/>
      <c r="AY1446" s="83"/>
      <c r="AZ1446" s="84"/>
      <c r="BA1446" s="86"/>
      <c r="BB1446" s="86"/>
    </row>
    <row r="1447" spans="1:54" ht="36.75" customHeight="1">
      <c r="A1447" s="30"/>
      <c r="B1447" s="30" t="s">
        <v>55</v>
      </c>
      <c r="C1447" s="69" t="str">
        <f t="shared" si="93"/>
        <v>Closed</v>
      </c>
      <c r="D1447" s="27" t="s">
        <v>8064</v>
      </c>
      <c r="E1447" s="29" t="s">
        <v>8065</v>
      </c>
      <c r="F1447" s="30" t="s">
        <v>624</v>
      </c>
      <c r="G1447" s="89">
        <f>DATE(2012,10,8)</f>
        <v>41190</v>
      </c>
      <c r="H1447" s="90">
        <v>1.3472222222222223</v>
      </c>
      <c r="I1447" s="30" t="s">
        <v>73</v>
      </c>
      <c r="J1447" s="89" t="s">
        <v>8066</v>
      </c>
      <c r="K1447" s="30" t="s">
        <v>626</v>
      </c>
      <c r="L1447" s="30" t="s">
        <v>8067</v>
      </c>
      <c r="M1447" s="30" t="s">
        <v>63</v>
      </c>
      <c r="N1447" s="30" t="s">
        <v>142</v>
      </c>
      <c r="O1447" s="30" t="s">
        <v>64</v>
      </c>
      <c r="P1447" s="89" t="s">
        <v>78</v>
      </c>
      <c r="Q1447" s="89" t="s">
        <v>749</v>
      </c>
      <c r="R1447" s="89" t="s">
        <v>629</v>
      </c>
      <c r="S1447" s="30">
        <v>0</v>
      </c>
      <c r="T1447" s="233">
        <v>0</v>
      </c>
      <c r="U1447" s="30">
        <v>0</v>
      </c>
      <c r="V1447" s="233">
        <v>0</v>
      </c>
      <c r="W1447" s="30">
        <v>0</v>
      </c>
      <c r="X1447" s="30">
        <v>0</v>
      </c>
      <c r="Y1447" s="30">
        <v>0</v>
      </c>
      <c r="Z1447" s="233">
        <v>0</v>
      </c>
      <c r="AA1447" s="30">
        <v>0</v>
      </c>
      <c r="AB1447" s="30">
        <v>0</v>
      </c>
      <c r="AC1447" s="30">
        <v>0</v>
      </c>
      <c r="AD1447" s="30">
        <v>0</v>
      </c>
      <c r="AE1447" s="89" t="s">
        <v>92</v>
      </c>
      <c r="AF1447" s="89"/>
      <c r="AG1447" s="89" t="s">
        <v>133</v>
      </c>
      <c r="AH1447" s="72">
        <v>41190</v>
      </c>
      <c r="AI1447" s="30">
        <v>2</v>
      </c>
      <c r="AJ1447" s="89" t="s">
        <v>8068</v>
      </c>
      <c r="AK1447" s="89" t="s">
        <v>68</v>
      </c>
      <c r="AL1447" s="91">
        <v>41254</v>
      </c>
      <c r="AM1447" s="91"/>
      <c r="AN1447" s="91"/>
      <c r="AO1447" s="91"/>
      <c r="AP1447" s="73" t="e">
        <f>MID(VLOOKUP(K1447,#REF!,2,FALSE),1,2)</f>
        <v>#REF!</v>
      </c>
      <c r="AQ1447" s="89">
        <f>DATE(2012,10,8)</f>
        <v>41190</v>
      </c>
      <c r="AR1447" s="82">
        <f t="shared" si="94"/>
        <v>8</v>
      </c>
      <c r="AS1447" s="83">
        <f t="shared" si="95"/>
        <v>10</v>
      </c>
      <c r="AT1447" s="84">
        <f t="shared" si="96"/>
        <v>2012</v>
      </c>
      <c r="AU1447" s="86"/>
      <c r="AV1447" s="86"/>
      <c r="AW1447" s="87"/>
      <c r="AX1447" s="86"/>
      <c r="AY1447" s="83"/>
      <c r="AZ1447" s="84"/>
      <c r="BA1447" s="86"/>
      <c r="BB1447" s="86"/>
    </row>
    <row r="1448" spans="1:54" ht="36.75" customHeight="1">
      <c r="A1448" s="30"/>
      <c r="B1448" s="30" t="s">
        <v>55</v>
      </c>
      <c r="C1448" s="69" t="str">
        <f t="shared" si="93"/>
        <v>Closed</v>
      </c>
      <c r="D1448" s="27" t="s">
        <v>8069</v>
      </c>
      <c r="E1448" s="29" t="s">
        <v>8070</v>
      </c>
      <c r="F1448" s="30" t="s">
        <v>835</v>
      </c>
      <c r="G1448" s="89">
        <f>DATE(2012,10,11)</f>
        <v>41193</v>
      </c>
      <c r="H1448" s="90">
        <v>1.625</v>
      </c>
      <c r="I1448" s="30" t="s">
        <v>2078</v>
      </c>
      <c r="J1448" s="89" t="s">
        <v>8071</v>
      </c>
      <c r="K1448" s="30" t="s">
        <v>837</v>
      </c>
      <c r="L1448" s="30" t="s">
        <v>8072</v>
      </c>
      <c r="M1448" s="30" t="s">
        <v>255</v>
      </c>
      <c r="N1448" s="30" t="s">
        <v>99</v>
      </c>
      <c r="O1448" s="30" t="s">
        <v>77</v>
      </c>
      <c r="P1448" s="89" t="s">
        <v>6552</v>
      </c>
      <c r="Q1448" s="89">
        <v>0</v>
      </c>
      <c r="R1448" s="89">
        <v>0</v>
      </c>
      <c r="S1448" s="30">
        <v>0</v>
      </c>
      <c r="T1448" s="233">
        <v>0</v>
      </c>
      <c r="U1448" s="30">
        <v>0</v>
      </c>
      <c r="V1448" s="233">
        <v>0</v>
      </c>
      <c r="W1448" s="30">
        <v>0</v>
      </c>
      <c r="X1448" s="30">
        <v>0</v>
      </c>
      <c r="Y1448" s="30">
        <v>0</v>
      </c>
      <c r="Z1448" s="233">
        <v>0</v>
      </c>
      <c r="AA1448" s="30">
        <v>0</v>
      </c>
      <c r="AB1448" s="30">
        <v>0</v>
      </c>
      <c r="AC1448" s="30">
        <v>0</v>
      </c>
      <c r="AD1448" s="30">
        <v>0</v>
      </c>
      <c r="AE1448" s="89" t="s">
        <v>92</v>
      </c>
      <c r="AF1448" s="89"/>
      <c r="AG1448" s="89" t="s">
        <v>367</v>
      </c>
      <c r="AH1448" s="72">
        <v>41193</v>
      </c>
      <c r="AI1448" s="30">
        <v>0</v>
      </c>
      <c r="AJ1448" s="89" t="s">
        <v>8073</v>
      </c>
      <c r="AK1448" s="89" t="s">
        <v>68</v>
      </c>
      <c r="AL1448" s="91">
        <v>41198</v>
      </c>
      <c r="AM1448" s="91"/>
      <c r="AN1448" s="91"/>
      <c r="AO1448" s="91"/>
      <c r="AP1448" s="73" t="e">
        <f>MID(VLOOKUP(K1448,#REF!,2,FALSE),1,2)</f>
        <v>#REF!</v>
      </c>
      <c r="AQ1448" s="89">
        <f>DATE(2012,10,11)</f>
        <v>41193</v>
      </c>
      <c r="AR1448" s="82">
        <f t="shared" si="94"/>
        <v>11</v>
      </c>
      <c r="AS1448" s="83">
        <f t="shared" si="95"/>
        <v>10</v>
      </c>
      <c r="AT1448" s="84">
        <f t="shared" si="96"/>
        <v>2012</v>
      </c>
      <c r="AU1448" s="86"/>
      <c r="AV1448" s="86"/>
      <c r="AW1448" s="87"/>
      <c r="AX1448" s="86"/>
      <c r="AY1448" s="83"/>
      <c r="AZ1448" s="84"/>
      <c r="BA1448" s="86"/>
      <c r="BB1448" s="86"/>
    </row>
    <row r="1449" spans="1:54" ht="36.75" customHeight="1">
      <c r="A1449" s="30"/>
      <c r="B1449" s="30" t="s">
        <v>55</v>
      </c>
      <c r="C1449" s="69" t="str">
        <f t="shared" si="93"/>
        <v>Closed</v>
      </c>
      <c r="D1449" s="27" t="s">
        <v>8074</v>
      </c>
      <c r="E1449" s="29" t="s">
        <v>8075</v>
      </c>
      <c r="F1449" s="30" t="s">
        <v>1572</v>
      </c>
      <c r="G1449" s="89">
        <f>DATE(2012,10,12)</f>
        <v>41194</v>
      </c>
      <c r="H1449" s="90">
        <v>1.0138888888888888</v>
      </c>
      <c r="I1449" s="30" t="s">
        <v>73</v>
      </c>
      <c r="J1449" s="89" t="s">
        <v>8076</v>
      </c>
      <c r="K1449" s="30" t="s">
        <v>1574</v>
      </c>
      <c r="L1449" s="30" t="s">
        <v>8077</v>
      </c>
      <c r="M1449" s="30" t="s">
        <v>63</v>
      </c>
      <c r="N1449" s="30" t="s">
        <v>99</v>
      </c>
      <c r="O1449" s="30" t="s">
        <v>64</v>
      </c>
      <c r="P1449" s="89" t="s">
        <v>78</v>
      </c>
      <c r="Q1449" s="89" t="s">
        <v>8078</v>
      </c>
      <c r="R1449" s="89" t="s">
        <v>2561</v>
      </c>
      <c r="S1449" s="30">
        <v>0</v>
      </c>
      <c r="T1449" s="233">
        <v>0</v>
      </c>
      <c r="U1449" s="30">
        <v>0</v>
      </c>
      <c r="V1449" s="233">
        <v>0</v>
      </c>
      <c r="W1449" s="30">
        <v>0</v>
      </c>
      <c r="X1449" s="30">
        <v>0</v>
      </c>
      <c r="Y1449" s="30">
        <v>0</v>
      </c>
      <c r="Z1449" s="233">
        <v>0</v>
      </c>
      <c r="AA1449" s="30">
        <v>0</v>
      </c>
      <c r="AB1449" s="30">
        <v>0</v>
      </c>
      <c r="AC1449" s="30">
        <v>0</v>
      </c>
      <c r="AD1449" s="30">
        <v>0</v>
      </c>
      <c r="AE1449" s="89" t="s">
        <v>92</v>
      </c>
      <c r="AF1449" s="89"/>
      <c r="AG1449" s="89" t="s">
        <v>133</v>
      </c>
      <c r="AH1449" s="72">
        <v>41197</v>
      </c>
      <c r="AI1449" s="30">
        <v>0</v>
      </c>
      <c r="AJ1449" s="89" t="s">
        <v>8079</v>
      </c>
      <c r="AK1449" s="89" t="s">
        <v>8080</v>
      </c>
      <c r="AL1449" s="91">
        <v>41198</v>
      </c>
      <c r="AM1449" s="91"/>
      <c r="AN1449" s="91"/>
      <c r="AO1449" s="91"/>
      <c r="AP1449" s="73" t="e">
        <f>MID(VLOOKUP(K1449,#REF!,2,FALSE),1,2)</f>
        <v>#REF!</v>
      </c>
      <c r="AQ1449" s="89">
        <f>DATE(2012,10,12)</f>
        <v>41194</v>
      </c>
      <c r="AR1449" s="82">
        <f t="shared" si="94"/>
        <v>12</v>
      </c>
      <c r="AS1449" s="83">
        <f t="shared" si="95"/>
        <v>10</v>
      </c>
      <c r="AT1449" s="84">
        <f t="shared" si="96"/>
        <v>2012</v>
      </c>
      <c r="AU1449" s="86"/>
      <c r="AV1449" s="86"/>
      <c r="AW1449" s="87"/>
      <c r="AX1449" s="86"/>
      <c r="AY1449" s="83"/>
      <c r="AZ1449" s="84"/>
      <c r="BA1449" s="86"/>
      <c r="BB1449" s="86"/>
    </row>
    <row r="1450" spans="1:54" ht="36.75" customHeight="1">
      <c r="A1450" s="30"/>
      <c r="B1450" s="30" t="s">
        <v>55</v>
      </c>
      <c r="C1450" s="69" t="str">
        <f t="shared" si="93"/>
        <v>Closed</v>
      </c>
      <c r="D1450" s="27" t="s">
        <v>8081</v>
      </c>
      <c r="E1450" s="29" t="s">
        <v>8082</v>
      </c>
      <c r="F1450" s="30" t="s">
        <v>624</v>
      </c>
      <c r="G1450" s="89">
        <f>DATE(2012,10,18)</f>
        <v>41200</v>
      </c>
      <c r="H1450" s="90">
        <v>1.5694444444444444</v>
      </c>
      <c r="I1450" s="30" t="s">
        <v>73</v>
      </c>
      <c r="J1450" s="89" t="s">
        <v>8083</v>
      </c>
      <c r="K1450" s="30" t="s">
        <v>626</v>
      </c>
      <c r="L1450" s="30" t="s">
        <v>8084</v>
      </c>
      <c r="M1450" s="30" t="s">
        <v>63</v>
      </c>
      <c r="N1450" s="30" t="s">
        <v>142</v>
      </c>
      <c r="O1450" s="30" t="s">
        <v>77</v>
      </c>
      <c r="P1450" s="89" t="s">
        <v>78</v>
      </c>
      <c r="Q1450" s="89" t="s">
        <v>749</v>
      </c>
      <c r="R1450" s="89" t="s">
        <v>629</v>
      </c>
      <c r="S1450" s="30">
        <v>0</v>
      </c>
      <c r="T1450" s="233">
        <v>0</v>
      </c>
      <c r="U1450" s="30">
        <v>0</v>
      </c>
      <c r="V1450" s="233">
        <v>0</v>
      </c>
      <c r="W1450" s="30">
        <v>0</v>
      </c>
      <c r="X1450" s="30">
        <v>0</v>
      </c>
      <c r="Y1450" s="30">
        <v>0</v>
      </c>
      <c r="Z1450" s="233">
        <v>0</v>
      </c>
      <c r="AA1450" s="30">
        <v>0</v>
      </c>
      <c r="AB1450" s="30">
        <v>0</v>
      </c>
      <c r="AC1450" s="30">
        <v>0</v>
      </c>
      <c r="AD1450" s="30">
        <v>0</v>
      </c>
      <c r="AE1450" s="89" t="s">
        <v>92</v>
      </c>
      <c r="AF1450" s="89"/>
      <c r="AG1450" s="89" t="s">
        <v>133</v>
      </c>
      <c r="AH1450" s="72">
        <v>41200</v>
      </c>
      <c r="AI1450" s="30">
        <v>2</v>
      </c>
      <c r="AJ1450" s="89" t="s">
        <v>8085</v>
      </c>
      <c r="AK1450" s="89" t="s">
        <v>68</v>
      </c>
      <c r="AL1450" s="91">
        <v>41351</v>
      </c>
      <c r="AM1450" s="91"/>
      <c r="AN1450" s="91"/>
      <c r="AO1450" s="91"/>
      <c r="AP1450" s="73" t="e">
        <f>MID(VLOOKUP(K1450,#REF!,2,FALSE),1,2)</f>
        <v>#REF!</v>
      </c>
      <c r="AQ1450" s="89">
        <f>DATE(2012,10,18)</f>
        <v>41200</v>
      </c>
      <c r="AR1450" s="82">
        <f t="shared" si="94"/>
        <v>18</v>
      </c>
      <c r="AS1450" s="83">
        <f t="shared" si="95"/>
        <v>10</v>
      </c>
      <c r="AT1450" s="84">
        <f t="shared" si="96"/>
        <v>2012</v>
      </c>
      <c r="AU1450" s="86"/>
      <c r="AV1450" s="86"/>
      <c r="AW1450" s="87"/>
      <c r="AX1450" s="86"/>
      <c r="AY1450" s="83"/>
      <c r="AZ1450" s="84"/>
      <c r="BA1450" s="86"/>
      <c r="BB1450" s="86"/>
    </row>
    <row r="1451" spans="1:54" ht="36.75" customHeight="1">
      <c r="A1451" s="30"/>
      <c r="B1451" s="30" t="s">
        <v>55</v>
      </c>
      <c r="C1451" s="69" t="str">
        <f t="shared" si="93"/>
        <v>Closed</v>
      </c>
      <c r="D1451" s="27" t="s">
        <v>8086</v>
      </c>
      <c r="E1451" s="29" t="s">
        <v>8087</v>
      </c>
      <c r="F1451" s="30" t="s">
        <v>58</v>
      </c>
      <c r="G1451" s="89">
        <f>DATE(2012,10,19)</f>
        <v>41201</v>
      </c>
      <c r="H1451" s="90">
        <v>1.6930555555555555</v>
      </c>
      <c r="I1451" s="30" t="s">
        <v>2264</v>
      </c>
      <c r="J1451" s="89" t="s">
        <v>8088</v>
      </c>
      <c r="K1451" s="30" t="s">
        <v>61</v>
      </c>
      <c r="L1451" s="30" t="s">
        <v>8089</v>
      </c>
      <c r="M1451" s="30" t="s">
        <v>63</v>
      </c>
      <c r="N1451" s="30" t="s">
        <v>99</v>
      </c>
      <c r="O1451" s="30" t="s">
        <v>6875</v>
      </c>
      <c r="P1451" s="89" t="s">
        <v>78</v>
      </c>
      <c r="Q1451" s="89" t="s">
        <v>66</v>
      </c>
      <c r="R1451" s="89" t="s">
        <v>67</v>
      </c>
      <c r="S1451" s="30">
        <v>0</v>
      </c>
      <c r="T1451" s="233">
        <v>0</v>
      </c>
      <c r="U1451" s="30">
        <v>0</v>
      </c>
      <c r="V1451" s="233">
        <v>0</v>
      </c>
      <c r="W1451" s="30">
        <v>0</v>
      </c>
      <c r="X1451" s="30">
        <v>0</v>
      </c>
      <c r="Y1451" s="30">
        <v>0</v>
      </c>
      <c r="Z1451" s="233">
        <v>0</v>
      </c>
      <c r="AA1451" s="30">
        <v>0</v>
      </c>
      <c r="AB1451" s="30">
        <v>0</v>
      </c>
      <c r="AC1451" s="30">
        <v>0</v>
      </c>
      <c r="AD1451" s="30">
        <v>0</v>
      </c>
      <c r="AE1451" s="89" t="s">
        <v>92</v>
      </c>
      <c r="AF1451" s="89"/>
      <c r="AG1451" s="89" t="s">
        <v>69</v>
      </c>
      <c r="AH1451" s="72">
        <v>41207</v>
      </c>
      <c r="AI1451" s="30">
        <v>4</v>
      </c>
      <c r="AJ1451" s="89" t="s">
        <v>8090</v>
      </c>
      <c r="AK1451" s="89" t="s">
        <v>8091</v>
      </c>
      <c r="AL1451" s="91">
        <v>41208</v>
      </c>
      <c r="AM1451" s="91"/>
      <c r="AN1451" s="91"/>
      <c r="AO1451" s="91"/>
      <c r="AP1451" s="73" t="e">
        <f>MID(VLOOKUP(K1451,#REF!,2,FALSE),1,2)</f>
        <v>#REF!</v>
      </c>
      <c r="AQ1451" s="89">
        <f>DATE(2012,10,19)</f>
        <v>41201</v>
      </c>
      <c r="AR1451" s="82">
        <f t="shared" si="94"/>
        <v>19</v>
      </c>
      <c r="AS1451" s="83">
        <f t="shared" si="95"/>
        <v>10</v>
      </c>
      <c r="AT1451" s="84">
        <f t="shared" si="96"/>
        <v>2012</v>
      </c>
      <c r="AU1451" s="86"/>
      <c r="AV1451" s="86"/>
      <c r="AW1451" s="87"/>
      <c r="AX1451" s="86"/>
      <c r="AY1451" s="83"/>
      <c r="AZ1451" s="84"/>
      <c r="BA1451" s="86"/>
      <c r="BB1451" s="86"/>
    </row>
    <row r="1452" spans="1:54" ht="36.75" customHeight="1">
      <c r="A1452" s="30"/>
      <c r="B1452" s="30" t="s">
        <v>55</v>
      </c>
      <c r="C1452" s="69" t="str">
        <f t="shared" si="93"/>
        <v>Closed</v>
      </c>
      <c r="D1452" s="27" t="s">
        <v>8092</v>
      </c>
      <c r="E1452" s="29" t="s">
        <v>8093</v>
      </c>
      <c r="F1452" s="30" t="s">
        <v>835</v>
      </c>
      <c r="G1452" s="89">
        <f>DATE(2012,10,19)</f>
        <v>41201</v>
      </c>
      <c r="H1452" s="90">
        <v>1.4791666666666667</v>
      </c>
      <c r="I1452" s="30" t="s">
        <v>73</v>
      </c>
      <c r="J1452" s="89" t="s">
        <v>8094</v>
      </c>
      <c r="K1452" s="30" t="s">
        <v>837</v>
      </c>
      <c r="L1452" s="30" t="s">
        <v>8095</v>
      </c>
      <c r="M1452" s="30" t="s">
        <v>63</v>
      </c>
      <c r="N1452" s="30" t="s">
        <v>142</v>
      </c>
      <c r="O1452" s="30" t="s">
        <v>77</v>
      </c>
      <c r="P1452" s="89" t="s">
        <v>78</v>
      </c>
      <c r="Q1452" s="89" t="s">
        <v>4708</v>
      </c>
      <c r="R1452" s="89" t="s">
        <v>840</v>
      </c>
      <c r="S1452" s="30">
        <v>0</v>
      </c>
      <c r="T1452" s="233">
        <v>0</v>
      </c>
      <c r="U1452" s="30">
        <v>0</v>
      </c>
      <c r="V1452" s="233">
        <v>0</v>
      </c>
      <c r="W1452" s="30">
        <v>0</v>
      </c>
      <c r="X1452" s="30">
        <v>0</v>
      </c>
      <c r="Y1452" s="30">
        <v>0</v>
      </c>
      <c r="Z1452" s="233">
        <v>0</v>
      </c>
      <c r="AA1452" s="30">
        <v>0</v>
      </c>
      <c r="AB1452" s="30">
        <v>0</v>
      </c>
      <c r="AC1452" s="30">
        <v>0</v>
      </c>
      <c r="AD1452" s="30">
        <v>0</v>
      </c>
      <c r="AE1452" s="89" t="s">
        <v>92</v>
      </c>
      <c r="AF1452" s="89"/>
      <c r="AG1452" s="89" t="s">
        <v>352</v>
      </c>
      <c r="AH1452" s="72">
        <v>41201</v>
      </c>
      <c r="AI1452" s="30">
        <v>1</v>
      </c>
      <c r="AJ1452" s="89" t="s">
        <v>8096</v>
      </c>
      <c r="AK1452" s="89" t="s">
        <v>8097</v>
      </c>
      <c r="AL1452" s="91">
        <v>41206</v>
      </c>
      <c r="AM1452" s="91"/>
      <c r="AN1452" s="91"/>
      <c r="AO1452" s="91"/>
      <c r="AP1452" s="73" t="e">
        <f>MID(VLOOKUP(K1452,#REF!,2,FALSE),1,2)</f>
        <v>#REF!</v>
      </c>
      <c r="AQ1452" s="89">
        <f>DATE(2012,10,19)</f>
        <v>41201</v>
      </c>
      <c r="AR1452" s="82">
        <f t="shared" si="94"/>
        <v>19</v>
      </c>
      <c r="AS1452" s="83">
        <f t="shared" si="95"/>
        <v>10</v>
      </c>
      <c r="AT1452" s="84">
        <f t="shared" si="96"/>
        <v>2012</v>
      </c>
      <c r="AU1452" s="86"/>
      <c r="AV1452" s="86"/>
      <c r="AW1452" s="87"/>
      <c r="AX1452" s="86"/>
      <c r="AY1452" s="83"/>
      <c r="AZ1452" s="84"/>
      <c r="BA1452" s="86"/>
      <c r="BB1452" s="86"/>
    </row>
    <row r="1453" spans="1:54" ht="36.75" customHeight="1">
      <c r="A1453" s="30"/>
      <c r="B1453" s="30" t="s">
        <v>55</v>
      </c>
      <c r="C1453" s="69" t="str">
        <f t="shared" si="93"/>
        <v>Closed</v>
      </c>
      <c r="D1453" s="27" t="s">
        <v>8098</v>
      </c>
      <c r="E1453" s="29" t="s">
        <v>8099</v>
      </c>
      <c r="F1453" s="30" t="s">
        <v>197</v>
      </c>
      <c r="G1453" s="89">
        <f>DATE(2012,10,24)</f>
        <v>41206</v>
      </c>
      <c r="H1453" s="90">
        <v>1.0569444444444445</v>
      </c>
      <c r="I1453" s="30" t="s">
        <v>73</v>
      </c>
      <c r="J1453" s="89" t="s">
        <v>8100</v>
      </c>
      <c r="K1453" s="30" t="s">
        <v>200</v>
      </c>
      <c r="L1453" s="30" t="s">
        <v>8101</v>
      </c>
      <c r="M1453" s="30" t="s">
        <v>63</v>
      </c>
      <c r="N1453" s="30" t="s">
        <v>142</v>
      </c>
      <c r="O1453" s="30" t="s">
        <v>64</v>
      </c>
      <c r="P1453" s="89" t="s">
        <v>78</v>
      </c>
      <c r="Q1453" s="89" t="s">
        <v>1716</v>
      </c>
      <c r="R1453" s="89">
        <v>0</v>
      </c>
      <c r="S1453" s="30">
        <v>0</v>
      </c>
      <c r="T1453" s="233">
        <v>0</v>
      </c>
      <c r="U1453" s="30">
        <v>0</v>
      </c>
      <c r="V1453" s="233">
        <v>0</v>
      </c>
      <c r="W1453" s="30">
        <v>0</v>
      </c>
      <c r="X1453" s="30">
        <v>0</v>
      </c>
      <c r="Y1453" s="30">
        <v>0</v>
      </c>
      <c r="Z1453" s="233">
        <v>0</v>
      </c>
      <c r="AA1453" s="30">
        <v>0</v>
      </c>
      <c r="AB1453" s="30">
        <v>0</v>
      </c>
      <c r="AC1453" s="30">
        <v>0</v>
      </c>
      <c r="AD1453" s="30">
        <v>0</v>
      </c>
      <c r="AE1453" s="89" t="s">
        <v>145</v>
      </c>
      <c r="AF1453" s="89"/>
      <c r="AG1453" s="89" t="s">
        <v>82</v>
      </c>
      <c r="AH1453" s="72">
        <v>41225</v>
      </c>
      <c r="AI1453" s="30">
        <v>2</v>
      </c>
      <c r="AJ1453" s="89" t="s">
        <v>8102</v>
      </c>
      <c r="AK1453" s="89" t="s">
        <v>1233</v>
      </c>
      <c r="AL1453" s="91">
        <v>41229</v>
      </c>
      <c r="AM1453" s="91"/>
      <c r="AN1453" s="91"/>
      <c r="AO1453" s="91"/>
      <c r="AP1453" s="73" t="e">
        <f>MID(VLOOKUP(K1453,#REF!,2,FALSE),1,2)</f>
        <v>#REF!</v>
      </c>
      <c r="AQ1453" s="89">
        <f>DATE(2012,10,24)</f>
        <v>41206</v>
      </c>
      <c r="AR1453" s="82">
        <f t="shared" si="94"/>
        <v>24</v>
      </c>
      <c r="AS1453" s="83">
        <f t="shared" si="95"/>
        <v>10</v>
      </c>
      <c r="AT1453" s="84">
        <f t="shared" si="96"/>
        <v>2012</v>
      </c>
      <c r="AU1453" s="86"/>
      <c r="AV1453" s="86"/>
      <c r="AW1453" s="87"/>
      <c r="AX1453" s="86"/>
      <c r="AY1453" s="83"/>
      <c r="AZ1453" s="84"/>
      <c r="BA1453" s="86"/>
      <c r="BB1453" s="86"/>
    </row>
    <row r="1454" spans="1:54" ht="36.75" customHeight="1">
      <c r="A1454" s="30"/>
      <c r="B1454" s="30" t="s">
        <v>55</v>
      </c>
      <c r="C1454" s="69" t="str">
        <f t="shared" si="93"/>
        <v>Closed</v>
      </c>
      <c r="D1454" s="27" t="s">
        <v>8103</v>
      </c>
      <c r="E1454" s="29" t="s">
        <v>8104</v>
      </c>
      <c r="F1454" s="30" t="s">
        <v>423</v>
      </c>
      <c r="G1454" s="89">
        <f>DATE(2012,10,24)</f>
        <v>41206</v>
      </c>
      <c r="H1454" s="90">
        <v>1.8263888888888888</v>
      </c>
      <c r="I1454" s="30" t="s">
        <v>73</v>
      </c>
      <c r="J1454" s="89" t="s">
        <v>8105</v>
      </c>
      <c r="K1454" s="30" t="s">
        <v>425</v>
      </c>
      <c r="L1454" s="30" t="s">
        <v>8106</v>
      </c>
      <c r="M1454" s="30" t="s">
        <v>63</v>
      </c>
      <c r="N1454" s="30" t="s">
        <v>89</v>
      </c>
      <c r="O1454" s="30" t="s">
        <v>6875</v>
      </c>
      <c r="P1454" s="89" t="s">
        <v>91</v>
      </c>
      <c r="Q1454" s="89" t="s">
        <v>8107</v>
      </c>
      <c r="R1454" s="89" t="s">
        <v>7849</v>
      </c>
      <c r="S1454" s="30">
        <v>0</v>
      </c>
      <c r="T1454" s="233">
        <v>0</v>
      </c>
      <c r="U1454" s="30">
        <v>0</v>
      </c>
      <c r="V1454" s="233">
        <v>0</v>
      </c>
      <c r="W1454" s="30">
        <v>0</v>
      </c>
      <c r="X1454" s="30">
        <v>0</v>
      </c>
      <c r="Y1454" s="30">
        <v>0</v>
      </c>
      <c r="Z1454" s="233">
        <v>0</v>
      </c>
      <c r="AA1454" s="30">
        <v>0</v>
      </c>
      <c r="AB1454" s="30">
        <v>0</v>
      </c>
      <c r="AC1454" s="30">
        <v>0</v>
      </c>
      <c r="AD1454" s="30">
        <v>0</v>
      </c>
      <c r="AE1454" s="89" t="s">
        <v>92</v>
      </c>
      <c r="AF1454" s="89"/>
      <c r="AG1454" s="89" t="s">
        <v>395</v>
      </c>
      <c r="AH1454" s="72">
        <v>41327</v>
      </c>
      <c r="AI1454" s="30">
        <v>0</v>
      </c>
      <c r="AJ1454" s="89" t="s">
        <v>8108</v>
      </c>
      <c r="AK1454" s="89" t="s">
        <v>8109</v>
      </c>
      <c r="AL1454" s="91">
        <v>41332</v>
      </c>
      <c r="AM1454" s="91"/>
      <c r="AN1454" s="91"/>
      <c r="AO1454" s="91"/>
      <c r="AP1454" s="73" t="e">
        <f>MID(VLOOKUP(K1454,#REF!,2,FALSE),1,2)</f>
        <v>#REF!</v>
      </c>
      <c r="AQ1454" s="89">
        <f>DATE(2012,10,24)</f>
        <v>41206</v>
      </c>
      <c r="AR1454" s="82">
        <f t="shared" si="94"/>
        <v>24</v>
      </c>
      <c r="AS1454" s="83">
        <f t="shared" si="95"/>
        <v>10</v>
      </c>
      <c r="AT1454" s="84">
        <f t="shared" si="96"/>
        <v>2012</v>
      </c>
      <c r="AU1454" s="86"/>
      <c r="AV1454" s="86"/>
      <c r="AW1454" s="87"/>
      <c r="AX1454" s="86"/>
      <c r="AY1454" s="83"/>
      <c r="AZ1454" s="84"/>
      <c r="BA1454" s="86"/>
      <c r="BB1454" s="86"/>
    </row>
    <row r="1455" spans="1:54" ht="36.75" customHeight="1">
      <c r="A1455" s="30"/>
      <c r="B1455" s="30" t="s">
        <v>55</v>
      </c>
      <c r="C1455" s="69" t="str">
        <f t="shared" si="93"/>
        <v>Closed</v>
      </c>
      <c r="D1455" s="27" t="s">
        <v>8110</v>
      </c>
      <c r="E1455" s="29" t="s">
        <v>8111</v>
      </c>
      <c r="F1455" s="30" t="s">
        <v>624</v>
      </c>
      <c r="G1455" s="89">
        <f>DATE(2012,10,26)</f>
        <v>41208</v>
      </c>
      <c r="H1455" s="90">
        <v>1.6416666666666666</v>
      </c>
      <c r="I1455" s="30" t="s">
        <v>198</v>
      </c>
      <c r="J1455" s="89" t="s">
        <v>8112</v>
      </c>
      <c r="K1455" s="30" t="s">
        <v>626</v>
      </c>
      <c r="L1455" s="30" t="s">
        <v>8113</v>
      </c>
      <c r="M1455" s="30" t="s">
        <v>63</v>
      </c>
      <c r="N1455" s="30" t="s">
        <v>142</v>
      </c>
      <c r="O1455" s="30" t="s">
        <v>64</v>
      </c>
      <c r="P1455" s="89" t="s">
        <v>165</v>
      </c>
      <c r="Q1455" s="89" t="s">
        <v>7181</v>
      </c>
      <c r="R1455" s="89" t="s">
        <v>629</v>
      </c>
      <c r="S1455" s="30">
        <v>0</v>
      </c>
      <c r="T1455" s="233">
        <v>0</v>
      </c>
      <c r="U1455" s="30">
        <v>0</v>
      </c>
      <c r="V1455" s="233">
        <v>0</v>
      </c>
      <c r="W1455" s="30">
        <v>0</v>
      </c>
      <c r="X1455" s="30">
        <v>0</v>
      </c>
      <c r="Y1455" s="30">
        <v>0</v>
      </c>
      <c r="Z1455" s="233">
        <v>2</v>
      </c>
      <c r="AA1455" s="30">
        <v>0</v>
      </c>
      <c r="AB1455" s="30">
        <v>0</v>
      </c>
      <c r="AC1455" s="30">
        <v>0</v>
      </c>
      <c r="AD1455" s="30">
        <v>2</v>
      </c>
      <c r="AE1455" s="89" t="s">
        <v>92</v>
      </c>
      <c r="AF1455" s="89"/>
      <c r="AG1455" s="89" t="s">
        <v>82</v>
      </c>
      <c r="AH1455" s="72">
        <v>41208</v>
      </c>
      <c r="AI1455" s="30">
        <v>3</v>
      </c>
      <c r="AJ1455" s="89" t="s">
        <v>8114</v>
      </c>
      <c r="AK1455" s="89" t="s">
        <v>68</v>
      </c>
      <c r="AL1455" s="91">
        <v>41325</v>
      </c>
      <c r="AM1455" s="91"/>
      <c r="AN1455" s="91"/>
      <c r="AO1455" s="91"/>
      <c r="AP1455" s="73" t="e">
        <f>MID(VLOOKUP(K1455,#REF!,2,FALSE),1,2)</f>
        <v>#REF!</v>
      </c>
      <c r="AQ1455" s="89">
        <f>DATE(2012,10,26)</f>
        <v>41208</v>
      </c>
      <c r="AR1455" s="82">
        <f t="shared" si="94"/>
        <v>26</v>
      </c>
      <c r="AS1455" s="83">
        <f t="shared" si="95"/>
        <v>10</v>
      </c>
      <c r="AT1455" s="84">
        <f t="shared" si="96"/>
        <v>2012</v>
      </c>
      <c r="AU1455" s="86"/>
      <c r="AV1455" s="86"/>
      <c r="AW1455" s="87"/>
      <c r="AX1455" s="86"/>
      <c r="AY1455" s="83"/>
      <c r="AZ1455" s="84"/>
      <c r="BA1455" s="86"/>
      <c r="BB1455" s="86"/>
    </row>
    <row r="1456" spans="1:54" ht="36.75" customHeight="1">
      <c r="A1456" s="30"/>
      <c r="B1456" s="30" t="s">
        <v>55</v>
      </c>
      <c r="C1456" s="69" t="str">
        <f t="shared" si="93"/>
        <v>Closed</v>
      </c>
      <c r="D1456" s="27" t="s">
        <v>8115</v>
      </c>
      <c r="E1456" s="29" t="s">
        <v>8116</v>
      </c>
      <c r="F1456" s="30" t="s">
        <v>115</v>
      </c>
      <c r="G1456" s="89">
        <f>DATE(2012,10,27)</f>
        <v>41209</v>
      </c>
      <c r="H1456" s="90">
        <v>1.3388888888888888</v>
      </c>
      <c r="I1456" s="30" t="s">
        <v>116</v>
      </c>
      <c r="J1456" s="89" t="s">
        <v>8117</v>
      </c>
      <c r="K1456" s="30" t="s">
        <v>118</v>
      </c>
      <c r="L1456" s="30" t="s">
        <v>8118</v>
      </c>
      <c r="M1456" s="30" t="s">
        <v>63</v>
      </c>
      <c r="N1456" s="30" t="s">
        <v>142</v>
      </c>
      <c r="O1456" s="30" t="s">
        <v>64</v>
      </c>
      <c r="P1456" s="89" t="s">
        <v>381</v>
      </c>
      <c r="Q1456" s="89" t="s">
        <v>120</v>
      </c>
      <c r="R1456" s="89" t="s">
        <v>121</v>
      </c>
      <c r="S1456" s="30">
        <v>0</v>
      </c>
      <c r="T1456" s="233">
        <v>0</v>
      </c>
      <c r="U1456" s="30">
        <v>1</v>
      </c>
      <c r="V1456" s="233">
        <v>0</v>
      </c>
      <c r="W1456" s="30">
        <v>0</v>
      </c>
      <c r="X1456" s="30">
        <v>1</v>
      </c>
      <c r="Y1456" s="30">
        <v>0</v>
      </c>
      <c r="Z1456" s="233">
        <v>0</v>
      </c>
      <c r="AA1456" s="30">
        <v>2</v>
      </c>
      <c r="AB1456" s="30">
        <v>0</v>
      </c>
      <c r="AC1456" s="30">
        <v>0</v>
      </c>
      <c r="AD1456" s="30">
        <v>2</v>
      </c>
      <c r="AE1456" s="89" t="s">
        <v>92</v>
      </c>
      <c r="AF1456" s="89"/>
      <c r="AG1456" s="89" t="s">
        <v>82</v>
      </c>
      <c r="AH1456" s="72">
        <v>41212</v>
      </c>
      <c r="AI1456" s="30">
        <v>3</v>
      </c>
      <c r="AJ1456" s="89" t="s">
        <v>8119</v>
      </c>
      <c r="AK1456" s="89" t="s">
        <v>8120</v>
      </c>
      <c r="AL1456" s="91">
        <v>41229</v>
      </c>
      <c r="AM1456" s="91"/>
      <c r="AN1456" s="91"/>
      <c r="AO1456" s="91"/>
      <c r="AP1456" s="73" t="e">
        <f>MID(VLOOKUP(K1456,#REF!,2,FALSE),1,2)</f>
        <v>#REF!</v>
      </c>
      <c r="AQ1456" s="89">
        <f>DATE(2012,10,27)</f>
        <v>41209</v>
      </c>
      <c r="AR1456" s="82">
        <f t="shared" si="94"/>
        <v>27</v>
      </c>
      <c r="AS1456" s="83">
        <f t="shared" si="95"/>
        <v>10</v>
      </c>
      <c r="AT1456" s="84">
        <f t="shared" si="96"/>
        <v>2012</v>
      </c>
      <c r="AU1456" s="86"/>
      <c r="AV1456" s="86"/>
      <c r="AW1456" s="87"/>
      <c r="AX1456" s="86"/>
      <c r="AY1456" s="83"/>
      <c r="AZ1456" s="84"/>
      <c r="BA1456" s="86"/>
      <c r="BB1456" s="86"/>
    </row>
    <row r="1457" spans="1:54" ht="36.75" customHeight="1">
      <c r="A1457" s="30"/>
      <c r="B1457" s="30" t="s">
        <v>55</v>
      </c>
      <c r="C1457" s="69" t="str">
        <f t="shared" si="93"/>
        <v>Closed</v>
      </c>
      <c r="D1457" s="27" t="s">
        <v>8121</v>
      </c>
      <c r="E1457" s="29" t="s">
        <v>8122</v>
      </c>
      <c r="F1457" s="30" t="s">
        <v>1572</v>
      </c>
      <c r="G1457" s="89">
        <f>DATE(2012,10,28)</f>
        <v>41210</v>
      </c>
      <c r="H1457" s="90">
        <v>1.3791666666666667</v>
      </c>
      <c r="I1457" s="30" t="s">
        <v>73</v>
      </c>
      <c r="J1457" s="89" t="s">
        <v>8123</v>
      </c>
      <c r="K1457" s="30" t="s">
        <v>1574</v>
      </c>
      <c r="L1457" s="30" t="s">
        <v>8124</v>
      </c>
      <c r="M1457" s="30" t="s">
        <v>63</v>
      </c>
      <c r="N1457" s="30" t="s">
        <v>99</v>
      </c>
      <c r="O1457" s="30" t="s">
        <v>77</v>
      </c>
      <c r="P1457" s="89" t="s">
        <v>165</v>
      </c>
      <c r="Q1457" s="89" t="s">
        <v>5170</v>
      </c>
      <c r="R1457" s="89" t="s">
        <v>2561</v>
      </c>
      <c r="S1457" s="30">
        <v>0</v>
      </c>
      <c r="T1457" s="233">
        <v>0</v>
      </c>
      <c r="U1457" s="30">
        <v>0</v>
      </c>
      <c r="V1457" s="233">
        <v>0</v>
      </c>
      <c r="W1457" s="30">
        <v>0</v>
      </c>
      <c r="X1457" s="30">
        <v>0</v>
      </c>
      <c r="Y1457" s="30">
        <v>0</v>
      </c>
      <c r="Z1457" s="233">
        <v>0</v>
      </c>
      <c r="AA1457" s="30">
        <v>0</v>
      </c>
      <c r="AB1457" s="30">
        <v>0</v>
      </c>
      <c r="AC1457" s="30">
        <v>0</v>
      </c>
      <c r="AD1457" s="30">
        <v>0</v>
      </c>
      <c r="AE1457" s="89" t="s">
        <v>92</v>
      </c>
      <c r="AF1457" s="89"/>
      <c r="AG1457" s="89" t="s">
        <v>133</v>
      </c>
      <c r="AH1457" s="72">
        <v>41212</v>
      </c>
      <c r="AI1457" s="30">
        <v>0</v>
      </c>
      <c r="AJ1457" s="89" t="s">
        <v>8125</v>
      </c>
      <c r="AK1457" s="89" t="s">
        <v>8126</v>
      </c>
      <c r="AL1457" s="91">
        <v>41213</v>
      </c>
      <c r="AM1457" s="91"/>
      <c r="AN1457" s="91"/>
      <c r="AO1457" s="91"/>
      <c r="AP1457" s="73" t="e">
        <f>MID(VLOOKUP(K1457,#REF!,2,FALSE),1,2)</f>
        <v>#REF!</v>
      </c>
      <c r="AQ1457" s="89">
        <f>DATE(2012,10,28)</f>
        <v>41210</v>
      </c>
      <c r="AR1457" s="82">
        <f t="shared" si="94"/>
        <v>28</v>
      </c>
      <c r="AS1457" s="83">
        <f t="shared" si="95"/>
        <v>10</v>
      </c>
      <c r="AT1457" s="84">
        <f t="shared" si="96"/>
        <v>2012</v>
      </c>
      <c r="AU1457" s="86"/>
      <c r="AV1457" s="86"/>
      <c r="AW1457" s="87"/>
      <c r="AX1457" s="86"/>
      <c r="AY1457" s="83"/>
      <c r="AZ1457" s="84"/>
      <c r="BA1457" s="86"/>
      <c r="BB1457" s="86"/>
    </row>
    <row r="1458" spans="1:54" ht="36.75" customHeight="1">
      <c r="A1458" s="30"/>
      <c r="B1458" s="30" t="s">
        <v>55</v>
      </c>
      <c r="C1458" s="69" t="str">
        <f t="shared" si="93"/>
        <v>Closed</v>
      </c>
      <c r="D1458" s="27" t="s">
        <v>8127</v>
      </c>
      <c r="E1458" s="29" t="s">
        <v>8128</v>
      </c>
      <c r="F1458" s="30" t="s">
        <v>233</v>
      </c>
      <c r="G1458" s="89">
        <f>DATE(2012,10,28)</f>
        <v>41210</v>
      </c>
      <c r="H1458" s="90">
        <v>1.34375</v>
      </c>
      <c r="I1458" s="30" t="s">
        <v>5494</v>
      </c>
      <c r="J1458" s="89" t="s">
        <v>8129</v>
      </c>
      <c r="K1458" s="30" t="s">
        <v>235</v>
      </c>
      <c r="L1458" s="30" t="s">
        <v>8130</v>
      </c>
      <c r="M1458" s="30" t="s">
        <v>63</v>
      </c>
      <c r="N1458" s="30" t="s">
        <v>142</v>
      </c>
      <c r="O1458" s="30" t="s">
        <v>64</v>
      </c>
      <c r="P1458" s="89" t="s">
        <v>86</v>
      </c>
      <c r="Q1458" s="89" t="s">
        <v>7879</v>
      </c>
      <c r="R1458" s="89" t="s">
        <v>238</v>
      </c>
      <c r="S1458" s="30">
        <v>0</v>
      </c>
      <c r="T1458" s="233">
        <v>0</v>
      </c>
      <c r="U1458" s="30">
        <v>0</v>
      </c>
      <c r="V1458" s="233">
        <v>0</v>
      </c>
      <c r="W1458" s="30">
        <v>0</v>
      </c>
      <c r="X1458" s="30">
        <v>0</v>
      </c>
      <c r="Y1458" s="30">
        <v>0</v>
      </c>
      <c r="Z1458" s="233">
        <v>0</v>
      </c>
      <c r="AA1458" s="30">
        <v>0</v>
      </c>
      <c r="AB1458" s="30">
        <v>0</v>
      </c>
      <c r="AC1458" s="30">
        <v>0</v>
      </c>
      <c r="AD1458" s="30">
        <v>0</v>
      </c>
      <c r="AE1458" s="89" t="s">
        <v>92</v>
      </c>
      <c r="AF1458" s="89"/>
      <c r="AG1458" s="89" t="s">
        <v>133</v>
      </c>
      <c r="AH1458" s="72">
        <v>41225</v>
      </c>
      <c r="AI1458" s="30">
        <v>0</v>
      </c>
      <c r="AJ1458" s="89" t="s">
        <v>8131</v>
      </c>
      <c r="AK1458" s="89" t="s">
        <v>8132</v>
      </c>
      <c r="AL1458" s="91">
        <v>41305</v>
      </c>
      <c r="AM1458" s="91"/>
      <c r="AN1458" s="91"/>
      <c r="AO1458" s="91"/>
      <c r="AP1458" s="73" t="e">
        <f>MID(VLOOKUP(K1458,#REF!,2,FALSE),1,2)</f>
        <v>#REF!</v>
      </c>
      <c r="AQ1458" s="89">
        <f>DATE(2012,10,28)</f>
        <v>41210</v>
      </c>
      <c r="AR1458" s="82">
        <f t="shared" si="94"/>
        <v>28</v>
      </c>
      <c r="AS1458" s="83">
        <f t="shared" si="95"/>
        <v>10</v>
      </c>
      <c r="AT1458" s="84">
        <f t="shared" si="96"/>
        <v>2012</v>
      </c>
      <c r="AU1458" s="86"/>
      <c r="AV1458" s="86"/>
      <c r="AW1458" s="87"/>
      <c r="AX1458" s="86"/>
      <c r="AY1458" s="83"/>
      <c r="AZ1458" s="84"/>
      <c r="BA1458" s="86"/>
      <c r="BB1458" s="86"/>
    </row>
    <row r="1459" spans="1:54" ht="36.75" customHeight="1">
      <c r="A1459" s="30"/>
      <c r="B1459" s="30" t="s">
        <v>55</v>
      </c>
      <c r="C1459" s="69" t="str">
        <f t="shared" si="93"/>
        <v>Closed</v>
      </c>
      <c r="D1459" s="27" t="s">
        <v>8133</v>
      </c>
      <c r="E1459" s="29" t="s">
        <v>8134</v>
      </c>
      <c r="F1459" s="30" t="s">
        <v>638</v>
      </c>
      <c r="G1459" s="89">
        <f>DATE(2012,10,29)</f>
        <v>41211</v>
      </c>
      <c r="H1459" s="90">
        <v>1.4111111111111112</v>
      </c>
      <c r="I1459" s="30" t="s">
        <v>116</v>
      </c>
      <c r="J1459" s="89" t="s">
        <v>8135</v>
      </c>
      <c r="K1459" s="30" t="s">
        <v>640</v>
      </c>
      <c r="L1459" s="30" t="s">
        <v>8136</v>
      </c>
      <c r="M1459" s="30" t="s">
        <v>63</v>
      </c>
      <c r="N1459" s="30" t="s">
        <v>99</v>
      </c>
      <c r="O1459" s="30" t="s">
        <v>64</v>
      </c>
      <c r="P1459" s="89" t="s">
        <v>165</v>
      </c>
      <c r="Q1459" s="89" t="s">
        <v>642</v>
      </c>
      <c r="R1459" s="89" t="s">
        <v>643</v>
      </c>
      <c r="S1459" s="30">
        <v>0</v>
      </c>
      <c r="T1459" s="233">
        <v>0</v>
      </c>
      <c r="U1459" s="30">
        <v>0</v>
      </c>
      <c r="V1459" s="233">
        <v>0</v>
      </c>
      <c r="W1459" s="30">
        <v>0</v>
      </c>
      <c r="X1459" s="30">
        <v>0</v>
      </c>
      <c r="Y1459" s="30">
        <v>0</v>
      </c>
      <c r="Z1459" s="233">
        <v>0</v>
      </c>
      <c r="AA1459" s="30">
        <v>0</v>
      </c>
      <c r="AB1459" s="30">
        <v>0</v>
      </c>
      <c r="AC1459" s="30">
        <v>0</v>
      </c>
      <c r="AD1459" s="30">
        <v>0</v>
      </c>
      <c r="AE1459" s="89" t="s">
        <v>92</v>
      </c>
      <c r="AF1459" s="89"/>
      <c r="AG1459" s="89" t="s">
        <v>352</v>
      </c>
      <c r="AH1459" s="72">
        <v>41269</v>
      </c>
      <c r="AI1459" s="30">
        <v>2</v>
      </c>
      <c r="AJ1459" s="89" t="s">
        <v>8137</v>
      </c>
      <c r="AK1459" s="89" t="s">
        <v>68</v>
      </c>
      <c r="AL1459" s="91">
        <v>41284</v>
      </c>
      <c r="AM1459" s="91"/>
      <c r="AN1459" s="91"/>
      <c r="AO1459" s="91"/>
      <c r="AP1459" s="73" t="e">
        <f>MID(VLOOKUP(K1459,#REF!,2,FALSE),1,2)</f>
        <v>#REF!</v>
      </c>
      <c r="AQ1459" s="89">
        <f>DATE(2012,10,29)</f>
        <v>41211</v>
      </c>
      <c r="AR1459" s="82">
        <f t="shared" si="94"/>
        <v>29</v>
      </c>
      <c r="AS1459" s="83">
        <f t="shared" si="95"/>
        <v>10</v>
      </c>
      <c r="AT1459" s="84">
        <f t="shared" si="96"/>
        <v>2012</v>
      </c>
      <c r="AU1459" s="86"/>
      <c r="AV1459" s="86"/>
      <c r="AW1459" s="87"/>
      <c r="AX1459" s="86"/>
      <c r="AY1459" s="83"/>
      <c r="AZ1459" s="84"/>
      <c r="BA1459" s="86"/>
      <c r="BB1459" s="86"/>
    </row>
    <row r="1460" spans="1:54" ht="36.75" customHeight="1">
      <c r="A1460" s="30"/>
      <c r="B1460" s="30" t="s">
        <v>55</v>
      </c>
      <c r="C1460" s="69" t="str">
        <f t="shared" si="93"/>
        <v>Closed</v>
      </c>
      <c r="D1460" s="27" t="s">
        <v>8138</v>
      </c>
      <c r="E1460" s="29" t="s">
        <v>8139</v>
      </c>
      <c r="F1460" s="30" t="s">
        <v>423</v>
      </c>
      <c r="G1460" s="89">
        <f>DATE(2012,11,1)</f>
        <v>41214</v>
      </c>
      <c r="H1460" s="90">
        <v>1.7319444444444443</v>
      </c>
      <c r="I1460" s="30" t="s">
        <v>7482</v>
      </c>
      <c r="J1460" s="89" t="s">
        <v>8140</v>
      </c>
      <c r="K1460" s="30" t="s">
        <v>425</v>
      </c>
      <c r="L1460" s="30" t="s">
        <v>8141</v>
      </c>
      <c r="M1460" s="30" t="s">
        <v>255</v>
      </c>
      <c r="N1460" s="30" t="s">
        <v>89</v>
      </c>
      <c r="O1460" s="30" t="s">
        <v>90</v>
      </c>
      <c r="P1460" s="89" t="s">
        <v>6552</v>
      </c>
      <c r="Q1460" s="89" t="s">
        <v>1343</v>
      </c>
      <c r="R1460" s="89" t="s">
        <v>1343</v>
      </c>
      <c r="S1460" s="30">
        <v>0</v>
      </c>
      <c r="T1460" s="233">
        <v>0</v>
      </c>
      <c r="U1460" s="30">
        <v>0</v>
      </c>
      <c r="V1460" s="233">
        <v>0</v>
      </c>
      <c r="W1460" s="30">
        <v>0</v>
      </c>
      <c r="X1460" s="30">
        <v>0</v>
      </c>
      <c r="Y1460" s="30">
        <v>0</v>
      </c>
      <c r="Z1460" s="233">
        <v>0</v>
      </c>
      <c r="AA1460" s="30">
        <v>0</v>
      </c>
      <c r="AB1460" s="30">
        <v>0</v>
      </c>
      <c r="AC1460" s="30">
        <v>0</v>
      </c>
      <c r="AD1460" s="30">
        <v>0</v>
      </c>
      <c r="AE1460" s="89" t="s">
        <v>92</v>
      </c>
      <c r="AF1460" s="89"/>
      <c r="AG1460" s="89" t="s">
        <v>367</v>
      </c>
      <c r="AH1460" s="72">
        <v>41229</v>
      </c>
      <c r="AI1460" s="30">
        <v>3</v>
      </c>
      <c r="AJ1460" s="89" t="s">
        <v>8142</v>
      </c>
      <c r="AK1460" s="89" t="s">
        <v>8143</v>
      </c>
      <c r="AL1460" s="91">
        <v>41239</v>
      </c>
      <c r="AM1460" s="91"/>
      <c r="AN1460" s="91"/>
      <c r="AO1460" s="91"/>
      <c r="AP1460" s="73" t="e">
        <f>MID(VLOOKUP(K1460,#REF!,2,FALSE),1,2)</f>
        <v>#REF!</v>
      </c>
      <c r="AQ1460" s="89">
        <f>DATE(2012,11,1)</f>
        <v>41214</v>
      </c>
      <c r="AR1460" s="82">
        <f t="shared" si="94"/>
        <v>1</v>
      </c>
      <c r="AS1460" s="83">
        <f t="shared" si="95"/>
        <v>11</v>
      </c>
      <c r="AT1460" s="84">
        <f t="shared" si="96"/>
        <v>2012</v>
      </c>
      <c r="AU1460" s="86"/>
      <c r="AV1460" s="86"/>
      <c r="AW1460" s="87"/>
      <c r="AX1460" s="86"/>
      <c r="AY1460" s="83"/>
      <c r="AZ1460" s="84"/>
      <c r="BA1460" s="86"/>
      <c r="BB1460" s="86"/>
    </row>
    <row r="1461" spans="1:54" ht="36.75" customHeight="1">
      <c r="A1461" s="30"/>
      <c r="B1461" s="30" t="s">
        <v>55</v>
      </c>
      <c r="C1461" s="69" t="str">
        <f t="shared" si="93"/>
        <v>Closed</v>
      </c>
      <c r="D1461" s="27" t="s">
        <v>8144</v>
      </c>
      <c r="E1461" s="29" t="s">
        <v>8145</v>
      </c>
      <c r="F1461" s="30" t="s">
        <v>1572</v>
      </c>
      <c r="G1461" s="89">
        <f>DATE(2012,11,12)</f>
        <v>41225</v>
      </c>
      <c r="H1461" s="90">
        <v>1.7083333333333335</v>
      </c>
      <c r="I1461" s="30" t="s">
        <v>73</v>
      </c>
      <c r="J1461" s="89" t="s">
        <v>8146</v>
      </c>
      <c r="K1461" s="30" t="s">
        <v>1574</v>
      </c>
      <c r="L1461" s="30" t="s">
        <v>8147</v>
      </c>
      <c r="M1461" s="30" t="s">
        <v>63</v>
      </c>
      <c r="N1461" s="30" t="s">
        <v>99</v>
      </c>
      <c r="O1461" s="30" t="s">
        <v>64</v>
      </c>
      <c r="P1461" s="89" t="s">
        <v>78</v>
      </c>
      <c r="Q1461" s="89" t="s">
        <v>2655</v>
      </c>
      <c r="R1461" s="89" t="s">
        <v>2561</v>
      </c>
      <c r="S1461" s="30">
        <v>0</v>
      </c>
      <c r="T1461" s="233">
        <v>0</v>
      </c>
      <c r="U1461" s="30">
        <v>0</v>
      </c>
      <c r="V1461" s="233">
        <v>0</v>
      </c>
      <c r="W1461" s="30">
        <v>0</v>
      </c>
      <c r="X1461" s="30">
        <v>0</v>
      </c>
      <c r="Y1461" s="30">
        <v>0</v>
      </c>
      <c r="Z1461" s="233">
        <v>0</v>
      </c>
      <c r="AA1461" s="30">
        <v>0</v>
      </c>
      <c r="AB1461" s="30">
        <v>0</v>
      </c>
      <c r="AC1461" s="30">
        <v>0</v>
      </c>
      <c r="AD1461" s="30">
        <v>0</v>
      </c>
      <c r="AE1461" s="89" t="s">
        <v>394</v>
      </c>
      <c r="AF1461" s="89"/>
      <c r="AG1461" s="89" t="s">
        <v>133</v>
      </c>
      <c r="AH1461" s="72">
        <v>41226</v>
      </c>
      <c r="AI1461" s="30">
        <v>0</v>
      </c>
      <c r="AJ1461" s="89" t="s">
        <v>8148</v>
      </c>
      <c r="AK1461" s="89" t="s">
        <v>8149</v>
      </c>
      <c r="AL1461" s="91">
        <v>41228</v>
      </c>
      <c r="AM1461" s="91"/>
      <c r="AN1461" s="91"/>
      <c r="AO1461" s="91"/>
      <c r="AP1461" s="73" t="e">
        <f>MID(VLOOKUP(K1461,#REF!,2,FALSE),1,2)</f>
        <v>#REF!</v>
      </c>
      <c r="AQ1461" s="89">
        <f>DATE(2012,11,12)</f>
        <v>41225</v>
      </c>
      <c r="AR1461" s="82">
        <f t="shared" si="94"/>
        <v>12</v>
      </c>
      <c r="AS1461" s="83">
        <f t="shared" si="95"/>
        <v>11</v>
      </c>
      <c r="AT1461" s="84">
        <f t="shared" si="96"/>
        <v>2012</v>
      </c>
      <c r="AU1461" s="86"/>
      <c r="AV1461" s="86"/>
      <c r="AW1461" s="87"/>
      <c r="AX1461" s="86"/>
      <c r="AY1461" s="83"/>
      <c r="AZ1461" s="84"/>
      <c r="BA1461" s="86"/>
      <c r="BB1461" s="86"/>
    </row>
    <row r="1462" spans="1:54" ht="36.75" customHeight="1">
      <c r="A1462" s="30"/>
      <c r="B1462" s="30" t="s">
        <v>55</v>
      </c>
      <c r="C1462" s="69" t="str">
        <f t="shared" si="93"/>
        <v>Closed</v>
      </c>
      <c r="D1462" s="27" t="s">
        <v>8150</v>
      </c>
      <c r="E1462" s="29" t="s">
        <v>8151</v>
      </c>
      <c r="F1462" s="30" t="s">
        <v>423</v>
      </c>
      <c r="G1462" s="89">
        <f>DATE(2012,11,17)</f>
        <v>41230</v>
      </c>
      <c r="H1462" s="90">
        <v>1.4729166666666667</v>
      </c>
      <c r="I1462" s="30" t="s">
        <v>156</v>
      </c>
      <c r="J1462" s="89" t="s">
        <v>8152</v>
      </c>
      <c r="K1462" s="30" t="s">
        <v>425</v>
      </c>
      <c r="L1462" s="30" t="s">
        <v>8153</v>
      </c>
      <c r="M1462" s="30" t="s">
        <v>63</v>
      </c>
      <c r="N1462" s="30" t="s">
        <v>89</v>
      </c>
      <c r="O1462" s="30" t="s">
        <v>77</v>
      </c>
      <c r="P1462" s="89" t="s">
        <v>165</v>
      </c>
      <c r="Q1462" s="89" t="s">
        <v>427</v>
      </c>
      <c r="R1462" s="89" t="s">
        <v>3103</v>
      </c>
      <c r="S1462" s="30">
        <v>0</v>
      </c>
      <c r="T1462" s="233">
        <v>0</v>
      </c>
      <c r="U1462" s="30">
        <v>0</v>
      </c>
      <c r="V1462" s="233">
        <v>0</v>
      </c>
      <c r="W1462" s="30">
        <v>0</v>
      </c>
      <c r="X1462" s="30">
        <v>0</v>
      </c>
      <c r="Y1462" s="30">
        <v>0</v>
      </c>
      <c r="Z1462" s="233">
        <v>0</v>
      </c>
      <c r="AA1462" s="30">
        <v>0</v>
      </c>
      <c r="AB1462" s="30">
        <v>0</v>
      </c>
      <c r="AC1462" s="30">
        <v>0</v>
      </c>
      <c r="AD1462" s="30">
        <v>0</v>
      </c>
      <c r="AE1462" s="89" t="s">
        <v>92</v>
      </c>
      <c r="AF1462" s="89"/>
      <c r="AG1462" s="89" t="s">
        <v>133</v>
      </c>
      <c r="AH1462" s="72">
        <v>41236</v>
      </c>
      <c r="AI1462" s="30">
        <v>0</v>
      </c>
      <c r="AJ1462" s="89" t="s">
        <v>8154</v>
      </c>
      <c r="AK1462" s="89" t="s">
        <v>8155</v>
      </c>
      <c r="AL1462" s="91">
        <v>41239</v>
      </c>
      <c r="AM1462" s="91"/>
      <c r="AN1462" s="91"/>
      <c r="AO1462" s="91"/>
      <c r="AP1462" s="73" t="e">
        <f>MID(VLOOKUP(K1462,#REF!,2,FALSE),1,2)</f>
        <v>#REF!</v>
      </c>
      <c r="AQ1462" s="89">
        <f>DATE(2012,11,17)</f>
        <v>41230</v>
      </c>
      <c r="AR1462" s="82">
        <f t="shared" si="94"/>
        <v>17</v>
      </c>
      <c r="AS1462" s="83">
        <f t="shared" si="95"/>
        <v>11</v>
      </c>
      <c r="AT1462" s="84">
        <f t="shared" si="96"/>
        <v>2012</v>
      </c>
      <c r="AU1462" s="86"/>
      <c r="AV1462" s="86"/>
      <c r="AW1462" s="87"/>
      <c r="AX1462" s="86"/>
      <c r="AY1462" s="83"/>
      <c r="AZ1462" s="84"/>
      <c r="BA1462" s="86"/>
      <c r="BB1462" s="86"/>
    </row>
    <row r="1463" spans="1:54" ht="36.75" customHeight="1">
      <c r="A1463" s="30"/>
      <c r="B1463" s="30" t="s">
        <v>55</v>
      </c>
      <c r="C1463" s="69" t="str">
        <f t="shared" si="93"/>
        <v>Closed</v>
      </c>
      <c r="D1463" s="27" t="s">
        <v>8156</v>
      </c>
      <c r="E1463" s="29" t="s">
        <v>8157</v>
      </c>
      <c r="F1463" s="30" t="s">
        <v>423</v>
      </c>
      <c r="G1463" s="89">
        <f>DATE(2012,11,18)</f>
        <v>41231</v>
      </c>
      <c r="H1463" s="90">
        <v>1.6236111111111111</v>
      </c>
      <c r="I1463" s="30" t="s">
        <v>73</v>
      </c>
      <c r="J1463" s="89" t="s">
        <v>8158</v>
      </c>
      <c r="K1463" s="30" t="s">
        <v>425</v>
      </c>
      <c r="L1463" s="30" t="s">
        <v>8159</v>
      </c>
      <c r="M1463" s="30" t="s">
        <v>63</v>
      </c>
      <c r="N1463" s="30" t="s">
        <v>89</v>
      </c>
      <c r="O1463" s="30" t="s">
        <v>77</v>
      </c>
      <c r="P1463" s="89" t="s">
        <v>86</v>
      </c>
      <c r="Q1463" s="89" t="s">
        <v>427</v>
      </c>
      <c r="R1463" s="89" t="s">
        <v>3103</v>
      </c>
      <c r="S1463" s="30">
        <v>0</v>
      </c>
      <c r="T1463" s="233">
        <v>0</v>
      </c>
      <c r="U1463" s="30">
        <v>0</v>
      </c>
      <c r="V1463" s="233">
        <v>0</v>
      </c>
      <c r="W1463" s="30">
        <v>0</v>
      </c>
      <c r="X1463" s="30">
        <v>0</v>
      </c>
      <c r="Y1463" s="30">
        <v>0</v>
      </c>
      <c r="Z1463" s="233">
        <v>0</v>
      </c>
      <c r="AA1463" s="30">
        <v>0</v>
      </c>
      <c r="AB1463" s="30">
        <v>0</v>
      </c>
      <c r="AC1463" s="30">
        <v>0</v>
      </c>
      <c r="AD1463" s="30">
        <v>0</v>
      </c>
      <c r="AE1463" s="89" t="s">
        <v>92</v>
      </c>
      <c r="AF1463" s="89"/>
      <c r="AG1463" s="89" t="s">
        <v>133</v>
      </c>
      <c r="AH1463" s="72">
        <v>41241</v>
      </c>
      <c r="AI1463" s="30">
        <v>5</v>
      </c>
      <c r="AJ1463" s="89" t="s">
        <v>8160</v>
      </c>
      <c r="AK1463" s="89" t="s">
        <v>8161</v>
      </c>
      <c r="AL1463" s="91">
        <v>41247</v>
      </c>
      <c r="AM1463" s="91"/>
      <c r="AN1463" s="91"/>
      <c r="AO1463" s="91"/>
      <c r="AP1463" s="73" t="e">
        <f>MID(VLOOKUP(K1463,#REF!,2,FALSE),1,2)</f>
        <v>#REF!</v>
      </c>
      <c r="AQ1463" s="89">
        <f>DATE(2012,11,18)</f>
        <v>41231</v>
      </c>
      <c r="AR1463" s="82">
        <f t="shared" si="94"/>
        <v>18</v>
      </c>
      <c r="AS1463" s="83">
        <f t="shared" si="95"/>
        <v>11</v>
      </c>
      <c r="AT1463" s="84">
        <f t="shared" si="96"/>
        <v>2012</v>
      </c>
      <c r="AU1463" s="86"/>
      <c r="AV1463" s="86"/>
      <c r="AW1463" s="87"/>
      <c r="AX1463" s="86"/>
      <c r="AY1463" s="83"/>
      <c r="AZ1463" s="84"/>
      <c r="BA1463" s="86"/>
      <c r="BB1463" s="86"/>
    </row>
    <row r="1464" spans="1:54" ht="36.75" customHeight="1">
      <c r="A1464" s="30"/>
      <c r="B1464" s="30" t="s">
        <v>55</v>
      </c>
      <c r="C1464" s="69" t="str">
        <f t="shared" si="93"/>
        <v>Closed</v>
      </c>
      <c r="D1464" s="27" t="s">
        <v>8162</v>
      </c>
      <c r="E1464" s="29" t="s">
        <v>8163</v>
      </c>
      <c r="F1464" s="30" t="s">
        <v>835</v>
      </c>
      <c r="G1464" s="89">
        <f>DATE(2012,11,18)</f>
        <v>41231</v>
      </c>
      <c r="H1464" s="90">
        <v>0</v>
      </c>
      <c r="I1464" s="30" t="s">
        <v>125</v>
      </c>
      <c r="J1464" s="89" t="s">
        <v>8164</v>
      </c>
      <c r="K1464" s="30" t="s">
        <v>837</v>
      </c>
      <c r="L1464" s="30" t="s">
        <v>8165</v>
      </c>
      <c r="M1464" s="30" t="s">
        <v>63</v>
      </c>
      <c r="N1464" s="30" t="s">
        <v>142</v>
      </c>
      <c r="O1464" s="30" t="s">
        <v>77</v>
      </c>
      <c r="P1464" s="89" t="s">
        <v>65</v>
      </c>
      <c r="Q1464" s="89" t="s">
        <v>2162</v>
      </c>
      <c r="R1464" s="89" t="s">
        <v>840</v>
      </c>
      <c r="S1464" s="30">
        <v>0</v>
      </c>
      <c r="T1464" s="233">
        <v>0</v>
      </c>
      <c r="U1464" s="30">
        <v>0</v>
      </c>
      <c r="V1464" s="233">
        <v>0</v>
      </c>
      <c r="W1464" s="30">
        <v>0</v>
      </c>
      <c r="X1464" s="30">
        <v>0</v>
      </c>
      <c r="Y1464" s="30">
        <v>0</v>
      </c>
      <c r="Z1464" s="233">
        <v>0</v>
      </c>
      <c r="AA1464" s="30">
        <v>0</v>
      </c>
      <c r="AB1464" s="30">
        <v>0</v>
      </c>
      <c r="AC1464" s="30">
        <v>0</v>
      </c>
      <c r="AD1464" s="30">
        <v>0</v>
      </c>
      <c r="AE1464" s="89" t="s">
        <v>92</v>
      </c>
      <c r="AF1464" s="89"/>
      <c r="AG1464" s="89" t="s">
        <v>352</v>
      </c>
      <c r="AH1464" s="72">
        <v>41233</v>
      </c>
      <c r="AI1464" s="30">
        <v>0</v>
      </c>
      <c r="AJ1464" s="89" t="s">
        <v>8166</v>
      </c>
      <c r="AK1464" s="89" t="s">
        <v>68</v>
      </c>
      <c r="AL1464" s="91">
        <v>41285</v>
      </c>
      <c r="AM1464" s="91"/>
      <c r="AN1464" s="91"/>
      <c r="AO1464" s="91"/>
      <c r="AP1464" s="73" t="e">
        <f>MID(VLOOKUP(K1464,#REF!,2,FALSE),1,2)</f>
        <v>#REF!</v>
      </c>
      <c r="AQ1464" s="89">
        <f>DATE(2012,11,18)</f>
        <v>41231</v>
      </c>
      <c r="AR1464" s="82">
        <f t="shared" si="94"/>
        <v>18</v>
      </c>
      <c r="AS1464" s="83">
        <f t="shared" si="95"/>
        <v>11</v>
      </c>
      <c r="AT1464" s="84">
        <f t="shared" si="96"/>
        <v>2012</v>
      </c>
      <c r="AU1464" s="86"/>
      <c r="AV1464" s="86"/>
      <c r="AW1464" s="87"/>
      <c r="AX1464" s="86"/>
      <c r="AY1464" s="83"/>
      <c r="AZ1464" s="84"/>
      <c r="BA1464" s="86"/>
      <c r="BB1464" s="86"/>
    </row>
    <row r="1465" spans="1:54" ht="36.75" customHeight="1">
      <c r="A1465" s="30"/>
      <c r="B1465" s="30" t="s">
        <v>55</v>
      </c>
      <c r="C1465" s="69" t="str">
        <f t="shared" si="93"/>
        <v>Closed</v>
      </c>
      <c r="D1465" s="27" t="s">
        <v>8167</v>
      </c>
      <c r="E1465" s="29" t="s">
        <v>8168</v>
      </c>
      <c r="F1465" s="30" t="s">
        <v>197</v>
      </c>
      <c r="G1465" s="89">
        <f>DATE(2012,11,19)</f>
        <v>41232</v>
      </c>
      <c r="H1465" s="90">
        <v>0</v>
      </c>
      <c r="I1465" s="30" t="s">
        <v>116</v>
      </c>
      <c r="J1465" s="89" t="s">
        <v>8169</v>
      </c>
      <c r="K1465" s="30" t="s">
        <v>200</v>
      </c>
      <c r="L1465" s="30" t="s">
        <v>8170</v>
      </c>
      <c r="M1465" s="30" t="s">
        <v>63</v>
      </c>
      <c r="N1465" s="30" t="s">
        <v>99</v>
      </c>
      <c r="O1465" s="30" t="s">
        <v>64</v>
      </c>
      <c r="P1465" s="89" t="s">
        <v>165</v>
      </c>
      <c r="Q1465" s="89" t="s">
        <v>200</v>
      </c>
      <c r="R1465" s="89" t="s">
        <v>200</v>
      </c>
      <c r="S1465" s="30">
        <v>0</v>
      </c>
      <c r="T1465" s="233">
        <v>0</v>
      </c>
      <c r="U1465" s="30">
        <v>1</v>
      </c>
      <c r="V1465" s="233">
        <v>0</v>
      </c>
      <c r="W1465" s="30">
        <v>0</v>
      </c>
      <c r="X1465" s="30">
        <v>1</v>
      </c>
      <c r="Y1465" s="30">
        <v>0</v>
      </c>
      <c r="Z1465" s="233">
        <v>0</v>
      </c>
      <c r="AA1465" s="30">
        <v>0</v>
      </c>
      <c r="AB1465" s="30">
        <v>0</v>
      </c>
      <c r="AC1465" s="30">
        <v>0</v>
      </c>
      <c r="AD1465" s="30">
        <v>0</v>
      </c>
      <c r="AE1465" s="89" t="s">
        <v>92</v>
      </c>
      <c r="AF1465" s="89"/>
      <c r="AG1465" s="89" t="s">
        <v>82</v>
      </c>
      <c r="AH1465" s="72">
        <v>41232</v>
      </c>
      <c r="AI1465" s="30">
        <v>2</v>
      </c>
      <c r="AJ1465" s="89" t="s">
        <v>7774</v>
      </c>
      <c r="AK1465" s="89" t="s">
        <v>1233</v>
      </c>
      <c r="AL1465" s="91">
        <v>41536</v>
      </c>
      <c r="AM1465" s="91"/>
      <c r="AN1465" s="91"/>
      <c r="AO1465" s="91"/>
      <c r="AP1465" s="73" t="e">
        <f>MID(VLOOKUP(K1465,#REF!,2,FALSE),1,2)</f>
        <v>#REF!</v>
      </c>
      <c r="AQ1465" s="89">
        <f>DATE(2012,11,19)</f>
        <v>41232</v>
      </c>
      <c r="AR1465" s="82">
        <f t="shared" si="94"/>
        <v>19</v>
      </c>
      <c r="AS1465" s="83">
        <f t="shared" si="95"/>
        <v>11</v>
      </c>
      <c r="AT1465" s="84">
        <f t="shared" si="96"/>
        <v>2012</v>
      </c>
      <c r="AU1465" s="86"/>
      <c r="AV1465" s="86"/>
      <c r="AW1465" s="87"/>
      <c r="AX1465" s="86"/>
      <c r="AY1465" s="83"/>
      <c r="AZ1465" s="84"/>
      <c r="BA1465" s="86"/>
      <c r="BB1465" s="86"/>
    </row>
    <row r="1466" spans="1:54" ht="36.75" customHeight="1">
      <c r="A1466" s="30"/>
      <c r="B1466" s="30" t="s">
        <v>55</v>
      </c>
      <c r="C1466" s="69" t="str">
        <f t="shared" si="93"/>
        <v>Closed</v>
      </c>
      <c r="D1466" s="27" t="s">
        <v>8171</v>
      </c>
      <c r="E1466" s="29" t="s">
        <v>8172</v>
      </c>
      <c r="F1466" s="30" t="s">
        <v>377</v>
      </c>
      <c r="G1466" s="89">
        <f>DATE(2012,11,24)</f>
        <v>41237</v>
      </c>
      <c r="H1466" s="90">
        <v>1.71875</v>
      </c>
      <c r="I1466" s="30" t="s">
        <v>116</v>
      </c>
      <c r="J1466" s="89" t="s">
        <v>8173</v>
      </c>
      <c r="K1466" s="30" t="s">
        <v>379</v>
      </c>
      <c r="L1466" s="30" t="s">
        <v>8174</v>
      </c>
      <c r="M1466" s="30" t="s">
        <v>63</v>
      </c>
      <c r="N1466" s="30" t="s">
        <v>99</v>
      </c>
      <c r="O1466" s="30" t="s">
        <v>64</v>
      </c>
      <c r="P1466" s="89" t="s">
        <v>165</v>
      </c>
      <c r="Q1466" s="89" t="s">
        <v>2906</v>
      </c>
      <c r="R1466" s="89" t="s">
        <v>382</v>
      </c>
      <c r="S1466" s="30">
        <v>0</v>
      </c>
      <c r="T1466" s="233">
        <v>0</v>
      </c>
      <c r="U1466" s="30">
        <v>6</v>
      </c>
      <c r="V1466" s="233">
        <v>0</v>
      </c>
      <c r="W1466" s="30">
        <v>0</v>
      </c>
      <c r="X1466" s="30">
        <v>6</v>
      </c>
      <c r="Y1466" s="30">
        <v>0</v>
      </c>
      <c r="Z1466" s="233">
        <v>0</v>
      </c>
      <c r="AA1466" s="30">
        <v>0</v>
      </c>
      <c r="AB1466" s="30">
        <v>0</v>
      </c>
      <c r="AC1466" s="30">
        <v>0</v>
      </c>
      <c r="AD1466" s="30">
        <v>0</v>
      </c>
      <c r="AE1466" s="89" t="s">
        <v>92</v>
      </c>
      <c r="AF1466" s="89"/>
      <c r="AG1466" s="89" t="s">
        <v>133</v>
      </c>
      <c r="AH1466" s="72">
        <v>41237</v>
      </c>
      <c r="AI1466" s="30">
        <v>2</v>
      </c>
      <c r="AJ1466" s="89" t="s">
        <v>8175</v>
      </c>
      <c r="AK1466" s="89" t="s">
        <v>8176</v>
      </c>
      <c r="AL1466" s="91">
        <v>41242</v>
      </c>
      <c r="AM1466" s="91"/>
      <c r="AN1466" s="91"/>
      <c r="AO1466" s="91"/>
      <c r="AP1466" s="73" t="e">
        <f>MID(VLOOKUP(K1466,#REF!,2,FALSE),1,2)</f>
        <v>#REF!</v>
      </c>
      <c r="AQ1466" s="89">
        <f>DATE(2012,11,24)</f>
        <v>41237</v>
      </c>
      <c r="AR1466" s="82">
        <f t="shared" si="94"/>
        <v>24</v>
      </c>
      <c r="AS1466" s="83">
        <f t="shared" si="95"/>
        <v>11</v>
      </c>
      <c r="AT1466" s="84">
        <f t="shared" si="96"/>
        <v>2012</v>
      </c>
      <c r="AU1466" s="86"/>
      <c r="AV1466" s="86"/>
      <c r="AW1466" s="87"/>
      <c r="AX1466" s="86"/>
      <c r="AY1466" s="83"/>
      <c r="AZ1466" s="84"/>
      <c r="BA1466" s="86"/>
      <c r="BB1466" s="86"/>
    </row>
    <row r="1467" spans="1:54" ht="36.75" customHeight="1">
      <c r="A1467" s="30"/>
      <c r="B1467" s="30" t="s">
        <v>55</v>
      </c>
      <c r="C1467" s="69" t="str">
        <f t="shared" si="93"/>
        <v>Closed</v>
      </c>
      <c r="D1467" s="27" t="s">
        <v>8177</v>
      </c>
      <c r="E1467" s="29" t="s">
        <v>8178</v>
      </c>
      <c r="F1467" s="30" t="s">
        <v>233</v>
      </c>
      <c r="G1467" s="89">
        <f>DATE(2012,11,24)</f>
        <v>41237</v>
      </c>
      <c r="H1467" s="90">
        <v>1.9347222222222222</v>
      </c>
      <c r="I1467" s="30" t="s">
        <v>278</v>
      </c>
      <c r="J1467" s="89" t="s">
        <v>8179</v>
      </c>
      <c r="K1467" s="30" t="s">
        <v>235</v>
      </c>
      <c r="L1467" s="30" t="s">
        <v>8180</v>
      </c>
      <c r="M1467" s="30" t="s">
        <v>63</v>
      </c>
      <c r="N1467" s="30" t="s">
        <v>89</v>
      </c>
      <c r="O1467" s="30" t="s">
        <v>77</v>
      </c>
      <c r="P1467" s="89" t="s">
        <v>165</v>
      </c>
      <c r="Q1467" s="89" t="s">
        <v>1521</v>
      </c>
      <c r="R1467" s="89" t="s">
        <v>238</v>
      </c>
      <c r="S1467" s="30">
        <v>0</v>
      </c>
      <c r="T1467" s="233">
        <v>0</v>
      </c>
      <c r="U1467" s="30">
        <v>0</v>
      </c>
      <c r="V1467" s="233">
        <v>0</v>
      </c>
      <c r="W1467" s="30">
        <v>0</v>
      </c>
      <c r="X1467" s="30">
        <v>0</v>
      </c>
      <c r="Y1467" s="30">
        <v>1</v>
      </c>
      <c r="Z1467" s="233">
        <v>0</v>
      </c>
      <c r="AA1467" s="30">
        <v>0</v>
      </c>
      <c r="AB1467" s="30">
        <v>0</v>
      </c>
      <c r="AC1467" s="30">
        <v>0</v>
      </c>
      <c r="AD1467" s="30">
        <v>1</v>
      </c>
      <c r="AE1467" s="89" t="s">
        <v>92</v>
      </c>
      <c r="AF1467" s="89"/>
      <c r="AG1467" s="89" t="s">
        <v>133</v>
      </c>
      <c r="AH1467" s="72">
        <v>41253</v>
      </c>
      <c r="AI1467" s="30">
        <v>0</v>
      </c>
      <c r="AJ1467" s="89" t="s">
        <v>8181</v>
      </c>
      <c r="AK1467" s="89" t="s">
        <v>8182</v>
      </c>
      <c r="AL1467" s="91">
        <v>41267</v>
      </c>
      <c r="AM1467" s="91"/>
      <c r="AN1467" s="91"/>
      <c r="AO1467" s="91"/>
      <c r="AP1467" s="73" t="e">
        <f>MID(VLOOKUP(K1467,#REF!,2,FALSE),1,2)</f>
        <v>#REF!</v>
      </c>
      <c r="AQ1467" s="89">
        <f>DATE(2012,11,24)</f>
        <v>41237</v>
      </c>
      <c r="AR1467" s="82">
        <f t="shared" si="94"/>
        <v>24</v>
      </c>
      <c r="AS1467" s="83">
        <f t="shared" si="95"/>
        <v>11</v>
      </c>
      <c r="AT1467" s="84">
        <f t="shared" si="96"/>
        <v>2012</v>
      </c>
      <c r="AU1467" s="86"/>
      <c r="AV1467" s="86"/>
      <c r="AW1467" s="87"/>
      <c r="AX1467" s="86"/>
      <c r="AY1467" s="83"/>
      <c r="AZ1467" s="84"/>
      <c r="BA1467" s="86"/>
      <c r="BB1467" s="86"/>
    </row>
    <row r="1468" spans="1:54" ht="36.75" customHeight="1">
      <c r="A1468" s="30"/>
      <c r="B1468" s="30" t="s">
        <v>55</v>
      </c>
      <c r="C1468" s="69" t="str">
        <f t="shared" si="93"/>
        <v>Closed</v>
      </c>
      <c r="D1468" s="27" t="s">
        <v>8183</v>
      </c>
      <c r="E1468" s="29" t="s">
        <v>8184</v>
      </c>
      <c r="F1468" s="30" t="s">
        <v>233</v>
      </c>
      <c r="G1468" s="89">
        <f>DATE(2012,11,28)</f>
        <v>41241</v>
      </c>
      <c r="H1468" s="90">
        <v>1.7847222222222223</v>
      </c>
      <c r="I1468" s="30" t="s">
        <v>278</v>
      </c>
      <c r="J1468" s="89" t="s">
        <v>8185</v>
      </c>
      <c r="K1468" s="30" t="s">
        <v>235</v>
      </c>
      <c r="L1468" s="30" t="s">
        <v>8186</v>
      </c>
      <c r="M1468" s="30" t="s">
        <v>255</v>
      </c>
      <c r="N1468" s="30" t="s">
        <v>99</v>
      </c>
      <c r="O1468" s="30" t="s">
        <v>86</v>
      </c>
      <c r="P1468" s="89" t="s">
        <v>6552</v>
      </c>
      <c r="Q1468" s="89">
        <v>0</v>
      </c>
      <c r="R1468" s="89">
        <v>0</v>
      </c>
      <c r="S1468" s="30">
        <v>0</v>
      </c>
      <c r="T1468" s="233">
        <v>0</v>
      </c>
      <c r="U1468" s="30">
        <v>1</v>
      </c>
      <c r="V1468" s="233">
        <v>0</v>
      </c>
      <c r="W1468" s="30">
        <v>0</v>
      </c>
      <c r="X1468" s="30">
        <v>1</v>
      </c>
      <c r="Y1468" s="30">
        <v>0</v>
      </c>
      <c r="Z1468" s="233">
        <v>0</v>
      </c>
      <c r="AA1468" s="30">
        <v>0</v>
      </c>
      <c r="AB1468" s="30">
        <v>0</v>
      </c>
      <c r="AC1468" s="30">
        <v>0</v>
      </c>
      <c r="AD1468" s="30">
        <v>0</v>
      </c>
      <c r="AE1468" s="89" t="s">
        <v>92</v>
      </c>
      <c r="AF1468" s="89"/>
      <c r="AG1468" s="89" t="s">
        <v>82</v>
      </c>
      <c r="AH1468" s="72">
        <v>41253</v>
      </c>
      <c r="AI1468" s="30">
        <v>4</v>
      </c>
      <c r="AJ1468" s="89" t="s">
        <v>8187</v>
      </c>
      <c r="AK1468" s="89" t="s">
        <v>8188</v>
      </c>
      <c r="AL1468" s="91">
        <v>41267</v>
      </c>
      <c r="AM1468" s="91"/>
      <c r="AN1468" s="91"/>
      <c r="AO1468" s="91"/>
      <c r="AP1468" s="73" t="e">
        <f>MID(VLOOKUP(K1468,#REF!,2,FALSE),1,2)</f>
        <v>#REF!</v>
      </c>
      <c r="AQ1468" s="89">
        <f>DATE(2012,11,28)</f>
        <v>41241</v>
      </c>
      <c r="AR1468" s="82">
        <f t="shared" si="94"/>
        <v>28</v>
      </c>
      <c r="AS1468" s="83">
        <f t="shared" si="95"/>
        <v>11</v>
      </c>
      <c r="AT1468" s="84">
        <f t="shared" si="96"/>
        <v>2012</v>
      </c>
      <c r="AU1468" s="86"/>
      <c r="AV1468" s="86"/>
      <c r="AW1468" s="87"/>
      <c r="AX1468" s="86"/>
      <c r="AY1468" s="83"/>
      <c r="AZ1468" s="84"/>
      <c r="BA1468" s="86"/>
      <c r="BB1468" s="86"/>
    </row>
    <row r="1469" spans="1:54" ht="36.75" customHeight="1">
      <c r="A1469" s="30"/>
      <c r="B1469" s="30" t="s">
        <v>55</v>
      </c>
      <c r="C1469" s="69" t="str">
        <f t="shared" si="93"/>
        <v>Closed</v>
      </c>
      <c r="D1469" s="27" t="s">
        <v>8189</v>
      </c>
      <c r="E1469" s="29" t="s">
        <v>8190</v>
      </c>
      <c r="F1469" s="30" t="s">
        <v>451</v>
      </c>
      <c r="G1469" s="89">
        <f>DATE(2012,11,29)</f>
        <v>41242</v>
      </c>
      <c r="H1469" s="90">
        <v>1.6909722222222223</v>
      </c>
      <c r="I1469" s="30" t="s">
        <v>73</v>
      </c>
      <c r="J1469" s="89" t="s">
        <v>8191</v>
      </c>
      <c r="K1469" s="30" t="s">
        <v>453</v>
      </c>
      <c r="L1469" s="30" t="s">
        <v>8192</v>
      </c>
      <c r="M1469" s="30" t="s">
        <v>63</v>
      </c>
      <c r="N1469" s="30" t="s">
        <v>99</v>
      </c>
      <c r="O1469" s="30" t="s">
        <v>77</v>
      </c>
      <c r="P1469" s="89" t="s">
        <v>78</v>
      </c>
      <c r="Q1469" s="89">
        <v>0</v>
      </c>
      <c r="R1469" s="89" t="s">
        <v>572</v>
      </c>
      <c r="S1469" s="30">
        <v>0</v>
      </c>
      <c r="T1469" s="233">
        <v>0</v>
      </c>
      <c r="U1469" s="30">
        <v>0</v>
      </c>
      <c r="V1469" s="233">
        <v>0</v>
      </c>
      <c r="W1469" s="30">
        <v>0</v>
      </c>
      <c r="X1469" s="30">
        <v>0</v>
      </c>
      <c r="Y1469" s="30">
        <v>0</v>
      </c>
      <c r="Z1469" s="233">
        <v>0</v>
      </c>
      <c r="AA1469" s="30">
        <v>0</v>
      </c>
      <c r="AB1469" s="30">
        <v>0</v>
      </c>
      <c r="AC1469" s="30">
        <v>0</v>
      </c>
      <c r="AD1469" s="30">
        <v>0</v>
      </c>
      <c r="AE1469" s="89" t="s">
        <v>145</v>
      </c>
      <c r="AF1469" s="89"/>
      <c r="AG1469" s="89" t="s">
        <v>82</v>
      </c>
      <c r="AH1469" s="72">
        <v>41242</v>
      </c>
      <c r="AI1469" s="30">
        <v>0</v>
      </c>
      <c r="AJ1469" s="89" t="s">
        <v>8193</v>
      </c>
      <c r="AK1469" s="89" t="s">
        <v>68</v>
      </c>
      <c r="AL1469" s="91">
        <v>41380</v>
      </c>
      <c r="AM1469" s="91"/>
      <c r="AN1469" s="91"/>
      <c r="AO1469" s="91"/>
      <c r="AP1469" s="73" t="e">
        <f>MID(VLOOKUP(K1469,#REF!,2,FALSE),1,2)</f>
        <v>#REF!</v>
      </c>
      <c r="AQ1469" s="89">
        <f>DATE(2012,11,29)</f>
        <v>41242</v>
      </c>
      <c r="AR1469" s="82">
        <f t="shared" si="94"/>
        <v>29</v>
      </c>
      <c r="AS1469" s="83">
        <f t="shared" si="95"/>
        <v>11</v>
      </c>
      <c r="AT1469" s="84">
        <f t="shared" si="96"/>
        <v>2012</v>
      </c>
      <c r="AU1469" s="86"/>
      <c r="AV1469" s="86"/>
      <c r="AW1469" s="87"/>
      <c r="AX1469" s="86"/>
      <c r="AY1469" s="83"/>
      <c r="AZ1469" s="84"/>
      <c r="BA1469" s="86"/>
      <c r="BB1469" s="86"/>
    </row>
    <row r="1470" spans="1:54" ht="36.75" customHeight="1">
      <c r="A1470" s="30"/>
      <c r="B1470" s="30" t="s">
        <v>55</v>
      </c>
      <c r="C1470" s="69" t="str">
        <f t="shared" si="93"/>
        <v>Closed</v>
      </c>
      <c r="D1470" s="27" t="s">
        <v>8194</v>
      </c>
      <c r="E1470" s="29" t="s">
        <v>8195</v>
      </c>
      <c r="F1470" s="30" t="s">
        <v>582</v>
      </c>
      <c r="G1470" s="89">
        <f>DATE(2012,12,1)</f>
        <v>41244</v>
      </c>
      <c r="H1470" s="90">
        <v>1.1131944444444444</v>
      </c>
      <c r="I1470" s="30" t="s">
        <v>73</v>
      </c>
      <c r="J1470" s="89" t="s">
        <v>8196</v>
      </c>
      <c r="K1470" s="30" t="s">
        <v>584</v>
      </c>
      <c r="L1470" s="30" t="s">
        <v>8197</v>
      </c>
      <c r="M1470" s="30" t="s">
        <v>63</v>
      </c>
      <c r="N1470" s="30" t="s">
        <v>142</v>
      </c>
      <c r="O1470" s="30" t="s">
        <v>77</v>
      </c>
      <c r="P1470" s="89" t="s">
        <v>78</v>
      </c>
      <c r="Q1470" s="89" t="s">
        <v>586</v>
      </c>
      <c r="R1470" s="89" t="s">
        <v>587</v>
      </c>
      <c r="S1470" s="30">
        <v>0</v>
      </c>
      <c r="T1470" s="233">
        <v>0</v>
      </c>
      <c r="U1470" s="30">
        <v>0</v>
      </c>
      <c r="V1470" s="233">
        <v>0</v>
      </c>
      <c r="W1470" s="30">
        <v>0</v>
      </c>
      <c r="X1470" s="30">
        <v>0</v>
      </c>
      <c r="Y1470" s="30">
        <v>0</v>
      </c>
      <c r="Z1470" s="233">
        <v>0</v>
      </c>
      <c r="AA1470" s="30">
        <v>0</v>
      </c>
      <c r="AB1470" s="30">
        <v>0</v>
      </c>
      <c r="AC1470" s="30">
        <v>0</v>
      </c>
      <c r="AD1470" s="30">
        <v>0</v>
      </c>
      <c r="AE1470" s="89" t="s">
        <v>394</v>
      </c>
      <c r="AF1470" s="89"/>
      <c r="AG1470" s="89" t="s">
        <v>82</v>
      </c>
      <c r="AH1470" s="72">
        <v>41246</v>
      </c>
      <c r="AI1470" s="30">
        <v>0</v>
      </c>
      <c r="AJ1470" s="89" t="s">
        <v>8198</v>
      </c>
      <c r="AK1470" s="89" t="s">
        <v>1233</v>
      </c>
      <c r="AL1470" s="91">
        <v>41247</v>
      </c>
      <c r="AM1470" s="91"/>
      <c r="AN1470" s="91"/>
      <c r="AO1470" s="91"/>
      <c r="AP1470" s="73" t="e">
        <f>MID(VLOOKUP(K1470,#REF!,2,FALSE),1,2)</f>
        <v>#REF!</v>
      </c>
      <c r="AQ1470" s="89">
        <f>DATE(2012,12,1)</f>
        <v>41244</v>
      </c>
      <c r="AR1470" s="82">
        <f t="shared" si="94"/>
        <v>1</v>
      </c>
      <c r="AS1470" s="83">
        <f t="shared" si="95"/>
        <v>12</v>
      </c>
      <c r="AT1470" s="84">
        <f t="shared" si="96"/>
        <v>2012</v>
      </c>
      <c r="AU1470" s="86"/>
      <c r="AV1470" s="86"/>
      <c r="AW1470" s="87"/>
      <c r="AX1470" s="86"/>
      <c r="AY1470" s="83"/>
      <c r="AZ1470" s="84"/>
      <c r="BA1470" s="86"/>
      <c r="BB1470" s="86"/>
    </row>
    <row r="1471" spans="1:54" ht="36.75" customHeight="1">
      <c r="A1471" s="30"/>
      <c r="B1471" s="30" t="s">
        <v>55</v>
      </c>
      <c r="C1471" s="69" t="str">
        <f t="shared" si="93"/>
        <v>Closed</v>
      </c>
      <c r="D1471" s="27" t="s">
        <v>8199</v>
      </c>
      <c r="E1471" s="29" t="s">
        <v>8200</v>
      </c>
      <c r="F1471" s="30" t="s">
        <v>233</v>
      </c>
      <c r="G1471" s="89">
        <f>DATE(2012,12,4)</f>
        <v>41247</v>
      </c>
      <c r="H1471" s="90">
        <v>1.5236111111111112</v>
      </c>
      <c r="I1471" s="30" t="s">
        <v>116</v>
      </c>
      <c r="J1471" s="89" t="s">
        <v>8201</v>
      </c>
      <c r="K1471" s="30" t="s">
        <v>235</v>
      </c>
      <c r="L1471" s="30" t="s">
        <v>8202</v>
      </c>
      <c r="M1471" s="30" t="s">
        <v>63</v>
      </c>
      <c r="N1471" s="30" t="s">
        <v>142</v>
      </c>
      <c r="O1471" s="30" t="s">
        <v>86</v>
      </c>
      <c r="P1471" s="89" t="s">
        <v>165</v>
      </c>
      <c r="Q1471" s="89" t="s">
        <v>2538</v>
      </c>
      <c r="R1471" s="89" t="s">
        <v>238</v>
      </c>
      <c r="S1471" s="30">
        <v>0</v>
      </c>
      <c r="T1471" s="233">
        <v>0</v>
      </c>
      <c r="U1471" s="30">
        <v>1</v>
      </c>
      <c r="V1471" s="233">
        <v>0</v>
      </c>
      <c r="W1471" s="30">
        <v>0</v>
      </c>
      <c r="X1471" s="30">
        <v>1</v>
      </c>
      <c r="Y1471" s="30">
        <v>0</v>
      </c>
      <c r="Z1471" s="233">
        <v>0</v>
      </c>
      <c r="AA1471" s="30">
        <v>1</v>
      </c>
      <c r="AB1471" s="30">
        <v>0</v>
      </c>
      <c r="AC1471" s="30">
        <v>0</v>
      </c>
      <c r="AD1471" s="30">
        <v>1</v>
      </c>
      <c r="AE1471" s="89" t="s">
        <v>394</v>
      </c>
      <c r="AF1471" s="89"/>
      <c r="AG1471" s="89" t="s">
        <v>82</v>
      </c>
      <c r="AH1471" s="72">
        <v>41253</v>
      </c>
      <c r="AI1471" s="30">
        <v>4</v>
      </c>
      <c r="AJ1471" s="89" t="s">
        <v>8203</v>
      </c>
      <c r="AK1471" s="89" t="s">
        <v>8204</v>
      </c>
      <c r="AL1471" s="91">
        <v>41267</v>
      </c>
      <c r="AM1471" s="91"/>
      <c r="AN1471" s="91"/>
      <c r="AO1471" s="91"/>
      <c r="AP1471" s="73" t="e">
        <f>MID(VLOOKUP(K1471,#REF!,2,FALSE),1,2)</f>
        <v>#REF!</v>
      </c>
      <c r="AQ1471" s="89">
        <f>DATE(2012,12,4)</f>
        <v>41247</v>
      </c>
      <c r="AR1471" s="82">
        <f t="shared" si="94"/>
        <v>4</v>
      </c>
      <c r="AS1471" s="83">
        <f t="shared" si="95"/>
        <v>12</v>
      </c>
      <c r="AT1471" s="84">
        <f t="shared" si="96"/>
        <v>2012</v>
      </c>
      <c r="AU1471" s="86"/>
      <c r="AV1471" s="86"/>
      <c r="AW1471" s="87"/>
      <c r="AX1471" s="86"/>
      <c r="AY1471" s="83"/>
      <c r="AZ1471" s="84"/>
      <c r="BA1471" s="86"/>
      <c r="BB1471" s="86"/>
    </row>
    <row r="1472" spans="1:54" ht="36.75" customHeight="1">
      <c r="A1472" s="30"/>
      <c r="B1472" s="30" t="s">
        <v>55</v>
      </c>
      <c r="C1472" s="69" t="str">
        <f t="shared" si="93"/>
        <v>Closed</v>
      </c>
      <c r="D1472" s="27" t="s">
        <v>8205</v>
      </c>
      <c r="E1472" s="29" t="s">
        <v>8206</v>
      </c>
      <c r="F1472" s="30" t="s">
        <v>233</v>
      </c>
      <c r="G1472" s="89">
        <f>DATE(2012,12,4)</f>
        <v>41247</v>
      </c>
      <c r="H1472" s="90">
        <v>1.5763888888888888</v>
      </c>
      <c r="I1472" s="30" t="s">
        <v>278</v>
      </c>
      <c r="J1472" s="89" t="s">
        <v>8207</v>
      </c>
      <c r="K1472" s="30" t="s">
        <v>235</v>
      </c>
      <c r="L1472" s="30" t="s">
        <v>8208</v>
      </c>
      <c r="M1472" s="30" t="s">
        <v>63</v>
      </c>
      <c r="N1472" s="30" t="s">
        <v>142</v>
      </c>
      <c r="O1472" s="30" t="s">
        <v>64</v>
      </c>
      <c r="P1472" s="89" t="s">
        <v>165</v>
      </c>
      <c r="Q1472" s="89" t="s">
        <v>446</v>
      </c>
      <c r="R1472" s="89" t="s">
        <v>238</v>
      </c>
      <c r="S1472" s="30">
        <v>0</v>
      </c>
      <c r="T1472" s="233">
        <v>1</v>
      </c>
      <c r="U1472" s="30">
        <v>0</v>
      </c>
      <c r="V1472" s="233">
        <v>0</v>
      </c>
      <c r="W1472" s="30">
        <v>0</v>
      </c>
      <c r="X1472" s="30">
        <v>1</v>
      </c>
      <c r="Y1472" s="30">
        <v>0</v>
      </c>
      <c r="Z1472" s="233">
        <v>0</v>
      </c>
      <c r="AA1472" s="30">
        <v>0</v>
      </c>
      <c r="AB1472" s="30">
        <v>0</v>
      </c>
      <c r="AC1472" s="30">
        <v>0</v>
      </c>
      <c r="AD1472" s="30">
        <v>0</v>
      </c>
      <c r="AE1472" s="89" t="s">
        <v>92</v>
      </c>
      <c r="AF1472" s="89"/>
      <c r="AG1472" s="89" t="s">
        <v>82</v>
      </c>
      <c r="AH1472" s="72">
        <v>41253</v>
      </c>
      <c r="AI1472" s="30">
        <v>4</v>
      </c>
      <c r="AJ1472" s="89" t="s">
        <v>8209</v>
      </c>
      <c r="AK1472" s="89" t="s">
        <v>8210</v>
      </c>
      <c r="AL1472" s="91">
        <v>41267</v>
      </c>
      <c r="AM1472" s="91"/>
      <c r="AN1472" s="91"/>
      <c r="AO1472" s="91"/>
      <c r="AP1472" s="73" t="e">
        <f>MID(VLOOKUP(K1472,#REF!,2,FALSE),1,2)</f>
        <v>#REF!</v>
      </c>
      <c r="AQ1472" s="89">
        <f>DATE(2012,12,4)</f>
        <v>41247</v>
      </c>
      <c r="AR1472" s="82">
        <f t="shared" si="94"/>
        <v>4</v>
      </c>
      <c r="AS1472" s="83">
        <f t="shared" si="95"/>
        <v>12</v>
      </c>
      <c r="AT1472" s="84">
        <f t="shared" si="96"/>
        <v>2012</v>
      </c>
      <c r="AU1472" s="86"/>
      <c r="AV1472" s="86"/>
      <c r="AW1472" s="87"/>
      <c r="AX1472" s="86"/>
      <c r="AY1472" s="83"/>
      <c r="AZ1472" s="84"/>
      <c r="BA1472" s="86"/>
      <c r="BB1472" s="86"/>
    </row>
    <row r="1473" spans="1:54" ht="36.75" customHeight="1">
      <c r="A1473" s="30"/>
      <c r="B1473" s="30" t="s">
        <v>55</v>
      </c>
      <c r="C1473" s="69" t="str">
        <f t="shared" si="93"/>
        <v>Closed</v>
      </c>
      <c r="D1473" s="27" t="s">
        <v>8211</v>
      </c>
      <c r="E1473" s="29" t="s">
        <v>8212</v>
      </c>
      <c r="F1473" s="30" t="s">
        <v>638</v>
      </c>
      <c r="G1473" s="89">
        <f>DATE(2012,12,6)</f>
        <v>41249</v>
      </c>
      <c r="H1473" s="90">
        <v>1.1076388888888888</v>
      </c>
      <c r="I1473" s="30" t="s">
        <v>487</v>
      </c>
      <c r="J1473" s="89" t="s">
        <v>8213</v>
      </c>
      <c r="K1473" s="30" t="s">
        <v>640</v>
      </c>
      <c r="L1473" s="30" t="s">
        <v>8214</v>
      </c>
      <c r="M1473" s="30" t="s">
        <v>63</v>
      </c>
      <c r="N1473" s="30" t="s">
        <v>99</v>
      </c>
      <c r="O1473" s="30" t="s">
        <v>77</v>
      </c>
      <c r="P1473" s="89" t="s">
        <v>86</v>
      </c>
      <c r="Q1473" s="89" t="s">
        <v>3246</v>
      </c>
      <c r="R1473" s="89" t="s">
        <v>3246</v>
      </c>
      <c r="S1473" s="30">
        <v>0</v>
      </c>
      <c r="T1473" s="233">
        <v>0</v>
      </c>
      <c r="U1473" s="30">
        <v>0</v>
      </c>
      <c r="V1473" s="233">
        <v>0</v>
      </c>
      <c r="W1473" s="30">
        <v>0</v>
      </c>
      <c r="X1473" s="30">
        <v>0</v>
      </c>
      <c r="Y1473" s="30">
        <v>0</v>
      </c>
      <c r="Z1473" s="233">
        <v>0</v>
      </c>
      <c r="AA1473" s="30">
        <v>0</v>
      </c>
      <c r="AB1473" s="30">
        <v>0</v>
      </c>
      <c r="AC1473" s="30">
        <v>0</v>
      </c>
      <c r="AD1473" s="30">
        <v>0</v>
      </c>
      <c r="AE1473" s="89" t="s">
        <v>92</v>
      </c>
      <c r="AF1473" s="89"/>
      <c r="AG1473" s="89" t="s">
        <v>395</v>
      </c>
      <c r="AH1473" s="72">
        <v>41269</v>
      </c>
      <c r="AI1473" s="30">
        <v>3</v>
      </c>
      <c r="AJ1473" s="89" t="s">
        <v>8215</v>
      </c>
      <c r="AK1473" s="89" t="s">
        <v>68</v>
      </c>
      <c r="AL1473" s="91">
        <v>41284</v>
      </c>
      <c r="AM1473" s="91"/>
      <c r="AN1473" s="91"/>
      <c r="AO1473" s="91"/>
      <c r="AP1473" s="73" t="e">
        <f>MID(VLOOKUP(K1473,#REF!,2,FALSE),1,2)</f>
        <v>#REF!</v>
      </c>
      <c r="AQ1473" s="89">
        <f>DATE(2012,12,6)</f>
        <v>41249</v>
      </c>
      <c r="AR1473" s="82">
        <f t="shared" si="94"/>
        <v>6</v>
      </c>
      <c r="AS1473" s="83">
        <f t="shared" si="95"/>
        <v>12</v>
      </c>
      <c r="AT1473" s="84">
        <f t="shared" si="96"/>
        <v>2012</v>
      </c>
      <c r="AU1473" s="86"/>
      <c r="AV1473" s="86"/>
      <c r="AW1473" s="87"/>
      <c r="AX1473" s="86"/>
      <c r="AY1473" s="83"/>
      <c r="AZ1473" s="84"/>
      <c r="BA1473" s="86"/>
      <c r="BB1473" s="86"/>
    </row>
    <row r="1474" spans="1:54" ht="36.75" customHeight="1">
      <c r="A1474" s="30"/>
      <c r="B1474" s="30" t="s">
        <v>55</v>
      </c>
      <c r="C1474" s="69" t="str">
        <f t="shared" ref="C1474:C1537" si="97">IF(B1474="Notification","Open",IF(B1474="Interim Statement","In progress","Closed"))</f>
        <v>Closed</v>
      </c>
      <c r="D1474" s="27" t="s">
        <v>8216</v>
      </c>
      <c r="E1474" s="29" t="s">
        <v>8217</v>
      </c>
      <c r="F1474" s="30" t="s">
        <v>197</v>
      </c>
      <c r="G1474" s="89">
        <f>DATE(2012,12,8)</f>
        <v>41251</v>
      </c>
      <c r="H1474" s="90">
        <v>1.7458333333333331</v>
      </c>
      <c r="I1474" s="30" t="s">
        <v>116</v>
      </c>
      <c r="J1474" s="89" t="s">
        <v>8218</v>
      </c>
      <c r="K1474" s="30" t="s">
        <v>200</v>
      </c>
      <c r="L1474" s="30" t="s">
        <v>7185</v>
      </c>
      <c r="M1474" s="30" t="s">
        <v>63</v>
      </c>
      <c r="N1474" s="30" t="s">
        <v>99</v>
      </c>
      <c r="O1474" s="30" t="s">
        <v>64</v>
      </c>
      <c r="P1474" s="89" t="s">
        <v>165</v>
      </c>
      <c r="Q1474" s="89">
        <v>0</v>
      </c>
      <c r="R1474" s="89">
        <v>0</v>
      </c>
      <c r="S1474" s="30">
        <v>0</v>
      </c>
      <c r="T1474" s="233">
        <v>0</v>
      </c>
      <c r="U1474" s="30">
        <v>0</v>
      </c>
      <c r="V1474" s="233">
        <v>0</v>
      </c>
      <c r="W1474" s="30">
        <v>0</v>
      </c>
      <c r="X1474" s="30">
        <v>0</v>
      </c>
      <c r="Y1474" s="30">
        <v>0</v>
      </c>
      <c r="Z1474" s="233">
        <v>0</v>
      </c>
      <c r="AA1474" s="30">
        <v>0</v>
      </c>
      <c r="AB1474" s="30">
        <v>0</v>
      </c>
      <c r="AC1474" s="30">
        <v>0</v>
      </c>
      <c r="AD1474" s="30">
        <v>0</v>
      </c>
      <c r="AE1474" s="89" t="s">
        <v>92</v>
      </c>
      <c r="AF1474" s="89"/>
      <c r="AG1474" s="89" t="s">
        <v>352</v>
      </c>
      <c r="AH1474" s="72">
        <v>41253</v>
      </c>
      <c r="AI1474" s="30">
        <v>4</v>
      </c>
      <c r="AJ1474" s="89" t="s">
        <v>7962</v>
      </c>
      <c r="AK1474" s="89" t="s">
        <v>1233</v>
      </c>
      <c r="AL1474" s="91">
        <v>41654</v>
      </c>
      <c r="AM1474" s="91"/>
      <c r="AN1474" s="91"/>
      <c r="AO1474" s="91"/>
      <c r="AP1474" s="73" t="e">
        <f>MID(VLOOKUP(K1474,#REF!,2,FALSE),1,2)</f>
        <v>#REF!</v>
      </c>
      <c r="AQ1474" s="89">
        <f>DATE(2012,12,8)</f>
        <v>41251</v>
      </c>
      <c r="AR1474" s="82">
        <f t="shared" ref="AR1474:AR1537" si="98">DAY(AQ1474)</f>
        <v>8</v>
      </c>
      <c r="AS1474" s="83">
        <f t="shared" ref="AS1474:AS1537" si="99">MONTH(AQ1474)</f>
        <v>12</v>
      </c>
      <c r="AT1474" s="84">
        <f t="shared" ref="AT1474:AT1537" si="100">YEAR(AQ1474)</f>
        <v>2012</v>
      </c>
      <c r="AU1474" s="86"/>
      <c r="AV1474" s="86"/>
      <c r="AW1474" s="87"/>
      <c r="AX1474" s="86"/>
      <c r="AY1474" s="83"/>
      <c r="AZ1474" s="84"/>
      <c r="BA1474" s="86"/>
      <c r="BB1474" s="86"/>
    </row>
    <row r="1475" spans="1:54" ht="36.75" customHeight="1">
      <c r="A1475" s="30"/>
      <c r="B1475" s="30" t="s">
        <v>55</v>
      </c>
      <c r="C1475" s="69" t="str">
        <f t="shared" si="97"/>
        <v>Closed</v>
      </c>
      <c r="D1475" s="27" t="s">
        <v>8219</v>
      </c>
      <c r="E1475" s="29" t="s">
        <v>8220</v>
      </c>
      <c r="F1475" s="30" t="s">
        <v>197</v>
      </c>
      <c r="G1475" s="89">
        <f>DATE(2012,12,9)</f>
        <v>41252</v>
      </c>
      <c r="H1475" s="90">
        <v>0</v>
      </c>
      <c r="I1475" s="30" t="s">
        <v>5494</v>
      </c>
      <c r="J1475" s="89" t="s">
        <v>8221</v>
      </c>
      <c r="K1475" s="30" t="s">
        <v>200</v>
      </c>
      <c r="L1475" s="30" t="s">
        <v>7961</v>
      </c>
      <c r="M1475" s="30" t="s">
        <v>63</v>
      </c>
      <c r="N1475" s="30" t="s">
        <v>142</v>
      </c>
      <c r="O1475" s="30" t="s">
        <v>64</v>
      </c>
      <c r="P1475" s="89" t="s">
        <v>462</v>
      </c>
      <c r="Q1475" s="89" t="s">
        <v>200</v>
      </c>
      <c r="R1475" s="89" t="s">
        <v>200</v>
      </c>
      <c r="S1475" s="30">
        <v>0</v>
      </c>
      <c r="T1475" s="233">
        <v>0</v>
      </c>
      <c r="U1475" s="30">
        <v>0</v>
      </c>
      <c r="V1475" s="233">
        <v>0</v>
      </c>
      <c r="W1475" s="30">
        <v>0</v>
      </c>
      <c r="X1475" s="30">
        <v>0</v>
      </c>
      <c r="Y1475" s="30">
        <v>0</v>
      </c>
      <c r="Z1475" s="233">
        <v>0</v>
      </c>
      <c r="AA1475" s="30">
        <v>0</v>
      </c>
      <c r="AB1475" s="30">
        <v>0</v>
      </c>
      <c r="AC1475" s="30">
        <v>0</v>
      </c>
      <c r="AD1475" s="30">
        <v>0</v>
      </c>
      <c r="AE1475" s="89" t="s">
        <v>92</v>
      </c>
      <c r="AF1475" s="89"/>
      <c r="AG1475" s="89" t="s">
        <v>352</v>
      </c>
      <c r="AH1475" s="72">
        <v>41255</v>
      </c>
      <c r="AI1475" s="30">
        <v>7</v>
      </c>
      <c r="AJ1475" s="89" t="s">
        <v>8222</v>
      </c>
      <c r="AK1475" s="89" t="s">
        <v>1233</v>
      </c>
      <c r="AL1475" s="91">
        <v>41536</v>
      </c>
      <c r="AM1475" s="91"/>
      <c r="AN1475" s="91"/>
      <c r="AO1475" s="91"/>
      <c r="AP1475" s="73" t="e">
        <f>MID(VLOOKUP(K1475,#REF!,2,FALSE),1,2)</f>
        <v>#REF!</v>
      </c>
      <c r="AQ1475" s="89">
        <f>DATE(2012,12,9)</f>
        <v>41252</v>
      </c>
      <c r="AR1475" s="82">
        <f t="shared" si="98"/>
        <v>9</v>
      </c>
      <c r="AS1475" s="83">
        <f t="shared" si="99"/>
        <v>12</v>
      </c>
      <c r="AT1475" s="84">
        <f t="shared" si="100"/>
        <v>2012</v>
      </c>
      <c r="AU1475" s="86"/>
      <c r="AV1475" s="86"/>
      <c r="AW1475" s="87"/>
      <c r="AX1475" s="86"/>
      <c r="AY1475" s="83"/>
      <c r="AZ1475" s="84"/>
      <c r="BA1475" s="86"/>
      <c r="BB1475" s="86"/>
    </row>
    <row r="1476" spans="1:54" ht="36.75" customHeight="1">
      <c r="A1476" s="30"/>
      <c r="B1476" s="30" t="s">
        <v>55</v>
      </c>
      <c r="C1476" s="69" t="str">
        <f t="shared" si="97"/>
        <v>Closed</v>
      </c>
      <c r="D1476" s="27" t="s">
        <v>8223</v>
      </c>
      <c r="E1476" s="29" t="s">
        <v>8224</v>
      </c>
      <c r="F1476" s="30" t="s">
        <v>197</v>
      </c>
      <c r="G1476" s="89">
        <f>DATE(2012,12,10)</f>
        <v>41253</v>
      </c>
      <c r="H1476" s="90">
        <v>1.2840277777777778</v>
      </c>
      <c r="I1476" s="30" t="s">
        <v>5494</v>
      </c>
      <c r="J1476" s="89" t="s">
        <v>8225</v>
      </c>
      <c r="K1476" s="30" t="s">
        <v>200</v>
      </c>
      <c r="L1476" s="30" t="s">
        <v>7185</v>
      </c>
      <c r="M1476" s="30" t="s">
        <v>63</v>
      </c>
      <c r="N1476" s="30" t="s">
        <v>142</v>
      </c>
      <c r="O1476" s="30" t="s">
        <v>77</v>
      </c>
      <c r="P1476" s="89" t="s">
        <v>462</v>
      </c>
      <c r="Q1476" s="89">
        <v>0</v>
      </c>
      <c r="R1476" s="89">
        <v>0</v>
      </c>
      <c r="S1476" s="30">
        <v>0</v>
      </c>
      <c r="T1476" s="233">
        <v>0</v>
      </c>
      <c r="U1476" s="30">
        <v>0</v>
      </c>
      <c r="V1476" s="233">
        <v>0</v>
      </c>
      <c r="W1476" s="30">
        <v>0</v>
      </c>
      <c r="X1476" s="30">
        <v>0</v>
      </c>
      <c r="Y1476" s="30">
        <v>0</v>
      </c>
      <c r="Z1476" s="233">
        <v>0</v>
      </c>
      <c r="AA1476" s="30">
        <v>0</v>
      </c>
      <c r="AB1476" s="30">
        <v>0</v>
      </c>
      <c r="AC1476" s="30">
        <v>0</v>
      </c>
      <c r="AD1476" s="30">
        <v>0</v>
      </c>
      <c r="AE1476" s="89" t="s">
        <v>92</v>
      </c>
      <c r="AF1476" s="89"/>
      <c r="AG1476" s="89" t="s">
        <v>1507</v>
      </c>
      <c r="AH1476" s="72">
        <v>41262</v>
      </c>
      <c r="AI1476" s="30">
        <v>3</v>
      </c>
      <c r="AJ1476" s="89" t="s">
        <v>8226</v>
      </c>
      <c r="AK1476" s="89" t="s">
        <v>1233</v>
      </c>
      <c r="AL1476" s="91">
        <v>41533</v>
      </c>
      <c r="AM1476" s="91"/>
      <c r="AN1476" s="91"/>
      <c r="AO1476" s="91"/>
      <c r="AP1476" s="73" t="e">
        <f>MID(VLOOKUP(K1476,#REF!,2,FALSE),1,2)</f>
        <v>#REF!</v>
      </c>
      <c r="AQ1476" s="89">
        <f>DATE(2012,12,10)</f>
        <v>41253</v>
      </c>
      <c r="AR1476" s="82">
        <f t="shared" si="98"/>
        <v>10</v>
      </c>
      <c r="AS1476" s="83">
        <f t="shared" si="99"/>
        <v>12</v>
      </c>
      <c r="AT1476" s="84">
        <f t="shared" si="100"/>
        <v>2012</v>
      </c>
      <c r="AU1476" s="86"/>
      <c r="AV1476" s="86"/>
      <c r="AW1476" s="87"/>
      <c r="AX1476" s="86"/>
      <c r="AY1476" s="83"/>
      <c r="AZ1476" s="84"/>
      <c r="BA1476" s="86"/>
      <c r="BB1476" s="86"/>
    </row>
    <row r="1477" spans="1:54" ht="36.75" customHeight="1">
      <c r="A1477" s="30"/>
      <c r="B1477" s="30" t="s">
        <v>55</v>
      </c>
      <c r="C1477" s="69" t="str">
        <f t="shared" si="97"/>
        <v>Closed</v>
      </c>
      <c r="D1477" s="27" t="s">
        <v>8227</v>
      </c>
      <c r="E1477" s="29" t="s">
        <v>8228</v>
      </c>
      <c r="F1477" s="30" t="s">
        <v>582</v>
      </c>
      <c r="G1477" s="89">
        <f>DATE(2012,12,13)</f>
        <v>41256</v>
      </c>
      <c r="H1477" s="90">
        <v>1.5222222222222221</v>
      </c>
      <c r="I1477" s="30" t="s">
        <v>73</v>
      </c>
      <c r="J1477" s="89" t="s">
        <v>8229</v>
      </c>
      <c r="K1477" s="30" t="s">
        <v>584</v>
      </c>
      <c r="L1477" s="30" t="s">
        <v>8230</v>
      </c>
      <c r="M1477" s="30" t="s">
        <v>63</v>
      </c>
      <c r="N1477" s="30" t="s">
        <v>142</v>
      </c>
      <c r="O1477" s="30" t="s">
        <v>77</v>
      </c>
      <c r="P1477" s="89" t="s">
        <v>78</v>
      </c>
      <c r="Q1477" s="89" t="s">
        <v>586</v>
      </c>
      <c r="R1477" s="89" t="s">
        <v>587</v>
      </c>
      <c r="S1477" s="30">
        <v>0</v>
      </c>
      <c r="T1477" s="233">
        <v>0</v>
      </c>
      <c r="U1477" s="30">
        <v>0</v>
      </c>
      <c r="V1477" s="233">
        <v>0</v>
      </c>
      <c r="W1477" s="30">
        <v>0</v>
      </c>
      <c r="X1477" s="30">
        <v>0</v>
      </c>
      <c r="Y1477" s="30">
        <v>0</v>
      </c>
      <c r="Z1477" s="233">
        <v>0</v>
      </c>
      <c r="AA1477" s="30">
        <v>0</v>
      </c>
      <c r="AB1477" s="30">
        <v>0</v>
      </c>
      <c r="AC1477" s="30">
        <v>0</v>
      </c>
      <c r="AD1477" s="30">
        <v>0</v>
      </c>
      <c r="AE1477" s="89" t="s">
        <v>394</v>
      </c>
      <c r="AF1477" s="89"/>
      <c r="AG1477" s="89" t="s">
        <v>133</v>
      </c>
      <c r="AH1477" s="72">
        <v>41256</v>
      </c>
      <c r="AI1477" s="30">
        <v>0</v>
      </c>
      <c r="AJ1477" s="89" t="s">
        <v>8231</v>
      </c>
      <c r="AK1477" s="89" t="s">
        <v>1233</v>
      </c>
      <c r="AL1477" s="91">
        <v>41264</v>
      </c>
      <c r="AM1477" s="91"/>
      <c r="AN1477" s="91"/>
      <c r="AO1477" s="91"/>
      <c r="AP1477" s="73" t="e">
        <f>MID(VLOOKUP(K1477,#REF!,2,FALSE),1,2)</f>
        <v>#REF!</v>
      </c>
      <c r="AQ1477" s="89">
        <f>DATE(2012,12,13)</f>
        <v>41256</v>
      </c>
      <c r="AR1477" s="82">
        <f t="shared" si="98"/>
        <v>13</v>
      </c>
      <c r="AS1477" s="83">
        <f t="shared" si="99"/>
        <v>12</v>
      </c>
      <c r="AT1477" s="84">
        <f t="shared" si="100"/>
        <v>2012</v>
      </c>
      <c r="AU1477" s="86"/>
      <c r="AV1477" s="86"/>
      <c r="AW1477" s="87"/>
      <c r="AX1477" s="86"/>
      <c r="AY1477" s="83"/>
      <c r="AZ1477" s="84"/>
      <c r="BA1477" s="86"/>
      <c r="BB1477" s="86"/>
    </row>
    <row r="1478" spans="1:54" ht="36.75" customHeight="1">
      <c r="A1478" s="30"/>
      <c r="B1478" s="30" t="s">
        <v>55</v>
      </c>
      <c r="C1478" s="69" t="str">
        <f t="shared" si="97"/>
        <v>Closed</v>
      </c>
      <c r="D1478" s="27" t="s">
        <v>8232</v>
      </c>
      <c r="E1478" s="29" t="s">
        <v>8233</v>
      </c>
      <c r="F1478" s="30" t="s">
        <v>423</v>
      </c>
      <c r="G1478" s="89">
        <f>DATE(2012,12,14)</f>
        <v>41257</v>
      </c>
      <c r="H1478" s="90">
        <v>1.8729166666666668</v>
      </c>
      <c r="I1478" s="30" t="s">
        <v>116</v>
      </c>
      <c r="J1478" s="89" t="s">
        <v>8234</v>
      </c>
      <c r="K1478" s="30" t="s">
        <v>425</v>
      </c>
      <c r="L1478" s="30" t="s">
        <v>8235</v>
      </c>
      <c r="M1478" s="30" t="s">
        <v>63</v>
      </c>
      <c r="N1478" s="30" t="s">
        <v>142</v>
      </c>
      <c r="O1478" s="30" t="s">
        <v>64</v>
      </c>
      <c r="P1478" s="89" t="s">
        <v>165</v>
      </c>
      <c r="Q1478" s="89" t="s">
        <v>427</v>
      </c>
      <c r="R1478" s="89" t="s">
        <v>3103</v>
      </c>
      <c r="S1478" s="30">
        <v>0</v>
      </c>
      <c r="T1478" s="233">
        <v>0</v>
      </c>
      <c r="U1478" s="30">
        <v>0</v>
      </c>
      <c r="V1478" s="233">
        <v>0</v>
      </c>
      <c r="W1478" s="30">
        <v>0</v>
      </c>
      <c r="X1478" s="30">
        <v>0</v>
      </c>
      <c r="Y1478" s="30">
        <v>0</v>
      </c>
      <c r="Z1478" s="233">
        <v>0</v>
      </c>
      <c r="AA1478" s="30">
        <v>0</v>
      </c>
      <c r="AB1478" s="30">
        <v>0</v>
      </c>
      <c r="AC1478" s="30">
        <v>0</v>
      </c>
      <c r="AD1478" s="30">
        <v>0</v>
      </c>
      <c r="AE1478" s="89" t="s">
        <v>394</v>
      </c>
      <c r="AF1478" s="89"/>
      <c r="AG1478" s="89" t="s">
        <v>133</v>
      </c>
      <c r="AH1478" s="72">
        <v>41396</v>
      </c>
      <c r="AI1478" s="30">
        <v>5</v>
      </c>
      <c r="AJ1478" s="89" t="s">
        <v>8236</v>
      </c>
      <c r="AK1478" s="89" t="s">
        <v>8237</v>
      </c>
      <c r="AL1478" s="91">
        <v>41310</v>
      </c>
      <c r="AM1478" s="91"/>
      <c r="AN1478" s="91"/>
      <c r="AO1478" s="91"/>
      <c r="AP1478" s="73" t="e">
        <f>MID(VLOOKUP(K1478,#REF!,2,FALSE),1,2)</f>
        <v>#REF!</v>
      </c>
      <c r="AQ1478" s="89">
        <f>DATE(2012,12,14)</f>
        <v>41257</v>
      </c>
      <c r="AR1478" s="82">
        <f t="shared" si="98"/>
        <v>14</v>
      </c>
      <c r="AS1478" s="83">
        <f t="shared" si="99"/>
        <v>12</v>
      </c>
      <c r="AT1478" s="84">
        <f t="shared" si="100"/>
        <v>2012</v>
      </c>
      <c r="AU1478" s="86"/>
      <c r="AV1478" s="86"/>
      <c r="AW1478" s="87"/>
      <c r="AX1478" s="86"/>
      <c r="AY1478" s="83"/>
      <c r="AZ1478" s="84"/>
      <c r="BA1478" s="86"/>
      <c r="BB1478" s="86"/>
    </row>
    <row r="1479" spans="1:54" ht="36.75" customHeight="1">
      <c r="A1479" s="30"/>
      <c r="B1479" s="30" t="s">
        <v>55</v>
      </c>
      <c r="C1479" s="69" t="str">
        <f t="shared" si="97"/>
        <v>Closed</v>
      </c>
      <c r="D1479" s="27" t="s">
        <v>8238</v>
      </c>
      <c r="E1479" s="29" t="s">
        <v>8239</v>
      </c>
      <c r="F1479" s="30" t="s">
        <v>835</v>
      </c>
      <c r="G1479" s="89">
        <f>DATE(2012,12,14)</f>
        <v>41257</v>
      </c>
      <c r="H1479" s="90">
        <v>1.4944444444444445</v>
      </c>
      <c r="I1479" s="30" t="s">
        <v>73</v>
      </c>
      <c r="J1479" s="89" t="s">
        <v>8240</v>
      </c>
      <c r="K1479" s="30" t="s">
        <v>837</v>
      </c>
      <c r="L1479" s="30" t="s">
        <v>8241</v>
      </c>
      <c r="M1479" s="30" t="s">
        <v>63</v>
      </c>
      <c r="N1479" s="30" t="s">
        <v>99</v>
      </c>
      <c r="O1479" s="30" t="s">
        <v>77</v>
      </c>
      <c r="P1479" s="89" t="s">
        <v>78</v>
      </c>
      <c r="Q1479" s="89" t="s">
        <v>4708</v>
      </c>
      <c r="R1479" s="89" t="s">
        <v>840</v>
      </c>
      <c r="S1479" s="30">
        <v>0</v>
      </c>
      <c r="T1479" s="233">
        <v>0</v>
      </c>
      <c r="U1479" s="30">
        <v>0</v>
      </c>
      <c r="V1479" s="233">
        <v>0</v>
      </c>
      <c r="W1479" s="30">
        <v>0</v>
      </c>
      <c r="X1479" s="30">
        <v>0</v>
      </c>
      <c r="Y1479" s="30">
        <v>0</v>
      </c>
      <c r="Z1479" s="233">
        <v>0</v>
      </c>
      <c r="AA1479" s="30">
        <v>0</v>
      </c>
      <c r="AB1479" s="30">
        <v>0</v>
      </c>
      <c r="AC1479" s="30">
        <v>0</v>
      </c>
      <c r="AD1479" s="30">
        <v>0</v>
      </c>
      <c r="AE1479" s="89" t="s">
        <v>92</v>
      </c>
      <c r="AF1479" s="89"/>
      <c r="AG1479" s="89" t="s">
        <v>133</v>
      </c>
      <c r="AH1479" s="72">
        <v>43083</v>
      </c>
      <c r="AI1479" s="30">
        <v>1</v>
      </c>
      <c r="AJ1479" s="89" t="s">
        <v>8242</v>
      </c>
      <c r="AK1479" s="89" t="s">
        <v>68</v>
      </c>
      <c r="AL1479" s="91">
        <v>43087</v>
      </c>
      <c r="AM1479" s="91"/>
      <c r="AN1479" s="91"/>
      <c r="AO1479" s="91"/>
      <c r="AP1479" s="73" t="e">
        <f>MID(VLOOKUP(K1479,#REF!,2,FALSE),1,2)</f>
        <v>#REF!</v>
      </c>
      <c r="AQ1479" s="89">
        <f>DATE(2012,12,14)</f>
        <v>41257</v>
      </c>
      <c r="AR1479" s="82">
        <f t="shared" si="98"/>
        <v>14</v>
      </c>
      <c r="AS1479" s="83">
        <f t="shared" si="99"/>
        <v>12</v>
      </c>
      <c r="AT1479" s="84">
        <f t="shared" si="100"/>
        <v>2012</v>
      </c>
      <c r="AU1479" s="86"/>
      <c r="AV1479" s="86"/>
      <c r="AW1479" s="87"/>
      <c r="AX1479" s="86"/>
      <c r="AY1479" s="83"/>
      <c r="AZ1479" s="84"/>
      <c r="BA1479" s="86"/>
      <c r="BB1479" s="86"/>
    </row>
    <row r="1480" spans="1:54" ht="36.75" customHeight="1">
      <c r="A1480" s="30"/>
      <c r="B1480" s="30" t="s">
        <v>55</v>
      </c>
      <c r="C1480" s="69" t="str">
        <f t="shared" si="97"/>
        <v>Closed</v>
      </c>
      <c r="D1480" s="27" t="s">
        <v>8243</v>
      </c>
      <c r="E1480" s="29" t="s">
        <v>8244</v>
      </c>
      <c r="F1480" s="30" t="s">
        <v>2601</v>
      </c>
      <c r="G1480" s="89">
        <f>DATE(2012,12,19)</f>
        <v>41262</v>
      </c>
      <c r="H1480" s="90">
        <v>1.4826388888888888</v>
      </c>
      <c r="I1480" s="30" t="s">
        <v>125</v>
      </c>
      <c r="J1480" s="89" t="s">
        <v>8245</v>
      </c>
      <c r="K1480" s="30" t="s">
        <v>2603</v>
      </c>
      <c r="L1480" s="30" t="s">
        <v>8246</v>
      </c>
      <c r="M1480" s="30" t="s">
        <v>63</v>
      </c>
      <c r="N1480" s="30" t="s">
        <v>89</v>
      </c>
      <c r="O1480" s="30" t="s">
        <v>77</v>
      </c>
      <c r="P1480" s="89" t="s">
        <v>165</v>
      </c>
      <c r="Q1480" s="89" t="s">
        <v>6342</v>
      </c>
      <c r="R1480" s="89" t="s">
        <v>2606</v>
      </c>
      <c r="S1480" s="30">
        <v>0</v>
      </c>
      <c r="T1480" s="233">
        <v>0</v>
      </c>
      <c r="U1480" s="30">
        <v>0</v>
      </c>
      <c r="V1480" s="233">
        <v>0</v>
      </c>
      <c r="W1480" s="30">
        <v>0</v>
      </c>
      <c r="X1480" s="30">
        <v>0</v>
      </c>
      <c r="Y1480" s="30">
        <v>0</v>
      </c>
      <c r="Z1480" s="233">
        <v>0</v>
      </c>
      <c r="AA1480" s="30">
        <v>0</v>
      </c>
      <c r="AB1480" s="30">
        <v>0</v>
      </c>
      <c r="AC1480" s="30">
        <v>0</v>
      </c>
      <c r="AD1480" s="30">
        <v>0</v>
      </c>
      <c r="AE1480" s="89" t="s">
        <v>92</v>
      </c>
      <c r="AF1480" s="89"/>
      <c r="AG1480" s="89" t="s">
        <v>133</v>
      </c>
      <c r="AH1480" s="72">
        <v>41263</v>
      </c>
      <c r="AI1480" s="30">
        <v>6</v>
      </c>
      <c r="AJ1480" s="89" t="s">
        <v>8247</v>
      </c>
      <c r="AK1480" s="89" t="s">
        <v>8248</v>
      </c>
      <c r="AL1480" s="91">
        <v>41334</v>
      </c>
      <c r="AM1480" s="91"/>
      <c r="AN1480" s="91"/>
      <c r="AO1480" s="91"/>
      <c r="AP1480" s="73" t="e">
        <f>MID(VLOOKUP(K1480,#REF!,2,FALSE),1,2)</f>
        <v>#REF!</v>
      </c>
      <c r="AQ1480" s="89">
        <f>DATE(2012,12,19)</f>
        <v>41262</v>
      </c>
      <c r="AR1480" s="82">
        <f t="shared" si="98"/>
        <v>19</v>
      </c>
      <c r="AS1480" s="83">
        <f t="shared" si="99"/>
        <v>12</v>
      </c>
      <c r="AT1480" s="84">
        <f t="shared" si="100"/>
        <v>2012</v>
      </c>
      <c r="AU1480" s="86"/>
      <c r="AV1480" s="86"/>
      <c r="AW1480" s="87"/>
      <c r="AX1480" s="86"/>
      <c r="AY1480" s="83"/>
      <c r="AZ1480" s="84"/>
      <c r="BA1480" s="86"/>
      <c r="BB1480" s="86"/>
    </row>
    <row r="1481" spans="1:54" ht="36.75" customHeight="1">
      <c r="A1481" s="30"/>
      <c r="B1481" s="30" t="s">
        <v>55</v>
      </c>
      <c r="C1481" s="69" t="str">
        <f t="shared" si="97"/>
        <v>Closed</v>
      </c>
      <c r="D1481" s="27" t="s">
        <v>8249</v>
      </c>
      <c r="E1481" s="29" t="s">
        <v>8250</v>
      </c>
      <c r="F1481" s="30" t="s">
        <v>582</v>
      </c>
      <c r="G1481" s="89">
        <f>DATE(2012,12,19)</f>
        <v>41262</v>
      </c>
      <c r="H1481" s="90">
        <v>1.84375</v>
      </c>
      <c r="I1481" s="30" t="s">
        <v>116</v>
      </c>
      <c r="J1481" s="89" t="s">
        <v>8251</v>
      </c>
      <c r="K1481" s="30" t="s">
        <v>584</v>
      </c>
      <c r="L1481" s="30" t="s">
        <v>8252</v>
      </c>
      <c r="M1481" s="30" t="s">
        <v>63</v>
      </c>
      <c r="N1481" s="30" t="s">
        <v>142</v>
      </c>
      <c r="O1481" s="30" t="s">
        <v>64</v>
      </c>
      <c r="P1481" s="89" t="s">
        <v>78</v>
      </c>
      <c r="Q1481" s="89" t="s">
        <v>586</v>
      </c>
      <c r="R1481" s="89" t="s">
        <v>587</v>
      </c>
      <c r="S1481" s="30">
        <v>0</v>
      </c>
      <c r="T1481" s="233">
        <v>0</v>
      </c>
      <c r="U1481" s="30">
        <v>0</v>
      </c>
      <c r="V1481" s="233">
        <v>0</v>
      </c>
      <c r="W1481" s="30">
        <v>0</v>
      </c>
      <c r="X1481" s="30">
        <v>0</v>
      </c>
      <c r="Y1481" s="30">
        <v>0</v>
      </c>
      <c r="Z1481" s="233">
        <v>1</v>
      </c>
      <c r="AA1481" s="30">
        <v>0</v>
      </c>
      <c r="AB1481" s="30">
        <v>0</v>
      </c>
      <c r="AC1481" s="30">
        <v>0</v>
      </c>
      <c r="AD1481" s="30">
        <v>1</v>
      </c>
      <c r="AE1481" s="89" t="s">
        <v>145</v>
      </c>
      <c r="AF1481" s="89"/>
      <c r="AG1481" s="89" t="s">
        <v>133</v>
      </c>
      <c r="AH1481" s="72">
        <v>41262</v>
      </c>
      <c r="AI1481" s="30">
        <v>1</v>
      </c>
      <c r="AJ1481" s="89" t="s">
        <v>8253</v>
      </c>
      <c r="AK1481" s="89" t="s">
        <v>1233</v>
      </c>
      <c r="AL1481" s="91">
        <v>41262</v>
      </c>
      <c r="AM1481" s="91"/>
      <c r="AN1481" s="91"/>
      <c r="AO1481" s="91"/>
      <c r="AP1481" s="73" t="e">
        <f>MID(VLOOKUP(K1481,#REF!,2,FALSE),1,2)</f>
        <v>#REF!</v>
      </c>
      <c r="AQ1481" s="89">
        <f>DATE(2012,12,19)</f>
        <v>41262</v>
      </c>
      <c r="AR1481" s="82">
        <f t="shared" si="98"/>
        <v>19</v>
      </c>
      <c r="AS1481" s="83">
        <f t="shared" si="99"/>
        <v>12</v>
      </c>
      <c r="AT1481" s="84">
        <f t="shared" si="100"/>
        <v>2012</v>
      </c>
      <c r="AU1481" s="86"/>
      <c r="AV1481" s="86"/>
      <c r="AW1481" s="87"/>
      <c r="AX1481" s="86"/>
      <c r="AY1481" s="83"/>
      <c r="AZ1481" s="84"/>
      <c r="BA1481" s="86"/>
      <c r="BB1481" s="86"/>
    </row>
    <row r="1482" spans="1:54" ht="36.75" customHeight="1">
      <c r="A1482" s="30"/>
      <c r="B1482" s="30" t="s">
        <v>55</v>
      </c>
      <c r="C1482" s="69" t="str">
        <f t="shared" si="97"/>
        <v>Closed</v>
      </c>
      <c r="D1482" s="27" t="s">
        <v>8254</v>
      </c>
      <c r="E1482" s="29" t="s">
        <v>8255</v>
      </c>
      <c r="F1482" s="30" t="s">
        <v>638</v>
      </c>
      <c r="G1482" s="89">
        <f>DATE(2012,12,21)</f>
        <v>41264</v>
      </c>
      <c r="H1482" s="90">
        <v>1.46875</v>
      </c>
      <c r="I1482" s="30" t="s">
        <v>104</v>
      </c>
      <c r="J1482" s="89" t="s">
        <v>8256</v>
      </c>
      <c r="K1482" s="30" t="s">
        <v>640</v>
      </c>
      <c r="L1482" s="30" t="s">
        <v>8257</v>
      </c>
      <c r="M1482" s="30" t="s">
        <v>63</v>
      </c>
      <c r="N1482" s="30" t="s">
        <v>142</v>
      </c>
      <c r="O1482" s="30" t="s">
        <v>77</v>
      </c>
      <c r="P1482" s="89" t="s">
        <v>65</v>
      </c>
      <c r="Q1482" s="89" t="s">
        <v>642</v>
      </c>
      <c r="R1482" s="89" t="s">
        <v>643</v>
      </c>
      <c r="S1482" s="30">
        <v>0</v>
      </c>
      <c r="T1482" s="233">
        <v>0</v>
      </c>
      <c r="U1482" s="30">
        <v>0</v>
      </c>
      <c r="V1482" s="233">
        <v>0</v>
      </c>
      <c r="W1482" s="30">
        <v>0</v>
      </c>
      <c r="X1482" s="30">
        <v>0</v>
      </c>
      <c r="Y1482" s="30">
        <v>0</v>
      </c>
      <c r="Z1482" s="233">
        <v>0</v>
      </c>
      <c r="AA1482" s="30">
        <v>0</v>
      </c>
      <c r="AB1482" s="30">
        <v>0</v>
      </c>
      <c r="AC1482" s="30">
        <v>0</v>
      </c>
      <c r="AD1482" s="30">
        <v>0</v>
      </c>
      <c r="AE1482" s="89" t="s">
        <v>92</v>
      </c>
      <c r="AF1482" s="89"/>
      <c r="AG1482" s="89" t="s">
        <v>352</v>
      </c>
      <c r="AH1482" s="72">
        <v>41269</v>
      </c>
      <c r="AI1482" s="30">
        <v>0</v>
      </c>
      <c r="AJ1482" s="89" t="s">
        <v>8258</v>
      </c>
      <c r="AK1482" s="89" t="s">
        <v>68</v>
      </c>
      <c r="AL1482" s="91">
        <v>41284</v>
      </c>
      <c r="AM1482" s="91"/>
      <c r="AN1482" s="91"/>
      <c r="AO1482" s="91"/>
      <c r="AP1482" s="73" t="e">
        <f>MID(VLOOKUP(K1482,#REF!,2,FALSE),1,2)</f>
        <v>#REF!</v>
      </c>
      <c r="AQ1482" s="89">
        <f>DATE(2012,12,21)</f>
        <v>41264</v>
      </c>
      <c r="AR1482" s="82">
        <f t="shared" si="98"/>
        <v>21</v>
      </c>
      <c r="AS1482" s="83">
        <f t="shared" si="99"/>
        <v>12</v>
      </c>
      <c r="AT1482" s="84">
        <f t="shared" si="100"/>
        <v>2012</v>
      </c>
      <c r="AU1482" s="86"/>
      <c r="AV1482" s="86"/>
      <c r="AW1482" s="87"/>
      <c r="AX1482" s="86"/>
      <c r="AY1482" s="83"/>
      <c r="AZ1482" s="84"/>
      <c r="BA1482" s="86"/>
      <c r="BB1482" s="86"/>
    </row>
    <row r="1483" spans="1:54" ht="36.75" customHeight="1">
      <c r="A1483" s="30"/>
      <c r="B1483" s="30" t="s">
        <v>55</v>
      </c>
      <c r="C1483" s="69" t="str">
        <f t="shared" si="97"/>
        <v>Closed</v>
      </c>
      <c r="D1483" s="27" t="s">
        <v>8259</v>
      </c>
      <c r="E1483" s="29" t="s">
        <v>8260</v>
      </c>
      <c r="F1483" s="30" t="s">
        <v>1572</v>
      </c>
      <c r="G1483" s="89">
        <f>DATE(2012,12,22)</f>
        <v>41265</v>
      </c>
      <c r="H1483" s="90">
        <v>1.5243055555555556</v>
      </c>
      <c r="I1483" s="30" t="s">
        <v>73</v>
      </c>
      <c r="J1483" s="89" t="s">
        <v>8261</v>
      </c>
      <c r="K1483" s="30" t="s">
        <v>1574</v>
      </c>
      <c r="L1483" s="30" t="s">
        <v>8262</v>
      </c>
      <c r="M1483" s="30" t="s">
        <v>63</v>
      </c>
      <c r="N1483" s="30" t="s">
        <v>142</v>
      </c>
      <c r="O1483" s="30" t="s">
        <v>77</v>
      </c>
      <c r="P1483" s="89" t="s">
        <v>78</v>
      </c>
      <c r="Q1483" s="89" t="s">
        <v>2437</v>
      </c>
      <c r="R1483" s="89" t="s">
        <v>6434</v>
      </c>
      <c r="S1483" s="30">
        <v>0</v>
      </c>
      <c r="T1483" s="233">
        <v>0</v>
      </c>
      <c r="U1483" s="30">
        <v>0</v>
      </c>
      <c r="V1483" s="233">
        <v>0</v>
      </c>
      <c r="W1483" s="30">
        <v>0</v>
      </c>
      <c r="X1483" s="30">
        <v>0</v>
      </c>
      <c r="Y1483" s="30">
        <v>0</v>
      </c>
      <c r="Z1483" s="233">
        <v>0</v>
      </c>
      <c r="AA1483" s="30">
        <v>0</v>
      </c>
      <c r="AB1483" s="30">
        <v>0</v>
      </c>
      <c r="AC1483" s="30">
        <v>0</v>
      </c>
      <c r="AD1483" s="30">
        <v>0</v>
      </c>
      <c r="AE1483" s="89" t="s">
        <v>92</v>
      </c>
      <c r="AF1483" s="89"/>
      <c r="AG1483" s="89" t="s">
        <v>133</v>
      </c>
      <c r="AH1483" s="72">
        <v>41270</v>
      </c>
      <c r="AI1483" s="30">
        <v>0</v>
      </c>
      <c r="AJ1483" s="89" t="s">
        <v>8263</v>
      </c>
      <c r="AK1483" s="89" t="s">
        <v>8264</v>
      </c>
      <c r="AL1483" s="91">
        <v>41271</v>
      </c>
      <c r="AM1483" s="91"/>
      <c r="AN1483" s="91"/>
      <c r="AO1483" s="91"/>
      <c r="AP1483" s="73" t="e">
        <f>MID(VLOOKUP(K1483,#REF!,2,FALSE),1,2)</f>
        <v>#REF!</v>
      </c>
      <c r="AQ1483" s="89">
        <f>DATE(2012,12,22)</f>
        <v>41265</v>
      </c>
      <c r="AR1483" s="82">
        <f t="shared" si="98"/>
        <v>22</v>
      </c>
      <c r="AS1483" s="83">
        <f t="shared" si="99"/>
        <v>12</v>
      </c>
      <c r="AT1483" s="84">
        <f t="shared" si="100"/>
        <v>2012</v>
      </c>
      <c r="AU1483" s="86"/>
      <c r="AV1483" s="86"/>
      <c r="AW1483" s="87"/>
      <c r="AX1483" s="86"/>
      <c r="AY1483" s="83"/>
      <c r="AZ1483" s="84"/>
      <c r="BA1483" s="86"/>
      <c r="BB1483" s="86"/>
    </row>
    <row r="1484" spans="1:54" ht="36.75" customHeight="1">
      <c r="A1484" s="30"/>
      <c r="B1484" s="30" t="s">
        <v>55</v>
      </c>
      <c r="C1484" s="69" t="str">
        <f t="shared" si="97"/>
        <v>Closed</v>
      </c>
      <c r="D1484" s="27" t="s">
        <v>8265</v>
      </c>
      <c r="E1484" s="29" t="s">
        <v>8266</v>
      </c>
      <c r="F1484" s="30" t="s">
        <v>638</v>
      </c>
      <c r="G1484" s="89">
        <f>DATE(2012,12,24)</f>
        <v>41267</v>
      </c>
      <c r="H1484" s="90">
        <v>1.0416666666666667</v>
      </c>
      <c r="I1484" s="30" t="s">
        <v>73</v>
      </c>
      <c r="J1484" s="89" t="s">
        <v>8267</v>
      </c>
      <c r="K1484" s="30" t="s">
        <v>640</v>
      </c>
      <c r="L1484" s="30" t="s">
        <v>8268</v>
      </c>
      <c r="M1484" s="30" t="s">
        <v>63</v>
      </c>
      <c r="N1484" s="30" t="s">
        <v>99</v>
      </c>
      <c r="O1484" s="30" t="s">
        <v>77</v>
      </c>
      <c r="P1484" s="89" t="s">
        <v>78</v>
      </c>
      <c r="Q1484" s="89" t="s">
        <v>8269</v>
      </c>
      <c r="R1484" s="89" t="s">
        <v>643</v>
      </c>
      <c r="S1484" s="30">
        <v>0</v>
      </c>
      <c r="T1484" s="233">
        <v>0</v>
      </c>
      <c r="U1484" s="30">
        <v>0</v>
      </c>
      <c r="V1484" s="233">
        <v>0</v>
      </c>
      <c r="W1484" s="30">
        <v>0</v>
      </c>
      <c r="X1484" s="30">
        <v>0</v>
      </c>
      <c r="Y1484" s="30">
        <v>0</v>
      </c>
      <c r="Z1484" s="233">
        <v>0</v>
      </c>
      <c r="AA1484" s="30">
        <v>0</v>
      </c>
      <c r="AB1484" s="30">
        <v>0</v>
      </c>
      <c r="AC1484" s="30">
        <v>0</v>
      </c>
      <c r="AD1484" s="30">
        <v>0</v>
      </c>
      <c r="AE1484" s="89" t="s">
        <v>92</v>
      </c>
      <c r="AF1484" s="89"/>
      <c r="AG1484" s="89" t="s">
        <v>352</v>
      </c>
      <c r="AH1484" s="72">
        <v>41303</v>
      </c>
      <c r="AI1484" s="30">
        <v>1</v>
      </c>
      <c r="AJ1484" s="89" t="s">
        <v>8270</v>
      </c>
      <c r="AK1484" s="89" t="s">
        <v>68</v>
      </c>
      <c r="AL1484" s="91">
        <v>41306</v>
      </c>
      <c r="AM1484" s="91"/>
      <c r="AN1484" s="91"/>
      <c r="AO1484" s="91"/>
      <c r="AP1484" s="73" t="e">
        <f>MID(VLOOKUP(K1484,#REF!,2,FALSE),1,2)</f>
        <v>#REF!</v>
      </c>
      <c r="AQ1484" s="89">
        <f>DATE(2012,12,24)</f>
        <v>41267</v>
      </c>
      <c r="AR1484" s="82">
        <f t="shared" si="98"/>
        <v>24</v>
      </c>
      <c r="AS1484" s="83">
        <f t="shared" si="99"/>
        <v>12</v>
      </c>
      <c r="AT1484" s="84">
        <f t="shared" si="100"/>
        <v>2012</v>
      </c>
      <c r="AU1484" s="86"/>
      <c r="AV1484" s="86"/>
      <c r="AW1484" s="87"/>
      <c r="AX1484" s="86"/>
      <c r="AY1484" s="83"/>
      <c r="AZ1484" s="84"/>
      <c r="BA1484" s="86"/>
      <c r="BB1484" s="86"/>
    </row>
    <row r="1485" spans="1:54" ht="36.75" customHeight="1">
      <c r="A1485" s="30"/>
      <c r="B1485" s="30" t="s">
        <v>55</v>
      </c>
      <c r="C1485" s="69" t="str">
        <f t="shared" si="97"/>
        <v>Closed</v>
      </c>
      <c r="D1485" s="27" t="s">
        <v>8271</v>
      </c>
      <c r="E1485" s="29" t="s">
        <v>8272</v>
      </c>
      <c r="F1485" s="30" t="s">
        <v>233</v>
      </c>
      <c r="G1485" s="89">
        <f>DATE(2012,12,27)</f>
        <v>41270</v>
      </c>
      <c r="H1485" s="90">
        <v>1.2048611111111112</v>
      </c>
      <c r="I1485" s="30" t="s">
        <v>73</v>
      </c>
      <c r="J1485" s="89" t="s">
        <v>8273</v>
      </c>
      <c r="K1485" s="30" t="s">
        <v>235</v>
      </c>
      <c r="L1485" s="30" t="s">
        <v>8274</v>
      </c>
      <c r="M1485" s="30" t="s">
        <v>63</v>
      </c>
      <c r="N1485" s="30" t="s">
        <v>89</v>
      </c>
      <c r="O1485" s="30" t="s">
        <v>64</v>
      </c>
      <c r="P1485" s="89" t="s">
        <v>78</v>
      </c>
      <c r="Q1485" s="89" t="s">
        <v>4042</v>
      </c>
      <c r="R1485" s="89" t="s">
        <v>238</v>
      </c>
      <c r="S1485" s="30">
        <v>0</v>
      </c>
      <c r="T1485" s="233">
        <v>0</v>
      </c>
      <c r="U1485" s="30">
        <v>0</v>
      </c>
      <c r="V1485" s="233">
        <v>0</v>
      </c>
      <c r="W1485" s="30">
        <v>0</v>
      </c>
      <c r="X1485" s="30">
        <v>0</v>
      </c>
      <c r="Y1485" s="30">
        <v>0</v>
      </c>
      <c r="Z1485" s="233">
        <v>0</v>
      </c>
      <c r="AA1485" s="30">
        <v>0</v>
      </c>
      <c r="AB1485" s="30">
        <v>0</v>
      </c>
      <c r="AC1485" s="30">
        <v>0</v>
      </c>
      <c r="AD1485" s="30">
        <v>0</v>
      </c>
      <c r="AE1485" s="89" t="s">
        <v>92</v>
      </c>
      <c r="AF1485" s="89"/>
      <c r="AG1485" s="89" t="s">
        <v>352</v>
      </c>
      <c r="AH1485" s="72">
        <v>41281</v>
      </c>
      <c r="AI1485" s="30">
        <v>3</v>
      </c>
      <c r="AJ1485" s="89" t="s">
        <v>8275</v>
      </c>
      <c r="AK1485" s="89" t="s">
        <v>8276</v>
      </c>
      <c r="AL1485" s="91">
        <v>41290</v>
      </c>
      <c r="AM1485" s="91"/>
      <c r="AN1485" s="91"/>
      <c r="AO1485" s="91"/>
      <c r="AP1485" s="73" t="e">
        <f>MID(VLOOKUP(K1485,#REF!,2,FALSE),1,2)</f>
        <v>#REF!</v>
      </c>
      <c r="AQ1485" s="89">
        <f>DATE(2012,12,27)</f>
        <v>41270</v>
      </c>
      <c r="AR1485" s="82">
        <f t="shared" si="98"/>
        <v>27</v>
      </c>
      <c r="AS1485" s="83">
        <f t="shared" si="99"/>
        <v>12</v>
      </c>
      <c r="AT1485" s="84">
        <f t="shared" si="100"/>
        <v>2012</v>
      </c>
      <c r="AU1485" s="86"/>
      <c r="AV1485" s="86"/>
      <c r="AW1485" s="87"/>
      <c r="AX1485" s="86"/>
      <c r="AY1485" s="83"/>
      <c r="AZ1485" s="84"/>
      <c r="BA1485" s="86"/>
      <c r="BB1485" s="86"/>
    </row>
    <row r="1486" spans="1:54" ht="36.75" customHeight="1">
      <c r="A1486" s="30"/>
      <c r="B1486" s="30" t="s">
        <v>55</v>
      </c>
      <c r="C1486" s="69" t="str">
        <f t="shared" si="97"/>
        <v>Closed</v>
      </c>
      <c r="D1486" s="27" t="s">
        <v>8277</v>
      </c>
      <c r="E1486" s="29" t="s">
        <v>8278</v>
      </c>
      <c r="F1486" s="30" t="s">
        <v>1572</v>
      </c>
      <c r="G1486" s="89">
        <f>DATE(2012,12,30)</f>
        <v>41273</v>
      </c>
      <c r="H1486" s="90">
        <v>1.7847222222222223</v>
      </c>
      <c r="I1486" s="30" t="s">
        <v>73</v>
      </c>
      <c r="J1486" s="89" t="s">
        <v>8279</v>
      </c>
      <c r="K1486" s="30" t="s">
        <v>1574</v>
      </c>
      <c r="L1486" s="30" t="s">
        <v>8280</v>
      </c>
      <c r="M1486" s="30" t="s">
        <v>63</v>
      </c>
      <c r="N1486" s="30" t="s">
        <v>142</v>
      </c>
      <c r="O1486" s="30" t="s">
        <v>77</v>
      </c>
      <c r="P1486" s="89" t="s">
        <v>78</v>
      </c>
      <c r="Q1486" s="89" t="s">
        <v>6024</v>
      </c>
      <c r="R1486" s="89" t="s">
        <v>6434</v>
      </c>
      <c r="S1486" s="30">
        <v>0</v>
      </c>
      <c r="T1486" s="233">
        <v>0</v>
      </c>
      <c r="U1486" s="30">
        <v>0</v>
      </c>
      <c r="V1486" s="233">
        <v>0</v>
      </c>
      <c r="W1486" s="30">
        <v>0</v>
      </c>
      <c r="X1486" s="30">
        <v>0</v>
      </c>
      <c r="Y1486" s="30">
        <v>0</v>
      </c>
      <c r="Z1486" s="233">
        <v>0</v>
      </c>
      <c r="AA1486" s="30">
        <v>0</v>
      </c>
      <c r="AB1486" s="30">
        <v>0</v>
      </c>
      <c r="AC1486" s="30">
        <v>0</v>
      </c>
      <c r="AD1486" s="30">
        <v>0</v>
      </c>
      <c r="AE1486" s="89" t="s">
        <v>92</v>
      </c>
      <c r="AF1486" s="89"/>
      <c r="AG1486" s="89" t="s">
        <v>133</v>
      </c>
      <c r="AH1486" s="72">
        <v>41277</v>
      </c>
      <c r="AI1486" s="30">
        <v>0</v>
      </c>
      <c r="AJ1486" s="89" t="s">
        <v>8281</v>
      </c>
      <c r="AK1486" s="89" t="s">
        <v>6914</v>
      </c>
      <c r="AL1486" s="91">
        <v>41281</v>
      </c>
      <c r="AM1486" s="91"/>
      <c r="AN1486" s="91"/>
      <c r="AO1486" s="91"/>
      <c r="AP1486" s="73" t="e">
        <f>MID(VLOOKUP(K1486,#REF!,2,FALSE),1,2)</f>
        <v>#REF!</v>
      </c>
      <c r="AQ1486" s="89">
        <f>DATE(2012,12,30)</f>
        <v>41273</v>
      </c>
      <c r="AR1486" s="82">
        <f t="shared" si="98"/>
        <v>30</v>
      </c>
      <c r="AS1486" s="83">
        <f t="shared" si="99"/>
        <v>12</v>
      </c>
      <c r="AT1486" s="84">
        <f t="shared" si="100"/>
        <v>2012</v>
      </c>
      <c r="AU1486" s="88">
        <f>DATE(2013,1,7)</f>
        <v>41281</v>
      </c>
      <c r="AV1486" s="88">
        <f>DATE(2013,1,3)</f>
        <v>41277</v>
      </c>
      <c r="AW1486" s="87">
        <f>BA1486-AV1486</f>
        <v>-4</v>
      </c>
      <c r="AX1486" s="88">
        <f>DATE(2013,1,7)</f>
        <v>41281</v>
      </c>
      <c r="AY1486" s="83">
        <f>MONTH(AX1486)</f>
        <v>1</v>
      </c>
      <c r="AZ1486" s="84">
        <f>YEAR(AX1486)</f>
        <v>2013</v>
      </c>
      <c r="BA1486" s="88">
        <f>DATE(2012,12,30)</f>
        <v>41273</v>
      </c>
      <c r="BB1486" s="86"/>
    </row>
    <row r="1487" spans="1:54" ht="36.75" customHeight="1">
      <c r="A1487" s="30"/>
      <c r="B1487" s="30" t="s">
        <v>55</v>
      </c>
      <c r="C1487" s="69" t="str">
        <f t="shared" si="97"/>
        <v>Closed</v>
      </c>
      <c r="D1487" s="27" t="s">
        <v>8282</v>
      </c>
      <c r="E1487" s="29" t="s">
        <v>8283</v>
      </c>
      <c r="F1487" s="30" t="s">
        <v>582</v>
      </c>
      <c r="G1487" s="89">
        <f>DATE(2013,1,5)</f>
        <v>41279</v>
      </c>
      <c r="H1487" s="90">
        <v>1.6888888888888891</v>
      </c>
      <c r="I1487" s="30" t="s">
        <v>73</v>
      </c>
      <c r="J1487" s="89" t="s">
        <v>8284</v>
      </c>
      <c r="K1487" s="30" t="s">
        <v>584</v>
      </c>
      <c r="L1487" s="30" t="s">
        <v>8285</v>
      </c>
      <c r="M1487" s="30" t="s">
        <v>63</v>
      </c>
      <c r="N1487" s="30" t="s">
        <v>142</v>
      </c>
      <c r="O1487" s="30" t="s">
        <v>77</v>
      </c>
      <c r="P1487" s="89" t="s">
        <v>78</v>
      </c>
      <c r="Q1487" s="89" t="s">
        <v>8286</v>
      </c>
      <c r="R1487" s="89" t="s">
        <v>587</v>
      </c>
      <c r="S1487" s="30">
        <v>0</v>
      </c>
      <c r="T1487" s="233">
        <v>0</v>
      </c>
      <c r="U1487" s="30">
        <v>0</v>
      </c>
      <c r="V1487" s="233">
        <v>0</v>
      </c>
      <c r="W1487" s="30">
        <v>0</v>
      </c>
      <c r="X1487" s="30">
        <v>0</v>
      </c>
      <c r="Y1487" s="30">
        <v>0</v>
      </c>
      <c r="Z1487" s="233">
        <v>0</v>
      </c>
      <c r="AA1487" s="30">
        <v>0</v>
      </c>
      <c r="AB1487" s="30">
        <v>0</v>
      </c>
      <c r="AC1487" s="30">
        <v>0</v>
      </c>
      <c r="AD1487" s="30">
        <v>0</v>
      </c>
      <c r="AE1487" s="89" t="s">
        <v>394</v>
      </c>
      <c r="AF1487" s="89"/>
      <c r="AG1487" s="89" t="s">
        <v>133</v>
      </c>
      <c r="AH1487" s="72">
        <v>41281</v>
      </c>
      <c r="AI1487" s="30">
        <v>0</v>
      </c>
      <c r="AJ1487" s="89" t="s">
        <v>8287</v>
      </c>
      <c r="AK1487" s="89" t="s">
        <v>1233</v>
      </c>
      <c r="AL1487" s="91">
        <v>41290</v>
      </c>
      <c r="AM1487" s="91"/>
      <c r="AN1487" s="91"/>
      <c r="AO1487" s="91"/>
      <c r="AP1487" s="73" t="e">
        <f>MID(VLOOKUP(K1487,#REF!,2,FALSE),1,2)</f>
        <v>#REF!</v>
      </c>
      <c r="AQ1487" s="89">
        <f>DATE(2013,1,5)</f>
        <v>41279</v>
      </c>
      <c r="AR1487" s="82">
        <f t="shared" si="98"/>
        <v>5</v>
      </c>
      <c r="AS1487" s="83">
        <f t="shared" si="99"/>
        <v>1</v>
      </c>
      <c r="AT1487" s="84">
        <f t="shared" si="100"/>
        <v>2013</v>
      </c>
      <c r="AU1487" s="86"/>
      <c r="AV1487" s="86"/>
      <c r="AW1487" s="87"/>
      <c r="AX1487" s="86"/>
      <c r="AY1487" s="83"/>
      <c r="AZ1487" s="84"/>
      <c r="BA1487" s="86"/>
      <c r="BB1487" s="86"/>
    </row>
    <row r="1488" spans="1:54" ht="36.75" customHeight="1">
      <c r="A1488" s="30"/>
      <c r="B1488" s="30" t="s">
        <v>55</v>
      </c>
      <c r="C1488" s="69" t="str">
        <f t="shared" si="97"/>
        <v>Closed</v>
      </c>
      <c r="D1488" s="27" t="s">
        <v>8288</v>
      </c>
      <c r="E1488" s="29" t="s">
        <v>8289</v>
      </c>
      <c r="F1488" s="30" t="s">
        <v>197</v>
      </c>
      <c r="G1488" s="89">
        <f>DATE(2013,1,6)</f>
        <v>41280</v>
      </c>
      <c r="H1488" s="90">
        <v>1.9083333333333332</v>
      </c>
      <c r="I1488" s="30" t="s">
        <v>125</v>
      </c>
      <c r="J1488" s="89" t="s">
        <v>8290</v>
      </c>
      <c r="K1488" s="30" t="s">
        <v>200</v>
      </c>
      <c r="L1488" s="30" t="s">
        <v>7185</v>
      </c>
      <c r="M1488" s="30" t="s">
        <v>63</v>
      </c>
      <c r="N1488" s="30" t="s">
        <v>142</v>
      </c>
      <c r="O1488" s="30" t="s">
        <v>64</v>
      </c>
      <c r="P1488" s="89" t="s">
        <v>78</v>
      </c>
      <c r="Q1488" s="89">
        <v>0</v>
      </c>
      <c r="R1488" s="89">
        <v>0</v>
      </c>
      <c r="S1488" s="30">
        <v>0</v>
      </c>
      <c r="T1488" s="233">
        <v>0</v>
      </c>
      <c r="U1488" s="30">
        <v>0</v>
      </c>
      <c r="V1488" s="233">
        <v>0</v>
      </c>
      <c r="W1488" s="30">
        <v>0</v>
      </c>
      <c r="X1488" s="30">
        <v>0</v>
      </c>
      <c r="Y1488" s="30">
        <v>0</v>
      </c>
      <c r="Z1488" s="233">
        <v>0</v>
      </c>
      <c r="AA1488" s="30">
        <v>0</v>
      </c>
      <c r="AB1488" s="30">
        <v>0</v>
      </c>
      <c r="AC1488" s="30">
        <v>0</v>
      </c>
      <c r="AD1488" s="30">
        <v>0</v>
      </c>
      <c r="AE1488" s="89" t="s">
        <v>92</v>
      </c>
      <c r="AF1488" s="89"/>
      <c r="AG1488" s="89" t="s">
        <v>133</v>
      </c>
      <c r="AH1488" s="72">
        <v>41285</v>
      </c>
      <c r="AI1488" s="30">
        <v>2</v>
      </c>
      <c r="AJ1488" s="89" t="s">
        <v>8291</v>
      </c>
      <c r="AK1488" s="89" t="s">
        <v>1233</v>
      </c>
      <c r="AL1488" s="91">
        <v>41687</v>
      </c>
      <c r="AM1488" s="91"/>
      <c r="AN1488" s="91"/>
      <c r="AO1488" s="91"/>
      <c r="AP1488" s="73" t="e">
        <f>MID(VLOOKUP(K1488,#REF!,2,FALSE),1,2)</f>
        <v>#REF!</v>
      </c>
      <c r="AQ1488" s="89">
        <f>DATE(2013,1,6)</f>
        <v>41280</v>
      </c>
      <c r="AR1488" s="82">
        <f t="shared" si="98"/>
        <v>6</v>
      </c>
      <c r="AS1488" s="83">
        <f t="shared" si="99"/>
        <v>1</v>
      </c>
      <c r="AT1488" s="84">
        <f t="shared" si="100"/>
        <v>2013</v>
      </c>
      <c r="AU1488" s="86"/>
      <c r="AV1488" s="86"/>
      <c r="AW1488" s="87"/>
      <c r="AX1488" s="86"/>
      <c r="AY1488" s="83"/>
      <c r="AZ1488" s="84"/>
      <c r="BA1488" s="86"/>
      <c r="BB1488" s="86"/>
    </row>
    <row r="1489" spans="1:54" ht="36.75" customHeight="1">
      <c r="A1489" s="30"/>
      <c r="B1489" s="30" t="s">
        <v>55</v>
      </c>
      <c r="C1489" s="69" t="str">
        <f t="shared" si="97"/>
        <v>Closed</v>
      </c>
      <c r="D1489" s="27" t="s">
        <v>8292</v>
      </c>
      <c r="E1489" s="29" t="s">
        <v>8293</v>
      </c>
      <c r="F1489" s="30" t="s">
        <v>377</v>
      </c>
      <c r="G1489" s="89">
        <f>DATE(2013,1,7)</f>
        <v>41281</v>
      </c>
      <c r="H1489" s="90">
        <v>1.7430555555555554</v>
      </c>
      <c r="I1489" s="30" t="s">
        <v>278</v>
      </c>
      <c r="J1489" s="89" t="s">
        <v>8294</v>
      </c>
      <c r="K1489" s="30" t="s">
        <v>379</v>
      </c>
      <c r="L1489" s="30" t="s">
        <v>8295</v>
      </c>
      <c r="M1489" s="30" t="s">
        <v>63</v>
      </c>
      <c r="N1489" s="30" t="s">
        <v>142</v>
      </c>
      <c r="O1489" s="30" t="s">
        <v>64</v>
      </c>
      <c r="P1489" s="89" t="s">
        <v>1216</v>
      </c>
      <c r="Q1489" s="89" t="s">
        <v>2906</v>
      </c>
      <c r="R1489" s="89" t="s">
        <v>382</v>
      </c>
      <c r="S1489" s="30">
        <v>1</v>
      </c>
      <c r="T1489" s="233">
        <v>0</v>
      </c>
      <c r="U1489" s="30">
        <v>0</v>
      </c>
      <c r="V1489" s="233">
        <v>0</v>
      </c>
      <c r="W1489" s="30">
        <v>0</v>
      </c>
      <c r="X1489" s="30">
        <v>1</v>
      </c>
      <c r="Y1489" s="30">
        <v>0</v>
      </c>
      <c r="Z1489" s="233">
        <v>0</v>
      </c>
      <c r="AA1489" s="30">
        <v>0</v>
      </c>
      <c r="AB1489" s="30">
        <v>0</v>
      </c>
      <c r="AC1489" s="30">
        <v>0</v>
      </c>
      <c r="AD1489" s="30">
        <v>0</v>
      </c>
      <c r="AE1489" s="89" t="s">
        <v>92</v>
      </c>
      <c r="AF1489" s="89"/>
      <c r="AG1489" s="89" t="s">
        <v>133</v>
      </c>
      <c r="AH1489" s="72">
        <v>41283</v>
      </c>
      <c r="AI1489" s="30">
        <v>5</v>
      </c>
      <c r="AJ1489" s="89" t="s">
        <v>8296</v>
      </c>
      <c r="AK1489" s="89" t="s">
        <v>8297</v>
      </c>
      <c r="AL1489" s="91">
        <v>41288</v>
      </c>
      <c r="AM1489" s="91"/>
      <c r="AN1489" s="91"/>
      <c r="AO1489" s="91"/>
      <c r="AP1489" s="73" t="e">
        <f>MID(VLOOKUP(K1489,#REF!,2,FALSE),1,2)</f>
        <v>#REF!</v>
      </c>
      <c r="AQ1489" s="89">
        <f>DATE(2013,1,7)</f>
        <v>41281</v>
      </c>
      <c r="AR1489" s="82">
        <f t="shared" si="98"/>
        <v>7</v>
      </c>
      <c r="AS1489" s="83">
        <f t="shared" si="99"/>
        <v>1</v>
      </c>
      <c r="AT1489" s="84">
        <f t="shared" si="100"/>
        <v>2013</v>
      </c>
      <c r="AU1489" s="86"/>
      <c r="AV1489" s="86"/>
      <c r="AW1489" s="87"/>
      <c r="AX1489" s="86"/>
      <c r="AY1489" s="83"/>
      <c r="AZ1489" s="84"/>
      <c r="BA1489" s="86"/>
      <c r="BB1489" s="86"/>
    </row>
    <row r="1490" spans="1:54" ht="36.75" customHeight="1">
      <c r="A1490" s="30"/>
      <c r="B1490" s="30" t="s">
        <v>55</v>
      </c>
      <c r="C1490" s="69" t="str">
        <f t="shared" si="97"/>
        <v>Closed</v>
      </c>
      <c r="D1490" s="27" t="s">
        <v>8298</v>
      </c>
      <c r="E1490" s="29" t="s">
        <v>8299</v>
      </c>
      <c r="F1490" s="30" t="s">
        <v>233</v>
      </c>
      <c r="G1490" s="89">
        <f>DATE(2013,1,8)</f>
        <v>41282</v>
      </c>
      <c r="H1490" s="90">
        <v>1.5902777777777777</v>
      </c>
      <c r="I1490" s="30" t="s">
        <v>125</v>
      </c>
      <c r="J1490" s="89" t="s">
        <v>8300</v>
      </c>
      <c r="K1490" s="30" t="s">
        <v>235</v>
      </c>
      <c r="L1490" s="30" t="s">
        <v>8301</v>
      </c>
      <c r="M1490" s="30" t="s">
        <v>129</v>
      </c>
      <c r="N1490" s="30" t="s">
        <v>142</v>
      </c>
      <c r="O1490" s="30" t="s">
        <v>64</v>
      </c>
      <c r="P1490" s="89" t="s">
        <v>129</v>
      </c>
      <c r="Q1490" s="89" t="s">
        <v>7399</v>
      </c>
      <c r="R1490" s="89">
        <v>0</v>
      </c>
      <c r="S1490" s="30">
        <v>0</v>
      </c>
      <c r="T1490" s="233">
        <v>0</v>
      </c>
      <c r="U1490" s="30">
        <v>0</v>
      </c>
      <c r="V1490" s="233">
        <v>0</v>
      </c>
      <c r="W1490" s="30">
        <v>0</v>
      </c>
      <c r="X1490" s="30">
        <v>0</v>
      </c>
      <c r="Y1490" s="30">
        <v>0</v>
      </c>
      <c r="Z1490" s="233">
        <v>0</v>
      </c>
      <c r="AA1490" s="30">
        <v>0</v>
      </c>
      <c r="AB1490" s="30">
        <v>0</v>
      </c>
      <c r="AC1490" s="30">
        <v>0</v>
      </c>
      <c r="AD1490" s="30">
        <v>0</v>
      </c>
      <c r="AE1490" s="89" t="s">
        <v>92</v>
      </c>
      <c r="AF1490" s="89"/>
      <c r="AG1490" s="89" t="s">
        <v>133</v>
      </c>
      <c r="AH1490" s="72">
        <v>41316</v>
      </c>
      <c r="AI1490" s="30">
        <v>3</v>
      </c>
      <c r="AJ1490" s="89" t="s">
        <v>8302</v>
      </c>
      <c r="AK1490" s="89" t="s">
        <v>8303</v>
      </c>
      <c r="AL1490" s="91">
        <v>41325</v>
      </c>
      <c r="AM1490" s="91"/>
      <c r="AN1490" s="91"/>
      <c r="AO1490" s="91"/>
      <c r="AP1490" s="73" t="e">
        <f>MID(VLOOKUP(K1490,#REF!,2,FALSE),1,2)</f>
        <v>#REF!</v>
      </c>
      <c r="AQ1490" s="89">
        <f>DATE(2013,1,8)</f>
        <v>41282</v>
      </c>
      <c r="AR1490" s="82">
        <f t="shared" si="98"/>
        <v>8</v>
      </c>
      <c r="AS1490" s="83">
        <f t="shared" si="99"/>
        <v>1</v>
      </c>
      <c r="AT1490" s="84">
        <f t="shared" si="100"/>
        <v>2013</v>
      </c>
      <c r="AU1490" s="86"/>
      <c r="AV1490" s="86"/>
      <c r="AW1490" s="87"/>
      <c r="AX1490" s="86"/>
      <c r="AY1490" s="83"/>
      <c r="AZ1490" s="84"/>
      <c r="BA1490" s="86"/>
      <c r="BB1490" s="86"/>
    </row>
    <row r="1491" spans="1:54" ht="36.75" customHeight="1">
      <c r="A1491" s="30"/>
      <c r="B1491" s="30" t="s">
        <v>55</v>
      </c>
      <c r="C1491" s="69" t="str">
        <f t="shared" si="97"/>
        <v>Closed</v>
      </c>
      <c r="D1491" s="27" t="s">
        <v>8304</v>
      </c>
      <c r="E1491" s="29" t="s">
        <v>8305</v>
      </c>
      <c r="F1491" s="30" t="s">
        <v>582</v>
      </c>
      <c r="G1491" s="89">
        <f>DATE(2013,1,9)</f>
        <v>41283</v>
      </c>
      <c r="H1491" s="90">
        <v>1.71875</v>
      </c>
      <c r="I1491" s="30" t="s">
        <v>116</v>
      </c>
      <c r="J1491" s="89" t="s">
        <v>8306</v>
      </c>
      <c r="K1491" s="30" t="s">
        <v>584</v>
      </c>
      <c r="L1491" s="30" t="s">
        <v>8307</v>
      </c>
      <c r="M1491" s="30" t="s">
        <v>63</v>
      </c>
      <c r="N1491" s="30" t="s">
        <v>99</v>
      </c>
      <c r="O1491" s="30" t="s">
        <v>64</v>
      </c>
      <c r="P1491" s="89" t="s">
        <v>6941</v>
      </c>
      <c r="Q1491" s="89" t="s">
        <v>8308</v>
      </c>
      <c r="R1491" s="89" t="s">
        <v>587</v>
      </c>
      <c r="S1491" s="30">
        <v>0</v>
      </c>
      <c r="T1491" s="233">
        <v>0</v>
      </c>
      <c r="U1491" s="30">
        <v>1</v>
      </c>
      <c r="V1491" s="233">
        <v>0</v>
      </c>
      <c r="W1491" s="30">
        <v>0</v>
      </c>
      <c r="X1491" s="30">
        <v>1</v>
      </c>
      <c r="Y1491" s="30">
        <v>0</v>
      </c>
      <c r="Z1491" s="233">
        <v>0</v>
      </c>
      <c r="AA1491" s="30">
        <v>2</v>
      </c>
      <c r="AB1491" s="30">
        <v>0</v>
      </c>
      <c r="AC1491" s="30">
        <v>0</v>
      </c>
      <c r="AD1491" s="30">
        <v>2</v>
      </c>
      <c r="AE1491" s="89" t="s">
        <v>394</v>
      </c>
      <c r="AF1491" s="89"/>
      <c r="AG1491" s="89" t="s">
        <v>82</v>
      </c>
      <c r="AH1491" s="72">
        <v>41290</v>
      </c>
      <c r="AI1491" s="30">
        <v>7</v>
      </c>
      <c r="AJ1491" s="89" t="s">
        <v>8309</v>
      </c>
      <c r="AK1491" s="89" t="s">
        <v>1233</v>
      </c>
      <c r="AL1491" s="91">
        <v>41291</v>
      </c>
      <c r="AM1491" s="91"/>
      <c r="AN1491" s="91"/>
      <c r="AO1491" s="91"/>
      <c r="AP1491" s="73" t="e">
        <f>MID(VLOOKUP(K1491,#REF!,2,FALSE),1,2)</f>
        <v>#REF!</v>
      </c>
      <c r="AQ1491" s="89">
        <f>DATE(2013,1,9)</f>
        <v>41283</v>
      </c>
      <c r="AR1491" s="82">
        <f t="shared" si="98"/>
        <v>9</v>
      </c>
      <c r="AS1491" s="83">
        <f t="shared" si="99"/>
        <v>1</v>
      </c>
      <c r="AT1491" s="84">
        <f t="shared" si="100"/>
        <v>2013</v>
      </c>
      <c r="AU1491" s="86"/>
      <c r="AV1491" s="86"/>
      <c r="AW1491" s="87"/>
      <c r="AX1491" s="86"/>
      <c r="AY1491" s="83"/>
      <c r="AZ1491" s="84"/>
      <c r="BA1491" s="86"/>
      <c r="BB1491" s="86"/>
    </row>
    <row r="1492" spans="1:54" ht="36.75" customHeight="1">
      <c r="A1492" s="30"/>
      <c r="B1492" s="30" t="s">
        <v>55</v>
      </c>
      <c r="C1492" s="69" t="str">
        <f t="shared" si="97"/>
        <v>Closed</v>
      </c>
      <c r="D1492" s="27" t="s">
        <v>8310</v>
      </c>
      <c r="E1492" s="29" t="s">
        <v>8311</v>
      </c>
      <c r="F1492" s="30" t="s">
        <v>638</v>
      </c>
      <c r="G1492" s="89">
        <f>DATE(2013,1,9)</f>
        <v>41283</v>
      </c>
      <c r="H1492" s="90">
        <v>1.4736111111111112</v>
      </c>
      <c r="I1492" s="30" t="s">
        <v>73</v>
      </c>
      <c r="J1492" s="89" t="s">
        <v>8312</v>
      </c>
      <c r="K1492" s="30" t="s">
        <v>640</v>
      </c>
      <c r="L1492" s="30" t="s">
        <v>8313</v>
      </c>
      <c r="M1492" s="30" t="s">
        <v>63</v>
      </c>
      <c r="N1492" s="30" t="s">
        <v>99</v>
      </c>
      <c r="O1492" s="30" t="s">
        <v>77</v>
      </c>
      <c r="P1492" s="89" t="s">
        <v>165</v>
      </c>
      <c r="Q1492" s="89" t="s">
        <v>642</v>
      </c>
      <c r="R1492" s="89" t="s">
        <v>643</v>
      </c>
      <c r="S1492" s="30">
        <v>0</v>
      </c>
      <c r="T1492" s="233">
        <v>0</v>
      </c>
      <c r="U1492" s="30">
        <v>0</v>
      </c>
      <c r="V1492" s="233">
        <v>0</v>
      </c>
      <c r="W1492" s="30">
        <v>0</v>
      </c>
      <c r="X1492" s="30">
        <v>0</v>
      </c>
      <c r="Y1492" s="30">
        <v>0</v>
      </c>
      <c r="Z1492" s="233">
        <v>0</v>
      </c>
      <c r="AA1492" s="30">
        <v>0</v>
      </c>
      <c r="AB1492" s="30">
        <v>0</v>
      </c>
      <c r="AC1492" s="30">
        <v>0</v>
      </c>
      <c r="AD1492" s="30">
        <v>0</v>
      </c>
      <c r="AE1492" s="89" t="s">
        <v>92</v>
      </c>
      <c r="AF1492" s="89"/>
      <c r="AG1492" s="89" t="s">
        <v>352</v>
      </c>
      <c r="AH1492" s="72">
        <v>41303</v>
      </c>
      <c r="AI1492" s="30">
        <v>1</v>
      </c>
      <c r="AJ1492" s="89" t="s">
        <v>8314</v>
      </c>
      <c r="AK1492" s="89" t="s">
        <v>68</v>
      </c>
      <c r="AL1492" s="91">
        <v>41306</v>
      </c>
      <c r="AM1492" s="91"/>
      <c r="AN1492" s="91"/>
      <c r="AO1492" s="91"/>
      <c r="AP1492" s="73" t="e">
        <f>MID(VLOOKUP(K1492,#REF!,2,FALSE),1,2)</f>
        <v>#REF!</v>
      </c>
      <c r="AQ1492" s="89">
        <f>DATE(2013,1,9)</f>
        <v>41283</v>
      </c>
      <c r="AR1492" s="82">
        <f t="shared" si="98"/>
        <v>9</v>
      </c>
      <c r="AS1492" s="83">
        <f t="shared" si="99"/>
        <v>1</v>
      </c>
      <c r="AT1492" s="84">
        <f t="shared" si="100"/>
        <v>2013</v>
      </c>
      <c r="AU1492" s="86"/>
      <c r="AV1492" s="86"/>
      <c r="AW1492" s="87"/>
      <c r="AX1492" s="86"/>
      <c r="AY1492" s="83"/>
      <c r="AZ1492" s="84"/>
      <c r="BA1492" s="86"/>
      <c r="BB1492" s="86"/>
    </row>
    <row r="1493" spans="1:54" ht="36.75" customHeight="1">
      <c r="A1493" s="30"/>
      <c r="B1493" s="30" t="s">
        <v>55</v>
      </c>
      <c r="C1493" s="69" t="str">
        <f t="shared" si="97"/>
        <v>Closed</v>
      </c>
      <c r="D1493" s="27" t="s">
        <v>8315</v>
      </c>
      <c r="E1493" s="29" t="s">
        <v>8316</v>
      </c>
      <c r="F1493" s="30" t="s">
        <v>124</v>
      </c>
      <c r="G1493" s="89">
        <f>DATE(2013,1,9)</f>
        <v>41283</v>
      </c>
      <c r="H1493" s="90">
        <v>1.7916666666666665</v>
      </c>
      <c r="I1493" s="30" t="s">
        <v>198</v>
      </c>
      <c r="J1493" s="89" t="s">
        <v>8317</v>
      </c>
      <c r="K1493" s="30" t="s">
        <v>127</v>
      </c>
      <c r="L1493" s="30" t="s">
        <v>7972</v>
      </c>
      <c r="M1493" s="30" t="s">
        <v>63</v>
      </c>
      <c r="N1493" s="30" t="s">
        <v>89</v>
      </c>
      <c r="O1493" s="30" t="s">
        <v>90</v>
      </c>
      <c r="P1493" s="89" t="s">
        <v>91</v>
      </c>
      <c r="Q1493" s="89" t="s">
        <v>401</v>
      </c>
      <c r="R1493" s="89" t="s">
        <v>167</v>
      </c>
      <c r="S1493" s="30">
        <v>0</v>
      </c>
      <c r="T1493" s="233">
        <v>0</v>
      </c>
      <c r="U1493" s="30">
        <v>0</v>
      </c>
      <c r="V1493" s="233">
        <v>0</v>
      </c>
      <c r="W1493" s="30">
        <v>0</v>
      </c>
      <c r="X1493" s="30">
        <v>0</v>
      </c>
      <c r="Y1493" s="30">
        <v>0</v>
      </c>
      <c r="Z1493" s="233">
        <v>1</v>
      </c>
      <c r="AA1493" s="30">
        <v>0</v>
      </c>
      <c r="AB1493" s="30">
        <v>0</v>
      </c>
      <c r="AC1493" s="30">
        <v>0</v>
      </c>
      <c r="AD1493" s="30">
        <v>1</v>
      </c>
      <c r="AE1493" s="89" t="s">
        <v>394</v>
      </c>
      <c r="AF1493" s="89"/>
      <c r="AG1493" s="89" t="s">
        <v>133</v>
      </c>
      <c r="AH1493" s="72">
        <v>41296</v>
      </c>
      <c r="AI1493" s="30">
        <v>2</v>
      </c>
      <c r="AJ1493" s="89" t="s">
        <v>8318</v>
      </c>
      <c r="AK1493" s="89" t="s">
        <v>68</v>
      </c>
      <c r="AL1493" s="91">
        <v>41296</v>
      </c>
      <c r="AM1493" s="91"/>
      <c r="AN1493" s="91"/>
      <c r="AO1493" s="91"/>
      <c r="AP1493" s="73" t="e">
        <f>MID(VLOOKUP(K1493,#REF!,2,FALSE),1,2)</f>
        <v>#REF!</v>
      </c>
      <c r="AQ1493" s="89">
        <f>DATE(2013,1,9)</f>
        <v>41283</v>
      </c>
      <c r="AR1493" s="82">
        <f t="shared" si="98"/>
        <v>9</v>
      </c>
      <c r="AS1493" s="83">
        <f t="shared" si="99"/>
        <v>1</v>
      </c>
      <c r="AT1493" s="84">
        <f t="shared" si="100"/>
        <v>2013</v>
      </c>
      <c r="AU1493" s="86"/>
      <c r="AV1493" s="86"/>
      <c r="AW1493" s="87"/>
      <c r="AX1493" s="86"/>
      <c r="AY1493" s="83"/>
      <c r="AZ1493" s="84"/>
      <c r="BA1493" s="86"/>
      <c r="BB1493" s="86"/>
    </row>
    <row r="1494" spans="1:54" ht="36.75" customHeight="1">
      <c r="A1494" s="30"/>
      <c r="B1494" s="30" t="s">
        <v>55</v>
      </c>
      <c r="C1494" s="69" t="str">
        <f t="shared" si="97"/>
        <v>Closed</v>
      </c>
      <c r="D1494" s="27" t="s">
        <v>8319</v>
      </c>
      <c r="E1494" s="29" t="s">
        <v>8320</v>
      </c>
      <c r="F1494" s="30" t="s">
        <v>423</v>
      </c>
      <c r="G1494" s="89">
        <f>DATE(2013,1,13)</f>
        <v>41287</v>
      </c>
      <c r="H1494" s="90">
        <v>1.7854166666666669</v>
      </c>
      <c r="I1494" s="30" t="s">
        <v>73</v>
      </c>
      <c r="J1494" s="89" t="s">
        <v>8321</v>
      </c>
      <c r="K1494" s="30" t="s">
        <v>425</v>
      </c>
      <c r="L1494" s="30" t="s">
        <v>8322</v>
      </c>
      <c r="M1494" s="30" t="s">
        <v>63</v>
      </c>
      <c r="N1494" s="30" t="s">
        <v>99</v>
      </c>
      <c r="O1494" s="30" t="s">
        <v>77</v>
      </c>
      <c r="P1494" s="89" t="s">
        <v>165</v>
      </c>
      <c r="Q1494" s="89" t="s">
        <v>427</v>
      </c>
      <c r="R1494" s="89" t="s">
        <v>3103</v>
      </c>
      <c r="S1494" s="30">
        <v>0</v>
      </c>
      <c r="T1494" s="233">
        <v>0</v>
      </c>
      <c r="U1494" s="30">
        <v>0</v>
      </c>
      <c r="V1494" s="233">
        <v>0</v>
      </c>
      <c r="W1494" s="30">
        <v>0</v>
      </c>
      <c r="X1494" s="30">
        <v>0</v>
      </c>
      <c r="Y1494" s="30">
        <v>0</v>
      </c>
      <c r="Z1494" s="233">
        <v>0</v>
      </c>
      <c r="AA1494" s="30">
        <v>0</v>
      </c>
      <c r="AB1494" s="30">
        <v>0</v>
      </c>
      <c r="AC1494" s="30">
        <v>0</v>
      </c>
      <c r="AD1494" s="30">
        <v>0</v>
      </c>
      <c r="AE1494" s="89" t="s">
        <v>92</v>
      </c>
      <c r="AF1494" s="89"/>
      <c r="AG1494" s="89" t="s">
        <v>133</v>
      </c>
      <c r="AH1494" s="72">
        <v>41296</v>
      </c>
      <c r="AI1494" s="30">
        <v>3</v>
      </c>
      <c r="AJ1494" s="89" t="s">
        <v>8323</v>
      </c>
      <c r="AK1494" s="89" t="s">
        <v>8324</v>
      </c>
      <c r="AL1494" s="91">
        <v>41296</v>
      </c>
      <c r="AM1494" s="91"/>
      <c r="AN1494" s="91"/>
      <c r="AO1494" s="91"/>
      <c r="AP1494" s="73" t="e">
        <f>MID(VLOOKUP(K1494,#REF!,2,FALSE),1,2)</f>
        <v>#REF!</v>
      </c>
      <c r="AQ1494" s="89">
        <f>DATE(2013,1,13)</f>
        <v>41287</v>
      </c>
      <c r="AR1494" s="82">
        <f t="shared" si="98"/>
        <v>13</v>
      </c>
      <c r="AS1494" s="83">
        <f t="shared" si="99"/>
        <v>1</v>
      </c>
      <c r="AT1494" s="84">
        <f t="shared" si="100"/>
        <v>2013</v>
      </c>
      <c r="AU1494" s="86"/>
      <c r="AV1494" s="86"/>
      <c r="AW1494" s="87"/>
      <c r="AX1494" s="86"/>
      <c r="AY1494" s="83"/>
      <c r="AZ1494" s="84"/>
      <c r="BA1494" s="86"/>
      <c r="BB1494" s="86"/>
    </row>
    <row r="1495" spans="1:54" ht="36.75" customHeight="1">
      <c r="A1495" s="30"/>
      <c r="B1495" s="30" t="s">
        <v>55</v>
      </c>
      <c r="C1495" s="69" t="str">
        <f t="shared" si="97"/>
        <v>Closed</v>
      </c>
      <c r="D1495" s="27" t="s">
        <v>8325</v>
      </c>
      <c r="E1495" s="29" t="s">
        <v>8326</v>
      </c>
      <c r="F1495" s="30" t="s">
        <v>423</v>
      </c>
      <c r="G1495" s="89">
        <f>DATE(2013,1,14)</f>
        <v>41288</v>
      </c>
      <c r="H1495" s="90">
        <v>1.7756944444444445</v>
      </c>
      <c r="I1495" s="30" t="s">
        <v>278</v>
      </c>
      <c r="J1495" s="89" t="s">
        <v>8327</v>
      </c>
      <c r="K1495" s="30" t="s">
        <v>425</v>
      </c>
      <c r="L1495" s="30" t="s">
        <v>8328</v>
      </c>
      <c r="M1495" s="30" t="s">
        <v>63</v>
      </c>
      <c r="N1495" s="30" t="s">
        <v>142</v>
      </c>
      <c r="O1495" s="30" t="s">
        <v>77</v>
      </c>
      <c r="P1495" s="89" t="s">
        <v>165</v>
      </c>
      <c r="Q1495" s="89" t="s">
        <v>427</v>
      </c>
      <c r="R1495" s="89" t="s">
        <v>3103</v>
      </c>
      <c r="S1495" s="30">
        <v>0</v>
      </c>
      <c r="T1495" s="233">
        <v>0</v>
      </c>
      <c r="U1495" s="30">
        <v>0</v>
      </c>
      <c r="V1495" s="233">
        <v>0</v>
      </c>
      <c r="W1495" s="30">
        <v>0</v>
      </c>
      <c r="X1495" s="30">
        <v>0</v>
      </c>
      <c r="Y1495" s="30">
        <v>1</v>
      </c>
      <c r="Z1495" s="233">
        <v>0</v>
      </c>
      <c r="AA1495" s="30">
        <v>0</v>
      </c>
      <c r="AB1495" s="30">
        <v>0</v>
      </c>
      <c r="AC1495" s="30">
        <v>0</v>
      </c>
      <c r="AD1495" s="30">
        <v>1</v>
      </c>
      <c r="AE1495" s="89" t="s">
        <v>92</v>
      </c>
      <c r="AF1495" s="89"/>
      <c r="AG1495" s="89" t="s">
        <v>133</v>
      </c>
      <c r="AH1495" s="72">
        <v>41291</v>
      </c>
      <c r="AI1495" s="30">
        <v>5</v>
      </c>
      <c r="AJ1495" s="89" t="s">
        <v>8329</v>
      </c>
      <c r="AK1495" s="89" t="s">
        <v>8330</v>
      </c>
      <c r="AL1495" s="91">
        <v>41296</v>
      </c>
      <c r="AM1495" s="91"/>
      <c r="AN1495" s="91"/>
      <c r="AO1495" s="91"/>
      <c r="AP1495" s="73" t="e">
        <f>MID(VLOOKUP(K1495,#REF!,2,FALSE),1,2)</f>
        <v>#REF!</v>
      </c>
      <c r="AQ1495" s="89">
        <f>DATE(2013,1,14)</f>
        <v>41288</v>
      </c>
      <c r="AR1495" s="82">
        <f t="shared" si="98"/>
        <v>14</v>
      </c>
      <c r="AS1495" s="83">
        <f t="shared" si="99"/>
        <v>1</v>
      </c>
      <c r="AT1495" s="84">
        <f t="shared" si="100"/>
        <v>2013</v>
      </c>
      <c r="AU1495" s="86"/>
      <c r="AV1495" s="86"/>
      <c r="AW1495" s="87"/>
      <c r="AX1495" s="86"/>
      <c r="AY1495" s="83"/>
      <c r="AZ1495" s="84"/>
      <c r="BA1495" s="86"/>
      <c r="BB1495" s="86"/>
    </row>
    <row r="1496" spans="1:54" ht="36.75" customHeight="1">
      <c r="A1496" s="30"/>
      <c r="B1496" s="30" t="s">
        <v>55</v>
      </c>
      <c r="C1496" s="69" t="str">
        <f t="shared" si="97"/>
        <v>Closed</v>
      </c>
      <c r="D1496" s="27" t="s">
        <v>8331</v>
      </c>
      <c r="E1496" s="29" t="s">
        <v>8332</v>
      </c>
      <c r="F1496" s="30" t="s">
        <v>138</v>
      </c>
      <c r="G1496" s="89">
        <f>DATE(2013,1,15)</f>
        <v>41289</v>
      </c>
      <c r="H1496" s="90">
        <v>1.1000000000000001</v>
      </c>
      <c r="I1496" s="30" t="s">
        <v>73</v>
      </c>
      <c r="J1496" s="89" t="s">
        <v>8333</v>
      </c>
      <c r="K1496" s="30" t="s">
        <v>140</v>
      </c>
      <c r="L1496" s="30" t="s">
        <v>8334</v>
      </c>
      <c r="M1496" s="30" t="s">
        <v>63</v>
      </c>
      <c r="N1496" s="30" t="s">
        <v>142</v>
      </c>
      <c r="O1496" s="30" t="s">
        <v>64</v>
      </c>
      <c r="P1496" s="89" t="s">
        <v>86</v>
      </c>
      <c r="Q1496" s="89">
        <v>0</v>
      </c>
      <c r="R1496" s="89">
        <v>0</v>
      </c>
      <c r="S1496" s="30">
        <v>0</v>
      </c>
      <c r="T1496" s="233">
        <v>0</v>
      </c>
      <c r="U1496" s="30">
        <v>0</v>
      </c>
      <c r="V1496" s="233">
        <v>0</v>
      </c>
      <c r="W1496" s="30">
        <v>0</v>
      </c>
      <c r="X1496" s="30">
        <v>0</v>
      </c>
      <c r="Y1496" s="30">
        <v>0</v>
      </c>
      <c r="Z1496" s="233">
        <v>0</v>
      </c>
      <c r="AA1496" s="30">
        <v>0</v>
      </c>
      <c r="AB1496" s="30">
        <v>0</v>
      </c>
      <c r="AC1496" s="30">
        <v>1</v>
      </c>
      <c r="AD1496" s="30">
        <v>1</v>
      </c>
      <c r="AE1496" s="89" t="s">
        <v>394</v>
      </c>
      <c r="AF1496" s="89"/>
      <c r="AG1496" s="89" t="s">
        <v>82</v>
      </c>
      <c r="AH1496" s="72">
        <v>41289</v>
      </c>
      <c r="AI1496" s="30">
        <v>0</v>
      </c>
      <c r="AJ1496" s="89" t="s">
        <v>8335</v>
      </c>
      <c r="AK1496" s="89" t="s">
        <v>8336</v>
      </c>
      <c r="AL1496" s="91">
        <v>41837</v>
      </c>
      <c r="AM1496" s="91"/>
      <c r="AN1496" s="91"/>
      <c r="AO1496" s="91"/>
      <c r="AP1496" s="73" t="e">
        <f>MID(VLOOKUP(K1496,#REF!,2,FALSE),1,2)</f>
        <v>#REF!</v>
      </c>
      <c r="AQ1496" s="89">
        <f>DATE(2013,1,15)</f>
        <v>41289</v>
      </c>
      <c r="AR1496" s="82">
        <f t="shared" si="98"/>
        <v>15</v>
      </c>
      <c r="AS1496" s="83">
        <f t="shared" si="99"/>
        <v>1</v>
      </c>
      <c r="AT1496" s="84">
        <f t="shared" si="100"/>
        <v>2013</v>
      </c>
      <c r="AU1496" s="86"/>
      <c r="AV1496" s="86"/>
      <c r="AW1496" s="87"/>
      <c r="AX1496" s="86"/>
      <c r="AY1496" s="83"/>
      <c r="AZ1496" s="84"/>
      <c r="BA1496" s="86"/>
      <c r="BB1496" s="86"/>
    </row>
    <row r="1497" spans="1:54" ht="36.75" customHeight="1">
      <c r="A1497" s="30"/>
      <c r="B1497" s="30" t="s">
        <v>55</v>
      </c>
      <c r="C1497" s="69" t="str">
        <f t="shared" si="97"/>
        <v>Closed</v>
      </c>
      <c r="D1497" s="27" t="s">
        <v>8337</v>
      </c>
      <c r="E1497" s="29" t="s">
        <v>8338</v>
      </c>
      <c r="F1497" s="30" t="s">
        <v>197</v>
      </c>
      <c r="G1497" s="89">
        <f>DATE(2013,1,16)</f>
        <v>41290</v>
      </c>
      <c r="H1497" s="90">
        <v>1.2437499999999999</v>
      </c>
      <c r="I1497" s="30" t="s">
        <v>198</v>
      </c>
      <c r="J1497" s="89" t="s">
        <v>8339</v>
      </c>
      <c r="K1497" s="30" t="s">
        <v>200</v>
      </c>
      <c r="L1497" s="30" t="s">
        <v>8340</v>
      </c>
      <c r="M1497" s="30" t="s">
        <v>63</v>
      </c>
      <c r="N1497" s="30" t="s">
        <v>142</v>
      </c>
      <c r="O1497" s="30" t="s">
        <v>77</v>
      </c>
      <c r="P1497" s="89" t="s">
        <v>1216</v>
      </c>
      <c r="Q1497" s="89" t="s">
        <v>202</v>
      </c>
      <c r="R1497" s="89" t="s">
        <v>203</v>
      </c>
      <c r="S1497" s="30">
        <v>0</v>
      </c>
      <c r="T1497" s="233">
        <v>0</v>
      </c>
      <c r="U1497" s="30">
        <v>0</v>
      </c>
      <c r="V1497" s="233">
        <v>0</v>
      </c>
      <c r="W1497" s="30">
        <v>0</v>
      </c>
      <c r="X1497" s="30">
        <v>0</v>
      </c>
      <c r="Y1497" s="30">
        <v>0</v>
      </c>
      <c r="Z1497" s="233">
        <v>0</v>
      </c>
      <c r="AA1497" s="30">
        <v>0</v>
      </c>
      <c r="AB1497" s="30">
        <v>0</v>
      </c>
      <c r="AC1497" s="30">
        <v>0</v>
      </c>
      <c r="AD1497" s="30">
        <v>0</v>
      </c>
      <c r="AE1497" s="89" t="s">
        <v>394</v>
      </c>
      <c r="AF1497" s="89"/>
      <c r="AG1497" s="89" t="s">
        <v>133</v>
      </c>
      <c r="AH1497" s="72">
        <v>41290</v>
      </c>
      <c r="AI1497" s="30">
        <v>9</v>
      </c>
      <c r="AJ1497" s="89" t="s">
        <v>8341</v>
      </c>
      <c r="AK1497" s="89" t="s">
        <v>1233</v>
      </c>
      <c r="AL1497" s="91">
        <v>41330</v>
      </c>
      <c r="AM1497" s="91"/>
      <c r="AN1497" s="91"/>
      <c r="AO1497" s="91"/>
      <c r="AP1497" s="73" t="e">
        <f>MID(VLOOKUP(K1497,#REF!,2,FALSE),1,2)</f>
        <v>#REF!</v>
      </c>
      <c r="AQ1497" s="89">
        <f>DATE(2013,1,16)</f>
        <v>41290</v>
      </c>
      <c r="AR1497" s="82">
        <f t="shared" si="98"/>
        <v>16</v>
      </c>
      <c r="AS1497" s="83">
        <f t="shared" si="99"/>
        <v>1</v>
      </c>
      <c r="AT1497" s="84">
        <f t="shared" si="100"/>
        <v>2013</v>
      </c>
      <c r="AU1497" s="86"/>
      <c r="AV1497" s="86"/>
      <c r="AW1497" s="87"/>
      <c r="AX1497" s="86"/>
      <c r="AY1497" s="83"/>
      <c r="AZ1497" s="84"/>
      <c r="BA1497" s="86"/>
      <c r="BB1497" s="86"/>
    </row>
    <row r="1498" spans="1:54" ht="36.75" customHeight="1">
      <c r="A1498" s="30"/>
      <c r="B1498" s="30" t="s">
        <v>55</v>
      </c>
      <c r="C1498" s="69" t="str">
        <f t="shared" si="97"/>
        <v>Closed</v>
      </c>
      <c r="D1498" s="27" t="s">
        <v>8342</v>
      </c>
      <c r="E1498" s="29" t="s">
        <v>8343</v>
      </c>
      <c r="F1498" s="30" t="s">
        <v>197</v>
      </c>
      <c r="G1498" s="89">
        <f>DATE(2013,1,21)</f>
        <v>41295</v>
      </c>
      <c r="H1498" s="90">
        <v>1.3631944444444444</v>
      </c>
      <c r="I1498" s="30" t="s">
        <v>198</v>
      </c>
      <c r="J1498" s="89" t="s">
        <v>8344</v>
      </c>
      <c r="K1498" s="30" t="s">
        <v>200</v>
      </c>
      <c r="L1498" s="30" t="s">
        <v>8345</v>
      </c>
      <c r="M1498" s="30" t="s">
        <v>63</v>
      </c>
      <c r="N1498" s="30" t="s">
        <v>99</v>
      </c>
      <c r="O1498" s="30" t="s">
        <v>64</v>
      </c>
      <c r="P1498" s="89" t="s">
        <v>165</v>
      </c>
      <c r="Q1498" s="89" t="s">
        <v>202</v>
      </c>
      <c r="R1498" s="89" t="s">
        <v>203</v>
      </c>
      <c r="S1498" s="30">
        <v>0</v>
      </c>
      <c r="T1498" s="233">
        <v>0</v>
      </c>
      <c r="U1498" s="30">
        <v>0</v>
      </c>
      <c r="V1498" s="233">
        <v>0</v>
      </c>
      <c r="W1498" s="30">
        <v>0</v>
      </c>
      <c r="X1498" s="30">
        <v>0</v>
      </c>
      <c r="Y1498" s="30">
        <v>8</v>
      </c>
      <c r="Z1498" s="233">
        <v>1</v>
      </c>
      <c r="AA1498" s="30">
        <v>0</v>
      </c>
      <c r="AB1498" s="30">
        <v>0</v>
      </c>
      <c r="AC1498" s="30">
        <v>0</v>
      </c>
      <c r="AD1498" s="30">
        <v>9</v>
      </c>
      <c r="AE1498" s="89" t="s">
        <v>145</v>
      </c>
      <c r="AF1498" s="89"/>
      <c r="AG1498" s="89" t="s">
        <v>82</v>
      </c>
      <c r="AH1498" s="72">
        <v>41295</v>
      </c>
      <c r="AI1498" s="30">
        <v>7</v>
      </c>
      <c r="AJ1498" s="89" t="s">
        <v>8346</v>
      </c>
      <c r="AK1498" s="89" t="s">
        <v>1233</v>
      </c>
      <c r="AL1498" s="91">
        <v>41305</v>
      </c>
      <c r="AM1498" s="91"/>
      <c r="AN1498" s="91"/>
      <c r="AO1498" s="91"/>
      <c r="AP1498" s="73" t="e">
        <f>MID(VLOOKUP(K1498,#REF!,2,FALSE),1,2)</f>
        <v>#REF!</v>
      </c>
      <c r="AQ1498" s="89">
        <f>DATE(2013,1,21)</f>
        <v>41295</v>
      </c>
      <c r="AR1498" s="82">
        <f t="shared" si="98"/>
        <v>21</v>
      </c>
      <c r="AS1498" s="83">
        <f t="shared" si="99"/>
        <v>1</v>
      </c>
      <c r="AT1498" s="84">
        <f t="shared" si="100"/>
        <v>2013</v>
      </c>
      <c r="AU1498" s="86"/>
      <c r="AV1498" s="86"/>
      <c r="AW1498" s="87"/>
      <c r="AX1498" s="86"/>
      <c r="AY1498" s="83"/>
      <c r="AZ1498" s="84"/>
      <c r="BA1498" s="86"/>
      <c r="BB1498" s="86"/>
    </row>
    <row r="1499" spans="1:54" ht="36.75" customHeight="1">
      <c r="A1499" s="30"/>
      <c r="B1499" s="30" t="s">
        <v>55</v>
      </c>
      <c r="C1499" s="69" t="str">
        <f t="shared" si="97"/>
        <v>Closed</v>
      </c>
      <c r="D1499" s="27" t="s">
        <v>8347</v>
      </c>
      <c r="E1499" s="29" t="s">
        <v>8348</v>
      </c>
      <c r="F1499" s="30" t="s">
        <v>233</v>
      </c>
      <c r="G1499" s="89">
        <f>DATE(2013,1,21)</f>
        <v>41295</v>
      </c>
      <c r="H1499" s="90">
        <v>1.8458333333333332</v>
      </c>
      <c r="I1499" s="30" t="s">
        <v>73</v>
      </c>
      <c r="J1499" s="89" t="s">
        <v>8349</v>
      </c>
      <c r="K1499" s="30" t="s">
        <v>235</v>
      </c>
      <c r="L1499" s="30" t="s">
        <v>8350</v>
      </c>
      <c r="M1499" s="30" t="s">
        <v>63</v>
      </c>
      <c r="N1499" s="30" t="s">
        <v>142</v>
      </c>
      <c r="O1499" s="30" t="s">
        <v>64</v>
      </c>
      <c r="P1499" s="89" t="s">
        <v>78</v>
      </c>
      <c r="Q1499" s="89" t="s">
        <v>7308</v>
      </c>
      <c r="R1499" s="89" t="s">
        <v>238</v>
      </c>
      <c r="S1499" s="30">
        <v>0</v>
      </c>
      <c r="T1499" s="233">
        <v>0</v>
      </c>
      <c r="U1499" s="30">
        <v>0</v>
      </c>
      <c r="V1499" s="233">
        <v>0</v>
      </c>
      <c r="W1499" s="30">
        <v>0</v>
      </c>
      <c r="X1499" s="30">
        <v>0</v>
      </c>
      <c r="Y1499" s="30">
        <v>0</v>
      </c>
      <c r="Z1499" s="233">
        <v>0</v>
      </c>
      <c r="AA1499" s="30">
        <v>0</v>
      </c>
      <c r="AB1499" s="30">
        <v>0</v>
      </c>
      <c r="AC1499" s="30">
        <v>0</v>
      </c>
      <c r="AD1499" s="30">
        <v>0</v>
      </c>
      <c r="AE1499" s="89" t="s">
        <v>394</v>
      </c>
      <c r="AF1499" s="89"/>
      <c r="AG1499" s="89" t="s">
        <v>133</v>
      </c>
      <c r="AH1499" s="72">
        <v>41302</v>
      </c>
      <c r="AI1499" s="30">
        <v>2</v>
      </c>
      <c r="AJ1499" s="89" t="s">
        <v>8351</v>
      </c>
      <c r="AK1499" s="89" t="s">
        <v>8352</v>
      </c>
      <c r="AL1499" s="91">
        <v>41312</v>
      </c>
      <c r="AM1499" s="91"/>
      <c r="AN1499" s="91"/>
      <c r="AO1499" s="91"/>
      <c r="AP1499" s="73" t="e">
        <f>MID(VLOOKUP(K1499,#REF!,2,FALSE),1,2)</f>
        <v>#REF!</v>
      </c>
      <c r="AQ1499" s="89">
        <f>DATE(2013,1,21)</f>
        <v>41295</v>
      </c>
      <c r="AR1499" s="82">
        <f t="shared" si="98"/>
        <v>21</v>
      </c>
      <c r="AS1499" s="83">
        <f t="shared" si="99"/>
        <v>1</v>
      </c>
      <c r="AT1499" s="84">
        <f t="shared" si="100"/>
        <v>2013</v>
      </c>
      <c r="AU1499" s="86"/>
      <c r="AV1499" s="86"/>
      <c r="AW1499" s="87"/>
      <c r="AX1499" s="86"/>
      <c r="AY1499" s="83"/>
      <c r="AZ1499" s="84"/>
      <c r="BA1499" s="86"/>
      <c r="BB1499" s="86"/>
    </row>
    <row r="1500" spans="1:54" ht="36.75" customHeight="1">
      <c r="A1500" s="30"/>
      <c r="B1500" s="30" t="s">
        <v>55</v>
      </c>
      <c r="C1500" s="69" t="str">
        <f t="shared" si="97"/>
        <v>Closed</v>
      </c>
      <c r="D1500" s="27" t="s">
        <v>8353</v>
      </c>
      <c r="E1500" s="29" t="s">
        <v>8354</v>
      </c>
      <c r="F1500" s="30" t="s">
        <v>423</v>
      </c>
      <c r="G1500" s="89">
        <f>DATE(2013,1,22)</f>
        <v>41296</v>
      </c>
      <c r="H1500" s="90">
        <v>1.745138888888889</v>
      </c>
      <c r="I1500" s="30" t="s">
        <v>104</v>
      </c>
      <c r="J1500" s="89" t="s">
        <v>8355</v>
      </c>
      <c r="K1500" s="30" t="s">
        <v>425</v>
      </c>
      <c r="L1500" s="30" t="s">
        <v>8356</v>
      </c>
      <c r="M1500" s="30" t="s">
        <v>63</v>
      </c>
      <c r="N1500" s="30" t="s">
        <v>89</v>
      </c>
      <c r="O1500" s="30" t="s">
        <v>77</v>
      </c>
      <c r="P1500" s="89" t="s">
        <v>1216</v>
      </c>
      <c r="Q1500" s="89" t="s">
        <v>8357</v>
      </c>
      <c r="R1500" s="89" t="s">
        <v>3103</v>
      </c>
      <c r="S1500" s="30">
        <v>0</v>
      </c>
      <c r="T1500" s="233">
        <v>0</v>
      </c>
      <c r="U1500" s="30">
        <v>0</v>
      </c>
      <c r="V1500" s="233">
        <v>0</v>
      </c>
      <c r="W1500" s="30">
        <v>0</v>
      </c>
      <c r="X1500" s="30">
        <v>0</v>
      </c>
      <c r="Y1500" s="30">
        <v>0</v>
      </c>
      <c r="Z1500" s="233">
        <v>0</v>
      </c>
      <c r="AA1500" s="30">
        <v>0</v>
      </c>
      <c r="AB1500" s="30">
        <v>0</v>
      </c>
      <c r="AC1500" s="30">
        <v>0</v>
      </c>
      <c r="AD1500" s="30">
        <v>0</v>
      </c>
      <c r="AE1500" s="89" t="s">
        <v>92</v>
      </c>
      <c r="AF1500" s="89"/>
      <c r="AG1500" s="89" t="s">
        <v>133</v>
      </c>
      <c r="AH1500" s="72">
        <v>41396</v>
      </c>
      <c r="AI1500" s="30">
        <v>5</v>
      </c>
      <c r="AJ1500" s="89" t="s">
        <v>8358</v>
      </c>
      <c r="AK1500" s="89" t="s">
        <v>8359</v>
      </c>
      <c r="AL1500" s="91">
        <v>41310</v>
      </c>
      <c r="AM1500" s="91"/>
      <c r="AN1500" s="91"/>
      <c r="AO1500" s="91"/>
      <c r="AP1500" s="73" t="e">
        <f>MID(VLOOKUP(K1500,#REF!,2,FALSE),1,2)</f>
        <v>#REF!</v>
      </c>
      <c r="AQ1500" s="89">
        <f>DATE(2013,1,22)</f>
        <v>41296</v>
      </c>
      <c r="AR1500" s="82">
        <f t="shared" si="98"/>
        <v>22</v>
      </c>
      <c r="AS1500" s="83">
        <f t="shared" si="99"/>
        <v>1</v>
      </c>
      <c r="AT1500" s="84">
        <f t="shared" si="100"/>
        <v>2013</v>
      </c>
      <c r="AU1500" s="86"/>
      <c r="AV1500" s="86"/>
      <c r="AW1500" s="87"/>
      <c r="AX1500" s="86"/>
      <c r="AY1500" s="83"/>
      <c r="AZ1500" s="84"/>
      <c r="BA1500" s="86"/>
      <c r="BB1500" s="86"/>
    </row>
    <row r="1501" spans="1:54" ht="36.75" customHeight="1">
      <c r="A1501" s="30"/>
      <c r="B1501" s="30" t="s">
        <v>55</v>
      </c>
      <c r="C1501" s="69" t="str">
        <f t="shared" si="97"/>
        <v>Closed</v>
      </c>
      <c r="D1501" s="27" t="s">
        <v>8360</v>
      </c>
      <c r="E1501" s="29" t="s">
        <v>8361</v>
      </c>
      <c r="F1501" s="30" t="s">
        <v>624</v>
      </c>
      <c r="G1501" s="89">
        <f>DATE(2013,1,23)</f>
        <v>41297</v>
      </c>
      <c r="H1501" s="90">
        <v>1.8673611111111112</v>
      </c>
      <c r="I1501" s="30" t="s">
        <v>116</v>
      </c>
      <c r="J1501" s="89" t="s">
        <v>116</v>
      </c>
      <c r="K1501" s="30" t="s">
        <v>626</v>
      </c>
      <c r="L1501" s="30" t="s">
        <v>8362</v>
      </c>
      <c r="M1501" s="30" t="s">
        <v>63</v>
      </c>
      <c r="N1501" s="30" t="s">
        <v>142</v>
      </c>
      <c r="O1501" s="30" t="s">
        <v>64</v>
      </c>
      <c r="P1501" s="89" t="s">
        <v>462</v>
      </c>
      <c r="Q1501" s="89" t="s">
        <v>7181</v>
      </c>
      <c r="R1501" s="89" t="s">
        <v>629</v>
      </c>
      <c r="S1501" s="30">
        <v>0</v>
      </c>
      <c r="T1501" s="233">
        <v>1</v>
      </c>
      <c r="U1501" s="30">
        <v>0</v>
      </c>
      <c r="V1501" s="233">
        <v>0</v>
      </c>
      <c r="W1501" s="30">
        <v>0</v>
      </c>
      <c r="X1501" s="30">
        <v>1</v>
      </c>
      <c r="Y1501" s="30">
        <v>1</v>
      </c>
      <c r="Z1501" s="233">
        <v>0</v>
      </c>
      <c r="AA1501" s="30">
        <v>0</v>
      </c>
      <c r="AB1501" s="30">
        <v>0</v>
      </c>
      <c r="AC1501" s="30">
        <v>0</v>
      </c>
      <c r="AD1501" s="30">
        <v>1</v>
      </c>
      <c r="AE1501" s="89" t="s">
        <v>394</v>
      </c>
      <c r="AF1501" s="89"/>
      <c r="AG1501" s="89" t="s">
        <v>82</v>
      </c>
      <c r="AH1501" s="72">
        <v>41297</v>
      </c>
      <c r="AI1501" s="30">
        <v>1</v>
      </c>
      <c r="AJ1501" s="89" t="s">
        <v>8363</v>
      </c>
      <c r="AK1501" s="89" t="s">
        <v>68</v>
      </c>
      <c r="AL1501" s="91">
        <v>41400</v>
      </c>
      <c r="AM1501" s="91"/>
      <c r="AN1501" s="91"/>
      <c r="AO1501" s="91"/>
      <c r="AP1501" s="73" t="e">
        <f>MID(VLOOKUP(K1501,#REF!,2,FALSE),1,2)</f>
        <v>#REF!</v>
      </c>
      <c r="AQ1501" s="89">
        <f>DATE(2013,1,23)</f>
        <v>41297</v>
      </c>
      <c r="AR1501" s="82">
        <f t="shared" si="98"/>
        <v>23</v>
      </c>
      <c r="AS1501" s="83">
        <f t="shared" si="99"/>
        <v>1</v>
      </c>
      <c r="AT1501" s="84">
        <f t="shared" si="100"/>
        <v>2013</v>
      </c>
      <c r="AU1501" s="86"/>
      <c r="AV1501" s="86"/>
      <c r="AW1501" s="87"/>
      <c r="AX1501" s="86"/>
      <c r="AY1501" s="83"/>
      <c r="AZ1501" s="84"/>
      <c r="BA1501" s="86"/>
      <c r="BB1501" s="86"/>
    </row>
    <row r="1502" spans="1:54" ht="36.75" customHeight="1">
      <c r="A1502" s="30"/>
      <c r="B1502" s="30" t="s">
        <v>55</v>
      </c>
      <c r="C1502" s="69" t="str">
        <f t="shared" si="97"/>
        <v>Closed</v>
      </c>
      <c r="D1502" s="27" t="s">
        <v>8364</v>
      </c>
      <c r="E1502" s="29" t="s">
        <v>8365</v>
      </c>
      <c r="F1502" s="30" t="s">
        <v>233</v>
      </c>
      <c r="G1502" s="89">
        <f>DATE(2013,1,23)</f>
        <v>41297</v>
      </c>
      <c r="H1502" s="90">
        <v>1.6152777777777778</v>
      </c>
      <c r="I1502" s="30" t="s">
        <v>73</v>
      </c>
      <c r="J1502" s="89" t="s">
        <v>8366</v>
      </c>
      <c r="K1502" s="30" t="s">
        <v>235</v>
      </c>
      <c r="L1502" s="30" t="s">
        <v>8367</v>
      </c>
      <c r="M1502" s="30" t="s">
        <v>63</v>
      </c>
      <c r="N1502" s="30" t="s">
        <v>89</v>
      </c>
      <c r="O1502" s="30" t="s">
        <v>64</v>
      </c>
      <c r="P1502" s="89" t="s">
        <v>6941</v>
      </c>
      <c r="Q1502" s="89" t="s">
        <v>8368</v>
      </c>
      <c r="R1502" s="89" t="s">
        <v>238</v>
      </c>
      <c r="S1502" s="30">
        <v>0</v>
      </c>
      <c r="T1502" s="233">
        <v>0</v>
      </c>
      <c r="U1502" s="30">
        <v>0</v>
      </c>
      <c r="V1502" s="233">
        <v>0</v>
      </c>
      <c r="W1502" s="30">
        <v>0</v>
      </c>
      <c r="X1502" s="30">
        <v>0</v>
      </c>
      <c r="Y1502" s="30">
        <v>0</v>
      </c>
      <c r="Z1502" s="233">
        <v>0</v>
      </c>
      <c r="AA1502" s="30">
        <v>0</v>
      </c>
      <c r="AB1502" s="30">
        <v>0</v>
      </c>
      <c r="AC1502" s="30">
        <v>0</v>
      </c>
      <c r="AD1502" s="30">
        <v>0</v>
      </c>
      <c r="AE1502" s="89" t="s">
        <v>394</v>
      </c>
      <c r="AF1502" s="89"/>
      <c r="AG1502" s="89" t="s">
        <v>133</v>
      </c>
      <c r="AH1502" s="72">
        <v>41302</v>
      </c>
      <c r="AI1502" s="30">
        <v>3</v>
      </c>
      <c r="AJ1502" s="89" t="s">
        <v>8369</v>
      </c>
      <c r="AK1502" s="89" t="s">
        <v>8370</v>
      </c>
      <c r="AL1502" s="91">
        <v>41312</v>
      </c>
      <c r="AM1502" s="91"/>
      <c r="AN1502" s="91"/>
      <c r="AO1502" s="91"/>
      <c r="AP1502" s="73" t="e">
        <f>MID(VLOOKUP(K1502,#REF!,2,FALSE),1,2)</f>
        <v>#REF!</v>
      </c>
      <c r="AQ1502" s="89">
        <f>DATE(2013,1,23)</f>
        <v>41297</v>
      </c>
      <c r="AR1502" s="82">
        <f t="shared" si="98"/>
        <v>23</v>
      </c>
      <c r="AS1502" s="83">
        <f t="shared" si="99"/>
        <v>1</v>
      </c>
      <c r="AT1502" s="84">
        <f t="shared" si="100"/>
        <v>2013</v>
      </c>
      <c r="AU1502" s="86"/>
      <c r="AV1502" s="86"/>
      <c r="AW1502" s="87"/>
      <c r="AX1502" s="86"/>
      <c r="AY1502" s="83"/>
      <c r="AZ1502" s="84"/>
      <c r="BA1502" s="86"/>
      <c r="BB1502" s="86"/>
    </row>
    <row r="1503" spans="1:54" ht="36.75" customHeight="1">
      <c r="A1503" s="30"/>
      <c r="B1503" s="30" t="s">
        <v>55</v>
      </c>
      <c r="C1503" s="69" t="str">
        <f t="shared" si="97"/>
        <v>Closed</v>
      </c>
      <c r="D1503" s="27" t="s">
        <v>8371</v>
      </c>
      <c r="E1503" s="29" t="s">
        <v>8372</v>
      </c>
      <c r="F1503" s="30" t="s">
        <v>233</v>
      </c>
      <c r="G1503" s="89">
        <f>DATE(2013,1,23)</f>
        <v>41297</v>
      </c>
      <c r="H1503" s="90">
        <v>1.4166666666666667</v>
      </c>
      <c r="I1503" s="30" t="s">
        <v>73</v>
      </c>
      <c r="J1503" s="89" t="s">
        <v>8373</v>
      </c>
      <c r="K1503" s="30" t="s">
        <v>235</v>
      </c>
      <c r="L1503" s="30" t="s">
        <v>8374</v>
      </c>
      <c r="M1503" s="30" t="s">
        <v>63</v>
      </c>
      <c r="N1503" s="30" t="s">
        <v>89</v>
      </c>
      <c r="O1503" s="30" t="s">
        <v>64</v>
      </c>
      <c r="P1503" s="89" t="s">
        <v>65</v>
      </c>
      <c r="Q1503" s="89">
        <v>0</v>
      </c>
      <c r="R1503" s="89" t="s">
        <v>238</v>
      </c>
      <c r="S1503" s="30">
        <v>0</v>
      </c>
      <c r="T1503" s="233">
        <v>0</v>
      </c>
      <c r="U1503" s="30">
        <v>0</v>
      </c>
      <c r="V1503" s="233">
        <v>0</v>
      </c>
      <c r="W1503" s="30">
        <v>0</v>
      </c>
      <c r="X1503" s="30">
        <v>0</v>
      </c>
      <c r="Y1503" s="30">
        <v>0</v>
      </c>
      <c r="Z1503" s="233">
        <v>0</v>
      </c>
      <c r="AA1503" s="30">
        <v>0</v>
      </c>
      <c r="AB1503" s="30">
        <v>0</v>
      </c>
      <c r="AC1503" s="30">
        <v>0</v>
      </c>
      <c r="AD1503" s="30">
        <v>0</v>
      </c>
      <c r="AE1503" s="89" t="s">
        <v>92</v>
      </c>
      <c r="AF1503" s="89"/>
      <c r="AG1503" s="89" t="s">
        <v>133</v>
      </c>
      <c r="AH1503" s="72">
        <v>41309</v>
      </c>
      <c r="AI1503" s="30">
        <v>3</v>
      </c>
      <c r="AJ1503" s="89" t="s">
        <v>8375</v>
      </c>
      <c r="AK1503" s="89" t="s">
        <v>8376</v>
      </c>
      <c r="AL1503" s="91">
        <v>41313</v>
      </c>
      <c r="AM1503" s="91"/>
      <c r="AN1503" s="91"/>
      <c r="AO1503" s="91"/>
      <c r="AP1503" s="73" t="e">
        <f>MID(VLOOKUP(K1503,#REF!,2,FALSE),1,2)</f>
        <v>#REF!</v>
      </c>
      <c r="AQ1503" s="89">
        <f>DATE(2013,1,23)</f>
        <v>41297</v>
      </c>
      <c r="AR1503" s="82">
        <f t="shared" si="98"/>
        <v>23</v>
      </c>
      <c r="AS1503" s="83">
        <f t="shared" si="99"/>
        <v>1</v>
      </c>
      <c r="AT1503" s="84">
        <f t="shared" si="100"/>
        <v>2013</v>
      </c>
      <c r="AU1503" s="86"/>
      <c r="AV1503" s="86"/>
      <c r="AW1503" s="87"/>
      <c r="AX1503" s="86"/>
      <c r="AY1503" s="83"/>
      <c r="AZ1503" s="84"/>
      <c r="BA1503" s="86"/>
      <c r="BB1503" s="86"/>
    </row>
    <row r="1504" spans="1:54" ht="36.75" customHeight="1">
      <c r="A1504" s="30"/>
      <c r="B1504" s="30" t="s">
        <v>55</v>
      </c>
      <c r="C1504" s="69" t="str">
        <f t="shared" si="97"/>
        <v>Closed</v>
      </c>
      <c r="D1504" s="27" t="s">
        <v>8377</v>
      </c>
      <c r="E1504" s="29" t="s">
        <v>8378</v>
      </c>
      <c r="F1504" s="30" t="s">
        <v>115</v>
      </c>
      <c r="G1504" s="89">
        <f>DATE(2013,1,24)</f>
        <v>41298</v>
      </c>
      <c r="H1504" s="90">
        <v>1.8763888888888891</v>
      </c>
      <c r="I1504" s="30" t="s">
        <v>198</v>
      </c>
      <c r="J1504" s="89" t="s">
        <v>8379</v>
      </c>
      <c r="K1504" s="30" t="s">
        <v>118</v>
      </c>
      <c r="L1504" s="30" t="s">
        <v>8380</v>
      </c>
      <c r="M1504" s="30" t="s">
        <v>63</v>
      </c>
      <c r="N1504" s="30" t="s">
        <v>142</v>
      </c>
      <c r="O1504" s="30" t="s">
        <v>64</v>
      </c>
      <c r="P1504" s="89" t="s">
        <v>78</v>
      </c>
      <c r="Q1504" s="89" t="s">
        <v>120</v>
      </c>
      <c r="R1504" s="89" t="s">
        <v>121</v>
      </c>
      <c r="S1504" s="30">
        <v>0</v>
      </c>
      <c r="T1504" s="233">
        <v>0</v>
      </c>
      <c r="U1504" s="30">
        <v>0</v>
      </c>
      <c r="V1504" s="233">
        <v>0</v>
      </c>
      <c r="W1504" s="30">
        <v>0</v>
      </c>
      <c r="X1504" s="30">
        <v>0</v>
      </c>
      <c r="Y1504" s="30">
        <v>0</v>
      </c>
      <c r="Z1504" s="233">
        <v>0</v>
      </c>
      <c r="AA1504" s="30">
        <v>0</v>
      </c>
      <c r="AB1504" s="30">
        <v>0</v>
      </c>
      <c r="AC1504" s="30">
        <v>0</v>
      </c>
      <c r="AD1504" s="30">
        <v>0</v>
      </c>
      <c r="AE1504" s="89" t="s">
        <v>394</v>
      </c>
      <c r="AF1504" s="89"/>
      <c r="AG1504" s="89" t="s">
        <v>589</v>
      </c>
      <c r="AH1504" s="72">
        <v>41299</v>
      </c>
      <c r="AI1504" s="30">
        <v>3</v>
      </c>
      <c r="AJ1504" s="89" t="s">
        <v>8381</v>
      </c>
      <c r="AK1504" s="89" t="s">
        <v>8382</v>
      </c>
      <c r="AL1504" s="91">
        <v>41303</v>
      </c>
      <c r="AM1504" s="91"/>
      <c r="AN1504" s="91"/>
      <c r="AO1504" s="91"/>
      <c r="AP1504" s="73" t="e">
        <f>MID(VLOOKUP(K1504,#REF!,2,FALSE),1,2)</f>
        <v>#REF!</v>
      </c>
      <c r="AQ1504" s="89">
        <f>DATE(2013,1,24)</f>
        <v>41298</v>
      </c>
      <c r="AR1504" s="82">
        <f t="shared" si="98"/>
        <v>24</v>
      </c>
      <c r="AS1504" s="83">
        <f t="shared" si="99"/>
        <v>1</v>
      </c>
      <c r="AT1504" s="84">
        <f t="shared" si="100"/>
        <v>2013</v>
      </c>
      <c r="AU1504" s="86"/>
      <c r="AV1504" s="86"/>
      <c r="AW1504" s="87"/>
      <c r="AX1504" s="86"/>
      <c r="AY1504" s="83"/>
      <c r="AZ1504" s="84"/>
      <c r="BA1504" s="86"/>
      <c r="BB1504" s="86"/>
    </row>
    <row r="1505" spans="1:54" ht="36.75" customHeight="1">
      <c r="A1505" s="30"/>
      <c r="B1505" s="30" t="s">
        <v>55</v>
      </c>
      <c r="C1505" s="69" t="str">
        <f t="shared" si="97"/>
        <v>Closed</v>
      </c>
      <c r="D1505" s="27" t="s">
        <v>8383</v>
      </c>
      <c r="E1505" s="29" t="s">
        <v>8384</v>
      </c>
      <c r="F1505" s="30" t="s">
        <v>233</v>
      </c>
      <c r="G1505" s="89">
        <f>DATE(2013,1,24)</f>
        <v>41298</v>
      </c>
      <c r="H1505" s="90">
        <v>1.7340277777777779</v>
      </c>
      <c r="I1505" s="30" t="s">
        <v>116</v>
      </c>
      <c r="J1505" s="89" t="s">
        <v>8385</v>
      </c>
      <c r="K1505" s="30" t="s">
        <v>235</v>
      </c>
      <c r="L1505" s="30" t="s">
        <v>8386</v>
      </c>
      <c r="M1505" s="30" t="s">
        <v>63</v>
      </c>
      <c r="N1505" s="30" t="s">
        <v>89</v>
      </c>
      <c r="O1505" s="30" t="s">
        <v>64</v>
      </c>
      <c r="P1505" s="89" t="s">
        <v>6941</v>
      </c>
      <c r="Q1505" s="89">
        <v>0</v>
      </c>
      <c r="R1505" s="89" t="s">
        <v>238</v>
      </c>
      <c r="S1505" s="30">
        <v>0</v>
      </c>
      <c r="T1505" s="233">
        <v>0</v>
      </c>
      <c r="U1505" s="30">
        <v>1</v>
      </c>
      <c r="V1505" s="233">
        <v>0</v>
      </c>
      <c r="W1505" s="30">
        <v>0</v>
      </c>
      <c r="X1505" s="30">
        <v>1</v>
      </c>
      <c r="Y1505" s="30">
        <v>0</v>
      </c>
      <c r="Z1505" s="233">
        <v>0</v>
      </c>
      <c r="AA1505" s="30">
        <v>0</v>
      </c>
      <c r="AB1505" s="30">
        <v>0</v>
      </c>
      <c r="AC1505" s="30">
        <v>0</v>
      </c>
      <c r="AD1505" s="30">
        <v>0</v>
      </c>
      <c r="AE1505" s="89" t="s">
        <v>92</v>
      </c>
      <c r="AF1505" s="89"/>
      <c r="AG1505" s="89" t="s">
        <v>82</v>
      </c>
      <c r="AH1505" s="72">
        <v>41334</v>
      </c>
      <c r="AI1505" s="30">
        <v>4</v>
      </c>
      <c r="AJ1505" s="89" t="s">
        <v>8387</v>
      </c>
      <c r="AK1505" s="89" t="s">
        <v>8388</v>
      </c>
      <c r="AL1505" s="91">
        <v>41394</v>
      </c>
      <c r="AM1505" s="91"/>
      <c r="AN1505" s="91"/>
      <c r="AO1505" s="91"/>
      <c r="AP1505" s="73" t="e">
        <f>MID(VLOOKUP(K1505,#REF!,2,FALSE),1,2)</f>
        <v>#REF!</v>
      </c>
      <c r="AQ1505" s="89">
        <f>DATE(2013,1,24)</f>
        <v>41298</v>
      </c>
      <c r="AR1505" s="82">
        <f t="shared" si="98"/>
        <v>24</v>
      </c>
      <c r="AS1505" s="83">
        <f t="shared" si="99"/>
        <v>1</v>
      </c>
      <c r="AT1505" s="84">
        <f t="shared" si="100"/>
        <v>2013</v>
      </c>
      <c r="AU1505" s="86"/>
      <c r="AV1505" s="86"/>
      <c r="AW1505" s="87"/>
      <c r="AX1505" s="86"/>
      <c r="AY1505" s="83"/>
      <c r="AZ1505" s="84"/>
      <c r="BA1505" s="86"/>
      <c r="BB1505" s="86"/>
    </row>
    <row r="1506" spans="1:54" ht="36.75" customHeight="1">
      <c r="A1506" s="30"/>
      <c r="B1506" s="30" t="s">
        <v>55</v>
      </c>
      <c r="C1506" s="69" t="str">
        <f t="shared" si="97"/>
        <v>Closed</v>
      </c>
      <c r="D1506" s="27" t="s">
        <v>8389</v>
      </c>
      <c r="E1506" s="29" t="s">
        <v>8390</v>
      </c>
      <c r="F1506" s="30" t="s">
        <v>451</v>
      </c>
      <c r="G1506" s="89">
        <f>DATE(2013,1,26)</f>
        <v>41300</v>
      </c>
      <c r="H1506" s="90">
        <v>1.4312499999999999</v>
      </c>
      <c r="I1506" s="30" t="s">
        <v>116</v>
      </c>
      <c r="J1506" s="89" t="s">
        <v>8391</v>
      </c>
      <c r="K1506" s="30" t="s">
        <v>453</v>
      </c>
      <c r="L1506" s="30" t="s">
        <v>8392</v>
      </c>
      <c r="M1506" s="30" t="s">
        <v>63</v>
      </c>
      <c r="N1506" s="30" t="s">
        <v>99</v>
      </c>
      <c r="O1506" s="30" t="s">
        <v>64</v>
      </c>
      <c r="P1506" s="89" t="s">
        <v>165</v>
      </c>
      <c r="Q1506" s="89" t="s">
        <v>455</v>
      </c>
      <c r="R1506" s="89" t="s">
        <v>456</v>
      </c>
      <c r="S1506" s="30">
        <v>0</v>
      </c>
      <c r="T1506" s="233">
        <v>0</v>
      </c>
      <c r="U1506" s="30">
        <v>1</v>
      </c>
      <c r="V1506" s="233">
        <v>0</v>
      </c>
      <c r="W1506" s="30">
        <v>0</v>
      </c>
      <c r="X1506" s="30">
        <v>1</v>
      </c>
      <c r="Y1506" s="30">
        <v>0</v>
      </c>
      <c r="Z1506" s="233">
        <v>0</v>
      </c>
      <c r="AA1506" s="30">
        <v>0</v>
      </c>
      <c r="AB1506" s="30">
        <v>0</v>
      </c>
      <c r="AC1506" s="30">
        <v>0</v>
      </c>
      <c r="AD1506" s="30">
        <v>0</v>
      </c>
      <c r="AE1506" s="89" t="s">
        <v>92</v>
      </c>
      <c r="AF1506" s="89"/>
      <c r="AG1506" s="89" t="s">
        <v>82</v>
      </c>
      <c r="AH1506" s="72">
        <v>41300</v>
      </c>
      <c r="AI1506" s="30">
        <v>0</v>
      </c>
      <c r="AJ1506" s="89" t="s">
        <v>8393</v>
      </c>
      <c r="AK1506" s="89" t="s">
        <v>1233</v>
      </c>
      <c r="AL1506" s="91">
        <v>42831</v>
      </c>
      <c r="AM1506" s="91"/>
      <c r="AN1506" s="91"/>
      <c r="AO1506" s="91"/>
      <c r="AP1506" s="73" t="e">
        <f>MID(VLOOKUP(K1506,#REF!,2,FALSE),1,2)</f>
        <v>#REF!</v>
      </c>
      <c r="AQ1506" s="89">
        <f>DATE(2013,1,26)</f>
        <v>41300</v>
      </c>
      <c r="AR1506" s="82">
        <f t="shared" si="98"/>
        <v>26</v>
      </c>
      <c r="AS1506" s="83">
        <f t="shared" si="99"/>
        <v>1</v>
      </c>
      <c r="AT1506" s="84">
        <f t="shared" si="100"/>
        <v>2013</v>
      </c>
      <c r="AU1506" s="86"/>
      <c r="AV1506" s="86"/>
      <c r="AW1506" s="87"/>
      <c r="AX1506" s="86"/>
      <c r="AY1506" s="83"/>
      <c r="AZ1506" s="84"/>
      <c r="BA1506" s="86"/>
      <c r="BB1506" s="86"/>
    </row>
    <row r="1507" spans="1:54" ht="36.75" customHeight="1">
      <c r="A1507" s="30"/>
      <c r="B1507" s="30" t="s">
        <v>55</v>
      </c>
      <c r="C1507" s="69" t="str">
        <f t="shared" si="97"/>
        <v>Closed</v>
      </c>
      <c r="D1507" s="27" t="s">
        <v>8394</v>
      </c>
      <c r="E1507" s="29" t="s">
        <v>8395</v>
      </c>
      <c r="F1507" s="30" t="s">
        <v>423</v>
      </c>
      <c r="G1507" s="89">
        <f>DATE(2013,1,30)</f>
        <v>41304</v>
      </c>
      <c r="H1507" s="90">
        <v>1.2638888888888888</v>
      </c>
      <c r="I1507" s="30" t="s">
        <v>104</v>
      </c>
      <c r="J1507" s="89" t="s">
        <v>8396</v>
      </c>
      <c r="K1507" s="30" t="s">
        <v>425</v>
      </c>
      <c r="L1507" s="30" t="s">
        <v>8397</v>
      </c>
      <c r="M1507" s="30" t="s">
        <v>63</v>
      </c>
      <c r="N1507" s="30" t="s">
        <v>89</v>
      </c>
      <c r="O1507" s="30" t="s">
        <v>77</v>
      </c>
      <c r="P1507" s="89" t="s">
        <v>165</v>
      </c>
      <c r="Q1507" s="89" t="s">
        <v>427</v>
      </c>
      <c r="R1507" s="89" t="s">
        <v>3103</v>
      </c>
      <c r="S1507" s="30">
        <v>0</v>
      </c>
      <c r="T1507" s="233">
        <v>0</v>
      </c>
      <c r="U1507" s="30">
        <v>0</v>
      </c>
      <c r="V1507" s="233">
        <v>0</v>
      </c>
      <c r="W1507" s="30">
        <v>0</v>
      </c>
      <c r="X1507" s="30">
        <v>0</v>
      </c>
      <c r="Y1507" s="30">
        <v>0</v>
      </c>
      <c r="Z1507" s="233">
        <v>0</v>
      </c>
      <c r="AA1507" s="30">
        <v>0</v>
      </c>
      <c r="AB1507" s="30">
        <v>0</v>
      </c>
      <c r="AC1507" s="30">
        <v>0</v>
      </c>
      <c r="AD1507" s="30">
        <v>0</v>
      </c>
      <c r="AE1507" s="89" t="s">
        <v>92</v>
      </c>
      <c r="AF1507" s="89"/>
      <c r="AG1507" s="89" t="s">
        <v>133</v>
      </c>
      <c r="AH1507" s="72">
        <v>41396</v>
      </c>
      <c r="AI1507" s="30">
        <v>5</v>
      </c>
      <c r="AJ1507" s="89" t="s">
        <v>8398</v>
      </c>
      <c r="AK1507" s="89" t="s">
        <v>8399</v>
      </c>
      <c r="AL1507" s="91">
        <v>41310</v>
      </c>
      <c r="AM1507" s="91"/>
      <c r="AN1507" s="91"/>
      <c r="AO1507" s="91"/>
      <c r="AP1507" s="73" t="e">
        <f>MID(VLOOKUP(K1507,#REF!,2,FALSE),1,2)</f>
        <v>#REF!</v>
      </c>
      <c r="AQ1507" s="89">
        <f>DATE(2013,1,30)</f>
        <v>41304</v>
      </c>
      <c r="AR1507" s="82">
        <f t="shared" si="98"/>
        <v>30</v>
      </c>
      <c r="AS1507" s="83">
        <f t="shared" si="99"/>
        <v>1</v>
      </c>
      <c r="AT1507" s="84">
        <f t="shared" si="100"/>
        <v>2013</v>
      </c>
      <c r="AU1507" s="86"/>
      <c r="AV1507" s="86"/>
      <c r="AW1507" s="87"/>
      <c r="AX1507" s="86"/>
      <c r="AY1507" s="83"/>
      <c r="AZ1507" s="84"/>
      <c r="BA1507" s="86"/>
      <c r="BB1507" s="86"/>
    </row>
    <row r="1508" spans="1:54" ht="36.75" customHeight="1">
      <c r="A1508" s="30"/>
      <c r="B1508" s="30" t="s">
        <v>55</v>
      </c>
      <c r="C1508" s="69" t="str">
        <f t="shared" si="97"/>
        <v>Closed</v>
      </c>
      <c r="D1508" s="27" t="s">
        <v>8400</v>
      </c>
      <c r="E1508" s="29" t="s">
        <v>8401</v>
      </c>
      <c r="F1508" s="30" t="s">
        <v>638</v>
      </c>
      <c r="G1508" s="89">
        <f>DATE(2013,1,31)</f>
        <v>41305</v>
      </c>
      <c r="H1508" s="90">
        <v>1.65</v>
      </c>
      <c r="I1508" s="30" t="s">
        <v>73</v>
      </c>
      <c r="J1508" s="89" t="s">
        <v>8402</v>
      </c>
      <c r="K1508" s="30" t="s">
        <v>640</v>
      </c>
      <c r="L1508" s="30" t="s">
        <v>8403</v>
      </c>
      <c r="M1508" s="30" t="s">
        <v>63</v>
      </c>
      <c r="N1508" s="30" t="s">
        <v>99</v>
      </c>
      <c r="O1508" s="30" t="s">
        <v>64</v>
      </c>
      <c r="P1508" s="89" t="s">
        <v>78</v>
      </c>
      <c r="Q1508" s="89" t="s">
        <v>4904</v>
      </c>
      <c r="R1508" s="89" t="s">
        <v>643</v>
      </c>
      <c r="S1508" s="30">
        <v>0</v>
      </c>
      <c r="T1508" s="233">
        <v>0</v>
      </c>
      <c r="U1508" s="30">
        <v>0</v>
      </c>
      <c r="V1508" s="233">
        <v>0</v>
      </c>
      <c r="W1508" s="30">
        <v>0</v>
      </c>
      <c r="X1508" s="30">
        <v>0</v>
      </c>
      <c r="Y1508" s="30">
        <v>0</v>
      </c>
      <c r="Z1508" s="233">
        <v>0</v>
      </c>
      <c r="AA1508" s="30">
        <v>0</v>
      </c>
      <c r="AB1508" s="30">
        <v>0</v>
      </c>
      <c r="AC1508" s="30">
        <v>0</v>
      </c>
      <c r="AD1508" s="30">
        <v>0</v>
      </c>
      <c r="AE1508" s="89" t="s">
        <v>92</v>
      </c>
      <c r="AF1508" s="89"/>
      <c r="AG1508" s="89" t="s">
        <v>352</v>
      </c>
      <c r="AH1508" s="72">
        <v>41331</v>
      </c>
      <c r="AI1508" s="30">
        <v>2</v>
      </c>
      <c r="AJ1508" s="89" t="s">
        <v>8404</v>
      </c>
      <c r="AK1508" s="89" t="s">
        <v>68</v>
      </c>
      <c r="AL1508" s="91">
        <v>41338</v>
      </c>
      <c r="AM1508" s="91"/>
      <c r="AN1508" s="91"/>
      <c r="AO1508" s="91"/>
      <c r="AP1508" s="73" t="e">
        <f>MID(VLOOKUP(K1508,#REF!,2,FALSE),1,2)</f>
        <v>#REF!</v>
      </c>
      <c r="AQ1508" s="89">
        <f>DATE(2013,1,31)</f>
        <v>41305</v>
      </c>
      <c r="AR1508" s="82">
        <f t="shared" si="98"/>
        <v>31</v>
      </c>
      <c r="AS1508" s="83">
        <f t="shared" si="99"/>
        <v>1</v>
      </c>
      <c r="AT1508" s="84">
        <f t="shared" si="100"/>
        <v>2013</v>
      </c>
      <c r="AU1508" s="86"/>
      <c r="AV1508" s="86"/>
      <c r="AW1508" s="87"/>
      <c r="AX1508" s="86"/>
      <c r="AY1508" s="83"/>
      <c r="AZ1508" s="84"/>
      <c r="BA1508" s="86"/>
      <c r="BB1508" s="86"/>
    </row>
    <row r="1509" spans="1:54" ht="36.75" customHeight="1">
      <c r="A1509" s="30"/>
      <c r="B1509" s="30" t="s">
        <v>55</v>
      </c>
      <c r="C1509" s="69" t="str">
        <f t="shared" si="97"/>
        <v>Closed</v>
      </c>
      <c r="D1509" s="27" t="s">
        <v>8405</v>
      </c>
      <c r="E1509" s="29" t="s">
        <v>8406</v>
      </c>
      <c r="F1509" s="30" t="s">
        <v>1572</v>
      </c>
      <c r="G1509" s="89">
        <f>DATE(2013,2,2)</f>
        <v>41307</v>
      </c>
      <c r="H1509" s="90">
        <v>1.0652777777777778</v>
      </c>
      <c r="I1509" s="30" t="s">
        <v>73</v>
      </c>
      <c r="J1509" s="89" t="s">
        <v>8407</v>
      </c>
      <c r="K1509" s="30" t="s">
        <v>1574</v>
      </c>
      <c r="L1509" s="30" t="s">
        <v>8262</v>
      </c>
      <c r="M1509" s="30" t="s">
        <v>63</v>
      </c>
      <c r="N1509" s="30" t="s">
        <v>142</v>
      </c>
      <c r="O1509" s="30" t="s">
        <v>77</v>
      </c>
      <c r="P1509" s="89" t="s">
        <v>78</v>
      </c>
      <c r="Q1509" s="89" t="s">
        <v>7932</v>
      </c>
      <c r="R1509" s="89" t="s">
        <v>6434</v>
      </c>
      <c r="S1509" s="30">
        <v>0</v>
      </c>
      <c r="T1509" s="233">
        <v>0</v>
      </c>
      <c r="U1509" s="30">
        <v>0</v>
      </c>
      <c r="V1509" s="233">
        <v>0</v>
      </c>
      <c r="W1509" s="30">
        <v>0</v>
      </c>
      <c r="X1509" s="30">
        <v>0</v>
      </c>
      <c r="Y1509" s="30">
        <v>0</v>
      </c>
      <c r="Z1509" s="233">
        <v>0</v>
      </c>
      <c r="AA1509" s="30">
        <v>0</v>
      </c>
      <c r="AB1509" s="30">
        <v>0</v>
      </c>
      <c r="AC1509" s="30">
        <v>0</v>
      </c>
      <c r="AD1509" s="30">
        <v>0</v>
      </c>
      <c r="AE1509" s="89" t="s">
        <v>394</v>
      </c>
      <c r="AF1509" s="89"/>
      <c r="AG1509" s="89" t="s">
        <v>133</v>
      </c>
      <c r="AH1509" s="72">
        <v>41309</v>
      </c>
      <c r="AI1509" s="30">
        <v>0</v>
      </c>
      <c r="AJ1509" s="89" t="s">
        <v>8408</v>
      </c>
      <c r="AK1509" s="89" t="s">
        <v>8409</v>
      </c>
      <c r="AL1509" s="91">
        <v>41310</v>
      </c>
      <c r="AM1509" s="91"/>
      <c r="AN1509" s="91"/>
      <c r="AO1509" s="91"/>
      <c r="AP1509" s="73" t="e">
        <f>MID(VLOOKUP(K1509,#REF!,2,FALSE),1,2)</f>
        <v>#REF!</v>
      </c>
      <c r="AQ1509" s="89">
        <f>DATE(2013,2,2)</f>
        <v>41307</v>
      </c>
      <c r="AR1509" s="82">
        <f t="shared" si="98"/>
        <v>2</v>
      </c>
      <c r="AS1509" s="83">
        <f t="shared" si="99"/>
        <v>2</v>
      </c>
      <c r="AT1509" s="84">
        <f t="shared" si="100"/>
        <v>2013</v>
      </c>
      <c r="AU1509" s="86"/>
      <c r="AV1509" s="86"/>
      <c r="AW1509" s="87"/>
      <c r="AX1509" s="86"/>
      <c r="AY1509" s="83"/>
      <c r="AZ1509" s="84"/>
      <c r="BA1509" s="86"/>
      <c r="BB1509" s="86"/>
    </row>
    <row r="1510" spans="1:54" ht="36.75" customHeight="1">
      <c r="A1510" s="30"/>
      <c r="B1510" s="30" t="s">
        <v>55</v>
      </c>
      <c r="C1510" s="69" t="str">
        <f t="shared" si="97"/>
        <v>Closed</v>
      </c>
      <c r="D1510" s="27" t="s">
        <v>8410</v>
      </c>
      <c r="E1510" s="29" t="s">
        <v>8411</v>
      </c>
      <c r="F1510" s="30" t="s">
        <v>423</v>
      </c>
      <c r="G1510" s="89">
        <f>DATE(2013,2,4)</f>
        <v>41309</v>
      </c>
      <c r="H1510" s="90">
        <v>1.4541666666666666</v>
      </c>
      <c r="I1510" s="30" t="s">
        <v>2078</v>
      </c>
      <c r="J1510" s="89" t="s">
        <v>8412</v>
      </c>
      <c r="K1510" s="30" t="s">
        <v>425</v>
      </c>
      <c r="L1510" s="30" t="s">
        <v>8413</v>
      </c>
      <c r="M1510" s="30" t="s">
        <v>63</v>
      </c>
      <c r="N1510" s="30" t="s">
        <v>89</v>
      </c>
      <c r="O1510" s="30" t="s">
        <v>77</v>
      </c>
      <c r="P1510" s="89" t="s">
        <v>5324</v>
      </c>
      <c r="Q1510" s="89" t="s">
        <v>427</v>
      </c>
      <c r="R1510" s="89" t="s">
        <v>3103</v>
      </c>
      <c r="S1510" s="30">
        <v>0</v>
      </c>
      <c r="T1510" s="233">
        <v>0</v>
      </c>
      <c r="U1510" s="30">
        <v>0</v>
      </c>
      <c r="V1510" s="233">
        <v>0</v>
      </c>
      <c r="W1510" s="30">
        <v>0</v>
      </c>
      <c r="X1510" s="30">
        <v>0</v>
      </c>
      <c r="Y1510" s="30">
        <v>0</v>
      </c>
      <c r="Z1510" s="233">
        <v>0</v>
      </c>
      <c r="AA1510" s="30">
        <v>0</v>
      </c>
      <c r="AB1510" s="30">
        <v>0</v>
      </c>
      <c r="AC1510" s="30">
        <v>0</v>
      </c>
      <c r="AD1510" s="30">
        <v>0</v>
      </c>
      <c r="AE1510" s="89" t="s">
        <v>92</v>
      </c>
      <c r="AF1510" s="89"/>
      <c r="AG1510" s="89" t="s">
        <v>133</v>
      </c>
      <c r="AH1510" s="72">
        <v>41327</v>
      </c>
      <c r="AI1510" s="30">
        <v>2</v>
      </c>
      <c r="AJ1510" s="89" t="s">
        <v>8414</v>
      </c>
      <c r="AK1510" s="89" t="s">
        <v>8415</v>
      </c>
      <c r="AL1510" s="91">
        <v>41332</v>
      </c>
      <c r="AM1510" s="91"/>
      <c r="AN1510" s="91"/>
      <c r="AO1510" s="91"/>
      <c r="AP1510" s="73" t="e">
        <f>MID(VLOOKUP(K1510,#REF!,2,FALSE),1,2)</f>
        <v>#REF!</v>
      </c>
      <c r="AQ1510" s="89">
        <f>DATE(2013,2,4)</f>
        <v>41309</v>
      </c>
      <c r="AR1510" s="82">
        <f t="shared" si="98"/>
        <v>4</v>
      </c>
      <c r="AS1510" s="83">
        <f t="shared" si="99"/>
        <v>2</v>
      </c>
      <c r="AT1510" s="84">
        <f t="shared" si="100"/>
        <v>2013</v>
      </c>
      <c r="AU1510" s="86"/>
      <c r="AV1510" s="86"/>
      <c r="AW1510" s="87"/>
      <c r="AX1510" s="86"/>
      <c r="AY1510" s="83"/>
      <c r="AZ1510" s="84"/>
      <c r="BA1510" s="86"/>
      <c r="BB1510" s="86"/>
    </row>
    <row r="1511" spans="1:54" ht="36.75" customHeight="1">
      <c r="A1511" s="30"/>
      <c r="B1511" s="30" t="s">
        <v>55</v>
      </c>
      <c r="C1511" s="69" t="str">
        <f t="shared" si="97"/>
        <v>Closed</v>
      </c>
      <c r="D1511" s="27" t="s">
        <v>8416</v>
      </c>
      <c r="E1511" s="29" t="s">
        <v>8417</v>
      </c>
      <c r="F1511" s="30" t="s">
        <v>423</v>
      </c>
      <c r="G1511" s="89">
        <f>DATE(2013,2,5)</f>
        <v>41310</v>
      </c>
      <c r="H1511" s="90">
        <v>1.4666666666666666</v>
      </c>
      <c r="I1511" s="30" t="s">
        <v>198</v>
      </c>
      <c r="J1511" s="89" t="s">
        <v>8418</v>
      </c>
      <c r="K1511" s="30" t="s">
        <v>425</v>
      </c>
      <c r="L1511" s="30" t="s">
        <v>8419</v>
      </c>
      <c r="M1511" s="30" t="s">
        <v>63</v>
      </c>
      <c r="N1511" s="30" t="s">
        <v>89</v>
      </c>
      <c r="O1511" s="30" t="s">
        <v>77</v>
      </c>
      <c r="P1511" s="89" t="s">
        <v>8025</v>
      </c>
      <c r="Q1511" s="89" t="s">
        <v>3461</v>
      </c>
      <c r="R1511" s="89" t="s">
        <v>3103</v>
      </c>
      <c r="S1511" s="30">
        <v>0</v>
      </c>
      <c r="T1511" s="233">
        <v>0</v>
      </c>
      <c r="U1511" s="30">
        <v>0</v>
      </c>
      <c r="V1511" s="233">
        <v>0</v>
      </c>
      <c r="W1511" s="30">
        <v>0</v>
      </c>
      <c r="X1511" s="30">
        <v>0</v>
      </c>
      <c r="Y1511" s="30">
        <v>0</v>
      </c>
      <c r="Z1511" s="233">
        <v>0</v>
      </c>
      <c r="AA1511" s="30">
        <v>0</v>
      </c>
      <c r="AB1511" s="30">
        <v>0</v>
      </c>
      <c r="AC1511" s="30">
        <v>0</v>
      </c>
      <c r="AD1511" s="30">
        <v>0</v>
      </c>
      <c r="AE1511" s="89" t="s">
        <v>92</v>
      </c>
      <c r="AF1511" s="89"/>
      <c r="AG1511" s="89" t="s">
        <v>133</v>
      </c>
      <c r="AH1511" s="72">
        <v>41427</v>
      </c>
      <c r="AI1511" s="30">
        <v>3</v>
      </c>
      <c r="AJ1511" s="89" t="s">
        <v>8420</v>
      </c>
      <c r="AK1511" s="89" t="s">
        <v>8421</v>
      </c>
      <c r="AL1511" s="91">
        <v>41317</v>
      </c>
      <c r="AM1511" s="91"/>
      <c r="AN1511" s="91"/>
      <c r="AO1511" s="91"/>
      <c r="AP1511" s="73" t="e">
        <f>MID(VLOOKUP(K1511,#REF!,2,FALSE),1,2)</f>
        <v>#REF!</v>
      </c>
      <c r="AQ1511" s="89">
        <f>DATE(2013,2,5)</f>
        <v>41310</v>
      </c>
      <c r="AR1511" s="82">
        <f t="shared" si="98"/>
        <v>5</v>
      </c>
      <c r="AS1511" s="83">
        <f t="shared" si="99"/>
        <v>2</v>
      </c>
      <c r="AT1511" s="84">
        <f t="shared" si="100"/>
        <v>2013</v>
      </c>
      <c r="AU1511" s="86"/>
      <c r="AV1511" s="86"/>
      <c r="AW1511" s="87"/>
      <c r="AX1511" s="86"/>
      <c r="AY1511" s="83"/>
      <c r="AZ1511" s="84"/>
      <c r="BA1511" s="86"/>
      <c r="BB1511" s="86"/>
    </row>
    <row r="1512" spans="1:54" ht="36.75" customHeight="1">
      <c r="A1512" s="30"/>
      <c r="B1512" s="30" t="s">
        <v>55</v>
      </c>
      <c r="C1512" s="69" t="str">
        <f t="shared" si="97"/>
        <v>Closed</v>
      </c>
      <c r="D1512" s="27" t="s">
        <v>8422</v>
      </c>
      <c r="E1512" s="29" t="s">
        <v>8423</v>
      </c>
      <c r="F1512" s="30" t="s">
        <v>1572</v>
      </c>
      <c r="G1512" s="89">
        <f>DATE(2013,2,5)</f>
        <v>41310</v>
      </c>
      <c r="H1512" s="90">
        <v>1.6875</v>
      </c>
      <c r="I1512" s="30" t="s">
        <v>73</v>
      </c>
      <c r="J1512" s="89" t="s">
        <v>8424</v>
      </c>
      <c r="K1512" s="30" t="s">
        <v>1574</v>
      </c>
      <c r="L1512" s="30" t="s">
        <v>8425</v>
      </c>
      <c r="M1512" s="30" t="s">
        <v>63</v>
      </c>
      <c r="N1512" s="30" t="s">
        <v>99</v>
      </c>
      <c r="O1512" s="30" t="s">
        <v>77</v>
      </c>
      <c r="P1512" s="89" t="s">
        <v>78</v>
      </c>
      <c r="Q1512" s="89" t="s">
        <v>2655</v>
      </c>
      <c r="R1512" s="89" t="s">
        <v>2561</v>
      </c>
      <c r="S1512" s="30">
        <v>0</v>
      </c>
      <c r="T1512" s="233">
        <v>0</v>
      </c>
      <c r="U1512" s="30">
        <v>0</v>
      </c>
      <c r="V1512" s="233">
        <v>0</v>
      </c>
      <c r="W1512" s="30">
        <v>0</v>
      </c>
      <c r="X1512" s="30">
        <v>0</v>
      </c>
      <c r="Y1512" s="30">
        <v>0</v>
      </c>
      <c r="Z1512" s="233">
        <v>0</v>
      </c>
      <c r="AA1512" s="30">
        <v>0</v>
      </c>
      <c r="AB1512" s="30">
        <v>0</v>
      </c>
      <c r="AC1512" s="30">
        <v>0</v>
      </c>
      <c r="AD1512" s="30">
        <v>0</v>
      </c>
      <c r="AE1512" s="89" t="s">
        <v>92</v>
      </c>
      <c r="AF1512" s="89"/>
      <c r="AG1512" s="89" t="s">
        <v>133</v>
      </c>
      <c r="AH1512" s="72">
        <v>41312</v>
      </c>
      <c r="AI1512" s="30">
        <v>0</v>
      </c>
      <c r="AJ1512" s="89" t="s">
        <v>8426</v>
      </c>
      <c r="AK1512" s="89" t="s">
        <v>8427</v>
      </c>
      <c r="AL1512" s="91">
        <v>41314</v>
      </c>
      <c r="AM1512" s="91"/>
      <c r="AN1512" s="91"/>
      <c r="AO1512" s="91"/>
      <c r="AP1512" s="73" t="e">
        <f>MID(VLOOKUP(K1512,#REF!,2,FALSE),1,2)</f>
        <v>#REF!</v>
      </c>
      <c r="AQ1512" s="89">
        <f>DATE(2013,2,5)</f>
        <v>41310</v>
      </c>
      <c r="AR1512" s="82">
        <f t="shared" si="98"/>
        <v>5</v>
      </c>
      <c r="AS1512" s="83">
        <f t="shared" si="99"/>
        <v>2</v>
      </c>
      <c r="AT1512" s="84">
        <f t="shared" si="100"/>
        <v>2013</v>
      </c>
      <c r="AU1512" s="86"/>
      <c r="AV1512" s="86"/>
      <c r="AW1512" s="87"/>
      <c r="AX1512" s="86"/>
      <c r="AY1512" s="83"/>
      <c r="AZ1512" s="84"/>
      <c r="BA1512" s="86"/>
      <c r="BB1512" s="86"/>
    </row>
    <row r="1513" spans="1:54" ht="36.75" customHeight="1">
      <c r="A1513" s="30"/>
      <c r="B1513" s="30" t="s">
        <v>55</v>
      </c>
      <c r="C1513" s="69" t="str">
        <f t="shared" si="97"/>
        <v>Closed</v>
      </c>
      <c r="D1513" s="27" t="s">
        <v>8428</v>
      </c>
      <c r="E1513" s="29" t="s">
        <v>8429</v>
      </c>
      <c r="F1513" s="30" t="s">
        <v>582</v>
      </c>
      <c r="G1513" s="89">
        <f>DATE(2013,2,6)</f>
        <v>41311</v>
      </c>
      <c r="H1513" s="90">
        <v>1.413888888888889</v>
      </c>
      <c r="I1513" s="30" t="s">
        <v>156</v>
      </c>
      <c r="J1513" s="89" t="s">
        <v>8430</v>
      </c>
      <c r="K1513" s="30" t="s">
        <v>584</v>
      </c>
      <c r="L1513" s="30" t="s">
        <v>8431</v>
      </c>
      <c r="M1513" s="30" t="s">
        <v>63</v>
      </c>
      <c r="N1513" s="30" t="s">
        <v>142</v>
      </c>
      <c r="O1513" s="30" t="s">
        <v>64</v>
      </c>
      <c r="P1513" s="89" t="s">
        <v>65</v>
      </c>
      <c r="Q1513" s="89" t="s">
        <v>4830</v>
      </c>
      <c r="R1513" s="89" t="s">
        <v>587</v>
      </c>
      <c r="S1513" s="30">
        <v>0</v>
      </c>
      <c r="T1513" s="233">
        <v>1</v>
      </c>
      <c r="U1513" s="30">
        <v>0</v>
      </c>
      <c r="V1513" s="233">
        <v>0</v>
      </c>
      <c r="W1513" s="30">
        <v>0</v>
      </c>
      <c r="X1513" s="30">
        <v>1</v>
      </c>
      <c r="Y1513" s="30">
        <v>0</v>
      </c>
      <c r="Z1513" s="233">
        <v>0</v>
      </c>
      <c r="AA1513" s="30">
        <v>0</v>
      </c>
      <c r="AB1513" s="30">
        <v>0</v>
      </c>
      <c r="AC1513" s="30">
        <v>0</v>
      </c>
      <c r="AD1513" s="30">
        <v>0</v>
      </c>
      <c r="AE1513" s="89" t="s">
        <v>92</v>
      </c>
      <c r="AF1513" s="89"/>
      <c r="AG1513" s="89" t="s">
        <v>82</v>
      </c>
      <c r="AH1513" s="72">
        <v>41648</v>
      </c>
      <c r="AI1513" s="30">
        <v>0</v>
      </c>
      <c r="AJ1513" s="89" t="s">
        <v>8432</v>
      </c>
      <c r="AK1513" s="89" t="s">
        <v>1233</v>
      </c>
      <c r="AL1513" s="91">
        <v>41648</v>
      </c>
      <c r="AM1513" s="91"/>
      <c r="AN1513" s="91"/>
      <c r="AO1513" s="91"/>
      <c r="AP1513" s="73" t="e">
        <f>MID(VLOOKUP(K1513,#REF!,2,FALSE),1,2)</f>
        <v>#REF!</v>
      </c>
      <c r="AQ1513" s="89">
        <f>DATE(2013,2,6)</f>
        <v>41311</v>
      </c>
      <c r="AR1513" s="82">
        <f t="shared" si="98"/>
        <v>6</v>
      </c>
      <c r="AS1513" s="83">
        <f t="shared" si="99"/>
        <v>2</v>
      </c>
      <c r="AT1513" s="84">
        <f t="shared" si="100"/>
        <v>2013</v>
      </c>
      <c r="AU1513" s="86"/>
      <c r="AV1513" s="86"/>
      <c r="AW1513" s="87"/>
      <c r="AX1513" s="86"/>
      <c r="AY1513" s="83"/>
      <c r="AZ1513" s="84"/>
      <c r="BA1513" s="86"/>
      <c r="BB1513" s="86"/>
    </row>
    <row r="1514" spans="1:54" ht="36.75" customHeight="1">
      <c r="A1514" s="30"/>
      <c r="B1514" s="30" t="s">
        <v>55</v>
      </c>
      <c r="C1514" s="69" t="str">
        <f t="shared" si="97"/>
        <v>Closed</v>
      </c>
      <c r="D1514" s="27" t="s">
        <v>8433</v>
      </c>
      <c r="E1514" s="29" t="s">
        <v>8434</v>
      </c>
      <c r="F1514" s="30" t="s">
        <v>423</v>
      </c>
      <c r="G1514" s="89">
        <f>DATE(2013,2,10)</f>
        <v>41315</v>
      </c>
      <c r="H1514" s="90">
        <v>1.1965277777777779</v>
      </c>
      <c r="I1514" s="30" t="s">
        <v>198</v>
      </c>
      <c r="J1514" s="89" t="s">
        <v>8435</v>
      </c>
      <c r="K1514" s="30" t="s">
        <v>425</v>
      </c>
      <c r="L1514" s="30" t="s">
        <v>8436</v>
      </c>
      <c r="M1514" s="30" t="s">
        <v>63</v>
      </c>
      <c r="N1514" s="30" t="s">
        <v>89</v>
      </c>
      <c r="O1514" s="30" t="s">
        <v>77</v>
      </c>
      <c r="P1514" s="89" t="s">
        <v>91</v>
      </c>
      <c r="Q1514" s="89" t="s">
        <v>2582</v>
      </c>
      <c r="R1514" s="89" t="s">
        <v>3103</v>
      </c>
      <c r="S1514" s="30">
        <v>0</v>
      </c>
      <c r="T1514" s="233">
        <v>0</v>
      </c>
      <c r="U1514" s="30">
        <v>0</v>
      </c>
      <c r="V1514" s="233">
        <v>0</v>
      </c>
      <c r="W1514" s="30">
        <v>0</v>
      </c>
      <c r="X1514" s="30">
        <v>0</v>
      </c>
      <c r="Y1514" s="30">
        <v>0</v>
      </c>
      <c r="Z1514" s="233">
        <v>0</v>
      </c>
      <c r="AA1514" s="30">
        <v>0</v>
      </c>
      <c r="AB1514" s="30">
        <v>0</v>
      </c>
      <c r="AC1514" s="30">
        <v>0</v>
      </c>
      <c r="AD1514" s="30">
        <v>0</v>
      </c>
      <c r="AE1514" s="89" t="s">
        <v>394</v>
      </c>
      <c r="AF1514" s="89"/>
      <c r="AG1514" s="89" t="s">
        <v>133</v>
      </c>
      <c r="AH1514" s="72">
        <v>41471</v>
      </c>
      <c r="AI1514" s="30">
        <v>0</v>
      </c>
      <c r="AJ1514" s="89" t="s">
        <v>8437</v>
      </c>
      <c r="AK1514" s="89" t="s">
        <v>8438</v>
      </c>
      <c r="AL1514" s="91">
        <v>41477</v>
      </c>
      <c r="AM1514" s="91"/>
      <c r="AN1514" s="91"/>
      <c r="AO1514" s="91"/>
      <c r="AP1514" s="73" t="e">
        <f>MID(VLOOKUP(K1514,#REF!,2,FALSE),1,2)</f>
        <v>#REF!</v>
      </c>
      <c r="AQ1514" s="89">
        <f>DATE(2013,2,10)</f>
        <v>41315</v>
      </c>
      <c r="AR1514" s="82">
        <f t="shared" si="98"/>
        <v>10</v>
      </c>
      <c r="AS1514" s="83">
        <f t="shared" si="99"/>
        <v>2</v>
      </c>
      <c r="AT1514" s="84">
        <f t="shared" si="100"/>
        <v>2013</v>
      </c>
      <c r="AU1514" s="86"/>
      <c r="AV1514" s="86"/>
      <c r="AW1514" s="87"/>
      <c r="AX1514" s="86"/>
      <c r="AY1514" s="83"/>
      <c r="AZ1514" s="84"/>
      <c r="BA1514" s="86"/>
      <c r="BB1514" s="86"/>
    </row>
    <row r="1515" spans="1:54" ht="36.75" customHeight="1">
      <c r="A1515" s="30"/>
      <c r="B1515" s="30" t="s">
        <v>55</v>
      </c>
      <c r="C1515" s="69" t="str">
        <f t="shared" si="97"/>
        <v>Closed</v>
      </c>
      <c r="D1515" s="27" t="s">
        <v>8439</v>
      </c>
      <c r="E1515" s="29" t="s">
        <v>8440</v>
      </c>
      <c r="F1515" s="30" t="s">
        <v>638</v>
      </c>
      <c r="G1515" s="89">
        <f>DATE(2013,2,10)</f>
        <v>41315</v>
      </c>
      <c r="H1515" s="90">
        <v>1.2381944444444444</v>
      </c>
      <c r="I1515" s="30" t="s">
        <v>73</v>
      </c>
      <c r="J1515" s="89" t="s">
        <v>8441</v>
      </c>
      <c r="K1515" s="30" t="s">
        <v>640</v>
      </c>
      <c r="L1515" s="30" t="s">
        <v>8442</v>
      </c>
      <c r="M1515" s="30" t="s">
        <v>63</v>
      </c>
      <c r="N1515" s="30" t="s">
        <v>99</v>
      </c>
      <c r="O1515" s="30" t="s">
        <v>77</v>
      </c>
      <c r="P1515" s="89" t="s">
        <v>78</v>
      </c>
      <c r="Q1515" s="89" t="s">
        <v>642</v>
      </c>
      <c r="R1515" s="89" t="s">
        <v>643</v>
      </c>
      <c r="S1515" s="30">
        <v>0</v>
      </c>
      <c r="T1515" s="233">
        <v>0</v>
      </c>
      <c r="U1515" s="30">
        <v>0</v>
      </c>
      <c r="V1515" s="233">
        <v>0</v>
      </c>
      <c r="W1515" s="30">
        <v>0</v>
      </c>
      <c r="X1515" s="30">
        <v>0</v>
      </c>
      <c r="Y1515" s="30">
        <v>0</v>
      </c>
      <c r="Z1515" s="233">
        <v>0</v>
      </c>
      <c r="AA1515" s="30">
        <v>0</v>
      </c>
      <c r="AB1515" s="30">
        <v>0</v>
      </c>
      <c r="AC1515" s="30">
        <v>0</v>
      </c>
      <c r="AD1515" s="30">
        <v>0</v>
      </c>
      <c r="AE1515" s="89" t="s">
        <v>92</v>
      </c>
      <c r="AF1515" s="89"/>
      <c r="AG1515" s="89" t="s">
        <v>352</v>
      </c>
      <c r="AH1515" s="72">
        <v>41331</v>
      </c>
      <c r="AI1515" s="30">
        <v>2</v>
      </c>
      <c r="AJ1515" s="89" t="s">
        <v>8443</v>
      </c>
      <c r="AK1515" s="89" t="s">
        <v>68</v>
      </c>
      <c r="AL1515" s="91">
        <v>41338</v>
      </c>
      <c r="AM1515" s="91"/>
      <c r="AN1515" s="91"/>
      <c r="AO1515" s="91"/>
      <c r="AP1515" s="73" t="e">
        <f>MID(VLOOKUP(K1515,#REF!,2,FALSE),1,2)</f>
        <v>#REF!</v>
      </c>
      <c r="AQ1515" s="89">
        <f>DATE(2013,2,10)</f>
        <v>41315</v>
      </c>
      <c r="AR1515" s="82">
        <f t="shared" si="98"/>
        <v>10</v>
      </c>
      <c r="AS1515" s="83">
        <f t="shared" si="99"/>
        <v>2</v>
      </c>
      <c r="AT1515" s="84">
        <f t="shared" si="100"/>
        <v>2013</v>
      </c>
      <c r="AU1515" s="86"/>
      <c r="AV1515" s="86"/>
      <c r="AW1515" s="87"/>
      <c r="AX1515" s="86"/>
      <c r="AY1515" s="83"/>
      <c r="AZ1515" s="84"/>
      <c r="BA1515" s="86"/>
      <c r="BB1515" s="86"/>
    </row>
    <row r="1516" spans="1:54" ht="36.75" customHeight="1">
      <c r="A1516" s="30"/>
      <c r="B1516" s="30" t="s">
        <v>55</v>
      </c>
      <c r="C1516" s="69" t="str">
        <f t="shared" si="97"/>
        <v>Closed</v>
      </c>
      <c r="D1516" s="27" t="s">
        <v>8444</v>
      </c>
      <c r="E1516" s="29" t="s">
        <v>8445</v>
      </c>
      <c r="F1516" s="30" t="s">
        <v>835</v>
      </c>
      <c r="G1516" s="89">
        <f>DATE(2013,2,11)</f>
        <v>41316</v>
      </c>
      <c r="H1516" s="90">
        <v>1.7909722222222224</v>
      </c>
      <c r="I1516" s="30" t="s">
        <v>2264</v>
      </c>
      <c r="J1516" s="89" t="s">
        <v>8446</v>
      </c>
      <c r="K1516" s="30" t="s">
        <v>837</v>
      </c>
      <c r="L1516" s="30" t="s">
        <v>8447</v>
      </c>
      <c r="M1516" s="30" t="s">
        <v>63</v>
      </c>
      <c r="N1516" s="30" t="s">
        <v>142</v>
      </c>
      <c r="O1516" s="30" t="s">
        <v>77</v>
      </c>
      <c r="P1516" s="89" t="s">
        <v>8448</v>
      </c>
      <c r="Q1516" s="89" t="s">
        <v>4311</v>
      </c>
      <c r="R1516" s="89" t="s">
        <v>2797</v>
      </c>
      <c r="S1516" s="30">
        <v>0</v>
      </c>
      <c r="T1516" s="233">
        <v>0</v>
      </c>
      <c r="U1516" s="30">
        <v>0</v>
      </c>
      <c r="V1516" s="233">
        <v>0</v>
      </c>
      <c r="W1516" s="30">
        <v>0</v>
      </c>
      <c r="X1516" s="30">
        <v>0</v>
      </c>
      <c r="Y1516" s="30">
        <v>0</v>
      </c>
      <c r="Z1516" s="233">
        <v>0</v>
      </c>
      <c r="AA1516" s="30">
        <v>0</v>
      </c>
      <c r="AB1516" s="30">
        <v>0</v>
      </c>
      <c r="AC1516" s="30">
        <v>0</v>
      </c>
      <c r="AD1516" s="30">
        <v>0</v>
      </c>
      <c r="AE1516" s="89" t="s">
        <v>92</v>
      </c>
      <c r="AF1516" s="89"/>
      <c r="AG1516" s="89" t="s">
        <v>352</v>
      </c>
      <c r="AH1516" s="72">
        <v>41318</v>
      </c>
      <c r="AI1516" s="30">
        <v>0</v>
      </c>
      <c r="AJ1516" s="89" t="s">
        <v>8449</v>
      </c>
      <c r="AK1516" s="89" t="s">
        <v>8450</v>
      </c>
      <c r="AL1516" s="91">
        <v>41318</v>
      </c>
      <c r="AM1516" s="91"/>
      <c r="AN1516" s="91"/>
      <c r="AO1516" s="91"/>
      <c r="AP1516" s="73" t="e">
        <f>MID(VLOOKUP(K1516,#REF!,2,FALSE),1,2)</f>
        <v>#REF!</v>
      </c>
      <c r="AQ1516" s="89">
        <f>DATE(2013,2,11)</f>
        <v>41316</v>
      </c>
      <c r="AR1516" s="82">
        <f t="shared" si="98"/>
        <v>11</v>
      </c>
      <c r="AS1516" s="83">
        <f t="shared" si="99"/>
        <v>2</v>
      </c>
      <c r="AT1516" s="84">
        <f t="shared" si="100"/>
        <v>2013</v>
      </c>
      <c r="AU1516" s="86"/>
      <c r="AV1516" s="86"/>
      <c r="AW1516" s="87"/>
      <c r="AX1516" s="86"/>
      <c r="AY1516" s="83"/>
      <c r="AZ1516" s="84"/>
      <c r="BA1516" s="86"/>
      <c r="BB1516" s="86"/>
    </row>
    <row r="1517" spans="1:54" ht="36.75" customHeight="1">
      <c r="A1517" s="30"/>
      <c r="B1517" s="30" t="s">
        <v>55</v>
      </c>
      <c r="C1517" s="69" t="str">
        <f t="shared" si="97"/>
        <v>Closed</v>
      </c>
      <c r="D1517" s="27" t="s">
        <v>8451</v>
      </c>
      <c r="E1517" s="29" t="s">
        <v>8452</v>
      </c>
      <c r="F1517" s="30" t="s">
        <v>197</v>
      </c>
      <c r="G1517" s="89">
        <f>DATE(2013,2,14)</f>
        <v>41319</v>
      </c>
      <c r="H1517" s="90">
        <v>1.9270833333333335</v>
      </c>
      <c r="I1517" s="30" t="s">
        <v>73</v>
      </c>
      <c r="J1517" s="89" t="s">
        <v>8453</v>
      </c>
      <c r="K1517" s="30" t="s">
        <v>200</v>
      </c>
      <c r="L1517" s="30" t="s">
        <v>8454</v>
      </c>
      <c r="M1517" s="30" t="s">
        <v>63</v>
      </c>
      <c r="N1517" s="30" t="s">
        <v>142</v>
      </c>
      <c r="O1517" s="30" t="s">
        <v>64</v>
      </c>
      <c r="P1517" s="89" t="s">
        <v>78</v>
      </c>
      <c r="Q1517" s="89" t="s">
        <v>1716</v>
      </c>
      <c r="R1517" s="89" t="s">
        <v>203</v>
      </c>
      <c r="S1517" s="30">
        <v>0</v>
      </c>
      <c r="T1517" s="233">
        <v>0</v>
      </c>
      <c r="U1517" s="30">
        <v>0</v>
      </c>
      <c r="V1517" s="233">
        <v>0</v>
      </c>
      <c r="W1517" s="30">
        <v>0</v>
      </c>
      <c r="X1517" s="30">
        <v>0</v>
      </c>
      <c r="Y1517" s="30">
        <v>0</v>
      </c>
      <c r="Z1517" s="233">
        <v>0</v>
      </c>
      <c r="AA1517" s="30">
        <v>0</v>
      </c>
      <c r="AB1517" s="30">
        <v>0</v>
      </c>
      <c r="AC1517" s="30">
        <v>0</v>
      </c>
      <c r="AD1517" s="30">
        <v>0</v>
      </c>
      <c r="AE1517" s="89" t="s">
        <v>145</v>
      </c>
      <c r="AF1517" s="89"/>
      <c r="AG1517" s="89" t="s">
        <v>82</v>
      </c>
      <c r="AH1517" s="72">
        <v>41320</v>
      </c>
      <c r="AI1517" s="30">
        <v>4</v>
      </c>
      <c r="AJ1517" s="89" t="s">
        <v>8455</v>
      </c>
      <c r="AK1517" s="89" t="s">
        <v>1233</v>
      </c>
      <c r="AL1517" s="91">
        <v>41330</v>
      </c>
      <c r="AM1517" s="91"/>
      <c r="AN1517" s="91"/>
      <c r="AO1517" s="91"/>
      <c r="AP1517" s="73" t="e">
        <f>MID(VLOOKUP(K1517,#REF!,2,FALSE),1,2)</f>
        <v>#REF!</v>
      </c>
      <c r="AQ1517" s="89">
        <f>DATE(2013,2,14)</f>
        <v>41319</v>
      </c>
      <c r="AR1517" s="82">
        <f t="shared" si="98"/>
        <v>14</v>
      </c>
      <c r="AS1517" s="83">
        <f t="shared" si="99"/>
        <v>2</v>
      </c>
      <c r="AT1517" s="84">
        <f t="shared" si="100"/>
        <v>2013</v>
      </c>
      <c r="AU1517" s="86"/>
      <c r="AV1517" s="86"/>
      <c r="AW1517" s="87"/>
      <c r="AX1517" s="86"/>
      <c r="AY1517" s="83"/>
      <c r="AZ1517" s="84"/>
      <c r="BA1517" s="86"/>
      <c r="BB1517" s="86"/>
    </row>
    <row r="1518" spans="1:54" ht="36.75" customHeight="1">
      <c r="A1518" s="30"/>
      <c r="B1518" s="30" t="s">
        <v>55</v>
      </c>
      <c r="C1518" s="69" t="str">
        <f t="shared" si="97"/>
        <v>Closed</v>
      </c>
      <c r="D1518" s="27" t="s">
        <v>8456</v>
      </c>
      <c r="E1518" s="29" t="s">
        <v>8457</v>
      </c>
      <c r="F1518" s="30" t="s">
        <v>582</v>
      </c>
      <c r="G1518" s="89">
        <f>DATE(2013,2,14)</f>
        <v>41319</v>
      </c>
      <c r="H1518" s="90">
        <v>1.5222222222222221</v>
      </c>
      <c r="I1518" s="30" t="s">
        <v>73</v>
      </c>
      <c r="J1518" s="89" t="s">
        <v>8458</v>
      </c>
      <c r="K1518" s="30" t="s">
        <v>584</v>
      </c>
      <c r="L1518" s="30" t="s">
        <v>8459</v>
      </c>
      <c r="M1518" s="30" t="s">
        <v>63</v>
      </c>
      <c r="N1518" s="30" t="s">
        <v>142</v>
      </c>
      <c r="O1518" s="30" t="s">
        <v>64</v>
      </c>
      <c r="P1518" s="89" t="s">
        <v>78</v>
      </c>
      <c r="Q1518" s="89" t="s">
        <v>8460</v>
      </c>
      <c r="R1518" s="89" t="s">
        <v>587</v>
      </c>
      <c r="S1518" s="30">
        <v>0</v>
      </c>
      <c r="T1518" s="233">
        <v>0</v>
      </c>
      <c r="U1518" s="30">
        <v>0</v>
      </c>
      <c r="V1518" s="233">
        <v>0</v>
      </c>
      <c r="W1518" s="30">
        <v>0</v>
      </c>
      <c r="X1518" s="30">
        <v>0</v>
      </c>
      <c r="Y1518" s="30">
        <v>0</v>
      </c>
      <c r="Z1518" s="233">
        <v>0</v>
      </c>
      <c r="AA1518" s="30">
        <v>0</v>
      </c>
      <c r="AB1518" s="30">
        <v>0</v>
      </c>
      <c r="AC1518" s="30">
        <v>0</v>
      </c>
      <c r="AD1518" s="30">
        <v>0</v>
      </c>
      <c r="AE1518" s="89" t="s">
        <v>145</v>
      </c>
      <c r="AF1518" s="89"/>
      <c r="AG1518" s="89" t="s">
        <v>82</v>
      </c>
      <c r="AH1518" s="72">
        <v>41323</v>
      </c>
      <c r="AI1518" s="30">
        <v>0</v>
      </c>
      <c r="AJ1518" s="89" t="s">
        <v>8461</v>
      </c>
      <c r="AK1518" s="89" t="s">
        <v>1233</v>
      </c>
      <c r="AL1518" s="91">
        <v>41323</v>
      </c>
      <c r="AM1518" s="91"/>
      <c r="AN1518" s="91"/>
      <c r="AO1518" s="91"/>
      <c r="AP1518" s="73" t="e">
        <f>MID(VLOOKUP(K1518,#REF!,2,FALSE),1,2)</f>
        <v>#REF!</v>
      </c>
      <c r="AQ1518" s="89">
        <f>DATE(2013,2,14)</f>
        <v>41319</v>
      </c>
      <c r="AR1518" s="82">
        <f t="shared" si="98"/>
        <v>14</v>
      </c>
      <c r="AS1518" s="83">
        <f t="shared" si="99"/>
        <v>2</v>
      </c>
      <c r="AT1518" s="84">
        <f t="shared" si="100"/>
        <v>2013</v>
      </c>
      <c r="AU1518" s="86"/>
      <c r="AV1518" s="86"/>
      <c r="AW1518" s="87"/>
      <c r="AX1518" s="86"/>
      <c r="AY1518" s="83"/>
      <c r="AZ1518" s="84"/>
      <c r="BA1518" s="86"/>
      <c r="BB1518" s="86"/>
    </row>
    <row r="1519" spans="1:54" ht="36.75" customHeight="1">
      <c r="A1519" s="30"/>
      <c r="B1519" s="30" t="s">
        <v>55</v>
      </c>
      <c r="C1519" s="69" t="str">
        <f t="shared" si="97"/>
        <v>Closed</v>
      </c>
      <c r="D1519" s="27" t="s">
        <v>8462</v>
      </c>
      <c r="E1519" s="29" t="s">
        <v>8463</v>
      </c>
      <c r="F1519" s="30" t="s">
        <v>1572</v>
      </c>
      <c r="G1519" s="89">
        <f>DATE(2013,2,14)</f>
        <v>41319</v>
      </c>
      <c r="H1519" s="90">
        <v>1.9652777777777777</v>
      </c>
      <c r="I1519" s="30" t="s">
        <v>125</v>
      </c>
      <c r="J1519" s="89" t="s">
        <v>8464</v>
      </c>
      <c r="K1519" s="30" t="s">
        <v>1574</v>
      </c>
      <c r="L1519" s="30" t="s">
        <v>8465</v>
      </c>
      <c r="M1519" s="30" t="s">
        <v>63</v>
      </c>
      <c r="N1519" s="30" t="s">
        <v>99</v>
      </c>
      <c r="O1519" s="30" t="s">
        <v>64</v>
      </c>
      <c r="P1519" s="89" t="s">
        <v>78</v>
      </c>
      <c r="Q1519" s="89" t="s">
        <v>2655</v>
      </c>
      <c r="R1519" s="89" t="s">
        <v>6434</v>
      </c>
      <c r="S1519" s="30">
        <v>0</v>
      </c>
      <c r="T1519" s="233">
        <v>0</v>
      </c>
      <c r="U1519" s="30">
        <v>0</v>
      </c>
      <c r="V1519" s="233">
        <v>0</v>
      </c>
      <c r="W1519" s="30">
        <v>0</v>
      </c>
      <c r="X1519" s="30">
        <v>0</v>
      </c>
      <c r="Y1519" s="30">
        <v>0</v>
      </c>
      <c r="Z1519" s="233">
        <v>0</v>
      </c>
      <c r="AA1519" s="30">
        <v>0</v>
      </c>
      <c r="AB1519" s="30">
        <v>0</v>
      </c>
      <c r="AC1519" s="30">
        <v>0</v>
      </c>
      <c r="AD1519" s="30">
        <v>0</v>
      </c>
      <c r="AE1519" s="89" t="s">
        <v>92</v>
      </c>
      <c r="AF1519" s="89"/>
      <c r="AG1519" s="89" t="s">
        <v>133</v>
      </c>
      <c r="AH1519" s="72">
        <v>41320</v>
      </c>
      <c r="AI1519" s="30">
        <v>0</v>
      </c>
      <c r="AJ1519" s="89" t="s">
        <v>8466</v>
      </c>
      <c r="AK1519" s="89" t="s">
        <v>8467</v>
      </c>
      <c r="AL1519" s="91">
        <v>41320</v>
      </c>
      <c r="AM1519" s="91"/>
      <c r="AN1519" s="91"/>
      <c r="AO1519" s="91"/>
      <c r="AP1519" s="73" t="e">
        <f>MID(VLOOKUP(K1519,#REF!,2,FALSE),1,2)</f>
        <v>#REF!</v>
      </c>
      <c r="AQ1519" s="89">
        <f>DATE(2013,2,14)</f>
        <v>41319</v>
      </c>
      <c r="AR1519" s="82">
        <f t="shared" si="98"/>
        <v>14</v>
      </c>
      <c r="AS1519" s="83">
        <f t="shared" si="99"/>
        <v>2</v>
      </c>
      <c r="AT1519" s="84">
        <f t="shared" si="100"/>
        <v>2013</v>
      </c>
      <c r="AU1519" s="86"/>
      <c r="AV1519" s="86"/>
      <c r="AW1519" s="87"/>
      <c r="AX1519" s="86"/>
      <c r="AY1519" s="83"/>
      <c r="AZ1519" s="84"/>
      <c r="BA1519" s="86"/>
      <c r="BB1519" s="86"/>
    </row>
    <row r="1520" spans="1:54" ht="36.75" customHeight="1">
      <c r="A1520" s="30"/>
      <c r="B1520" s="30" t="s">
        <v>55</v>
      </c>
      <c r="C1520" s="69" t="str">
        <f t="shared" si="97"/>
        <v>Closed</v>
      </c>
      <c r="D1520" s="27" t="s">
        <v>8468</v>
      </c>
      <c r="E1520" s="29" t="s">
        <v>8469</v>
      </c>
      <c r="F1520" s="30" t="s">
        <v>377</v>
      </c>
      <c r="G1520" s="89">
        <f>DATE(2013,2,18)</f>
        <v>41323</v>
      </c>
      <c r="H1520" s="90">
        <v>1.2875000000000001</v>
      </c>
      <c r="I1520" s="30" t="s">
        <v>156</v>
      </c>
      <c r="J1520" s="89" t="s">
        <v>8470</v>
      </c>
      <c r="K1520" s="30" t="s">
        <v>379</v>
      </c>
      <c r="L1520" s="30" t="s">
        <v>8471</v>
      </c>
      <c r="M1520" s="30" t="s">
        <v>63</v>
      </c>
      <c r="N1520" s="30" t="s">
        <v>99</v>
      </c>
      <c r="O1520" s="30" t="s">
        <v>64</v>
      </c>
      <c r="P1520" s="89" t="s">
        <v>165</v>
      </c>
      <c r="Q1520" s="89" t="s">
        <v>8472</v>
      </c>
      <c r="R1520" s="89" t="s">
        <v>382</v>
      </c>
      <c r="S1520" s="30">
        <v>0</v>
      </c>
      <c r="T1520" s="233">
        <v>0</v>
      </c>
      <c r="U1520" s="30">
        <v>0</v>
      </c>
      <c r="V1520" s="233">
        <v>0</v>
      </c>
      <c r="W1520" s="30">
        <v>2</v>
      </c>
      <c r="X1520" s="30">
        <v>2</v>
      </c>
      <c r="Y1520" s="30">
        <v>0</v>
      </c>
      <c r="Z1520" s="233">
        <v>0</v>
      </c>
      <c r="AA1520" s="30">
        <v>0</v>
      </c>
      <c r="AB1520" s="30">
        <v>0</v>
      </c>
      <c r="AC1520" s="30">
        <v>0</v>
      </c>
      <c r="AD1520" s="30">
        <v>0</v>
      </c>
      <c r="AE1520" s="89" t="s">
        <v>394</v>
      </c>
      <c r="AF1520" s="89"/>
      <c r="AG1520" s="89" t="s">
        <v>133</v>
      </c>
      <c r="AH1520" s="72">
        <v>41323</v>
      </c>
      <c r="AI1520" s="30">
        <v>0</v>
      </c>
      <c r="AJ1520" s="89" t="s">
        <v>8473</v>
      </c>
      <c r="AK1520" s="89" t="s">
        <v>712</v>
      </c>
      <c r="AL1520" s="91">
        <v>41337</v>
      </c>
      <c r="AM1520" s="91"/>
      <c r="AN1520" s="91"/>
      <c r="AO1520" s="91"/>
      <c r="AP1520" s="73" t="e">
        <f>MID(VLOOKUP(K1520,#REF!,2,FALSE),1,2)</f>
        <v>#REF!</v>
      </c>
      <c r="AQ1520" s="89">
        <f>DATE(2013,2,18)</f>
        <v>41323</v>
      </c>
      <c r="AR1520" s="82">
        <f t="shared" si="98"/>
        <v>18</v>
      </c>
      <c r="AS1520" s="83">
        <f t="shared" si="99"/>
        <v>2</v>
      </c>
      <c r="AT1520" s="84">
        <f t="shared" si="100"/>
        <v>2013</v>
      </c>
      <c r="AU1520" s="86"/>
      <c r="AV1520" s="86"/>
      <c r="AW1520" s="87"/>
      <c r="AX1520" s="86"/>
      <c r="AY1520" s="83"/>
      <c r="AZ1520" s="84"/>
      <c r="BA1520" s="86"/>
      <c r="BB1520" s="86"/>
    </row>
    <row r="1521" spans="1:54" ht="36.75" customHeight="1">
      <c r="A1521" s="30"/>
      <c r="B1521" s="30" t="s">
        <v>55</v>
      </c>
      <c r="C1521" s="69" t="str">
        <f t="shared" si="97"/>
        <v>Closed</v>
      </c>
      <c r="D1521" s="27" t="s">
        <v>8474</v>
      </c>
      <c r="E1521" s="29" t="s">
        <v>8475</v>
      </c>
      <c r="F1521" s="30" t="s">
        <v>1572</v>
      </c>
      <c r="G1521" s="89">
        <f>DATE(2013,2,18)</f>
        <v>41323</v>
      </c>
      <c r="H1521" s="90">
        <v>1.5833333333333335</v>
      </c>
      <c r="I1521" s="30" t="s">
        <v>73</v>
      </c>
      <c r="J1521" s="89" t="s">
        <v>8476</v>
      </c>
      <c r="K1521" s="30" t="s">
        <v>1574</v>
      </c>
      <c r="L1521" s="30" t="s">
        <v>8477</v>
      </c>
      <c r="M1521" s="30" t="s">
        <v>63</v>
      </c>
      <c r="N1521" s="30" t="s">
        <v>142</v>
      </c>
      <c r="O1521" s="30" t="s">
        <v>77</v>
      </c>
      <c r="P1521" s="89" t="s">
        <v>78</v>
      </c>
      <c r="Q1521" s="89" t="s">
        <v>6093</v>
      </c>
      <c r="R1521" s="89" t="s">
        <v>4920</v>
      </c>
      <c r="S1521" s="30">
        <v>0</v>
      </c>
      <c r="T1521" s="233">
        <v>0</v>
      </c>
      <c r="U1521" s="30">
        <v>0</v>
      </c>
      <c r="V1521" s="233">
        <v>0</v>
      </c>
      <c r="W1521" s="30">
        <v>0</v>
      </c>
      <c r="X1521" s="30">
        <v>0</v>
      </c>
      <c r="Y1521" s="30">
        <v>0</v>
      </c>
      <c r="Z1521" s="233">
        <v>0</v>
      </c>
      <c r="AA1521" s="30">
        <v>0</v>
      </c>
      <c r="AB1521" s="30">
        <v>0</v>
      </c>
      <c r="AC1521" s="30">
        <v>0</v>
      </c>
      <c r="AD1521" s="30">
        <v>0</v>
      </c>
      <c r="AE1521" s="89" t="s">
        <v>92</v>
      </c>
      <c r="AF1521" s="89"/>
      <c r="AG1521" s="89" t="s">
        <v>133</v>
      </c>
      <c r="AH1521" s="72">
        <v>41325</v>
      </c>
      <c r="AI1521" s="30">
        <v>0</v>
      </c>
      <c r="AJ1521" s="89" t="s">
        <v>8478</v>
      </c>
      <c r="AK1521" s="89" t="s">
        <v>7002</v>
      </c>
      <c r="AL1521" s="91">
        <v>41326</v>
      </c>
      <c r="AM1521" s="91"/>
      <c r="AN1521" s="91"/>
      <c r="AO1521" s="91"/>
      <c r="AP1521" s="73" t="e">
        <f>MID(VLOOKUP(K1521,#REF!,2,FALSE),1,2)</f>
        <v>#REF!</v>
      </c>
      <c r="AQ1521" s="89">
        <f>DATE(2013,2,18)</f>
        <v>41323</v>
      </c>
      <c r="AR1521" s="82">
        <f t="shared" si="98"/>
        <v>18</v>
      </c>
      <c r="AS1521" s="83">
        <f t="shared" si="99"/>
        <v>2</v>
      </c>
      <c r="AT1521" s="84">
        <f t="shared" si="100"/>
        <v>2013</v>
      </c>
      <c r="AU1521" s="86"/>
      <c r="AV1521" s="86"/>
      <c r="AW1521" s="87"/>
      <c r="AX1521" s="86"/>
      <c r="AY1521" s="83"/>
      <c r="AZ1521" s="84"/>
      <c r="BA1521" s="86"/>
      <c r="BB1521" s="86"/>
    </row>
    <row r="1522" spans="1:54" ht="36.75" customHeight="1">
      <c r="A1522" s="30"/>
      <c r="B1522" s="30" t="s">
        <v>55</v>
      </c>
      <c r="C1522" s="69" t="str">
        <f t="shared" si="97"/>
        <v>Closed</v>
      </c>
      <c r="D1522" s="27" t="s">
        <v>8479</v>
      </c>
      <c r="E1522" s="29" t="s">
        <v>8480</v>
      </c>
      <c r="F1522" s="30" t="s">
        <v>1770</v>
      </c>
      <c r="G1522" s="89">
        <f>DATE(2013,2,19)</f>
        <v>41324</v>
      </c>
      <c r="H1522" s="90">
        <v>1.6965277777777779</v>
      </c>
      <c r="I1522" s="30" t="s">
        <v>73</v>
      </c>
      <c r="J1522" s="89" t="s">
        <v>8481</v>
      </c>
      <c r="K1522" s="30" t="s">
        <v>1772</v>
      </c>
      <c r="L1522" s="30" t="s">
        <v>8482</v>
      </c>
      <c r="M1522" s="30" t="s">
        <v>63</v>
      </c>
      <c r="N1522" s="30" t="s">
        <v>142</v>
      </c>
      <c r="O1522" s="30" t="s">
        <v>64</v>
      </c>
      <c r="P1522" s="89" t="s">
        <v>78</v>
      </c>
      <c r="Q1522" s="89" t="s">
        <v>8483</v>
      </c>
      <c r="R1522" s="89" t="s">
        <v>1775</v>
      </c>
      <c r="S1522" s="30">
        <v>0</v>
      </c>
      <c r="T1522" s="233">
        <v>0</v>
      </c>
      <c r="U1522" s="30">
        <v>0</v>
      </c>
      <c r="V1522" s="233">
        <v>0</v>
      </c>
      <c r="W1522" s="30">
        <v>0</v>
      </c>
      <c r="X1522" s="30">
        <v>0</v>
      </c>
      <c r="Y1522" s="30">
        <v>0</v>
      </c>
      <c r="Z1522" s="233">
        <v>0</v>
      </c>
      <c r="AA1522" s="30">
        <v>0</v>
      </c>
      <c r="AB1522" s="30">
        <v>0</v>
      </c>
      <c r="AC1522" s="30">
        <v>0</v>
      </c>
      <c r="AD1522" s="30">
        <v>0</v>
      </c>
      <c r="AE1522" s="89" t="s">
        <v>394</v>
      </c>
      <c r="AF1522" s="89"/>
      <c r="AG1522" s="89" t="s">
        <v>8484</v>
      </c>
      <c r="AH1522" s="72">
        <v>41330</v>
      </c>
      <c r="AI1522" s="30">
        <v>3</v>
      </c>
      <c r="AJ1522" s="89" t="s">
        <v>8485</v>
      </c>
      <c r="AK1522" s="89" t="s">
        <v>8486</v>
      </c>
      <c r="AL1522" s="91">
        <v>41334</v>
      </c>
      <c r="AM1522" s="91"/>
      <c r="AN1522" s="91"/>
      <c r="AO1522" s="91"/>
      <c r="AP1522" s="73" t="e">
        <f>MID(VLOOKUP(K1522,#REF!,2,FALSE),1,2)</f>
        <v>#REF!</v>
      </c>
      <c r="AQ1522" s="89">
        <f>DATE(2013,2,19)</f>
        <v>41324</v>
      </c>
      <c r="AR1522" s="82">
        <f t="shared" si="98"/>
        <v>19</v>
      </c>
      <c r="AS1522" s="83">
        <f t="shared" si="99"/>
        <v>2</v>
      </c>
      <c r="AT1522" s="84">
        <f t="shared" si="100"/>
        <v>2013</v>
      </c>
      <c r="AU1522" s="86"/>
      <c r="AV1522" s="86"/>
      <c r="AW1522" s="87"/>
      <c r="AX1522" s="86"/>
      <c r="AY1522" s="83"/>
      <c r="AZ1522" s="84"/>
      <c r="BA1522" s="86"/>
      <c r="BB1522" s="86"/>
    </row>
    <row r="1523" spans="1:54" ht="36.75" customHeight="1">
      <c r="A1523" s="30"/>
      <c r="B1523" s="30" t="s">
        <v>55</v>
      </c>
      <c r="C1523" s="69" t="str">
        <f t="shared" si="97"/>
        <v>Closed</v>
      </c>
      <c r="D1523" s="27" t="s">
        <v>8487</v>
      </c>
      <c r="E1523" s="29" t="s">
        <v>8488</v>
      </c>
      <c r="F1523" s="30" t="s">
        <v>835</v>
      </c>
      <c r="G1523" s="89">
        <f>DATE(2013,2,19)</f>
        <v>41324</v>
      </c>
      <c r="H1523" s="90">
        <v>1.35625</v>
      </c>
      <c r="I1523" s="30" t="s">
        <v>73</v>
      </c>
      <c r="J1523" s="89" t="s">
        <v>8489</v>
      </c>
      <c r="K1523" s="30" t="s">
        <v>837</v>
      </c>
      <c r="L1523" s="30" t="s">
        <v>8490</v>
      </c>
      <c r="M1523" s="30" t="s">
        <v>255</v>
      </c>
      <c r="N1523" s="30" t="s">
        <v>142</v>
      </c>
      <c r="O1523" s="30" t="s">
        <v>64</v>
      </c>
      <c r="P1523" s="89" t="s">
        <v>6552</v>
      </c>
      <c r="Q1523" s="89" t="s">
        <v>4210</v>
      </c>
      <c r="R1523" s="89" t="s">
        <v>4210</v>
      </c>
      <c r="S1523" s="30">
        <v>0</v>
      </c>
      <c r="T1523" s="233">
        <v>0</v>
      </c>
      <c r="U1523" s="30">
        <v>0</v>
      </c>
      <c r="V1523" s="233">
        <v>0</v>
      </c>
      <c r="W1523" s="30">
        <v>0</v>
      </c>
      <c r="X1523" s="30">
        <v>0</v>
      </c>
      <c r="Y1523" s="30">
        <v>0</v>
      </c>
      <c r="Z1523" s="233">
        <v>0</v>
      </c>
      <c r="AA1523" s="30">
        <v>0</v>
      </c>
      <c r="AB1523" s="30">
        <v>0</v>
      </c>
      <c r="AC1523" s="30">
        <v>0</v>
      </c>
      <c r="AD1523" s="30">
        <v>0</v>
      </c>
      <c r="AE1523" s="89" t="s">
        <v>92</v>
      </c>
      <c r="AF1523" s="89"/>
      <c r="AG1523" s="89" t="s">
        <v>367</v>
      </c>
      <c r="AH1523" s="72">
        <v>41324</v>
      </c>
      <c r="AI1523" s="30">
        <v>0</v>
      </c>
      <c r="AJ1523" s="89" t="s">
        <v>8491</v>
      </c>
      <c r="AK1523" s="89" t="s">
        <v>68</v>
      </c>
      <c r="AL1523" s="91">
        <v>41325</v>
      </c>
      <c r="AM1523" s="91"/>
      <c r="AN1523" s="91"/>
      <c r="AO1523" s="91"/>
      <c r="AP1523" s="73" t="e">
        <f>MID(VLOOKUP(K1523,#REF!,2,FALSE),1,2)</f>
        <v>#REF!</v>
      </c>
      <c r="AQ1523" s="89">
        <f>DATE(2013,2,19)</f>
        <v>41324</v>
      </c>
      <c r="AR1523" s="82">
        <f t="shared" si="98"/>
        <v>19</v>
      </c>
      <c r="AS1523" s="83">
        <f t="shared" si="99"/>
        <v>2</v>
      </c>
      <c r="AT1523" s="84">
        <f t="shared" si="100"/>
        <v>2013</v>
      </c>
      <c r="AU1523" s="86"/>
      <c r="AV1523" s="86"/>
      <c r="AW1523" s="87"/>
      <c r="AX1523" s="86"/>
      <c r="AY1523" s="83"/>
      <c r="AZ1523" s="84"/>
      <c r="BA1523" s="86"/>
      <c r="BB1523" s="86"/>
    </row>
    <row r="1524" spans="1:54" ht="36.75" customHeight="1">
      <c r="A1524" s="30"/>
      <c r="B1524" s="30" t="s">
        <v>55</v>
      </c>
      <c r="C1524" s="69" t="str">
        <f t="shared" si="97"/>
        <v>Closed</v>
      </c>
      <c r="D1524" s="27" t="s">
        <v>8492</v>
      </c>
      <c r="E1524" s="29" t="s">
        <v>8493</v>
      </c>
      <c r="F1524" s="30" t="s">
        <v>197</v>
      </c>
      <c r="G1524" s="89">
        <f>DATE(2013,2,21)</f>
        <v>41326</v>
      </c>
      <c r="H1524" s="90">
        <v>0</v>
      </c>
      <c r="I1524" s="30" t="s">
        <v>156</v>
      </c>
      <c r="J1524" s="89" t="s">
        <v>8494</v>
      </c>
      <c r="K1524" s="30" t="s">
        <v>200</v>
      </c>
      <c r="L1524" s="30" t="s">
        <v>7185</v>
      </c>
      <c r="M1524" s="30" t="s">
        <v>63</v>
      </c>
      <c r="N1524" s="30" t="s">
        <v>142</v>
      </c>
      <c r="O1524" s="30" t="s">
        <v>77</v>
      </c>
      <c r="P1524" s="89" t="s">
        <v>1216</v>
      </c>
      <c r="Q1524" s="89">
        <v>0</v>
      </c>
      <c r="R1524" s="89">
        <v>0</v>
      </c>
      <c r="S1524" s="30">
        <v>0</v>
      </c>
      <c r="T1524" s="233">
        <v>0</v>
      </c>
      <c r="U1524" s="30">
        <v>0</v>
      </c>
      <c r="V1524" s="233">
        <v>0</v>
      </c>
      <c r="W1524" s="30">
        <v>0</v>
      </c>
      <c r="X1524" s="30">
        <v>0</v>
      </c>
      <c r="Y1524" s="30">
        <v>0</v>
      </c>
      <c r="Z1524" s="233">
        <v>0</v>
      </c>
      <c r="AA1524" s="30">
        <v>0</v>
      </c>
      <c r="AB1524" s="30">
        <v>0</v>
      </c>
      <c r="AC1524" s="30">
        <v>0</v>
      </c>
      <c r="AD1524" s="30">
        <v>0</v>
      </c>
      <c r="AE1524" s="89" t="s">
        <v>92</v>
      </c>
      <c r="AF1524" s="89"/>
      <c r="AG1524" s="89" t="s">
        <v>133</v>
      </c>
      <c r="AH1524" s="72">
        <v>41330</v>
      </c>
      <c r="AI1524" s="30">
        <v>8</v>
      </c>
      <c r="AJ1524" s="89" t="s">
        <v>8495</v>
      </c>
      <c r="AK1524" s="89" t="s">
        <v>1233</v>
      </c>
      <c r="AL1524" s="91">
        <v>41694</v>
      </c>
      <c r="AM1524" s="91"/>
      <c r="AN1524" s="91"/>
      <c r="AO1524" s="91"/>
      <c r="AP1524" s="73" t="e">
        <f>MID(VLOOKUP(K1524,#REF!,2,FALSE),1,2)</f>
        <v>#REF!</v>
      </c>
      <c r="AQ1524" s="89">
        <f>DATE(2013,2,21)</f>
        <v>41326</v>
      </c>
      <c r="AR1524" s="82">
        <f t="shared" si="98"/>
        <v>21</v>
      </c>
      <c r="AS1524" s="83">
        <f t="shared" si="99"/>
        <v>2</v>
      </c>
      <c r="AT1524" s="84">
        <f t="shared" si="100"/>
        <v>2013</v>
      </c>
      <c r="AU1524" s="86"/>
      <c r="AV1524" s="86"/>
      <c r="AW1524" s="87"/>
      <c r="AX1524" s="86"/>
      <c r="AY1524" s="83"/>
      <c r="AZ1524" s="84"/>
      <c r="BA1524" s="86"/>
      <c r="BB1524" s="86"/>
    </row>
    <row r="1525" spans="1:54" ht="36.75" customHeight="1">
      <c r="A1525" s="30"/>
      <c r="B1525" s="30" t="s">
        <v>55</v>
      </c>
      <c r="C1525" s="69" t="str">
        <f t="shared" si="97"/>
        <v>Closed</v>
      </c>
      <c r="D1525" s="27" t="s">
        <v>8496</v>
      </c>
      <c r="E1525" s="29" t="s">
        <v>8497</v>
      </c>
      <c r="F1525" s="30" t="s">
        <v>835</v>
      </c>
      <c r="G1525" s="89">
        <f>DATE(2013,2,21)</f>
        <v>41326</v>
      </c>
      <c r="H1525" s="90">
        <v>1.2104166666666667</v>
      </c>
      <c r="I1525" s="30" t="s">
        <v>156</v>
      </c>
      <c r="J1525" s="89" t="s">
        <v>8498</v>
      </c>
      <c r="K1525" s="30" t="s">
        <v>837</v>
      </c>
      <c r="L1525" s="30" t="s">
        <v>8499</v>
      </c>
      <c r="M1525" s="30" t="s">
        <v>63</v>
      </c>
      <c r="N1525" s="30" t="s">
        <v>89</v>
      </c>
      <c r="O1525" s="30" t="s">
        <v>77</v>
      </c>
      <c r="P1525" s="89" t="s">
        <v>165</v>
      </c>
      <c r="Q1525" s="89" t="s">
        <v>2162</v>
      </c>
      <c r="R1525" s="89" t="s">
        <v>840</v>
      </c>
      <c r="S1525" s="30">
        <v>0</v>
      </c>
      <c r="T1525" s="233">
        <v>0</v>
      </c>
      <c r="U1525" s="30">
        <v>0</v>
      </c>
      <c r="V1525" s="233">
        <v>0</v>
      </c>
      <c r="W1525" s="30">
        <v>0</v>
      </c>
      <c r="X1525" s="30">
        <v>0</v>
      </c>
      <c r="Y1525" s="30">
        <v>0</v>
      </c>
      <c r="Z1525" s="233">
        <v>0</v>
      </c>
      <c r="AA1525" s="30">
        <v>0</v>
      </c>
      <c r="AB1525" s="30">
        <v>0</v>
      </c>
      <c r="AC1525" s="30">
        <v>0</v>
      </c>
      <c r="AD1525" s="30">
        <v>0</v>
      </c>
      <c r="AE1525" s="89" t="s">
        <v>92</v>
      </c>
      <c r="AF1525" s="89"/>
      <c r="AG1525" s="89" t="s">
        <v>352</v>
      </c>
      <c r="AH1525" s="72">
        <v>41326</v>
      </c>
      <c r="AI1525" s="30">
        <v>0</v>
      </c>
      <c r="AJ1525" s="89" t="s">
        <v>8500</v>
      </c>
      <c r="AK1525" s="89" t="s">
        <v>68</v>
      </c>
      <c r="AL1525" s="91">
        <v>41366</v>
      </c>
      <c r="AM1525" s="91"/>
      <c r="AN1525" s="91"/>
      <c r="AO1525" s="91"/>
      <c r="AP1525" s="73" t="e">
        <f>MID(VLOOKUP(K1525,#REF!,2,FALSE),1,2)</f>
        <v>#REF!</v>
      </c>
      <c r="AQ1525" s="89">
        <f>DATE(2013,2,21)</f>
        <v>41326</v>
      </c>
      <c r="AR1525" s="82">
        <f t="shared" si="98"/>
        <v>21</v>
      </c>
      <c r="AS1525" s="83">
        <f t="shared" si="99"/>
        <v>2</v>
      </c>
      <c r="AT1525" s="84">
        <f t="shared" si="100"/>
        <v>2013</v>
      </c>
      <c r="AU1525" s="86"/>
      <c r="AV1525" s="86"/>
      <c r="AW1525" s="87"/>
      <c r="AX1525" s="86"/>
      <c r="AY1525" s="83"/>
      <c r="AZ1525" s="84"/>
      <c r="BA1525" s="86"/>
      <c r="BB1525" s="86"/>
    </row>
    <row r="1526" spans="1:54" ht="36.75" customHeight="1">
      <c r="A1526" s="30"/>
      <c r="B1526" s="30" t="s">
        <v>55</v>
      </c>
      <c r="C1526" s="69" t="str">
        <f t="shared" si="97"/>
        <v>Closed</v>
      </c>
      <c r="D1526" s="27" t="s">
        <v>8501</v>
      </c>
      <c r="E1526" s="29" t="s">
        <v>8502</v>
      </c>
      <c r="F1526" s="30" t="s">
        <v>423</v>
      </c>
      <c r="G1526" s="89">
        <f>DATE(2013,2,24)</f>
        <v>41329</v>
      </c>
      <c r="H1526" s="90">
        <v>1.6631944444444444</v>
      </c>
      <c r="I1526" s="30" t="s">
        <v>8503</v>
      </c>
      <c r="J1526" s="89" t="s">
        <v>8504</v>
      </c>
      <c r="K1526" s="30" t="s">
        <v>425</v>
      </c>
      <c r="L1526" s="30" t="s">
        <v>8505</v>
      </c>
      <c r="M1526" s="30" t="s">
        <v>63</v>
      </c>
      <c r="N1526" s="30" t="s">
        <v>99</v>
      </c>
      <c r="O1526" s="30" t="s">
        <v>64</v>
      </c>
      <c r="P1526" s="89" t="s">
        <v>301</v>
      </c>
      <c r="Q1526" s="89" t="s">
        <v>7583</v>
      </c>
      <c r="R1526" s="89" t="s">
        <v>3103</v>
      </c>
      <c r="S1526" s="30">
        <v>0</v>
      </c>
      <c r="T1526" s="233">
        <v>0</v>
      </c>
      <c r="U1526" s="30">
        <v>0</v>
      </c>
      <c r="V1526" s="233">
        <v>0</v>
      </c>
      <c r="W1526" s="30">
        <v>0</v>
      </c>
      <c r="X1526" s="30">
        <v>0</v>
      </c>
      <c r="Y1526" s="30">
        <v>0</v>
      </c>
      <c r="Z1526" s="233">
        <v>0</v>
      </c>
      <c r="AA1526" s="30">
        <v>0</v>
      </c>
      <c r="AB1526" s="30">
        <v>0</v>
      </c>
      <c r="AC1526" s="30">
        <v>0</v>
      </c>
      <c r="AD1526" s="30">
        <v>0</v>
      </c>
      <c r="AE1526" s="89" t="s">
        <v>92</v>
      </c>
      <c r="AF1526" s="89"/>
      <c r="AG1526" s="89" t="s">
        <v>133</v>
      </c>
      <c r="AH1526" s="72">
        <v>41521</v>
      </c>
      <c r="AI1526" s="30">
        <v>2</v>
      </c>
      <c r="AJ1526" s="89" t="s">
        <v>8506</v>
      </c>
      <c r="AK1526" s="89" t="s">
        <v>8507</v>
      </c>
      <c r="AL1526" s="91">
        <v>41376</v>
      </c>
      <c r="AM1526" s="91"/>
      <c r="AN1526" s="91"/>
      <c r="AO1526" s="91"/>
      <c r="AP1526" s="73" t="e">
        <f>MID(VLOOKUP(K1526,#REF!,2,FALSE),1,2)</f>
        <v>#REF!</v>
      </c>
      <c r="AQ1526" s="89">
        <f>DATE(2013,2,24)</f>
        <v>41329</v>
      </c>
      <c r="AR1526" s="82">
        <f t="shared" si="98"/>
        <v>24</v>
      </c>
      <c r="AS1526" s="83">
        <f t="shared" si="99"/>
        <v>2</v>
      </c>
      <c r="AT1526" s="84">
        <f t="shared" si="100"/>
        <v>2013</v>
      </c>
      <c r="AU1526" s="86"/>
      <c r="AV1526" s="86"/>
      <c r="AW1526" s="87"/>
      <c r="AX1526" s="86"/>
      <c r="AY1526" s="83"/>
      <c r="AZ1526" s="84"/>
      <c r="BA1526" s="86"/>
      <c r="BB1526" s="86"/>
    </row>
    <row r="1527" spans="1:54" ht="36.75" customHeight="1">
      <c r="A1527" s="30"/>
      <c r="B1527" s="30" t="s">
        <v>55</v>
      </c>
      <c r="C1527" s="69" t="str">
        <f t="shared" si="97"/>
        <v>Closed</v>
      </c>
      <c r="D1527" s="27" t="s">
        <v>8508</v>
      </c>
      <c r="E1527" s="29" t="s">
        <v>8509</v>
      </c>
      <c r="F1527" s="30" t="s">
        <v>423</v>
      </c>
      <c r="G1527" s="89">
        <f>DATE(2013,2,26)</f>
        <v>41331</v>
      </c>
      <c r="H1527" s="90">
        <v>1.4895833333333333</v>
      </c>
      <c r="I1527" s="30" t="s">
        <v>73</v>
      </c>
      <c r="J1527" s="89" t="s">
        <v>8510</v>
      </c>
      <c r="K1527" s="30" t="s">
        <v>425</v>
      </c>
      <c r="L1527" s="30" t="s">
        <v>8511</v>
      </c>
      <c r="M1527" s="30" t="s">
        <v>63</v>
      </c>
      <c r="N1527" s="30" t="s">
        <v>89</v>
      </c>
      <c r="O1527" s="30" t="s">
        <v>64</v>
      </c>
      <c r="P1527" s="89" t="s">
        <v>78</v>
      </c>
      <c r="Q1527" s="89" t="s">
        <v>2582</v>
      </c>
      <c r="R1527" s="89" t="s">
        <v>3103</v>
      </c>
      <c r="S1527" s="30">
        <v>0</v>
      </c>
      <c r="T1527" s="233">
        <v>0</v>
      </c>
      <c r="U1527" s="30">
        <v>0</v>
      </c>
      <c r="V1527" s="233">
        <v>0</v>
      </c>
      <c r="W1527" s="30">
        <v>0</v>
      </c>
      <c r="X1527" s="30">
        <v>0</v>
      </c>
      <c r="Y1527" s="30">
        <v>0</v>
      </c>
      <c r="Z1527" s="233">
        <v>0</v>
      </c>
      <c r="AA1527" s="30">
        <v>0</v>
      </c>
      <c r="AB1527" s="30">
        <v>0</v>
      </c>
      <c r="AC1527" s="30">
        <v>0</v>
      </c>
      <c r="AD1527" s="30">
        <v>0</v>
      </c>
      <c r="AE1527" s="89" t="s">
        <v>92</v>
      </c>
      <c r="AF1527" s="89"/>
      <c r="AG1527" s="89" t="s">
        <v>133</v>
      </c>
      <c r="AH1527" s="72">
        <v>41331</v>
      </c>
      <c r="AI1527" s="30">
        <v>0</v>
      </c>
      <c r="AJ1527" s="89" t="s">
        <v>8512</v>
      </c>
      <c r="AK1527" s="89" t="s">
        <v>8513</v>
      </c>
      <c r="AL1527" s="91">
        <v>41332</v>
      </c>
      <c r="AM1527" s="91"/>
      <c r="AN1527" s="91"/>
      <c r="AO1527" s="91"/>
      <c r="AP1527" s="73" t="e">
        <f>MID(VLOOKUP(K1527,#REF!,2,FALSE),1,2)</f>
        <v>#REF!</v>
      </c>
      <c r="AQ1527" s="89">
        <f>DATE(2013,2,26)</f>
        <v>41331</v>
      </c>
      <c r="AR1527" s="82">
        <f t="shared" si="98"/>
        <v>26</v>
      </c>
      <c r="AS1527" s="83">
        <f t="shared" si="99"/>
        <v>2</v>
      </c>
      <c r="AT1527" s="84">
        <f t="shared" si="100"/>
        <v>2013</v>
      </c>
      <c r="AU1527" s="86"/>
      <c r="AV1527" s="86"/>
      <c r="AW1527" s="87"/>
      <c r="AX1527" s="86"/>
      <c r="AY1527" s="83"/>
      <c r="AZ1527" s="84"/>
      <c r="BA1527" s="86"/>
      <c r="BB1527" s="86"/>
    </row>
    <row r="1528" spans="1:54" ht="36.75" customHeight="1">
      <c r="A1528" s="30"/>
      <c r="B1528" s="30" t="s">
        <v>55</v>
      </c>
      <c r="C1528" s="69" t="str">
        <f t="shared" si="97"/>
        <v>Closed</v>
      </c>
      <c r="D1528" s="27" t="s">
        <v>8514</v>
      </c>
      <c r="E1528" s="29" t="s">
        <v>8515</v>
      </c>
      <c r="F1528" s="30" t="s">
        <v>451</v>
      </c>
      <c r="G1528" s="89">
        <f>DATE(2013,2,26)</f>
        <v>41331</v>
      </c>
      <c r="H1528" s="90">
        <v>1.6138888888888889</v>
      </c>
      <c r="I1528" s="30" t="s">
        <v>116</v>
      </c>
      <c r="J1528" s="89" t="s">
        <v>8516</v>
      </c>
      <c r="K1528" s="30" t="s">
        <v>453</v>
      </c>
      <c r="L1528" s="30" t="s">
        <v>8517</v>
      </c>
      <c r="M1528" s="30" t="s">
        <v>63</v>
      </c>
      <c r="N1528" s="30" t="s">
        <v>99</v>
      </c>
      <c r="O1528" s="30" t="s">
        <v>64</v>
      </c>
      <c r="P1528" s="89" t="s">
        <v>165</v>
      </c>
      <c r="Q1528" s="89" t="s">
        <v>455</v>
      </c>
      <c r="R1528" s="89" t="s">
        <v>456</v>
      </c>
      <c r="S1528" s="30">
        <v>0</v>
      </c>
      <c r="T1528" s="233">
        <v>0</v>
      </c>
      <c r="U1528" s="30">
        <v>0</v>
      </c>
      <c r="V1528" s="233">
        <v>0</v>
      </c>
      <c r="W1528" s="30">
        <v>0</v>
      </c>
      <c r="X1528" s="30">
        <v>0</v>
      </c>
      <c r="Y1528" s="30">
        <v>0</v>
      </c>
      <c r="Z1528" s="233">
        <v>0</v>
      </c>
      <c r="AA1528" s="30">
        <v>1</v>
      </c>
      <c r="AB1528" s="30">
        <v>0</v>
      </c>
      <c r="AC1528" s="30">
        <v>0</v>
      </c>
      <c r="AD1528" s="30">
        <v>1</v>
      </c>
      <c r="AE1528" s="89" t="s">
        <v>394</v>
      </c>
      <c r="AF1528" s="89"/>
      <c r="AG1528" s="89" t="s">
        <v>589</v>
      </c>
      <c r="AH1528" s="72">
        <v>41359</v>
      </c>
      <c r="AI1528" s="30">
        <v>0</v>
      </c>
      <c r="AJ1528" s="89" t="s">
        <v>8518</v>
      </c>
      <c r="AK1528" s="89" t="s">
        <v>8519</v>
      </c>
      <c r="AL1528" s="91">
        <v>42831</v>
      </c>
      <c r="AM1528" s="91"/>
      <c r="AN1528" s="91"/>
      <c r="AO1528" s="91"/>
      <c r="AP1528" s="73" t="e">
        <f>MID(VLOOKUP(K1528,#REF!,2,FALSE),1,2)</f>
        <v>#REF!</v>
      </c>
      <c r="AQ1528" s="89">
        <f>DATE(2013,2,26)</f>
        <v>41331</v>
      </c>
      <c r="AR1528" s="82">
        <f t="shared" si="98"/>
        <v>26</v>
      </c>
      <c r="AS1528" s="83">
        <f t="shared" si="99"/>
        <v>2</v>
      </c>
      <c r="AT1528" s="84">
        <f t="shared" si="100"/>
        <v>2013</v>
      </c>
      <c r="AU1528" s="86"/>
      <c r="AV1528" s="86"/>
      <c r="AW1528" s="87"/>
      <c r="AX1528" s="86"/>
      <c r="AY1528" s="83"/>
      <c r="AZ1528" s="84"/>
      <c r="BA1528" s="86"/>
      <c r="BB1528" s="86"/>
    </row>
    <row r="1529" spans="1:54" ht="36.75" customHeight="1">
      <c r="A1529" s="30"/>
      <c r="B1529" s="30" t="s">
        <v>55</v>
      </c>
      <c r="C1529" s="69" t="str">
        <f t="shared" si="97"/>
        <v>Closed</v>
      </c>
      <c r="D1529" s="27" t="s">
        <v>8520</v>
      </c>
      <c r="E1529" s="29" t="s">
        <v>8521</v>
      </c>
      <c r="F1529" s="30" t="s">
        <v>638</v>
      </c>
      <c r="G1529" s="89">
        <f>DATE(2013,2,26)</f>
        <v>41331</v>
      </c>
      <c r="H1529" s="90">
        <v>1.4236111111111112</v>
      </c>
      <c r="I1529" s="30" t="s">
        <v>5494</v>
      </c>
      <c r="J1529" s="89" t="s">
        <v>8522</v>
      </c>
      <c r="K1529" s="30" t="s">
        <v>640</v>
      </c>
      <c r="L1529" s="30" t="s">
        <v>8523</v>
      </c>
      <c r="M1529" s="30" t="s">
        <v>63</v>
      </c>
      <c r="N1529" s="30" t="s">
        <v>142</v>
      </c>
      <c r="O1529" s="30" t="s">
        <v>64</v>
      </c>
      <c r="P1529" s="89" t="s">
        <v>6902</v>
      </c>
      <c r="Q1529" s="89" t="s">
        <v>642</v>
      </c>
      <c r="R1529" s="89" t="s">
        <v>643</v>
      </c>
      <c r="S1529" s="30">
        <v>0</v>
      </c>
      <c r="T1529" s="233">
        <v>0</v>
      </c>
      <c r="U1529" s="30">
        <v>0</v>
      </c>
      <c r="V1529" s="233">
        <v>0</v>
      </c>
      <c r="W1529" s="30">
        <v>0</v>
      </c>
      <c r="X1529" s="30">
        <v>0</v>
      </c>
      <c r="Y1529" s="30">
        <v>0</v>
      </c>
      <c r="Z1529" s="233">
        <v>0</v>
      </c>
      <c r="AA1529" s="30">
        <v>0</v>
      </c>
      <c r="AB1529" s="30">
        <v>0</v>
      </c>
      <c r="AC1529" s="30">
        <v>0</v>
      </c>
      <c r="AD1529" s="30">
        <v>0</v>
      </c>
      <c r="AE1529" s="89" t="s">
        <v>92</v>
      </c>
      <c r="AF1529" s="89"/>
      <c r="AG1529" s="89" t="s">
        <v>133</v>
      </c>
      <c r="AH1529" s="72">
        <v>41359</v>
      </c>
      <c r="AI1529" s="30">
        <v>2</v>
      </c>
      <c r="AJ1529" s="89" t="s">
        <v>8524</v>
      </c>
      <c r="AK1529" s="89" t="s">
        <v>68</v>
      </c>
      <c r="AL1529" s="91">
        <v>41366</v>
      </c>
      <c r="AM1529" s="91"/>
      <c r="AN1529" s="91"/>
      <c r="AO1529" s="91"/>
      <c r="AP1529" s="73" t="e">
        <f>MID(VLOOKUP(K1529,#REF!,2,FALSE),1,2)</f>
        <v>#REF!</v>
      </c>
      <c r="AQ1529" s="89">
        <f>DATE(2013,2,26)</f>
        <v>41331</v>
      </c>
      <c r="AR1529" s="82">
        <f t="shared" si="98"/>
        <v>26</v>
      </c>
      <c r="AS1529" s="83">
        <f t="shared" si="99"/>
        <v>2</v>
      </c>
      <c r="AT1529" s="84">
        <f t="shared" si="100"/>
        <v>2013</v>
      </c>
      <c r="AU1529" s="86"/>
      <c r="AV1529" s="86"/>
      <c r="AW1529" s="87"/>
      <c r="AX1529" s="86"/>
      <c r="AY1529" s="83"/>
      <c r="AZ1529" s="84"/>
      <c r="BA1529" s="86"/>
      <c r="BB1529" s="86"/>
    </row>
    <row r="1530" spans="1:54" ht="36.75" customHeight="1">
      <c r="A1530" s="30"/>
      <c r="B1530" s="30" t="s">
        <v>55</v>
      </c>
      <c r="C1530" s="69" t="str">
        <f t="shared" si="97"/>
        <v>Closed</v>
      </c>
      <c r="D1530" s="27" t="s">
        <v>8525</v>
      </c>
      <c r="E1530" s="29" t="s">
        <v>8526</v>
      </c>
      <c r="F1530" s="30" t="s">
        <v>835</v>
      </c>
      <c r="G1530" s="89">
        <f>DATE(2013,2,26)</f>
        <v>41331</v>
      </c>
      <c r="H1530" s="90">
        <v>1.2638888888888888</v>
      </c>
      <c r="I1530" s="30" t="s">
        <v>73</v>
      </c>
      <c r="J1530" s="89" t="s">
        <v>8527</v>
      </c>
      <c r="K1530" s="30" t="s">
        <v>837</v>
      </c>
      <c r="L1530" s="30" t="s">
        <v>8528</v>
      </c>
      <c r="M1530" s="30" t="s">
        <v>255</v>
      </c>
      <c r="N1530" s="30" t="s">
        <v>142</v>
      </c>
      <c r="O1530" s="30" t="s">
        <v>77</v>
      </c>
      <c r="P1530" s="89" t="s">
        <v>6552</v>
      </c>
      <c r="Q1530" s="89">
        <v>0</v>
      </c>
      <c r="R1530" s="89">
        <v>0</v>
      </c>
      <c r="S1530" s="30">
        <v>0</v>
      </c>
      <c r="T1530" s="233">
        <v>0</v>
      </c>
      <c r="U1530" s="30">
        <v>0</v>
      </c>
      <c r="V1530" s="233">
        <v>0</v>
      </c>
      <c r="W1530" s="30">
        <v>0</v>
      </c>
      <c r="X1530" s="30">
        <v>0</v>
      </c>
      <c r="Y1530" s="30">
        <v>0</v>
      </c>
      <c r="Z1530" s="233">
        <v>0</v>
      </c>
      <c r="AA1530" s="30">
        <v>0</v>
      </c>
      <c r="AB1530" s="30">
        <v>0</v>
      </c>
      <c r="AC1530" s="30">
        <v>0</v>
      </c>
      <c r="AD1530" s="30">
        <v>0</v>
      </c>
      <c r="AE1530" s="89" t="s">
        <v>92</v>
      </c>
      <c r="AF1530" s="89"/>
      <c r="AG1530" s="89" t="s">
        <v>367</v>
      </c>
      <c r="AH1530" s="72">
        <v>41331</v>
      </c>
      <c r="AI1530" s="30">
        <v>0</v>
      </c>
      <c r="AJ1530" s="89" t="s">
        <v>8529</v>
      </c>
      <c r="AK1530" s="89" t="s">
        <v>68</v>
      </c>
      <c r="AL1530" s="91">
        <v>41333</v>
      </c>
      <c r="AM1530" s="91"/>
      <c r="AN1530" s="91"/>
      <c r="AO1530" s="91"/>
      <c r="AP1530" s="73" t="e">
        <f>MID(VLOOKUP(K1530,#REF!,2,FALSE),1,2)</f>
        <v>#REF!</v>
      </c>
      <c r="AQ1530" s="89">
        <f>DATE(2013,2,26)</f>
        <v>41331</v>
      </c>
      <c r="AR1530" s="82">
        <f t="shared" si="98"/>
        <v>26</v>
      </c>
      <c r="AS1530" s="83">
        <f t="shared" si="99"/>
        <v>2</v>
      </c>
      <c r="AT1530" s="84">
        <f t="shared" si="100"/>
        <v>2013</v>
      </c>
      <c r="AU1530" s="86"/>
      <c r="AV1530" s="86"/>
      <c r="AW1530" s="87"/>
      <c r="AX1530" s="86"/>
      <c r="AY1530" s="83"/>
      <c r="AZ1530" s="84"/>
      <c r="BA1530" s="86"/>
      <c r="BB1530" s="86"/>
    </row>
    <row r="1531" spans="1:54" ht="36.75" customHeight="1">
      <c r="A1531" s="30"/>
      <c r="B1531" s="30" t="s">
        <v>55</v>
      </c>
      <c r="C1531" s="69" t="str">
        <f t="shared" si="97"/>
        <v>Closed</v>
      </c>
      <c r="D1531" s="27" t="s">
        <v>8530</v>
      </c>
      <c r="E1531" s="29" t="s">
        <v>8531</v>
      </c>
      <c r="F1531" s="30" t="s">
        <v>638</v>
      </c>
      <c r="G1531" s="89">
        <f>DATE(2013,2,27)</f>
        <v>41332</v>
      </c>
      <c r="H1531" s="90">
        <v>1.1736111111111112</v>
      </c>
      <c r="I1531" s="30" t="s">
        <v>487</v>
      </c>
      <c r="J1531" s="89" t="s">
        <v>8532</v>
      </c>
      <c r="K1531" s="30" t="s">
        <v>640</v>
      </c>
      <c r="L1531" s="30" t="s">
        <v>8533</v>
      </c>
      <c r="M1531" s="30" t="s">
        <v>63</v>
      </c>
      <c r="N1531" s="30" t="s">
        <v>142</v>
      </c>
      <c r="O1531" s="30" t="s">
        <v>64</v>
      </c>
      <c r="P1531" s="89" t="s">
        <v>301</v>
      </c>
      <c r="Q1531" s="89" t="s">
        <v>2016</v>
      </c>
      <c r="R1531" s="89" t="s">
        <v>643</v>
      </c>
      <c r="S1531" s="30">
        <v>0</v>
      </c>
      <c r="T1531" s="232">
        <v>0</v>
      </c>
      <c r="U1531" s="30">
        <v>0</v>
      </c>
      <c r="V1531" s="232">
        <v>0</v>
      </c>
      <c r="W1531" s="30">
        <v>0</v>
      </c>
      <c r="X1531" s="30">
        <v>0</v>
      </c>
      <c r="Y1531" s="30">
        <v>0</v>
      </c>
      <c r="Z1531" s="232">
        <v>0</v>
      </c>
      <c r="AA1531" s="30">
        <v>0</v>
      </c>
      <c r="AB1531" s="30">
        <v>0</v>
      </c>
      <c r="AC1531" s="30">
        <v>0</v>
      </c>
      <c r="AD1531" s="30">
        <v>0</v>
      </c>
      <c r="AE1531" s="89" t="s">
        <v>92</v>
      </c>
      <c r="AF1531" s="89"/>
      <c r="AG1531" s="89" t="s">
        <v>352</v>
      </c>
      <c r="AH1531" s="72">
        <v>41450</v>
      </c>
      <c r="AI1531" s="30">
        <v>1</v>
      </c>
      <c r="AJ1531" s="89" t="s">
        <v>8534</v>
      </c>
      <c r="AK1531" s="89" t="s">
        <v>68</v>
      </c>
      <c r="AL1531" s="91">
        <v>41453</v>
      </c>
      <c r="AM1531" s="91"/>
      <c r="AN1531" s="91"/>
      <c r="AO1531" s="91"/>
      <c r="AP1531" s="73" t="e">
        <f>MID(VLOOKUP(K1531,#REF!,2,FALSE),1,2)</f>
        <v>#REF!</v>
      </c>
      <c r="AQ1531" s="89">
        <f>DATE(2013,2,27)</f>
        <v>41332</v>
      </c>
      <c r="AR1531" s="82">
        <f t="shared" si="98"/>
        <v>27</v>
      </c>
      <c r="AS1531" s="83">
        <f t="shared" si="99"/>
        <v>2</v>
      </c>
      <c r="AT1531" s="84">
        <f t="shared" si="100"/>
        <v>2013</v>
      </c>
      <c r="AU1531" s="86"/>
      <c r="AV1531" s="86"/>
      <c r="AW1531" s="87"/>
      <c r="AX1531" s="86"/>
      <c r="AY1531" s="83"/>
      <c r="AZ1531" s="84"/>
      <c r="BA1531" s="86"/>
      <c r="BB1531" s="86"/>
    </row>
    <row r="1532" spans="1:54" ht="36.75" customHeight="1">
      <c r="A1532" s="98" t="s">
        <v>4910</v>
      </c>
      <c r="B1532" s="30" t="s">
        <v>55</v>
      </c>
      <c r="C1532" s="69" t="str">
        <f t="shared" si="97"/>
        <v>Closed</v>
      </c>
      <c r="D1532" s="27" t="s">
        <v>8535</v>
      </c>
      <c r="E1532" s="29" t="s">
        <v>8536</v>
      </c>
      <c r="F1532" s="30" t="s">
        <v>582</v>
      </c>
      <c r="G1532" s="89">
        <f>DATE(2013,3,2)</f>
        <v>41335</v>
      </c>
      <c r="H1532" s="90">
        <v>1.0680555555555555</v>
      </c>
      <c r="I1532" s="30" t="s">
        <v>73</v>
      </c>
      <c r="J1532" s="89" t="s">
        <v>8537</v>
      </c>
      <c r="K1532" s="30" t="s">
        <v>584</v>
      </c>
      <c r="L1532" s="30" t="s">
        <v>8538</v>
      </c>
      <c r="M1532" s="30" t="s">
        <v>63</v>
      </c>
      <c r="N1532" s="30" t="s">
        <v>142</v>
      </c>
      <c r="O1532" s="30" t="s">
        <v>77</v>
      </c>
      <c r="P1532" s="89" t="s">
        <v>78</v>
      </c>
      <c r="Q1532" s="89" t="s">
        <v>586</v>
      </c>
      <c r="R1532" s="89" t="s">
        <v>587</v>
      </c>
      <c r="S1532" s="30">
        <v>0</v>
      </c>
      <c r="T1532" s="101">
        <v>0</v>
      </c>
      <c r="U1532" s="30">
        <v>0</v>
      </c>
      <c r="V1532" s="101">
        <v>0</v>
      </c>
      <c r="W1532" s="30">
        <v>0</v>
      </c>
      <c r="X1532" s="30">
        <v>0</v>
      </c>
      <c r="Y1532" s="30">
        <v>0</v>
      </c>
      <c r="Z1532" s="101">
        <v>0</v>
      </c>
      <c r="AA1532" s="30">
        <v>0</v>
      </c>
      <c r="AB1532" s="30">
        <v>0</v>
      </c>
      <c r="AC1532" s="30">
        <v>0</v>
      </c>
      <c r="AD1532" s="30">
        <v>0</v>
      </c>
      <c r="AE1532" s="89" t="s">
        <v>68</v>
      </c>
      <c r="AF1532" s="89"/>
      <c r="AG1532" s="89" t="s">
        <v>133</v>
      </c>
      <c r="AH1532" s="72">
        <v>41421</v>
      </c>
      <c r="AI1532" s="30">
        <v>0</v>
      </c>
      <c r="AJ1532" s="89" t="s">
        <v>68</v>
      </c>
      <c r="AK1532" s="89" t="s">
        <v>68</v>
      </c>
      <c r="AL1532" s="91">
        <v>41423</v>
      </c>
      <c r="AM1532" s="91"/>
      <c r="AN1532" s="91"/>
      <c r="AO1532" s="91"/>
      <c r="AP1532" s="73" t="e">
        <f>MID(VLOOKUP(K1532,#REF!,2,FALSE),1,2)</f>
        <v>#REF!</v>
      </c>
      <c r="AQ1532" s="89">
        <f>DATE(2013,3,2)</f>
        <v>41335</v>
      </c>
      <c r="AR1532" s="82">
        <f t="shared" si="98"/>
        <v>2</v>
      </c>
      <c r="AS1532" s="83">
        <f t="shared" si="99"/>
        <v>3</v>
      </c>
      <c r="AT1532" s="84">
        <f t="shared" si="100"/>
        <v>2013</v>
      </c>
      <c r="AU1532" s="86"/>
      <c r="AV1532" s="86"/>
      <c r="AW1532" s="87"/>
      <c r="AX1532" s="86"/>
      <c r="AY1532" s="83"/>
      <c r="AZ1532" s="84"/>
      <c r="BA1532" s="86"/>
      <c r="BB1532" s="86"/>
    </row>
    <row r="1533" spans="1:54" ht="36.75" customHeight="1">
      <c r="A1533" s="30"/>
      <c r="B1533" s="30" t="s">
        <v>55</v>
      </c>
      <c r="C1533" s="69" t="str">
        <f t="shared" si="97"/>
        <v>Closed</v>
      </c>
      <c r="D1533" s="27" t="s">
        <v>8539</v>
      </c>
      <c r="E1533" s="29" t="s">
        <v>8540</v>
      </c>
      <c r="F1533" s="30" t="s">
        <v>638</v>
      </c>
      <c r="G1533" s="89">
        <f>DATE(2013,3,7)</f>
        <v>41340</v>
      </c>
      <c r="H1533" s="90">
        <v>1.5520833333333335</v>
      </c>
      <c r="I1533" s="30" t="s">
        <v>104</v>
      </c>
      <c r="J1533" s="89" t="s">
        <v>8541</v>
      </c>
      <c r="K1533" s="30" t="s">
        <v>640</v>
      </c>
      <c r="L1533" s="30" t="s">
        <v>8542</v>
      </c>
      <c r="M1533" s="30" t="s">
        <v>63</v>
      </c>
      <c r="N1533" s="30" t="s">
        <v>142</v>
      </c>
      <c r="O1533" s="30" t="s">
        <v>77</v>
      </c>
      <c r="P1533" s="89" t="s">
        <v>86</v>
      </c>
      <c r="Q1533" s="89" t="s">
        <v>642</v>
      </c>
      <c r="R1533" s="89" t="s">
        <v>643</v>
      </c>
      <c r="S1533" s="30">
        <v>0</v>
      </c>
      <c r="T1533" s="233">
        <v>0</v>
      </c>
      <c r="U1533" s="30">
        <v>0</v>
      </c>
      <c r="V1533" s="233">
        <v>0</v>
      </c>
      <c r="W1533" s="30">
        <v>0</v>
      </c>
      <c r="X1533" s="30">
        <v>0</v>
      </c>
      <c r="Y1533" s="30">
        <v>0</v>
      </c>
      <c r="Z1533" s="233">
        <v>0</v>
      </c>
      <c r="AA1533" s="30">
        <v>0</v>
      </c>
      <c r="AB1533" s="30">
        <v>0</v>
      </c>
      <c r="AC1533" s="30">
        <v>0</v>
      </c>
      <c r="AD1533" s="30">
        <v>0</v>
      </c>
      <c r="AE1533" s="89" t="s">
        <v>92</v>
      </c>
      <c r="AF1533" s="89"/>
      <c r="AG1533" s="89" t="s">
        <v>352</v>
      </c>
      <c r="AH1533" s="72">
        <v>41359</v>
      </c>
      <c r="AI1533" s="30">
        <v>0</v>
      </c>
      <c r="AJ1533" s="89" t="s">
        <v>8543</v>
      </c>
      <c r="AK1533" s="89" t="s">
        <v>68</v>
      </c>
      <c r="AL1533" s="91">
        <v>41366</v>
      </c>
      <c r="AM1533" s="91"/>
      <c r="AN1533" s="91"/>
      <c r="AO1533" s="91"/>
      <c r="AP1533" s="73" t="e">
        <f>MID(VLOOKUP(K1533,#REF!,2,FALSE),1,2)</f>
        <v>#REF!</v>
      </c>
      <c r="AQ1533" s="89">
        <f>DATE(2013,3,7)</f>
        <v>41340</v>
      </c>
      <c r="AR1533" s="82">
        <f t="shared" si="98"/>
        <v>7</v>
      </c>
      <c r="AS1533" s="83">
        <f t="shared" si="99"/>
        <v>3</v>
      </c>
      <c r="AT1533" s="84">
        <f t="shared" si="100"/>
        <v>2013</v>
      </c>
      <c r="AU1533" s="86"/>
      <c r="AV1533" s="86"/>
      <c r="AW1533" s="87"/>
      <c r="AX1533" s="86"/>
      <c r="AY1533" s="83"/>
      <c r="AZ1533" s="84"/>
      <c r="BA1533" s="86"/>
      <c r="BB1533" s="86"/>
    </row>
    <row r="1534" spans="1:54" ht="36.75" customHeight="1">
      <c r="A1534" s="30"/>
      <c r="B1534" s="30" t="s">
        <v>55</v>
      </c>
      <c r="C1534" s="69" t="str">
        <f t="shared" si="97"/>
        <v>Closed</v>
      </c>
      <c r="D1534" s="27" t="s">
        <v>8544</v>
      </c>
      <c r="E1534" s="29" t="s">
        <v>8545</v>
      </c>
      <c r="F1534" s="30" t="s">
        <v>233</v>
      </c>
      <c r="G1534" s="89">
        <f>DATE(2013,3,8)</f>
        <v>41341</v>
      </c>
      <c r="H1534" s="90">
        <v>1.4229166666666666</v>
      </c>
      <c r="I1534" s="30" t="s">
        <v>5494</v>
      </c>
      <c r="J1534" s="89" t="s">
        <v>8546</v>
      </c>
      <c r="K1534" s="30" t="s">
        <v>235</v>
      </c>
      <c r="L1534" s="30" t="s">
        <v>8547</v>
      </c>
      <c r="M1534" s="30" t="s">
        <v>63</v>
      </c>
      <c r="N1534" s="30" t="s">
        <v>142</v>
      </c>
      <c r="O1534" s="30" t="s">
        <v>64</v>
      </c>
      <c r="P1534" s="89" t="s">
        <v>6941</v>
      </c>
      <c r="Q1534" s="89" t="s">
        <v>718</v>
      </c>
      <c r="R1534" s="89" t="s">
        <v>238</v>
      </c>
      <c r="S1534" s="30">
        <v>0</v>
      </c>
      <c r="T1534" s="233">
        <v>0</v>
      </c>
      <c r="U1534" s="30">
        <v>0</v>
      </c>
      <c r="V1534" s="233">
        <v>0</v>
      </c>
      <c r="W1534" s="30">
        <v>0</v>
      </c>
      <c r="X1534" s="30">
        <v>0</v>
      </c>
      <c r="Y1534" s="30">
        <v>0</v>
      </c>
      <c r="Z1534" s="233">
        <v>0</v>
      </c>
      <c r="AA1534" s="30">
        <v>0</v>
      </c>
      <c r="AB1534" s="30">
        <v>0</v>
      </c>
      <c r="AC1534" s="30">
        <v>0</v>
      </c>
      <c r="AD1534" s="30">
        <v>0</v>
      </c>
      <c r="AE1534" s="89" t="s">
        <v>92</v>
      </c>
      <c r="AF1534" s="89"/>
      <c r="AG1534" s="89" t="s">
        <v>133</v>
      </c>
      <c r="AH1534" s="72">
        <v>41351</v>
      </c>
      <c r="AI1534" s="30">
        <v>5</v>
      </c>
      <c r="AJ1534" s="89" t="s">
        <v>8548</v>
      </c>
      <c r="AK1534" s="89" t="s">
        <v>8549</v>
      </c>
      <c r="AL1534" s="91">
        <v>41367</v>
      </c>
      <c r="AM1534" s="91"/>
      <c r="AN1534" s="91"/>
      <c r="AO1534" s="91"/>
      <c r="AP1534" s="73" t="e">
        <f>MID(VLOOKUP(K1534,#REF!,2,FALSE),1,2)</f>
        <v>#REF!</v>
      </c>
      <c r="AQ1534" s="89">
        <f>DATE(2013,3,8)</f>
        <v>41341</v>
      </c>
      <c r="AR1534" s="82">
        <f t="shared" si="98"/>
        <v>8</v>
      </c>
      <c r="AS1534" s="83">
        <f t="shared" si="99"/>
        <v>3</v>
      </c>
      <c r="AT1534" s="84">
        <f t="shared" si="100"/>
        <v>2013</v>
      </c>
      <c r="AU1534" s="86"/>
      <c r="AV1534" s="86"/>
      <c r="AW1534" s="87"/>
      <c r="AX1534" s="86"/>
      <c r="AY1534" s="83"/>
      <c r="AZ1534" s="84"/>
      <c r="BA1534" s="86"/>
      <c r="BB1534" s="86"/>
    </row>
    <row r="1535" spans="1:54" ht="36.75" customHeight="1">
      <c r="A1535" s="30"/>
      <c r="B1535" s="30" t="s">
        <v>55</v>
      </c>
      <c r="C1535" s="69" t="str">
        <f t="shared" si="97"/>
        <v>Closed</v>
      </c>
      <c r="D1535" s="27" t="s">
        <v>8550</v>
      </c>
      <c r="E1535" s="29" t="s">
        <v>8551</v>
      </c>
      <c r="F1535" s="30" t="s">
        <v>423</v>
      </c>
      <c r="G1535" s="89">
        <f>DATE(2013,3,12)</f>
        <v>41345</v>
      </c>
      <c r="H1535" s="90">
        <v>1.682638888888889</v>
      </c>
      <c r="I1535" s="30" t="s">
        <v>73</v>
      </c>
      <c r="J1535" s="89" t="s">
        <v>8552</v>
      </c>
      <c r="K1535" s="30" t="s">
        <v>425</v>
      </c>
      <c r="L1535" s="30" t="s">
        <v>8553</v>
      </c>
      <c r="M1535" s="30" t="s">
        <v>63</v>
      </c>
      <c r="N1535" s="30" t="s">
        <v>89</v>
      </c>
      <c r="O1535" s="30" t="s">
        <v>77</v>
      </c>
      <c r="P1535" s="89" t="s">
        <v>78</v>
      </c>
      <c r="Q1535" s="89" t="s">
        <v>2582</v>
      </c>
      <c r="R1535" s="89" t="s">
        <v>3103</v>
      </c>
      <c r="S1535" s="30">
        <v>0</v>
      </c>
      <c r="T1535" s="233">
        <v>0</v>
      </c>
      <c r="U1535" s="30">
        <v>0</v>
      </c>
      <c r="V1535" s="233">
        <v>0</v>
      </c>
      <c r="W1535" s="30">
        <v>0</v>
      </c>
      <c r="X1535" s="30">
        <v>0</v>
      </c>
      <c r="Y1535" s="30">
        <v>0</v>
      </c>
      <c r="Z1535" s="233">
        <v>0</v>
      </c>
      <c r="AA1535" s="30">
        <v>0</v>
      </c>
      <c r="AB1535" s="30">
        <v>0</v>
      </c>
      <c r="AC1535" s="30">
        <v>0</v>
      </c>
      <c r="AD1535" s="30">
        <v>0</v>
      </c>
      <c r="AE1535" s="89" t="s">
        <v>92</v>
      </c>
      <c r="AF1535" s="89"/>
      <c r="AG1535" s="89" t="s">
        <v>133</v>
      </c>
      <c r="AH1535" s="72">
        <v>41354</v>
      </c>
      <c r="AI1535" s="30">
        <v>3</v>
      </c>
      <c r="AJ1535" s="89" t="s">
        <v>8554</v>
      </c>
      <c r="AK1535" s="89" t="s">
        <v>8555</v>
      </c>
      <c r="AL1535" s="91">
        <v>41355</v>
      </c>
      <c r="AM1535" s="91"/>
      <c r="AN1535" s="91"/>
      <c r="AO1535" s="91"/>
      <c r="AP1535" s="73" t="e">
        <f>MID(VLOOKUP(K1535,#REF!,2,FALSE),1,2)</f>
        <v>#REF!</v>
      </c>
      <c r="AQ1535" s="89">
        <f>DATE(2013,3,12)</f>
        <v>41345</v>
      </c>
      <c r="AR1535" s="82">
        <f t="shared" si="98"/>
        <v>12</v>
      </c>
      <c r="AS1535" s="83">
        <f t="shared" si="99"/>
        <v>3</v>
      </c>
      <c r="AT1535" s="84">
        <f t="shared" si="100"/>
        <v>2013</v>
      </c>
      <c r="AU1535" s="86"/>
      <c r="AV1535" s="86"/>
      <c r="AW1535" s="87"/>
      <c r="AX1535" s="86"/>
      <c r="AY1535" s="83"/>
      <c r="AZ1535" s="84"/>
      <c r="BA1535" s="86"/>
      <c r="BB1535" s="86"/>
    </row>
    <row r="1536" spans="1:54" ht="36.75" customHeight="1">
      <c r="A1536" s="30"/>
      <c r="B1536" s="30" t="s">
        <v>55</v>
      </c>
      <c r="C1536" s="69" t="str">
        <f t="shared" si="97"/>
        <v>Closed</v>
      </c>
      <c r="D1536" s="27" t="s">
        <v>8556</v>
      </c>
      <c r="E1536" s="29" t="s">
        <v>8557</v>
      </c>
      <c r="F1536" s="30" t="s">
        <v>1572</v>
      </c>
      <c r="G1536" s="89">
        <f>DATE(2013,3,12)</f>
        <v>41345</v>
      </c>
      <c r="H1536" s="90">
        <v>1.4826388888888888</v>
      </c>
      <c r="I1536" s="30" t="s">
        <v>73</v>
      </c>
      <c r="J1536" s="89" t="s">
        <v>8558</v>
      </c>
      <c r="K1536" s="30" t="s">
        <v>1574</v>
      </c>
      <c r="L1536" s="30" t="s">
        <v>8559</v>
      </c>
      <c r="M1536" s="30" t="s">
        <v>63</v>
      </c>
      <c r="N1536" s="30" t="s">
        <v>99</v>
      </c>
      <c r="O1536" s="30" t="s">
        <v>77</v>
      </c>
      <c r="P1536" s="89" t="s">
        <v>165</v>
      </c>
      <c r="Q1536" s="89" t="s">
        <v>5170</v>
      </c>
      <c r="R1536" s="89" t="s">
        <v>6434</v>
      </c>
      <c r="S1536" s="30">
        <v>0</v>
      </c>
      <c r="T1536" s="233">
        <v>0</v>
      </c>
      <c r="U1536" s="30">
        <v>0</v>
      </c>
      <c r="V1536" s="233">
        <v>0</v>
      </c>
      <c r="W1536" s="30">
        <v>0</v>
      </c>
      <c r="X1536" s="30">
        <v>0</v>
      </c>
      <c r="Y1536" s="30">
        <v>0</v>
      </c>
      <c r="Z1536" s="233">
        <v>0</v>
      </c>
      <c r="AA1536" s="30">
        <v>0</v>
      </c>
      <c r="AB1536" s="30">
        <v>0</v>
      </c>
      <c r="AC1536" s="30">
        <v>0</v>
      </c>
      <c r="AD1536" s="30">
        <v>0</v>
      </c>
      <c r="AE1536" s="89" t="s">
        <v>92</v>
      </c>
      <c r="AF1536" s="89"/>
      <c r="AG1536" s="89" t="s">
        <v>133</v>
      </c>
      <c r="AH1536" s="72">
        <v>41346</v>
      </c>
      <c r="AI1536" s="30">
        <v>0</v>
      </c>
      <c r="AJ1536" s="89" t="s">
        <v>8560</v>
      </c>
      <c r="AK1536" s="89" t="s">
        <v>8561</v>
      </c>
      <c r="AL1536" s="91">
        <v>41347</v>
      </c>
      <c r="AM1536" s="91"/>
      <c r="AN1536" s="91"/>
      <c r="AO1536" s="91"/>
      <c r="AP1536" s="73" t="e">
        <f>MID(VLOOKUP(K1536,#REF!,2,FALSE),1,2)</f>
        <v>#REF!</v>
      </c>
      <c r="AQ1536" s="89">
        <f>DATE(2013,3,12)</f>
        <v>41345</v>
      </c>
      <c r="AR1536" s="82">
        <f t="shared" si="98"/>
        <v>12</v>
      </c>
      <c r="AS1536" s="83">
        <f t="shared" si="99"/>
        <v>3</v>
      </c>
      <c r="AT1536" s="84">
        <f t="shared" si="100"/>
        <v>2013</v>
      </c>
      <c r="AU1536" s="86"/>
      <c r="AV1536" s="86"/>
      <c r="AW1536" s="87"/>
      <c r="AX1536" s="86"/>
      <c r="AY1536" s="83"/>
      <c r="AZ1536" s="84"/>
      <c r="BA1536" s="86"/>
      <c r="BB1536" s="86"/>
    </row>
    <row r="1537" spans="1:54" ht="36.75" customHeight="1">
      <c r="A1537" s="30"/>
      <c r="B1537" s="30" t="s">
        <v>55</v>
      </c>
      <c r="C1537" s="69" t="str">
        <f t="shared" si="97"/>
        <v>Closed</v>
      </c>
      <c r="D1537" s="27" t="s">
        <v>8562</v>
      </c>
      <c r="E1537" s="29" t="s">
        <v>8563</v>
      </c>
      <c r="F1537" s="30" t="s">
        <v>1572</v>
      </c>
      <c r="G1537" s="89">
        <f>DATE(2013,3,14)</f>
        <v>41347</v>
      </c>
      <c r="H1537" s="90">
        <v>1.8958333333333335</v>
      </c>
      <c r="I1537" s="30" t="s">
        <v>73</v>
      </c>
      <c r="J1537" s="89" t="s">
        <v>8564</v>
      </c>
      <c r="K1537" s="30" t="s">
        <v>1574</v>
      </c>
      <c r="L1537" s="30" t="s">
        <v>8565</v>
      </c>
      <c r="M1537" s="30" t="s">
        <v>63</v>
      </c>
      <c r="N1537" s="30" t="s">
        <v>142</v>
      </c>
      <c r="O1537" s="30" t="s">
        <v>77</v>
      </c>
      <c r="P1537" s="89" t="s">
        <v>78</v>
      </c>
      <c r="Q1537" s="89" t="s">
        <v>2655</v>
      </c>
      <c r="R1537" s="89" t="s">
        <v>6434</v>
      </c>
      <c r="S1537" s="30">
        <v>0</v>
      </c>
      <c r="T1537" s="233">
        <v>0</v>
      </c>
      <c r="U1537" s="30">
        <v>0</v>
      </c>
      <c r="V1537" s="233">
        <v>0</v>
      </c>
      <c r="W1537" s="30">
        <v>0</v>
      </c>
      <c r="X1537" s="30">
        <v>0</v>
      </c>
      <c r="Y1537" s="30">
        <v>0</v>
      </c>
      <c r="Z1537" s="233">
        <v>0</v>
      </c>
      <c r="AA1537" s="30">
        <v>0</v>
      </c>
      <c r="AB1537" s="30">
        <v>0</v>
      </c>
      <c r="AC1537" s="30">
        <v>0</v>
      </c>
      <c r="AD1537" s="30">
        <v>0</v>
      </c>
      <c r="AE1537" s="89" t="s">
        <v>92</v>
      </c>
      <c r="AF1537" s="89"/>
      <c r="AG1537" s="89" t="s">
        <v>133</v>
      </c>
      <c r="AH1537" s="72">
        <v>41348</v>
      </c>
      <c r="AI1537" s="30">
        <v>0</v>
      </c>
      <c r="AJ1537" s="89" t="s">
        <v>8566</v>
      </c>
      <c r="AK1537" s="89" t="s">
        <v>8567</v>
      </c>
      <c r="AL1537" s="91">
        <v>41352</v>
      </c>
      <c r="AM1537" s="91"/>
      <c r="AN1537" s="91"/>
      <c r="AO1537" s="91"/>
      <c r="AP1537" s="73" t="e">
        <f>MID(VLOOKUP(K1537,#REF!,2,FALSE),1,2)</f>
        <v>#REF!</v>
      </c>
      <c r="AQ1537" s="89">
        <f>DATE(2013,3,14)</f>
        <v>41347</v>
      </c>
      <c r="AR1537" s="82">
        <f t="shared" si="98"/>
        <v>14</v>
      </c>
      <c r="AS1537" s="83">
        <f t="shared" si="99"/>
        <v>3</v>
      </c>
      <c r="AT1537" s="84">
        <f t="shared" si="100"/>
        <v>2013</v>
      </c>
      <c r="AU1537" s="86"/>
      <c r="AV1537" s="86"/>
      <c r="AW1537" s="87"/>
      <c r="AX1537" s="86"/>
      <c r="AY1537" s="83"/>
      <c r="AZ1537" s="84"/>
      <c r="BA1537" s="86"/>
      <c r="BB1537" s="86"/>
    </row>
    <row r="1538" spans="1:54" ht="36.75" customHeight="1">
      <c r="A1538" s="30"/>
      <c r="B1538" s="30" t="s">
        <v>55</v>
      </c>
      <c r="C1538" s="69" t="str">
        <f t="shared" ref="C1538:C1601" si="101">IF(B1538="Notification","Open",IF(B1538="Interim Statement","In progress","Closed"))</f>
        <v>Closed</v>
      </c>
      <c r="D1538" s="27" t="s">
        <v>8568</v>
      </c>
      <c r="E1538" s="29" t="s">
        <v>8569</v>
      </c>
      <c r="F1538" s="30" t="s">
        <v>233</v>
      </c>
      <c r="G1538" s="89">
        <f>DATE(2013,3,21)</f>
        <v>41354</v>
      </c>
      <c r="H1538" s="90">
        <v>1.2659722222222223</v>
      </c>
      <c r="I1538" s="30" t="s">
        <v>116</v>
      </c>
      <c r="J1538" s="89" t="s">
        <v>8570</v>
      </c>
      <c r="K1538" s="30" t="s">
        <v>235</v>
      </c>
      <c r="L1538" s="30" t="s">
        <v>8571</v>
      </c>
      <c r="M1538" s="30" t="s">
        <v>63</v>
      </c>
      <c r="N1538" s="30" t="s">
        <v>142</v>
      </c>
      <c r="O1538" s="30" t="s">
        <v>64</v>
      </c>
      <c r="P1538" s="89" t="s">
        <v>6941</v>
      </c>
      <c r="Q1538" s="89" t="s">
        <v>1428</v>
      </c>
      <c r="R1538" s="89" t="s">
        <v>238</v>
      </c>
      <c r="S1538" s="30">
        <v>0</v>
      </c>
      <c r="T1538" s="233">
        <v>0</v>
      </c>
      <c r="U1538" s="30">
        <v>1</v>
      </c>
      <c r="V1538" s="233">
        <v>0</v>
      </c>
      <c r="W1538" s="30">
        <v>0</v>
      </c>
      <c r="X1538" s="30">
        <v>1</v>
      </c>
      <c r="Y1538" s="30">
        <v>0</v>
      </c>
      <c r="Z1538" s="233">
        <v>0</v>
      </c>
      <c r="AA1538" s="30">
        <v>0</v>
      </c>
      <c r="AB1538" s="30">
        <v>0</v>
      </c>
      <c r="AC1538" s="30">
        <v>0</v>
      </c>
      <c r="AD1538" s="30">
        <v>0</v>
      </c>
      <c r="AE1538" s="89" t="s">
        <v>92</v>
      </c>
      <c r="AF1538" s="89"/>
      <c r="AG1538" s="89" t="s">
        <v>82</v>
      </c>
      <c r="AH1538" s="72">
        <v>41366</v>
      </c>
      <c r="AI1538" s="30">
        <v>4</v>
      </c>
      <c r="AJ1538" s="89" t="s">
        <v>8572</v>
      </c>
      <c r="AK1538" s="89" t="s">
        <v>8573</v>
      </c>
      <c r="AL1538" s="91">
        <v>41393</v>
      </c>
      <c r="AM1538" s="91"/>
      <c r="AN1538" s="91"/>
      <c r="AO1538" s="91"/>
      <c r="AP1538" s="73" t="e">
        <f>MID(VLOOKUP(K1538,#REF!,2,FALSE),1,2)</f>
        <v>#REF!</v>
      </c>
      <c r="AQ1538" s="89">
        <f>DATE(2013,3,21)</f>
        <v>41354</v>
      </c>
      <c r="AR1538" s="82">
        <f t="shared" ref="AR1538:AR1601" si="102">DAY(AQ1538)</f>
        <v>21</v>
      </c>
      <c r="AS1538" s="83">
        <f t="shared" ref="AS1538:AS1601" si="103">MONTH(AQ1538)</f>
        <v>3</v>
      </c>
      <c r="AT1538" s="84">
        <f t="shared" ref="AT1538:AT1601" si="104">YEAR(AQ1538)</f>
        <v>2013</v>
      </c>
      <c r="AU1538" s="86"/>
      <c r="AV1538" s="86"/>
      <c r="AW1538" s="87"/>
      <c r="AX1538" s="86"/>
      <c r="AY1538" s="83"/>
      <c r="AZ1538" s="84"/>
      <c r="BA1538" s="86"/>
      <c r="BB1538" s="86"/>
    </row>
    <row r="1539" spans="1:54" ht="36.75" customHeight="1">
      <c r="A1539" s="30"/>
      <c r="B1539" s="30" t="s">
        <v>55</v>
      </c>
      <c r="C1539" s="69" t="str">
        <f t="shared" si="101"/>
        <v>Closed</v>
      </c>
      <c r="D1539" s="27" t="s">
        <v>8574</v>
      </c>
      <c r="E1539" s="29" t="s">
        <v>8575</v>
      </c>
      <c r="F1539" s="30" t="s">
        <v>1938</v>
      </c>
      <c r="G1539" s="89">
        <f>DATE(2013,3,23)</f>
        <v>41356</v>
      </c>
      <c r="H1539" s="90">
        <v>0</v>
      </c>
      <c r="I1539" s="30" t="s">
        <v>2078</v>
      </c>
      <c r="J1539" s="89" t="s">
        <v>8576</v>
      </c>
      <c r="K1539" s="30" t="s">
        <v>1940</v>
      </c>
      <c r="L1539" s="30" t="s">
        <v>8577</v>
      </c>
      <c r="M1539" s="30" t="s">
        <v>63</v>
      </c>
      <c r="N1539" s="30" t="s">
        <v>99</v>
      </c>
      <c r="O1539" s="30" t="s">
        <v>64</v>
      </c>
      <c r="P1539" s="89" t="s">
        <v>6941</v>
      </c>
      <c r="Q1539" s="89" t="s">
        <v>1942</v>
      </c>
      <c r="R1539" s="89" t="s">
        <v>1942</v>
      </c>
      <c r="S1539" s="30">
        <v>0</v>
      </c>
      <c r="T1539" s="233">
        <v>0</v>
      </c>
      <c r="U1539" s="30">
        <v>0</v>
      </c>
      <c r="V1539" s="233">
        <v>0</v>
      </c>
      <c r="W1539" s="30">
        <v>0</v>
      </c>
      <c r="X1539" s="30">
        <v>0</v>
      </c>
      <c r="Y1539" s="30">
        <v>0</v>
      </c>
      <c r="Z1539" s="233">
        <v>0</v>
      </c>
      <c r="AA1539" s="30">
        <v>0</v>
      </c>
      <c r="AB1539" s="30">
        <v>0</v>
      </c>
      <c r="AC1539" s="30">
        <v>0</v>
      </c>
      <c r="AD1539" s="30">
        <v>0</v>
      </c>
      <c r="AE1539" s="89" t="s">
        <v>92</v>
      </c>
      <c r="AF1539" s="89"/>
      <c r="AG1539" s="89" t="s">
        <v>1507</v>
      </c>
      <c r="AH1539" s="72">
        <v>41358</v>
      </c>
      <c r="AI1539" s="30">
        <v>3</v>
      </c>
      <c r="AJ1539" s="89" t="s">
        <v>8578</v>
      </c>
      <c r="AK1539" s="89" t="s">
        <v>68</v>
      </c>
      <c r="AL1539" s="91">
        <v>41366</v>
      </c>
      <c r="AM1539" s="91"/>
      <c r="AN1539" s="91"/>
      <c r="AO1539" s="91"/>
      <c r="AP1539" s="73" t="e">
        <f>MID(VLOOKUP(K1539,#REF!,2,FALSE),1,2)</f>
        <v>#REF!</v>
      </c>
      <c r="AQ1539" s="89">
        <f>DATE(2013,3,23)</f>
        <v>41356</v>
      </c>
      <c r="AR1539" s="82">
        <f t="shared" si="102"/>
        <v>23</v>
      </c>
      <c r="AS1539" s="83">
        <f t="shared" si="103"/>
        <v>3</v>
      </c>
      <c r="AT1539" s="84">
        <f t="shared" si="104"/>
        <v>2013</v>
      </c>
      <c r="AU1539" s="86"/>
      <c r="AV1539" s="86"/>
      <c r="AW1539" s="87"/>
      <c r="AX1539" s="86"/>
      <c r="AY1539" s="83"/>
      <c r="AZ1539" s="84"/>
      <c r="BA1539" s="86"/>
      <c r="BB1539" s="86"/>
    </row>
    <row r="1540" spans="1:54" ht="36.75" customHeight="1">
      <c r="A1540" s="30"/>
      <c r="B1540" s="30" t="s">
        <v>55</v>
      </c>
      <c r="C1540" s="69" t="str">
        <f t="shared" si="101"/>
        <v>Closed</v>
      </c>
      <c r="D1540" s="27" t="s">
        <v>8579</v>
      </c>
      <c r="E1540" s="29" t="s">
        <v>8580</v>
      </c>
      <c r="F1540" s="30" t="s">
        <v>423</v>
      </c>
      <c r="G1540" s="89">
        <f>DATE(2013,3,24)</f>
        <v>41357</v>
      </c>
      <c r="H1540" s="90">
        <v>1.6354166666666665</v>
      </c>
      <c r="I1540" s="30" t="s">
        <v>73</v>
      </c>
      <c r="J1540" s="89" t="s">
        <v>8581</v>
      </c>
      <c r="K1540" s="30" t="s">
        <v>425</v>
      </c>
      <c r="L1540" s="30" t="s">
        <v>8582</v>
      </c>
      <c r="M1540" s="30" t="s">
        <v>63</v>
      </c>
      <c r="N1540" s="30" t="s">
        <v>99</v>
      </c>
      <c r="O1540" s="30" t="s">
        <v>64</v>
      </c>
      <c r="P1540" s="89" t="s">
        <v>65</v>
      </c>
      <c r="Q1540" s="89" t="s">
        <v>427</v>
      </c>
      <c r="R1540" s="89" t="s">
        <v>3103</v>
      </c>
      <c r="S1540" s="30">
        <v>0</v>
      </c>
      <c r="T1540" s="233">
        <v>0</v>
      </c>
      <c r="U1540" s="30">
        <v>0</v>
      </c>
      <c r="V1540" s="233">
        <v>0</v>
      </c>
      <c r="W1540" s="30">
        <v>0</v>
      </c>
      <c r="X1540" s="30">
        <v>0</v>
      </c>
      <c r="Y1540" s="30">
        <v>0</v>
      </c>
      <c r="Z1540" s="233">
        <v>0</v>
      </c>
      <c r="AA1540" s="30">
        <v>0</v>
      </c>
      <c r="AB1540" s="30">
        <v>0</v>
      </c>
      <c r="AC1540" s="30">
        <v>0</v>
      </c>
      <c r="AD1540" s="30">
        <v>0</v>
      </c>
      <c r="AE1540" s="89" t="s">
        <v>92</v>
      </c>
      <c r="AF1540" s="89"/>
      <c r="AG1540" s="89" t="s">
        <v>133</v>
      </c>
      <c r="AH1540" s="72">
        <v>41358</v>
      </c>
      <c r="AI1540" s="30">
        <v>3</v>
      </c>
      <c r="AJ1540" s="89" t="s">
        <v>8583</v>
      </c>
      <c r="AK1540" s="89" t="s">
        <v>8584</v>
      </c>
      <c r="AL1540" s="91">
        <v>41362</v>
      </c>
      <c r="AM1540" s="91"/>
      <c r="AN1540" s="91"/>
      <c r="AO1540" s="91"/>
      <c r="AP1540" s="73" t="e">
        <f>MID(VLOOKUP(K1540,#REF!,2,FALSE),1,2)</f>
        <v>#REF!</v>
      </c>
      <c r="AQ1540" s="89">
        <f>DATE(2013,3,24)</f>
        <v>41357</v>
      </c>
      <c r="AR1540" s="82">
        <f t="shared" si="102"/>
        <v>24</v>
      </c>
      <c r="AS1540" s="83">
        <f t="shared" si="103"/>
        <v>3</v>
      </c>
      <c r="AT1540" s="84">
        <f t="shared" si="104"/>
        <v>2013</v>
      </c>
      <c r="AU1540" s="86"/>
      <c r="AV1540" s="86"/>
      <c r="AW1540" s="87"/>
      <c r="AX1540" s="86"/>
      <c r="AY1540" s="83"/>
      <c r="AZ1540" s="84"/>
      <c r="BA1540" s="86"/>
      <c r="BB1540" s="86"/>
    </row>
    <row r="1541" spans="1:54" ht="36.75" customHeight="1">
      <c r="A1541" s="30"/>
      <c r="B1541" s="30" t="s">
        <v>55</v>
      </c>
      <c r="C1541" s="69" t="str">
        <f t="shared" si="101"/>
        <v>Closed</v>
      </c>
      <c r="D1541" s="27" t="s">
        <v>8585</v>
      </c>
      <c r="E1541" s="29" t="s">
        <v>8586</v>
      </c>
      <c r="F1541" s="30" t="s">
        <v>638</v>
      </c>
      <c r="G1541" s="89">
        <f>DATE(2013,3,26)</f>
        <v>41359</v>
      </c>
      <c r="H1541" s="90">
        <v>1.0416666666666667</v>
      </c>
      <c r="I1541" s="30" t="s">
        <v>73</v>
      </c>
      <c r="J1541" s="89" t="s">
        <v>8587</v>
      </c>
      <c r="K1541" s="30" t="s">
        <v>640</v>
      </c>
      <c r="L1541" s="30" t="s">
        <v>8588</v>
      </c>
      <c r="M1541" s="30" t="s">
        <v>63</v>
      </c>
      <c r="N1541" s="30" t="s">
        <v>142</v>
      </c>
      <c r="O1541" s="30" t="s">
        <v>64</v>
      </c>
      <c r="P1541" s="89" t="s">
        <v>301</v>
      </c>
      <c r="Q1541" s="89">
        <v>0</v>
      </c>
      <c r="R1541" s="89" t="s">
        <v>643</v>
      </c>
      <c r="S1541" s="30">
        <v>0</v>
      </c>
      <c r="T1541" s="233">
        <v>0</v>
      </c>
      <c r="U1541" s="30">
        <v>0</v>
      </c>
      <c r="V1541" s="233">
        <v>0</v>
      </c>
      <c r="W1541" s="30">
        <v>0</v>
      </c>
      <c r="X1541" s="30">
        <v>0</v>
      </c>
      <c r="Y1541" s="30">
        <v>0</v>
      </c>
      <c r="Z1541" s="233">
        <v>0</v>
      </c>
      <c r="AA1541" s="30">
        <v>0</v>
      </c>
      <c r="AB1541" s="30">
        <v>0</v>
      </c>
      <c r="AC1541" s="30">
        <v>0</v>
      </c>
      <c r="AD1541" s="30">
        <v>0</v>
      </c>
      <c r="AE1541" s="89" t="s">
        <v>92</v>
      </c>
      <c r="AF1541" s="89"/>
      <c r="AG1541" s="89" t="s">
        <v>352</v>
      </c>
      <c r="AH1541" s="72">
        <v>41422</v>
      </c>
      <c r="AI1541" s="30">
        <v>1</v>
      </c>
      <c r="AJ1541" s="89" t="s">
        <v>8589</v>
      </c>
      <c r="AK1541" s="89" t="s">
        <v>68</v>
      </c>
      <c r="AL1541" s="91">
        <v>41428</v>
      </c>
      <c r="AM1541" s="91"/>
      <c r="AN1541" s="91"/>
      <c r="AO1541" s="91"/>
      <c r="AP1541" s="73" t="e">
        <f>MID(VLOOKUP(K1541,#REF!,2,FALSE),1,2)</f>
        <v>#REF!</v>
      </c>
      <c r="AQ1541" s="89">
        <f>DATE(2013,3,26)</f>
        <v>41359</v>
      </c>
      <c r="AR1541" s="82">
        <f t="shared" si="102"/>
        <v>26</v>
      </c>
      <c r="AS1541" s="83">
        <f t="shared" si="103"/>
        <v>3</v>
      </c>
      <c r="AT1541" s="84">
        <f t="shared" si="104"/>
        <v>2013</v>
      </c>
      <c r="AU1541" s="86"/>
      <c r="AV1541" s="86"/>
      <c r="AW1541" s="87"/>
      <c r="AX1541" s="86"/>
      <c r="AY1541" s="83"/>
      <c r="AZ1541" s="84"/>
      <c r="BA1541" s="86"/>
      <c r="BB1541" s="86"/>
    </row>
    <row r="1542" spans="1:54" ht="36.75" customHeight="1">
      <c r="A1542" s="30"/>
      <c r="B1542" s="30" t="s">
        <v>55</v>
      </c>
      <c r="C1542" s="69" t="str">
        <f t="shared" si="101"/>
        <v>Closed</v>
      </c>
      <c r="D1542" s="27" t="s">
        <v>8590</v>
      </c>
      <c r="E1542" s="29" t="s">
        <v>8591</v>
      </c>
      <c r="F1542" s="30" t="s">
        <v>197</v>
      </c>
      <c r="G1542" s="89">
        <f>DATE(2013,3,27)</f>
        <v>41360</v>
      </c>
      <c r="H1542" s="90">
        <v>1.9895833333333335</v>
      </c>
      <c r="I1542" s="30" t="s">
        <v>198</v>
      </c>
      <c r="J1542" s="89" t="s">
        <v>8592</v>
      </c>
      <c r="K1542" s="30" t="s">
        <v>200</v>
      </c>
      <c r="L1542" s="30" t="s">
        <v>8593</v>
      </c>
      <c r="M1542" s="30" t="s">
        <v>63</v>
      </c>
      <c r="N1542" s="30" t="s">
        <v>142</v>
      </c>
      <c r="O1542" s="30" t="s">
        <v>77</v>
      </c>
      <c r="P1542" s="89" t="s">
        <v>1229</v>
      </c>
      <c r="Q1542" s="89" t="s">
        <v>8594</v>
      </c>
      <c r="R1542" s="89" t="s">
        <v>203</v>
      </c>
      <c r="S1542" s="30">
        <v>0</v>
      </c>
      <c r="T1542" s="233">
        <v>2</v>
      </c>
      <c r="U1542" s="30">
        <v>0</v>
      </c>
      <c r="V1542" s="233">
        <v>0</v>
      </c>
      <c r="W1542" s="30">
        <v>0</v>
      </c>
      <c r="X1542" s="30">
        <v>2</v>
      </c>
      <c r="Y1542" s="30">
        <v>0</v>
      </c>
      <c r="Z1542" s="233">
        <v>1</v>
      </c>
      <c r="AA1542" s="30">
        <v>0</v>
      </c>
      <c r="AB1542" s="30">
        <v>0</v>
      </c>
      <c r="AC1542" s="30">
        <v>0</v>
      </c>
      <c r="AD1542" s="30">
        <v>1</v>
      </c>
      <c r="AE1542" s="89" t="s">
        <v>145</v>
      </c>
      <c r="AF1542" s="89"/>
      <c r="AG1542" s="89" t="s">
        <v>82</v>
      </c>
      <c r="AH1542" s="72">
        <v>41361</v>
      </c>
      <c r="AI1542" s="30">
        <v>6</v>
      </c>
      <c r="AJ1542" s="89" t="s">
        <v>8595</v>
      </c>
      <c r="AK1542" s="89" t="s">
        <v>1233</v>
      </c>
      <c r="AL1542" s="91">
        <v>41372</v>
      </c>
      <c r="AM1542" s="91"/>
      <c r="AN1542" s="91"/>
      <c r="AO1542" s="91"/>
      <c r="AP1542" s="73" t="e">
        <f>MID(VLOOKUP(K1542,#REF!,2,FALSE),1,2)</f>
        <v>#REF!</v>
      </c>
      <c r="AQ1542" s="89">
        <f>DATE(2013,3,27)</f>
        <v>41360</v>
      </c>
      <c r="AR1542" s="82">
        <f t="shared" si="102"/>
        <v>27</v>
      </c>
      <c r="AS1542" s="83">
        <f t="shared" si="103"/>
        <v>3</v>
      </c>
      <c r="AT1542" s="84">
        <f t="shared" si="104"/>
        <v>2013</v>
      </c>
      <c r="AU1542" s="86"/>
      <c r="AV1542" s="86"/>
      <c r="AW1542" s="87"/>
      <c r="AX1542" s="86"/>
      <c r="AY1542" s="83"/>
      <c r="AZ1542" s="84"/>
      <c r="BA1542" s="86"/>
      <c r="BB1542" s="86"/>
    </row>
    <row r="1543" spans="1:54" ht="36.75" customHeight="1">
      <c r="A1543" s="30"/>
      <c r="B1543" s="30" t="s">
        <v>55</v>
      </c>
      <c r="C1543" s="69" t="str">
        <f t="shared" si="101"/>
        <v>Closed</v>
      </c>
      <c r="D1543" s="27" t="s">
        <v>8596</v>
      </c>
      <c r="E1543" s="29" t="s">
        <v>8597</v>
      </c>
      <c r="F1543" s="30" t="s">
        <v>423</v>
      </c>
      <c r="G1543" s="89">
        <f>DATE(2013,3,27)</f>
        <v>41360</v>
      </c>
      <c r="H1543" s="90">
        <v>1.8090277777777777</v>
      </c>
      <c r="I1543" s="30" t="s">
        <v>104</v>
      </c>
      <c r="J1543" s="89" t="s">
        <v>8598</v>
      </c>
      <c r="K1543" s="30" t="s">
        <v>425</v>
      </c>
      <c r="L1543" s="30" t="s">
        <v>8599</v>
      </c>
      <c r="M1543" s="30" t="s">
        <v>63</v>
      </c>
      <c r="N1543" s="30" t="s">
        <v>89</v>
      </c>
      <c r="O1543" s="30" t="s">
        <v>77</v>
      </c>
      <c r="P1543" s="89" t="s">
        <v>1216</v>
      </c>
      <c r="Q1543" s="89" t="s">
        <v>427</v>
      </c>
      <c r="R1543" s="89" t="s">
        <v>3103</v>
      </c>
      <c r="S1543" s="30">
        <v>0</v>
      </c>
      <c r="T1543" s="233">
        <v>0</v>
      </c>
      <c r="U1543" s="30">
        <v>0</v>
      </c>
      <c r="V1543" s="233">
        <v>0</v>
      </c>
      <c r="W1543" s="30">
        <v>0</v>
      </c>
      <c r="X1543" s="30">
        <v>0</v>
      </c>
      <c r="Y1543" s="30">
        <v>0</v>
      </c>
      <c r="Z1543" s="233">
        <v>0</v>
      </c>
      <c r="AA1543" s="30">
        <v>0</v>
      </c>
      <c r="AB1543" s="30">
        <v>0</v>
      </c>
      <c r="AC1543" s="30">
        <v>0</v>
      </c>
      <c r="AD1543" s="30">
        <v>0</v>
      </c>
      <c r="AE1543" s="89" t="s">
        <v>92</v>
      </c>
      <c r="AF1543" s="89"/>
      <c r="AG1543" s="89" t="s">
        <v>133</v>
      </c>
      <c r="AH1543" s="72">
        <v>41408</v>
      </c>
      <c r="AI1543" s="30">
        <v>5</v>
      </c>
      <c r="AJ1543" s="89" t="s">
        <v>8600</v>
      </c>
      <c r="AK1543" s="89" t="s">
        <v>8601</v>
      </c>
      <c r="AL1543" s="91">
        <v>41409</v>
      </c>
      <c r="AM1543" s="91"/>
      <c r="AN1543" s="91"/>
      <c r="AO1543" s="91"/>
      <c r="AP1543" s="73" t="e">
        <f>MID(VLOOKUP(K1543,#REF!,2,FALSE),1,2)</f>
        <v>#REF!</v>
      </c>
      <c r="AQ1543" s="89">
        <f>DATE(2013,3,27)</f>
        <v>41360</v>
      </c>
      <c r="AR1543" s="82">
        <f t="shared" si="102"/>
        <v>27</v>
      </c>
      <c r="AS1543" s="83">
        <f t="shared" si="103"/>
        <v>3</v>
      </c>
      <c r="AT1543" s="84">
        <f t="shared" si="104"/>
        <v>2013</v>
      </c>
      <c r="AU1543" s="86"/>
      <c r="AV1543" s="86"/>
      <c r="AW1543" s="87"/>
      <c r="AX1543" s="86"/>
      <c r="AY1543" s="83"/>
      <c r="AZ1543" s="84"/>
      <c r="BA1543" s="86"/>
      <c r="BB1543" s="86"/>
    </row>
    <row r="1544" spans="1:54" ht="36.75" customHeight="1">
      <c r="A1544" s="30"/>
      <c r="B1544" s="30" t="s">
        <v>55</v>
      </c>
      <c r="C1544" s="69" t="str">
        <f t="shared" si="101"/>
        <v>Closed</v>
      </c>
      <c r="D1544" s="27" t="s">
        <v>8602</v>
      </c>
      <c r="E1544" s="29" t="s">
        <v>8603</v>
      </c>
      <c r="F1544" s="30" t="s">
        <v>377</v>
      </c>
      <c r="G1544" s="89">
        <f>DATE(2013,3,27)</f>
        <v>41360</v>
      </c>
      <c r="H1544" s="90">
        <v>1.3263888888888888</v>
      </c>
      <c r="I1544" s="30" t="s">
        <v>125</v>
      </c>
      <c r="J1544" s="89" t="s">
        <v>8604</v>
      </c>
      <c r="K1544" s="30" t="s">
        <v>379</v>
      </c>
      <c r="L1544" s="30" t="s">
        <v>8605</v>
      </c>
      <c r="M1544" s="30" t="s">
        <v>63</v>
      </c>
      <c r="N1544" s="30" t="s">
        <v>142</v>
      </c>
      <c r="O1544" s="30" t="s">
        <v>77</v>
      </c>
      <c r="P1544" s="89" t="s">
        <v>165</v>
      </c>
      <c r="Q1544" s="89" t="s">
        <v>2906</v>
      </c>
      <c r="R1544" s="89" t="s">
        <v>382</v>
      </c>
      <c r="S1544" s="30">
        <v>0</v>
      </c>
      <c r="T1544" s="233">
        <v>0</v>
      </c>
      <c r="U1544" s="30">
        <v>0</v>
      </c>
      <c r="V1544" s="233">
        <v>0</v>
      </c>
      <c r="W1544" s="30">
        <v>0</v>
      </c>
      <c r="X1544" s="30">
        <v>0</v>
      </c>
      <c r="Y1544" s="30">
        <v>0</v>
      </c>
      <c r="Z1544" s="233">
        <v>0</v>
      </c>
      <c r="AA1544" s="30">
        <v>0</v>
      </c>
      <c r="AB1544" s="30">
        <v>0</v>
      </c>
      <c r="AC1544" s="30">
        <v>0</v>
      </c>
      <c r="AD1544" s="30">
        <v>0</v>
      </c>
      <c r="AE1544" s="89" t="s">
        <v>394</v>
      </c>
      <c r="AF1544" s="89"/>
      <c r="AG1544" s="89" t="s">
        <v>133</v>
      </c>
      <c r="AH1544" s="72">
        <v>41362</v>
      </c>
      <c r="AI1544" s="30">
        <v>4</v>
      </c>
      <c r="AJ1544" s="89" t="s">
        <v>8606</v>
      </c>
      <c r="AK1544" s="89" t="s">
        <v>8607</v>
      </c>
      <c r="AL1544" s="91">
        <v>41376</v>
      </c>
      <c r="AM1544" s="91"/>
      <c r="AN1544" s="91"/>
      <c r="AO1544" s="91"/>
      <c r="AP1544" s="73" t="e">
        <f>MID(VLOOKUP(K1544,#REF!,2,FALSE),1,2)</f>
        <v>#REF!</v>
      </c>
      <c r="AQ1544" s="89">
        <f>DATE(2013,3,27)</f>
        <v>41360</v>
      </c>
      <c r="AR1544" s="82">
        <f t="shared" si="102"/>
        <v>27</v>
      </c>
      <c r="AS1544" s="83">
        <f t="shared" si="103"/>
        <v>3</v>
      </c>
      <c r="AT1544" s="84">
        <f t="shared" si="104"/>
        <v>2013</v>
      </c>
      <c r="AU1544" s="86"/>
      <c r="AV1544" s="86"/>
      <c r="AW1544" s="87"/>
      <c r="AX1544" s="86"/>
      <c r="AY1544" s="83"/>
      <c r="AZ1544" s="84"/>
      <c r="BA1544" s="86"/>
      <c r="BB1544" s="86"/>
    </row>
    <row r="1545" spans="1:54" ht="36.75" customHeight="1">
      <c r="A1545" s="30"/>
      <c r="B1545" s="30" t="s">
        <v>55</v>
      </c>
      <c r="C1545" s="69" t="str">
        <f t="shared" si="101"/>
        <v>Closed</v>
      </c>
      <c r="D1545" s="27" t="s">
        <v>8608</v>
      </c>
      <c r="E1545" s="29" t="s">
        <v>8609</v>
      </c>
      <c r="F1545" s="30" t="s">
        <v>423</v>
      </c>
      <c r="G1545" s="89">
        <f>DATE(2013,3,31)</f>
        <v>41364</v>
      </c>
      <c r="H1545" s="90">
        <v>1.6437499999999998</v>
      </c>
      <c r="I1545" s="30" t="s">
        <v>73</v>
      </c>
      <c r="J1545" s="89" t="s">
        <v>8610</v>
      </c>
      <c r="K1545" s="30" t="s">
        <v>425</v>
      </c>
      <c r="L1545" s="30" t="s">
        <v>8611</v>
      </c>
      <c r="M1545" s="30" t="s">
        <v>63</v>
      </c>
      <c r="N1545" s="30" t="s">
        <v>89</v>
      </c>
      <c r="O1545" s="30" t="s">
        <v>77</v>
      </c>
      <c r="P1545" s="89" t="s">
        <v>165</v>
      </c>
      <c r="Q1545" s="89" t="s">
        <v>427</v>
      </c>
      <c r="R1545" s="89" t="s">
        <v>3103</v>
      </c>
      <c r="S1545" s="30">
        <v>0</v>
      </c>
      <c r="T1545" s="233">
        <v>0</v>
      </c>
      <c r="U1545" s="30">
        <v>0</v>
      </c>
      <c r="V1545" s="233">
        <v>0</v>
      </c>
      <c r="W1545" s="30">
        <v>0</v>
      </c>
      <c r="X1545" s="30">
        <v>0</v>
      </c>
      <c r="Y1545" s="30">
        <v>0</v>
      </c>
      <c r="Z1545" s="233">
        <v>0</v>
      </c>
      <c r="AA1545" s="30">
        <v>0</v>
      </c>
      <c r="AB1545" s="30">
        <v>0</v>
      </c>
      <c r="AC1545" s="30">
        <v>0</v>
      </c>
      <c r="AD1545" s="30">
        <v>0</v>
      </c>
      <c r="AE1545" s="89" t="s">
        <v>92</v>
      </c>
      <c r="AF1545" s="89"/>
      <c r="AG1545" s="89" t="s">
        <v>133</v>
      </c>
      <c r="AH1545" s="72">
        <v>41309</v>
      </c>
      <c r="AI1545" s="30">
        <v>3</v>
      </c>
      <c r="AJ1545" s="89" t="s">
        <v>8612</v>
      </c>
      <c r="AK1545" s="89" t="s">
        <v>8613</v>
      </c>
      <c r="AL1545" s="91">
        <v>41366</v>
      </c>
      <c r="AM1545" s="91"/>
      <c r="AN1545" s="91"/>
      <c r="AO1545" s="91"/>
      <c r="AP1545" s="73" t="e">
        <f>MID(VLOOKUP(K1545,#REF!,2,FALSE),1,2)</f>
        <v>#REF!</v>
      </c>
      <c r="AQ1545" s="89">
        <f>DATE(2013,3,31)</f>
        <v>41364</v>
      </c>
      <c r="AR1545" s="82">
        <f t="shared" si="102"/>
        <v>31</v>
      </c>
      <c r="AS1545" s="83">
        <f t="shared" si="103"/>
        <v>3</v>
      </c>
      <c r="AT1545" s="84">
        <f t="shared" si="104"/>
        <v>2013</v>
      </c>
      <c r="AU1545" s="86"/>
      <c r="AV1545" s="86"/>
      <c r="AW1545" s="87"/>
      <c r="AX1545" s="86"/>
      <c r="AY1545" s="83"/>
      <c r="AZ1545" s="84"/>
      <c r="BA1545" s="86"/>
      <c r="BB1545" s="86"/>
    </row>
    <row r="1546" spans="1:54" ht="36.75" customHeight="1">
      <c r="A1546" s="30"/>
      <c r="B1546" s="30" t="s">
        <v>55</v>
      </c>
      <c r="C1546" s="69" t="str">
        <f t="shared" si="101"/>
        <v>Closed</v>
      </c>
      <c r="D1546" s="27" t="s">
        <v>8614</v>
      </c>
      <c r="E1546" s="29" t="s">
        <v>8615</v>
      </c>
      <c r="F1546" s="30" t="s">
        <v>423</v>
      </c>
      <c r="G1546" s="89">
        <f>DATE(2013,4,1)</f>
        <v>41365</v>
      </c>
      <c r="H1546" s="90">
        <v>1.3722222222222222</v>
      </c>
      <c r="I1546" s="30" t="s">
        <v>116</v>
      </c>
      <c r="J1546" s="89" t="s">
        <v>8616</v>
      </c>
      <c r="K1546" s="30" t="s">
        <v>425</v>
      </c>
      <c r="L1546" s="30" t="s">
        <v>8617</v>
      </c>
      <c r="M1546" s="30" t="s">
        <v>63</v>
      </c>
      <c r="N1546" s="30" t="s">
        <v>99</v>
      </c>
      <c r="O1546" s="30" t="s">
        <v>64</v>
      </c>
      <c r="P1546" s="89" t="s">
        <v>165</v>
      </c>
      <c r="Q1546" s="89" t="s">
        <v>427</v>
      </c>
      <c r="R1546" s="89" t="s">
        <v>3103</v>
      </c>
      <c r="S1546" s="30">
        <v>0</v>
      </c>
      <c r="T1546" s="233">
        <v>0</v>
      </c>
      <c r="U1546" s="30">
        <v>0</v>
      </c>
      <c r="V1546" s="233">
        <v>0</v>
      </c>
      <c r="W1546" s="30">
        <v>0</v>
      </c>
      <c r="X1546" s="30">
        <v>0</v>
      </c>
      <c r="Y1546" s="30">
        <v>0</v>
      </c>
      <c r="Z1546" s="233">
        <v>0</v>
      </c>
      <c r="AA1546" s="30">
        <v>0</v>
      </c>
      <c r="AB1546" s="30">
        <v>0</v>
      </c>
      <c r="AC1546" s="30">
        <v>0</v>
      </c>
      <c r="AD1546" s="30">
        <v>0</v>
      </c>
      <c r="AE1546" s="89" t="s">
        <v>92</v>
      </c>
      <c r="AF1546" s="89"/>
      <c r="AG1546" s="89" t="s">
        <v>133</v>
      </c>
      <c r="AH1546" s="72">
        <v>41387</v>
      </c>
      <c r="AI1546" s="30">
        <v>4</v>
      </c>
      <c r="AJ1546" s="89" t="s">
        <v>8618</v>
      </c>
      <c r="AK1546" s="89" t="s">
        <v>8619</v>
      </c>
      <c r="AL1546" s="91">
        <v>41390</v>
      </c>
      <c r="AM1546" s="91"/>
      <c r="AN1546" s="91"/>
      <c r="AO1546" s="91"/>
      <c r="AP1546" s="73" t="e">
        <f>MID(VLOOKUP(K1546,#REF!,2,FALSE),1,2)</f>
        <v>#REF!</v>
      </c>
      <c r="AQ1546" s="89">
        <f>DATE(2013,4,1)</f>
        <v>41365</v>
      </c>
      <c r="AR1546" s="82">
        <f t="shared" si="102"/>
        <v>1</v>
      </c>
      <c r="AS1546" s="83">
        <f t="shared" si="103"/>
        <v>4</v>
      </c>
      <c r="AT1546" s="84">
        <f t="shared" si="104"/>
        <v>2013</v>
      </c>
      <c r="AU1546" s="86"/>
      <c r="AV1546" s="86"/>
      <c r="AW1546" s="87"/>
      <c r="AX1546" s="86"/>
      <c r="AY1546" s="83"/>
      <c r="AZ1546" s="84"/>
      <c r="BA1546" s="86"/>
      <c r="BB1546" s="86"/>
    </row>
    <row r="1547" spans="1:54" ht="36.75" customHeight="1">
      <c r="A1547" s="30"/>
      <c r="B1547" s="30" t="s">
        <v>55</v>
      </c>
      <c r="C1547" s="69" t="str">
        <f t="shared" si="101"/>
        <v>Closed</v>
      </c>
      <c r="D1547" s="27" t="s">
        <v>8620</v>
      </c>
      <c r="E1547" s="29" t="s">
        <v>8621</v>
      </c>
      <c r="F1547" s="30" t="s">
        <v>58</v>
      </c>
      <c r="G1547" s="89">
        <f>DATE(2013,4,6)</f>
        <v>41370</v>
      </c>
      <c r="H1547" s="90">
        <v>1.1402777777777777</v>
      </c>
      <c r="I1547" s="30" t="s">
        <v>73</v>
      </c>
      <c r="J1547" s="89" t="s">
        <v>8622</v>
      </c>
      <c r="K1547" s="30" t="s">
        <v>61</v>
      </c>
      <c r="L1547" s="30" t="s">
        <v>8623</v>
      </c>
      <c r="M1547" s="30" t="s">
        <v>63</v>
      </c>
      <c r="N1547" s="30" t="s">
        <v>99</v>
      </c>
      <c r="O1547" s="30" t="s">
        <v>77</v>
      </c>
      <c r="P1547" s="89" t="s">
        <v>78</v>
      </c>
      <c r="Q1547" s="89" t="s">
        <v>66</v>
      </c>
      <c r="R1547" s="89">
        <v>0</v>
      </c>
      <c r="S1547" s="30">
        <v>0</v>
      </c>
      <c r="T1547" s="233">
        <v>0</v>
      </c>
      <c r="U1547" s="30">
        <v>0</v>
      </c>
      <c r="V1547" s="233">
        <v>0</v>
      </c>
      <c r="W1547" s="30">
        <v>0</v>
      </c>
      <c r="X1547" s="30">
        <v>0</v>
      </c>
      <c r="Y1547" s="30">
        <v>0</v>
      </c>
      <c r="Z1547" s="233">
        <v>0</v>
      </c>
      <c r="AA1547" s="30">
        <v>0</v>
      </c>
      <c r="AB1547" s="30">
        <v>0</v>
      </c>
      <c r="AC1547" s="30">
        <v>0</v>
      </c>
      <c r="AD1547" s="30">
        <v>0</v>
      </c>
      <c r="AE1547" s="89" t="s">
        <v>394</v>
      </c>
      <c r="AF1547" s="89"/>
      <c r="AG1547" s="89" t="s">
        <v>82</v>
      </c>
      <c r="AH1547" s="72">
        <v>41373</v>
      </c>
      <c r="AI1547" s="30">
        <v>4</v>
      </c>
      <c r="AJ1547" s="89" t="s">
        <v>8624</v>
      </c>
      <c r="AK1547" s="89" t="s">
        <v>8625</v>
      </c>
      <c r="AL1547" s="91">
        <v>41383</v>
      </c>
      <c r="AM1547" s="91"/>
      <c r="AN1547" s="91"/>
      <c r="AO1547" s="91"/>
      <c r="AP1547" s="73" t="e">
        <f>MID(VLOOKUP(K1547,#REF!,2,FALSE),1,2)</f>
        <v>#REF!</v>
      </c>
      <c r="AQ1547" s="89">
        <f>DATE(2013,4,6)</f>
        <v>41370</v>
      </c>
      <c r="AR1547" s="82">
        <f t="shared" si="102"/>
        <v>6</v>
      </c>
      <c r="AS1547" s="83">
        <f t="shared" si="103"/>
        <v>4</v>
      </c>
      <c r="AT1547" s="84">
        <f t="shared" si="104"/>
        <v>2013</v>
      </c>
      <c r="AU1547" s="86"/>
      <c r="AV1547" s="86"/>
      <c r="AW1547" s="87"/>
      <c r="AX1547" s="86"/>
      <c r="AY1547" s="83"/>
      <c r="AZ1547" s="84"/>
      <c r="BA1547" s="86"/>
      <c r="BB1547" s="86"/>
    </row>
    <row r="1548" spans="1:54" ht="36.75" customHeight="1">
      <c r="A1548" s="30"/>
      <c r="B1548" s="30" t="s">
        <v>55</v>
      </c>
      <c r="C1548" s="69" t="str">
        <f t="shared" si="101"/>
        <v>Closed</v>
      </c>
      <c r="D1548" s="27" t="s">
        <v>8626</v>
      </c>
      <c r="E1548" s="29" t="s">
        <v>8627</v>
      </c>
      <c r="F1548" s="30" t="s">
        <v>638</v>
      </c>
      <c r="G1548" s="89">
        <f>DATE(2013,4,7)</f>
        <v>41371</v>
      </c>
      <c r="H1548" s="90">
        <v>1.7298611111111111</v>
      </c>
      <c r="I1548" s="30" t="s">
        <v>5494</v>
      </c>
      <c r="J1548" s="89" t="s">
        <v>8628</v>
      </c>
      <c r="K1548" s="30" t="s">
        <v>640</v>
      </c>
      <c r="L1548" s="30" t="s">
        <v>8629</v>
      </c>
      <c r="M1548" s="30" t="s">
        <v>63</v>
      </c>
      <c r="N1548" s="30" t="s">
        <v>142</v>
      </c>
      <c r="O1548" s="30" t="s">
        <v>64</v>
      </c>
      <c r="P1548" s="89" t="s">
        <v>462</v>
      </c>
      <c r="Q1548" s="89" t="s">
        <v>642</v>
      </c>
      <c r="R1548" s="89" t="s">
        <v>643</v>
      </c>
      <c r="S1548" s="30">
        <v>0</v>
      </c>
      <c r="T1548" s="233">
        <v>0</v>
      </c>
      <c r="U1548" s="30">
        <v>0</v>
      </c>
      <c r="V1548" s="233">
        <v>0</v>
      </c>
      <c r="W1548" s="30">
        <v>0</v>
      </c>
      <c r="X1548" s="30">
        <v>0</v>
      </c>
      <c r="Y1548" s="30">
        <v>0</v>
      </c>
      <c r="Z1548" s="233">
        <v>0</v>
      </c>
      <c r="AA1548" s="30">
        <v>0</v>
      </c>
      <c r="AB1548" s="30">
        <v>0</v>
      </c>
      <c r="AC1548" s="30">
        <v>0</v>
      </c>
      <c r="AD1548" s="30">
        <v>0</v>
      </c>
      <c r="AE1548" s="89" t="s">
        <v>92</v>
      </c>
      <c r="AF1548" s="89"/>
      <c r="AG1548" s="89" t="s">
        <v>133</v>
      </c>
      <c r="AH1548" s="72">
        <v>41393</v>
      </c>
      <c r="AI1548" s="30">
        <v>0</v>
      </c>
      <c r="AJ1548" s="89" t="s">
        <v>8630</v>
      </c>
      <c r="AK1548" s="89" t="s">
        <v>68</v>
      </c>
      <c r="AL1548" s="91">
        <v>41394</v>
      </c>
      <c r="AM1548" s="91"/>
      <c r="AN1548" s="91"/>
      <c r="AO1548" s="91"/>
      <c r="AP1548" s="73" t="e">
        <f>MID(VLOOKUP(K1548,#REF!,2,FALSE),1,2)</f>
        <v>#REF!</v>
      </c>
      <c r="AQ1548" s="89">
        <f>DATE(2013,4,7)</f>
        <v>41371</v>
      </c>
      <c r="AR1548" s="82">
        <f t="shared" si="102"/>
        <v>7</v>
      </c>
      <c r="AS1548" s="83">
        <f t="shared" si="103"/>
        <v>4</v>
      </c>
      <c r="AT1548" s="84">
        <f t="shared" si="104"/>
        <v>2013</v>
      </c>
      <c r="AU1548" s="86"/>
      <c r="AV1548" s="86"/>
      <c r="AW1548" s="87"/>
      <c r="AX1548" s="86"/>
      <c r="AY1548" s="83"/>
      <c r="AZ1548" s="84"/>
      <c r="BA1548" s="86"/>
      <c r="BB1548" s="86"/>
    </row>
    <row r="1549" spans="1:54" ht="36.75" customHeight="1">
      <c r="A1549" s="30"/>
      <c r="B1549" s="30" t="s">
        <v>55</v>
      </c>
      <c r="C1549" s="69" t="str">
        <f t="shared" si="101"/>
        <v>Closed</v>
      </c>
      <c r="D1549" s="27" t="s">
        <v>8631</v>
      </c>
      <c r="E1549" s="29" t="s">
        <v>8632</v>
      </c>
      <c r="F1549" s="30" t="s">
        <v>1572</v>
      </c>
      <c r="G1549" s="89">
        <f>DATE(2013,4,7)</f>
        <v>41371</v>
      </c>
      <c r="H1549" s="90">
        <v>1.5173611111111112</v>
      </c>
      <c r="I1549" s="30" t="s">
        <v>73</v>
      </c>
      <c r="J1549" s="89" t="s">
        <v>8633</v>
      </c>
      <c r="K1549" s="30" t="s">
        <v>1574</v>
      </c>
      <c r="L1549" s="30" t="s">
        <v>8634</v>
      </c>
      <c r="M1549" s="30" t="s">
        <v>63</v>
      </c>
      <c r="N1549" s="30" t="s">
        <v>142</v>
      </c>
      <c r="O1549" s="30" t="s">
        <v>64</v>
      </c>
      <c r="P1549" s="89" t="s">
        <v>78</v>
      </c>
      <c r="Q1549" s="89" t="s">
        <v>5619</v>
      </c>
      <c r="R1549" s="89" t="s">
        <v>6434</v>
      </c>
      <c r="S1549" s="30">
        <v>0</v>
      </c>
      <c r="T1549" s="233">
        <v>0</v>
      </c>
      <c r="U1549" s="30">
        <v>0</v>
      </c>
      <c r="V1549" s="233">
        <v>0</v>
      </c>
      <c r="W1549" s="30">
        <v>0</v>
      </c>
      <c r="X1549" s="30">
        <v>0</v>
      </c>
      <c r="Y1549" s="30">
        <v>0</v>
      </c>
      <c r="Z1549" s="233">
        <v>0</v>
      </c>
      <c r="AA1549" s="30">
        <v>0</v>
      </c>
      <c r="AB1549" s="30">
        <v>0</v>
      </c>
      <c r="AC1549" s="30">
        <v>0</v>
      </c>
      <c r="AD1549" s="30">
        <v>0</v>
      </c>
      <c r="AE1549" s="89" t="s">
        <v>92</v>
      </c>
      <c r="AF1549" s="89"/>
      <c r="AG1549" s="89" t="s">
        <v>133</v>
      </c>
      <c r="AH1549" s="72">
        <v>41372</v>
      </c>
      <c r="AI1549" s="30">
        <v>0</v>
      </c>
      <c r="AJ1549" s="89" t="s">
        <v>8635</v>
      </c>
      <c r="AK1549" s="89" t="s">
        <v>8636</v>
      </c>
      <c r="AL1549" s="91">
        <v>41372</v>
      </c>
      <c r="AM1549" s="91"/>
      <c r="AN1549" s="91"/>
      <c r="AO1549" s="91"/>
      <c r="AP1549" s="73" t="e">
        <f>MID(VLOOKUP(K1549,#REF!,2,FALSE),1,2)</f>
        <v>#REF!</v>
      </c>
      <c r="AQ1549" s="89">
        <f>DATE(2013,4,7)</f>
        <v>41371</v>
      </c>
      <c r="AR1549" s="82">
        <f t="shared" si="102"/>
        <v>7</v>
      </c>
      <c r="AS1549" s="83">
        <f t="shared" si="103"/>
        <v>4</v>
      </c>
      <c r="AT1549" s="84">
        <f t="shared" si="104"/>
        <v>2013</v>
      </c>
      <c r="AU1549" s="86"/>
      <c r="AV1549" s="86"/>
      <c r="AW1549" s="87"/>
      <c r="AX1549" s="86"/>
      <c r="AY1549" s="83"/>
      <c r="AZ1549" s="84"/>
      <c r="BA1549" s="86"/>
      <c r="BB1549" s="86"/>
    </row>
    <row r="1550" spans="1:54" ht="36.75" customHeight="1">
      <c r="A1550" s="30"/>
      <c r="B1550" s="30" t="s">
        <v>55</v>
      </c>
      <c r="C1550" s="69" t="str">
        <f t="shared" si="101"/>
        <v>Closed</v>
      </c>
      <c r="D1550" s="27" t="s">
        <v>8637</v>
      </c>
      <c r="E1550" s="29" t="s">
        <v>8638</v>
      </c>
      <c r="F1550" s="30" t="s">
        <v>835</v>
      </c>
      <c r="G1550" s="89">
        <f>DATE(2013,4,9)</f>
        <v>41373</v>
      </c>
      <c r="H1550" s="90">
        <v>1.5277777777777777</v>
      </c>
      <c r="I1550" s="30" t="s">
        <v>73</v>
      </c>
      <c r="J1550" s="89" t="s">
        <v>8639</v>
      </c>
      <c r="K1550" s="30" t="s">
        <v>837</v>
      </c>
      <c r="L1550" s="30" t="s">
        <v>8640</v>
      </c>
      <c r="M1550" s="30" t="s">
        <v>255</v>
      </c>
      <c r="N1550" s="30" t="s">
        <v>99</v>
      </c>
      <c r="O1550" s="30" t="s">
        <v>77</v>
      </c>
      <c r="P1550" s="89" t="s">
        <v>6552</v>
      </c>
      <c r="Q1550" s="89">
        <v>0</v>
      </c>
      <c r="R1550" s="89">
        <v>0</v>
      </c>
      <c r="S1550" s="30">
        <v>0</v>
      </c>
      <c r="T1550" s="233">
        <v>0</v>
      </c>
      <c r="U1550" s="30">
        <v>0</v>
      </c>
      <c r="V1550" s="233">
        <v>0</v>
      </c>
      <c r="W1550" s="30">
        <v>0</v>
      </c>
      <c r="X1550" s="30">
        <v>0</v>
      </c>
      <c r="Y1550" s="30">
        <v>0</v>
      </c>
      <c r="Z1550" s="233">
        <v>0</v>
      </c>
      <c r="AA1550" s="30">
        <v>0</v>
      </c>
      <c r="AB1550" s="30">
        <v>0</v>
      </c>
      <c r="AC1550" s="30">
        <v>0</v>
      </c>
      <c r="AD1550" s="30">
        <v>0</v>
      </c>
      <c r="AE1550" s="89" t="s">
        <v>92</v>
      </c>
      <c r="AF1550" s="89"/>
      <c r="AG1550" s="89" t="s">
        <v>352</v>
      </c>
      <c r="AH1550" s="72">
        <v>41373</v>
      </c>
      <c r="AI1550" s="30">
        <v>0</v>
      </c>
      <c r="AJ1550" s="89" t="s">
        <v>8641</v>
      </c>
      <c r="AK1550" s="89" t="s">
        <v>68</v>
      </c>
      <c r="AL1550" s="91">
        <v>41374</v>
      </c>
      <c r="AM1550" s="91"/>
      <c r="AN1550" s="91"/>
      <c r="AO1550" s="91"/>
      <c r="AP1550" s="73" t="e">
        <f>MID(VLOOKUP(K1550,#REF!,2,FALSE),1,2)</f>
        <v>#REF!</v>
      </c>
      <c r="AQ1550" s="89">
        <f>DATE(2013,4,9)</f>
        <v>41373</v>
      </c>
      <c r="AR1550" s="82">
        <f t="shared" si="102"/>
        <v>9</v>
      </c>
      <c r="AS1550" s="83">
        <f t="shared" si="103"/>
        <v>4</v>
      </c>
      <c r="AT1550" s="84">
        <f t="shared" si="104"/>
        <v>2013</v>
      </c>
      <c r="AU1550" s="86"/>
      <c r="AV1550" s="86"/>
      <c r="AW1550" s="87"/>
      <c r="AX1550" s="86"/>
      <c r="AY1550" s="83"/>
      <c r="AZ1550" s="84"/>
      <c r="BA1550" s="86"/>
      <c r="BB1550" s="86"/>
    </row>
    <row r="1551" spans="1:54" ht="36.75" customHeight="1">
      <c r="A1551" s="30"/>
      <c r="B1551" s="30" t="s">
        <v>55</v>
      </c>
      <c r="C1551" s="69" t="str">
        <f t="shared" si="101"/>
        <v>Closed</v>
      </c>
      <c r="D1551" s="27" t="s">
        <v>8642</v>
      </c>
      <c r="E1551" s="29" t="s">
        <v>8643</v>
      </c>
      <c r="F1551" s="30" t="s">
        <v>835</v>
      </c>
      <c r="G1551" s="89">
        <f>DATE(2013,4,11)</f>
        <v>41375</v>
      </c>
      <c r="H1551" s="90">
        <v>1.5145833333333334</v>
      </c>
      <c r="I1551" s="30" t="s">
        <v>198</v>
      </c>
      <c r="J1551" s="89" t="s">
        <v>8644</v>
      </c>
      <c r="K1551" s="30" t="s">
        <v>837</v>
      </c>
      <c r="L1551" s="30" t="s">
        <v>8645</v>
      </c>
      <c r="M1551" s="30" t="s">
        <v>63</v>
      </c>
      <c r="N1551" s="30" t="s">
        <v>142</v>
      </c>
      <c r="O1551" s="30" t="s">
        <v>77</v>
      </c>
      <c r="P1551" s="89" t="s">
        <v>91</v>
      </c>
      <c r="Q1551" s="89" t="s">
        <v>3061</v>
      </c>
      <c r="R1551" s="89" t="s">
        <v>840</v>
      </c>
      <c r="S1551" s="30">
        <v>0</v>
      </c>
      <c r="T1551" s="233">
        <v>0</v>
      </c>
      <c r="U1551" s="30">
        <v>0</v>
      </c>
      <c r="V1551" s="233">
        <v>0</v>
      </c>
      <c r="W1551" s="30">
        <v>0</v>
      </c>
      <c r="X1551" s="30">
        <v>0</v>
      </c>
      <c r="Y1551" s="30">
        <v>0</v>
      </c>
      <c r="Z1551" s="233">
        <v>0</v>
      </c>
      <c r="AA1551" s="30">
        <v>0</v>
      </c>
      <c r="AB1551" s="30">
        <v>0</v>
      </c>
      <c r="AC1551" s="30">
        <v>0</v>
      </c>
      <c r="AD1551" s="30">
        <v>0</v>
      </c>
      <c r="AE1551" s="89" t="s">
        <v>92</v>
      </c>
      <c r="AF1551" s="89"/>
      <c r="AG1551" s="89" t="s">
        <v>352</v>
      </c>
      <c r="AH1551" s="72">
        <v>41388</v>
      </c>
      <c r="AI1551" s="30">
        <v>0</v>
      </c>
      <c r="AJ1551" s="89" t="s">
        <v>8641</v>
      </c>
      <c r="AK1551" s="89" t="s">
        <v>68</v>
      </c>
      <c r="AL1551" s="91">
        <v>41388</v>
      </c>
      <c r="AM1551" s="91"/>
      <c r="AN1551" s="91"/>
      <c r="AO1551" s="91"/>
      <c r="AP1551" s="73" t="e">
        <f>MID(VLOOKUP(K1551,#REF!,2,FALSE),1,2)</f>
        <v>#REF!</v>
      </c>
      <c r="AQ1551" s="89">
        <f>DATE(2013,4,11)</f>
        <v>41375</v>
      </c>
      <c r="AR1551" s="82">
        <f t="shared" si="102"/>
        <v>11</v>
      </c>
      <c r="AS1551" s="83">
        <f t="shared" si="103"/>
        <v>4</v>
      </c>
      <c r="AT1551" s="84">
        <f t="shared" si="104"/>
        <v>2013</v>
      </c>
      <c r="AU1551" s="86"/>
      <c r="AV1551" s="86"/>
      <c r="AW1551" s="87"/>
      <c r="AX1551" s="86"/>
      <c r="AY1551" s="83"/>
      <c r="AZ1551" s="84"/>
      <c r="BA1551" s="86"/>
      <c r="BB1551" s="86"/>
    </row>
    <row r="1552" spans="1:54" ht="36.75" customHeight="1">
      <c r="A1552" s="30"/>
      <c r="B1552" s="30" t="s">
        <v>55</v>
      </c>
      <c r="C1552" s="69" t="str">
        <f t="shared" si="101"/>
        <v>Closed</v>
      </c>
      <c r="D1552" s="27" t="s">
        <v>8646</v>
      </c>
      <c r="E1552" s="29" t="s">
        <v>8647</v>
      </c>
      <c r="F1552" s="30" t="s">
        <v>233</v>
      </c>
      <c r="G1552" s="89">
        <f>DATE(2013,4,13)</f>
        <v>41377</v>
      </c>
      <c r="H1552" s="90">
        <v>1.7333333333333334</v>
      </c>
      <c r="I1552" s="30" t="s">
        <v>278</v>
      </c>
      <c r="J1552" s="89" t="s">
        <v>8648</v>
      </c>
      <c r="K1552" s="30" t="s">
        <v>235</v>
      </c>
      <c r="L1552" s="30" t="s">
        <v>8649</v>
      </c>
      <c r="M1552" s="30" t="s">
        <v>255</v>
      </c>
      <c r="N1552" s="30" t="s">
        <v>142</v>
      </c>
      <c r="O1552" s="30" t="s">
        <v>77</v>
      </c>
      <c r="P1552" s="89" t="s">
        <v>6552</v>
      </c>
      <c r="Q1552" s="89" t="s">
        <v>1893</v>
      </c>
      <c r="R1552" s="89" t="s">
        <v>1894</v>
      </c>
      <c r="S1552" s="30">
        <v>0</v>
      </c>
      <c r="T1552" s="233">
        <v>0</v>
      </c>
      <c r="U1552" s="30">
        <v>0</v>
      </c>
      <c r="V1552" s="233">
        <v>0</v>
      </c>
      <c r="W1552" s="30">
        <v>0</v>
      </c>
      <c r="X1552" s="30">
        <v>0</v>
      </c>
      <c r="Y1552" s="30">
        <v>0</v>
      </c>
      <c r="Z1552" s="233">
        <v>0</v>
      </c>
      <c r="AA1552" s="30">
        <v>0</v>
      </c>
      <c r="AB1552" s="30">
        <v>0</v>
      </c>
      <c r="AC1552" s="30">
        <v>0</v>
      </c>
      <c r="AD1552" s="30">
        <v>0</v>
      </c>
      <c r="AE1552" s="89" t="s">
        <v>92</v>
      </c>
      <c r="AF1552" s="89"/>
      <c r="AG1552" s="89" t="s">
        <v>133</v>
      </c>
      <c r="AH1552" s="72">
        <v>41386</v>
      </c>
      <c r="AI1552" s="30">
        <v>8</v>
      </c>
      <c r="AJ1552" s="89" t="s">
        <v>8650</v>
      </c>
      <c r="AK1552" s="89" t="s">
        <v>8651</v>
      </c>
      <c r="AL1552" s="91">
        <v>41401</v>
      </c>
      <c r="AM1552" s="91"/>
      <c r="AN1552" s="91"/>
      <c r="AO1552" s="91"/>
      <c r="AP1552" s="73" t="e">
        <f>MID(VLOOKUP(K1552,#REF!,2,FALSE),1,2)</f>
        <v>#REF!</v>
      </c>
      <c r="AQ1552" s="89">
        <f>DATE(2013,4,13)</f>
        <v>41377</v>
      </c>
      <c r="AR1552" s="82">
        <f t="shared" si="102"/>
        <v>13</v>
      </c>
      <c r="AS1552" s="83">
        <f t="shared" si="103"/>
        <v>4</v>
      </c>
      <c r="AT1552" s="84">
        <f t="shared" si="104"/>
        <v>2013</v>
      </c>
      <c r="AU1552" s="86"/>
      <c r="AV1552" s="86"/>
      <c r="AW1552" s="87"/>
      <c r="AX1552" s="86"/>
      <c r="AY1552" s="83"/>
      <c r="AZ1552" s="84"/>
      <c r="BA1552" s="86"/>
      <c r="BB1552" s="86"/>
    </row>
    <row r="1553" spans="1:54" ht="36.75" customHeight="1">
      <c r="A1553" s="30"/>
      <c r="B1553" s="30" t="s">
        <v>55</v>
      </c>
      <c r="C1553" s="69" t="str">
        <f t="shared" si="101"/>
        <v>Closed</v>
      </c>
      <c r="D1553" s="27" t="s">
        <v>8652</v>
      </c>
      <c r="E1553" s="29" t="s">
        <v>8653</v>
      </c>
      <c r="F1553" s="30" t="s">
        <v>115</v>
      </c>
      <c r="G1553" s="89">
        <f>DATE(2013,4,16)</f>
        <v>41380</v>
      </c>
      <c r="H1553" s="90">
        <v>1.3631944444444444</v>
      </c>
      <c r="I1553" s="30" t="s">
        <v>116</v>
      </c>
      <c r="J1553" s="89" t="s">
        <v>8654</v>
      </c>
      <c r="K1553" s="30" t="s">
        <v>118</v>
      </c>
      <c r="L1553" s="30" t="s">
        <v>8655</v>
      </c>
      <c r="M1553" s="30" t="s">
        <v>63</v>
      </c>
      <c r="N1553" s="30" t="s">
        <v>142</v>
      </c>
      <c r="O1553" s="30" t="s">
        <v>64</v>
      </c>
      <c r="P1553" s="89" t="s">
        <v>165</v>
      </c>
      <c r="Q1553" s="89" t="s">
        <v>120</v>
      </c>
      <c r="R1553" s="89" t="s">
        <v>121</v>
      </c>
      <c r="S1553" s="30">
        <v>0</v>
      </c>
      <c r="T1553" s="233">
        <v>0</v>
      </c>
      <c r="U1553" s="30">
        <v>0</v>
      </c>
      <c r="V1553" s="233">
        <v>0</v>
      </c>
      <c r="W1553" s="30">
        <v>0</v>
      </c>
      <c r="X1553" s="30">
        <v>0</v>
      </c>
      <c r="Y1553" s="30">
        <v>0</v>
      </c>
      <c r="Z1553" s="233">
        <v>0</v>
      </c>
      <c r="AA1553" s="30">
        <v>0</v>
      </c>
      <c r="AB1553" s="30">
        <v>0</v>
      </c>
      <c r="AC1553" s="30">
        <v>0</v>
      </c>
      <c r="AD1553" s="30">
        <v>0</v>
      </c>
      <c r="AE1553" s="89" t="s">
        <v>394</v>
      </c>
      <c r="AF1553" s="89"/>
      <c r="AG1553" s="89" t="s">
        <v>352</v>
      </c>
      <c r="AH1553" s="72">
        <v>41382</v>
      </c>
      <c r="AI1553" s="30">
        <v>1</v>
      </c>
      <c r="AJ1553" s="89" t="s">
        <v>8656</v>
      </c>
      <c r="AK1553" s="89" t="s">
        <v>8657</v>
      </c>
      <c r="AL1553" s="91">
        <v>41401</v>
      </c>
      <c r="AM1553" s="91"/>
      <c r="AN1553" s="91"/>
      <c r="AO1553" s="91"/>
      <c r="AP1553" s="73" t="e">
        <f>MID(VLOOKUP(K1553,#REF!,2,FALSE),1,2)</f>
        <v>#REF!</v>
      </c>
      <c r="AQ1553" s="89">
        <f>DATE(2013,4,16)</f>
        <v>41380</v>
      </c>
      <c r="AR1553" s="82">
        <f t="shared" si="102"/>
        <v>16</v>
      </c>
      <c r="AS1553" s="83">
        <f t="shared" si="103"/>
        <v>4</v>
      </c>
      <c r="AT1553" s="84">
        <f t="shared" si="104"/>
        <v>2013</v>
      </c>
      <c r="AU1553" s="86"/>
      <c r="AV1553" s="86"/>
      <c r="AW1553" s="87"/>
      <c r="AX1553" s="86"/>
      <c r="AY1553" s="83"/>
      <c r="AZ1553" s="84"/>
      <c r="BA1553" s="86"/>
      <c r="BB1553" s="86"/>
    </row>
    <row r="1554" spans="1:54" ht="36.75" customHeight="1">
      <c r="A1554" s="30"/>
      <c r="B1554" s="30" t="s">
        <v>55</v>
      </c>
      <c r="C1554" s="69" t="str">
        <f t="shared" si="101"/>
        <v>Closed</v>
      </c>
      <c r="D1554" s="27" t="s">
        <v>8658</v>
      </c>
      <c r="E1554" s="29" t="s">
        <v>8659</v>
      </c>
      <c r="F1554" s="30" t="s">
        <v>1572</v>
      </c>
      <c r="G1554" s="89">
        <f>DATE(2013,4,17)</f>
        <v>41381</v>
      </c>
      <c r="H1554" s="90">
        <v>1.46875</v>
      </c>
      <c r="I1554" s="30" t="s">
        <v>73</v>
      </c>
      <c r="J1554" s="89" t="s">
        <v>8660</v>
      </c>
      <c r="K1554" s="30" t="s">
        <v>1574</v>
      </c>
      <c r="L1554" s="30" t="s">
        <v>8661</v>
      </c>
      <c r="M1554" s="30" t="s">
        <v>63</v>
      </c>
      <c r="N1554" s="30" t="s">
        <v>99</v>
      </c>
      <c r="O1554" s="30" t="s">
        <v>64</v>
      </c>
      <c r="P1554" s="89" t="s">
        <v>78</v>
      </c>
      <c r="Q1554" s="89" t="s">
        <v>2655</v>
      </c>
      <c r="R1554" s="89" t="s">
        <v>6434</v>
      </c>
      <c r="S1554" s="30">
        <v>0</v>
      </c>
      <c r="T1554" s="233">
        <v>0</v>
      </c>
      <c r="U1554" s="30">
        <v>0</v>
      </c>
      <c r="V1554" s="233">
        <v>0</v>
      </c>
      <c r="W1554" s="30">
        <v>0</v>
      </c>
      <c r="X1554" s="30">
        <v>0</v>
      </c>
      <c r="Y1554" s="30">
        <v>0</v>
      </c>
      <c r="Z1554" s="233">
        <v>0</v>
      </c>
      <c r="AA1554" s="30">
        <v>0</v>
      </c>
      <c r="AB1554" s="30">
        <v>0</v>
      </c>
      <c r="AC1554" s="30">
        <v>0</v>
      </c>
      <c r="AD1554" s="30">
        <v>0</v>
      </c>
      <c r="AE1554" s="89" t="s">
        <v>92</v>
      </c>
      <c r="AF1554" s="89"/>
      <c r="AG1554" s="89" t="s">
        <v>352</v>
      </c>
      <c r="AH1554" s="72">
        <v>41383</v>
      </c>
      <c r="AI1554" s="30">
        <v>0</v>
      </c>
      <c r="AJ1554" s="89" t="s">
        <v>8662</v>
      </c>
      <c r="AK1554" s="89" t="s">
        <v>8663</v>
      </c>
      <c r="AL1554" s="91">
        <v>41383</v>
      </c>
      <c r="AM1554" s="91"/>
      <c r="AN1554" s="91"/>
      <c r="AO1554" s="91"/>
      <c r="AP1554" s="73" t="e">
        <f>MID(VLOOKUP(K1554,#REF!,2,FALSE),1,2)</f>
        <v>#REF!</v>
      </c>
      <c r="AQ1554" s="89">
        <f>DATE(2013,4,17)</f>
        <v>41381</v>
      </c>
      <c r="AR1554" s="82">
        <f t="shared" si="102"/>
        <v>17</v>
      </c>
      <c r="AS1554" s="83">
        <f t="shared" si="103"/>
        <v>4</v>
      </c>
      <c r="AT1554" s="84">
        <f t="shared" si="104"/>
        <v>2013</v>
      </c>
      <c r="AU1554" s="86"/>
      <c r="AV1554" s="86"/>
      <c r="AW1554" s="87"/>
      <c r="AX1554" s="86"/>
      <c r="AY1554" s="83"/>
      <c r="AZ1554" s="84"/>
      <c r="BA1554" s="86"/>
      <c r="BB1554" s="86"/>
    </row>
    <row r="1555" spans="1:54" ht="36.75" customHeight="1">
      <c r="A1555" s="30"/>
      <c r="B1555" s="30" t="s">
        <v>55</v>
      </c>
      <c r="C1555" s="69" t="str">
        <f t="shared" si="101"/>
        <v>Closed</v>
      </c>
      <c r="D1555" s="27" t="s">
        <v>8664</v>
      </c>
      <c r="E1555" s="29" t="s">
        <v>8665</v>
      </c>
      <c r="F1555" s="30" t="s">
        <v>835</v>
      </c>
      <c r="G1555" s="89">
        <f>DATE(2013,4,18)</f>
        <v>41382</v>
      </c>
      <c r="H1555" s="90">
        <v>1.7013888888888888</v>
      </c>
      <c r="I1555" s="30" t="s">
        <v>73</v>
      </c>
      <c r="J1555" s="89" t="s">
        <v>8666</v>
      </c>
      <c r="K1555" s="30" t="s">
        <v>837</v>
      </c>
      <c r="L1555" s="30" t="s">
        <v>8667</v>
      </c>
      <c r="M1555" s="30" t="s">
        <v>63</v>
      </c>
      <c r="N1555" s="30" t="s">
        <v>99</v>
      </c>
      <c r="O1555" s="30" t="s">
        <v>77</v>
      </c>
      <c r="P1555" s="89" t="s">
        <v>165</v>
      </c>
      <c r="Q1555" s="89" t="s">
        <v>2162</v>
      </c>
      <c r="R1555" s="89" t="s">
        <v>840</v>
      </c>
      <c r="S1555" s="30">
        <v>0</v>
      </c>
      <c r="T1555" s="233">
        <v>0</v>
      </c>
      <c r="U1555" s="30">
        <v>0</v>
      </c>
      <c r="V1555" s="233">
        <v>0</v>
      </c>
      <c r="W1555" s="30">
        <v>0</v>
      </c>
      <c r="X1555" s="30">
        <v>0</v>
      </c>
      <c r="Y1555" s="30">
        <v>0</v>
      </c>
      <c r="Z1555" s="233">
        <v>0</v>
      </c>
      <c r="AA1555" s="30">
        <v>0</v>
      </c>
      <c r="AB1555" s="30">
        <v>0</v>
      </c>
      <c r="AC1555" s="30">
        <v>0</v>
      </c>
      <c r="AD1555" s="30">
        <v>0</v>
      </c>
      <c r="AE1555" s="89" t="s">
        <v>92</v>
      </c>
      <c r="AF1555" s="89"/>
      <c r="AG1555" s="89" t="s">
        <v>7495</v>
      </c>
      <c r="AH1555" s="72">
        <v>41388</v>
      </c>
      <c r="AI1555" s="30">
        <v>1</v>
      </c>
      <c r="AJ1555" s="89" t="s">
        <v>8668</v>
      </c>
      <c r="AK1555" s="89" t="s">
        <v>8669</v>
      </c>
      <c r="AL1555" s="91">
        <v>41388</v>
      </c>
      <c r="AM1555" s="91"/>
      <c r="AN1555" s="91"/>
      <c r="AO1555" s="91"/>
      <c r="AP1555" s="73" t="e">
        <f>MID(VLOOKUP(K1555,#REF!,2,FALSE),1,2)</f>
        <v>#REF!</v>
      </c>
      <c r="AQ1555" s="89">
        <f>DATE(2013,4,18)</f>
        <v>41382</v>
      </c>
      <c r="AR1555" s="82">
        <f t="shared" si="102"/>
        <v>18</v>
      </c>
      <c r="AS1555" s="83">
        <f t="shared" si="103"/>
        <v>4</v>
      </c>
      <c r="AT1555" s="84">
        <f t="shared" si="104"/>
        <v>2013</v>
      </c>
      <c r="AU1555" s="86"/>
      <c r="AV1555" s="86"/>
      <c r="AW1555" s="87"/>
      <c r="AX1555" s="86"/>
      <c r="AY1555" s="83"/>
      <c r="AZ1555" s="84"/>
      <c r="BA1555" s="86"/>
      <c r="BB1555" s="86"/>
    </row>
    <row r="1556" spans="1:54" ht="36.75" customHeight="1">
      <c r="A1556" s="30"/>
      <c r="B1556" s="30" t="s">
        <v>55</v>
      </c>
      <c r="C1556" s="69" t="str">
        <f t="shared" si="101"/>
        <v>Closed</v>
      </c>
      <c r="D1556" s="27" t="s">
        <v>8670</v>
      </c>
      <c r="E1556" s="29" t="s">
        <v>8671</v>
      </c>
      <c r="F1556" s="30" t="s">
        <v>638</v>
      </c>
      <c r="G1556" s="89">
        <f>DATE(2013,4,20)</f>
        <v>41384</v>
      </c>
      <c r="H1556" s="90">
        <v>1.5270833333333333</v>
      </c>
      <c r="I1556" s="30" t="s">
        <v>278</v>
      </c>
      <c r="J1556" s="89" t="s">
        <v>8672</v>
      </c>
      <c r="K1556" s="30" t="s">
        <v>640</v>
      </c>
      <c r="L1556" s="30" t="s">
        <v>8673</v>
      </c>
      <c r="M1556" s="30" t="s">
        <v>63</v>
      </c>
      <c r="N1556" s="30" t="s">
        <v>142</v>
      </c>
      <c r="O1556" s="30" t="s">
        <v>77</v>
      </c>
      <c r="P1556" s="89" t="s">
        <v>65</v>
      </c>
      <c r="Q1556" s="89" t="s">
        <v>642</v>
      </c>
      <c r="R1556" s="89" t="s">
        <v>643</v>
      </c>
      <c r="S1556" s="30">
        <v>0</v>
      </c>
      <c r="T1556" s="233">
        <v>0</v>
      </c>
      <c r="U1556" s="30">
        <v>0</v>
      </c>
      <c r="V1556" s="233">
        <v>0</v>
      </c>
      <c r="W1556" s="30">
        <v>1</v>
      </c>
      <c r="X1556" s="30">
        <v>1</v>
      </c>
      <c r="Y1556" s="30">
        <v>0</v>
      </c>
      <c r="Z1556" s="233">
        <v>0</v>
      </c>
      <c r="AA1556" s="30">
        <v>0</v>
      </c>
      <c r="AB1556" s="30">
        <v>0</v>
      </c>
      <c r="AC1556" s="30">
        <v>0</v>
      </c>
      <c r="AD1556" s="30">
        <v>0</v>
      </c>
      <c r="AE1556" s="89" t="s">
        <v>92</v>
      </c>
      <c r="AF1556" s="89"/>
      <c r="AG1556" s="89" t="s">
        <v>352</v>
      </c>
      <c r="AH1556" s="72">
        <v>41393</v>
      </c>
      <c r="AI1556" s="30">
        <v>1</v>
      </c>
      <c r="AJ1556" s="89" t="s">
        <v>8674</v>
      </c>
      <c r="AK1556" s="89" t="s">
        <v>68</v>
      </c>
      <c r="AL1556" s="91">
        <v>41394</v>
      </c>
      <c r="AM1556" s="91"/>
      <c r="AN1556" s="91"/>
      <c r="AO1556" s="91"/>
      <c r="AP1556" s="73" t="e">
        <f>MID(VLOOKUP(K1556,#REF!,2,FALSE),1,2)</f>
        <v>#REF!</v>
      </c>
      <c r="AQ1556" s="89">
        <f>DATE(2013,4,20)</f>
        <v>41384</v>
      </c>
      <c r="AR1556" s="82">
        <f t="shared" si="102"/>
        <v>20</v>
      </c>
      <c r="AS1556" s="83">
        <f t="shared" si="103"/>
        <v>4</v>
      </c>
      <c r="AT1556" s="84">
        <f t="shared" si="104"/>
        <v>2013</v>
      </c>
      <c r="AU1556" s="86"/>
      <c r="AV1556" s="86"/>
      <c r="AW1556" s="87"/>
      <c r="AX1556" s="86"/>
      <c r="AY1556" s="83"/>
      <c r="AZ1556" s="84"/>
      <c r="BA1556" s="86"/>
      <c r="BB1556" s="86"/>
    </row>
    <row r="1557" spans="1:54" ht="36.75" customHeight="1">
      <c r="A1557" s="30"/>
      <c r="B1557" s="30" t="s">
        <v>55</v>
      </c>
      <c r="C1557" s="69" t="str">
        <f t="shared" si="101"/>
        <v>Closed</v>
      </c>
      <c r="D1557" s="27" t="s">
        <v>8675</v>
      </c>
      <c r="E1557" s="29" t="s">
        <v>8676</v>
      </c>
      <c r="F1557" s="30" t="s">
        <v>233</v>
      </c>
      <c r="G1557" s="89">
        <f>DATE(2013,4,21)</f>
        <v>41385</v>
      </c>
      <c r="H1557" s="90">
        <v>1.125</v>
      </c>
      <c r="I1557" s="30" t="s">
        <v>487</v>
      </c>
      <c r="J1557" s="89" t="s">
        <v>8677</v>
      </c>
      <c r="K1557" s="30" t="s">
        <v>235</v>
      </c>
      <c r="L1557" s="30" t="s">
        <v>8678</v>
      </c>
      <c r="M1557" s="30" t="s">
        <v>63</v>
      </c>
      <c r="N1557" s="30" t="s">
        <v>142</v>
      </c>
      <c r="O1557" s="30" t="s">
        <v>64</v>
      </c>
      <c r="P1557" s="89" t="s">
        <v>301</v>
      </c>
      <c r="Q1557" s="89" t="s">
        <v>718</v>
      </c>
      <c r="R1557" s="89" t="s">
        <v>238</v>
      </c>
      <c r="S1557" s="30">
        <v>0</v>
      </c>
      <c r="T1557" s="233">
        <v>0</v>
      </c>
      <c r="U1557" s="30">
        <v>0</v>
      </c>
      <c r="V1557" s="233">
        <v>0</v>
      </c>
      <c r="W1557" s="30">
        <v>0</v>
      </c>
      <c r="X1557" s="30">
        <v>0</v>
      </c>
      <c r="Y1557" s="30">
        <v>0</v>
      </c>
      <c r="Z1557" s="233">
        <v>1</v>
      </c>
      <c r="AA1557" s="30">
        <v>0</v>
      </c>
      <c r="AB1557" s="30">
        <v>0</v>
      </c>
      <c r="AC1557" s="30">
        <v>0</v>
      </c>
      <c r="AD1557" s="30">
        <v>1</v>
      </c>
      <c r="AE1557" s="89" t="s">
        <v>92</v>
      </c>
      <c r="AF1557" s="89"/>
      <c r="AG1557" s="89" t="s">
        <v>133</v>
      </c>
      <c r="AH1557" s="72">
        <v>41407</v>
      </c>
      <c r="AI1557" s="30">
        <v>4</v>
      </c>
      <c r="AJ1557" s="89" t="s">
        <v>8679</v>
      </c>
      <c r="AK1557" s="89" t="s">
        <v>8680</v>
      </c>
      <c r="AL1557" s="91">
        <v>41409</v>
      </c>
      <c r="AM1557" s="91"/>
      <c r="AN1557" s="91"/>
      <c r="AO1557" s="91"/>
      <c r="AP1557" s="73" t="e">
        <f>MID(VLOOKUP(K1557,#REF!,2,FALSE),1,2)</f>
        <v>#REF!</v>
      </c>
      <c r="AQ1557" s="89">
        <f>DATE(2013,4,21)</f>
        <v>41385</v>
      </c>
      <c r="AR1557" s="82">
        <f t="shared" si="102"/>
        <v>21</v>
      </c>
      <c r="AS1557" s="83">
        <f t="shared" si="103"/>
        <v>4</v>
      </c>
      <c r="AT1557" s="84">
        <f t="shared" si="104"/>
        <v>2013</v>
      </c>
      <c r="AU1557" s="86"/>
      <c r="AV1557" s="86"/>
      <c r="AW1557" s="87"/>
      <c r="AX1557" s="86"/>
      <c r="AY1557" s="83"/>
      <c r="AZ1557" s="84"/>
      <c r="BA1557" s="86"/>
      <c r="BB1557" s="86"/>
    </row>
    <row r="1558" spans="1:54" ht="36.75" customHeight="1">
      <c r="A1558" s="30"/>
      <c r="B1558" s="30" t="s">
        <v>55</v>
      </c>
      <c r="C1558" s="69" t="str">
        <f t="shared" si="101"/>
        <v>Closed</v>
      </c>
      <c r="D1558" s="27" t="s">
        <v>8681</v>
      </c>
      <c r="E1558" s="29" t="s">
        <v>8682</v>
      </c>
      <c r="F1558" s="30" t="s">
        <v>835</v>
      </c>
      <c r="G1558" s="89">
        <f>DATE(2013,4,22)</f>
        <v>41386</v>
      </c>
      <c r="H1558" s="90">
        <v>0</v>
      </c>
      <c r="I1558" s="30" t="s">
        <v>116</v>
      </c>
      <c r="J1558" s="89" t="s">
        <v>8683</v>
      </c>
      <c r="K1558" s="30" t="s">
        <v>837</v>
      </c>
      <c r="L1558" s="30" t="s">
        <v>8684</v>
      </c>
      <c r="M1558" s="30" t="s">
        <v>63</v>
      </c>
      <c r="N1558" s="30" t="s">
        <v>99</v>
      </c>
      <c r="O1558" s="30" t="s">
        <v>77</v>
      </c>
      <c r="P1558" s="89" t="s">
        <v>65</v>
      </c>
      <c r="Q1558" s="89" t="s">
        <v>2162</v>
      </c>
      <c r="R1558" s="89" t="s">
        <v>840</v>
      </c>
      <c r="S1558" s="30">
        <v>0</v>
      </c>
      <c r="T1558" s="233">
        <v>0</v>
      </c>
      <c r="U1558" s="30">
        <v>1</v>
      </c>
      <c r="V1558" s="233">
        <v>0</v>
      </c>
      <c r="W1558" s="30">
        <v>0</v>
      </c>
      <c r="X1558" s="30">
        <v>1</v>
      </c>
      <c r="Y1558" s="30">
        <v>0</v>
      </c>
      <c r="Z1558" s="233">
        <v>0</v>
      </c>
      <c r="AA1558" s="30">
        <v>0</v>
      </c>
      <c r="AB1558" s="30">
        <v>0</v>
      </c>
      <c r="AC1558" s="30">
        <v>0</v>
      </c>
      <c r="AD1558" s="30">
        <v>0</v>
      </c>
      <c r="AE1558" s="89" t="s">
        <v>92</v>
      </c>
      <c r="AF1558" s="89"/>
      <c r="AG1558" s="89" t="s">
        <v>352</v>
      </c>
      <c r="AH1558" s="72">
        <v>41386</v>
      </c>
      <c r="AI1558" s="30">
        <v>0</v>
      </c>
      <c r="AJ1558" s="89" t="s">
        <v>8685</v>
      </c>
      <c r="AK1558" s="89" t="s">
        <v>68</v>
      </c>
      <c r="AL1558" s="91">
        <v>41386</v>
      </c>
      <c r="AM1558" s="91"/>
      <c r="AN1558" s="91"/>
      <c r="AO1558" s="91"/>
      <c r="AP1558" s="73" t="e">
        <f>MID(VLOOKUP(K1558,#REF!,2,FALSE),1,2)</f>
        <v>#REF!</v>
      </c>
      <c r="AQ1558" s="89">
        <f>DATE(2013,4,22)</f>
        <v>41386</v>
      </c>
      <c r="AR1558" s="82">
        <f t="shared" si="102"/>
        <v>22</v>
      </c>
      <c r="AS1558" s="83">
        <f t="shared" si="103"/>
        <v>4</v>
      </c>
      <c r="AT1558" s="84">
        <f t="shared" si="104"/>
        <v>2013</v>
      </c>
      <c r="AU1558" s="86"/>
      <c r="AV1558" s="86"/>
      <c r="AW1558" s="87"/>
      <c r="AX1558" s="86"/>
      <c r="AY1558" s="83"/>
      <c r="AZ1558" s="84"/>
      <c r="BA1558" s="86"/>
      <c r="BB1558" s="86"/>
    </row>
    <row r="1559" spans="1:54" ht="36.75" customHeight="1">
      <c r="A1559" s="30"/>
      <c r="B1559" s="30" t="s">
        <v>55</v>
      </c>
      <c r="C1559" s="69" t="str">
        <f t="shared" si="101"/>
        <v>Closed</v>
      </c>
      <c r="D1559" s="27" t="s">
        <v>8686</v>
      </c>
      <c r="E1559" s="29" t="s">
        <v>8687</v>
      </c>
      <c r="F1559" s="30" t="s">
        <v>423</v>
      </c>
      <c r="G1559" s="89">
        <f>DATE(2013,4,25)</f>
        <v>41389</v>
      </c>
      <c r="H1559" s="90">
        <v>1.6534722222222222</v>
      </c>
      <c r="I1559" s="30" t="s">
        <v>73</v>
      </c>
      <c r="J1559" s="89" t="s">
        <v>8688</v>
      </c>
      <c r="K1559" s="30" t="s">
        <v>425</v>
      </c>
      <c r="L1559" s="30" t="s">
        <v>8689</v>
      </c>
      <c r="M1559" s="30" t="s">
        <v>63</v>
      </c>
      <c r="N1559" s="30" t="s">
        <v>99</v>
      </c>
      <c r="O1559" s="30" t="s">
        <v>64</v>
      </c>
      <c r="P1559" s="89" t="s">
        <v>165</v>
      </c>
      <c r="Q1559" s="89" t="s">
        <v>427</v>
      </c>
      <c r="R1559" s="89" t="s">
        <v>3103</v>
      </c>
      <c r="S1559" s="30">
        <v>0</v>
      </c>
      <c r="T1559" s="233">
        <v>0</v>
      </c>
      <c r="U1559" s="30">
        <v>0</v>
      </c>
      <c r="V1559" s="233">
        <v>0</v>
      </c>
      <c r="W1559" s="30">
        <v>0</v>
      </c>
      <c r="X1559" s="30">
        <v>0</v>
      </c>
      <c r="Y1559" s="30">
        <v>0</v>
      </c>
      <c r="Z1559" s="233">
        <v>0</v>
      </c>
      <c r="AA1559" s="30">
        <v>0</v>
      </c>
      <c r="AB1559" s="30">
        <v>0</v>
      </c>
      <c r="AC1559" s="30">
        <v>0</v>
      </c>
      <c r="AD1559" s="30">
        <v>0</v>
      </c>
      <c r="AE1559" s="89" t="s">
        <v>92</v>
      </c>
      <c r="AF1559" s="89"/>
      <c r="AG1559" s="89" t="s">
        <v>133</v>
      </c>
      <c r="AH1559" s="72">
        <v>41390</v>
      </c>
      <c r="AI1559" s="30">
        <v>6</v>
      </c>
      <c r="AJ1559" s="89" t="s">
        <v>8690</v>
      </c>
      <c r="AK1559" s="89" t="s">
        <v>8691</v>
      </c>
      <c r="AL1559" s="91">
        <v>41390</v>
      </c>
      <c r="AM1559" s="91"/>
      <c r="AN1559" s="91"/>
      <c r="AO1559" s="91"/>
      <c r="AP1559" s="73" t="e">
        <f>MID(VLOOKUP(K1559,#REF!,2,FALSE),1,2)</f>
        <v>#REF!</v>
      </c>
      <c r="AQ1559" s="89">
        <f>DATE(2013,4,25)</f>
        <v>41389</v>
      </c>
      <c r="AR1559" s="82">
        <f t="shared" si="102"/>
        <v>25</v>
      </c>
      <c r="AS1559" s="83">
        <f t="shared" si="103"/>
        <v>4</v>
      </c>
      <c r="AT1559" s="84">
        <f t="shared" si="104"/>
        <v>2013</v>
      </c>
      <c r="AU1559" s="86"/>
      <c r="AV1559" s="86"/>
      <c r="AW1559" s="87"/>
      <c r="AX1559" s="86"/>
      <c r="AY1559" s="83"/>
      <c r="AZ1559" s="84"/>
      <c r="BA1559" s="86"/>
      <c r="BB1559" s="86"/>
    </row>
    <row r="1560" spans="1:54" ht="36.75" customHeight="1">
      <c r="A1560" s="30"/>
      <c r="B1560" s="30" t="s">
        <v>55</v>
      </c>
      <c r="C1560" s="69" t="str">
        <f t="shared" si="101"/>
        <v>Closed</v>
      </c>
      <c r="D1560" s="27" t="s">
        <v>8692</v>
      </c>
      <c r="E1560" s="29" t="s">
        <v>8693</v>
      </c>
      <c r="F1560" s="30" t="s">
        <v>638</v>
      </c>
      <c r="G1560" s="89">
        <f>DATE(2013,4,28)</f>
        <v>41392</v>
      </c>
      <c r="H1560" s="90">
        <v>1.4152777777777779</v>
      </c>
      <c r="I1560" s="30" t="s">
        <v>198</v>
      </c>
      <c r="J1560" s="89" t="s">
        <v>8694</v>
      </c>
      <c r="K1560" s="30" t="s">
        <v>640</v>
      </c>
      <c r="L1560" s="30" t="s">
        <v>8695</v>
      </c>
      <c r="M1560" s="30" t="s">
        <v>63</v>
      </c>
      <c r="N1560" s="30" t="s">
        <v>99</v>
      </c>
      <c r="O1560" s="30" t="s">
        <v>64</v>
      </c>
      <c r="P1560" s="89" t="s">
        <v>6902</v>
      </c>
      <c r="Q1560" s="89" t="s">
        <v>642</v>
      </c>
      <c r="R1560" s="89">
        <v>0</v>
      </c>
      <c r="S1560" s="30">
        <v>0</v>
      </c>
      <c r="T1560" s="233">
        <v>0</v>
      </c>
      <c r="U1560" s="30">
        <v>0</v>
      </c>
      <c r="V1560" s="233">
        <v>0</v>
      </c>
      <c r="W1560" s="30">
        <v>0</v>
      </c>
      <c r="X1560" s="30">
        <v>0</v>
      </c>
      <c r="Y1560" s="30">
        <v>0</v>
      </c>
      <c r="Z1560" s="233">
        <v>0</v>
      </c>
      <c r="AA1560" s="30">
        <v>0</v>
      </c>
      <c r="AB1560" s="30">
        <v>0</v>
      </c>
      <c r="AC1560" s="30">
        <v>0</v>
      </c>
      <c r="AD1560" s="30">
        <v>0</v>
      </c>
      <c r="AE1560" s="89" t="s">
        <v>92</v>
      </c>
      <c r="AF1560" s="89"/>
      <c r="AG1560" s="89" t="s">
        <v>352</v>
      </c>
      <c r="AH1560" s="72">
        <v>41393</v>
      </c>
      <c r="AI1560" s="30">
        <v>1</v>
      </c>
      <c r="AJ1560" s="89" t="s">
        <v>8696</v>
      </c>
      <c r="AK1560" s="89" t="s">
        <v>68</v>
      </c>
      <c r="AL1560" s="91">
        <v>41394</v>
      </c>
      <c r="AM1560" s="91"/>
      <c r="AN1560" s="91"/>
      <c r="AO1560" s="91"/>
      <c r="AP1560" s="73" t="e">
        <f>MID(VLOOKUP(K1560,#REF!,2,FALSE),1,2)</f>
        <v>#REF!</v>
      </c>
      <c r="AQ1560" s="89">
        <f>DATE(2013,4,28)</f>
        <v>41392</v>
      </c>
      <c r="AR1560" s="82">
        <f t="shared" si="102"/>
        <v>28</v>
      </c>
      <c r="AS1560" s="83">
        <f t="shared" si="103"/>
        <v>4</v>
      </c>
      <c r="AT1560" s="84">
        <f t="shared" si="104"/>
        <v>2013</v>
      </c>
      <c r="AU1560" s="86"/>
      <c r="AV1560" s="86"/>
      <c r="AW1560" s="87"/>
      <c r="AX1560" s="86"/>
      <c r="AY1560" s="83"/>
      <c r="AZ1560" s="84"/>
      <c r="BA1560" s="86"/>
      <c r="BB1560" s="86"/>
    </row>
    <row r="1561" spans="1:54" ht="36.75" customHeight="1">
      <c r="A1561" s="30"/>
      <c r="B1561" s="30" t="s">
        <v>55</v>
      </c>
      <c r="C1561" s="69" t="str">
        <f t="shared" si="101"/>
        <v>Closed</v>
      </c>
      <c r="D1561" s="27" t="s">
        <v>8697</v>
      </c>
      <c r="E1561" s="29" t="s">
        <v>8698</v>
      </c>
      <c r="F1561" s="30" t="s">
        <v>1572</v>
      </c>
      <c r="G1561" s="89">
        <f>DATE(2013,5,1)</f>
        <v>41395</v>
      </c>
      <c r="H1561" s="90">
        <v>1.2395833333333333</v>
      </c>
      <c r="I1561" s="30" t="s">
        <v>73</v>
      </c>
      <c r="J1561" s="89" t="s">
        <v>8699</v>
      </c>
      <c r="K1561" s="30" t="s">
        <v>1574</v>
      </c>
      <c r="L1561" s="30" t="s">
        <v>8700</v>
      </c>
      <c r="M1561" s="30" t="s">
        <v>63</v>
      </c>
      <c r="N1561" s="30" t="s">
        <v>142</v>
      </c>
      <c r="O1561" s="30" t="s">
        <v>77</v>
      </c>
      <c r="P1561" s="89" t="s">
        <v>78</v>
      </c>
      <c r="Q1561" s="89" t="s">
        <v>6024</v>
      </c>
      <c r="R1561" s="89" t="s">
        <v>6434</v>
      </c>
      <c r="S1561" s="30">
        <v>0</v>
      </c>
      <c r="T1561" s="233">
        <v>0</v>
      </c>
      <c r="U1561" s="30">
        <v>0</v>
      </c>
      <c r="V1561" s="233">
        <v>0</v>
      </c>
      <c r="W1561" s="30">
        <v>0</v>
      </c>
      <c r="X1561" s="30">
        <v>0</v>
      </c>
      <c r="Y1561" s="30">
        <v>0</v>
      </c>
      <c r="Z1561" s="233">
        <v>0</v>
      </c>
      <c r="AA1561" s="30">
        <v>0</v>
      </c>
      <c r="AB1561" s="30">
        <v>0</v>
      </c>
      <c r="AC1561" s="30">
        <v>0</v>
      </c>
      <c r="AD1561" s="30">
        <v>0</v>
      </c>
      <c r="AE1561" s="89" t="s">
        <v>92</v>
      </c>
      <c r="AF1561" s="89"/>
      <c r="AG1561" s="89" t="s">
        <v>133</v>
      </c>
      <c r="AH1561" s="72">
        <v>41401</v>
      </c>
      <c r="AI1561" s="30">
        <v>0</v>
      </c>
      <c r="AJ1561" s="89" t="s">
        <v>8701</v>
      </c>
      <c r="AK1561" s="89" t="s">
        <v>1233</v>
      </c>
      <c r="AL1561" s="91">
        <v>41401</v>
      </c>
      <c r="AM1561" s="91"/>
      <c r="AN1561" s="91"/>
      <c r="AO1561" s="91"/>
      <c r="AP1561" s="73" t="e">
        <f>MID(VLOOKUP(K1561,#REF!,2,FALSE),1,2)</f>
        <v>#REF!</v>
      </c>
      <c r="AQ1561" s="89">
        <f>DATE(2013,5,1)</f>
        <v>41395</v>
      </c>
      <c r="AR1561" s="82">
        <f t="shared" si="102"/>
        <v>1</v>
      </c>
      <c r="AS1561" s="83">
        <f t="shared" si="103"/>
        <v>5</v>
      </c>
      <c r="AT1561" s="84">
        <f t="shared" si="104"/>
        <v>2013</v>
      </c>
      <c r="AU1561" s="86"/>
      <c r="AV1561" s="86"/>
      <c r="AW1561" s="87"/>
      <c r="AX1561" s="86"/>
      <c r="AY1561" s="83"/>
      <c r="AZ1561" s="84"/>
      <c r="BA1561" s="86"/>
      <c r="BB1561" s="86"/>
    </row>
    <row r="1562" spans="1:54" ht="36.75" customHeight="1">
      <c r="A1562" s="30"/>
      <c r="B1562" s="30" t="s">
        <v>55</v>
      </c>
      <c r="C1562" s="69" t="str">
        <f t="shared" si="101"/>
        <v>Closed</v>
      </c>
      <c r="D1562" s="27" t="s">
        <v>8702</v>
      </c>
      <c r="E1562" s="29" t="s">
        <v>8703</v>
      </c>
      <c r="F1562" s="30" t="s">
        <v>423</v>
      </c>
      <c r="G1562" s="89">
        <f>DATE(2013,5,2)</f>
        <v>41396</v>
      </c>
      <c r="H1562" s="90">
        <v>1.6215277777777777</v>
      </c>
      <c r="I1562" s="30" t="s">
        <v>104</v>
      </c>
      <c r="J1562" s="89" t="s">
        <v>8704</v>
      </c>
      <c r="K1562" s="30" t="s">
        <v>425</v>
      </c>
      <c r="L1562" s="30" t="s">
        <v>8705</v>
      </c>
      <c r="M1562" s="30" t="s">
        <v>63</v>
      </c>
      <c r="N1562" s="30" t="s">
        <v>89</v>
      </c>
      <c r="O1562" s="30" t="s">
        <v>77</v>
      </c>
      <c r="P1562" s="89" t="s">
        <v>165</v>
      </c>
      <c r="Q1562" s="89" t="s">
        <v>427</v>
      </c>
      <c r="R1562" s="89" t="s">
        <v>3103</v>
      </c>
      <c r="S1562" s="30">
        <v>0</v>
      </c>
      <c r="T1562" s="233">
        <v>0</v>
      </c>
      <c r="U1562" s="30">
        <v>0</v>
      </c>
      <c r="V1562" s="233">
        <v>0</v>
      </c>
      <c r="W1562" s="30">
        <v>0</v>
      </c>
      <c r="X1562" s="30">
        <v>0</v>
      </c>
      <c r="Y1562" s="30">
        <v>0</v>
      </c>
      <c r="Z1562" s="233">
        <v>0</v>
      </c>
      <c r="AA1562" s="30">
        <v>0</v>
      </c>
      <c r="AB1562" s="30">
        <v>0</v>
      </c>
      <c r="AC1562" s="30">
        <v>0</v>
      </c>
      <c r="AD1562" s="30">
        <v>0</v>
      </c>
      <c r="AE1562" s="89" t="s">
        <v>92</v>
      </c>
      <c r="AF1562" s="89"/>
      <c r="AG1562" s="89" t="s">
        <v>133</v>
      </c>
      <c r="AH1562" s="72">
        <v>41408</v>
      </c>
      <c r="AI1562" s="30">
        <v>7</v>
      </c>
      <c r="AJ1562" s="89" t="s">
        <v>8706</v>
      </c>
      <c r="AK1562" s="89" t="s">
        <v>8707</v>
      </c>
      <c r="AL1562" s="91">
        <v>41409</v>
      </c>
      <c r="AM1562" s="91"/>
      <c r="AN1562" s="91"/>
      <c r="AO1562" s="91"/>
      <c r="AP1562" s="73" t="e">
        <f>MID(VLOOKUP(K1562,#REF!,2,FALSE),1,2)</f>
        <v>#REF!</v>
      </c>
      <c r="AQ1562" s="89">
        <f>DATE(2013,5,2)</f>
        <v>41396</v>
      </c>
      <c r="AR1562" s="82">
        <f t="shared" si="102"/>
        <v>2</v>
      </c>
      <c r="AS1562" s="83">
        <f t="shared" si="103"/>
        <v>5</v>
      </c>
      <c r="AT1562" s="84">
        <f t="shared" si="104"/>
        <v>2013</v>
      </c>
      <c r="AU1562" s="86"/>
      <c r="AV1562" s="86"/>
      <c r="AW1562" s="87"/>
      <c r="AX1562" s="86"/>
      <c r="AY1562" s="83"/>
      <c r="AZ1562" s="84"/>
      <c r="BA1562" s="86"/>
      <c r="BB1562" s="86"/>
    </row>
    <row r="1563" spans="1:54" ht="36.75" customHeight="1">
      <c r="A1563" s="30"/>
      <c r="B1563" s="30" t="s">
        <v>55</v>
      </c>
      <c r="C1563" s="69" t="str">
        <f t="shared" si="101"/>
        <v>Closed</v>
      </c>
      <c r="D1563" s="27" t="s">
        <v>8708</v>
      </c>
      <c r="E1563" s="29" t="s">
        <v>8709</v>
      </c>
      <c r="F1563" s="30" t="s">
        <v>1572</v>
      </c>
      <c r="G1563" s="89">
        <f>DATE(2013,5,3)</f>
        <v>41397</v>
      </c>
      <c r="H1563" s="90">
        <v>1.754861111111111</v>
      </c>
      <c r="I1563" s="30" t="s">
        <v>125</v>
      </c>
      <c r="J1563" s="89" t="s">
        <v>8710</v>
      </c>
      <c r="K1563" s="30" t="s">
        <v>1574</v>
      </c>
      <c r="L1563" s="30" t="s">
        <v>8711</v>
      </c>
      <c r="M1563" s="30" t="s">
        <v>63</v>
      </c>
      <c r="N1563" s="30" t="s">
        <v>142</v>
      </c>
      <c r="O1563" s="30" t="s">
        <v>64</v>
      </c>
      <c r="P1563" s="89" t="s">
        <v>78</v>
      </c>
      <c r="Q1563" s="89" t="s">
        <v>2655</v>
      </c>
      <c r="R1563" s="89" t="s">
        <v>6434</v>
      </c>
      <c r="S1563" s="30">
        <v>0</v>
      </c>
      <c r="T1563" s="233">
        <v>0</v>
      </c>
      <c r="U1563" s="30">
        <v>0</v>
      </c>
      <c r="V1563" s="233">
        <v>0</v>
      </c>
      <c r="W1563" s="30">
        <v>0</v>
      </c>
      <c r="X1563" s="30">
        <v>0</v>
      </c>
      <c r="Y1563" s="30">
        <v>0</v>
      </c>
      <c r="Z1563" s="233">
        <v>0</v>
      </c>
      <c r="AA1563" s="30">
        <v>0</v>
      </c>
      <c r="AB1563" s="30">
        <v>0</v>
      </c>
      <c r="AC1563" s="30">
        <v>0</v>
      </c>
      <c r="AD1563" s="30">
        <v>0</v>
      </c>
      <c r="AE1563" s="89" t="s">
        <v>92</v>
      </c>
      <c r="AF1563" s="89"/>
      <c r="AG1563" s="89" t="s">
        <v>133</v>
      </c>
      <c r="AH1563" s="72">
        <v>41401</v>
      </c>
      <c r="AI1563" s="30">
        <v>0</v>
      </c>
      <c r="AJ1563" s="89" t="s">
        <v>8712</v>
      </c>
      <c r="AK1563" s="89" t="s">
        <v>8713</v>
      </c>
      <c r="AL1563" s="91">
        <v>41403</v>
      </c>
      <c r="AM1563" s="91"/>
      <c r="AN1563" s="91"/>
      <c r="AO1563" s="91"/>
      <c r="AP1563" s="73" t="e">
        <f>MID(VLOOKUP(K1563,#REF!,2,FALSE),1,2)</f>
        <v>#REF!</v>
      </c>
      <c r="AQ1563" s="89">
        <f>DATE(2013,5,3)</f>
        <v>41397</v>
      </c>
      <c r="AR1563" s="82">
        <f t="shared" si="102"/>
        <v>3</v>
      </c>
      <c r="AS1563" s="83">
        <f t="shared" si="103"/>
        <v>5</v>
      </c>
      <c r="AT1563" s="84">
        <f t="shared" si="104"/>
        <v>2013</v>
      </c>
      <c r="AU1563" s="86"/>
      <c r="AV1563" s="86"/>
      <c r="AW1563" s="87"/>
      <c r="AX1563" s="86"/>
      <c r="AY1563" s="83"/>
      <c r="AZ1563" s="84"/>
      <c r="BA1563" s="86"/>
      <c r="BB1563" s="86"/>
    </row>
    <row r="1564" spans="1:54" ht="36.75" customHeight="1">
      <c r="A1564" s="30"/>
      <c r="B1564" s="30" t="s">
        <v>55</v>
      </c>
      <c r="C1564" s="69" t="str">
        <f t="shared" si="101"/>
        <v>Closed</v>
      </c>
      <c r="D1564" s="27" t="s">
        <v>8714</v>
      </c>
      <c r="E1564" s="29" t="s">
        <v>8715</v>
      </c>
      <c r="F1564" s="30" t="s">
        <v>1770</v>
      </c>
      <c r="G1564" s="89">
        <f>DATE(2013,5,4)</f>
        <v>41398</v>
      </c>
      <c r="H1564" s="90">
        <v>1.0819444444444444</v>
      </c>
      <c r="I1564" s="30" t="s">
        <v>73</v>
      </c>
      <c r="J1564" s="89" t="s">
        <v>8716</v>
      </c>
      <c r="K1564" s="30" t="s">
        <v>1772</v>
      </c>
      <c r="L1564" s="30" t="s">
        <v>8717</v>
      </c>
      <c r="M1564" s="30" t="s">
        <v>63</v>
      </c>
      <c r="N1564" s="30" t="s">
        <v>142</v>
      </c>
      <c r="O1564" s="30" t="s">
        <v>64</v>
      </c>
      <c r="P1564" s="89" t="s">
        <v>78</v>
      </c>
      <c r="Q1564" s="89">
        <v>0</v>
      </c>
      <c r="R1564" s="89" t="s">
        <v>1775</v>
      </c>
      <c r="S1564" s="30">
        <v>0</v>
      </c>
      <c r="T1564" s="233">
        <v>0</v>
      </c>
      <c r="U1564" s="30">
        <v>0</v>
      </c>
      <c r="V1564" s="233">
        <v>0</v>
      </c>
      <c r="W1564" s="30">
        <v>1</v>
      </c>
      <c r="X1564" s="30">
        <v>1</v>
      </c>
      <c r="Y1564" s="30">
        <v>0</v>
      </c>
      <c r="Z1564" s="233">
        <v>0</v>
      </c>
      <c r="AA1564" s="30">
        <v>0</v>
      </c>
      <c r="AB1564" s="30">
        <v>0</v>
      </c>
      <c r="AC1564" s="30">
        <v>0</v>
      </c>
      <c r="AD1564" s="30">
        <v>0</v>
      </c>
      <c r="AE1564" s="89" t="s">
        <v>145</v>
      </c>
      <c r="AF1564" s="89"/>
      <c r="AG1564" s="89" t="s">
        <v>82</v>
      </c>
      <c r="AH1564" s="72">
        <v>41398</v>
      </c>
      <c r="AI1564" s="30">
        <v>10</v>
      </c>
      <c r="AJ1564" s="89" t="s">
        <v>8718</v>
      </c>
      <c r="AK1564" s="89" t="s">
        <v>8719</v>
      </c>
      <c r="AL1564" s="91">
        <v>41402</v>
      </c>
      <c r="AM1564" s="91"/>
      <c r="AN1564" s="91"/>
      <c r="AO1564" s="91"/>
      <c r="AP1564" s="73" t="e">
        <f>MID(VLOOKUP(K1564,#REF!,2,FALSE),1,2)</f>
        <v>#REF!</v>
      </c>
      <c r="AQ1564" s="89">
        <f>DATE(2013,5,4)</f>
        <v>41398</v>
      </c>
      <c r="AR1564" s="82">
        <f t="shared" si="102"/>
        <v>4</v>
      </c>
      <c r="AS1564" s="83">
        <f t="shared" si="103"/>
        <v>5</v>
      </c>
      <c r="AT1564" s="84">
        <f t="shared" si="104"/>
        <v>2013</v>
      </c>
      <c r="AU1564" s="86"/>
      <c r="AV1564" s="86"/>
      <c r="AW1564" s="87"/>
      <c r="AX1564" s="86"/>
      <c r="AY1564" s="83"/>
      <c r="AZ1564" s="84"/>
      <c r="BA1564" s="86"/>
      <c r="BB1564" s="86"/>
    </row>
    <row r="1565" spans="1:54" ht="36.75" customHeight="1">
      <c r="A1565" s="30"/>
      <c r="B1565" s="30" t="s">
        <v>55</v>
      </c>
      <c r="C1565" s="69" t="str">
        <f t="shared" si="101"/>
        <v>Closed</v>
      </c>
      <c r="D1565" s="27" t="s">
        <v>8720</v>
      </c>
      <c r="E1565" s="29" t="s">
        <v>8721</v>
      </c>
      <c r="F1565" s="30" t="s">
        <v>451</v>
      </c>
      <c r="G1565" s="89">
        <f>DATE(2013,5,5)</f>
        <v>41399</v>
      </c>
      <c r="H1565" s="90">
        <v>1.3930555555555555</v>
      </c>
      <c r="I1565" s="30" t="s">
        <v>116</v>
      </c>
      <c r="J1565" s="89" t="s">
        <v>8722</v>
      </c>
      <c r="K1565" s="30" t="s">
        <v>453</v>
      </c>
      <c r="L1565" s="30" t="s">
        <v>8723</v>
      </c>
      <c r="M1565" s="30" t="s">
        <v>63</v>
      </c>
      <c r="N1565" s="30" t="s">
        <v>99</v>
      </c>
      <c r="O1565" s="30" t="s">
        <v>64</v>
      </c>
      <c r="P1565" s="89" t="s">
        <v>65</v>
      </c>
      <c r="Q1565" s="89" t="s">
        <v>571</v>
      </c>
      <c r="R1565" s="89" t="s">
        <v>572</v>
      </c>
      <c r="S1565" s="30">
        <v>0</v>
      </c>
      <c r="T1565" s="233">
        <v>0</v>
      </c>
      <c r="U1565" s="30">
        <v>3</v>
      </c>
      <c r="V1565" s="233">
        <v>0</v>
      </c>
      <c r="W1565" s="30">
        <v>0</v>
      </c>
      <c r="X1565" s="30">
        <v>3</v>
      </c>
      <c r="Y1565" s="30">
        <v>0</v>
      </c>
      <c r="Z1565" s="233">
        <v>0</v>
      </c>
      <c r="AA1565" s="30">
        <v>0</v>
      </c>
      <c r="AB1565" s="30">
        <v>0</v>
      </c>
      <c r="AC1565" s="30">
        <v>0</v>
      </c>
      <c r="AD1565" s="30">
        <v>0</v>
      </c>
      <c r="AE1565" s="89" t="s">
        <v>92</v>
      </c>
      <c r="AF1565" s="89"/>
      <c r="AG1565" s="89" t="s">
        <v>82</v>
      </c>
      <c r="AH1565" s="72">
        <v>41399</v>
      </c>
      <c r="AI1565" s="30">
        <v>1</v>
      </c>
      <c r="AJ1565" s="89" t="s">
        <v>8724</v>
      </c>
      <c r="AK1565" s="89" t="s">
        <v>1233</v>
      </c>
      <c r="AL1565" s="91">
        <v>41417</v>
      </c>
      <c r="AM1565" s="91"/>
      <c r="AN1565" s="91"/>
      <c r="AO1565" s="91"/>
      <c r="AP1565" s="73" t="e">
        <f>MID(VLOOKUP(K1565,#REF!,2,FALSE),1,2)</f>
        <v>#REF!</v>
      </c>
      <c r="AQ1565" s="89">
        <f>DATE(2013,5,5)</f>
        <v>41399</v>
      </c>
      <c r="AR1565" s="82">
        <f t="shared" si="102"/>
        <v>5</v>
      </c>
      <c r="AS1565" s="83">
        <f t="shared" si="103"/>
        <v>5</v>
      </c>
      <c r="AT1565" s="84">
        <f t="shared" si="104"/>
        <v>2013</v>
      </c>
      <c r="AU1565" s="86"/>
      <c r="AV1565" s="86"/>
      <c r="AW1565" s="87"/>
      <c r="AX1565" s="86"/>
      <c r="AY1565" s="83"/>
      <c r="AZ1565" s="84"/>
      <c r="BA1565" s="86"/>
      <c r="BB1565" s="86"/>
    </row>
    <row r="1566" spans="1:54" ht="36.75" customHeight="1">
      <c r="A1566" s="30"/>
      <c r="B1566" s="30" t="s">
        <v>55</v>
      </c>
      <c r="C1566" s="69" t="str">
        <f t="shared" si="101"/>
        <v>Closed</v>
      </c>
      <c r="D1566" s="27" t="s">
        <v>8725</v>
      </c>
      <c r="E1566" s="29" t="s">
        <v>8726</v>
      </c>
      <c r="F1566" s="30" t="s">
        <v>835</v>
      </c>
      <c r="G1566" s="89">
        <f>DATE(2013,5,7)</f>
        <v>41401</v>
      </c>
      <c r="H1566" s="90">
        <v>0</v>
      </c>
      <c r="I1566" s="30" t="s">
        <v>73</v>
      </c>
      <c r="J1566" s="89" t="s">
        <v>8727</v>
      </c>
      <c r="K1566" s="30" t="s">
        <v>837</v>
      </c>
      <c r="L1566" s="30" t="s">
        <v>8728</v>
      </c>
      <c r="M1566" s="30" t="s">
        <v>255</v>
      </c>
      <c r="N1566" s="30" t="s">
        <v>142</v>
      </c>
      <c r="O1566" s="30" t="s">
        <v>77</v>
      </c>
      <c r="P1566" s="89" t="s">
        <v>6552</v>
      </c>
      <c r="Q1566" s="89">
        <v>0</v>
      </c>
      <c r="R1566" s="89">
        <v>0</v>
      </c>
      <c r="S1566" s="30">
        <v>0</v>
      </c>
      <c r="T1566" s="233">
        <v>0</v>
      </c>
      <c r="U1566" s="30">
        <v>0</v>
      </c>
      <c r="V1566" s="233">
        <v>0</v>
      </c>
      <c r="W1566" s="30">
        <v>0</v>
      </c>
      <c r="X1566" s="30">
        <v>0</v>
      </c>
      <c r="Y1566" s="30">
        <v>0</v>
      </c>
      <c r="Z1566" s="233">
        <v>0</v>
      </c>
      <c r="AA1566" s="30">
        <v>0</v>
      </c>
      <c r="AB1566" s="30">
        <v>0</v>
      </c>
      <c r="AC1566" s="30">
        <v>0</v>
      </c>
      <c r="AD1566" s="30">
        <v>0</v>
      </c>
      <c r="AE1566" s="89" t="s">
        <v>92</v>
      </c>
      <c r="AF1566" s="89"/>
      <c r="AG1566" s="89" t="s">
        <v>352</v>
      </c>
      <c r="AH1566" s="72">
        <v>41402</v>
      </c>
      <c r="AI1566" s="30">
        <v>0</v>
      </c>
      <c r="AJ1566" s="89" t="s">
        <v>8729</v>
      </c>
      <c r="AK1566" s="89" t="s">
        <v>68</v>
      </c>
      <c r="AL1566" s="91">
        <v>41402</v>
      </c>
      <c r="AM1566" s="91"/>
      <c r="AN1566" s="91"/>
      <c r="AO1566" s="91"/>
      <c r="AP1566" s="73" t="e">
        <f>MID(VLOOKUP(K1566,#REF!,2,FALSE),1,2)</f>
        <v>#REF!</v>
      </c>
      <c r="AQ1566" s="89">
        <f>DATE(2013,5,7)</f>
        <v>41401</v>
      </c>
      <c r="AR1566" s="82">
        <f t="shared" si="102"/>
        <v>7</v>
      </c>
      <c r="AS1566" s="83">
        <f t="shared" si="103"/>
        <v>5</v>
      </c>
      <c r="AT1566" s="84">
        <f t="shared" si="104"/>
        <v>2013</v>
      </c>
      <c r="AU1566" s="86"/>
      <c r="AV1566" s="86"/>
      <c r="AW1566" s="87"/>
      <c r="AX1566" s="86"/>
      <c r="AY1566" s="83"/>
      <c r="AZ1566" s="84"/>
      <c r="BA1566" s="86"/>
      <c r="BB1566" s="86"/>
    </row>
    <row r="1567" spans="1:54" ht="36.75" customHeight="1">
      <c r="A1567" s="30"/>
      <c r="B1567" s="30" t="s">
        <v>55</v>
      </c>
      <c r="C1567" s="69" t="str">
        <f t="shared" si="101"/>
        <v>Closed</v>
      </c>
      <c r="D1567" s="27" t="s">
        <v>8730</v>
      </c>
      <c r="E1567" s="29" t="s">
        <v>8731</v>
      </c>
      <c r="F1567" s="30" t="s">
        <v>1572</v>
      </c>
      <c r="G1567" s="89">
        <f>DATE(2013,5,8)</f>
        <v>41402</v>
      </c>
      <c r="H1567" s="102">
        <v>1.7395833333333335</v>
      </c>
      <c r="I1567" s="30" t="s">
        <v>73</v>
      </c>
      <c r="J1567" s="89" t="s">
        <v>8732</v>
      </c>
      <c r="K1567" s="30" t="s">
        <v>1574</v>
      </c>
      <c r="L1567" s="30" t="s">
        <v>8733</v>
      </c>
      <c r="M1567" s="30" t="s">
        <v>63</v>
      </c>
      <c r="N1567" s="30" t="s">
        <v>99</v>
      </c>
      <c r="O1567" s="30" t="s">
        <v>64</v>
      </c>
      <c r="P1567" s="89" t="s">
        <v>78</v>
      </c>
      <c r="Q1567" s="89" t="s">
        <v>2655</v>
      </c>
      <c r="R1567" s="89" t="s">
        <v>6434</v>
      </c>
      <c r="S1567" s="30">
        <v>0</v>
      </c>
      <c r="T1567" s="232">
        <v>0</v>
      </c>
      <c r="U1567" s="30">
        <v>0</v>
      </c>
      <c r="V1567" s="232">
        <v>0</v>
      </c>
      <c r="W1567" s="30">
        <v>0</v>
      </c>
      <c r="X1567" s="30">
        <v>0</v>
      </c>
      <c r="Y1567" s="30">
        <v>0</v>
      </c>
      <c r="Z1567" s="232">
        <v>0</v>
      </c>
      <c r="AA1567" s="30">
        <v>0</v>
      </c>
      <c r="AB1567" s="30">
        <v>0</v>
      </c>
      <c r="AC1567" s="30">
        <v>0</v>
      </c>
      <c r="AD1567" s="30">
        <v>0</v>
      </c>
      <c r="AE1567" s="89" t="s">
        <v>394</v>
      </c>
      <c r="AF1567" s="89"/>
      <c r="AG1567" s="89" t="s">
        <v>133</v>
      </c>
      <c r="AH1567" s="72">
        <v>41404</v>
      </c>
      <c r="AI1567" s="30">
        <v>1</v>
      </c>
      <c r="AJ1567" s="89" t="s">
        <v>8734</v>
      </c>
      <c r="AK1567" s="89" t="s">
        <v>8735</v>
      </c>
      <c r="AL1567" s="91">
        <v>41408</v>
      </c>
      <c r="AM1567" s="91"/>
      <c r="AN1567" s="91"/>
      <c r="AO1567" s="91"/>
      <c r="AP1567" s="73" t="e">
        <f>MID(VLOOKUP(K1567,#REF!,2,FALSE),1,2)</f>
        <v>#REF!</v>
      </c>
      <c r="AQ1567" s="89">
        <f>DATE(2013,5,8)</f>
        <v>41402</v>
      </c>
      <c r="AR1567" s="82">
        <f t="shared" si="102"/>
        <v>8</v>
      </c>
      <c r="AS1567" s="83">
        <f t="shared" si="103"/>
        <v>5</v>
      </c>
      <c r="AT1567" s="84">
        <f t="shared" si="104"/>
        <v>2013</v>
      </c>
      <c r="AU1567" s="86"/>
      <c r="AV1567" s="86"/>
      <c r="AW1567" s="87"/>
      <c r="AX1567" s="86"/>
      <c r="AY1567" s="83"/>
      <c r="AZ1567" s="84"/>
      <c r="BA1567" s="86"/>
      <c r="BB1567" s="86"/>
    </row>
    <row r="1568" spans="1:54" ht="36.75" customHeight="1">
      <c r="A1568" s="98" t="s">
        <v>4910</v>
      </c>
      <c r="B1568" s="30" t="s">
        <v>55</v>
      </c>
      <c r="C1568" s="69" t="str">
        <f t="shared" si="101"/>
        <v>Closed</v>
      </c>
      <c r="D1568" s="27" t="s">
        <v>8736</v>
      </c>
      <c r="E1568" s="29" t="s">
        <v>8737</v>
      </c>
      <c r="F1568" s="30" t="s">
        <v>582</v>
      </c>
      <c r="G1568" s="89">
        <f>DATE(2013,5,10)</f>
        <v>41404</v>
      </c>
      <c r="H1568" s="103">
        <v>1.8368055555555554</v>
      </c>
      <c r="I1568" s="30" t="s">
        <v>73</v>
      </c>
      <c r="J1568" s="89" t="s">
        <v>8738</v>
      </c>
      <c r="K1568" s="30" t="s">
        <v>584</v>
      </c>
      <c r="L1568" s="30" t="s">
        <v>8739</v>
      </c>
      <c r="M1568" s="30" t="s">
        <v>63</v>
      </c>
      <c r="N1568" s="30" t="s">
        <v>142</v>
      </c>
      <c r="O1568" s="30" t="s">
        <v>77</v>
      </c>
      <c r="P1568" s="89" t="s">
        <v>165</v>
      </c>
      <c r="Q1568" s="89" t="s">
        <v>4487</v>
      </c>
      <c r="R1568" s="89" t="s">
        <v>587</v>
      </c>
      <c r="S1568" s="30">
        <v>0</v>
      </c>
      <c r="T1568" s="101">
        <v>0</v>
      </c>
      <c r="U1568" s="30">
        <v>0</v>
      </c>
      <c r="V1568" s="101">
        <v>0</v>
      </c>
      <c r="W1568" s="30">
        <v>0</v>
      </c>
      <c r="X1568" s="30">
        <v>0</v>
      </c>
      <c r="Y1568" s="30">
        <v>0</v>
      </c>
      <c r="Z1568" s="101">
        <v>0</v>
      </c>
      <c r="AA1568" s="30">
        <v>0</v>
      </c>
      <c r="AB1568" s="30">
        <v>0</v>
      </c>
      <c r="AC1568" s="30">
        <v>0</v>
      </c>
      <c r="AD1568" s="30">
        <v>0</v>
      </c>
      <c r="AE1568" s="89" t="s">
        <v>68</v>
      </c>
      <c r="AF1568" s="89"/>
      <c r="AG1568" s="89" t="s">
        <v>133</v>
      </c>
      <c r="AH1568" s="72">
        <v>41421</v>
      </c>
      <c r="AI1568" s="30">
        <v>0</v>
      </c>
      <c r="AJ1568" s="89" t="s">
        <v>68</v>
      </c>
      <c r="AK1568" s="89" t="s">
        <v>68</v>
      </c>
      <c r="AL1568" s="91">
        <v>41431</v>
      </c>
      <c r="AM1568" s="91"/>
      <c r="AN1568" s="91"/>
      <c r="AO1568" s="91"/>
      <c r="AP1568" s="73" t="e">
        <f>MID(VLOOKUP(K1568,#REF!,2,FALSE),1,2)</f>
        <v>#REF!</v>
      </c>
      <c r="AQ1568" s="89">
        <f>DATE(2013,5,10)</f>
        <v>41404</v>
      </c>
      <c r="AR1568" s="82">
        <f t="shared" si="102"/>
        <v>10</v>
      </c>
      <c r="AS1568" s="83">
        <f t="shared" si="103"/>
        <v>5</v>
      </c>
      <c r="AT1568" s="84">
        <f t="shared" si="104"/>
        <v>2013</v>
      </c>
      <c r="AU1568" s="86"/>
      <c r="AV1568" s="86"/>
      <c r="AW1568" s="87"/>
      <c r="AX1568" s="86"/>
      <c r="AY1568" s="83"/>
      <c r="AZ1568" s="84"/>
      <c r="BA1568" s="86"/>
      <c r="BB1568" s="86"/>
    </row>
    <row r="1569" spans="1:54" ht="36.75" customHeight="1">
      <c r="A1569" s="30"/>
      <c r="B1569" s="30" t="s">
        <v>55</v>
      </c>
      <c r="C1569" s="69" t="str">
        <f t="shared" si="101"/>
        <v>Closed</v>
      </c>
      <c r="D1569" s="27" t="s">
        <v>8740</v>
      </c>
      <c r="E1569" s="29" t="s">
        <v>8741</v>
      </c>
      <c r="F1569" s="30" t="s">
        <v>377</v>
      </c>
      <c r="G1569" s="89">
        <f>DATE(2013,5,12)</f>
        <v>41406</v>
      </c>
      <c r="H1569" s="90">
        <v>1.5763888888888888</v>
      </c>
      <c r="I1569" s="30" t="s">
        <v>278</v>
      </c>
      <c r="J1569" s="89" t="s">
        <v>8742</v>
      </c>
      <c r="K1569" s="30" t="s">
        <v>379</v>
      </c>
      <c r="L1569" s="30" t="s">
        <v>8743</v>
      </c>
      <c r="M1569" s="30" t="s">
        <v>63</v>
      </c>
      <c r="N1569" s="30" t="s">
        <v>89</v>
      </c>
      <c r="O1569" s="30" t="s">
        <v>90</v>
      </c>
      <c r="P1569" s="89" t="s">
        <v>91</v>
      </c>
      <c r="Q1569" s="89" t="s">
        <v>2906</v>
      </c>
      <c r="R1569" s="89" t="s">
        <v>2906</v>
      </c>
      <c r="S1569" s="30">
        <v>0</v>
      </c>
      <c r="T1569" s="233">
        <v>1</v>
      </c>
      <c r="U1569" s="30">
        <v>0</v>
      </c>
      <c r="V1569" s="233">
        <v>0</v>
      </c>
      <c r="W1569" s="30">
        <v>0</v>
      </c>
      <c r="X1569" s="30">
        <v>1</v>
      </c>
      <c r="Y1569" s="30">
        <v>0</v>
      </c>
      <c r="Z1569" s="233">
        <v>0</v>
      </c>
      <c r="AA1569" s="30">
        <v>0</v>
      </c>
      <c r="AB1569" s="30">
        <v>0</v>
      </c>
      <c r="AC1569" s="30">
        <v>0</v>
      </c>
      <c r="AD1569" s="30">
        <v>0</v>
      </c>
      <c r="AE1569" s="89" t="s">
        <v>92</v>
      </c>
      <c r="AF1569" s="89"/>
      <c r="AG1569" s="89" t="s">
        <v>133</v>
      </c>
      <c r="AH1569" s="72">
        <v>41407</v>
      </c>
      <c r="AI1569" s="30">
        <v>1</v>
      </c>
      <c r="AJ1569" s="89" t="s">
        <v>8744</v>
      </c>
      <c r="AK1569" s="89" t="s">
        <v>8745</v>
      </c>
      <c r="AL1569" s="91">
        <v>41457</v>
      </c>
      <c r="AM1569" s="91"/>
      <c r="AN1569" s="91"/>
      <c r="AO1569" s="91"/>
      <c r="AP1569" s="73" t="e">
        <f>MID(VLOOKUP(K1569,#REF!,2,FALSE),1,2)</f>
        <v>#REF!</v>
      </c>
      <c r="AQ1569" s="89">
        <f>DATE(2013,5,12)</f>
        <v>41406</v>
      </c>
      <c r="AR1569" s="82">
        <f t="shared" si="102"/>
        <v>12</v>
      </c>
      <c r="AS1569" s="83">
        <f t="shared" si="103"/>
        <v>5</v>
      </c>
      <c r="AT1569" s="84">
        <f t="shared" si="104"/>
        <v>2013</v>
      </c>
      <c r="AU1569" s="86"/>
      <c r="AV1569" s="86"/>
      <c r="AW1569" s="87"/>
      <c r="AX1569" s="86"/>
      <c r="AY1569" s="83"/>
      <c r="AZ1569" s="84"/>
      <c r="BA1569" s="86"/>
      <c r="BB1569" s="86"/>
    </row>
    <row r="1570" spans="1:54" ht="36.75" customHeight="1">
      <c r="A1570" s="30"/>
      <c r="B1570" s="30" t="s">
        <v>55</v>
      </c>
      <c r="C1570" s="69" t="str">
        <f t="shared" si="101"/>
        <v>Closed</v>
      </c>
      <c r="D1570" s="27" t="s">
        <v>8746</v>
      </c>
      <c r="E1570" s="29" t="s">
        <v>8747</v>
      </c>
      <c r="F1570" s="30" t="s">
        <v>377</v>
      </c>
      <c r="G1570" s="89">
        <f>DATE(2013,5,12)</f>
        <v>41406</v>
      </c>
      <c r="H1570" s="90">
        <v>1.2604166666666667</v>
      </c>
      <c r="I1570" s="30" t="s">
        <v>116</v>
      </c>
      <c r="J1570" s="89" t="s">
        <v>8748</v>
      </c>
      <c r="K1570" s="30" t="s">
        <v>379</v>
      </c>
      <c r="L1570" s="30" t="s">
        <v>8749</v>
      </c>
      <c r="M1570" s="30" t="s">
        <v>63</v>
      </c>
      <c r="N1570" s="30" t="s">
        <v>99</v>
      </c>
      <c r="O1570" s="30" t="s">
        <v>64</v>
      </c>
      <c r="P1570" s="89" t="s">
        <v>165</v>
      </c>
      <c r="Q1570" s="89" t="s">
        <v>2906</v>
      </c>
      <c r="R1570" s="89" t="s">
        <v>382</v>
      </c>
      <c r="S1570" s="30">
        <v>0</v>
      </c>
      <c r="T1570" s="233">
        <v>0</v>
      </c>
      <c r="U1570" s="30">
        <v>0</v>
      </c>
      <c r="V1570" s="233">
        <v>0</v>
      </c>
      <c r="W1570" s="30">
        <v>0</v>
      </c>
      <c r="X1570" s="30">
        <v>0</v>
      </c>
      <c r="Y1570" s="30">
        <v>0</v>
      </c>
      <c r="Z1570" s="233">
        <v>0</v>
      </c>
      <c r="AA1570" s="30">
        <v>1</v>
      </c>
      <c r="AB1570" s="30">
        <v>0</v>
      </c>
      <c r="AC1570" s="30">
        <v>0</v>
      </c>
      <c r="AD1570" s="30">
        <v>1</v>
      </c>
      <c r="AE1570" s="89" t="s">
        <v>92</v>
      </c>
      <c r="AF1570" s="89"/>
      <c r="AG1570" s="89" t="s">
        <v>133</v>
      </c>
      <c r="AH1570" s="72">
        <v>41407</v>
      </c>
      <c r="AI1570" s="30">
        <v>0</v>
      </c>
      <c r="AJ1570" s="89" t="s">
        <v>8750</v>
      </c>
      <c r="AK1570" s="89" t="s">
        <v>712</v>
      </c>
      <c r="AL1570" s="91">
        <v>41457</v>
      </c>
      <c r="AM1570" s="91"/>
      <c r="AN1570" s="91"/>
      <c r="AO1570" s="91"/>
      <c r="AP1570" s="73" t="e">
        <f>MID(VLOOKUP(K1570,#REF!,2,FALSE),1,2)</f>
        <v>#REF!</v>
      </c>
      <c r="AQ1570" s="89">
        <f>DATE(2013,5,12)</f>
        <v>41406</v>
      </c>
      <c r="AR1570" s="82">
        <f t="shared" si="102"/>
        <v>12</v>
      </c>
      <c r="AS1570" s="83">
        <f t="shared" si="103"/>
        <v>5</v>
      </c>
      <c r="AT1570" s="84">
        <f t="shared" si="104"/>
        <v>2013</v>
      </c>
      <c r="AU1570" s="86"/>
      <c r="AV1570" s="86"/>
      <c r="AW1570" s="87"/>
      <c r="AX1570" s="86"/>
      <c r="AY1570" s="83"/>
      <c r="AZ1570" s="84"/>
      <c r="BA1570" s="86"/>
      <c r="BB1570" s="86"/>
    </row>
    <row r="1571" spans="1:54" ht="36.75" customHeight="1">
      <c r="A1571" s="30"/>
      <c r="B1571" s="30" t="s">
        <v>55</v>
      </c>
      <c r="C1571" s="69" t="str">
        <f t="shared" si="101"/>
        <v>Closed</v>
      </c>
      <c r="D1571" s="27" t="s">
        <v>8751</v>
      </c>
      <c r="E1571" s="29" t="s">
        <v>8752</v>
      </c>
      <c r="F1571" s="30" t="s">
        <v>582</v>
      </c>
      <c r="G1571" s="89">
        <f>DATE(2013,5,13)</f>
        <v>41407</v>
      </c>
      <c r="H1571" s="90">
        <v>1.4791666666666667</v>
      </c>
      <c r="I1571" s="30" t="s">
        <v>73</v>
      </c>
      <c r="J1571" s="89" t="s">
        <v>8753</v>
      </c>
      <c r="K1571" s="30" t="s">
        <v>584</v>
      </c>
      <c r="L1571" s="30" t="s">
        <v>8754</v>
      </c>
      <c r="M1571" s="30" t="s">
        <v>63</v>
      </c>
      <c r="N1571" s="30" t="s">
        <v>142</v>
      </c>
      <c r="O1571" s="30" t="s">
        <v>77</v>
      </c>
      <c r="P1571" s="89" t="s">
        <v>65</v>
      </c>
      <c r="Q1571" s="89" t="s">
        <v>4830</v>
      </c>
      <c r="R1571" s="89" t="s">
        <v>587</v>
      </c>
      <c r="S1571" s="30">
        <v>0</v>
      </c>
      <c r="T1571" s="233">
        <v>0</v>
      </c>
      <c r="U1571" s="30">
        <v>0</v>
      </c>
      <c r="V1571" s="233">
        <v>0</v>
      </c>
      <c r="W1571" s="30">
        <v>0</v>
      </c>
      <c r="X1571" s="30">
        <v>0</v>
      </c>
      <c r="Y1571" s="30">
        <v>0</v>
      </c>
      <c r="Z1571" s="233">
        <v>0</v>
      </c>
      <c r="AA1571" s="30">
        <v>0</v>
      </c>
      <c r="AB1571" s="30">
        <v>0</v>
      </c>
      <c r="AC1571" s="30">
        <v>0</v>
      </c>
      <c r="AD1571" s="30">
        <v>0</v>
      </c>
      <c r="AE1571" s="89" t="s">
        <v>394</v>
      </c>
      <c r="AF1571" s="89"/>
      <c r="AG1571" s="89" t="s">
        <v>133</v>
      </c>
      <c r="AH1571" s="72">
        <v>41421</v>
      </c>
      <c r="AI1571" s="30">
        <v>0</v>
      </c>
      <c r="AJ1571" s="89" t="s">
        <v>8755</v>
      </c>
      <c r="AK1571" s="89" t="s">
        <v>1233</v>
      </c>
      <c r="AL1571" s="91">
        <v>41431</v>
      </c>
      <c r="AM1571" s="91"/>
      <c r="AN1571" s="91"/>
      <c r="AO1571" s="91"/>
      <c r="AP1571" s="73" t="e">
        <f>MID(VLOOKUP(K1571,#REF!,2,FALSE),1,2)</f>
        <v>#REF!</v>
      </c>
      <c r="AQ1571" s="89">
        <f>DATE(2013,5,13)</f>
        <v>41407</v>
      </c>
      <c r="AR1571" s="82">
        <f t="shared" si="102"/>
        <v>13</v>
      </c>
      <c r="AS1571" s="83">
        <f t="shared" si="103"/>
        <v>5</v>
      </c>
      <c r="AT1571" s="84">
        <f t="shared" si="104"/>
        <v>2013</v>
      </c>
      <c r="AU1571" s="86"/>
      <c r="AV1571" s="86"/>
      <c r="AW1571" s="87"/>
      <c r="AX1571" s="86"/>
      <c r="AY1571" s="83"/>
      <c r="AZ1571" s="84"/>
      <c r="BA1571" s="86"/>
      <c r="BB1571" s="86"/>
    </row>
    <row r="1572" spans="1:54" ht="36.75" customHeight="1">
      <c r="A1572" s="30"/>
      <c r="B1572" s="30" t="s">
        <v>55</v>
      </c>
      <c r="C1572" s="69" t="str">
        <f t="shared" si="101"/>
        <v>Closed</v>
      </c>
      <c r="D1572" s="27" t="s">
        <v>8756</v>
      </c>
      <c r="E1572" s="29" t="s">
        <v>8757</v>
      </c>
      <c r="F1572" s="30" t="s">
        <v>835</v>
      </c>
      <c r="G1572" s="89">
        <f>DATE(2013,5,13)</f>
        <v>41407</v>
      </c>
      <c r="H1572" s="90">
        <v>1.7534722222222223</v>
      </c>
      <c r="I1572" s="30" t="s">
        <v>116</v>
      </c>
      <c r="J1572" s="89" t="s">
        <v>8758</v>
      </c>
      <c r="K1572" s="30" t="s">
        <v>837</v>
      </c>
      <c r="L1572" s="30" t="s">
        <v>8759</v>
      </c>
      <c r="M1572" s="30" t="s">
        <v>63</v>
      </c>
      <c r="N1572" s="30" t="s">
        <v>99</v>
      </c>
      <c r="O1572" s="30" t="s">
        <v>64</v>
      </c>
      <c r="P1572" s="89" t="s">
        <v>165</v>
      </c>
      <c r="Q1572" s="89" t="s">
        <v>2162</v>
      </c>
      <c r="R1572" s="89" t="s">
        <v>840</v>
      </c>
      <c r="S1572" s="30">
        <v>0</v>
      </c>
      <c r="T1572" s="233">
        <v>0</v>
      </c>
      <c r="U1572" s="30">
        <v>1</v>
      </c>
      <c r="V1572" s="233">
        <v>0</v>
      </c>
      <c r="W1572" s="30">
        <v>0</v>
      </c>
      <c r="X1572" s="30">
        <v>1</v>
      </c>
      <c r="Y1572" s="30">
        <v>0</v>
      </c>
      <c r="Z1572" s="233">
        <v>0</v>
      </c>
      <c r="AA1572" s="30">
        <v>0</v>
      </c>
      <c r="AB1572" s="30">
        <v>0</v>
      </c>
      <c r="AC1572" s="30">
        <v>0</v>
      </c>
      <c r="AD1572" s="30">
        <v>0</v>
      </c>
      <c r="AE1572" s="89" t="s">
        <v>92</v>
      </c>
      <c r="AF1572" s="89"/>
      <c r="AG1572" s="89" t="s">
        <v>133</v>
      </c>
      <c r="AH1572" s="72">
        <v>41411</v>
      </c>
      <c r="AI1572" s="30">
        <v>1</v>
      </c>
      <c r="AJ1572" s="89" t="s">
        <v>8760</v>
      </c>
      <c r="AK1572" s="89" t="s">
        <v>68</v>
      </c>
      <c r="AL1572" s="91">
        <v>41418</v>
      </c>
      <c r="AM1572" s="91"/>
      <c r="AN1572" s="91"/>
      <c r="AO1572" s="91"/>
      <c r="AP1572" s="73" t="e">
        <f>MID(VLOOKUP(K1572,#REF!,2,FALSE),1,2)</f>
        <v>#REF!</v>
      </c>
      <c r="AQ1572" s="89">
        <f>DATE(2013,5,13)</f>
        <v>41407</v>
      </c>
      <c r="AR1572" s="82">
        <f t="shared" si="102"/>
        <v>13</v>
      </c>
      <c r="AS1572" s="83">
        <f t="shared" si="103"/>
        <v>5</v>
      </c>
      <c r="AT1572" s="84">
        <f t="shared" si="104"/>
        <v>2013</v>
      </c>
      <c r="AU1572" s="86"/>
      <c r="AV1572" s="86"/>
      <c r="AW1572" s="87"/>
      <c r="AX1572" s="86"/>
      <c r="AY1572" s="83"/>
      <c r="AZ1572" s="84"/>
      <c r="BA1572" s="86"/>
      <c r="BB1572" s="86"/>
    </row>
    <row r="1573" spans="1:54" ht="36.75" customHeight="1">
      <c r="A1573" s="30"/>
      <c r="B1573" s="30" t="s">
        <v>55</v>
      </c>
      <c r="C1573" s="69" t="str">
        <f t="shared" si="101"/>
        <v>Closed</v>
      </c>
      <c r="D1573" s="27" t="s">
        <v>8761</v>
      </c>
      <c r="E1573" s="29" t="s">
        <v>8762</v>
      </c>
      <c r="F1573" s="30" t="s">
        <v>423</v>
      </c>
      <c r="G1573" s="89">
        <f>DATE(2013,5,20)</f>
        <v>41414</v>
      </c>
      <c r="H1573" s="90">
        <v>1.7743055555555554</v>
      </c>
      <c r="I1573" s="30" t="s">
        <v>73</v>
      </c>
      <c r="J1573" s="89" t="s">
        <v>8763</v>
      </c>
      <c r="K1573" s="30" t="s">
        <v>425</v>
      </c>
      <c r="L1573" s="30" t="s">
        <v>8764</v>
      </c>
      <c r="M1573" s="30" t="s">
        <v>63</v>
      </c>
      <c r="N1573" s="30" t="s">
        <v>89</v>
      </c>
      <c r="O1573" s="30" t="s">
        <v>77</v>
      </c>
      <c r="P1573" s="89" t="s">
        <v>65</v>
      </c>
      <c r="Q1573" s="89" t="s">
        <v>427</v>
      </c>
      <c r="R1573" s="89" t="s">
        <v>3103</v>
      </c>
      <c r="S1573" s="30">
        <v>0</v>
      </c>
      <c r="T1573" s="233">
        <v>0</v>
      </c>
      <c r="U1573" s="30">
        <v>0</v>
      </c>
      <c r="V1573" s="233">
        <v>0</v>
      </c>
      <c r="W1573" s="30">
        <v>0</v>
      </c>
      <c r="X1573" s="30">
        <v>0</v>
      </c>
      <c r="Y1573" s="30">
        <v>0</v>
      </c>
      <c r="Z1573" s="233">
        <v>0</v>
      </c>
      <c r="AA1573" s="30">
        <v>0</v>
      </c>
      <c r="AB1573" s="30">
        <v>0</v>
      </c>
      <c r="AC1573" s="30">
        <v>0</v>
      </c>
      <c r="AD1573" s="30">
        <v>0</v>
      </c>
      <c r="AE1573" s="89" t="s">
        <v>92</v>
      </c>
      <c r="AF1573" s="89"/>
      <c r="AG1573" s="89" t="s">
        <v>133</v>
      </c>
      <c r="AH1573" s="72">
        <v>41414</v>
      </c>
      <c r="AI1573" s="30">
        <v>6</v>
      </c>
      <c r="AJ1573" s="89" t="s">
        <v>8765</v>
      </c>
      <c r="AK1573" s="89" t="s">
        <v>8766</v>
      </c>
      <c r="AL1573" s="91">
        <v>41418</v>
      </c>
      <c r="AM1573" s="91"/>
      <c r="AN1573" s="91"/>
      <c r="AO1573" s="91"/>
      <c r="AP1573" s="73" t="e">
        <f>MID(VLOOKUP(K1573,#REF!,2,FALSE),1,2)</f>
        <v>#REF!</v>
      </c>
      <c r="AQ1573" s="89">
        <f>DATE(2013,5,20)</f>
        <v>41414</v>
      </c>
      <c r="AR1573" s="82">
        <f t="shared" si="102"/>
        <v>20</v>
      </c>
      <c r="AS1573" s="83">
        <f t="shared" si="103"/>
        <v>5</v>
      </c>
      <c r="AT1573" s="84">
        <f t="shared" si="104"/>
        <v>2013</v>
      </c>
      <c r="AU1573" s="86"/>
      <c r="AV1573" s="86"/>
      <c r="AW1573" s="87"/>
      <c r="AX1573" s="86"/>
      <c r="AY1573" s="83"/>
      <c r="AZ1573" s="84"/>
      <c r="BA1573" s="86"/>
      <c r="BB1573" s="86"/>
    </row>
    <row r="1574" spans="1:54" ht="36.75" customHeight="1">
      <c r="A1574" s="30"/>
      <c r="B1574" s="30" t="s">
        <v>55</v>
      </c>
      <c r="C1574" s="69" t="str">
        <f t="shared" si="101"/>
        <v>Closed</v>
      </c>
      <c r="D1574" s="27" t="s">
        <v>8767</v>
      </c>
      <c r="E1574" s="29" t="s">
        <v>8768</v>
      </c>
      <c r="F1574" s="30" t="s">
        <v>638</v>
      </c>
      <c r="G1574" s="89">
        <f>DATE(2013,5,20)</f>
        <v>41414</v>
      </c>
      <c r="H1574" s="90">
        <v>1.4909722222222221</v>
      </c>
      <c r="I1574" s="30" t="s">
        <v>73</v>
      </c>
      <c r="J1574" s="89" t="s">
        <v>8769</v>
      </c>
      <c r="K1574" s="30" t="s">
        <v>640</v>
      </c>
      <c r="L1574" s="30" t="s">
        <v>8770</v>
      </c>
      <c r="M1574" s="30" t="s">
        <v>63</v>
      </c>
      <c r="N1574" s="30" t="s">
        <v>99</v>
      </c>
      <c r="O1574" s="30" t="s">
        <v>64</v>
      </c>
      <c r="P1574" s="89" t="s">
        <v>78</v>
      </c>
      <c r="Q1574" s="89" t="s">
        <v>4904</v>
      </c>
      <c r="R1574" s="89" t="s">
        <v>643</v>
      </c>
      <c r="S1574" s="30">
        <v>0</v>
      </c>
      <c r="T1574" s="233">
        <v>0</v>
      </c>
      <c r="U1574" s="30">
        <v>0</v>
      </c>
      <c r="V1574" s="233">
        <v>0</v>
      </c>
      <c r="W1574" s="30">
        <v>0</v>
      </c>
      <c r="X1574" s="30">
        <v>0</v>
      </c>
      <c r="Y1574" s="30">
        <v>0</v>
      </c>
      <c r="Z1574" s="233">
        <v>0</v>
      </c>
      <c r="AA1574" s="30">
        <v>0</v>
      </c>
      <c r="AB1574" s="30">
        <v>0</v>
      </c>
      <c r="AC1574" s="30">
        <v>0</v>
      </c>
      <c r="AD1574" s="30">
        <v>0</v>
      </c>
      <c r="AE1574" s="89" t="s">
        <v>92</v>
      </c>
      <c r="AF1574" s="89"/>
      <c r="AG1574" s="89" t="s">
        <v>352</v>
      </c>
      <c r="AH1574" s="72">
        <v>41450</v>
      </c>
      <c r="AI1574" s="30">
        <v>1</v>
      </c>
      <c r="AJ1574" s="89" t="s">
        <v>8771</v>
      </c>
      <c r="AK1574" s="89" t="s">
        <v>68</v>
      </c>
      <c r="AL1574" s="91">
        <v>41451</v>
      </c>
      <c r="AM1574" s="91"/>
      <c r="AN1574" s="91"/>
      <c r="AO1574" s="91"/>
      <c r="AP1574" s="73" t="e">
        <f>MID(VLOOKUP(K1574,#REF!,2,FALSE),1,2)</f>
        <v>#REF!</v>
      </c>
      <c r="AQ1574" s="89">
        <f>DATE(2013,5,20)</f>
        <v>41414</v>
      </c>
      <c r="AR1574" s="82">
        <f t="shared" si="102"/>
        <v>20</v>
      </c>
      <c r="AS1574" s="83">
        <f t="shared" si="103"/>
        <v>5</v>
      </c>
      <c r="AT1574" s="84">
        <f t="shared" si="104"/>
        <v>2013</v>
      </c>
      <c r="AU1574" s="86"/>
      <c r="AV1574" s="86"/>
      <c r="AW1574" s="87"/>
      <c r="AX1574" s="86"/>
      <c r="AY1574" s="83"/>
      <c r="AZ1574" s="84"/>
      <c r="BA1574" s="86"/>
      <c r="BB1574" s="86"/>
    </row>
    <row r="1575" spans="1:54" ht="36.75" customHeight="1">
      <c r="A1575" s="30"/>
      <c r="B1575" s="30" t="s">
        <v>55</v>
      </c>
      <c r="C1575" s="69" t="str">
        <f t="shared" si="101"/>
        <v>Closed</v>
      </c>
      <c r="D1575" s="27" t="s">
        <v>8772</v>
      </c>
      <c r="E1575" s="29" t="s">
        <v>8773</v>
      </c>
      <c r="F1575" s="30" t="s">
        <v>423</v>
      </c>
      <c r="G1575" s="89">
        <f>DATE(2013,5,23)</f>
        <v>41417</v>
      </c>
      <c r="H1575" s="90">
        <v>1.6812499999999999</v>
      </c>
      <c r="I1575" s="30" t="s">
        <v>73</v>
      </c>
      <c r="J1575" s="89" t="s">
        <v>8774</v>
      </c>
      <c r="K1575" s="30" t="s">
        <v>425</v>
      </c>
      <c r="L1575" s="30" t="s">
        <v>8775</v>
      </c>
      <c r="M1575" s="30" t="s">
        <v>63</v>
      </c>
      <c r="N1575" s="30" t="s">
        <v>89</v>
      </c>
      <c r="O1575" s="30" t="s">
        <v>77</v>
      </c>
      <c r="P1575" s="89" t="s">
        <v>78</v>
      </c>
      <c r="Q1575" s="89" t="s">
        <v>8776</v>
      </c>
      <c r="R1575" s="89" t="s">
        <v>3103</v>
      </c>
      <c r="S1575" s="30">
        <v>0</v>
      </c>
      <c r="T1575" s="233">
        <v>0</v>
      </c>
      <c r="U1575" s="30">
        <v>0</v>
      </c>
      <c r="V1575" s="233">
        <v>0</v>
      </c>
      <c r="W1575" s="30">
        <v>0</v>
      </c>
      <c r="X1575" s="30">
        <v>0</v>
      </c>
      <c r="Y1575" s="30">
        <v>0</v>
      </c>
      <c r="Z1575" s="233">
        <v>0</v>
      </c>
      <c r="AA1575" s="30">
        <v>0</v>
      </c>
      <c r="AB1575" s="30">
        <v>0</v>
      </c>
      <c r="AC1575" s="30">
        <v>0</v>
      </c>
      <c r="AD1575" s="30">
        <v>0</v>
      </c>
      <c r="AE1575" s="89" t="s">
        <v>92</v>
      </c>
      <c r="AF1575" s="89"/>
      <c r="AG1575" s="89" t="s">
        <v>133</v>
      </c>
      <c r="AH1575" s="72">
        <v>41422</v>
      </c>
      <c r="AI1575" s="30">
        <v>2</v>
      </c>
      <c r="AJ1575" s="89" t="s">
        <v>8777</v>
      </c>
      <c r="AK1575" s="89" t="s">
        <v>8778</v>
      </c>
      <c r="AL1575" s="91">
        <v>41425</v>
      </c>
      <c r="AM1575" s="91"/>
      <c r="AN1575" s="91"/>
      <c r="AO1575" s="91"/>
      <c r="AP1575" s="73" t="e">
        <f>MID(VLOOKUP(K1575,#REF!,2,FALSE),1,2)</f>
        <v>#REF!</v>
      </c>
      <c r="AQ1575" s="89">
        <f>DATE(2013,5,23)</f>
        <v>41417</v>
      </c>
      <c r="AR1575" s="82">
        <f t="shared" si="102"/>
        <v>23</v>
      </c>
      <c r="AS1575" s="83">
        <f t="shared" si="103"/>
        <v>5</v>
      </c>
      <c r="AT1575" s="84">
        <f t="shared" si="104"/>
        <v>2013</v>
      </c>
      <c r="AU1575" s="86"/>
      <c r="AV1575" s="86"/>
      <c r="AW1575" s="87"/>
      <c r="AX1575" s="86"/>
      <c r="AY1575" s="83"/>
      <c r="AZ1575" s="84"/>
      <c r="BA1575" s="86"/>
      <c r="BB1575" s="86"/>
    </row>
    <row r="1576" spans="1:54" ht="36.75" customHeight="1">
      <c r="A1576" s="30"/>
      <c r="B1576" s="30" t="s">
        <v>55</v>
      </c>
      <c r="C1576" s="69" t="str">
        <f t="shared" si="101"/>
        <v>Closed</v>
      </c>
      <c r="D1576" s="27" t="s">
        <v>8779</v>
      </c>
      <c r="E1576" s="29" t="s">
        <v>8780</v>
      </c>
      <c r="F1576" s="30" t="s">
        <v>8781</v>
      </c>
      <c r="G1576" s="89">
        <f>DATE(2013,5,23)</f>
        <v>41417</v>
      </c>
      <c r="H1576" s="90">
        <v>1.4958333333333333</v>
      </c>
      <c r="I1576" s="30" t="s">
        <v>116</v>
      </c>
      <c r="J1576" s="89" t="s">
        <v>8782</v>
      </c>
      <c r="K1576" s="30" t="s">
        <v>8783</v>
      </c>
      <c r="L1576" s="30" t="s">
        <v>8784</v>
      </c>
      <c r="M1576" s="30" t="s">
        <v>63</v>
      </c>
      <c r="N1576" s="30" t="s">
        <v>142</v>
      </c>
      <c r="O1576" s="30" t="s">
        <v>64</v>
      </c>
      <c r="P1576" s="89" t="s">
        <v>165</v>
      </c>
      <c r="Q1576" s="89" t="s">
        <v>8785</v>
      </c>
      <c r="R1576" s="89">
        <v>0</v>
      </c>
      <c r="S1576" s="30">
        <v>0</v>
      </c>
      <c r="T1576" s="233">
        <v>0</v>
      </c>
      <c r="U1576" s="30">
        <v>1</v>
      </c>
      <c r="V1576" s="233">
        <v>0</v>
      </c>
      <c r="W1576" s="30">
        <v>0</v>
      </c>
      <c r="X1576" s="30">
        <v>1</v>
      </c>
      <c r="Y1576" s="30">
        <v>0</v>
      </c>
      <c r="Z1576" s="233">
        <v>0</v>
      </c>
      <c r="AA1576" s="30">
        <v>0</v>
      </c>
      <c r="AB1576" s="30">
        <v>0</v>
      </c>
      <c r="AC1576" s="30">
        <v>0</v>
      </c>
      <c r="AD1576" s="30">
        <v>0</v>
      </c>
      <c r="AE1576" s="89" t="s">
        <v>92</v>
      </c>
      <c r="AF1576" s="89"/>
      <c r="AG1576" s="89" t="s">
        <v>82</v>
      </c>
      <c r="AH1576" s="72">
        <v>41423</v>
      </c>
      <c r="AI1576" s="30">
        <v>0</v>
      </c>
      <c r="AJ1576" s="89" t="s">
        <v>8786</v>
      </c>
      <c r="AK1576" s="89" t="s">
        <v>68</v>
      </c>
      <c r="AL1576" s="91">
        <v>41422</v>
      </c>
      <c r="AM1576" s="91"/>
      <c r="AN1576" s="91"/>
      <c r="AO1576" s="91"/>
      <c r="AP1576" s="73" t="e">
        <f>MID(VLOOKUP(K1576,#REF!,2,FALSE),1,2)</f>
        <v>#REF!</v>
      </c>
      <c r="AQ1576" s="89">
        <f>DATE(2013,5,23)</f>
        <v>41417</v>
      </c>
      <c r="AR1576" s="82">
        <f t="shared" si="102"/>
        <v>23</v>
      </c>
      <c r="AS1576" s="83">
        <f t="shared" si="103"/>
        <v>5</v>
      </c>
      <c r="AT1576" s="84">
        <f t="shared" si="104"/>
        <v>2013</v>
      </c>
      <c r="AU1576" s="86"/>
      <c r="AV1576" s="86"/>
      <c r="AW1576" s="87"/>
      <c r="AX1576" s="86"/>
      <c r="AY1576" s="83"/>
      <c r="AZ1576" s="84"/>
      <c r="BA1576" s="86"/>
      <c r="BB1576" s="86"/>
    </row>
    <row r="1577" spans="1:54" ht="36.75" customHeight="1">
      <c r="A1577" s="30"/>
      <c r="B1577" s="30" t="s">
        <v>55</v>
      </c>
      <c r="C1577" s="69" t="str">
        <f t="shared" si="101"/>
        <v>Closed</v>
      </c>
      <c r="D1577" s="27" t="s">
        <v>8787</v>
      </c>
      <c r="E1577" s="29" t="s">
        <v>8788</v>
      </c>
      <c r="F1577" s="30" t="s">
        <v>638</v>
      </c>
      <c r="G1577" s="89">
        <f>DATE(2013,5,26)</f>
        <v>41420</v>
      </c>
      <c r="H1577" s="90">
        <v>1.6340277777777779</v>
      </c>
      <c r="I1577" s="30" t="s">
        <v>73</v>
      </c>
      <c r="J1577" s="89" t="s">
        <v>8789</v>
      </c>
      <c r="K1577" s="30" t="s">
        <v>640</v>
      </c>
      <c r="L1577" s="30" t="s">
        <v>8790</v>
      </c>
      <c r="M1577" s="30" t="s">
        <v>63</v>
      </c>
      <c r="N1577" s="30" t="s">
        <v>89</v>
      </c>
      <c r="O1577" s="30" t="s">
        <v>6875</v>
      </c>
      <c r="P1577" s="89" t="s">
        <v>8791</v>
      </c>
      <c r="Q1577" s="89" t="s">
        <v>642</v>
      </c>
      <c r="R1577" s="89" t="s">
        <v>643</v>
      </c>
      <c r="S1577" s="30">
        <v>0</v>
      </c>
      <c r="T1577" s="233">
        <v>0</v>
      </c>
      <c r="U1577" s="30">
        <v>0</v>
      </c>
      <c r="V1577" s="233">
        <v>0</v>
      </c>
      <c r="W1577" s="30">
        <v>0</v>
      </c>
      <c r="X1577" s="30">
        <v>0</v>
      </c>
      <c r="Y1577" s="30">
        <v>0</v>
      </c>
      <c r="Z1577" s="233">
        <v>0</v>
      </c>
      <c r="AA1577" s="30">
        <v>0</v>
      </c>
      <c r="AB1577" s="30">
        <v>0</v>
      </c>
      <c r="AC1577" s="30">
        <v>0</v>
      </c>
      <c r="AD1577" s="30">
        <v>0</v>
      </c>
      <c r="AE1577" s="89" t="s">
        <v>92</v>
      </c>
      <c r="AF1577" s="89"/>
      <c r="AG1577" s="89" t="s">
        <v>352</v>
      </c>
      <c r="AH1577" s="72">
        <v>41422</v>
      </c>
      <c r="AI1577" s="30">
        <v>1</v>
      </c>
      <c r="AJ1577" s="89" t="s">
        <v>8792</v>
      </c>
      <c r="AK1577" s="89" t="s">
        <v>68</v>
      </c>
      <c r="AL1577" s="91">
        <v>41428</v>
      </c>
      <c r="AM1577" s="91"/>
      <c r="AN1577" s="91"/>
      <c r="AO1577" s="91"/>
      <c r="AP1577" s="73" t="e">
        <f>MID(VLOOKUP(K1577,#REF!,2,FALSE),1,2)</f>
        <v>#REF!</v>
      </c>
      <c r="AQ1577" s="89">
        <f>DATE(2013,5,26)</f>
        <v>41420</v>
      </c>
      <c r="AR1577" s="82">
        <f t="shared" si="102"/>
        <v>26</v>
      </c>
      <c r="AS1577" s="83">
        <f t="shared" si="103"/>
        <v>5</v>
      </c>
      <c r="AT1577" s="84">
        <f t="shared" si="104"/>
        <v>2013</v>
      </c>
      <c r="AU1577" s="86"/>
      <c r="AV1577" s="86"/>
      <c r="AW1577" s="87"/>
      <c r="AX1577" s="86"/>
      <c r="AY1577" s="83"/>
      <c r="AZ1577" s="84"/>
      <c r="BA1577" s="86"/>
      <c r="BB1577" s="86"/>
    </row>
    <row r="1578" spans="1:54" ht="36.75" customHeight="1">
      <c r="A1578" s="30"/>
      <c r="B1578" s="30" t="s">
        <v>55</v>
      </c>
      <c r="C1578" s="69" t="str">
        <f t="shared" si="101"/>
        <v>Closed</v>
      </c>
      <c r="D1578" s="27" t="s">
        <v>8793</v>
      </c>
      <c r="E1578" s="29" t="s">
        <v>8794</v>
      </c>
      <c r="F1578" s="30" t="s">
        <v>835</v>
      </c>
      <c r="G1578" s="89">
        <f>DATE(2013,5,26)</f>
        <v>41420</v>
      </c>
      <c r="H1578" s="90">
        <v>1.2763888888888888</v>
      </c>
      <c r="I1578" s="30" t="s">
        <v>104</v>
      </c>
      <c r="J1578" s="89" t="s">
        <v>8795</v>
      </c>
      <c r="K1578" s="30" t="s">
        <v>837</v>
      </c>
      <c r="L1578" s="30" t="s">
        <v>8796</v>
      </c>
      <c r="M1578" s="30" t="s">
        <v>63</v>
      </c>
      <c r="N1578" s="30" t="s">
        <v>99</v>
      </c>
      <c r="O1578" s="30" t="s">
        <v>77</v>
      </c>
      <c r="P1578" s="89" t="s">
        <v>65</v>
      </c>
      <c r="Q1578" s="89" t="s">
        <v>2162</v>
      </c>
      <c r="R1578" s="89" t="s">
        <v>840</v>
      </c>
      <c r="S1578" s="30">
        <v>0</v>
      </c>
      <c r="T1578" s="233">
        <v>0</v>
      </c>
      <c r="U1578" s="30">
        <v>0</v>
      </c>
      <c r="V1578" s="233">
        <v>0</v>
      </c>
      <c r="W1578" s="30">
        <v>0</v>
      </c>
      <c r="X1578" s="30">
        <v>0</v>
      </c>
      <c r="Y1578" s="30">
        <v>0</v>
      </c>
      <c r="Z1578" s="233">
        <v>0</v>
      </c>
      <c r="AA1578" s="30">
        <v>0</v>
      </c>
      <c r="AB1578" s="30">
        <v>0</v>
      </c>
      <c r="AC1578" s="30">
        <v>0</v>
      </c>
      <c r="AD1578" s="30">
        <v>0</v>
      </c>
      <c r="AE1578" s="89" t="s">
        <v>92</v>
      </c>
      <c r="AF1578" s="89"/>
      <c r="AG1578" s="89" t="s">
        <v>352</v>
      </c>
      <c r="AH1578" s="72">
        <v>41420</v>
      </c>
      <c r="AI1578" s="30">
        <v>0</v>
      </c>
      <c r="AJ1578" s="89" t="s">
        <v>8797</v>
      </c>
      <c r="AK1578" s="89" t="s">
        <v>8798</v>
      </c>
      <c r="AL1578" s="91">
        <v>41425</v>
      </c>
      <c r="AM1578" s="91"/>
      <c r="AN1578" s="91"/>
      <c r="AO1578" s="91"/>
      <c r="AP1578" s="73" t="e">
        <f>MID(VLOOKUP(K1578,#REF!,2,FALSE),1,2)</f>
        <v>#REF!</v>
      </c>
      <c r="AQ1578" s="89">
        <f>DATE(2013,5,26)</f>
        <v>41420</v>
      </c>
      <c r="AR1578" s="82">
        <f t="shared" si="102"/>
        <v>26</v>
      </c>
      <c r="AS1578" s="83">
        <f t="shared" si="103"/>
        <v>5</v>
      </c>
      <c r="AT1578" s="84">
        <f t="shared" si="104"/>
        <v>2013</v>
      </c>
      <c r="AU1578" s="86"/>
      <c r="AV1578" s="86"/>
      <c r="AW1578" s="87"/>
      <c r="AX1578" s="86"/>
      <c r="AY1578" s="83"/>
      <c r="AZ1578" s="84"/>
      <c r="BA1578" s="86"/>
      <c r="BB1578" s="86"/>
    </row>
    <row r="1579" spans="1:54" ht="36.75" customHeight="1">
      <c r="A1579" s="30"/>
      <c r="B1579" s="30" t="s">
        <v>55</v>
      </c>
      <c r="C1579" s="69" t="str">
        <f t="shared" si="101"/>
        <v>Closed</v>
      </c>
      <c r="D1579" s="27" t="s">
        <v>8799</v>
      </c>
      <c r="E1579" s="29" t="s">
        <v>8800</v>
      </c>
      <c r="F1579" s="30" t="s">
        <v>197</v>
      </c>
      <c r="G1579" s="89">
        <f>DATE(2013,5,30)</f>
        <v>41424</v>
      </c>
      <c r="H1579" s="90">
        <v>1.6937500000000001</v>
      </c>
      <c r="I1579" s="30" t="s">
        <v>198</v>
      </c>
      <c r="J1579" s="89" t="s">
        <v>8801</v>
      </c>
      <c r="K1579" s="30" t="s">
        <v>200</v>
      </c>
      <c r="L1579" s="30" t="s">
        <v>8802</v>
      </c>
      <c r="M1579" s="30" t="s">
        <v>63</v>
      </c>
      <c r="N1579" s="30" t="s">
        <v>142</v>
      </c>
      <c r="O1579" s="30" t="s">
        <v>77</v>
      </c>
      <c r="P1579" s="89" t="s">
        <v>6902</v>
      </c>
      <c r="Q1579" s="89" t="s">
        <v>202</v>
      </c>
      <c r="R1579" s="89" t="s">
        <v>203</v>
      </c>
      <c r="S1579" s="30">
        <v>0</v>
      </c>
      <c r="T1579" s="233">
        <v>0</v>
      </c>
      <c r="U1579" s="30">
        <v>0</v>
      </c>
      <c r="V1579" s="233">
        <v>0</v>
      </c>
      <c r="W1579" s="30">
        <v>0</v>
      </c>
      <c r="X1579" s="30">
        <v>0</v>
      </c>
      <c r="Y1579" s="30">
        <v>0</v>
      </c>
      <c r="Z1579" s="233">
        <v>0</v>
      </c>
      <c r="AA1579" s="30">
        <v>0</v>
      </c>
      <c r="AB1579" s="30">
        <v>0</v>
      </c>
      <c r="AC1579" s="30">
        <v>0</v>
      </c>
      <c r="AD1579" s="30">
        <v>0</v>
      </c>
      <c r="AE1579" s="89" t="s">
        <v>92</v>
      </c>
      <c r="AF1579" s="89"/>
      <c r="AG1579" s="89" t="s">
        <v>133</v>
      </c>
      <c r="AH1579" s="72">
        <v>41436</v>
      </c>
      <c r="AI1579" s="30">
        <v>7</v>
      </c>
      <c r="AJ1579" s="89" t="s">
        <v>8803</v>
      </c>
      <c r="AK1579" s="89" t="s">
        <v>1233</v>
      </c>
      <c r="AL1579" s="91">
        <v>41739</v>
      </c>
      <c r="AM1579" s="91"/>
      <c r="AN1579" s="91"/>
      <c r="AO1579" s="91"/>
      <c r="AP1579" s="73" t="e">
        <f>MID(VLOOKUP(K1579,#REF!,2,FALSE),1,2)</f>
        <v>#REF!</v>
      </c>
      <c r="AQ1579" s="89">
        <f>DATE(2013,5,30)</f>
        <v>41424</v>
      </c>
      <c r="AR1579" s="82">
        <f t="shared" si="102"/>
        <v>30</v>
      </c>
      <c r="AS1579" s="83">
        <f t="shared" si="103"/>
        <v>5</v>
      </c>
      <c r="AT1579" s="84">
        <f t="shared" si="104"/>
        <v>2013</v>
      </c>
      <c r="AU1579" s="86"/>
      <c r="AV1579" s="86"/>
      <c r="AW1579" s="87"/>
      <c r="AX1579" s="86"/>
      <c r="AY1579" s="83"/>
      <c r="AZ1579" s="84"/>
      <c r="BA1579" s="86"/>
      <c r="BB1579" s="86"/>
    </row>
    <row r="1580" spans="1:54" ht="36.75" customHeight="1">
      <c r="A1580" s="30"/>
      <c r="B1580" s="30" t="s">
        <v>55</v>
      </c>
      <c r="C1580" s="69" t="str">
        <f t="shared" si="101"/>
        <v>Closed</v>
      </c>
      <c r="D1580" s="27" t="s">
        <v>8804</v>
      </c>
      <c r="E1580" s="29" t="s">
        <v>8805</v>
      </c>
      <c r="F1580" s="30" t="s">
        <v>377</v>
      </c>
      <c r="G1580" s="89">
        <f>DATE(2013,5,31)</f>
        <v>41425</v>
      </c>
      <c r="H1580" s="90">
        <v>1.5520833333333335</v>
      </c>
      <c r="I1580" s="30" t="s">
        <v>278</v>
      </c>
      <c r="J1580" s="89" t="s">
        <v>8806</v>
      </c>
      <c r="K1580" s="30" t="s">
        <v>379</v>
      </c>
      <c r="L1580" s="30" t="s">
        <v>8807</v>
      </c>
      <c r="M1580" s="30" t="s">
        <v>63</v>
      </c>
      <c r="N1580" s="30" t="s">
        <v>142</v>
      </c>
      <c r="O1580" s="30" t="s">
        <v>77</v>
      </c>
      <c r="P1580" s="89" t="s">
        <v>91</v>
      </c>
      <c r="Q1580" s="89" t="s">
        <v>8472</v>
      </c>
      <c r="R1580" s="89" t="s">
        <v>382</v>
      </c>
      <c r="S1580" s="30">
        <v>0</v>
      </c>
      <c r="T1580" s="233">
        <v>1</v>
      </c>
      <c r="U1580" s="30">
        <v>0</v>
      </c>
      <c r="V1580" s="233">
        <v>0</v>
      </c>
      <c r="W1580" s="30">
        <v>0</v>
      </c>
      <c r="X1580" s="30">
        <v>1</v>
      </c>
      <c r="Y1580" s="30">
        <v>0</v>
      </c>
      <c r="Z1580" s="233">
        <v>0</v>
      </c>
      <c r="AA1580" s="30">
        <v>0</v>
      </c>
      <c r="AB1580" s="30">
        <v>0</v>
      </c>
      <c r="AC1580" s="30">
        <v>0</v>
      </c>
      <c r="AD1580" s="30">
        <v>0</v>
      </c>
      <c r="AE1580" s="89" t="s">
        <v>92</v>
      </c>
      <c r="AF1580" s="89"/>
      <c r="AG1580" s="89" t="s">
        <v>133</v>
      </c>
      <c r="AH1580" s="72">
        <v>41428</v>
      </c>
      <c r="AI1580" s="30">
        <v>1</v>
      </c>
      <c r="AJ1580" s="89" t="s">
        <v>8808</v>
      </c>
      <c r="AK1580" s="89" t="s">
        <v>68</v>
      </c>
      <c r="AL1580" s="91">
        <v>41457</v>
      </c>
      <c r="AM1580" s="91"/>
      <c r="AN1580" s="91"/>
      <c r="AO1580" s="91"/>
      <c r="AP1580" s="73" t="e">
        <f>MID(VLOOKUP(K1580,#REF!,2,FALSE),1,2)</f>
        <v>#REF!</v>
      </c>
      <c r="AQ1580" s="89">
        <f>DATE(2013,5,31)</f>
        <v>41425</v>
      </c>
      <c r="AR1580" s="82">
        <f t="shared" si="102"/>
        <v>31</v>
      </c>
      <c r="AS1580" s="83">
        <f t="shared" si="103"/>
        <v>5</v>
      </c>
      <c r="AT1580" s="84">
        <f t="shared" si="104"/>
        <v>2013</v>
      </c>
      <c r="AU1580" s="86"/>
      <c r="AV1580" s="86"/>
      <c r="AW1580" s="87"/>
      <c r="AX1580" s="86"/>
      <c r="AY1580" s="83"/>
      <c r="AZ1580" s="84"/>
      <c r="BA1580" s="86"/>
      <c r="BB1580" s="86"/>
    </row>
    <row r="1581" spans="1:54" ht="36.75" customHeight="1">
      <c r="A1581" s="30"/>
      <c r="B1581" s="30" t="s">
        <v>55</v>
      </c>
      <c r="C1581" s="69" t="str">
        <f t="shared" si="101"/>
        <v>Closed</v>
      </c>
      <c r="D1581" s="27" t="s">
        <v>8809</v>
      </c>
      <c r="E1581" s="29" t="s">
        <v>8810</v>
      </c>
      <c r="F1581" s="30" t="s">
        <v>233</v>
      </c>
      <c r="G1581" s="89">
        <f>DATE(2013,5,31)</f>
        <v>41425</v>
      </c>
      <c r="H1581" s="90">
        <v>1.125</v>
      </c>
      <c r="I1581" s="30" t="s">
        <v>2418</v>
      </c>
      <c r="J1581" s="89" t="s">
        <v>8811</v>
      </c>
      <c r="K1581" s="30" t="s">
        <v>235</v>
      </c>
      <c r="L1581" s="30" t="s">
        <v>8812</v>
      </c>
      <c r="M1581" s="30" t="s">
        <v>63</v>
      </c>
      <c r="N1581" s="30" t="s">
        <v>99</v>
      </c>
      <c r="O1581" s="30" t="s">
        <v>64</v>
      </c>
      <c r="P1581" s="89" t="s">
        <v>301</v>
      </c>
      <c r="Q1581" s="89" t="s">
        <v>675</v>
      </c>
      <c r="R1581" s="89" t="s">
        <v>675</v>
      </c>
      <c r="S1581" s="30">
        <v>0</v>
      </c>
      <c r="T1581" s="233">
        <v>0</v>
      </c>
      <c r="U1581" s="30">
        <v>0</v>
      </c>
      <c r="V1581" s="233">
        <v>0</v>
      </c>
      <c r="W1581" s="30">
        <v>0</v>
      </c>
      <c r="X1581" s="30">
        <v>0</v>
      </c>
      <c r="Y1581" s="30">
        <v>0</v>
      </c>
      <c r="Z1581" s="233">
        <v>0</v>
      </c>
      <c r="AA1581" s="30">
        <v>0</v>
      </c>
      <c r="AB1581" s="30">
        <v>0</v>
      </c>
      <c r="AC1581" s="30">
        <v>0</v>
      </c>
      <c r="AD1581" s="30">
        <v>0</v>
      </c>
      <c r="AE1581" s="89" t="s">
        <v>92</v>
      </c>
      <c r="AF1581" s="89"/>
      <c r="AG1581" s="89" t="s">
        <v>133</v>
      </c>
      <c r="AH1581" s="72">
        <v>41442</v>
      </c>
      <c r="AI1581" s="30">
        <v>3</v>
      </c>
      <c r="AJ1581" s="89" t="s">
        <v>8813</v>
      </c>
      <c r="AK1581" s="89" t="s">
        <v>8814</v>
      </c>
      <c r="AL1581" s="91">
        <v>41464</v>
      </c>
      <c r="AM1581" s="91"/>
      <c r="AN1581" s="91"/>
      <c r="AO1581" s="91"/>
      <c r="AP1581" s="73" t="e">
        <f>MID(VLOOKUP(K1581,#REF!,2,FALSE),1,2)</f>
        <v>#REF!</v>
      </c>
      <c r="AQ1581" s="89">
        <f>DATE(2013,5,31)</f>
        <v>41425</v>
      </c>
      <c r="AR1581" s="82">
        <f t="shared" si="102"/>
        <v>31</v>
      </c>
      <c r="AS1581" s="83">
        <f t="shared" si="103"/>
        <v>5</v>
      </c>
      <c r="AT1581" s="84">
        <f t="shared" si="104"/>
        <v>2013</v>
      </c>
      <c r="AU1581" s="86"/>
      <c r="AV1581" s="86"/>
      <c r="AW1581" s="87"/>
      <c r="AX1581" s="86"/>
      <c r="AY1581" s="83"/>
      <c r="AZ1581" s="84"/>
      <c r="BA1581" s="86"/>
      <c r="BB1581" s="86"/>
    </row>
    <row r="1582" spans="1:54" ht="36.75" customHeight="1">
      <c r="A1582" s="30"/>
      <c r="B1582" s="30" t="s">
        <v>55</v>
      </c>
      <c r="C1582" s="69" t="str">
        <f t="shared" si="101"/>
        <v>Closed</v>
      </c>
      <c r="D1582" s="27" t="s">
        <v>8815</v>
      </c>
      <c r="E1582" s="29" t="s">
        <v>8816</v>
      </c>
      <c r="F1582" s="30" t="s">
        <v>451</v>
      </c>
      <c r="G1582" s="89">
        <f>DATE(2013,6,4)</f>
        <v>41429</v>
      </c>
      <c r="H1582" s="90">
        <v>1.4076388888888889</v>
      </c>
      <c r="I1582" s="30" t="s">
        <v>116</v>
      </c>
      <c r="J1582" s="89" t="s">
        <v>8817</v>
      </c>
      <c r="K1582" s="30" t="s">
        <v>453</v>
      </c>
      <c r="L1582" s="30" t="s">
        <v>8818</v>
      </c>
      <c r="M1582" s="30" t="s">
        <v>63</v>
      </c>
      <c r="N1582" s="30" t="s">
        <v>99</v>
      </c>
      <c r="O1582" s="30" t="s">
        <v>64</v>
      </c>
      <c r="P1582" s="89"/>
      <c r="Q1582" s="89" t="s">
        <v>8819</v>
      </c>
      <c r="R1582" s="89" t="s">
        <v>8820</v>
      </c>
      <c r="S1582" s="30">
        <v>0</v>
      </c>
      <c r="T1582" s="233">
        <v>0</v>
      </c>
      <c r="U1582" s="30">
        <v>1</v>
      </c>
      <c r="V1582" s="233">
        <v>0</v>
      </c>
      <c r="W1582" s="30">
        <v>0</v>
      </c>
      <c r="X1582" s="30">
        <v>1</v>
      </c>
      <c r="Y1582" s="30">
        <v>0</v>
      </c>
      <c r="Z1582" s="233">
        <v>0</v>
      </c>
      <c r="AA1582" s="30">
        <v>0</v>
      </c>
      <c r="AB1582" s="30">
        <v>0</v>
      </c>
      <c r="AC1582" s="30">
        <v>0</v>
      </c>
      <c r="AD1582" s="30">
        <v>0</v>
      </c>
      <c r="AE1582" s="89" t="s">
        <v>394</v>
      </c>
      <c r="AF1582" s="89"/>
      <c r="AG1582" s="89" t="s">
        <v>82</v>
      </c>
      <c r="AH1582" s="72">
        <v>42572</v>
      </c>
      <c r="AI1582" s="30">
        <v>0</v>
      </c>
      <c r="AJ1582" s="89" t="s">
        <v>8821</v>
      </c>
      <c r="AK1582" s="89" t="s">
        <v>1233</v>
      </c>
      <c r="AL1582" s="91">
        <v>42572</v>
      </c>
      <c r="AM1582" s="91"/>
      <c r="AN1582" s="91"/>
      <c r="AO1582" s="91"/>
      <c r="AP1582" s="73" t="e">
        <f>MID(VLOOKUP(K1582,#REF!,2,FALSE),1,2)</f>
        <v>#REF!</v>
      </c>
      <c r="AQ1582" s="89">
        <f>DATE(2013,6,4)</f>
        <v>41429</v>
      </c>
      <c r="AR1582" s="82">
        <f t="shared" si="102"/>
        <v>4</v>
      </c>
      <c r="AS1582" s="83">
        <f t="shared" si="103"/>
        <v>6</v>
      </c>
      <c r="AT1582" s="84">
        <f t="shared" si="104"/>
        <v>2013</v>
      </c>
      <c r="AU1582" s="86"/>
      <c r="AV1582" s="86"/>
      <c r="AW1582" s="87"/>
      <c r="AX1582" s="86"/>
      <c r="AY1582" s="83"/>
      <c r="AZ1582" s="84"/>
      <c r="BA1582" s="86"/>
      <c r="BB1582" s="86"/>
    </row>
    <row r="1583" spans="1:54" ht="36.75" customHeight="1">
      <c r="A1583" s="30"/>
      <c r="B1583" s="30" t="s">
        <v>55</v>
      </c>
      <c r="C1583" s="69" t="str">
        <f t="shared" si="101"/>
        <v>Closed</v>
      </c>
      <c r="D1583" s="27" t="s">
        <v>8822</v>
      </c>
      <c r="E1583" s="29" t="s">
        <v>8823</v>
      </c>
      <c r="F1583" s="30" t="s">
        <v>638</v>
      </c>
      <c r="G1583" s="89">
        <f>DATE(2013,6,4)</f>
        <v>41429</v>
      </c>
      <c r="H1583" s="90">
        <v>1.0208333333333333</v>
      </c>
      <c r="I1583" s="30" t="s">
        <v>5494</v>
      </c>
      <c r="J1583" s="89" t="s">
        <v>8824</v>
      </c>
      <c r="K1583" s="30" t="s">
        <v>640</v>
      </c>
      <c r="L1583" s="30" t="s">
        <v>8825</v>
      </c>
      <c r="M1583" s="30" t="s">
        <v>63</v>
      </c>
      <c r="N1583" s="30" t="s">
        <v>142</v>
      </c>
      <c r="O1583" s="30" t="s">
        <v>64</v>
      </c>
      <c r="P1583" s="89" t="s">
        <v>78</v>
      </c>
      <c r="Q1583" s="89" t="s">
        <v>4904</v>
      </c>
      <c r="R1583" s="89" t="s">
        <v>643</v>
      </c>
      <c r="S1583" s="30">
        <v>0</v>
      </c>
      <c r="T1583" s="233">
        <v>0</v>
      </c>
      <c r="U1583" s="30">
        <v>0</v>
      </c>
      <c r="V1583" s="233">
        <v>0</v>
      </c>
      <c r="W1583" s="30">
        <v>0</v>
      </c>
      <c r="X1583" s="30">
        <v>0</v>
      </c>
      <c r="Y1583" s="30">
        <v>0</v>
      </c>
      <c r="Z1583" s="233">
        <v>0</v>
      </c>
      <c r="AA1583" s="30">
        <v>0</v>
      </c>
      <c r="AB1583" s="30">
        <v>0</v>
      </c>
      <c r="AC1583" s="30">
        <v>0</v>
      </c>
      <c r="AD1583" s="30">
        <v>0</v>
      </c>
      <c r="AE1583" s="89" t="s">
        <v>92</v>
      </c>
      <c r="AF1583" s="89"/>
      <c r="AG1583" s="89" t="s">
        <v>352</v>
      </c>
      <c r="AH1583" s="72">
        <v>41450</v>
      </c>
      <c r="AI1583" s="30">
        <v>1</v>
      </c>
      <c r="AJ1583" s="89" t="s">
        <v>8826</v>
      </c>
      <c r="AK1583" s="89" t="s">
        <v>68</v>
      </c>
      <c r="AL1583" s="91">
        <v>41451</v>
      </c>
      <c r="AM1583" s="91"/>
      <c r="AN1583" s="91"/>
      <c r="AO1583" s="91"/>
      <c r="AP1583" s="73" t="e">
        <f>MID(VLOOKUP(K1583,#REF!,2,FALSE),1,2)</f>
        <v>#REF!</v>
      </c>
      <c r="AQ1583" s="89">
        <f>DATE(2013,6,4)</f>
        <v>41429</v>
      </c>
      <c r="AR1583" s="82">
        <f t="shared" si="102"/>
        <v>4</v>
      </c>
      <c r="AS1583" s="83">
        <f t="shared" si="103"/>
        <v>6</v>
      </c>
      <c r="AT1583" s="84">
        <f t="shared" si="104"/>
        <v>2013</v>
      </c>
      <c r="AU1583" s="86"/>
      <c r="AV1583" s="86"/>
      <c r="AW1583" s="87"/>
      <c r="AX1583" s="86"/>
      <c r="AY1583" s="83"/>
      <c r="AZ1583" s="84"/>
      <c r="BA1583" s="86"/>
      <c r="BB1583" s="86"/>
    </row>
    <row r="1584" spans="1:54" ht="36.75" customHeight="1">
      <c r="A1584" s="30"/>
      <c r="B1584" s="30" t="s">
        <v>55</v>
      </c>
      <c r="C1584" s="69" t="str">
        <f t="shared" si="101"/>
        <v>Closed</v>
      </c>
      <c r="D1584" s="27" t="s">
        <v>8827</v>
      </c>
      <c r="E1584" s="29" t="s">
        <v>8828</v>
      </c>
      <c r="F1584" s="30" t="s">
        <v>233</v>
      </c>
      <c r="G1584" s="89">
        <f>DATE(2013,6,5)</f>
        <v>41430</v>
      </c>
      <c r="H1584" s="90">
        <v>1.7097222222222221</v>
      </c>
      <c r="I1584" s="30" t="s">
        <v>278</v>
      </c>
      <c r="J1584" s="89" t="s">
        <v>8829</v>
      </c>
      <c r="K1584" s="30" t="s">
        <v>235</v>
      </c>
      <c r="L1584" s="30" t="s">
        <v>8830</v>
      </c>
      <c r="M1584" s="30" t="s">
        <v>63</v>
      </c>
      <c r="N1584" s="30" t="s">
        <v>99</v>
      </c>
      <c r="O1584" s="30" t="s">
        <v>77</v>
      </c>
      <c r="P1584" s="89" t="s">
        <v>165</v>
      </c>
      <c r="Q1584" s="89" t="s">
        <v>5612</v>
      </c>
      <c r="R1584" s="89" t="s">
        <v>238</v>
      </c>
      <c r="S1584" s="30">
        <v>0</v>
      </c>
      <c r="T1584" s="233">
        <v>0</v>
      </c>
      <c r="U1584" s="30">
        <v>0</v>
      </c>
      <c r="V1584" s="233">
        <v>0</v>
      </c>
      <c r="W1584" s="30">
        <v>0</v>
      </c>
      <c r="X1584" s="30">
        <v>0</v>
      </c>
      <c r="Y1584" s="30">
        <v>0</v>
      </c>
      <c r="Z1584" s="233">
        <v>0</v>
      </c>
      <c r="AA1584" s="30">
        <v>0</v>
      </c>
      <c r="AB1584" s="30">
        <v>0</v>
      </c>
      <c r="AC1584" s="30">
        <v>0</v>
      </c>
      <c r="AD1584" s="30">
        <v>0</v>
      </c>
      <c r="AE1584" s="89" t="s">
        <v>92</v>
      </c>
      <c r="AF1584" s="89"/>
      <c r="AG1584" s="89" t="s">
        <v>133</v>
      </c>
      <c r="AH1584" s="72">
        <v>41463</v>
      </c>
      <c r="AI1584" s="30">
        <v>6</v>
      </c>
      <c r="AJ1584" s="89" t="s">
        <v>8831</v>
      </c>
      <c r="AK1584" s="89" t="s">
        <v>8832</v>
      </c>
      <c r="AL1584" s="91">
        <v>41477</v>
      </c>
      <c r="AM1584" s="91"/>
      <c r="AN1584" s="91"/>
      <c r="AO1584" s="91"/>
      <c r="AP1584" s="73" t="e">
        <f>MID(VLOOKUP(K1584,#REF!,2,FALSE),1,2)</f>
        <v>#REF!</v>
      </c>
      <c r="AQ1584" s="89">
        <f>DATE(2013,6,5)</f>
        <v>41430</v>
      </c>
      <c r="AR1584" s="82">
        <f t="shared" si="102"/>
        <v>5</v>
      </c>
      <c r="AS1584" s="83">
        <f t="shared" si="103"/>
        <v>6</v>
      </c>
      <c r="AT1584" s="84">
        <f t="shared" si="104"/>
        <v>2013</v>
      </c>
      <c r="AU1584" s="86"/>
      <c r="AV1584" s="86"/>
      <c r="AW1584" s="87"/>
      <c r="AX1584" s="86"/>
      <c r="AY1584" s="83"/>
      <c r="AZ1584" s="84"/>
      <c r="BA1584" s="86"/>
      <c r="BB1584" s="86"/>
    </row>
    <row r="1585" spans="1:54" ht="36.75" customHeight="1">
      <c r="A1585" s="30"/>
      <c r="B1585" s="30" t="s">
        <v>55</v>
      </c>
      <c r="C1585" s="69" t="str">
        <f t="shared" si="101"/>
        <v>Closed</v>
      </c>
      <c r="D1585" s="27" t="s">
        <v>8833</v>
      </c>
      <c r="E1585" s="29" t="s">
        <v>8834</v>
      </c>
      <c r="F1585" s="30" t="s">
        <v>638</v>
      </c>
      <c r="G1585" s="89">
        <f>DATE(2013,6,6)</f>
        <v>41431</v>
      </c>
      <c r="H1585" s="90">
        <v>1.4638888888888888</v>
      </c>
      <c r="I1585" s="30" t="s">
        <v>73</v>
      </c>
      <c r="J1585" s="89" t="s">
        <v>8835</v>
      </c>
      <c r="K1585" s="30" t="s">
        <v>640</v>
      </c>
      <c r="L1585" s="30" t="s">
        <v>7732</v>
      </c>
      <c r="M1585" s="30" t="s">
        <v>63</v>
      </c>
      <c r="N1585" s="30" t="s">
        <v>99</v>
      </c>
      <c r="O1585" s="30" t="s">
        <v>77</v>
      </c>
      <c r="P1585" s="89" t="s">
        <v>65</v>
      </c>
      <c r="Q1585" s="89" t="s">
        <v>642</v>
      </c>
      <c r="R1585" s="89" t="s">
        <v>643</v>
      </c>
      <c r="S1585" s="30">
        <v>0</v>
      </c>
      <c r="T1585" s="233">
        <v>0</v>
      </c>
      <c r="U1585" s="30">
        <v>0</v>
      </c>
      <c r="V1585" s="233">
        <v>0</v>
      </c>
      <c r="W1585" s="30">
        <v>0</v>
      </c>
      <c r="X1585" s="30">
        <v>0</v>
      </c>
      <c r="Y1585" s="30">
        <v>0</v>
      </c>
      <c r="Z1585" s="233">
        <v>0</v>
      </c>
      <c r="AA1585" s="30">
        <v>0</v>
      </c>
      <c r="AB1585" s="30">
        <v>0</v>
      </c>
      <c r="AC1585" s="30">
        <v>0</v>
      </c>
      <c r="AD1585" s="30">
        <v>0</v>
      </c>
      <c r="AE1585" s="89" t="s">
        <v>92</v>
      </c>
      <c r="AF1585" s="89"/>
      <c r="AG1585" s="89" t="s">
        <v>352</v>
      </c>
      <c r="AH1585" s="72">
        <v>41450</v>
      </c>
      <c r="AI1585" s="30">
        <v>1</v>
      </c>
      <c r="AJ1585" s="89" t="s">
        <v>8836</v>
      </c>
      <c r="AK1585" s="89" t="s">
        <v>68</v>
      </c>
      <c r="AL1585" s="91">
        <v>41451</v>
      </c>
      <c r="AM1585" s="91"/>
      <c r="AN1585" s="91"/>
      <c r="AO1585" s="91"/>
      <c r="AP1585" s="73" t="e">
        <f>MID(VLOOKUP(K1585,#REF!,2,FALSE),1,2)</f>
        <v>#REF!</v>
      </c>
      <c r="AQ1585" s="89">
        <f>DATE(2013,6,6)</f>
        <v>41431</v>
      </c>
      <c r="AR1585" s="82">
        <f t="shared" si="102"/>
        <v>6</v>
      </c>
      <c r="AS1585" s="83">
        <f t="shared" si="103"/>
        <v>6</v>
      </c>
      <c r="AT1585" s="84">
        <f t="shared" si="104"/>
        <v>2013</v>
      </c>
      <c r="AU1585" s="86"/>
      <c r="AV1585" s="86"/>
      <c r="AW1585" s="87"/>
      <c r="AX1585" s="86"/>
      <c r="AY1585" s="83"/>
      <c r="AZ1585" s="84"/>
      <c r="BA1585" s="86"/>
      <c r="BB1585" s="86"/>
    </row>
    <row r="1586" spans="1:54" ht="36.75" customHeight="1">
      <c r="A1586" s="30"/>
      <c r="B1586" s="30" t="s">
        <v>55</v>
      </c>
      <c r="C1586" s="69" t="str">
        <f t="shared" si="101"/>
        <v>Closed</v>
      </c>
      <c r="D1586" s="27" t="s">
        <v>8837</v>
      </c>
      <c r="E1586" s="29" t="s">
        <v>8838</v>
      </c>
      <c r="F1586" s="30" t="s">
        <v>233</v>
      </c>
      <c r="G1586" s="89">
        <f>DATE(2013,6,6)</f>
        <v>41431</v>
      </c>
      <c r="H1586" s="90">
        <v>1.2472222222222222</v>
      </c>
      <c r="I1586" s="30" t="s">
        <v>2418</v>
      </c>
      <c r="J1586" s="89" t="s">
        <v>8839</v>
      </c>
      <c r="K1586" s="30" t="s">
        <v>235</v>
      </c>
      <c r="L1586" s="30" t="s">
        <v>8840</v>
      </c>
      <c r="M1586" s="30" t="s">
        <v>63</v>
      </c>
      <c r="N1586" s="30" t="s">
        <v>142</v>
      </c>
      <c r="O1586" s="30" t="s">
        <v>77</v>
      </c>
      <c r="P1586" s="89" t="s">
        <v>165</v>
      </c>
      <c r="Q1586" s="89" t="s">
        <v>2174</v>
      </c>
      <c r="R1586" s="89" t="s">
        <v>238</v>
      </c>
      <c r="S1586" s="30">
        <v>0</v>
      </c>
      <c r="T1586" s="233">
        <v>0</v>
      </c>
      <c r="U1586" s="30">
        <v>0</v>
      </c>
      <c r="V1586" s="233">
        <v>0</v>
      </c>
      <c r="W1586" s="30">
        <v>0</v>
      </c>
      <c r="X1586" s="30">
        <v>0</v>
      </c>
      <c r="Y1586" s="30">
        <v>0</v>
      </c>
      <c r="Z1586" s="233">
        <v>0</v>
      </c>
      <c r="AA1586" s="30">
        <v>0</v>
      </c>
      <c r="AB1586" s="30">
        <v>0</v>
      </c>
      <c r="AC1586" s="30">
        <v>0</v>
      </c>
      <c r="AD1586" s="30">
        <v>0</v>
      </c>
      <c r="AE1586" s="89" t="s">
        <v>92</v>
      </c>
      <c r="AF1586" s="89"/>
      <c r="AG1586" s="89" t="s">
        <v>133</v>
      </c>
      <c r="AH1586" s="72">
        <v>41456</v>
      </c>
      <c r="AI1586" s="30">
        <v>6</v>
      </c>
      <c r="AJ1586" s="89" t="s">
        <v>8841</v>
      </c>
      <c r="AK1586" s="89" t="s">
        <v>8842</v>
      </c>
      <c r="AL1586" s="91">
        <v>41464</v>
      </c>
      <c r="AM1586" s="91"/>
      <c r="AN1586" s="91"/>
      <c r="AO1586" s="91"/>
      <c r="AP1586" s="73" t="e">
        <f>MID(VLOOKUP(K1586,#REF!,2,FALSE),1,2)</f>
        <v>#REF!</v>
      </c>
      <c r="AQ1586" s="89">
        <f>DATE(2013,6,6)</f>
        <v>41431</v>
      </c>
      <c r="AR1586" s="82">
        <f t="shared" si="102"/>
        <v>6</v>
      </c>
      <c r="AS1586" s="83">
        <f t="shared" si="103"/>
        <v>6</v>
      </c>
      <c r="AT1586" s="84">
        <f t="shared" si="104"/>
        <v>2013</v>
      </c>
      <c r="AU1586" s="86"/>
      <c r="AV1586" s="86"/>
      <c r="AW1586" s="87"/>
      <c r="AX1586" s="86"/>
      <c r="AY1586" s="83"/>
      <c r="AZ1586" s="84"/>
      <c r="BA1586" s="86"/>
      <c r="BB1586" s="86"/>
    </row>
    <row r="1587" spans="1:54" ht="36.75" customHeight="1">
      <c r="A1587" s="30"/>
      <c r="B1587" s="30" t="s">
        <v>55</v>
      </c>
      <c r="C1587" s="69" t="str">
        <f t="shared" si="101"/>
        <v>Closed</v>
      </c>
      <c r="D1587" s="27" t="s">
        <v>8843</v>
      </c>
      <c r="E1587" s="29" t="s">
        <v>8844</v>
      </c>
      <c r="F1587" s="30" t="s">
        <v>582</v>
      </c>
      <c r="G1587" s="89">
        <f>DATE(2013,6,9)</f>
        <v>41434</v>
      </c>
      <c r="H1587" s="90">
        <v>1.2291666666666667</v>
      </c>
      <c r="I1587" s="30" t="s">
        <v>73</v>
      </c>
      <c r="J1587" s="89" t="s">
        <v>8845</v>
      </c>
      <c r="K1587" s="30" t="s">
        <v>584</v>
      </c>
      <c r="L1587" s="30" t="s">
        <v>8846</v>
      </c>
      <c r="M1587" s="30" t="s">
        <v>63</v>
      </c>
      <c r="N1587" s="30" t="s">
        <v>142</v>
      </c>
      <c r="O1587" s="30" t="s">
        <v>64</v>
      </c>
      <c r="P1587" s="89" t="s">
        <v>78</v>
      </c>
      <c r="Q1587" s="89" t="s">
        <v>8847</v>
      </c>
      <c r="R1587" s="89" t="s">
        <v>587</v>
      </c>
      <c r="S1587" s="30">
        <v>0</v>
      </c>
      <c r="T1587" s="233">
        <v>0</v>
      </c>
      <c r="U1587" s="30">
        <v>0</v>
      </c>
      <c r="V1587" s="233">
        <v>0</v>
      </c>
      <c r="W1587" s="30">
        <v>0</v>
      </c>
      <c r="X1587" s="30">
        <v>0</v>
      </c>
      <c r="Y1587" s="30">
        <v>0</v>
      </c>
      <c r="Z1587" s="233">
        <v>0</v>
      </c>
      <c r="AA1587" s="30">
        <v>0</v>
      </c>
      <c r="AB1587" s="30">
        <v>0</v>
      </c>
      <c r="AC1587" s="30">
        <v>0</v>
      </c>
      <c r="AD1587" s="30">
        <v>0</v>
      </c>
      <c r="AE1587" s="89" t="s">
        <v>394</v>
      </c>
      <c r="AF1587" s="89"/>
      <c r="AG1587" s="89" t="s">
        <v>589</v>
      </c>
      <c r="AH1587" s="72">
        <v>41435</v>
      </c>
      <c r="AI1587" s="30">
        <v>0</v>
      </c>
      <c r="AJ1587" s="89" t="s">
        <v>8848</v>
      </c>
      <c r="AK1587" s="89" t="s">
        <v>1233</v>
      </c>
      <c r="AL1587" s="91">
        <v>41435</v>
      </c>
      <c r="AM1587" s="91"/>
      <c r="AN1587" s="91"/>
      <c r="AO1587" s="91"/>
      <c r="AP1587" s="73" t="e">
        <f>MID(VLOOKUP(K1587,#REF!,2,FALSE),1,2)</f>
        <v>#REF!</v>
      </c>
      <c r="AQ1587" s="89">
        <f>DATE(2013,6,9)</f>
        <v>41434</v>
      </c>
      <c r="AR1587" s="82">
        <f t="shared" si="102"/>
        <v>9</v>
      </c>
      <c r="AS1587" s="83">
        <f t="shared" si="103"/>
        <v>6</v>
      </c>
      <c r="AT1587" s="84">
        <f t="shared" si="104"/>
        <v>2013</v>
      </c>
      <c r="AU1587" s="86"/>
      <c r="AV1587" s="86"/>
      <c r="AW1587" s="87"/>
      <c r="AX1587" s="86"/>
      <c r="AY1587" s="83"/>
      <c r="AZ1587" s="84"/>
      <c r="BA1587" s="86"/>
      <c r="BB1587" s="86"/>
    </row>
    <row r="1588" spans="1:54" ht="36.75" customHeight="1">
      <c r="A1588" s="30"/>
      <c r="B1588" s="30" t="s">
        <v>55</v>
      </c>
      <c r="C1588" s="69" t="str">
        <f t="shared" si="101"/>
        <v>Closed</v>
      </c>
      <c r="D1588" s="27" t="s">
        <v>8849</v>
      </c>
      <c r="E1588" s="29" t="s">
        <v>8850</v>
      </c>
      <c r="F1588" s="30" t="s">
        <v>197</v>
      </c>
      <c r="G1588" s="89">
        <f>DATE(2013,6,11)</f>
        <v>41436</v>
      </c>
      <c r="H1588" s="90">
        <v>1.7263888888888888</v>
      </c>
      <c r="I1588" s="30" t="s">
        <v>198</v>
      </c>
      <c r="J1588" s="89" t="s">
        <v>8851</v>
      </c>
      <c r="K1588" s="30" t="s">
        <v>200</v>
      </c>
      <c r="L1588" s="30" t="s">
        <v>8852</v>
      </c>
      <c r="M1588" s="30" t="s">
        <v>63</v>
      </c>
      <c r="N1588" s="30" t="s">
        <v>89</v>
      </c>
      <c r="O1588" s="30" t="s">
        <v>90</v>
      </c>
      <c r="P1588" s="89" t="s">
        <v>2551</v>
      </c>
      <c r="Q1588" s="89" t="s">
        <v>2453</v>
      </c>
      <c r="R1588" s="89" t="s">
        <v>203</v>
      </c>
      <c r="S1588" s="30">
        <v>0</v>
      </c>
      <c r="T1588" s="233">
        <v>0</v>
      </c>
      <c r="U1588" s="30">
        <v>0</v>
      </c>
      <c r="V1588" s="233">
        <v>0</v>
      </c>
      <c r="W1588" s="30">
        <v>0</v>
      </c>
      <c r="X1588" s="30">
        <v>0</v>
      </c>
      <c r="Y1588" s="30">
        <v>0</v>
      </c>
      <c r="Z1588" s="233">
        <v>0</v>
      </c>
      <c r="AA1588" s="30">
        <v>0</v>
      </c>
      <c r="AB1588" s="30">
        <v>0</v>
      </c>
      <c r="AC1588" s="30">
        <v>0</v>
      </c>
      <c r="AD1588" s="30">
        <v>0</v>
      </c>
      <c r="AE1588" s="89" t="s">
        <v>92</v>
      </c>
      <c r="AF1588" s="89"/>
      <c r="AG1588" s="89" t="s">
        <v>133</v>
      </c>
      <c r="AH1588" s="72">
        <v>41446</v>
      </c>
      <c r="AI1588" s="30">
        <v>1</v>
      </c>
      <c r="AJ1588" s="89" t="s">
        <v>8853</v>
      </c>
      <c r="AK1588" s="89" t="s">
        <v>1233</v>
      </c>
      <c r="AL1588" s="91">
        <v>41739</v>
      </c>
      <c r="AM1588" s="91"/>
      <c r="AN1588" s="91"/>
      <c r="AO1588" s="91"/>
      <c r="AP1588" s="73" t="e">
        <f>MID(VLOOKUP(K1588,#REF!,2,FALSE),1,2)</f>
        <v>#REF!</v>
      </c>
      <c r="AQ1588" s="89">
        <f>DATE(2013,6,11)</f>
        <v>41436</v>
      </c>
      <c r="AR1588" s="82">
        <f t="shared" si="102"/>
        <v>11</v>
      </c>
      <c r="AS1588" s="83">
        <f t="shared" si="103"/>
        <v>6</v>
      </c>
      <c r="AT1588" s="84">
        <f t="shared" si="104"/>
        <v>2013</v>
      </c>
      <c r="AU1588" s="86"/>
      <c r="AV1588" s="86"/>
      <c r="AW1588" s="87"/>
      <c r="AX1588" s="86"/>
      <c r="AY1588" s="83"/>
      <c r="AZ1588" s="84"/>
      <c r="BA1588" s="86"/>
      <c r="BB1588" s="86"/>
    </row>
    <row r="1589" spans="1:54" ht="36.75" customHeight="1">
      <c r="A1589" s="30"/>
      <c r="B1589" s="30" t="s">
        <v>55</v>
      </c>
      <c r="C1589" s="69" t="str">
        <f t="shared" si="101"/>
        <v>Closed</v>
      </c>
      <c r="D1589" s="27" t="s">
        <v>8854</v>
      </c>
      <c r="E1589" s="29" t="s">
        <v>8855</v>
      </c>
      <c r="F1589" s="30" t="s">
        <v>582</v>
      </c>
      <c r="G1589" s="89">
        <f>DATE(2013,6,11)</f>
        <v>41436</v>
      </c>
      <c r="H1589" s="90">
        <v>1.3069444444444445</v>
      </c>
      <c r="I1589" s="30" t="s">
        <v>73</v>
      </c>
      <c r="J1589" s="89" t="s">
        <v>8856</v>
      </c>
      <c r="K1589" s="30" t="s">
        <v>584</v>
      </c>
      <c r="L1589" s="30" t="s">
        <v>8857</v>
      </c>
      <c r="M1589" s="30" t="s">
        <v>63</v>
      </c>
      <c r="N1589" s="30" t="s">
        <v>142</v>
      </c>
      <c r="O1589" s="30" t="s">
        <v>77</v>
      </c>
      <c r="P1589" s="89" t="s">
        <v>165</v>
      </c>
      <c r="Q1589" s="89" t="s">
        <v>4487</v>
      </c>
      <c r="R1589" s="89" t="s">
        <v>587</v>
      </c>
      <c r="S1589" s="30">
        <v>0</v>
      </c>
      <c r="T1589" s="233">
        <v>0</v>
      </c>
      <c r="U1589" s="30">
        <v>0</v>
      </c>
      <c r="V1589" s="233">
        <v>0</v>
      </c>
      <c r="W1589" s="30">
        <v>0</v>
      </c>
      <c r="X1589" s="30">
        <v>0</v>
      </c>
      <c r="Y1589" s="30">
        <v>0</v>
      </c>
      <c r="Z1589" s="233">
        <v>0</v>
      </c>
      <c r="AA1589" s="30">
        <v>0</v>
      </c>
      <c r="AB1589" s="30">
        <v>0</v>
      </c>
      <c r="AC1589" s="30">
        <v>0</v>
      </c>
      <c r="AD1589" s="30">
        <v>0</v>
      </c>
      <c r="AE1589" s="89" t="s">
        <v>394</v>
      </c>
      <c r="AF1589" s="89" t="s">
        <v>8858</v>
      </c>
      <c r="AG1589" s="89" t="s">
        <v>8859</v>
      </c>
      <c r="AH1589" s="72">
        <v>41438</v>
      </c>
      <c r="AI1589" s="30">
        <v>0</v>
      </c>
      <c r="AJ1589" s="89" t="s">
        <v>68</v>
      </c>
      <c r="AK1589" s="89" t="s">
        <v>68</v>
      </c>
      <c r="AL1589" s="91">
        <v>41438</v>
      </c>
      <c r="AM1589" s="91"/>
      <c r="AN1589" s="91">
        <v>44497</v>
      </c>
      <c r="AO1589" s="91">
        <v>44496</v>
      </c>
      <c r="AP1589" s="73" t="e">
        <f>MID(VLOOKUP(K1589,#REF!,2,FALSE),1,2)</f>
        <v>#REF!</v>
      </c>
      <c r="AQ1589" s="89">
        <f>DATE(2013,6,11)</f>
        <v>41436</v>
      </c>
      <c r="AR1589" s="82">
        <f t="shared" si="102"/>
        <v>11</v>
      </c>
      <c r="AS1589" s="83">
        <f t="shared" si="103"/>
        <v>6</v>
      </c>
      <c r="AT1589" s="84">
        <f t="shared" si="104"/>
        <v>2013</v>
      </c>
      <c r="AU1589" s="86"/>
      <c r="AV1589" s="86"/>
      <c r="AW1589" s="87"/>
      <c r="AX1589" s="86"/>
      <c r="AY1589" s="83"/>
      <c r="AZ1589" s="84"/>
      <c r="BA1589" s="86"/>
      <c r="BB1589" s="86"/>
    </row>
    <row r="1590" spans="1:54" ht="36.75" customHeight="1">
      <c r="A1590" s="30"/>
      <c r="B1590" s="30" t="s">
        <v>55</v>
      </c>
      <c r="C1590" s="69" t="str">
        <f t="shared" si="101"/>
        <v>Closed</v>
      </c>
      <c r="D1590" s="27" t="s">
        <v>8860</v>
      </c>
      <c r="E1590" s="29" t="s">
        <v>8861</v>
      </c>
      <c r="F1590" s="30" t="s">
        <v>124</v>
      </c>
      <c r="G1590" s="89">
        <f>DATE(2013,6,17)</f>
        <v>41442</v>
      </c>
      <c r="H1590" s="90">
        <v>1.5590277777777777</v>
      </c>
      <c r="I1590" s="30" t="s">
        <v>198</v>
      </c>
      <c r="J1590" s="89" t="s">
        <v>8862</v>
      </c>
      <c r="K1590" s="30" t="s">
        <v>127</v>
      </c>
      <c r="L1590" s="30" t="s">
        <v>8863</v>
      </c>
      <c r="M1590" s="30" t="s">
        <v>255</v>
      </c>
      <c r="N1590" s="30" t="s">
        <v>142</v>
      </c>
      <c r="O1590" s="30" t="s">
        <v>77</v>
      </c>
      <c r="P1590" s="89" t="s">
        <v>6552</v>
      </c>
      <c r="Q1590" s="89">
        <v>0</v>
      </c>
      <c r="R1590" s="89" t="s">
        <v>131</v>
      </c>
      <c r="S1590" s="30">
        <v>0</v>
      </c>
      <c r="T1590" s="233">
        <v>0</v>
      </c>
      <c r="U1590" s="30">
        <v>0</v>
      </c>
      <c r="V1590" s="233">
        <v>0</v>
      </c>
      <c r="W1590" s="30">
        <v>0</v>
      </c>
      <c r="X1590" s="30">
        <v>0</v>
      </c>
      <c r="Y1590" s="30">
        <v>0</v>
      </c>
      <c r="Z1590" s="233">
        <v>0</v>
      </c>
      <c r="AA1590" s="30">
        <v>0</v>
      </c>
      <c r="AB1590" s="30">
        <v>0</v>
      </c>
      <c r="AC1590" s="30">
        <v>0</v>
      </c>
      <c r="AD1590" s="30">
        <v>0</v>
      </c>
      <c r="AE1590" s="89" t="s">
        <v>92</v>
      </c>
      <c r="AF1590" s="89"/>
      <c r="AG1590" s="89" t="s">
        <v>367</v>
      </c>
      <c r="AH1590" s="72">
        <v>41456</v>
      </c>
      <c r="AI1590" s="30">
        <v>1</v>
      </c>
      <c r="AJ1590" s="89" t="s">
        <v>8864</v>
      </c>
      <c r="AK1590" s="89" t="s">
        <v>68</v>
      </c>
      <c r="AL1590" s="91">
        <v>41456</v>
      </c>
      <c r="AM1590" s="91"/>
      <c r="AN1590" s="91"/>
      <c r="AO1590" s="91"/>
      <c r="AP1590" s="73" t="e">
        <f>MID(VLOOKUP(K1590,#REF!,2,FALSE),1,2)</f>
        <v>#REF!</v>
      </c>
      <c r="AQ1590" s="89">
        <f>DATE(2013,6,17)</f>
        <v>41442</v>
      </c>
      <c r="AR1590" s="82">
        <f t="shared" si="102"/>
        <v>17</v>
      </c>
      <c r="AS1590" s="83">
        <f t="shared" si="103"/>
        <v>6</v>
      </c>
      <c r="AT1590" s="84">
        <f t="shared" si="104"/>
        <v>2013</v>
      </c>
      <c r="AU1590" s="86"/>
      <c r="AV1590" s="86"/>
      <c r="AW1590" s="87"/>
      <c r="AX1590" s="86"/>
      <c r="AY1590" s="83"/>
      <c r="AZ1590" s="84"/>
      <c r="BA1590" s="86"/>
      <c r="BB1590" s="86"/>
    </row>
    <row r="1591" spans="1:54" ht="36.75" customHeight="1">
      <c r="A1591" s="30"/>
      <c r="B1591" s="30" t="s">
        <v>55</v>
      </c>
      <c r="C1591" s="69" t="str">
        <f t="shared" si="101"/>
        <v>Closed</v>
      </c>
      <c r="D1591" s="27" t="s">
        <v>8865</v>
      </c>
      <c r="E1591" s="29" t="s">
        <v>8866</v>
      </c>
      <c r="F1591" s="30" t="s">
        <v>197</v>
      </c>
      <c r="G1591" s="89">
        <f>DATE(2013,6,19)</f>
        <v>41444</v>
      </c>
      <c r="H1591" s="90">
        <v>0</v>
      </c>
      <c r="I1591" s="30" t="s">
        <v>278</v>
      </c>
      <c r="J1591" s="89" t="s">
        <v>8867</v>
      </c>
      <c r="K1591" s="30" t="s">
        <v>200</v>
      </c>
      <c r="L1591" s="30" t="s">
        <v>8868</v>
      </c>
      <c r="M1591" s="30" t="s">
        <v>63</v>
      </c>
      <c r="N1591" s="30" t="s">
        <v>99</v>
      </c>
      <c r="O1591" s="30" t="s">
        <v>64</v>
      </c>
      <c r="P1591" s="89" t="s">
        <v>165</v>
      </c>
      <c r="Q1591" s="89" t="s">
        <v>202</v>
      </c>
      <c r="R1591" s="89" t="s">
        <v>203</v>
      </c>
      <c r="S1591" s="30">
        <v>0</v>
      </c>
      <c r="T1591" s="233">
        <v>2</v>
      </c>
      <c r="U1591" s="30">
        <v>0</v>
      </c>
      <c r="V1591" s="233">
        <v>0</v>
      </c>
      <c r="W1591" s="30">
        <v>0</v>
      </c>
      <c r="X1591" s="30">
        <v>2</v>
      </c>
      <c r="Y1591" s="30">
        <v>0</v>
      </c>
      <c r="Z1591" s="233">
        <v>1</v>
      </c>
      <c r="AA1591" s="30">
        <v>0</v>
      </c>
      <c r="AB1591" s="30">
        <v>0</v>
      </c>
      <c r="AC1591" s="30">
        <v>0</v>
      </c>
      <c r="AD1591" s="30">
        <v>1</v>
      </c>
      <c r="AE1591" s="89" t="s">
        <v>92</v>
      </c>
      <c r="AF1591" s="89"/>
      <c r="AG1591" s="89" t="s">
        <v>82</v>
      </c>
      <c r="AH1591" s="72">
        <v>41444</v>
      </c>
      <c r="AI1591" s="30">
        <v>8</v>
      </c>
      <c r="AJ1591" s="89" t="s">
        <v>8869</v>
      </c>
      <c r="AK1591" s="89" t="s">
        <v>1233</v>
      </c>
      <c r="AL1591" s="91">
        <v>41450</v>
      </c>
      <c r="AM1591" s="91"/>
      <c r="AN1591" s="91"/>
      <c r="AO1591" s="91"/>
      <c r="AP1591" s="73" t="e">
        <f>MID(VLOOKUP(K1591,#REF!,2,FALSE),1,2)</f>
        <v>#REF!</v>
      </c>
      <c r="AQ1591" s="89">
        <f>DATE(2013,6,19)</f>
        <v>41444</v>
      </c>
      <c r="AR1591" s="82">
        <f t="shared" si="102"/>
        <v>19</v>
      </c>
      <c r="AS1591" s="83">
        <f t="shared" si="103"/>
        <v>6</v>
      </c>
      <c r="AT1591" s="84">
        <f t="shared" si="104"/>
        <v>2013</v>
      </c>
      <c r="AU1591" s="86"/>
      <c r="AV1591" s="86"/>
      <c r="AW1591" s="87"/>
      <c r="AX1591" s="86"/>
      <c r="AY1591" s="83"/>
      <c r="AZ1591" s="84"/>
      <c r="BA1591" s="86"/>
      <c r="BB1591" s="86"/>
    </row>
    <row r="1592" spans="1:54" ht="36.75" customHeight="1">
      <c r="A1592" s="30"/>
      <c r="B1592" s="30" t="s">
        <v>55</v>
      </c>
      <c r="C1592" s="69" t="str">
        <f t="shared" si="101"/>
        <v>Closed</v>
      </c>
      <c r="D1592" s="27" t="s">
        <v>8870</v>
      </c>
      <c r="E1592" s="29" t="s">
        <v>8871</v>
      </c>
      <c r="F1592" s="30" t="s">
        <v>835</v>
      </c>
      <c r="G1592" s="89">
        <f>DATE(2013,6,19)</f>
        <v>41444</v>
      </c>
      <c r="H1592" s="90">
        <v>1.3527777777777779</v>
      </c>
      <c r="I1592" s="30" t="s">
        <v>73</v>
      </c>
      <c r="J1592" s="89" t="s">
        <v>8872</v>
      </c>
      <c r="K1592" s="30" t="s">
        <v>837</v>
      </c>
      <c r="L1592" s="30" t="s">
        <v>8873</v>
      </c>
      <c r="M1592" s="30" t="s">
        <v>63</v>
      </c>
      <c r="N1592" s="30" t="s">
        <v>99</v>
      </c>
      <c r="O1592" s="30" t="s">
        <v>77</v>
      </c>
      <c r="P1592" s="89" t="s">
        <v>78</v>
      </c>
      <c r="Q1592" s="89" t="s">
        <v>4708</v>
      </c>
      <c r="R1592" s="89" t="s">
        <v>840</v>
      </c>
      <c r="S1592" s="30">
        <v>0</v>
      </c>
      <c r="T1592" s="233">
        <v>0</v>
      </c>
      <c r="U1592" s="30">
        <v>0</v>
      </c>
      <c r="V1592" s="233">
        <v>0</v>
      </c>
      <c r="W1592" s="30">
        <v>0</v>
      </c>
      <c r="X1592" s="30">
        <v>0</v>
      </c>
      <c r="Y1592" s="30">
        <v>0</v>
      </c>
      <c r="Z1592" s="233">
        <v>0</v>
      </c>
      <c r="AA1592" s="30">
        <v>0</v>
      </c>
      <c r="AB1592" s="30">
        <v>0</v>
      </c>
      <c r="AC1592" s="30">
        <v>0</v>
      </c>
      <c r="AD1592" s="30">
        <v>0</v>
      </c>
      <c r="AE1592" s="89" t="s">
        <v>92</v>
      </c>
      <c r="AF1592" s="89"/>
      <c r="AG1592" s="89" t="s">
        <v>352</v>
      </c>
      <c r="AH1592" s="72">
        <v>41444</v>
      </c>
      <c r="AI1592" s="30">
        <v>1</v>
      </c>
      <c r="AJ1592" s="89" t="s">
        <v>8874</v>
      </c>
      <c r="AK1592" s="89" t="s">
        <v>68</v>
      </c>
      <c r="AL1592" s="91">
        <v>41494</v>
      </c>
      <c r="AM1592" s="91"/>
      <c r="AN1592" s="91"/>
      <c r="AO1592" s="91"/>
      <c r="AP1592" s="73" t="e">
        <f>MID(VLOOKUP(K1592,#REF!,2,FALSE),1,2)</f>
        <v>#REF!</v>
      </c>
      <c r="AQ1592" s="89">
        <f>DATE(2013,6,19)</f>
        <v>41444</v>
      </c>
      <c r="AR1592" s="82">
        <f t="shared" si="102"/>
        <v>19</v>
      </c>
      <c r="AS1592" s="83">
        <f t="shared" si="103"/>
        <v>6</v>
      </c>
      <c r="AT1592" s="84">
        <f t="shared" si="104"/>
        <v>2013</v>
      </c>
      <c r="AU1592" s="86"/>
      <c r="AV1592" s="86"/>
      <c r="AW1592" s="87"/>
      <c r="AX1592" s="86"/>
      <c r="AY1592" s="83"/>
      <c r="AZ1592" s="84"/>
      <c r="BA1592" s="86"/>
      <c r="BB1592" s="86"/>
    </row>
    <row r="1593" spans="1:54" ht="36.75" customHeight="1">
      <c r="A1593" s="30"/>
      <c r="B1593" s="30" t="s">
        <v>55</v>
      </c>
      <c r="C1593" s="69" t="str">
        <f t="shared" si="101"/>
        <v>Closed</v>
      </c>
      <c r="D1593" s="27" t="s">
        <v>8875</v>
      </c>
      <c r="E1593" s="29" t="s">
        <v>8876</v>
      </c>
      <c r="F1593" s="30" t="s">
        <v>423</v>
      </c>
      <c r="G1593" s="89">
        <f>DATE(2013,6,20)</f>
        <v>41445</v>
      </c>
      <c r="H1593" s="90">
        <v>1.6083333333333334</v>
      </c>
      <c r="I1593" s="30" t="s">
        <v>73</v>
      </c>
      <c r="J1593" s="89" t="s">
        <v>8877</v>
      </c>
      <c r="K1593" s="30" t="s">
        <v>425</v>
      </c>
      <c r="L1593" s="30" t="s">
        <v>8878</v>
      </c>
      <c r="M1593" s="30" t="s">
        <v>255</v>
      </c>
      <c r="N1593" s="30" t="s">
        <v>99</v>
      </c>
      <c r="O1593" s="30" t="s">
        <v>64</v>
      </c>
      <c r="P1593" s="89" t="s">
        <v>6552</v>
      </c>
      <c r="Q1593" s="89" t="s">
        <v>2715</v>
      </c>
      <c r="R1593" s="89" t="s">
        <v>2715</v>
      </c>
      <c r="S1593" s="30">
        <v>0</v>
      </c>
      <c r="T1593" s="233">
        <v>0</v>
      </c>
      <c r="U1593" s="30">
        <v>0</v>
      </c>
      <c r="V1593" s="233">
        <v>0</v>
      </c>
      <c r="W1593" s="30">
        <v>0</v>
      </c>
      <c r="X1593" s="30">
        <v>0</v>
      </c>
      <c r="Y1593" s="30">
        <v>0</v>
      </c>
      <c r="Z1593" s="233">
        <v>0</v>
      </c>
      <c r="AA1593" s="30">
        <v>0</v>
      </c>
      <c r="AB1593" s="30">
        <v>0</v>
      </c>
      <c r="AC1593" s="30">
        <v>0</v>
      </c>
      <c r="AD1593" s="30">
        <v>0</v>
      </c>
      <c r="AE1593" s="89" t="s">
        <v>92</v>
      </c>
      <c r="AF1593" s="89"/>
      <c r="AG1593" s="89" t="s">
        <v>367</v>
      </c>
      <c r="AH1593" s="72">
        <v>41451</v>
      </c>
      <c r="AI1593" s="30">
        <v>4</v>
      </c>
      <c r="AJ1593" s="89" t="s">
        <v>8879</v>
      </c>
      <c r="AK1593" s="89" t="s">
        <v>8880</v>
      </c>
      <c r="AL1593" s="91">
        <v>41456</v>
      </c>
      <c r="AM1593" s="91"/>
      <c r="AN1593" s="91"/>
      <c r="AO1593" s="91"/>
      <c r="AP1593" s="73" t="e">
        <f>MID(VLOOKUP(K1593,#REF!,2,FALSE),1,2)</f>
        <v>#REF!</v>
      </c>
      <c r="AQ1593" s="89">
        <f>DATE(2013,6,20)</f>
        <v>41445</v>
      </c>
      <c r="AR1593" s="82">
        <f t="shared" si="102"/>
        <v>20</v>
      </c>
      <c r="AS1593" s="83">
        <f t="shared" si="103"/>
        <v>6</v>
      </c>
      <c r="AT1593" s="84">
        <f t="shared" si="104"/>
        <v>2013</v>
      </c>
      <c r="AU1593" s="86"/>
      <c r="AV1593" s="86"/>
      <c r="AW1593" s="87"/>
      <c r="AX1593" s="86"/>
      <c r="AY1593" s="83"/>
      <c r="AZ1593" s="84"/>
      <c r="BA1593" s="86"/>
      <c r="BB1593" s="86"/>
    </row>
    <row r="1594" spans="1:54" ht="36.75" customHeight="1">
      <c r="A1594" s="30"/>
      <c r="B1594" s="30" t="s">
        <v>55</v>
      </c>
      <c r="C1594" s="69" t="str">
        <f t="shared" si="101"/>
        <v>Closed</v>
      </c>
      <c r="D1594" s="27" t="s">
        <v>8881</v>
      </c>
      <c r="E1594" s="29" t="s">
        <v>8882</v>
      </c>
      <c r="F1594" s="30" t="s">
        <v>582</v>
      </c>
      <c r="G1594" s="89">
        <f>DATE(2013,6,22)</f>
        <v>41447</v>
      </c>
      <c r="H1594" s="90">
        <v>1.3958333333333333</v>
      </c>
      <c r="I1594" s="30" t="s">
        <v>116</v>
      </c>
      <c r="J1594" s="89" t="s">
        <v>8883</v>
      </c>
      <c r="K1594" s="30" t="s">
        <v>584</v>
      </c>
      <c r="L1594" s="30" t="s">
        <v>8884</v>
      </c>
      <c r="M1594" s="30" t="s">
        <v>63</v>
      </c>
      <c r="N1594" s="30" t="s">
        <v>142</v>
      </c>
      <c r="O1594" s="30" t="s">
        <v>64</v>
      </c>
      <c r="P1594" s="89" t="s">
        <v>165</v>
      </c>
      <c r="Q1594" s="89" t="s">
        <v>8885</v>
      </c>
      <c r="R1594" s="89" t="s">
        <v>587</v>
      </c>
      <c r="S1594" s="30">
        <v>0</v>
      </c>
      <c r="T1594" s="233">
        <v>0</v>
      </c>
      <c r="U1594" s="30">
        <v>1</v>
      </c>
      <c r="V1594" s="233">
        <v>0</v>
      </c>
      <c r="W1594" s="30">
        <v>0</v>
      </c>
      <c r="X1594" s="30">
        <v>1</v>
      </c>
      <c r="Y1594" s="30">
        <v>0</v>
      </c>
      <c r="Z1594" s="233">
        <v>1</v>
      </c>
      <c r="AA1594" s="30">
        <v>0</v>
      </c>
      <c r="AB1594" s="30">
        <v>0</v>
      </c>
      <c r="AC1594" s="30">
        <v>0</v>
      </c>
      <c r="AD1594" s="30">
        <v>1</v>
      </c>
      <c r="AE1594" s="89" t="s">
        <v>394</v>
      </c>
      <c r="AF1594" s="89"/>
      <c r="AG1594" s="89" t="s">
        <v>133</v>
      </c>
      <c r="AH1594" s="72">
        <v>41451</v>
      </c>
      <c r="AI1594" s="30">
        <v>0</v>
      </c>
      <c r="AJ1594" s="89" t="s">
        <v>8886</v>
      </c>
      <c r="AK1594" s="89" t="s">
        <v>1233</v>
      </c>
      <c r="AL1594" s="91">
        <v>41453</v>
      </c>
      <c r="AM1594" s="91"/>
      <c r="AN1594" s="91"/>
      <c r="AO1594" s="91"/>
      <c r="AP1594" s="73" t="e">
        <f>MID(VLOOKUP(K1594,#REF!,2,FALSE),1,2)</f>
        <v>#REF!</v>
      </c>
      <c r="AQ1594" s="89">
        <f>DATE(2013,6,22)</f>
        <v>41447</v>
      </c>
      <c r="AR1594" s="82">
        <f t="shared" si="102"/>
        <v>22</v>
      </c>
      <c r="AS1594" s="83">
        <f t="shared" si="103"/>
        <v>6</v>
      </c>
      <c r="AT1594" s="84">
        <f t="shared" si="104"/>
        <v>2013</v>
      </c>
      <c r="AU1594" s="86"/>
      <c r="AV1594" s="86"/>
      <c r="AW1594" s="87"/>
      <c r="AX1594" s="86"/>
      <c r="AY1594" s="83"/>
      <c r="AZ1594" s="84"/>
      <c r="BA1594" s="86"/>
      <c r="BB1594" s="86"/>
    </row>
    <row r="1595" spans="1:54" ht="36.75" customHeight="1">
      <c r="A1595" s="30"/>
      <c r="B1595" s="30" t="s">
        <v>55</v>
      </c>
      <c r="C1595" s="69" t="str">
        <f t="shared" si="101"/>
        <v>Closed</v>
      </c>
      <c r="D1595" s="27" t="s">
        <v>8887</v>
      </c>
      <c r="E1595" s="29" t="s">
        <v>8888</v>
      </c>
      <c r="F1595" s="30" t="s">
        <v>377</v>
      </c>
      <c r="G1595" s="89">
        <f>DATE(2013,6,25)</f>
        <v>41450</v>
      </c>
      <c r="H1595" s="90">
        <v>1.1118055555555555</v>
      </c>
      <c r="I1595" s="30" t="s">
        <v>73</v>
      </c>
      <c r="J1595" s="89" t="s">
        <v>8889</v>
      </c>
      <c r="K1595" s="30" t="s">
        <v>379</v>
      </c>
      <c r="L1595" s="30" t="s">
        <v>8890</v>
      </c>
      <c r="M1595" s="30" t="s">
        <v>63</v>
      </c>
      <c r="N1595" s="30" t="s">
        <v>142</v>
      </c>
      <c r="O1595" s="30" t="s">
        <v>77</v>
      </c>
      <c r="P1595" s="89" t="s">
        <v>78</v>
      </c>
      <c r="Q1595" s="89" t="s">
        <v>3909</v>
      </c>
      <c r="R1595" s="89" t="s">
        <v>382</v>
      </c>
      <c r="S1595" s="30">
        <v>0</v>
      </c>
      <c r="T1595" s="233">
        <v>0</v>
      </c>
      <c r="U1595" s="30">
        <v>0</v>
      </c>
      <c r="V1595" s="233">
        <v>0</v>
      </c>
      <c r="W1595" s="30">
        <v>0</v>
      </c>
      <c r="X1595" s="30">
        <v>0</v>
      </c>
      <c r="Y1595" s="30">
        <v>0</v>
      </c>
      <c r="Z1595" s="233">
        <v>0</v>
      </c>
      <c r="AA1595" s="30">
        <v>0</v>
      </c>
      <c r="AB1595" s="30">
        <v>0</v>
      </c>
      <c r="AC1595" s="30">
        <v>0</v>
      </c>
      <c r="AD1595" s="30">
        <v>0</v>
      </c>
      <c r="AE1595" s="89" t="s">
        <v>145</v>
      </c>
      <c r="AF1595" s="89"/>
      <c r="AG1595" s="89" t="s">
        <v>82</v>
      </c>
      <c r="AH1595" s="72">
        <v>41450</v>
      </c>
      <c r="AI1595" s="30">
        <v>4</v>
      </c>
      <c r="AJ1595" s="89" t="s">
        <v>8891</v>
      </c>
      <c r="AK1595" s="89" t="s">
        <v>8892</v>
      </c>
      <c r="AL1595" s="91">
        <v>41452</v>
      </c>
      <c r="AM1595" s="91"/>
      <c r="AN1595" s="91"/>
      <c r="AO1595" s="91"/>
      <c r="AP1595" s="73" t="e">
        <f>MID(VLOOKUP(K1595,#REF!,2,FALSE),1,2)</f>
        <v>#REF!</v>
      </c>
      <c r="AQ1595" s="89">
        <f>DATE(2013,6,25)</f>
        <v>41450</v>
      </c>
      <c r="AR1595" s="82">
        <f t="shared" si="102"/>
        <v>25</v>
      </c>
      <c r="AS1595" s="83">
        <f t="shared" si="103"/>
        <v>6</v>
      </c>
      <c r="AT1595" s="84">
        <f t="shared" si="104"/>
        <v>2013</v>
      </c>
      <c r="AU1595" s="86"/>
      <c r="AV1595" s="86"/>
      <c r="AW1595" s="87"/>
      <c r="AX1595" s="86"/>
      <c r="AY1595" s="83"/>
      <c r="AZ1595" s="84"/>
      <c r="BA1595" s="86"/>
      <c r="BB1595" s="86"/>
    </row>
    <row r="1596" spans="1:54" ht="36.75" customHeight="1">
      <c r="A1596" s="30"/>
      <c r="B1596" s="30" t="s">
        <v>55</v>
      </c>
      <c r="C1596" s="69" t="str">
        <f t="shared" si="101"/>
        <v>Closed</v>
      </c>
      <c r="D1596" s="27" t="s">
        <v>8893</v>
      </c>
      <c r="E1596" s="29" t="s">
        <v>8894</v>
      </c>
      <c r="F1596" s="30" t="s">
        <v>233</v>
      </c>
      <c r="G1596" s="89">
        <f>DATE(2013,6,25)</f>
        <v>41450</v>
      </c>
      <c r="H1596" s="90">
        <v>1.3159722222222223</v>
      </c>
      <c r="I1596" s="30" t="s">
        <v>2418</v>
      </c>
      <c r="J1596" s="89" t="s">
        <v>8895</v>
      </c>
      <c r="K1596" s="30" t="s">
        <v>235</v>
      </c>
      <c r="L1596" s="30" t="s">
        <v>8896</v>
      </c>
      <c r="M1596" s="30" t="s">
        <v>63</v>
      </c>
      <c r="N1596" s="30" t="s">
        <v>142</v>
      </c>
      <c r="O1596" s="30" t="s">
        <v>64</v>
      </c>
      <c r="P1596" s="89" t="s">
        <v>165</v>
      </c>
      <c r="Q1596" s="89" t="s">
        <v>446</v>
      </c>
      <c r="R1596" s="89" t="s">
        <v>238</v>
      </c>
      <c r="S1596" s="30">
        <v>0</v>
      </c>
      <c r="T1596" s="233">
        <v>0</v>
      </c>
      <c r="U1596" s="30">
        <v>0</v>
      </c>
      <c r="V1596" s="233">
        <v>0</v>
      </c>
      <c r="W1596" s="30">
        <v>0</v>
      </c>
      <c r="X1596" s="30">
        <v>0</v>
      </c>
      <c r="Y1596" s="30">
        <v>0</v>
      </c>
      <c r="Z1596" s="233">
        <v>0</v>
      </c>
      <c r="AA1596" s="30">
        <v>0</v>
      </c>
      <c r="AB1596" s="30">
        <v>0</v>
      </c>
      <c r="AC1596" s="30">
        <v>0</v>
      </c>
      <c r="AD1596" s="30">
        <v>0</v>
      </c>
      <c r="AE1596" s="89" t="s">
        <v>92</v>
      </c>
      <c r="AF1596" s="89"/>
      <c r="AG1596" s="89" t="s">
        <v>352</v>
      </c>
      <c r="AH1596" s="72">
        <v>41471</v>
      </c>
      <c r="AI1596" s="30">
        <v>4</v>
      </c>
      <c r="AJ1596" s="89" t="s">
        <v>8897</v>
      </c>
      <c r="AK1596" s="89" t="s">
        <v>8898</v>
      </c>
      <c r="AL1596" s="91">
        <v>41474</v>
      </c>
      <c r="AM1596" s="91"/>
      <c r="AN1596" s="91"/>
      <c r="AO1596" s="91"/>
      <c r="AP1596" s="73" t="e">
        <f>MID(VLOOKUP(K1596,#REF!,2,FALSE),1,2)</f>
        <v>#REF!</v>
      </c>
      <c r="AQ1596" s="89">
        <f>DATE(2013,6,25)</f>
        <v>41450</v>
      </c>
      <c r="AR1596" s="82">
        <f t="shared" si="102"/>
        <v>25</v>
      </c>
      <c r="AS1596" s="83">
        <f t="shared" si="103"/>
        <v>6</v>
      </c>
      <c r="AT1596" s="84">
        <f t="shared" si="104"/>
        <v>2013</v>
      </c>
      <c r="AU1596" s="86"/>
      <c r="AV1596" s="86"/>
      <c r="AW1596" s="87"/>
      <c r="AX1596" s="86"/>
      <c r="AY1596" s="83"/>
      <c r="AZ1596" s="84"/>
      <c r="BA1596" s="86"/>
      <c r="BB1596" s="86"/>
    </row>
    <row r="1597" spans="1:54" ht="36.75" customHeight="1">
      <c r="A1597" s="30"/>
      <c r="B1597" s="30" t="s">
        <v>55</v>
      </c>
      <c r="C1597" s="69" t="str">
        <f t="shared" si="101"/>
        <v>Closed</v>
      </c>
      <c r="D1597" s="27" t="s">
        <v>8899</v>
      </c>
      <c r="E1597" s="29" t="s">
        <v>8900</v>
      </c>
      <c r="F1597" s="30" t="s">
        <v>2601</v>
      </c>
      <c r="G1597" s="89">
        <f>DATE(2013,6,26)</f>
        <v>41451</v>
      </c>
      <c r="H1597" s="90">
        <v>1.3263888888888888</v>
      </c>
      <c r="I1597" s="30" t="s">
        <v>125</v>
      </c>
      <c r="J1597" s="89" t="s">
        <v>8901</v>
      </c>
      <c r="K1597" s="30" t="s">
        <v>2603</v>
      </c>
      <c r="L1597" s="30" t="s">
        <v>8902</v>
      </c>
      <c r="M1597" s="30" t="s">
        <v>63</v>
      </c>
      <c r="N1597" s="30" t="s">
        <v>89</v>
      </c>
      <c r="O1597" s="30" t="s">
        <v>77</v>
      </c>
      <c r="P1597" s="89" t="s">
        <v>6941</v>
      </c>
      <c r="Q1597" s="89" t="s">
        <v>6342</v>
      </c>
      <c r="R1597" s="89" t="s">
        <v>2606</v>
      </c>
      <c r="S1597" s="30">
        <v>0</v>
      </c>
      <c r="T1597" s="233">
        <v>0</v>
      </c>
      <c r="U1597" s="30">
        <v>0</v>
      </c>
      <c r="V1597" s="233">
        <v>0</v>
      </c>
      <c r="W1597" s="30">
        <v>0</v>
      </c>
      <c r="X1597" s="30">
        <v>0</v>
      </c>
      <c r="Y1597" s="30">
        <v>0</v>
      </c>
      <c r="Z1597" s="233">
        <v>0</v>
      </c>
      <c r="AA1597" s="30">
        <v>0</v>
      </c>
      <c r="AB1597" s="30">
        <v>0</v>
      </c>
      <c r="AC1597" s="30">
        <v>0</v>
      </c>
      <c r="AD1597" s="30">
        <v>0</v>
      </c>
      <c r="AE1597" s="89" t="s">
        <v>92</v>
      </c>
      <c r="AF1597" s="89"/>
      <c r="AG1597" s="89" t="s">
        <v>133</v>
      </c>
      <c r="AH1597" s="72">
        <v>41451</v>
      </c>
      <c r="AI1597" s="30">
        <v>6</v>
      </c>
      <c r="AJ1597" s="89" t="s">
        <v>8903</v>
      </c>
      <c r="AK1597" s="89" t="s">
        <v>8904</v>
      </c>
      <c r="AL1597" s="91">
        <v>41474</v>
      </c>
      <c r="AM1597" s="91"/>
      <c r="AN1597" s="91"/>
      <c r="AO1597" s="91"/>
      <c r="AP1597" s="73" t="e">
        <f>MID(VLOOKUP(K1597,#REF!,2,FALSE),1,2)</f>
        <v>#REF!</v>
      </c>
      <c r="AQ1597" s="89">
        <f>DATE(2013,6,26)</f>
        <v>41451</v>
      </c>
      <c r="AR1597" s="82">
        <f t="shared" si="102"/>
        <v>26</v>
      </c>
      <c r="AS1597" s="83">
        <f t="shared" si="103"/>
        <v>6</v>
      </c>
      <c r="AT1597" s="84">
        <f t="shared" si="104"/>
        <v>2013</v>
      </c>
      <c r="AU1597" s="86"/>
      <c r="AV1597" s="86"/>
      <c r="AW1597" s="87"/>
      <c r="AX1597" s="86"/>
      <c r="AY1597" s="83"/>
      <c r="AZ1597" s="84"/>
      <c r="BA1597" s="86"/>
      <c r="BB1597" s="86"/>
    </row>
    <row r="1598" spans="1:54" ht="36.75" customHeight="1">
      <c r="A1598" s="30"/>
      <c r="B1598" s="30" t="s">
        <v>55</v>
      </c>
      <c r="C1598" s="69" t="str">
        <f t="shared" si="101"/>
        <v>Closed</v>
      </c>
      <c r="D1598" s="27" t="s">
        <v>8905</v>
      </c>
      <c r="E1598" s="29" t="s">
        <v>8906</v>
      </c>
      <c r="F1598" s="30" t="s">
        <v>115</v>
      </c>
      <c r="G1598" s="89">
        <f>DATE(2013,6,26)</f>
        <v>41451</v>
      </c>
      <c r="H1598" s="90">
        <v>1.5708333333333333</v>
      </c>
      <c r="I1598" s="30" t="s">
        <v>73</v>
      </c>
      <c r="J1598" s="89" t="s">
        <v>8907</v>
      </c>
      <c r="K1598" s="30" t="s">
        <v>118</v>
      </c>
      <c r="L1598" s="30" t="s">
        <v>8908</v>
      </c>
      <c r="M1598" s="30" t="s">
        <v>63</v>
      </c>
      <c r="N1598" s="30" t="s">
        <v>89</v>
      </c>
      <c r="O1598" s="30" t="s">
        <v>64</v>
      </c>
      <c r="P1598" s="89" t="s">
        <v>6941</v>
      </c>
      <c r="Q1598" s="89" t="s">
        <v>120</v>
      </c>
      <c r="R1598" s="89" t="s">
        <v>121</v>
      </c>
      <c r="S1598" s="30">
        <v>0</v>
      </c>
      <c r="T1598" s="233">
        <v>0</v>
      </c>
      <c r="U1598" s="30">
        <v>0</v>
      </c>
      <c r="V1598" s="233">
        <v>0</v>
      </c>
      <c r="W1598" s="30">
        <v>0</v>
      </c>
      <c r="X1598" s="30">
        <v>0</v>
      </c>
      <c r="Y1598" s="30">
        <v>0</v>
      </c>
      <c r="Z1598" s="233">
        <v>0</v>
      </c>
      <c r="AA1598" s="30">
        <v>0</v>
      </c>
      <c r="AB1598" s="30">
        <v>0</v>
      </c>
      <c r="AC1598" s="30">
        <v>0</v>
      </c>
      <c r="AD1598" s="30">
        <v>0</v>
      </c>
      <c r="AE1598" s="89" t="s">
        <v>92</v>
      </c>
      <c r="AF1598" s="89"/>
      <c r="AG1598" s="89" t="s">
        <v>133</v>
      </c>
      <c r="AH1598" s="72">
        <v>41453</v>
      </c>
      <c r="AI1598" s="30">
        <v>3</v>
      </c>
      <c r="AJ1598" s="89" t="s">
        <v>8909</v>
      </c>
      <c r="AK1598" s="89" t="s">
        <v>8910</v>
      </c>
      <c r="AL1598" s="91">
        <v>41963</v>
      </c>
      <c r="AM1598" s="91"/>
      <c r="AN1598" s="91"/>
      <c r="AO1598" s="91"/>
      <c r="AP1598" s="73" t="e">
        <f>MID(VLOOKUP(K1598,#REF!,2,FALSE),1,2)</f>
        <v>#REF!</v>
      </c>
      <c r="AQ1598" s="89">
        <f>DATE(2013,6,26)</f>
        <v>41451</v>
      </c>
      <c r="AR1598" s="82">
        <f t="shared" si="102"/>
        <v>26</v>
      </c>
      <c r="AS1598" s="83">
        <f t="shared" si="103"/>
        <v>6</v>
      </c>
      <c r="AT1598" s="84">
        <f t="shared" si="104"/>
        <v>2013</v>
      </c>
      <c r="AU1598" s="86"/>
      <c r="AV1598" s="86"/>
      <c r="AW1598" s="87"/>
      <c r="AX1598" s="86"/>
      <c r="AY1598" s="83"/>
      <c r="AZ1598" s="84"/>
      <c r="BA1598" s="86"/>
      <c r="BB1598" s="86"/>
    </row>
    <row r="1599" spans="1:54" ht="36.75" customHeight="1">
      <c r="A1599" s="30"/>
      <c r="B1599" s="30" t="s">
        <v>55</v>
      </c>
      <c r="C1599" s="69" t="str">
        <f t="shared" si="101"/>
        <v>Closed</v>
      </c>
      <c r="D1599" s="27" t="s">
        <v>8911</v>
      </c>
      <c r="E1599" s="29" t="s">
        <v>8912</v>
      </c>
      <c r="F1599" s="30" t="s">
        <v>582</v>
      </c>
      <c r="G1599" s="89">
        <f>DATE(2013,6,29)</f>
        <v>41454</v>
      </c>
      <c r="H1599" s="90">
        <v>1.0326388888888889</v>
      </c>
      <c r="I1599" s="30" t="s">
        <v>73</v>
      </c>
      <c r="J1599" s="89" t="s">
        <v>8913</v>
      </c>
      <c r="K1599" s="30" t="s">
        <v>584</v>
      </c>
      <c r="L1599" s="30" t="s">
        <v>8914</v>
      </c>
      <c r="M1599" s="30" t="s">
        <v>63</v>
      </c>
      <c r="N1599" s="30" t="s">
        <v>142</v>
      </c>
      <c r="O1599" s="30" t="s">
        <v>64</v>
      </c>
      <c r="P1599" s="89" t="s">
        <v>78</v>
      </c>
      <c r="Q1599" s="89" t="s">
        <v>8915</v>
      </c>
      <c r="R1599" s="89" t="s">
        <v>587</v>
      </c>
      <c r="S1599" s="30">
        <v>0</v>
      </c>
      <c r="T1599" s="233">
        <v>0</v>
      </c>
      <c r="U1599" s="30">
        <v>0</v>
      </c>
      <c r="V1599" s="233">
        <v>0</v>
      </c>
      <c r="W1599" s="30">
        <v>0</v>
      </c>
      <c r="X1599" s="30">
        <v>0</v>
      </c>
      <c r="Y1599" s="30">
        <v>0</v>
      </c>
      <c r="Z1599" s="233">
        <v>0</v>
      </c>
      <c r="AA1599" s="30">
        <v>0</v>
      </c>
      <c r="AB1599" s="30">
        <v>0</v>
      </c>
      <c r="AC1599" s="30">
        <v>0</v>
      </c>
      <c r="AD1599" s="30">
        <v>0</v>
      </c>
      <c r="AE1599" s="89" t="s">
        <v>394</v>
      </c>
      <c r="AF1599" s="89"/>
      <c r="AG1599" s="89" t="s">
        <v>133</v>
      </c>
      <c r="AH1599" s="72">
        <v>41460</v>
      </c>
      <c r="AI1599" s="30">
        <v>0</v>
      </c>
      <c r="AJ1599" s="89" t="s">
        <v>8916</v>
      </c>
      <c r="AK1599" s="89" t="s">
        <v>1233</v>
      </c>
      <c r="AL1599" s="91">
        <v>41480</v>
      </c>
      <c r="AM1599" s="91"/>
      <c r="AN1599" s="91"/>
      <c r="AO1599" s="91"/>
      <c r="AP1599" s="73" t="e">
        <f>MID(VLOOKUP(K1599,#REF!,2,FALSE),1,2)</f>
        <v>#REF!</v>
      </c>
      <c r="AQ1599" s="89">
        <f>DATE(2013,6,29)</f>
        <v>41454</v>
      </c>
      <c r="AR1599" s="82">
        <f t="shared" si="102"/>
        <v>29</v>
      </c>
      <c r="AS1599" s="83">
        <f t="shared" si="103"/>
        <v>6</v>
      </c>
      <c r="AT1599" s="84">
        <f t="shared" si="104"/>
        <v>2013</v>
      </c>
      <c r="AU1599" s="86"/>
      <c r="AV1599" s="86"/>
      <c r="AW1599" s="87"/>
      <c r="AX1599" s="86"/>
      <c r="AY1599" s="83"/>
      <c r="AZ1599" s="84"/>
      <c r="BA1599" s="86"/>
      <c r="BB1599" s="86"/>
    </row>
    <row r="1600" spans="1:54" ht="36.75" customHeight="1">
      <c r="A1600" s="30"/>
      <c r="B1600" s="30" t="s">
        <v>55</v>
      </c>
      <c r="C1600" s="69" t="str">
        <f t="shared" si="101"/>
        <v>Closed</v>
      </c>
      <c r="D1600" s="27" t="s">
        <v>8917</v>
      </c>
      <c r="E1600" s="29" t="s">
        <v>8918</v>
      </c>
      <c r="F1600" s="30" t="s">
        <v>197</v>
      </c>
      <c r="G1600" s="89">
        <f>DATE(2013,7,2)</f>
        <v>41457</v>
      </c>
      <c r="H1600" s="90">
        <v>1.6506944444444445</v>
      </c>
      <c r="I1600" s="30" t="s">
        <v>73</v>
      </c>
      <c r="J1600" s="89" t="s">
        <v>8919</v>
      </c>
      <c r="K1600" s="30" t="s">
        <v>200</v>
      </c>
      <c r="L1600" s="30" t="s">
        <v>8920</v>
      </c>
      <c r="M1600" s="30" t="s">
        <v>63</v>
      </c>
      <c r="N1600" s="30" t="s">
        <v>142</v>
      </c>
      <c r="O1600" s="30" t="s">
        <v>77</v>
      </c>
      <c r="P1600" s="89" t="s">
        <v>78</v>
      </c>
      <c r="Q1600" s="89" t="s">
        <v>3144</v>
      </c>
      <c r="R1600" s="89" t="s">
        <v>203</v>
      </c>
      <c r="S1600" s="30">
        <v>0</v>
      </c>
      <c r="T1600" s="233">
        <v>0</v>
      </c>
      <c r="U1600" s="30">
        <v>0</v>
      </c>
      <c r="V1600" s="233">
        <v>0</v>
      </c>
      <c r="W1600" s="30">
        <v>0</v>
      </c>
      <c r="X1600" s="30">
        <v>0</v>
      </c>
      <c r="Y1600" s="30">
        <v>0</v>
      </c>
      <c r="Z1600" s="233">
        <v>0</v>
      </c>
      <c r="AA1600" s="30">
        <v>0</v>
      </c>
      <c r="AB1600" s="30">
        <v>0</v>
      </c>
      <c r="AC1600" s="30">
        <v>0</v>
      </c>
      <c r="AD1600" s="30">
        <v>0</v>
      </c>
      <c r="AE1600" s="89" t="s">
        <v>394</v>
      </c>
      <c r="AF1600" s="89"/>
      <c r="AG1600" s="89" t="s">
        <v>133</v>
      </c>
      <c r="AH1600" s="72">
        <v>41480</v>
      </c>
      <c r="AI1600" s="30">
        <v>3</v>
      </c>
      <c r="AJ1600" s="89" t="s">
        <v>8921</v>
      </c>
      <c r="AK1600" s="89" t="s">
        <v>1233</v>
      </c>
      <c r="AL1600" s="91">
        <v>41739</v>
      </c>
      <c r="AM1600" s="91"/>
      <c r="AN1600" s="91"/>
      <c r="AO1600" s="91"/>
      <c r="AP1600" s="73" t="e">
        <f>MID(VLOOKUP(K1600,#REF!,2,FALSE),1,2)</f>
        <v>#REF!</v>
      </c>
      <c r="AQ1600" s="89">
        <f>DATE(2013,7,2)</f>
        <v>41457</v>
      </c>
      <c r="AR1600" s="82">
        <f t="shared" si="102"/>
        <v>2</v>
      </c>
      <c r="AS1600" s="83">
        <f t="shared" si="103"/>
        <v>7</v>
      </c>
      <c r="AT1600" s="84">
        <f t="shared" si="104"/>
        <v>2013</v>
      </c>
      <c r="AU1600" s="86"/>
      <c r="AV1600" s="86"/>
      <c r="AW1600" s="87"/>
      <c r="AX1600" s="86"/>
      <c r="AY1600" s="83"/>
      <c r="AZ1600" s="84"/>
      <c r="BA1600" s="86"/>
      <c r="BB1600" s="86"/>
    </row>
    <row r="1601" spans="1:54" ht="36.75" customHeight="1">
      <c r="A1601" s="30"/>
      <c r="B1601" s="30" t="s">
        <v>55</v>
      </c>
      <c r="C1601" s="69" t="str">
        <f t="shared" si="101"/>
        <v>Closed</v>
      </c>
      <c r="D1601" s="27" t="s">
        <v>8922</v>
      </c>
      <c r="E1601" s="29" t="s">
        <v>8923</v>
      </c>
      <c r="F1601" s="30" t="s">
        <v>582</v>
      </c>
      <c r="G1601" s="89">
        <f>DATE(2013,7,2)</f>
        <v>41457</v>
      </c>
      <c r="H1601" s="90">
        <v>1.7319444444444443</v>
      </c>
      <c r="I1601" s="30" t="s">
        <v>73</v>
      </c>
      <c r="J1601" s="89" t="s">
        <v>8924</v>
      </c>
      <c r="K1601" s="30" t="s">
        <v>584</v>
      </c>
      <c r="L1601" s="30" t="s">
        <v>8925</v>
      </c>
      <c r="M1601" s="30" t="s">
        <v>63</v>
      </c>
      <c r="N1601" s="30" t="s">
        <v>142</v>
      </c>
      <c r="O1601" s="30" t="s">
        <v>77</v>
      </c>
      <c r="P1601" s="89" t="s">
        <v>78</v>
      </c>
      <c r="Q1601" s="89" t="s">
        <v>8926</v>
      </c>
      <c r="R1601" s="89" t="s">
        <v>587</v>
      </c>
      <c r="S1601" s="30">
        <v>0</v>
      </c>
      <c r="T1601" s="233">
        <v>0</v>
      </c>
      <c r="U1601" s="30">
        <v>0</v>
      </c>
      <c r="V1601" s="233">
        <v>0</v>
      </c>
      <c r="W1601" s="30">
        <v>0</v>
      </c>
      <c r="X1601" s="30">
        <v>0</v>
      </c>
      <c r="Y1601" s="30">
        <v>0</v>
      </c>
      <c r="Z1601" s="233">
        <v>0</v>
      </c>
      <c r="AA1601" s="30">
        <v>0</v>
      </c>
      <c r="AB1601" s="30">
        <v>0</v>
      </c>
      <c r="AC1601" s="30">
        <v>0</v>
      </c>
      <c r="AD1601" s="30">
        <v>0</v>
      </c>
      <c r="AE1601" s="89" t="s">
        <v>394</v>
      </c>
      <c r="AF1601" s="89"/>
      <c r="AG1601" s="89" t="s">
        <v>133</v>
      </c>
      <c r="AH1601" s="72">
        <v>41470</v>
      </c>
      <c r="AI1601" s="30">
        <v>0</v>
      </c>
      <c r="AJ1601" s="89" t="s">
        <v>8927</v>
      </c>
      <c r="AK1601" s="89" t="s">
        <v>1233</v>
      </c>
      <c r="AL1601" s="91">
        <v>41480</v>
      </c>
      <c r="AM1601" s="91"/>
      <c r="AN1601" s="91"/>
      <c r="AO1601" s="91"/>
      <c r="AP1601" s="73" t="e">
        <f>MID(VLOOKUP(K1601,#REF!,2,FALSE),1,2)</f>
        <v>#REF!</v>
      </c>
      <c r="AQ1601" s="89">
        <f>DATE(2013,7,2)</f>
        <v>41457</v>
      </c>
      <c r="AR1601" s="82">
        <f t="shared" si="102"/>
        <v>2</v>
      </c>
      <c r="AS1601" s="83">
        <f t="shared" si="103"/>
        <v>7</v>
      </c>
      <c r="AT1601" s="84">
        <f t="shared" si="104"/>
        <v>2013</v>
      </c>
      <c r="AU1601" s="86"/>
      <c r="AV1601" s="86"/>
      <c r="AW1601" s="87"/>
      <c r="AX1601" s="86"/>
      <c r="AY1601" s="83"/>
      <c r="AZ1601" s="84"/>
      <c r="BA1601" s="86"/>
      <c r="BB1601" s="86"/>
    </row>
    <row r="1602" spans="1:54" ht="36.75" customHeight="1">
      <c r="A1602" s="30"/>
      <c r="B1602" s="30" t="s">
        <v>55</v>
      </c>
      <c r="C1602" s="69" t="str">
        <f t="shared" ref="C1602:C1665" si="105">IF(B1602="Notification","Open",IF(B1602="Interim Statement","In progress","Closed"))</f>
        <v>Closed</v>
      </c>
      <c r="D1602" s="27" t="s">
        <v>8928</v>
      </c>
      <c r="E1602" s="29" t="s">
        <v>8929</v>
      </c>
      <c r="F1602" s="30" t="s">
        <v>124</v>
      </c>
      <c r="G1602" s="89">
        <f>DATE(2013,7,5)</f>
        <v>41460</v>
      </c>
      <c r="H1602" s="90">
        <v>1.776388888888889</v>
      </c>
      <c r="I1602" s="30" t="s">
        <v>278</v>
      </c>
      <c r="J1602" s="89" t="s">
        <v>8930</v>
      </c>
      <c r="K1602" s="30" t="s">
        <v>127</v>
      </c>
      <c r="L1602" s="30" t="s">
        <v>8931</v>
      </c>
      <c r="M1602" s="30" t="s">
        <v>129</v>
      </c>
      <c r="N1602" s="30" t="s">
        <v>142</v>
      </c>
      <c r="O1602" s="30" t="s">
        <v>77</v>
      </c>
      <c r="P1602" s="89" t="s">
        <v>129</v>
      </c>
      <c r="Q1602" s="89" t="s">
        <v>130</v>
      </c>
      <c r="R1602" s="89" t="s">
        <v>131</v>
      </c>
      <c r="S1602" s="30">
        <v>1</v>
      </c>
      <c r="T1602" s="233">
        <v>0</v>
      </c>
      <c r="U1602" s="30">
        <v>0</v>
      </c>
      <c r="V1602" s="233">
        <v>0</v>
      </c>
      <c r="W1602" s="30">
        <v>0</v>
      </c>
      <c r="X1602" s="30">
        <v>1</v>
      </c>
      <c r="Y1602" s="30">
        <v>0</v>
      </c>
      <c r="Z1602" s="233">
        <v>0</v>
      </c>
      <c r="AA1602" s="30">
        <v>0</v>
      </c>
      <c r="AB1602" s="30">
        <v>0</v>
      </c>
      <c r="AC1602" s="30">
        <v>0</v>
      </c>
      <c r="AD1602" s="30">
        <v>0</v>
      </c>
      <c r="AE1602" s="89" t="s">
        <v>92</v>
      </c>
      <c r="AF1602" s="89"/>
      <c r="AG1602" s="89" t="s">
        <v>367</v>
      </c>
      <c r="AH1602" s="72">
        <v>41466</v>
      </c>
      <c r="AI1602" s="30">
        <v>1</v>
      </c>
      <c r="AJ1602" s="89" t="s">
        <v>8932</v>
      </c>
      <c r="AK1602" s="89" t="s">
        <v>68</v>
      </c>
      <c r="AL1602" s="91">
        <v>41507</v>
      </c>
      <c r="AM1602" s="91"/>
      <c r="AN1602" s="91"/>
      <c r="AO1602" s="91"/>
      <c r="AP1602" s="73" t="e">
        <f>MID(VLOOKUP(K1602,#REF!,2,FALSE),1,2)</f>
        <v>#REF!</v>
      </c>
      <c r="AQ1602" s="89">
        <f>DATE(2013,7,5)</f>
        <v>41460</v>
      </c>
      <c r="AR1602" s="82">
        <f t="shared" ref="AR1602:AR1665" si="106">DAY(AQ1602)</f>
        <v>5</v>
      </c>
      <c r="AS1602" s="83">
        <f t="shared" ref="AS1602:AS1665" si="107">MONTH(AQ1602)</f>
        <v>7</v>
      </c>
      <c r="AT1602" s="84">
        <f t="shared" ref="AT1602:AT1665" si="108">YEAR(AQ1602)</f>
        <v>2013</v>
      </c>
      <c r="AU1602" s="86"/>
      <c r="AV1602" s="86"/>
      <c r="AW1602" s="87"/>
      <c r="AX1602" s="86"/>
      <c r="AY1602" s="83"/>
      <c r="AZ1602" s="84"/>
      <c r="BA1602" s="86"/>
      <c r="BB1602" s="86"/>
    </row>
    <row r="1603" spans="1:54" ht="36.75" customHeight="1">
      <c r="A1603" s="30"/>
      <c r="B1603" s="30" t="s">
        <v>55</v>
      </c>
      <c r="C1603" s="69" t="str">
        <f t="shared" si="105"/>
        <v>Closed</v>
      </c>
      <c r="D1603" s="27" t="s">
        <v>8933</v>
      </c>
      <c r="E1603" s="29" t="s">
        <v>8934</v>
      </c>
      <c r="F1603" s="30" t="s">
        <v>1572</v>
      </c>
      <c r="G1603" s="89">
        <f>DATE(2013,7,6)</f>
        <v>41461</v>
      </c>
      <c r="H1603" s="90">
        <v>1.2604166666666667</v>
      </c>
      <c r="I1603" s="30" t="s">
        <v>125</v>
      </c>
      <c r="J1603" s="89" t="s">
        <v>8935</v>
      </c>
      <c r="K1603" s="30" t="s">
        <v>1574</v>
      </c>
      <c r="L1603" s="30" t="s">
        <v>8936</v>
      </c>
      <c r="M1603" s="30" t="s">
        <v>63</v>
      </c>
      <c r="N1603" s="30" t="s">
        <v>142</v>
      </c>
      <c r="O1603" s="30" t="s">
        <v>77</v>
      </c>
      <c r="P1603" s="89" t="s">
        <v>78</v>
      </c>
      <c r="Q1603" s="89" t="s">
        <v>2655</v>
      </c>
      <c r="R1603" s="89" t="s">
        <v>6434</v>
      </c>
      <c r="S1603" s="30">
        <v>0</v>
      </c>
      <c r="T1603" s="233">
        <v>0</v>
      </c>
      <c r="U1603" s="30">
        <v>0</v>
      </c>
      <c r="V1603" s="233">
        <v>0</v>
      </c>
      <c r="W1603" s="30">
        <v>0</v>
      </c>
      <c r="X1603" s="30">
        <v>0</v>
      </c>
      <c r="Y1603" s="30">
        <v>0</v>
      </c>
      <c r="Z1603" s="233">
        <v>0</v>
      </c>
      <c r="AA1603" s="30">
        <v>0</v>
      </c>
      <c r="AB1603" s="30">
        <v>0</v>
      </c>
      <c r="AC1603" s="30">
        <v>0</v>
      </c>
      <c r="AD1603" s="30">
        <v>0</v>
      </c>
      <c r="AE1603" s="89" t="s">
        <v>92</v>
      </c>
      <c r="AF1603" s="89"/>
      <c r="AG1603" s="89" t="s">
        <v>133</v>
      </c>
      <c r="AH1603" s="72">
        <v>41463</v>
      </c>
      <c r="AI1603" s="30">
        <v>0</v>
      </c>
      <c r="AJ1603" s="89" t="s">
        <v>8937</v>
      </c>
      <c r="AK1603" s="89" t="s">
        <v>8938</v>
      </c>
      <c r="AL1603" s="91">
        <v>41464</v>
      </c>
      <c r="AM1603" s="91"/>
      <c r="AN1603" s="91"/>
      <c r="AO1603" s="91"/>
      <c r="AP1603" s="73" t="e">
        <f>MID(VLOOKUP(K1603,#REF!,2,FALSE),1,2)</f>
        <v>#REF!</v>
      </c>
      <c r="AQ1603" s="89">
        <f>DATE(2013,7,6)</f>
        <v>41461</v>
      </c>
      <c r="AR1603" s="82">
        <f t="shared" si="106"/>
        <v>6</v>
      </c>
      <c r="AS1603" s="83">
        <f t="shared" si="107"/>
        <v>7</v>
      </c>
      <c r="AT1603" s="84">
        <f t="shared" si="108"/>
        <v>2013</v>
      </c>
      <c r="AU1603" s="86"/>
      <c r="AV1603" s="86"/>
      <c r="AW1603" s="87"/>
      <c r="AX1603" s="86"/>
      <c r="AY1603" s="83"/>
      <c r="AZ1603" s="84"/>
      <c r="BA1603" s="86"/>
      <c r="BB1603" s="86"/>
    </row>
    <row r="1604" spans="1:54" ht="36.75" customHeight="1">
      <c r="A1604" s="30"/>
      <c r="B1604" s="30" t="s">
        <v>55</v>
      </c>
      <c r="C1604" s="69" t="str">
        <f t="shared" si="105"/>
        <v>Closed</v>
      </c>
      <c r="D1604" s="27" t="s">
        <v>8939</v>
      </c>
      <c r="E1604" s="29" t="s">
        <v>8940</v>
      </c>
      <c r="F1604" s="30" t="s">
        <v>197</v>
      </c>
      <c r="G1604" s="89">
        <f>DATE(2013,7,9)</f>
        <v>41464</v>
      </c>
      <c r="H1604" s="90">
        <v>0</v>
      </c>
      <c r="I1604" s="30" t="s">
        <v>2418</v>
      </c>
      <c r="J1604" s="89" t="s">
        <v>8941</v>
      </c>
      <c r="K1604" s="30" t="s">
        <v>200</v>
      </c>
      <c r="L1604" s="30" t="s">
        <v>7185</v>
      </c>
      <c r="M1604" s="30" t="s">
        <v>63</v>
      </c>
      <c r="N1604" s="30" t="s">
        <v>99</v>
      </c>
      <c r="O1604" s="30" t="s">
        <v>64</v>
      </c>
      <c r="P1604" s="89" t="s">
        <v>165</v>
      </c>
      <c r="Q1604" s="89">
        <v>0</v>
      </c>
      <c r="R1604" s="89">
        <v>0</v>
      </c>
      <c r="S1604" s="30">
        <v>0</v>
      </c>
      <c r="T1604" s="233">
        <v>0</v>
      </c>
      <c r="U1604" s="30">
        <v>0</v>
      </c>
      <c r="V1604" s="233">
        <v>0</v>
      </c>
      <c r="W1604" s="30">
        <v>0</v>
      </c>
      <c r="X1604" s="30">
        <v>0</v>
      </c>
      <c r="Y1604" s="30">
        <v>0</v>
      </c>
      <c r="Z1604" s="233">
        <v>0</v>
      </c>
      <c r="AA1604" s="30">
        <v>0</v>
      </c>
      <c r="AB1604" s="30">
        <v>0</v>
      </c>
      <c r="AC1604" s="30">
        <v>0</v>
      </c>
      <c r="AD1604" s="30">
        <v>0</v>
      </c>
      <c r="AE1604" s="89" t="s">
        <v>92</v>
      </c>
      <c r="AF1604" s="89"/>
      <c r="AG1604" s="89" t="s">
        <v>1507</v>
      </c>
      <c r="AH1604" s="72">
        <v>41471</v>
      </c>
      <c r="AI1604" s="30">
        <v>3</v>
      </c>
      <c r="AJ1604" s="89" t="s">
        <v>8942</v>
      </c>
      <c r="AK1604" s="89" t="s">
        <v>1233</v>
      </c>
      <c r="AL1604" s="91">
        <v>41687</v>
      </c>
      <c r="AM1604" s="91"/>
      <c r="AN1604" s="91"/>
      <c r="AO1604" s="91"/>
      <c r="AP1604" s="73" t="e">
        <f>MID(VLOOKUP(K1604,#REF!,2,FALSE),1,2)</f>
        <v>#REF!</v>
      </c>
      <c r="AQ1604" s="89">
        <f>DATE(2013,7,9)</f>
        <v>41464</v>
      </c>
      <c r="AR1604" s="82">
        <f t="shared" si="106"/>
        <v>9</v>
      </c>
      <c r="AS1604" s="83">
        <f t="shared" si="107"/>
        <v>7</v>
      </c>
      <c r="AT1604" s="84">
        <f t="shared" si="108"/>
        <v>2013</v>
      </c>
      <c r="AU1604" s="86"/>
      <c r="AV1604" s="86"/>
      <c r="AW1604" s="87"/>
      <c r="AX1604" s="86"/>
      <c r="AY1604" s="83"/>
      <c r="AZ1604" s="84"/>
      <c r="BA1604" s="86"/>
      <c r="BB1604" s="86"/>
    </row>
    <row r="1605" spans="1:54" ht="36.75" customHeight="1">
      <c r="A1605" s="30"/>
      <c r="B1605" s="30" t="s">
        <v>55</v>
      </c>
      <c r="C1605" s="69" t="str">
        <f t="shared" si="105"/>
        <v>Closed</v>
      </c>
      <c r="D1605" s="27" t="s">
        <v>8943</v>
      </c>
      <c r="E1605" s="29" t="s">
        <v>8944</v>
      </c>
      <c r="F1605" s="30" t="s">
        <v>1572</v>
      </c>
      <c r="G1605" s="89">
        <f>DATE(2013,7,9)</f>
        <v>41464</v>
      </c>
      <c r="H1605" s="90">
        <v>1.5104166666666665</v>
      </c>
      <c r="I1605" s="30" t="s">
        <v>125</v>
      </c>
      <c r="J1605" s="89" t="s">
        <v>8945</v>
      </c>
      <c r="K1605" s="30" t="s">
        <v>1574</v>
      </c>
      <c r="L1605" s="30" t="s">
        <v>8946</v>
      </c>
      <c r="M1605" s="30" t="s">
        <v>63</v>
      </c>
      <c r="N1605" s="30" t="s">
        <v>99</v>
      </c>
      <c r="O1605" s="30" t="s">
        <v>77</v>
      </c>
      <c r="P1605" s="89" t="s">
        <v>381</v>
      </c>
      <c r="Q1605" s="89" t="s">
        <v>2655</v>
      </c>
      <c r="R1605" s="89" t="s">
        <v>6434</v>
      </c>
      <c r="S1605" s="30">
        <v>0</v>
      </c>
      <c r="T1605" s="233">
        <v>0</v>
      </c>
      <c r="U1605" s="30">
        <v>0</v>
      </c>
      <c r="V1605" s="233">
        <v>0</v>
      </c>
      <c r="W1605" s="30">
        <v>0</v>
      </c>
      <c r="X1605" s="30">
        <v>0</v>
      </c>
      <c r="Y1605" s="30">
        <v>0</v>
      </c>
      <c r="Z1605" s="233">
        <v>0</v>
      </c>
      <c r="AA1605" s="30">
        <v>0</v>
      </c>
      <c r="AB1605" s="30">
        <v>0</v>
      </c>
      <c r="AC1605" s="30">
        <v>0</v>
      </c>
      <c r="AD1605" s="30">
        <v>0</v>
      </c>
      <c r="AE1605" s="89" t="s">
        <v>92</v>
      </c>
      <c r="AF1605" s="89"/>
      <c r="AG1605" s="89" t="s">
        <v>133</v>
      </c>
      <c r="AH1605" s="72">
        <v>41465</v>
      </c>
      <c r="AI1605" s="30">
        <v>0</v>
      </c>
      <c r="AJ1605" s="89" t="s">
        <v>8947</v>
      </c>
      <c r="AK1605" s="89" t="s">
        <v>8948</v>
      </c>
      <c r="AL1605" s="91">
        <v>41465</v>
      </c>
      <c r="AM1605" s="91"/>
      <c r="AN1605" s="91"/>
      <c r="AO1605" s="91"/>
      <c r="AP1605" s="73" t="e">
        <f>MID(VLOOKUP(K1605,#REF!,2,FALSE),1,2)</f>
        <v>#REF!</v>
      </c>
      <c r="AQ1605" s="89">
        <f>DATE(2013,7,9)</f>
        <v>41464</v>
      </c>
      <c r="AR1605" s="82">
        <f t="shared" si="106"/>
        <v>9</v>
      </c>
      <c r="AS1605" s="83">
        <f t="shared" si="107"/>
        <v>7</v>
      </c>
      <c r="AT1605" s="84">
        <f t="shared" si="108"/>
        <v>2013</v>
      </c>
      <c r="AU1605" s="86"/>
      <c r="AV1605" s="86"/>
      <c r="AW1605" s="87"/>
      <c r="AX1605" s="86"/>
      <c r="AY1605" s="83"/>
      <c r="AZ1605" s="84"/>
      <c r="BA1605" s="86"/>
      <c r="BB1605" s="86"/>
    </row>
    <row r="1606" spans="1:54" ht="36.75" customHeight="1">
      <c r="A1606" s="30"/>
      <c r="B1606" s="30" t="s">
        <v>55</v>
      </c>
      <c r="C1606" s="69" t="str">
        <f t="shared" si="105"/>
        <v>Closed</v>
      </c>
      <c r="D1606" s="27" t="s">
        <v>8949</v>
      </c>
      <c r="E1606" s="29" t="s">
        <v>8950</v>
      </c>
      <c r="F1606" s="30" t="s">
        <v>638</v>
      </c>
      <c r="G1606" s="89">
        <f>DATE(2013,7,11)</f>
        <v>41466</v>
      </c>
      <c r="H1606" s="90">
        <v>1.8326388888888889</v>
      </c>
      <c r="I1606" s="30" t="s">
        <v>104</v>
      </c>
      <c r="J1606" s="89" t="s">
        <v>8951</v>
      </c>
      <c r="K1606" s="30" t="s">
        <v>640</v>
      </c>
      <c r="L1606" s="30" t="s">
        <v>8952</v>
      </c>
      <c r="M1606" s="30" t="s">
        <v>63</v>
      </c>
      <c r="N1606" s="30" t="s">
        <v>99</v>
      </c>
      <c r="O1606" s="30" t="s">
        <v>77</v>
      </c>
      <c r="P1606" s="89" t="s">
        <v>78</v>
      </c>
      <c r="Q1606" s="89" t="s">
        <v>4904</v>
      </c>
      <c r="R1606" s="89" t="s">
        <v>643</v>
      </c>
      <c r="S1606" s="30">
        <v>0</v>
      </c>
      <c r="T1606" s="233">
        <v>0</v>
      </c>
      <c r="U1606" s="30">
        <v>0</v>
      </c>
      <c r="V1606" s="233">
        <v>0</v>
      </c>
      <c r="W1606" s="30">
        <v>0</v>
      </c>
      <c r="X1606" s="30">
        <v>0</v>
      </c>
      <c r="Y1606" s="30">
        <v>0</v>
      </c>
      <c r="Z1606" s="233">
        <v>0</v>
      </c>
      <c r="AA1606" s="30">
        <v>0</v>
      </c>
      <c r="AB1606" s="30">
        <v>0</v>
      </c>
      <c r="AC1606" s="30">
        <v>0</v>
      </c>
      <c r="AD1606" s="30">
        <v>0</v>
      </c>
      <c r="AE1606" s="89" t="s">
        <v>92</v>
      </c>
      <c r="AF1606" s="89"/>
      <c r="AG1606" s="89" t="s">
        <v>352</v>
      </c>
      <c r="AH1606" s="72">
        <v>41485</v>
      </c>
      <c r="AI1606" s="30">
        <v>0</v>
      </c>
      <c r="AJ1606" s="89" t="s">
        <v>8953</v>
      </c>
      <c r="AK1606" s="89" t="s">
        <v>68</v>
      </c>
      <c r="AL1606" s="91">
        <v>41487</v>
      </c>
      <c r="AM1606" s="91"/>
      <c r="AN1606" s="91"/>
      <c r="AO1606" s="91"/>
      <c r="AP1606" s="73" t="e">
        <f>MID(VLOOKUP(K1606,#REF!,2,FALSE),1,2)</f>
        <v>#REF!</v>
      </c>
      <c r="AQ1606" s="89">
        <f>DATE(2013,7,11)</f>
        <v>41466</v>
      </c>
      <c r="AR1606" s="82">
        <f t="shared" si="106"/>
        <v>11</v>
      </c>
      <c r="AS1606" s="83">
        <f t="shared" si="107"/>
        <v>7</v>
      </c>
      <c r="AT1606" s="84">
        <f t="shared" si="108"/>
        <v>2013</v>
      </c>
      <c r="AU1606" s="86"/>
      <c r="AV1606" s="86"/>
      <c r="AW1606" s="87"/>
      <c r="AX1606" s="86"/>
      <c r="AY1606" s="83"/>
      <c r="AZ1606" s="84"/>
      <c r="BA1606" s="86"/>
      <c r="BB1606" s="86"/>
    </row>
    <row r="1607" spans="1:54" ht="36.75" customHeight="1">
      <c r="A1607" s="30"/>
      <c r="B1607" s="30" t="s">
        <v>55</v>
      </c>
      <c r="C1607" s="69" t="str">
        <f t="shared" si="105"/>
        <v>Closed</v>
      </c>
      <c r="D1607" s="27" t="s">
        <v>8954</v>
      </c>
      <c r="E1607" s="29" t="s">
        <v>8955</v>
      </c>
      <c r="F1607" s="30" t="s">
        <v>115</v>
      </c>
      <c r="G1607" s="89">
        <f>DATE(2013,7,12)</f>
        <v>41467</v>
      </c>
      <c r="H1607" s="90">
        <v>1.7180555555555554</v>
      </c>
      <c r="I1607" s="30" t="s">
        <v>73</v>
      </c>
      <c r="J1607" s="89" t="s">
        <v>8956</v>
      </c>
      <c r="K1607" s="30" t="s">
        <v>118</v>
      </c>
      <c r="L1607" s="30" t="s">
        <v>8957</v>
      </c>
      <c r="M1607" s="30" t="s">
        <v>63</v>
      </c>
      <c r="N1607" s="30" t="s">
        <v>89</v>
      </c>
      <c r="O1607" s="30" t="s">
        <v>77</v>
      </c>
      <c r="P1607" s="89" t="s">
        <v>6941</v>
      </c>
      <c r="Q1607" s="89" t="s">
        <v>120</v>
      </c>
      <c r="R1607" s="89" t="s">
        <v>121</v>
      </c>
      <c r="S1607" s="30">
        <v>7</v>
      </c>
      <c r="T1607" s="233">
        <v>0</v>
      </c>
      <c r="U1607" s="30">
        <v>0</v>
      </c>
      <c r="V1607" s="233">
        <v>0</v>
      </c>
      <c r="W1607" s="30">
        <v>0</v>
      </c>
      <c r="X1607" s="30">
        <v>7</v>
      </c>
      <c r="Y1607" s="30">
        <v>11</v>
      </c>
      <c r="Z1607" s="233">
        <v>0</v>
      </c>
      <c r="AA1607" s="30">
        <v>0</v>
      </c>
      <c r="AB1607" s="30">
        <v>0</v>
      </c>
      <c r="AC1607" s="30">
        <v>0</v>
      </c>
      <c r="AD1607" s="30">
        <v>11</v>
      </c>
      <c r="AE1607" s="89" t="s">
        <v>145</v>
      </c>
      <c r="AF1607" s="89"/>
      <c r="AG1607" s="89" t="s">
        <v>82</v>
      </c>
      <c r="AH1607" s="72">
        <v>41467</v>
      </c>
      <c r="AI1607" s="30">
        <v>6</v>
      </c>
      <c r="AJ1607" s="89" t="s">
        <v>8958</v>
      </c>
      <c r="AK1607" s="89" t="s">
        <v>8959</v>
      </c>
      <c r="AL1607" s="91">
        <v>41477</v>
      </c>
      <c r="AM1607" s="91"/>
      <c r="AN1607" s="91"/>
      <c r="AO1607" s="91"/>
      <c r="AP1607" s="73" t="e">
        <f>MID(VLOOKUP(K1607,#REF!,2,FALSE),1,2)</f>
        <v>#REF!</v>
      </c>
      <c r="AQ1607" s="89">
        <f>DATE(2013,7,12)</f>
        <v>41467</v>
      </c>
      <c r="AR1607" s="82">
        <f t="shared" si="106"/>
        <v>12</v>
      </c>
      <c r="AS1607" s="83">
        <f t="shared" si="107"/>
        <v>7</v>
      </c>
      <c r="AT1607" s="84">
        <f t="shared" si="108"/>
        <v>2013</v>
      </c>
      <c r="AU1607" s="86"/>
      <c r="AV1607" s="86"/>
      <c r="AW1607" s="87"/>
      <c r="AX1607" s="86"/>
      <c r="AY1607" s="83"/>
      <c r="AZ1607" s="84"/>
      <c r="BA1607" s="86"/>
      <c r="BB1607" s="86"/>
    </row>
    <row r="1608" spans="1:54" ht="36.75" customHeight="1">
      <c r="A1608" s="30"/>
      <c r="B1608" s="30" t="s">
        <v>55</v>
      </c>
      <c r="C1608" s="69" t="str">
        <f t="shared" si="105"/>
        <v>Closed</v>
      </c>
      <c r="D1608" s="27" t="s">
        <v>8960</v>
      </c>
      <c r="E1608" s="29" t="s">
        <v>8961</v>
      </c>
      <c r="F1608" s="30" t="s">
        <v>423</v>
      </c>
      <c r="G1608" s="89">
        <f>DATE(2013,7,13)</f>
        <v>41468</v>
      </c>
      <c r="H1608" s="90">
        <v>1.2472222222222222</v>
      </c>
      <c r="I1608" s="30" t="s">
        <v>116</v>
      </c>
      <c r="J1608" s="89" t="s">
        <v>8962</v>
      </c>
      <c r="K1608" s="30" t="s">
        <v>425</v>
      </c>
      <c r="L1608" s="30" t="s">
        <v>8963</v>
      </c>
      <c r="M1608" s="30" t="s">
        <v>63</v>
      </c>
      <c r="N1608" s="30" t="s">
        <v>99</v>
      </c>
      <c r="O1608" s="30" t="s">
        <v>64</v>
      </c>
      <c r="P1608" s="89" t="s">
        <v>165</v>
      </c>
      <c r="Q1608" s="89" t="s">
        <v>427</v>
      </c>
      <c r="R1608" s="89" t="s">
        <v>3103</v>
      </c>
      <c r="S1608" s="30">
        <v>0</v>
      </c>
      <c r="T1608" s="233">
        <v>0</v>
      </c>
      <c r="U1608" s="30">
        <v>0</v>
      </c>
      <c r="V1608" s="233">
        <v>0</v>
      </c>
      <c r="W1608" s="30">
        <v>0</v>
      </c>
      <c r="X1608" s="30">
        <v>0</v>
      </c>
      <c r="Y1608" s="30">
        <v>0</v>
      </c>
      <c r="Z1608" s="233">
        <v>0</v>
      </c>
      <c r="AA1608" s="30">
        <v>0</v>
      </c>
      <c r="AB1608" s="30">
        <v>0</v>
      </c>
      <c r="AC1608" s="30">
        <v>0</v>
      </c>
      <c r="AD1608" s="30">
        <v>0</v>
      </c>
      <c r="AE1608" s="89" t="s">
        <v>92</v>
      </c>
      <c r="AF1608" s="89"/>
      <c r="AG1608" s="89" t="s">
        <v>133</v>
      </c>
      <c r="AH1608" s="72">
        <v>41471</v>
      </c>
      <c r="AI1608" s="30">
        <v>3</v>
      </c>
      <c r="AJ1608" s="89" t="s">
        <v>7208</v>
      </c>
      <c r="AK1608" s="89" t="s">
        <v>8964</v>
      </c>
      <c r="AL1608" s="91">
        <v>41472</v>
      </c>
      <c r="AM1608" s="91"/>
      <c r="AN1608" s="91"/>
      <c r="AO1608" s="91"/>
      <c r="AP1608" s="73" t="e">
        <f>MID(VLOOKUP(K1608,#REF!,2,FALSE),1,2)</f>
        <v>#REF!</v>
      </c>
      <c r="AQ1608" s="89">
        <f>DATE(2013,7,13)</f>
        <v>41468</v>
      </c>
      <c r="AR1608" s="82">
        <f t="shared" si="106"/>
        <v>13</v>
      </c>
      <c r="AS1608" s="83">
        <f t="shared" si="107"/>
        <v>7</v>
      </c>
      <c r="AT1608" s="84">
        <f t="shared" si="108"/>
        <v>2013</v>
      </c>
      <c r="AU1608" s="86"/>
      <c r="AV1608" s="86"/>
      <c r="AW1608" s="87"/>
      <c r="AX1608" s="86"/>
      <c r="AY1608" s="83"/>
      <c r="AZ1608" s="84"/>
      <c r="BA1608" s="86"/>
      <c r="BB1608" s="86"/>
    </row>
    <row r="1609" spans="1:54" ht="36.75" customHeight="1">
      <c r="A1609" s="30"/>
      <c r="B1609" s="30" t="s">
        <v>55</v>
      </c>
      <c r="C1609" s="69" t="str">
        <f t="shared" si="105"/>
        <v>Closed</v>
      </c>
      <c r="D1609" s="27" t="s">
        <v>8965</v>
      </c>
      <c r="E1609" s="29" t="s">
        <v>8966</v>
      </c>
      <c r="F1609" s="30" t="s">
        <v>233</v>
      </c>
      <c r="G1609" s="89">
        <f>DATE(2013,7,14)</f>
        <v>41469</v>
      </c>
      <c r="H1609" s="90">
        <v>1.7638888888888888</v>
      </c>
      <c r="I1609" s="30" t="s">
        <v>116</v>
      </c>
      <c r="J1609" s="89" t="s">
        <v>8967</v>
      </c>
      <c r="K1609" s="30" t="s">
        <v>235</v>
      </c>
      <c r="L1609" s="30" t="s">
        <v>8968</v>
      </c>
      <c r="M1609" s="30" t="s">
        <v>63</v>
      </c>
      <c r="N1609" s="30" t="s">
        <v>142</v>
      </c>
      <c r="O1609" s="30" t="s">
        <v>64</v>
      </c>
      <c r="P1609" s="89" t="s">
        <v>6941</v>
      </c>
      <c r="Q1609" s="89">
        <v>0</v>
      </c>
      <c r="R1609" s="89">
        <v>0</v>
      </c>
      <c r="S1609" s="30">
        <v>0</v>
      </c>
      <c r="T1609" s="233">
        <v>0</v>
      </c>
      <c r="U1609" s="30">
        <v>0</v>
      </c>
      <c r="V1609" s="233">
        <v>0</v>
      </c>
      <c r="W1609" s="30">
        <v>0</v>
      </c>
      <c r="X1609" s="30">
        <v>0</v>
      </c>
      <c r="Y1609" s="30">
        <v>0</v>
      </c>
      <c r="Z1609" s="233">
        <v>0</v>
      </c>
      <c r="AA1609" s="30">
        <v>0</v>
      </c>
      <c r="AB1609" s="30">
        <v>0</v>
      </c>
      <c r="AC1609" s="30">
        <v>0</v>
      </c>
      <c r="AD1609" s="30">
        <v>0</v>
      </c>
      <c r="AE1609" s="89" t="s">
        <v>92</v>
      </c>
      <c r="AF1609" s="89"/>
      <c r="AG1609" s="89" t="s">
        <v>352</v>
      </c>
      <c r="AH1609" s="72">
        <v>41477</v>
      </c>
      <c r="AI1609" s="30">
        <v>5</v>
      </c>
      <c r="AJ1609" s="89" t="s">
        <v>8969</v>
      </c>
      <c r="AK1609" s="89" t="s">
        <v>8970</v>
      </c>
      <c r="AL1609" s="91">
        <v>41487</v>
      </c>
      <c r="AM1609" s="91"/>
      <c r="AN1609" s="91"/>
      <c r="AO1609" s="91"/>
      <c r="AP1609" s="73" t="e">
        <f>MID(VLOOKUP(K1609,#REF!,2,FALSE),1,2)</f>
        <v>#REF!</v>
      </c>
      <c r="AQ1609" s="89">
        <f>DATE(2013,7,14)</f>
        <v>41469</v>
      </c>
      <c r="AR1609" s="82">
        <f t="shared" si="106"/>
        <v>14</v>
      </c>
      <c r="AS1609" s="83">
        <f t="shared" si="107"/>
        <v>7</v>
      </c>
      <c r="AT1609" s="84">
        <f t="shared" si="108"/>
        <v>2013</v>
      </c>
      <c r="AU1609" s="86"/>
      <c r="AV1609" s="86"/>
      <c r="AW1609" s="87"/>
      <c r="AX1609" s="86"/>
      <c r="AY1609" s="83"/>
      <c r="AZ1609" s="84"/>
      <c r="BA1609" s="86"/>
      <c r="BB1609" s="86"/>
    </row>
    <row r="1610" spans="1:54" ht="36.75" customHeight="1">
      <c r="A1610" s="30"/>
      <c r="B1610" s="30" t="s">
        <v>55</v>
      </c>
      <c r="C1610" s="69" t="str">
        <f t="shared" si="105"/>
        <v>Closed</v>
      </c>
      <c r="D1610" s="27" t="s">
        <v>8971</v>
      </c>
      <c r="E1610" s="29" t="s">
        <v>8972</v>
      </c>
      <c r="F1610" s="30" t="s">
        <v>233</v>
      </c>
      <c r="G1610" s="89">
        <f>DATE(2013,7,16)</f>
        <v>41471</v>
      </c>
      <c r="H1610" s="90">
        <v>1.4888888888888889</v>
      </c>
      <c r="I1610" s="30" t="s">
        <v>116</v>
      </c>
      <c r="J1610" s="89" t="s">
        <v>8973</v>
      </c>
      <c r="K1610" s="30" t="s">
        <v>235</v>
      </c>
      <c r="L1610" s="30" t="s">
        <v>8974</v>
      </c>
      <c r="M1610" s="30" t="s">
        <v>63</v>
      </c>
      <c r="N1610" s="30" t="s">
        <v>99</v>
      </c>
      <c r="O1610" s="30" t="s">
        <v>64</v>
      </c>
      <c r="P1610" s="89" t="s">
        <v>165</v>
      </c>
      <c r="Q1610" s="89" t="s">
        <v>2174</v>
      </c>
      <c r="R1610" s="89" t="s">
        <v>238</v>
      </c>
      <c r="S1610" s="30">
        <v>0</v>
      </c>
      <c r="T1610" s="233">
        <v>0</v>
      </c>
      <c r="U1610" s="30">
        <v>0</v>
      </c>
      <c r="V1610" s="233">
        <v>0</v>
      </c>
      <c r="W1610" s="30">
        <v>0</v>
      </c>
      <c r="X1610" s="30">
        <v>0</v>
      </c>
      <c r="Y1610" s="30">
        <v>0</v>
      </c>
      <c r="Z1610" s="233">
        <v>0</v>
      </c>
      <c r="AA1610" s="30">
        <v>0</v>
      </c>
      <c r="AB1610" s="30">
        <v>0</v>
      </c>
      <c r="AC1610" s="30">
        <v>0</v>
      </c>
      <c r="AD1610" s="30">
        <v>0</v>
      </c>
      <c r="AE1610" s="89" t="s">
        <v>92</v>
      </c>
      <c r="AF1610" s="89"/>
      <c r="AG1610" s="89" t="s">
        <v>133</v>
      </c>
      <c r="AH1610" s="72">
        <v>41477</v>
      </c>
      <c r="AI1610" s="30">
        <v>3</v>
      </c>
      <c r="AJ1610" s="89" t="s">
        <v>8975</v>
      </c>
      <c r="AK1610" s="89" t="s">
        <v>8976</v>
      </c>
      <c r="AL1610" s="91">
        <v>41730</v>
      </c>
      <c r="AM1610" s="91"/>
      <c r="AN1610" s="91"/>
      <c r="AO1610" s="91"/>
      <c r="AP1610" s="73" t="e">
        <f>MID(VLOOKUP(K1610,#REF!,2,FALSE),1,2)</f>
        <v>#REF!</v>
      </c>
      <c r="AQ1610" s="89">
        <f>DATE(2013,7,16)</f>
        <v>41471</v>
      </c>
      <c r="AR1610" s="82">
        <f t="shared" si="106"/>
        <v>16</v>
      </c>
      <c r="AS1610" s="83">
        <f t="shared" si="107"/>
        <v>7</v>
      </c>
      <c r="AT1610" s="84">
        <f t="shared" si="108"/>
        <v>2013</v>
      </c>
      <c r="AU1610" s="86"/>
      <c r="AV1610" s="86"/>
      <c r="AW1610" s="87"/>
      <c r="AX1610" s="86"/>
      <c r="AY1610" s="83"/>
      <c r="AZ1610" s="84"/>
      <c r="BA1610" s="86"/>
      <c r="BB1610" s="86"/>
    </row>
    <row r="1611" spans="1:54" ht="36.75" customHeight="1">
      <c r="A1611" s="30"/>
      <c r="B1611" s="30" t="s">
        <v>55</v>
      </c>
      <c r="C1611" s="69" t="str">
        <f t="shared" si="105"/>
        <v>Closed</v>
      </c>
      <c r="D1611" s="27" t="s">
        <v>8977</v>
      </c>
      <c r="E1611" s="29" t="s">
        <v>8978</v>
      </c>
      <c r="F1611" s="30" t="s">
        <v>1572</v>
      </c>
      <c r="G1611" s="89">
        <f>DATE(2013,7,20)</f>
        <v>41475</v>
      </c>
      <c r="H1611" s="90">
        <v>1.226388888888889</v>
      </c>
      <c r="I1611" s="30" t="s">
        <v>73</v>
      </c>
      <c r="J1611" s="89" t="s">
        <v>8979</v>
      </c>
      <c r="K1611" s="30" t="s">
        <v>1574</v>
      </c>
      <c r="L1611" s="30" t="s">
        <v>8980</v>
      </c>
      <c r="M1611" s="30" t="s">
        <v>63</v>
      </c>
      <c r="N1611" s="30" t="s">
        <v>142</v>
      </c>
      <c r="O1611" s="30" t="s">
        <v>77</v>
      </c>
      <c r="P1611" s="89" t="s">
        <v>78</v>
      </c>
      <c r="Q1611" s="89" t="s">
        <v>2655</v>
      </c>
      <c r="R1611" s="89" t="s">
        <v>6434</v>
      </c>
      <c r="S1611" s="30">
        <v>0</v>
      </c>
      <c r="T1611" s="233">
        <v>0</v>
      </c>
      <c r="U1611" s="30">
        <v>0</v>
      </c>
      <c r="V1611" s="233">
        <v>0</v>
      </c>
      <c r="W1611" s="30">
        <v>0</v>
      </c>
      <c r="X1611" s="30">
        <v>0</v>
      </c>
      <c r="Y1611" s="30">
        <v>0</v>
      </c>
      <c r="Z1611" s="233">
        <v>0</v>
      </c>
      <c r="AA1611" s="30">
        <v>0</v>
      </c>
      <c r="AB1611" s="30">
        <v>0</v>
      </c>
      <c r="AC1611" s="30">
        <v>0</v>
      </c>
      <c r="AD1611" s="30">
        <v>0</v>
      </c>
      <c r="AE1611" s="89" t="s">
        <v>92</v>
      </c>
      <c r="AF1611" s="89"/>
      <c r="AG1611" s="89" t="s">
        <v>133</v>
      </c>
      <c r="AH1611" s="72">
        <v>41477</v>
      </c>
      <c r="AI1611" s="30">
        <v>0</v>
      </c>
      <c r="AJ1611" s="89" t="s">
        <v>8981</v>
      </c>
      <c r="AK1611" s="89" t="s">
        <v>7002</v>
      </c>
      <c r="AL1611" s="91">
        <v>41478</v>
      </c>
      <c r="AM1611" s="91"/>
      <c r="AN1611" s="91"/>
      <c r="AO1611" s="91"/>
      <c r="AP1611" s="73" t="e">
        <f>MID(VLOOKUP(K1611,#REF!,2,FALSE),1,2)</f>
        <v>#REF!</v>
      </c>
      <c r="AQ1611" s="89">
        <f>DATE(2013,7,20)</f>
        <v>41475</v>
      </c>
      <c r="AR1611" s="82">
        <f t="shared" si="106"/>
        <v>20</v>
      </c>
      <c r="AS1611" s="83">
        <f t="shared" si="107"/>
        <v>7</v>
      </c>
      <c r="AT1611" s="84">
        <f t="shared" si="108"/>
        <v>2013</v>
      </c>
      <c r="AU1611" s="86"/>
      <c r="AV1611" s="86"/>
      <c r="AW1611" s="87"/>
      <c r="AX1611" s="86"/>
      <c r="AY1611" s="83"/>
      <c r="AZ1611" s="84"/>
      <c r="BA1611" s="86"/>
      <c r="BB1611" s="86"/>
    </row>
    <row r="1612" spans="1:54" ht="36.75" customHeight="1">
      <c r="A1612" s="30"/>
      <c r="B1612" s="30" t="s">
        <v>55</v>
      </c>
      <c r="C1612" s="69" t="str">
        <f t="shared" si="105"/>
        <v>Closed</v>
      </c>
      <c r="D1612" s="27" t="s">
        <v>8982</v>
      </c>
      <c r="E1612" s="29" t="s">
        <v>8983</v>
      </c>
      <c r="F1612" s="30" t="s">
        <v>423</v>
      </c>
      <c r="G1612" s="89">
        <f>DATE(2013,7,21)</f>
        <v>41476</v>
      </c>
      <c r="H1612" s="90">
        <v>1.1055555555555556</v>
      </c>
      <c r="I1612" s="30" t="s">
        <v>73</v>
      </c>
      <c r="J1612" s="89" t="s">
        <v>8984</v>
      </c>
      <c r="K1612" s="30" t="s">
        <v>425</v>
      </c>
      <c r="L1612" s="30" t="s">
        <v>8985</v>
      </c>
      <c r="M1612" s="30" t="s">
        <v>63</v>
      </c>
      <c r="N1612" s="30" t="s">
        <v>89</v>
      </c>
      <c r="O1612" s="30" t="s">
        <v>77</v>
      </c>
      <c r="P1612" s="89" t="s">
        <v>78</v>
      </c>
      <c r="Q1612" s="89" t="s">
        <v>8986</v>
      </c>
      <c r="R1612" s="89" t="s">
        <v>3103</v>
      </c>
      <c r="S1612" s="30">
        <v>0</v>
      </c>
      <c r="T1612" s="233">
        <v>0</v>
      </c>
      <c r="U1612" s="30">
        <v>0</v>
      </c>
      <c r="V1612" s="233">
        <v>0</v>
      </c>
      <c r="W1612" s="30">
        <v>0</v>
      </c>
      <c r="X1612" s="30">
        <v>0</v>
      </c>
      <c r="Y1612" s="30">
        <v>0</v>
      </c>
      <c r="Z1612" s="233">
        <v>0</v>
      </c>
      <c r="AA1612" s="30">
        <v>0</v>
      </c>
      <c r="AB1612" s="30">
        <v>0</v>
      </c>
      <c r="AC1612" s="30">
        <v>0</v>
      </c>
      <c r="AD1612" s="30">
        <v>0</v>
      </c>
      <c r="AE1612" s="89" t="s">
        <v>394</v>
      </c>
      <c r="AF1612" s="89"/>
      <c r="AG1612" s="89" t="s">
        <v>874</v>
      </c>
      <c r="AH1612" s="72">
        <v>41481</v>
      </c>
      <c r="AI1612" s="30">
        <v>5</v>
      </c>
      <c r="AJ1612" s="89" t="s">
        <v>8987</v>
      </c>
      <c r="AK1612" s="89" t="s">
        <v>8988</v>
      </c>
      <c r="AL1612" s="91">
        <v>41481</v>
      </c>
      <c r="AM1612" s="91"/>
      <c r="AN1612" s="91"/>
      <c r="AO1612" s="91"/>
      <c r="AP1612" s="73" t="e">
        <f>MID(VLOOKUP(K1612,#REF!,2,FALSE),1,2)</f>
        <v>#REF!</v>
      </c>
      <c r="AQ1612" s="89">
        <f>DATE(2013,7,21)</f>
        <v>41476</v>
      </c>
      <c r="AR1612" s="82">
        <f t="shared" si="106"/>
        <v>21</v>
      </c>
      <c r="AS1612" s="83">
        <f t="shared" si="107"/>
        <v>7</v>
      </c>
      <c r="AT1612" s="84">
        <f t="shared" si="108"/>
        <v>2013</v>
      </c>
      <c r="AU1612" s="86"/>
      <c r="AV1612" s="86"/>
      <c r="AW1612" s="87"/>
      <c r="AX1612" s="86"/>
      <c r="AY1612" s="83"/>
      <c r="AZ1612" s="84"/>
      <c r="BA1612" s="86"/>
      <c r="BB1612" s="86"/>
    </row>
    <row r="1613" spans="1:54" ht="36.75" customHeight="1">
      <c r="A1613" s="30"/>
      <c r="B1613" s="30" t="s">
        <v>55</v>
      </c>
      <c r="C1613" s="69" t="str">
        <f t="shared" si="105"/>
        <v>Closed</v>
      </c>
      <c r="D1613" s="27" t="s">
        <v>8989</v>
      </c>
      <c r="E1613" s="29" t="s">
        <v>8990</v>
      </c>
      <c r="F1613" s="30" t="s">
        <v>233</v>
      </c>
      <c r="G1613" s="89">
        <f>DATE(2013,7,21)</f>
        <v>41476</v>
      </c>
      <c r="H1613" s="90">
        <v>1.0090277777777779</v>
      </c>
      <c r="I1613" s="30" t="s">
        <v>198</v>
      </c>
      <c r="J1613" s="89" t="s">
        <v>8991</v>
      </c>
      <c r="K1613" s="30" t="s">
        <v>235</v>
      </c>
      <c r="L1613" s="30" t="s">
        <v>8992</v>
      </c>
      <c r="M1613" s="30" t="s">
        <v>63</v>
      </c>
      <c r="N1613" s="30" t="s">
        <v>142</v>
      </c>
      <c r="O1613" s="30" t="s">
        <v>77</v>
      </c>
      <c r="P1613" s="89" t="s">
        <v>165</v>
      </c>
      <c r="Q1613" s="89" t="s">
        <v>2538</v>
      </c>
      <c r="R1613" s="89" t="s">
        <v>238</v>
      </c>
      <c r="S1613" s="30">
        <v>0</v>
      </c>
      <c r="T1613" s="233">
        <v>0</v>
      </c>
      <c r="U1613" s="30">
        <v>0</v>
      </c>
      <c r="V1613" s="233">
        <v>0</v>
      </c>
      <c r="W1613" s="30">
        <v>0</v>
      </c>
      <c r="X1613" s="30">
        <v>0</v>
      </c>
      <c r="Y1613" s="30">
        <v>0</v>
      </c>
      <c r="Z1613" s="233">
        <v>0</v>
      </c>
      <c r="AA1613" s="30">
        <v>0</v>
      </c>
      <c r="AB1613" s="30">
        <v>0</v>
      </c>
      <c r="AC1613" s="30">
        <v>0</v>
      </c>
      <c r="AD1613" s="30">
        <v>0</v>
      </c>
      <c r="AE1613" s="89" t="s">
        <v>92</v>
      </c>
      <c r="AF1613" s="89"/>
      <c r="AG1613" s="89" t="s">
        <v>82</v>
      </c>
      <c r="AH1613" s="72">
        <v>41477</v>
      </c>
      <c r="AI1613" s="30">
        <v>5</v>
      </c>
      <c r="AJ1613" s="89" t="s">
        <v>8993</v>
      </c>
      <c r="AK1613" s="89" t="s">
        <v>8994</v>
      </c>
      <c r="AL1613" s="91">
        <v>41481</v>
      </c>
      <c r="AM1613" s="91"/>
      <c r="AN1613" s="91"/>
      <c r="AO1613" s="91"/>
      <c r="AP1613" s="73" t="e">
        <f>MID(VLOOKUP(K1613,#REF!,2,FALSE),1,2)</f>
        <v>#REF!</v>
      </c>
      <c r="AQ1613" s="89">
        <f>DATE(2013,7,21)</f>
        <v>41476</v>
      </c>
      <c r="AR1613" s="82">
        <f t="shared" si="106"/>
        <v>21</v>
      </c>
      <c r="AS1613" s="83">
        <f t="shared" si="107"/>
        <v>7</v>
      </c>
      <c r="AT1613" s="84">
        <f t="shared" si="108"/>
        <v>2013</v>
      </c>
      <c r="AU1613" s="86"/>
      <c r="AV1613" s="86"/>
      <c r="AW1613" s="87"/>
      <c r="AX1613" s="86"/>
      <c r="AY1613" s="83"/>
      <c r="AZ1613" s="84"/>
      <c r="BA1613" s="86"/>
      <c r="BB1613" s="86"/>
    </row>
    <row r="1614" spans="1:54" ht="36.75" customHeight="1">
      <c r="A1614" s="30"/>
      <c r="B1614" s="30" t="s">
        <v>55</v>
      </c>
      <c r="C1614" s="69" t="str">
        <f t="shared" si="105"/>
        <v>Closed</v>
      </c>
      <c r="D1614" s="27" t="s">
        <v>8995</v>
      </c>
      <c r="E1614" s="29" t="s">
        <v>8996</v>
      </c>
      <c r="F1614" s="30" t="s">
        <v>638</v>
      </c>
      <c r="G1614" s="89">
        <f>DATE(2013,7,24)</f>
        <v>41479</v>
      </c>
      <c r="H1614" s="90">
        <v>1.8618055555555557</v>
      </c>
      <c r="I1614" s="30" t="s">
        <v>73</v>
      </c>
      <c r="J1614" s="89" t="s">
        <v>8997</v>
      </c>
      <c r="K1614" s="30" t="s">
        <v>640</v>
      </c>
      <c r="L1614" s="30" t="s">
        <v>8998</v>
      </c>
      <c r="M1614" s="30" t="s">
        <v>63</v>
      </c>
      <c r="N1614" s="30" t="s">
        <v>142</v>
      </c>
      <c r="O1614" s="30" t="s">
        <v>64</v>
      </c>
      <c r="P1614" s="89" t="s">
        <v>65</v>
      </c>
      <c r="Q1614" s="89" t="s">
        <v>642</v>
      </c>
      <c r="R1614" s="89" t="s">
        <v>643</v>
      </c>
      <c r="S1614" s="30">
        <v>78</v>
      </c>
      <c r="T1614" s="233">
        <v>2</v>
      </c>
      <c r="U1614" s="30">
        <v>0</v>
      </c>
      <c r="V1614" s="233">
        <v>0</v>
      </c>
      <c r="W1614" s="30">
        <v>0</v>
      </c>
      <c r="X1614" s="30">
        <v>80</v>
      </c>
      <c r="Y1614" s="30">
        <v>73</v>
      </c>
      <c r="Z1614" s="233">
        <v>0</v>
      </c>
      <c r="AA1614" s="30">
        <v>0</v>
      </c>
      <c r="AB1614" s="30">
        <v>0</v>
      </c>
      <c r="AC1614" s="30">
        <v>0</v>
      </c>
      <c r="AD1614" s="30">
        <v>73</v>
      </c>
      <c r="AE1614" s="89" t="s">
        <v>394</v>
      </c>
      <c r="AF1614" s="89"/>
      <c r="AG1614" s="89" t="s">
        <v>82</v>
      </c>
      <c r="AH1614" s="72">
        <v>41480</v>
      </c>
      <c r="AI1614" s="30">
        <v>9</v>
      </c>
      <c r="AJ1614" s="89" t="s">
        <v>8999</v>
      </c>
      <c r="AK1614" s="89" t="s">
        <v>68</v>
      </c>
      <c r="AL1614" s="91">
        <v>41487</v>
      </c>
      <c r="AM1614" s="91"/>
      <c r="AN1614" s="91"/>
      <c r="AO1614" s="91"/>
      <c r="AP1614" s="73" t="e">
        <f>MID(VLOOKUP(K1614,#REF!,2,FALSE),1,2)</f>
        <v>#REF!</v>
      </c>
      <c r="AQ1614" s="89">
        <f>DATE(2013,7,24)</f>
        <v>41479</v>
      </c>
      <c r="AR1614" s="82">
        <f t="shared" si="106"/>
        <v>24</v>
      </c>
      <c r="AS1614" s="83">
        <f t="shared" si="107"/>
        <v>7</v>
      </c>
      <c r="AT1614" s="84">
        <f t="shared" si="108"/>
        <v>2013</v>
      </c>
      <c r="AU1614" s="86"/>
      <c r="AV1614" s="86"/>
      <c r="AW1614" s="87"/>
      <c r="AX1614" s="86"/>
      <c r="AY1614" s="83"/>
      <c r="AZ1614" s="84"/>
      <c r="BA1614" s="86"/>
      <c r="BB1614" s="86"/>
    </row>
    <row r="1615" spans="1:54" ht="36.75" customHeight="1">
      <c r="A1615" s="30"/>
      <c r="B1615" s="30" t="s">
        <v>55</v>
      </c>
      <c r="C1615" s="69" t="str">
        <f t="shared" si="105"/>
        <v>Closed</v>
      </c>
      <c r="D1615" s="27" t="s">
        <v>9000</v>
      </c>
      <c r="E1615" s="29" t="s">
        <v>9001</v>
      </c>
      <c r="F1615" s="30" t="s">
        <v>124</v>
      </c>
      <c r="G1615" s="89">
        <f>DATE(2013,7,24)</f>
        <v>41479</v>
      </c>
      <c r="H1615" s="90">
        <v>1.6423611111111112</v>
      </c>
      <c r="I1615" s="30" t="s">
        <v>73</v>
      </c>
      <c r="J1615" s="89" t="s">
        <v>9002</v>
      </c>
      <c r="K1615" s="30" t="s">
        <v>127</v>
      </c>
      <c r="L1615" s="30" t="s">
        <v>9003</v>
      </c>
      <c r="M1615" s="30" t="s">
        <v>63</v>
      </c>
      <c r="N1615" s="30" t="s">
        <v>99</v>
      </c>
      <c r="O1615" s="30" t="s">
        <v>64</v>
      </c>
      <c r="P1615" s="89" t="s">
        <v>78</v>
      </c>
      <c r="Q1615" s="89" t="s">
        <v>3793</v>
      </c>
      <c r="R1615" s="89" t="s">
        <v>167</v>
      </c>
      <c r="S1615" s="30">
        <v>0</v>
      </c>
      <c r="T1615" s="233">
        <v>0</v>
      </c>
      <c r="U1615" s="30">
        <v>0</v>
      </c>
      <c r="V1615" s="233">
        <v>0</v>
      </c>
      <c r="W1615" s="30">
        <v>0</v>
      </c>
      <c r="X1615" s="30">
        <v>0</v>
      </c>
      <c r="Y1615" s="30">
        <v>0</v>
      </c>
      <c r="Z1615" s="233">
        <v>0</v>
      </c>
      <c r="AA1615" s="30">
        <v>0</v>
      </c>
      <c r="AB1615" s="30">
        <v>0</v>
      </c>
      <c r="AC1615" s="30">
        <v>0</v>
      </c>
      <c r="AD1615" s="30">
        <v>0</v>
      </c>
      <c r="AE1615" s="89" t="s">
        <v>394</v>
      </c>
      <c r="AF1615" s="89"/>
      <c r="AG1615" s="89" t="s">
        <v>133</v>
      </c>
      <c r="AH1615" s="72">
        <v>41479</v>
      </c>
      <c r="AI1615" s="30">
        <v>2</v>
      </c>
      <c r="AJ1615" s="89" t="s">
        <v>9004</v>
      </c>
      <c r="AK1615" s="89" t="s">
        <v>68</v>
      </c>
      <c r="AL1615" s="91">
        <v>41479</v>
      </c>
      <c r="AM1615" s="91"/>
      <c r="AN1615" s="91"/>
      <c r="AO1615" s="91"/>
      <c r="AP1615" s="73" t="e">
        <f>MID(VLOOKUP(K1615,#REF!,2,FALSE),1,2)</f>
        <v>#REF!</v>
      </c>
      <c r="AQ1615" s="89">
        <f>DATE(2013,7,24)</f>
        <v>41479</v>
      </c>
      <c r="AR1615" s="82">
        <f t="shared" si="106"/>
        <v>24</v>
      </c>
      <c r="AS1615" s="83">
        <f t="shared" si="107"/>
        <v>7</v>
      </c>
      <c r="AT1615" s="84">
        <f t="shared" si="108"/>
        <v>2013</v>
      </c>
      <c r="AU1615" s="86"/>
      <c r="AV1615" s="86"/>
      <c r="AW1615" s="87"/>
      <c r="AX1615" s="86"/>
      <c r="AY1615" s="83"/>
      <c r="AZ1615" s="84"/>
      <c r="BA1615" s="86"/>
      <c r="BB1615" s="86"/>
    </row>
    <row r="1616" spans="1:54" ht="36.75" customHeight="1">
      <c r="A1616" s="30"/>
      <c r="B1616" s="30" t="s">
        <v>55</v>
      </c>
      <c r="C1616" s="69" t="str">
        <f t="shared" si="105"/>
        <v>Closed</v>
      </c>
      <c r="D1616" s="27" t="s">
        <v>9005</v>
      </c>
      <c r="E1616" s="29" t="s">
        <v>9006</v>
      </c>
      <c r="F1616" s="30" t="s">
        <v>197</v>
      </c>
      <c r="G1616" s="89">
        <f>DATE(2013,7,29)</f>
        <v>41484</v>
      </c>
      <c r="H1616" s="90">
        <v>0</v>
      </c>
      <c r="I1616" s="30" t="s">
        <v>116</v>
      </c>
      <c r="J1616" s="89" t="s">
        <v>9007</v>
      </c>
      <c r="K1616" s="30" t="s">
        <v>200</v>
      </c>
      <c r="L1616" s="30" t="s">
        <v>9008</v>
      </c>
      <c r="M1616" s="30" t="s">
        <v>63</v>
      </c>
      <c r="N1616" s="30" t="s">
        <v>99</v>
      </c>
      <c r="O1616" s="30" t="s">
        <v>64</v>
      </c>
      <c r="P1616" s="89" t="s">
        <v>301</v>
      </c>
      <c r="Q1616" s="89">
        <v>0</v>
      </c>
      <c r="R1616" s="89">
        <v>0</v>
      </c>
      <c r="S1616" s="30">
        <v>0</v>
      </c>
      <c r="T1616" s="233">
        <v>0</v>
      </c>
      <c r="U1616" s="30">
        <v>1</v>
      </c>
      <c r="V1616" s="233">
        <v>0</v>
      </c>
      <c r="W1616" s="30">
        <v>0</v>
      </c>
      <c r="X1616" s="30">
        <v>1</v>
      </c>
      <c r="Y1616" s="30">
        <v>0</v>
      </c>
      <c r="Z1616" s="233">
        <v>0</v>
      </c>
      <c r="AA1616" s="30">
        <v>0</v>
      </c>
      <c r="AB1616" s="30">
        <v>0</v>
      </c>
      <c r="AC1616" s="30">
        <v>0</v>
      </c>
      <c r="AD1616" s="30">
        <v>0</v>
      </c>
      <c r="AE1616" s="89" t="s">
        <v>92</v>
      </c>
      <c r="AF1616" s="89"/>
      <c r="AG1616" s="89" t="s">
        <v>82</v>
      </c>
      <c r="AH1616" s="72">
        <v>41484</v>
      </c>
      <c r="AI1616" s="30">
        <v>12</v>
      </c>
      <c r="AJ1616" s="89" t="s">
        <v>9009</v>
      </c>
      <c r="AK1616" s="89" t="s">
        <v>1233</v>
      </c>
      <c r="AL1616" s="91">
        <v>41687</v>
      </c>
      <c r="AM1616" s="91"/>
      <c r="AN1616" s="91"/>
      <c r="AO1616" s="91"/>
      <c r="AP1616" s="73" t="e">
        <f>MID(VLOOKUP(K1616,#REF!,2,FALSE),1,2)</f>
        <v>#REF!</v>
      </c>
      <c r="AQ1616" s="89">
        <f>DATE(2013,7,29)</f>
        <v>41484</v>
      </c>
      <c r="AR1616" s="82">
        <f t="shared" si="106"/>
        <v>29</v>
      </c>
      <c r="AS1616" s="83">
        <f t="shared" si="107"/>
        <v>7</v>
      </c>
      <c r="AT1616" s="84">
        <f t="shared" si="108"/>
        <v>2013</v>
      </c>
      <c r="AU1616" s="86"/>
      <c r="AV1616" s="86"/>
      <c r="AW1616" s="87"/>
      <c r="AX1616" s="86"/>
      <c r="AY1616" s="83"/>
      <c r="AZ1616" s="84"/>
      <c r="BA1616" s="86"/>
      <c r="BB1616" s="86"/>
    </row>
    <row r="1617" spans="1:54" ht="36.75" customHeight="1">
      <c r="A1617" s="30"/>
      <c r="B1617" s="30" t="s">
        <v>55</v>
      </c>
      <c r="C1617" s="69" t="str">
        <f t="shared" si="105"/>
        <v>Closed</v>
      </c>
      <c r="D1617" s="27" t="s">
        <v>9010</v>
      </c>
      <c r="E1617" s="29" t="s">
        <v>9011</v>
      </c>
      <c r="F1617" s="30" t="s">
        <v>1572</v>
      </c>
      <c r="G1617" s="89">
        <f>DATE(2013,7,29)</f>
        <v>41484</v>
      </c>
      <c r="H1617" s="90">
        <v>1.6597222222222223</v>
      </c>
      <c r="I1617" s="30" t="s">
        <v>73</v>
      </c>
      <c r="J1617" s="89" t="s">
        <v>9012</v>
      </c>
      <c r="K1617" s="30" t="s">
        <v>1574</v>
      </c>
      <c r="L1617" s="30" t="s">
        <v>9013</v>
      </c>
      <c r="M1617" s="30" t="s">
        <v>63</v>
      </c>
      <c r="N1617" s="30" t="s">
        <v>142</v>
      </c>
      <c r="O1617" s="30" t="s">
        <v>64</v>
      </c>
      <c r="P1617" s="89" t="s">
        <v>78</v>
      </c>
      <c r="Q1617" s="89" t="s">
        <v>6024</v>
      </c>
      <c r="R1617" s="89" t="s">
        <v>6434</v>
      </c>
      <c r="S1617" s="30">
        <v>0</v>
      </c>
      <c r="T1617" s="233">
        <v>0</v>
      </c>
      <c r="U1617" s="30">
        <v>0</v>
      </c>
      <c r="V1617" s="233">
        <v>0</v>
      </c>
      <c r="W1617" s="30">
        <v>0</v>
      </c>
      <c r="X1617" s="30">
        <v>0</v>
      </c>
      <c r="Y1617" s="30">
        <v>0</v>
      </c>
      <c r="Z1617" s="233">
        <v>0</v>
      </c>
      <c r="AA1617" s="30">
        <v>0</v>
      </c>
      <c r="AB1617" s="30">
        <v>0</v>
      </c>
      <c r="AC1617" s="30">
        <v>0</v>
      </c>
      <c r="AD1617" s="30">
        <v>0</v>
      </c>
      <c r="AE1617" s="89" t="s">
        <v>92</v>
      </c>
      <c r="AF1617" s="89"/>
      <c r="AG1617" s="89" t="s">
        <v>133</v>
      </c>
      <c r="AH1617" s="72">
        <v>41485</v>
      </c>
      <c r="AI1617" s="30">
        <v>0</v>
      </c>
      <c r="AJ1617" s="89" t="s">
        <v>9014</v>
      </c>
      <c r="AK1617" s="89" t="s">
        <v>9015</v>
      </c>
      <c r="AL1617" s="91">
        <v>41486</v>
      </c>
      <c r="AM1617" s="91"/>
      <c r="AN1617" s="91"/>
      <c r="AO1617" s="91"/>
      <c r="AP1617" s="73" t="e">
        <f>MID(VLOOKUP(K1617,#REF!,2,FALSE),1,2)</f>
        <v>#REF!</v>
      </c>
      <c r="AQ1617" s="89">
        <f>DATE(2013,7,29)</f>
        <v>41484</v>
      </c>
      <c r="AR1617" s="82">
        <f t="shared" si="106"/>
        <v>29</v>
      </c>
      <c r="AS1617" s="83">
        <f t="shared" si="107"/>
        <v>7</v>
      </c>
      <c r="AT1617" s="84">
        <f t="shared" si="108"/>
        <v>2013</v>
      </c>
      <c r="AU1617" s="86"/>
      <c r="AV1617" s="86"/>
      <c r="AW1617" s="87"/>
      <c r="AX1617" s="86"/>
      <c r="AY1617" s="83"/>
      <c r="AZ1617" s="84"/>
      <c r="BA1617" s="86"/>
      <c r="BB1617" s="86"/>
    </row>
    <row r="1618" spans="1:54" ht="36.75" customHeight="1">
      <c r="A1618" s="30"/>
      <c r="B1618" s="30" t="s">
        <v>55</v>
      </c>
      <c r="C1618" s="69" t="str">
        <f t="shared" si="105"/>
        <v>Closed</v>
      </c>
      <c r="D1618" s="27" t="s">
        <v>9016</v>
      </c>
      <c r="E1618" s="29" t="s">
        <v>9017</v>
      </c>
      <c r="F1618" s="30" t="s">
        <v>423</v>
      </c>
      <c r="G1618" s="89">
        <f>DATE(2013,7,30)</f>
        <v>41485</v>
      </c>
      <c r="H1618" s="90">
        <v>1.6368055555555556</v>
      </c>
      <c r="I1618" s="30" t="s">
        <v>156</v>
      </c>
      <c r="J1618" s="89" t="s">
        <v>9018</v>
      </c>
      <c r="K1618" s="30" t="s">
        <v>425</v>
      </c>
      <c r="L1618" s="30" t="s">
        <v>9019</v>
      </c>
      <c r="M1618" s="30" t="s">
        <v>63</v>
      </c>
      <c r="N1618" s="30" t="s">
        <v>89</v>
      </c>
      <c r="O1618" s="30" t="s">
        <v>77</v>
      </c>
      <c r="P1618" s="89" t="s">
        <v>9020</v>
      </c>
      <c r="Q1618" s="89" t="s">
        <v>9021</v>
      </c>
      <c r="R1618" s="89" t="s">
        <v>3103</v>
      </c>
      <c r="S1618" s="30">
        <v>0</v>
      </c>
      <c r="T1618" s="233">
        <v>0</v>
      </c>
      <c r="U1618" s="30">
        <v>0</v>
      </c>
      <c r="V1618" s="233">
        <v>0</v>
      </c>
      <c r="W1618" s="30">
        <v>0</v>
      </c>
      <c r="X1618" s="30">
        <v>0</v>
      </c>
      <c r="Y1618" s="30">
        <v>0</v>
      </c>
      <c r="Z1618" s="233">
        <v>0</v>
      </c>
      <c r="AA1618" s="30">
        <v>0</v>
      </c>
      <c r="AB1618" s="30">
        <v>0</v>
      </c>
      <c r="AC1618" s="30">
        <v>0</v>
      </c>
      <c r="AD1618" s="30">
        <v>0</v>
      </c>
      <c r="AE1618" s="89" t="s">
        <v>92</v>
      </c>
      <c r="AF1618" s="89"/>
      <c r="AG1618" s="89" t="s">
        <v>133</v>
      </c>
      <c r="AH1618" s="72">
        <v>41486</v>
      </c>
      <c r="AI1618" s="30">
        <v>0</v>
      </c>
      <c r="AJ1618" s="89" t="s">
        <v>9022</v>
      </c>
      <c r="AK1618" s="89" t="s">
        <v>9023</v>
      </c>
      <c r="AL1618" s="91">
        <v>41485</v>
      </c>
      <c r="AM1618" s="91"/>
      <c r="AN1618" s="91"/>
      <c r="AO1618" s="91"/>
      <c r="AP1618" s="73" t="e">
        <f>MID(VLOOKUP(K1618,#REF!,2,FALSE),1,2)</f>
        <v>#REF!</v>
      </c>
      <c r="AQ1618" s="89">
        <f>DATE(2013,7,30)</f>
        <v>41485</v>
      </c>
      <c r="AR1618" s="82">
        <f t="shared" si="106"/>
        <v>30</v>
      </c>
      <c r="AS1618" s="83">
        <f t="shared" si="107"/>
        <v>7</v>
      </c>
      <c r="AT1618" s="84">
        <f t="shared" si="108"/>
        <v>2013</v>
      </c>
      <c r="AU1618" s="86"/>
      <c r="AV1618" s="86"/>
      <c r="AW1618" s="87"/>
      <c r="AX1618" s="86"/>
      <c r="AY1618" s="83"/>
      <c r="AZ1618" s="84"/>
      <c r="BA1618" s="86"/>
      <c r="BB1618" s="86"/>
    </row>
    <row r="1619" spans="1:54" ht="36.75" customHeight="1">
      <c r="A1619" s="30"/>
      <c r="B1619" s="30" t="s">
        <v>55</v>
      </c>
      <c r="C1619" s="69" t="str">
        <f t="shared" si="105"/>
        <v>Closed</v>
      </c>
      <c r="D1619" s="27" t="s">
        <v>9024</v>
      </c>
      <c r="E1619" s="29" t="s">
        <v>9025</v>
      </c>
      <c r="F1619" s="30" t="s">
        <v>124</v>
      </c>
      <c r="G1619" s="89">
        <f>DATE(2013,8,1)</f>
        <v>41487</v>
      </c>
      <c r="H1619" s="90">
        <v>1.6388888888888888</v>
      </c>
      <c r="I1619" s="30" t="s">
        <v>9026</v>
      </c>
      <c r="J1619" s="89" t="s">
        <v>9027</v>
      </c>
      <c r="K1619" s="30" t="s">
        <v>127</v>
      </c>
      <c r="L1619" s="30" t="s">
        <v>9028</v>
      </c>
      <c r="M1619" s="30" t="s">
        <v>63</v>
      </c>
      <c r="N1619" s="30" t="s">
        <v>99</v>
      </c>
      <c r="O1619" s="30" t="s">
        <v>64</v>
      </c>
      <c r="P1619" s="89" t="s">
        <v>165</v>
      </c>
      <c r="Q1619" s="89" t="s">
        <v>229</v>
      </c>
      <c r="R1619" s="89" t="s">
        <v>167</v>
      </c>
      <c r="S1619" s="30">
        <v>0</v>
      </c>
      <c r="T1619" s="233">
        <v>0</v>
      </c>
      <c r="U1619" s="30">
        <v>0</v>
      </c>
      <c r="V1619" s="233">
        <v>0</v>
      </c>
      <c r="W1619" s="30">
        <v>0</v>
      </c>
      <c r="X1619" s="30">
        <v>0</v>
      </c>
      <c r="Y1619" s="30">
        <v>0</v>
      </c>
      <c r="Z1619" s="233">
        <v>0</v>
      </c>
      <c r="AA1619" s="30">
        <v>0</v>
      </c>
      <c r="AB1619" s="30">
        <v>0</v>
      </c>
      <c r="AC1619" s="30">
        <v>0</v>
      </c>
      <c r="AD1619" s="30">
        <v>0</v>
      </c>
      <c r="AE1619" s="89" t="s">
        <v>92</v>
      </c>
      <c r="AF1619" s="89"/>
      <c r="AG1619" s="89" t="s">
        <v>352</v>
      </c>
      <c r="AH1619" s="72">
        <v>41491</v>
      </c>
      <c r="AI1619" s="30">
        <v>1</v>
      </c>
      <c r="AJ1619" s="89" t="s">
        <v>9029</v>
      </c>
      <c r="AK1619" s="89" t="s">
        <v>68</v>
      </c>
      <c r="AL1619" s="91">
        <v>41508</v>
      </c>
      <c r="AM1619" s="91"/>
      <c r="AN1619" s="91"/>
      <c r="AO1619" s="91"/>
      <c r="AP1619" s="73" t="e">
        <f>MID(VLOOKUP(K1619,#REF!,2,FALSE),1,2)</f>
        <v>#REF!</v>
      </c>
      <c r="AQ1619" s="89">
        <f>DATE(2013,8,1)</f>
        <v>41487</v>
      </c>
      <c r="AR1619" s="82">
        <f t="shared" si="106"/>
        <v>1</v>
      </c>
      <c r="AS1619" s="83">
        <f t="shared" si="107"/>
        <v>8</v>
      </c>
      <c r="AT1619" s="84">
        <f t="shared" si="108"/>
        <v>2013</v>
      </c>
      <c r="AU1619" s="86"/>
      <c r="AV1619" s="86"/>
      <c r="AW1619" s="87"/>
      <c r="AX1619" s="86"/>
      <c r="AY1619" s="83"/>
      <c r="AZ1619" s="84"/>
      <c r="BA1619" s="86"/>
      <c r="BB1619" s="86"/>
    </row>
    <row r="1620" spans="1:54" ht="36.75" customHeight="1">
      <c r="A1620" s="30"/>
      <c r="B1620" s="30" t="s">
        <v>55</v>
      </c>
      <c r="C1620" s="69" t="str">
        <f t="shared" si="105"/>
        <v>Closed</v>
      </c>
      <c r="D1620" s="27" t="s">
        <v>9030</v>
      </c>
      <c r="E1620" s="29" t="s">
        <v>9031</v>
      </c>
      <c r="F1620" s="30" t="s">
        <v>2336</v>
      </c>
      <c r="G1620" s="89">
        <f>DATE(2013,8,1)</f>
        <v>41487</v>
      </c>
      <c r="H1620" s="90">
        <v>1.8208333333333333</v>
      </c>
      <c r="I1620" s="30" t="s">
        <v>198</v>
      </c>
      <c r="J1620" s="89" t="s">
        <v>9032</v>
      </c>
      <c r="K1620" s="30" t="s">
        <v>2338</v>
      </c>
      <c r="L1620" s="30" t="s">
        <v>9033</v>
      </c>
      <c r="M1620" s="30" t="s">
        <v>63</v>
      </c>
      <c r="N1620" s="30" t="s">
        <v>142</v>
      </c>
      <c r="O1620" s="30" t="s">
        <v>64</v>
      </c>
      <c r="P1620" s="89" t="s">
        <v>78</v>
      </c>
      <c r="Q1620" s="89" t="s">
        <v>9034</v>
      </c>
      <c r="R1620" s="89" t="s">
        <v>2341</v>
      </c>
      <c r="S1620" s="30">
        <v>0</v>
      </c>
      <c r="T1620" s="233">
        <v>0</v>
      </c>
      <c r="U1620" s="30">
        <v>0</v>
      </c>
      <c r="V1620" s="233">
        <v>0</v>
      </c>
      <c r="W1620" s="30">
        <v>0</v>
      </c>
      <c r="X1620" s="30">
        <v>0</v>
      </c>
      <c r="Y1620" s="30">
        <v>0</v>
      </c>
      <c r="Z1620" s="233">
        <v>0</v>
      </c>
      <c r="AA1620" s="30">
        <v>0</v>
      </c>
      <c r="AB1620" s="30">
        <v>0</v>
      </c>
      <c r="AC1620" s="30">
        <v>0</v>
      </c>
      <c r="AD1620" s="30">
        <v>0</v>
      </c>
      <c r="AE1620" s="89" t="s">
        <v>394</v>
      </c>
      <c r="AF1620" s="89"/>
      <c r="AG1620" s="89" t="s">
        <v>133</v>
      </c>
      <c r="AH1620" s="72">
        <v>41493</v>
      </c>
      <c r="AI1620" s="30">
        <v>6</v>
      </c>
      <c r="AJ1620" s="89" t="s">
        <v>9035</v>
      </c>
      <c r="AK1620" s="89" t="s">
        <v>9036</v>
      </c>
      <c r="AL1620" s="91">
        <v>41500</v>
      </c>
      <c r="AM1620" s="91"/>
      <c r="AN1620" s="91"/>
      <c r="AO1620" s="91"/>
      <c r="AP1620" s="73" t="e">
        <f>MID(VLOOKUP(K1620,#REF!,2,FALSE),1,2)</f>
        <v>#REF!</v>
      </c>
      <c r="AQ1620" s="89">
        <f>DATE(2013,8,1)</f>
        <v>41487</v>
      </c>
      <c r="AR1620" s="82">
        <f t="shared" si="106"/>
        <v>1</v>
      </c>
      <c r="AS1620" s="83">
        <f t="shared" si="107"/>
        <v>8</v>
      </c>
      <c r="AT1620" s="84">
        <f t="shared" si="108"/>
        <v>2013</v>
      </c>
      <c r="AU1620" s="86"/>
      <c r="AV1620" s="86"/>
      <c r="AW1620" s="87"/>
      <c r="AX1620" s="86"/>
      <c r="AY1620" s="83"/>
      <c r="AZ1620" s="84"/>
      <c r="BA1620" s="86"/>
      <c r="BB1620" s="86"/>
    </row>
    <row r="1621" spans="1:54" ht="36.75" customHeight="1">
      <c r="A1621" s="30"/>
      <c r="B1621" s="30" t="s">
        <v>55</v>
      </c>
      <c r="C1621" s="69" t="str">
        <f t="shared" si="105"/>
        <v>Closed</v>
      </c>
      <c r="D1621" s="27" t="s">
        <v>9037</v>
      </c>
      <c r="E1621" s="29" t="s">
        <v>9038</v>
      </c>
      <c r="F1621" s="30" t="s">
        <v>233</v>
      </c>
      <c r="G1621" s="89">
        <f>DATE(2013,8,1)</f>
        <v>41487</v>
      </c>
      <c r="H1621" s="90">
        <v>1.6798611111111112</v>
      </c>
      <c r="I1621" s="30" t="s">
        <v>86</v>
      </c>
      <c r="J1621" s="89" t="s">
        <v>9039</v>
      </c>
      <c r="K1621" s="30" t="s">
        <v>235</v>
      </c>
      <c r="L1621" s="30" t="s">
        <v>9040</v>
      </c>
      <c r="M1621" s="30" t="s">
        <v>63</v>
      </c>
      <c r="N1621" s="30" t="s">
        <v>89</v>
      </c>
      <c r="O1621" s="30" t="s">
        <v>77</v>
      </c>
      <c r="P1621" s="89" t="s">
        <v>6941</v>
      </c>
      <c r="Q1621" s="89">
        <v>0</v>
      </c>
      <c r="R1621" s="89" t="s">
        <v>238</v>
      </c>
      <c r="S1621" s="30">
        <v>0</v>
      </c>
      <c r="T1621" s="233">
        <v>0</v>
      </c>
      <c r="U1621" s="30">
        <v>0</v>
      </c>
      <c r="V1621" s="233">
        <v>0</v>
      </c>
      <c r="W1621" s="30">
        <v>0</v>
      </c>
      <c r="X1621" s="30">
        <v>0</v>
      </c>
      <c r="Y1621" s="30">
        <v>0</v>
      </c>
      <c r="Z1621" s="233">
        <v>0</v>
      </c>
      <c r="AA1621" s="30">
        <v>0</v>
      </c>
      <c r="AB1621" s="30">
        <v>0</v>
      </c>
      <c r="AC1621" s="30">
        <v>0</v>
      </c>
      <c r="AD1621" s="30">
        <v>0</v>
      </c>
      <c r="AE1621" s="89" t="s">
        <v>92</v>
      </c>
      <c r="AF1621" s="89"/>
      <c r="AG1621" s="89" t="s">
        <v>352</v>
      </c>
      <c r="AH1621" s="72">
        <v>41562</v>
      </c>
      <c r="AI1621" s="30">
        <v>1</v>
      </c>
      <c r="AJ1621" s="89" t="s">
        <v>9041</v>
      </c>
      <c r="AK1621" s="89" t="s">
        <v>9042</v>
      </c>
      <c r="AL1621" s="91">
        <v>41670</v>
      </c>
      <c r="AM1621" s="91"/>
      <c r="AN1621" s="91"/>
      <c r="AO1621" s="91"/>
      <c r="AP1621" s="73" t="e">
        <f>MID(VLOOKUP(K1621,#REF!,2,FALSE),1,2)</f>
        <v>#REF!</v>
      </c>
      <c r="AQ1621" s="89">
        <f>DATE(2013,8,1)</f>
        <v>41487</v>
      </c>
      <c r="AR1621" s="82">
        <f t="shared" si="106"/>
        <v>1</v>
      </c>
      <c r="AS1621" s="83">
        <f t="shared" si="107"/>
        <v>8</v>
      </c>
      <c r="AT1621" s="84">
        <f t="shared" si="108"/>
        <v>2013</v>
      </c>
      <c r="AU1621" s="86"/>
      <c r="AV1621" s="86"/>
      <c r="AW1621" s="87"/>
      <c r="AX1621" s="86"/>
      <c r="AY1621" s="83"/>
      <c r="AZ1621" s="84"/>
      <c r="BA1621" s="86"/>
      <c r="BB1621" s="86"/>
    </row>
    <row r="1622" spans="1:54" ht="36.75" customHeight="1">
      <c r="A1622" s="30"/>
      <c r="B1622" s="30" t="s">
        <v>55</v>
      </c>
      <c r="C1622" s="69" t="str">
        <f t="shared" si="105"/>
        <v>Closed</v>
      </c>
      <c r="D1622" s="27" t="s">
        <v>9043</v>
      </c>
      <c r="E1622" s="29" t="s">
        <v>9044</v>
      </c>
      <c r="F1622" s="30" t="s">
        <v>423</v>
      </c>
      <c r="G1622" s="89">
        <f>DATE(2013,8,2)</f>
        <v>41488</v>
      </c>
      <c r="H1622" s="90">
        <v>1.5805555555555557</v>
      </c>
      <c r="I1622" s="30" t="s">
        <v>73</v>
      </c>
      <c r="J1622" s="89" t="s">
        <v>9045</v>
      </c>
      <c r="K1622" s="30" t="s">
        <v>425</v>
      </c>
      <c r="L1622" s="30" t="s">
        <v>9046</v>
      </c>
      <c r="M1622" s="30" t="s">
        <v>63</v>
      </c>
      <c r="N1622" s="30" t="s">
        <v>89</v>
      </c>
      <c r="O1622" s="30" t="s">
        <v>77</v>
      </c>
      <c r="P1622" s="89" t="s">
        <v>165</v>
      </c>
      <c r="Q1622" s="89" t="s">
        <v>427</v>
      </c>
      <c r="R1622" s="89" t="s">
        <v>3103</v>
      </c>
      <c r="S1622" s="30">
        <v>0</v>
      </c>
      <c r="T1622" s="233">
        <v>0</v>
      </c>
      <c r="U1622" s="30">
        <v>0</v>
      </c>
      <c r="V1622" s="233">
        <v>0</v>
      </c>
      <c r="W1622" s="30">
        <v>0</v>
      </c>
      <c r="X1622" s="30">
        <v>0</v>
      </c>
      <c r="Y1622" s="30">
        <v>0</v>
      </c>
      <c r="Z1622" s="233">
        <v>0</v>
      </c>
      <c r="AA1622" s="30">
        <v>0</v>
      </c>
      <c r="AB1622" s="30">
        <v>0</v>
      </c>
      <c r="AC1622" s="30">
        <v>0</v>
      </c>
      <c r="AD1622" s="30">
        <v>0</v>
      </c>
      <c r="AE1622" s="89" t="s">
        <v>92</v>
      </c>
      <c r="AF1622" s="89"/>
      <c r="AG1622" s="89" t="s">
        <v>133</v>
      </c>
      <c r="AH1622" s="72">
        <v>41402</v>
      </c>
      <c r="AI1622" s="30">
        <v>0</v>
      </c>
      <c r="AJ1622" s="89" t="s">
        <v>9047</v>
      </c>
      <c r="AK1622" s="89" t="s">
        <v>9048</v>
      </c>
      <c r="AL1622" s="91">
        <v>41492</v>
      </c>
      <c r="AM1622" s="91"/>
      <c r="AN1622" s="91"/>
      <c r="AO1622" s="91"/>
      <c r="AP1622" s="73" t="e">
        <f>MID(VLOOKUP(K1622,#REF!,2,FALSE),1,2)</f>
        <v>#REF!</v>
      </c>
      <c r="AQ1622" s="89">
        <f>DATE(2013,8,2)</f>
        <v>41488</v>
      </c>
      <c r="AR1622" s="82">
        <f t="shared" si="106"/>
        <v>2</v>
      </c>
      <c r="AS1622" s="83">
        <f t="shared" si="107"/>
        <v>8</v>
      </c>
      <c r="AT1622" s="84">
        <f t="shared" si="108"/>
        <v>2013</v>
      </c>
      <c r="AU1622" s="86"/>
      <c r="AV1622" s="86"/>
      <c r="AW1622" s="87"/>
      <c r="AX1622" s="86"/>
      <c r="AY1622" s="83"/>
      <c r="AZ1622" s="84"/>
      <c r="BA1622" s="86"/>
      <c r="BB1622" s="86"/>
    </row>
    <row r="1623" spans="1:54" ht="36.75" customHeight="1">
      <c r="A1623" s="30"/>
      <c r="B1623" s="30" t="s">
        <v>55</v>
      </c>
      <c r="C1623" s="69" t="str">
        <f t="shared" si="105"/>
        <v>Closed</v>
      </c>
      <c r="D1623" s="27" t="s">
        <v>9049</v>
      </c>
      <c r="E1623" s="29" t="s">
        <v>9050</v>
      </c>
      <c r="F1623" s="30" t="s">
        <v>423</v>
      </c>
      <c r="G1623" s="89">
        <f>DATE(2013,8,3)</f>
        <v>41489</v>
      </c>
      <c r="H1623" s="90">
        <v>1.78125</v>
      </c>
      <c r="I1623" s="30" t="s">
        <v>73</v>
      </c>
      <c r="J1623" s="89" t="s">
        <v>9051</v>
      </c>
      <c r="K1623" s="30" t="s">
        <v>425</v>
      </c>
      <c r="L1623" s="30" t="s">
        <v>9052</v>
      </c>
      <c r="M1623" s="30" t="s">
        <v>63</v>
      </c>
      <c r="N1623" s="30" t="s">
        <v>89</v>
      </c>
      <c r="O1623" s="30" t="s">
        <v>77</v>
      </c>
      <c r="P1623" s="89" t="s">
        <v>78</v>
      </c>
      <c r="Q1623" s="89" t="s">
        <v>2582</v>
      </c>
      <c r="R1623" s="89" t="s">
        <v>3103</v>
      </c>
      <c r="S1623" s="30">
        <v>0</v>
      </c>
      <c r="T1623" s="233">
        <v>0</v>
      </c>
      <c r="U1623" s="30">
        <v>0</v>
      </c>
      <c r="V1623" s="233">
        <v>0</v>
      </c>
      <c r="W1623" s="30">
        <v>0</v>
      </c>
      <c r="X1623" s="30">
        <v>0</v>
      </c>
      <c r="Y1623" s="30">
        <v>0</v>
      </c>
      <c r="Z1623" s="233">
        <v>0</v>
      </c>
      <c r="AA1623" s="30">
        <v>0</v>
      </c>
      <c r="AB1623" s="30">
        <v>0</v>
      </c>
      <c r="AC1623" s="30">
        <v>0</v>
      </c>
      <c r="AD1623" s="30">
        <v>0</v>
      </c>
      <c r="AE1623" s="89" t="s">
        <v>92</v>
      </c>
      <c r="AF1623" s="89"/>
      <c r="AG1623" s="89" t="s">
        <v>133</v>
      </c>
      <c r="AH1623" s="72">
        <v>41433</v>
      </c>
      <c r="AI1623" s="30">
        <v>0</v>
      </c>
      <c r="AJ1623" s="89" t="s">
        <v>9053</v>
      </c>
      <c r="AK1623" s="89" t="s">
        <v>9054</v>
      </c>
      <c r="AL1623" s="91">
        <v>41495</v>
      </c>
      <c r="AM1623" s="91"/>
      <c r="AN1623" s="91"/>
      <c r="AO1623" s="91"/>
      <c r="AP1623" s="73" t="e">
        <f>MID(VLOOKUP(K1623,#REF!,2,FALSE),1,2)</f>
        <v>#REF!</v>
      </c>
      <c r="AQ1623" s="89">
        <f>DATE(2013,8,3)</f>
        <v>41489</v>
      </c>
      <c r="AR1623" s="82">
        <f t="shared" si="106"/>
        <v>3</v>
      </c>
      <c r="AS1623" s="83">
        <f t="shared" si="107"/>
        <v>8</v>
      </c>
      <c r="AT1623" s="84">
        <f t="shared" si="108"/>
        <v>2013</v>
      </c>
      <c r="AU1623" s="86"/>
      <c r="AV1623" s="86"/>
      <c r="AW1623" s="87"/>
      <c r="AX1623" s="86"/>
      <c r="AY1623" s="83"/>
      <c r="AZ1623" s="84"/>
      <c r="BA1623" s="86"/>
      <c r="BB1623" s="86"/>
    </row>
    <row r="1624" spans="1:54" ht="36.75" customHeight="1">
      <c r="A1624" s="30"/>
      <c r="B1624" s="30" t="s">
        <v>55</v>
      </c>
      <c r="C1624" s="69" t="str">
        <f t="shared" si="105"/>
        <v>Closed</v>
      </c>
      <c r="D1624" s="27" t="s">
        <v>9055</v>
      </c>
      <c r="E1624" s="29" t="s">
        <v>9056</v>
      </c>
      <c r="F1624" s="30" t="s">
        <v>835</v>
      </c>
      <c r="G1624" s="89">
        <f>DATE(2013,8,4)</f>
        <v>41490</v>
      </c>
      <c r="H1624" s="90">
        <v>0</v>
      </c>
      <c r="I1624" s="30" t="s">
        <v>73</v>
      </c>
      <c r="J1624" s="89" t="s">
        <v>9057</v>
      </c>
      <c r="K1624" s="30" t="s">
        <v>837</v>
      </c>
      <c r="L1624" s="30" t="s">
        <v>9058</v>
      </c>
      <c r="M1624" s="30" t="s">
        <v>63</v>
      </c>
      <c r="N1624" s="30" t="s">
        <v>142</v>
      </c>
      <c r="O1624" s="30" t="s">
        <v>64</v>
      </c>
      <c r="P1624" s="89" t="s">
        <v>6902</v>
      </c>
      <c r="Q1624" s="89" t="s">
        <v>4210</v>
      </c>
      <c r="R1624" s="89" t="s">
        <v>4210</v>
      </c>
      <c r="S1624" s="30">
        <v>0</v>
      </c>
      <c r="T1624" s="233">
        <v>0</v>
      </c>
      <c r="U1624" s="30">
        <v>0</v>
      </c>
      <c r="V1624" s="233">
        <v>0</v>
      </c>
      <c r="W1624" s="30">
        <v>0</v>
      </c>
      <c r="X1624" s="30">
        <v>0</v>
      </c>
      <c r="Y1624" s="30">
        <v>0</v>
      </c>
      <c r="Z1624" s="233">
        <v>0</v>
      </c>
      <c r="AA1624" s="30">
        <v>0</v>
      </c>
      <c r="AB1624" s="30">
        <v>0</v>
      </c>
      <c r="AC1624" s="30">
        <v>0</v>
      </c>
      <c r="AD1624" s="30">
        <v>0</v>
      </c>
      <c r="AE1624" s="89" t="s">
        <v>92</v>
      </c>
      <c r="AF1624" s="89"/>
      <c r="AG1624" s="89" t="s">
        <v>352</v>
      </c>
      <c r="AH1624" s="72">
        <v>41491</v>
      </c>
      <c r="AI1624" s="30">
        <v>0</v>
      </c>
      <c r="AJ1624" s="89" t="s">
        <v>9059</v>
      </c>
      <c r="AK1624" s="89" t="s">
        <v>68</v>
      </c>
      <c r="AL1624" s="91">
        <v>41491</v>
      </c>
      <c r="AM1624" s="91"/>
      <c r="AN1624" s="91"/>
      <c r="AO1624" s="91"/>
      <c r="AP1624" s="73" t="e">
        <f>MID(VLOOKUP(K1624,#REF!,2,FALSE),1,2)</f>
        <v>#REF!</v>
      </c>
      <c r="AQ1624" s="89">
        <f>DATE(2013,8,4)</f>
        <v>41490</v>
      </c>
      <c r="AR1624" s="82">
        <f t="shared" si="106"/>
        <v>4</v>
      </c>
      <c r="AS1624" s="83">
        <f t="shared" si="107"/>
        <v>8</v>
      </c>
      <c r="AT1624" s="84">
        <f t="shared" si="108"/>
        <v>2013</v>
      </c>
      <c r="AU1624" s="86"/>
      <c r="AV1624" s="86"/>
      <c r="AW1624" s="87"/>
      <c r="AX1624" s="86"/>
      <c r="AY1624" s="83"/>
      <c r="AZ1624" s="84"/>
      <c r="BA1624" s="86"/>
      <c r="BB1624" s="86"/>
    </row>
    <row r="1625" spans="1:54" ht="36.75" customHeight="1">
      <c r="A1625" s="30"/>
      <c r="B1625" s="30" t="s">
        <v>55</v>
      </c>
      <c r="C1625" s="69" t="str">
        <f t="shared" si="105"/>
        <v>Closed</v>
      </c>
      <c r="D1625" s="27" t="s">
        <v>9060</v>
      </c>
      <c r="E1625" s="29" t="s">
        <v>9061</v>
      </c>
      <c r="F1625" s="30" t="s">
        <v>423</v>
      </c>
      <c r="G1625" s="89">
        <f>DATE(2013,8,7)</f>
        <v>41493</v>
      </c>
      <c r="H1625" s="90">
        <v>1.5097222222222222</v>
      </c>
      <c r="I1625" s="30" t="s">
        <v>116</v>
      </c>
      <c r="J1625" s="89" t="s">
        <v>9062</v>
      </c>
      <c r="K1625" s="30" t="s">
        <v>425</v>
      </c>
      <c r="L1625" s="30" t="s">
        <v>9063</v>
      </c>
      <c r="M1625" s="30" t="s">
        <v>63</v>
      </c>
      <c r="N1625" s="30" t="s">
        <v>99</v>
      </c>
      <c r="O1625" s="30" t="s">
        <v>64</v>
      </c>
      <c r="P1625" s="89" t="s">
        <v>165</v>
      </c>
      <c r="Q1625" s="89" t="s">
        <v>718</v>
      </c>
      <c r="R1625" s="89" t="s">
        <v>3103</v>
      </c>
      <c r="S1625" s="30">
        <v>0</v>
      </c>
      <c r="T1625" s="233">
        <v>0</v>
      </c>
      <c r="U1625" s="30">
        <v>0</v>
      </c>
      <c r="V1625" s="233">
        <v>0</v>
      </c>
      <c r="W1625" s="30">
        <v>0</v>
      </c>
      <c r="X1625" s="30">
        <v>0</v>
      </c>
      <c r="Y1625" s="30">
        <v>0</v>
      </c>
      <c r="Z1625" s="233">
        <v>0</v>
      </c>
      <c r="AA1625" s="30">
        <v>0</v>
      </c>
      <c r="AB1625" s="30">
        <v>0</v>
      </c>
      <c r="AC1625" s="30">
        <v>0</v>
      </c>
      <c r="AD1625" s="30">
        <v>0</v>
      </c>
      <c r="AE1625" s="89" t="s">
        <v>92</v>
      </c>
      <c r="AF1625" s="89"/>
      <c r="AG1625" s="89" t="s">
        <v>352</v>
      </c>
      <c r="AH1625" s="72">
        <v>41499</v>
      </c>
      <c r="AI1625" s="30">
        <v>4</v>
      </c>
      <c r="AJ1625" s="89" t="s">
        <v>9064</v>
      </c>
      <c r="AK1625" s="89" t="s">
        <v>9065</v>
      </c>
      <c r="AL1625" s="91">
        <v>41499</v>
      </c>
      <c r="AM1625" s="91"/>
      <c r="AN1625" s="91"/>
      <c r="AO1625" s="91"/>
      <c r="AP1625" s="73" t="e">
        <f>MID(VLOOKUP(K1625,#REF!,2,FALSE),1,2)</f>
        <v>#REF!</v>
      </c>
      <c r="AQ1625" s="89">
        <f>DATE(2013,8,7)</f>
        <v>41493</v>
      </c>
      <c r="AR1625" s="82">
        <f t="shared" si="106"/>
        <v>7</v>
      </c>
      <c r="AS1625" s="83">
        <f t="shared" si="107"/>
        <v>8</v>
      </c>
      <c r="AT1625" s="84">
        <f t="shared" si="108"/>
        <v>2013</v>
      </c>
      <c r="AU1625" s="86"/>
      <c r="AV1625" s="86"/>
      <c r="AW1625" s="87"/>
      <c r="AX1625" s="86"/>
      <c r="AY1625" s="83"/>
      <c r="AZ1625" s="84"/>
      <c r="BA1625" s="86"/>
      <c r="BB1625" s="86"/>
    </row>
    <row r="1626" spans="1:54" ht="36.75" customHeight="1">
      <c r="A1626" s="30"/>
      <c r="B1626" s="30" t="s">
        <v>55</v>
      </c>
      <c r="C1626" s="69" t="str">
        <f t="shared" si="105"/>
        <v>Closed</v>
      </c>
      <c r="D1626" s="27" t="s">
        <v>9066</v>
      </c>
      <c r="E1626" s="29" t="s">
        <v>9067</v>
      </c>
      <c r="F1626" s="30" t="s">
        <v>1938</v>
      </c>
      <c r="G1626" s="89">
        <f>DATE(2013,8,10)</f>
        <v>41496</v>
      </c>
      <c r="H1626" s="90">
        <v>0</v>
      </c>
      <c r="I1626" s="30" t="s">
        <v>59</v>
      </c>
      <c r="J1626" s="89" t="s">
        <v>9068</v>
      </c>
      <c r="K1626" s="30" t="s">
        <v>1940</v>
      </c>
      <c r="L1626" s="30" t="s">
        <v>9069</v>
      </c>
      <c r="M1626" s="30" t="s">
        <v>63</v>
      </c>
      <c r="N1626" s="30" t="s">
        <v>142</v>
      </c>
      <c r="O1626" s="30" t="s">
        <v>77</v>
      </c>
      <c r="P1626" s="89" t="s">
        <v>6941</v>
      </c>
      <c r="Q1626" s="89" t="s">
        <v>1942</v>
      </c>
      <c r="R1626" s="89" t="s">
        <v>1942</v>
      </c>
      <c r="S1626" s="30">
        <v>0</v>
      </c>
      <c r="T1626" s="233">
        <v>0</v>
      </c>
      <c r="U1626" s="30">
        <v>0</v>
      </c>
      <c r="V1626" s="233">
        <v>0</v>
      </c>
      <c r="W1626" s="30">
        <v>0</v>
      </c>
      <c r="X1626" s="30">
        <v>0</v>
      </c>
      <c r="Y1626" s="30">
        <v>0</v>
      </c>
      <c r="Z1626" s="233">
        <v>0</v>
      </c>
      <c r="AA1626" s="30">
        <v>0</v>
      </c>
      <c r="AB1626" s="30">
        <v>0</v>
      </c>
      <c r="AC1626" s="30">
        <v>0</v>
      </c>
      <c r="AD1626" s="30">
        <v>0</v>
      </c>
      <c r="AE1626" s="89" t="s">
        <v>92</v>
      </c>
      <c r="AF1626" s="89"/>
      <c r="AG1626" s="89" t="s">
        <v>1507</v>
      </c>
      <c r="AH1626" s="72">
        <v>41500</v>
      </c>
      <c r="AI1626" s="30">
        <v>4</v>
      </c>
      <c r="AJ1626" s="89" t="s">
        <v>9070</v>
      </c>
      <c r="AK1626" s="89" t="s">
        <v>68</v>
      </c>
      <c r="AL1626" s="91">
        <v>41500</v>
      </c>
      <c r="AM1626" s="91"/>
      <c r="AN1626" s="91"/>
      <c r="AO1626" s="91"/>
      <c r="AP1626" s="73" t="e">
        <f>MID(VLOOKUP(K1626,#REF!,2,FALSE),1,2)</f>
        <v>#REF!</v>
      </c>
      <c r="AQ1626" s="89">
        <f>DATE(2013,8,10)</f>
        <v>41496</v>
      </c>
      <c r="AR1626" s="82">
        <f t="shared" si="106"/>
        <v>10</v>
      </c>
      <c r="AS1626" s="83">
        <f t="shared" si="107"/>
        <v>8</v>
      </c>
      <c r="AT1626" s="84">
        <f t="shared" si="108"/>
        <v>2013</v>
      </c>
      <c r="AU1626" s="86"/>
      <c r="AV1626" s="86"/>
      <c r="AW1626" s="87"/>
      <c r="AX1626" s="86"/>
      <c r="AY1626" s="83"/>
      <c r="AZ1626" s="84"/>
      <c r="BA1626" s="86"/>
      <c r="BB1626" s="86"/>
    </row>
    <row r="1627" spans="1:54" ht="36.75" customHeight="1">
      <c r="A1627" s="30"/>
      <c r="B1627" s="30" t="s">
        <v>55</v>
      </c>
      <c r="C1627" s="69" t="str">
        <f t="shared" si="105"/>
        <v>Closed</v>
      </c>
      <c r="D1627" s="27" t="s">
        <v>9071</v>
      </c>
      <c r="E1627" s="29" t="s">
        <v>9072</v>
      </c>
      <c r="F1627" s="30" t="s">
        <v>1572</v>
      </c>
      <c r="G1627" s="89">
        <f>DATE(2013,8,10)</f>
        <v>41496</v>
      </c>
      <c r="H1627" s="90">
        <v>1.5104166666666665</v>
      </c>
      <c r="I1627" s="30" t="s">
        <v>73</v>
      </c>
      <c r="J1627" s="89" t="s">
        <v>9073</v>
      </c>
      <c r="K1627" s="30" t="s">
        <v>1574</v>
      </c>
      <c r="L1627" s="30" t="s">
        <v>9074</v>
      </c>
      <c r="M1627" s="30" t="s">
        <v>63</v>
      </c>
      <c r="N1627" s="30" t="s">
        <v>142</v>
      </c>
      <c r="O1627" s="30" t="s">
        <v>77</v>
      </c>
      <c r="P1627" s="89" t="s">
        <v>78</v>
      </c>
      <c r="Q1627" s="89" t="s">
        <v>9075</v>
      </c>
      <c r="R1627" s="89" t="s">
        <v>6434</v>
      </c>
      <c r="S1627" s="30">
        <v>0</v>
      </c>
      <c r="T1627" s="233">
        <v>0</v>
      </c>
      <c r="U1627" s="30">
        <v>0</v>
      </c>
      <c r="V1627" s="233">
        <v>0</v>
      </c>
      <c r="W1627" s="30">
        <v>0</v>
      </c>
      <c r="X1627" s="30">
        <v>0</v>
      </c>
      <c r="Y1627" s="30">
        <v>0</v>
      </c>
      <c r="Z1627" s="233">
        <v>0</v>
      </c>
      <c r="AA1627" s="30">
        <v>0</v>
      </c>
      <c r="AB1627" s="30">
        <v>0</v>
      </c>
      <c r="AC1627" s="30">
        <v>0</v>
      </c>
      <c r="AD1627" s="30">
        <v>0</v>
      </c>
      <c r="AE1627" s="89" t="s">
        <v>92</v>
      </c>
      <c r="AF1627" s="89"/>
      <c r="AG1627" s="89" t="s">
        <v>133</v>
      </c>
      <c r="AH1627" s="72">
        <v>41496</v>
      </c>
      <c r="AI1627" s="30">
        <v>0</v>
      </c>
      <c r="AJ1627" s="89" t="s">
        <v>9076</v>
      </c>
      <c r="AK1627" s="89" t="s">
        <v>1233</v>
      </c>
      <c r="AL1627" s="91">
        <v>41499</v>
      </c>
      <c r="AM1627" s="91"/>
      <c r="AN1627" s="91"/>
      <c r="AO1627" s="91"/>
      <c r="AP1627" s="73" t="e">
        <f>MID(VLOOKUP(K1627,#REF!,2,FALSE),1,2)</f>
        <v>#REF!</v>
      </c>
      <c r="AQ1627" s="89">
        <f>DATE(2013,8,10)</f>
        <v>41496</v>
      </c>
      <c r="AR1627" s="82">
        <f t="shared" si="106"/>
        <v>10</v>
      </c>
      <c r="AS1627" s="83">
        <f t="shared" si="107"/>
        <v>8</v>
      </c>
      <c r="AT1627" s="84">
        <f t="shared" si="108"/>
        <v>2013</v>
      </c>
      <c r="AU1627" s="86"/>
      <c r="AV1627" s="86"/>
      <c r="AW1627" s="87"/>
      <c r="AX1627" s="86"/>
      <c r="AY1627" s="83"/>
      <c r="AZ1627" s="84"/>
      <c r="BA1627" s="86"/>
      <c r="BB1627" s="86"/>
    </row>
    <row r="1628" spans="1:54" ht="36.75" customHeight="1">
      <c r="A1628" s="30"/>
      <c r="B1628" s="30" t="s">
        <v>55</v>
      </c>
      <c r="C1628" s="69" t="str">
        <f t="shared" si="105"/>
        <v>Closed</v>
      </c>
      <c r="D1628" s="27" t="s">
        <v>9077</v>
      </c>
      <c r="E1628" s="29" t="s">
        <v>9078</v>
      </c>
      <c r="F1628" s="30" t="s">
        <v>638</v>
      </c>
      <c r="G1628" s="89">
        <f>DATE(2013,8,12)</f>
        <v>41498</v>
      </c>
      <c r="H1628" s="90">
        <v>1.3833333333333333</v>
      </c>
      <c r="I1628" s="30" t="s">
        <v>73</v>
      </c>
      <c r="J1628" s="89" t="s">
        <v>9079</v>
      </c>
      <c r="K1628" s="30" t="s">
        <v>640</v>
      </c>
      <c r="L1628" s="30" t="s">
        <v>9080</v>
      </c>
      <c r="M1628" s="30" t="s">
        <v>63</v>
      </c>
      <c r="N1628" s="30" t="s">
        <v>99</v>
      </c>
      <c r="O1628" s="30" t="s">
        <v>64</v>
      </c>
      <c r="P1628" s="89" t="s">
        <v>301</v>
      </c>
      <c r="Q1628" s="89" t="s">
        <v>2016</v>
      </c>
      <c r="R1628" s="89" t="s">
        <v>643</v>
      </c>
      <c r="S1628" s="30">
        <v>0</v>
      </c>
      <c r="T1628" s="233">
        <v>0</v>
      </c>
      <c r="U1628" s="30">
        <v>0</v>
      </c>
      <c r="V1628" s="233">
        <v>0</v>
      </c>
      <c r="W1628" s="30">
        <v>0</v>
      </c>
      <c r="X1628" s="30">
        <v>0</v>
      </c>
      <c r="Y1628" s="30">
        <v>0</v>
      </c>
      <c r="Z1628" s="233">
        <v>0</v>
      </c>
      <c r="AA1628" s="30">
        <v>0</v>
      </c>
      <c r="AB1628" s="30">
        <v>0</v>
      </c>
      <c r="AC1628" s="30">
        <v>0</v>
      </c>
      <c r="AD1628" s="30">
        <v>0</v>
      </c>
      <c r="AE1628" s="89" t="s">
        <v>92</v>
      </c>
      <c r="AF1628" s="89"/>
      <c r="AG1628" s="89" t="s">
        <v>352</v>
      </c>
      <c r="AH1628" s="72">
        <v>41534</v>
      </c>
      <c r="AI1628" s="30">
        <v>1</v>
      </c>
      <c r="AJ1628" s="89" t="s">
        <v>9081</v>
      </c>
      <c r="AK1628" s="89" t="s">
        <v>68</v>
      </c>
      <c r="AL1628" s="91">
        <v>41541</v>
      </c>
      <c r="AM1628" s="91"/>
      <c r="AN1628" s="91"/>
      <c r="AO1628" s="91"/>
      <c r="AP1628" s="73" t="e">
        <f>MID(VLOOKUP(K1628,#REF!,2,FALSE),1,2)</f>
        <v>#REF!</v>
      </c>
      <c r="AQ1628" s="89">
        <f>DATE(2013,8,12)</f>
        <v>41498</v>
      </c>
      <c r="AR1628" s="82">
        <f t="shared" si="106"/>
        <v>12</v>
      </c>
      <c r="AS1628" s="83">
        <f t="shared" si="107"/>
        <v>8</v>
      </c>
      <c r="AT1628" s="84">
        <f t="shared" si="108"/>
        <v>2013</v>
      </c>
      <c r="AU1628" s="86"/>
      <c r="AV1628" s="86"/>
      <c r="AW1628" s="87"/>
      <c r="AX1628" s="86"/>
      <c r="AY1628" s="83"/>
      <c r="AZ1628" s="84"/>
      <c r="BA1628" s="86"/>
      <c r="BB1628" s="86"/>
    </row>
    <row r="1629" spans="1:54" ht="36.75" customHeight="1">
      <c r="A1629" s="30"/>
      <c r="B1629" s="30" t="s">
        <v>55</v>
      </c>
      <c r="C1629" s="69" t="str">
        <f t="shared" si="105"/>
        <v>Closed</v>
      </c>
      <c r="D1629" s="27" t="s">
        <v>9082</v>
      </c>
      <c r="E1629" s="29" t="s">
        <v>9083</v>
      </c>
      <c r="F1629" s="30" t="s">
        <v>835</v>
      </c>
      <c r="G1629" s="89">
        <f>DATE(2013,8,12)</f>
        <v>41498</v>
      </c>
      <c r="H1629" s="90">
        <v>1.4027777777777777</v>
      </c>
      <c r="I1629" s="30" t="s">
        <v>116</v>
      </c>
      <c r="J1629" s="89" t="s">
        <v>9084</v>
      </c>
      <c r="K1629" s="30" t="s">
        <v>837</v>
      </c>
      <c r="L1629" s="30" t="s">
        <v>9085</v>
      </c>
      <c r="M1629" s="30" t="s">
        <v>63</v>
      </c>
      <c r="N1629" s="30" t="s">
        <v>142</v>
      </c>
      <c r="O1629" s="30" t="s">
        <v>64</v>
      </c>
      <c r="P1629" s="89" t="s">
        <v>65</v>
      </c>
      <c r="Q1629" s="89" t="s">
        <v>2162</v>
      </c>
      <c r="R1629" s="89" t="s">
        <v>840</v>
      </c>
      <c r="S1629" s="30">
        <v>0</v>
      </c>
      <c r="T1629" s="233">
        <v>0</v>
      </c>
      <c r="U1629" s="30">
        <v>0</v>
      </c>
      <c r="V1629" s="233">
        <v>0</v>
      </c>
      <c r="W1629" s="30">
        <v>0</v>
      </c>
      <c r="X1629" s="30">
        <v>0</v>
      </c>
      <c r="Y1629" s="30">
        <v>0</v>
      </c>
      <c r="Z1629" s="233">
        <v>0</v>
      </c>
      <c r="AA1629" s="30">
        <v>0</v>
      </c>
      <c r="AB1629" s="30">
        <v>0</v>
      </c>
      <c r="AC1629" s="30">
        <v>0</v>
      </c>
      <c r="AD1629" s="30">
        <v>0</v>
      </c>
      <c r="AE1629" s="89" t="s">
        <v>92</v>
      </c>
      <c r="AF1629" s="89"/>
      <c r="AG1629" s="89" t="s">
        <v>352</v>
      </c>
      <c r="AH1629" s="72">
        <v>41498</v>
      </c>
      <c r="AI1629" s="30">
        <v>0</v>
      </c>
      <c r="AJ1629" s="89" t="s">
        <v>9086</v>
      </c>
      <c r="AK1629" s="89" t="s">
        <v>9087</v>
      </c>
      <c r="AL1629" s="91">
        <v>41499</v>
      </c>
      <c r="AM1629" s="91"/>
      <c r="AN1629" s="91"/>
      <c r="AO1629" s="91"/>
      <c r="AP1629" s="73" t="e">
        <f>MID(VLOOKUP(K1629,#REF!,2,FALSE),1,2)</f>
        <v>#REF!</v>
      </c>
      <c r="AQ1629" s="89">
        <f>DATE(2013,8,12)</f>
        <v>41498</v>
      </c>
      <c r="AR1629" s="82">
        <f t="shared" si="106"/>
        <v>12</v>
      </c>
      <c r="AS1629" s="83">
        <f t="shared" si="107"/>
        <v>8</v>
      </c>
      <c r="AT1629" s="84">
        <f t="shared" si="108"/>
        <v>2013</v>
      </c>
      <c r="AU1629" s="86"/>
      <c r="AV1629" s="86"/>
      <c r="AW1629" s="87"/>
      <c r="AX1629" s="86"/>
      <c r="AY1629" s="83"/>
      <c r="AZ1629" s="84"/>
      <c r="BA1629" s="86"/>
      <c r="BB1629" s="86"/>
    </row>
    <row r="1630" spans="1:54" ht="36.75" customHeight="1">
      <c r="A1630" s="30"/>
      <c r="B1630" s="30" t="s">
        <v>55</v>
      </c>
      <c r="C1630" s="69" t="str">
        <f t="shared" si="105"/>
        <v>Closed</v>
      </c>
      <c r="D1630" s="27" t="s">
        <v>9088</v>
      </c>
      <c r="E1630" s="29" t="s">
        <v>9089</v>
      </c>
      <c r="F1630" s="30" t="s">
        <v>2336</v>
      </c>
      <c r="G1630" s="89">
        <f>DATE(2013,8,12)</f>
        <v>41498</v>
      </c>
      <c r="H1630" s="90">
        <v>1.6909722222222223</v>
      </c>
      <c r="I1630" s="30" t="s">
        <v>116</v>
      </c>
      <c r="J1630" s="89" t="s">
        <v>9090</v>
      </c>
      <c r="K1630" s="30" t="s">
        <v>2338</v>
      </c>
      <c r="L1630" s="30" t="s">
        <v>9091</v>
      </c>
      <c r="M1630" s="30" t="s">
        <v>63</v>
      </c>
      <c r="N1630" s="30" t="s">
        <v>99</v>
      </c>
      <c r="O1630" s="30" t="s">
        <v>64</v>
      </c>
      <c r="P1630" s="89" t="s">
        <v>78</v>
      </c>
      <c r="Q1630" s="89" t="s">
        <v>9092</v>
      </c>
      <c r="R1630" s="89" t="s">
        <v>2341</v>
      </c>
      <c r="S1630" s="30">
        <v>0</v>
      </c>
      <c r="T1630" s="233">
        <v>0</v>
      </c>
      <c r="U1630" s="30">
        <v>1</v>
      </c>
      <c r="V1630" s="233">
        <v>0</v>
      </c>
      <c r="W1630" s="30">
        <v>0</v>
      </c>
      <c r="X1630" s="30">
        <v>1</v>
      </c>
      <c r="Y1630" s="30">
        <v>0</v>
      </c>
      <c r="Z1630" s="233">
        <v>0</v>
      </c>
      <c r="AA1630" s="30">
        <v>0</v>
      </c>
      <c r="AB1630" s="30">
        <v>0</v>
      </c>
      <c r="AC1630" s="30">
        <v>0</v>
      </c>
      <c r="AD1630" s="30">
        <v>0</v>
      </c>
      <c r="AE1630" s="89" t="s">
        <v>92</v>
      </c>
      <c r="AF1630" s="89"/>
      <c r="AG1630" s="89" t="s">
        <v>82</v>
      </c>
      <c r="AH1630" s="72">
        <v>41513</v>
      </c>
      <c r="AI1630" s="30">
        <v>3</v>
      </c>
      <c r="AJ1630" s="89" t="s">
        <v>9093</v>
      </c>
      <c r="AK1630" s="89" t="s">
        <v>9094</v>
      </c>
      <c r="AL1630" s="91">
        <v>41514</v>
      </c>
      <c r="AM1630" s="91"/>
      <c r="AN1630" s="91"/>
      <c r="AO1630" s="91"/>
      <c r="AP1630" s="73" t="e">
        <f>MID(VLOOKUP(K1630,#REF!,2,FALSE),1,2)</f>
        <v>#REF!</v>
      </c>
      <c r="AQ1630" s="89">
        <f>DATE(2013,8,12)</f>
        <v>41498</v>
      </c>
      <c r="AR1630" s="82">
        <f t="shared" si="106"/>
        <v>12</v>
      </c>
      <c r="AS1630" s="83">
        <f t="shared" si="107"/>
        <v>8</v>
      </c>
      <c r="AT1630" s="84">
        <f t="shared" si="108"/>
        <v>2013</v>
      </c>
      <c r="AU1630" s="86"/>
      <c r="AV1630" s="86"/>
      <c r="AW1630" s="87"/>
      <c r="AX1630" s="86"/>
      <c r="AY1630" s="83"/>
      <c r="AZ1630" s="84"/>
      <c r="BA1630" s="86"/>
      <c r="BB1630" s="86"/>
    </row>
    <row r="1631" spans="1:54" ht="36.75" customHeight="1">
      <c r="A1631" s="30"/>
      <c r="B1631" s="30" t="s">
        <v>55</v>
      </c>
      <c r="C1631" s="69" t="str">
        <f t="shared" si="105"/>
        <v>Closed</v>
      </c>
      <c r="D1631" s="27" t="s">
        <v>9095</v>
      </c>
      <c r="E1631" s="29" t="s">
        <v>9096</v>
      </c>
      <c r="F1631" s="30" t="s">
        <v>197</v>
      </c>
      <c r="G1631" s="89">
        <f>DATE(2013,8,13)</f>
        <v>41499</v>
      </c>
      <c r="H1631" s="90">
        <v>1.9</v>
      </c>
      <c r="I1631" s="30" t="s">
        <v>73</v>
      </c>
      <c r="J1631" s="89" t="s">
        <v>9097</v>
      </c>
      <c r="K1631" s="30" t="s">
        <v>200</v>
      </c>
      <c r="L1631" s="30" t="s">
        <v>9098</v>
      </c>
      <c r="M1631" s="30" t="s">
        <v>63</v>
      </c>
      <c r="N1631" s="30" t="s">
        <v>142</v>
      </c>
      <c r="O1631" s="30" t="s">
        <v>90</v>
      </c>
      <c r="P1631" s="89" t="s">
        <v>78</v>
      </c>
      <c r="Q1631" s="89">
        <v>0</v>
      </c>
      <c r="R1631" s="89">
        <v>0</v>
      </c>
      <c r="S1631" s="30">
        <v>0</v>
      </c>
      <c r="T1631" s="233">
        <v>0</v>
      </c>
      <c r="U1631" s="30">
        <v>0</v>
      </c>
      <c r="V1631" s="233">
        <v>0</v>
      </c>
      <c r="W1631" s="30">
        <v>0</v>
      </c>
      <c r="X1631" s="30">
        <v>0</v>
      </c>
      <c r="Y1631" s="30">
        <v>0</v>
      </c>
      <c r="Z1631" s="233">
        <v>0</v>
      </c>
      <c r="AA1631" s="30">
        <v>0</v>
      </c>
      <c r="AB1631" s="30">
        <v>0</v>
      </c>
      <c r="AC1631" s="30">
        <v>0</v>
      </c>
      <c r="AD1631" s="30">
        <v>0</v>
      </c>
      <c r="AE1631" s="89" t="s">
        <v>394</v>
      </c>
      <c r="AF1631" s="89"/>
      <c r="AG1631" s="89" t="s">
        <v>133</v>
      </c>
      <c r="AH1631" s="72">
        <v>41501</v>
      </c>
      <c r="AI1631" s="30">
        <v>0</v>
      </c>
      <c r="AJ1631" s="89" t="s">
        <v>9099</v>
      </c>
      <c r="AK1631" s="89" t="s">
        <v>1233</v>
      </c>
      <c r="AL1631" s="91">
        <v>41576</v>
      </c>
      <c r="AM1631" s="91"/>
      <c r="AN1631" s="91"/>
      <c r="AO1631" s="91"/>
      <c r="AP1631" s="73" t="e">
        <f>MID(VLOOKUP(K1631,#REF!,2,FALSE),1,2)</f>
        <v>#REF!</v>
      </c>
      <c r="AQ1631" s="89">
        <f>DATE(2013,8,13)</f>
        <v>41499</v>
      </c>
      <c r="AR1631" s="82">
        <f t="shared" si="106"/>
        <v>13</v>
      </c>
      <c r="AS1631" s="83">
        <f t="shared" si="107"/>
        <v>8</v>
      </c>
      <c r="AT1631" s="84">
        <f t="shared" si="108"/>
        <v>2013</v>
      </c>
      <c r="AU1631" s="86"/>
      <c r="AV1631" s="86"/>
      <c r="AW1631" s="87"/>
      <c r="AX1631" s="86"/>
      <c r="AY1631" s="83"/>
      <c r="AZ1631" s="84"/>
      <c r="BA1631" s="86"/>
      <c r="BB1631" s="86"/>
    </row>
    <row r="1632" spans="1:54" ht="36.75" customHeight="1">
      <c r="A1632" s="30"/>
      <c r="B1632" s="30" t="s">
        <v>55</v>
      </c>
      <c r="C1632" s="69" t="str">
        <f t="shared" si="105"/>
        <v>Closed</v>
      </c>
      <c r="D1632" s="27" t="s">
        <v>9100</v>
      </c>
      <c r="E1632" s="29" t="s">
        <v>9101</v>
      </c>
      <c r="F1632" s="30" t="s">
        <v>638</v>
      </c>
      <c r="G1632" s="89">
        <f>DATE(2013,8,14)</f>
        <v>41500</v>
      </c>
      <c r="H1632" s="90">
        <v>1.3736111111111111</v>
      </c>
      <c r="I1632" s="30" t="s">
        <v>104</v>
      </c>
      <c r="J1632" s="89" t="s">
        <v>9102</v>
      </c>
      <c r="K1632" s="30" t="s">
        <v>640</v>
      </c>
      <c r="L1632" s="30" t="s">
        <v>9103</v>
      </c>
      <c r="M1632" s="30" t="s">
        <v>63</v>
      </c>
      <c r="N1632" s="30" t="s">
        <v>142</v>
      </c>
      <c r="O1632" s="30" t="s">
        <v>77</v>
      </c>
      <c r="P1632" s="89" t="s">
        <v>78</v>
      </c>
      <c r="Q1632" s="89" t="s">
        <v>4904</v>
      </c>
      <c r="R1632" s="89" t="s">
        <v>643</v>
      </c>
      <c r="S1632" s="30">
        <v>0</v>
      </c>
      <c r="T1632" s="233">
        <v>0</v>
      </c>
      <c r="U1632" s="30">
        <v>0</v>
      </c>
      <c r="V1632" s="233">
        <v>0</v>
      </c>
      <c r="W1632" s="30">
        <v>0</v>
      </c>
      <c r="X1632" s="30">
        <v>0</v>
      </c>
      <c r="Y1632" s="30">
        <v>0</v>
      </c>
      <c r="Z1632" s="233">
        <v>0</v>
      </c>
      <c r="AA1632" s="30">
        <v>0</v>
      </c>
      <c r="AB1632" s="30">
        <v>0</v>
      </c>
      <c r="AC1632" s="30">
        <v>0</v>
      </c>
      <c r="AD1632" s="30">
        <v>0</v>
      </c>
      <c r="AE1632" s="89" t="s">
        <v>92</v>
      </c>
      <c r="AF1632" s="89"/>
      <c r="AG1632" s="89" t="s">
        <v>352</v>
      </c>
      <c r="AH1632" s="72">
        <v>41534</v>
      </c>
      <c r="AI1632" s="30">
        <v>0</v>
      </c>
      <c r="AJ1632" s="89" t="s">
        <v>9104</v>
      </c>
      <c r="AK1632" s="89" t="s">
        <v>68</v>
      </c>
      <c r="AL1632" s="91">
        <v>41541</v>
      </c>
      <c r="AM1632" s="91"/>
      <c r="AN1632" s="91"/>
      <c r="AO1632" s="91"/>
      <c r="AP1632" s="73" t="e">
        <f>MID(VLOOKUP(K1632,#REF!,2,FALSE),1,2)</f>
        <v>#REF!</v>
      </c>
      <c r="AQ1632" s="89">
        <f>DATE(2013,8,14)</f>
        <v>41500</v>
      </c>
      <c r="AR1632" s="82">
        <f t="shared" si="106"/>
        <v>14</v>
      </c>
      <c r="AS1632" s="83">
        <f t="shared" si="107"/>
        <v>8</v>
      </c>
      <c r="AT1632" s="84">
        <f t="shared" si="108"/>
        <v>2013</v>
      </c>
      <c r="AU1632" s="86"/>
      <c r="AV1632" s="86"/>
      <c r="AW1632" s="87"/>
      <c r="AX1632" s="86"/>
      <c r="AY1632" s="83"/>
      <c r="AZ1632" s="84"/>
      <c r="BA1632" s="86"/>
      <c r="BB1632" s="86"/>
    </row>
    <row r="1633" spans="1:54" ht="36.75" customHeight="1">
      <c r="A1633" s="30"/>
      <c r="B1633" s="30" t="s">
        <v>55</v>
      </c>
      <c r="C1633" s="69" t="str">
        <f t="shared" si="105"/>
        <v>Closed</v>
      </c>
      <c r="D1633" s="27" t="s">
        <v>9105</v>
      </c>
      <c r="E1633" s="29" t="s">
        <v>9106</v>
      </c>
      <c r="F1633" s="30" t="s">
        <v>835</v>
      </c>
      <c r="G1633" s="89">
        <f>DATE(2013,8,15)</f>
        <v>41501</v>
      </c>
      <c r="H1633" s="90">
        <v>1.2555555555555555</v>
      </c>
      <c r="I1633" s="30" t="s">
        <v>116</v>
      </c>
      <c r="J1633" s="89" t="s">
        <v>9107</v>
      </c>
      <c r="K1633" s="30" t="s">
        <v>837</v>
      </c>
      <c r="L1633" s="30" t="s">
        <v>9108</v>
      </c>
      <c r="M1633" s="30" t="s">
        <v>63</v>
      </c>
      <c r="N1633" s="30" t="s">
        <v>99</v>
      </c>
      <c r="O1633" s="30" t="s">
        <v>64</v>
      </c>
      <c r="P1633" s="89" t="s">
        <v>165</v>
      </c>
      <c r="Q1633" s="89" t="s">
        <v>2162</v>
      </c>
      <c r="R1633" s="89" t="s">
        <v>840</v>
      </c>
      <c r="S1633" s="30">
        <v>0</v>
      </c>
      <c r="T1633" s="233">
        <v>0</v>
      </c>
      <c r="U1633" s="30">
        <v>1</v>
      </c>
      <c r="V1633" s="233">
        <v>0</v>
      </c>
      <c r="W1633" s="30">
        <v>0</v>
      </c>
      <c r="X1633" s="30">
        <v>1</v>
      </c>
      <c r="Y1633" s="30">
        <v>0</v>
      </c>
      <c r="Z1633" s="233">
        <v>0</v>
      </c>
      <c r="AA1633" s="30">
        <v>0</v>
      </c>
      <c r="AB1633" s="30">
        <v>0</v>
      </c>
      <c r="AC1633" s="30">
        <v>0</v>
      </c>
      <c r="AD1633" s="30">
        <v>0</v>
      </c>
      <c r="AE1633" s="89" t="s">
        <v>92</v>
      </c>
      <c r="AF1633" s="89"/>
      <c r="AG1633" s="89" t="s">
        <v>352</v>
      </c>
      <c r="AH1633" s="72">
        <v>41501</v>
      </c>
      <c r="AI1633" s="30">
        <v>3</v>
      </c>
      <c r="AJ1633" s="89" t="s">
        <v>9109</v>
      </c>
      <c r="AK1633" s="89" t="s">
        <v>68</v>
      </c>
      <c r="AL1633" s="91">
        <v>41509</v>
      </c>
      <c r="AM1633" s="91"/>
      <c r="AN1633" s="91"/>
      <c r="AO1633" s="91"/>
      <c r="AP1633" s="73" t="e">
        <f>MID(VLOOKUP(K1633,#REF!,2,FALSE),1,2)</f>
        <v>#REF!</v>
      </c>
      <c r="AQ1633" s="89">
        <f>DATE(2013,8,15)</f>
        <v>41501</v>
      </c>
      <c r="AR1633" s="82">
        <f t="shared" si="106"/>
        <v>15</v>
      </c>
      <c r="AS1633" s="83">
        <f t="shared" si="107"/>
        <v>8</v>
      </c>
      <c r="AT1633" s="84">
        <f t="shared" si="108"/>
        <v>2013</v>
      </c>
      <c r="AU1633" s="86"/>
      <c r="AV1633" s="86"/>
      <c r="AW1633" s="87"/>
      <c r="AX1633" s="86"/>
      <c r="AY1633" s="83"/>
      <c r="AZ1633" s="84"/>
      <c r="BA1633" s="86"/>
      <c r="BB1633" s="86"/>
    </row>
    <row r="1634" spans="1:54" ht="36.75" customHeight="1">
      <c r="A1634" s="30"/>
      <c r="B1634" s="30" t="s">
        <v>55</v>
      </c>
      <c r="C1634" s="69" t="str">
        <f t="shared" si="105"/>
        <v>Closed</v>
      </c>
      <c r="D1634" s="27" t="s">
        <v>9110</v>
      </c>
      <c r="E1634" s="29" t="s">
        <v>9111</v>
      </c>
      <c r="F1634" s="30" t="s">
        <v>835</v>
      </c>
      <c r="G1634" s="89">
        <f>DATE(2013,8,15)</f>
        <v>41501</v>
      </c>
      <c r="H1634" s="90">
        <v>0</v>
      </c>
      <c r="I1634" s="30" t="s">
        <v>278</v>
      </c>
      <c r="J1634" s="89" t="s">
        <v>9112</v>
      </c>
      <c r="K1634" s="30" t="s">
        <v>837</v>
      </c>
      <c r="L1634" s="30" t="s">
        <v>9113</v>
      </c>
      <c r="M1634" s="30" t="s">
        <v>63</v>
      </c>
      <c r="N1634" s="30" t="s">
        <v>99</v>
      </c>
      <c r="O1634" s="30" t="s">
        <v>64</v>
      </c>
      <c r="P1634" s="89" t="s">
        <v>165</v>
      </c>
      <c r="Q1634" s="89" t="s">
        <v>2162</v>
      </c>
      <c r="R1634" s="89" t="s">
        <v>840</v>
      </c>
      <c r="S1634" s="30">
        <v>0</v>
      </c>
      <c r="T1634" s="233">
        <v>0</v>
      </c>
      <c r="U1634" s="30">
        <v>0</v>
      </c>
      <c r="V1634" s="233">
        <v>0</v>
      </c>
      <c r="W1634" s="30">
        <v>0</v>
      </c>
      <c r="X1634" s="30">
        <v>0</v>
      </c>
      <c r="Y1634" s="30">
        <v>1</v>
      </c>
      <c r="Z1634" s="233">
        <v>0</v>
      </c>
      <c r="AA1634" s="30">
        <v>0</v>
      </c>
      <c r="AB1634" s="30">
        <v>0</v>
      </c>
      <c r="AC1634" s="30">
        <v>0</v>
      </c>
      <c r="AD1634" s="30">
        <v>1</v>
      </c>
      <c r="AE1634" s="89" t="s">
        <v>92</v>
      </c>
      <c r="AF1634" s="89"/>
      <c r="AG1634" s="89" t="s">
        <v>352</v>
      </c>
      <c r="AH1634" s="72">
        <v>41502</v>
      </c>
      <c r="AI1634" s="30">
        <v>1</v>
      </c>
      <c r="AJ1634" s="89" t="s">
        <v>9114</v>
      </c>
      <c r="AK1634" s="89" t="s">
        <v>68</v>
      </c>
      <c r="AL1634" s="91">
        <v>41501</v>
      </c>
      <c r="AM1634" s="91"/>
      <c r="AN1634" s="91"/>
      <c r="AO1634" s="91"/>
      <c r="AP1634" s="73" t="e">
        <f>MID(VLOOKUP(K1634,#REF!,2,FALSE),1,2)</f>
        <v>#REF!</v>
      </c>
      <c r="AQ1634" s="89">
        <f>DATE(2013,8,15)</f>
        <v>41501</v>
      </c>
      <c r="AR1634" s="82">
        <f t="shared" si="106"/>
        <v>15</v>
      </c>
      <c r="AS1634" s="83">
        <f t="shared" si="107"/>
        <v>8</v>
      </c>
      <c r="AT1634" s="84">
        <f t="shared" si="108"/>
        <v>2013</v>
      </c>
      <c r="AU1634" s="86"/>
      <c r="AV1634" s="86"/>
      <c r="AW1634" s="87"/>
      <c r="AX1634" s="86"/>
      <c r="AY1634" s="83"/>
      <c r="AZ1634" s="84"/>
      <c r="BA1634" s="86"/>
      <c r="BB1634" s="86"/>
    </row>
    <row r="1635" spans="1:54" ht="36.75" customHeight="1">
      <c r="A1635" s="30"/>
      <c r="B1635" s="30" t="s">
        <v>55</v>
      </c>
      <c r="C1635" s="69" t="str">
        <f t="shared" si="105"/>
        <v>Closed</v>
      </c>
      <c r="D1635" s="27" t="s">
        <v>9115</v>
      </c>
      <c r="E1635" s="29" t="s">
        <v>9116</v>
      </c>
      <c r="F1635" s="30" t="s">
        <v>835</v>
      </c>
      <c r="G1635" s="89">
        <f>DATE(2013,8,21)</f>
        <v>41507</v>
      </c>
      <c r="H1635" s="90">
        <v>0</v>
      </c>
      <c r="I1635" s="30" t="s">
        <v>5494</v>
      </c>
      <c r="J1635" s="89" t="s">
        <v>9117</v>
      </c>
      <c r="K1635" s="30" t="s">
        <v>837</v>
      </c>
      <c r="L1635" s="30" t="s">
        <v>9118</v>
      </c>
      <c r="M1635" s="30" t="s">
        <v>63</v>
      </c>
      <c r="N1635" s="30" t="s">
        <v>142</v>
      </c>
      <c r="O1635" s="30" t="s">
        <v>90</v>
      </c>
      <c r="P1635" s="89" t="s">
        <v>91</v>
      </c>
      <c r="Q1635" s="89" t="s">
        <v>4708</v>
      </c>
      <c r="R1635" s="89" t="s">
        <v>840</v>
      </c>
      <c r="S1635" s="30">
        <v>0</v>
      </c>
      <c r="T1635" s="233">
        <v>0</v>
      </c>
      <c r="U1635" s="30">
        <v>0</v>
      </c>
      <c r="V1635" s="233">
        <v>0</v>
      </c>
      <c r="W1635" s="30">
        <v>0</v>
      </c>
      <c r="X1635" s="30">
        <v>0</v>
      </c>
      <c r="Y1635" s="30">
        <v>0</v>
      </c>
      <c r="Z1635" s="233">
        <v>0</v>
      </c>
      <c r="AA1635" s="30">
        <v>0</v>
      </c>
      <c r="AB1635" s="30">
        <v>0</v>
      </c>
      <c r="AC1635" s="30">
        <v>0</v>
      </c>
      <c r="AD1635" s="30">
        <v>0</v>
      </c>
      <c r="AE1635" s="89" t="s">
        <v>92</v>
      </c>
      <c r="AF1635" s="89"/>
      <c r="AG1635" s="89" t="s">
        <v>352</v>
      </c>
      <c r="AH1635" s="72">
        <v>41508</v>
      </c>
      <c r="AI1635" s="30">
        <v>0</v>
      </c>
      <c r="AJ1635" s="89" t="s">
        <v>9119</v>
      </c>
      <c r="AK1635" s="89" t="s">
        <v>68</v>
      </c>
      <c r="AL1635" s="91">
        <v>41508</v>
      </c>
      <c r="AM1635" s="91"/>
      <c r="AN1635" s="91"/>
      <c r="AO1635" s="91"/>
      <c r="AP1635" s="73" t="e">
        <f>MID(VLOOKUP(K1635,#REF!,2,FALSE),1,2)</f>
        <v>#REF!</v>
      </c>
      <c r="AQ1635" s="89">
        <f>DATE(2013,8,21)</f>
        <v>41507</v>
      </c>
      <c r="AR1635" s="82">
        <f t="shared" si="106"/>
        <v>21</v>
      </c>
      <c r="AS1635" s="83">
        <f t="shared" si="107"/>
        <v>8</v>
      </c>
      <c r="AT1635" s="84">
        <f t="shared" si="108"/>
        <v>2013</v>
      </c>
      <c r="AU1635" s="86"/>
      <c r="AV1635" s="86"/>
      <c r="AW1635" s="87"/>
      <c r="AX1635" s="86"/>
      <c r="AY1635" s="83"/>
      <c r="AZ1635" s="84"/>
      <c r="BA1635" s="86"/>
      <c r="BB1635" s="86"/>
    </row>
    <row r="1636" spans="1:54" ht="36.75" customHeight="1">
      <c r="A1636" s="30"/>
      <c r="B1636" s="30" t="s">
        <v>55</v>
      </c>
      <c r="C1636" s="69" t="str">
        <f t="shared" si="105"/>
        <v>Closed</v>
      </c>
      <c r="D1636" s="27" t="s">
        <v>9120</v>
      </c>
      <c r="E1636" s="29" t="s">
        <v>9121</v>
      </c>
      <c r="F1636" s="30" t="s">
        <v>1749</v>
      </c>
      <c r="G1636" s="89">
        <f>DATE(2013,8,23)</f>
        <v>41509</v>
      </c>
      <c r="H1636" s="90">
        <v>1.6041666666666665</v>
      </c>
      <c r="I1636" s="30" t="s">
        <v>116</v>
      </c>
      <c r="J1636" s="89" t="s">
        <v>9122</v>
      </c>
      <c r="K1636" s="30" t="s">
        <v>1751</v>
      </c>
      <c r="L1636" s="30" t="s">
        <v>9123</v>
      </c>
      <c r="M1636" s="30" t="s">
        <v>63</v>
      </c>
      <c r="N1636" s="30" t="s">
        <v>89</v>
      </c>
      <c r="O1636" s="30" t="s">
        <v>77</v>
      </c>
      <c r="P1636" s="89" t="s">
        <v>65</v>
      </c>
      <c r="Q1636" s="89" t="s">
        <v>9124</v>
      </c>
      <c r="R1636" s="89" t="s">
        <v>1982</v>
      </c>
      <c r="S1636" s="30">
        <v>0</v>
      </c>
      <c r="T1636" s="233">
        <v>0</v>
      </c>
      <c r="U1636" s="30">
        <v>1</v>
      </c>
      <c r="V1636" s="233">
        <v>0</v>
      </c>
      <c r="W1636" s="30">
        <v>0</v>
      </c>
      <c r="X1636" s="30">
        <v>1</v>
      </c>
      <c r="Y1636" s="30">
        <v>0</v>
      </c>
      <c r="Z1636" s="233">
        <v>0</v>
      </c>
      <c r="AA1636" s="30">
        <v>0</v>
      </c>
      <c r="AB1636" s="30">
        <v>0</v>
      </c>
      <c r="AC1636" s="30">
        <v>0</v>
      </c>
      <c r="AD1636" s="30">
        <v>0</v>
      </c>
      <c r="AE1636" s="89" t="s">
        <v>92</v>
      </c>
      <c r="AF1636" s="89"/>
      <c r="AG1636" s="89" t="s">
        <v>248</v>
      </c>
      <c r="AH1636" s="72">
        <v>41509</v>
      </c>
      <c r="AI1636" s="30">
        <v>2</v>
      </c>
      <c r="AJ1636" s="89" t="s">
        <v>9125</v>
      </c>
      <c r="AK1636" s="89" t="s">
        <v>9126</v>
      </c>
      <c r="AL1636" s="91">
        <v>41514</v>
      </c>
      <c r="AM1636" s="91"/>
      <c r="AN1636" s="91"/>
      <c r="AO1636" s="91"/>
      <c r="AP1636" s="73" t="e">
        <f>MID(VLOOKUP(K1636,#REF!,2,FALSE),1,2)</f>
        <v>#REF!</v>
      </c>
      <c r="AQ1636" s="89">
        <f>DATE(2013,8,23)</f>
        <v>41509</v>
      </c>
      <c r="AR1636" s="82">
        <f t="shared" si="106"/>
        <v>23</v>
      </c>
      <c r="AS1636" s="83">
        <f t="shared" si="107"/>
        <v>8</v>
      </c>
      <c r="AT1636" s="84">
        <f t="shared" si="108"/>
        <v>2013</v>
      </c>
      <c r="AU1636" s="86"/>
      <c r="AV1636" s="86"/>
      <c r="AW1636" s="87"/>
      <c r="AX1636" s="86"/>
      <c r="AY1636" s="83"/>
      <c r="AZ1636" s="84"/>
      <c r="BA1636" s="86"/>
      <c r="BB1636" s="86"/>
    </row>
    <row r="1637" spans="1:54" ht="36.75" customHeight="1">
      <c r="A1637" s="30"/>
      <c r="B1637" s="30" t="s">
        <v>55</v>
      </c>
      <c r="C1637" s="69" t="str">
        <f t="shared" si="105"/>
        <v>Closed</v>
      </c>
      <c r="D1637" s="27" t="s">
        <v>9127</v>
      </c>
      <c r="E1637" s="29" t="s">
        <v>9128</v>
      </c>
      <c r="F1637" s="30" t="s">
        <v>233</v>
      </c>
      <c r="G1637" s="89">
        <f>DATE(2013,8,25)</f>
        <v>41511</v>
      </c>
      <c r="H1637" s="90">
        <v>1.7743055555555554</v>
      </c>
      <c r="I1637" s="30" t="s">
        <v>125</v>
      </c>
      <c r="J1637" s="89" t="s">
        <v>9129</v>
      </c>
      <c r="K1637" s="30" t="s">
        <v>235</v>
      </c>
      <c r="L1637" s="30" t="s">
        <v>9130</v>
      </c>
      <c r="M1637" s="30" t="s">
        <v>129</v>
      </c>
      <c r="N1637" s="30" t="s">
        <v>142</v>
      </c>
      <c r="O1637" s="30" t="s">
        <v>77</v>
      </c>
      <c r="P1637" s="89" t="s">
        <v>129</v>
      </c>
      <c r="Q1637" s="89" t="s">
        <v>683</v>
      </c>
      <c r="R1637" s="89" t="s">
        <v>683</v>
      </c>
      <c r="S1637" s="30">
        <v>0</v>
      </c>
      <c r="T1637" s="233">
        <v>0</v>
      </c>
      <c r="U1637" s="30">
        <v>0</v>
      </c>
      <c r="V1637" s="233">
        <v>0</v>
      </c>
      <c r="W1637" s="30">
        <v>0</v>
      </c>
      <c r="X1637" s="30">
        <v>0</v>
      </c>
      <c r="Y1637" s="30">
        <v>0</v>
      </c>
      <c r="Z1637" s="233">
        <v>0</v>
      </c>
      <c r="AA1637" s="30">
        <v>0</v>
      </c>
      <c r="AB1637" s="30">
        <v>0</v>
      </c>
      <c r="AC1637" s="30">
        <v>0</v>
      </c>
      <c r="AD1637" s="30">
        <v>0</v>
      </c>
      <c r="AE1637" s="89" t="s">
        <v>92</v>
      </c>
      <c r="AF1637" s="89"/>
      <c r="AG1637" s="89" t="s">
        <v>133</v>
      </c>
      <c r="AH1637" s="72">
        <v>41526</v>
      </c>
      <c r="AI1637" s="30">
        <v>6</v>
      </c>
      <c r="AJ1637" s="89" t="s">
        <v>9131</v>
      </c>
      <c r="AK1637" s="89" t="s">
        <v>9132</v>
      </c>
      <c r="AL1637" s="91">
        <v>41533</v>
      </c>
      <c r="AM1637" s="91"/>
      <c r="AN1637" s="91"/>
      <c r="AO1637" s="91"/>
      <c r="AP1637" s="73" t="e">
        <f>MID(VLOOKUP(K1637,#REF!,2,FALSE),1,2)</f>
        <v>#REF!</v>
      </c>
      <c r="AQ1637" s="89">
        <f>DATE(2013,8,25)</f>
        <v>41511</v>
      </c>
      <c r="AR1637" s="82">
        <f t="shared" si="106"/>
        <v>25</v>
      </c>
      <c r="AS1637" s="83">
        <f t="shared" si="107"/>
        <v>8</v>
      </c>
      <c r="AT1637" s="84">
        <f t="shared" si="108"/>
        <v>2013</v>
      </c>
      <c r="AU1637" s="86"/>
      <c r="AV1637" s="86"/>
      <c r="AW1637" s="87"/>
      <c r="AX1637" s="86"/>
      <c r="AY1637" s="83"/>
      <c r="AZ1637" s="84"/>
      <c r="BA1637" s="86"/>
      <c r="BB1637" s="86"/>
    </row>
    <row r="1638" spans="1:54" ht="36.75" customHeight="1">
      <c r="A1638" s="30"/>
      <c r="B1638" s="30" t="s">
        <v>55</v>
      </c>
      <c r="C1638" s="69" t="str">
        <f t="shared" si="105"/>
        <v>Closed</v>
      </c>
      <c r="D1638" s="27" t="s">
        <v>9133</v>
      </c>
      <c r="E1638" s="29" t="s">
        <v>9134</v>
      </c>
      <c r="F1638" s="30" t="s">
        <v>233</v>
      </c>
      <c r="G1638" s="89">
        <f>DATE(2013,8,27)</f>
        <v>41513</v>
      </c>
      <c r="H1638" s="90">
        <v>1.1875</v>
      </c>
      <c r="I1638" s="30" t="s">
        <v>73</v>
      </c>
      <c r="J1638" s="89" t="s">
        <v>9135</v>
      </c>
      <c r="K1638" s="30" t="s">
        <v>235</v>
      </c>
      <c r="L1638" s="30" t="s">
        <v>9136</v>
      </c>
      <c r="M1638" s="30" t="s">
        <v>63</v>
      </c>
      <c r="N1638" s="30" t="s">
        <v>142</v>
      </c>
      <c r="O1638" s="30" t="s">
        <v>64</v>
      </c>
      <c r="P1638" s="89" t="s">
        <v>78</v>
      </c>
      <c r="Q1638" s="89" t="s">
        <v>4042</v>
      </c>
      <c r="R1638" s="89" t="s">
        <v>238</v>
      </c>
      <c r="S1638" s="30">
        <v>0</v>
      </c>
      <c r="T1638" s="233">
        <v>0</v>
      </c>
      <c r="U1638" s="30">
        <v>0</v>
      </c>
      <c r="V1638" s="233">
        <v>0</v>
      </c>
      <c r="W1638" s="30">
        <v>0</v>
      </c>
      <c r="X1638" s="30">
        <v>0</v>
      </c>
      <c r="Y1638" s="30">
        <v>0</v>
      </c>
      <c r="Z1638" s="233">
        <v>0</v>
      </c>
      <c r="AA1638" s="30">
        <v>0</v>
      </c>
      <c r="AB1638" s="30">
        <v>0</v>
      </c>
      <c r="AC1638" s="30">
        <v>0</v>
      </c>
      <c r="AD1638" s="30">
        <v>0</v>
      </c>
      <c r="AE1638" s="89" t="s">
        <v>92</v>
      </c>
      <c r="AF1638" s="89"/>
      <c r="AG1638" s="89" t="s">
        <v>133</v>
      </c>
      <c r="AH1638" s="72">
        <v>41519</v>
      </c>
      <c r="AI1638" s="30">
        <v>4</v>
      </c>
      <c r="AJ1638" s="89" t="s">
        <v>9137</v>
      </c>
      <c r="AK1638" s="89" t="s">
        <v>9138</v>
      </c>
      <c r="AL1638" s="91">
        <v>41533</v>
      </c>
      <c r="AM1638" s="91"/>
      <c r="AN1638" s="91"/>
      <c r="AO1638" s="91"/>
      <c r="AP1638" s="73" t="e">
        <f>MID(VLOOKUP(K1638,#REF!,2,FALSE),1,2)</f>
        <v>#REF!</v>
      </c>
      <c r="AQ1638" s="89">
        <f>DATE(2013,8,27)</f>
        <v>41513</v>
      </c>
      <c r="AR1638" s="82">
        <f t="shared" si="106"/>
        <v>27</v>
      </c>
      <c r="AS1638" s="83">
        <f t="shared" si="107"/>
        <v>8</v>
      </c>
      <c r="AT1638" s="84">
        <f t="shared" si="108"/>
        <v>2013</v>
      </c>
      <c r="AU1638" s="86"/>
      <c r="AV1638" s="86"/>
      <c r="AW1638" s="87"/>
      <c r="AX1638" s="86"/>
      <c r="AY1638" s="83"/>
      <c r="AZ1638" s="84"/>
      <c r="BA1638" s="86"/>
      <c r="BB1638" s="86"/>
    </row>
    <row r="1639" spans="1:54" ht="36.75" customHeight="1">
      <c r="A1639" s="30"/>
      <c r="B1639" s="30" t="s">
        <v>55</v>
      </c>
      <c r="C1639" s="69" t="str">
        <f t="shared" si="105"/>
        <v>Closed</v>
      </c>
      <c r="D1639" s="27" t="s">
        <v>9139</v>
      </c>
      <c r="E1639" s="29" t="s">
        <v>9140</v>
      </c>
      <c r="F1639" s="30" t="s">
        <v>233</v>
      </c>
      <c r="G1639" s="89">
        <f>DATE(2013,8,28)</f>
        <v>41514</v>
      </c>
      <c r="H1639" s="90">
        <v>1.7597222222222224</v>
      </c>
      <c r="I1639" s="30" t="s">
        <v>5494</v>
      </c>
      <c r="J1639" s="89" t="s">
        <v>9141</v>
      </c>
      <c r="K1639" s="30" t="s">
        <v>235</v>
      </c>
      <c r="L1639" s="30" t="s">
        <v>9142</v>
      </c>
      <c r="M1639" s="30" t="s">
        <v>63</v>
      </c>
      <c r="N1639" s="30" t="s">
        <v>142</v>
      </c>
      <c r="O1639" s="30" t="s">
        <v>77</v>
      </c>
      <c r="P1639" s="89" t="s">
        <v>6941</v>
      </c>
      <c r="Q1639" s="89" t="s">
        <v>9143</v>
      </c>
      <c r="R1639" s="89" t="s">
        <v>238</v>
      </c>
      <c r="S1639" s="30">
        <v>0</v>
      </c>
      <c r="T1639" s="233">
        <v>0</v>
      </c>
      <c r="U1639" s="30">
        <v>0</v>
      </c>
      <c r="V1639" s="233">
        <v>0</v>
      </c>
      <c r="W1639" s="30">
        <v>0</v>
      </c>
      <c r="X1639" s="30">
        <v>0</v>
      </c>
      <c r="Y1639" s="30">
        <v>0</v>
      </c>
      <c r="Z1639" s="233">
        <v>0</v>
      </c>
      <c r="AA1639" s="30">
        <v>0</v>
      </c>
      <c r="AB1639" s="30">
        <v>0</v>
      </c>
      <c r="AC1639" s="30">
        <v>1</v>
      </c>
      <c r="AD1639" s="30">
        <v>1</v>
      </c>
      <c r="AE1639" s="89" t="s">
        <v>92</v>
      </c>
      <c r="AF1639" s="89"/>
      <c r="AG1639" s="89" t="s">
        <v>133</v>
      </c>
      <c r="AH1639" s="72">
        <v>41554</v>
      </c>
      <c r="AI1639" s="30">
        <v>4</v>
      </c>
      <c r="AJ1639" s="89" t="s">
        <v>9144</v>
      </c>
      <c r="AK1639" s="89" t="s">
        <v>9145</v>
      </c>
      <c r="AL1639" s="91">
        <v>41569</v>
      </c>
      <c r="AM1639" s="91"/>
      <c r="AN1639" s="91"/>
      <c r="AO1639" s="91"/>
      <c r="AP1639" s="73" t="e">
        <f>MID(VLOOKUP(K1639,#REF!,2,FALSE),1,2)</f>
        <v>#REF!</v>
      </c>
      <c r="AQ1639" s="89">
        <f>DATE(2013,8,28)</f>
        <v>41514</v>
      </c>
      <c r="AR1639" s="82">
        <f t="shared" si="106"/>
        <v>28</v>
      </c>
      <c r="AS1639" s="83">
        <f t="shared" si="107"/>
        <v>8</v>
      </c>
      <c r="AT1639" s="84">
        <f t="shared" si="108"/>
        <v>2013</v>
      </c>
      <c r="AU1639" s="86"/>
      <c r="AV1639" s="86"/>
      <c r="AW1639" s="87"/>
      <c r="AX1639" s="86"/>
      <c r="AY1639" s="83"/>
      <c r="AZ1639" s="84"/>
      <c r="BA1639" s="86"/>
      <c r="BB1639" s="86"/>
    </row>
    <row r="1640" spans="1:54" ht="36.75" customHeight="1">
      <c r="A1640" s="30"/>
      <c r="B1640" s="30" t="s">
        <v>55</v>
      </c>
      <c r="C1640" s="69" t="str">
        <f t="shared" si="105"/>
        <v>Closed</v>
      </c>
      <c r="D1640" s="27" t="s">
        <v>9146</v>
      </c>
      <c r="E1640" s="29" t="s">
        <v>9147</v>
      </c>
      <c r="F1640" s="30" t="s">
        <v>423</v>
      </c>
      <c r="G1640" s="89">
        <f>DATE(2013,8,31)</f>
        <v>41517</v>
      </c>
      <c r="H1640" s="90">
        <v>1.5958333333333332</v>
      </c>
      <c r="I1640" s="30" t="s">
        <v>104</v>
      </c>
      <c r="J1640" s="89" t="s">
        <v>9148</v>
      </c>
      <c r="K1640" s="30" t="s">
        <v>425</v>
      </c>
      <c r="L1640" s="30" t="s">
        <v>9149</v>
      </c>
      <c r="M1640" s="30" t="s">
        <v>63</v>
      </c>
      <c r="N1640" s="30" t="s">
        <v>89</v>
      </c>
      <c r="O1640" s="30" t="s">
        <v>77</v>
      </c>
      <c r="P1640" s="89" t="s">
        <v>5324</v>
      </c>
      <c r="Q1640" s="89" t="s">
        <v>427</v>
      </c>
      <c r="R1640" s="89" t="s">
        <v>3103</v>
      </c>
      <c r="S1640" s="30">
        <v>0</v>
      </c>
      <c r="T1640" s="233">
        <v>0</v>
      </c>
      <c r="U1640" s="30">
        <v>0</v>
      </c>
      <c r="V1640" s="233">
        <v>0</v>
      </c>
      <c r="W1640" s="30">
        <v>0</v>
      </c>
      <c r="X1640" s="30">
        <v>0</v>
      </c>
      <c r="Y1640" s="30">
        <v>0</v>
      </c>
      <c r="Z1640" s="233">
        <v>0</v>
      </c>
      <c r="AA1640" s="30">
        <v>0</v>
      </c>
      <c r="AB1640" s="30">
        <v>0</v>
      </c>
      <c r="AC1640" s="30">
        <v>0</v>
      </c>
      <c r="AD1640" s="30">
        <v>0</v>
      </c>
      <c r="AE1640" s="89" t="s">
        <v>92</v>
      </c>
      <c r="AF1640" s="89"/>
      <c r="AG1640" s="89" t="s">
        <v>133</v>
      </c>
      <c r="AH1640" s="72">
        <v>41556</v>
      </c>
      <c r="AI1640" s="30">
        <v>7</v>
      </c>
      <c r="AJ1640" s="89" t="s">
        <v>9150</v>
      </c>
      <c r="AK1640" s="89" t="s">
        <v>9151</v>
      </c>
      <c r="AL1640" s="91">
        <v>41530</v>
      </c>
      <c r="AM1640" s="91"/>
      <c r="AN1640" s="91"/>
      <c r="AO1640" s="91"/>
      <c r="AP1640" s="73" t="e">
        <f>MID(VLOOKUP(K1640,#REF!,2,FALSE),1,2)</f>
        <v>#REF!</v>
      </c>
      <c r="AQ1640" s="89">
        <f>DATE(2013,8,31)</f>
        <v>41517</v>
      </c>
      <c r="AR1640" s="82">
        <f t="shared" si="106"/>
        <v>31</v>
      </c>
      <c r="AS1640" s="83">
        <f t="shared" si="107"/>
        <v>8</v>
      </c>
      <c r="AT1640" s="84">
        <f t="shared" si="108"/>
        <v>2013</v>
      </c>
      <c r="AU1640" s="86"/>
      <c r="AV1640" s="86"/>
      <c r="AW1640" s="87"/>
      <c r="AX1640" s="86"/>
      <c r="AY1640" s="83"/>
      <c r="AZ1640" s="84"/>
      <c r="BA1640" s="86"/>
      <c r="BB1640" s="86"/>
    </row>
    <row r="1641" spans="1:54" ht="36.75" customHeight="1">
      <c r="A1641" s="30"/>
      <c r="B1641" s="30" t="s">
        <v>55</v>
      </c>
      <c r="C1641" s="69" t="str">
        <f t="shared" si="105"/>
        <v>Closed</v>
      </c>
      <c r="D1641" s="27" t="s">
        <v>9152</v>
      </c>
      <c r="E1641" s="29" t="s">
        <v>9153</v>
      </c>
      <c r="F1641" s="30" t="s">
        <v>1572</v>
      </c>
      <c r="G1641" s="89">
        <f>DATE(2013,9,2)</f>
        <v>41519</v>
      </c>
      <c r="H1641" s="90">
        <v>1.6541666666666668</v>
      </c>
      <c r="I1641" s="30" t="s">
        <v>73</v>
      </c>
      <c r="J1641" s="89" t="s">
        <v>9154</v>
      </c>
      <c r="K1641" s="30" t="s">
        <v>1574</v>
      </c>
      <c r="L1641" s="30" t="s">
        <v>9155</v>
      </c>
      <c r="M1641" s="30" t="s">
        <v>63</v>
      </c>
      <c r="N1641" s="30" t="s">
        <v>99</v>
      </c>
      <c r="O1641" s="30" t="s">
        <v>64</v>
      </c>
      <c r="P1641" s="89" t="s">
        <v>78</v>
      </c>
      <c r="Q1641" s="89" t="s">
        <v>6093</v>
      </c>
      <c r="R1641" s="89">
        <v>0</v>
      </c>
      <c r="S1641" s="30">
        <v>0</v>
      </c>
      <c r="T1641" s="233">
        <v>0</v>
      </c>
      <c r="U1641" s="30">
        <v>0</v>
      </c>
      <c r="V1641" s="233">
        <v>0</v>
      </c>
      <c r="W1641" s="30">
        <v>0</v>
      </c>
      <c r="X1641" s="30">
        <v>0</v>
      </c>
      <c r="Y1641" s="30">
        <v>0</v>
      </c>
      <c r="Z1641" s="233">
        <v>0</v>
      </c>
      <c r="AA1641" s="30">
        <v>0</v>
      </c>
      <c r="AB1641" s="30">
        <v>0</v>
      </c>
      <c r="AC1641" s="30">
        <v>0</v>
      </c>
      <c r="AD1641" s="30">
        <v>0</v>
      </c>
      <c r="AE1641" s="89" t="s">
        <v>92</v>
      </c>
      <c r="AF1641" s="89"/>
      <c r="AG1641" s="89" t="s">
        <v>352</v>
      </c>
      <c r="AH1641" s="72">
        <v>41520</v>
      </c>
      <c r="AI1641" s="30">
        <v>0</v>
      </c>
      <c r="AJ1641" s="89" t="s">
        <v>9156</v>
      </c>
      <c r="AK1641" s="89" t="s">
        <v>1233</v>
      </c>
      <c r="AL1641" s="91">
        <v>41522</v>
      </c>
      <c r="AM1641" s="91"/>
      <c r="AN1641" s="91"/>
      <c r="AO1641" s="91"/>
      <c r="AP1641" s="73" t="e">
        <f>MID(VLOOKUP(K1641,#REF!,2,FALSE),1,2)</f>
        <v>#REF!</v>
      </c>
      <c r="AQ1641" s="89">
        <f>DATE(2013,9,2)</f>
        <v>41519</v>
      </c>
      <c r="AR1641" s="82">
        <f t="shared" si="106"/>
        <v>2</v>
      </c>
      <c r="AS1641" s="83">
        <f t="shared" si="107"/>
        <v>9</v>
      </c>
      <c r="AT1641" s="84">
        <f t="shared" si="108"/>
        <v>2013</v>
      </c>
      <c r="AU1641" s="86"/>
      <c r="AV1641" s="86"/>
      <c r="AW1641" s="87"/>
      <c r="AX1641" s="86"/>
      <c r="AY1641" s="83"/>
      <c r="AZ1641" s="84"/>
      <c r="BA1641" s="86"/>
      <c r="BB1641" s="86"/>
    </row>
    <row r="1642" spans="1:54" ht="36.75" customHeight="1">
      <c r="A1642" s="30"/>
      <c r="B1642" s="30" t="s">
        <v>55</v>
      </c>
      <c r="C1642" s="69" t="str">
        <f t="shared" si="105"/>
        <v>Closed</v>
      </c>
      <c r="D1642" s="27" t="s">
        <v>9157</v>
      </c>
      <c r="E1642" s="29" t="s">
        <v>9158</v>
      </c>
      <c r="F1642" s="30" t="s">
        <v>2601</v>
      </c>
      <c r="G1642" s="89">
        <f>DATE(2013,9,3)</f>
        <v>41520</v>
      </c>
      <c r="H1642" s="90">
        <v>1.8944444444444444</v>
      </c>
      <c r="I1642" s="30" t="s">
        <v>73</v>
      </c>
      <c r="J1642" s="89" t="s">
        <v>9159</v>
      </c>
      <c r="K1642" s="30" t="s">
        <v>2603</v>
      </c>
      <c r="L1642" s="30" t="s">
        <v>9160</v>
      </c>
      <c r="M1642" s="30" t="s">
        <v>63</v>
      </c>
      <c r="N1642" s="30" t="s">
        <v>89</v>
      </c>
      <c r="O1642" s="30" t="s">
        <v>77</v>
      </c>
      <c r="P1642" s="89" t="s">
        <v>65</v>
      </c>
      <c r="Q1642" s="89" t="s">
        <v>6342</v>
      </c>
      <c r="R1642" s="89" t="s">
        <v>2606</v>
      </c>
      <c r="S1642" s="30">
        <v>0</v>
      </c>
      <c r="T1642" s="233">
        <v>0</v>
      </c>
      <c r="U1642" s="30">
        <v>0</v>
      </c>
      <c r="V1642" s="233">
        <v>0</v>
      </c>
      <c r="W1642" s="30">
        <v>0</v>
      </c>
      <c r="X1642" s="30">
        <v>0</v>
      </c>
      <c r="Y1642" s="30">
        <v>0</v>
      </c>
      <c r="Z1642" s="233">
        <v>0</v>
      </c>
      <c r="AA1642" s="30">
        <v>0</v>
      </c>
      <c r="AB1642" s="30">
        <v>0</v>
      </c>
      <c r="AC1642" s="30">
        <v>0</v>
      </c>
      <c r="AD1642" s="30">
        <v>0</v>
      </c>
      <c r="AE1642" s="89" t="s">
        <v>92</v>
      </c>
      <c r="AF1642" s="89"/>
      <c r="AG1642" s="89" t="s">
        <v>133</v>
      </c>
      <c r="AH1642" s="72">
        <v>41521</v>
      </c>
      <c r="AI1642" s="30">
        <v>3</v>
      </c>
      <c r="AJ1642" s="89" t="s">
        <v>9161</v>
      </c>
      <c r="AK1642" s="89" t="s">
        <v>9162</v>
      </c>
      <c r="AL1642" s="91">
        <v>41554</v>
      </c>
      <c r="AM1642" s="91"/>
      <c r="AN1642" s="91"/>
      <c r="AO1642" s="91"/>
      <c r="AP1642" s="73" t="e">
        <f>MID(VLOOKUP(K1642,#REF!,2,FALSE),1,2)</f>
        <v>#REF!</v>
      </c>
      <c r="AQ1642" s="89">
        <f>DATE(2013,9,3)</f>
        <v>41520</v>
      </c>
      <c r="AR1642" s="82">
        <f t="shared" si="106"/>
        <v>3</v>
      </c>
      <c r="AS1642" s="83">
        <f t="shared" si="107"/>
        <v>9</v>
      </c>
      <c r="AT1642" s="84">
        <f t="shared" si="108"/>
        <v>2013</v>
      </c>
      <c r="AU1642" s="86"/>
      <c r="AV1642" s="86"/>
      <c r="AW1642" s="87"/>
      <c r="AX1642" s="86"/>
      <c r="AY1642" s="83"/>
      <c r="AZ1642" s="84"/>
      <c r="BA1642" s="86"/>
      <c r="BB1642" s="86"/>
    </row>
    <row r="1643" spans="1:54" ht="36.75" customHeight="1">
      <c r="A1643" s="30"/>
      <c r="B1643" s="30" t="s">
        <v>55</v>
      </c>
      <c r="C1643" s="69" t="str">
        <f t="shared" si="105"/>
        <v>Closed</v>
      </c>
      <c r="D1643" s="27" t="s">
        <v>9163</v>
      </c>
      <c r="E1643" s="29" t="s">
        <v>9164</v>
      </c>
      <c r="F1643" s="30" t="s">
        <v>582</v>
      </c>
      <c r="G1643" s="89">
        <f>DATE(2013,9,5)</f>
        <v>41522</v>
      </c>
      <c r="H1643" s="90">
        <v>0</v>
      </c>
      <c r="I1643" s="30" t="s">
        <v>73</v>
      </c>
      <c r="J1643" s="89" t="s">
        <v>9165</v>
      </c>
      <c r="K1643" s="30" t="s">
        <v>584</v>
      </c>
      <c r="L1643" s="30" t="s">
        <v>9166</v>
      </c>
      <c r="M1643" s="30" t="s">
        <v>63</v>
      </c>
      <c r="N1643" s="30" t="s">
        <v>142</v>
      </c>
      <c r="O1643" s="30" t="s">
        <v>77</v>
      </c>
      <c r="P1643" s="89" t="s">
        <v>165</v>
      </c>
      <c r="Q1643" s="89" t="s">
        <v>9167</v>
      </c>
      <c r="R1643" s="89" t="s">
        <v>587</v>
      </c>
      <c r="S1643" s="30">
        <v>0</v>
      </c>
      <c r="T1643" s="233">
        <v>0</v>
      </c>
      <c r="U1643" s="30">
        <v>0</v>
      </c>
      <c r="V1643" s="233">
        <v>0</v>
      </c>
      <c r="W1643" s="30">
        <v>0</v>
      </c>
      <c r="X1643" s="30">
        <v>0</v>
      </c>
      <c r="Y1643" s="30">
        <v>0</v>
      </c>
      <c r="Z1643" s="233">
        <v>0</v>
      </c>
      <c r="AA1643" s="30">
        <v>0</v>
      </c>
      <c r="AB1643" s="30">
        <v>0</v>
      </c>
      <c r="AC1643" s="30">
        <v>0</v>
      </c>
      <c r="AD1643" s="30">
        <v>0</v>
      </c>
      <c r="AE1643" s="89" t="s">
        <v>394</v>
      </c>
      <c r="AF1643" s="89"/>
      <c r="AG1643" s="89" t="s">
        <v>133</v>
      </c>
      <c r="AH1643" s="72">
        <v>41530</v>
      </c>
      <c r="AI1643" s="30">
        <v>0</v>
      </c>
      <c r="AJ1643" s="89" t="s">
        <v>9168</v>
      </c>
      <c r="AK1643" s="89" t="s">
        <v>9169</v>
      </c>
      <c r="AL1643" s="91">
        <v>41542</v>
      </c>
      <c r="AM1643" s="91"/>
      <c r="AN1643" s="91"/>
      <c r="AO1643" s="91"/>
      <c r="AP1643" s="73" t="e">
        <f>MID(VLOOKUP(K1643,#REF!,2,FALSE),1,2)</f>
        <v>#REF!</v>
      </c>
      <c r="AQ1643" s="89">
        <f>DATE(2013,9,5)</f>
        <v>41522</v>
      </c>
      <c r="AR1643" s="82">
        <f t="shared" si="106"/>
        <v>5</v>
      </c>
      <c r="AS1643" s="83">
        <f t="shared" si="107"/>
        <v>9</v>
      </c>
      <c r="AT1643" s="84">
        <f t="shared" si="108"/>
        <v>2013</v>
      </c>
      <c r="AU1643" s="86"/>
      <c r="AV1643" s="86"/>
      <c r="AW1643" s="87"/>
      <c r="AX1643" s="86"/>
      <c r="AY1643" s="83"/>
      <c r="AZ1643" s="84"/>
      <c r="BA1643" s="86"/>
      <c r="BB1643" s="86"/>
    </row>
    <row r="1644" spans="1:54" ht="36.75" customHeight="1">
      <c r="A1644" s="30"/>
      <c r="B1644" s="30" t="s">
        <v>55</v>
      </c>
      <c r="C1644" s="69" t="str">
        <f t="shared" si="105"/>
        <v>Closed</v>
      </c>
      <c r="D1644" s="27" t="s">
        <v>9170</v>
      </c>
      <c r="E1644" s="29" t="s">
        <v>9171</v>
      </c>
      <c r="F1644" s="30" t="s">
        <v>582</v>
      </c>
      <c r="G1644" s="89">
        <f>DATE(2013,9,5)</f>
        <v>41522</v>
      </c>
      <c r="H1644" s="90">
        <v>1.4694444444444446</v>
      </c>
      <c r="I1644" s="30" t="s">
        <v>198</v>
      </c>
      <c r="J1644" s="89" t="s">
        <v>9172</v>
      </c>
      <c r="K1644" s="30" t="s">
        <v>584</v>
      </c>
      <c r="L1644" s="30" t="s">
        <v>9173</v>
      </c>
      <c r="M1644" s="30" t="s">
        <v>63</v>
      </c>
      <c r="N1644" s="30" t="s">
        <v>142</v>
      </c>
      <c r="O1644" s="30" t="s">
        <v>77</v>
      </c>
      <c r="P1644" s="89" t="s">
        <v>65</v>
      </c>
      <c r="Q1644" s="89" t="s">
        <v>4830</v>
      </c>
      <c r="R1644" s="89" t="s">
        <v>587</v>
      </c>
      <c r="S1644" s="30">
        <v>0</v>
      </c>
      <c r="T1644" s="233">
        <v>0</v>
      </c>
      <c r="U1644" s="30">
        <v>0</v>
      </c>
      <c r="V1644" s="233">
        <v>0</v>
      </c>
      <c r="W1644" s="30">
        <v>0</v>
      </c>
      <c r="X1644" s="30">
        <v>0</v>
      </c>
      <c r="Y1644" s="30">
        <v>0</v>
      </c>
      <c r="Z1644" s="233">
        <v>0</v>
      </c>
      <c r="AA1644" s="30">
        <v>0</v>
      </c>
      <c r="AB1644" s="30">
        <v>0</v>
      </c>
      <c r="AC1644" s="30">
        <v>0</v>
      </c>
      <c r="AD1644" s="30">
        <v>0</v>
      </c>
      <c r="AE1644" s="89" t="s">
        <v>92</v>
      </c>
      <c r="AF1644" s="89"/>
      <c r="AG1644" s="89" t="s">
        <v>133</v>
      </c>
      <c r="AH1644" s="72">
        <v>41530</v>
      </c>
      <c r="AI1644" s="30">
        <v>0</v>
      </c>
      <c r="AJ1644" s="89" t="s">
        <v>9174</v>
      </c>
      <c r="AK1644" s="89" t="s">
        <v>1233</v>
      </c>
      <c r="AL1644" s="91">
        <v>41542</v>
      </c>
      <c r="AM1644" s="91"/>
      <c r="AN1644" s="91"/>
      <c r="AO1644" s="91"/>
      <c r="AP1644" s="73" t="e">
        <f>MID(VLOOKUP(K1644,#REF!,2,FALSE),1,2)</f>
        <v>#REF!</v>
      </c>
      <c r="AQ1644" s="89">
        <f>DATE(2013,9,5)</f>
        <v>41522</v>
      </c>
      <c r="AR1644" s="82">
        <f t="shared" si="106"/>
        <v>5</v>
      </c>
      <c r="AS1644" s="83">
        <f t="shared" si="107"/>
        <v>9</v>
      </c>
      <c r="AT1644" s="84">
        <f t="shared" si="108"/>
        <v>2013</v>
      </c>
      <c r="AU1644" s="86"/>
      <c r="AV1644" s="86"/>
      <c r="AW1644" s="87"/>
      <c r="AX1644" s="86"/>
      <c r="AY1644" s="83"/>
      <c r="AZ1644" s="84"/>
      <c r="BA1644" s="86"/>
      <c r="BB1644" s="86"/>
    </row>
    <row r="1645" spans="1:54" ht="36.75" customHeight="1">
      <c r="A1645" s="30"/>
      <c r="B1645" s="30" t="s">
        <v>55</v>
      </c>
      <c r="C1645" s="69" t="str">
        <f t="shared" si="105"/>
        <v>Closed</v>
      </c>
      <c r="D1645" s="27" t="s">
        <v>9175</v>
      </c>
      <c r="E1645" s="29" t="s">
        <v>9176</v>
      </c>
      <c r="F1645" s="30" t="s">
        <v>638</v>
      </c>
      <c r="G1645" s="89">
        <f>DATE(2013,9,5)</f>
        <v>41522</v>
      </c>
      <c r="H1645" s="90">
        <v>1.6138888888888889</v>
      </c>
      <c r="I1645" s="30" t="s">
        <v>59</v>
      </c>
      <c r="J1645" s="89" t="s">
        <v>9177</v>
      </c>
      <c r="K1645" s="30" t="s">
        <v>640</v>
      </c>
      <c r="L1645" s="30" t="s">
        <v>9178</v>
      </c>
      <c r="M1645" s="30" t="s">
        <v>63</v>
      </c>
      <c r="N1645" s="30" t="s">
        <v>142</v>
      </c>
      <c r="O1645" s="30" t="s">
        <v>64</v>
      </c>
      <c r="P1645" s="89" t="s">
        <v>6902</v>
      </c>
      <c r="Q1645" s="89" t="s">
        <v>642</v>
      </c>
      <c r="R1645" s="89" t="s">
        <v>643</v>
      </c>
      <c r="S1645" s="30">
        <v>0</v>
      </c>
      <c r="T1645" s="233">
        <v>0</v>
      </c>
      <c r="U1645" s="30">
        <v>0</v>
      </c>
      <c r="V1645" s="233">
        <v>0</v>
      </c>
      <c r="W1645" s="30">
        <v>0</v>
      </c>
      <c r="X1645" s="30">
        <v>0</v>
      </c>
      <c r="Y1645" s="30">
        <v>0</v>
      </c>
      <c r="Z1645" s="233">
        <v>0</v>
      </c>
      <c r="AA1645" s="30">
        <v>0</v>
      </c>
      <c r="AB1645" s="30">
        <v>0</v>
      </c>
      <c r="AC1645" s="30">
        <v>0</v>
      </c>
      <c r="AD1645" s="30">
        <v>0</v>
      </c>
      <c r="AE1645" s="89" t="s">
        <v>92</v>
      </c>
      <c r="AF1645" s="89"/>
      <c r="AG1645" s="89" t="s">
        <v>352</v>
      </c>
      <c r="AH1645" s="72">
        <v>41576</v>
      </c>
      <c r="AI1645" s="30">
        <v>3</v>
      </c>
      <c r="AJ1645" s="89" t="s">
        <v>9179</v>
      </c>
      <c r="AK1645" s="89" t="s">
        <v>68</v>
      </c>
      <c r="AL1645" s="91">
        <v>41582</v>
      </c>
      <c r="AM1645" s="91"/>
      <c r="AN1645" s="91"/>
      <c r="AO1645" s="91"/>
      <c r="AP1645" s="73" t="e">
        <f>MID(VLOOKUP(K1645,#REF!,2,FALSE),1,2)</f>
        <v>#REF!</v>
      </c>
      <c r="AQ1645" s="89">
        <f>DATE(2013,9,5)</f>
        <v>41522</v>
      </c>
      <c r="AR1645" s="82">
        <f t="shared" si="106"/>
        <v>5</v>
      </c>
      <c r="AS1645" s="83">
        <f t="shared" si="107"/>
        <v>9</v>
      </c>
      <c r="AT1645" s="84">
        <f t="shared" si="108"/>
        <v>2013</v>
      </c>
      <c r="AU1645" s="86"/>
      <c r="AV1645" s="86"/>
      <c r="AW1645" s="87"/>
      <c r="AX1645" s="86"/>
      <c r="AY1645" s="83"/>
      <c r="AZ1645" s="84"/>
      <c r="BA1645" s="86"/>
      <c r="BB1645" s="86"/>
    </row>
    <row r="1646" spans="1:54" ht="36.75" customHeight="1">
      <c r="A1646" s="30"/>
      <c r="B1646" s="30" t="s">
        <v>55</v>
      </c>
      <c r="C1646" s="69" t="str">
        <f t="shared" si="105"/>
        <v>Closed</v>
      </c>
      <c r="D1646" s="27" t="s">
        <v>9180</v>
      </c>
      <c r="E1646" s="29" t="s">
        <v>9181</v>
      </c>
      <c r="F1646" s="30" t="s">
        <v>423</v>
      </c>
      <c r="G1646" s="89">
        <f>DATE(2013,9,12)</f>
        <v>41529</v>
      </c>
      <c r="H1646" s="90">
        <v>1.5013888888888889</v>
      </c>
      <c r="I1646" s="30" t="s">
        <v>116</v>
      </c>
      <c r="J1646" s="89" t="s">
        <v>9182</v>
      </c>
      <c r="K1646" s="30" t="s">
        <v>425</v>
      </c>
      <c r="L1646" s="30" t="s">
        <v>9183</v>
      </c>
      <c r="M1646" s="30" t="s">
        <v>63</v>
      </c>
      <c r="N1646" s="30" t="s">
        <v>99</v>
      </c>
      <c r="O1646" s="30" t="s">
        <v>64</v>
      </c>
      <c r="P1646" s="89" t="s">
        <v>165</v>
      </c>
      <c r="Q1646" s="89" t="s">
        <v>427</v>
      </c>
      <c r="R1646" s="89" t="s">
        <v>3103</v>
      </c>
      <c r="S1646" s="30">
        <v>0</v>
      </c>
      <c r="T1646" s="233">
        <v>0</v>
      </c>
      <c r="U1646" s="30">
        <v>1</v>
      </c>
      <c r="V1646" s="233">
        <v>0</v>
      </c>
      <c r="W1646" s="30">
        <v>0</v>
      </c>
      <c r="X1646" s="30">
        <v>1</v>
      </c>
      <c r="Y1646" s="30">
        <v>0</v>
      </c>
      <c r="Z1646" s="233">
        <v>0</v>
      </c>
      <c r="AA1646" s="30">
        <v>0</v>
      </c>
      <c r="AB1646" s="30">
        <v>0</v>
      </c>
      <c r="AC1646" s="30">
        <v>0</v>
      </c>
      <c r="AD1646" s="30">
        <v>0</v>
      </c>
      <c r="AE1646" s="89" t="s">
        <v>92</v>
      </c>
      <c r="AF1646" s="89"/>
      <c r="AG1646" s="89" t="s">
        <v>133</v>
      </c>
      <c r="AH1646" s="72">
        <v>41530</v>
      </c>
      <c r="AI1646" s="30">
        <v>3</v>
      </c>
      <c r="AJ1646" s="89" t="s">
        <v>9184</v>
      </c>
      <c r="AK1646" s="89" t="s">
        <v>9185</v>
      </c>
      <c r="AL1646" s="91">
        <v>41530</v>
      </c>
      <c r="AM1646" s="91"/>
      <c r="AN1646" s="91"/>
      <c r="AO1646" s="91"/>
      <c r="AP1646" s="73" t="e">
        <f>MID(VLOOKUP(K1646,#REF!,2,FALSE),1,2)</f>
        <v>#REF!</v>
      </c>
      <c r="AQ1646" s="89">
        <f>DATE(2013,9,12)</f>
        <v>41529</v>
      </c>
      <c r="AR1646" s="82">
        <f t="shared" si="106"/>
        <v>12</v>
      </c>
      <c r="AS1646" s="83">
        <f t="shared" si="107"/>
        <v>9</v>
      </c>
      <c r="AT1646" s="84">
        <f t="shared" si="108"/>
        <v>2013</v>
      </c>
      <c r="AU1646" s="86"/>
      <c r="AV1646" s="86"/>
      <c r="AW1646" s="87"/>
      <c r="AX1646" s="86"/>
      <c r="AY1646" s="83"/>
      <c r="AZ1646" s="84"/>
      <c r="BA1646" s="86"/>
      <c r="BB1646" s="86"/>
    </row>
    <row r="1647" spans="1:54" ht="36.75" customHeight="1">
      <c r="A1647" s="30"/>
      <c r="B1647" s="30" t="s">
        <v>55</v>
      </c>
      <c r="C1647" s="69" t="str">
        <f t="shared" si="105"/>
        <v>Closed</v>
      </c>
      <c r="D1647" s="27" t="s">
        <v>9186</v>
      </c>
      <c r="E1647" s="29" t="s">
        <v>9187</v>
      </c>
      <c r="F1647" s="30" t="s">
        <v>835</v>
      </c>
      <c r="G1647" s="89">
        <f>DATE(2013,9,14)</f>
        <v>41531</v>
      </c>
      <c r="H1647" s="90">
        <v>0</v>
      </c>
      <c r="I1647" s="30" t="s">
        <v>104</v>
      </c>
      <c r="J1647" s="89" t="s">
        <v>9188</v>
      </c>
      <c r="K1647" s="30" t="s">
        <v>837</v>
      </c>
      <c r="L1647" s="30" t="s">
        <v>9189</v>
      </c>
      <c r="M1647" s="30" t="s">
        <v>63</v>
      </c>
      <c r="N1647" s="30" t="s">
        <v>89</v>
      </c>
      <c r="O1647" s="30" t="s">
        <v>77</v>
      </c>
      <c r="P1647" s="89" t="s">
        <v>1216</v>
      </c>
      <c r="Q1647" s="89" t="s">
        <v>2162</v>
      </c>
      <c r="R1647" s="89" t="s">
        <v>840</v>
      </c>
      <c r="S1647" s="30">
        <v>0</v>
      </c>
      <c r="T1647" s="233">
        <v>0</v>
      </c>
      <c r="U1647" s="30">
        <v>0</v>
      </c>
      <c r="V1647" s="233">
        <v>0</v>
      </c>
      <c r="W1647" s="30">
        <v>0</v>
      </c>
      <c r="X1647" s="30">
        <v>0</v>
      </c>
      <c r="Y1647" s="30">
        <v>0</v>
      </c>
      <c r="Z1647" s="233">
        <v>0</v>
      </c>
      <c r="AA1647" s="30">
        <v>0</v>
      </c>
      <c r="AB1647" s="30">
        <v>0</v>
      </c>
      <c r="AC1647" s="30">
        <v>0</v>
      </c>
      <c r="AD1647" s="30">
        <v>0</v>
      </c>
      <c r="AE1647" s="89" t="s">
        <v>92</v>
      </c>
      <c r="AF1647" s="89"/>
      <c r="AG1647" s="89" t="s">
        <v>352</v>
      </c>
      <c r="AH1647" s="72">
        <v>41531</v>
      </c>
      <c r="AI1647" s="30">
        <v>5</v>
      </c>
      <c r="AJ1647" s="89" t="s">
        <v>9190</v>
      </c>
      <c r="AK1647" s="89" t="s">
        <v>9191</v>
      </c>
      <c r="AL1647" s="91">
        <v>41533</v>
      </c>
      <c r="AM1647" s="91"/>
      <c r="AN1647" s="91"/>
      <c r="AO1647" s="91"/>
      <c r="AP1647" s="73" t="e">
        <f>MID(VLOOKUP(K1647,#REF!,2,FALSE),1,2)</f>
        <v>#REF!</v>
      </c>
      <c r="AQ1647" s="89">
        <f>DATE(2013,9,14)</f>
        <v>41531</v>
      </c>
      <c r="AR1647" s="82">
        <f t="shared" si="106"/>
        <v>14</v>
      </c>
      <c r="AS1647" s="83">
        <f t="shared" si="107"/>
        <v>9</v>
      </c>
      <c r="AT1647" s="84">
        <f t="shared" si="108"/>
        <v>2013</v>
      </c>
      <c r="AU1647" s="86"/>
      <c r="AV1647" s="86"/>
      <c r="AW1647" s="87"/>
      <c r="AX1647" s="86"/>
      <c r="AY1647" s="83"/>
      <c r="AZ1647" s="84"/>
      <c r="BA1647" s="86"/>
      <c r="BB1647" s="86"/>
    </row>
    <row r="1648" spans="1:54" ht="36.75" customHeight="1">
      <c r="A1648" s="30"/>
      <c r="B1648" s="30" t="s">
        <v>55</v>
      </c>
      <c r="C1648" s="69" t="str">
        <f t="shared" si="105"/>
        <v>Closed</v>
      </c>
      <c r="D1648" s="27" t="s">
        <v>9192</v>
      </c>
      <c r="E1648" s="29" t="s">
        <v>9193</v>
      </c>
      <c r="F1648" s="30" t="s">
        <v>835</v>
      </c>
      <c r="G1648" s="89">
        <f>DATE(2013,9,14)</f>
        <v>41531</v>
      </c>
      <c r="H1648" s="90">
        <v>1.3374999999999999</v>
      </c>
      <c r="I1648" s="30" t="s">
        <v>73</v>
      </c>
      <c r="J1648" s="89" t="s">
        <v>9194</v>
      </c>
      <c r="K1648" s="30" t="s">
        <v>837</v>
      </c>
      <c r="L1648" s="30" t="s">
        <v>9195</v>
      </c>
      <c r="M1648" s="30" t="s">
        <v>63</v>
      </c>
      <c r="N1648" s="30" t="s">
        <v>142</v>
      </c>
      <c r="O1648" s="30" t="s">
        <v>77</v>
      </c>
      <c r="P1648" s="89" t="s">
        <v>86</v>
      </c>
      <c r="Q1648" s="89" t="s">
        <v>2162</v>
      </c>
      <c r="R1648" s="89" t="s">
        <v>840</v>
      </c>
      <c r="S1648" s="30">
        <v>0</v>
      </c>
      <c r="T1648" s="233">
        <v>0</v>
      </c>
      <c r="U1648" s="30">
        <v>0</v>
      </c>
      <c r="V1648" s="233">
        <v>0</v>
      </c>
      <c r="W1648" s="30">
        <v>0</v>
      </c>
      <c r="X1648" s="30">
        <v>0</v>
      </c>
      <c r="Y1648" s="30">
        <v>0</v>
      </c>
      <c r="Z1648" s="233">
        <v>0</v>
      </c>
      <c r="AA1648" s="30">
        <v>0</v>
      </c>
      <c r="AB1648" s="30">
        <v>0</v>
      </c>
      <c r="AC1648" s="30">
        <v>0</v>
      </c>
      <c r="AD1648" s="30">
        <v>0</v>
      </c>
      <c r="AE1648" s="89" t="s">
        <v>92</v>
      </c>
      <c r="AF1648" s="89"/>
      <c r="AG1648" s="89" t="s">
        <v>7495</v>
      </c>
      <c r="AH1648" s="72">
        <v>41531</v>
      </c>
      <c r="AI1648" s="30">
        <v>0</v>
      </c>
      <c r="AJ1648" s="89" t="s">
        <v>9196</v>
      </c>
      <c r="AK1648" s="89" t="s">
        <v>68</v>
      </c>
      <c r="AL1648" s="91">
        <v>42095</v>
      </c>
      <c r="AM1648" s="91"/>
      <c r="AN1648" s="91"/>
      <c r="AO1648" s="91"/>
      <c r="AP1648" s="73" t="e">
        <f>MID(VLOOKUP(K1648,#REF!,2,FALSE),1,2)</f>
        <v>#REF!</v>
      </c>
      <c r="AQ1648" s="89">
        <f>DATE(2013,9,14)</f>
        <v>41531</v>
      </c>
      <c r="AR1648" s="82">
        <f t="shared" si="106"/>
        <v>14</v>
      </c>
      <c r="AS1648" s="83">
        <f t="shared" si="107"/>
        <v>9</v>
      </c>
      <c r="AT1648" s="84">
        <f t="shared" si="108"/>
        <v>2013</v>
      </c>
      <c r="AU1648" s="86"/>
      <c r="AV1648" s="86"/>
      <c r="AW1648" s="87"/>
      <c r="AX1648" s="86"/>
      <c r="AY1648" s="83"/>
      <c r="AZ1648" s="84"/>
      <c r="BA1648" s="86"/>
      <c r="BB1648" s="86"/>
    </row>
    <row r="1649" spans="1:54" ht="36.75" customHeight="1">
      <c r="A1649" s="30"/>
      <c r="B1649" s="30" t="s">
        <v>55</v>
      </c>
      <c r="C1649" s="69" t="str">
        <f t="shared" si="105"/>
        <v>Closed</v>
      </c>
      <c r="D1649" s="27" t="s">
        <v>9197</v>
      </c>
      <c r="E1649" s="29" t="s">
        <v>9198</v>
      </c>
      <c r="F1649" s="30" t="s">
        <v>197</v>
      </c>
      <c r="G1649" s="89">
        <f>DATE(2013,9,20)</f>
        <v>41537</v>
      </c>
      <c r="H1649" s="90">
        <v>0</v>
      </c>
      <c r="I1649" s="30" t="s">
        <v>156</v>
      </c>
      <c r="J1649" s="89" t="s">
        <v>9199</v>
      </c>
      <c r="K1649" s="30" t="s">
        <v>200</v>
      </c>
      <c r="L1649" s="30" t="s">
        <v>9200</v>
      </c>
      <c r="M1649" s="30" t="s">
        <v>63</v>
      </c>
      <c r="N1649" s="30" t="s">
        <v>142</v>
      </c>
      <c r="O1649" s="30" t="s">
        <v>77</v>
      </c>
      <c r="P1649" s="89" t="s">
        <v>65</v>
      </c>
      <c r="Q1649" s="89" t="s">
        <v>202</v>
      </c>
      <c r="R1649" s="89" t="s">
        <v>203</v>
      </c>
      <c r="S1649" s="30">
        <v>0</v>
      </c>
      <c r="T1649" s="233">
        <v>0</v>
      </c>
      <c r="U1649" s="30">
        <v>0</v>
      </c>
      <c r="V1649" s="233">
        <v>0</v>
      </c>
      <c r="W1649" s="30">
        <v>0</v>
      </c>
      <c r="X1649" s="30">
        <v>0</v>
      </c>
      <c r="Y1649" s="30">
        <v>0</v>
      </c>
      <c r="Z1649" s="233">
        <v>1</v>
      </c>
      <c r="AA1649" s="30">
        <v>0</v>
      </c>
      <c r="AB1649" s="30">
        <v>0</v>
      </c>
      <c r="AC1649" s="30">
        <v>0</v>
      </c>
      <c r="AD1649" s="30">
        <v>1</v>
      </c>
      <c r="AE1649" s="89" t="s">
        <v>92</v>
      </c>
      <c r="AF1649" s="89"/>
      <c r="AG1649" s="89" t="s">
        <v>133</v>
      </c>
      <c r="AH1649" s="72">
        <v>41940</v>
      </c>
      <c r="AI1649" s="30">
        <v>0</v>
      </c>
      <c r="AJ1649" s="89" t="s">
        <v>9201</v>
      </c>
      <c r="AK1649" s="89" t="s">
        <v>1233</v>
      </c>
      <c r="AL1649" s="91">
        <v>41995</v>
      </c>
      <c r="AM1649" s="91"/>
      <c r="AN1649" s="91"/>
      <c r="AO1649" s="91"/>
      <c r="AP1649" s="73" t="e">
        <f>MID(VLOOKUP(K1649,#REF!,2,FALSE),1,2)</f>
        <v>#REF!</v>
      </c>
      <c r="AQ1649" s="89">
        <f>DATE(2013,9,20)</f>
        <v>41537</v>
      </c>
      <c r="AR1649" s="82">
        <f t="shared" si="106"/>
        <v>20</v>
      </c>
      <c r="AS1649" s="83">
        <f t="shared" si="107"/>
        <v>9</v>
      </c>
      <c r="AT1649" s="84">
        <f t="shared" si="108"/>
        <v>2013</v>
      </c>
      <c r="AU1649" s="86"/>
      <c r="AV1649" s="86"/>
      <c r="AW1649" s="87"/>
      <c r="AX1649" s="86"/>
      <c r="AY1649" s="83"/>
      <c r="AZ1649" s="84"/>
      <c r="BA1649" s="86"/>
      <c r="BB1649" s="86"/>
    </row>
    <row r="1650" spans="1:54" ht="36.75" customHeight="1">
      <c r="A1650" s="30"/>
      <c r="B1650" s="30" t="s">
        <v>55</v>
      </c>
      <c r="C1650" s="69" t="str">
        <f t="shared" si="105"/>
        <v>Closed</v>
      </c>
      <c r="D1650" s="27" t="s">
        <v>9202</v>
      </c>
      <c r="E1650" s="29" t="s">
        <v>9203</v>
      </c>
      <c r="F1650" s="30" t="s">
        <v>638</v>
      </c>
      <c r="G1650" s="89">
        <f>DATE(2013,9,20)</f>
        <v>41537</v>
      </c>
      <c r="H1650" s="90">
        <v>1.4194444444444445</v>
      </c>
      <c r="I1650" s="30" t="s">
        <v>198</v>
      </c>
      <c r="J1650" s="89" t="s">
        <v>9204</v>
      </c>
      <c r="K1650" s="30" t="s">
        <v>640</v>
      </c>
      <c r="L1650" s="30" t="s">
        <v>9205</v>
      </c>
      <c r="M1650" s="30" t="s">
        <v>63</v>
      </c>
      <c r="N1650" s="30" t="s">
        <v>142</v>
      </c>
      <c r="O1650" s="30" t="s">
        <v>77</v>
      </c>
      <c r="P1650" s="89" t="s">
        <v>6902</v>
      </c>
      <c r="Q1650" s="89" t="s">
        <v>642</v>
      </c>
      <c r="R1650" s="89" t="s">
        <v>643</v>
      </c>
      <c r="S1650" s="30">
        <v>0</v>
      </c>
      <c r="T1650" s="233">
        <v>0</v>
      </c>
      <c r="U1650" s="30">
        <v>0</v>
      </c>
      <c r="V1650" s="233">
        <v>0</v>
      </c>
      <c r="W1650" s="30">
        <v>0</v>
      </c>
      <c r="X1650" s="30">
        <v>0</v>
      </c>
      <c r="Y1650" s="30">
        <v>0</v>
      </c>
      <c r="Z1650" s="233">
        <v>0</v>
      </c>
      <c r="AA1650" s="30">
        <v>0</v>
      </c>
      <c r="AB1650" s="30">
        <v>0</v>
      </c>
      <c r="AC1650" s="30">
        <v>0</v>
      </c>
      <c r="AD1650" s="30">
        <v>0</v>
      </c>
      <c r="AE1650" s="89" t="s">
        <v>92</v>
      </c>
      <c r="AF1650" s="89"/>
      <c r="AG1650" s="89" t="s">
        <v>352</v>
      </c>
      <c r="AH1650" s="72">
        <v>41576</v>
      </c>
      <c r="AI1650" s="30">
        <v>0</v>
      </c>
      <c r="AJ1650" s="89" t="s">
        <v>9206</v>
      </c>
      <c r="AK1650" s="89" t="s">
        <v>68</v>
      </c>
      <c r="AL1650" s="91">
        <v>41582</v>
      </c>
      <c r="AM1650" s="91"/>
      <c r="AN1650" s="91"/>
      <c r="AO1650" s="91"/>
      <c r="AP1650" s="73" t="e">
        <f>MID(VLOOKUP(K1650,#REF!,2,FALSE),1,2)</f>
        <v>#REF!</v>
      </c>
      <c r="AQ1650" s="89">
        <f>DATE(2013,9,20)</f>
        <v>41537</v>
      </c>
      <c r="AR1650" s="82">
        <f t="shared" si="106"/>
        <v>20</v>
      </c>
      <c r="AS1650" s="83">
        <f t="shared" si="107"/>
        <v>9</v>
      </c>
      <c r="AT1650" s="84">
        <f t="shared" si="108"/>
        <v>2013</v>
      </c>
      <c r="AU1650" s="86"/>
      <c r="AV1650" s="86"/>
      <c r="AW1650" s="87"/>
      <c r="AX1650" s="86"/>
      <c r="AY1650" s="83"/>
      <c r="AZ1650" s="84"/>
      <c r="BA1650" s="86"/>
      <c r="BB1650" s="86"/>
    </row>
    <row r="1651" spans="1:54" ht="36.75" customHeight="1">
      <c r="A1651" s="30"/>
      <c r="B1651" s="30" t="s">
        <v>55</v>
      </c>
      <c r="C1651" s="69" t="str">
        <f t="shared" si="105"/>
        <v>Closed</v>
      </c>
      <c r="D1651" s="27" t="s">
        <v>9207</v>
      </c>
      <c r="E1651" s="29" t="s">
        <v>9208</v>
      </c>
      <c r="F1651" s="30" t="s">
        <v>1572</v>
      </c>
      <c r="G1651" s="89">
        <f>DATE(2013,9,24)</f>
        <v>41541</v>
      </c>
      <c r="H1651" s="90">
        <v>1.5138888888888888</v>
      </c>
      <c r="I1651" s="30" t="s">
        <v>73</v>
      </c>
      <c r="J1651" s="89" t="s">
        <v>9209</v>
      </c>
      <c r="K1651" s="30" t="s">
        <v>1574</v>
      </c>
      <c r="L1651" s="30" t="s">
        <v>9210</v>
      </c>
      <c r="M1651" s="30" t="s">
        <v>63</v>
      </c>
      <c r="N1651" s="30" t="s">
        <v>99</v>
      </c>
      <c r="O1651" s="30" t="s">
        <v>77</v>
      </c>
      <c r="P1651" s="89" t="s">
        <v>78</v>
      </c>
      <c r="Q1651" s="89" t="s">
        <v>2655</v>
      </c>
      <c r="R1651" s="89">
        <v>0</v>
      </c>
      <c r="S1651" s="30">
        <v>0</v>
      </c>
      <c r="T1651" s="233">
        <v>0</v>
      </c>
      <c r="U1651" s="30">
        <v>0</v>
      </c>
      <c r="V1651" s="233">
        <v>0</v>
      </c>
      <c r="W1651" s="30">
        <v>0</v>
      </c>
      <c r="X1651" s="30">
        <v>0</v>
      </c>
      <c r="Y1651" s="30">
        <v>0</v>
      </c>
      <c r="Z1651" s="233">
        <v>0</v>
      </c>
      <c r="AA1651" s="30">
        <v>0</v>
      </c>
      <c r="AB1651" s="30">
        <v>0</v>
      </c>
      <c r="AC1651" s="30">
        <v>0</v>
      </c>
      <c r="AD1651" s="30">
        <v>0</v>
      </c>
      <c r="AE1651" s="89" t="s">
        <v>92</v>
      </c>
      <c r="AF1651" s="89"/>
      <c r="AG1651" s="89" t="s">
        <v>133</v>
      </c>
      <c r="AH1651" s="72">
        <v>41542</v>
      </c>
      <c r="AI1651" s="30">
        <v>2</v>
      </c>
      <c r="AJ1651" s="89" t="s">
        <v>9211</v>
      </c>
      <c r="AK1651" s="89" t="s">
        <v>9212</v>
      </c>
      <c r="AL1651" s="91">
        <v>41544</v>
      </c>
      <c r="AM1651" s="91"/>
      <c r="AN1651" s="91"/>
      <c r="AO1651" s="91"/>
      <c r="AP1651" s="73" t="e">
        <f>MID(VLOOKUP(K1651,#REF!,2,FALSE),1,2)</f>
        <v>#REF!</v>
      </c>
      <c r="AQ1651" s="89">
        <f>DATE(2013,9,24)</f>
        <v>41541</v>
      </c>
      <c r="AR1651" s="82">
        <f t="shared" si="106"/>
        <v>24</v>
      </c>
      <c r="AS1651" s="83">
        <f t="shared" si="107"/>
        <v>9</v>
      </c>
      <c r="AT1651" s="84">
        <f t="shared" si="108"/>
        <v>2013</v>
      </c>
      <c r="AU1651" s="86"/>
      <c r="AV1651" s="86"/>
      <c r="AW1651" s="87"/>
      <c r="AX1651" s="86"/>
      <c r="AY1651" s="83"/>
      <c r="AZ1651" s="84"/>
      <c r="BA1651" s="86"/>
      <c r="BB1651" s="86"/>
    </row>
    <row r="1652" spans="1:54" ht="36.75" customHeight="1">
      <c r="A1652" s="30"/>
      <c r="B1652" s="30" t="s">
        <v>55</v>
      </c>
      <c r="C1652" s="69" t="str">
        <f t="shared" si="105"/>
        <v>Closed</v>
      </c>
      <c r="D1652" s="27" t="s">
        <v>9213</v>
      </c>
      <c r="E1652" s="29" t="s">
        <v>9214</v>
      </c>
      <c r="F1652" s="30" t="s">
        <v>638</v>
      </c>
      <c r="G1652" s="89">
        <f>DATE(2013,9,26)</f>
        <v>41543</v>
      </c>
      <c r="H1652" s="90">
        <v>1.3881944444444445</v>
      </c>
      <c r="I1652" s="30" t="s">
        <v>104</v>
      </c>
      <c r="J1652" s="89" t="s">
        <v>9215</v>
      </c>
      <c r="K1652" s="30" t="s">
        <v>640</v>
      </c>
      <c r="L1652" s="30" t="s">
        <v>9216</v>
      </c>
      <c r="M1652" s="30" t="s">
        <v>63</v>
      </c>
      <c r="N1652" s="30" t="s">
        <v>99</v>
      </c>
      <c r="O1652" s="30" t="s">
        <v>77</v>
      </c>
      <c r="P1652" s="89" t="s">
        <v>65</v>
      </c>
      <c r="Q1652" s="89" t="s">
        <v>642</v>
      </c>
      <c r="R1652" s="89" t="s">
        <v>643</v>
      </c>
      <c r="S1652" s="30">
        <v>0</v>
      </c>
      <c r="T1652" s="233">
        <v>0</v>
      </c>
      <c r="U1652" s="30">
        <v>0</v>
      </c>
      <c r="V1652" s="233">
        <v>0</v>
      </c>
      <c r="W1652" s="30">
        <v>0</v>
      </c>
      <c r="X1652" s="30">
        <v>0</v>
      </c>
      <c r="Y1652" s="30">
        <v>0</v>
      </c>
      <c r="Z1652" s="233">
        <v>0</v>
      </c>
      <c r="AA1652" s="30">
        <v>0</v>
      </c>
      <c r="AB1652" s="30">
        <v>0</v>
      </c>
      <c r="AC1652" s="30">
        <v>0</v>
      </c>
      <c r="AD1652" s="30">
        <v>0</v>
      </c>
      <c r="AE1652" s="89" t="s">
        <v>92</v>
      </c>
      <c r="AF1652" s="89"/>
      <c r="AG1652" s="89" t="s">
        <v>352</v>
      </c>
      <c r="AH1652" s="72">
        <v>41576</v>
      </c>
      <c r="AI1652" s="30">
        <v>1</v>
      </c>
      <c r="AJ1652" s="89" t="s">
        <v>9217</v>
      </c>
      <c r="AK1652" s="89" t="s">
        <v>68</v>
      </c>
      <c r="AL1652" s="91">
        <v>41582</v>
      </c>
      <c r="AM1652" s="91"/>
      <c r="AN1652" s="91"/>
      <c r="AO1652" s="91"/>
      <c r="AP1652" s="73" t="e">
        <f>MID(VLOOKUP(K1652,#REF!,2,FALSE),1,2)</f>
        <v>#REF!</v>
      </c>
      <c r="AQ1652" s="89">
        <f>DATE(2013,9,26)</f>
        <v>41543</v>
      </c>
      <c r="AR1652" s="82">
        <f t="shared" si="106"/>
        <v>26</v>
      </c>
      <c r="AS1652" s="83">
        <f t="shared" si="107"/>
        <v>9</v>
      </c>
      <c r="AT1652" s="84">
        <f t="shared" si="108"/>
        <v>2013</v>
      </c>
      <c r="AU1652" s="86"/>
      <c r="AV1652" s="86"/>
      <c r="AW1652" s="87"/>
      <c r="AX1652" s="86"/>
      <c r="AY1652" s="83"/>
      <c r="AZ1652" s="84"/>
      <c r="BA1652" s="86"/>
      <c r="BB1652" s="86"/>
    </row>
    <row r="1653" spans="1:54" ht="36.75" customHeight="1">
      <c r="A1653" s="30"/>
      <c r="B1653" s="30" t="s">
        <v>55</v>
      </c>
      <c r="C1653" s="69" t="str">
        <f t="shared" si="105"/>
        <v>Closed</v>
      </c>
      <c r="D1653" s="27" t="s">
        <v>9218</v>
      </c>
      <c r="E1653" s="29" t="s">
        <v>9219</v>
      </c>
      <c r="F1653" s="30" t="s">
        <v>1572</v>
      </c>
      <c r="G1653" s="89">
        <f>DATE(2013,9,27)</f>
        <v>41544</v>
      </c>
      <c r="H1653" s="90">
        <v>1.9166666666666665</v>
      </c>
      <c r="I1653" s="30" t="s">
        <v>73</v>
      </c>
      <c r="J1653" s="89" t="s">
        <v>9220</v>
      </c>
      <c r="K1653" s="30" t="s">
        <v>1574</v>
      </c>
      <c r="L1653" s="30" t="s">
        <v>9221</v>
      </c>
      <c r="M1653" s="30" t="s">
        <v>63</v>
      </c>
      <c r="N1653" s="30" t="s">
        <v>142</v>
      </c>
      <c r="O1653" s="30" t="s">
        <v>64</v>
      </c>
      <c r="P1653" s="89" t="s">
        <v>78</v>
      </c>
      <c r="Q1653" s="89" t="s">
        <v>6093</v>
      </c>
      <c r="R1653" s="89" t="s">
        <v>6434</v>
      </c>
      <c r="S1653" s="30">
        <v>0</v>
      </c>
      <c r="T1653" s="233">
        <v>0</v>
      </c>
      <c r="U1653" s="30">
        <v>0</v>
      </c>
      <c r="V1653" s="233">
        <v>0</v>
      </c>
      <c r="W1653" s="30">
        <v>0</v>
      </c>
      <c r="X1653" s="30">
        <v>0</v>
      </c>
      <c r="Y1653" s="30">
        <v>0</v>
      </c>
      <c r="Z1653" s="233">
        <v>0</v>
      </c>
      <c r="AA1653" s="30">
        <v>0</v>
      </c>
      <c r="AB1653" s="30">
        <v>0</v>
      </c>
      <c r="AC1653" s="30">
        <v>0</v>
      </c>
      <c r="AD1653" s="30">
        <v>0</v>
      </c>
      <c r="AE1653" s="89" t="s">
        <v>92</v>
      </c>
      <c r="AF1653" s="89"/>
      <c r="AG1653" s="89" t="s">
        <v>133</v>
      </c>
      <c r="AH1653" s="72">
        <v>41547</v>
      </c>
      <c r="AI1653" s="30">
        <v>0</v>
      </c>
      <c r="AJ1653" s="89" t="s">
        <v>9222</v>
      </c>
      <c r="AK1653" s="89" t="s">
        <v>9223</v>
      </c>
      <c r="AL1653" s="91">
        <v>41547</v>
      </c>
      <c r="AM1653" s="91"/>
      <c r="AN1653" s="91"/>
      <c r="AO1653" s="91"/>
      <c r="AP1653" s="73" t="e">
        <f>MID(VLOOKUP(K1653,#REF!,2,FALSE),1,2)</f>
        <v>#REF!</v>
      </c>
      <c r="AQ1653" s="89">
        <f>DATE(2013,9,27)</f>
        <v>41544</v>
      </c>
      <c r="AR1653" s="82">
        <f t="shared" si="106"/>
        <v>27</v>
      </c>
      <c r="AS1653" s="83">
        <f t="shared" si="107"/>
        <v>9</v>
      </c>
      <c r="AT1653" s="84">
        <f t="shared" si="108"/>
        <v>2013</v>
      </c>
      <c r="AU1653" s="86"/>
      <c r="AV1653" s="86"/>
      <c r="AW1653" s="87"/>
      <c r="AX1653" s="86"/>
      <c r="AY1653" s="83"/>
      <c r="AZ1653" s="84"/>
      <c r="BA1653" s="86"/>
      <c r="BB1653" s="86"/>
    </row>
    <row r="1654" spans="1:54" ht="36.75" customHeight="1">
      <c r="A1654" s="30"/>
      <c r="B1654" s="30" t="s">
        <v>55</v>
      </c>
      <c r="C1654" s="69" t="str">
        <f t="shared" si="105"/>
        <v>Closed</v>
      </c>
      <c r="D1654" s="27" t="s">
        <v>9224</v>
      </c>
      <c r="E1654" s="29" t="s">
        <v>9225</v>
      </c>
      <c r="F1654" s="30" t="s">
        <v>197</v>
      </c>
      <c r="G1654" s="89">
        <f>DATE(2013,9,28)</f>
        <v>41545</v>
      </c>
      <c r="H1654" s="90">
        <v>0</v>
      </c>
      <c r="I1654" s="30" t="s">
        <v>156</v>
      </c>
      <c r="J1654" s="89" t="s">
        <v>9226</v>
      </c>
      <c r="K1654" s="30" t="s">
        <v>200</v>
      </c>
      <c r="L1654" s="30" t="s">
        <v>9227</v>
      </c>
      <c r="M1654" s="30" t="s">
        <v>63</v>
      </c>
      <c r="N1654" s="30" t="s">
        <v>142</v>
      </c>
      <c r="O1654" s="30" t="s">
        <v>77</v>
      </c>
      <c r="P1654" s="89" t="s">
        <v>78</v>
      </c>
      <c r="Q1654" s="89" t="s">
        <v>200</v>
      </c>
      <c r="R1654" s="89" t="s">
        <v>200</v>
      </c>
      <c r="S1654" s="30">
        <v>0</v>
      </c>
      <c r="T1654" s="233">
        <v>0</v>
      </c>
      <c r="U1654" s="30">
        <v>0</v>
      </c>
      <c r="V1654" s="233">
        <v>0</v>
      </c>
      <c r="W1654" s="30">
        <v>0</v>
      </c>
      <c r="X1654" s="30">
        <v>0</v>
      </c>
      <c r="Y1654" s="30">
        <v>0</v>
      </c>
      <c r="Z1654" s="233">
        <v>1</v>
      </c>
      <c r="AA1654" s="30">
        <v>0</v>
      </c>
      <c r="AB1654" s="30">
        <v>0</v>
      </c>
      <c r="AC1654" s="30">
        <v>0</v>
      </c>
      <c r="AD1654" s="30">
        <v>1</v>
      </c>
      <c r="AE1654" s="89" t="s">
        <v>394</v>
      </c>
      <c r="AF1654" s="89"/>
      <c r="AG1654" s="89" t="s">
        <v>352</v>
      </c>
      <c r="AH1654" s="72">
        <v>41546</v>
      </c>
      <c r="AI1654" s="30">
        <v>4</v>
      </c>
      <c r="AJ1654" s="89" t="s">
        <v>9228</v>
      </c>
      <c r="AK1654" s="89" t="s">
        <v>1233</v>
      </c>
      <c r="AL1654" s="91">
        <v>41549</v>
      </c>
      <c r="AM1654" s="91"/>
      <c r="AN1654" s="91"/>
      <c r="AO1654" s="91"/>
      <c r="AP1654" s="73" t="e">
        <f>MID(VLOOKUP(K1654,#REF!,2,FALSE),1,2)</f>
        <v>#REF!</v>
      </c>
      <c r="AQ1654" s="89">
        <f>DATE(2013,9,28)</f>
        <v>41545</v>
      </c>
      <c r="AR1654" s="82">
        <f t="shared" si="106"/>
        <v>28</v>
      </c>
      <c r="AS1654" s="83">
        <f t="shared" si="107"/>
        <v>9</v>
      </c>
      <c r="AT1654" s="84">
        <f t="shared" si="108"/>
        <v>2013</v>
      </c>
      <c r="AU1654" s="86"/>
      <c r="AV1654" s="86"/>
      <c r="AW1654" s="87"/>
      <c r="AX1654" s="86"/>
      <c r="AY1654" s="83"/>
      <c r="AZ1654" s="84"/>
      <c r="BA1654" s="86"/>
      <c r="BB1654" s="86"/>
    </row>
    <row r="1655" spans="1:54" ht="36.75" customHeight="1">
      <c r="A1655" s="30"/>
      <c r="B1655" s="30" t="s">
        <v>55</v>
      </c>
      <c r="C1655" s="69" t="str">
        <f t="shared" si="105"/>
        <v>Closed</v>
      </c>
      <c r="D1655" s="27" t="s">
        <v>9229</v>
      </c>
      <c r="E1655" s="29" t="s">
        <v>9230</v>
      </c>
      <c r="F1655" s="30" t="s">
        <v>835</v>
      </c>
      <c r="G1655" s="89">
        <f>DATE(2013,9,29)</f>
        <v>41546</v>
      </c>
      <c r="H1655" s="90">
        <v>1.6743055555555557</v>
      </c>
      <c r="I1655" s="30" t="s">
        <v>73</v>
      </c>
      <c r="J1655" s="89" t="s">
        <v>9231</v>
      </c>
      <c r="K1655" s="30" t="s">
        <v>837</v>
      </c>
      <c r="L1655" s="30" t="s">
        <v>9232</v>
      </c>
      <c r="M1655" s="30" t="s">
        <v>63</v>
      </c>
      <c r="N1655" s="30" t="s">
        <v>99</v>
      </c>
      <c r="O1655" s="30" t="s">
        <v>77</v>
      </c>
      <c r="P1655" s="89" t="s">
        <v>78</v>
      </c>
      <c r="Q1655" s="89" t="s">
        <v>4708</v>
      </c>
      <c r="R1655" s="89" t="s">
        <v>840</v>
      </c>
      <c r="S1655" s="30">
        <v>0</v>
      </c>
      <c r="T1655" s="233">
        <v>0</v>
      </c>
      <c r="U1655" s="30">
        <v>0</v>
      </c>
      <c r="V1655" s="233">
        <v>0</v>
      </c>
      <c r="W1655" s="30">
        <v>0</v>
      </c>
      <c r="X1655" s="30">
        <v>0</v>
      </c>
      <c r="Y1655" s="30">
        <v>0</v>
      </c>
      <c r="Z1655" s="233">
        <v>0</v>
      </c>
      <c r="AA1655" s="30">
        <v>0</v>
      </c>
      <c r="AB1655" s="30">
        <v>0</v>
      </c>
      <c r="AC1655" s="30">
        <v>0</v>
      </c>
      <c r="AD1655" s="30">
        <v>0</v>
      </c>
      <c r="AE1655" s="89" t="s">
        <v>92</v>
      </c>
      <c r="AF1655" s="89"/>
      <c r="AG1655" s="89" t="s">
        <v>352</v>
      </c>
      <c r="AH1655" s="72">
        <v>41546</v>
      </c>
      <c r="AI1655" s="30">
        <v>0</v>
      </c>
      <c r="AJ1655" s="89" t="s">
        <v>8641</v>
      </c>
      <c r="AK1655" s="89" t="s">
        <v>68</v>
      </c>
      <c r="AL1655" s="91">
        <v>41563</v>
      </c>
      <c r="AM1655" s="91"/>
      <c r="AN1655" s="91"/>
      <c r="AO1655" s="91"/>
      <c r="AP1655" s="73" t="e">
        <f>MID(VLOOKUP(K1655,#REF!,2,FALSE),1,2)</f>
        <v>#REF!</v>
      </c>
      <c r="AQ1655" s="89">
        <f>DATE(2013,9,29)</f>
        <v>41546</v>
      </c>
      <c r="AR1655" s="82">
        <f t="shared" si="106"/>
        <v>29</v>
      </c>
      <c r="AS1655" s="83">
        <f t="shared" si="107"/>
        <v>9</v>
      </c>
      <c r="AT1655" s="84">
        <f t="shared" si="108"/>
        <v>2013</v>
      </c>
      <c r="AU1655" s="86"/>
      <c r="AV1655" s="86"/>
      <c r="AW1655" s="87"/>
      <c r="AX1655" s="86"/>
      <c r="AY1655" s="83"/>
      <c r="AZ1655" s="84"/>
      <c r="BA1655" s="86"/>
      <c r="BB1655" s="86"/>
    </row>
    <row r="1656" spans="1:54" ht="36.75" customHeight="1">
      <c r="A1656" s="30"/>
      <c r="B1656" s="30" t="s">
        <v>55</v>
      </c>
      <c r="C1656" s="69" t="str">
        <f t="shared" si="105"/>
        <v>Closed</v>
      </c>
      <c r="D1656" s="27" t="s">
        <v>9233</v>
      </c>
      <c r="E1656" s="29" t="s">
        <v>9234</v>
      </c>
      <c r="F1656" s="30" t="s">
        <v>2336</v>
      </c>
      <c r="G1656" s="89">
        <f>DATE(2013,9,30)</f>
        <v>41547</v>
      </c>
      <c r="H1656" s="90">
        <v>1.3118055555555554</v>
      </c>
      <c r="I1656" s="30" t="s">
        <v>116</v>
      </c>
      <c r="J1656" s="89" t="s">
        <v>9235</v>
      </c>
      <c r="K1656" s="30" t="s">
        <v>2338</v>
      </c>
      <c r="L1656" s="30" t="s">
        <v>9236</v>
      </c>
      <c r="M1656" s="30" t="s">
        <v>63</v>
      </c>
      <c r="N1656" s="30" t="s">
        <v>89</v>
      </c>
      <c r="O1656" s="30" t="s">
        <v>64</v>
      </c>
      <c r="P1656" s="89" t="s">
        <v>6941</v>
      </c>
      <c r="Q1656" s="89" t="s">
        <v>9237</v>
      </c>
      <c r="R1656" s="89" t="s">
        <v>2341</v>
      </c>
      <c r="S1656" s="30">
        <v>0</v>
      </c>
      <c r="T1656" s="233">
        <v>0</v>
      </c>
      <c r="U1656" s="30">
        <v>1</v>
      </c>
      <c r="V1656" s="233">
        <v>0</v>
      </c>
      <c r="W1656" s="30">
        <v>0</v>
      </c>
      <c r="X1656" s="30">
        <v>1</v>
      </c>
      <c r="Y1656" s="30">
        <v>0</v>
      </c>
      <c r="Z1656" s="233">
        <v>0</v>
      </c>
      <c r="AA1656" s="30">
        <v>2</v>
      </c>
      <c r="AB1656" s="30">
        <v>0</v>
      </c>
      <c r="AC1656" s="30">
        <v>0</v>
      </c>
      <c r="AD1656" s="30">
        <v>2</v>
      </c>
      <c r="AE1656" s="89" t="s">
        <v>92</v>
      </c>
      <c r="AF1656" s="89"/>
      <c r="AG1656" s="89" t="s">
        <v>82</v>
      </c>
      <c r="AH1656" s="72">
        <v>41555</v>
      </c>
      <c r="AI1656" s="30">
        <v>16</v>
      </c>
      <c r="AJ1656" s="89" t="s">
        <v>9238</v>
      </c>
      <c r="AK1656" s="89" t="s">
        <v>9239</v>
      </c>
      <c r="AL1656" s="91">
        <v>41557</v>
      </c>
      <c r="AM1656" s="91"/>
      <c r="AN1656" s="91"/>
      <c r="AO1656" s="91"/>
      <c r="AP1656" s="73" t="e">
        <f>MID(VLOOKUP(K1656,#REF!,2,FALSE),1,2)</f>
        <v>#REF!</v>
      </c>
      <c r="AQ1656" s="89">
        <f>DATE(2013,9,30)</f>
        <v>41547</v>
      </c>
      <c r="AR1656" s="82">
        <f t="shared" si="106"/>
        <v>30</v>
      </c>
      <c r="AS1656" s="83">
        <f t="shared" si="107"/>
        <v>9</v>
      </c>
      <c r="AT1656" s="84">
        <f t="shared" si="108"/>
        <v>2013</v>
      </c>
      <c r="AU1656" s="86"/>
      <c r="AV1656" s="86"/>
      <c r="AW1656" s="87"/>
      <c r="AX1656" s="86"/>
      <c r="AY1656" s="83"/>
      <c r="AZ1656" s="84"/>
      <c r="BA1656" s="86"/>
      <c r="BB1656" s="86"/>
    </row>
    <row r="1657" spans="1:54" ht="36.75" customHeight="1">
      <c r="A1657" s="30"/>
      <c r="B1657" s="30" t="s">
        <v>55</v>
      </c>
      <c r="C1657" s="69" t="str">
        <f t="shared" si="105"/>
        <v>Closed</v>
      </c>
      <c r="D1657" s="27" t="s">
        <v>9240</v>
      </c>
      <c r="E1657" s="29" t="s">
        <v>9241</v>
      </c>
      <c r="F1657" s="30" t="s">
        <v>1770</v>
      </c>
      <c r="G1657" s="89">
        <f>DATE(2013,10,1)</f>
        <v>41548</v>
      </c>
      <c r="H1657" s="90">
        <v>1.1715277777777777</v>
      </c>
      <c r="I1657" s="30" t="s">
        <v>198</v>
      </c>
      <c r="J1657" s="89" t="s">
        <v>9242</v>
      </c>
      <c r="K1657" s="30" t="s">
        <v>1772</v>
      </c>
      <c r="L1657" s="30" t="s">
        <v>9243</v>
      </c>
      <c r="M1657" s="30" t="s">
        <v>63</v>
      </c>
      <c r="N1657" s="30" t="s">
        <v>142</v>
      </c>
      <c r="O1657" s="30" t="s">
        <v>64</v>
      </c>
      <c r="P1657" s="89" t="s">
        <v>78</v>
      </c>
      <c r="Q1657" s="89" t="s">
        <v>9244</v>
      </c>
      <c r="R1657" s="89" t="s">
        <v>1775</v>
      </c>
      <c r="S1657" s="30">
        <v>0</v>
      </c>
      <c r="T1657" s="233">
        <v>0</v>
      </c>
      <c r="U1657" s="30">
        <v>0</v>
      </c>
      <c r="V1657" s="233">
        <v>0</v>
      </c>
      <c r="W1657" s="30">
        <v>0</v>
      </c>
      <c r="X1657" s="30">
        <v>0</v>
      </c>
      <c r="Y1657" s="30">
        <v>0</v>
      </c>
      <c r="Z1657" s="233">
        <v>0</v>
      </c>
      <c r="AA1657" s="30">
        <v>0</v>
      </c>
      <c r="AB1657" s="30">
        <v>0</v>
      </c>
      <c r="AC1657" s="30">
        <v>0</v>
      </c>
      <c r="AD1657" s="30">
        <v>0</v>
      </c>
      <c r="AE1657" s="89" t="s">
        <v>394</v>
      </c>
      <c r="AF1657" s="89"/>
      <c r="AG1657" s="89" t="s">
        <v>352</v>
      </c>
      <c r="AH1657" s="72">
        <v>41550</v>
      </c>
      <c r="AI1657" s="30">
        <v>3</v>
      </c>
      <c r="AJ1657" s="89" t="s">
        <v>9245</v>
      </c>
      <c r="AK1657" s="89" t="s">
        <v>9246</v>
      </c>
      <c r="AL1657" s="91">
        <v>41550</v>
      </c>
      <c r="AM1657" s="91"/>
      <c r="AN1657" s="91"/>
      <c r="AO1657" s="91"/>
      <c r="AP1657" s="73" t="e">
        <f>MID(VLOOKUP(K1657,#REF!,2,FALSE),1,2)</f>
        <v>#REF!</v>
      </c>
      <c r="AQ1657" s="89">
        <f>DATE(2013,10,1)</f>
        <v>41548</v>
      </c>
      <c r="AR1657" s="82">
        <f t="shared" si="106"/>
        <v>1</v>
      </c>
      <c r="AS1657" s="83">
        <f t="shared" si="107"/>
        <v>10</v>
      </c>
      <c r="AT1657" s="84">
        <f t="shared" si="108"/>
        <v>2013</v>
      </c>
      <c r="AU1657" s="86"/>
      <c r="AV1657" s="86"/>
      <c r="AW1657" s="87"/>
      <c r="AX1657" s="86"/>
      <c r="AY1657" s="83"/>
      <c r="AZ1657" s="84"/>
      <c r="BA1657" s="86"/>
      <c r="BB1657" s="86"/>
    </row>
    <row r="1658" spans="1:54" ht="36.75" customHeight="1">
      <c r="A1658" s="30"/>
      <c r="B1658" s="30" t="s">
        <v>55</v>
      </c>
      <c r="C1658" s="69" t="str">
        <f t="shared" si="105"/>
        <v>Closed</v>
      </c>
      <c r="D1658" s="27" t="s">
        <v>9247</v>
      </c>
      <c r="E1658" s="29" t="s">
        <v>9248</v>
      </c>
      <c r="F1658" s="30" t="s">
        <v>835</v>
      </c>
      <c r="G1658" s="89">
        <f>DATE(2013,10,1)</f>
        <v>41548</v>
      </c>
      <c r="H1658" s="90">
        <v>1.0659722222222223</v>
      </c>
      <c r="I1658" s="30" t="s">
        <v>73</v>
      </c>
      <c r="J1658" s="89" t="s">
        <v>9249</v>
      </c>
      <c r="K1658" s="30" t="s">
        <v>837</v>
      </c>
      <c r="L1658" s="30" t="s">
        <v>9250</v>
      </c>
      <c r="M1658" s="30" t="s">
        <v>63</v>
      </c>
      <c r="N1658" s="30" t="s">
        <v>99</v>
      </c>
      <c r="O1658" s="30" t="s">
        <v>77</v>
      </c>
      <c r="P1658" s="89" t="s">
        <v>78</v>
      </c>
      <c r="Q1658" s="89" t="s">
        <v>4708</v>
      </c>
      <c r="R1658" s="89" t="s">
        <v>2797</v>
      </c>
      <c r="S1658" s="30">
        <v>0</v>
      </c>
      <c r="T1658" s="233">
        <v>0</v>
      </c>
      <c r="U1658" s="30">
        <v>0</v>
      </c>
      <c r="V1658" s="233">
        <v>0</v>
      </c>
      <c r="W1658" s="30">
        <v>0</v>
      </c>
      <c r="X1658" s="30">
        <v>0</v>
      </c>
      <c r="Y1658" s="30">
        <v>0</v>
      </c>
      <c r="Z1658" s="233">
        <v>0</v>
      </c>
      <c r="AA1658" s="30">
        <v>0</v>
      </c>
      <c r="AB1658" s="30">
        <v>0</v>
      </c>
      <c r="AC1658" s="30">
        <v>0</v>
      </c>
      <c r="AD1658" s="30">
        <v>0</v>
      </c>
      <c r="AE1658" s="89" t="s">
        <v>394</v>
      </c>
      <c r="AF1658" s="89"/>
      <c r="AG1658" s="89" t="s">
        <v>2083</v>
      </c>
      <c r="AH1658" s="72">
        <v>41548</v>
      </c>
      <c r="AI1658" s="30">
        <v>0</v>
      </c>
      <c r="AJ1658" s="89" t="s">
        <v>9251</v>
      </c>
      <c r="AK1658" s="89" t="s">
        <v>9252</v>
      </c>
      <c r="AL1658" s="91">
        <v>41556</v>
      </c>
      <c r="AM1658" s="91"/>
      <c r="AN1658" s="91"/>
      <c r="AO1658" s="91"/>
      <c r="AP1658" s="73" t="e">
        <f>MID(VLOOKUP(K1658,#REF!,2,FALSE),1,2)</f>
        <v>#REF!</v>
      </c>
      <c r="AQ1658" s="89">
        <f>DATE(2013,10,1)</f>
        <v>41548</v>
      </c>
      <c r="AR1658" s="82">
        <f t="shared" si="106"/>
        <v>1</v>
      </c>
      <c r="AS1658" s="83">
        <f t="shared" si="107"/>
        <v>10</v>
      </c>
      <c r="AT1658" s="84">
        <f t="shared" si="108"/>
        <v>2013</v>
      </c>
      <c r="AU1658" s="86"/>
      <c r="AV1658" s="86"/>
      <c r="AW1658" s="87"/>
      <c r="AX1658" s="86"/>
      <c r="AY1658" s="83"/>
      <c r="AZ1658" s="84"/>
      <c r="BA1658" s="86"/>
      <c r="BB1658" s="86"/>
    </row>
    <row r="1659" spans="1:54" ht="36.75" customHeight="1">
      <c r="A1659" s="30"/>
      <c r="B1659" s="30" t="s">
        <v>55</v>
      </c>
      <c r="C1659" s="69" t="str">
        <f t="shared" si="105"/>
        <v>Closed</v>
      </c>
      <c r="D1659" s="27" t="s">
        <v>9253</v>
      </c>
      <c r="E1659" s="29" t="s">
        <v>9254</v>
      </c>
      <c r="F1659" s="30" t="s">
        <v>423</v>
      </c>
      <c r="G1659" s="89">
        <f>DATE(2013,10,2)</f>
        <v>41549</v>
      </c>
      <c r="H1659" s="90">
        <v>1.4145833333333333</v>
      </c>
      <c r="I1659" s="30" t="s">
        <v>73</v>
      </c>
      <c r="J1659" s="89" t="s">
        <v>9255</v>
      </c>
      <c r="K1659" s="30" t="s">
        <v>425</v>
      </c>
      <c r="L1659" s="30" t="s">
        <v>6518</v>
      </c>
      <c r="M1659" s="30" t="s">
        <v>63</v>
      </c>
      <c r="N1659" s="30" t="s">
        <v>89</v>
      </c>
      <c r="O1659" s="30" t="s">
        <v>77</v>
      </c>
      <c r="P1659" s="89" t="s">
        <v>91</v>
      </c>
      <c r="Q1659" s="89" t="s">
        <v>2582</v>
      </c>
      <c r="R1659" s="89" t="s">
        <v>3103</v>
      </c>
      <c r="S1659" s="30">
        <v>0</v>
      </c>
      <c r="T1659" s="233">
        <v>0</v>
      </c>
      <c r="U1659" s="30">
        <v>0</v>
      </c>
      <c r="V1659" s="233">
        <v>0</v>
      </c>
      <c r="W1659" s="30">
        <v>0</v>
      </c>
      <c r="X1659" s="30">
        <v>0</v>
      </c>
      <c r="Y1659" s="30">
        <v>0</v>
      </c>
      <c r="Z1659" s="233">
        <v>0</v>
      </c>
      <c r="AA1659" s="30">
        <v>0</v>
      </c>
      <c r="AB1659" s="30">
        <v>0</v>
      </c>
      <c r="AC1659" s="30">
        <v>0</v>
      </c>
      <c r="AD1659" s="30">
        <v>0</v>
      </c>
      <c r="AE1659" s="89" t="s">
        <v>92</v>
      </c>
      <c r="AF1659" s="89"/>
      <c r="AG1659" s="89" t="s">
        <v>133</v>
      </c>
      <c r="AH1659" s="72">
        <v>41496</v>
      </c>
      <c r="AI1659" s="30">
        <v>4</v>
      </c>
      <c r="AJ1659" s="89" t="s">
        <v>9256</v>
      </c>
      <c r="AK1659" s="89" t="s">
        <v>9257</v>
      </c>
      <c r="AL1659" s="91">
        <v>41556</v>
      </c>
      <c r="AM1659" s="91"/>
      <c r="AN1659" s="91"/>
      <c r="AO1659" s="91"/>
      <c r="AP1659" s="73" t="e">
        <f>MID(VLOOKUP(K1659,#REF!,2,FALSE),1,2)</f>
        <v>#REF!</v>
      </c>
      <c r="AQ1659" s="89">
        <f>DATE(2013,10,2)</f>
        <v>41549</v>
      </c>
      <c r="AR1659" s="82">
        <f t="shared" si="106"/>
        <v>2</v>
      </c>
      <c r="AS1659" s="83">
        <f t="shared" si="107"/>
        <v>10</v>
      </c>
      <c r="AT1659" s="84">
        <f t="shared" si="108"/>
        <v>2013</v>
      </c>
      <c r="AU1659" s="86"/>
      <c r="AV1659" s="86"/>
      <c r="AW1659" s="87"/>
      <c r="AX1659" s="86"/>
      <c r="AY1659" s="83"/>
      <c r="AZ1659" s="84"/>
      <c r="BA1659" s="86"/>
      <c r="BB1659" s="86"/>
    </row>
    <row r="1660" spans="1:54" ht="36.75" customHeight="1">
      <c r="A1660" s="30"/>
      <c r="B1660" s="30" t="s">
        <v>55</v>
      </c>
      <c r="C1660" s="69" t="str">
        <f t="shared" si="105"/>
        <v>Closed</v>
      </c>
      <c r="D1660" s="27" t="s">
        <v>9258</v>
      </c>
      <c r="E1660" s="29" t="s">
        <v>9259</v>
      </c>
      <c r="F1660" s="30" t="s">
        <v>1572</v>
      </c>
      <c r="G1660" s="89">
        <f>DATE(2013,10,4)</f>
        <v>41551</v>
      </c>
      <c r="H1660" s="90">
        <v>1.6527777777777777</v>
      </c>
      <c r="I1660" s="30" t="s">
        <v>73</v>
      </c>
      <c r="J1660" s="89" t="s">
        <v>9260</v>
      </c>
      <c r="K1660" s="30" t="s">
        <v>1574</v>
      </c>
      <c r="L1660" s="30" t="s">
        <v>9261</v>
      </c>
      <c r="M1660" s="30" t="s">
        <v>63</v>
      </c>
      <c r="N1660" s="30" t="s">
        <v>99</v>
      </c>
      <c r="O1660" s="30" t="s">
        <v>64</v>
      </c>
      <c r="P1660" s="89" t="s">
        <v>78</v>
      </c>
      <c r="Q1660" s="89" t="s">
        <v>6093</v>
      </c>
      <c r="R1660" s="89">
        <v>0</v>
      </c>
      <c r="S1660" s="30">
        <v>0</v>
      </c>
      <c r="T1660" s="233">
        <v>0</v>
      </c>
      <c r="U1660" s="30">
        <v>0</v>
      </c>
      <c r="V1660" s="233">
        <v>0</v>
      </c>
      <c r="W1660" s="30">
        <v>0</v>
      </c>
      <c r="X1660" s="30">
        <v>0</v>
      </c>
      <c r="Y1660" s="30">
        <v>0</v>
      </c>
      <c r="Z1660" s="233">
        <v>0</v>
      </c>
      <c r="AA1660" s="30">
        <v>0</v>
      </c>
      <c r="AB1660" s="30">
        <v>0</v>
      </c>
      <c r="AC1660" s="30">
        <v>0</v>
      </c>
      <c r="AD1660" s="30">
        <v>0</v>
      </c>
      <c r="AE1660" s="89" t="s">
        <v>92</v>
      </c>
      <c r="AF1660" s="89"/>
      <c r="AG1660" s="89" t="s">
        <v>133</v>
      </c>
      <c r="AH1660" s="72">
        <v>41554</v>
      </c>
      <c r="AI1660" s="30">
        <v>1</v>
      </c>
      <c r="AJ1660" s="89" t="s">
        <v>9262</v>
      </c>
      <c r="AK1660" s="89" t="s">
        <v>9263</v>
      </c>
      <c r="AL1660" s="91">
        <v>41555</v>
      </c>
      <c r="AM1660" s="91"/>
      <c r="AN1660" s="91"/>
      <c r="AO1660" s="91"/>
      <c r="AP1660" s="73" t="e">
        <f>MID(VLOOKUP(K1660,#REF!,2,FALSE),1,2)</f>
        <v>#REF!</v>
      </c>
      <c r="AQ1660" s="89">
        <f>DATE(2013,10,4)</f>
        <v>41551</v>
      </c>
      <c r="AR1660" s="82">
        <f t="shared" si="106"/>
        <v>4</v>
      </c>
      <c r="AS1660" s="83">
        <f t="shared" si="107"/>
        <v>10</v>
      </c>
      <c r="AT1660" s="84">
        <f t="shared" si="108"/>
        <v>2013</v>
      </c>
      <c r="AU1660" s="86"/>
      <c r="AV1660" s="86"/>
      <c r="AW1660" s="87"/>
      <c r="AX1660" s="86"/>
      <c r="AY1660" s="83"/>
      <c r="AZ1660" s="84"/>
      <c r="BA1660" s="86"/>
      <c r="BB1660" s="86"/>
    </row>
    <row r="1661" spans="1:54" ht="36.75" customHeight="1">
      <c r="A1661" s="30"/>
      <c r="B1661" s="30" t="s">
        <v>55</v>
      </c>
      <c r="C1661" s="69" t="str">
        <f t="shared" si="105"/>
        <v>Closed</v>
      </c>
      <c r="D1661" s="27" t="s">
        <v>9264</v>
      </c>
      <c r="E1661" s="29" t="s">
        <v>9265</v>
      </c>
      <c r="F1661" s="30" t="s">
        <v>423</v>
      </c>
      <c r="G1661" s="89">
        <f>DATE(2013,10,11)</f>
        <v>41558</v>
      </c>
      <c r="H1661" s="90">
        <v>1.3923611111111112</v>
      </c>
      <c r="I1661" s="30" t="s">
        <v>278</v>
      </c>
      <c r="J1661" s="89" t="s">
        <v>9266</v>
      </c>
      <c r="K1661" s="30" t="s">
        <v>425</v>
      </c>
      <c r="L1661" s="30" t="s">
        <v>9267</v>
      </c>
      <c r="M1661" s="30" t="s">
        <v>63</v>
      </c>
      <c r="N1661" s="30" t="s">
        <v>99</v>
      </c>
      <c r="O1661" s="30" t="s">
        <v>77</v>
      </c>
      <c r="P1661" s="89" t="s">
        <v>86</v>
      </c>
      <c r="Q1661" s="89" t="s">
        <v>427</v>
      </c>
      <c r="R1661" s="89" t="s">
        <v>3103</v>
      </c>
      <c r="S1661" s="30">
        <v>0</v>
      </c>
      <c r="T1661" s="233">
        <v>0</v>
      </c>
      <c r="U1661" s="30">
        <v>0</v>
      </c>
      <c r="V1661" s="233">
        <v>0</v>
      </c>
      <c r="W1661" s="30">
        <v>1</v>
      </c>
      <c r="X1661" s="30">
        <v>1</v>
      </c>
      <c r="Y1661" s="30">
        <v>0</v>
      </c>
      <c r="Z1661" s="233">
        <v>0</v>
      </c>
      <c r="AA1661" s="30">
        <v>0</v>
      </c>
      <c r="AB1661" s="30">
        <v>0</v>
      </c>
      <c r="AC1661" s="30">
        <v>0</v>
      </c>
      <c r="AD1661" s="30">
        <v>0</v>
      </c>
      <c r="AE1661" s="89" t="s">
        <v>92</v>
      </c>
      <c r="AF1661" s="89"/>
      <c r="AG1661" s="89" t="s">
        <v>133</v>
      </c>
      <c r="AH1661" s="72">
        <v>41571</v>
      </c>
      <c r="AI1661" s="30">
        <v>1</v>
      </c>
      <c r="AJ1661" s="89" t="s">
        <v>9268</v>
      </c>
      <c r="AK1661" s="89" t="s">
        <v>9269</v>
      </c>
      <c r="AL1661" s="91">
        <v>41576</v>
      </c>
      <c r="AM1661" s="91"/>
      <c r="AN1661" s="91"/>
      <c r="AO1661" s="91"/>
      <c r="AP1661" s="73" t="e">
        <f>MID(VLOOKUP(K1661,#REF!,2,FALSE),1,2)</f>
        <v>#REF!</v>
      </c>
      <c r="AQ1661" s="89">
        <f>DATE(2013,10,11)</f>
        <v>41558</v>
      </c>
      <c r="AR1661" s="82">
        <f t="shared" si="106"/>
        <v>11</v>
      </c>
      <c r="AS1661" s="83">
        <f t="shared" si="107"/>
        <v>10</v>
      </c>
      <c r="AT1661" s="84">
        <f t="shared" si="108"/>
        <v>2013</v>
      </c>
      <c r="AU1661" s="86"/>
      <c r="AV1661" s="86"/>
      <c r="AW1661" s="87"/>
      <c r="AX1661" s="86"/>
      <c r="AY1661" s="83"/>
      <c r="AZ1661" s="84"/>
      <c r="BA1661" s="86"/>
      <c r="BB1661" s="86"/>
    </row>
    <row r="1662" spans="1:54" ht="36.75" customHeight="1">
      <c r="A1662" s="30"/>
      <c r="B1662" s="30" t="s">
        <v>55</v>
      </c>
      <c r="C1662" s="69" t="str">
        <f t="shared" si="105"/>
        <v>Closed</v>
      </c>
      <c r="D1662" s="27" t="s">
        <v>9270</v>
      </c>
      <c r="E1662" s="29" t="s">
        <v>9271</v>
      </c>
      <c r="F1662" s="30" t="s">
        <v>115</v>
      </c>
      <c r="G1662" s="89">
        <f>DATE(2013,10,15)</f>
        <v>41562</v>
      </c>
      <c r="H1662" s="90">
        <v>0</v>
      </c>
      <c r="I1662" s="30" t="s">
        <v>116</v>
      </c>
      <c r="J1662" s="89" t="s">
        <v>9272</v>
      </c>
      <c r="K1662" s="30" t="s">
        <v>118</v>
      </c>
      <c r="L1662" s="30" t="s">
        <v>9273</v>
      </c>
      <c r="M1662" s="30" t="s">
        <v>63</v>
      </c>
      <c r="N1662" s="30" t="s">
        <v>142</v>
      </c>
      <c r="O1662" s="30" t="s">
        <v>64</v>
      </c>
      <c r="P1662" s="89" t="s">
        <v>6941</v>
      </c>
      <c r="Q1662" s="89" t="s">
        <v>120</v>
      </c>
      <c r="R1662" s="89" t="s">
        <v>121</v>
      </c>
      <c r="S1662" s="30">
        <v>0</v>
      </c>
      <c r="T1662" s="233">
        <v>0</v>
      </c>
      <c r="U1662" s="30">
        <v>0</v>
      </c>
      <c r="V1662" s="233">
        <v>0</v>
      </c>
      <c r="W1662" s="30">
        <v>0</v>
      </c>
      <c r="X1662" s="30">
        <v>0</v>
      </c>
      <c r="Y1662" s="30">
        <v>0</v>
      </c>
      <c r="Z1662" s="233">
        <v>0</v>
      </c>
      <c r="AA1662" s="30">
        <v>0</v>
      </c>
      <c r="AB1662" s="30">
        <v>0</v>
      </c>
      <c r="AC1662" s="30">
        <v>0</v>
      </c>
      <c r="AD1662" s="30">
        <v>0</v>
      </c>
      <c r="AE1662" s="89" t="s">
        <v>145</v>
      </c>
      <c r="AF1662" s="89"/>
      <c r="AG1662" s="89" t="s">
        <v>82</v>
      </c>
      <c r="AH1662" s="72">
        <v>41564</v>
      </c>
      <c r="AI1662" s="30">
        <v>1</v>
      </c>
      <c r="AJ1662" s="89" t="s">
        <v>9274</v>
      </c>
      <c r="AK1662" s="89" t="s">
        <v>9275</v>
      </c>
      <c r="AL1662" s="91">
        <v>41569</v>
      </c>
      <c r="AM1662" s="91"/>
      <c r="AN1662" s="91"/>
      <c r="AO1662" s="91"/>
      <c r="AP1662" s="73" t="e">
        <f>MID(VLOOKUP(K1662,#REF!,2,FALSE),1,2)</f>
        <v>#REF!</v>
      </c>
      <c r="AQ1662" s="89">
        <f>DATE(2013,10,15)</f>
        <v>41562</v>
      </c>
      <c r="AR1662" s="82">
        <f t="shared" si="106"/>
        <v>15</v>
      </c>
      <c r="AS1662" s="83">
        <f t="shared" si="107"/>
        <v>10</v>
      </c>
      <c r="AT1662" s="84">
        <f t="shared" si="108"/>
        <v>2013</v>
      </c>
      <c r="AU1662" s="86"/>
      <c r="AV1662" s="86"/>
      <c r="AW1662" s="87"/>
      <c r="AX1662" s="86"/>
      <c r="AY1662" s="83"/>
      <c r="AZ1662" s="84"/>
      <c r="BA1662" s="86"/>
      <c r="BB1662" s="86"/>
    </row>
    <row r="1663" spans="1:54" ht="36.75" customHeight="1">
      <c r="A1663" s="30"/>
      <c r="B1663" s="30" t="s">
        <v>55</v>
      </c>
      <c r="C1663" s="69" t="str">
        <f t="shared" si="105"/>
        <v>Closed</v>
      </c>
      <c r="D1663" s="27" t="s">
        <v>9276</v>
      </c>
      <c r="E1663" s="29" t="s">
        <v>9277</v>
      </c>
      <c r="F1663" s="30" t="s">
        <v>233</v>
      </c>
      <c r="G1663" s="89">
        <f>DATE(2013,10,15)</f>
        <v>41562</v>
      </c>
      <c r="H1663" s="90">
        <v>1.125</v>
      </c>
      <c r="I1663" s="30" t="s">
        <v>73</v>
      </c>
      <c r="J1663" s="89" t="s">
        <v>9278</v>
      </c>
      <c r="K1663" s="30" t="s">
        <v>235</v>
      </c>
      <c r="L1663" s="30" t="s">
        <v>9279</v>
      </c>
      <c r="M1663" s="30" t="s">
        <v>63</v>
      </c>
      <c r="N1663" s="30" t="s">
        <v>142</v>
      </c>
      <c r="O1663" s="30" t="s">
        <v>64</v>
      </c>
      <c r="P1663" s="89" t="s">
        <v>78</v>
      </c>
      <c r="Q1663" s="89" t="s">
        <v>434</v>
      </c>
      <c r="R1663" s="89" t="s">
        <v>238</v>
      </c>
      <c r="S1663" s="30">
        <v>0</v>
      </c>
      <c r="T1663" s="233">
        <v>0</v>
      </c>
      <c r="U1663" s="30">
        <v>0</v>
      </c>
      <c r="V1663" s="233">
        <v>0</v>
      </c>
      <c r="W1663" s="30">
        <v>0</v>
      </c>
      <c r="X1663" s="30">
        <v>0</v>
      </c>
      <c r="Y1663" s="30">
        <v>0</v>
      </c>
      <c r="Z1663" s="233">
        <v>0</v>
      </c>
      <c r="AA1663" s="30">
        <v>0</v>
      </c>
      <c r="AB1663" s="30">
        <v>0</v>
      </c>
      <c r="AC1663" s="30">
        <v>0</v>
      </c>
      <c r="AD1663" s="30">
        <v>0</v>
      </c>
      <c r="AE1663" s="89" t="s">
        <v>145</v>
      </c>
      <c r="AF1663" s="89"/>
      <c r="AG1663" s="89" t="s">
        <v>82</v>
      </c>
      <c r="AH1663" s="72">
        <v>41568</v>
      </c>
      <c r="AI1663" s="30">
        <v>3</v>
      </c>
      <c r="AJ1663" s="89" t="s">
        <v>9280</v>
      </c>
      <c r="AK1663" s="89" t="s">
        <v>9281</v>
      </c>
      <c r="AL1663" s="91">
        <v>41576</v>
      </c>
      <c r="AM1663" s="91"/>
      <c r="AN1663" s="91"/>
      <c r="AO1663" s="91"/>
      <c r="AP1663" s="73" t="e">
        <f>MID(VLOOKUP(K1663,#REF!,2,FALSE),1,2)</f>
        <v>#REF!</v>
      </c>
      <c r="AQ1663" s="89">
        <f>DATE(2013,10,15)</f>
        <v>41562</v>
      </c>
      <c r="AR1663" s="82">
        <f t="shared" si="106"/>
        <v>15</v>
      </c>
      <c r="AS1663" s="83">
        <f t="shared" si="107"/>
        <v>10</v>
      </c>
      <c r="AT1663" s="84">
        <f t="shared" si="108"/>
        <v>2013</v>
      </c>
      <c r="AU1663" s="86"/>
      <c r="AV1663" s="86"/>
      <c r="AW1663" s="87"/>
      <c r="AX1663" s="86"/>
      <c r="AY1663" s="83"/>
      <c r="AZ1663" s="84"/>
      <c r="BA1663" s="86"/>
      <c r="BB1663" s="86"/>
    </row>
    <row r="1664" spans="1:54" ht="36.75" customHeight="1">
      <c r="A1664" s="30"/>
      <c r="B1664" s="30" t="s">
        <v>55</v>
      </c>
      <c r="C1664" s="69" t="str">
        <f t="shared" si="105"/>
        <v>Closed</v>
      </c>
      <c r="D1664" s="27" t="s">
        <v>9282</v>
      </c>
      <c r="E1664" s="29" t="s">
        <v>9283</v>
      </c>
      <c r="F1664" s="30" t="s">
        <v>233</v>
      </c>
      <c r="G1664" s="89">
        <f>DATE(2013,10,15)</f>
        <v>41562</v>
      </c>
      <c r="H1664" s="90">
        <v>1.84375</v>
      </c>
      <c r="I1664" s="30" t="s">
        <v>73</v>
      </c>
      <c r="J1664" s="89" t="s">
        <v>9284</v>
      </c>
      <c r="K1664" s="30" t="s">
        <v>235</v>
      </c>
      <c r="L1664" s="30" t="s">
        <v>9285</v>
      </c>
      <c r="M1664" s="30" t="s">
        <v>63</v>
      </c>
      <c r="N1664" s="30" t="s">
        <v>142</v>
      </c>
      <c r="O1664" s="30" t="s">
        <v>64</v>
      </c>
      <c r="P1664" s="89" t="s">
        <v>78</v>
      </c>
      <c r="Q1664" s="89" t="s">
        <v>725</v>
      </c>
      <c r="R1664" s="89" t="s">
        <v>238</v>
      </c>
      <c r="S1664" s="30">
        <v>0</v>
      </c>
      <c r="T1664" s="233">
        <v>0</v>
      </c>
      <c r="U1664" s="30">
        <v>0</v>
      </c>
      <c r="V1664" s="233">
        <v>0</v>
      </c>
      <c r="W1664" s="30">
        <v>0</v>
      </c>
      <c r="X1664" s="30">
        <v>0</v>
      </c>
      <c r="Y1664" s="30">
        <v>0</v>
      </c>
      <c r="Z1664" s="233">
        <v>0</v>
      </c>
      <c r="AA1664" s="30">
        <v>0</v>
      </c>
      <c r="AB1664" s="30">
        <v>0</v>
      </c>
      <c r="AC1664" s="30">
        <v>0</v>
      </c>
      <c r="AD1664" s="30">
        <v>0</v>
      </c>
      <c r="AE1664" s="89" t="s">
        <v>92</v>
      </c>
      <c r="AF1664" s="89"/>
      <c r="AG1664" s="89" t="s">
        <v>133</v>
      </c>
      <c r="AH1664" s="72">
        <v>41568</v>
      </c>
      <c r="AI1664" s="30">
        <v>7</v>
      </c>
      <c r="AJ1664" s="89" t="s">
        <v>9286</v>
      </c>
      <c r="AK1664" s="89" t="s">
        <v>9287</v>
      </c>
      <c r="AL1664" s="91">
        <v>41576</v>
      </c>
      <c r="AM1664" s="91"/>
      <c r="AN1664" s="91"/>
      <c r="AO1664" s="91"/>
      <c r="AP1664" s="73" t="e">
        <f>MID(VLOOKUP(K1664,#REF!,2,FALSE),1,2)</f>
        <v>#REF!</v>
      </c>
      <c r="AQ1664" s="89">
        <f>DATE(2013,10,15)</f>
        <v>41562</v>
      </c>
      <c r="AR1664" s="82">
        <f t="shared" si="106"/>
        <v>15</v>
      </c>
      <c r="AS1664" s="83">
        <f t="shared" si="107"/>
        <v>10</v>
      </c>
      <c r="AT1664" s="84">
        <f t="shared" si="108"/>
        <v>2013</v>
      </c>
      <c r="AU1664" s="86"/>
      <c r="AV1664" s="86"/>
      <c r="AW1664" s="87"/>
      <c r="AX1664" s="86"/>
      <c r="AY1664" s="83"/>
      <c r="AZ1664" s="84"/>
      <c r="BA1664" s="86"/>
      <c r="BB1664" s="86"/>
    </row>
    <row r="1665" spans="1:54" ht="36.75" customHeight="1">
      <c r="A1665" s="30"/>
      <c r="B1665" s="30" t="s">
        <v>55</v>
      </c>
      <c r="C1665" s="69" t="str">
        <f t="shared" si="105"/>
        <v>Closed</v>
      </c>
      <c r="D1665" s="27" t="s">
        <v>9288</v>
      </c>
      <c r="E1665" s="29" t="s">
        <v>9289</v>
      </c>
      <c r="F1665" s="30" t="s">
        <v>582</v>
      </c>
      <c r="G1665" s="89">
        <f>DATE(2013,10,16)</f>
        <v>41563</v>
      </c>
      <c r="H1665" s="90">
        <v>1.0069444444444444</v>
      </c>
      <c r="I1665" s="30" t="s">
        <v>198</v>
      </c>
      <c r="J1665" s="89" t="s">
        <v>9290</v>
      </c>
      <c r="K1665" s="30" t="s">
        <v>584</v>
      </c>
      <c r="L1665" s="30" t="s">
        <v>9291</v>
      </c>
      <c r="M1665" s="30" t="s">
        <v>63</v>
      </c>
      <c r="N1665" s="30" t="s">
        <v>142</v>
      </c>
      <c r="O1665" s="30" t="s">
        <v>77</v>
      </c>
      <c r="P1665" s="89" t="s">
        <v>165</v>
      </c>
      <c r="Q1665" s="89" t="s">
        <v>3903</v>
      </c>
      <c r="R1665" s="89" t="s">
        <v>587</v>
      </c>
      <c r="S1665" s="30">
        <v>0</v>
      </c>
      <c r="T1665" s="233">
        <v>0</v>
      </c>
      <c r="U1665" s="30">
        <v>0</v>
      </c>
      <c r="V1665" s="233">
        <v>0</v>
      </c>
      <c r="W1665" s="30">
        <v>0</v>
      </c>
      <c r="X1665" s="30">
        <v>0</v>
      </c>
      <c r="Y1665" s="30">
        <v>0</v>
      </c>
      <c r="Z1665" s="233">
        <v>0</v>
      </c>
      <c r="AA1665" s="30">
        <v>0</v>
      </c>
      <c r="AB1665" s="30">
        <v>0</v>
      </c>
      <c r="AC1665" s="30">
        <v>0</v>
      </c>
      <c r="AD1665" s="30">
        <v>0</v>
      </c>
      <c r="AE1665" s="89" t="s">
        <v>394</v>
      </c>
      <c r="AF1665" s="89"/>
      <c r="AG1665" s="89" t="s">
        <v>133</v>
      </c>
      <c r="AH1665" s="72">
        <v>41565</v>
      </c>
      <c r="AI1665" s="30">
        <v>0</v>
      </c>
      <c r="AJ1665" s="89" t="s">
        <v>9292</v>
      </c>
      <c r="AK1665" s="89" t="s">
        <v>1233</v>
      </c>
      <c r="AL1665" s="91">
        <v>41570</v>
      </c>
      <c r="AM1665" s="91"/>
      <c r="AN1665" s="91"/>
      <c r="AO1665" s="91"/>
      <c r="AP1665" s="73" t="e">
        <f>MID(VLOOKUP(K1665,#REF!,2,FALSE),1,2)</f>
        <v>#REF!</v>
      </c>
      <c r="AQ1665" s="89">
        <f>DATE(2013,10,16)</f>
        <v>41563</v>
      </c>
      <c r="AR1665" s="82">
        <f t="shared" si="106"/>
        <v>16</v>
      </c>
      <c r="AS1665" s="83">
        <f t="shared" si="107"/>
        <v>10</v>
      </c>
      <c r="AT1665" s="84">
        <f t="shared" si="108"/>
        <v>2013</v>
      </c>
      <c r="AU1665" s="86"/>
      <c r="AV1665" s="86"/>
      <c r="AW1665" s="87"/>
      <c r="AX1665" s="86"/>
      <c r="AY1665" s="83"/>
      <c r="AZ1665" s="84"/>
      <c r="BA1665" s="86"/>
      <c r="BB1665" s="86"/>
    </row>
    <row r="1666" spans="1:54" ht="36.75" customHeight="1">
      <c r="A1666" s="30"/>
      <c r="B1666" s="30" t="s">
        <v>55</v>
      </c>
      <c r="C1666" s="69" t="str">
        <f t="shared" ref="C1666:C1729" si="109">IF(B1666="Notification","Open",IF(B1666="Interim Statement","In progress","Closed"))</f>
        <v>Closed</v>
      </c>
      <c r="D1666" s="27" t="s">
        <v>9293</v>
      </c>
      <c r="E1666" s="29" t="s">
        <v>9294</v>
      </c>
      <c r="F1666" s="30" t="s">
        <v>451</v>
      </c>
      <c r="G1666" s="89">
        <f>DATE(2013,10,16)</f>
        <v>41563</v>
      </c>
      <c r="H1666" s="90">
        <v>1.2527777777777778</v>
      </c>
      <c r="I1666" s="30" t="s">
        <v>116</v>
      </c>
      <c r="J1666" s="89" t="s">
        <v>9295</v>
      </c>
      <c r="K1666" s="30" t="s">
        <v>453</v>
      </c>
      <c r="L1666" s="30" t="s">
        <v>9296</v>
      </c>
      <c r="M1666" s="30" t="s">
        <v>63</v>
      </c>
      <c r="N1666" s="30" t="s">
        <v>99</v>
      </c>
      <c r="O1666" s="30" t="s">
        <v>64</v>
      </c>
      <c r="P1666" s="89" t="s">
        <v>165</v>
      </c>
      <c r="Q1666" s="89" t="s">
        <v>455</v>
      </c>
      <c r="R1666" s="89" t="s">
        <v>456</v>
      </c>
      <c r="S1666" s="30">
        <v>0</v>
      </c>
      <c r="T1666" s="233">
        <v>0</v>
      </c>
      <c r="U1666" s="30">
        <v>1</v>
      </c>
      <c r="V1666" s="233">
        <v>0</v>
      </c>
      <c r="W1666" s="30">
        <v>0</v>
      </c>
      <c r="X1666" s="30">
        <v>1</v>
      </c>
      <c r="Y1666" s="30">
        <v>0</v>
      </c>
      <c r="Z1666" s="233">
        <v>0</v>
      </c>
      <c r="AA1666" s="30">
        <v>0</v>
      </c>
      <c r="AB1666" s="30">
        <v>0</v>
      </c>
      <c r="AC1666" s="30">
        <v>0</v>
      </c>
      <c r="AD1666" s="30">
        <v>0</v>
      </c>
      <c r="AE1666" s="89" t="s">
        <v>92</v>
      </c>
      <c r="AF1666" s="89"/>
      <c r="AG1666" s="89" t="s">
        <v>82</v>
      </c>
      <c r="AH1666" s="72">
        <v>41571</v>
      </c>
      <c r="AI1666" s="30">
        <v>0</v>
      </c>
      <c r="AJ1666" s="89" t="s">
        <v>9297</v>
      </c>
      <c r="AK1666" s="89" t="s">
        <v>68</v>
      </c>
      <c r="AL1666" s="91">
        <v>42831</v>
      </c>
      <c r="AM1666" s="91"/>
      <c r="AN1666" s="91"/>
      <c r="AO1666" s="91"/>
      <c r="AP1666" s="73" t="e">
        <f>MID(VLOOKUP(K1666,#REF!,2,FALSE),1,2)</f>
        <v>#REF!</v>
      </c>
      <c r="AQ1666" s="89">
        <f>DATE(2013,10,16)</f>
        <v>41563</v>
      </c>
      <c r="AR1666" s="82">
        <f t="shared" ref="AR1666:AR1718" si="110">DAY(AQ1666)</f>
        <v>16</v>
      </c>
      <c r="AS1666" s="83">
        <f t="shared" ref="AS1666:AS1718" si="111">MONTH(AQ1666)</f>
        <v>10</v>
      </c>
      <c r="AT1666" s="84">
        <f t="shared" ref="AT1666:AT1718" si="112">YEAR(AQ1666)</f>
        <v>2013</v>
      </c>
      <c r="AU1666" s="86"/>
      <c r="AV1666" s="86"/>
      <c r="AW1666" s="87"/>
      <c r="AX1666" s="86"/>
      <c r="AY1666" s="83"/>
      <c r="AZ1666" s="84"/>
      <c r="BA1666" s="86"/>
      <c r="BB1666" s="86"/>
    </row>
    <row r="1667" spans="1:54" ht="36.75" customHeight="1">
      <c r="A1667" s="30"/>
      <c r="B1667" s="30" t="s">
        <v>55</v>
      </c>
      <c r="C1667" s="69" t="str">
        <f t="shared" si="109"/>
        <v>Closed</v>
      </c>
      <c r="D1667" s="27" t="s">
        <v>9298</v>
      </c>
      <c r="E1667" s="29" t="s">
        <v>9299</v>
      </c>
      <c r="F1667" s="30" t="s">
        <v>1572</v>
      </c>
      <c r="G1667" s="89">
        <f>DATE(2013,10,16)</f>
        <v>41563</v>
      </c>
      <c r="H1667" s="90">
        <v>1.3611111111111112</v>
      </c>
      <c r="I1667" s="30" t="s">
        <v>198</v>
      </c>
      <c r="J1667" s="89" t="s">
        <v>9300</v>
      </c>
      <c r="K1667" s="30" t="s">
        <v>1574</v>
      </c>
      <c r="L1667" s="30" t="s">
        <v>9301</v>
      </c>
      <c r="M1667" s="30" t="s">
        <v>63</v>
      </c>
      <c r="N1667" s="30" t="s">
        <v>99</v>
      </c>
      <c r="O1667" s="30" t="s">
        <v>64</v>
      </c>
      <c r="P1667" s="89" t="s">
        <v>301</v>
      </c>
      <c r="Q1667" s="89" t="s">
        <v>6434</v>
      </c>
      <c r="R1667" s="89" t="s">
        <v>6434</v>
      </c>
      <c r="S1667" s="30">
        <v>0</v>
      </c>
      <c r="T1667" s="233">
        <v>0</v>
      </c>
      <c r="U1667" s="30">
        <v>0</v>
      </c>
      <c r="V1667" s="233">
        <v>0</v>
      </c>
      <c r="W1667" s="30">
        <v>0</v>
      </c>
      <c r="X1667" s="30">
        <v>0</v>
      </c>
      <c r="Y1667" s="30">
        <v>0</v>
      </c>
      <c r="Z1667" s="233">
        <v>1</v>
      </c>
      <c r="AA1667" s="30">
        <v>0</v>
      </c>
      <c r="AB1667" s="30">
        <v>0</v>
      </c>
      <c r="AC1667" s="30">
        <v>0</v>
      </c>
      <c r="AD1667" s="30">
        <v>1</v>
      </c>
      <c r="AE1667" s="89" t="s">
        <v>92</v>
      </c>
      <c r="AF1667" s="89"/>
      <c r="AG1667" s="89" t="s">
        <v>133</v>
      </c>
      <c r="AH1667" s="72">
        <v>41568</v>
      </c>
      <c r="AI1667" s="30">
        <v>3</v>
      </c>
      <c r="AJ1667" s="89" t="s">
        <v>9302</v>
      </c>
      <c r="AK1667" s="89" t="s">
        <v>9303</v>
      </c>
      <c r="AL1667" s="91">
        <v>41568</v>
      </c>
      <c r="AM1667" s="91"/>
      <c r="AN1667" s="91"/>
      <c r="AO1667" s="91"/>
      <c r="AP1667" s="73" t="e">
        <f>MID(VLOOKUP(K1667,#REF!,2,FALSE),1,2)</f>
        <v>#REF!</v>
      </c>
      <c r="AQ1667" s="89">
        <f>DATE(2013,10,16)</f>
        <v>41563</v>
      </c>
      <c r="AR1667" s="82">
        <f t="shared" si="110"/>
        <v>16</v>
      </c>
      <c r="AS1667" s="83">
        <f t="shared" si="111"/>
        <v>10</v>
      </c>
      <c r="AT1667" s="84">
        <f t="shared" si="112"/>
        <v>2013</v>
      </c>
      <c r="AU1667" s="86"/>
      <c r="AV1667" s="86"/>
      <c r="AW1667" s="87"/>
      <c r="AX1667" s="86"/>
      <c r="AY1667" s="83"/>
      <c r="AZ1667" s="84"/>
      <c r="BA1667" s="86"/>
      <c r="BB1667" s="86"/>
    </row>
    <row r="1668" spans="1:54" ht="36.75" customHeight="1">
      <c r="A1668" s="30"/>
      <c r="B1668" s="30" t="s">
        <v>55</v>
      </c>
      <c r="C1668" s="69" t="str">
        <f t="shared" si="109"/>
        <v>Closed</v>
      </c>
      <c r="D1668" s="27" t="s">
        <v>9304</v>
      </c>
      <c r="E1668" s="29" t="s">
        <v>9305</v>
      </c>
      <c r="F1668" s="30" t="s">
        <v>835</v>
      </c>
      <c r="G1668" s="89">
        <f>DATE(2013,10,17)</f>
        <v>41564</v>
      </c>
      <c r="H1668" s="90">
        <v>1.8416666666666668</v>
      </c>
      <c r="I1668" s="30" t="s">
        <v>73</v>
      </c>
      <c r="J1668" s="89" t="s">
        <v>9306</v>
      </c>
      <c r="K1668" s="30" t="s">
        <v>837</v>
      </c>
      <c r="L1668" s="30" t="s">
        <v>9307</v>
      </c>
      <c r="M1668" s="30" t="s">
        <v>129</v>
      </c>
      <c r="N1668" s="30" t="s">
        <v>142</v>
      </c>
      <c r="O1668" s="30" t="s">
        <v>77</v>
      </c>
      <c r="P1668" s="89" t="s">
        <v>129</v>
      </c>
      <c r="Q1668" s="89" t="s">
        <v>4210</v>
      </c>
      <c r="R1668" s="89" t="s">
        <v>4210</v>
      </c>
      <c r="S1668" s="30">
        <v>0</v>
      </c>
      <c r="T1668" s="233">
        <v>0</v>
      </c>
      <c r="U1668" s="30">
        <v>0</v>
      </c>
      <c r="V1668" s="233">
        <v>0</v>
      </c>
      <c r="W1668" s="30">
        <v>0</v>
      </c>
      <c r="X1668" s="30">
        <v>0</v>
      </c>
      <c r="Y1668" s="30">
        <v>0</v>
      </c>
      <c r="Z1668" s="233">
        <v>0</v>
      </c>
      <c r="AA1668" s="30">
        <v>0</v>
      </c>
      <c r="AB1668" s="30">
        <v>0</v>
      </c>
      <c r="AC1668" s="30">
        <v>0</v>
      </c>
      <c r="AD1668" s="30">
        <v>0</v>
      </c>
      <c r="AE1668" s="89" t="s">
        <v>92</v>
      </c>
      <c r="AF1668" s="89"/>
      <c r="AG1668" s="89" t="s">
        <v>352</v>
      </c>
      <c r="AH1668" s="72">
        <v>41565</v>
      </c>
      <c r="AI1668" s="30">
        <v>1</v>
      </c>
      <c r="AJ1668" s="89" t="s">
        <v>9308</v>
      </c>
      <c r="AK1668" s="89" t="s">
        <v>1233</v>
      </c>
      <c r="AL1668" s="91">
        <v>41568</v>
      </c>
      <c r="AM1668" s="91"/>
      <c r="AN1668" s="91"/>
      <c r="AO1668" s="91"/>
      <c r="AP1668" s="73" t="e">
        <f>MID(VLOOKUP(K1668,#REF!,2,FALSE),1,2)</f>
        <v>#REF!</v>
      </c>
      <c r="AQ1668" s="89">
        <f>DATE(2013,10,17)</f>
        <v>41564</v>
      </c>
      <c r="AR1668" s="82">
        <f t="shared" si="110"/>
        <v>17</v>
      </c>
      <c r="AS1668" s="83">
        <f t="shared" si="111"/>
        <v>10</v>
      </c>
      <c r="AT1668" s="84">
        <f t="shared" si="112"/>
        <v>2013</v>
      </c>
      <c r="AU1668" s="86"/>
      <c r="AV1668" s="86"/>
      <c r="AW1668" s="87"/>
      <c r="AX1668" s="86"/>
      <c r="AY1668" s="83"/>
      <c r="AZ1668" s="84"/>
      <c r="BA1668" s="86"/>
      <c r="BB1668" s="86"/>
    </row>
    <row r="1669" spans="1:54" ht="36.75" customHeight="1">
      <c r="A1669" s="30"/>
      <c r="B1669" s="30" t="s">
        <v>55</v>
      </c>
      <c r="C1669" s="69" t="str">
        <f t="shared" si="109"/>
        <v>Closed</v>
      </c>
      <c r="D1669" s="27" t="s">
        <v>9309</v>
      </c>
      <c r="E1669" s="29" t="s">
        <v>9310</v>
      </c>
      <c r="F1669" s="30" t="s">
        <v>124</v>
      </c>
      <c r="G1669" s="89">
        <f>DATE(2013,10,17)</f>
        <v>41564</v>
      </c>
      <c r="H1669" s="90">
        <v>1.33125</v>
      </c>
      <c r="I1669" s="30" t="s">
        <v>5494</v>
      </c>
      <c r="J1669" s="89" t="s">
        <v>9311</v>
      </c>
      <c r="K1669" s="30" t="s">
        <v>127</v>
      </c>
      <c r="L1669" s="30" t="s">
        <v>9312</v>
      </c>
      <c r="M1669" s="30" t="s">
        <v>255</v>
      </c>
      <c r="N1669" s="30" t="s">
        <v>142</v>
      </c>
      <c r="O1669" s="30" t="s">
        <v>77</v>
      </c>
      <c r="P1669" s="89" t="s">
        <v>6552</v>
      </c>
      <c r="Q1669" s="89">
        <v>0</v>
      </c>
      <c r="R1669" s="89">
        <v>0</v>
      </c>
      <c r="S1669" s="30">
        <v>0</v>
      </c>
      <c r="T1669" s="233">
        <v>0</v>
      </c>
      <c r="U1669" s="30">
        <v>0</v>
      </c>
      <c r="V1669" s="233">
        <v>1</v>
      </c>
      <c r="W1669" s="30">
        <v>0</v>
      </c>
      <c r="X1669" s="30">
        <v>1</v>
      </c>
      <c r="Y1669" s="30">
        <v>0</v>
      </c>
      <c r="Z1669" s="233">
        <v>0</v>
      </c>
      <c r="AA1669" s="30">
        <v>0</v>
      </c>
      <c r="AB1669" s="30">
        <v>0</v>
      </c>
      <c r="AC1669" s="30">
        <v>0</v>
      </c>
      <c r="AD1669" s="30">
        <v>0</v>
      </c>
      <c r="AE1669" s="89" t="s">
        <v>92</v>
      </c>
      <c r="AF1669" s="89"/>
      <c r="AG1669" s="89" t="s">
        <v>133</v>
      </c>
      <c r="AH1669" s="72">
        <v>41572</v>
      </c>
      <c r="AI1669" s="30">
        <v>1</v>
      </c>
      <c r="AJ1669" s="89" t="s">
        <v>9313</v>
      </c>
      <c r="AK1669" s="89" t="s">
        <v>68</v>
      </c>
      <c r="AL1669" s="91">
        <v>41564</v>
      </c>
      <c r="AM1669" s="91"/>
      <c r="AN1669" s="91"/>
      <c r="AO1669" s="91"/>
      <c r="AP1669" s="73" t="e">
        <f>MID(VLOOKUP(K1669,#REF!,2,FALSE),1,2)</f>
        <v>#REF!</v>
      </c>
      <c r="AQ1669" s="89">
        <f>DATE(2013,10,17)</f>
        <v>41564</v>
      </c>
      <c r="AR1669" s="82">
        <f t="shared" si="110"/>
        <v>17</v>
      </c>
      <c r="AS1669" s="83">
        <f t="shared" si="111"/>
        <v>10</v>
      </c>
      <c r="AT1669" s="84">
        <f t="shared" si="112"/>
        <v>2013</v>
      </c>
      <c r="AU1669" s="86"/>
      <c r="AV1669" s="86"/>
      <c r="AW1669" s="87"/>
      <c r="AX1669" s="86"/>
      <c r="AY1669" s="83"/>
      <c r="AZ1669" s="84"/>
      <c r="BA1669" s="86"/>
      <c r="BB1669" s="86"/>
    </row>
    <row r="1670" spans="1:54" ht="36.75" customHeight="1">
      <c r="A1670" s="30"/>
      <c r="B1670" s="30" t="s">
        <v>55</v>
      </c>
      <c r="C1670" s="69" t="str">
        <f t="shared" si="109"/>
        <v>Closed</v>
      </c>
      <c r="D1670" s="27" t="s">
        <v>9314</v>
      </c>
      <c r="E1670" s="29" t="s">
        <v>9315</v>
      </c>
      <c r="F1670" s="30" t="s">
        <v>835</v>
      </c>
      <c r="G1670" s="89">
        <f>DATE(2013,10,18)</f>
        <v>41565</v>
      </c>
      <c r="H1670" s="90">
        <v>0</v>
      </c>
      <c r="I1670" s="30" t="s">
        <v>116</v>
      </c>
      <c r="J1670" s="89" t="s">
        <v>9316</v>
      </c>
      <c r="K1670" s="30" t="s">
        <v>837</v>
      </c>
      <c r="L1670" s="30" t="s">
        <v>9317</v>
      </c>
      <c r="M1670" s="30" t="s">
        <v>63</v>
      </c>
      <c r="N1670" s="30" t="s">
        <v>142</v>
      </c>
      <c r="O1670" s="30" t="s">
        <v>64</v>
      </c>
      <c r="P1670" s="89" t="s">
        <v>65</v>
      </c>
      <c r="Q1670" s="89" t="s">
        <v>2162</v>
      </c>
      <c r="R1670" s="89" t="s">
        <v>840</v>
      </c>
      <c r="S1670" s="30">
        <v>0</v>
      </c>
      <c r="T1670" s="233">
        <v>0</v>
      </c>
      <c r="U1670" s="30">
        <v>0</v>
      </c>
      <c r="V1670" s="233">
        <v>0</v>
      </c>
      <c r="W1670" s="30">
        <v>0</v>
      </c>
      <c r="X1670" s="30">
        <v>0</v>
      </c>
      <c r="Y1670" s="30">
        <v>0</v>
      </c>
      <c r="Z1670" s="233">
        <v>0</v>
      </c>
      <c r="AA1670" s="30">
        <v>0</v>
      </c>
      <c r="AB1670" s="30">
        <v>0</v>
      </c>
      <c r="AC1670" s="30">
        <v>0</v>
      </c>
      <c r="AD1670" s="30">
        <v>0</v>
      </c>
      <c r="AE1670" s="89" t="s">
        <v>92</v>
      </c>
      <c r="AF1670" s="89"/>
      <c r="AG1670" s="89" t="s">
        <v>352</v>
      </c>
      <c r="AH1670" s="72">
        <v>41565</v>
      </c>
      <c r="AI1670" s="30">
        <v>0</v>
      </c>
      <c r="AJ1670" s="89" t="s">
        <v>9318</v>
      </c>
      <c r="AK1670" s="89" t="s">
        <v>68</v>
      </c>
      <c r="AL1670" s="91">
        <v>41565</v>
      </c>
      <c r="AM1670" s="91"/>
      <c r="AN1670" s="91"/>
      <c r="AO1670" s="91"/>
      <c r="AP1670" s="73" t="e">
        <f>MID(VLOOKUP(K1670,#REF!,2,FALSE),1,2)</f>
        <v>#REF!</v>
      </c>
      <c r="AQ1670" s="89">
        <f>DATE(2013,10,18)</f>
        <v>41565</v>
      </c>
      <c r="AR1670" s="82">
        <f t="shared" si="110"/>
        <v>18</v>
      </c>
      <c r="AS1670" s="83">
        <f t="shared" si="111"/>
        <v>10</v>
      </c>
      <c r="AT1670" s="84">
        <f t="shared" si="112"/>
        <v>2013</v>
      </c>
      <c r="AU1670" s="86"/>
      <c r="AV1670" s="86"/>
      <c r="AW1670" s="87"/>
      <c r="AX1670" s="86"/>
      <c r="AY1670" s="83"/>
      <c r="AZ1670" s="84"/>
      <c r="BA1670" s="86"/>
      <c r="BB1670" s="86"/>
    </row>
    <row r="1671" spans="1:54" ht="36.75" customHeight="1">
      <c r="A1671" s="30"/>
      <c r="B1671" s="30" t="s">
        <v>55</v>
      </c>
      <c r="C1671" s="69" t="str">
        <f t="shared" si="109"/>
        <v>Closed</v>
      </c>
      <c r="D1671" s="27" t="s">
        <v>9319</v>
      </c>
      <c r="E1671" s="29" t="s">
        <v>9320</v>
      </c>
      <c r="F1671" s="30" t="s">
        <v>377</v>
      </c>
      <c r="G1671" s="89">
        <f>DATE(2013,10,24)</f>
        <v>41571</v>
      </c>
      <c r="H1671" s="90">
        <v>1.2020833333333334</v>
      </c>
      <c r="I1671" s="30" t="s">
        <v>125</v>
      </c>
      <c r="J1671" s="89" t="s">
        <v>9321</v>
      </c>
      <c r="K1671" s="30" t="s">
        <v>379</v>
      </c>
      <c r="L1671" s="30" t="s">
        <v>9322</v>
      </c>
      <c r="M1671" s="30" t="s">
        <v>63</v>
      </c>
      <c r="N1671" s="30" t="s">
        <v>142</v>
      </c>
      <c r="O1671" s="30" t="s">
        <v>64</v>
      </c>
      <c r="P1671" s="89" t="s">
        <v>78</v>
      </c>
      <c r="Q1671" s="89" t="s">
        <v>2906</v>
      </c>
      <c r="R1671" s="89" t="s">
        <v>382</v>
      </c>
      <c r="S1671" s="30">
        <v>0</v>
      </c>
      <c r="T1671" s="233">
        <v>0</v>
      </c>
      <c r="U1671" s="30">
        <v>0</v>
      </c>
      <c r="V1671" s="233">
        <v>0</v>
      </c>
      <c r="W1671" s="30">
        <v>0</v>
      </c>
      <c r="X1671" s="30">
        <v>0</v>
      </c>
      <c r="Y1671" s="30">
        <v>0</v>
      </c>
      <c r="Z1671" s="233">
        <v>0</v>
      </c>
      <c r="AA1671" s="30">
        <v>0</v>
      </c>
      <c r="AB1671" s="30">
        <v>0</v>
      </c>
      <c r="AC1671" s="30">
        <v>0</v>
      </c>
      <c r="AD1671" s="30">
        <v>0</v>
      </c>
      <c r="AE1671" s="89" t="s">
        <v>92</v>
      </c>
      <c r="AF1671" s="89"/>
      <c r="AG1671" s="89" t="s">
        <v>352</v>
      </c>
      <c r="AH1671" s="72">
        <v>41571</v>
      </c>
      <c r="AI1671" s="30">
        <v>7</v>
      </c>
      <c r="AJ1671" s="89" t="s">
        <v>9323</v>
      </c>
      <c r="AK1671" s="89" t="s">
        <v>9324</v>
      </c>
      <c r="AL1671" s="91">
        <v>41582</v>
      </c>
      <c r="AM1671" s="91"/>
      <c r="AN1671" s="91"/>
      <c r="AO1671" s="91"/>
      <c r="AP1671" s="73" t="e">
        <f>MID(VLOOKUP(K1671,#REF!,2,FALSE),1,2)</f>
        <v>#REF!</v>
      </c>
      <c r="AQ1671" s="89">
        <f>DATE(2013,10,24)</f>
        <v>41571</v>
      </c>
      <c r="AR1671" s="82">
        <f t="shared" si="110"/>
        <v>24</v>
      </c>
      <c r="AS1671" s="83">
        <f t="shared" si="111"/>
        <v>10</v>
      </c>
      <c r="AT1671" s="84">
        <f t="shared" si="112"/>
        <v>2013</v>
      </c>
      <c r="AU1671" s="86"/>
      <c r="AV1671" s="86"/>
      <c r="AW1671" s="87"/>
      <c r="AX1671" s="86"/>
      <c r="AY1671" s="83"/>
      <c r="AZ1671" s="84"/>
      <c r="BA1671" s="86"/>
      <c r="BB1671" s="86"/>
    </row>
    <row r="1672" spans="1:54" ht="36.75" customHeight="1">
      <c r="A1672" s="30"/>
      <c r="B1672" s="30" t="s">
        <v>55</v>
      </c>
      <c r="C1672" s="69" t="str">
        <f t="shared" si="109"/>
        <v>Closed</v>
      </c>
      <c r="D1672" s="27" t="s">
        <v>9325</v>
      </c>
      <c r="E1672" s="29" t="s">
        <v>9326</v>
      </c>
      <c r="F1672" s="30" t="s">
        <v>582</v>
      </c>
      <c r="G1672" s="89">
        <f>DATE(2013,10,26)</f>
        <v>41573</v>
      </c>
      <c r="H1672" s="90">
        <v>1.4027777777777777</v>
      </c>
      <c r="I1672" s="30" t="s">
        <v>198</v>
      </c>
      <c r="J1672" s="89" t="s">
        <v>9327</v>
      </c>
      <c r="K1672" s="30" t="s">
        <v>584</v>
      </c>
      <c r="L1672" s="30" t="s">
        <v>9328</v>
      </c>
      <c r="M1672" s="30" t="s">
        <v>63</v>
      </c>
      <c r="N1672" s="30" t="s">
        <v>142</v>
      </c>
      <c r="O1672" s="30" t="s">
        <v>77</v>
      </c>
      <c r="P1672" s="89" t="s">
        <v>78</v>
      </c>
      <c r="Q1672" s="89" t="s">
        <v>8926</v>
      </c>
      <c r="R1672" s="89" t="s">
        <v>587</v>
      </c>
      <c r="S1672" s="30">
        <v>0</v>
      </c>
      <c r="T1672" s="233">
        <v>0</v>
      </c>
      <c r="U1672" s="30">
        <v>0</v>
      </c>
      <c r="V1672" s="233">
        <v>0</v>
      </c>
      <c r="W1672" s="30">
        <v>0</v>
      </c>
      <c r="X1672" s="30">
        <v>0</v>
      </c>
      <c r="Y1672" s="30">
        <v>0</v>
      </c>
      <c r="Z1672" s="233">
        <v>1</v>
      </c>
      <c r="AA1672" s="30">
        <v>0</v>
      </c>
      <c r="AB1672" s="30">
        <v>0</v>
      </c>
      <c r="AC1672" s="30">
        <v>0</v>
      </c>
      <c r="AD1672" s="30">
        <v>1</v>
      </c>
      <c r="AE1672" s="89" t="s">
        <v>145</v>
      </c>
      <c r="AF1672" s="89"/>
      <c r="AG1672" s="89" t="s">
        <v>82</v>
      </c>
      <c r="AH1672" s="72">
        <v>41578</v>
      </c>
      <c r="AI1672" s="30">
        <v>2</v>
      </c>
      <c r="AJ1672" s="89" t="s">
        <v>9329</v>
      </c>
      <c r="AK1672" s="89" t="s">
        <v>1233</v>
      </c>
      <c r="AL1672" s="91">
        <v>41584</v>
      </c>
      <c r="AM1672" s="91"/>
      <c r="AN1672" s="91"/>
      <c r="AO1672" s="91"/>
      <c r="AP1672" s="73" t="e">
        <f>MID(VLOOKUP(K1672,#REF!,2,FALSE),1,2)</f>
        <v>#REF!</v>
      </c>
      <c r="AQ1672" s="89">
        <f>DATE(2013,10,26)</f>
        <v>41573</v>
      </c>
      <c r="AR1672" s="82">
        <f t="shared" si="110"/>
        <v>26</v>
      </c>
      <c r="AS1672" s="83">
        <f t="shared" si="111"/>
        <v>10</v>
      </c>
      <c r="AT1672" s="84">
        <f t="shared" si="112"/>
        <v>2013</v>
      </c>
      <c r="AU1672" s="86"/>
      <c r="AV1672" s="86"/>
      <c r="AW1672" s="87"/>
      <c r="AX1672" s="86"/>
      <c r="AY1672" s="83"/>
      <c r="AZ1672" s="84"/>
      <c r="BA1672" s="86"/>
      <c r="BB1672" s="86"/>
    </row>
    <row r="1673" spans="1:54" ht="36.75" customHeight="1">
      <c r="A1673" s="30"/>
      <c r="B1673" s="30" t="s">
        <v>55</v>
      </c>
      <c r="C1673" s="69" t="str">
        <f t="shared" si="109"/>
        <v>Closed</v>
      </c>
      <c r="D1673" s="27" t="s">
        <v>9330</v>
      </c>
      <c r="E1673" s="29" t="s">
        <v>9331</v>
      </c>
      <c r="F1673" s="30" t="s">
        <v>233</v>
      </c>
      <c r="G1673" s="89">
        <f>DATE(2013,10,26)</f>
        <v>41573</v>
      </c>
      <c r="H1673" s="90">
        <v>1.4236111111111112</v>
      </c>
      <c r="I1673" s="30" t="s">
        <v>5494</v>
      </c>
      <c r="J1673" s="89" t="s">
        <v>9332</v>
      </c>
      <c r="K1673" s="30" t="s">
        <v>235</v>
      </c>
      <c r="L1673" s="30" t="s">
        <v>9333</v>
      </c>
      <c r="M1673" s="30" t="s">
        <v>63</v>
      </c>
      <c r="N1673" s="30" t="s">
        <v>142</v>
      </c>
      <c r="O1673" s="30" t="s">
        <v>64</v>
      </c>
      <c r="P1673" s="89" t="s">
        <v>6941</v>
      </c>
      <c r="Q1673" s="89" t="s">
        <v>3352</v>
      </c>
      <c r="R1673" s="89" t="s">
        <v>238</v>
      </c>
      <c r="S1673" s="30">
        <v>0</v>
      </c>
      <c r="T1673" s="233">
        <v>0</v>
      </c>
      <c r="U1673" s="30">
        <v>0</v>
      </c>
      <c r="V1673" s="233">
        <v>0</v>
      </c>
      <c r="W1673" s="30">
        <v>0</v>
      </c>
      <c r="X1673" s="30">
        <v>0</v>
      </c>
      <c r="Y1673" s="30">
        <v>0</v>
      </c>
      <c r="Z1673" s="233">
        <v>0</v>
      </c>
      <c r="AA1673" s="30">
        <v>0</v>
      </c>
      <c r="AB1673" s="30">
        <v>0</v>
      </c>
      <c r="AC1673" s="30">
        <v>0</v>
      </c>
      <c r="AD1673" s="30">
        <v>0</v>
      </c>
      <c r="AE1673" s="89" t="s">
        <v>92</v>
      </c>
      <c r="AF1673" s="89"/>
      <c r="AG1673" s="89" t="s">
        <v>352</v>
      </c>
      <c r="AH1673" s="72">
        <v>41603</v>
      </c>
      <c r="AI1673" s="30">
        <v>2</v>
      </c>
      <c r="AJ1673" s="89" t="s">
        <v>9334</v>
      </c>
      <c r="AK1673" s="89" t="s">
        <v>9335</v>
      </c>
      <c r="AL1673" s="91">
        <v>41604</v>
      </c>
      <c r="AM1673" s="91"/>
      <c r="AN1673" s="91"/>
      <c r="AO1673" s="91"/>
      <c r="AP1673" s="73" t="e">
        <f>MID(VLOOKUP(K1673,#REF!,2,FALSE),1,2)</f>
        <v>#REF!</v>
      </c>
      <c r="AQ1673" s="89">
        <f>DATE(2013,10,26)</f>
        <v>41573</v>
      </c>
      <c r="AR1673" s="82">
        <f t="shared" si="110"/>
        <v>26</v>
      </c>
      <c r="AS1673" s="83">
        <f t="shared" si="111"/>
        <v>10</v>
      </c>
      <c r="AT1673" s="84">
        <f t="shared" si="112"/>
        <v>2013</v>
      </c>
      <c r="AU1673" s="86"/>
      <c r="AV1673" s="86"/>
      <c r="AW1673" s="87"/>
      <c r="AX1673" s="86"/>
      <c r="AY1673" s="83"/>
      <c r="AZ1673" s="84"/>
      <c r="BA1673" s="86"/>
      <c r="BB1673" s="86"/>
    </row>
    <row r="1674" spans="1:54" ht="36.75" customHeight="1">
      <c r="A1674" s="30"/>
      <c r="B1674" s="30" t="s">
        <v>55</v>
      </c>
      <c r="C1674" s="69" t="str">
        <f t="shared" si="109"/>
        <v>Closed</v>
      </c>
      <c r="D1674" s="27" t="s">
        <v>9336</v>
      </c>
      <c r="E1674" s="29" t="s">
        <v>9337</v>
      </c>
      <c r="F1674" s="30" t="s">
        <v>638</v>
      </c>
      <c r="G1674" s="89">
        <f>DATE(2013,10,27)</f>
        <v>41574</v>
      </c>
      <c r="H1674" s="90">
        <v>1.3548611111111111</v>
      </c>
      <c r="I1674" s="30" t="s">
        <v>104</v>
      </c>
      <c r="J1674" s="89" t="s">
        <v>9338</v>
      </c>
      <c r="K1674" s="30" t="s">
        <v>640</v>
      </c>
      <c r="L1674" s="30" t="s">
        <v>9339</v>
      </c>
      <c r="M1674" s="30" t="s">
        <v>63</v>
      </c>
      <c r="N1674" s="30" t="s">
        <v>99</v>
      </c>
      <c r="O1674" s="30" t="s">
        <v>77</v>
      </c>
      <c r="P1674" s="89" t="s">
        <v>6902</v>
      </c>
      <c r="Q1674" s="89" t="s">
        <v>642</v>
      </c>
      <c r="R1674" s="89" t="s">
        <v>643</v>
      </c>
      <c r="S1674" s="30">
        <v>0</v>
      </c>
      <c r="T1674" s="233">
        <v>0</v>
      </c>
      <c r="U1674" s="30">
        <v>0</v>
      </c>
      <c r="V1674" s="233">
        <v>0</v>
      </c>
      <c r="W1674" s="30">
        <v>0</v>
      </c>
      <c r="X1674" s="30">
        <v>0</v>
      </c>
      <c r="Y1674" s="30">
        <v>0</v>
      </c>
      <c r="Z1674" s="233">
        <v>0</v>
      </c>
      <c r="AA1674" s="30">
        <v>0</v>
      </c>
      <c r="AB1674" s="30">
        <v>0</v>
      </c>
      <c r="AC1674" s="30">
        <v>0</v>
      </c>
      <c r="AD1674" s="30">
        <v>0</v>
      </c>
      <c r="AE1674" s="89" t="s">
        <v>92</v>
      </c>
      <c r="AF1674" s="89"/>
      <c r="AG1674" s="89" t="s">
        <v>352</v>
      </c>
      <c r="AH1674" s="72">
        <v>41576</v>
      </c>
      <c r="AI1674" s="30">
        <v>0</v>
      </c>
      <c r="AJ1674" s="89" t="s">
        <v>9340</v>
      </c>
      <c r="AK1674" s="89" t="s">
        <v>68</v>
      </c>
      <c r="AL1674" s="91">
        <v>41582</v>
      </c>
      <c r="AM1674" s="91"/>
      <c r="AN1674" s="91"/>
      <c r="AO1674" s="91"/>
      <c r="AP1674" s="73" t="e">
        <f>MID(VLOOKUP(K1674,#REF!,2,FALSE),1,2)</f>
        <v>#REF!</v>
      </c>
      <c r="AQ1674" s="89">
        <f>DATE(2013,10,27)</f>
        <v>41574</v>
      </c>
      <c r="AR1674" s="82">
        <f t="shared" si="110"/>
        <v>27</v>
      </c>
      <c r="AS1674" s="83">
        <f t="shared" si="111"/>
        <v>10</v>
      </c>
      <c r="AT1674" s="84">
        <f t="shared" si="112"/>
        <v>2013</v>
      </c>
      <c r="AU1674" s="86"/>
      <c r="AV1674" s="86"/>
      <c r="AW1674" s="87"/>
      <c r="AX1674" s="86"/>
      <c r="AY1674" s="83"/>
      <c r="AZ1674" s="84"/>
      <c r="BA1674" s="86"/>
      <c r="BB1674" s="86"/>
    </row>
    <row r="1675" spans="1:54" ht="36.75" customHeight="1">
      <c r="A1675" s="30"/>
      <c r="B1675" s="30" t="s">
        <v>55</v>
      </c>
      <c r="C1675" s="69" t="str">
        <f t="shared" si="109"/>
        <v>Closed</v>
      </c>
      <c r="D1675" s="27" t="s">
        <v>9341</v>
      </c>
      <c r="E1675" s="29" t="s">
        <v>9342</v>
      </c>
      <c r="F1675" s="30" t="s">
        <v>638</v>
      </c>
      <c r="G1675" s="89">
        <f>DATE(2013,10,27)</f>
        <v>41574</v>
      </c>
      <c r="H1675" s="90">
        <v>1.8340277777777776</v>
      </c>
      <c r="I1675" s="30" t="s">
        <v>73</v>
      </c>
      <c r="J1675" s="89" t="s">
        <v>9343</v>
      </c>
      <c r="K1675" s="30" t="s">
        <v>640</v>
      </c>
      <c r="L1675" s="30" t="s">
        <v>9344</v>
      </c>
      <c r="M1675" s="30" t="s">
        <v>63</v>
      </c>
      <c r="N1675" s="30" t="s">
        <v>142</v>
      </c>
      <c r="O1675" s="30" t="s">
        <v>77</v>
      </c>
      <c r="P1675" s="89" t="s">
        <v>6902</v>
      </c>
      <c r="Q1675" s="89" t="s">
        <v>642</v>
      </c>
      <c r="R1675" s="89" t="s">
        <v>643</v>
      </c>
      <c r="S1675" s="30">
        <v>0</v>
      </c>
      <c r="T1675" s="233">
        <v>0</v>
      </c>
      <c r="U1675" s="30">
        <v>0</v>
      </c>
      <c r="V1675" s="233">
        <v>0</v>
      </c>
      <c r="W1675" s="30">
        <v>0</v>
      </c>
      <c r="X1675" s="30">
        <v>0</v>
      </c>
      <c r="Y1675" s="30">
        <v>0</v>
      </c>
      <c r="Z1675" s="233">
        <v>0</v>
      </c>
      <c r="AA1675" s="30">
        <v>0</v>
      </c>
      <c r="AB1675" s="30">
        <v>0</v>
      </c>
      <c r="AC1675" s="30">
        <v>0</v>
      </c>
      <c r="AD1675" s="30">
        <v>0</v>
      </c>
      <c r="AE1675" s="89" t="s">
        <v>92</v>
      </c>
      <c r="AF1675" s="89"/>
      <c r="AG1675" s="89" t="s">
        <v>352</v>
      </c>
      <c r="AH1675" s="72">
        <v>41576</v>
      </c>
      <c r="AI1675" s="30">
        <v>1</v>
      </c>
      <c r="AJ1675" s="89" t="s">
        <v>9345</v>
      </c>
      <c r="AK1675" s="89" t="s">
        <v>68</v>
      </c>
      <c r="AL1675" s="91">
        <v>41582</v>
      </c>
      <c r="AM1675" s="91"/>
      <c r="AN1675" s="91"/>
      <c r="AO1675" s="91"/>
      <c r="AP1675" s="73" t="e">
        <f>MID(VLOOKUP(K1675,#REF!,2,FALSE),1,2)</f>
        <v>#REF!</v>
      </c>
      <c r="AQ1675" s="89">
        <f>DATE(2013,10,27)</f>
        <v>41574</v>
      </c>
      <c r="AR1675" s="82">
        <f t="shared" si="110"/>
        <v>27</v>
      </c>
      <c r="AS1675" s="83">
        <f t="shared" si="111"/>
        <v>10</v>
      </c>
      <c r="AT1675" s="84">
        <f t="shared" si="112"/>
        <v>2013</v>
      </c>
      <c r="AU1675" s="86"/>
      <c r="AV1675" s="86"/>
      <c r="AW1675" s="87"/>
      <c r="AX1675" s="86"/>
      <c r="AY1675" s="83"/>
      <c r="AZ1675" s="84"/>
      <c r="BA1675" s="86"/>
      <c r="BB1675" s="86"/>
    </row>
    <row r="1676" spans="1:54" ht="36.75" customHeight="1">
      <c r="A1676" s="30"/>
      <c r="B1676" s="30" t="s">
        <v>55</v>
      </c>
      <c r="C1676" s="69" t="str">
        <f t="shared" si="109"/>
        <v>Closed</v>
      </c>
      <c r="D1676" s="27" t="s">
        <v>9346</v>
      </c>
      <c r="E1676" s="29" t="s">
        <v>9347</v>
      </c>
      <c r="F1676" s="30" t="s">
        <v>233</v>
      </c>
      <c r="G1676" s="89">
        <f>DATE(2013,10,29)</f>
        <v>41576</v>
      </c>
      <c r="H1676" s="90">
        <v>1.620138888888889</v>
      </c>
      <c r="I1676" s="30" t="s">
        <v>116</v>
      </c>
      <c r="J1676" s="89" t="s">
        <v>9348</v>
      </c>
      <c r="K1676" s="30" t="s">
        <v>235</v>
      </c>
      <c r="L1676" s="30" t="s">
        <v>9349</v>
      </c>
      <c r="M1676" s="30" t="s">
        <v>63</v>
      </c>
      <c r="N1676" s="30" t="s">
        <v>142</v>
      </c>
      <c r="O1676" s="30" t="s">
        <v>86</v>
      </c>
      <c r="P1676" s="89" t="s">
        <v>165</v>
      </c>
      <c r="Q1676" s="89" t="s">
        <v>4659</v>
      </c>
      <c r="R1676" s="89" t="s">
        <v>238</v>
      </c>
      <c r="S1676" s="30">
        <v>0</v>
      </c>
      <c r="T1676" s="233">
        <v>0</v>
      </c>
      <c r="U1676" s="30">
        <v>1</v>
      </c>
      <c r="V1676" s="233">
        <v>0</v>
      </c>
      <c r="W1676" s="30">
        <v>0</v>
      </c>
      <c r="X1676" s="30">
        <v>1</v>
      </c>
      <c r="Y1676" s="30">
        <v>0</v>
      </c>
      <c r="Z1676" s="233">
        <v>0</v>
      </c>
      <c r="AA1676" s="30">
        <v>0</v>
      </c>
      <c r="AB1676" s="30">
        <v>0</v>
      </c>
      <c r="AC1676" s="30">
        <v>0</v>
      </c>
      <c r="AD1676" s="30">
        <v>0</v>
      </c>
      <c r="AE1676" s="89" t="s">
        <v>92</v>
      </c>
      <c r="AF1676" s="89"/>
      <c r="AG1676" s="89" t="s">
        <v>82</v>
      </c>
      <c r="AH1676" s="72">
        <v>41596</v>
      </c>
      <c r="AI1676" s="30">
        <v>0</v>
      </c>
      <c r="AJ1676" s="89" t="s">
        <v>9350</v>
      </c>
      <c r="AK1676" s="89" t="s">
        <v>9351</v>
      </c>
      <c r="AL1676" s="91">
        <v>41646</v>
      </c>
      <c r="AM1676" s="91"/>
      <c r="AN1676" s="91"/>
      <c r="AO1676" s="91"/>
      <c r="AP1676" s="73" t="e">
        <f>MID(VLOOKUP(K1676,#REF!,2,FALSE),1,2)</f>
        <v>#REF!</v>
      </c>
      <c r="AQ1676" s="89">
        <f>DATE(2013,10,29)</f>
        <v>41576</v>
      </c>
      <c r="AR1676" s="82">
        <f t="shared" si="110"/>
        <v>29</v>
      </c>
      <c r="AS1676" s="83">
        <f t="shared" si="111"/>
        <v>10</v>
      </c>
      <c r="AT1676" s="84">
        <f t="shared" si="112"/>
        <v>2013</v>
      </c>
      <c r="AU1676" s="86"/>
      <c r="AV1676" s="86"/>
      <c r="AW1676" s="87"/>
      <c r="AX1676" s="86"/>
      <c r="AY1676" s="83"/>
      <c r="AZ1676" s="84"/>
      <c r="BA1676" s="86"/>
      <c r="BB1676" s="86"/>
    </row>
    <row r="1677" spans="1:54" ht="36.75" customHeight="1">
      <c r="A1677" s="30"/>
      <c r="B1677" s="30" t="s">
        <v>55</v>
      </c>
      <c r="C1677" s="69" t="str">
        <f t="shared" si="109"/>
        <v>Closed</v>
      </c>
      <c r="D1677" s="27" t="s">
        <v>9352</v>
      </c>
      <c r="E1677" s="29" t="s">
        <v>9353</v>
      </c>
      <c r="F1677" s="30" t="s">
        <v>423</v>
      </c>
      <c r="G1677" s="89">
        <f>DATE(2013,11,3)</f>
        <v>41581</v>
      </c>
      <c r="H1677" s="90">
        <v>1.8229166666666665</v>
      </c>
      <c r="I1677" s="30" t="s">
        <v>73</v>
      </c>
      <c r="J1677" s="89" t="s">
        <v>9354</v>
      </c>
      <c r="K1677" s="30" t="s">
        <v>425</v>
      </c>
      <c r="L1677" s="30" t="s">
        <v>9355</v>
      </c>
      <c r="M1677" s="30" t="s">
        <v>63</v>
      </c>
      <c r="N1677" s="30" t="s">
        <v>89</v>
      </c>
      <c r="O1677" s="30" t="s">
        <v>90</v>
      </c>
      <c r="P1677" s="89" t="s">
        <v>91</v>
      </c>
      <c r="Q1677" s="89" t="s">
        <v>2582</v>
      </c>
      <c r="R1677" s="89" t="s">
        <v>3103</v>
      </c>
      <c r="S1677" s="30">
        <v>0</v>
      </c>
      <c r="T1677" s="233">
        <v>0</v>
      </c>
      <c r="U1677" s="30">
        <v>0</v>
      </c>
      <c r="V1677" s="233">
        <v>0</v>
      </c>
      <c r="W1677" s="30">
        <v>0</v>
      </c>
      <c r="X1677" s="30">
        <v>0</v>
      </c>
      <c r="Y1677" s="30">
        <v>0</v>
      </c>
      <c r="Z1677" s="233">
        <v>0</v>
      </c>
      <c r="AA1677" s="30">
        <v>0</v>
      </c>
      <c r="AB1677" s="30">
        <v>0</v>
      </c>
      <c r="AC1677" s="30">
        <v>0</v>
      </c>
      <c r="AD1677" s="30">
        <v>0</v>
      </c>
      <c r="AE1677" s="89" t="s">
        <v>92</v>
      </c>
      <c r="AF1677" s="89"/>
      <c r="AG1677" s="89" t="s">
        <v>248</v>
      </c>
      <c r="AH1677" s="72">
        <v>41691</v>
      </c>
      <c r="AI1677" s="30">
        <v>6</v>
      </c>
      <c r="AJ1677" s="89" t="s">
        <v>9356</v>
      </c>
      <c r="AK1677" s="89" t="s">
        <v>9357</v>
      </c>
      <c r="AL1677" s="91">
        <v>41695</v>
      </c>
      <c r="AM1677" s="91"/>
      <c r="AN1677" s="91"/>
      <c r="AO1677" s="91"/>
      <c r="AP1677" s="73" t="e">
        <f>MID(VLOOKUP(K1677,#REF!,2,FALSE),1,2)</f>
        <v>#REF!</v>
      </c>
      <c r="AQ1677" s="89">
        <f>DATE(2013,11,3)</f>
        <v>41581</v>
      </c>
      <c r="AR1677" s="82">
        <f t="shared" si="110"/>
        <v>3</v>
      </c>
      <c r="AS1677" s="83">
        <f t="shared" si="111"/>
        <v>11</v>
      </c>
      <c r="AT1677" s="84">
        <f t="shared" si="112"/>
        <v>2013</v>
      </c>
      <c r="AU1677" s="86"/>
      <c r="AV1677" s="86"/>
      <c r="AW1677" s="87"/>
      <c r="AX1677" s="86"/>
      <c r="AY1677" s="83"/>
      <c r="AZ1677" s="84"/>
      <c r="BA1677" s="86"/>
      <c r="BB1677" s="86"/>
    </row>
    <row r="1678" spans="1:54" ht="36.75" customHeight="1">
      <c r="A1678" s="30"/>
      <c r="B1678" s="30" t="s">
        <v>55</v>
      </c>
      <c r="C1678" s="69" t="str">
        <f t="shared" si="109"/>
        <v>Closed</v>
      </c>
      <c r="D1678" s="27" t="s">
        <v>9358</v>
      </c>
      <c r="E1678" s="29" t="s">
        <v>9359</v>
      </c>
      <c r="F1678" s="30" t="s">
        <v>835</v>
      </c>
      <c r="G1678" s="89">
        <f>DATE(2013,11,4)</f>
        <v>41582</v>
      </c>
      <c r="H1678" s="90">
        <v>0</v>
      </c>
      <c r="I1678" s="30" t="s">
        <v>73</v>
      </c>
      <c r="J1678" s="89" t="s">
        <v>9360</v>
      </c>
      <c r="K1678" s="30" t="s">
        <v>837</v>
      </c>
      <c r="L1678" s="30" t="s">
        <v>9361</v>
      </c>
      <c r="M1678" s="30" t="s">
        <v>63</v>
      </c>
      <c r="N1678" s="30" t="s">
        <v>142</v>
      </c>
      <c r="O1678" s="30" t="s">
        <v>77</v>
      </c>
      <c r="P1678" s="89" t="s">
        <v>78</v>
      </c>
      <c r="Q1678" s="89" t="s">
        <v>4708</v>
      </c>
      <c r="R1678" s="89" t="s">
        <v>840</v>
      </c>
      <c r="S1678" s="30">
        <v>0</v>
      </c>
      <c r="T1678" s="233">
        <v>0</v>
      </c>
      <c r="U1678" s="30">
        <v>0</v>
      </c>
      <c r="V1678" s="233">
        <v>0</v>
      </c>
      <c r="W1678" s="30">
        <v>0</v>
      </c>
      <c r="X1678" s="30">
        <v>0</v>
      </c>
      <c r="Y1678" s="30">
        <v>0</v>
      </c>
      <c r="Z1678" s="233">
        <v>0</v>
      </c>
      <c r="AA1678" s="30">
        <v>0</v>
      </c>
      <c r="AB1678" s="30">
        <v>0</v>
      </c>
      <c r="AC1678" s="30">
        <v>0</v>
      </c>
      <c r="AD1678" s="30">
        <v>0</v>
      </c>
      <c r="AE1678" s="89" t="s">
        <v>92</v>
      </c>
      <c r="AF1678" s="89"/>
      <c r="AG1678" s="89" t="s">
        <v>352</v>
      </c>
      <c r="AH1678" s="72">
        <v>41585</v>
      </c>
      <c r="AI1678" s="30">
        <v>1</v>
      </c>
      <c r="AJ1678" s="89" t="s">
        <v>9362</v>
      </c>
      <c r="AK1678" s="89" t="s">
        <v>68</v>
      </c>
      <c r="AL1678" s="91">
        <v>41585</v>
      </c>
      <c r="AM1678" s="91"/>
      <c r="AN1678" s="91"/>
      <c r="AO1678" s="91"/>
      <c r="AP1678" s="73" t="e">
        <f>MID(VLOOKUP(K1678,#REF!,2,FALSE),1,2)</f>
        <v>#REF!</v>
      </c>
      <c r="AQ1678" s="89">
        <f>DATE(2013,11,4)</f>
        <v>41582</v>
      </c>
      <c r="AR1678" s="82">
        <f t="shared" si="110"/>
        <v>4</v>
      </c>
      <c r="AS1678" s="83">
        <f t="shared" si="111"/>
        <v>11</v>
      </c>
      <c r="AT1678" s="84">
        <f t="shared" si="112"/>
        <v>2013</v>
      </c>
      <c r="AU1678" s="86"/>
      <c r="AV1678" s="86"/>
      <c r="AW1678" s="87"/>
      <c r="AX1678" s="86"/>
      <c r="AY1678" s="83"/>
      <c r="AZ1678" s="84"/>
      <c r="BA1678" s="86"/>
      <c r="BB1678" s="86"/>
    </row>
    <row r="1679" spans="1:54" ht="36.75" customHeight="1">
      <c r="A1679" s="30"/>
      <c r="B1679" s="30" t="s">
        <v>55</v>
      </c>
      <c r="C1679" s="69" t="str">
        <f t="shared" si="109"/>
        <v>Closed</v>
      </c>
      <c r="D1679" s="27" t="s">
        <v>9363</v>
      </c>
      <c r="E1679" s="29" t="s">
        <v>9364</v>
      </c>
      <c r="F1679" s="30" t="s">
        <v>124</v>
      </c>
      <c r="G1679" s="89">
        <f>DATE(2013,11,4)</f>
        <v>41582</v>
      </c>
      <c r="H1679" s="90">
        <v>1.4548611111111112</v>
      </c>
      <c r="I1679" s="30" t="s">
        <v>73</v>
      </c>
      <c r="J1679" s="89" t="s">
        <v>9365</v>
      </c>
      <c r="K1679" s="30" t="s">
        <v>127</v>
      </c>
      <c r="L1679" s="30" t="s">
        <v>9366</v>
      </c>
      <c r="M1679" s="30" t="s">
        <v>63</v>
      </c>
      <c r="N1679" s="30" t="s">
        <v>99</v>
      </c>
      <c r="O1679" s="30" t="s">
        <v>64</v>
      </c>
      <c r="P1679" s="89" t="s">
        <v>78</v>
      </c>
      <c r="Q1679" s="89" t="s">
        <v>4232</v>
      </c>
      <c r="R1679" s="89" t="s">
        <v>167</v>
      </c>
      <c r="S1679" s="30">
        <v>0</v>
      </c>
      <c r="T1679" s="233">
        <v>0</v>
      </c>
      <c r="U1679" s="30">
        <v>0</v>
      </c>
      <c r="V1679" s="233">
        <v>0</v>
      </c>
      <c r="W1679" s="30">
        <v>0</v>
      </c>
      <c r="X1679" s="30">
        <v>0</v>
      </c>
      <c r="Y1679" s="30">
        <v>0</v>
      </c>
      <c r="Z1679" s="233">
        <v>0</v>
      </c>
      <c r="AA1679" s="30">
        <v>0</v>
      </c>
      <c r="AB1679" s="30">
        <v>0</v>
      </c>
      <c r="AC1679" s="30">
        <v>0</v>
      </c>
      <c r="AD1679" s="30">
        <v>0</v>
      </c>
      <c r="AE1679" s="89" t="s">
        <v>394</v>
      </c>
      <c r="AF1679" s="89"/>
      <c r="AG1679" s="89" t="s">
        <v>133</v>
      </c>
      <c r="AH1679" s="72">
        <v>41592</v>
      </c>
      <c r="AI1679" s="30">
        <v>1</v>
      </c>
      <c r="AJ1679" s="89" t="s">
        <v>9367</v>
      </c>
      <c r="AK1679" s="89" t="s">
        <v>68</v>
      </c>
      <c r="AL1679" s="91">
        <v>41605</v>
      </c>
      <c r="AM1679" s="91"/>
      <c r="AN1679" s="91"/>
      <c r="AO1679" s="91"/>
      <c r="AP1679" s="73" t="e">
        <f>MID(VLOOKUP(K1679,#REF!,2,FALSE),1,2)</f>
        <v>#REF!</v>
      </c>
      <c r="AQ1679" s="89">
        <f>DATE(2013,11,4)</f>
        <v>41582</v>
      </c>
      <c r="AR1679" s="82">
        <f t="shared" si="110"/>
        <v>4</v>
      </c>
      <c r="AS1679" s="83">
        <f t="shared" si="111"/>
        <v>11</v>
      </c>
      <c r="AT1679" s="84">
        <f t="shared" si="112"/>
        <v>2013</v>
      </c>
      <c r="AU1679" s="86"/>
      <c r="AV1679" s="86"/>
      <c r="AW1679" s="87"/>
      <c r="AX1679" s="86"/>
      <c r="AY1679" s="83"/>
      <c r="AZ1679" s="84"/>
      <c r="BA1679" s="86"/>
      <c r="BB1679" s="86"/>
    </row>
    <row r="1680" spans="1:54" ht="36.75" customHeight="1">
      <c r="A1680" s="30"/>
      <c r="B1680" s="30" t="s">
        <v>55</v>
      </c>
      <c r="C1680" s="69" t="str">
        <f t="shared" si="109"/>
        <v>Closed</v>
      </c>
      <c r="D1680" s="27" t="s">
        <v>9368</v>
      </c>
      <c r="E1680" s="29" t="s">
        <v>9369</v>
      </c>
      <c r="F1680" s="30" t="s">
        <v>58</v>
      </c>
      <c r="G1680" s="89">
        <f>DATE(2013,11,7)</f>
        <v>41585</v>
      </c>
      <c r="H1680" s="90">
        <v>1.7201388888888891</v>
      </c>
      <c r="I1680" s="30" t="s">
        <v>156</v>
      </c>
      <c r="J1680" s="89" t="s">
        <v>9370</v>
      </c>
      <c r="K1680" s="30" t="s">
        <v>61</v>
      </c>
      <c r="L1680" s="30" t="s">
        <v>9371</v>
      </c>
      <c r="M1680" s="30" t="s">
        <v>63</v>
      </c>
      <c r="N1680" s="30" t="s">
        <v>99</v>
      </c>
      <c r="O1680" s="30" t="s">
        <v>64</v>
      </c>
      <c r="P1680" s="89" t="s">
        <v>78</v>
      </c>
      <c r="Q1680" s="89" t="s">
        <v>66</v>
      </c>
      <c r="R1680" s="89" t="s">
        <v>67</v>
      </c>
      <c r="S1680" s="30">
        <v>0</v>
      </c>
      <c r="T1680" s="233">
        <v>0</v>
      </c>
      <c r="U1680" s="30">
        <v>0</v>
      </c>
      <c r="V1680" s="233">
        <v>0</v>
      </c>
      <c r="W1680" s="30">
        <v>0</v>
      </c>
      <c r="X1680" s="30">
        <v>0</v>
      </c>
      <c r="Y1680" s="30">
        <v>0</v>
      </c>
      <c r="Z1680" s="233">
        <v>0</v>
      </c>
      <c r="AA1680" s="30">
        <v>0</v>
      </c>
      <c r="AB1680" s="30">
        <v>0</v>
      </c>
      <c r="AC1680" s="30">
        <v>0</v>
      </c>
      <c r="AD1680" s="30">
        <v>0</v>
      </c>
      <c r="AE1680" s="89" t="s">
        <v>92</v>
      </c>
      <c r="AF1680" s="89"/>
      <c r="AG1680" s="89" t="s">
        <v>352</v>
      </c>
      <c r="AH1680" s="72">
        <v>41589</v>
      </c>
      <c r="AI1680" s="30">
        <v>6</v>
      </c>
      <c r="AJ1680" s="89" t="s">
        <v>9372</v>
      </c>
      <c r="AK1680" s="89" t="s">
        <v>9373</v>
      </c>
      <c r="AL1680" s="91">
        <v>41592</v>
      </c>
      <c r="AM1680" s="91"/>
      <c r="AN1680" s="91"/>
      <c r="AO1680" s="91"/>
      <c r="AP1680" s="73" t="e">
        <f>MID(VLOOKUP(K1680,#REF!,2,FALSE),1,2)</f>
        <v>#REF!</v>
      </c>
      <c r="AQ1680" s="89">
        <f>DATE(2013,11,7)</f>
        <v>41585</v>
      </c>
      <c r="AR1680" s="82">
        <f t="shared" si="110"/>
        <v>7</v>
      </c>
      <c r="AS1680" s="83">
        <f t="shared" si="111"/>
        <v>11</v>
      </c>
      <c r="AT1680" s="84">
        <f t="shared" si="112"/>
        <v>2013</v>
      </c>
      <c r="AU1680" s="86"/>
      <c r="AV1680" s="86"/>
      <c r="AW1680" s="87"/>
      <c r="AX1680" s="86"/>
      <c r="AY1680" s="83"/>
      <c r="AZ1680" s="84"/>
      <c r="BA1680" s="86"/>
      <c r="BB1680" s="86"/>
    </row>
    <row r="1681" spans="1:54" ht="36.75" customHeight="1">
      <c r="A1681" s="30"/>
      <c r="B1681" s="30" t="s">
        <v>55</v>
      </c>
      <c r="C1681" s="69" t="str">
        <f t="shared" si="109"/>
        <v>Closed</v>
      </c>
      <c r="D1681" s="27" t="s">
        <v>9374</v>
      </c>
      <c r="E1681" s="29" t="s">
        <v>9375</v>
      </c>
      <c r="F1681" s="30" t="s">
        <v>377</v>
      </c>
      <c r="G1681" s="89">
        <f>DATE(2013,11,7)</f>
        <v>41585</v>
      </c>
      <c r="H1681" s="90">
        <v>1.4131944444444444</v>
      </c>
      <c r="I1681" s="30" t="s">
        <v>116</v>
      </c>
      <c r="J1681" s="89" t="s">
        <v>9376</v>
      </c>
      <c r="K1681" s="30" t="s">
        <v>379</v>
      </c>
      <c r="L1681" s="30" t="s">
        <v>9377</v>
      </c>
      <c r="M1681" s="30" t="s">
        <v>63</v>
      </c>
      <c r="N1681" s="30" t="s">
        <v>99</v>
      </c>
      <c r="O1681" s="30" t="s">
        <v>64</v>
      </c>
      <c r="P1681" s="89" t="s">
        <v>165</v>
      </c>
      <c r="Q1681" s="89" t="s">
        <v>8472</v>
      </c>
      <c r="R1681" s="89" t="s">
        <v>382</v>
      </c>
      <c r="S1681" s="30">
        <v>0</v>
      </c>
      <c r="T1681" s="233">
        <v>0</v>
      </c>
      <c r="U1681" s="30">
        <v>2</v>
      </c>
      <c r="V1681" s="233">
        <v>0</v>
      </c>
      <c r="W1681" s="30">
        <v>0</v>
      </c>
      <c r="X1681" s="30">
        <v>2</v>
      </c>
      <c r="Y1681" s="30">
        <v>0</v>
      </c>
      <c r="Z1681" s="233">
        <v>0</v>
      </c>
      <c r="AA1681" s="30">
        <v>1</v>
      </c>
      <c r="AB1681" s="30">
        <v>0</v>
      </c>
      <c r="AC1681" s="30">
        <v>0</v>
      </c>
      <c r="AD1681" s="30">
        <v>1</v>
      </c>
      <c r="AE1681" s="89" t="s">
        <v>394</v>
      </c>
      <c r="AF1681" s="89"/>
      <c r="AG1681" s="89" t="s">
        <v>82</v>
      </c>
      <c r="AH1681" s="72">
        <v>41585</v>
      </c>
      <c r="AI1681" s="30">
        <v>3</v>
      </c>
      <c r="AJ1681" s="89" t="s">
        <v>9378</v>
      </c>
      <c r="AK1681" s="89" t="s">
        <v>68</v>
      </c>
      <c r="AL1681" s="91">
        <v>41653</v>
      </c>
      <c r="AM1681" s="91"/>
      <c r="AN1681" s="91"/>
      <c r="AO1681" s="91"/>
      <c r="AP1681" s="73" t="e">
        <f>MID(VLOOKUP(K1681,#REF!,2,FALSE),1,2)</f>
        <v>#REF!</v>
      </c>
      <c r="AQ1681" s="89">
        <f>DATE(2013,11,7)</f>
        <v>41585</v>
      </c>
      <c r="AR1681" s="82">
        <f t="shared" si="110"/>
        <v>7</v>
      </c>
      <c r="AS1681" s="83">
        <f t="shared" si="111"/>
        <v>11</v>
      </c>
      <c r="AT1681" s="84">
        <f t="shared" si="112"/>
        <v>2013</v>
      </c>
      <c r="AU1681" s="86"/>
      <c r="AV1681" s="86"/>
      <c r="AW1681" s="87"/>
      <c r="AX1681" s="86"/>
      <c r="AY1681" s="83"/>
      <c r="AZ1681" s="84"/>
      <c r="BA1681" s="86"/>
      <c r="BB1681" s="86"/>
    </row>
    <row r="1682" spans="1:54" ht="36.75" customHeight="1">
      <c r="A1682" s="30"/>
      <c r="B1682" s="30" t="s">
        <v>55</v>
      </c>
      <c r="C1682" s="69" t="str">
        <f t="shared" si="109"/>
        <v>Closed</v>
      </c>
      <c r="D1682" s="27" t="s">
        <v>9379</v>
      </c>
      <c r="E1682" s="29" t="s">
        <v>9380</v>
      </c>
      <c r="F1682" s="30" t="s">
        <v>624</v>
      </c>
      <c r="G1682" s="89">
        <f>DATE(2013,11,9)</f>
        <v>41587</v>
      </c>
      <c r="H1682" s="90">
        <v>1.4930555555555556</v>
      </c>
      <c r="I1682" s="30" t="s">
        <v>156</v>
      </c>
      <c r="J1682" s="89" t="s">
        <v>9381</v>
      </c>
      <c r="K1682" s="30" t="s">
        <v>626</v>
      </c>
      <c r="L1682" s="30" t="s">
        <v>9382</v>
      </c>
      <c r="M1682" s="30" t="s">
        <v>63</v>
      </c>
      <c r="N1682" s="30" t="s">
        <v>142</v>
      </c>
      <c r="O1682" s="30" t="s">
        <v>77</v>
      </c>
      <c r="P1682" s="89" t="s">
        <v>65</v>
      </c>
      <c r="Q1682" s="89" t="s">
        <v>7181</v>
      </c>
      <c r="R1682" s="89" t="s">
        <v>629</v>
      </c>
      <c r="S1682" s="30">
        <v>0</v>
      </c>
      <c r="T1682" s="233">
        <v>0</v>
      </c>
      <c r="U1682" s="30">
        <v>0</v>
      </c>
      <c r="V1682" s="233">
        <v>0</v>
      </c>
      <c r="W1682" s="30">
        <v>0</v>
      </c>
      <c r="X1682" s="30">
        <v>0</v>
      </c>
      <c r="Y1682" s="30">
        <v>0</v>
      </c>
      <c r="Z1682" s="233">
        <v>0</v>
      </c>
      <c r="AA1682" s="30">
        <v>0</v>
      </c>
      <c r="AB1682" s="30">
        <v>0</v>
      </c>
      <c r="AC1682" s="30">
        <v>0</v>
      </c>
      <c r="AD1682" s="30">
        <v>0</v>
      </c>
      <c r="AE1682" s="89" t="s">
        <v>394</v>
      </c>
      <c r="AF1682" s="89"/>
      <c r="AG1682" s="89" t="s">
        <v>133</v>
      </c>
      <c r="AH1682" s="72">
        <v>41528</v>
      </c>
      <c r="AI1682" s="30">
        <v>3</v>
      </c>
      <c r="AJ1682" s="89" t="s">
        <v>9383</v>
      </c>
      <c r="AK1682" s="89" t="s">
        <v>68</v>
      </c>
      <c r="AL1682" s="91">
        <v>41666</v>
      </c>
      <c r="AM1682" s="91"/>
      <c r="AN1682" s="91"/>
      <c r="AO1682" s="91"/>
      <c r="AP1682" s="73" t="e">
        <f>MID(VLOOKUP(K1682,#REF!,2,FALSE),1,2)</f>
        <v>#REF!</v>
      </c>
      <c r="AQ1682" s="89">
        <f>DATE(2013,11,9)</f>
        <v>41587</v>
      </c>
      <c r="AR1682" s="82">
        <f t="shared" si="110"/>
        <v>9</v>
      </c>
      <c r="AS1682" s="83">
        <f t="shared" si="111"/>
        <v>11</v>
      </c>
      <c r="AT1682" s="84">
        <f t="shared" si="112"/>
        <v>2013</v>
      </c>
      <c r="AU1682" s="86"/>
      <c r="AV1682" s="86"/>
      <c r="AW1682" s="87"/>
      <c r="AX1682" s="86"/>
      <c r="AY1682" s="83"/>
      <c r="AZ1682" s="84"/>
      <c r="BA1682" s="86"/>
      <c r="BB1682" s="86"/>
    </row>
    <row r="1683" spans="1:54" ht="36.75" customHeight="1">
      <c r="A1683" s="30"/>
      <c r="B1683" s="30" t="s">
        <v>55</v>
      </c>
      <c r="C1683" s="69" t="str">
        <f t="shared" si="109"/>
        <v>Closed</v>
      </c>
      <c r="D1683" s="27" t="s">
        <v>9384</v>
      </c>
      <c r="E1683" s="29" t="s">
        <v>9385</v>
      </c>
      <c r="F1683" s="30" t="s">
        <v>835</v>
      </c>
      <c r="G1683" s="89">
        <f>DATE(2013,11,10)</f>
        <v>41588</v>
      </c>
      <c r="H1683" s="90">
        <v>1.6444444444444444</v>
      </c>
      <c r="I1683" s="30" t="s">
        <v>125</v>
      </c>
      <c r="J1683" s="89" t="s">
        <v>9386</v>
      </c>
      <c r="K1683" s="30" t="s">
        <v>837</v>
      </c>
      <c r="L1683" s="30" t="s">
        <v>9387</v>
      </c>
      <c r="M1683" s="30" t="s">
        <v>63</v>
      </c>
      <c r="N1683" s="30" t="s">
        <v>142</v>
      </c>
      <c r="O1683" s="30" t="s">
        <v>64</v>
      </c>
      <c r="P1683" s="89" t="s">
        <v>78</v>
      </c>
      <c r="Q1683" s="89">
        <v>0</v>
      </c>
      <c r="R1683" s="89" t="s">
        <v>840</v>
      </c>
      <c r="S1683" s="30">
        <v>0</v>
      </c>
      <c r="T1683" s="233">
        <v>0</v>
      </c>
      <c r="U1683" s="30">
        <v>0</v>
      </c>
      <c r="V1683" s="233">
        <v>0</v>
      </c>
      <c r="W1683" s="30">
        <v>0</v>
      </c>
      <c r="X1683" s="30">
        <v>0</v>
      </c>
      <c r="Y1683" s="30">
        <v>0</v>
      </c>
      <c r="Z1683" s="233">
        <v>0</v>
      </c>
      <c r="AA1683" s="30">
        <v>0</v>
      </c>
      <c r="AB1683" s="30">
        <v>0</v>
      </c>
      <c r="AC1683" s="30">
        <v>0</v>
      </c>
      <c r="AD1683" s="30">
        <v>0</v>
      </c>
      <c r="AE1683" s="89" t="s">
        <v>92</v>
      </c>
      <c r="AF1683" s="89"/>
      <c r="AG1683" s="89" t="s">
        <v>352</v>
      </c>
      <c r="AH1683" s="72">
        <v>41588</v>
      </c>
      <c r="AI1683" s="30">
        <v>0</v>
      </c>
      <c r="AJ1683" s="89" t="s">
        <v>9388</v>
      </c>
      <c r="AK1683" s="89" t="s">
        <v>9389</v>
      </c>
      <c r="AL1683" s="91">
        <v>41593</v>
      </c>
      <c r="AM1683" s="91"/>
      <c r="AN1683" s="91"/>
      <c r="AO1683" s="91"/>
      <c r="AP1683" s="73" t="e">
        <f>MID(VLOOKUP(K1683,#REF!,2,FALSE),1,2)</f>
        <v>#REF!</v>
      </c>
      <c r="AQ1683" s="89">
        <f>DATE(2013,11,10)</f>
        <v>41588</v>
      </c>
      <c r="AR1683" s="82">
        <f t="shared" si="110"/>
        <v>10</v>
      </c>
      <c r="AS1683" s="83">
        <f t="shared" si="111"/>
        <v>11</v>
      </c>
      <c r="AT1683" s="84">
        <f t="shared" si="112"/>
        <v>2013</v>
      </c>
      <c r="AU1683" s="86"/>
      <c r="AV1683" s="86"/>
      <c r="AW1683" s="87"/>
      <c r="AX1683" s="86"/>
      <c r="AY1683" s="83"/>
      <c r="AZ1683" s="84"/>
      <c r="BA1683" s="86"/>
      <c r="BB1683" s="86"/>
    </row>
    <row r="1684" spans="1:54" ht="36.75" customHeight="1">
      <c r="A1684" s="30"/>
      <c r="B1684" s="30" t="s">
        <v>55</v>
      </c>
      <c r="C1684" s="69" t="str">
        <f t="shared" si="109"/>
        <v>Closed</v>
      </c>
      <c r="D1684" s="27" t="s">
        <v>9390</v>
      </c>
      <c r="E1684" s="29" t="s">
        <v>9391</v>
      </c>
      <c r="F1684" s="30" t="s">
        <v>582</v>
      </c>
      <c r="G1684" s="89">
        <f>DATE(2013,11,11)</f>
        <v>41589</v>
      </c>
      <c r="H1684" s="90">
        <v>1.7708333333333335</v>
      </c>
      <c r="I1684" s="30" t="s">
        <v>198</v>
      </c>
      <c r="J1684" s="89" t="s">
        <v>9392</v>
      </c>
      <c r="K1684" s="30" t="s">
        <v>584</v>
      </c>
      <c r="L1684" s="30" t="s">
        <v>7837</v>
      </c>
      <c r="M1684" s="30" t="s">
        <v>63</v>
      </c>
      <c r="N1684" s="30" t="s">
        <v>142</v>
      </c>
      <c r="O1684" s="30" t="s">
        <v>77</v>
      </c>
      <c r="P1684" s="89" t="s">
        <v>78</v>
      </c>
      <c r="Q1684" s="89" t="s">
        <v>9393</v>
      </c>
      <c r="R1684" s="89" t="s">
        <v>587</v>
      </c>
      <c r="S1684" s="30">
        <v>0</v>
      </c>
      <c r="T1684" s="233">
        <v>0</v>
      </c>
      <c r="U1684" s="30">
        <v>0</v>
      </c>
      <c r="V1684" s="233">
        <v>0</v>
      </c>
      <c r="W1684" s="30">
        <v>0</v>
      </c>
      <c r="X1684" s="30">
        <v>0</v>
      </c>
      <c r="Y1684" s="30">
        <v>0</v>
      </c>
      <c r="Z1684" s="233">
        <v>0</v>
      </c>
      <c r="AA1684" s="30">
        <v>0</v>
      </c>
      <c r="AB1684" s="30">
        <v>0</v>
      </c>
      <c r="AC1684" s="30">
        <v>0</v>
      </c>
      <c r="AD1684" s="30">
        <v>0</v>
      </c>
      <c r="AE1684" s="89" t="s">
        <v>145</v>
      </c>
      <c r="AF1684" s="89"/>
      <c r="AG1684" s="89" t="s">
        <v>82</v>
      </c>
      <c r="AH1684" s="72">
        <v>41591</v>
      </c>
      <c r="AI1684" s="30">
        <v>0</v>
      </c>
      <c r="AJ1684" s="89" t="s">
        <v>9394</v>
      </c>
      <c r="AK1684" s="89" t="s">
        <v>1233</v>
      </c>
      <c r="AL1684" s="91">
        <v>41591</v>
      </c>
      <c r="AM1684" s="91"/>
      <c r="AN1684" s="91"/>
      <c r="AO1684" s="91"/>
      <c r="AP1684" s="73" t="e">
        <f>MID(VLOOKUP(K1684,#REF!,2,FALSE),1,2)</f>
        <v>#REF!</v>
      </c>
      <c r="AQ1684" s="89">
        <f>DATE(2013,11,11)</f>
        <v>41589</v>
      </c>
      <c r="AR1684" s="82">
        <f t="shared" si="110"/>
        <v>11</v>
      </c>
      <c r="AS1684" s="83">
        <f t="shared" si="111"/>
        <v>11</v>
      </c>
      <c r="AT1684" s="84">
        <f t="shared" si="112"/>
        <v>2013</v>
      </c>
      <c r="AU1684" s="86"/>
      <c r="AV1684" s="86"/>
      <c r="AW1684" s="87"/>
      <c r="AX1684" s="86"/>
      <c r="AY1684" s="83"/>
      <c r="AZ1684" s="84"/>
      <c r="BA1684" s="86"/>
      <c r="BB1684" s="86"/>
    </row>
    <row r="1685" spans="1:54" ht="36.75" customHeight="1">
      <c r="A1685" s="30"/>
      <c r="B1685" s="30" t="s">
        <v>55</v>
      </c>
      <c r="C1685" s="69" t="str">
        <f t="shared" si="109"/>
        <v>Closed</v>
      </c>
      <c r="D1685" s="27" t="s">
        <v>9395</v>
      </c>
      <c r="E1685" s="29" t="s">
        <v>9396</v>
      </c>
      <c r="F1685" s="30" t="s">
        <v>835</v>
      </c>
      <c r="G1685" s="89">
        <f>DATE(2013,11,18)</f>
        <v>41596</v>
      </c>
      <c r="H1685" s="90">
        <v>0</v>
      </c>
      <c r="I1685" s="30" t="s">
        <v>104</v>
      </c>
      <c r="J1685" s="89" t="s">
        <v>9397</v>
      </c>
      <c r="K1685" s="30" t="s">
        <v>837</v>
      </c>
      <c r="L1685" s="30" t="s">
        <v>9398</v>
      </c>
      <c r="M1685" s="30" t="s">
        <v>63</v>
      </c>
      <c r="N1685" s="30" t="s">
        <v>99</v>
      </c>
      <c r="O1685" s="30" t="s">
        <v>64</v>
      </c>
      <c r="P1685" s="89" t="s">
        <v>216</v>
      </c>
      <c r="Q1685" s="89" t="s">
        <v>5840</v>
      </c>
      <c r="R1685" s="89" t="s">
        <v>840</v>
      </c>
      <c r="S1685" s="30">
        <v>0</v>
      </c>
      <c r="T1685" s="233">
        <v>0</v>
      </c>
      <c r="U1685" s="30">
        <v>0</v>
      </c>
      <c r="V1685" s="233">
        <v>0</v>
      </c>
      <c r="W1685" s="30">
        <v>0</v>
      </c>
      <c r="X1685" s="30">
        <v>0</v>
      </c>
      <c r="Y1685" s="30">
        <v>0</v>
      </c>
      <c r="Z1685" s="233">
        <v>0</v>
      </c>
      <c r="AA1685" s="30">
        <v>0</v>
      </c>
      <c r="AB1685" s="30">
        <v>0</v>
      </c>
      <c r="AC1685" s="30">
        <v>0</v>
      </c>
      <c r="AD1685" s="30">
        <v>0</v>
      </c>
      <c r="AE1685" s="89" t="s">
        <v>92</v>
      </c>
      <c r="AF1685" s="89"/>
      <c r="AG1685" s="89" t="s">
        <v>352</v>
      </c>
      <c r="AH1685" s="72">
        <v>41596</v>
      </c>
      <c r="AI1685" s="30">
        <v>2</v>
      </c>
      <c r="AJ1685" s="89" t="s">
        <v>9399</v>
      </c>
      <c r="AK1685" s="89"/>
      <c r="AL1685" s="91">
        <v>41597</v>
      </c>
      <c r="AM1685" s="91"/>
      <c r="AN1685" s="91">
        <v>45012</v>
      </c>
      <c r="AO1685" s="91">
        <v>42185</v>
      </c>
      <c r="AP1685" s="73" t="e">
        <f>MID(VLOOKUP(K1685,#REF!,2,FALSE),1,2)</f>
        <v>#REF!</v>
      </c>
      <c r="AQ1685" s="89">
        <f>DATE(2013,11,18)</f>
        <v>41596</v>
      </c>
      <c r="AR1685" s="82">
        <f t="shared" si="110"/>
        <v>18</v>
      </c>
      <c r="AS1685" s="83">
        <f t="shared" si="111"/>
        <v>11</v>
      </c>
      <c r="AT1685" s="84">
        <f t="shared" si="112"/>
        <v>2013</v>
      </c>
      <c r="AU1685" s="86"/>
      <c r="AV1685" s="86"/>
      <c r="AW1685" s="87"/>
      <c r="AX1685" s="86"/>
      <c r="AY1685" s="83"/>
      <c r="AZ1685" s="84"/>
      <c r="BA1685" s="86"/>
      <c r="BB1685" s="86"/>
    </row>
    <row r="1686" spans="1:54" ht="36.75" customHeight="1">
      <c r="A1686" s="30"/>
      <c r="B1686" s="30" t="s">
        <v>55</v>
      </c>
      <c r="C1686" s="69" t="str">
        <f t="shared" si="109"/>
        <v>Closed</v>
      </c>
      <c r="D1686" s="27" t="s">
        <v>9400</v>
      </c>
      <c r="E1686" s="29" t="s">
        <v>9401</v>
      </c>
      <c r="F1686" s="30" t="s">
        <v>1572</v>
      </c>
      <c r="G1686" s="89">
        <f>DATE(2013,11,20)</f>
        <v>41598</v>
      </c>
      <c r="H1686" s="90">
        <v>1.7291666666666665</v>
      </c>
      <c r="I1686" s="30" t="s">
        <v>73</v>
      </c>
      <c r="J1686" s="89" t="s">
        <v>9402</v>
      </c>
      <c r="K1686" s="30" t="s">
        <v>1574</v>
      </c>
      <c r="L1686" s="30" t="s">
        <v>9403</v>
      </c>
      <c r="M1686" s="30" t="s">
        <v>63</v>
      </c>
      <c r="N1686" s="30" t="s">
        <v>99</v>
      </c>
      <c r="O1686" s="30" t="s">
        <v>64</v>
      </c>
      <c r="P1686" s="89" t="s">
        <v>78</v>
      </c>
      <c r="Q1686" s="89" t="s">
        <v>2655</v>
      </c>
      <c r="R1686" s="89" t="s">
        <v>6434</v>
      </c>
      <c r="S1686" s="30">
        <v>0</v>
      </c>
      <c r="T1686" s="233">
        <v>0</v>
      </c>
      <c r="U1686" s="30">
        <v>0</v>
      </c>
      <c r="V1686" s="233">
        <v>0</v>
      </c>
      <c r="W1686" s="30">
        <v>0</v>
      </c>
      <c r="X1686" s="30">
        <v>0</v>
      </c>
      <c r="Y1686" s="30">
        <v>0</v>
      </c>
      <c r="Z1686" s="233">
        <v>0</v>
      </c>
      <c r="AA1686" s="30">
        <v>0</v>
      </c>
      <c r="AB1686" s="30">
        <v>0</v>
      </c>
      <c r="AC1686" s="30">
        <v>0</v>
      </c>
      <c r="AD1686" s="30">
        <v>0</v>
      </c>
      <c r="AE1686" s="89" t="s">
        <v>92</v>
      </c>
      <c r="AF1686" s="89"/>
      <c r="AG1686" s="89" t="s">
        <v>352</v>
      </c>
      <c r="AH1686" s="72">
        <v>41603</v>
      </c>
      <c r="AI1686" s="30">
        <v>0</v>
      </c>
      <c r="AJ1686" s="89" t="s">
        <v>9404</v>
      </c>
      <c r="AK1686" s="89" t="s">
        <v>6914</v>
      </c>
      <c r="AL1686" s="91">
        <v>41603</v>
      </c>
      <c r="AM1686" s="91"/>
      <c r="AN1686" s="91"/>
      <c r="AO1686" s="91"/>
      <c r="AP1686" s="73" t="e">
        <f>MID(VLOOKUP(K1686,#REF!,2,FALSE),1,2)</f>
        <v>#REF!</v>
      </c>
      <c r="AQ1686" s="89">
        <f>DATE(2013,11,21)</f>
        <v>41599</v>
      </c>
      <c r="AR1686" s="82">
        <f t="shared" si="110"/>
        <v>21</v>
      </c>
      <c r="AS1686" s="83">
        <f t="shared" si="111"/>
        <v>11</v>
      </c>
      <c r="AT1686" s="84">
        <f t="shared" si="112"/>
        <v>2013</v>
      </c>
      <c r="AU1686" s="86"/>
      <c r="AV1686" s="86"/>
      <c r="AW1686" s="87"/>
      <c r="AX1686" s="86"/>
      <c r="AY1686" s="83"/>
      <c r="AZ1686" s="84"/>
      <c r="BA1686" s="86"/>
      <c r="BB1686" s="86"/>
    </row>
    <row r="1687" spans="1:54" ht="36.75" customHeight="1">
      <c r="A1687" s="30"/>
      <c r="B1687" s="30" t="s">
        <v>55</v>
      </c>
      <c r="C1687" s="69" t="str">
        <f t="shared" si="109"/>
        <v>Closed</v>
      </c>
      <c r="D1687" s="27" t="s">
        <v>9405</v>
      </c>
      <c r="E1687" s="29" t="s">
        <v>9406</v>
      </c>
      <c r="F1687" s="30" t="s">
        <v>233</v>
      </c>
      <c r="G1687" s="89">
        <f>DATE(2013,11,20)</f>
        <v>41598</v>
      </c>
      <c r="H1687" s="90">
        <v>1.5069444444444444</v>
      </c>
      <c r="I1687" s="30" t="s">
        <v>156</v>
      </c>
      <c r="J1687" s="89" t="s">
        <v>9407</v>
      </c>
      <c r="K1687" s="30" t="s">
        <v>235</v>
      </c>
      <c r="L1687" s="30" t="s">
        <v>9408</v>
      </c>
      <c r="M1687" s="30" t="s">
        <v>63</v>
      </c>
      <c r="N1687" s="30" t="s">
        <v>99</v>
      </c>
      <c r="O1687" s="30" t="s">
        <v>77</v>
      </c>
      <c r="P1687" s="89" t="s">
        <v>462</v>
      </c>
      <c r="Q1687" s="89" t="s">
        <v>7117</v>
      </c>
      <c r="R1687" s="89" t="s">
        <v>238</v>
      </c>
      <c r="S1687" s="30">
        <v>0</v>
      </c>
      <c r="T1687" s="233">
        <v>0</v>
      </c>
      <c r="U1687" s="30">
        <v>0</v>
      </c>
      <c r="V1687" s="233">
        <v>0</v>
      </c>
      <c r="W1687" s="30">
        <v>0</v>
      </c>
      <c r="X1687" s="30">
        <v>0</v>
      </c>
      <c r="Y1687" s="30">
        <v>0</v>
      </c>
      <c r="Z1687" s="233">
        <v>0</v>
      </c>
      <c r="AA1687" s="30">
        <v>0</v>
      </c>
      <c r="AB1687" s="30">
        <v>0</v>
      </c>
      <c r="AC1687" s="30">
        <v>0</v>
      </c>
      <c r="AD1687" s="30">
        <v>0</v>
      </c>
      <c r="AE1687" s="89" t="s">
        <v>394</v>
      </c>
      <c r="AF1687" s="89"/>
      <c r="AG1687" s="89" t="s">
        <v>133</v>
      </c>
      <c r="AH1687" s="72">
        <v>41603</v>
      </c>
      <c r="AI1687" s="30">
        <v>3</v>
      </c>
      <c r="AJ1687" s="89" t="s">
        <v>9409</v>
      </c>
      <c r="AK1687" s="89" t="s">
        <v>9410</v>
      </c>
      <c r="AL1687" s="91">
        <v>41621</v>
      </c>
      <c r="AM1687" s="91"/>
      <c r="AN1687" s="91"/>
      <c r="AO1687" s="91"/>
      <c r="AP1687" s="73" t="e">
        <f>MID(VLOOKUP(K1687,#REF!,2,FALSE),1,2)</f>
        <v>#REF!</v>
      </c>
      <c r="AQ1687" s="89">
        <f>DATE(2013,11,20)</f>
        <v>41598</v>
      </c>
      <c r="AR1687" s="82">
        <f t="shared" si="110"/>
        <v>20</v>
      </c>
      <c r="AS1687" s="83">
        <f t="shared" si="111"/>
        <v>11</v>
      </c>
      <c r="AT1687" s="84">
        <f t="shared" si="112"/>
        <v>2013</v>
      </c>
      <c r="AU1687" s="86"/>
      <c r="AV1687" s="86"/>
      <c r="AW1687" s="87"/>
      <c r="AX1687" s="86"/>
      <c r="AY1687" s="83"/>
      <c r="AZ1687" s="84"/>
      <c r="BA1687" s="86"/>
      <c r="BB1687" s="86"/>
    </row>
    <row r="1688" spans="1:54" ht="36.75" customHeight="1">
      <c r="A1688" s="30"/>
      <c r="B1688" s="30" t="s">
        <v>55</v>
      </c>
      <c r="C1688" s="69" t="str">
        <f t="shared" si="109"/>
        <v>Closed</v>
      </c>
      <c r="D1688" s="27" t="s">
        <v>9411</v>
      </c>
      <c r="E1688" s="29" t="s">
        <v>9412</v>
      </c>
      <c r="F1688" s="30" t="s">
        <v>233</v>
      </c>
      <c r="G1688" s="89">
        <f>DATE(2013,11,23)</f>
        <v>41601</v>
      </c>
      <c r="H1688" s="90">
        <v>1.7847222222222223</v>
      </c>
      <c r="I1688" s="30" t="s">
        <v>5494</v>
      </c>
      <c r="J1688" s="89" t="s">
        <v>9413</v>
      </c>
      <c r="K1688" s="30" t="s">
        <v>235</v>
      </c>
      <c r="L1688" s="30" t="s">
        <v>9414</v>
      </c>
      <c r="M1688" s="30" t="s">
        <v>63</v>
      </c>
      <c r="N1688" s="30" t="s">
        <v>89</v>
      </c>
      <c r="O1688" s="30" t="s">
        <v>64</v>
      </c>
      <c r="P1688" s="89" t="s">
        <v>7982</v>
      </c>
      <c r="Q1688" s="89" t="s">
        <v>8368</v>
      </c>
      <c r="R1688" s="89" t="s">
        <v>238</v>
      </c>
      <c r="S1688" s="30">
        <v>0</v>
      </c>
      <c r="T1688" s="233">
        <v>0</v>
      </c>
      <c r="U1688" s="30">
        <v>0</v>
      </c>
      <c r="V1688" s="233">
        <v>0</v>
      </c>
      <c r="W1688" s="30">
        <v>0</v>
      </c>
      <c r="X1688" s="30">
        <v>0</v>
      </c>
      <c r="Y1688" s="30">
        <v>0</v>
      </c>
      <c r="Z1688" s="233">
        <v>0</v>
      </c>
      <c r="AA1688" s="30">
        <v>0</v>
      </c>
      <c r="AB1688" s="30">
        <v>0</v>
      </c>
      <c r="AC1688" s="30">
        <v>0</v>
      </c>
      <c r="AD1688" s="30">
        <v>0</v>
      </c>
      <c r="AE1688" s="89" t="s">
        <v>92</v>
      </c>
      <c r="AF1688" s="89"/>
      <c r="AG1688" s="89" t="s">
        <v>133</v>
      </c>
      <c r="AH1688" s="72">
        <v>41617</v>
      </c>
      <c r="AI1688" s="30">
        <v>4</v>
      </c>
      <c r="AJ1688" s="89" t="s">
        <v>9415</v>
      </c>
      <c r="AK1688" s="89" t="s">
        <v>9416</v>
      </c>
      <c r="AL1688" s="91">
        <v>41621</v>
      </c>
      <c r="AM1688" s="91"/>
      <c r="AN1688" s="91"/>
      <c r="AO1688" s="91"/>
      <c r="AP1688" s="73" t="e">
        <f>MID(VLOOKUP(K1688,#REF!,2,FALSE),1,2)</f>
        <v>#REF!</v>
      </c>
      <c r="AQ1688" s="89">
        <f>DATE(2013,11,23)</f>
        <v>41601</v>
      </c>
      <c r="AR1688" s="82">
        <f t="shared" si="110"/>
        <v>23</v>
      </c>
      <c r="AS1688" s="83">
        <f t="shared" si="111"/>
        <v>11</v>
      </c>
      <c r="AT1688" s="84">
        <f t="shared" si="112"/>
        <v>2013</v>
      </c>
      <c r="AU1688" s="86"/>
      <c r="AV1688" s="86"/>
      <c r="AW1688" s="87"/>
      <c r="AX1688" s="86"/>
      <c r="AY1688" s="83"/>
      <c r="AZ1688" s="84"/>
      <c r="BA1688" s="86"/>
      <c r="BB1688" s="86"/>
    </row>
    <row r="1689" spans="1:54" ht="36.75" customHeight="1">
      <c r="A1689" s="30"/>
      <c r="B1689" s="30" t="s">
        <v>55</v>
      </c>
      <c r="C1689" s="69" t="str">
        <f t="shared" si="109"/>
        <v>Closed</v>
      </c>
      <c r="D1689" s="27" t="s">
        <v>9417</v>
      </c>
      <c r="E1689" s="29" t="s">
        <v>9418</v>
      </c>
      <c r="F1689" s="30" t="s">
        <v>115</v>
      </c>
      <c r="G1689" s="89">
        <f>DATE(2013,11,26)</f>
        <v>41604</v>
      </c>
      <c r="H1689" s="90">
        <v>1.4097222222222223</v>
      </c>
      <c r="I1689" s="30" t="s">
        <v>9419</v>
      </c>
      <c r="J1689" s="89" t="s">
        <v>9420</v>
      </c>
      <c r="K1689" s="30" t="s">
        <v>118</v>
      </c>
      <c r="L1689" s="30" t="s">
        <v>9421</v>
      </c>
      <c r="M1689" s="30" t="s">
        <v>63</v>
      </c>
      <c r="N1689" s="30" t="s">
        <v>142</v>
      </c>
      <c r="O1689" s="30" t="s">
        <v>64</v>
      </c>
      <c r="P1689" s="89" t="s">
        <v>6941</v>
      </c>
      <c r="Q1689" s="89" t="s">
        <v>120</v>
      </c>
      <c r="R1689" s="89" t="s">
        <v>121</v>
      </c>
      <c r="S1689" s="30">
        <v>0</v>
      </c>
      <c r="T1689" s="233">
        <v>0</v>
      </c>
      <c r="U1689" s="30">
        <v>0</v>
      </c>
      <c r="V1689" s="233">
        <v>0</v>
      </c>
      <c r="W1689" s="30">
        <v>0</v>
      </c>
      <c r="X1689" s="30">
        <v>0</v>
      </c>
      <c r="Y1689" s="30">
        <v>0</v>
      </c>
      <c r="Z1689" s="233">
        <v>0</v>
      </c>
      <c r="AA1689" s="30">
        <v>0</v>
      </c>
      <c r="AB1689" s="30">
        <v>0</v>
      </c>
      <c r="AC1689" s="30">
        <v>0</v>
      </c>
      <c r="AD1689" s="30">
        <v>0</v>
      </c>
      <c r="AE1689" s="89" t="s">
        <v>92</v>
      </c>
      <c r="AF1689" s="89"/>
      <c r="AG1689" s="89" t="s">
        <v>589</v>
      </c>
      <c r="AH1689" s="72">
        <v>41613</v>
      </c>
      <c r="AI1689" s="30">
        <v>3</v>
      </c>
      <c r="AJ1689" s="89" t="s">
        <v>9422</v>
      </c>
      <c r="AK1689" s="89" t="s">
        <v>9423</v>
      </c>
      <c r="AL1689" s="91">
        <v>41653</v>
      </c>
      <c r="AM1689" s="91"/>
      <c r="AN1689" s="91"/>
      <c r="AO1689" s="91"/>
      <c r="AP1689" s="73" t="e">
        <f>MID(VLOOKUP(K1689,#REF!,2,FALSE),1,2)</f>
        <v>#REF!</v>
      </c>
      <c r="AQ1689" s="89">
        <f>DATE(2013,11,26)</f>
        <v>41604</v>
      </c>
      <c r="AR1689" s="82">
        <f t="shared" si="110"/>
        <v>26</v>
      </c>
      <c r="AS1689" s="83">
        <f t="shared" si="111"/>
        <v>11</v>
      </c>
      <c r="AT1689" s="84">
        <f t="shared" si="112"/>
        <v>2013</v>
      </c>
      <c r="AU1689" s="86"/>
      <c r="AV1689" s="86"/>
      <c r="AW1689" s="87"/>
      <c r="AX1689" s="86"/>
      <c r="AY1689" s="83"/>
      <c r="AZ1689" s="84"/>
      <c r="BA1689" s="86"/>
      <c r="BB1689" s="86"/>
    </row>
    <row r="1690" spans="1:54" ht="36.75" customHeight="1">
      <c r="A1690" s="30"/>
      <c r="B1690" s="30" t="s">
        <v>55</v>
      </c>
      <c r="C1690" s="69" t="str">
        <f t="shared" si="109"/>
        <v>Closed</v>
      </c>
      <c r="D1690" s="27" t="s">
        <v>9424</v>
      </c>
      <c r="E1690" s="29" t="s">
        <v>9425</v>
      </c>
      <c r="F1690" s="30" t="s">
        <v>451</v>
      </c>
      <c r="G1690" s="89">
        <f>DATE(2013,11,30)</f>
        <v>41608</v>
      </c>
      <c r="H1690" s="90">
        <v>1.8208333333333333</v>
      </c>
      <c r="I1690" s="30" t="s">
        <v>198</v>
      </c>
      <c r="J1690" s="89" t="s">
        <v>9426</v>
      </c>
      <c r="K1690" s="30" t="s">
        <v>453</v>
      </c>
      <c r="L1690" s="30" t="s">
        <v>9427</v>
      </c>
      <c r="M1690" s="30" t="s">
        <v>63</v>
      </c>
      <c r="N1690" s="30" t="s">
        <v>99</v>
      </c>
      <c r="O1690" s="30" t="s">
        <v>77</v>
      </c>
      <c r="P1690" s="89" t="s">
        <v>78</v>
      </c>
      <c r="Q1690" s="89" t="s">
        <v>9428</v>
      </c>
      <c r="R1690" s="89" t="s">
        <v>572</v>
      </c>
      <c r="S1690" s="30">
        <v>0</v>
      </c>
      <c r="T1690" s="233">
        <v>0</v>
      </c>
      <c r="U1690" s="30">
        <v>0</v>
      </c>
      <c r="V1690" s="233">
        <v>0</v>
      </c>
      <c r="W1690" s="30">
        <v>0</v>
      </c>
      <c r="X1690" s="30">
        <v>0</v>
      </c>
      <c r="Y1690" s="30">
        <v>0</v>
      </c>
      <c r="Z1690" s="233">
        <v>0</v>
      </c>
      <c r="AA1690" s="30">
        <v>0</v>
      </c>
      <c r="AB1690" s="30">
        <v>0</v>
      </c>
      <c r="AC1690" s="30">
        <v>0</v>
      </c>
      <c r="AD1690" s="30">
        <v>0</v>
      </c>
      <c r="AE1690" s="89" t="s">
        <v>145</v>
      </c>
      <c r="AF1690" s="89"/>
      <c r="AG1690" s="89" t="s">
        <v>589</v>
      </c>
      <c r="AH1690" s="72">
        <v>41608</v>
      </c>
      <c r="AI1690" s="30">
        <v>2</v>
      </c>
      <c r="AJ1690" s="89" t="s">
        <v>9429</v>
      </c>
      <c r="AK1690" s="89" t="s">
        <v>9430</v>
      </c>
      <c r="AL1690" s="91">
        <v>42831</v>
      </c>
      <c r="AM1690" s="91"/>
      <c r="AN1690" s="91"/>
      <c r="AO1690" s="91"/>
      <c r="AP1690" s="73" t="e">
        <f>MID(VLOOKUP(K1690,#REF!,2,FALSE),1,2)</f>
        <v>#REF!</v>
      </c>
      <c r="AQ1690" s="89">
        <f>DATE(2013,11,30)</f>
        <v>41608</v>
      </c>
      <c r="AR1690" s="82">
        <f t="shared" si="110"/>
        <v>30</v>
      </c>
      <c r="AS1690" s="83">
        <f t="shared" si="111"/>
        <v>11</v>
      </c>
      <c r="AT1690" s="84">
        <f t="shared" si="112"/>
        <v>2013</v>
      </c>
      <c r="AU1690" s="86"/>
      <c r="AV1690" s="86"/>
      <c r="AW1690" s="87"/>
      <c r="AX1690" s="86"/>
      <c r="AY1690" s="83"/>
      <c r="AZ1690" s="84"/>
      <c r="BA1690" s="86"/>
      <c r="BB1690" s="86"/>
    </row>
    <row r="1691" spans="1:54" ht="36.75" customHeight="1">
      <c r="A1691" s="30"/>
      <c r="B1691" s="30" t="s">
        <v>55</v>
      </c>
      <c r="C1691" s="69" t="str">
        <f t="shared" si="109"/>
        <v>Closed</v>
      </c>
      <c r="D1691" s="27" t="s">
        <v>9431</v>
      </c>
      <c r="E1691" s="29" t="s">
        <v>9432</v>
      </c>
      <c r="F1691" s="30" t="s">
        <v>377</v>
      </c>
      <c r="G1691" s="89">
        <f>DATE(2013,12,1)</f>
        <v>41609</v>
      </c>
      <c r="H1691" s="90">
        <v>1.9548611111111112</v>
      </c>
      <c r="I1691" s="30" t="s">
        <v>73</v>
      </c>
      <c r="J1691" s="89" t="s">
        <v>9433</v>
      </c>
      <c r="K1691" s="30" t="s">
        <v>379</v>
      </c>
      <c r="L1691" s="30" t="s">
        <v>9434</v>
      </c>
      <c r="M1691" s="30" t="s">
        <v>63</v>
      </c>
      <c r="N1691" s="30" t="s">
        <v>99</v>
      </c>
      <c r="O1691" s="30" t="s">
        <v>64</v>
      </c>
      <c r="P1691" s="89" t="s">
        <v>165</v>
      </c>
      <c r="Q1691" s="89" t="s">
        <v>2906</v>
      </c>
      <c r="R1691" s="89" t="s">
        <v>382</v>
      </c>
      <c r="S1691" s="30">
        <v>0</v>
      </c>
      <c r="T1691" s="233">
        <v>0</v>
      </c>
      <c r="U1691" s="30">
        <v>0</v>
      </c>
      <c r="V1691" s="233">
        <v>0</v>
      </c>
      <c r="W1691" s="30">
        <v>0</v>
      </c>
      <c r="X1691" s="30">
        <v>0</v>
      </c>
      <c r="Y1691" s="30">
        <v>0</v>
      </c>
      <c r="Z1691" s="233">
        <v>2</v>
      </c>
      <c r="AA1691" s="30">
        <v>0</v>
      </c>
      <c r="AB1691" s="30">
        <v>0</v>
      </c>
      <c r="AC1691" s="30">
        <v>0</v>
      </c>
      <c r="AD1691" s="30">
        <v>2</v>
      </c>
      <c r="AE1691" s="89" t="s">
        <v>394</v>
      </c>
      <c r="AF1691" s="89"/>
      <c r="AG1691" s="89" t="s">
        <v>133</v>
      </c>
      <c r="AH1691" s="72">
        <v>41611</v>
      </c>
      <c r="AI1691" s="30">
        <v>3</v>
      </c>
      <c r="AJ1691" s="89" t="s">
        <v>9435</v>
      </c>
      <c r="AK1691" s="89" t="s">
        <v>9436</v>
      </c>
      <c r="AL1691" s="91">
        <v>41653</v>
      </c>
      <c r="AM1691" s="91"/>
      <c r="AN1691" s="91"/>
      <c r="AO1691" s="91"/>
      <c r="AP1691" s="73" t="e">
        <f>MID(VLOOKUP(K1691,#REF!,2,FALSE),1,2)</f>
        <v>#REF!</v>
      </c>
      <c r="AQ1691" s="89">
        <f>DATE(2013,12,1)</f>
        <v>41609</v>
      </c>
      <c r="AR1691" s="82">
        <f t="shared" si="110"/>
        <v>1</v>
      </c>
      <c r="AS1691" s="83">
        <f t="shared" si="111"/>
        <v>12</v>
      </c>
      <c r="AT1691" s="84">
        <f t="shared" si="112"/>
        <v>2013</v>
      </c>
      <c r="AU1691" s="86"/>
      <c r="AV1691" s="86"/>
      <c r="AW1691" s="87"/>
      <c r="AX1691" s="86"/>
      <c r="AY1691" s="83"/>
      <c r="AZ1691" s="84"/>
      <c r="BA1691" s="86"/>
      <c r="BB1691" s="86"/>
    </row>
    <row r="1692" spans="1:54" ht="36.75" customHeight="1">
      <c r="A1692" s="30"/>
      <c r="B1692" s="30" t="s">
        <v>55</v>
      </c>
      <c r="C1692" s="69" t="str">
        <f t="shared" si="109"/>
        <v>Closed</v>
      </c>
      <c r="D1692" s="27" t="s">
        <v>9437</v>
      </c>
      <c r="E1692" s="29" t="s">
        <v>9438</v>
      </c>
      <c r="F1692" s="30" t="s">
        <v>835</v>
      </c>
      <c r="G1692" s="89">
        <f>DATE(2013,12,2)</f>
        <v>41610</v>
      </c>
      <c r="H1692" s="90">
        <v>1.4881944444444444</v>
      </c>
      <c r="I1692" s="30" t="s">
        <v>104</v>
      </c>
      <c r="J1692" s="89" t="s">
        <v>9439</v>
      </c>
      <c r="K1692" s="30" t="s">
        <v>837</v>
      </c>
      <c r="L1692" s="30" t="s">
        <v>9440</v>
      </c>
      <c r="M1692" s="30" t="s">
        <v>63</v>
      </c>
      <c r="N1692" s="30" t="s">
        <v>142</v>
      </c>
      <c r="O1692" s="30" t="s">
        <v>64</v>
      </c>
      <c r="P1692" s="89" t="s">
        <v>1216</v>
      </c>
      <c r="Q1692" s="89" t="s">
        <v>2162</v>
      </c>
      <c r="R1692" s="89" t="s">
        <v>840</v>
      </c>
      <c r="S1692" s="30">
        <v>0</v>
      </c>
      <c r="T1692" s="233">
        <v>0</v>
      </c>
      <c r="U1692" s="30">
        <v>0</v>
      </c>
      <c r="V1692" s="233">
        <v>0</v>
      </c>
      <c r="W1692" s="30">
        <v>0</v>
      </c>
      <c r="X1692" s="30">
        <v>0</v>
      </c>
      <c r="Y1692" s="30">
        <v>0</v>
      </c>
      <c r="Z1692" s="233">
        <v>0</v>
      </c>
      <c r="AA1692" s="30">
        <v>0</v>
      </c>
      <c r="AB1692" s="30">
        <v>0</v>
      </c>
      <c r="AC1692" s="30">
        <v>0</v>
      </c>
      <c r="AD1692" s="30">
        <v>0</v>
      </c>
      <c r="AE1692" s="89" t="s">
        <v>92</v>
      </c>
      <c r="AF1692" s="89"/>
      <c r="AG1692" s="89" t="s">
        <v>352</v>
      </c>
      <c r="AH1692" s="72">
        <v>41610</v>
      </c>
      <c r="AI1692" s="30">
        <v>0</v>
      </c>
      <c r="AJ1692" s="89" t="s">
        <v>8641</v>
      </c>
      <c r="AK1692" s="89" t="s">
        <v>68</v>
      </c>
      <c r="AL1692" s="91">
        <v>41617</v>
      </c>
      <c r="AM1692" s="91"/>
      <c r="AN1692" s="91"/>
      <c r="AO1692" s="91"/>
      <c r="AP1692" s="73" t="e">
        <f>MID(VLOOKUP(K1692,#REF!,2,FALSE),1,2)</f>
        <v>#REF!</v>
      </c>
      <c r="AQ1692" s="89">
        <f>DATE(2013,12,2)</f>
        <v>41610</v>
      </c>
      <c r="AR1692" s="82">
        <f t="shared" si="110"/>
        <v>2</v>
      </c>
      <c r="AS1692" s="83">
        <f t="shared" si="111"/>
        <v>12</v>
      </c>
      <c r="AT1692" s="84">
        <f t="shared" si="112"/>
        <v>2013</v>
      </c>
      <c r="AU1692" s="86"/>
      <c r="AV1692" s="86"/>
      <c r="AW1692" s="87"/>
      <c r="AX1692" s="86"/>
      <c r="AY1692" s="83"/>
      <c r="AZ1692" s="84"/>
      <c r="BA1692" s="86"/>
      <c r="BB1692" s="86"/>
    </row>
    <row r="1693" spans="1:54" ht="36.75" customHeight="1">
      <c r="A1693" s="30"/>
      <c r="B1693" s="30" t="s">
        <v>55</v>
      </c>
      <c r="C1693" s="69" t="str">
        <f t="shared" si="109"/>
        <v>Closed</v>
      </c>
      <c r="D1693" s="27" t="s">
        <v>9441</v>
      </c>
      <c r="E1693" s="29" t="s">
        <v>9442</v>
      </c>
      <c r="F1693" s="30" t="s">
        <v>1572</v>
      </c>
      <c r="G1693" s="89">
        <f>DATE(2013,12,2)</f>
        <v>41610</v>
      </c>
      <c r="H1693" s="90">
        <v>1.0625</v>
      </c>
      <c r="I1693" s="30" t="s">
        <v>125</v>
      </c>
      <c r="J1693" s="89" t="s">
        <v>9443</v>
      </c>
      <c r="K1693" s="30" t="s">
        <v>1574</v>
      </c>
      <c r="L1693" s="30" t="s">
        <v>9444</v>
      </c>
      <c r="M1693" s="30" t="s">
        <v>63</v>
      </c>
      <c r="N1693" s="30" t="s">
        <v>99</v>
      </c>
      <c r="O1693" s="30" t="s">
        <v>64</v>
      </c>
      <c r="P1693" s="89" t="s">
        <v>78</v>
      </c>
      <c r="Q1693" s="89" t="s">
        <v>2655</v>
      </c>
      <c r="R1693" s="89" t="s">
        <v>6434</v>
      </c>
      <c r="S1693" s="30">
        <v>0</v>
      </c>
      <c r="T1693" s="233">
        <v>0</v>
      </c>
      <c r="U1693" s="30">
        <v>0</v>
      </c>
      <c r="V1693" s="233">
        <v>0</v>
      </c>
      <c r="W1693" s="30">
        <v>0</v>
      </c>
      <c r="X1693" s="30">
        <v>0</v>
      </c>
      <c r="Y1693" s="30">
        <v>0</v>
      </c>
      <c r="Z1693" s="233">
        <v>0</v>
      </c>
      <c r="AA1693" s="30">
        <v>0</v>
      </c>
      <c r="AB1693" s="30">
        <v>0</v>
      </c>
      <c r="AC1693" s="30">
        <v>0</v>
      </c>
      <c r="AD1693" s="30">
        <v>0</v>
      </c>
      <c r="AE1693" s="89" t="s">
        <v>394</v>
      </c>
      <c r="AF1693" s="89"/>
      <c r="AG1693" s="89" t="s">
        <v>133</v>
      </c>
      <c r="AH1693" s="72">
        <v>41610</v>
      </c>
      <c r="AI1693" s="30">
        <v>0</v>
      </c>
      <c r="AJ1693" s="89" t="s">
        <v>9445</v>
      </c>
      <c r="AK1693" s="89" t="s">
        <v>9446</v>
      </c>
      <c r="AL1693" s="91">
        <v>41611</v>
      </c>
      <c r="AM1693" s="91"/>
      <c r="AN1693" s="91"/>
      <c r="AO1693" s="91"/>
      <c r="AP1693" s="73" t="e">
        <f>MID(VLOOKUP(K1693,#REF!,2,FALSE),1,2)</f>
        <v>#REF!</v>
      </c>
      <c r="AQ1693" s="89">
        <f>DATE(2013,12,2)</f>
        <v>41610</v>
      </c>
      <c r="AR1693" s="82">
        <f t="shared" si="110"/>
        <v>2</v>
      </c>
      <c r="AS1693" s="83">
        <f t="shared" si="111"/>
        <v>12</v>
      </c>
      <c r="AT1693" s="84">
        <f t="shared" si="112"/>
        <v>2013</v>
      </c>
      <c r="AU1693" s="86"/>
      <c r="AV1693" s="86"/>
      <c r="AW1693" s="87"/>
      <c r="AX1693" s="86"/>
      <c r="AY1693" s="83"/>
      <c r="AZ1693" s="84"/>
      <c r="BA1693" s="86"/>
      <c r="BB1693" s="86"/>
    </row>
    <row r="1694" spans="1:54" ht="36.75" customHeight="1">
      <c r="A1694" s="30"/>
      <c r="B1694" s="30" t="s">
        <v>55</v>
      </c>
      <c r="C1694" s="69" t="str">
        <f t="shared" si="109"/>
        <v>Closed</v>
      </c>
      <c r="D1694" s="27" t="s">
        <v>9447</v>
      </c>
      <c r="E1694" s="29" t="s">
        <v>9448</v>
      </c>
      <c r="F1694" s="30" t="s">
        <v>1572</v>
      </c>
      <c r="G1694" s="89">
        <f>DATE(2013,12,4)</f>
        <v>41612</v>
      </c>
      <c r="H1694" s="90">
        <v>1.3125</v>
      </c>
      <c r="I1694" s="30" t="s">
        <v>116</v>
      </c>
      <c r="J1694" s="89" t="s">
        <v>9449</v>
      </c>
      <c r="K1694" s="30" t="s">
        <v>1574</v>
      </c>
      <c r="L1694" s="30" t="s">
        <v>9450</v>
      </c>
      <c r="M1694" s="30" t="s">
        <v>63</v>
      </c>
      <c r="N1694" s="30" t="s">
        <v>99</v>
      </c>
      <c r="O1694" s="30" t="s">
        <v>64</v>
      </c>
      <c r="P1694" s="89" t="s">
        <v>165</v>
      </c>
      <c r="Q1694" s="89" t="s">
        <v>5170</v>
      </c>
      <c r="R1694" s="89" t="s">
        <v>2561</v>
      </c>
      <c r="S1694" s="30">
        <v>0</v>
      </c>
      <c r="T1694" s="233">
        <v>0</v>
      </c>
      <c r="U1694" s="30">
        <v>0</v>
      </c>
      <c r="V1694" s="233">
        <v>0</v>
      </c>
      <c r="W1694" s="30">
        <v>0</v>
      </c>
      <c r="X1694" s="30">
        <v>0</v>
      </c>
      <c r="Y1694" s="30">
        <v>0</v>
      </c>
      <c r="Z1694" s="233">
        <v>0</v>
      </c>
      <c r="AA1694" s="30">
        <v>0</v>
      </c>
      <c r="AB1694" s="30">
        <v>0</v>
      </c>
      <c r="AC1694" s="30">
        <v>0</v>
      </c>
      <c r="AD1694" s="30">
        <v>0</v>
      </c>
      <c r="AE1694" s="89" t="s">
        <v>92</v>
      </c>
      <c r="AF1694" s="89"/>
      <c r="AG1694" s="89" t="s">
        <v>133</v>
      </c>
      <c r="AH1694" s="72">
        <v>41612</v>
      </c>
      <c r="AI1694" s="30">
        <v>3</v>
      </c>
      <c r="AJ1694" s="89" t="s">
        <v>9451</v>
      </c>
      <c r="AK1694" s="89" t="s">
        <v>6914</v>
      </c>
      <c r="AL1694" s="91">
        <v>41618</v>
      </c>
      <c r="AM1694" s="91"/>
      <c r="AN1694" s="91"/>
      <c r="AO1694" s="91"/>
      <c r="AP1694" s="73" t="e">
        <f>MID(VLOOKUP(K1694,#REF!,2,FALSE),1,2)</f>
        <v>#REF!</v>
      </c>
      <c r="AQ1694" s="89">
        <f>DATE(2013,12,4)</f>
        <v>41612</v>
      </c>
      <c r="AR1694" s="82">
        <f t="shared" si="110"/>
        <v>4</v>
      </c>
      <c r="AS1694" s="83">
        <f t="shared" si="111"/>
        <v>12</v>
      </c>
      <c r="AT1694" s="84">
        <f t="shared" si="112"/>
        <v>2013</v>
      </c>
      <c r="AU1694" s="86"/>
      <c r="AV1694" s="86"/>
      <c r="AW1694" s="87"/>
      <c r="AX1694" s="86"/>
      <c r="AY1694" s="83"/>
      <c r="AZ1694" s="84"/>
      <c r="BA1694" s="86"/>
      <c r="BB1694" s="86"/>
    </row>
    <row r="1695" spans="1:54" ht="36.75" customHeight="1">
      <c r="A1695" s="30"/>
      <c r="B1695" s="30" t="s">
        <v>55</v>
      </c>
      <c r="C1695" s="69" t="str">
        <f t="shared" si="109"/>
        <v>Closed</v>
      </c>
      <c r="D1695" s="27" t="s">
        <v>9452</v>
      </c>
      <c r="E1695" s="29" t="s">
        <v>9453</v>
      </c>
      <c r="F1695" s="30" t="s">
        <v>1938</v>
      </c>
      <c r="G1695" s="89">
        <f>DATE(2013,12,8)</f>
        <v>41616</v>
      </c>
      <c r="H1695" s="90">
        <v>0</v>
      </c>
      <c r="I1695" s="30" t="s">
        <v>104</v>
      </c>
      <c r="J1695" s="89" t="s">
        <v>9454</v>
      </c>
      <c r="K1695" s="30" t="s">
        <v>1940</v>
      </c>
      <c r="L1695" s="30" t="s">
        <v>9455</v>
      </c>
      <c r="M1695" s="30" t="s">
        <v>63</v>
      </c>
      <c r="N1695" s="30" t="s">
        <v>89</v>
      </c>
      <c r="O1695" s="30" t="s">
        <v>64</v>
      </c>
      <c r="P1695" s="89" t="s">
        <v>165</v>
      </c>
      <c r="Q1695" s="89" t="s">
        <v>1942</v>
      </c>
      <c r="R1695" s="89" t="s">
        <v>1942</v>
      </c>
      <c r="S1695" s="30">
        <v>0</v>
      </c>
      <c r="T1695" s="233">
        <v>0</v>
      </c>
      <c r="U1695" s="30">
        <v>0</v>
      </c>
      <c r="V1695" s="233">
        <v>0</v>
      </c>
      <c r="W1695" s="30">
        <v>0</v>
      </c>
      <c r="X1695" s="30">
        <v>0</v>
      </c>
      <c r="Y1695" s="30">
        <v>0</v>
      </c>
      <c r="Z1695" s="233">
        <v>0</v>
      </c>
      <c r="AA1695" s="30">
        <v>0</v>
      </c>
      <c r="AB1695" s="30">
        <v>0</v>
      </c>
      <c r="AC1695" s="30">
        <v>0</v>
      </c>
      <c r="AD1695" s="30">
        <v>0</v>
      </c>
      <c r="AE1695" s="89" t="s">
        <v>92</v>
      </c>
      <c r="AF1695" s="89"/>
      <c r="AG1695" s="89" t="s">
        <v>1457</v>
      </c>
      <c r="AH1695" s="72">
        <v>41621</v>
      </c>
      <c r="AI1695" s="30">
        <v>12</v>
      </c>
      <c r="AJ1695" s="89" t="s">
        <v>9456</v>
      </c>
      <c r="AK1695" s="89" t="s">
        <v>9457</v>
      </c>
      <c r="AL1695" s="91">
        <v>41628</v>
      </c>
      <c r="AM1695" s="91"/>
      <c r="AN1695" s="91">
        <v>44545</v>
      </c>
      <c r="AO1695" s="91">
        <v>42471</v>
      </c>
      <c r="AP1695" s="73" t="e">
        <f>MID(VLOOKUP(K1695,#REF!,2,FALSE),1,2)</f>
        <v>#REF!</v>
      </c>
      <c r="AQ1695" s="89">
        <f>DATE(2013,12,8)</f>
        <v>41616</v>
      </c>
      <c r="AR1695" s="82">
        <f t="shared" si="110"/>
        <v>8</v>
      </c>
      <c r="AS1695" s="83">
        <f t="shared" si="111"/>
        <v>12</v>
      </c>
      <c r="AT1695" s="84">
        <f t="shared" si="112"/>
        <v>2013</v>
      </c>
      <c r="AU1695" s="86"/>
      <c r="AV1695" s="86"/>
      <c r="AW1695" s="87"/>
      <c r="AX1695" s="86"/>
      <c r="AY1695" s="83"/>
      <c r="AZ1695" s="84"/>
      <c r="BA1695" s="86"/>
      <c r="BB1695" s="86"/>
    </row>
    <row r="1696" spans="1:54" ht="36.75" customHeight="1">
      <c r="A1696" s="30"/>
      <c r="B1696" s="30" t="s">
        <v>55</v>
      </c>
      <c r="C1696" s="69" t="str">
        <f t="shared" si="109"/>
        <v>Closed</v>
      </c>
      <c r="D1696" s="27" t="s">
        <v>9458</v>
      </c>
      <c r="E1696" s="29" t="s">
        <v>9459</v>
      </c>
      <c r="F1696" s="30" t="s">
        <v>1572</v>
      </c>
      <c r="G1696" s="89">
        <f>DATE(2013,12,9)</f>
        <v>41617</v>
      </c>
      <c r="H1696" s="90">
        <v>1.9020833333333331</v>
      </c>
      <c r="I1696" s="30" t="s">
        <v>73</v>
      </c>
      <c r="J1696" s="89" t="s">
        <v>9460</v>
      </c>
      <c r="K1696" s="30" t="s">
        <v>1574</v>
      </c>
      <c r="L1696" s="30" t="s">
        <v>9403</v>
      </c>
      <c r="M1696" s="30" t="s">
        <v>63</v>
      </c>
      <c r="N1696" s="30" t="s">
        <v>99</v>
      </c>
      <c r="O1696" s="30" t="s">
        <v>64</v>
      </c>
      <c r="P1696" s="89" t="s">
        <v>78</v>
      </c>
      <c r="Q1696" s="89" t="s">
        <v>9461</v>
      </c>
      <c r="R1696" s="89" t="s">
        <v>6434</v>
      </c>
      <c r="S1696" s="30">
        <v>0</v>
      </c>
      <c r="T1696" s="233">
        <v>0</v>
      </c>
      <c r="U1696" s="30">
        <v>0</v>
      </c>
      <c r="V1696" s="233">
        <v>0</v>
      </c>
      <c r="W1696" s="30">
        <v>0</v>
      </c>
      <c r="X1696" s="30">
        <v>0</v>
      </c>
      <c r="Y1696" s="30">
        <v>0</v>
      </c>
      <c r="Z1696" s="233">
        <v>0</v>
      </c>
      <c r="AA1696" s="30">
        <v>0</v>
      </c>
      <c r="AB1696" s="30">
        <v>0</v>
      </c>
      <c r="AC1696" s="30">
        <v>0</v>
      </c>
      <c r="AD1696" s="30">
        <v>0</v>
      </c>
      <c r="AE1696" s="89" t="s">
        <v>92</v>
      </c>
      <c r="AF1696" s="89"/>
      <c r="AG1696" s="89" t="s">
        <v>133</v>
      </c>
      <c r="AH1696" s="72">
        <v>41618</v>
      </c>
      <c r="AI1696" s="30">
        <v>0</v>
      </c>
      <c r="AJ1696" s="89" t="s">
        <v>9462</v>
      </c>
      <c r="AK1696" s="89" t="s">
        <v>9463</v>
      </c>
      <c r="AL1696" s="91">
        <v>41624</v>
      </c>
      <c r="AM1696" s="91"/>
      <c r="AN1696" s="91"/>
      <c r="AO1696" s="91"/>
      <c r="AP1696" s="73" t="e">
        <f>MID(VLOOKUP(K1696,#REF!,2,FALSE),1,2)</f>
        <v>#REF!</v>
      </c>
      <c r="AQ1696" s="89">
        <f>DATE(2013,12,9)</f>
        <v>41617</v>
      </c>
      <c r="AR1696" s="82">
        <f t="shared" si="110"/>
        <v>9</v>
      </c>
      <c r="AS1696" s="83">
        <f t="shared" si="111"/>
        <v>12</v>
      </c>
      <c r="AT1696" s="84">
        <f t="shared" si="112"/>
        <v>2013</v>
      </c>
      <c r="AU1696" s="86"/>
      <c r="AV1696" s="86"/>
      <c r="AW1696" s="87"/>
      <c r="AX1696" s="86"/>
      <c r="AY1696" s="83"/>
      <c r="AZ1696" s="84"/>
      <c r="BA1696" s="86"/>
      <c r="BB1696" s="86"/>
    </row>
    <row r="1697" spans="1:54" ht="36.75" customHeight="1">
      <c r="A1697" s="30"/>
      <c r="B1697" s="30" t="s">
        <v>55</v>
      </c>
      <c r="C1697" s="69" t="str">
        <f t="shared" si="109"/>
        <v>Closed</v>
      </c>
      <c r="D1697" s="27" t="s">
        <v>9464</v>
      </c>
      <c r="E1697" s="29" t="s">
        <v>9465</v>
      </c>
      <c r="F1697" s="30" t="s">
        <v>124</v>
      </c>
      <c r="G1697" s="89">
        <f>DATE(2013,12,17)</f>
        <v>41625</v>
      </c>
      <c r="H1697" s="90">
        <v>1</v>
      </c>
      <c r="I1697" s="30" t="s">
        <v>104</v>
      </c>
      <c r="J1697" s="89" t="s">
        <v>9466</v>
      </c>
      <c r="K1697" s="30" t="s">
        <v>127</v>
      </c>
      <c r="L1697" s="30" t="s">
        <v>9467</v>
      </c>
      <c r="M1697" s="30" t="s">
        <v>63</v>
      </c>
      <c r="N1697" s="30" t="s">
        <v>99</v>
      </c>
      <c r="O1697" s="30" t="s">
        <v>86</v>
      </c>
      <c r="P1697" s="89" t="s">
        <v>86</v>
      </c>
      <c r="Q1697" s="89">
        <v>0</v>
      </c>
      <c r="R1697" s="89" t="s">
        <v>167</v>
      </c>
      <c r="S1697" s="30">
        <v>0</v>
      </c>
      <c r="T1697" s="233">
        <v>0</v>
      </c>
      <c r="U1697" s="30">
        <v>0</v>
      </c>
      <c r="V1697" s="233">
        <v>0</v>
      </c>
      <c r="W1697" s="30">
        <v>0</v>
      </c>
      <c r="X1697" s="30">
        <v>0</v>
      </c>
      <c r="Y1697" s="30">
        <v>0</v>
      </c>
      <c r="Z1697" s="233">
        <v>0</v>
      </c>
      <c r="AA1697" s="30">
        <v>0</v>
      </c>
      <c r="AB1697" s="30">
        <v>0</v>
      </c>
      <c r="AC1697" s="30">
        <v>0</v>
      </c>
      <c r="AD1697" s="30">
        <v>0</v>
      </c>
      <c r="AE1697" s="89" t="s">
        <v>92</v>
      </c>
      <c r="AF1697" s="89"/>
      <c r="AG1697" s="89" t="s">
        <v>352</v>
      </c>
      <c r="AH1697" s="72">
        <v>41625</v>
      </c>
      <c r="AI1697" s="30">
        <v>0</v>
      </c>
      <c r="AJ1697" s="89" t="s">
        <v>9468</v>
      </c>
      <c r="AK1697" s="89" t="s">
        <v>68</v>
      </c>
      <c r="AL1697" s="91">
        <v>41625</v>
      </c>
      <c r="AM1697" s="91"/>
      <c r="AN1697" s="91"/>
      <c r="AO1697" s="91"/>
      <c r="AP1697" s="73" t="e">
        <f>MID(VLOOKUP(K1697,#REF!,2,FALSE),1,2)</f>
        <v>#REF!</v>
      </c>
      <c r="AQ1697" s="89">
        <f>DATE(2013,12,17)</f>
        <v>41625</v>
      </c>
      <c r="AR1697" s="82">
        <f t="shared" si="110"/>
        <v>17</v>
      </c>
      <c r="AS1697" s="83">
        <f t="shared" si="111"/>
        <v>12</v>
      </c>
      <c r="AT1697" s="84">
        <f t="shared" si="112"/>
        <v>2013</v>
      </c>
      <c r="AU1697" s="86"/>
      <c r="AV1697" s="86"/>
      <c r="AW1697" s="87"/>
      <c r="AX1697" s="86"/>
      <c r="AY1697" s="83"/>
      <c r="AZ1697" s="84"/>
      <c r="BA1697" s="86"/>
      <c r="BB1697" s="86"/>
    </row>
    <row r="1698" spans="1:54" ht="36.75" customHeight="1">
      <c r="A1698" s="30"/>
      <c r="B1698" s="30" t="s">
        <v>55</v>
      </c>
      <c r="C1698" s="69" t="str">
        <f t="shared" si="109"/>
        <v>Closed</v>
      </c>
      <c r="D1698" s="27" t="s">
        <v>9469</v>
      </c>
      <c r="E1698" s="29" t="s">
        <v>9470</v>
      </c>
      <c r="F1698" s="30" t="s">
        <v>115</v>
      </c>
      <c r="G1698" s="89">
        <f>DATE(2013,12,18)</f>
        <v>41626</v>
      </c>
      <c r="H1698" s="90">
        <v>1.7916666666666665</v>
      </c>
      <c r="I1698" s="30" t="s">
        <v>487</v>
      </c>
      <c r="J1698" s="89" t="s">
        <v>9471</v>
      </c>
      <c r="K1698" s="30" t="s">
        <v>118</v>
      </c>
      <c r="L1698" s="30" t="s">
        <v>9472</v>
      </c>
      <c r="M1698" s="30" t="s">
        <v>63</v>
      </c>
      <c r="N1698" s="30" t="s">
        <v>99</v>
      </c>
      <c r="O1698" s="30" t="s">
        <v>64</v>
      </c>
      <c r="P1698" s="89" t="s">
        <v>165</v>
      </c>
      <c r="Q1698" s="89" t="s">
        <v>120</v>
      </c>
      <c r="R1698" s="89" t="s">
        <v>121</v>
      </c>
      <c r="S1698" s="30">
        <v>0</v>
      </c>
      <c r="T1698" s="233">
        <v>0</v>
      </c>
      <c r="U1698" s="30">
        <v>0</v>
      </c>
      <c r="V1698" s="233">
        <v>0</v>
      </c>
      <c r="W1698" s="30">
        <v>0</v>
      </c>
      <c r="X1698" s="30">
        <v>0</v>
      </c>
      <c r="Y1698" s="30">
        <v>0</v>
      </c>
      <c r="Z1698" s="233">
        <v>0</v>
      </c>
      <c r="AA1698" s="30">
        <v>0</v>
      </c>
      <c r="AB1698" s="30">
        <v>0</v>
      </c>
      <c r="AC1698" s="30">
        <v>0</v>
      </c>
      <c r="AD1698" s="30">
        <v>0</v>
      </c>
      <c r="AE1698" s="89" t="s">
        <v>92</v>
      </c>
      <c r="AF1698" s="89"/>
      <c r="AG1698" s="89" t="s">
        <v>133</v>
      </c>
      <c r="AH1698" s="72">
        <v>41631</v>
      </c>
      <c r="AI1698" s="30">
        <v>4</v>
      </c>
      <c r="AJ1698" s="89" t="s">
        <v>9473</v>
      </c>
      <c r="AK1698" s="89" t="s">
        <v>9474</v>
      </c>
      <c r="AL1698" s="91">
        <v>41659</v>
      </c>
      <c r="AM1698" s="91"/>
      <c r="AN1698" s="91"/>
      <c r="AO1698" s="91"/>
      <c r="AP1698" s="73" t="e">
        <f>MID(VLOOKUP(K1698,#REF!,2,FALSE),1,2)</f>
        <v>#REF!</v>
      </c>
      <c r="AQ1698" s="89">
        <f>DATE(2013,12,18)</f>
        <v>41626</v>
      </c>
      <c r="AR1698" s="82">
        <f t="shared" si="110"/>
        <v>18</v>
      </c>
      <c r="AS1698" s="83">
        <f t="shared" si="111"/>
        <v>12</v>
      </c>
      <c r="AT1698" s="84">
        <f t="shared" si="112"/>
        <v>2013</v>
      </c>
      <c r="AU1698" s="86"/>
      <c r="AV1698" s="86"/>
      <c r="AW1698" s="87"/>
      <c r="AX1698" s="86"/>
      <c r="AY1698" s="83"/>
      <c r="AZ1698" s="84"/>
      <c r="BA1698" s="86"/>
      <c r="BB1698" s="86"/>
    </row>
    <row r="1699" spans="1:54" ht="36.75" customHeight="1">
      <c r="A1699" s="30"/>
      <c r="B1699" s="30" t="s">
        <v>55</v>
      </c>
      <c r="C1699" s="69" t="str">
        <f t="shared" si="109"/>
        <v>Closed</v>
      </c>
      <c r="D1699" s="27" t="s">
        <v>9475</v>
      </c>
      <c r="E1699" s="29" t="s">
        <v>9476</v>
      </c>
      <c r="F1699" s="30" t="s">
        <v>1938</v>
      </c>
      <c r="G1699" s="89">
        <f>DATE(2013,12,18)</f>
        <v>41626</v>
      </c>
      <c r="H1699" s="90">
        <v>0</v>
      </c>
      <c r="I1699" s="30" t="s">
        <v>5494</v>
      </c>
      <c r="J1699" s="89" t="s">
        <v>9477</v>
      </c>
      <c r="K1699" s="30" t="s">
        <v>1940</v>
      </c>
      <c r="L1699" s="30" t="s">
        <v>9478</v>
      </c>
      <c r="M1699" s="30" t="s">
        <v>63</v>
      </c>
      <c r="N1699" s="30" t="s">
        <v>89</v>
      </c>
      <c r="O1699" s="30" t="s">
        <v>77</v>
      </c>
      <c r="P1699" s="89" t="s">
        <v>86</v>
      </c>
      <c r="Q1699" s="89" t="s">
        <v>1942</v>
      </c>
      <c r="R1699" s="89" t="s">
        <v>1942</v>
      </c>
      <c r="S1699" s="30">
        <v>0</v>
      </c>
      <c r="T1699" s="233">
        <v>0</v>
      </c>
      <c r="U1699" s="30">
        <v>0</v>
      </c>
      <c r="V1699" s="233">
        <v>0</v>
      </c>
      <c r="W1699" s="30">
        <v>0</v>
      </c>
      <c r="X1699" s="30">
        <v>0</v>
      </c>
      <c r="Y1699" s="30">
        <v>1</v>
      </c>
      <c r="Z1699" s="233">
        <v>0</v>
      </c>
      <c r="AA1699" s="30">
        <v>0</v>
      </c>
      <c r="AB1699" s="30">
        <v>0</v>
      </c>
      <c r="AC1699" s="30">
        <v>0</v>
      </c>
      <c r="AD1699" s="30">
        <v>1</v>
      </c>
      <c r="AE1699" s="89" t="s">
        <v>394</v>
      </c>
      <c r="AF1699" s="89"/>
      <c r="AG1699" s="89" t="s">
        <v>9479</v>
      </c>
      <c r="AH1699" s="72">
        <v>41628</v>
      </c>
      <c r="AI1699" s="30">
        <v>3</v>
      </c>
      <c r="AJ1699" s="89" t="s">
        <v>9480</v>
      </c>
      <c r="AK1699" s="89" t="s">
        <v>68</v>
      </c>
      <c r="AL1699" s="91">
        <v>41628</v>
      </c>
      <c r="AM1699" s="91"/>
      <c r="AN1699" s="91"/>
      <c r="AO1699" s="91"/>
      <c r="AP1699" s="73" t="e">
        <f>MID(VLOOKUP(K1699,#REF!,2,FALSE),1,2)</f>
        <v>#REF!</v>
      </c>
      <c r="AQ1699" s="89">
        <f>DATE(2013,12,18)</f>
        <v>41626</v>
      </c>
      <c r="AR1699" s="82">
        <f t="shared" si="110"/>
        <v>18</v>
      </c>
      <c r="AS1699" s="83">
        <f t="shared" si="111"/>
        <v>12</v>
      </c>
      <c r="AT1699" s="84">
        <f t="shared" si="112"/>
        <v>2013</v>
      </c>
      <c r="AU1699" s="86"/>
      <c r="AV1699" s="86"/>
      <c r="AW1699" s="87"/>
      <c r="AX1699" s="86"/>
      <c r="AY1699" s="83"/>
      <c r="AZ1699" s="84"/>
      <c r="BA1699" s="86"/>
      <c r="BB1699" s="86"/>
    </row>
    <row r="1700" spans="1:54" ht="38.25" customHeight="1">
      <c r="A1700" s="30"/>
      <c r="B1700" s="30" t="s">
        <v>55</v>
      </c>
      <c r="C1700" s="69" t="str">
        <f t="shared" si="109"/>
        <v>Closed</v>
      </c>
      <c r="D1700" s="27" t="s">
        <v>9481</v>
      </c>
      <c r="E1700" s="29" t="s">
        <v>9482</v>
      </c>
      <c r="F1700" s="30" t="s">
        <v>1938</v>
      </c>
      <c r="G1700" s="89">
        <f>DATE(2013,12,18)</f>
        <v>41626</v>
      </c>
      <c r="H1700" s="90">
        <v>0</v>
      </c>
      <c r="I1700" s="30" t="s">
        <v>104</v>
      </c>
      <c r="J1700" s="89" t="s">
        <v>9483</v>
      </c>
      <c r="K1700" s="30" t="s">
        <v>1940</v>
      </c>
      <c r="L1700" s="30" t="s">
        <v>1940</v>
      </c>
      <c r="M1700" s="30" t="s">
        <v>63</v>
      </c>
      <c r="N1700" s="30" t="s">
        <v>142</v>
      </c>
      <c r="O1700" s="30" t="s">
        <v>64</v>
      </c>
      <c r="P1700" s="89" t="s">
        <v>6941</v>
      </c>
      <c r="Q1700" s="89" t="s">
        <v>1942</v>
      </c>
      <c r="R1700" s="89" t="s">
        <v>1940</v>
      </c>
      <c r="S1700" s="30">
        <v>0</v>
      </c>
      <c r="T1700" s="233">
        <v>0</v>
      </c>
      <c r="U1700" s="30">
        <v>0</v>
      </c>
      <c r="V1700" s="233">
        <v>0</v>
      </c>
      <c r="W1700" s="30">
        <v>0</v>
      </c>
      <c r="X1700" s="30">
        <v>0</v>
      </c>
      <c r="Y1700" s="30">
        <v>0</v>
      </c>
      <c r="Z1700" s="233">
        <v>0</v>
      </c>
      <c r="AA1700" s="30">
        <v>0</v>
      </c>
      <c r="AB1700" s="30">
        <v>0</v>
      </c>
      <c r="AC1700" s="30">
        <v>0</v>
      </c>
      <c r="AD1700" s="30">
        <v>0</v>
      </c>
      <c r="AE1700" s="89" t="s">
        <v>394</v>
      </c>
      <c r="AF1700" s="89"/>
      <c r="AG1700" s="89" t="s">
        <v>352</v>
      </c>
      <c r="AH1700" s="72">
        <v>41626</v>
      </c>
      <c r="AI1700" s="30" t="s">
        <v>9484</v>
      </c>
      <c r="AJ1700" s="89" t="s">
        <v>9485</v>
      </c>
      <c r="AK1700" s="89" t="s">
        <v>9486</v>
      </c>
      <c r="AL1700" s="91">
        <v>42692</v>
      </c>
      <c r="AM1700" s="91"/>
      <c r="AN1700" s="91">
        <v>44545</v>
      </c>
      <c r="AO1700" s="91">
        <v>42471</v>
      </c>
      <c r="AP1700" s="73" t="e">
        <f>MID(VLOOKUP(K1700,#REF!,2,FALSE),1,2)</f>
        <v>#REF!</v>
      </c>
      <c r="AQ1700" s="89">
        <f>DATE(2013,12,18)</f>
        <v>41626</v>
      </c>
      <c r="AR1700" s="82">
        <f t="shared" si="110"/>
        <v>18</v>
      </c>
      <c r="AS1700" s="83">
        <f t="shared" si="111"/>
        <v>12</v>
      </c>
      <c r="AT1700" s="84">
        <f t="shared" si="112"/>
        <v>2013</v>
      </c>
      <c r="AU1700" s="86"/>
      <c r="AV1700" s="86"/>
      <c r="AW1700" s="87"/>
      <c r="AX1700" s="86"/>
      <c r="AY1700" s="83"/>
      <c r="AZ1700" s="84"/>
      <c r="BA1700" s="86"/>
      <c r="BB1700" s="86"/>
    </row>
    <row r="1701" spans="1:54" ht="36.75" customHeight="1">
      <c r="A1701" s="30"/>
      <c r="B1701" s="30" t="s">
        <v>55</v>
      </c>
      <c r="C1701" s="69" t="str">
        <f t="shared" si="109"/>
        <v>Closed</v>
      </c>
      <c r="D1701" s="27" t="s">
        <v>9487</v>
      </c>
      <c r="E1701" s="29" t="s">
        <v>9488</v>
      </c>
      <c r="F1701" s="30" t="s">
        <v>423</v>
      </c>
      <c r="G1701" s="89">
        <f>DATE(2013,12,20)</f>
        <v>41628</v>
      </c>
      <c r="H1701" s="90">
        <v>1.7729166666666667</v>
      </c>
      <c r="I1701" s="30" t="s">
        <v>278</v>
      </c>
      <c r="J1701" s="89" t="s">
        <v>9489</v>
      </c>
      <c r="K1701" s="30" t="s">
        <v>425</v>
      </c>
      <c r="L1701" s="30" t="s">
        <v>9490</v>
      </c>
      <c r="M1701" s="30" t="s">
        <v>63</v>
      </c>
      <c r="N1701" s="30" t="s">
        <v>89</v>
      </c>
      <c r="O1701" s="30" t="s">
        <v>77</v>
      </c>
      <c r="P1701" s="89" t="s">
        <v>91</v>
      </c>
      <c r="Q1701" s="89" t="s">
        <v>427</v>
      </c>
      <c r="R1701" s="89" t="s">
        <v>3103</v>
      </c>
      <c r="S1701" s="30">
        <v>0</v>
      </c>
      <c r="T1701" s="233">
        <v>0</v>
      </c>
      <c r="U1701" s="30">
        <v>0</v>
      </c>
      <c r="V1701" s="233">
        <v>0</v>
      </c>
      <c r="W1701" s="30">
        <v>0</v>
      </c>
      <c r="X1701" s="30">
        <v>0</v>
      </c>
      <c r="Y1701" s="30">
        <v>0</v>
      </c>
      <c r="Z1701" s="233">
        <v>1</v>
      </c>
      <c r="AA1701" s="30">
        <v>0</v>
      </c>
      <c r="AB1701" s="30">
        <v>0</v>
      </c>
      <c r="AC1701" s="30">
        <v>0</v>
      </c>
      <c r="AD1701" s="30">
        <v>1</v>
      </c>
      <c r="AE1701" s="89" t="s">
        <v>92</v>
      </c>
      <c r="AF1701" s="89"/>
      <c r="AG1701" s="89" t="s">
        <v>133</v>
      </c>
      <c r="AH1701" s="72">
        <v>41690</v>
      </c>
      <c r="AI1701" s="30">
        <v>0</v>
      </c>
      <c r="AJ1701" s="89" t="s">
        <v>9491</v>
      </c>
      <c r="AK1701" s="89" t="s">
        <v>9492</v>
      </c>
      <c r="AL1701" s="91">
        <v>41695</v>
      </c>
      <c r="AM1701" s="91"/>
      <c r="AN1701" s="91"/>
      <c r="AO1701" s="91"/>
      <c r="AP1701" s="73" t="e">
        <f>MID(VLOOKUP(K1701,#REF!,2,FALSE),1,2)</f>
        <v>#REF!</v>
      </c>
      <c r="AQ1701" s="89">
        <f>DATE(2013,12,20)</f>
        <v>41628</v>
      </c>
      <c r="AR1701" s="82">
        <f t="shared" si="110"/>
        <v>20</v>
      </c>
      <c r="AS1701" s="83">
        <f t="shared" si="111"/>
        <v>12</v>
      </c>
      <c r="AT1701" s="84">
        <f t="shared" si="112"/>
        <v>2013</v>
      </c>
      <c r="AU1701" s="88">
        <f>DATE(2014,2,25)</f>
        <v>41695</v>
      </c>
      <c r="AV1701" s="88">
        <f>DATE(2014,2,20)</f>
        <v>41690</v>
      </c>
      <c r="AW1701" s="87">
        <f t="shared" ref="AW1701:AW1706" si="113">AU1701-AV1701</f>
        <v>5</v>
      </c>
      <c r="AX1701" s="88">
        <f>DATE(2014,8,28)</f>
        <v>41879</v>
      </c>
      <c r="AY1701" s="83">
        <f>MONTH(AX1701)</f>
        <v>8</v>
      </c>
      <c r="AZ1701" s="84">
        <f>YEAR(AX1701)</f>
        <v>2014</v>
      </c>
      <c r="BA1701" s="86"/>
      <c r="BB1701" s="86"/>
    </row>
    <row r="1702" spans="1:54" ht="36.75" customHeight="1">
      <c r="A1702" s="30"/>
      <c r="B1702" s="30" t="s">
        <v>55</v>
      </c>
      <c r="C1702" s="69" t="str">
        <f t="shared" si="109"/>
        <v>Closed</v>
      </c>
      <c r="D1702" s="27" t="s">
        <v>9493</v>
      </c>
      <c r="E1702" s="29" t="s">
        <v>9494</v>
      </c>
      <c r="F1702" s="30" t="s">
        <v>1572</v>
      </c>
      <c r="G1702" s="89">
        <f>DATE(2013,12,21)</f>
        <v>41629</v>
      </c>
      <c r="H1702" s="90">
        <v>1.7951388888888888</v>
      </c>
      <c r="I1702" s="30" t="s">
        <v>73</v>
      </c>
      <c r="J1702" s="89" t="s">
        <v>9495</v>
      </c>
      <c r="K1702" s="30" t="s">
        <v>1574</v>
      </c>
      <c r="L1702" s="30" t="s">
        <v>9496</v>
      </c>
      <c r="M1702" s="30" t="s">
        <v>63</v>
      </c>
      <c r="N1702" s="30" t="s">
        <v>142</v>
      </c>
      <c r="O1702" s="30" t="s">
        <v>64</v>
      </c>
      <c r="P1702" s="89" t="s">
        <v>78</v>
      </c>
      <c r="Q1702" s="89" t="s">
        <v>2655</v>
      </c>
      <c r="R1702" s="89" t="s">
        <v>6434</v>
      </c>
      <c r="S1702" s="30">
        <v>0</v>
      </c>
      <c r="T1702" s="233">
        <v>0</v>
      </c>
      <c r="U1702" s="30">
        <v>0</v>
      </c>
      <c r="V1702" s="233">
        <v>0</v>
      </c>
      <c r="W1702" s="30">
        <v>0</v>
      </c>
      <c r="X1702" s="30">
        <v>0</v>
      </c>
      <c r="Y1702" s="30">
        <v>0</v>
      </c>
      <c r="Z1702" s="233">
        <v>0</v>
      </c>
      <c r="AA1702" s="30">
        <v>0</v>
      </c>
      <c r="AB1702" s="30">
        <v>0</v>
      </c>
      <c r="AC1702" s="30">
        <v>0</v>
      </c>
      <c r="AD1702" s="30">
        <v>0</v>
      </c>
      <c r="AE1702" s="89" t="s">
        <v>92</v>
      </c>
      <c r="AF1702" s="89"/>
      <c r="AG1702" s="89" t="s">
        <v>133</v>
      </c>
      <c r="AH1702" s="72">
        <v>41631</v>
      </c>
      <c r="AI1702" s="30">
        <v>0</v>
      </c>
      <c r="AJ1702" s="89" t="s">
        <v>9497</v>
      </c>
      <c r="AK1702" s="89" t="s">
        <v>9498</v>
      </c>
      <c r="AL1702" s="91">
        <v>41631</v>
      </c>
      <c r="AM1702" s="91"/>
      <c r="AN1702" s="91"/>
      <c r="AO1702" s="91"/>
      <c r="AP1702" s="73" t="e">
        <f>MID(VLOOKUP(K1702,#REF!,2,FALSE),1,2)</f>
        <v>#REF!</v>
      </c>
      <c r="AQ1702" s="89">
        <f>DATE(2013,12,21)</f>
        <v>41629</v>
      </c>
      <c r="AR1702" s="82">
        <f t="shared" si="110"/>
        <v>21</v>
      </c>
      <c r="AS1702" s="83">
        <f t="shared" si="111"/>
        <v>12</v>
      </c>
      <c r="AT1702" s="84">
        <f t="shared" si="112"/>
        <v>2013</v>
      </c>
      <c r="AU1702" s="88">
        <f>DATE(2013,12,23)</f>
        <v>41631</v>
      </c>
      <c r="AV1702" s="88">
        <f>DATE(2013,12,23)</f>
        <v>41631</v>
      </c>
      <c r="AW1702" s="87">
        <f t="shared" si="113"/>
        <v>0</v>
      </c>
      <c r="AX1702" s="88">
        <f>DATE(2013,12,23)</f>
        <v>41631</v>
      </c>
      <c r="AY1702" s="83">
        <f>MONTH(AX1702)</f>
        <v>12</v>
      </c>
      <c r="AZ1702" s="84">
        <f>YEAR(AX1702)</f>
        <v>2013</v>
      </c>
      <c r="BA1702" s="88">
        <f>DATE(2013,12,21)</f>
        <v>41629</v>
      </c>
      <c r="BB1702" s="86"/>
    </row>
    <row r="1703" spans="1:54" ht="36.75" customHeight="1">
      <c r="A1703" s="30"/>
      <c r="B1703" s="30" t="s">
        <v>55</v>
      </c>
      <c r="C1703" s="69" t="str">
        <f t="shared" si="109"/>
        <v>Closed</v>
      </c>
      <c r="D1703" s="27" t="s">
        <v>9499</v>
      </c>
      <c r="E1703" s="29" t="s">
        <v>9500</v>
      </c>
      <c r="F1703" s="30" t="s">
        <v>115</v>
      </c>
      <c r="G1703" s="89">
        <f>DATE(2013,12,23)</f>
        <v>41631</v>
      </c>
      <c r="H1703" s="90">
        <v>1.6680555555555556</v>
      </c>
      <c r="I1703" s="30" t="s">
        <v>73</v>
      </c>
      <c r="J1703" s="89" t="s">
        <v>9501</v>
      </c>
      <c r="K1703" s="30" t="s">
        <v>118</v>
      </c>
      <c r="L1703" s="30" t="s">
        <v>9502</v>
      </c>
      <c r="M1703" s="30" t="s">
        <v>63</v>
      </c>
      <c r="N1703" s="30" t="s">
        <v>89</v>
      </c>
      <c r="O1703" s="30" t="s">
        <v>90</v>
      </c>
      <c r="P1703" s="89" t="s">
        <v>91</v>
      </c>
      <c r="Q1703" s="89" t="s">
        <v>120</v>
      </c>
      <c r="R1703" s="89" t="s">
        <v>121</v>
      </c>
      <c r="S1703" s="30">
        <v>0</v>
      </c>
      <c r="T1703" s="233">
        <v>0</v>
      </c>
      <c r="U1703" s="30">
        <v>0</v>
      </c>
      <c r="V1703" s="233">
        <v>0</v>
      </c>
      <c r="W1703" s="30">
        <v>0</v>
      </c>
      <c r="X1703" s="30">
        <v>0</v>
      </c>
      <c r="Y1703" s="30">
        <v>0</v>
      </c>
      <c r="Z1703" s="233">
        <v>0</v>
      </c>
      <c r="AA1703" s="30">
        <v>0</v>
      </c>
      <c r="AB1703" s="30">
        <v>0</v>
      </c>
      <c r="AC1703" s="30">
        <v>0</v>
      </c>
      <c r="AD1703" s="30">
        <v>0</v>
      </c>
      <c r="AE1703" s="89" t="s">
        <v>394</v>
      </c>
      <c r="AF1703" s="89"/>
      <c r="AG1703" s="89" t="s">
        <v>248</v>
      </c>
      <c r="AH1703" s="72">
        <v>41631</v>
      </c>
      <c r="AI1703" s="30">
        <v>0</v>
      </c>
      <c r="AJ1703" s="89" t="s">
        <v>9503</v>
      </c>
      <c r="AK1703" s="89" t="s">
        <v>9504</v>
      </c>
      <c r="AL1703" s="91">
        <v>41659</v>
      </c>
      <c r="AM1703" s="91"/>
      <c r="AN1703" s="91"/>
      <c r="AO1703" s="91"/>
      <c r="AP1703" s="73" t="e">
        <f>MID(VLOOKUP(K1703,#REF!,2,FALSE),1,2)</f>
        <v>#REF!</v>
      </c>
      <c r="AQ1703" s="89">
        <f>DATE(2013,12,23)</f>
        <v>41631</v>
      </c>
      <c r="AR1703" s="82">
        <f t="shared" si="110"/>
        <v>23</v>
      </c>
      <c r="AS1703" s="83">
        <f t="shared" si="111"/>
        <v>12</v>
      </c>
      <c r="AT1703" s="84">
        <f t="shared" si="112"/>
        <v>2013</v>
      </c>
      <c r="AU1703" s="88">
        <f>DATE(2014,1,20)</f>
        <v>41659</v>
      </c>
      <c r="AV1703" s="88">
        <f>DATE(2013,12,23)</f>
        <v>41631</v>
      </c>
      <c r="AW1703" s="87">
        <f t="shared" si="113"/>
        <v>28</v>
      </c>
      <c r="AX1703" s="86"/>
      <c r="AY1703" s="83"/>
      <c r="AZ1703" s="84"/>
      <c r="BA1703" s="86"/>
      <c r="BB1703" s="86"/>
    </row>
    <row r="1704" spans="1:54" ht="36.75" customHeight="1">
      <c r="A1704" s="30"/>
      <c r="B1704" s="30" t="s">
        <v>55</v>
      </c>
      <c r="C1704" s="69" t="str">
        <f t="shared" si="109"/>
        <v>Closed</v>
      </c>
      <c r="D1704" s="27" t="s">
        <v>9505</v>
      </c>
      <c r="E1704" s="29" t="s">
        <v>9506</v>
      </c>
      <c r="F1704" s="30" t="s">
        <v>835</v>
      </c>
      <c r="G1704" s="89">
        <f>DATE(2013,12,23)</f>
        <v>41631</v>
      </c>
      <c r="H1704" s="90">
        <v>1.8472222222222223</v>
      </c>
      <c r="I1704" s="30" t="s">
        <v>116</v>
      </c>
      <c r="J1704" s="89" t="s">
        <v>9507</v>
      </c>
      <c r="K1704" s="30" t="s">
        <v>837</v>
      </c>
      <c r="L1704" s="30" t="s">
        <v>9508</v>
      </c>
      <c r="M1704" s="30" t="s">
        <v>63</v>
      </c>
      <c r="N1704" s="30" t="s">
        <v>142</v>
      </c>
      <c r="O1704" s="30" t="s">
        <v>64</v>
      </c>
      <c r="P1704" s="89" t="s">
        <v>65</v>
      </c>
      <c r="Q1704" s="89" t="s">
        <v>2162</v>
      </c>
      <c r="R1704" s="89" t="s">
        <v>840</v>
      </c>
      <c r="S1704" s="30">
        <v>0</v>
      </c>
      <c r="T1704" s="233">
        <v>0</v>
      </c>
      <c r="U1704" s="30">
        <v>0</v>
      </c>
      <c r="V1704" s="233">
        <v>0</v>
      </c>
      <c r="W1704" s="30">
        <v>0</v>
      </c>
      <c r="X1704" s="30">
        <v>0</v>
      </c>
      <c r="Y1704" s="30">
        <v>0</v>
      </c>
      <c r="Z1704" s="233">
        <v>0</v>
      </c>
      <c r="AA1704" s="30">
        <v>0</v>
      </c>
      <c r="AB1704" s="30">
        <v>0</v>
      </c>
      <c r="AC1704" s="30">
        <v>0</v>
      </c>
      <c r="AD1704" s="30">
        <v>0</v>
      </c>
      <c r="AE1704" s="89" t="s">
        <v>394</v>
      </c>
      <c r="AF1704" s="89"/>
      <c r="AG1704" s="89" t="s">
        <v>352</v>
      </c>
      <c r="AH1704" s="72">
        <v>41631</v>
      </c>
      <c r="AI1704" s="30">
        <v>2</v>
      </c>
      <c r="AJ1704" s="89" t="s">
        <v>9509</v>
      </c>
      <c r="AK1704" s="89" t="s">
        <v>68</v>
      </c>
      <c r="AL1704" s="91">
        <v>41638</v>
      </c>
      <c r="AM1704" s="91"/>
      <c r="AN1704" s="91"/>
      <c r="AO1704" s="91"/>
      <c r="AP1704" s="73" t="e">
        <f>MID(VLOOKUP(K1704,#REF!,2,FALSE),1,2)</f>
        <v>#REF!</v>
      </c>
      <c r="AQ1704" s="89">
        <f>DATE(2013,12,23)</f>
        <v>41631</v>
      </c>
      <c r="AR1704" s="82">
        <f t="shared" si="110"/>
        <v>23</v>
      </c>
      <c r="AS1704" s="83">
        <f t="shared" si="111"/>
        <v>12</v>
      </c>
      <c r="AT1704" s="84">
        <f t="shared" si="112"/>
        <v>2013</v>
      </c>
      <c r="AU1704" s="88">
        <f>DATE(2013,12,30)</f>
        <v>41638</v>
      </c>
      <c r="AV1704" s="88">
        <f>DATE(2013,12,23)</f>
        <v>41631</v>
      </c>
      <c r="AW1704" s="87">
        <f t="shared" si="113"/>
        <v>7</v>
      </c>
      <c r="AX1704" s="88">
        <f>DATE(2013,12,23)</f>
        <v>41631</v>
      </c>
      <c r="AY1704" s="83">
        <f>MONTH(AX1704)</f>
        <v>12</v>
      </c>
      <c r="AZ1704" s="84">
        <f>YEAR(AX1704)</f>
        <v>2013</v>
      </c>
      <c r="BA1704" s="88">
        <f>DATE(2013,12,23)</f>
        <v>41631</v>
      </c>
      <c r="BB1704" s="86"/>
    </row>
    <row r="1705" spans="1:54" ht="36.75" customHeight="1">
      <c r="A1705" s="30"/>
      <c r="B1705" s="30" t="s">
        <v>55</v>
      </c>
      <c r="C1705" s="69" t="str">
        <f t="shared" si="109"/>
        <v>Closed</v>
      </c>
      <c r="D1705" s="27" t="s">
        <v>9510</v>
      </c>
      <c r="E1705" s="29" t="s">
        <v>9511</v>
      </c>
      <c r="F1705" s="30" t="s">
        <v>835</v>
      </c>
      <c r="G1705" s="89">
        <f>DATE(2013,12,31)</f>
        <v>41639</v>
      </c>
      <c r="H1705" s="90">
        <v>0</v>
      </c>
      <c r="I1705" s="30" t="s">
        <v>125</v>
      </c>
      <c r="J1705" s="89" t="s">
        <v>9512</v>
      </c>
      <c r="K1705" s="30" t="s">
        <v>837</v>
      </c>
      <c r="L1705" s="30" t="s">
        <v>9513</v>
      </c>
      <c r="M1705" s="30" t="s">
        <v>63</v>
      </c>
      <c r="N1705" s="30" t="s">
        <v>99</v>
      </c>
      <c r="O1705" s="30" t="s">
        <v>77</v>
      </c>
      <c r="P1705" s="89" t="s">
        <v>65</v>
      </c>
      <c r="Q1705" s="89" t="s">
        <v>2162</v>
      </c>
      <c r="R1705" s="89" t="s">
        <v>840</v>
      </c>
      <c r="S1705" s="30">
        <v>0</v>
      </c>
      <c r="T1705" s="233">
        <v>0</v>
      </c>
      <c r="U1705" s="30">
        <v>0</v>
      </c>
      <c r="V1705" s="233">
        <v>0</v>
      </c>
      <c r="W1705" s="30">
        <v>0</v>
      </c>
      <c r="X1705" s="30">
        <v>0</v>
      </c>
      <c r="Y1705" s="30">
        <v>0</v>
      </c>
      <c r="Z1705" s="233">
        <v>0</v>
      </c>
      <c r="AA1705" s="30">
        <v>0</v>
      </c>
      <c r="AB1705" s="30">
        <v>0</v>
      </c>
      <c r="AC1705" s="30">
        <v>0</v>
      </c>
      <c r="AD1705" s="30">
        <v>0</v>
      </c>
      <c r="AE1705" s="89" t="s">
        <v>394</v>
      </c>
      <c r="AF1705" s="89"/>
      <c r="AG1705" s="89" t="s">
        <v>352</v>
      </c>
      <c r="AH1705" s="72">
        <v>41639</v>
      </c>
      <c r="AI1705" s="30">
        <v>0</v>
      </c>
      <c r="AJ1705" s="89" t="s">
        <v>9514</v>
      </c>
      <c r="AK1705" s="89" t="s">
        <v>9515</v>
      </c>
      <c r="AL1705" s="91">
        <v>41639</v>
      </c>
      <c r="AM1705" s="91"/>
      <c r="AN1705" s="91"/>
      <c r="AO1705" s="91"/>
      <c r="AP1705" s="73" t="e">
        <f>MID(VLOOKUP(K1705,#REF!,2,FALSE),1,2)</f>
        <v>#REF!</v>
      </c>
      <c r="AQ1705" s="89">
        <f>DATE(2013,12,31)</f>
        <v>41639</v>
      </c>
      <c r="AR1705" s="82">
        <f t="shared" si="110"/>
        <v>31</v>
      </c>
      <c r="AS1705" s="83">
        <f t="shared" si="111"/>
        <v>12</v>
      </c>
      <c r="AT1705" s="84">
        <f t="shared" si="112"/>
        <v>2013</v>
      </c>
      <c r="AU1705" s="88">
        <f>DATE(2013,12,31)</f>
        <v>41639</v>
      </c>
      <c r="AV1705" s="88">
        <f>DATE(2013,12,31)</f>
        <v>41639</v>
      </c>
      <c r="AW1705" s="87">
        <f t="shared" si="113"/>
        <v>0</v>
      </c>
      <c r="AX1705" s="86"/>
      <c r="AY1705" s="83"/>
      <c r="AZ1705" s="84"/>
      <c r="BA1705" s="88">
        <f>DATE(2013,12,31)</f>
        <v>41639</v>
      </c>
      <c r="BB1705" s="86"/>
    </row>
    <row r="1706" spans="1:54" ht="36.75" customHeight="1">
      <c r="A1706" s="30"/>
      <c r="B1706" s="30" t="s">
        <v>55</v>
      </c>
      <c r="C1706" s="69" t="str">
        <f t="shared" si="109"/>
        <v>Closed</v>
      </c>
      <c r="D1706" s="27" t="s">
        <v>9516</v>
      </c>
      <c r="E1706" s="29" t="s">
        <v>9517</v>
      </c>
      <c r="F1706" s="30" t="s">
        <v>1938</v>
      </c>
      <c r="G1706" s="89">
        <f>DATE(2013,12,31)</f>
        <v>41639</v>
      </c>
      <c r="H1706" s="90">
        <v>0</v>
      </c>
      <c r="I1706" s="30" t="s">
        <v>5494</v>
      </c>
      <c r="J1706" s="89" t="s">
        <v>9518</v>
      </c>
      <c r="K1706" s="30" t="s">
        <v>1940</v>
      </c>
      <c r="L1706" s="30" t="s">
        <v>9519</v>
      </c>
      <c r="M1706" s="30" t="s">
        <v>63</v>
      </c>
      <c r="N1706" s="30" t="s">
        <v>89</v>
      </c>
      <c r="O1706" s="30" t="s">
        <v>77</v>
      </c>
      <c r="P1706" s="89" t="s">
        <v>6941</v>
      </c>
      <c r="Q1706" s="89" t="s">
        <v>1942</v>
      </c>
      <c r="R1706" s="89" t="s">
        <v>1942</v>
      </c>
      <c r="S1706" s="30">
        <v>0</v>
      </c>
      <c r="T1706" s="233">
        <v>0</v>
      </c>
      <c r="U1706" s="30">
        <v>0</v>
      </c>
      <c r="V1706" s="233">
        <v>0</v>
      </c>
      <c r="W1706" s="30">
        <v>0</v>
      </c>
      <c r="X1706" s="30">
        <v>0</v>
      </c>
      <c r="Y1706" s="30">
        <v>0</v>
      </c>
      <c r="Z1706" s="233">
        <v>0</v>
      </c>
      <c r="AA1706" s="30">
        <v>0</v>
      </c>
      <c r="AB1706" s="30">
        <v>0</v>
      </c>
      <c r="AC1706" s="30">
        <v>0</v>
      </c>
      <c r="AD1706" s="30">
        <v>0</v>
      </c>
      <c r="AE1706" s="89" t="s">
        <v>145</v>
      </c>
      <c r="AF1706" s="89"/>
      <c r="AG1706" s="89" t="s">
        <v>133</v>
      </c>
      <c r="AH1706" s="72">
        <v>41645</v>
      </c>
      <c r="AI1706" s="30">
        <v>5</v>
      </c>
      <c r="AJ1706" s="89" t="s">
        <v>9520</v>
      </c>
      <c r="AK1706" s="89" t="s">
        <v>68</v>
      </c>
      <c r="AL1706" s="91">
        <v>41639</v>
      </c>
      <c r="AM1706" s="91"/>
      <c r="AN1706" s="91"/>
      <c r="AO1706" s="91"/>
      <c r="AP1706" s="73" t="e">
        <f>MID(VLOOKUP(K1706,#REF!,2,FALSE),1,2)</f>
        <v>#REF!</v>
      </c>
      <c r="AQ1706" s="89">
        <f>DATE(2013,12,31)</f>
        <v>41639</v>
      </c>
      <c r="AR1706" s="82">
        <f t="shared" si="110"/>
        <v>31</v>
      </c>
      <c r="AS1706" s="83">
        <f t="shared" si="111"/>
        <v>12</v>
      </c>
      <c r="AT1706" s="84">
        <f t="shared" si="112"/>
        <v>2013</v>
      </c>
      <c r="AU1706" s="88">
        <f>DATE(2013,12,31)</f>
        <v>41639</v>
      </c>
      <c r="AV1706" s="88">
        <f>DATE(2014,1,6)</f>
        <v>41645</v>
      </c>
      <c r="AW1706" s="87">
        <f t="shared" si="113"/>
        <v>-6</v>
      </c>
      <c r="AX1706" s="86"/>
      <c r="AY1706" s="83"/>
      <c r="AZ1706" s="84"/>
      <c r="BA1706" s="88"/>
      <c r="BB1706" s="86"/>
    </row>
    <row r="1707" spans="1:54" ht="36.75" customHeight="1">
      <c r="A1707" s="30"/>
      <c r="B1707" s="30" t="s">
        <v>55</v>
      </c>
      <c r="C1707" s="69" t="str">
        <f t="shared" si="109"/>
        <v>Closed</v>
      </c>
      <c r="D1707" s="27" t="s">
        <v>9521</v>
      </c>
      <c r="E1707" s="29" t="s">
        <v>9522</v>
      </c>
      <c r="F1707" s="30" t="s">
        <v>197</v>
      </c>
      <c r="G1707" s="89">
        <f>DATE(2014,1,8)</f>
        <v>41647</v>
      </c>
      <c r="H1707" s="90">
        <v>1.4097222222222223</v>
      </c>
      <c r="I1707" s="30" t="s">
        <v>278</v>
      </c>
      <c r="J1707" s="89" t="s">
        <v>9523</v>
      </c>
      <c r="K1707" s="30" t="s">
        <v>200</v>
      </c>
      <c r="L1707" s="30" t="s">
        <v>9524</v>
      </c>
      <c r="M1707" s="30" t="s">
        <v>63</v>
      </c>
      <c r="N1707" s="30" t="s">
        <v>99</v>
      </c>
      <c r="O1707" s="30" t="s">
        <v>77</v>
      </c>
      <c r="P1707" s="89" t="s">
        <v>301</v>
      </c>
      <c r="Q1707" s="89">
        <v>0</v>
      </c>
      <c r="R1707" s="89">
        <v>0</v>
      </c>
      <c r="S1707" s="30">
        <v>0</v>
      </c>
      <c r="T1707" s="233">
        <v>1</v>
      </c>
      <c r="U1707" s="30">
        <v>0</v>
      </c>
      <c r="V1707" s="233">
        <v>0</v>
      </c>
      <c r="W1707" s="30">
        <v>0</v>
      </c>
      <c r="X1707" s="30">
        <v>1</v>
      </c>
      <c r="Y1707" s="30">
        <v>0</v>
      </c>
      <c r="Z1707" s="233">
        <v>0</v>
      </c>
      <c r="AA1707" s="30">
        <v>0</v>
      </c>
      <c r="AB1707" s="30">
        <v>0</v>
      </c>
      <c r="AC1707" s="30">
        <v>0</v>
      </c>
      <c r="AD1707" s="30">
        <v>0</v>
      </c>
      <c r="AE1707" s="89" t="s">
        <v>92</v>
      </c>
      <c r="AF1707" s="89"/>
      <c r="AG1707" s="89" t="s">
        <v>82</v>
      </c>
      <c r="AH1707" s="72">
        <v>41647</v>
      </c>
      <c r="AI1707" s="30">
        <v>6</v>
      </c>
      <c r="AJ1707" s="89" t="s">
        <v>9525</v>
      </c>
      <c r="AK1707" s="89" t="s">
        <v>1233</v>
      </c>
      <c r="AL1707" s="91">
        <v>41654</v>
      </c>
      <c r="AM1707" s="91"/>
      <c r="AN1707" s="91"/>
      <c r="AO1707" s="91"/>
      <c r="AP1707" s="73" t="e">
        <f>MID(VLOOKUP(K1707,#REF!,2,FALSE),1,2)</f>
        <v>#REF!</v>
      </c>
      <c r="AQ1707" s="89">
        <f>DATE(2014,1,8)</f>
        <v>41647</v>
      </c>
      <c r="AR1707" s="82">
        <f t="shared" si="110"/>
        <v>8</v>
      </c>
      <c r="AS1707" s="83">
        <f t="shared" si="111"/>
        <v>1</v>
      </c>
      <c r="AT1707" s="84">
        <f t="shared" si="112"/>
        <v>2014</v>
      </c>
      <c r="AU1707" s="86"/>
      <c r="AV1707" s="86"/>
      <c r="AW1707" s="87"/>
      <c r="AX1707" s="86"/>
      <c r="AY1707" s="83"/>
      <c r="AZ1707" s="84"/>
      <c r="BA1707" s="86"/>
      <c r="BB1707" s="86"/>
    </row>
    <row r="1708" spans="1:54" ht="36.75" customHeight="1">
      <c r="A1708" s="30"/>
      <c r="B1708" s="30" t="s">
        <v>55</v>
      </c>
      <c r="C1708" s="69" t="str">
        <f t="shared" si="109"/>
        <v>Closed</v>
      </c>
      <c r="D1708" s="27" t="s">
        <v>9526</v>
      </c>
      <c r="E1708" s="29" t="s">
        <v>9527</v>
      </c>
      <c r="F1708" s="30" t="s">
        <v>1938</v>
      </c>
      <c r="G1708" s="89">
        <f>DATE(2014,1,8)</f>
        <v>41647</v>
      </c>
      <c r="H1708" s="90">
        <v>0</v>
      </c>
      <c r="I1708" s="30" t="s">
        <v>104</v>
      </c>
      <c r="J1708" s="89" t="s">
        <v>9528</v>
      </c>
      <c r="K1708" s="30" t="s">
        <v>1940</v>
      </c>
      <c r="L1708" s="30" t="s">
        <v>9529</v>
      </c>
      <c r="M1708" s="30" t="s">
        <v>63</v>
      </c>
      <c r="N1708" s="30" t="s">
        <v>89</v>
      </c>
      <c r="O1708" s="30" t="s">
        <v>64</v>
      </c>
      <c r="P1708" s="89" t="s">
        <v>6941</v>
      </c>
      <c r="Q1708" s="89" t="s">
        <v>1940</v>
      </c>
      <c r="R1708" s="89" t="s">
        <v>1940</v>
      </c>
      <c r="S1708" s="30">
        <v>0</v>
      </c>
      <c r="T1708" s="233">
        <v>0</v>
      </c>
      <c r="U1708" s="30">
        <v>0</v>
      </c>
      <c r="V1708" s="233">
        <v>0</v>
      </c>
      <c r="W1708" s="30">
        <v>0</v>
      </c>
      <c r="X1708" s="30">
        <v>0</v>
      </c>
      <c r="Y1708" s="30">
        <v>0</v>
      </c>
      <c r="Z1708" s="233">
        <v>0</v>
      </c>
      <c r="AA1708" s="30">
        <v>0</v>
      </c>
      <c r="AB1708" s="30">
        <v>0</v>
      </c>
      <c r="AC1708" s="30">
        <v>0</v>
      </c>
      <c r="AD1708" s="30">
        <v>0</v>
      </c>
      <c r="AE1708" s="89" t="s">
        <v>92</v>
      </c>
      <c r="AF1708" s="89"/>
      <c r="AG1708" s="89" t="s">
        <v>352</v>
      </c>
      <c r="AH1708" s="72">
        <v>41647</v>
      </c>
      <c r="AI1708" s="30">
        <v>14</v>
      </c>
      <c r="AJ1708" s="89" t="s">
        <v>9530</v>
      </c>
      <c r="AK1708" s="89" t="s">
        <v>68</v>
      </c>
      <c r="AL1708" s="91">
        <v>42767</v>
      </c>
      <c r="AM1708" s="91"/>
      <c r="AN1708" s="91"/>
      <c r="AO1708" s="91"/>
      <c r="AP1708" s="73" t="e">
        <f>MID(VLOOKUP(K1708,#REF!,2,FALSE),1,2)</f>
        <v>#REF!</v>
      </c>
      <c r="AQ1708" s="89">
        <f>DATE(2014,1,8)</f>
        <v>41647</v>
      </c>
      <c r="AR1708" s="82">
        <f t="shared" si="110"/>
        <v>8</v>
      </c>
      <c r="AS1708" s="83">
        <f t="shared" si="111"/>
        <v>1</v>
      </c>
      <c r="AT1708" s="84">
        <f t="shared" si="112"/>
        <v>2014</v>
      </c>
      <c r="AU1708" s="86"/>
      <c r="AV1708" s="86"/>
      <c r="AW1708" s="87"/>
      <c r="AX1708" s="86"/>
      <c r="AY1708" s="83"/>
      <c r="AZ1708" s="84"/>
      <c r="BA1708" s="86"/>
      <c r="BB1708" s="86"/>
    </row>
    <row r="1709" spans="1:54" ht="36.75" customHeight="1">
      <c r="A1709" s="30"/>
      <c r="B1709" s="30" t="s">
        <v>55</v>
      </c>
      <c r="C1709" s="69" t="str">
        <f t="shared" si="109"/>
        <v>Closed</v>
      </c>
      <c r="D1709" s="27" t="s">
        <v>9531</v>
      </c>
      <c r="E1709" s="29" t="s">
        <v>9532</v>
      </c>
      <c r="F1709" s="30" t="s">
        <v>1572</v>
      </c>
      <c r="G1709" s="89">
        <f>DATE(2014,1,9)</f>
        <v>41648</v>
      </c>
      <c r="H1709" s="90">
        <v>1.0347222222222223</v>
      </c>
      <c r="I1709" s="30" t="s">
        <v>73</v>
      </c>
      <c r="J1709" s="89" t="s">
        <v>9533</v>
      </c>
      <c r="K1709" s="30" t="s">
        <v>1574</v>
      </c>
      <c r="L1709" s="30" t="s">
        <v>9534</v>
      </c>
      <c r="M1709" s="30" t="s">
        <v>63</v>
      </c>
      <c r="N1709" s="30" t="s">
        <v>89</v>
      </c>
      <c r="O1709" s="30" t="s">
        <v>64</v>
      </c>
      <c r="P1709" s="89" t="s">
        <v>78</v>
      </c>
      <c r="Q1709" s="89" t="s">
        <v>2655</v>
      </c>
      <c r="R1709" s="89" t="s">
        <v>6434</v>
      </c>
      <c r="S1709" s="30">
        <v>0</v>
      </c>
      <c r="T1709" s="233">
        <v>0</v>
      </c>
      <c r="U1709" s="30">
        <v>0</v>
      </c>
      <c r="V1709" s="233">
        <v>0</v>
      </c>
      <c r="W1709" s="30">
        <v>0</v>
      </c>
      <c r="X1709" s="30">
        <v>0</v>
      </c>
      <c r="Y1709" s="30">
        <v>0</v>
      </c>
      <c r="Z1709" s="233">
        <v>0</v>
      </c>
      <c r="AA1709" s="30">
        <v>0</v>
      </c>
      <c r="AB1709" s="30">
        <v>0</v>
      </c>
      <c r="AC1709" s="30">
        <v>0</v>
      </c>
      <c r="AD1709" s="30">
        <v>0</v>
      </c>
      <c r="AE1709" s="89" t="s">
        <v>92</v>
      </c>
      <c r="AF1709" s="89"/>
      <c r="AG1709" s="89" t="s">
        <v>133</v>
      </c>
      <c r="AH1709" s="72">
        <v>41648</v>
      </c>
      <c r="AI1709" s="30">
        <v>0</v>
      </c>
      <c r="AJ1709" s="89" t="s">
        <v>9535</v>
      </c>
      <c r="AK1709" s="89" t="s">
        <v>9536</v>
      </c>
      <c r="AL1709" s="91">
        <v>41649</v>
      </c>
      <c r="AM1709" s="91"/>
      <c r="AN1709" s="91"/>
      <c r="AO1709" s="91"/>
      <c r="AP1709" s="73" t="e">
        <f>MID(VLOOKUP(K1709,#REF!,2,FALSE),1,2)</f>
        <v>#REF!</v>
      </c>
      <c r="AQ1709" s="89">
        <f>DATE(2014,1,9)</f>
        <v>41648</v>
      </c>
      <c r="AR1709" s="82">
        <f t="shared" si="110"/>
        <v>9</v>
      </c>
      <c r="AS1709" s="83">
        <f t="shared" si="111"/>
        <v>1</v>
      </c>
      <c r="AT1709" s="84">
        <f t="shared" si="112"/>
        <v>2014</v>
      </c>
      <c r="AU1709" s="86"/>
      <c r="AV1709" s="86"/>
      <c r="AW1709" s="87"/>
      <c r="AX1709" s="86"/>
      <c r="AY1709" s="83"/>
      <c r="AZ1709" s="84"/>
      <c r="BA1709" s="86"/>
      <c r="BB1709" s="86"/>
    </row>
    <row r="1710" spans="1:54" ht="36.75" customHeight="1">
      <c r="A1710" s="30"/>
      <c r="B1710" s="30" t="s">
        <v>55</v>
      </c>
      <c r="C1710" s="69" t="str">
        <f t="shared" si="109"/>
        <v>Closed</v>
      </c>
      <c r="D1710" s="27" t="s">
        <v>9537</v>
      </c>
      <c r="E1710" s="29" t="s">
        <v>9538</v>
      </c>
      <c r="F1710" s="30" t="s">
        <v>423</v>
      </c>
      <c r="G1710" s="89">
        <f>DATE(2014,1,10)</f>
        <v>41649</v>
      </c>
      <c r="H1710" s="90">
        <v>1.7458333333333331</v>
      </c>
      <c r="I1710" s="30" t="s">
        <v>278</v>
      </c>
      <c r="J1710" s="89" t="s">
        <v>9539</v>
      </c>
      <c r="K1710" s="30" t="s">
        <v>425</v>
      </c>
      <c r="L1710" s="30" t="s">
        <v>9540</v>
      </c>
      <c r="M1710" s="30" t="s">
        <v>255</v>
      </c>
      <c r="N1710" s="30" t="s">
        <v>99</v>
      </c>
      <c r="O1710" s="30" t="s">
        <v>64</v>
      </c>
      <c r="P1710" s="89" t="s">
        <v>6552</v>
      </c>
      <c r="Q1710" s="89" t="s">
        <v>6553</v>
      </c>
      <c r="R1710" s="89" t="s">
        <v>6554</v>
      </c>
      <c r="S1710" s="30">
        <v>0</v>
      </c>
      <c r="T1710" s="233">
        <v>0</v>
      </c>
      <c r="U1710" s="30">
        <v>0</v>
      </c>
      <c r="V1710" s="233">
        <v>0</v>
      </c>
      <c r="W1710" s="30">
        <v>0</v>
      </c>
      <c r="X1710" s="30">
        <v>0</v>
      </c>
      <c r="Y1710" s="30">
        <v>1</v>
      </c>
      <c r="Z1710" s="233">
        <v>0</v>
      </c>
      <c r="AA1710" s="30">
        <v>0</v>
      </c>
      <c r="AB1710" s="30">
        <v>0</v>
      </c>
      <c r="AC1710" s="30">
        <v>0</v>
      </c>
      <c r="AD1710" s="30">
        <v>1</v>
      </c>
      <c r="AE1710" s="89" t="s">
        <v>92</v>
      </c>
      <c r="AF1710" s="89"/>
      <c r="AG1710" s="89" t="s">
        <v>367</v>
      </c>
      <c r="AH1710" s="72">
        <v>41702</v>
      </c>
      <c r="AI1710" s="30">
        <v>2</v>
      </c>
      <c r="AJ1710" s="89" t="s">
        <v>9541</v>
      </c>
      <c r="AK1710" s="89" t="s">
        <v>9542</v>
      </c>
      <c r="AL1710" s="91">
        <v>41704</v>
      </c>
      <c r="AM1710" s="91"/>
      <c r="AN1710" s="91"/>
      <c r="AO1710" s="91"/>
      <c r="AP1710" s="73" t="e">
        <f>MID(VLOOKUP(K1710,#REF!,2,FALSE),1,2)</f>
        <v>#REF!</v>
      </c>
      <c r="AQ1710" s="89">
        <f>DATE(2014,1,10)</f>
        <v>41649</v>
      </c>
      <c r="AR1710" s="82">
        <f t="shared" si="110"/>
        <v>10</v>
      </c>
      <c r="AS1710" s="83">
        <f t="shared" si="111"/>
        <v>1</v>
      </c>
      <c r="AT1710" s="84">
        <f t="shared" si="112"/>
        <v>2014</v>
      </c>
      <c r="AU1710" s="86"/>
      <c r="AV1710" s="86"/>
      <c r="AW1710" s="87"/>
      <c r="AX1710" s="86"/>
      <c r="AY1710" s="83"/>
      <c r="AZ1710" s="84"/>
      <c r="BA1710" s="86"/>
      <c r="BB1710" s="86"/>
    </row>
    <row r="1711" spans="1:54" ht="36.75" customHeight="1">
      <c r="A1711" s="30"/>
      <c r="B1711" s="30" t="s">
        <v>55</v>
      </c>
      <c r="C1711" s="69" t="str">
        <f t="shared" si="109"/>
        <v>Closed</v>
      </c>
      <c r="D1711" s="27" t="s">
        <v>9543</v>
      </c>
      <c r="E1711" s="29" t="s">
        <v>9544</v>
      </c>
      <c r="F1711" s="30" t="s">
        <v>377</v>
      </c>
      <c r="G1711" s="89">
        <f>DATE(2014,1,12)</f>
        <v>41651</v>
      </c>
      <c r="H1711" s="90">
        <v>1.9548611111111112</v>
      </c>
      <c r="I1711" s="30" t="s">
        <v>156</v>
      </c>
      <c r="J1711" s="89" t="s">
        <v>9545</v>
      </c>
      <c r="K1711" s="30" t="s">
        <v>379</v>
      </c>
      <c r="L1711" s="30" t="s">
        <v>9546</v>
      </c>
      <c r="M1711" s="30" t="s">
        <v>63</v>
      </c>
      <c r="N1711" s="30" t="s">
        <v>89</v>
      </c>
      <c r="O1711" s="30" t="s">
        <v>77</v>
      </c>
      <c r="P1711" s="89" t="s">
        <v>91</v>
      </c>
      <c r="Q1711" s="89" t="s">
        <v>2906</v>
      </c>
      <c r="R1711" s="89" t="s">
        <v>382</v>
      </c>
      <c r="S1711" s="30">
        <v>0</v>
      </c>
      <c r="T1711" s="233">
        <v>1</v>
      </c>
      <c r="U1711" s="30">
        <v>0</v>
      </c>
      <c r="V1711" s="233">
        <v>0</v>
      </c>
      <c r="W1711" s="30">
        <v>0</v>
      </c>
      <c r="X1711" s="30">
        <v>1</v>
      </c>
      <c r="Y1711" s="30">
        <v>0</v>
      </c>
      <c r="Z1711" s="233">
        <v>0</v>
      </c>
      <c r="AA1711" s="30">
        <v>0</v>
      </c>
      <c r="AB1711" s="30">
        <v>0</v>
      </c>
      <c r="AC1711" s="30">
        <v>0</v>
      </c>
      <c r="AD1711" s="30">
        <v>0</v>
      </c>
      <c r="AE1711" s="89" t="s">
        <v>92</v>
      </c>
      <c r="AF1711" s="89"/>
      <c r="AG1711" s="89" t="s">
        <v>82</v>
      </c>
      <c r="AH1711" s="72">
        <v>41652</v>
      </c>
      <c r="AI1711" s="30">
        <v>4</v>
      </c>
      <c r="AJ1711" s="89" t="s">
        <v>9547</v>
      </c>
      <c r="AK1711" s="89" t="s">
        <v>9548</v>
      </c>
      <c r="AL1711" s="91">
        <v>41653</v>
      </c>
      <c r="AM1711" s="91"/>
      <c r="AN1711" s="91"/>
      <c r="AO1711" s="91"/>
      <c r="AP1711" s="73" t="e">
        <f>MID(VLOOKUP(K1711,#REF!,2,FALSE),1,2)</f>
        <v>#REF!</v>
      </c>
      <c r="AQ1711" s="89">
        <f>DATE(2014,1,12)</f>
        <v>41651</v>
      </c>
      <c r="AR1711" s="82">
        <f t="shared" si="110"/>
        <v>12</v>
      </c>
      <c r="AS1711" s="83">
        <f t="shared" si="111"/>
        <v>1</v>
      </c>
      <c r="AT1711" s="84">
        <f t="shared" si="112"/>
        <v>2014</v>
      </c>
      <c r="AU1711" s="86"/>
      <c r="AV1711" s="86"/>
      <c r="AW1711" s="87"/>
      <c r="AX1711" s="86"/>
      <c r="AY1711" s="83"/>
      <c r="AZ1711" s="84"/>
      <c r="BA1711" s="86"/>
      <c r="BB1711" s="86"/>
    </row>
    <row r="1712" spans="1:54" ht="36.75" customHeight="1">
      <c r="A1712" s="30"/>
      <c r="B1712" s="30" t="s">
        <v>55</v>
      </c>
      <c r="C1712" s="69" t="str">
        <f t="shared" si="109"/>
        <v>Closed</v>
      </c>
      <c r="D1712" s="27" t="s">
        <v>9549</v>
      </c>
      <c r="E1712" s="29" t="s">
        <v>9550</v>
      </c>
      <c r="F1712" s="30" t="s">
        <v>72</v>
      </c>
      <c r="G1712" s="89">
        <f>DATE(2014,1,15)</f>
        <v>41654</v>
      </c>
      <c r="H1712" s="90">
        <v>1.6625000000000001</v>
      </c>
      <c r="I1712" s="30" t="s">
        <v>73</v>
      </c>
      <c r="J1712" s="89" t="s">
        <v>9551</v>
      </c>
      <c r="K1712" s="30" t="s">
        <v>75</v>
      </c>
      <c r="L1712" s="30" t="s">
        <v>9552</v>
      </c>
      <c r="M1712" s="30" t="s">
        <v>63</v>
      </c>
      <c r="N1712" s="30" t="s">
        <v>142</v>
      </c>
      <c r="O1712" s="30" t="s">
        <v>77</v>
      </c>
      <c r="P1712" s="89" t="s">
        <v>65</v>
      </c>
      <c r="Q1712" s="89" t="s">
        <v>7445</v>
      </c>
      <c r="R1712" s="89" t="s">
        <v>80</v>
      </c>
      <c r="S1712" s="30">
        <v>0</v>
      </c>
      <c r="T1712" s="233">
        <v>0</v>
      </c>
      <c r="U1712" s="30">
        <v>0</v>
      </c>
      <c r="V1712" s="233">
        <v>0</v>
      </c>
      <c r="W1712" s="30">
        <v>0</v>
      </c>
      <c r="X1712" s="30">
        <v>0</v>
      </c>
      <c r="Y1712" s="30">
        <v>0</v>
      </c>
      <c r="Z1712" s="233">
        <v>0</v>
      </c>
      <c r="AA1712" s="30">
        <v>0</v>
      </c>
      <c r="AB1712" s="30">
        <v>0</v>
      </c>
      <c r="AC1712" s="30">
        <v>0</v>
      </c>
      <c r="AD1712" s="30">
        <v>0</v>
      </c>
      <c r="AE1712" s="89" t="s">
        <v>394</v>
      </c>
      <c r="AF1712" s="89"/>
      <c r="AG1712" s="89" t="s">
        <v>133</v>
      </c>
      <c r="AH1712" s="72">
        <v>41660</v>
      </c>
      <c r="AI1712" s="30">
        <v>7</v>
      </c>
      <c r="AJ1712" s="89" t="s">
        <v>9553</v>
      </c>
      <c r="AK1712" s="89" t="s">
        <v>9554</v>
      </c>
      <c r="AL1712" s="91">
        <v>41680</v>
      </c>
      <c r="AM1712" s="91"/>
      <c r="AN1712" s="91"/>
      <c r="AO1712" s="91"/>
      <c r="AP1712" s="73" t="e">
        <f>MID(VLOOKUP(K1712,#REF!,2,FALSE),1,2)</f>
        <v>#REF!</v>
      </c>
      <c r="AQ1712" s="89">
        <f>DATE(2014,1,15)</f>
        <v>41654</v>
      </c>
      <c r="AR1712" s="82">
        <f t="shared" si="110"/>
        <v>15</v>
      </c>
      <c r="AS1712" s="83">
        <f t="shared" si="111"/>
        <v>1</v>
      </c>
      <c r="AT1712" s="84">
        <f t="shared" si="112"/>
        <v>2014</v>
      </c>
      <c r="AU1712" s="86"/>
      <c r="AV1712" s="86"/>
      <c r="AW1712" s="87"/>
      <c r="AX1712" s="86"/>
      <c r="AY1712" s="83"/>
      <c r="AZ1712" s="84"/>
      <c r="BA1712" s="86"/>
      <c r="BB1712" s="86"/>
    </row>
    <row r="1713" spans="1:55" ht="36.75" customHeight="1">
      <c r="A1713" s="30"/>
      <c r="B1713" s="30" t="s">
        <v>55</v>
      </c>
      <c r="C1713" s="69" t="str">
        <f t="shared" si="109"/>
        <v>Closed</v>
      </c>
      <c r="D1713" s="27" t="s">
        <v>9555</v>
      </c>
      <c r="E1713" s="29" t="s">
        <v>9556</v>
      </c>
      <c r="F1713" s="30" t="s">
        <v>233</v>
      </c>
      <c r="G1713" s="89">
        <f>DATE(2014,1,16)</f>
        <v>41655</v>
      </c>
      <c r="H1713" s="90">
        <v>1.0034722222222223</v>
      </c>
      <c r="I1713" s="30" t="s">
        <v>156</v>
      </c>
      <c r="J1713" s="89" t="s">
        <v>9557</v>
      </c>
      <c r="K1713" s="30" t="s">
        <v>235</v>
      </c>
      <c r="L1713" s="30" t="s">
        <v>9558</v>
      </c>
      <c r="M1713" s="30" t="s">
        <v>63</v>
      </c>
      <c r="N1713" s="30" t="s">
        <v>142</v>
      </c>
      <c r="O1713" s="30" t="s">
        <v>64</v>
      </c>
      <c r="P1713" s="89" t="s">
        <v>165</v>
      </c>
      <c r="Q1713" s="89" t="s">
        <v>2174</v>
      </c>
      <c r="R1713" s="89" t="s">
        <v>238</v>
      </c>
      <c r="S1713" s="30">
        <v>0</v>
      </c>
      <c r="T1713" s="233">
        <v>0</v>
      </c>
      <c r="U1713" s="30">
        <v>0</v>
      </c>
      <c r="V1713" s="233">
        <v>0</v>
      </c>
      <c r="W1713" s="30">
        <v>0</v>
      </c>
      <c r="X1713" s="30">
        <v>0</v>
      </c>
      <c r="Y1713" s="30">
        <v>0</v>
      </c>
      <c r="Z1713" s="233">
        <v>0</v>
      </c>
      <c r="AA1713" s="30">
        <v>0</v>
      </c>
      <c r="AB1713" s="30">
        <v>0</v>
      </c>
      <c r="AC1713" s="30">
        <v>0</v>
      </c>
      <c r="AD1713" s="30">
        <v>0</v>
      </c>
      <c r="AE1713" s="89" t="s">
        <v>92</v>
      </c>
      <c r="AF1713" s="89"/>
      <c r="AG1713" s="89" t="s">
        <v>133</v>
      </c>
      <c r="AH1713" s="72">
        <v>41666</v>
      </c>
      <c r="AI1713" s="30">
        <v>3</v>
      </c>
      <c r="AJ1713" s="89" t="s">
        <v>9559</v>
      </c>
      <c r="AK1713" s="89" t="s">
        <v>9560</v>
      </c>
      <c r="AL1713" s="91">
        <v>41688</v>
      </c>
      <c r="AM1713" s="91"/>
      <c r="AN1713" s="91"/>
      <c r="AO1713" s="91"/>
      <c r="AP1713" s="73" t="e">
        <f>MID(VLOOKUP(K1713,#REF!,2,FALSE),1,2)</f>
        <v>#REF!</v>
      </c>
      <c r="AQ1713" s="89">
        <f>DATE(2014,1,17)</f>
        <v>41656</v>
      </c>
      <c r="AR1713" s="82">
        <f t="shared" si="110"/>
        <v>17</v>
      </c>
      <c r="AS1713" s="83">
        <f t="shared" si="111"/>
        <v>1</v>
      </c>
      <c r="AT1713" s="84">
        <f t="shared" si="112"/>
        <v>2014</v>
      </c>
      <c r="AU1713" s="86"/>
      <c r="AV1713" s="86"/>
      <c r="AW1713" s="87"/>
      <c r="AX1713" s="86"/>
      <c r="AY1713" s="83"/>
      <c r="AZ1713" s="84"/>
      <c r="BA1713" s="86"/>
      <c r="BB1713" s="86"/>
    </row>
    <row r="1714" spans="1:55" ht="36.75" customHeight="1">
      <c r="A1714" s="30"/>
      <c r="B1714" s="30" t="s">
        <v>55</v>
      </c>
      <c r="C1714" s="69" t="str">
        <f t="shared" si="109"/>
        <v>Closed</v>
      </c>
      <c r="D1714" s="27" t="s">
        <v>9561</v>
      </c>
      <c r="E1714" s="29" t="s">
        <v>9562</v>
      </c>
      <c r="F1714" s="30" t="s">
        <v>377</v>
      </c>
      <c r="G1714" s="89">
        <f>DATE(2014,1,17)</f>
        <v>41656</v>
      </c>
      <c r="H1714" s="90">
        <v>1.5277777777777777</v>
      </c>
      <c r="I1714" s="30" t="s">
        <v>156</v>
      </c>
      <c r="J1714" s="89" t="s">
        <v>9563</v>
      </c>
      <c r="K1714" s="30" t="s">
        <v>379</v>
      </c>
      <c r="L1714" s="30" t="s">
        <v>9564</v>
      </c>
      <c r="M1714" s="30" t="s">
        <v>63</v>
      </c>
      <c r="N1714" s="30" t="s">
        <v>99</v>
      </c>
      <c r="O1714" s="30" t="s">
        <v>64</v>
      </c>
      <c r="P1714" s="89" t="s">
        <v>65</v>
      </c>
      <c r="Q1714" s="89" t="s">
        <v>2906</v>
      </c>
      <c r="R1714" s="89" t="s">
        <v>382</v>
      </c>
      <c r="S1714" s="30">
        <v>0</v>
      </c>
      <c r="T1714" s="233">
        <v>0</v>
      </c>
      <c r="U1714" s="30">
        <v>0</v>
      </c>
      <c r="V1714" s="233">
        <v>0</v>
      </c>
      <c r="W1714" s="30">
        <v>0</v>
      </c>
      <c r="X1714" s="30">
        <v>0</v>
      </c>
      <c r="Y1714" s="30">
        <v>0</v>
      </c>
      <c r="Z1714" s="233">
        <v>2</v>
      </c>
      <c r="AA1714" s="30">
        <v>0</v>
      </c>
      <c r="AB1714" s="30">
        <v>0</v>
      </c>
      <c r="AC1714" s="30">
        <v>0</v>
      </c>
      <c r="AD1714" s="30">
        <v>2</v>
      </c>
      <c r="AE1714" s="89" t="s">
        <v>394</v>
      </c>
      <c r="AF1714" s="89"/>
      <c r="AG1714" s="89" t="s">
        <v>133</v>
      </c>
      <c r="AH1714" s="72">
        <v>41656</v>
      </c>
      <c r="AI1714" s="30">
        <v>1</v>
      </c>
      <c r="AJ1714" s="89" t="s">
        <v>9565</v>
      </c>
      <c r="AK1714" s="89" t="s">
        <v>68</v>
      </c>
      <c r="AL1714" s="91">
        <v>41659</v>
      </c>
      <c r="AM1714" s="91"/>
      <c r="AN1714" s="91"/>
      <c r="AO1714" s="91"/>
      <c r="AP1714" s="73" t="e">
        <f>MID(VLOOKUP(K1714,#REF!,2,FALSE),1,2)</f>
        <v>#REF!</v>
      </c>
      <c r="AQ1714" s="89">
        <f>DATE(2014,1,17)</f>
        <v>41656</v>
      </c>
      <c r="AR1714" s="82">
        <f t="shared" si="110"/>
        <v>17</v>
      </c>
      <c r="AS1714" s="83">
        <f t="shared" si="111"/>
        <v>1</v>
      </c>
      <c r="AT1714" s="84">
        <f t="shared" si="112"/>
        <v>2014</v>
      </c>
      <c r="AU1714" s="86"/>
      <c r="AV1714" s="86"/>
      <c r="AW1714" s="87"/>
      <c r="AX1714" s="86"/>
      <c r="AY1714" s="83"/>
      <c r="AZ1714" s="84"/>
      <c r="BA1714" s="86"/>
      <c r="BB1714" s="86"/>
    </row>
    <row r="1715" spans="1:55" ht="36.75" customHeight="1">
      <c r="A1715" s="30"/>
      <c r="B1715" s="30" t="s">
        <v>55</v>
      </c>
      <c r="C1715" s="69" t="str">
        <f t="shared" si="109"/>
        <v>Closed</v>
      </c>
      <c r="D1715" s="27" t="s">
        <v>9566</v>
      </c>
      <c r="E1715" s="29" t="s">
        <v>9567</v>
      </c>
      <c r="F1715" s="30" t="s">
        <v>582</v>
      </c>
      <c r="G1715" s="89">
        <f>DATE(2014,1,19)</f>
        <v>41658</v>
      </c>
      <c r="H1715" s="90">
        <v>1.1201388888888888</v>
      </c>
      <c r="I1715" s="30" t="s">
        <v>73</v>
      </c>
      <c r="J1715" s="89" t="s">
        <v>9568</v>
      </c>
      <c r="K1715" s="30" t="s">
        <v>584</v>
      </c>
      <c r="L1715" s="30" t="s">
        <v>9569</v>
      </c>
      <c r="M1715" s="30" t="s">
        <v>63</v>
      </c>
      <c r="N1715" s="30" t="s">
        <v>142</v>
      </c>
      <c r="O1715" s="30" t="s">
        <v>77</v>
      </c>
      <c r="P1715" s="89" t="s">
        <v>78</v>
      </c>
      <c r="Q1715" s="89" t="s">
        <v>586</v>
      </c>
      <c r="R1715" s="89" t="s">
        <v>587</v>
      </c>
      <c r="S1715" s="30">
        <v>0</v>
      </c>
      <c r="T1715" s="233">
        <v>0</v>
      </c>
      <c r="U1715" s="30">
        <v>0</v>
      </c>
      <c r="V1715" s="233">
        <v>0</v>
      </c>
      <c r="W1715" s="30">
        <v>0</v>
      </c>
      <c r="X1715" s="30">
        <v>0</v>
      </c>
      <c r="Y1715" s="30">
        <v>0</v>
      </c>
      <c r="Z1715" s="233">
        <v>0</v>
      </c>
      <c r="AA1715" s="30">
        <v>0</v>
      </c>
      <c r="AB1715" s="30">
        <v>0</v>
      </c>
      <c r="AC1715" s="30">
        <v>0</v>
      </c>
      <c r="AD1715" s="30">
        <v>0</v>
      </c>
      <c r="AE1715" s="89" t="s">
        <v>394</v>
      </c>
      <c r="AF1715" s="89"/>
      <c r="AG1715" s="89" t="s">
        <v>82</v>
      </c>
      <c r="AH1715" s="72">
        <v>41659</v>
      </c>
      <c r="AI1715" s="30">
        <v>0</v>
      </c>
      <c r="AJ1715" s="89" t="s">
        <v>9570</v>
      </c>
      <c r="AK1715" s="89" t="s">
        <v>1233</v>
      </c>
      <c r="AL1715" s="91">
        <v>41660</v>
      </c>
      <c r="AM1715" s="91"/>
      <c r="AN1715" s="91"/>
      <c r="AO1715" s="91"/>
      <c r="AP1715" s="73" t="e">
        <f>MID(VLOOKUP(K1715,#REF!,2,FALSE),1,2)</f>
        <v>#REF!</v>
      </c>
      <c r="AQ1715" s="89">
        <f>DATE(2014,1,19)</f>
        <v>41658</v>
      </c>
      <c r="AR1715" s="82">
        <f t="shared" si="110"/>
        <v>19</v>
      </c>
      <c r="AS1715" s="83">
        <f t="shared" si="111"/>
        <v>1</v>
      </c>
      <c r="AT1715" s="84">
        <f t="shared" si="112"/>
        <v>2014</v>
      </c>
      <c r="AU1715" s="86"/>
      <c r="AV1715" s="86"/>
      <c r="AW1715" s="87"/>
      <c r="AX1715" s="86"/>
      <c r="AY1715" s="83"/>
      <c r="AZ1715" s="84"/>
      <c r="BA1715" s="86"/>
      <c r="BB1715" s="86"/>
    </row>
    <row r="1716" spans="1:55" ht="36.75" customHeight="1">
      <c r="A1716" s="30"/>
      <c r="B1716" s="30" t="s">
        <v>55</v>
      </c>
      <c r="C1716" s="69" t="str">
        <f t="shared" si="109"/>
        <v>Closed</v>
      </c>
      <c r="D1716" s="27" t="s">
        <v>9571</v>
      </c>
      <c r="E1716" s="29" t="s">
        <v>9572</v>
      </c>
      <c r="F1716" s="30" t="s">
        <v>233</v>
      </c>
      <c r="G1716" s="89">
        <f>DATE(2014,1,22)</f>
        <v>41661</v>
      </c>
      <c r="H1716" s="90">
        <v>1.4791666666666667</v>
      </c>
      <c r="I1716" s="30" t="s">
        <v>278</v>
      </c>
      <c r="J1716" s="89" t="s">
        <v>9573</v>
      </c>
      <c r="K1716" s="30" t="s">
        <v>235</v>
      </c>
      <c r="L1716" s="30" t="s">
        <v>9574</v>
      </c>
      <c r="M1716" s="30" t="s">
        <v>63</v>
      </c>
      <c r="N1716" s="30" t="s">
        <v>89</v>
      </c>
      <c r="O1716" s="30" t="s">
        <v>64</v>
      </c>
      <c r="P1716" s="89" t="s">
        <v>65</v>
      </c>
      <c r="Q1716" s="89" t="s">
        <v>5644</v>
      </c>
      <c r="R1716" s="89" t="s">
        <v>238</v>
      </c>
      <c r="S1716" s="30">
        <v>0</v>
      </c>
      <c r="T1716" s="233">
        <v>1</v>
      </c>
      <c r="U1716" s="30">
        <v>0</v>
      </c>
      <c r="V1716" s="233">
        <v>0</v>
      </c>
      <c r="W1716" s="30">
        <v>0</v>
      </c>
      <c r="X1716" s="30">
        <v>1</v>
      </c>
      <c r="Y1716" s="30">
        <v>0</v>
      </c>
      <c r="Z1716" s="233">
        <v>0</v>
      </c>
      <c r="AA1716" s="30">
        <v>0</v>
      </c>
      <c r="AB1716" s="30">
        <v>0</v>
      </c>
      <c r="AC1716" s="30">
        <v>0</v>
      </c>
      <c r="AD1716" s="30">
        <v>0</v>
      </c>
      <c r="AE1716" s="89" t="s">
        <v>92</v>
      </c>
      <c r="AF1716" s="89"/>
      <c r="AG1716" s="89" t="s">
        <v>82</v>
      </c>
      <c r="AH1716" s="72">
        <v>41666</v>
      </c>
      <c r="AI1716" s="30">
        <v>2</v>
      </c>
      <c r="AJ1716" s="89" t="s">
        <v>9575</v>
      </c>
      <c r="AK1716" s="89" t="s">
        <v>9576</v>
      </c>
      <c r="AL1716" s="91">
        <v>41680</v>
      </c>
      <c r="AM1716" s="91"/>
      <c r="AN1716" s="91"/>
      <c r="AO1716" s="91"/>
      <c r="AP1716" s="73" t="e">
        <f>MID(VLOOKUP(K1716,#REF!,2,FALSE),1,2)</f>
        <v>#REF!</v>
      </c>
      <c r="AQ1716" s="89">
        <f>DATE(2014,1,22)</f>
        <v>41661</v>
      </c>
      <c r="AR1716" s="82">
        <f t="shared" si="110"/>
        <v>22</v>
      </c>
      <c r="AS1716" s="83">
        <f t="shared" si="111"/>
        <v>1</v>
      </c>
      <c r="AT1716" s="84">
        <f t="shared" si="112"/>
        <v>2014</v>
      </c>
      <c r="AU1716" s="86"/>
      <c r="AV1716" s="86"/>
      <c r="AW1716" s="87"/>
      <c r="AX1716" s="86"/>
      <c r="AY1716" s="83"/>
      <c r="AZ1716" s="84"/>
      <c r="BA1716" s="86"/>
      <c r="BB1716" s="86"/>
    </row>
    <row r="1717" spans="1:55" ht="36.75" customHeight="1">
      <c r="A1717" s="30"/>
      <c r="B1717" s="30" t="s">
        <v>55</v>
      </c>
      <c r="C1717" s="69" t="str">
        <f t="shared" si="109"/>
        <v>Closed</v>
      </c>
      <c r="D1717" s="27" t="s">
        <v>9577</v>
      </c>
      <c r="E1717" s="29" t="s">
        <v>9578</v>
      </c>
      <c r="F1717" s="30" t="s">
        <v>638</v>
      </c>
      <c r="G1717" s="89">
        <f>DATE(2014,1,23)</f>
        <v>41662</v>
      </c>
      <c r="H1717" s="90">
        <v>1.4881944444444444</v>
      </c>
      <c r="I1717" s="30" t="s">
        <v>156</v>
      </c>
      <c r="J1717" s="89" t="s">
        <v>9579</v>
      </c>
      <c r="K1717" s="30" t="s">
        <v>640</v>
      </c>
      <c r="L1717" s="30" t="s">
        <v>9580</v>
      </c>
      <c r="M1717" s="30" t="s">
        <v>63</v>
      </c>
      <c r="N1717" s="30" t="s">
        <v>142</v>
      </c>
      <c r="O1717" s="30" t="s">
        <v>64</v>
      </c>
      <c r="P1717" s="89" t="s">
        <v>65</v>
      </c>
      <c r="Q1717" s="89" t="s">
        <v>642</v>
      </c>
      <c r="R1717" s="89" t="s">
        <v>643</v>
      </c>
      <c r="S1717" s="30">
        <v>0</v>
      </c>
      <c r="T1717" s="233">
        <v>0</v>
      </c>
      <c r="U1717" s="30">
        <v>0</v>
      </c>
      <c r="V1717" s="233">
        <v>0</v>
      </c>
      <c r="W1717" s="30">
        <v>0</v>
      </c>
      <c r="X1717" s="30">
        <v>0</v>
      </c>
      <c r="Y1717" s="30">
        <v>0</v>
      </c>
      <c r="Z1717" s="233">
        <v>0</v>
      </c>
      <c r="AA1717" s="30">
        <v>0</v>
      </c>
      <c r="AB1717" s="30">
        <v>0</v>
      </c>
      <c r="AC1717" s="30">
        <v>0</v>
      </c>
      <c r="AD1717" s="30">
        <v>0</v>
      </c>
      <c r="AE1717" s="89" t="s">
        <v>92</v>
      </c>
      <c r="AF1717" s="89"/>
      <c r="AG1717" s="89" t="s">
        <v>352</v>
      </c>
      <c r="AH1717" s="72">
        <v>41695</v>
      </c>
      <c r="AI1717" s="30">
        <v>1</v>
      </c>
      <c r="AJ1717" s="89" t="s">
        <v>9581</v>
      </c>
      <c r="AK1717" s="89" t="s">
        <v>68</v>
      </c>
      <c r="AL1717" s="91">
        <v>41701</v>
      </c>
      <c r="AM1717" s="91"/>
      <c r="AN1717" s="91"/>
      <c r="AO1717" s="91"/>
      <c r="AP1717" s="73" t="e">
        <f>MID(VLOOKUP(K1717,#REF!,2,FALSE),1,2)</f>
        <v>#REF!</v>
      </c>
      <c r="AQ1717" s="89">
        <f>DATE(2014,1,23)</f>
        <v>41662</v>
      </c>
      <c r="AR1717" s="82">
        <f t="shared" si="110"/>
        <v>23</v>
      </c>
      <c r="AS1717" s="83">
        <f t="shared" si="111"/>
        <v>1</v>
      </c>
      <c r="AT1717" s="84">
        <f t="shared" si="112"/>
        <v>2014</v>
      </c>
      <c r="AU1717" s="86"/>
      <c r="AV1717" s="86"/>
      <c r="AW1717" s="87"/>
      <c r="AX1717" s="86"/>
      <c r="AY1717" s="83"/>
      <c r="AZ1717" s="84"/>
      <c r="BA1717" s="86"/>
      <c r="BB1717" s="86"/>
    </row>
    <row r="1718" spans="1:55" ht="36.75" customHeight="1">
      <c r="A1718" s="30"/>
      <c r="B1718" s="30" t="s">
        <v>55</v>
      </c>
      <c r="C1718" s="69" t="str">
        <f t="shared" si="109"/>
        <v>Closed</v>
      </c>
      <c r="D1718" s="27" t="s">
        <v>9582</v>
      </c>
      <c r="E1718" s="29" t="s">
        <v>9583</v>
      </c>
      <c r="F1718" s="30" t="s">
        <v>124</v>
      </c>
      <c r="G1718" s="89">
        <f>DATE(2014,1,23)</f>
        <v>41662</v>
      </c>
      <c r="H1718" s="90">
        <v>0</v>
      </c>
      <c r="I1718" s="30" t="s">
        <v>73</v>
      </c>
      <c r="J1718" s="89" t="s">
        <v>9584</v>
      </c>
      <c r="K1718" s="30" t="s">
        <v>127</v>
      </c>
      <c r="L1718" s="30" t="s">
        <v>9585</v>
      </c>
      <c r="M1718" s="30" t="s">
        <v>255</v>
      </c>
      <c r="N1718" s="30" t="s">
        <v>99</v>
      </c>
      <c r="O1718" s="30" t="s">
        <v>77</v>
      </c>
      <c r="P1718" s="89" t="s">
        <v>6552</v>
      </c>
      <c r="Q1718" s="89">
        <v>0</v>
      </c>
      <c r="R1718" s="89" t="s">
        <v>131</v>
      </c>
      <c r="S1718" s="30">
        <v>0</v>
      </c>
      <c r="T1718" s="233">
        <v>0</v>
      </c>
      <c r="U1718" s="30">
        <v>0</v>
      </c>
      <c r="V1718" s="233">
        <v>0</v>
      </c>
      <c r="W1718" s="30">
        <v>0</v>
      </c>
      <c r="X1718" s="30">
        <v>0</v>
      </c>
      <c r="Y1718" s="30">
        <v>0</v>
      </c>
      <c r="Z1718" s="233">
        <v>0</v>
      </c>
      <c r="AA1718" s="30">
        <v>0</v>
      </c>
      <c r="AB1718" s="30">
        <v>0</v>
      </c>
      <c r="AC1718" s="30">
        <v>0</v>
      </c>
      <c r="AD1718" s="30">
        <v>0</v>
      </c>
      <c r="AE1718" s="89" t="s">
        <v>92</v>
      </c>
      <c r="AF1718" s="89"/>
      <c r="AG1718" s="89" t="s">
        <v>367</v>
      </c>
      <c r="AH1718" s="72">
        <v>41668</v>
      </c>
      <c r="AI1718" s="30">
        <v>1</v>
      </c>
      <c r="AJ1718" s="89" t="s">
        <v>9586</v>
      </c>
      <c r="AK1718" s="89" t="s">
        <v>68</v>
      </c>
      <c r="AL1718" s="91">
        <v>41669</v>
      </c>
      <c r="AM1718" s="91"/>
      <c r="AN1718" s="91"/>
      <c r="AO1718" s="91"/>
      <c r="AP1718" s="73" t="e">
        <f>MID(VLOOKUP(K1718,#REF!,2,FALSE),1,2)</f>
        <v>#REF!</v>
      </c>
      <c r="AQ1718" s="89">
        <f>DATE(2014,1,23)</f>
        <v>41662</v>
      </c>
      <c r="AR1718" s="82">
        <f t="shared" si="110"/>
        <v>23</v>
      </c>
      <c r="AS1718" s="83">
        <f t="shared" si="111"/>
        <v>1</v>
      </c>
      <c r="AT1718" s="84">
        <f t="shared" si="112"/>
        <v>2014</v>
      </c>
      <c r="AU1718" s="86"/>
      <c r="AV1718" s="86"/>
      <c r="AW1718" s="87"/>
      <c r="AX1718" s="86"/>
      <c r="AY1718" s="83"/>
      <c r="AZ1718" s="84"/>
      <c r="BA1718" s="86"/>
      <c r="BB1718" s="86"/>
    </row>
    <row r="1719" spans="1:55" ht="36.75" customHeight="1">
      <c r="A1719" s="30"/>
      <c r="B1719" s="30" t="s">
        <v>55</v>
      </c>
      <c r="C1719" s="69" t="str">
        <f t="shared" si="109"/>
        <v>Closed</v>
      </c>
      <c r="D1719" s="27" t="s">
        <v>9587</v>
      </c>
      <c r="E1719" s="29" t="s">
        <v>9588</v>
      </c>
      <c r="F1719" s="30" t="s">
        <v>6455</v>
      </c>
      <c r="G1719" s="89">
        <f>DATE(2014,1,26)</f>
        <v>41665</v>
      </c>
      <c r="H1719" s="90">
        <v>1.6006944444444444</v>
      </c>
      <c r="I1719" s="30" t="s">
        <v>73</v>
      </c>
      <c r="J1719" s="89" t="s">
        <v>9589</v>
      </c>
      <c r="K1719" s="30" t="s">
        <v>584</v>
      </c>
      <c r="L1719" s="30" t="s">
        <v>9590</v>
      </c>
      <c r="M1719" s="30" t="s">
        <v>63</v>
      </c>
      <c r="N1719" s="30" t="s">
        <v>142</v>
      </c>
      <c r="O1719" s="30" t="s">
        <v>64</v>
      </c>
      <c r="P1719" s="89" t="s">
        <v>78</v>
      </c>
      <c r="Q1719" s="89" t="s">
        <v>586</v>
      </c>
      <c r="R1719" s="89" t="s">
        <v>587</v>
      </c>
      <c r="S1719" s="30">
        <v>0</v>
      </c>
      <c r="T1719" s="233">
        <v>0</v>
      </c>
      <c r="U1719" s="30">
        <v>0</v>
      </c>
      <c r="V1719" s="233">
        <v>0</v>
      </c>
      <c r="W1719" s="30">
        <v>0</v>
      </c>
      <c r="X1719" s="30">
        <v>0</v>
      </c>
      <c r="Y1719" s="30">
        <v>0</v>
      </c>
      <c r="Z1719" s="233">
        <v>0</v>
      </c>
      <c r="AA1719" s="30">
        <v>0</v>
      </c>
      <c r="AB1719" s="30">
        <v>0</v>
      </c>
      <c r="AC1719" s="30">
        <v>0</v>
      </c>
      <c r="AD1719" s="30">
        <v>0</v>
      </c>
      <c r="AE1719" s="89" t="s">
        <v>145</v>
      </c>
      <c r="AF1719" s="89" t="s">
        <v>9591</v>
      </c>
      <c r="AG1719" s="89" t="s">
        <v>6459</v>
      </c>
      <c r="AH1719" s="72">
        <v>41668</v>
      </c>
      <c r="AI1719" s="30">
        <v>0</v>
      </c>
      <c r="AJ1719" s="89" t="s">
        <v>9592</v>
      </c>
      <c r="AK1719" s="89" t="s">
        <v>68</v>
      </c>
      <c r="AL1719" s="91">
        <v>41673</v>
      </c>
      <c r="AM1719" s="91"/>
      <c r="AN1719" s="91">
        <v>44861</v>
      </c>
      <c r="AO1719" s="91">
        <v>44846</v>
      </c>
      <c r="AP1719" s="91">
        <v>44863</v>
      </c>
      <c r="AQ1719" s="91">
        <v>44864</v>
      </c>
      <c r="AR1719" s="91">
        <v>44865</v>
      </c>
      <c r="AS1719" s="91">
        <v>44866</v>
      </c>
      <c r="AT1719" s="91">
        <v>44867</v>
      </c>
      <c r="AU1719" s="91">
        <v>44868</v>
      </c>
      <c r="AV1719" s="91">
        <v>44869</v>
      </c>
      <c r="AW1719" s="91">
        <v>44870</v>
      </c>
      <c r="AX1719" s="91">
        <v>44871</v>
      </c>
      <c r="AY1719" s="91">
        <v>44872</v>
      </c>
      <c r="AZ1719" s="91">
        <v>44873</v>
      </c>
      <c r="BA1719" s="91">
        <v>44874</v>
      </c>
      <c r="BB1719" s="91">
        <v>44875</v>
      </c>
      <c r="BC1719" s="91">
        <v>44876</v>
      </c>
    </row>
    <row r="1720" spans="1:55" ht="36.75" customHeight="1">
      <c r="A1720" s="30"/>
      <c r="B1720" s="30" t="s">
        <v>55</v>
      </c>
      <c r="C1720" s="69" t="str">
        <f t="shared" si="109"/>
        <v>Closed</v>
      </c>
      <c r="D1720" s="27" t="s">
        <v>9593</v>
      </c>
      <c r="E1720" s="29" t="s">
        <v>9594</v>
      </c>
      <c r="F1720" s="30" t="s">
        <v>1572</v>
      </c>
      <c r="G1720" s="89">
        <f>DATE(2014,1,27)</f>
        <v>41666</v>
      </c>
      <c r="H1720" s="90">
        <v>1.875</v>
      </c>
      <c r="I1720" s="30" t="s">
        <v>73</v>
      </c>
      <c r="J1720" s="89" t="s">
        <v>9595</v>
      </c>
      <c r="K1720" s="30" t="s">
        <v>1574</v>
      </c>
      <c r="L1720" s="30" t="s">
        <v>9596</v>
      </c>
      <c r="M1720" s="30" t="s">
        <v>63</v>
      </c>
      <c r="N1720" s="30" t="s">
        <v>89</v>
      </c>
      <c r="O1720" s="30" t="s">
        <v>77</v>
      </c>
      <c r="P1720" s="89" t="s">
        <v>6941</v>
      </c>
      <c r="Q1720" s="89" t="s">
        <v>5170</v>
      </c>
      <c r="R1720" s="89" t="s">
        <v>2561</v>
      </c>
      <c r="S1720" s="30">
        <v>0</v>
      </c>
      <c r="T1720" s="233">
        <v>0</v>
      </c>
      <c r="U1720" s="30">
        <v>0</v>
      </c>
      <c r="V1720" s="233">
        <v>0</v>
      </c>
      <c r="W1720" s="30">
        <v>0</v>
      </c>
      <c r="X1720" s="30">
        <v>0</v>
      </c>
      <c r="Y1720" s="30">
        <v>0</v>
      </c>
      <c r="Z1720" s="233">
        <v>0</v>
      </c>
      <c r="AA1720" s="30">
        <v>0</v>
      </c>
      <c r="AB1720" s="30">
        <v>0</v>
      </c>
      <c r="AC1720" s="30">
        <v>0</v>
      </c>
      <c r="AD1720" s="30">
        <v>0</v>
      </c>
      <c r="AE1720" s="89" t="s">
        <v>92</v>
      </c>
      <c r="AF1720" s="89"/>
      <c r="AG1720" s="89" t="s">
        <v>133</v>
      </c>
      <c r="AH1720" s="72">
        <v>41667</v>
      </c>
      <c r="AI1720" s="30">
        <v>0</v>
      </c>
      <c r="AJ1720" s="89" t="s">
        <v>9597</v>
      </c>
      <c r="AK1720" s="89" t="s">
        <v>9598</v>
      </c>
      <c r="AL1720" s="91">
        <v>41671</v>
      </c>
      <c r="AM1720" s="91"/>
      <c r="AN1720" s="91"/>
      <c r="AO1720" s="91"/>
      <c r="AP1720" s="73" t="e">
        <f>MID(VLOOKUP(K1720,#REF!,2,FALSE),1,2)</f>
        <v>#REF!</v>
      </c>
      <c r="AQ1720" s="89">
        <f>DATE(2014,1,27)</f>
        <v>41666</v>
      </c>
      <c r="AR1720" s="82">
        <f t="shared" ref="AR1720:AR1783" si="114">DAY(AQ1720)</f>
        <v>27</v>
      </c>
      <c r="AS1720" s="83">
        <f t="shared" ref="AS1720:AS1783" si="115">MONTH(AQ1720)</f>
        <v>1</v>
      </c>
      <c r="AT1720" s="84">
        <f t="shared" ref="AT1720:AT1783" si="116">YEAR(AQ1720)</f>
        <v>2014</v>
      </c>
      <c r="AU1720" s="86"/>
      <c r="AV1720" s="86"/>
      <c r="AW1720" s="87"/>
      <c r="AX1720" s="86"/>
      <c r="AY1720" s="83"/>
      <c r="AZ1720" s="84"/>
      <c r="BA1720" s="86"/>
      <c r="BB1720" s="86"/>
    </row>
    <row r="1721" spans="1:55" ht="36.75" customHeight="1">
      <c r="A1721" s="30"/>
      <c r="B1721" s="30" t="s">
        <v>55</v>
      </c>
      <c r="C1721" s="69" t="str">
        <f t="shared" si="109"/>
        <v>Closed</v>
      </c>
      <c r="D1721" s="27" t="s">
        <v>9599</v>
      </c>
      <c r="E1721" s="29" t="s">
        <v>9600</v>
      </c>
      <c r="F1721" s="30" t="s">
        <v>2601</v>
      </c>
      <c r="G1721" s="89">
        <f>DATE(2014,2,1)</f>
        <v>41671</v>
      </c>
      <c r="H1721" s="90">
        <v>1.0611111111111111</v>
      </c>
      <c r="I1721" s="30" t="s">
        <v>125</v>
      </c>
      <c r="J1721" s="89" t="s">
        <v>9601</v>
      </c>
      <c r="K1721" s="30" t="s">
        <v>2603</v>
      </c>
      <c r="L1721" s="30" t="s">
        <v>9602</v>
      </c>
      <c r="M1721" s="30" t="s">
        <v>63</v>
      </c>
      <c r="N1721" s="30" t="s">
        <v>89</v>
      </c>
      <c r="O1721" s="30" t="s">
        <v>86</v>
      </c>
      <c r="P1721" s="89" t="s">
        <v>381</v>
      </c>
      <c r="Q1721" s="89" t="s">
        <v>6342</v>
      </c>
      <c r="R1721" s="89">
        <v>0</v>
      </c>
      <c r="S1721" s="30">
        <v>0</v>
      </c>
      <c r="T1721" s="233">
        <v>0</v>
      </c>
      <c r="U1721" s="30">
        <v>0</v>
      </c>
      <c r="V1721" s="233">
        <v>0</v>
      </c>
      <c r="W1721" s="30">
        <v>0</v>
      </c>
      <c r="X1721" s="30">
        <v>0</v>
      </c>
      <c r="Y1721" s="30">
        <v>0</v>
      </c>
      <c r="Z1721" s="233">
        <v>0</v>
      </c>
      <c r="AA1721" s="30">
        <v>0</v>
      </c>
      <c r="AB1721" s="30">
        <v>0</v>
      </c>
      <c r="AC1721" s="30">
        <v>0</v>
      </c>
      <c r="AD1721" s="30">
        <v>0</v>
      </c>
      <c r="AE1721" s="89" t="s">
        <v>92</v>
      </c>
      <c r="AF1721" s="89"/>
      <c r="AG1721" s="89" t="s">
        <v>133</v>
      </c>
      <c r="AH1721" s="72">
        <v>41672</v>
      </c>
      <c r="AI1721" s="30">
        <v>4</v>
      </c>
      <c r="AJ1721" s="89" t="s">
        <v>9603</v>
      </c>
      <c r="AK1721" s="89" t="s">
        <v>9604</v>
      </c>
      <c r="AL1721" s="91">
        <v>41696</v>
      </c>
      <c r="AM1721" s="91"/>
      <c r="AN1721" s="91"/>
      <c r="AO1721" s="91"/>
      <c r="AP1721" s="73" t="e">
        <f>MID(VLOOKUP(K1721,#REF!,2,FALSE),1,2)</f>
        <v>#REF!</v>
      </c>
      <c r="AQ1721" s="89">
        <f>DATE(2014,2,1)</f>
        <v>41671</v>
      </c>
      <c r="AR1721" s="82">
        <f t="shared" si="114"/>
        <v>1</v>
      </c>
      <c r="AS1721" s="83">
        <f t="shared" si="115"/>
        <v>2</v>
      </c>
      <c r="AT1721" s="84">
        <f t="shared" si="116"/>
        <v>2014</v>
      </c>
      <c r="AU1721" s="86"/>
      <c r="AV1721" s="86"/>
      <c r="AW1721" s="87"/>
      <c r="AX1721" s="86"/>
      <c r="AY1721" s="83"/>
      <c r="AZ1721" s="84"/>
      <c r="BA1721" s="86"/>
      <c r="BB1721" s="86"/>
    </row>
    <row r="1722" spans="1:55" ht="36.75" customHeight="1">
      <c r="A1722" s="30"/>
      <c r="B1722" s="30" t="s">
        <v>55</v>
      </c>
      <c r="C1722" s="69" t="str">
        <f t="shared" si="109"/>
        <v>Closed</v>
      </c>
      <c r="D1722" s="27" t="s">
        <v>9605</v>
      </c>
      <c r="E1722" s="29" t="s">
        <v>9606</v>
      </c>
      <c r="F1722" s="30" t="s">
        <v>1572</v>
      </c>
      <c r="G1722" s="89">
        <f>DATE(2014,2,1)</f>
        <v>41671</v>
      </c>
      <c r="H1722" s="90">
        <v>1.2118055555555556</v>
      </c>
      <c r="I1722" s="30" t="s">
        <v>73</v>
      </c>
      <c r="J1722" s="89" t="s">
        <v>9607</v>
      </c>
      <c r="K1722" s="30" t="s">
        <v>1574</v>
      </c>
      <c r="L1722" s="30" t="s">
        <v>9608</v>
      </c>
      <c r="M1722" s="30" t="s">
        <v>63</v>
      </c>
      <c r="N1722" s="30" t="s">
        <v>142</v>
      </c>
      <c r="O1722" s="30" t="s">
        <v>77</v>
      </c>
      <c r="P1722" s="89" t="s">
        <v>78</v>
      </c>
      <c r="Q1722" s="89" t="s">
        <v>9461</v>
      </c>
      <c r="R1722" s="89" t="s">
        <v>6434</v>
      </c>
      <c r="S1722" s="30">
        <v>0</v>
      </c>
      <c r="T1722" s="233">
        <v>0</v>
      </c>
      <c r="U1722" s="30">
        <v>0</v>
      </c>
      <c r="V1722" s="233">
        <v>0</v>
      </c>
      <c r="W1722" s="30">
        <v>0</v>
      </c>
      <c r="X1722" s="30">
        <v>0</v>
      </c>
      <c r="Y1722" s="30">
        <v>0</v>
      </c>
      <c r="Z1722" s="233">
        <v>0</v>
      </c>
      <c r="AA1722" s="30">
        <v>0</v>
      </c>
      <c r="AB1722" s="30">
        <v>0</v>
      </c>
      <c r="AC1722" s="30">
        <v>0</v>
      </c>
      <c r="AD1722" s="30">
        <v>0</v>
      </c>
      <c r="AE1722" s="89" t="s">
        <v>92</v>
      </c>
      <c r="AF1722" s="89"/>
      <c r="AG1722" s="89" t="s">
        <v>133</v>
      </c>
      <c r="AH1722" s="72">
        <v>41673</v>
      </c>
      <c r="AI1722" s="30">
        <v>0</v>
      </c>
      <c r="AJ1722" s="89" t="s">
        <v>9609</v>
      </c>
      <c r="AK1722" s="89" t="s">
        <v>9610</v>
      </c>
      <c r="AL1722" s="91">
        <v>41674</v>
      </c>
      <c r="AM1722" s="91"/>
      <c r="AN1722" s="91"/>
      <c r="AO1722" s="91"/>
      <c r="AP1722" s="73" t="e">
        <f>MID(VLOOKUP(K1722,#REF!,2,FALSE),1,2)</f>
        <v>#REF!</v>
      </c>
      <c r="AQ1722" s="89">
        <f>DATE(2014,2,1)</f>
        <v>41671</v>
      </c>
      <c r="AR1722" s="82">
        <f t="shared" si="114"/>
        <v>1</v>
      </c>
      <c r="AS1722" s="83">
        <f t="shared" si="115"/>
        <v>2</v>
      </c>
      <c r="AT1722" s="84">
        <f t="shared" si="116"/>
        <v>2014</v>
      </c>
      <c r="AU1722" s="86"/>
      <c r="AV1722" s="86"/>
      <c r="AW1722" s="87"/>
      <c r="AX1722" s="86"/>
      <c r="AY1722" s="83"/>
      <c r="AZ1722" s="84"/>
      <c r="BA1722" s="86"/>
      <c r="BB1722" s="86"/>
    </row>
    <row r="1723" spans="1:55" ht="36.75" customHeight="1">
      <c r="A1723" s="30"/>
      <c r="B1723" s="30" t="s">
        <v>55</v>
      </c>
      <c r="C1723" s="69" t="str">
        <f t="shared" si="109"/>
        <v>Closed</v>
      </c>
      <c r="D1723" s="27" t="s">
        <v>9611</v>
      </c>
      <c r="E1723" s="29" t="s">
        <v>9612</v>
      </c>
      <c r="F1723" s="30" t="s">
        <v>1572</v>
      </c>
      <c r="G1723" s="89">
        <f>DATE(2014,2,3)</f>
        <v>41673</v>
      </c>
      <c r="H1723" s="90">
        <v>1.7326388888888888</v>
      </c>
      <c r="I1723" s="30" t="s">
        <v>73</v>
      </c>
      <c r="J1723" s="89" t="s">
        <v>9613</v>
      </c>
      <c r="K1723" s="30" t="s">
        <v>1574</v>
      </c>
      <c r="L1723" s="30" t="s">
        <v>7937</v>
      </c>
      <c r="M1723" s="30" t="s">
        <v>63</v>
      </c>
      <c r="N1723" s="30" t="s">
        <v>142</v>
      </c>
      <c r="O1723" s="30" t="s">
        <v>77</v>
      </c>
      <c r="P1723" s="89" t="s">
        <v>78</v>
      </c>
      <c r="Q1723" s="89" t="s">
        <v>4920</v>
      </c>
      <c r="R1723" s="89" t="s">
        <v>6434</v>
      </c>
      <c r="S1723" s="30">
        <v>0</v>
      </c>
      <c r="T1723" s="233">
        <v>0</v>
      </c>
      <c r="U1723" s="30">
        <v>0</v>
      </c>
      <c r="V1723" s="233">
        <v>0</v>
      </c>
      <c r="W1723" s="30">
        <v>0</v>
      </c>
      <c r="X1723" s="30">
        <v>0</v>
      </c>
      <c r="Y1723" s="30">
        <v>0</v>
      </c>
      <c r="Z1723" s="233">
        <v>0</v>
      </c>
      <c r="AA1723" s="30">
        <v>0</v>
      </c>
      <c r="AB1723" s="30">
        <v>0</v>
      </c>
      <c r="AC1723" s="30">
        <v>0</v>
      </c>
      <c r="AD1723" s="30">
        <v>0</v>
      </c>
      <c r="AE1723" s="89" t="s">
        <v>92</v>
      </c>
      <c r="AF1723" s="89"/>
      <c r="AG1723" s="89" t="s">
        <v>133</v>
      </c>
      <c r="AH1723" s="72">
        <v>41674</v>
      </c>
      <c r="AI1723" s="30">
        <v>0</v>
      </c>
      <c r="AJ1723" s="89" t="s">
        <v>9614</v>
      </c>
      <c r="AK1723" s="89" t="s">
        <v>1233</v>
      </c>
      <c r="AL1723" s="91">
        <v>41680</v>
      </c>
      <c r="AM1723" s="91"/>
      <c r="AN1723" s="91"/>
      <c r="AO1723" s="91"/>
      <c r="AP1723" s="73" t="e">
        <f>MID(VLOOKUP(K1723,#REF!,2,FALSE),1,2)</f>
        <v>#REF!</v>
      </c>
      <c r="AQ1723" s="89">
        <f>DATE(2014,2,3)</f>
        <v>41673</v>
      </c>
      <c r="AR1723" s="82">
        <f t="shared" si="114"/>
        <v>3</v>
      </c>
      <c r="AS1723" s="83">
        <f t="shared" si="115"/>
        <v>2</v>
      </c>
      <c r="AT1723" s="84">
        <f t="shared" si="116"/>
        <v>2014</v>
      </c>
      <c r="AU1723" s="86"/>
      <c r="AV1723" s="86"/>
      <c r="AW1723" s="87"/>
      <c r="AX1723" s="86"/>
      <c r="AY1723" s="83"/>
      <c r="AZ1723" s="84"/>
      <c r="BA1723" s="86"/>
      <c r="BB1723" s="86"/>
    </row>
    <row r="1724" spans="1:55" ht="36.75" customHeight="1">
      <c r="A1724" s="30"/>
      <c r="B1724" s="30" t="s">
        <v>55</v>
      </c>
      <c r="C1724" s="69" t="str">
        <f t="shared" si="109"/>
        <v>Closed</v>
      </c>
      <c r="D1724" s="27" t="s">
        <v>9615</v>
      </c>
      <c r="E1724" s="29" t="s">
        <v>9616</v>
      </c>
      <c r="F1724" s="30" t="s">
        <v>233</v>
      </c>
      <c r="G1724" s="89">
        <f>DATE(2014,2,3)</f>
        <v>41673</v>
      </c>
      <c r="H1724" s="90">
        <v>1.7909722222222224</v>
      </c>
      <c r="I1724" s="30" t="s">
        <v>278</v>
      </c>
      <c r="J1724" s="89" t="s">
        <v>9617</v>
      </c>
      <c r="K1724" s="30" t="s">
        <v>235</v>
      </c>
      <c r="L1724" s="30" t="s">
        <v>9618</v>
      </c>
      <c r="M1724" s="30" t="s">
        <v>129</v>
      </c>
      <c r="N1724" s="30" t="s">
        <v>99</v>
      </c>
      <c r="O1724" s="30" t="s">
        <v>77</v>
      </c>
      <c r="P1724" s="89" t="s">
        <v>129</v>
      </c>
      <c r="Q1724" s="89" t="s">
        <v>683</v>
      </c>
      <c r="R1724" s="89" t="s">
        <v>683</v>
      </c>
      <c r="S1724" s="30">
        <v>0</v>
      </c>
      <c r="T1724" s="233">
        <v>0</v>
      </c>
      <c r="U1724" s="30">
        <v>0</v>
      </c>
      <c r="V1724" s="233">
        <v>0</v>
      </c>
      <c r="W1724" s="30">
        <v>0</v>
      </c>
      <c r="X1724" s="30">
        <v>0</v>
      </c>
      <c r="Y1724" s="30">
        <v>0</v>
      </c>
      <c r="Z1724" s="233">
        <v>0</v>
      </c>
      <c r="AA1724" s="30">
        <v>0</v>
      </c>
      <c r="AB1724" s="30">
        <v>0</v>
      </c>
      <c r="AC1724" s="30">
        <v>0</v>
      </c>
      <c r="AD1724" s="30">
        <v>0</v>
      </c>
      <c r="AE1724" s="89" t="s">
        <v>92</v>
      </c>
      <c r="AF1724" s="89"/>
      <c r="AG1724" s="89" t="s">
        <v>352</v>
      </c>
      <c r="AH1724" s="72">
        <v>41694</v>
      </c>
      <c r="AI1724" s="30">
        <v>1</v>
      </c>
      <c r="AJ1724" s="89" t="s">
        <v>9619</v>
      </c>
      <c r="AK1724" s="89" t="s">
        <v>9620</v>
      </c>
      <c r="AL1724" s="91">
        <v>41708</v>
      </c>
      <c r="AM1724" s="91"/>
      <c r="AN1724" s="91"/>
      <c r="AO1724" s="91"/>
      <c r="AP1724" s="73" t="e">
        <f>MID(VLOOKUP(K1724,#REF!,2,FALSE),1,2)</f>
        <v>#REF!</v>
      </c>
      <c r="AQ1724" s="89">
        <f>DATE(2014,2,3)</f>
        <v>41673</v>
      </c>
      <c r="AR1724" s="82">
        <f t="shared" si="114"/>
        <v>3</v>
      </c>
      <c r="AS1724" s="83">
        <f t="shared" si="115"/>
        <v>2</v>
      </c>
      <c r="AT1724" s="84">
        <f t="shared" si="116"/>
        <v>2014</v>
      </c>
      <c r="AU1724" s="86"/>
      <c r="AV1724" s="86"/>
      <c r="AW1724" s="87"/>
      <c r="AX1724" s="86"/>
      <c r="AY1724" s="83"/>
      <c r="AZ1724" s="84"/>
      <c r="BA1724" s="86"/>
      <c r="BB1724" s="86"/>
    </row>
    <row r="1725" spans="1:55" ht="36.75" customHeight="1">
      <c r="A1725" s="30"/>
      <c r="B1725" s="30" t="s">
        <v>55</v>
      </c>
      <c r="C1725" s="69" t="str">
        <f t="shared" si="109"/>
        <v>Closed</v>
      </c>
      <c r="D1725" s="27" t="s">
        <v>9621</v>
      </c>
      <c r="E1725" s="29" t="s">
        <v>9622</v>
      </c>
      <c r="F1725" s="30" t="s">
        <v>423</v>
      </c>
      <c r="G1725" s="89">
        <f>DATE(2014,2,4)</f>
        <v>41674</v>
      </c>
      <c r="H1725" s="90">
        <v>1.6111111111111112</v>
      </c>
      <c r="I1725" s="30" t="s">
        <v>104</v>
      </c>
      <c r="J1725" s="89" t="s">
        <v>9623</v>
      </c>
      <c r="K1725" s="30" t="s">
        <v>425</v>
      </c>
      <c r="L1725" s="30" t="s">
        <v>9624</v>
      </c>
      <c r="M1725" s="30" t="s">
        <v>63</v>
      </c>
      <c r="N1725" s="30" t="s">
        <v>89</v>
      </c>
      <c r="O1725" s="30" t="s">
        <v>77</v>
      </c>
      <c r="P1725" s="89" t="s">
        <v>165</v>
      </c>
      <c r="Q1725" s="89" t="s">
        <v>427</v>
      </c>
      <c r="R1725" s="89" t="s">
        <v>3103</v>
      </c>
      <c r="S1725" s="30">
        <v>0</v>
      </c>
      <c r="T1725" s="233">
        <v>0</v>
      </c>
      <c r="U1725" s="30">
        <v>0</v>
      </c>
      <c r="V1725" s="233">
        <v>0</v>
      </c>
      <c r="W1725" s="30">
        <v>0</v>
      </c>
      <c r="X1725" s="30">
        <v>0</v>
      </c>
      <c r="Y1725" s="30">
        <v>0</v>
      </c>
      <c r="Z1725" s="233">
        <v>0</v>
      </c>
      <c r="AA1725" s="30">
        <v>0</v>
      </c>
      <c r="AB1725" s="30">
        <v>0</v>
      </c>
      <c r="AC1725" s="30">
        <v>0</v>
      </c>
      <c r="AD1725" s="30">
        <v>0</v>
      </c>
      <c r="AE1725" s="89" t="s">
        <v>92</v>
      </c>
      <c r="AF1725" s="89"/>
      <c r="AG1725" s="89" t="s">
        <v>133</v>
      </c>
      <c r="AH1725" s="72">
        <v>41690</v>
      </c>
      <c r="AI1725" s="30">
        <v>0</v>
      </c>
      <c r="AJ1725" s="89" t="s">
        <v>9625</v>
      </c>
      <c r="AK1725" s="89" t="s">
        <v>9626</v>
      </c>
      <c r="AL1725" s="91">
        <v>41695</v>
      </c>
      <c r="AM1725" s="91"/>
      <c r="AN1725" s="91"/>
      <c r="AO1725" s="91"/>
      <c r="AP1725" s="73" t="e">
        <f>MID(VLOOKUP(K1725,#REF!,2,FALSE),1,2)</f>
        <v>#REF!</v>
      </c>
      <c r="AQ1725" s="89">
        <f>DATE(2014,2,4)</f>
        <v>41674</v>
      </c>
      <c r="AR1725" s="82">
        <f t="shared" si="114"/>
        <v>4</v>
      </c>
      <c r="AS1725" s="83">
        <f t="shared" si="115"/>
        <v>2</v>
      </c>
      <c r="AT1725" s="84">
        <f t="shared" si="116"/>
        <v>2014</v>
      </c>
      <c r="AU1725" s="86"/>
      <c r="AV1725" s="86"/>
      <c r="AW1725" s="87"/>
      <c r="AX1725" s="86"/>
      <c r="AY1725" s="83"/>
      <c r="AZ1725" s="84"/>
      <c r="BA1725" s="86"/>
      <c r="BB1725" s="86"/>
    </row>
    <row r="1726" spans="1:55" ht="36.75" customHeight="1">
      <c r="A1726" s="30"/>
      <c r="B1726" s="30" t="s">
        <v>55</v>
      </c>
      <c r="C1726" s="69" t="str">
        <f t="shared" si="109"/>
        <v>Closed</v>
      </c>
      <c r="D1726" s="27" t="s">
        <v>9627</v>
      </c>
      <c r="E1726" s="29" t="s">
        <v>9628</v>
      </c>
      <c r="F1726" s="30" t="s">
        <v>423</v>
      </c>
      <c r="G1726" s="89">
        <f>DATE(2014,2,4)</f>
        <v>41674</v>
      </c>
      <c r="H1726" s="90">
        <v>1.2701388888888889</v>
      </c>
      <c r="I1726" s="30" t="s">
        <v>156</v>
      </c>
      <c r="J1726" s="89" t="s">
        <v>9629</v>
      </c>
      <c r="K1726" s="30" t="s">
        <v>425</v>
      </c>
      <c r="L1726" s="30" t="s">
        <v>9630</v>
      </c>
      <c r="M1726" s="30" t="s">
        <v>63</v>
      </c>
      <c r="N1726" s="30" t="s">
        <v>99</v>
      </c>
      <c r="O1726" s="30" t="s">
        <v>64</v>
      </c>
      <c r="P1726" s="89" t="s">
        <v>165</v>
      </c>
      <c r="Q1726" s="89" t="s">
        <v>427</v>
      </c>
      <c r="R1726" s="89" t="s">
        <v>3103</v>
      </c>
      <c r="S1726" s="30">
        <v>0</v>
      </c>
      <c r="T1726" s="233">
        <v>0</v>
      </c>
      <c r="U1726" s="30">
        <v>0</v>
      </c>
      <c r="V1726" s="233">
        <v>0</v>
      </c>
      <c r="W1726" s="30">
        <v>0</v>
      </c>
      <c r="X1726" s="30">
        <v>0</v>
      </c>
      <c r="Y1726" s="30">
        <v>0</v>
      </c>
      <c r="Z1726" s="233">
        <v>0</v>
      </c>
      <c r="AA1726" s="30">
        <v>0</v>
      </c>
      <c r="AB1726" s="30">
        <v>0</v>
      </c>
      <c r="AC1726" s="30">
        <v>0</v>
      </c>
      <c r="AD1726" s="30">
        <v>0</v>
      </c>
      <c r="AE1726" s="89" t="s">
        <v>92</v>
      </c>
      <c r="AF1726" s="89"/>
      <c r="AG1726" s="89" t="s">
        <v>133</v>
      </c>
      <c r="AH1726" s="72">
        <v>41691</v>
      </c>
      <c r="AI1726" s="30">
        <v>1</v>
      </c>
      <c r="AJ1726" s="89" t="s">
        <v>9631</v>
      </c>
      <c r="AK1726" s="89" t="s">
        <v>9632</v>
      </c>
      <c r="AL1726" s="91">
        <v>41695</v>
      </c>
      <c r="AM1726" s="91"/>
      <c r="AN1726" s="91"/>
      <c r="AO1726" s="91"/>
      <c r="AP1726" s="73" t="e">
        <f>MID(VLOOKUP(K1726,#REF!,2,FALSE),1,2)</f>
        <v>#REF!</v>
      </c>
      <c r="AQ1726" s="89">
        <f>DATE(2014,2,4)</f>
        <v>41674</v>
      </c>
      <c r="AR1726" s="82">
        <f t="shared" si="114"/>
        <v>4</v>
      </c>
      <c r="AS1726" s="83">
        <f t="shared" si="115"/>
        <v>2</v>
      </c>
      <c r="AT1726" s="84">
        <f t="shared" si="116"/>
        <v>2014</v>
      </c>
      <c r="AU1726" s="86"/>
      <c r="AV1726" s="86"/>
      <c r="AW1726" s="87"/>
      <c r="AX1726" s="86"/>
      <c r="AY1726" s="83"/>
      <c r="AZ1726" s="84"/>
      <c r="BA1726" s="86"/>
      <c r="BB1726" s="86"/>
    </row>
    <row r="1727" spans="1:55" ht="36.75" customHeight="1">
      <c r="A1727" s="30"/>
      <c r="B1727" s="30" t="s">
        <v>55</v>
      </c>
      <c r="C1727" s="69" t="str">
        <f t="shared" si="109"/>
        <v>Closed</v>
      </c>
      <c r="D1727" s="27" t="s">
        <v>9633</v>
      </c>
      <c r="E1727" s="29" t="s">
        <v>9634</v>
      </c>
      <c r="F1727" s="30" t="s">
        <v>124</v>
      </c>
      <c r="G1727" s="89">
        <f>DATE(2014,2,9)</f>
        <v>41679</v>
      </c>
      <c r="H1727" s="90">
        <v>1.7173611111111109</v>
      </c>
      <c r="I1727" s="30" t="s">
        <v>116</v>
      </c>
      <c r="J1727" s="89" t="s">
        <v>9635</v>
      </c>
      <c r="K1727" s="30" t="s">
        <v>127</v>
      </c>
      <c r="L1727" s="30" t="s">
        <v>9636</v>
      </c>
      <c r="M1727" s="30" t="s">
        <v>129</v>
      </c>
      <c r="N1727" s="30" t="s">
        <v>142</v>
      </c>
      <c r="O1727" s="30" t="s">
        <v>64</v>
      </c>
      <c r="P1727" s="89" t="s">
        <v>129</v>
      </c>
      <c r="Q1727" s="89">
        <v>0</v>
      </c>
      <c r="R1727" s="89" t="s">
        <v>131</v>
      </c>
      <c r="S1727" s="30">
        <v>0</v>
      </c>
      <c r="T1727" s="233">
        <v>0</v>
      </c>
      <c r="U1727" s="30">
        <v>1</v>
      </c>
      <c r="V1727" s="233">
        <v>0</v>
      </c>
      <c r="W1727" s="30">
        <v>0</v>
      </c>
      <c r="X1727" s="30">
        <v>1</v>
      </c>
      <c r="Y1727" s="30">
        <v>0</v>
      </c>
      <c r="Z1727" s="233">
        <v>0</v>
      </c>
      <c r="AA1727" s="30">
        <v>0</v>
      </c>
      <c r="AB1727" s="30">
        <v>0</v>
      </c>
      <c r="AC1727" s="30">
        <v>0</v>
      </c>
      <c r="AD1727" s="30">
        <v>0</v>
      </c>
      <c r="AE1727" s="89" t="s">
        <v>92</v>
      </c>
      <c r="AF1727" s="89"/>
      <c r="AG1727" s="89" t="s">
        <v>367</v>
      </c>
      <c r="AH1727" s="72">
        <v>41717</v>
      </c>
      <c r="AI1727" s="30">
        <v>1</v>
      </c>
      <c r="AJ1727" s="89" t="s">
        <v>9637</v>
      </c>
      <c r="AK1727" s="89" t="s">
        <v>9638</v>
      </c>
      <c r="AL1727" s="91">
        <v>41717</v>
      </c>
      <c r="AM1727" s="91"/>
      <c r="AN1727" s="91"/>
      <c r="AO1727" s="91"/>
      <c r="AP1727" s="73" t="e">
        <f>MID(VLOOKUP(K1727,#REF!,2,FALSE),1,2)</f>
        <v>#REF!</v>
      </c>
      <c r="AQ1727" s="89">
        <f>DATE(2014,2,9)</f>
        <v>41679</v>
      </c>
      <c r="AR1727" s="82">
        <f t="shared" si="114"/>
        <v>9</v>
      </c>
      <c r="AS1727" s="83">
        <f t="shared" si="115"/>
        <v>2</v>
      </c>
      <c r="AT1727" s="84">
        <f t="shared" si="116"/>
        <v>2014</v>
      </c>
      <c r="AU1727" s="86"/>
      <c r="AV1727" s="86"/>
      <c r="AW1727" s="87"/>
      <c r="AX1727" s="86"/>
      <c r="AY1727" s="83"/>
      <c r="AZ1727" s="84"/>
      <c r="BA1727" s="86"/>
      <c r="BB1727" s="86"/>
    </row>
    <row r="1728" spans="1:55" ht="36.75" customHeight="1">
      <c r="A1728" s="30"/>
      <c r="B1728" s="30" t="s">
        <v>55</v>
      </c>
      <c r="C1728" s="69" t="str">
        <f t="shared" si="109"/>
        <v>Closed</v>
      </c>
      <c r="D1728" s="27" t="s">
        <v>9639</v>
      </c>
      <c r="E1728" s="29" t="s">
        <v>9640</v>
      </c>
      <c r="F1728" s="30" t="s">
        <v>835</v>
      </c>
      <c r="G1728" s="89">
        <f>DATE(2014,2,10)</f>
        <v>41680</v>
      </c>
      <c r="H1728" s="90">
        <v>0</v>
      </c>
      <c r="I1728" s="30" t="s">
        <v>73</v>
      </c>
      <c r="J1728" s="89" t="s">
        <v>9641</v>
      </c>
      <c r="K1728" s="30" t="s">
        <v>837</v>
      </c>
      <c r="L1728" s="30" t="s">
        <v>9642</v>
      </c>
      <c r="M1728" s="30" t="s">
        <v>255</v>
      </c>
      <c r="N1728" s="30" t="s">
        <v>142</v>
      </c>
      <c r="O1728" s="30" t="s">
        <v>77</v>
      </c>
      <c r="P1728" s="89" t="s">
        <v>6552</v>
      </c>
      <c r="Q1728" s="89" t="s">
        <v>4210</v>
      </c>
      <c r="R1728" s="89" t="s">
        <v>4210</v>
      </c>
      <c r="S1728" s="30">
        <v>0</v>
      </c>
      <c r="T1728" s="233">
        <v>0</v>
      </c>
      <c r="U1728" s="30">
        <v>0</v>
      </c>
      <c r="V1728" s="233">
        <v>0</v>
      </c>
      <c r="W1728" s="30">
        <v>0</v>
      </c>
      <c r="X1728" s="30">
        <v>0</v>
      </c>
      <c r="Y1728" s="30">
        <v>0</v>
      </c>
      <c r="Z1728" s="233">
        <v>0</v>
      </c>
      <c r="AA1728" s="30">
        <v>0</v>
      </c>
      <c r="AB1728" s="30">
        <v>0</v>
      </c>
      <c r="AC1728" s="30">
        <v>0</v>
      </c>
      <c r="AD1728" s="30">
        <v>0</v>
      </c>
      <c r="AE1728" s="89" t="s">
        <v>92</v>
      </c>
      <c r="AF1728" s="89"/>
      <c r="AG1728" s="89" t="s">
        <v>352</v>
      </c>
      <c r="AH1728" s="72">
        <v>41698</v>
      </c>
      <c r="AI1728" s="30">
        <v>0</v>
      </c>
      <c r="AJ1728" s="89" t="s">
        <v>9643</v>
      </c>
      <c r="AK1728" s="89" t="s">
        <v>68</v>
      </c>
      <c r="AL1728" s="91">
        <v>41698</v>
      </c>
      <c r="AM1728" s="91"/>
      <c r="AN1728" s="91"/>
      <c r="AO1728" s="91"/>
      <c r="AP1728" s="73" t="e">
        <f>MID(VLOOKUP(K1728,#REF!,2,FALSE),1,2)</f>
        <v>#REF!</v>
      </c>
      <c r="AQ1728" s="89">
        <f>DATE(2014,2,10)</f>
        <v>41680</v>
      </c>
      <c r="AR1728" s="82">
        <f t="shared" si="114"/>
        <v>10</v>
      </c>
      <c r="AS1728" s="83">
        <f t="shared" si="115"/>
        <v>2</v>
      </c>
      <c r="AT1728" s="84">
        <f t="shared" si="116"/>
        <v>2014</v>
      </c>
      <c r="AU1728" s="86"/>
      <c r="AV1728" s="86"/>
      <c r="AW1728" s="87"/>
      <c r="AX1728" s="86"/>
      <c r="AY1728" s="83"/>
      <c r="AZ1728" s="84"/>
      <c r="BA1728" s="86"/>
      <c r="BB1728" s="86"/>
    </row>
    <row r="1729" spans="1:54" ht="36.75" customHeight="1">
      <c r="A1729" s="30"/>
      <c r="B1729" s="30" t="s">
        <v>55</v>
      </c>
      <c r="C1729" s="69" t="str">
        <f t="shared" si="109"/>
        <v>Closed</v>
      </c>
      <c r="D1729" s="27" t="s">
        <v>9644</v>
      </c>
      <c r="E1729" s="29" t="s">
        <v>9645</v>
      </c>
      <c r="F1729" s="30" t="s">
        <v>197</v>
      </c>
      <c r="G1729" s="89">
        <f>DATE(2014,2,12)</f>
        <v>41682</v>
      </c>
      <c r="H1729" s="90">
        <v>0</v>
      </c>
      <c r="I1729" s="30" t="s">
        <v>116</v>
      </c>
      <c r="J1729" s="89" t="s">
        <v>9646</v>
      </c>
      <c r="K1729" s="30" t="s">
        <v>200</v>
      </c>
      <c r="L1729" s="30" t="s">
        <v>9647</v>
      </c>
      <c r="M1729" s="30" t="s">
        <v>63</v>
      </c>
      <c r="N1729" s="30" t="s">
        <v>99</v>
      </c>
      <c r="O1729" s="30" t="s">
        <v>64</v>
      </c>
      <c r="P1729" s="89" t="s">
        <v>165</v>
      </c>
      <c r="Q1729" s="89">
        <v>0</v>
      </c>
      <c r="R1729" s="89">
        <v>0</v>
      </c>
      <c r="S1729" s="30">
        <v>0</v>
      </c>
      <c r="T1729" s="233">
        <v>0</v>
      </c>
      <c r="U1729" s="30">
        <v>4</v>
      </c>
      <c r="V1729" s="233">
        <v>0</v>
      </c>
      <c r="W1729" s="30">
        <v>0</v>
      </c>
      <c r="X1729" s="30">
        <v>4</v>
      </c>
      <c r="Y1729" s="30">
        <v>0</v>
      </c>
      <c r="Z1729" s="233">
        <v>0</v>
      </c>
      <c r="AA1729" s="30">
        <v>0</v>
      </c>
      <c r="AB1729" s="30">
        <v>0</v>
      </c>
      <c r="AC1729" s="30">
        <v>0</v>
      </c>
      <c r="AD1729" s="30">
        <v>0</v>
      </c>
      <c r="AE1729" s="89" t="s">
        <v>92</v>
      </c>
      <c r="AF1729" s="89"/>
      <c r="AG1729" s="89" t="s">
        <v>133</v>
      </c>
      <c r="AH1729" s="72">
        <v>41683</v>
      </c>
      <c r="AI1729" s="30">
        <v>4</v>
      </c>
      <c r="AJ1729" s="89" t="s">
        <v>9648</v>
      </c>
      <c r="AK1729" s="89" t="s">
        <v>1233</v>
      </c>
      <c r="AL1729" s="91">
        <v>41687</v>
      </c>
      <c r="AM1729" s="91"/>
      <c r="AN1729" s="91"/>
      <c r="AO1729" s="91"/>
      <c r="AP1729" s="73" t="e">
        <f>MID(VLOOKUP(K1729,#REF!,2,FALSE),1,2)</f>
        <v>#REF!</v>
      </c>
      <c r="AQ1729" s="89">
        <f>DATE(2014,2,12)</f>
        <v>41682</v>
      </c>
      <c r="AR1729" s="82">
        <f t="shared" si="114"/>
        <v>12</v>
      </c>
      <c r="AS1729" s="83">
        <f t="shared" si="115"/>
        <v>2</v>
      </c>
      <c r="AT1729" s="84">
        <f t="shared" si="116"/>
        <v>2014</v>
      </c>
      <c r="AU1729" s="86"/>
      <c r="AV1729" s="86"/>
      <c r="AW1729" s="87"/>
      <c r="AX1729" s="86"/>
      <c r="AY1729" s="83"/>
      <c r="AZ1729" s="84"/>
      <c r="BA1729" s="86"/>
      <c r="BB1729" s="86"/>
    </row>
    <row r="1730" spans="1:54" ht="36.75" customHeight="1">
      <c r="A1730" s="30"/>
      <c r="B1730" s="30" t="s">
        <v>55</v>
      </c>
      <c r="C1730" s="69" t="str">
        <f t="shared" ref="C1730:C1793" si="117">IF(B1730="Notification","Open",IF(B1730="Interim Statement","In progress","Closed"))</f>
        <v>Closed</v>
      </c>
      <c r="D1730" s="27" t="s">
        <v>9649</v>
      </c>
      <c r="E1730" s="29" t="s">
        <v>9650</v>
      </c>
      <c r="F1730" s="30" t="s">
        <v>1938</v>
      </c>
      <c r="G1730" s="89">
        <f>DATE(2014,2,12)</f>
        <v>41682</v>
      </c>
      <c r="H1730" s="90">
        <v>1.3993055555555556</v>
      </c>
      <c r="I1730" s="30" t="s">
        <v>116</v>
      </c>
      <c r="J1730" s="89" t="s">
        <v>9651</v>
      </c>
      <c r="K1730" s="30" t="s">
        <v>1940</v>
      </c>
      <c r="L1730" s="30" t="s">
        <v>9652</v>
      </c>
      <c r="M1730" s="30" t="s">
        <v>63</v>
      </c>
      <c r="N1730" s="30" t="s">
        <v>142</v>
      </c>
      <c r="O1730" s="30" t="s">
        <v>64</v>
      </c>
      <c r="P1730" s="89" t="s">
        <v>165</v>
      </c>
      <c r="Q1730" s="89" t="s">
        <v>1942</v>
      </c>
      <c r="R1730" s="89" t="s">
        <v>1942</v>
      </c>
      <c r="S1730" s="30">
        <v>0</v>
      </c>
      <c r="T1730" s="233">
        <v>0</v>
      </c>
      <c r="U1730" s="30">
        <v>0</v>
      </c>
      <c r="V1730" s="233">
        <v>0</v>
      </c>
      <c r="W1730" s="30">
        <v>0</v>
      </c>
      <c r="X1730" s="30">
        <v>0</v>
      </c>
      <c r="Y1730" s="30">
        <v>0</v>
      </c>
      <c r="Z1730" s="233">
        <v>0</v>
      </c>
      <c r="AA1730" s="30">
        <v>1</v>
      </c>
      <c r="AB1730" s="30">
        <v>0</v>
      </c>
      <c r="AC1730" s="30">
        <v>0</v>
      </c>
      <c r="AD1730" s="30">
        <v>1</v>
      </c>
      <c r="AE1730" s="89" t="s">
        <v>92</v>
      </c>
      <c r="AF1730" s="89"/>
      <c r="AG1730" s="89" t="s">
        <v>395</v>
      </c>
      <c r="AH1730" s="72">
        <v>41687</v>
      </c>
      <c r="AI1730" s="30">
        <v>3</v>
      </c>
      <c r="AJ1730" s="89" t="s">
        <v>9653</v>
      </c>
      <c r="AK1730" s="89" t="s">
        <v>9654</v>
      </c>
      <c r="AL1730" s="91">
        <v>41687</v>
      </c>
      <c r="AM1730" s="91"/>
      <c r="AN1730" s="91"/>
      <c r="AO1730" s="91"/>
      <c r="AP1730" s="73" t="e">
        <f>MID(VLOOKUP(K1730,#REF!,2,FALSE),1,2)</f>
        <v>#REF!</v>
      </c>
      <c r="AQ1730" s="89">
        <f>DATE(2014,2,12)</f>
        <v>41682</v>
      </c>
      <c r="AR1730" s="82">
        <f t="shared" si="114"/>
        <v>12</v>
      </c>
      <c r="AS1730" s="83">
        <f t="shared" si="115"/>
        <v>2</v>
      </c>
      <c r="AT1730" s="84">
        <f t="shared" si="116"/>
        <v>2014</v>
      </c>
      <c r="AU1730" s="86"/>
      <c r="AV1730" s="86"/>
      <c r="AW1730" s="87"/>
      <c r="AX1730" s="86"/>
      <c r="AY1730" s="83"/>
      <c r="AZ1730" s="84"/>
      <c r="BA1730" s="86"/>
      <c r="BB1730" s="86"/>
    </row>
    <row r="1731" spans="1:54" ht="36.75" customHeight="1">
      <c r="A1731" s="30"/>
      <c r="B1731" s="30" t="s">
        <v>55</v>
      </c>
      <c r="C1731" s="69" t="str">
        <f t="shared" si="117"/>
        <v>Closed</v>
      </c>
      <c r="D1731" s="27" t="s">
        <v>9655</v>
      </c>
      <c r="E1731" s="29" t="s">
        <v>9656</v>
      </c>
      <c r="F1731" s="30" t="s">
        <v>451</v>
      </c>
      <c r="G1731" s="89">
        <f>DATE(2014,2,22)</f>
        <v>41692</v>
      </c>
      <c r="H1731" s="90">
        <v>1.4076388888888889</v>
      </c>
      <c r="I1731" s="30" t="s">
        <v>116</v>
      </c>
      <c r="J1731" s="89" t="s">
        <v>9657</v>
      </c>
      <c r="K1731" s="30" t="s">
        <v>453</v>
      </c>
      <c r="L1731" s="30" t="s">
        <v>9658</v>
      </c>
      <c r="M1731" s="30" t="s">
        <v>63</v>
      </c>
      <c r="N1731" s="30" t="s">
        <v>99</v>
      </c>
      <c r="O1731" s="30" t="s">
        <v>64</v>
      </c>
      <c r="P1731" s="89" t="s">
        <v>165</v>
      </c>
      <c r="Q1731" s="89" t="s">
        <v>665</v>
      </c>
      <c r="R1731" s="89" t="s">
        <v>572</v>
      </c>
      <c r="S1731" s="30">
        <v>0</v>
      </c>
      <c r="T1731" s="233">
        <v>0</v>
      </c>
      <c r="U1731" s="30">
        <v>1</v>
      </c>
      <c r="V1731" s="233">
        <v>0</v>
      </c>
      <c r="W1731" s="30">
        <v>0</v>
      </c>
      <c r="X1731" s="30">
        <v>1</v>
      </c>
      <c r="Y1731" s="30">
        <v>0</v>
      </c>
      <c r="Z1731" s="233">
        <v>0</v>
      </c>
      <c r="AA1731" s="30">
        <v>0</v>
      </c>
      <c r="AB1731" s="30">
        <v>0</v>
      </c>
      <c r="AC1731" s="30">
        <v>0</v>
      </c>
      <c r="AD1731" s="30">
        <v>0</v>
      </c>
      <c r="AE1731" s="89" t="s">
        <v>92</v>
      </c>
      <c r="AF1731" s="89"/>
      <c r="AG1731" s="89" t="s">
        <v>82</v>
      </c>
      <c r="AH1731" s="72">
        <v>41697</v>
      </c>
      <c r="AI1731" s="30">
        <v>0</v>
      </c>
      <c r="AJ1731" s="89" t="s">
        <v>9659</v>
      </c>
      <c r="AK1731" s="89" t="s">
        <v>68</v>
      </c>
      <c r="AL1731" s="91">
        <v>42831</v>
      </c>
      <c r="AM1731" s="91"/>
      <c r="AN1731" s="91"/>
      <c r="AO1731" s="91"/>
      <c r="AP1731" s="73" t="e">
        <f>MID(VLOOKUP(K1731,#REF!,2,FALSE),1,2)</f>
        <v>#REF!</v>
      </c>
      <c r="AQ1731" s="89">
        <f>DATE(2014,2,22)</f>
        <v>41692</v>
      </c>
      <c r="AR1731" s="82">
        <f t="shared" si="114"/>
        <v>22</v>
      </c>
      <c r="AS1731" s="83">
        <f t="shared" si="115"/>
        <v>2</v>
      </c>
      <c r="AT1731" s="84">
        <f t="shared" si="116"/>
        <v>2014</v>
      </c>
      <c r="AU1731" s="86"/>
      <c r="AV1731" s="86"/>
      <c r="AW1731" s="87"/>
      <c r="AX1731" s="86"/>
      <c r="AY1731" s="83"/>
      <c r="AZ1731" s="84"/>
      <c r="BA1731" s="86"/>
      <c r="BB1731" s="86"/>
    </row>
    <row r="1732" spans="1:54" ht="36.75" customHeight="1">
      <c r="A1732" s="30"/>
      <c r="B1732" s="30" t="s">
        <v>55</v>
      </c>
      <c r="C1732" s="69" t="str">
        <f t="shared" si="117"/>
        <v>Closed</v>
      </c>
      <c r="D1732" s="27" t="s">
        <v>9660</v>
      </c>
      <c r="E1732" s="29" t="s">
        <v>9661</v>
      </c>
      <c r="F1732" s="30" t="s">
        <v>835</v>
      </c>
      <c r="G1732" s="89">
        <f>DATE(2014,2,23)</f>
        <v>41693</v>
      </c>
      <c r="H1732" s="90">
        <v>1.9243055555555557</v>
      </c>
      <c r="I1732" s="30" t="s">
        <v>73</v>
      </c>
      <c r="J1732" s="89" t="s">
        <v>9662</v>
      </c>
      <c r="K1732" s="30" t="s">
        <v>837</v>
      </c>
      <c r="L1732" s="30" t="s">
        <v>9361</v>
      </c>
      <c r="M1732" s="30" t="s">
        <v>63</v>
      </c>
      <c r="N1732" s="30" t="s">
        <v>142</v>
      </c>
      <c r="O1732" s="30" t="s">
        <v>90</v>
      </c>
      <c r="P1732" s="89" t="s">
        <v>78</v>
      </c>
      <c r="Q1732" s="89" t="s">
        <v>4708</v>
      </c>
      <c r="R1732" s="89" t="s">
        <v>840</v>
      </c>
      <c r="S1732" s="30">
        <v>0</v>
      </c>
      <c r="T1732" s="233">
        <v>0</v>
      </c>
      <c r="U1732" s="30">
        <v>0</v>
      </c>
      <c r="V1732" s="233">
        <v>0</v>
      </c>
      <c r="W1732" s="30">
        <v>0</v>
      </c>
      <c r="X1732" s="30">
        <v>0</v>
      </c>
      <c r="Y1732" s="30">
        <v>0</v>
      </c>
      <c r="Z1732" s="233">
        <v>0</v>
      </c>
      <c r="AA1732" s="30">
        <v>0</v>
      </c>
      <c r="AB1732" s="30">
        <v>0</v>
      </c>
      <c r="AC1732" s="30">
        <v>0</v>
      </c>
      <c r="AD1732" s="30">
        <v>0</v>
      </c>
      <c r="AE1732" s="89" t="s">
        <v>92</v>
      </c>
      <c r="AF1732" s="89"/>
      <c r="AG1732" s="89" t="s">
        <v>352</v>
      </c>
      <c r="AH1732" s="72">
        <v>41974</v>
      </c>
      <c r="AI1732" s="30">
        <v>1</v>
      </c>
      <c r="AJ1732" s="89" t="s">
        <v>9663</v>
      </c>
      <c r="AK1732" s="89" t="s">
        <v>9664</v>
      </c>
      <c r="AL1732" s="91">
        <v>41975</v>
      </c>
      <c r="AM1732" s="91"/>
      <c r="AN1732" s="91"/>
      <c r="AO1732" s="91"/>
      <c r="AP1732" s="73" t="e">
        <f>MID(VLOOKUP(K1732,#REF!,2,FALSE),1,2)</f>
        <v>#REF!</v>
      </c>
      <c r="AQ1732" s="89">
        <f>DATE(2014,2,23)</f>
        <v>41693</v>
      </c>
      <c r="AR1732" s="82">
        <f t="shared" si="114"/>
        <v>23</v>
      </c>
      <c r="AS1732" s="83">
        <f t="shared" si="115"/>
        <v>2</v>
      </c>
      <c r="AT1732" s="84">
        <f t="shared" si="116"/>
        <v>2014</v>
      </c>
      <c r="AU1732" s="86"/>
      <c r="AV1732" s="86"/>
      <c r="AW1732" s="87"/>
      <c r="AX1732" s="86"/>
      <c r="AY1732" s="83"/>
      <c r="AZ1732" s="84"/>
      <c r="BA1732" s="86"/>
      <c r="BB1732" s="86"/>
    </row>
    <row r="1733" spans="1:54" ht="36.75" customHeight="1">
      <c r="A1733" s="30"/>
      <c r="B1733" s="30" t="s">
        <v>55</v>
      </c>
      <c r="C1733" s="69" t="str">
        <f t="shared" si="117"/>
        <v>Closed</v>
      </c>
      <c r="D1733" s="27" t="s">
        <v>9665</v>
      </c>
      <c r="E1733" s="29" t="s">
        <v>9666</v>
      </c>
      <c r="F1733" s="30" t="s">
        <v>377</v>
      </c>
      <c r="G1733" s="89">
        <f>DATE(2014,2,25)</f>
        <v>41695</v>
      </c>
      <c r="H1733" s="90">
        <v>1.6666666666666665</v>
      </c>
      <c r="I1733" s="30" t="s">
        <v>116</v>
      </c>
      <c r="J1733" s="89" t="s">
        <v>9667</v>
      </c>
      <c r="K1733" s="30" t="s">
        <v>379</v>
      </c>
      <c r="L1733" s="30" t="s">
        <v>9668</v>
      </c>
      <c r="M1733" s="30" t="s">
        <v>63</v>
      </c>
      <c r="N1733" s="30" t="s">
        <v>99</v>
      </c>
      <c r="O1733" s="30" t="s">
        <v>64</v>
      </c>
      <c r="P1733" s="89" t="s">
        <v>165</v>
      </c>
      <c r="Q1733" s="89" t="s">
        <v>8472</v>
      </c>
      <c r="R1733" s="89" t="s">
        <v>382</v>
      </c>
      <c r="S1733" s="30">
        <v>0</v>
      </c>
      <c r="T1733" s="233">
        <v>0</v>
      </c>
      <c r="U1733" s="30">
        <v>2</v>
      </c>
      <c r="V1733" s="233">
        <v>0</v>
      </c>
      <c r="W1733" s="30">
        <v>0</v>
      </c>
      <c r="X1733" s="30">
        <v>2</v>
      </c>
      <c r="Y1733" s="30">
        <v>0</v>
      </c>
      <c r="Z1733" s="233">
        <v>0</v>
      </c>
      <c r="AA1733" s="30">
        <v>0</v>
      </c>
      <c r="AB1733" s="30">
        <v>0</v>
      </c>
      <c r="AC1733" s="30">
        <v>0</v>
      </c>
      <c r="AD1733" s="30">
        <v>0</v>
      </c>
      <c r="AE1733" s="89" t="s">
        <v>92</v>
      </c>
      <c r="AF1733" s="89"/>
      <c r="AG1733" s="89" t="s">
        <v>133</v>
      </c>
      <c r="AH1733" s="72">
        <v>41696</v>
      </c>
      <c r="AI1733" s="30">
        <v>1</v>
      </c>
      <c r="AJ1733" s="89" t="s">
        <v>9669</v>
      </c>
      <c r="AK1733" s="89" t="s">
        <v>68</v>
      </c>
      <c r="AL1733" s="91">
        <v>41729</v>
      </c>
      <c r="AM1733" s="91"/>
      <c r="AN1733" s="91"/>
      <c r="AO1733" s="91"/>
      <c r="AP1733" s="73" t="e">
        <f>MID(VLOOKUP(K1733,#REF!,2,FALSE),1,2)</f>
        <v>#REF!</v>
      </c>
      <c r="AQ1733" s="89">
        <f>DATE(2014,2,25)</f>
        <v>41695</v>
      </c>
      <c r="AR1733" s="82">
        <f t="shared" si="114"/>
        <v>25</v>
      </c>
      <c r="AS1733" s="83">
        <f t="shared" si="115"/>
        <v>2</v>
      </c>
      <c r="AT1733" s="84">
        <f t="shared" si="116"/>
        <v>2014</v>
      </c>
      <c r="AU1733" s="86"/>
      <c r="AV1733" s="86"/>
      <c r="AW1733" s="87"/>
      <c r="AX1733" s="86"/>
      <c r="AY1733" s="83"/>
      <c r="AZ1733" s="84"/>
      <c r="BA1733" s="86"/>
      <c r="BB1733" s="86"/>
    </row>
    <row r="1734" spans="1:54" ht="36.75" customHeight="1">
      <c r="A1734" s="30"/>
      <c r="B1734" s="30" t="s">
        <v>55</v>
      </c>
      <c r="C1734" s="69" t="str">
        <f t="shared" si="117"/>
        <v>Closed</v>
      </c>
      <c r="D1734" s="27" t="s">
        <v>9670</v>
      </c>
      <c r="E1734" s="29" t="s">
        <v>9671</v>
      </c>
      <c r="F1734" s="30" t="s">
        <v>624</v>
      </c>
      <c r="G1734" s="89">
        <f>DATE(2014,2,25)</f>
        <v>41695</v>
      </c>
      <c r="H1734" s="90">
        <v>1.2520833333333332</v>
      </c>
      <c r="I1734" s="30" t="s">
        <v>73</v>
      </c>
      <c r="J1734" s="89" t="s">
        <v>9672</v>
      </c>
      <c r="K1734" s="30" t="s">
        <v>626</v>
      </c>
      <c r="L1734" s="30" t="s">
        <v>9673</v>
      </c>
      <c r="M1734" s="30" t="s">
        <v>63</v>
      </c>
      <c r="N1734" s="30" t="s">
        <v>142</v>
      </c>
      <c r="O1734" s="30" t="s">
        <v>64</v>
      </c>
      <c r="P1734" s="89" t="s">
        <v>78</v>
      </c>
      <c r="Q1734" s="89" t="s">
        <v>9674</v>
      </c>
      <c r="R1734" s="89" t="s">
        <v>629</v>
      </c>
      <c r="S1734" s="30">
        <v>0</v>
      </c>
      <c r="T1734" s="233">
        <v>0</v>
      </c>
      <c r="U1734" s="30">
        <v>0</v>
      </c>
      <c r="V1734" s="233">
        <v>0</v>
      </c>
      <c r="W1734" s="30">
        <v>0</v>
      </c>
      <c r="X1734" s="30">
        <v>0</v>
      </c>
      <c r="Y1734" s="30">
        <v>0</v>
      </c>
      <c r="Z1734" s="233">
        <v>0</v>
      </c>
      <c r="AA1734" s="30">
        <v>0</v>
      </c>
      <c r="AB1734" s="30">
        <v>0</v>
      </c>
      <c r="AC1734" s="30">
        <v>0</v>
      </c>
      <c r="AD1734" s="30">
        <v>0</v>
      </c>
      <c r="AE1734" s="89" t="s">
        <v>394</v>
      </c>
      <c r="AF1734" s="89"/>
      <c r="AG1734" s="89" t="s">
        <v>133</v>
      </c>
      <c r="AH1734" s="72">
        <v>41695</v>
      </c>
      <c r="AI1734" s="30">
        <v>2</v>
      </c>
      <c r="AJ1734" s="89" t="s">
        <v>9675</v>
      </c>
      <c r="AK1734" s="89" t="s">
        <v>68</v>
      </c>
      <c r="AL1734" s="91">
        <v>41779</v>
      </c>
      <c r="AM1734" s="91"/>
      <c r="AN1734" s="91"/>
      <c r="AO1734" s="91"/>
      <c r="AP1734" s="73" t="e">
        <f>MID(VLOOKUP(K1734,#REF!,2,FALSE),1,2)</f>
        <v>#REF!</v>
      </c>
      <c r="AQ1734" s="89">
        <f>DATE(2014,2,25)</f>
        <v>41695</v>
      </c>
      <c r="AR1734" s="82">
        <f t="shared" si="114"/>
        <v>25</v>
      </c>
      <c r="AS1734" s="83">
        <f t="shared" si="115"/>
        <v>2</v>
      </c>
      <c r="AT1734" s="84">
        <f t="shared" si="116"/>
        <v>2014</v>
      </c>
      <c r="AU1734" s="86"/>
      <c r="AV1734" s="86"/>
      <c r="AW1734" s="87"/>
      <c r="AX1734" s="86"/>
      <c r="AY1734" s="83"/>
      <c r="AZ1734" s="84"/>
      <c r="BA1734" s="86"/>
      <c r="BB1734" s="86"/>
    </row>
    <row r="1735" spans="1:54" ht="36.75" customHeight="1">
      <c r="A1735" s="30"/>
      <c r="B1735" s="30" t="s">
        <v>55</v>
      </c>
      <c r="C1735" s="69" t="str">
        <f t="shared" si="117"/>
        <v>Closed</v>
      </c>
      <c r="D1735" s="27" t="s">
        <v>9676</v>
      </c>
      <c r="E1735" s="29" t="s">
        <v>9677</v>
      </c>
      <c r="F1735" s="30" t="s">
        <v>835</v>
      </c>
      <c r="G1735" s="89">
        <f>DATE(2014,2,27)</f>
        <v>41697</v>
      </c>
      <c r="H1735" s="90">
        <v>0</v>
      </c>
      <c r="I1735" s="30" t="s">
        <v>73</v>
      </c>
      <c r="J1735" s="89" t="s">
        <v>9678</v>
      </c>
      <c r="K1735" s="30" t="s">
        <v>837</v>
      </c>
      <c r="L1735" s="30" t="s">
        <v>9679</v>
      </c>
      <c r="M1735" s="30" t="s">
        <v>255</v>
      </c>
      <c r="N1735" s="30" t="s">
        <v>142</v>
      </c>
      <c r="O1735" s="30" t="s">
        <v>64</v>
      </c>
      <c r="P1735" s="89" t="s">
        <v>6552</v>
      </c>
      <c r="Q1735" s="89" t="s">
        <v>4210</v>
      </c>
      <c r="R1735" s="89" t="s">
        <v>4210</v>
      </c>
      <c r="S1735" s="30">
        <v>0</v>
      </c>
      <c r="T1735" s="233">
        <v>0</v>
      </c>
      <c r="U1735" s="30">
        <v>0</v>
      </c>
      <c r="V1735" s="233">
        <v>0</v>
      </c>
      <c r="W1735" s="30">
        <v>0</v>
      </c>
      <c r="X1735" s="30">
        <v>0</v>
      </c>
      <c r="Y1735" s="30">
        <v>0</v>
      </c>
      <c r="Z1735" s="233">
        <v>0</v>
      </c>
      <c r="AA1735" s="30">
        <v>0</v>
      </c>
      <c r="AB1735" s="30">
        <v>0</v>
      </c>
      <c r="AC1735" s="30">
        <v>0</v>
      </c>
      <c r="AD1735" s="30">
        <v>0</v>
      </c>
      <c r="AE1735" s="89" t="s">
        <v>92</v>
      </c>
      <c r="AF1735" s="89"/>
      <c r="AG1735" s="89" t="s">
        <v>352</v>
      </c>
      <c r="AH1735" s="72">
        <v>41698</v>
      </c>
      <c r="AI1735" s="30">
        <v>0</v>
      </c>
      <c r="AJ1735" s="89" t="s">
        <v>9680</v>
      </c>
      <c r="AK1735" s="89" t="s">
        <v>68</v>
      </c>
      <c r="AL1735" s="91">
        <v>41698</v>
      </c>
      <c r="AM1735" s="91"/>
      <c r="AN1735" s="91"/>
      <c r="AO1735" s="91"/>
      <c r="AP1735" s="73" t="e">
        <f>MID(VLOOKUP(K1735,#REF!,2,FALSE),1,2)</f>
        <v>#REF!</v>
      </c>
      <c r="AQ1735" s="89">
        <f>DATE(2014,2,27)</f>
        <v>41697</v>
      </c>
      <c r="AR1735" s="82">
        <f t="shared" si="114"/>
        <v>27</v>
      </c>
      <c r="AS1735" s="83">
        <f t="shared" si="115"/>
        <v>2</v>
      </c>
      <c r="AT1735" s="84">
        <f t="shared" si="116"/>
        <v>2014</v>
      </c>
      <c r="AU1735" s="86"/>
      <c r="AV1735" s="86"/>
      <c r="AW1735" s="87"/>
      <c r="AX1735" s="86"/>
      <c r="AY1735" s="83"/>
      <c r="AZ1735" s="84"/>
      <c r="BA1735" s="86"/>
      <c r="BB1735" s="86"/>
    </row>
    <row r="1736" spans="1:54" ht="36.75" customHeight="1">
      <c r="A1736" s="30"/>
      <c r="B1736" s="30" t="s">
        <v>55</v>
      </c>
      <c r="C1736" s="69" t="str">
        <f t="shared" si="117"/>
        <v>Closed</v>
      </c>
      <c r="D1736" s="27" t="s">
        <v>9681</v>
      </c>
      <c r="E1736" s="29" t="s">
        <v>9682</v>
      </c>
      <c r="F1736" s="30" t="s">
        <v>582</v>
      </c>
      <c r="G1736" s="89">
        <f>DATE(2014,2,28)</f>
        <v>41698</v>
      </c>
      <c r="H1736" s="90">
        <v>1.7875000000000001</v>
      </c>
      <c r="I1736" s="30" t="s">
        <v>116</v>
      </c>
      <c r="J1736" s="89" t="s">
        <v>9683</v>
      </c>
      <c r="K1736" s="30" t="s">
        <v>584</v>
      </c>
      <c r="L1736" s="30" t="s">
        <v>9684</v>
      </c>
      <c r="M1736" s="30" t="s">
        <v>63</v>
      </c>
      <c r="N1736" s="30" t="s">
        <v>142</v>
      </c>
      <c r="O1736" s="30" t="s">
        <v>64</v>
      </c>
      <c r="P1736" s="89" t="s">
        <v>165</v>
      </c>
      <c r="Q1736" s="89" t="s">
        <v>9685</v>
      </c>
      <c r="R1736" s="89" t="s">
        <v>587</v>
      </c>
      <c r="S1736" s="30">
        <v>0</v>
      </c>
      <c r="T1736" s="233">
        <v>0</v>
      </c>
      <c r="U1736" s="30">
        <v>1</v>
      </c>
      <c r="V1736" s="233">
        <v>0</v>
      </c>
      <c r="W1736" s="30">
        <v>0</v>
      </c>
      <c r="X1736" s="30">
        <v>1</v>
      </c>
      <c r="Y1736" s="30">
        <v>0</v>
      </c>
      <c r="Z1736" s="233">
        <v>0</v>
      </c>
      <c r="AA1736" s="30">
        <v>0</v>
      </c>
      <c r="AB1736" s="30">
        <v>0</v>
      </c>
      <c r="AC1736" s="30">
        <v>0</v>
      </c>
      <c r="AD1736" s="30">
        <v>0</v>
      </c>
      <c r="AE1736" s="89" t="s">
        <v>92</v>
      </c>
      <c r="AF1736" s="89"/>
      <c r="AG1736" s="89" t="s">
        <v>133</v>
      </c>
      <c r="AH1736" s="72">
        <v>41890</v>
      </c>
      <c r="AI1736" s="30">
        <v>0</v>
      </c>
      <c r="AJ1736" s="89" t="s">
        <v>9686</v>
      </c>
      <c r="AK1736" s="89" t="s">
        <v>1233</v>
      </c>
      <c r="AL1736" s="91">
        <v>41892</v>
      </c>
      <c r="AM1736" s="91"/>
      <c r="AN1736" s="91"/>
      <c r="AO1736" s="91"/>
      <c r="AP1736" s="73" t="e">
        <f>MID(VLOOKUP(K1736,#REF!,2,FALSE),1,2)</f>
        <v>#REF!</v>
      </c>
      <c r="AQ1736" s="89">
        <f>DATE(2014,2,28)</f>
        <v>41698</v>
      </c>
      <c r="AR1736" s="82">
        <f t="shared" si="114"/>
        <v>28</v>
      </c>
      <c r="AS1736" s="83">
        <f t="shared" si="115"/>
        <v>2</v>
      </c>
      <c r="AT1736" s="84">
        <f t="shared" si="116"/>
        <v>2014</v>
      </c>
      <c r="AU1736" s="86"/>
      <c r="AV1736" s="86"/>
      <c r="AW1736" s="87"/>
      <c r="AX1736" s="86"/>
      <c r="AY1736" s="83"/>
      <c r="AZ1736" s="84"/>
      <c r="BA1736" s="86"/>
      <c r="BB1736" s="86"/>
    </row>
    <row r="1737" spans="1:54" ht="36.75" customHeight="1">
      <c r="A1737" s="30"/>
      <c r="B1737" s="30" t="s">
        <v>55</v>
      </c>
      <c r="C1737" s="69" t="str">
        <f t="shared" si="117"/>
        <v>Closed</v>
      </c>
      <c r="D1737" s="27" t="s">
        <v>9687</v>
      </c>
      <c r="E1737" s="29" t="s">
        <v>9688</v>
      </c>
      <c r="F1737" s="30" t="s">
        <v>835</v>
      </c>
      <c r="G1737" s="89">
        <f>DATE(2014,3,3)</f>
        <v>41701</v>
      </c>
      <c r="H1737" s="90">
        <v>1.5222222222222221</v>
      </c>
      <c r="I1737" s="30" t="s">
        <v>116</v>
      </c>
      <c r="J1737" s="89" t="s">
        <v>9689</v>
      </c>
      <c r="K1737" s="30" t="s">
        <v>837</v>
      </c>
      <c r="L1737" s="30" t="s">
        <v>9690</v>
      </c>
      <c r="M1737" s="30" t="s">
        <v>63</v>
      </c>
      <c r="N1737" s="30" t="s">
        <v>99</v>
      </c>
      <c r="O1737" s="30" t="s">
        <v>64</v>
      </c>
      <c r="P1737" s="89" t="s">
        <v>165</v>
      </c>
      <c r="Q1737" s="89" t="s">
        <v>2162</v>
      </c>
      <c r="R1737" s="89" t="s">
        <v>840</v>
      </c>
      <c r="S1737" s="30">
        <v>0</v>
      </c>
      <c r="T1737" s="233">
        <v>0</v>
      </c>
      <c r="U1737" s="30">
        <v>0</v>
      </c>
      <c r="V1737" s="233">
        <v>0</v>
      </c>
      <c r="W1737" s="30">
        <v>0</v>
      </c>
      <c r="X1737" s="30">
        <v>0</v>
      </c>
      <c r="Y1737" s="30">
        <v>0</v>
      </c>
      <c r="Z1737" s="233">
        <v>0</v>
      </c>
      <c r="AA1737" s="30">
        <v>1</v>
      </c>
      <c r="AB1737" s="30">
        <v>0</v>
      </c>
      <c r="AC1737" s="30">
        <v>0</v>
      </c>
      <c r="AD1737" s="30">
        <v>1</v>
      </c>
      <c r="AE1737" s="89" t="s">
        <v>394</v>
      </c>
      <c r="AF1737" s="89"/>
      <c r="AG1737" s="89" t="s">
        <v>82</v>
      </c>
      <c r="AH1737" s="72">
        <v>41701</v>
      </c>
      <c r="AI1737" s="30">
        <v>2</v>
      </c>
      <c r="AJ1737" s="89" t="s">
        <v>9691</v>
      </c>
      <c r="AK1737" s="89" t="s">
        <v>68</v>
      </c>
      <c r="AL1737" s="91">
        <v>41704</v>
      </c>
      <c r="AM1737" s="91"/>
      <c r="AN1737" s="91"/>
      <c r="AO1737" s="91"/>
      <c r="AP1737" s="73" t="e">
        <f>MID(VLOOKUP(K1737,#REF!,2,FALSE),1,2)</f>
        <v>#REF!</v>
      </c>
      <c r="AQ1737" s="89">
        <f>DATE(2014,3,3)</f>
        <v>41701</v>
      </c>
      <c r="AR1737" s="82">
        <f t="shared" si="114"/>
        <v>3</v>
      </c>
      <c r="AS1737" s="83">
        <f t="shared" si="115"/>
        <v>3</v>
      </c>
      <c r="AT1737" s="84">
        <f t="shared" si="116"/>
        <v>2014</v>
      </c>
      <c r="AU1737" s="86"/>
      <c r="AV1737" s="86"/>
      <c r="AW1737" s="87"/>
      <c r="AX1737" s="86"/>
      <c r="AY1737" s="83"/>
      <c r="AZ1737" s="84"/>
      <c r="BA1737" s="86"/>
      <c r="BB1737" s="86"/>
    </row>
    <row r="1738" spans="1:54" ht="36.75" customHeight="1">
      <c r="A1738" s="30"/>
      <c r="B1738" s="30" t="s">
        <v>55</v>
      </c>
      <c r="C1738" s="69" t="str">
        <f t="shared" si="117"/>
        <v>Closed</v>
      </c>
      <c r="D1738" s="27" t="s">
        <v>9692</v>
      </c>
      <c r="E1738" s="29" t="s">
        <v>9693</v>
      </c>
      <c r="F1738" s="30" t="s">
        <v>835</v>
      </c>
      <c r="G1738" s="89">
        <f>DATE(2014,3,5)</f>
        <v>41703</v>
      </c>
      <c r="H1738" s="90">
        <v>1.4930555555555556</v>
      </c>
      <c r="I1738" s="30" t="s">
        <v>73</v>
      </c>
      <c r="J1738" s="89" t="s">
        <v>9694</v>
      </c>
      <c r="K1738" s="30" t="s">
        <v>837</v>
      </c>
      <c r="L1738" s="30" t="s">
        <v>9695</v>
      </c>
      <c r="M1738" s="30" t="s">
        <v>63</v>
      </c>
      <c r="N1738" s="30" t="s">
        <v>142</v>
      </c>
      <c r="O1738" s="30" t="s">
        <v>77</v>
      </c>
      <c r="P1738" s="89" t="s">
        <v>86</v>
      </c>
      <c r="Q1738" s="89" t="s">
        <v>2162</v>
      </c>
      <c r="R1738" s="89" t="s">
        <v>840</v>
      </c>
      <c r="S1738" s="30">
        <v>0</v>
      </c>
      <c r="T1738" s="233">
        <v>0</v>
      </c>
      <c r="U1738" s="30">
        <v>0</v>
      </c>
      <c r="V1738" s="233">
        <v>0</v>
      </c>
      <c r="W1738" s="30">
        <v>0</v>
      </c>
      <c r="X1738" s="30">
        <v>0</v>
      </c>
      <c r="Y1738" s="30">
        <v>0</v>
      </c>
      <c r="Z1738" s="233">
        <v>0</v>
      </c>
      <c r="AA1738" s="30">
        <v>0</v>
      </c>
      <c r="AB1738" s="30">
        <v>0</v>
      </c>
      <c r="AC1738" s="30">
        <v>0</v>
      </c>
      <c r="AD1738" s="30">
        <v>0</v>
      </c>
      <c r="AE1738" s="89" t="s">
        <v>92</v>
      </c>
      <c r="AF1738" s="89"/>
      <c r="AG1738" s="89" t="s">
        <v>352</v>
      </c>
      <c r="AH1738" s="72">
        <v>41703</v>
      </c>
      <c r="AI1738" s="30">
        <v>0</v>
      </c>
      <c r="AJ1738" s="89" t="s">
        <v>9696</v>
      </c>
      <c r="AK1738" s="89" t="s">
        <v>68</v>
      </c>
      <c r="AL1738" s="91">
        <v>41703</v>
      </c>
      <c r="AM1738" s="91"/>
      <c r="AN1738" s="91"/>
      <c r="AO1738" s="91"/>
      <c r="AP1738" s="73" t="e">
        <f>MID(VLOOKUP(K1738,#REF!,2,FALSE),1,2)</f>
        <v>#REF!</v>
      </c>
      <c r="AQ1738" s="89">
        <f>DATE(2014,3,5)</f>
        <v>41703</v>
      </c>
      <c r="AR1738" s="82">
        <f t="shared" si="114"/>
        <v>5</v>
      </c>
      <c r="AS1738" s="83">
        <f t="shared" si="115"/>
        <v>3</v>
      </c>
      <c r="AT1738" s="84">
        <f t="shared" si="116"/>
        <v>2014</v>
      </c>
      <c r="AU1738" s="86"/>
      <c r="AV1738" s="86"/>
      <c r="AW1738" s="87"/>
      <c r="AX1738" s="86"/>
      <c r="AY1738" s="83"/>
      <c r="AZ1738" s="84"/>
      <c r="BA1738" s="86"/>
      <c r="BB1738" s="86"/>
    </row>
    <row r="1739" spans="1:54" ht="36.75" customHeight="1">
      <c r="A1739" s="30"/>
      <c r="B1739" s="30" t="s">
        <v>55</v>
      </c>
      <c r="C1739" s="69" t="str">
        <f t="shared" si="117"/>
        <v>Closed</v>
      </c>
      <c r="D1739" s="27" t="s">
        <v>9697</v>
      </c>
      <c r="E1739" s="29" t="s">
        <v>9698</v>
      </c>
      <c r="F1739" s="30" t="s">
        <v>423</v>
      </c>
      <c r="G1739" s="89">
        <f>DATE(2014,3,7)</f>
        <v>41705</v>
      </c>
      <c r="H1739" s="90">
        <v>1.2048611111111112</v>
      </c>
      <c r="I1739" s="30" t="s">
        <v>73</v>
      </c>
      <c r="J1739" s="89" t="s">
        <v>9699</v>
      </c>
      <c r="K1739" s="30" t="s">
        <v>425</v>
      </c>
      <c r="L1739" s="30" t="s">
        <v>9700</v>
      </c>
      <c r="M1739" s="30" t="s">
        <v>63</v>
      </c>
      <c r="N1739" s="30" t="s">
        <v>89</v>
      </c>
      <c r="O1739" s="30" t="s">
        <v>77</v>
      </c>
      <c r="P1739" s="89" t="s">
        <v>165</v>
      </c>
      <c r="Q1739" s="89" t="s">
        <v>4551</v>
      </c>
      <c r="R1739" s="89" t="s">
        <v>3103</v>
      </c>
      <c r="S1739" s="30">
        <v>0</v>
      </c>
      <c r="T1739" s="233">
        <v>0</v>
      </c>
      <c r="U1739" s="30">
        <v>0</v>
      </c>
      <c r="V1739" s="233">
        <v>0</v>
      </c>
      <c r="W1739" s="30">
        <v>0</v>
      </c>
      <c r="X1739" s="30">
        <v>0</v>
      </c>
      <c r="Y1739" s="30">
        <v>0</v>
      </c>
      <c r="Z1739" s="233">
        <v>0</v>
      </c>
      <c r="AA1739" s="30">
        <v>0</v>
      </c>
      <c r="AB1739" s="30">
        <v>0</v>
      </c>
      <c r="AC1739" s="30">
        <v>0</v>
      </c>
      <c r="AD1739" s="30">
        <v>0</v>
      </c>
      <c r="AE1739" s="89" t="s">
        <v>92</v>
      </c>
      <c r="AF1739" s="89"/>
      <c r="AG1739" s="89" t="s">
        <v>133</v>
      </c>
      <c r="AH1739" s="72">
        <v>41823</v>
      </c>
      <c r="AI1739" s="30">
        <v>3</v>
      </c>
      <c r="AJ1739" s="89" t="s">
        <v>9701</v>
      </c>
      <c r="AK1739" s="89" t="s">
        <v>9702</v>
      </c>
      <c r="AL1739" s="91">
        <v>41708</v>
      </c>
      <c r="AM1739" s="91"/>
      <c r="AN1739" s="91"/>
      <c r="AO1739" s="91"/>
      <c r="AP1739" s="73" t="e">
        <f>MID(VLOOKUP(K1739,#REF!,2,FALSE),1,2)</f>
        <v>#REF!</v>
      </c>
      <c r="AQ1739" s="89">
        <f>DATE(2014,3,7)</f>
        <v>41705</v>
      </c>
      <c r="AR1739" s="82">
        <f t="shared" si="114"/>
        <v>7</v>
      </c>
      <c r="AS1739" s="83">
        <f t="shared" si="115"/>
        <v>3</v>
      </c>
      <c r="AT1739" s="84">
        <f t="shared" si="116"/>
        <v>2014</v>
      </c>
      <c r="AU1739" s="86"/>
      <c r="AV1739" s="86"/>
      <c r="AW1739" s="87"/>
      <c r="AX1739" s="86"/>
      <c r="AY1739" s="83"/>
      <c r="AZ1739" s="84"/>
      <c r="BA1739" s="86"/>
      <c r="BB1739" s="86"/>
    </row>
    <row r="1740" spans="1:54" ht="36.75" customHeight="1">
      <c r="A1740" s="30"/>
      <c r="B1740" s="30" t="s">
        <v>55</v>
      </c>
      <c r="C1740" s="69" t="str">
        <f t="shared" si="117"/>
        <v>Closed</v>
      </c>
      <c r="D1740" s="27" t="s">
        <v>9703</v>
      </c>
      <c r="E1740" s="29" t="s">
        <v>9704</v>
      </c>
      <c r="F1740" s="30" t="s">
        <v>423</v>
      </c>
      <c r="G1740" s="89">
        <f>DATE(2014,3,10)</f>
        <v>41708</v>
      </c>
      <c r="H1740" s="90">
        <v>1.2583333333333333</v>
      </c>
      <c r="I1740" s="30" t="s">
        <v>198</v>
      </c>
      <c r="J1740" s="89" t="s">
        <v>9705</v>
      </c>
      <c r="K1740" s="30" t="s">
        <v>425</v>
      </c>
      <c r="L1740" s="30" t="s">
        <v>9706</v>
      </c>
      <c r="M1740" s="30" t="s">
        <v>255</v>
      </c>
      <c r="N1740" s="30" t="s">
        <v>99</v>
      </c>
      <c r="O1740" s="30" t="s">
        <v>77</v>
      </c>
      <c r="P1740" s="89" t="s">
        <v>6552</v>
      </c>
      <c r="Q1740" s="89" t="s">
        <v>1343</v>
      </c>
      <c r="R1740" s="89" t="s">
        <v>1343</v>
      </c>
      <c r="S1740" s="30">
        <v>0</v>
      </c>
      <c r="T1740" s="233">
        <v>0</v>
      </c>
      <c r="U1740" s="30">
        <v>0</v>
      </c>
      <c r="V1740" s="233">
        <v>0</v>
      </c>
      <c r="W1740" s="30">
        <v>0</v>
      </c>
      <c r="X1740" s="30">
        <v>0</v>
      </c>
      <c r="Y1740" s="30">
        <v>0</v>
      </c>
      <c r="Z1740" s="233">
        <v>0</v>
      </c>
      <c r="AA1740" s="30">
        <v>0</v>
      </c>
      <c r="AB1740" s="30">
        <v>0</v>
      </c>
      <c r="AC1740" s="30">
        <v>0</v>
      </c>
      <c r="AD1740" s="30">
        <v>0</v>
      </c>
      <c r="AE1740" s="89" t="s">
        <v>92</v>
      </c>
      <c r="AF1740" s="89"/>
      <c r="AG1740" s="89" t="s">
        <v>367</v>
      </c>
      <c r="AH1740" s="72">
        <v>41712</v>
      </c>
      <c r="AI1740" s="30">
        <v>3</v>
      </c>
      <c r="AJ1740" s="89" t="s">
        <v>9707</v>
      </c>
      <c r="AK1740" s="89" t="s">
        <v>9708</v>
      </c>
      <c r="AL1740" s="91">
        <v>41715</v>
      </c>
      <c r="AM1740" s="91"/>
      <c r="AN1740" s="91"/>
      <c r="AO1740" s="91"/>
      <c r="AP1740" s="73" t="e">
        <f>MID(VLOOKUP(K1740,#REF!,2,FALSE),1,2)</f>
        <v>#REF!</v>
      </c>
      <c r="AQ1740" s="89">
        <f>DATE(2014,3,10)</f>
        <v>41708</v>
      </c>
      <c r="AR1740" s="82">
        <f t="shared" si="114"/>
        <v>10</v>
      </c>
      <c r="AS1740" s="83">
        <f t="shared" si="115"/>
        <v>3</v>
      </c>
      <c r="AT1740" s="84">
        <f t="shared" si="116"/>
        <v>2014</v>
      </c>
      <c r="AU1740" s="86"/>
      <c r="AV1740" s="86"/>
      <c r="AW1740" s="87"/>
      <c r="AX1740" s="86"/>
      <c r="AY1740" s="83"/>
      <c r="AZ1740" s="84"/>
      <c r="BA1740" s="86"/>
      <c r="BB1740" s="86"/>
    </row>
    <row r="1741" spans="1:54" ht="36.75" customHeight="1">
      <c r="A1741" s="30"/>
      <c r="B1741" s="30" t="s">
        <v>55</v>
      </c>
      <c r="C1741" s="69" t="str">
        <f t="shared" si="117"/>
        <v>Closed</v>
      </c>
      <c r="D1741" s="27" t="s">
        <v>9709</v>
      </c>
      <c r="E1741" s="29" t="s">
        <v>9710</v>
      </c>
      <c r="F1741" s="30" t="s">
        <v>1572</v>
      </c>
      <c r="G1741" s="89">
        <f>DATE(2014,3,10)</f>
        <v>41708</v>
      </c>
      <c r="H1741" s="90">
        <v>1.5104166666666665</v>
      </c>
      <c r="I1741" s="30" t="s">
        <v>73</v>
      </c>
      <c r="J1741" s="89" t="s">
        <v>9711</v>
      </c>
      <c r="K1741" s="30" t="s">
        <v>1574</v>
      </c>
      <c r="L1741" s="30" t="s">
        <v>9712</v>
      </c>
      <c r="M1741" s="30" t="s">
        <v>63</v>
      </c>
      <c r="N1741" s="30" t="s">
        <v>99</v>
      </c>
      <c r="O1741" s="30" t="s">
        <v>64</v>
      </c>
      <c r="P1741" s="89" t="s">
        <v>301</v>
      </c>
      <c r="Q1741" s="89" t="s">
        <v>6434</v>
      </c>
      <c r="R1741" s="89" t="s">
        <v>4920</v>
      </c>
      <c r="S1741" s="30">
        <v>0</v>
      </c>
      <c r="T1741" s="233">
        <v>0</v>
      </c>
      <c r="U1741" s="30">
        <v>0</v>
      </c>
      <c r="V1741" s="233">
        <v>0</v>
      </c>
      <c r="W1741" s="30">
        <v>0</v>
      </c>
      <c r="X1741" s="30">
        <v>0</v>
      </c>
      <c r="Y1741" s="30">
        <v>0</v>
      </c>
      <c r="Z1741" s="233">
        <v>0</v>
      </c>
      <c r="AA1741" s="30">
        <v>0</v>
      </c>
      <c r="AB1741" s="30">
        <v>0</v>
      </c>
      <c r="AC1741" s="30">
        <v>0</v>
      </c>
      <c r="AD1741" s="30">
        <v>0</v>
      </c>
      <c r="AE1741" s="89" t="s">
        <v>92</v>
      </c>
      <c r="AF1741" s="89"/>
      <c r="AG1741" s="89" t="s">
        <v>133</v>
      </c>
      <c r="AH1741" s="72">
        <v>41708</v>
      </c>
      <c r="AI1741" s="30">
        <v>1</v>
      </c>
      <c r="AJ1741" s="89" t="s">
        <v>9713</v>
      </c>
      <c r="AK1741" s="89" t="s">
        <v>9714</v>
      </c>
      <c r="AL1741" s="91">
        <v>41712</v>
      </c>
      <c r="AM1741" s="91"/>
      <c r="AN1741" s="91"/>
      <c r="AO1741" s="91"/>
      <c r="AP1741" s="73" t="e">
        <f>MID(VLOOKUP(K1741,#REF!,2,FALSE),1,2)</f>
        <v>#REF!</v>
      </c>
      <c r="AQ1741" s="89">
        <f>DATE(2014,3,10)</f>
        <v>41708</v>
      </c>
      <c r="AR1741" s="82">
        <f t="shared" si="114"/>
        <v>10</v>
      </c>
      <c r="AS1741" s="83">
        <f t="shared" si="115"/>
        <v>3</v>
      </c>
      <c r="AT1741" s="84">
        <f t="shared" si="116"/>
        <v>2014</v>
      </c>
      <c r="AU1741" s="86"/>
      <c r="AV1741" s="86"/>
      <c r="AW1741" s="87"/>
      <c r="AX1741" s="86"/>
      <c r="AY1741" s="83"/>
      <c r="AZ1741" s="84"/>
      <c r="BA1741" s="86"/>
      <c r="BB1741" s="86"/>
    </row>
    <row r="1742" spans="1:54" ht="36.75" customHeight="1">
      <c r="A1742" s="30"/>
      <c r="B1742" s="30" t="s">
        <v>55</v>
      </c>
      <c r="C1742" s="69" t="str">
        <f t="shared" si="117"/>
        <v>Closed</v>
      </c>
      <c r="D1742" s="27" t="s">
        <v>9715</v>
      </c>
      <c r="E1742" s="29" t="s">
        <v>9716</v>
      </c>
      <c r="F1742" s="30" t="s">
        <v>423</v>
      </c>
      <c r="G1742" s="89">
        <f>DATE(2014,3,13)</f>
        <v>41711</v>
      </c>
      <c r="H1742" s="90">
        <v>1.6194444444444445</v>
      </c>
      <c r="I1742" s="30" t="s">
        <v>198</v>
      </c>
      <c r="J1742" s="89" t="s">
        <v>9717</v>
      </c>
      <c r="K1742" s="30" t="s">
        <v>425</v>
      </c>
      <c r="L1742" s="30" t="s">
        <v>9718</v>
      </c>
      <c r="M1742" s="30" t="s">
        <v>63</v>
      </c>
      <c r="N1742" s="30" t="s">
        <v>142</v>
      </c>
      <c r="O1742" s="30" t="s">
        <v>64</v>
      </c>
      <c r="P1742" s="89" t="s">
        <v>3430</v>
      </c>
      <c r="Q1742" s="89" t="s">
        <v>9719</v>
      </c>
      <c r="R1742" s="89" t="s">
        <v>3103</v>
      </c>
      <c r="S1742" s="30">
        <v>0</v>
      </c>
      <c r="T1742" s="233">
        <v>0</v>
      </c>
      <c r="U1742" s="30">
        <v>0</v>
      </c>
      <c r="V1742" s="233">
        <v>0</v>
      </c>
      <c r="W1742" s="30">
        <v>0</v>
      </c>
      <c r="X1742" s="30">
        <v>0</v>
      </c>
      <c r="Y1742" s="30">
        <v>0</v>
      </c>
      <c r="Z1742" s="233">
        <v>0</v>
      </c>
      <c r="AA1742" s="30">
        <v>0</v>
      </c>
      <c r="AB1742" s="30">
        <v>0</v>
      </c>
      <c r="AC1742" s="30">
        <v>0</v>
      </c>
      <c r="AD1742" s="30">
        <v>0</v>
      </c>
      <c r="AE1742" s="89" t="s">
        <v>394</v>
      </c>
      <c r="AF1742" s="89"/>
      <c r="AG1742" s="89" t="s">
        <v>133</v>
      </c>
      <c r="AH1742" s="72">
        <v>41836</v>
      </c>
      <c r="AI1742" s="30">
        <v>2</v>
      </c>
      <c r="AJ1742" s="89" t="s">
        <v>9720</v>
      </c>
      <c r="AK1742" s="89" t="s">
        <v>9721</v>
      </c>
      <c r="AL1742" s="91">
        <v>41841</v>
      </c>
      <c r="AM1742" s="91"/>
      <c r="AN1742" s="91"/>
      <c r="AO1742" s="91"/>
      <c r="AP1742" s="73" t="e">
        <f>MID(VLOOKUP(K1742,#REF!,2,FALSE),1,2)</f>
        <v>#REF!</v>
      </c>
      <c r="AQ1742" s="89">
        <f>DATE(2014,3,13)</f>
        <v>41711</v>
      </c>
      <c r="AR1742" s="82">
        <f t="shared" si="114"/>
        <v>13</v>
      </c>
      <c r="AS1742" s="83">
        <f t="shared" si="115"/>
        <v>3</v>
      </c>
      <c r="AT1742" s="84">
        <f t="shared" si="116"/>
        <v>2014</v>
      </c>
      <c r="AU1742" s="86"/>
      <c r="AV1742" s="86"/>
      <c r="AW1742" s="87"/>
      <c r="AX1742" s="86"/>
      <c r="AY1742" s="83"/>
      <c r="AZ1742" s="84"/>
      <c r="BA1742" s="86"/>
      <c r="BB1742" s="86"/>
    </row>
    <row r="1743" spans="1:54" ht="36.75" customHeight="1">
      <c r="A1743" s="30"/>
      <c r="B1743" s="30" t="s">
        <v>55</v>
      </c>
      <c r="C1743" s="69" t="str">
        <f t="shared" si="117"/>
        <v>Closed</v>
      </c>
      <c r="D1743" s="27" t="s">
        <v>9722</v>
      </c>
      <c r="E1743" s="29" t="s">
        <v>9723</v>
      </c>
      <c r="F1743" s="30" t="s">
        <v>1572</v>
      </c>
      <c r="G1743" s="89">
        <f>DATE(2014,3,14)</f>
        <v>41712</v>
      </c>
      <c r="H1743" s="90">
        <v>1.5347222222222223</v>
      </c>
      <c r="I1743" s="30" t="s">
        <v>73</v>
      </c>
      <c r="J1743" s="89" t="s">
        <v>9724</v>
      </c>
      <c r="K1743" s="30" t="s">
        <v>1574</v>
      </c>
      <c r="L1743" s="30" t="s">
        <v>9725</v>
      </c>
      <c r="M1743" s="30" t="s">
        <v>63</v>
      </c>
      <c r="N1743" s="30" t="s">
        <v>99</v>
      </c>
      <c r="O1743" s="30" t="s">
        <v>64</v>
      </c>
      <c r="P1743" s="89" t="s">
        <v>301</v>
      </c>
      <c r="Q1743" s="89" t="s">
        <v>6434</v>
      </c>
      <c r="R1743" s="89" t="s">
        <v>4920</v>
      </c>
      <c r="S1743" s="30">
        <v>0</v>
      </c>
      <c r="T1743" s="233">
        <v>0</v>
      </c>
      <c r="U1743" s="30">
        <v>0</v>
      </c>
      <c r="V1743" s="233">
        <v>0</v>
      </c>
      <c r="W1743" s="30">
        <v>0</v>
      </c>
      <c r="X1743" s="30">
        <v>0</v>
      </c>
      <c r="Y1743" s="30">
        <v>0</v>
      </c>
      <c r="Z1743" s="233">
        <v>0</v>
      </c>
      <c r="AA1743" s="30">
        <v>0</v>
      </c>
      <c r="AB1743" s="30">
        <v>0</v>
      </c>
      <c r="AC1743" s="30">
        <v>0</v>
      </c>
      <c r="AD1743" s="30">
        <v>0</v>
      </c>
      <c r="AE1743" s="89" t="s">
        <v>92</v>
      </c>
      <c r="AF1743" s="89"/>
      <c r="AG1743" s="89" t="s">
        <v>133</v>
      </c>
      <c r="AH1743" s="72">
        <v>41715</v>
      </c>
      <c r="AI1743" s="30">
        <v>2</v>
      </c>
      <c r="AJ1743" s="89" t="s">
        <v>9726</v>
      </c>
      <c r="AK1743" s="89" t="s">
        <v>9727</v>
      </c>
      <c r="AL1743" s="91">
        <v>41718</v>
      </c>
      <c r="AM1743" s="91"/>
      <c r="AN1743" s="91"/>
      <c r="AO1743" s="91"/>
      <c r="AP1743" s="73" t="e">
        <f>MID(VLOOKUP(K1743,#REF!,2,FALSE),1,2)</f>
        <v>#REF!</v>
      </c>
      <c r="AQ1743" s="89">
        <f>DATE(2014,3,14)</f>
        <v>41712</v>
      </c>
      <c r="AR1743" s="82">
        <f t="shared" si="114"/>
        <v>14</v>
      </c>
      <c r="AS1743" s="83">
        <f t="shared" si="115"/>
        <v>3</v>
      </c>
      <c r="AT1743" s="84">
        <f t="shared" si="116"/>
        <v>2014</v>
      </c>
      <c r="AU1743" s="86"/>
      <c r="AV1743" s="86"/>
      <c r="AW1743" s="87"/>
      <c r="AX1743" s="86"/>
      <c r="AY1743" s="83"/>
      <c r="AZ1743" s="84"/>
      <c r="BA1743" s="86"/>
      <c r="BB1743" s="86"/>
    </row>
    <row r="1744" spans="1:54" ht="36.75" customHeight="1">
      <c r="A1744" s="30"/>
      <c r="B1744" s="30" t="s">
        <v>55</v>
      </c>
      <c r="C1744" s="69" t="str">
        <f t="shared" si="117"/>
        <v>Closed</v>
      </c>
      <c r="D1744" s="27" t="s">
        <v>9728</v>
      </c>
      <c r="E1744" s="29" t="s">
        <v>9729</v>
      </c>
      <c r="F1744" s="30" t="s">
        <v>423</v>
      </c>
      <c r="G1744" s="89">
        <f>DATE(2014,3,15)</f>
        <v>41713</v>
      </c>
      <c r="H1744" s="90">
        <v>1.179861111111111</v>
      </c>
      <c r="I1744" s="30" t="s">
        <v>116</v>
      </c>
      <c r="J1744" s="89" t="s">
        <v>9730</v>
      </c>
      <c r="K1744" s="30" t="s">
        <v>425</v>
      </c>
      <c r="L1744" s="30" t="s">
        <v>9731</v>
      </c>
      <c r="M1744" s="30" t="s">
        <v>63</v>
      </c>
      <c r="N1744" s="30" t="s">
        <v>142</v>
      </c>
      <c r="O1744" s="30" t="s">
        <v>64</v>
      </c>
      <c r="P1744" s="89" t="s">
        <v>65</v>
      </c>
      <c r="Q1744" s="89" t="s">
        <v>427</v>
      </c>
      <c r="R1744" s="89" t="s">
        <v>3103</v>
      </c>
      <c r="S1744" s="30">
        <v>0</v>
      </c>
      <c r="T1744" s="233">
        <v>0</v>
      </c>
      <c r="U1744" s="30">
        <v>0</v>
      </c>
      <c r="V1744" s="233">
        <v>0</v>
      </c>
      <c r="W1744" s="30">
        <v>0</v>
      </c>
      <c r="X1744" s="30">
        <v>0</v>
      </c>
      <c r="Y1744" s="30">
        <v>0</v>
      </c>
      <c r="Z1744" s="233">
        <v>0</v>
      </c>
      <c r="AA1744" s="30">
        <v>0</v>
      </c>
      <c r="AB1744" s="30">
        <v>0</v>
      </c>
      <c r="AC1744" s="30">
        <v>0</v>
      </c>
      <c r="AD1744" s="30">
        <v>0</v>
      </c>
      <c r="AE1744" s="89" t="s">
        <v>92</v>
      </c>
      <c r="AF1744" s="89"/>
      <c r="AG1744" s="89" t="s">
        <v>133</v>
      </c>
      <c r="AH1744" s="72">
        <v>41744</v>
      </c>
      <c r="AI1744" s="30">
        <v>4</v>
      </c>
      <c r="AJ1744" s="89" t="s">
        <v>9732</v>
      </c>
      <c r="AK1744" s="89" t="s">
        <v>9733</v>
      </c>
      <c r="AL1744" s="91">
        <v>41745</v>
      </c>
      <c r="AM1744" s="91"/>
      <c r="AN1744" s="91"/>
      <c r="AO1744" s="91"/>
      <c r="AP1744" s="73" t="e">
        <f>MID(VLOOKUP(K1744,#REF!,2,FALSE),1,2)</f>
        <v>#REF!</v>
      </c>
      <c r="AQ1744" s="89">
        <f>DATE(2014,3,15)</f>
        <v>41713</v>
      </c>
      <c r="AR1744" s="82">
        <f t="shared" si="114"/>
        <v>15</v>
      </c>
      <c r="AS1744" s="83">
        <f t="shared" si="115"/>
        <v>3</v>
      </c>
      <c r="AT1744" s="84">
        <f t="shared" si="116"/>
        <v>2014</v>
      </c>
      <c r="AU1744" s="86"/>
      <c r="AV1744" s="86"/>
      <c r="AW1744" s="87"/>
      <c r="AX1744" s="86"/>
      <c r="AY1744" s="83"/>
      <c r="AZ1744" s="84"/>
      <c r="BA1744" s="86"/>
      <c r="BB1744" s="86"/>
    </row>
    <row r="1745" spans="1:54" ht="36.75" customHeight="1">
      <c r="A1745" s="30"/>
      <c r="B1745" s="30" t="s">
        <v>55</v>
      </c>
      <c r="C1745" s="69" t="str">
        <f t="shared" si="117"/>
        <v>Closed</v>
      </c>
      <c r="D1745" s="27" t="s">
        <v>9734</v>
      </c>
      <c r="E1745" s="29" t="s">
        <v>9735</v>
      </c>
      <c r="F1745" s="30" t="s">
        <v>582</v>
      </c>
      <c r="G1745" s="89">
        <f>DATE(2014,3,20)</f>
        <v>41718</v>
      </c>
      <c r="H1745" s="90">
        <v>1.8583333333333334</v>
      </c>
      <c r="I1745" s="30" t="s">
        <v>73</v>
      </c>
      <c r="J1745" s="89" t="s">
        <v>9736</v>
      </c>
      <c r="K1745" s="30" t="s">
        <v>584</v>
      </c>
      <c r="L1745" s="30" t="s">
        <v>9737</v>
      </c>
      <c r="M1745" s="30" t="s">
        <v>63</v>
      </c>
      <c r="N1745" s="30" t="s">
        <v>142</v>
      </c>
      <c r="O1745" s="30" t="s">
        <v>77</v>
      </c>
      <c r="P1745" s="89" t="s">
        <v>301</v>
      </c>
      <c r="Q1745" s="89" t="s">
        <v>9738</v>
      </c>
      <c r="R1745" s="89" t="s">
        <v>587</v>
      </c>
      <c r="S1745" s="30">
        <v>0</v>
      </c>
      <c r="T1745" s="233">
        <v>0</v>
      </c>
      <c r="U1745" s="30">
        <v>0</v>
      </c>
      <c r="V1745" s="233">
        <v>0</v>
      </c>
      <c r="W1745" s="30">
        <v>0</v>
      </c>
      <c r="X1745" s="30">
        <v>0</v>
      </c>
      <c r="Y1745" s="30">
        <v>0</v>
      </c>
      <c r="Z1745" s="233">
        <v>0</v>
      </c>
      <c r="AA1745" s="30">
        <v>0</v>
      </c>
      <c r="AB1745" s="30">
        <v>0</v>
      </c>
      <c r="AC1745" s="30">
        <v>0</v>
      </c>
      <c r="AD1745" s="30">
        <v>0</v>
      </c>
      <c r="AE1745" s="89" t="s">
        <v>92</v>
      </c>
      <c r="AF1745" s="89"/>
      <c r="AG1745" s="89" t="s">
        <v>133</v>
      </c>
      <c r="AH1745" s="72">
        <v>41723</v>
      </c>
      <c r="AI1745" s="30">
        <v>0</v>
      </c>
      <c r="AJ1745" s="89" t="s">
        <v>9739</v>
      </c>
      <c r="AK1745" s="89" t="s">
        <v>1233</v>
      </c>
      <c r="AL1745" s="91">
        <v>41724</v>
      </c>
      <c r="AM1745" s="91"/>
      <c r="AN1745" s="91"/>
      <c r="AO1745" s="91"/>
      <c r="AP1745" s="73" t="e">
        <f>MID(VLOOKUP(K1745,#REF!,2,FALSE),1,2)</f>
        <v>#REF!</v>
      </c>
      <c r="AQ1745" s="89">
        <f>DATE(2014,3,20)</f>
        <v>41718</v>
      </c>
      <c r="AR1745" s="82">
        <f t="shared" si="114"/>
        <v>20</v>
      </c>
      <c r="AS1745" s="83">
        <f t="shared" si="115"/>
        <v>3</v>
      </c>
      <c r="AT1745" s="84">
        <f t="shared" si="116"/>
        <v>2014</v>
      </c>
      <c r="AU1745" s="86"/>
      <c r="AV1745" s="86"/>
      <c r="AW1745" s="87"/>
      <c r="AX1745" s="86"/>
      <c r="AY1745" s="83"/>
      <c r="AZ1745" s="84"/>
      <c r="BA1745" s="86"/>
      <c r="BB1745" s="86"/>
    </row>
    <row r="1746" spans="1:54" ht="36.75" customHeight="1">
      <c r="A1746" s="30"/>
      <c r="B1746" s="30" t="s">
        <v>55</v>
      </c>
      <c r="C1746" s="69" t="str">
        <f t="shared" si="117"/>
        <v>Closed</v>
      </c>
      <c r="D1746" s="27" t="s">
        <v>9740</v>
      </c>
      <c r="E1746" s="29" t="s">
        <v>9741</v>
      </c>
      <c r="F1746" s="30" t="s">
        <v>233</v>
      </c>
      <c r="G1746" s="89">
        <f>DATE(2014,3,20)</f>
        <v>41718</v>
      </c>
      <c r="H1746" s="90">
        <v>1.4944444444444445</v>
      </c>
      <c r="I1746" s="30" t="s">
        <v>104</v>
      </c>
      <c r="J1746" s="89" t="s">
        <v>9742</v>
      </c>
      <c r="K1746" s="30" t="s">
        <v>235</v>
      </c>
      <c r="L1746" s="30" t="s">
        <v>9743</v>
      </c>
      <c r="M1746" s="30" t="s">
        <v>63</v>
      </c>
      <c r="N1746" s="30" t="s">
        <v>142</v>
      </c>
      <c r="O1746" s="30" t="s">
        <v>64</v>
      </c>
      <c r="P1746" s="89" t="s">
        <v>165</v>
      </c>
      <c r="Q1746" s="89" t="s">
        <v>9744</v>
      </c>
      <c r="R1746" s="89" t="s">
        <v>238</v>
      </c>
      <c r="S1746" s="30">
        <v>0</v>
      </c>
      <c r="T1746" s="233">
        <v>0</v>
      </c>
      <c r="U1746" s="30">
        <v>0</v>
      </c>
      <c r="V1746" s="233">
        <v>0</v>
      </c>
      <c r="W1746" s="30">
        <v>0</v>
      </c>
      <c r="X1746" s="30">
        <v>0</v>
      </c>
      <c r="Y1746" s="30">
        <v>0</v>
      </c>
      <c r="Z1746" s="233">
        <v>0</v>
      </c>
      <c r="AA1746" s="30">
        <v>0</v>
      </c>
      <c r="AB1746" s="30">
        <v>0</v>
      </c>
      <c r="AC1746" s="30">
        <v>0</v>
      </c>
      <c r="AD1746" s="30">
        <v>0</v>
      </c>
      <c r="AE1746" s="89" t="s">
        <v>92</v>
      </c>
      <c r="AF1746" s="89"/>
      <c r="AG1746" s="89" t="s">
        <v>133</v>
      </c>
      <c r="AH1746" s="72">
        <v>41729</v>
      </c>
      <c r="AI1746" s="30">
        <v>3</v>
      </c>
      <c r="AJ1746" s="89" t="s">
        <v>9745</v>
      </c>
      <c r="AK1746" s="89" t="s">
        <v>9746</v>
      </c>
      <c r="AL1746" s="91">
        <v>41738</v>
      </c>
      <c r="AM1746" s="91"/>
      <c r="AN1746" s="91"/>
      <c r="AO1746" s="91"/>
      <c r="AP1746" s="73" t="e">
        <f>MID(VLOOKUP(K1746,#REF!,2,FALSE),1,2)</f>
        <v>#REF!</v>
      </c>
      <c r="AQ1746" s="89">
        <f>DATE(2014,3,20)</f>
        <v>41718</v>
      </c>
      <c r="AR1746" s="82">
        <f t="shared" si="114"/>
        <v>20</v>
      </c>
      <c r="AS1746" s="83">
        <f t="shared" si="115"/>
        <v>3</v>
      </c>
      <c r="AT1746" s="84">
        <f t="shared" si="116"/>
        <v>2014</v>
      </c>
      <c r="AU1746" s="86"/>
      <c r="AV1746" s="86"/>
      <c r="AW1746" s="87"/>
      <c r="AX1746" s="86"/>
      <c r="AY1746" s="83"/>
      <c r="AZ1746" s="84"/>
      <c r="BA1746" s="86"/>
      <c r="BB1746" s="86"/>
    </row>
    <row r="1747" spans="1:54" ht="36.75" customHeight="1">
      <c r="A1747" s="30"/>
      <c r="B1747" s="30" t="s">
        <v>55</v>
      </c>
      <c r="C1747" s="69" t="str">
        <f t="shared" si="117"/>
        <v>Closed</v>
      </c>
      <c r="D1747" s="27" t="s">
        <v>9747</v>
      </c>
      <c r="E1747" s="29" t="s">
        <v>9748</v>
      </c>
      <c r="F1747" s="30" t="s">
        <v>423</v>
      </c>
      <c r="G1747" s="89">
        <f>DATE(2014,3,24)</f>
        <v>41722</v>
      </c>
      <c r="H1747" s="90">
        <v>1.3548611111111111</v>
      </c>
      <c r="I1747" s="30" t="s">
        <v>116</v>
      </c>
      <c r="J1747" s="89" t="s">
        <v>9749</v>
      </c>
      <c r="K1747" s="30" t="s">
        <v>425</v>
      </c>
      <c r="L1747" s="30" t="s">
        <v>9750</v>
      </c>
      <c r="M1747" s="30" t="s">
        <v>63</v>
      </c>
      <c r="N1747" s="30" t="s">
        <v>99</v>
      </c>
      <c r="O1747" s="30" t="s">
        <v>64</v>
      </c>
      <c r="P1747" s="89" t="s">
        <v>165</v>
      </c>
      <c r="Q1747" s="89" t="s">
        <v>427</v>
      </c>
      <c r="R1747" s="89" t="s">
        <v>3103</v>
      </c>
      <c r="S1747" s="30">
        <v>0</v>
      </c>
      <c r="T1747" s="233">
        <v>0</v>
      </c>
      <c r="U1747" s="30">
        <v>1</v>
      </c>
      <c r="V1747" s="233">
        <v>0</v>
      </c>
      <c r="W1747" s="30">
        <v>0</v>
      </c>
      <c r="X1747" s="30">
        <v>1</v>
      </c>
      <c r="Y1747" s="30">
        <v>0</v>
      </c>
      <c r="Z1747" s="233">
        <v>0</v>
      </c>
      <c r="AA1747" s="30">
        <v>0</v>
      </c>
      <c r="AB1747" s="30">
        <v>0</v>
      </c>
      <c r="AC1747" s="30">
        <v>0</v>
      </c>
      <c r="AD1747" s="30">
        <v>0</v>
      </c>
      <c r="AE1747" s="89" t="s">
        <v>92</v>
      </c>
      <c r="AF1747" s="89"/>
      <c r="AG1747" s="89" t="s">
        <v>133</v>
      </c>
      <c r="AH1747" s="72">
        <v>41753</v>
      </c>
      <c r="AI1747" s="30">
        <v>2</v>
      </c>
      <c r="AJ1747" s="89" t="s">
        <v>9751</v>
      </c>
      <c r="AK1747" s="89" t="s">
        <v>9752</v>
      </c>
      <c r="AL1747" s="91">
        <v>41754</v>
      </c>
      <c r="AM1747" s="91"/>
      <c r="AN1747" s="91"/>
      <c r="AO1747" s="91"/>
      <c r="AP1747" s="73" t="e">
        <f>MID(VLOOKUP(K1747,#REF!,2,FALSE),1,2)</f>
        <v>#REF!</v>
      </c>
      <c r="AQ1747" s="89">
        <f>DATE(2014,3,24)</f>
        <v>41722</v>
      </c>
      <c r="AR1747" s="82">
        <f t="shared" si="114"/>
        <v>24</v>
      </c>
      <c r="AS1747" s="83">
        <f t="shared" si="115"/>
        <v>3</v>
      </c>
      <c r="AT1747" s="84">
        <f t="shared" si="116"/>
        <v>2014</v>
      </c>
      <c r="AU1747" s="86"/>
      <c r="AV1747" s="86"/>
      <c r="AW1747" s="87"/>
      <c r="AX1747" s="86"/>
      <c r="AY1747" s="83"/>
      <c r="AZ1747" s="84"/>
      <c r="BA1747" s="86"/>
      <c r="BB1747" s="86"/>
    </row>
    <row r="1748" spans="1:54" ht="36.75" customHeight="1">
      <c r="A1748" s="30"/>
      <c r="B1748" s="30" t="s">
        <v>55</v>
      </c>
      <c r="C1748" s="69" t="str">
        <f t="shared" si="117"/>
        <v>Closed</v>
      </c>
      <c r="D1748" s="27" t="s">
        <v>9753</v>
      </c>
      <c r="E1748" s="29" t="s">
        <v>9754</v>
      </c>
      <c r="F1748" s="30" t="s">
        <v>835</v>
      </c>
      <c r="G1748" s="89">
        <f>DATE(2014,3,26)</f>
        <v>41724</v>
      </c>
      <c r="H1748" s="90">
        <v>1.6145833333333335</v>
      </c>
      <c r="I1748" s="30" t="s">
        <v>5494</v>
      </c>
      <c r="J1748" s="89" t="s">
        <v>9755</v>
      </c>
      <c r="K1748" s="30" t="s">
        <v>837</v>
      </c>
      <c r="L1748" s="30" t="s">
        <v>9756</v>
      </c>
      <c r="M1748" s="30" t="s">
        <v>129</v>
      </c>
      <c r="N1748" s="30" t="s">
        <v>99</v>
      </c>
      <c r="O1748" s="30" t="s">
        <v>64</v>
      </c>
      <c r="P1748" s="89" t="s">
        <v>129</v>
      </c>
      <c r="Q1748" s="89" t="s">
        <v>4210</v>
      </c>
      <c r="R1748" s="89" t="s">
        <v>4210</v>
      </c>
      <c r="S1748" s="30">
        <v>0</v>
      </c>
      <c r="T1748" s="233">
        <v>0</v>
      </c>
      <c r="U1748" s="30">
        <v>0</v>
      </c>
      <c r="V1748" s="233">
        <v>0</v>
      </c>
      <c r="W1748" s="30">
        <v>0</v>
      </c>
      <c r="X1748" s="30">
        <v>0</v>
      </c>
      <c r="Y1748" s="30">
        <v>0</v>
      </c>
      <c r="Z1748" s="233">
        <v>0</v>
      </c>
      <c r="AA1748" s="30">
        <v>0</v>
      </c>
      <c r="AB1748" s="30">
        <v>0</v>
      </c>
      <c r="AC1748" s="30">
        <v>0</v>
      </c>
      <c r="AD1748" s="30">
        <v>0</v>
      </c>
      <c r="AE1748" s="89" t="s">
        <v>92</v>
      </c>
      <c r="AF1748" s="89"/>
      <c r="AG1748" s="89" t="s">
        <v>352</v>
      </c>
      <c r="AH1748" s="72">
        <v>41724</v>
      </c>
      <c r="AI1748" s="30">
        <v>0</v>
      </c>
      <c r="AJ1748" s="89" t="s">
        <v>9757</v>
      </c>
      <c r="AK1748" s="89" t="s">
        <v>1233</v>
      </c>
      <c r="AL1748" s="91">
        <v>41974</v>
      </c>
      <c r="AM1748" s="91"/>
      <c r="AN1748" s="91"/>
      <c r="AO1748" s="91"/>
      <c r="AP1748" s="73" t="e">
        <f>MID(VLOOKUP(K1748,#REF!,2,FALSE),1,2)</f>
        <v>#REF!</v>
      </c>
      <c r="AQ1748" s="89">
        <f>DATE(2014,3,26)</f>
        <v>41724</v>
      </c>
      <c r="AR1748" s="82">
        <f t="shared" si="114"/>
        <v>26</v>
      </c>
      <c r="AS1748" s="83">
        <f t="shared" si="115"/>
        <v>3</v>
      </c>
      <c r="AT1748" s="84">
        <f t="shared" si="116"/>
        <v>2014</v>
      </c>
      <c r="AU1748" s="86"/>
      <c r="AV1748" s="86"/>
      <c r="AW1748" s="87"/>
      <c r="AX1748" s="86"/>
      <c r="AY1748" s="83"/>
      <c r="AZ1748" s="84"/>
      <c r="BA1748" s="86"/>
      <c r="BB1748" s="86"/>
    </row>
    <row r="1749" spans="1:54" ht="36.75" customHeight="1">
      <c r="A1749" s="30"/>
      <c r="B1749" s="30" t="s">
        <v>55</v>
      </c>
      <c r="C1749" s="69" t="str">
        <f t="shared" si="117"/>
        <v>Closed</v>
      </c>
      <c r="D1749" s="27" t="s">
        <v>9758</v>
      </c>
      <c r="E1749" s="29" t="s">
        <v>9759</v>
      </c>
      <c r="F1749" s="30" t="s">
        <v>2601</v>
      </c>
      <c r="G1749" s="89">
        <f>DATE(2014,3,28)</f>
        <v>41726</v>
      </c>
      <c r="H1749" s="90">
        <v>1.3472222222222223</v>
      </c>
      <c r="I1749" s="30" t="s">
        <v>73</v>
      </c>
      <c r="J1749" s="89" t="s">
        <v>9760</v>
      </c>
      <c r="K1749" s="30" t="s">
        <v>2603</v>
      </c>
      <c r="L1749" s="30" t="s">
        <v>9761</v>
      </c>
      <c r="M1749" s="30" t="s">
        <v>63</v>
      </c>
      <c r="N1749" s="30" t="s">
        <v>89</v>
      </c>
      <c r="O1749" s="30" t="s">
        <v>77</v>
      </c>
      <c r="P1749" s="89" t="s">
        <v>78</v>
      </c>
      <c r="Q1749" s="89" t="s">
        <v>4813</v>
      </c>
      <c r="R1749" s="89" t="s">
        <v>2606</v>
      </c>
      <c r="S1749" s="30">
        <v>0</v>
      </c>
      <c r="T1749" s="233">
        <v>0</v>
      </c>
      <c r="U1749" s="30">
        <v>0</v>
      </c>
      <c r="V1749" s="233">
        <v>0</v>
      </c>
      <c r="W1749" s="30">
        <v>0</v>
      </c>
      <c r="X1749" s="30">
        <v>0</v>
      </c>
      <c r="Y1749" s="30">
        <v>0</v>
      </c>
      <c r="Z1749" s="233">
        <v>0</v>
      </c>
      <c r="AA1749" s="30">
        <v>0</v>
      </c>
      <c r="AB1749" s="30">
        <v>0</v>
      </c>
      <c r="AC1749" s="30">
        <v>0</v>
      </c>
      <c r="AD1749" s="30">
        <v>0</v>
      </c>
      <c r="AE1749" s="89" t="s">
        <v>92</v>
      </c>
      <c r="AF1749" s="89"/>
      <c r="AG1749" s="89" t="s">
        <v>133</v>
      </c>
      <c r="AH1749" s="72">
        <v>41726</v>
      </c>
      <c r="AI1749" s="30">
        <v>3</v>
      </c>
      <c r="AJ1749" s="89" t="s">
        <v>9762</v>
      </c>
      <c r="AK1749" s="89" t="s">
        <v>9763</v>
      </c>
      <c r="AL1749" s="91">
        <v>41771</v>
      </c>
      <c r="AM1749" s="91"/>
      <c r="AN1749" s="91"/>
      <c r="AO1749" s="91"/>
      <c r="AP1749" s="73" t="e">
        <f>MID(VLOOKUP(K1749,#REF!,2,FALSE),1,2)</f>
        <v>#REF!</v>
      </c>
      <c r="AQ1749" s="89">
        <f>DATE(2014,3,28)</f>
        <v>41726</v>
      </c>
      <c r="AR1749" s="82">
        <f t="shared" si="114"/>
        <v>28</v>
      </c>
      <c r="AS1749" s="83">
        <f t="shared" si="115"/>
        <v>3</v>
      </c>
      <c r="AT1749" s="84">
        <f t="shared" si="116"/>
        <v>2014</v>
      </c>
      <c r="AU1749" s="86"/>
      <c r="AV1749" s="86"/>
      <c r="AW1749" s="87"/>
      <c r="AX1749" s="86"/>
      <c r="AY1749" s="83"/>
      <c r="AZ1749" s="84"/>
      <c r="BA1749" s="86"/>
      <c r="BB1749" s="86"/>
    </row>
    <row r="1750" spans="1:54" ht="36.75" customHeight="1">
      <c r="A1750" s="30"/>
      <c r="B1750" s="30" t="s">
        <v>55</v>
      </c>
      <c r="C1750" s="69" t="str">
        <f t="shared" si="117"/>
        <v>Closed</v>
      </c>
      <c r="D1750" s="27" t="s">
        <v>9764</v>
      </c>
      <c r="E1750" s="29" t="s">
        <v>9765</v>
      </c>
      <c r="F1750" s="30" t="s">
        <v>423</v>
      </c>
      <c r="G1750" s="89">
        <f>DATE(2014,3,28)</f>
        <v>41726</v>
      </c>
      <c r="H1750" s="90">
        <v>1.5138888888888888</v>
      </c>
      <c r="I1750" s="30" t="s">
        <v>104</v>
      </c>
      <c r="J1750" s="89" t="s">
        <v>9766</v>
      </c>
      <c r="K1750" s="30" t="s">
        <v>425</v>
      </c>
      <c r="L1750" s="30" t="s">
        <v>9767</v>
      </c>
      <c r="M1750" s="30" t="s">
        <v>63</v>
      </c>
      <c r="N1750" s="30" t="s">
        <v>89</v>
      </c>
      <c r="O1750" s="30" t="s">
        <v>77</v>
      </c>
      <c r="P1750" s="89" t="s">
        <v>165</v>
      </c>
      <c r="Q1750" s="89" t="s">
        <v>427</v>
      </c>
      <c r="R1750" s="89" t="s">
        <v>3103</v>
      </c>
      <c r="S1750" s="30">
        <v>0</v>
      </c>
      <c r="T1750" s="233">
        <v>0</v>
      </c>
      <c r="U1750" s="30">
        <v>0</v>
      </c>
      <c r="V1750" s="233">
        <v>0</v>
      </c>
      <c r="W1750" s="30">
        <v>0</v>
      </c>
      <c r="X1750" s="30">
        <v>0</v>
      </c>
      <c r="Y1750" s="30">
        <v>0</v>
      </c>
      <c r="Z1750" s="233">
        <v>0</v>
      </c>
      <c r="AA1750" s="30">
        <v>0</v>
      </c>
      <c r="AB1750" s="30">
        <v>0</v>
      </c>
      <c r="AC1750" s="30">
        <v>0</v>
      </c>
      <c r="AD1750" s="30">
        <v>0</v>
      </c>
      <c r="AE1750" s="89" t="s">
        <v>92</v>
      </c>
      <c r="AF1750" s="89"/>
      <c r="AG1750" s="89" t="s">
        <v>133</v>
      </c>
      <c r="AH1750" s="72">
        <v>41674</v>
      </c>
      <c r="AI1750" s="30">
        <v>1</v>
      </c>
      <c r="AJ1750" s="89" t="s">
        <v>9768</v>
      </c>
      <c r="AK1750" s="89" t="s">
        <v>9769</v>
      </c>
      <c r="AL1750" s="91">
        <v>41736</v>
      </c>
      <c r="AM1750" s="91"/>
      <c r="AN1750" s="91"/>
      <c r="AO1750" s="91"/>
      <c r="AP1750" s="73" t="e">
        <f>MID(VLOOKUP(K1750,#REF!,2,FALSE),1,2)</f>
        <v>#REF!</v>
      </c>
      <c r="AQ1750" s="89">
        <f>DATE(2014,3,28)</f>
        <v>41726</v>
      </c>
      <c r="AR1750" s="82">
        <f t="shared" si="114"/>
        <v>28</v>
      </c>
      <c r="AS1750" s="83">
        <f t="shared" si="115"/>
        <v>3</v>
      </c>
      <c r="AT1750" s="84">
        <f t="shared" si="116"/>
        <v>2014</v>
      </c>
      <c r="AU1750" s="86"/>
      <c r="AV1750" s="86"/>
      <c r="AW1750" s="87"/>
      <c r="AX1750" s="86"/>
      <c r="AY1750" s="83"/>
      <c r="AZ1750" s="84"/>
      <c r="BA1750" s="86"/>
      <c r="BB1750" s="86"/>
    </row>
    <row r="1751" spans="1:54" ht="36.75" customHeight="1">
      <c r="A1751" s="30"/>
      <c r="B1751" s="30" t="s">
        <v>55</v>
      </c>
      <c r="C1751" s="69" t="str">
        <f t="shared" si="117"/>
        <v>Closed</v>
      </c>
      <c r="D1751" s="27" t="s">
        <v>9770</v>
      </c>
      <c r="E1751" s="29" t="s">
        <v>9771</v>
      </c>
      <c r="F1751" s="30" t="s">
        <v>233</v>
      </c>
      <c r="G1751" s="89">
        <f>DATE(2014,4,2)</f>
        <v>41731</v>
      </c>
      <c r="H1751" s="90">
        <v>1.5152777777777779</v>
      </c>
      <c r="I1751" s="30" t="s">
        <v>73</v>
      </c>
      <c r="J1751" s="89" t="s">
        <v>9772</v>
      </c>
      <c r="K1751" s="30" t="s">
        <v>235</v>
      </c>
      <c r="L1751" s="30" t="s">
        <v>9773</v>
      </c>
      <c r="M1751" s="30" t="s">
        <v>63</v>
      </c>
      <c r="N1751" s="30" t="s">
        <v>142</v>
      </c>
      <c r="O1751" s="30" t="s">
        <v>64</v>
      </c>
      <c r="P1751" s="89" t="s">
        <v>78</v>
      </c>
      <c r="Q1751" s="89" t="s">
        <v>434</v>
      </c>
      <c r="R1751" s="89" t="s">
        <v>238</v>
      </c>
      <c r="S1751" s="30">
        <v>0</v>
      </c>
      <c r="T1751" s="233">
        <v>0</v>
      </c>
      <c r="U1751" s="30">
        <v>0</v>
      </c>
      <c r="V1751" s="233">
        <v>0</v>
      </c>
      <c r="W1751" s="30">
        <v>0</v>
      </c>
      <c r="X1751" s="30">
        <v>0</v>
      </c>
      <c r="Y1751" s="30">
        <v>0</v>
      </c>
      <c r="Z1751" s="233">
        <v>0</v>
      </c>
      <c r="AA1751" s="30">
        <v>0</v>
      </c>
      <c r="AB1751" s="30">
        <v>0</v>
      </c>
      <c r="AC1751" s="30">
        <v>0</v>
      </c>
      <c r="AD1751" s="30">
        <v>0</v>
      </c>
      <c r="AE1751" s="89" t="s">
        <v>92</v>
      </c>
      <c r="AF1751" s="89"/>
      <c r="AG1751" s="89" t="s">
        <v>133</v>
      </c>
      <c r="AH1751" s="72">
        <v>41751</v>
      </c>
      <c r="AI1751" s="30">
        <v>6</v>
      </c>
      <c r="AJ1751" s="89" t="s">
        <v>9774</v>
      </c>
      <c r="AK1751" s="89" t="s">
        <v>9775</v>
      </c>
      <c r="AL1751" s="91">
        <v>41796</v>
      </c>
      <c r="AM1751" s="91"/>
      <c r="AN1751" s="91"/>
      <c r="AO1751" s="91"/>
      <c r="AP1751" s="73" t="e">
        <f>MID(VLOOKUP(K1751,#REF!,2,FALSE),1,2)</f>
        <v>#REF!</v>
      </c>
      <c r="AQ1751" s="89">
        <f>DATE(2014,4,2)</f>
        <v>41731</v>
      </c>
      <c r="AR1751" s="82">
        <f t="shared" si="114"/>
        <v>2</v>
      </c>
      <c r="AS1751" s="83">
        <f t="shared" si="115"/>
        <v>4</v>
      </c>
      <c r="AT1751" s="84">
        <f t="shared" si="116"/>
        <v>2014</v>
      </c>
      <c r="AU1751" s="86"/>
      <c r="AV1751" s="86"/>
      <c r="AW1751" s="87"/>
      <c r="AX1751" s="86"/>
      <c r="AY1751" s="83"/>
      <c r="AZ1751" s="84"/>
      <c r="BA1751" s="86"/>
      <c r="BB1751" s="86"/>
    </row>
    <row r="1752" spans="1:54" ht="36.75" customHeight="1">
      <c r="A1752" s="30"/>
      <c r="B1752" s="30" t="s">
        <v>55</v>
      </c>
      <c r="C1752" s="69" t="str">
        <f t="shared" si="117"/>
        <v>Closed</v>
      </c>
      <c r="D1752" s="27" t="s">
        <v>9776</v>
      </c>
      <c r="E1752" s="29" t="s">
        <v>9777</v>
      </c>
      <c r="F1752" s="30" t="s">
        <v>835</v>
      </c>
      <c r="G1752" s="89">
        <f>DATE(2014,4,6)</f>
        <v>41735</v>
      </c>
      <c r="H1752" s="90">
        <v>1.6236111111111111</v>
      </c>
      <c r="I1752" s="30" t="s">
        <v>73</v>
      </c>
      <c r="J1752" s="89" t="s">
        <v>9778</v>
      </c>
      <c r="K1752" s="30" t="s">
        <v>837</v>
      </c>
      <c r="L1752" s="30" t="s">
        <v>9779</v>
      </c>
      <c r="M1752" s="30" t="s">
        <v>63</v>
      </c>
      <c r="N1752" s="30" t="s">
        <v>142</v>
      </c>
      <c r="O1752" s="30" t="s">
        <v>77</v>
      </c>
      <c r="P1752" s="89" t="s">
        <v>78</v>
      </c>
      <c r="Q1752" s="89" t="s">
        <v>1201</v>
      </c>
      <c r="R1752" s="89" t="s">
        <v>840</v>
      </c>
      <c r="S1752" s="30">
        <v>0</v>
      </c>
      <c r="T1752" s="233">
        <v>0</v>
      </c>
      <c r="U1752" s="30">
        <v>0</v>
      </c>
      <c r="V1752" s="233">
        <v>0</v>
      </c>
      <c r="W1752" s="30">
        <v>0</v>
      </c>
      <c r="X1752" s="30">
        <v>0</v>
      </c>
      <c r="Y1752" s="30">
        <v>0</v>
      </c>
      <c r="Z1752" s="233">
        <v>0</v>
      </c>
      <c r="AA1752" s="30">
        <v>0</v>
      </c>
      <c r="AB1752" s="30">
        <v>0</v>
      </c>
      <c r="AC1752" s="30">
        <v>0</v>
      </c>
      <c r="AD1752" s="30">
        <v>0</v>
      </c>
      <c r="AE1752" s="89" t="s">
        <v>92</v>
      </c>
      <c r="AF1752" s="89"/>
      <c r="AG1752" s="89" t="s">
        <v>352</v>
      </c>
      <c r="AH1752" s="72">
        <v>41739</v>
      </c>
      <c r="AI1752" s="30">
        <v>0</v>
      </c>
      <c r="AJ1752" s="89" t="s">
        <v>9780</v>
      </c>
      <c r="AK1752" s="89" t="s">
        <v>1233</v>
      </c>
      <c r="AL1752" s="91">
        <v>41744</v>
      </c>
      <c r="AM1752" s="91"/>
      <c r="AN1752" s="91"/>
      <c r="AO1752" s="91"/>
      <c r="AP1752" s="73" t="e">
        <f>MID(VLOOKUP(K1752,#REF!,2,FALSE),1,2)</f>
        <v>#REF!</v>
      </c>
      <c r="AQ1752" s="89">
        <f>DATE(2014,4,6)</f>
        <v>41735</v>
      </c>
      <c r="AR1752" s="82">
        <f t="shared" si="114"/>
        <v>6</v>
      </c>
      <c r="AS1752" s="83">
        <f t="shared" si="115"/>
        <v>4</v>
      </c>
      <c r="AT1752" s="84">
        <f t="shared" si="116"/>
        <v>2014</v>
      </c>
      <c r="AU1752" s="86"/>
      <c r="AV1752" s="86"/>
      <c r="AW1752" s="87"/>
      <c r="AX1752" s="86"/>
      <c r="AY1752" s="83"/>
      <c r="AZ1752" s="84"/>
      <c r="BA1752" s="86"/>
      <c r="BB1752" s="86"/>
    </row>
    <row r="1753" spans="1:54" ht="36.75" customHeight="1">
      <c r="A1753" s="30"/>
      <c r="B1753" s="30" t="s">
        <v>55</v>
      </c>
      <c r="C1753" s="69" t="str">
        <f t="shared" si="117"/>
        <v>Closed</v>
      </c>
      <c r="D1753" s="27" t="s">
        <v>9781</v>
      </c>
      <c r="E1753" s="29" t="s">
        <v>9782</v>
      </c>
      <c r="F1753" s="30" t="s">
        <v>377</v>
      </c>
      <c r="G1753" s="89">
        <f>DATE(2014,4,7)</f>
        <v>41736</v>
      </c>
      <c r="H1753" s="90">
        <v>1.9118055555555555</v>
      </c>
      <c r="I1753" s="30" t="s">
        <v>278</v>
      </c>
      <c r="J1753" s="89" t="s">
        <v>9783</v>
      </c>
      <c r="K1753" s="30" t="s">
        <v>379</v>
      </c>
      <c r="L1753" s="30" t="s">
        <v>9784</v>
      </c>
      <c r="M1753" s="30" t="s">
        <v>63</v>
      </c>
      <c r="N1753" s="30" t="s">
        <v>142</v>
      </c>
      <c r="O1753" s="30" t="s">
        <v>77</v>
      </c>
      <c r="P1753" s="89" t="s">
        <v>165</v>
      </c>
      <c r="Q1753" s="89" t="s">
        <v>2906</v>
      </c>
      <c r="R1753" s="89" t="s">
        <v>382</v>
      </c>
      <c r="S1753" s="30">
        <v>1</v>
      </c>
      <c r="T1753" s="233">
        <v>0</v>
      </c>
      <c r="U1753" s="30">
        <v>0</v>
      </c>
      <c r="V1753" s="233">
        <v>0</v>
      </c>
      <c r="W1753" s="30">
        <v>0</v>
      </c>
      <c r="X1753" s="30">
        <v>1</v>
      </c>
      <c r="Y1753" s="30">
        <v>0</v>
      </c>
      <c r="Z1753" s="233">
        <v>0</v>
      </c>
      <c r="AA1753" s="30">
        <v>0</v>
      </c>
      <c r="AB1753" s="30">
        <v>0</v>
      </c>
      <c r="AC1753" s="30">
        <v>0</v>
      </c>
      <c r="AD1753" s="30">
        <v>0</v>
      </c>
      <c r="AE1753" s="89" t="s">
        <v>92</v>
      </c>
      <c r="AF1753" s="89"/>
      <c r="AG1753" s="89" t="s">
        <v>133</v>
      </c>
      <c r="AH1753" s="72">
        <v>41737</v>
      </c>
      <c r="AI1753" s="30">
        <v>3</v>
      </c>
      <c r="AJ1753" s="89" t="s">
        <v>9785</v>
      </c>
      <c r="AK1753" s="89" t="s">
        <v>9786</v>
      </c>
      <c r="AL1753" s="91">
        <v>41738</v>
      </c>
      <c r="AM1753" s="91"/>
      <c r="AN1753" s="91"/>
      <c r="AO1753" s="91"/>
      <c r="AP1753" s="73" t="e">
        <f>MID(VLOOKUP(K1753,#REF!,2,FALSE),1,2)</f>
        <v>#REF!</v>
      </c>
      <c r="AQ1753" s="89">
        <f>DATE(2014,4,7)</f>
        <v>41736</v>
      </c>
      <c r="AR1753" s="82">
        <f t="shared" si="114"/>
        <v>7</v>
      </c>
      <c r="AS1753" s="83">
        <f t="shared" si="115"/>
        <v>4</v>
      </c>
      <c r="AT1753" s="84">
        <f t="shared" si="116"/>
        <v>2014</v>
      </c>
      <c r="AU1753" s="86"/>
      <c r="AV1753" s="86"/>
      <c r="AW1753" s="87"/>
      <c r="AX1753" s="86"/>
      <c r="AY1753" s="83"/>
      <c r="AZ1753" s="84"/>
      <c r="BA1753" s="86"/>
      <c r="BB1753" s="86"/>
    </row>
    <row r="1754" spans="1:54" ht="36.75" customHeight="1">
      <c r="A1754" s="30"/>
      <c r="B1754" s="30" t="s">
        <v>55</v>
      </c>
      <c r="C1754" s="69" t="str">
        <f t="shared" si="117"/>
        <v>Closed</v>
      </c>
      <c r="D1754" s="27" t="s">
        <v>9787</v>
      </c>
      <c r="E1754" s="29" t="s">
        <v>9788</v>
      </c>
      <c r="F1754" s="30" t="s">
        <v>9789</v>
      </c>
      <c r="G1754" s="89">
        <f>DATE(2014,4,10)</f>
        <v>41739</v>
      </c>
      <c r="H1754" s="90">
        <v>1.3840277777777779</v>
      </c>
      <c r="I1754" s="30" t="s">
        <v>2264</v>
      </c>
      <c r="J1754" s="210" t="s">
        <v>9790</v>
      </c>
      <c r="K1754" s="30" t="s">
        <v>9791</v>
      </c>
      <c r="L1754" s="30" t="s">
        <v>9792</v>
      </c>
      <c r="M1754" s="30" t="s">
        <v>63</v>
      </c>
      <c r="N1754" s="30" t="s">
        <v>142</v>
      </c>
      <c r="O1754" s="30" t="s">
        <v>77</v>
      </c>
      <c r="P1754" s="89" t="s">
        <v>5845</v>
      </c>
      <c r="Q1754" s="89" t="s">
        <v>9793</v>
      </c>
      <c r="R1754" s="89" t="s">
        <v>9794</v>
      </c>
      <c r="S1754" s="30">
        <v>0</v>
      </c>
      <c r="T1754" s="233">
        <v>0</v>
      </c>
      <c r="U1754" s="30">
        <v>0</v>
      </c>
      <c r="V1754" s="233">
        <v>0</v>
      </c>
      <c r="W1754" s="30">
        <v>0</v>
      </c>
      <c r="X1754" s="30">
        <v>0</v>
      </c>
      <c r="Y1754" s="30">
        <v>0</v>
      </c>
      <c r="Z1754" s="233">
        <v>0</v>
      </c>
      <c r="AA1754" s="30">
        <v>0</v>
      </c>
      <c r="AB1754" s="30">
        <v>0</v>
      </c>
      <c r="AC1754" s="30">
        <v>0</v>
      </c>
      <c r="AD1754" s="30">
        <v>0</v>
      </c>
      <c r="AE1754" s="89" t="s">
        <v>92</v>
      </c>
      <c r="AF1754" s="89"/>
      <c r="AG1754" s="89" t="s">
        <v>133</v>
      </c>
      <c r="AH1754" s="72">
        <v>41740</v>
      </c>
      <c r="AI1754" s="30">
        <v>0</v>
      </c>
      <c r="AJ1754" s="89" t="s">
        <v>9795</v>
      </c>
      <c r="AK1754" s="89" t="s">
        <v>9796</v>
      </c>
      <c r="AL1754" s="91">
        <v>41751</v>
      </c>
      <c r="AM1754" s="91"/>
      <c r="AN1754" s="91"/>
      <c r="AO1754" s="91"/>
      <c r="AP1754" s="73" t="e">
        <f>MID(VLOOKUP(K1754,#REF!,2,FALSE),1,2)</f>
        <v>#REF!</v>
      </c>
      <c r="AQ1754" s="89">
        <f>DATE(2014,4,10)</f>
        <v>41739</v>
      </c>
      <c r="AR1754" s="82">
        <f t="shared" si="114"/>
        <v>10</v>
      </c>
      <c r="AS1754" s="83">
        <f t="shared" si="115"/>
        <v>4</v>
      </c>
      <c r="AT1754" s="84">
        <f t="shared" si="116"/>
        <v>2014</v>
      </c>
      <c r="AU1754" s="86"/>
      <c r="AV1754" s="86"/>
      <c r="AW1754" s="87"/>
      <c r="AX1754" s="86"/>
      <c r="AY1754" s="83"/>
      <c r="AZ1754" s="84"/>
      <c r="BA1754" s="86"/>
      <c r="BB1754" s="86"/>
    </row>
    <row r="1755" spans="1:54" ht="36.75" customHeight="1">
      <c r="A1755" s="30"/>
      <c r="B1755" s="30" t="s">
        <v>55</v>
      </c>
      <c r="C1755" s="69" t="str">
        <f t="shared" si="117"/>
        <v>Closed</v>
      </c>
      <c r="D1755" s="27" t="s">
        <v>9797</v>
      </c>
      <c r="E1755" s="29" t="s">
        <v>9798</v>
      </c>
      <c r="F1755" s="30" t="s">
        <v>582</v>
      </c>
      <c r="G1755" s="89">
        <f>DATE(2014,4,11)</f>
        <v>41740</v>
      </c>
      <c r="H1755" s="90">
        <v>1.8534722222222224</v>
      </c>
      <c r="I1755" s="30" t="s">
        <v>73</v>
      </c>
      <c r="J1755" s="89" t="s">
        <v>9799</v>
      </c>
      <c r="K1755" s="30" t="s">
        <v>584</v>
      </c>
      <c r="L1755" s="30" t="s">
        <v>9800</v>
      </c>
      <c r="M1755" s="30" t="s">
        <v>63</v>
      </c>
      <c r="N1755" s="30" t="s">
        <v>142</v>
      </c>
      <c r="O1755" s="30" t="s">
        <v>77</v>
      </c>
      <c r="P1755" s="89" t="s">
        <v>165</v>
      </c>
      <c r="Q1755" s="89" t="s">
        <v>4487</v>
      </c>
      <c r="R1755" s="89" t="s">
        <v>587</v>
      </c>
      <c r="S1755" s="30">
        <v>0</v>
      </c>
      <c r="T1755" s="233">
        <v>0</v>
      </c>
      <c r="U1755" s="30">
        <v>0</v>
      </c>
      <c r="V1755" s="233">
        <v>0</v>
      </c>
      <c r="W1755" s="30">
        <v>0</v>
      </c>
      <c r="X1755" s="30">
        <v>0</v>
      </c>
      <c r="Y1755" s="30">
        <v>0</v>
      </c>
      <c r="Z1755" s="233">
        <v>0</v>
      </c>
      <c r="AA1755" s="30">
        <v>0</v>
      </c>
      <c r="AB1755" s="30">
        <v>0</v>
      </c>
      <c r="AC1755" s="30">
        <v>0</v>
      </c>
      <c r="AD1755" s="30">
        <v>0</v>
      </c>
      <c r="AE1755" s="89" t="s">
        <v>394</v>
      </c>
      <c r="AF1755" s="89"/>
      <c r="AG1755" s="89" t="s">
        <v>133</v>
      </c>
      <c r="AH1755" s="72">
        <v>41744</v>
      </c>
      <c r="AI1755" s="30">
        <v>0</v>
      </c>
      <c r="AJ1755" s="89" t="s">
        <v>9801</v>
      </c>
      <c r="AK1755" s="89" t="s">
        <v>1233</v>
      </c>
      <c r="AL1755" s="91">
        <v>41744</v>
      </c>
      <c r="AM1755" s="91"/>
      <c r="AN1755" s="91"/>
      <c r="AO1755" s="91"/>
      <c r="AP1755" s="73" t="e">
        <f>MID(VLOOKUP(K1755,#REF!,2,FALSE),1,2)</f>
        <v>#REF!</v>
      </c>
      <c r="AQ1755" s="89">
        <f>DATE(2014,4,11)</f>
        <v>41740</v>
      </c>
      <c r="AR1755" s="82">
        <f t="shared" si="114"/>
        <v>11</v>
      </c>
      <c r="AS1755" s="83">
        <f t="shared" si="115"/>
        <v>4</v>
      </c>
      <c r="AT1755" s="84">
        <f t="shared" si="116"/>
        <v>2014</v>
      </c>
      <c r="AU1755" s="86"/>
      <c r="AV1755" s="86"/>
      <c r="AW1755" s="87"/>
      <c r="AX1755" s="86"/>
      <c r="AY1755" s="83"/>
      <c r="AZ1755" s="84"/>
      <c r="BA1755" s="86"/>
      <c r="BB1755" s="86"/>
    </row>
    <row r="1756" spans="1:54" ht="36.75" customHeight="1">
      <c r="A1756" s="30"/>
      <c r="B1756" s="30" t="s">
        <v>55</v>
      </c>
      <c r="C1756" s="69" t="str">
        <f t="shared" si="117"/>
        <v>Closed</v>
      </c>
      <c r="D1756" s="27" t="s">
        <v>9802</v>
      </c>
      <c r="E1756" s="29" t="s">
        <v>9803</v>
      </c>
      <c r="F1756" s="30" t="s">
        <v>423</v>
      </c>
      <c r="G1756" s="89">
        <f>DATE(2014,4,12)</f>
        <v>41741</v>
      </c>
      <c r="H1756" s="90">
        <v>1.7069444444444444</v>
      </c>
      <c r="I1756" s="30" t="s">
        <v>198</v>
      </c>
      <c r="J1756" s="89" t="s">
        <v>9804</v>
      </c>
      <c r="K1756" s="30" t="s">
        <v>425</v>
      </c>
      <c r="L1756" s="30" t="s">
        <v>9805</v>
      </c>
      <c r="M1756" s="30" t="s">
        <v>63</v>
      </c>
      <c r="N1756" s="30" t="s">
        <v>89</v>
      </c>
      <c r="O1756" s="30" t="s">
        <v>77</v>
      </c>
      <c r="P1756" s="89" t="s">
        <v>9806</v>
      </c>
      <c r="Q1756" s="89" t="s">
        <v>2582</v>
      </c>
      <c r="R1756" s="89" t="s">
        <v>3103</v>
      </c>
      <c r="S1756" s="30">
        <v>0</v>
      </c>
      <c r="T1756" s="233">
        <v>0</v>
      </c>
      <c r="U1756" s="30">
        <v>0</v>
      </c>
      <c r="V1756" s="233">
        <v>0</v>
      </c>
      <c r="W1756" s="30">
        <v>0</v>
      </c>
      <c r="X1756" s="30">
        <v>0</v>
      </c>
      <c r="Y1756" s="30">
        <v>0</v>
      </c>
      <c r="Z1756" s="233">
        <v>0</v>
      </c>
      <c r="AA1756" s="30">
        <v>0</v>
      </c>
      <c r="AB1756" s="30">
        <v>0</v>
      </c>
      <c r="AC1756" s="30">
        <v>0</v>
      </c>
      <c r="AD1756" s="30">
        <v>0</v>
      </c>
      <c r="AE1756" s="89" t="s">
        <v>394</v>
      </c>
      <c r="AF1756" s="89"/>
      <c r="AG1756" s="89" t="s">
        <v>133</v>
      </c>
      <c r="AH1756" s="72">
        <v>41836</v>
      </c>
      <c r="AI1756" s="30">
        <v>0</v>
      </c>
      <c r="AJ1756" s="89" t="s">
        <v>9807</v>
      </c>
      <c r="AK1756" s="89" t="s">
        <v>9808</v>
      </c>
      <c r="AL1756" s="91">
        <v>41841</v>
      </c>
      <c r="AM1756" s="91"/>
      <c r="AN1756" s="91"/>
      <c r="AO1756" s="91"/>
      <c r="AP1756" s="73" t="e">
        <f>MID(VLOOKUP(K1756,#REF!,2,FALSE),1,2)</f>
        <v>#REF!</v>
      </c>
      <c r="AQ1756" s="89">
        <f>DATE(2014,4,12)</f>
        <v>41741</v>
      </c>
      <c r="AR1756" s="82">
        <f t="shared" si="114"/>
        <v>12</v>
      </c>
      <c r="AS1756" s="83">
        <f t="shared" si="115"/>
        <v>4</v>
      </c>
      <c r="AT1756" s="84">
        <f t="shared" si="116"/>
        <v>2014</v>
      </c>
      <c r="AU1756" s="86"/>
      <c r="AV1756" s="86"/>
      <c r="AW1756" s="87"/>
      <c r="AX1756" s="86"/>
      <c r="AY1756" s="83"/>
      <c r="AZ1756" s="84"/>
      <c r="BA1756" s="86"/>
      <c r="BB1756" s="86"/>
    </row>
    <row r="1757" spans="1:54" ht="36.75" customHeight="1">
      <c r="A1757" s="30"/>
      <c r="B1757" s="30" t="s">
        <v>55</v>
      </c>
      <c r="C1757" s="69" t="str">
        <f t="shared" si="117"/>
        <v>Closed</v>
      </c>
      <c r="D1757" s="27" t="s">
        <v>9809</v>
      </c>
      <c r="E1757" s="29" t="s">
        <v>9810</v>
      </c>
      <c r="F1757" s="30" t="s">
        <v>1572</v>
      </c>
      <c r="G1757" s="89">
        <f>DATE(2014,4,13)</f>
        <v>41742</v>
      </c>
      <c r="H1757" s="90">
        <v>1.0006944444444446</v>
      </c>
      <c r="I1757" s="30" t="s">
        <v>5494</v>
      </c>
      <c r="J1757" s="89" t="s">
        <v>9811</v>
      </c>
      <c r="K1757" s="30" t="s">
        <v>1574</v>
      </c>
      <c r="L1757" s="30" t="s">
        <v>9812</v>
      </c>
      <c r="M1757" s="30" t="s">
        <v>63</v>
      </c>
      <c r="N1757" s="30" t="s">
        <v>142</v>
      </c>
      <c r="O1757" s="30" t="s">
        <v>64</v>
      </c>
      <c r="P1757" s="89" t="s">
        <v>78</v>
      </c>
      <c r="Q1757" s="89" t="s">
        <v>9075</v>
      </c>
      <c r="R1757" s="89" t="s">
        <v>6434</v>
      </c>
      <c r="S1757" s="30">
        <v>0</v>
      </c>
      <c r="T1757" s="233">
        <v>0</v>
      </c>
      <c r="U1757" s="30">
        <v>0</v>
      </c>
      <c r="V1757" s="233">
        <v>0</v>
      </c>
      <c r="W1757" s="30">
        <v>0</v>
      </c>
      <c r="X1757" s="30">
        <v>0</v>
      </c>
      <c r="Y1757" s="30">
        <v>0</v>
      </c>
      <c r="Z1757" s="233">
        <v>0</v>
      </c>
      <c r="AA1757" s="30">
        <v>0</v>
      </c>
      <c r="AB1757" s="30">
        <v>0</v>
      </c>
      <c r="AC1757" s="30">
        <v>0</v>
      </c>
      <c r="AD1757" s="30">
        <v>0</v>
      </c>
      <c r="AE1757" s="89" t="s">
        <v>92</v>
      </c>
      <c r="AF1757" s="89"/>
      <c r="AG1757" s="89" t="s">
        <v>133</v>
      </c>
      <c r="AH1757" s="72">
        <v>41744</v>
      </c>
      <c r="AI1757" s="30">
        <v>2</v>
      </c>
      <c r="AJ1757" s="89" t="s">
        <v>9813</v>
      </c>
      <c r="AK1757" s="89" t="s">
        <v>9814</v>
      </c>
      <c r="AL1757" s="91">
        <v>41747</v>
      </c>
      <c r="AM1757" s="91"/>
      <c r="AN1757" s="91"/>
      <c r="AO1757" s="91"/>
      <c r="AP1757" s="73" t="e">
        <f>MID(VLOOKUP(K1757,#REF!,2,FALSE),1,2)</f>
        <v>#REF!</v>
      </c>
      <c r="AQ1757" s="89">
        <f>DATE(2014,4,13)</f>
        <v>41742</v>
      </c>
      <c r="AR1757" s="82">
        <f t="shared" si="114"/>
        <v>13</v>
      </c>
      <c r="AS1757" s="83">
        <f t="shared" si="115"/>
        <v>4</v>
      </c>
      <c r="AT1757" s="84">
        <f t="shared" si="116"/>
        <v>2014</v>
      </c>
      <c r="AU1757" s="86"/>
      <c r="AV1757" s="86"/>
      <c r="AW1757" s="87"/>
      <c r="AX1757" s="86"/>
      <c r="AY1757" s="83"/>
      <c r="AZ1757" s="84"/>
      <c r="BA1757" s="86"/>
      <c r="BB1757" s="86"/>
    </row>
    <row r="1758" spans="1:54" ht="36.75" customHeight="1">
      <c r="A1758" s="30"/>
      <c r="B1758" s="30" t="s">
        <v>55</v>
      </c>
      <c r="C1758" s="69" t="str">
        <f t="shared" si="117"/>
        <v>Closed</v>
      </c>
      <c r="D1758" s="27" t="s">
        <v>9815</v>
      </c>
      <c r="E1758" s="29" t="s">
        <v>9816</v>
      </c>
      <c r="F1758" s="30" t="s">
        <v>638</v>
      </c>
      <c r="G1758" s="89">
        <f>DATE(2014,4,15)</f>
        <v>41744</v>
      </c>
      <c r="H1758" s="90">
        <v>1.7562500000000001</v>
      </c>
      <c r="I1758" s="30" t="s">
        <v>73</v>
      </c>
      <c r="J1758" s="89" t="s">
        <v>9817</v>
      </c>
      <c r="K1758" s="30" t="s">
        <v>640</v>
      </c>
      <c r="L1758" s="30" t="s">
        <v>9818</v>
      </c>
      <c r="M1758" s="30" t="s">
        <v>63</v>
      </c>
      <c r="N1758" s="30" t="s">
        <v>99</v>
      </c>
      <c r="O1758" s="30" t="s">
        <v>77</v>
      </c>
      <c r="P1758" s="89" t="s">
        <v>78</v>
      </c>
      <c r="Q1758" s="89" t="s">
        <v>3211</v>
      </c>
      <c r="R1758" s="89" t="s">
        <v>643</v>
      </c>
      <c r="S1758" s="30">
        <v>0</v>
      </c>
      <c r="T1758" s="233">
        <v>0</v>
      </c>
      <c r="U1758" s="30">
        <v>0</v>
      </c>
      <c r="V1758" s="233">
        <v>0</v>
      </c>
      <c r="W1758" s="30">
        <v>0</v>
      </c>
      <c r="X1758" s="30">
        <v>0</v>
      </c>
      <c r="Y1758" s="30">
        <v>0</v>
      </c>
      <c r="Z1758" s="233">
        <v>0</v>
      </c>
      <c r="AA1758" s="30">
        <v>0</v>
      </c>
      <c r="AB1758" s="30">
        <v>0</v>
      </c>
      <c r="AC1758" s="30">
        <v>0</v>
      </c>
      <c r="AD1758" s="30">
        <v>0</v>
      </c>
      <c r="AE1758" s="89" t="s">
        <v>92</v>
      </c>
      <c r="AF1758" s="89"/>
      <c r="AG1758" s="89" t="s">
        <v>352</v>
      </c>
      <c r="AH1758" s="72">
        <v>41779</v>
      </c>
      <c r="AI1758" s="30">
        <v>1</v>
      </c>
      <c r="AJ1758" s="89" t="s">
        <v>9819</v>
      </c>
      <c r="AK1758" s="89" t="s">
        <v>68</v>
      </c>
      <c r="AL1758" s="91">
        <v>41786</v>
      </c>
      <c r="AM1758" s="91"/>
      <c r="AN1758" s="91"/>
      <c r="AO1758" s="91"/>
      <c r="AP1758" s="73" t="e">
        <f>MID(VLOOKUP(K1758,#REF!,2,FALSE),1,2)</f>
        <v>#REF!</v>
      </c>
      <c r="AQ1758" s="89">
        <f>DATE(2014,4,15)</f>
        <v>41744</v>
      </c>
      <c r="AR1758" s="82">
        <f t="shared" si="114"/>
        <v>15</v>
      </c>
      <c r="AS1758" s="83">
        <f t="shared" si="115"/>
        <v>4</v>
      </c>
      <c r="AT1758" s="84">
        <f t="shared" si="116"/>
        <v>2014</v>
      </c>
      <c r="AU1758" s="86"/>
      <c r="AV1758" s="86"/>
      <c r="AW1758" s="87"/>
      <c r="AX1758" s="86"/>
      <c r="AY1758" s="83"/>
      <c r="AZ1758" s="84"/>
      <c r="BA1758" s="86"/>
      <c r="BB1758" s="86"/>
    </row>
    <row r="1759" spans="1:54" ht="36.75" customHeight="1">
      <c r="A1759" s="30"/>
      <c r="B1759" s="30" t="s">
        <v>55</v>
      </c>
      <c r="C1759" s="69" t="str">
        <f t="shared" si="117"/>
        <v>Closed</v>
      </c>
      <c r="D1759" s="27" t="s">
        <v>9820</v>
      </c>
      <c r="E1759" s="29" t="s">
        <v>9821</v>
      </c>
      <c r="F1759" s="30" t="s">
        <v>835</v>
      </c>
      <c r="G1759" s="89">
        <f>DATE(2014,4,15)</f>
        <v>41744</v>
      </c>
      <c r="H1759" s="90">
        <v>1.3263888888888888</v>
      </c>
      <c r="I1759" s="30" t="s">
        <v>104</v>
      </c>
      <c r="J1759" s="89" t="s">
        <v>9822</v>
      </c>
      <c r="K1759" s="30" t="s">
        <v>837</v>
      </c>
      <c r="L1759" s="30" t="s">
        <v>9823</v>
      </c>
      <c r="M1759" s="30" t="s">
        <v>63</v>
      </c>
      <c r="N1759" s="30" t="s">
        <v>142</v>
      </c>
      <c r="O1759" s="30" t="s">
        <v>77</v>
      </c>
      <c r="P1759" s="89" t="s">
        <v>65</v>
      </c>
      <c r="Q1759" s="89" t="s">
        <v>2162</v>
      </c>
      <c r="R1759" s="89" t="s">
        <v>840</v>
      </c>
      <c r="S1759" s="30">
        <v>0</v>
      </c>
      <c r="T1759" s="233">
        <v>0</v>
      </c>
      <c r="U1759" s="30">
        <v>0</v>
      </c>
      <c r="V1759" s="233">
        <v>0</v>
      </c>
      <c r="W1759" s="30">
        <v>0</v>
      </c>
      <c r="X1759" s="30">
        <v>0</v>
      </c>
      <c r="Y1759" s="30">
        <v>0</v>
      </c>
      <c r="Z1759" s="233">
        <v>0</v>
      </c>
      <c r="AA1759" s="30">
        <v>0</v>
      </c>
      <c r="AB1759" s="30">
        <v>0</v>
      </c>
      <c r="AC1759" s="30">
        <v>0</v>
      </c>
      <c r="AD1759" s="30">
        <v>0</v>
      </c>
      <c r="AE1759" s="89" t="s">
        <v>92</v>
      </c>
      <c r="AF1759" s="89"/>
      <c r="AG1759" s="89" t="s">
        <v>352</v>
      </c>
      <c r="AH1759" s="72">
        <v>41745</v>
      </c>
      <c r="AI1759" s="30">
        <v>0</v>
      </c>
      <c r="AJ1759" s="89" t="s">
        <v>8641</v>
      </c>
      <c r="AK1759" s="89" t="s">
        <v>68</v>
      </c>
      <c r="AL1759" s="91">
        <v>41974</v>
      </c>
      <c r="AM1759" s="91"/>
      <c r="AN1759" s="91"/>
      <c r="AO1759" s="91"/>
      <c r="AP1759" s="73" t="e">
        <f>MID(VLOOKUP(K1759,#REF!,2,FALSE),1,2)</f>
        <v>#REF!</v>
      </c>
      <c r="AQ1759" s="89">
        <f>DATE(2014,4,15)</f>
        <v>41744</v>
      </c>
      <c r="AR1759" s="82">
        <f t="shared" si="114"/>
        <v>15</v>
      </c>
      <c r="AS1759" s="83">
        <f t="shared" si="115"/>
        <v>4</v>
      </c>
      <c r="AT1759" s="84">
        <f t="shared" si="116"/>
        <v>2014</v>
      </c>
      <c r="AU1759" s="86"/>
      <c r="AV1759" s="86"/>
      <c r="AW1759" s="87"/>
      <c r="AX1759" s="86"/>
      <c r="AY1759" s="83"/>
      <c r="AZ1759" s="84"/>
      <c r="BA1759" s="86"/>
      <c r="BB1759" s="86"/>
    </row>
    <row r="1760" spans="1:54" ht="36.75" customHeight="1">
      <c r="A1760" s="30"/>
      <c r="B1760" s="30" t="s">
        <v>55</v>
      </c>
      <c r="C1760" s="69" t="str">
        <f t="shared" si="117"/>
        <v>Closed</v>
      </c>
      <c r="D1760" s="27" t="s">
        <v>9824</v>
      </c>
      <c r="E1760" s="29" t="s">
        <v>9825</v>
      </c>
      <c r="F1760" s="30" t="s">
        <v>124</v>
      </c>
      <c r="G1760" s="89">
        <f>DATE(2014,4,15)</f>
        <v>41744</v>
      </c>
      <c r="H1760" s="90">
        <v>0</v>
      </c>
      <c r="I1760" s="30" t="s">
        <v>73</v>
      </c>
      <c r="J1760" s="89" t="s">
        <v>9826</v>
      </c>
      <c r="K1760" s="30" t="s">
        <v>127</v>
      </c>
      <c r="L1760" s="30" t="s">
        <v>9827</v>
      </c>
      <c r="M1760" s="30" t="s">
        <v>63</v>
      </c>
      <c r="N1760" s="30" t="s">
        <v>99</v>
      </c>
      <c r="O1760" s="30" t="s">
        <v>64</v>
      </c>
      <c r="P1760" s="89" t="s">
        <v>78</v>
      </c>
      <c r="Q1760" s="89">
        <v>0</v>
      </c>
      <c r="R1760" s="89" t="s">
        <v>167</v>
      </c>
      <c r="S1760" s="30">
        <v>0</v>
      </c>
      <c r="T1760" s="233">
        <v>0</v>
      </c>
      <c r="U1760" s="30">
        <v>0</v>
      </c>
      <c r="V1760" s="233">
        <v>0</v>
      </c>
      <c r="W1760" s="30">
        <v>0</v>
      </c>
      <c r="X1760" s="30">
        <v>0</v>
      </c>
      <c r="Y1760" s="30">
        <v>0</v>
      </c>
      <c r="Z1760" s="233">
        <v>0</v>
      </c>
      <c r="AA1760" s="30">
        <v>0</v>
      </c>
      <c r="AB1760" s="30">
        <v>0</v>
      </c>
      <c r="AC1760" s="30">
        <v>0</v>
      </c>
      <c r="AD1760" s="30">
        <v>0</v>
      </c>
      <c r="AE1760" s="89" t="s">
        <v>394</v>
      </c>
      <c r="AF1760" s="89"/>
      <c r="AG1760" s="89" t="s">
        <v>133</v>
      </c>
      <c r="AH1760" s="72">
        <v>41745</v>
      </c>
      <c r="AI1760" s="30">
        <v>1</v>
      </c>
      <c r="AJ1760" s="89" t="s">
        <v>9828</v>
      </c>
      <c r="AK1760" s="89" t="s">
        <v>68</v>
      </c>
      <c r="AL1760" s="91">
        <v>41767</v>
      </c>
      <c r="AM1760" s="91"/>
      <c r="AN1760" s="91"/>
      <c r="AO1760" s="91"/>
      <c r="AP1760" s="73" t="e">
        <f>MID(VLOOKUP(K1760,#REF!,2,FALSE),1,2)</f>
        <v>#REF!</v>
      </c>
      <c r="AQ1760" s="89">
        <f>DATE(2014,4,15)</f>
        <v>41744</v>
      </c>
      <c r="AR1760" s="82">
        <f t="shared" si="114"/>
        <v>15</v>
      </c>
      <c r="AS1760" s="83">
        <f t="shared" si="115"/>
        <v>4</v>
      </c>
      <c r="AT1760" s="84">
        <f t="shared" si="116"/>
        <v>2014</v>
      </c>
      <c r="AU1760" s="86"/>
      <c r="AV1760" s="86"/>
      <c r="AW1760" s="87"/>
      <c r="AX1760" s="86"/>
      <c r="AY1760" s="83"/>
      <c r="AZ1760" s="84"/>
      <c r="BA1760" s="86"/>
      <c r="BB1760" s="86"/>
    </row>
    <row r="1761" spans="1:54" ht="36.75" customHeight="1">
      <c r="A1761" s="30"/>
      <c r="B1761" s="30" t="s">
        <v>55</v>
      </c>
      <c r="C1761" s="69" t="str">
        <f t="shared" si="117"/>
        <v>Closed</v>
      </c>
      <c r="D1761" s="27" t="s">
        <v>9829</v>
      </c>
      <c r="E1761" s="29" t="s">
        <v>9830</v>
      </c>
      <c r="F1761" s="30" t="s">
        <v>1749</v>
      </c>
      <c r="G1761" s="89">
        <f>DATE(2014,4,16)</f>
        <v>41745</v>
      </c>
      <c r="H1761" s="90">
        <v>1.6381944444444443</v>
      </c>
      <c r="I1761" s="30" t="s">
        <v>116</v>
      </c>
      <c r="J1761" s="89" t="s">
        <v>9831</v>
      </c>
      <c r="K1761" s="30" t="s">
        <v>1751</v>
      </c>
      <c r="L1761" s="30" t="s">
        <v>9123</v>
      </c>
      <c r="M1761" s="30" t="s">
        <v>63</v>
      </c>
      <c r="N1761" s="30" t="s">
        <v>89</v>
      </c>
      <c r="O1761" s="30" t="s">
        <v>77</v>
      </c>
      <c r="P1761" s="89"/>
      <c r="Q1761" s="89">
        <v>0</v>
      </c>
      <c r="R1761" s="89" t="s">
        <v>9832</v>
      </c>
      <c r="S1761" s="30">
        <v>1</v>
      </c>
      <c r="T1761" s="233">
        <v>0</v>
      </c>
      <c r="U1761" s="30">
        <v>1</v>
      </c>
      <c r="V1761" s="233">
        <v>0</v>
      </c>
      <c r="W1761" s="30">
        <v>0</v>
      </c>
      <c r="X1761" s="30">
        <v>2</v>
      </c>
      <c r="Y1761" s="30">
        <v>0</v>
      </c>
      <c r="Z1761" s="233">
        <v>0</v>
      </c>
      <c r="AA1761" s="30">
        <v>0</v>
      </c>
      <c r="AB1761" s="30">
        <v>0</v>
      </c>
      <c r="AC1761" s="30">
        <v>0</v>
      </c>
      <c r="AD1761" s="30">
        <v>0</v>
      </c>
      <c r="AE1761" s="89" t="s">
        <v>394</v>
      </c>
      <c r="AF1761" s="89"/>
      <c r="AG1761" s="89" t="s">
        <v>82</v>
      </c>
      <c r="AH1761" s="72">
        <v>41746</v>
      </c>
      <c r="AI1761" s="30">
        <v>4</v>
      </c>
      <c r="AJ1761" s="89" t="s">
        <v>9833</v>
      </c>
      <c r="AK1761" s="89" t="s">
        <v>9126</v>
      </c>
      <c r="AL1761" s="91">
        <v>41752</v>
      </c>
      <c r="AM1761" s="91"/>
      <c r="AN1761" s="91"/>
      <c r="AO1761" s="91"/>
      <c r="AP1761" s="73" t="e">
        <f>MID(VLOOKUP(K1761,#REF!,2,FALSE),1,2)</f>
        <v>#REF!</v>
      </c>
      <c r="AQ1761" s="89">
        <f>DATE(2014,4,16)</f>
        <v>41745</v>
      </c>
      <c r="AR1761" s="82">
        <f t="shared" si="114"/>
        <v>16</v>
      </c>
      <c r="AS1761" s="83">
        <f t="shared" si="115"/>
        <v>4</v>
      </c>
      <c r="AT1761" s="84">
        <f t="shared" si="116"/>
        <v>2014</v>
      </c>
      <c r="AU1761" s="86"/>
      <c r="AV1761" s="86"/>
      <c r="AW1761" s="87"/>
      <c r="AX1761" s="86"/>
      <c r="AY1761" s="83"/>
      <c r="AZ1761" s="84"/>
      <c r="BA1761" s="86"/>
      <c r="BB1761" s="86"/>
    </row>
    <row r="1762" spans="1:54" ht="36.75" customHeight="1">
      <c r="A1762" s="30"/>
      <c r="B1762" s="30" t="s">
        <v>55</v>
      </c>
      <c r="C1762" s="69" t="str">
        <f t="shared" si="117"/>
        <v>Closed</v>
      </c>
      <c r="D1762" s="27" t="s">
        <v>9834</v>
      </c>
      <c r="E1762" s="29" t="s">
        <v>9835</v>
      </c>
      <c r="F1762" s="30" t="s">
        <v>9789</v>
      </c>
      <c r="G1762" s="89">
        <f>DATE(2014,4,22)</f>
        <v>41751</v>
      </c>
      <c r="H1762" s="90">
        <v>1.625</v>
      </c>
      <c r="I1762" s="30" t="s">
        <v>73</v>
      </c>
      <c r="J1762" s="210" t="s">
        <v>9836</v>
      </c>
      <c r="K1762" s="30" t="s">
        <v>9791</v>
      </c>
      <c r="L1762" s="30" t="s">
        <v>9837</v>
      </c>
      <c r="M1762" s="30" t="s">
        <v>63</v>
      </c>
      <c r="N1762" s="30" t="s">
        <v>99</v>
      </c>
      <c r="O1762" s="30" t="s">
        <v>64</v>
      </c>
      <c r="P1762" s="89" t="s">
        <v>301</v>
      </c>
      <c r="Q1762" s="89" t="s">
        <v>9838</v>
      </c>
      <c r="R1762" s="89" t="s">
        <v>9794</v>
      </c>
      <c r="S1762" s="30">
        <v>0</v>
      </c>
      <c r="T1762" s="233">
        <v>0</v>
      </c>
      <c r="U1762" s="30">
        <v>0</v>
      </c>
      <c r="V1762" s="233">
        <v>0</v>
      </c>
      <c r="W1762" s="30">
        <v>0</v>
      </c>
      <c r="X1762" s="30">
        <v>0</v>
      </c>
      <c r="Y1762" s="30">
        <v>0</v>
      </c>
      <c r="Z1762" s="233">
        <v>0</v>
      </c>
      <c r="AA1762" s="30">
        <v>0</v>
      </c>
      <c r="AB1762" s="30">
        <v>0</v>
      </c>
      <c r="AC1762" s="30">
        <v>0</v>
      </c>
      <c r="AD1762" s="30">
        <v>0</v>
      </c>
      <c r="AE1762" s="89" t="s">
        <v>92</v>
      </c>
      <c r="AF1762" s="89"/>
      <c r="AG1762" s="89" t="s">
        <v>133</v>
      </c>
      <c r="AH1762" s="72">
        <v>41754</v>
      </c>
      <c r="AI1762" s="30">
        <v>0</v>
      </c>
      <c r="AJ1762" s="89" t="s">
        <v>9839</v>
      </c>
      <c r="AK1762" s="89" t="s">
        <v>9840</v>
      </c>
      <c r="AL1762" s="91">
        <v>41754</v>
      </c>
      <c r="AM1762" s="91"/>
      <c r="AN1762" s="91"/>
      <c r="AO1762" s="91"/>
      <c r="AP1762" s="73" t="e">
        <f>MID(VLOOKUP(K1762,#REF!,2,FALSE),1,2)</f>
        <v>#REF!</v>
      </c>
      <c r="AQ1762" s="89">
        <f>DATE(2014,4,22)</f>
        <v>41751</v>
      </c>
      <c r="AR1762" s="82">
        <f t="shared" si="114"/>
        <v>22</v>
      </c>
      <c r="AS1762" s="83">
        <f t="shared" si="115"/>
        <v>4</v>
      </c>
      <c r="AT1762" s="84">
        <f t="shared" si="116"/>
        <v>2014</v>
      </c>
      <c r="AU1762" s="86"/>
      <c r="AV1762" s="86"/>
      <c r="AW1762" s="87"/>
      <c r="AX1762" s="86"/>
      <c r="AY1762" s="83"/>
      <c r="AZ1762" s="84"/>
      <c r="BA1762" s="86"/>
      <c r="BB1762" s="86"/>
    </row>
    <row r="1763" spans="1:54" ht="36.75" customHeight="1">
      <c r="A1763" s="30"/>
      <c r="B1763" s="30" t="s">
        <v>55</v>
      </c>
      <c r="C1763" s="69" t="str">
        <f t="shared" si="117"/>
        <v>Closed</v>
      </c>
      <c r="D1763" s="27" t="s">
        <v>9841</v>
      </c>
      <c r="E1763" s="29" t="s">
        <v>9842</v>
      </c>
      <c r="F1763" s="30" t="s">
        <v>16429</v>
      </c>
      <c r="G1763" s="89">
        <f>DATE(2014,4,23)</f>
        <v>41752</v>
      </c>
      <c r="H1763" s="90">
        <v>1.4631944444444445</v>
      </c>
      <c r="I1763" s="30" t="s">
        <v>116</v>
      </c>
      <c r="J1763" s="210" t="s">
        <v>9843</v>
      </c>
      <c r="K1763" s="30" t="s">
        <v>425</v>
      </c>
      <c r="L1763" s="30" t="s">
        <v>9844</v>
      </c>
      <c r="M1763" s="30" t="s">
        <v>63</v>
      </c>
      <c r="N1763" s="30" t="s">
        <v>89</v>
      </c>
      <c r="O1763" s="30" t="s">
        <v>77</v>
      </c>
      <c r="P1763" s="89" t="s">
        <v>78</v>
      </c>
      <c r="Q1763" s="89" t="s">
        <v>2582</v>
      </c>
      <c r="R1763" s="89" t="s">
        <v>3103</v>
      </c>
      <c r="S1763" s="30">
        <v>0</v>
      </c>
      <c r="T1763" s="233">
        <v>0</v>
      </c>
      <c r="U1763" s="30">
        <v>0</v>
      </c>
      <c r="V1763" s="233">
        <v>0</v>
      </c>
      <c r="W1763" s="30">
        <v>0</v>
      </c>
      <c r="X1763" s="30">
        <v>0</v>
      </c>
      <c r="Y1763" s="30">
        <v>0</v>
      </c>
      <c r="Z1763" s="233">
        <v>0</v>
      </c>
      <c r="AA1763" s="30">
        <v>0</v>
      </c>
      <c r="AB1763" s="30">
        <v>0</v>
      </c>
      <c r="AC1763" s="30">
        <v>0</v>
      </c>
      <c r="AD1763" s="30">
        <v>0</v>
      </c>
      <c r="AE1763" s="89" t="s">
        <v>92</v>
      </c>
      <c r="AF1763" s="89"/>
      <c r="AG1763" s="89" t="s">
        <v>133</v>
      </c>
      <c r="AH1763" s="72">
        <v>41796</v>
      </c>
      <c r="AI1763" s="30">
        <v>2</v>
      </c>
      <c r="AJ1763" s="89" t="s">
        <v>9845</v>
      </c>
      <c r="AK1763" s="89" t="s">
        <v>9846</v>
      </c>
      <c r="AL1763" s="91">
        <v>41799</v>
      </c>
      <c r="AM1763" s="91"/>
      <c r="AN1763" s="91"/>
      <c r="AO1763" s="91"/>
      <c r="AP1763" s="73" t="e">
        <f>MID(VLOOKUP(K1763,#REF!,2,FALSE),1,2)</f>
        <v>#REF!</v>
      </c>
      <c r="AQ1763" s="89">
        <f>DATE(2014,4,23)</f>
        <v>41752</v>
      </c>
      <c r="AR1763" s="82">
        <f t="shared" si="114"/>
        <v>23</v>
      </c>
      <c r="AS1763" s="83">
        <f t="shared" si="115"/>
        <v>4</v>
      </c>
      <c r="AT1763" s="84">
        <f t="shared" si="116"/>
        <v>2014</v>
      </c>
      <c r="AU1763" s="86"/>
      <c r="AV1763" s="86"/>
      <c r="AW1763" s="87"/>
      <c r="AX1763" s="86"/>
      <c r="AY1763" s="83"/>
      <c r="AZ1763" s="84"/>
      <c r="BA1763" s="86"/>
      <c r="BB1763" s="86"/>
    </row>
    <row r="1764" spans="1:54" ht="36.75" customHeight="1">
      <c r="A1764" s="30"/>
      <c r="B1764" s="30" t="s">
        <v>55</v>
      </c>
      <c r="C1764" s="69" t="str">
        <f t="shared" si="117"/>
        <v>Closed</v>
      </c>
      <c r="D1764" s="27" t="s">
        <v>9847</v>
      </c>
      <c r="E1764" s="29" t="s">
        <v>9848</v>
      </c>
      <c r="F1764" s="30" t="s">
        <v>6455</v>
      </c>
      <c r="G1764" s="89">
        <f>DATE(2014,4,23)</f>
        <v>41752</v>
      </c>
      <c r="H1764" s="90">
        <v>1.7569444444444446</v>
      </c>
      <c r="I1764" s="30" t="s">
        <v>73</v>
      </c>
      <c r="J1764" s="89" t="s">
        <v>9849</v>
      </c>
      <c r="K1764" s="30" t="s">
        <v>584</v>
      </c>
      <c r="L1764" s="30" t="s">
        <v>9850</v>
      </c>
      <c r="M1764" s="30" t="s">
        <v>63</v>
      </c>
      <c r="N1764" s="30" t="s">
        <v>142</v>
      </c>
      <c r="O1764" s="30" t="s">
        <v>77</v>
      </c>
      <c r="P1764" s="89" t="s">
        <v>78</v>
      </c>
      <c r="Q1764" s="89" t="s">
        <v>9851</v>
      </c>
      <c r="R1764" s="89" t="s">
        <v>9852</v>
      </c>
      <c r="S1764" s="30">
        <v>0</v>
      </c>
      <c r="T1764" s="233">
        <v>0</v>
      </c>
      <c r="U1764" s="30">
        <v>0</v>
      </c>
      <c r="V1764" s="233">
        <v>0</v>
      </c>
      <c r="W1764" s="30">
        <v>0</v>
      </c>
      <c r="X1764" s="30">
        <v>0</v>
      </c>
      <c r="Y1764" s="30">
        <v>0</v>
      </c>
      <c r="Z1764" s="233">
        <v>0</v>
      </c>
      <c r="AA1764" s="30">
        <v>0</v>
      </c>
      <c r="AB1764" s="30">
        <v>0</v>
      </c>
      <c r="AC1764" s="30">
        <v>0</v>
      </c>
      <c r="AD1764" s="30">
        <v>0</v>
      </c>
      <c r="AE1764" s="89" t="s">
        <v>394</v>
      </c>
      <c r="AF1764" s="89" t="s">
        <v>9853</v>
      </c>
      <c r="AG1764" s="89" t="s">
        <v>8859</v>
      </c>
      <c r="AH1764" s="72">
        <v>41757</v>
      </c>
      <c r="AI1764" s="30">
        <v>0</v>
      </c>
      <c r="AJ1764" s="89" t="s">
        <v>9854</v>
      </c>
      <c r="AK1764" s="89" t="s">
        <v>68</v>
      </c>
      <c r="AL1764" s="91">
        <v>41757</v>
      </c>
      <c r="AM1764" s="91">
        <v>44687</v>
      </c>
      <c r="AN1764" s="91">
        <v>44833</v>
      </c>
      <c r="AO1764" s="91">
        <v>44781</v>
      </c>
      <c r="AP1764" s="73" t="e">
        <f>MID(VLOOKUP(K1764,#REF!,2,FALSE),1,2)</f>
        <v>#REF!</v>
      </c>
      <c r="AQ1764" s="89">
        <f>DATE(2014,4,23)</f>
        <v>41752</v>
      </c>
      <c r="AR1764" s="82">
        <f t="shared" si="114"/>
        <v>23</v>
      </c>
      <c r="AS1764" s="83">
        <f t="shared" si="115"/>
        <v>4</v>
      </c>
      <c r="AT1764" s="84">
        <f t="shared" si="116"/>
        <v>2014</v>
      </c>
      <c r="AU1764" s="86"/>
      <c r="AV1764" s="86"/>
      <c r="AW1764" s="87"/>
      <c r="AX1764" s="86"/>
      <c r="AY1764" s="83"/>
      <c r="AZ1764" s="84"/>
      <c r="BA1764" s="86"/>
      <c r="BB1764" s="86"/>
    </row>
    <row r="1765" spans="1:54" ht="36.75" customHeight="1">
      <c r="A1765" s="30"/>
      <c r="B1765" s="30" t="s">
        <v>55</v>
      </c>
      <c r="C1765" s="69" t="str">
        <f t="shared" si="117"/>
        <v>Closed</v>
      </c>
      <c r="D1765" s="27" t="s">
        <v>9855</v>
      </c>
      <c r="E1765" s="29" t="s">
        <v>9856</v>
      </c>
      <c r="F1765" s="30" t="s">
        <v>12474</v>
      </c>
      <c r="G1765" s="89">
        <f>DATE(2014,4,24)</f>
        <v>41753</v>
      </c>
      <c r="H1765" s="90">
        <v>0</v>
      </c>
      <c r="I1765" s="30" t="s">
        <v>125</v>
      </c>
      <c r="J1765" s="210" t="s">
        <v>9857</v>
      </c>
      <c r="K1765" s="30" t="s">
        <v>200</v>
      </c>
      <c r="L1765" s="30" t="s">
        <v>9858</v>
      </c>
      <c r="M1765" s="30" t="s">
        <v>63</v>
      </c>
      <c r="N1765" s="30" t="s">
        <v>142</v>
      </c>
      <c r="O1765" s="30" t="s">
        <v>77</v>
      </c>
      <c r="P1765" s="89" t="s">
        <v>78</v>
      </c>
      <c r="Q1765" s="89" t="s">
        <v>2453</v>
      </c>
      <c r="R1765" s="89" t="s">
        <v>203</v>
      </c>
      <c r="S1765" s="30">
        <v>0</v>
      </c>
      <c r="T1765" s="233">
        <v>0</v>
      </c>
      <c r="U1765" s="30">
        <v>0</v>
      </c>
      <c r="V1765" s="233">
        <v>0</v>
      </c>
      <c r="W1765" s="30">
        <v>0</v>
      </c>
      <c r="X1765" s="30">
        <v>0</v>
      </c>
      <c r="Y1765" s="30">
        <v>0</v>
      </c>
      <c r="Z1765" s="233">
        <v>0</v>
      </c>
      <c r="AA1765" s="30">
        <v>0</v>
      </c>
      <c r="AB1765" s="30">
        <v>0</v>
      </c>
      <c r="AC1765" s="30">
        <v>0</v>
      </c>
      <c r="AD1765" s="30">
        <v>0</v>
      </c>
      <c r="AE1765" s="89" t="s">
        <v>145</v>
      </c>
      <c r="AF1765" s="89"/>
      <c r="AG1765" s="89" t="s">
        <v>82</v>
      </c>
      <c r="AH1765" s="72">
        <v>41754</v>
      </c>
      <c r="AI1765" s="30">
        <v>3</v>
      </c>
      <c r="AJ1765" s="89" t="s">
        <v>9859</v>
      </c>
      <c r="AK1765" s="89" t="s">
        <v>1233</v>
      </c>
      <c r="AL1765" s="91">
        <v>41759</v>
      </c>
      <c r="AM1765" s="91"/>
      <c r="AN1765" s="91"/>
      <c r="AO1765" s="91"/>
      <c r="AP1765" s="73" t="e">
        <f>MID(VLOOKUP(K1765,#REF!,2,FALSE),1,2)</f>
        <v>#REF!</v>
      </c>
      <c r="AQ1765" s="89">
        <f>DATE(2014,4,24)</f>
        <v>41753</v>
      </c>
      <c r="AR1765" s="82">
        <f t="shared" si="114"/>
        <v>24</v>
      </c>
      <c r="AS1765" s="83">
        <f t="shared" si="115"/>
        <v>4</v>
      </c>
      <c r="AT1765" s="84">
        <f t="shared" si="116"/>
        <v>2014</v>
      </c>
      <c r="AU1765" s="86"/>
      <c r="AV1765" s="86"/>
      <c r="AW1765" s="87"/>
      <c r="AX1765" s="86"/>
      <c r="AY1765" s="83"/>
      <c r="AZ1765" s="84"/>
      <c r="BA1765" s="86"/>
      <c r="BB1765" s="86"/>
    </row>
    <row r="1766" spans="1:54" ht="36.75" customHeight="1">
      <c r="A1766" s="30"/>
      <c r="B1766" s="30" t="s">
        <v>55</v>
      </c>
      <c r="C1766" s="69" t="str">
        <f t="shared" si="117"/>
        <v>Closed</v>
      </c>
      <c r="D1766" s="27" t="s">
        <v>9860</v>
      </c>
      <c r="E1766" s="29" t="s">
        <v>9861</v>
      </c>
      <c r="F1766" s="30" t="s">
        <v>12910</v>
      </c>
      <c r="G1766" s="89">
        <f>DATE(2014,4,29)</f>
        <v>41758</v>
      </c>
      <c r="H1766" s="90">
        <v>1.6375000000000002</v>
      </c>
      <c r="I1766" s="30" t="s">
        <v>116</v>
      </c>
      <c r="J1766" s="210" t="s">
        <v>9862</v>
      </c>
      <c r="K1766" s="30" t="s">
        <v>453</v>
      </c>
      <c r="L1766" s="30" t="s">
        <v>9863</v>
      </c>
      <c r="M1766" s="30" t="s">
        <v>63</v>
      </c>
      <c r="N1766" s="30" t="s">
        <v>99</v>
      </c>
      <c r="O1766" s="30" t="s">
        <v>64</v>
      </c>
      <c r="P1766" s="89" t="s">
        <v>165</v>
      </c>
      <c r="Q1766" s="89" t="s">
        <v>455</v>
      </c>
      <c r="R1766" s="89" t="s">
        <v>456</v>
      </c>
      <c r="S1766" s="30">
        <v>0</v>
      </c>
      <c r="T1766" s="233">
        <v>0</v>
      </c>
      <c r="U1766" s="30">
        <v>1</v>
      </c>
      <c r="V1766" s="233">
        <v>0</v>
      </c>
      <c r="W1766" s="30">
        <v>0</v>
      </c>
      <c r="X1766" s="30">
        <v>1</v>
      </c>
      <c r="Y1766" s="30">
        <v>0</v>
      </c>
      <c r="Z1766" s="233">
        <v>0</v>
      </c>
      <c r="AA1766" s="30">
        <v>0</v>
      </c>
      <c r="AB1766" s="30">
        <v>0</v>
      </c>
      <c r="AC1766" s="30">
        <v>0</v>
      </c>
      <c r="AD1766" s="30">
        <v>0</v>
      </c>
      <c r="AE1766" s="89" t="s">
        <v>92</v>
      </c>
      <c r="AF1766" s="89"/>
      <c r="AG1766" s="89" t="s">
        <v>82</v>
      </c>
      <c r="AH1766" s="72">
        <v>41758</v>
      </c>
      <c r="AI1766" s="30">
        <v>0</v>
      </c>
      <c r="AJ1766" s="89" t="s">
        <v>9864</v>
      </c>
      <c r="AK1766" s="89" t="s">
        <v>1233</v>
      </c>
      <c r="AL1766" s="91">
        <v>42831</v>
      </c>
      <c r="AM1766" s="91"/>
      <c r="AN1766" s="91"/>
      <c r="AO1766" s="91"/>
      <c r="AP1766" s="73" t="e">
        <f>MID(VLOOKUP(K1766,#REF!,2,FALSE),1,2)</f>
        <v>#REF!</v>
      </c>
      <c r="AQ1766" s="89">
        <f>DATE(2014,4,29)</f>
        <v>41758</v>
      </c>
      <c r="AR1766" s="82">
        <f t="shared" si="114"/>
        <v>29</v>
      </c>
      <c r="AS1766" s="83">
        <f t="shared" si="115"/>
        <v>4</v>
      </c>
      <c r="AT1766" s="84">
        <f t="shared" si="116"/>
        <v>2014</v>
      </c>
      <c r="AU1766" s="86"/>
      <c r="AV1766" s="86"/>
      <c r="AW1766" s="87"/>
      <c r="AX1766" s="86"/>
      <c r="AY1766" s="83"/>
      <c r="AZ1766" s="84"/>
      <c r="BA1766" s="86"/>
      <c r="BB1766" s="86"/>
    </row>
    <row r="1767" spans="1:54" ht="36.75" customHeight="1">
      <c r="A1767" s="30"/>
      <c r="B1767" s="30" t="s">
        <v>55</v>
      </c>
      <c r="C1767" s="69" t="str">
        <f t="shared" si="117"/>
        <v>Closed</v>
      </c>
      <c r="D1767" s="27" t="s">
        <v>9865</v>
      </c>
      <c r="E1767" s="29" t="s">
        <v>9866</v>
      </c>
      <c r="F1767" s="30" t="s">
        <v>16429</v>
      </c>
      <c r="G1767" s="89">
        <f>DATE(2014,4,30)</f>
        <v>41759</v>
      </c>
      <c r="H1767" s="90">
        <v>1.5270833333333333</v>
      </c>
      <c r="I1767" s="30" t="s">
        <v>116</v>
      </c>
      <c r="J1767" s="210" t="s">
        <v>9867</v>
      </c>
      <c r="K1767" s="30" t="s">
        <v>425</v>
      </c>
      <c r="L1767" s="30" t="s">
        <v>9868</v>
      </c>
      <c r="M1767" s="30" t="s">
        <v>63</v>
      </c>
      <c r="N1767" s="30" t="s">
        <v>89</v>
      </c>
      <c r="O1767" s="30" t="s">
        <v>64</v>
      </c>
      <c r="P1767" s="89" t="s">
        <v>165</v>
      </c>
      <c r="Q1767" s="89" t="s">
        <v>427</v>
      </c>
      <c r="R1767" s="89" t="s">
        <v>3103</v>
      </c>
      <c r="S1767" s="30">
        <v>0</v>
      </c>
      <c r="T1767" s="233">
        <v>0</v>
      </c>
      <c r="U1767" s="30">
        <v>1</v>
      </c>
      <c r="V1767" s="233">
        <v>0</v>
      </c>
      <c r="W1767" s="30">
        <v>0</v>
      </c>
      <c r="X1767" s="30">
        <v>1</v>
      </c>
      <c r="Y1767" s="30">
        <v>0</v>
      </c>
      <c r="Z1767" s="233">
        <v>0</v>
      </c>
      <c r="AA1767" s="30">
        <v>0</v>
      </c>
      <c r="AB1767" s="30">
        <v>0</v>
      </c>
      <c r="AC1767" s="30">
        <v>0</v>
      </c>
      <c r="AD1767" s="30">
        <v>0</v>
      </c>
      <c r="AE1767" s="89" t="s">
        <v>92</v>
      </c>
      <c r="AF1767" s="89"/>
      <c r="AG1767" s="89" t="s">
        <v>133</v>
      </c>
      <c r="AH1767" s="72">
        <v>41795</v>
      </c>
      <c r="AI1767" s="30">
        <v>0</v>
      </c>
      <c r="AJ1767" s="89" t="s">
        <v>9869</v>
      </c>
      <c r="AK1767" s="89" t="s">
        <v>9870</v>
      </c>
      <c r="AL1767" s="91">
        <v>41766</v>
      </c>
      <c r="AM1767" s="91"/>
      <c r="AN1767" s="91"/>
      <c r="AO1767" s="91"/>
      <c r="AP1767" s="73" t="e">
        <f>MID(VLOOKUP(K1767,#REF!,2,FALSE),1,2)</f>
        <v>#REF!</v>
      </c>
      <c r="AQ1767" s="89">
        <f>DATE(2014,4,30)</f>
        <v>41759</v>
      </c>
      <c r="AR1767" s="82">
        <f t="shared" si="114"/>
        <v>30</v>
      </c>
      <c r="AS1767" s="83">
        <f t="shared" si="115"/>
        <v>4</v>
      </c>
      <c r="AT1767" s="84">
        <f t="shared" si="116"/>
        <v>2014</v>
      </c>
      <c r="AU1767" s="86"/>
      <c r="AV1767" s="86"/>
      <c r="AW1767" s="87"/>
      <c r="AX1767" s="86"/>
      <c r="AY1767" s="83"/>
      <c r="AZ1767" s="84"/>
      <c r="BA1767" s="86"/>
      <c r="BB1767" s="86"/>
    </row>
    <row r="1768" spans="1:54" ht="36.75" customHeight="1">
      <c r="A1768" s="30"/>
      <c r="B1768" s="30" t="s">
        <v>55</v>
      </c>
      <c r="C1768" s="69" t="str">
        <f t="shared" si="117"/>
        <v>Closed</v>
      </c>
      <c r="D1768" s="27" t="s">
        <v>9871</v>
      </c>
      <c r="E1768" s="29" t="s">
        <v>9872</v>
      </c>
      <c r="F1768" s="30" t="s">
        <v>17578</v>
      </c>
      <c r="G1768" s="89">
        <f>DATE(2014,5,3)</f>
        <v>41762</v>
      </c>
      <c r="H1768" s="90">
        <v>1.9263888888888889</v>
      </c>
      <c r="I1768" s="30" t="s">
        <v>116</v>
      </c>
      <c r="J1768" s="210" t="s">
        <v>9873</v>
      </c>
      <c r="K1768" s="30" t="s">
        <v>837</v>
      </c>
      <c r="L1768" s="30" t="s">
        <v>9874</v>
      </c>
      <c r="M1768" s="30" t="s">
        <v>63</v>
      </c>
      <c r="N1768" s="30" t="s">
        <v>142</v>
      </c>
      <c r="O1768" s="30" t="s">
        <v>64</v>
      </c>
      <c r="P1768" s="89" t="s">
        <v>65</v>
      </c>
      <c r="Q1768" s="89" t="s">
        <v>2162</v>
      </c>
      <c r="R1768" s="89" t="s">
        <v>840</v>
      </c>
      <c r="S1768" s="30">
        <v>0</v>
      </c>
      <c r="T1768" s="233">
        <v>0</v>
      </c>
      <c r="U1768" s="30">
        <v>0</v>
      </c>
      <c r="V1768" s="233">
        <v>0</v>
      </c>
      <c r="W1768" s="30">
        <v>0</v>
      </c>
      <c r="X1768" s="30">
        <v>0</v>
      </c>
      <c r="Y1768" s="30">
        <v>0</v>
      </c>
      <c r="Z1768" s="233">
        <v>0</v>
      </c>
      <c r="AA1768" s="30">
        <v>2</v>
      </c>
      <c r="AB1768" s="30">
        <v>0</v>
      </c>
      <c r="AC1768" s="30">
        <v>0</v>
      </c>
      <c r="AD1768" s="30">
        <v>2</v>
      </c>
      <c r="AE1768" s="89" t="s">
        <v>92</v>
      </c>
      <c r="AF1768" s="89"/>
      <c r="AG1768" s="89" t="s">
        <v>133</v>
      </c>
      <c r="AH1768" s="72">
        <v>41762</v>
      </c>
      <c r="AI1768" s="30">
        <v>0</v>
      </c>
      <c r="AJ1768" s="89" t="s">
        <v>9875</v>
      </c>
      <c r="AK1768" s="89" t="s">
        <v>68</v>
      </c>
      <c r="AL1768" s="91">
        <v>41768</v>
      </c>
      <c r="AM1768" s="91"/>
      <c r="AN1768" s="91"/>
      <c r="AO1768" s="91"/>
      <c r="AP1768" s="73" t="e">
        <f>MID(VLOOKUP(K1768,#REF!,2,FALSE),1,2)</f>
        <v>#REF!</v>
      </c>
      <c r="AQ1768" s="89">
        <f>DATE(2014,5,3)</f>
        <v>41762</v>
      </c>
      <c r="AR1768" s="82">
        <f t="shared" si="114"/>
        <v>3</v>
      </c>
      <c r="AS1768" s="83">
        <f t="shared" si="115"/>
        <v>5</v>
      </c>
      <c r="AT1768" s="84">
        <f t="shared" si="116"/>
        <v>2014</v>
      </c>
      <c r="AU1768" s="86"/>
      <c r="AV1768" s="86"/>
      <c r="AW1768" s="87"/>
      <c r="AX1768" s="86"/>
      <c r="AY1768" s="83"/>
      <c r="AZ1768" s="84"/>
      <c r="BA1768" s="86"/>
      <c r="BB1768" s="86"/>
    </row>
    <row r="1769" spans="1:54" ht="36.75" customHeight="1">
      <c r="A1769" s="30"/>
      <c r="B1769" s="30" t="s">
        <v>55</v>
      </c>
      <c r="C1769" s="69" t="str">
        <f t="shared" si="117"/>
        <v>Closed</v>
      </c>
      <c r="D1769" s="27" t="s">
        <v>9876</v>
      </c>
      <c r="E1769" s="29" t="s">
        <v>9877</v>
      </c>
      <c r="F1769" s="30" t="s">
        <v>17773</v>
      </c>
      <c r="G1769" s="89">
        <f>DATE(2014,5,7)</f>
        <v>41766</v>
      </c>
      <c r="H1769" s="90">
        <v>1.6909722222222223</v>
      </c>
      <c r="I1769" s="30" t="s">
        <v>116</v>
      </c>
      <c r="J1769" s="210" t="s">
        <v>9878</v>
      </c>
      <c r="K1769" s="30" t="s">
        <v>2603</v>
      </c>
      <c r="L1769" s="30" t="s">
        <v>9879</v>
      </c>
      <c r="M1769" s="30" t="s">
        <v>63</v>
      </c>
      <c r="N1769" s="30" t="s">
        <v>142</v>
      </c>
      <c r="O1769" s="30" t="s">
        <v>77</v>
      </c>
      <c r="P1769" s="89" t="s">
        <v>165</v>
      </c>
      <c r="Q1769" s="89" t="s">
        <v>6342</v>
      </c>
      <c r="R1769" s="89" t="s">
        <v>2606</v>
      </c>
      <c r="S1769" s="30">
        <v>1</v>
      </c>
      <c r="T1769" s="233">
        <v>0</v>
      </c>
      <c r="U1769" s="30">
        <v>0</v>
      </c>
      <c r="V1769" s="233">
        <v>0</v>
      </c>
      <c r="W1769" s="30">
        <v>0</v>
      </c>
      <c r="X1769" s="30">
        <v>1</v>
      </c>
      <c r="Y1769" s="30">
        <v>0</v>
      </c>
      <c r="Z1769" s="233">
        <v>0</v>
      </c>
      <c r="AA1769" s="30">
        <v>1</v>
      </c>
      <c r="AB1769" s="30">
        <v>0</v>
      </c>
      <c r="AC1769" s="30">
        <v>0</v>
      </c>
      <c r="AD1769" s="30">
        <v>1</v>
      </c>
      <c r="AE1769" s="89" t="s">
        <v>394</v>
      </c>
      <c r="AF1769" s="89"/>
      <c r="AG1769" s="89" t="s">
        <v>82</v>
      </c>
      <c r="AH1769" s="72">
        <v>41766</v>
      </c>
      <c r="AI1769" s="30">
        <v>1</v>
      </c>
      <c r="AJ1769" s="89" t="s">
        <v>9880</v>
      </c>
      <c r="AK1769" s="89" t="s">
        <v>9881</v>
      </c>
      <c r="AL1769" s="91">
        <v>41771</v>
      </c>
      <c r="AM1769" s="91"/>
      <c r="AN1769" s="91"/>
      <c r="AO1769" s="91"/>
      <c r="AP1769" s="73" t="e">
        <f>MID(VLOOKUP(K1769,#REF!,2,FALSE),1,2)</f>
        <v>#REF!</v>
      </c>
      <c r="AQ1769" s="89">
        <f>DATE(2014,5,7)</f>
        <v>41766</v>
      </c>
      <c r="AR1769" s="82">
        <f t="shared" si="114"/>
        <v>7</v>
      </c>
      <c r="AS1769" s="83">
        <f t="shared" si="115"/>
        <v>5</v>
      </c>
      <c r="AT1769" s="84">
        <f t="shared" si="116"/>
        <v>2014</v>
      </c>
      <c r="AU1769" s="86"/>
      <c r="AV1769" s="86"/>
      <c r="AW1769" s="87"/>
      <c r="AX1769" s="86"/>
      <c r="AY1769" s="83"/>
      <c r="AZ1769" s="84"/>
      <c r="BA1769" s="86"/>
      <c r="BB1769" s="86"/>
    </row>
    <row r="1770" spans="1:54" ht="36.75" customHeight="1">
      <c r="A1770" s="30"/>
      <c r="B1770" s="30" t="s">
        <v>55</v>
      </c>
      <c r="C1770" s="69" t="str">
        <f t="shared" si="117"/>
        <v>Closed</v>
      </c>
      <c r="D1770" s="27" t="s">
        <v>9882</v>
      </c>
      <c r="E1770" s="29" t="s">
        <v>9883</v>
      </c>
      <c r="F1770" s="30" t="s">
        <v>6455</v>
      </c>
      <c r="G1770" s="89">
        <f>DATE(2014,5,7)</f>
        <v>41766</v>
      </c>
      <c r="H1770" s="90">
        <v>1.1805555555555556</v>
      </c>
      <c r="I1770" s="30" t="s">
        <v>156</v>
      </c>
      <c r="J1770" s="210" t="s">
        <v>9884</v>
      </c>
      <c r="K1770" s="30" t="s">
        <v>584</v>
      </c>
      <c r="L1770" s="30" t="s">
        <v>9885</v>
      </c>
      <c r="M1770" s="30" t="s">
        <v>63</v>
      </c>
      <c r="N1770" s="30" t="s">
        <v>142</v>
      </c>
      <c r="O1770" s="30" t="s">
        <v>77</v>
      </c>
      <c r="P1770" s="89" t="s">
        <v>165</v>
      </c>
      <c r="Q1770" s="89" t="s">
        <v>4487</v>
      </c>
      <c r="R1770" s="89" t="s">
        <v>587</v>
      </c>
      <c r="S1770" s="30">
        <v>0</v>
      </c>
      <c r="T1770" s="233">
        <v>0</v>
      </c>
      <c r="U1770" s="30">
        <v>0</v>
      </c>
      <c r="V1770" s="233">
        <v>0</v>
      </c>
      <c r="W1770" s="30">
        <v>0</v>
      </c>
      <c r="X1770" s="30">
        <v>0</v>
      </c>
      <c r="Y1770" s="30">
        <v>0</v>
      </c>
      <c r="Z1770" s="233">
        <v>1</v>
      </c>
      <c r="AA1770" s="30">
        <v>0</v>
      </c>
      <c r="AB1770" s="30">
        <v>0</v>
      </c>
      <c r="AC1770" s="30">
        <v>0</v>
      </c>
      <c r="AD1770" s="30">
        <v>1</v>
      </c>
      <c r="AE1770" s="89" t="s">
        <v>145</v>
      </c>
      <c r="AF1770" s="89"/>
      <c r="AG1770" s="89" t="s">
        <v>133</v>
      </c>
      <c r="AH1770" s="72">
        <v>41767</v>
      </c>
      <c r="AI1770" s="30">
        <v>0</v>
      </c>
      <c r="AJ1770" s="89" t="s">
        <v>9886</v>
      </c>
      <c r="AK1770" s="89" t="s">
        <v>1233</v>
      </c>
      <c r="AL1770" s="91">
        <v>41767</v>
      </c>
      <c r="AM1770" s="91"/>
      <c r="AN1770" s="91"/>
      <c r="AO1770" s="91"/>
      <c r="AP1770" s="73" t="e">
        <f>MID(VLOOKUP(K1770,#REF!,2,FALSE),1,2)</f>
        <v>#REF!</v>
      </c>
      <c r="AQ1770" s="89">
        <f>DATE(2014,5,7)</f>
        <v>41766</v>
      </c>
      <c r="AR1770" s="82">
        <f t="shared" si="114"/>
        <v>7</v>
      </c>
      <c r="AS1770" s="83">
        <f t="shared" si="115"/>
        <v>5</v>
      </c>
      <c r="AT1770" s="84">
        <f t="shared" si="116"/>
        <v>2014</v>
      </c>
      <c r="AU1770" s="86"/>
      <c r="AV1770" s="86"/>
      <c r="AW1770" s="87"/>
      <c r="AX1770" s="86"/>
      <c r="AY1770" s="83"/>
      <c r="AZ1770" s="84"/>
      <c r="BA1770" s="86"/>
      <c r="BB1770" s="86"/>
    </row>
    <row r="1771" spans="1:54" ht="36.75" customHeight="1">
      <c r="A1771" s="30"/>
      <c r="B1771" s="30" t="s">
        <v>55</v>
      </c>
      <c r="C1771" s="69" t="str">
        <f t="shared" si="117"/>
        <v>Closed</v>
      </c>
      <c r="D1771" s="27" t="s">
        <v>9887</v>
      </c>
      <c r="E1771" s="29" t="s">
        <v>9888</v>
      </c>
      <c r="F1771" s="30" t="s">
        <v>17578</v>
      </c>
      <c r="G1771" s="89">
        <f>DATE(2014,5,7)</f>
        <v>41766</v>
      </c>
      <c r="H1771" s="90">
        <v>1.2013888888888888</v>
      </c>
      <c r="I1771" s="30" t="s">
        <v>116</v>
      </c>
      <c r="J1771" s="210" t="s">
        <v>9889</v>
      </c>
      <c r="K1771" s="30" t="s">
        <v>837</v>
      </c>
      <c r="L1771" s="30" t="s">
        <v>9890</v>
      </c>
      <c r="M1771" s="30" t="s">
        <v>63</v>
      </c>
      <c r="N1771" s="30" t="s">
        <v>99</v>
      </c>
      <c r="O1771" s="30" t="s">
        <v>64</v>
      </c>
      <c r="P1771" s="89" t="s">
        <v>165</v>
      </c>
      <c r="Q1771" s="89" t="s">
        <v>2162</v>
      </c>
      <c r="R1771" s="89" t="s">
        <v>840</v>
      </c>
      <c r="S1771" s="30">
        <v>0</v>
      </c>
      <c r="T1771" s="233">
        <v>0</v>
      </c>
      <c r="U1771" s="30">
        <v>1</v>
      </c>
      <c r="V1771" s="233">
        <v>0</v>
      </c>
      <c r="W1771" s="30">
        <v>0</v>
      </c>
      <c r="X1771" s="30">
        <v>1</v>
      </c>
      <c r="Y1771" s="30">
        <v>0</v>
      </c>
      <c r="Z1771" s="233">
        <v>0</v>
      </c>
      <c r="AA1771" s="30">
        <v>0</v>
      </c>
      <c r="AB1771" s="30">
        <v>0</v>
      </c>
      <c r="AC1771" s="30">
        <v>0</v>
      </c>
      <c r="AD1771" s="30">
        <v>0</v>
      </c>
      <c r="AE1771" s="89" t="s">
        <v>92</v>
      </c>
      <c r="AF1771" s="89"/>
      <c r="AG1771" s="89" t="s">
        <v>133</v>
      </c>
      <c r="AH1771" s="72">
        <v>41950</v>
      </c>
      <c r="AI1771" s="30">
        <v>1</v>
      </c>
      <c r="AJ1771" s="89" t="s">
        <v>9891</v>
      </c>
      <c r="AK1771" s="89" t="s">
        <v>1233</v>
      </c>
      <c r="AL1771" s="91">
        <v>41768</v>
      </c>
      <c r="AM1771" s="91"/>
      <c r="AN1771" s="91"/>
      <c r="AO1771" s="91"/>
      <c r="AP1771" s="73" t="e">
        <f>MID(VLOOKUP(K1771,#REF!,2,FALSE),1,2)</f>
        <v>#REF!</v>
      </c>
      <c r="AQ1771" s="89">
        <f>DATE(2014,5,7)</f>
        <v>41766</v>
      </c>
      <c r="AR1771" s="82">
        <f t="shared" si="114"/>
        <v>7</v>
      </c>
      <c r="AS1771" s="83">
        <f t="shared" si="115"/>
        <v>5</v>
      </c>
      <c r="AT1771" s="84">
        <f t="shared" si="116"/>
        <v>2014</v>
      </c>
      <c r="AU1771" s="86"/>
      <c r="AV1771" s="86"/>
      <c r="AW1771" s="87"/>
      <c r="AX1771" s="86"/>
      <c r="AY1771" s="83"/>
      <c r="AZ1771" s="84"/>
      <c r="BA1771" s="86"/>
      <c r="BB1771" s="86"/>
    </row>
    <row r="1772" spans="1:54" ht="36.75" customHeight="1">
      <c r="A1772" s="30"/>
      <c r="B1772" s="30" t="s">
        <v>55</v>
      </c>
      <c r="C1772" s="69" t="str">
        <f t="shared" si="117"/>
        <v>Closed</v>
      </c>
      <c r="D1772" s="27" t="s">
        <v>9892</v>
      </c>
      <c r="E1772" s="29" t="s">
        <v>9893</v>
      </c>
      <c r="F1772" s="30" t="s">
        <v>17682</v>
      </c>
      <c r="G1772" s="89">
        <f>DATE(2014,5,7)</f>
        <v>41766</v>
      </c>
      <c r="H1772" s="90">
        <v>1.3055555555555556</v>
      </c>
      <c r="I1772" s="30" t="s">
        <v>73</v>
      </c>
      <c r="J1772" s="210" t="s">
        <v>9894</v>
      </c>
      <c r="K1772" s="30" t="s">
        <v>1574</v>
      </c>
      <c r="L1772" s="30" t="s">
        <v>9895</v>
      </c>
      <c r="M1772" s="30" t="s">
        <v>63</v>
      </c>
      <c r="N1772" s="30" t="s">
        <v>99</v>
      </c>
      <c r="O1772" s="30" t="s">
        <v>77</v>
      </c>
      <c r="P1772" s="89" t="s">
        <v>6941</v>
      </c>
      <c r="Q1772" s="89" t="s">
        <v>2413</v>
      </c>
      <c r="R1772" s="89" t="s">
        <v>6434</v>
      </c>
      <c r="S1772" s="30">
        <v>0</v>
      </c>
      <c r="T1772" s="233">
        <v>0</v>
      </c>
      <c r="U1772" s="30">
        <v>0</v>
      </c>
      <c r="V1772" s="233">
        <v>0</v>
      </c>
      <c r="W1772" s="30">
        <v>0</v>
      </c>
      <c r="X1772" s="30">
        <v>0</v>
      </c>
      <c r="Y1772" s="30">
        <v>0</v>
      </c>
      <c r="Z1772" s="233">
        <v>0</v>
      </c>
      <c r="AA1772" s="30">
        <v>0</v>
      </c>
      <c r="AB1772" s="30">
        <v>0</v>
      </c>
      <c r="AC1772" s="30">
        <v>0</v>
      </c>
      <c r="AD1772" s="30">
        <v>0</v>
      </c>
      <c r="AE1772" s="89" t="s">
        <v>92</v>
      </c>
      <c r="AF1772" s="89"/>
      <c r="AG1772" s="89" t="s">
        <v>133</v>
      </c>
      <c r="AH1772" s="72">
        <v>41766</v>
      </c>
      <c r="AI1772" s="30">
        <v>4</v>
      </c>
      <c r="AJ1772" s="89" t="s">
        <v>9896</v>
      </c>
      <c r="AK1772" s="89" t="s">
        <v>9897</v>
      </c>
      <c r="AL1772" s="91">
        <v>41767</v>
      </c>
      <c r="AM1772" s="91"/>
      <c r="AN1772" s="91"/>
      <c r="AO1772" s="91"/>
      <c r="AP1772" s="73" t="e">
        <f>MID(VLOOKUP(K1772,#REF!,2,FALSE),1,2)</f>
        <v>#REF!</v>
      </c>
      <c r="AQ1772" s="89">
        <f>DATE(2014,5,7)</f>
        <v>41766</v>
      </c>
      <c r="AR1772" s="82">
        <f t="shared" si="114"/>
        <v>7</v>
      </c>
      <c r="AS1772" s="83">
        <f t="shared" si="115"/>
        <v>5</v>
      </c>
      <c r="AT1772" s="84">
        <f t="shared" si="116"/>
        <v>2014</v>
      </c>
      <c r="AU1772" s="86"/>
      <c r="AV1772" s="86"/>
      <c r="AW1772" s="87"/>
      <c r="AX1772" s="86"/>
      <c r="AY1772" s="83"/>
      <c r="AZ1772" s="84"/>
      <c r="BA1772" s="86"/>
      <c r="BB1772" s="86"/>
    </row>
    <row r="1773" spans="1:54" ht="36.75" customHeight="1">
      <c r="A1773" s="30"/>
      <c r="B1773" s="30" t="s">
        <v>55</v>
      </c>
      <c r="C1773" s="69" t="str">
        <f t="shared" si="117"/>
        <v>Closed</v>
      </c>
      <c r="D1773" s="27" t="s">
        <v>9898</v>
      </c>
      <c r="E1773" s="29" t="s">
        <v>9899</v>
      </c>
      <c r="F1773" s="30" t="s">
        <v>17682</v>
      </c>
      <c r="G1773" s="89">
        <f>DATE(2014,5,8)</f>
        <v>41767</v>
      </c>
      <c r="H1773" s="90">
        <v>1.0347222222222223</v>
      </c>
      <c r="I1773" s="30" t="s">
        <v>73</v>
      </c>
      <c r="J1773" s="210" t="s">
        <v>9900</v>
      </c>
      <c r="K1773" s="30" t="s">
        <v>1574</v>
      </c>
      <c r="L1773" s="30" t="s">
        <v>9901</v>
      </c>
      <c r="M1773" s="30" t="s">
        <v>63</v>
      </c>
      <c r="N1773" s="30" t="s">
        <v>142</v>
      </c>
      <c r="O1773" s="30" t="s">
        <v>64</v>
      </c>
      <c r="P1773" s="89" t="s">
        <v>78</v>
      </c>
      <c r="Q1773" s="89" t="s">
        <v>7932</v>
      </c>
      <c r="R1773" s="89" t="s">
        <v>6434</v>
      </c>
      <c r="S1773" s="30">
        <v>0</v>
      </c>
      <c r="T1773" s="233">
        <v>0</v>
      </c>
      <c r="U1773" s="30">
        <v>0</v>
      </c>
      <c r="V1773" s="233">
        <v>0</v>
      </c>
      <c r="W1773" s="30">
        <v>0</v>
      </c>
      <c r="X1773" s="30">
        <v>0</v>
      </c>
      <c r="Y1773" s="30">
        <v>0</v>
      </c>
      <c r="Z1773" s="233">
        <v>0</v>
      </c>
      <c r="AA1773" s="30">
        <v>0</v>
      </c>
      <c r="AB1773" s="30">
        <v>0</v>
      </c>
      <c r="AC1773" s="30">
        <v>0</v>
      </c>
      <c r="AD1773" s="30">
        <v>0</v>
      </c>
      <c r="AE1773" s="89" t="s">
        <v>92</v>
      </c>
      <c r="AF1773" s="89"/>
      <c r="AG1773" s="89" t="s">
        <v>133</v>
      </c>
      <c r="AH1773" s="72">
        <v>41768</v>
      </c>
      <c r="AI1773" s="30">
        <v>1</v>
      </c>
      <c r="AJ1773" s="89" t="s">
        <v>9902</v>
      </c>
      <c r="AK1773" s="89" t="s">
        <v>9903</v>
      </c>
      <c r="AL1773" s="91">
        <v>41774</v>
      </c>
      <c r="AM1773" s="91"/>
      <c r="AN1773" s="91"/>
      <c r="AO1773" s="91"/>
      <c r="AP1773" s="73" t="e">
        <f>MID(VLOOKUP(K1773,#REF!,2,FALSE),1,2)</f>
        <v>#REF!</v>
      </c>
      <c r="AQ1773" s="89">
        <f>DATE(2014,5,8)</f>
        <v>41767</v>
      </c>
      <c r="AR1773" s="82">
        <f t="shared" si="114"/>
        <v>8</v>
      </c>
      <c r="AS1773" s="83">
        <f t="shared" si="115"/>
        <v>5</v>
      </c>
      <c r="AT1773" s="84">
        <f t="shared" si="116"/>
        <v>2014</v>
      </c>
      <c r="AU1773" s="86"/>
      <c r="AV1773" s="86"/>
      <c r="AW1773" s="87"/>
      <c r="AX1773" s="86"/>
      <c r="AY1773" s="83"/>
      <c r="AZ1773" s="84"/>
      <c r="BA1773" s="86"/>
      <c r="BB1773" s="86"/>
    </row>
    <row r="1774" spans="1:54" ht="36.75" customHeight="1">
      <c r="A1774" s="30"/>
      <c r="B1774" s="30" t="s">
        <v>55</v>
      </c>
      <c r="C1774" s="69" t="str">
        <f t="shared" si="117"/>
        <v>Closed</v>
      </c>
      <c r="D1774" s="27" t="s">
        <v>9904</v>
      </c>
      <c r="E1774" s="29" t="s">
        <v>9905</v>
      </c>
      <c r="F1774" s="30" t="s">
        <v>46047</v>
      </c>
      <c r="G1774" s="89">
        <f>DATE(2014,5,11)</f>
        <v>41770</v>
      </c>
      <c r="H1774" s="90">
        <v>1.8034722222222221</v>
      </c>
      <c r="I1774" s="30" t="s">
        <v>116</v>
      </c>
      <c r="J1774" s="210" t="s">
        <v>9906</v>
      </c>
      <c r="K1774" s="30" t="s">
        <v>235</v>
      </c>
      <c r="L1774" s="30" t="s">
        <v>9907</v>
      </c>
      <c r="M1774" s="30" t="s">
        <v>63</v>
      </c>
      <c r="N1774" s="30" t="s">
        <v>142</v>
      </c>
      <c r="O1774" s="30" t="s">
        <v>86</v>
      </c>
      <c r="P1774" s="89" t="s">
        <v>165</v>
      </c>
      <c r="Q1774" s="89" t="s">
        <v>1428</v>
      </c>
      <c r="R1774" s="89" t="s">
        <v>238</v>
      </c>
      <c r="S1774" s="30">
        <v>0</v>
      </c>
      <c r="T1774" s="233">
        <v>0</v>
      </c>
      <c r="U1774" s="30">
        <v>1</v>
      </c>
      <c r="V1774" s="233">
        <v>0</v>
      </c>
      <c r="W1774" s="30">
        <v>0</v>
      </c>
      <c r="X1774" s="30">
        <v>1</v>
      </c>
      <c r="Y1774" s="30">
        <v>0</v>
      </c>
      <c r="Z1774" s="233">
        <v>0</v>
      </c>
      <c r="AA1774" s="30">
        <v>0</v>
      </c>
      <c r="AB1774" s="30">
        <v>0</v>
      </c>
      <c r="AC1774" s="30">
        <v>0</v>
      </c>
      <c r="AD1774" s="30">
        <v>0</v>
      </c>
      <c r="AE1774" s="89" t="s">
        <v>92</v>
      </c>
      <c r="AF1774" s="89"/>
      <c r="AG1774" s="89" t="s">
        <v>82</v>
      </c>
      <c r="AH1774" s="72">
        <v>41786</v>
      </c>
      <c r="AI1774" s="30">
        <v>6</v>
      </c>
      <c r="AJ1774" s="89" t="s">
        <v>9908</v>
      </c>
      <c r="AK1774" s="89" t="s">
        <v>9909</v>
      </c>
      <c r="AL1774" s="91">
        <v>41834</v>
      </c>
      <c r="AM1774" s="91"/>
      <c r="AN1774" s="91"/>
      <c r="AO1774" s="91"/>
      <c r="AP1774" s="73" t="e">
        <f>MID(VLOOKUP(K1774,#REF!,2,FALSE),1,2)</f>
        <v>#REF!</v>
      </c>
      <c r="AQ1774" s="89">
        <f>DATE(2014,5,11)</f>
        <v>41770</v>
      </c>
      <c r="AR1774" s="82">
        <f t="shared" si="114"/>
        <v>11</v>
      </c>
      <c r="AS1774" s="83">
        <f t="shared" si="115"/>
        <v>5</v>
      </c>
      <c r="AT1774" s="84">
        <f t="shared" si="116"/>
        <v>2014</v>
      </c>
      <c r="AU1774" s="86"/>
      <c r="AV1774" s="86"/>
      <c r="AW1774" s="87"/>
      <c r="AX1774" s="86"/>
      <c r="AY1774" s="83"/>
      <c r="AZ1774" s="84"/>
      <c r="BA1774" s="86"/>
      <c r="BB1774" s="86"/>
    </row>
    <row r="1775" spans="1:54" ht="36.75" customHeight="1">
      <c r="A1775" s="30"/>
      <c r="B1775" s="30" t="s">
        <v>55</v>
      </c>
      <c r="C1775" s="69" t="str">
        <f t="shared" si="117"/>
        <v>Closed</v>
      </c>
      <c r="D1775" s="27" t="s">
        <v>9910</v>
      </c>
      <c r="E1775" s="29" t="s">
        <v>9911</v>
      </c>
      <c r="F1775" s="30" t="s">
        <v>17578</v>
      </c>
      <c r="G1775" s="89">
        <f>DATE(2014,5,12)</f>
        <v>41771</v>
      </c>
      <c r="H1775" s="90">
        <v>1.6701388888888888</v>
      </c>
      <c r="I1775" s="30" t="s">
        <v>5494</v>
      </c>
      <c r="J1775" s="210" t="s">
        <v>9912</v>
      </c>
      <c r="K1775" s="30" t="s">
        <v>837</v>
      </c>
      <c r="L1775" s="30" t="s">
        <v>9913</v>
      </c>
      <c r="M1775" s="30" t="s">
        <v>63</v>
      </c>
      <c r="N1775" s="30" t="s">
        <v>89</v>
      </c>
      <c r="O1775" s="30" t="s">
        <v>77</v>
      </c>
      <c r="P1775" s="89" t="s">
        <v>91</v>
      </c>
      <c r="Q1775" s="89" t="s">
        <v>2162</v>
      </c>
      <c r="R1775" s="89" t="s">
        <v>840</v>
      </c>
      <c r="S1775" s="30">
        <v>0</v>
      </c>
      <c r="T1775" s="233">
        <v>0</v>
      </c>
      <c r="U1775" s="30">
        <v>0</v>
      </c>
      <c r="V1775" s="233">
        <v>0</v>
      </c>
      <c r="W1775" s="30">
        <v>0</v>
      </c>
      <c r="X1775" s="30">
        <v>0</v>
      </c>
      <c r="Y1775" s="30">
        <v>0</v>
      </c>
      <c r="Z1775" s="233">
        <v>0</v>
      </c>
      <c r="AA1775" s="30">
        <v>0</v>
      </c>
      <c r="AB1775" s="30">
        <v>0</v>
      </c>
      <c r="AC1775" s="30">
        <v>0</v>
      </c>
      <c r="AD1775" s="30">
        <v>0</v>
      </c>
      <c r="AE1775" s="89" t="s">
        <v>92</v>
      </c>
      <c r="AF1775" s="89"/>
      <c r="AG1775" s="89" t="s">
        <v>352</v>
      </c>
      <c r="AH1775" s="72">
        <v>41772</v>
      </c>
      <c r="AI1775" s="30">
        <v>0</v>
      </c>
      <c r="AJ1775" s="89" t="s">
        <v>9914</v>
      </c>
      <c r="AK1775" s="89" t="s">
        <v>9915</v>
      </c>
      <c r="AL1775" s="91">
        <v>41771</v>
      </c>
      <c r="AM1775" s="91"/>
      <c r="AN1775" s="91"/>
      <c r="AO1775" s="91"/>
      <c r="AP1775" s="73" t="e">
        <f>MID(VLOOKUP(K1775,#REF!,2,FALSE),1,2)</f>
        <v>#REF!</v>
      </c>
      <c r="AQ1775" s="89">
        <f>DATE(2014,5,12)</f>
        <v>41771</v>
      </c>
      <c r="AR1775" s="82">
        <f t="shared" si="114"/>
        <v>12</v>
      </c>
      <c r="AS1775" s="83">
        <f t="shared" si="115"/>
        <v>5</v>
      </c>
      <c r="AT1775" s="84">
        <f t="shared" si="116"/>
        <v>2014</v>
      </c>
      <c r="AU1775" s="86"/>
      <c r="AV1775" s="86"/>
      <c r="AW1775" s="87"/>
      <c r="AX1775" s="86"/>
      <c r="AY1775" s="83"/>
      <c r="AZ1775" s="84"/>
      <c r="BA1775" s="86"/>
      <c r="BB1775" s="86"/>
    </row>
    <row r="1776" spans="1:54" ht="36.75" customHeight="1">
      <c r="A1776" s="30"/>
      <c r="B1776" s="30" t="s">
        <v>55</v>
      </c>
      <c r="C1776" s="69" t="str">
        <f t="shared" si="117"/>
        <v>Closed</v>
      </c>
      <c r="D1776" s="27" t="s">
        <v>9916</v>
      </c>
      <c r="E1776" s="29" t="s">
        <v>9917</v>
      </c>
      <c r="F1776" s="30" t="s">
        <v>46047</v>
      </c>
      <c r="G1776" s="89">
        <f>DATE(2014,5,12)</f>
        <v>41771</v>
      </c>
      <c r="H1776" s="90">
        <v>1.5208333333333335</v>
      </c>
      <c r="I1776" s="30" t="s">
        <v>487</v>
      </c>
      <c r="J1776" s="210" t="s">
        <v>9918</v>
      </c>
      <c r="K1776" s="30" t="s">
        <v>235</v>
      </c>
      <c r="L1776" s="30" t="s">
        <v>524</v>
      </c>
      <c r="M1776" s="30" t="s">
        <v>9919</v>
      </c>
      <c r="N1776" s="30" t="s">
        <v>142</v>
      </c>
      <c r="O1776" s="30" t="s">
        <v>64</v>
      </c>
      <c r="P1776" s="89" t="s">
        <v>7982</v>
      </c>
      <c r="Q1776" s="89" t="s">
        <v>525</v>
      </c>
      <c r="R1776" s="89" t="s">
        <v>526</v>
      </c>
      <c r="S1776" s="30">
        <v>0</v>
      </c>
      <c r="T1776" s="233">
        <v>0</v>
      </c>
      <c r="U1776" s="30">
        <v>0</v>
      </c>
      <c r="V1776" s="233">
        <v>0</v>
      </c>
      <c r="W1776" s="30">
        <v>0</v>
      </c>
      <c r="X1776" s="30">
        <v>0</v>
      </c>
      <c r="Y1776" s="30">
        <v>0</v>
      </c>
      <c r="Z1776" s="233">
        <v>0</v>
      </c>
      <c r="AA1776" s="30">
        <v>0</v>
      </c>
      <c r="AB1776" s="30">
        <v>0</v>
      </c>
      <c r="AC1776" s="30">
        <v>0</v>
      </c>
      <c r="AD1776" s="30">
        <v>0</v>
      </c>
      <c r="AE1776" s="89" t="s">
        <v>92</v>
      </c>
      <c r="AF1776" s="89"/>
      <c r="AG1776" s="89" t="s">
        <v>133</v>
      </c>
      <c r="AH1776" s="72">
        <v>41778</v>
      </c>
      <c r="AI1776" s="30">
        <v>4</v>
      </c>
      <c r="AJ1776" s="89" t="s">
        <v>9920</v>
      </c>
      <c r="AK1776" s="89" t="s">
        <v>9921</v>
      </c>
      <c r="AL1776" s="91">
        <v>41796</v>
      </c>
      <c r="AM1776" s="91"/>
      <c r="AN1776" s="91"/>
      <c r="AO1776" s="91"/>
      <c r="AP1776" s="73" t="e">
        <f>MID(VLOOKUP(K1776,#REF!,2,FALSE),1,2)</f>
        <v>#REF!</v>
      </c>
      <c r="AQ1776" s="89">
        <f>DATE(2014,5,12)</f>
        <v>41771</v>
      </c>
      <c r="AR1776" s="82">
        <f t="shared" si="114"/>
        <v>12</v>
      </c>
      <c r="AS1776" s="83">
        <f t="shared" si="115"/>
        <v>5</v>
      </c>
      <c r="AT1776" s="84">
        <f t="shared" si="116"/>
        <v>2014</v>
      </c>
      <c r="AU1776" s="86"/>
      <c r="AV1776" s="86"/>
      <c r="AW1776" s="87"/>
      <c r="AX1776" s="86"/>
      <c r="AY1776" s="83"/>
      <c r="AZ1776" s="84"/>
      <c r="BA1776" s="86"/>
      <c r="BB1776" s="86"/>
    </row>
    <row r="1777" spans="1:54" ht="36.75" customHeight="1">
      <c r="A1777" s="30"/>
      <c r="B1777" s="30" t="s">
        <v>55</v>
      </c>
      <c r="C1777" s="69" t="str">
        <f t="shared" si="117"/>
        <v>Closed</v>
      </c>
      <c r="D1777" s="27" t="s">
        <v>9922</v>
      </c>
      <c r="E1777" s="29" t="s">
        <v>9923</v>
      </c>
      <c r="F1777" s="30" t="s">
        <v>6455</v>
      </c>
      <c r="G1777" s="89">
        <f>DATE(2014,5,15)</f>
        <v>41774</v>
      </c>
      <c r="H1777" s="90">
        <v>1.7111111111111112</v>
      </c>
      <c r="I1777" s="30" t="s">
        <v>116</v>
      </c>
      <c r="J1777" s="210" t="s">
        <v>9924</v>
      </c>
      <c r="K1777" s="30" t="s">
        <v>584</v>
      </c>
      <c r="L1777" s="30" t="s">
        <v>9925</v>
      </c>
      <c r="M1777" s="30" t="s">
        <v>63</v>
      </c>
      <c r="N1777" s="30" t="s">
        <v>99</v>
      </c>
      <c r="O1777" s="30" t="s">
        <v>64</v>
      </c>
      <c r="P1777" s="89" t="s">
        <v>165</v>
      </c>
      <c r="Q1777" s="89" t="s">
        <v>4487</v>
      </c>
      <c r="R1777" s="89" t="s">
        <v>587</v>
      </c>
      <c r="S1777" s="30">
        <v>0</v>
      </c>
      <c r="T1777" s="233">
        <v>0</v>
      </c>
      <c r="U1777" s="30">
        <v>0</v>
      </c>
      <c r="V1777" s="233">
        <v>0</v>
      </c>
      <c r="W1777" s="30">
        <v>0</v>
      </c>
      <c r="X1777" s="30">
        <v>0</v>
      </c>
      <c r="Y1777" s="30">
        <v>0</v>
      </c>
      <c r="Z1777" s="233">
        <v>0</v>
      </c>
      <c r="AA1777" s="30">
        <v>1</v>
      </c>
      <c r="AB1777" s="30">
        <v>0</v>
      </c>
      <c r="AC1777" s="30">
        <v>0</v>
      </c>
      <c r="AD1777" s="30">
        <v>1</v>
      </c>
      <c r="AE1777" s="89" t="s">
        <v>92</v>
      </c>
      <c r="AF1777" s="89"/>
      <c r="AG1777" s="89" t="s">
        <v>352</v>
      </c>
      <c r="AH1777" s="72">
        <v>41866</v>
      </c>
      <c r="AI1777" s="30">
        <v>0</v>
      </c>
      <c r="AJ1777" s="89" t="s">
        <v>9926</v>
      </c>
      <c r="AK1777" s="89" t="s">
        <v>1233</v>
      </c>
      <c r="AL1777" s="91">
        <v>41873</v>
      </c>
      <c r="AM1777" s="91"/>
      <c r="AN1777" s="91"/>
      <c r="AO1777" s="91"/>
      <c r="AP1777" s="73" t="e">
        <f>MID(VLOOKUP(K1777,#REF!,2,FALSE),1,2)</f>
        <v>#REF!</v>
      </c>
      <c r="AQ1777" s="89">
        <f>DATE(2014,5,15)</f>
        <v>41774</v>
      </c>
      <c r="AR1777" s="82">
        <f t="shared" si="114"/>
        <v>15</v>
      </c>
      <c r="AS1777" s="83">
        <f t="shared" si="115"/>
        <v>5</v>
      </c>
      <c r="AT1777" s="84">
        <f t="shared" si="116"/>
        <v>2014</v>
      </c>
      <c r="AU1777" s="86"/>
      <c r="AV1777" s="86"/>
      <c r="AW1777" s="87"/>
      <c r="AX1777" s="86"/>
      <c r="AY1777" s="83"/>
      <c r="AZ1777" s="84"/>
      <c r="BA1777" s="86"/>
      <c r="BB1777" s="86"/>
    </row>
    <row r="1778" spans="1:54" ht="36.75" customHeight="1">
      <c r="A1778" s="30"/>
      <c r="B1778" s="30" t="s">
        <v>55</v>
      </c>
      <c r="C1778" s="69" t="str">
        <f t="shared" si="117"/>
        <v>Closed</v>
      </c>
      <c r="D1778" s="27" t="s">
        <v>9927</v>
      </c>
      <c r="E1778" s="29" t="s">
        <v>9928</v>
      </c>
      <c r="F1778" s="30" t="s">
        <v>18070</v>
      </c>
      <c r="G1778" s="89">
        <f>DATE(2014,5,20)</f>
        <v>41779</v>
      </c>
      <c r="H1778" s="90">
        <v>1.4131944444444444</v>
      </c>
      <c r="I1778" s="30" t="s">
        <v>5494</v>
      </c>
      <c r="J1778" s="210" t="s">
        <v>9929</v>
      </c>
      <c r="K1778" s="30" t="s">
        <v>140</v>
      </c>
      <c r="L1778" s="30" t="s">
        <v>9930</v>
      </c>
      <c r="M1778" s="30" t="s">
        <v>63</v>
      </c>
      <c r="N1778" s="30" t="s">
        <v>99</v>
      </c>
      <c r="O1778" s="30" t="s">
        <v>77</v>
      </c>
      <c r="P1778" s="89" t="s">
        <v>86</v>
      </c>
      <c r="Q1778" s="89" t="s">
        <v>7639</v>
      </c>
      <c r="R1778" s="89" t="s">
        <v>4934</v>
      </c>
      <c r="S1778" s="30">
        <v>0</v>
      </c>
      <c r="T1778" s="233">
        <v>0</v>
      </c>
      <c r="U1778" s="30">
        <v>0</v>
      </c>
      <c r="V1778" s="233">
        <v>0</v>
      </c>
      <c r="W1778" s="30">
        <v>0</v>
      </c>
      <c r="X1778" s="30">
        <v>0</v>
      </c>
      <c r="Y1778" s="30">
        <v>0</v>
      </c>
      <c r="Z1778" s="233">
        <v>0</v>
      </c>
      <c r="AA1778" s="30">
        <v>0</v>
      </c>
      <c r="AB1778" s="30">
        <v>0</v>
      </c>
      <c r="AC1778" s="30">
        <v>0</v>
      </c>
      <c r="AD1778" s="30">
        <v>0</v>
      </c>
      <c r="AE1778" s="89" t="s">
        <v>92</v>
      </c>
      <c r="AF1778" s="89"/>
      <c r="AG1778" s="89" t="s">
        <v>133</v>
      </c>
      <c r="AH1778" s="72">
        <v>41792</v>
      </c>
      <c r="AI1778" s="30">
        <v>1</v>
      </c>
      <c r="AJ1778" s="89" t="s">
        <v>9931</v>
      </c>
      <c r="AK1778" s="89" t="s">
        <v>9932</v>
      </c>
      <c r="AL1778" s="91">
        <v>41795</v>
      </c>
      <c r="AM1778" s="91"/>
      <c r="AN1778" s="91"/>
      <c r="AO1778" s="91"/>
      <c r="AP1778" s="73" t="e">
        <f>MID(VLOOKUP(K1778,#REF!,2,FALSE),1,2)</f>
        <v>#REF!</v>
      </c>
      <c r="AQ1778" s="89">
        <f>DATE(2014,5,20)</f>
        <v>41779</v>
      </c>
      <c r="AR1778" s="82">
        <f t="shared" si="114"/>
        <v>20</v>
      </c>
      <c r="AS1778" s="83">
        <f t="shared" si="115"/>
        <v>5</v>
      </c>
      <c r="AT1778" s="84">
        <f t="shared" si="116"/>
        <v>2014</v>
      </c>
      <c r="AU1778" s="86"/>
      <c r="AV1778" s="86"/>
      <c r="AW1778" s="87"/>
      <c r="AX1778" s="86"/>
      <c r="AY1778" s="83"/>
      <c r="AZ1778" s="84"/>
      <c r="BA1778" s="86"/>
      <c r="BB1778" s="86"/>
    </row>
    <row r="1779" spans="1:54" ht="36.75" customHeight="1">
      <c r="A1779" s="30"/>
      <c r="B1779" s="30" t="s">
        <v>55</v>
      </c>
      <c r="C1779" s="69" t="str">
        <f t="shared" si="117"/>
        <v>Closed</v>
      </c>
      <c r="D1779" s="27" t="s">
        <v>9933</v>
      </c>
      <c r="E1779" s="29" t="s">
        <v>9934</v>
      </c>
      <c r="F1779" s="30" t="s">
        <v>6455</v>
      </c>
      <c r="G1779" s="89">
        <f>DATE(2014,5,21)</f>
        <v>41780</v>
      </c>
      <c r="H1779" s="90">
        <v>1.4833333333333334</v>
      </c>
      <c r="I1779" s="30" t="s">
        <v>116</v>
      </c>
      <c r="J1779" s="210" t="s">
        <v>9935</v>
      </c>
      <c r="K1779" s="30" t="s">
        <v>584</v>
      </c>
      <c r="L1779" s="30" t="s">
        <v>9936</v>
      </c>
      <c r="M1779" s="30" t="s">
        <v>63</v>
      </c>
      <c r="N1779" s="30" t="s">
        <v>142</v>
      </c>
      <c r="O1779" s="30" t="s">
        <v>77</v>
      </c>
      <c r="P1779" s="89" t="s">
        <v>381</v>
      </c>
      <c r="Q1779" s="89" t="s">
        <v>586</v>
      </c>
      <c r="R1779" s="89" t="s">
        <v>587</v>
      </c>
      <c r="S1779" s="30">
        <v>0</v>
      </c>
      <c r="T1779" s="233">
        <v>0</v>
      </c>
      <c r="U1779" s="30">
        <v>1</v>
      </c>
      <c r="V1779" s="233">
        <v>0</v>
      </c>
      <c r="W1779" s="30">
        <v>0</v>
      </c>
      <c r="X1779" s="30">
        <v>1</v>
      </c>
      <c r="Y1779" s="30">
        <v>0</v>
      </c>
      <c r="Z1779" s="233">
        <v>0</v>
      </c>
      <c r="AA1779" s="30">
        <v>0</v>
      </c>
      <c r="AB1779" s="30">
        <v>0</v>
      </c>
      <c r="AC1779" s="30">
        <v>0</v>
      </c>
      <c r="AD1779" s="30">
        <v>0</v>
      </c>
      <c r="AE1779" s="89" t="s">
        <v>394</v>
      </c>
      <c r="AF1779" s="89"/>
      <c r="AG1779" s="89" t="s">
        <v>82</v>
      </c>
      <c r="AH1779" s="72">
        <v>41786</v>
      </c>
      <c r="AI1779" s="30">
        <v>0</v>
      </c>
      <c r="AJ1779" s="89" t="s">
        <v>9937</v>
      </c>
      <c r="AK1779" s="89" t="s">
        <v>1233</v>
      </c>
      <c r="AL1779" s="91">
        <v>41787</v>
      </c>
      <c r="AM1779" s="91"/>
      <c r="AN1779" s="91"/>
      <c r="AO1779" s="91"/>
      <c r="AP1779" s="73" t="e">
        <f>MID(VLOOKUP(K1779,#REF!,2,FALSE),1,2)</f>
        <v>#REF!</v>
      </c>
      <c r="AQ1779" s="89">
        <f>DATE(2014,5,21)</f>
        <v>41780</v>
      </c>
      <c r="AR1779" s="82">
        <f t="shared" si="114"/>
        <v>21</v>
      </c>
      <c r="AS1779" s="83">
        <f t="shared" si="115"/>
        <v>5</v>
      </c>
      <c r="AT1779" s="84">
        <f t="shared" si="116"/>
        <v>2014</v>
      </c>
      <c r="AU1779" s="86"/>
      <c r="AV1779" s="86"/>
      <c r="AW1779" s="87"/>
      <c r="AX1779" s="86"/>
      <c r="AY1779" s="83"/>
      <c r="AZ1779" s="84"/>
      <c r="BA1779" s="86"/>
      <c r="BB1779" s="86"/>
    </row>
    <row r="1780" spans="1:54" ht="36.75" customHeight="1">
      <c r="A1780" s="30"/>
      <c r="B1780" s="30" t="s">
        <v>55</v>
      </c>
      <c r="C1780" s="69" t="str">
        <f t="shared" si="117"/>
        <v>Closed</v>
      </c>
      <c r="D1780" s="27" t="s">
        <v>9938</v>
      </c>
      <c r="E1780" s="29" t="s">
        <v>9939</v>
      </c>
      <c r="F1780" s="30" t="s">
        <v>6455</v>
      </c>
      <c r="G1780" s="89">
        <f>DATE(2014,5,25)</f>
        <v>41784</v>
      </c>
      <c r="H1780" s="90">
        <v>1.6854166666666668</v>
      </c>
      <c r="I1780" s="30" t="s">
        <v>156</v>
      </c>
      <c r="J1780" s="210" t="s">
        <v>9940</v>
      </c>
      <c r="K1780" s="30" t="s">
        <v>584</v>
      </c>
      <c r="L1780" s="30" t="s">
        <v>9941</v>
      </c>
      <c r="M1780" s="30" t="s">
        <v>63</v>
      </c>
      <c r="N1780" s="30" t="s">
        <v>142</v>
      </c>
      <c r="O1780" s="30" t="s">
        <v>77</v>
      </c>
      <c r="P1780" s="89" t="s">
        <v>165</v>
      </c>
      <c r="Q1780" s="89" t="s">
        <v>9942</v>
      </c>
      <c r="R1780" s="89" t="s">
        <v>587</v>
      </c>
      <c r="S1780" s="30">
        <v>0</v>
      </c>
      <c r="T1780" s="233">
        <v>0</v>
      </c>
      <c r="U1780" s="30">
        <v>0</v>
      </c>
      <c r="V1780" s="233">
        <v>0</v>
      </c>
      <c r="W1780" s="30">
        <v>0</v>
      </c>
      <c r="X1780" s="30">
        <v>0</v>
      </c>
      <c r="Y1780" s="30">
        <v>0</v>
      </c>
      <c r="Z1780" s="233">
        <v>0</v>
      </c>
      <c r="AA1780" s="30">
        <v>0</v>
      </c>
      <c r="AB1780" s="30">
        <v>0</v>
      </c>
      <c r="AC1780" s="30">
        <v>0</v>
      </c>
      <c r="AD1780" s="30">
        <v>0</v>
      </c>
      <c r="AE1780" s="89" t="s">
        <v>92</v>
      </c>
      <c r="AF1780" s="89"/>
      <c r="AG1780" s="89" t="s">
        <v>133</v>
      </c>
      <c r="AH1780" s="72">
        <v>41876</v>
      </c>
      <c r="AI1780" s="30">
        <v>0</v>
      </c>
      <c r="AJ1780" s="89" t="s">
        <v>9943</v>
      </c>
      <c r="AK1780" s="89" t="s">
        <v>1233</v>
      </c>
      <c r="AL1780" s="91">
        <v>41878</v>
      </c>
      <c r="AM1780" s="91"/>
      <c r="AN1780" s="91"/>
      <c r="AO1780" s="91"/>
      <c r="AP1780" s="73" t="e">
        <f>MID(VLOOKUP(K1780,#REF!,2,FALSE),1,2)</f>
        <v>#REF!</v>
      </c>
      <c r="AQ1780" s="89">
        <f>DATE(2014,5,25)</f>
        <v>41784</v>
      </c>
      <c r="AR1780" s="82">
        <f t="shared" si="114"/>
        <v>25</v>
      </c>
      <c r="AS1780" s="83">
        <f t="shared" si="115"/>
        <v>5</v>
      </c>
      <c r="AT1780" s="84">
        <f t="shared" si="116"/>
        <v>2014</v>
      </c>
      <c r="AU1780" s="86"/>
      <c r="AV1780" s="86"/>
      <c r="AW1780" s="87"/>
      <c r="AX1780" s="86"/>
      <c r="AY1780" s="83"/>
      <c r="AZ1780" s="84"/>
      <c r="BA1780" s="86"/>
      <c r="BB1780" s="86"/>
    </row>
    <row r="1781" spans="1:54" ht="36.75" customHeight="1">
      <c r="A1781" s="30"/>
      <c r="B1781" s="30" t="s">
        <v>55</v>
      </c>
      <c r="C1781" s="69" t="str">
        <f t="shared" si="117"/>
        <v>Closed</v>
      </c>
      <c r="D1781" s="27" t="s">
        <v>9944</v>
      </c>
      <c r="E1781" s="29" t="s">
        <v>9945</v>
      </c>
      <c r="F1781" s="30" t="s">
        <v>46047</v>
      </c>
      <c r="G1781" s="89">
        <f>DATE(2014,5,25)</f>
        <v>41784</v>
      </c>
      <c r="H1781" s="90">
        <v>1.2222222222222223</v>
      </c>
      <c r="I1781" s="30" t="s">
        <v>73</v>
      </c>
      <c r="J1781" s="210" t="s">
        <v>9946</v>
      </c>
      <c r="K1781" s="30" t="s">
        <v>235</v>
      </c>
      <c r="L1781" s="30" t="s">
        <v>9947</v>
      </c>
      <c r="M1781" s="30" t="s">
        <v>63</v>
      </c>
      <c r="N1781" s="30" t="s">
        <v>89</v>
      </c>
      <c r="O1781" s="30" t="s">
        <v>64</v>
      </c>
      <c r="P1781" s="89" t="s">
        <v>6941</v>
      </c>
      <c r="Q1781" s="89" t="s">
        <v>9948</v>
      </c>
      <c r="R1781" s="89" t="s">
        <v>238</v>
      </c>
      <c r="S1781" s="30">
        <v>0</v>
      </c>
      <c r="T1781" s="233">
        <v>0</v>
      </c>
      <c r="U1781" s="30">
        <v>0</v>
      </c>
      <c r="V1781" s="233">
        <v>0</v>
      </c>
      <c r="W1781" s="30">
        <v>0</v>
      </c>
      <c r="X1781" s="30">
        <v>0</v>
      </c>
      <c r="Y1781" s="30">
        <v>0</v>
      </c>
      <c r="Z1781" s="233">
        <v>0</v>
      </c>
      <c r="AA1781" s="30">
        <v>0</v>
      </c>
      <c r="AB1781" s="30">
        <v>0</v>
      </c>
      <c r="AC1781" s="30">
        <v>0</v>
      </c>
      <c r="AD1781" s="30">
        <v>0</v>
      </c>
      <c r="AE1781" s="89" t="s">
        <v>92</v>
      </c>
      <c r="AF1781" s="89"/>
      <c r="AG1781" s="89" t="s">
        <v>133</v>
      </c>
      <c r="AH1781" s="72">
        <v>41792</v>
      </c>
      <c r="AI1781" s="30">
        <v>5</v>
      </c>
      <c r="AJ1781" s="89" t="s">
        <v>9949</v>
      </c>
      <c r="AK1781" s="89" t="s">
        <v>9950</v>
      </c>
      <c r="AL1781" s="91">
        <v>41810</v>
      </c>
      <c r="AM1781" s="91"/>
      <c r="AN1781" s="91"/>
      <c r="AO1781" s="91"/>
      <c r="AP1781" s="73" t="e">
        <f>MID(VLOOKUP(K1781,#REF!,2,FALSE),1,2)</f>
        <v>#REF!</v>
      </c>
      <c r="AQ1781" s="89">
        <f>DATE(2014,5,25)</f>
        <v>41784</v>
      </c>
      <c r="AR1781" s="82">
        <f t="shared" si="114"/>
        <v>25</v>
      </c>
      <c r="AS1781" s="83">
        <f t="shared" si="115"/>
        <v>5</v>
      </c>
      <c r="AT1781" s="84">
        <f t="shared" si="116"/>
        <v>2014</v>
      </c>
      <c r="AU1781" s="86"/>
      <c r="AV1781" s="86"/>
      <c r="AW1781" s="87"/>
      <c r="AX1781" s="86"/>
      <c r="AY1781" s="83"/>
      <c r="AZ1781" s="84"/>
      <c r="BA1781" s="86"/>
      <c r="BB1781" s="86"/>
    </row>
    <row r="1782" spans="1:54" ht="36.75" customHeight="1">
      <c r="A1782" s="30"/>
      <c r="B1782" s="30" t="s">
        <v>55</v>
      </c>
      <c r="C1782" s="69" t="str">
        <f t="shared" si="117"/>
        <v>Closed</v>
      </c>
      <c r="D1782" s="27" t="s">
        <v>9951</v>
      </c>
      <c r="E1782" s="29" t="s">
        <v>9952</v>
      </c>
      <c r="F1782" s="30" t="s">
        <v>17344</v>
      </c>
      <c r="G1782" s="89">
        <f>DATE(2014,5,30)</f>
        <v>41789</v>
      </c>
      <c r="H1782" s="90">
        <v>1.7083333333333335</v>
      </c>
      <c r="I1782" s="30" t="s">
        <v>73</v>
      </c>
      <c r="J1782" s="210" t="s">
        <v>9953</v>
      </c>
      <c r="K1782" s="30" t="s">
        <v>127</v>
      </c>
      <c r="L1782" s="30" t="s">
        <v>9954</v>
      </c>
      <c r="M1782" s="30" t="s">
        <v>63</v>
      </c>
      <c r="N1782" s="30" t="s">
        <v>99</v>
      </c>
      <c r="O1782" s="30" t="s">
        <v>64</v>
      </c>
      <c r="P1782" s="89" t="s">
        <v>78</v>
      </c>
      <c r="Q1782" s="89" t="s">
        <v>401</v>
      </c>
      <c r="R1782" s="89" t="s">
        <v>167</v>
      </c>
      <c r="S1782" s="30">
        <v>0</v>
      </c>
      <c r="T1782" s="233">
        <v>0</v>
      </c>
      <c r="U1782" s="30">
        <v>0</v>
      </c>
      <c r="V1782" s="233">
        <v>0</v>
      </c>
      <c r="W1782" s="30">
        <v>0</v>
      </c>
      <c r="X1782" s="30">
        <v>0</v>
      </c>
      <c r="Y1782" s="30">
        <v>0</v>
      </c>
      <c r="Z1782" s="233">
        <v>0</v>
      </c>
      <c r="AA1782" s="30">
        <v>0</v>
      </c>
      <c r="AB1782" s="30">
        <v>0</v>
      </c>
      <c r="AC1782" s="30">
        <v>0</v>
      </c>
      <c r="AD1782" s="30">
        <v>0</v>
      </c>
      <c r="AE1782" s="89" t="s">
        <v>92</v>
      </c>
      <c r="AF1782" s="89"/>
      <c r="AG1782" s="89" t="s">
        <v>133</v>
      </c>
      <c r="AH1782" s="72">
        <v>41809</v>
      </c>
      <c r="AI1782" s="30">
        <v>0</v>
      </c>
      <c r="AJ1782" s="89" t="s">
        <v>9955</v>
      </c>
      <c r="AK1782" s="89" t="s">
        <v>68</v>
      </c>
      <c r="AL1782" s="91">
        <v>41816</v>
      </c>
      <c r="AM1782" s="91"/>
      <c r="AN1782" s="91"/>
      <c r="AO1782" s="91"/>
      <c r="AP1782" s="73" t="e">
        <f>MID(VLOOKUP(K1782,#REF!,2,FALSE),1,2)</f>
        <v>#REF!</v>
      </c>
      <c r="AQ1782" s="89">
        <f>DATE(2014,5,30)</f>
        <v>41789</v>
      </c>
      <c r="AR1782" s="82">
        <f t="shared" si="114"/>
        <v>30</v>
      </c>
      <c r="AS1782" s="83">
        <f t="shared" si="115"/>
        <v>5</v>
      </c>
      <c r="AT1782" s="84">
        <f t="shared" si="116"/>
        <v>2014</v>
      </c>
      <c r="AU1782" s="86"/>
      <c r="AV1782" s="86"/>
      <c r="AW1782" s="87"/>
      <c r="AX1782" s="86"/>
      <c r="AY1782" s="83"/>
      <c r="AZ1782" s="84"/>
      <c r="BA1782" s="86"/>
      <c r="BB1782" s="86"/>
    </row>
    <row r="1783" spans="1:54" ht="36.75" customHeight="1">
      <c r="A1783" s="30"/>
      <c r="B1783" s="30" t="s">
        <v>55</v>
      </c>
      <c r="C1783" s="69" t="str">
        <f t="shared" si="117"/>
        <v>Closed</v>
      </c>
      <c r="D1783" s="27" t="s">
        <v>9956</v>
      </c>
      <c r="E1783" s="29" t="s">
        <v>9957</v>
      </c>
      <c r="F1783" s="30" t="s">
        <v>9789</v>
      </c>
      <c r="G1783" s="89">
        <f>DATE(2014,6,2)</f>
        <v>41792</v>
      </c>
      <c r="H1783" s="90">
        <v>1.4555555555555555</v>
      </c>
      <c r="I1783" s="30" t="s">
        <v>156</v>
      </c>
      <c r="J1783" s="210" t="s">
        <v>9958</v>
      </c>
      <c r="K1783" s="30" t="s">
        <v>9791</v>
      </c>
      <c r="L1783" s="30" t="s">
        <v>9959</v>
      </c>
      <c r="M1783" s="30" t="s">
        <v>63</v>
      </c>
      <c r="N1783" s="30" t="s">
        <v>99</v>
      </c>
      <c r="O1783" s="30" t="s">
        <v>64</v>
      </c>
      <c r="P1783" s="89" t="s">
        <v>165</v>
      </c>
      <c r="Q1783" s="89" t="s">
        <v>9960</v>
      </c>
      <c r="R1783" s="89" t="s">
        <v>9794</v>
      </c>
      <c r="S1783" s="30">
        <v>0</v>
      </c>
      <c r="T1783" s="233">
        <v>0</v>
      </c>
      <c r="U1783" s="30">
        <v>0</v>
      </c>
      <c r="V1783" s="233">
        <v>0</v>
      </c>
      <c r="W1783" s="30">
        <v>0</v>
      </c>
      <c r="X1783" s="30">
        <v>0</v>
      </c>
      <c r="Y1783" s="30">
        <v>0</v>
      </c>
      <c r="Z1783" s="233">
        <v>1</v>
      </c>
      <c r="AA1783" s="30">
        <v>0</v>
      </c>
      <c r="AB1783" s="30">
        <v>0</v>
      </c>
      <c r="AC1783" s="30">
        <v>0</v>
      </c>
      <c r="AD1783" s="30">
        <v>1</v>
      </c>
      <c r="AE1783" s="89" t="s">
        <v>92</v>
      </c>
      <c r="AF1783" s="89"/>
      <c r="AG1783" s="89" t="s">
        <v>133</v>
      </c>
      <c r="AH1783" s="72">
        <v>41792</v>
      </c>
      <c r="AI1783" s="30">
        <v>0</v>
      </c>
      <c r="AJ1783" s="89" t="s">
        <v>9961</v>
      </c>
      <c r="AK1783" s="89" t="s">
        <v>9962</v>
      </c>
      <c r="AL1783" s="91">
        <v>41793</v>
      </c>
      <c r="AM1783" s="91"/>
      <c r="AN1783" s="91"/>
      <c r="AO1783" s="91"/>
      <c r="AP1783" s="73" t="e">
        <f>MID(VLOOKUP(K1783,#REF!,2,FALSE),1,2)</f>
        <v>#REF!</v>
      </c>
      <c r="AQ1783" s="89">
        <f>DATE(2014,6,2)</f>
        <v>41792</v>
      </c>
      <c r="AR1783" s="82">
        <f t="shared" si="114"/>
        <v>2</v>
      </c>
      <c r="AS1783" s="83">
        <f t="shared" si="115"/>
        <v>6</v>
      </c>
      <c r="AT1783" s="84">
        <f t="shared" si="116"/>
        <v>2014</v>
      </c>
      <c r="AU1783" s="86"/>
      <c r="AV1783" s="86"/>
      <c r="AW1783" s="87"/>
      <c r="AX1783" s="86"/>
      <c r="AY1783" s="83"/>
      <c r="AZ1783" s="84"/>
      <c r="BA1783" s="86"/>
      <c r="BB1783" s="86"/>
    </row>
    <row r="1784" spans="1:54" ht="36.75" customHeight="1">
      <c r="A1784" s="30"/>
      <c r="B1784" s="30" t="s">
        <v>55</v>
      </c>
      <c r="C1784" s="69" t="str">
        <f t="shared" si="117"/>
        <v>Closed</v>
      </c>
      <c r="D1784" s="27" t="s">
        <v>9963</v>
      </c>
      <c r="E1784" s="29" t="s">
        <v>9964</v>
      </c>
      <c r="F1784" s="30" t="s">
        <v>6455</v>
      </c>
      <c r="G1784" s="89">
        <f>DATE(2014,6,4)</f>
        <v>41794</v>
      </c>
      <c r="H1784" s="90">
        <v>1.9652777777777777</v>
      </c>
      <c r="I1784" s="30" t="s">
        <v>125</v>
      </c>
      <c r="J1784" s="210" t="s">
        <v>9965</v>
      </c>
      <c r="K1784" s="30" t="s">
        <v>584</v>
      </c>
      <c r="L1784" s="30" t="s">
        <v>9966</v>
      </c>
      <c r="M1784" s="30" t="s">
        <v>63</v>
      </c>
      <c r="N1784" s="30" t="s">
        <v>142</v>
      </c>
      <c r="O1784" s="30" t="s">
        <v>77</v>
      </c>
      <c r="P1784" s="89" t="s">
        <v>165</v>
      </c>
      <c r="Q1784" s="89" t="s">
        <v>3903</v>
      </c>
      <c r="R1784" s="89" t="s">
        <v>587</v>
      </c>
      <c r="S1784" s="30">
        <v>0</v>
      </c>
      <c r="T1784" s="233">
        <v>0</v>
      </c>
      <c r="U1784" s="30">
        <v>0</v>
      </c>
      <c r="V1784" s="233">
        <v>0</v>
      </c>
      <c r="W1784" s="30">
        <v>0</v>
      </c>
      <c r="X1784" s="30">
        <v>0</v>
      </c>
      <c r="Y1784" s="30">
        <v>0</v>
      </c>
      <c r="Z1784" s="233">
        <v>0</v>
      </c>
      <c r="AA1784" s="30">
        <v>0</v>
      </c>
      <c r="AB1784" s="30">
        <v>0</v>
      </c>
      <c r="AC1784" s="30">
        <v>0</v>
      </c>
      <c r="AD1784" s="30">
        <v>0</v>
      </c>
      <c r="AE1784" s="89" t="s">
        <v>92</v>
      </c>
      <c r="AF1784" s="89"/>
      <c r="AG1784" s="89" t="s">
        <v>133</v>
      </c>
      <c r="AH1784" s="72">
        <v>41823</v>
      </c>
      <c r="AI1784" s="30">
        <v>0</v>
      </c>
      <c r="AJ1784" s="89" t="s">
        <v>9967</v>
      </c>
      <c r="AK1784" s="89" t="s">
        <v>1233</v>
      </c>
      <c r="AL1784" s="91">
        <v>41828</v>
      </c>
      <c r="AM1784" s="91"/>
      <c r="AN1784" s="91"/>
      <c r="AO1784" s="91"/>
      <c r="AP1784" s="73" t="e">
        <f>MID(VLOOKUP(K1784,#REF!,2,FALSE),1,2)</f>
        <v>#REF!</v>
      </c>
      <c r="AQ1784" s="89">
        <f>DATE(2014,6,4)</f>
        <v>41794</v>
      </c>
      <c r="AR1784" s="82">
        <f t="shared" ref="AR1784:AR1847" si="118">DAY(AQ1784)</f>
        <v>4</v>
      </c>
      <c r="AS1784" s="83">
        <f t="shared" ref="AS1784:AS1847" si="119">MONTH(AQ1784)</f>
        <v>6</v>
      </c>
      <c r="AT1784" s="84">
        <f t="shared" ref="AT1784:AT1847" si="120">YEAR(AQ1784)</f>
        <v>2014</v>
      </c>
      <c r="AU1784" s="86"/>
      <c r="AV1784" s="86"/>
      <c r="AW1784" s="87"/>
      <c r="AX1784" s="86"/>
      <c r="AY1784" s="83"/>
      <c r="AZ1784" s="84"/>
      <c r="BA1784" s="86"/>
      <c r="BB1784" s="86"/>
    </row>
    <row r="1785" spans="1:54" ht="36.75" customHeight="1">
      <c r="A1785" s="30"/>
      <c r="B1785" s="30" t="s">
        <v>55</v>
      </c>
      <c r="C1785" s="69" t="str">
        <f t="shared" si="117"/>
        <v>Closed</v>
      </c>
      <c r="D1785" s="27" t="s">
        <v>9968</v>
      </c>
      <c r="E1785" s="29" t="s">
        <v>9969</v>
      </c>
      <c r="F1785" s="30" t="s">
        <v>6455</v>
      </c>
      <c r="G1785" s="89">
        <f>DATE(2014,6,5)</f>
        <v>41795</v>
      </c>
      <c r="H1785" s="90">
        <v>0.80555555555555547</v>
      </c>
      <c r="I1785" s="30" t="s">
        <v>73</v>
      </c>
      <c r="J1785" s="89" t="s">
        <v>9970</v>
      </c>
      <c r="K1785" s="30" t="s">
        <v>584</v>
      </c>
      <c r="L1785" s="30" t="s">
        <v>9971</v>
      </c>
      <c r="M1785" s="30" t="s">
        <v>63</v>
      </c>
      <c r="N1785" s="30" t="s">
        <v>142</v>
      </c>
      <c r="O1785" s="30" t="s">
        <v>77</v>
      </c>
      <c r="P1785" s="89" t="s">
        <v>165</v>
      </c>
      <c r="Q1785" s="89" t="s">
        <v>3903</v>
      </c>
      <c r="R1785" s="89" t="s">
        <v>587</v>
      </c>
      <c r="S1785" s="30">
        <v>0</v>
      </c>
      <c r="T1785" s="233">
        <v>0</v>
      </c>
      <c r="U1785" s="30">
        <v>0</v>
      </c>
      <c r="V1785" s="233">
        <v>0</v>
      </c>
      <c r="W1785" s="30">
        <v>0</v>
      </c>
      <c r="X1785" s="30">
        <v>0</v>
      </c>
      <c r="Y1785" s="30">
        <v>0</v>
      </c>
      <c r="Z1785" s="233">
        <v>0</v>
      </c>
      <c r="AA1785" s="30">
        <v>0</v>
      </c>
      <c r="AB1785" s="30">
        <v>0</v>
      </c>
      <c r="AC1785" s="30">
        <v>0</v>
      </c>
      <c r="AD1785" s="30">
        <v>0</v>
      </c>
      <c r="AE1785" s="89" t="s">
        <v>394</v>
      </c>
      <c r="AF1785" s="89" t="s">
        <v>9972</v>
      </c>
      <c r="AG1785" s="89" t="s">
        <v>8859</v>
      </c>
      <c r="AH1785" s="72">
        <v>41796</v>
      </c>
      <c r="AI1785" s="30">
        <v>0</v>
      </c>
      <c r="AJ1785" s="89" t="s">
        <v>9973</v>
      </c>
      <c r="AK1785" s="89"/>
      <c r="AL1785" s="91">
        <v>41800</v>
      </c>
      <c r="AM1785" s="89">
        <v>44733</v>
      </c>
      <c r="AN1785" s="89">
        <v>44985</v>
      </c>
      <c r="AO1785" s="89">
        <v>44984</v>
      </c>
      <c r="AP1785" s="73" t="e">
        <f>MID(VLOOKUP(K1785,#REF!,2,FALSE),1,2)</f>
        <v>#REF!</v>
      </c>
      <c r="AQ1785" s="89">
        <f>DATE(2014,6,5)</f>
        <v>41795</v>
      </c>
      <c r="AR1785" s="82">
        <f t="shared" si="118"/>
        <v>5</v>
      </c>
      <c r="AS1785" s="83">
        <f t="shared" si="119"/>
        <v>6</v>
      </c>
      <c r="AT1785" s="84">
        <f t="shared" si="120"/>
        <v>2014</v>
      </c>
      <c r="AU1785" s="86"/>
      <c r="AV1785" s="86"/>
      <c r="AW1785" s="87"/>
      <c r="AX1785" s="86"/>
      <c r="AY1785" s="83"/>
      <c r="AZ1785" s="84"/>
      <c r="BA1785" s="86"/>
      <c r="BB1785" s="86"/>
    </row>
    <row r="1786" spans="1:54" ht="36.75" customHeight="1">
      <c r="A1786" s="30"/>
      <c r="B1786" s="30" t="s">
        <v>55</v>
      </c>
      <c r="C1786" s="69" t="str">
        <f t="shared" si="117"/>
        <v>Closed</v>
      </c>
      <c r="D1786" s="27" t="s">
        <v>9974</v>
      </c>
      <c r="E1786" s="29" t="s">
        <v>9975</v>
      </c>
      <c r="F1786" s="30" t="s">
        <v>17578</v>
      </c>
      <c r="G1786" s="89">
        <f>DATE(2014,6,7)</f>
        <v>41797</v>
      </c>
      <c r="H1786" s="90">
        <v>1.3868055555555556</v>
      </c>
      <c r="I1786" s="30" t="s">
        <v>73</v>
      </c>
      <c r="J1786" s="210" t="s">
        <v>9976</v>
      </c>
      <c r="K1786" s="30" t="s">
        <v>837</v>
      </c>
      <c r="L1786" s="30" t="s">
        <v>9977</v>
      </c>
      <c r="M1786" s="30" t="s">
        <v>255</v>
      </c>
      <c r="N1786" s="30" t="s">
        <v>99</v>
      </c>
      <c r="O1786" s="30" t="s">
        <v>77</v>
      </c>
      <c r="P1786" s="89" t="s">
        <v>6552</v>
      </c>
      <c r="Q1786" s="89" t="s">
        <v>4210</v>
      </c>
      <c r="R1786" s="89" t="s">
        <v>4210</v>
      </c>
      <c r="S1786" s="30">
        <v>0</v>
      </c>
      <c r="T1786" s="233">
        <v>0</v>
      </c>
      <c r="U1786" s="30">
        <v>0</v>
      </c>
      <c r="V1786" s="233">
        <v>0</v>
      </c>
      <c r="W1786" s="30">
        <v>0</v>
      </c>
      <c r="X1786" s="30">
        <v>0</v>
      </c>
      <c r="Y1786" s="30">
        <v>0</v>
      </c>
      <c r="Z1786" s="233">
        <v>0</v>
      </c>
      <c r="AA1786" s="30">
        <v>0</v>
      </c>
      <c r="AB1786" s="30">
        <v>0</v>
      </c>
      <c r="AC1786" s="30">
        <v>0</v>
      </c>
      <c r="AD1786" s="30">
        <v>0</v>
      </c>
      <c r="AE1786" s="89" t="s">
        <v>92</v>
      </c>
      <c r="AF1786" s="89"/>
      <c r="AG1786" s="89" t="s">
        <v>589</v>
      </c>
      <c r="AH1786" s="72">
        <v>41797</v>
      </c>
      <c r="AI1786" s="30">
        <v>0</v>
      </c>
      <c r="AJ1786" s="89" t="s">
        <v>9978</v>
      </c>
      <c r="AK1786" s="89" t="s">
        <v>68</v>
      </c>
      <c r="AL1786" s="91">
        <v>41976</v>
      </c>
      <c r="AM1786" s="91"/>
      <c r="AN1786" s="91"/>
      <c r="AO1786" s="91"/>
      <c r="AP1786" s="73" t="e">
        <f>MID(VLOOKUP(K1786,#REF!,2,FALSE),1,2)</f>
        <v>#REF!</v>
      </c>
      <c r="AQ1786" s="89">
        <f>DATE(2014,6,7)</f>
        <v>41797</v>
      </c>
      <c r="AR1786" s="82">
        <f t="shared" si="118"/>
        <v>7</v>
      </c>
      <c r="AS1786" s="83">
        <f t="shared" si="119"/>
        <v>6</v>
      </c>
      <c r="AT1786" s="84">
        <f t="shared" si="120"/>
        <v>2014</v>
      </c>
      <c r="AU1786" s="86"/>
      <c r="AV1786" s="86"/>
      <c r="AW1786" s="87"/>
      <c r="AX1786" s="86"/>
      <c r="AY1786" s="83"/>
      <c r="AZ1786" s="84"/>
      <c r="BA1786" s="86"/>
      <c r="BB1786" s="86"/>
    </row>
    <row r="1787" spans="1:54" ht="36.75" customHeight="1">
      <c r="A1787" s="30"/>
      <c r="B1787" s="30" t="s">
        <v>55</v>
      </c>
      <c r="C1787" s="69" t="str">
        <f t="shared" si="117"/>
        <v>Closed</v>
      </c>
      <c r="D1787" s="27" t="s">
        <v>9979</v>
      </c>
      <c r="E1787" s="29" t="s">
        <v>9980</v>
      </c>
      <c r="F1787" s="30" t="s">
        <v>19136</v>
      </c>
      <c r="G1787" s="89">
        <f>DATE(2014,6,8)</f>
        <v>41798</v>
      </c>
      <c r="H1787" s="90">
        <v>0</v>
      </c>
      <c r="I1787" s="30" t="s">
        <v>116</v>
      </c>
      <c r="J1787" s="210" t="s">
        <v>9981</v>
      </c>
      <c r="K1787" s="30" t="s">
        <v>1940</v>
      </c>
      <c r="L1787" s="30" t="s">
        <v>9982</v>
      </c>
      <c r="M1787" s="30" t="s">
        <v>63</v>
      </c>
      <c r="N1787" s="30" t="s">
        <v>99</v>
      </c>
      <c r="O1787" s="30" t="s">
        <v>64</v>
      </c>
      <c r="P1787" s="89" t="s">
        <v>165</v>
      </c>
      <c r="Q1787" s="89" t="s">
        <v>1942</v>
      </c>
      <c r="R1787" s="89" t="s">
        <v>1940</v>
      </c>
      <c r="S1787" s="30">
        <v>0</v>
      </c>
      <c r="T1787" s="233">
        <v>0</v>
      </c>
      <c r="U1787" s="30">
        <v>0</v>
      </c>
      <c r="V1787" s="233">
        <v>0</v>
      </c>
      <c r="W1787" s="30">
        <v>0</v>
      </c>
      <c r="X1787" s="30">
        <v>0</v>
      </c>
      <c r="Y1787" s="30">
        <v>0</v>
      </c>
      <c r="Z1787" s="233">
        <v>0</v>
      </c>
      <c r="AA1787" s="30">
        <v>0</v>
      </c>
      <c r="AB1787" s="30">
        <v>0</v>
      </c>
      <c r="AC1787" s="30">
        <v>0</v>
      </c>
      <c r="AD1787" s="30">
        <v>0</v>
      </c>
      <c r="AE1787" s="89" t="s">
        <v>92</v>
      </c>
      <c r="AF1787" s="89"/>
      <c r="AG1787" s="89" t="s">
        <v>352</v>
      </c>
      <c r="AH1787" s="72">
        <v>41801</v>
      </c>
      <c r="AI1787" s="30">
        <v>4</v>
      </c>
      <c r="AJ1787" s="89" t="s">
        <v>9983</v>
      </c>
      <c r="AK1787" s="89" t="s">
        <v>9984</v>
      </c>
      <c r="AL1787" s="91">
        <v>42685</v>
      </c>
      <c r="AM1787" s="91"/>
      <c r="AN1787" s="91">
        <v>44545</v>
      </c>
      <c r="AO1787" s="91">
        <v>42159</v>
      </c>
      <c r="AP1787" s="73" t="e">
        <f>MID(VLOOKUP(K1787,#REF!,2,FALSE),1,2)</f>
        <v>#REF!</v>
      </c>
      <c r="AQ1787" s="89">
        <f>DATE(2014,6,8)</f>
        <v>41798</v>
      </c>
      <c r="AR1787" s="82">
        <f t="shared" si="118"/>
        <v>8</v>
      </c>
      <c r="AS1787" s="83">
        <f t="shared" si="119"/>
        <v>6</v>
      </c>
      <c r="AT1787" s="84">
        <f t="shared" si="120"/>
        <v>2014</v>
      </c>
      <c r="AU1787" s="86"/>
      <c r="AV1787" s="86"/>
      <c r="AW1787" s="87"/>
      <c r="AX1787" s="86"/>
      <c r="AY1787" s="83"/>
      <c r="AZ1787" s="84"/>
      <c r="BA1787" s="86"/>
      <c r="BB1787" s="86"/>
    </row>
    <row r="1788" spans="1:54" ht="36.75" customHeight="1">
      <c r="A1788" s="30"/>
      <c r="B1788" s="30" t="s">
        <v>55</v>
      </c>
      <c r="C1788" s="69" t="str">
        <f t="shared" si="117"/>
        <v>Closed</v>
      </c>
      <c r="D1788" s="27" t="s">
        <v>9985</v>
      </c>
      <c r="E1788" s="29" t="s">
        <v>9986</v>
      </c>
      <c r="F1788" s="30" t="s">
        <v>17578</v>
      </c>
      <c r="G1788" s="89">
        <f>DATE(2014,6,10)</f>
        <v>41800</v>
      </c>
      <c r="H1788" s="90">
        <v>1.5520833333333335</v>
      </c>
      <c r="I1788" s="30" t="s">
        <v>73</v>
      </c>
      <c r="J1788" s="210" t="s">
        <v>9987</v>
      </c>
      <c r="K1788" s="30" t="s">
        <v>837</v>
      </c>
      <c r="L1788" s="30" t="s">
        <v>9988</v>
      </c>
      <c r="M1788" s="30" t="s">
        <v>63</v>
      </c>
      <c r="N1788" s="30" t="s">
        <v>142</v>
      </c>
      <c r="O1788" s="30" t="s">
        <v>64</v>
      </c>
      <c r="P1788" s="89" t="s">
        <v>78</v>
      </c>
      <c r="Q1788" s="89" t="s">
        <v>4708</v>
      </c>
      <c r="R1788" s="89" t="s">
        <v>840</v>
      </c>
      <c r="S1788" s="30">
        <v>0</v>
      </c>
      <c r="T1788" s="233">
        <v>0</v>
      </c>
      <c r="U1788" s="30">
        <v>0</v>
      </c>
      <c r="V1788" s="233">
        <v>0</v>
      </c>
      <c r="W1788" s="30">
        <v>0</v>
      </c>
      <c r="X1788" s="30">
        <v>0</v>
      </c>
      <c r="Y1788" s="30">
        <v>0</v>
      </c>
      <c r="Z1788" s="233">
        <v>0</v>
      </c>
      <c r="AA1788" s="30">
        <v>0</v>
      </c>
      <c r="AB1788" s="30">
        <v>0</v>
      </c>
      <c r="AC1788" s="30">
        <v>0</v>
      </c>
      <c r="AD1788" s="30">
        <v>0</v>
      </c>
      <c r="AE1788" s="89" t="s">
        <v>92</v>
      </c>
      <c r="AF1788" s="89"/>
      <c r="AG1788" s="89" t="s">
        <v>133</v>
      </c>
      <c r="AH1788" s="72">
        <v>41800</v>
      </c>
      <c r="AI1788" s="30">
        <v>0</v>
      </c>
      <c r="AJ1788" s="89" t="s">
        <v>9989</v>
      </c>
      <c r="AK1788" s="89" t="s">
        <v>9990</v>
      </c>
      <c r="AL1788" s="91">
        <v>41974</v>
      </c>
      <c r="AM1788" s="91"/>
      <c r="AN1788" s="91"/>
      <c r="AO1788" s="91"/>
      <c r="AP1788" s="73" t="e">
        <f>MID(VLOOKUP(K1788,#REF!,2,FALSE),1,2)</f>
        <v>#REF!</v>
      </c>
      <c r="AQ1788" s="89">
        <f>DATE(2014,6,10)</f>
        <v>41800</v>
      </c>
      <c r="AR1788" s="82">
        <f t="shared" si="118"/>
        <v>10</v>
      </c>
      <c r="AS1788" s="83">
        <f t="shared" si="119"/>
        <v>6</v>
      </c>
      <c r="AT1788" s="84">
        <f t="shared" si="120"/>
        <v>2014</v>
      </c>
      <c r="AU1788" s="86"/>
      <c r="AV1788" s="86"/>
      <c r="AW1788" s="87"/>
      <c r="AX1788" s="86"/>
      <c r="AY1788" s="83"/>
      <c r="AZ1788" s="84"/>
      <c r="BA1788" s="86"/>
      <c r="BB1788" s="86"/>
    </row>
    <row r="1789" spans="1:54" ht="36.75" customHeight="1">
      <c r="A1789" s="30"/>
      <c r="B1789" s="30" t="s">
        <v>55</v>
      </c>
      <c r="C1789" s="69" t="str">
        <f t="shared" si="117"/>
        <v>Closed</v>
      </c>
      <c r="D1789" s="27" t="s">
        <v>9991</v>
      </c>
      <c r="E1789" s="29" t="s">
        <v>9992</v>
      </c>
      <c r="F1789" s="30" t="s">
        <v>17578</v>
      </c>
      <c r="G1789" s="89">
        <f>DATE(2014,6,18)</f>
        <v>41808</v>
      </c>
      <c r="H1789" s="90">
        <v>1.3854166666666667</v>
      </c>
      <c r="I1789" s="30" t="s">
        <v>73</v>
      </c>
      <c r="J1789" s="210" t="s">
        <v>9993</v>
      </c>
      <c r="K1789" s="30" t="s">
        <v>837</v>
      </c>
      <c r="L1789" s="30" t="s">
        <v>9994</v>
      </c>
      <c r="M1789" s="30" t="s">
        <v>9919</v>
      </c>
      <c r="N1789" s="30" t="s">
        <v>99</v>
      </c>
      <c r="O1789" s="30" t="s">
        <v>64</v>
      </c>
      <c r="P1789" s="89" t="s">
        <v>165</v>
      </c>
      <c r="Q1789" s="89">
        <v>0</v>
      </c>
      <c r="R1789" s="89">
        <v>0</v>
      </c>
      <c r="S1789" s="30">
        <v>0</v>
      </c>
      <c r="T1789" s="233">
        <v>0</v>
      </c>
      <c r="U1789" s="30">
        <v>0</v>
      </c>
      <c r="V1789" s="233">
        <v>0</v>
      </c>
      <c r="W1789" s="30">
        <v>0</v>
      </c>
      <c r="X1789" s="30">
        <v>0</v>
      </c>
      <c r="Y1789" s="30">
        <v>0</v>
      </c>
      <c r="Z1789" s="233">
        <v>0</v>
      </c>
      <c r="AA1789" s="30">
        <v>0</v>
      </c>
      <c r="AB1789" s="30">
        <v>0</v>
      </c>
      <c r="AC1789" s="30">
        <v>0</v>
      </c>
      <c r="AD1789" s="30">
        <v>0</v>
      </c>
      <c r="AE1789" s="89" t="s">
        <v>92</v>
      </c>
      <c r="AF1789" s="89"/>
      <c r="AG1789" s="89" t="s">
        <v>589</v>
      </c>
      <c r="AH1789" s="72">
        <v>41808</v>
      </c>
      <c r="AI1789" s="30">
        <v>0</v>
      </c>
      <c r="AJ1789" s="89" t="s">
        <v>9995</v>
      </c>
      <c r="AK1789" s="89" t="s">
        <v>68</v>
      </c>
      <c r="AL1789" s="91">
        <v>41970</v>
      </c>
      <c r="AM1789" s="91"/>
      <c r="AN1789" s="91"/>
      <c r="AO1789" s="91"/>
      <c r="AP1789" s="73" t="e">
        <f>MID(VLOOKUP(K1789,#REF!,2,FALSE),1,2)</f>
        <v>#REF!</v>
      </c>
      <c r="AQ1789" s="89">
        <f>DATE(2014,6,18)</f>
        <v>41808</v>
      </c>
      <c r="AR1789" s="82">
        <f t="shared" si="118"/>
        <v>18</v>
      </c>
      <c r="AS1789" s="83">
        <f t="shared" si="119"/>
        <v>6</v>
      </c>
      <c r="AT1789" s="84">
        <f t="shared" si="120"/>
        <v>2014</v>
      </c>
      <c r="AU1789" s="86"/>
      <c r="AV1789" s="86"/>
      <c r="AW1789" s="87"/>
      <c r="AX1789" s="86"/>
      <c r="AY1789" s="83"/>
      <c r="AZ1789" s="84"/>
      <c r="BA1789" s="86"/>
      <c r="BB1789" s="86"/>
    </row>
    <row r="1790" spans="1:54" ht="36.75" customHeight="1">
      <c r="A1790" s="30"/>
      <c r="B1790" s="30" t="s">
        <v>55</v>
      </c>
      <c r="C1790" s="69" t="str">
        <f t="shared" si="117"/>
        <v>Closed</v>
      </c>
      <c r="D1790" s="27" t="s">
        <v>9996</v>
      </c>
      <c r="E1790" s="29" t="s">
        <v>9997</v>
      </c>
      <c r="F1790" s="30" t="s">
        <v>16429</v>
      </c>
      <c r="G1790" s="89">
        <f>DATE(2014,6,19)</f>
        <v>41809</v>
      </c>
      <c r="H1790" s="90">
        <v>1.3284722222222223</v>
      </c>
      <c r="I1790" s="30" t="s">
        <v>2078</v>
      </c>
      <c r="J1790" s="210" t="s">
        <v>9998</v>
      </c>
      <c r="K1790" s="30" t="s">
        <v>425</v>
      </c>
      <c r="L1790" s="30" t="s">
        <v>9999</v>
      </c>
      <c r="M1790" s="30" t="s">
        <v>63</v>
      </c>
      <c r="N1790" s="30" t="s">
        <v>89</v>
      </c>
      <c r="O1790" s="30" t="s">
        <v>77</v>
      </c>
      <c r="P1790" s="89" t="s">
        <v>553</v>
      </c>
      <c r="Q1790" s="89" t="s">
        <v>2483</v>
      </c>
      <c r="R1790" s="89" t="s">
        <v>3103</v>
      </c>
      <c r="S1790" s="30">
        <v>0</v>
      </c>
      <c r="T1790" s="233">
        <v>0</v>
      </c>
      <c r="U1790" s="30">
        <v>0</v>
      </c>
      <c r="V1790" s="233">
        <v>0</v>
      </c>
      <c r="W1790" s="30">
        <v>0</v>
      </c>
      <c r="X1790" s="30">
        <v>0</v>
      </c>
      <c r="Y1790" s="30">
        <v>0</v>
      </c>
      <c r="Z1790" s="233">
        <v>0</v>
      </c>
      <c r="AA1790" s="30">
        <v>0</v>
      </c>
      <c r="AB1790" s="30">
        <v>0</v>
      </c>
      <c r="AC1790" s="30">
        <v>0</v>
      </c>
      <c r="AD1790" s="30">
        <v>0</v>
      </c>
      <c r="AE1790" s="89" t="s">
        <v>92</v>
      </c>
      <c r="AF1790" s="89"/>
      <c r="AG1790" s="89" t="s">
        <v>133</v>
      </c>
      <c r="AH1790" s="72">
        <v>41677</v>
      </c>
      <c r="AI1790" s="30">
        <v>2</v>
      </c>
      <c r="AJ1790" s="89" t="s">
        <v>10000</v>
      </c>
      <c r="AK1790" s="89" t="s">
        <v>10001</v>
      </c>
      <c r="AL1790" s="91">
        <v>41823</v>
      </c>
      <c r="AM1790" s="91"/>
      <c r="AN1790" s="91"/>
      <c r="AO1790" s="91"/>
      <c r="AP1790" s="73" t="e">
        <f>MID(VLOOKUP(K1790,#REF!,2,FALSE),1,2)</f>
        <v>#REF!</v>
      </c>
      <c r="AQ1790" s="89">
        <f>DATE(2014,6,19)</f>
        <v>41809</v>
      </c>
      <c r="AR1790" s="82">
        <f t="shared" si="118"/>
        <v>19</v>
      </c>
      <c r="AS1790" s="83">
        <f t="shared" si="119"/>
        <v>6</v>
      </c>
      <c r="AT1790" s="84">
        <f t="shared" si="120"/>
        <v>2014</v>
      </c>
      <c r="AU1790" s="86"/>
      <c r="AV1790" s="86"/>
      <c r="AW1790" s="87"/>
      <c r="AX1790" s="86"/>
      <c r="AY1790" s="83"/>
      <c r="AZ1790" s="84"/>
      <c r="BA1790" s="86"/>
      <c r="BB1790" s="86"/>
    </row>
    <row r="1791" spans="1:54" ht="36.75" customHeight="1">
      <c r="A1791" s="30"/>
      <c r="B1791" s="30" t="s">
        <v>55</v>
      </c>
      <c r="C1791" s="69" t="str">
        <f t="shared" si="117"/>
        <v>Closed</v>
      </c>
      <c r="D1791" s="27" t="s">
        <v>10002</v>
      </c>
      <c r="E1791" s="29" t="s">
        <v>10003</v>
      </c>
      <c r="F1791" s="30" t="s">
        <v>19670</v>
      </c>
      <c r="G1791" s="89">
        <f>DATE(2014,6,20)</f>
        <v>41810</v>
      </c>
      <c r="H1791" s="90">
        <v>1.9409722222222223</v>
      </c>
      <c r="I1791" s="30" t="s">
        <v>73</v>
      </c>
      <c r="J1791" s="210" t="s">
        <v>10004</v>
      </c>
      <c r="K1791" s="30" t="s">
        <v>2549</v>
      </c>
      <c r="L1791" s="30" t="s">
        <v>10005</v>
      </c>
      <c r="M1791" s="30" t="s">
        <v>63</v>
      </c>
      <c r="N1791" s="30" t="s">
        <v>99</v>
      </c>
      <c r="O1791" s="30" t="s">
        <v>77</v>
      </c>
      <c r="P1791" s="89" t="s">
        <v>78</v>
      </c>
      <c r="Q1791" s="89" t="s">
        <v>3504</v>
      </c>
      <c r="R1791" s="89">
        <v>0</v>
      </c>
      <c r="S1791" s="30">
        <v>0</v>
      </c>
      <c r="T1791" s="233">
        <v>0</v>
      </c>
      <c r="U1791" s="30">
        <v>0</v>
      </c>
      <c r="V1791" s="233">
        <v>0</v>
      </c>
      <c r="W1791" s="30">
        <v>0</v>
      </c>
      <c r="X1791" s="30">
        <v>0</v>
      </c>
      <c r="Y1791" s="30">
        <v>0</v>
      </c>
      <c r="Z1791" s="233">
        <v>0</v>
      </c>
      <c r="AA1791" s="30">
        <v>0</v>
      </c>
      <c r="AB1791" s="30">
        <v>0</v>
      </c>
      <c r="AC1791" s="30">
        <v>0</v>
      </c>
      <c r="AD1791" s="30">
        <v>0</v>
      </c>
      <c r="AE1791" s="89" t="s">
        <v>394</v>
      </c>
      <c r="AF1791" s="89"/>
      <c r="AG1791" s="89" t="s">
        <v>133</v>
      </c>
      <c r="AH1791" s="72">
        <v>41817</v>
      </c>
      <c r="AI1791" s="30">
        <v>2</v>
      </c>
      <c r="AJ1791" s="89" t="s">
        <v>10006</v>
      </c>
      <c r="AK1791" s="89" t="s">
        <v>10007</v>
      </c>
      <c r="AL1791" s="91">
        <v>41820</v>
      </c>
      <c r="AM1791" s="91"/>
      <c r="AN1791" s="91"/>
      <c r="AO1791" s="91"/>
      <c r="AP1791" s="73" t="e">
        <f>MID(VLOOKUP(K1791,#REF!,2,FALSE),1,2)</f>
        <v>#REF!</v>
      </c>
      <c r="AQ1791" s="89">
        <f>DATE(2014,6,20)</f>
        <v>41810</v>
      </c>
      <c r="AR1791" s="82">
        <f t="shared" si="118"/>
        <v>20</v>
      </c>
      <c r="AS1791" s="83">
        <f t="shared" si="119"/>
        <v>6</v>
      </c>
      <c r="AT1791" s="84">
        <f t="shared" si="120"/>
        <v>2014</v>
      </c>
      <c r="AU1791" s="86"/>
      <c r="AV1791" s="86"/>
      <c r="AW1791" s="87"/>
      <c r="AX1791" s="86"/>
      <c r="AY1791" s="83"/>
      <c r="AZ1791" s="84"/>
      <c r="BA1791" s="86"/>
      <c r="BB1791" s="86"/>
    </row>
    <row r="1792" spans="1:54" ht="36.75" customHeight="1">
      <c r="A1792" s="30"/>
      <c r="B1792" s="30" t="s">
        <v>55</v>
      </c>
      <c r="C1792" s="69" t="str">
        <f t="shared" si="117"/>
        <v>Closed</v>
      </c>
      <c r="D1792" s="27" t="s">
        <v>10008</v>
      </c>
      <c r="E1792" s="29" t="s">
        <v>10009</v>
      </c>
      <c r="F1792" s="30" t="s">
        <v>17578</v>
      </c>
      <c r="G1792" s="89">
        <f>DATE(2014,6,21)</f>
        <v>41811</v>
      </c>
      <c r="H1792" s="90">
        <v>1.3368055555555556</v>
      </c>
      <c r="I1792" s="30" t="s">
        <v>116</v>
      </c>
      <c r="J1792" s="210" t="s">
        <v>10010</v>
      </c>
      <c r="K1792" s="30" t="s">
        <v>837</v>
      </c>
      <c r="L1792" s="30" t="s">
        <v>10011</v>
      </c>
      <c r="M1792" s="30" t="s">
        <v>63</v>
      </c>
      <c r="N1792" s="30" t="s">
        <v>99</v>
      </c>
      <c r="O1792" s="30" t="s">
        <v>64</v>
      </c>
      <c r="P1792" s="89" t="s">
        <v>165</v>
      </c>
      <c r="Q1792" s="89" t="s">
        <v>2162</v>
      </c>
      <c r="R1792" s="89" t="s">
        <v>840</v>
      </c>
      <c r="S1792" s="30">
        <v>0</v>
      </c>
      <c r="T1792" s="233">
        <v>0</v>
      </c>
      <c r="U1792" s="30">
        <v>0</v>
      </c>
      <c r="V1792" s="233">
        <v>0</v>
      </c>
      <c r="W1792" s="30">
        <v>0</v>
      </c>
      <c r="X1792" s="30">
        <v>0</v>
      </c>
      <c r="Y1792" s="30">
        <v>0</v>
      </c>
      <c r="Z1792" s="233">
        <v>0</v>
      </c>
      <c r="AA1792" s="30">
        <v>0</v>
      </c>
      <c r="AB1792" s="30">
        <v>0</v>
      </c>
      <c r="AC1792" s="30">
        <v>0</v>
      </c>
      <c r="AD1792" s="30">
        <v>0</v>
      </c>
      <c r="AE1792" s="89" t="s">
        <v>92</v>
      </c>
      <c r="AF1792" s="89"/>
      <c r="AG1792" s="89" t="s">
        <v>352</v>
      </c>
      <c r="AH1792" s="72">
        <v>41811</v>
      </c>
      <c r="AI1792" s="30">
        <v>1</v>
      </c>
      <c r="AJ1792" s="89" t="s">
        <v>10012</v>
      </c>
      <c r="AK1792" s="89" t="s">
        <v>1233</v>
      </c>
      <c r="AL1792" s="91">
        <v>41811</v>
      </c>
      <c r="AM1792" s="91"/>
      <c r="AN1792" s="91"/>
      <c r="AO1792" s="91"/>
      <c r="AP1792" s="73" t="e">
        <f>MID(VLOOKUP(K1792,#REF!,2,FALSE),1,2)</f>
        <v>#REF!</v>
      </c>
      <c r="AQ1792" s="89">
        <f>DATE(2014,6,21)</f>
        <v>41811</v>
      </c>
      <c r="AR1792" s="82">
        <f t="shared" si="118"/>
        <v>21</v>
      </c>
      <c r="AS1792" s="83">
        <f t="shared" si="119"/>
        <v>6</v>
      </c>
      <c r="AT1792" s="84">
        <f t="shared" si="120"/>
        <v>2014</v>
      </c>
      <c r="AU1792" s="86"/>
      <c r="AV1792" s="86"/>
      <c r="AW1792" s="87"/>
      <c r="AX1792" s="86"/>
      <c r="AY1792" s="83"/>
      <c r="AZ1792" s="84"/>
      <c r="BA1792" s="86"/>
      <c r="BB1792" s="86"/>
    </row>
    <row r="1793" spans="1:54" ht="36.75" customHeight="1">
      <c r="A1793" s="30"/>
      <c r="B1793" s="30" t="s">
        <v>55</v>
      </c>
      <c r="C1793" s="69" t="str">
        <f t="shared" si="117"/>
        <v>Closed</v>
      </c>
      <c r="D1793" s="27" t="s">
        <v>10013</v>
      </c>
      <c r="E1793" s="29" t="s">
        <v>10014</v>
      </c>
      <c r="F1793" s="30" t="s">
        <v>9789</v>
      </c>
      <c r="G1793" s="89">
        <f>DATE(2014,6,22)</f>
        <v>41812</v>
      </c>
      <c r="H1793" s="90">
        <v>1.8847222222222224</v>
      </c>
      <c r="I1793" s="30" t="s">
        <v>2264</v>
      </c>
      <c r="J1793" s="210" t="s">
        <v>10015</v>
      </c>
      <c r="K1793" s="30" t="s">
        <v>9791</v>
      </c>
      <c r="L1793" s="30" t="s">
        <v>10016</v>
      </c>
      <c r="M1793" s="30" t="s">
        <v>63</v>
      </c>
      <c r="N1793" s="30" t="s">
        <v>142</v>
      </c>
      <c r="O1793" s="30" t="s">
        <v>64</v>
      </c>
      <c r="P1793" s="89" t="s">
        <v>5324</v>
      </c>
      <c r="Q1793" s="89" t="s">
        <v>10017</v>
      </c>
      <c r="R1793" s="89" t="s">
        <v>9794</v>
      </c>
      <c r="S1793" s="30">
        <v>0</v>
      </c>
      <c r="T1793" s="233">
        <v>0</v>
      </c>
      <c r="U1793" s="30">
        <v>0</v>
      </c>
      <c r="V1793" s="233">
        <v>0</v>
      </c>
      <c r="W1793" s="30">
        <v>0</v>
      </c>
      <c r="X1793" s="30">
        <v>0</v>
      </c>
      <c r="Y1793" s="30">
        <v>0</v>
      </c>
      <c r="Z1793" s="233">
        <v>0</v>
      </c>
      <c r="AA1793" s="30">
        <v>0</v>
      </c>
      <c r="AB1793" s="30">
        <v>0</v>
      </c>
      <c r="AC1793" s="30">
        <v>0</v>
      </c>
      <c r="AD1793" s="30">
        <v>0</v>
      </c>
      <c r="AE1793" s="89" t="s">
        <v>92</v>
      </c>
      <c r="AF1793" s="89"/>
      <c r="AG1793" s="89" t="s">
        <v>133</v>
      </c>
      <c r="AH1793" s="72">
        <v>41813</v>
      </c>
      <c r="AI1793" s="30">
        <v>1</v>
      </c>
      <c r="AJ1793" s="89" t="s">
        <v>10018</v>
      </c>
      <c r="AK1793" s="89" t="s">
        <v>10019</v>
      </c>
      <c r="AL1793" s="91">
        <v>41827</v>
      </c>
      <c r="AM1793" s="91"/>
      <c r="AN1793" s="91"/>
      <c r="AO1793" s="91"/>
      <c r="AP1793" s="73" t="e">
        <f>MID(VLOOKUP(K1793,#REF!,2,FALSE),1,2)</f>
        <v>#REF!</v>
      </c>
      <c r="AQ1793" s="89">
        <f>DATE(2014,6,22)</f>
        <v>41812</v>
      </c>
      <c r="AR1793" s="82">
        <f t="shared" si="118"/>
        <v>22</v>
      </c>
      <c r="AS1793" s="83">
        <f t="shared" si="119"/>
        <v>6</v>
      </c>
      <c r="AT1793" s="84">
        <f t="shared" si="120"/>
        <v>2014</v>
      </c>
      <c r="AU1793" s="86"/>
      <c r="AV1793" s="86"/>
      <c r="AW1793" s="87"/>
      <c r="AX1793" s="86"/>
      <c r="AY1793" s="83"/>
      <c r="AZ1793" s="84"/>
      <c r="BA1793" s="86"/>
      <c r="BB1793" s="86"/>
    </row>
    <row r="1794" spans="1:54" ht="36.75" customHeight="1">
      <c r="A1794" s="30"/>
      <c r="B1794" s="30" t="s">
        <v>55</v>
      </c>
      <c r="C1794" s="69" t="str">
        <f t="shared" ref="C1794:C1857" si="121">IF(B1794="Notification","Open",IF(B1794="Interim Statement","In progress","Closed"))</f>
        <v>Closed</v>
      </c>
      <c r="D1794" s="27" t="s">
        <v>10020</v>
      </c>
      <c r="E1794" s="29" t="s">
        <v>10021</v>
      </c>
      <c r="F1794" s="30" t="s">
        <v>18131</v>
      </c>
      <c r="G1794" s="89">
        <f>DATE(2014,6,24)</f>
        <v>41814</v>
      </c>
      <c r="H1794" s="90">
        <v>1.8402777777777777</v>
      </c>
      <c r="I1794" s="30" t="s">
        <v>278</v>
      </c>
      <c r="J1794" s="210" t="s">
        <v>10022</v>
      </c>
      <c r="K1794" s="30" t="s">
        <v>379</v>
      </c>
      <c r="L1794" s="30" t="s">
        <v>10023</v>
      </c>
      <c r="M1794" s="30" t="s">
        <v>63</v>
      </c>
      <c r="N1794" s="30" t="s">
        <v>142</v>
      </c>
      <c r="O1794" s="30" t="s">
        <v>77</v>
      </c>
      <c r="P1794" s="89" t="s">
        <v>165</v>
      </c>
      <c r="Q1794" s="89" t="s">
        <v>2906</v>
      </c>
      <c r="R1794" s="89" t="s">
        <v>382</v>
      </c>
      <c r="S1794" s="30">
        <v>0</v>
      </c>
      <c r="T1794" s="233">
        <v>0</v>
      </c>
      <c r="U1794" s="30">
        <v>0</v>
      </c>
      <c r="V1794" s="233">
        <v>0</v>
      </c>
      <c r="W1794" s="30">
        <v>0</v>
      </c>
      <c r="X1794" s="30">
        <v>0</v>
      </c>
      <c r="Y1794" s="30">
        <v>1</v>
      </c>
      <c r="Z1794" s="233">
        <v>0</v>
      </c>
      <c r="AA1794" s="30">
        <v>0</v>
      </c>
      <c r="AB1794" s="30">
        <v>0</v>
      </c>
      <c r="AC1794" s="30">
        <v>0</v>
      </c>
      <c r="AD1794" s="30">
        <v>1</v>
      </c>
      <c r="AE1794" s="89" t="s">
        <v>92</v>
      </c>
      <c r="AF1794" s="89"/>
      <c r="AG1794" s="89" t="s">
        <v>133</v>
      </c>
      <c r="AH1794" s="72">
        <v>41815</v>
      </c>
      <c r="AI1794" s="30">
        <v>0</v>
      </c>
      <c r="AJ1794" s="89" t="s">
        <v>10024</v>
      </c>
      <c r="AK1794" s="89" t="s">
        <v>68</v>
      </c>
      <c r="AL1794" s="91">
        <v>41821</v>
      </c>
      <c r="AM1794" s="91"/>
      <c r="AN1794" s="91"/>
      <c r="AO1794" s="91"/>
      <c r="AP1794" s="73" t="e">
        <f>MID(VLOOKUP(K1794,#REF!,2,FALSE),1,2)</f>
        <v>#REF!</v>
      </c>
      <c r="AQ1794" s="89">
        <f>DATE(2014,6,24)</f>
        <v>41814</v>
      </c>
      <c r="AR1794" s="82">
        <f t="shared" si="118"/>
        <v>24</v>
      </c>
      <c r="AS1794" s="83">
        <f t="shared" si="119"/>
        <v>6</v>
      </c>
      <c r="AT1794" s="84">
        <f t="shared" si="120"/>
        <v>2014</v>
      </c>
      <c r="AU1794" s="86"/>
      <c r="AV1794" s="86"/>
      <c r="AW1794" s="87"/>
      <c r="AX1794" s="86"/>
      <c r="AY1794" s="83"/>
      <c r="AZ1794" s="84"/>
      <c r="BA1794" s="86"/>
      <c r="BB1794" s="86"/>
    </row>
    <row r="1795" spans="1:54" ht="36.75" customHeight="1">
      <c r="A1795" s="30"/>
      <c r="B1795" s="30" t="s">
        <v>55</v>
      </c>
      <c r="C1795" s="69" t="str">
        <f t="shared" si="121"/>
        <v>Closed</v>
      </c>
      <c r="D1795" s="27" t="s">
        <v>10025</v>
      </c>
      <c r="E1795" s="29" t="s">
        <v>10026</v>
      </c>
      <c r="F1795" s="30" t="s">
        <v>46047</v>
      </c>
      <c r="G1795" s="89">
        <f>DATE(2014,6,24)</f>
        <v>41814</v>
      </c>
      <c r="H1795" s="90">
        <v>1.4479166666666667</v>
      </c>
      <c r="I1795" s="30" t="s">
        <v>278</v>
      </c>
      <c r="J1795" s="210" t="s">
        <v>10027</v>
      </c>
      <c r="K1795" s="30" t="s">
        <v>235</v>
      </c>
      <c r="L1795" s="30" t="s">
        <v>10028</v>
      </c>
      <c r="M1795" s="30" t="s">
        <v>63</v>
      </c>
      <c r="N1795" s="30" t="s">
        <v>142</v>
      </c>
      <c r="O1795" s="30" t="s">
        <v>64</v>
      </c>
      <c r="P1795" s="89" t="s">
        <v>165</v>
      </c>
      <c r="Q1795" s="89" t="s">
        <v>1664</v>
      </c>
      <c r="R1795" s="89" t="s">
        <v>238</v>
      </c>
      <c r="S1795" s="30">
        <v>0</v>
      </c>
      <c r="T1795" s="233">
        <v>0</v>
      </c>
      <c r="U1795" s="30">
        <v>0</v>
      </c>
      <c r="V1795" s="233">
        <v>0</v>
      </c>
      <c r="W1795" s="30">
        <v>0</v>
      </c>
      <c r="X1795" s="30">
        <v>0</v>
      </c>
      <c r="Y1795" s="30">
        <v>0</v>
      </c>
      <c r="Z1795" s="233">
        <v>1</v>
      </c>
      <c r="AA1795" s="30">
        <v>0</v>
      </c>
      <c r="AB1795" s="30">
        <v>0</v>
      </c>
      <c r="AC1795" s="30">
        <v>0</v>
      </c>
      <c r="AD1795" s="30">
        <v>1</v>
      </c>
      <c r="AE1795" s="89" t="s">
        <v>92</v>
      </c>
      <c r="AF1795" s="89"/>
      <c r="AG1795" s="89" t="s">
        <v>133</v>
      </c>
      <c r="AH1795" s="72">
        <v>41820</v>
      </c>
      <c r="AI1795" s="30">
        <v>3</v>
      </c>
      <c r="AJ1795" s="89" t="s">
        <v>10029</v>
      </c>
      <c r="AK1795" s="89" t="s">
        <v>10030</v>
      </c>
      <c r="AL1795" s="91">
        <v>41834</v>
      </c>
      <c r="AM1795" s="91"/>
      <c r="AN1795" s="91"/>
      <c r="AO1795" s="91"/>
      <c r="AP1795" s="73" t="e">
        <f>MID(VLOOKUP(K1795,#REF!,2,FALSE),1,2)</f>
        <v>#REF!</v>
      </c>
      <c r="AQ1795" s="89">
        <f>DATE(2014,6,24)</f>
        <v>41814</v>
      </c>
      <c r="AR1795" s="82">
        <f t="shared" si="118"/>
        <v>24</v>
      </c>
      <c r="AS1795" s="83">
        <f t="shared" si="119"/>
        <v>6</v>
      </c>
      <c r="AT1795" s="84">
        <f t="shared" si="120"/>
        <v>2014</v>
      </c>
      <c r="AU1795" s="86"/>
      <c r="AV1795" s="86"/>
      <c r="AW1795" s="87"/>
      <c r="AX1795" s="86"/>
      <c r="AY1795" s="83"/>
      <c r="AZ1795" s="84"/>
      <c r="BA1795" s="86"/>
      <c r="BB1795" s="86"/>
    </row>
    <row r="1796" spans="1:54" ht="36.75" customHeight="1">
      <c r="A1796" s="30"/>
      <c r="B1796" s="30" t="s">
        <v>55</v>
      </c>
      <c r="C1796" s="69" t="str">
        <f t="shared" si="121"/>
        <v>Closed</v>
      </c>
      <c r="D1796" s="27" t="s">
        <v>10031</v>
      </c>
      <c r="E1796" s="29" t="s">
        <v>10032</v>
      </c>
      <c r="F1796" s="30" t="s">
        <v>6455</v>
      </c>
      <c r="G1796" s="89">
        <f>DATE(2014,6,28)</f>
        <v>41818</v>
      </c>
      <c r="H1796" s="90">
        <v>1</v>
      </c>
      <c r="I1796" s="30" t="s">
        <v>198</v>
      </c>
      <c r="J1796" s="210" t="s">
        <v>10033</v>
      </c>
      <c r="K1796" s="30" t="s">
        <v>584</v>
      </c>
      <c r="L1796" s="30" t="s">
        <v>10034</v>
      </c>
      <c r="M1796" s="30" t="s">
        <v>63</v>
      </c>
      <c r="N1796" s="30" t="s">
        <v>142</v>
      </c>
      <c r="O1796" s="30" t="s">
        <v>77</v>
      </c>
      <c r="P1796" s="89" t="s">
        <v>78</v>
      </c>
      <c r="Q1796" s="89" t="s">
        <v>8286</v>
      </c>
      <c r="R1796" s="89" t="s">
        <v>587</v>
      </c>
      <c r="S1796" s="30">
        <v>0</v>
      </c>
      <c r="T1796" s="233">
        <v>0</v>
      </c>
      <c r="U1796" s="30">
        <v>0</v>
      </c>
      <c r="V1796" s="233">
        <v>0</v>
      </c>
      <c r="W1796" s="30">
        <v>0</v>
      </c>
      <c r="X1796" s="30">
        <v>0</v>
      </c>
      <c r="Y1796" s="30">
        <v>0</v>
      </c>
      <c r="Z1796" s="233">
        <v>0</v>
      </c>
      <c r="AA1796" s="30">
        <v>0</v>
      </c>
      <c r="AB1796" s="30">
        <v>0</v>
      </c>
      <c r="AC1796" s="30">
        <v>0</v>
      </c>
      <c r="AD1796" s="30">
        <v>0</v>
      </c>
      <c r="AE1796" s="89" t="s">
        <v>145</v>
      </c>
      <c r="AF1796" s="89"/>
      <c r="AG1796" s="89" t="s">
        <v>133</v>
      </c>
      <c r="AH1796" s="72">
        <v>41823</v>
      </c>
      <c r="AI1796" s="30">
        <v>0</v>
      </c>
      <c r="AJ1796" s="89" t="s">
        <v>10035</v>
      </c>
      <c r="AK1796" s="89" t="s">
        <v>1233</v>
      </c>
      <c r="AL1796" s="91">
        <v>41828</v>
      </c>
      <c r="AM1796" s="91"/>
      <c r="AN1796" s="91"/>
      <c r="AO1796" s="91"/>
      <c r="AP1796" s="73" t="e">
        <f>MID(VLOOKUP(K1796,#REF!,2,FALSE),1,2)</f>
        <v>#REF!</v>
      </c>
      <c r="AQ1796" s="89">
        <f>DATE(2014,6,28)</f>
        <v>41818</v>
      </c>
      <c r="AR1796" s="82">
        <f t="shared" si="118"/>
        <v>28</v>
      </c>
      <c r="AS1796" s="83">
        <f t="shared" si="119"/>
        <v>6</v>
      </c>
      <c r="AT1796" s="84">
        <f t="shared" si="120"/>
        <v>2014</v>
      </c>
      <c r="AU1796" s="86"/>
      <c r="AV1796" s="86"/>
      <c r="AW1796" s="87"/>
      <c r="AX1796" s="86"/>
      <c r="AY1796" s="83"/>
      <c r="AZ1796" s="84"/>
      <c r="BA1796" s="86"/>
      <c r="BB1796" s="86"/>
    </row>
    <row r="1797" spans="1:54" ht="36.75" customHeight="1">
      <c r="A1797" s="30"/>
      <c r="B1797" s="30" t="s">
        <v>55</v>
      </c>
      <c r="C1797" s="69" t="str">
        <f t="shared" si="121"/>
        <v>Closed</v>
      </c>
      <c r="D1797" s="27" t="s">
        <v>10036</v>
      </c>
      <c r="E1797" s="29" t="s">
        <v>10037</v>
      </c>
      <c r="F1797" s="30" t="s">
        <v>18131</v>
      </c>
      <c r="G1797" s="89">
        <f>DATE(2014,7,1)</f>
        <v>41821</v>
      </c>
      <c r="H1797" s="90">
        <v>0</v>
      </c>
      <c r="I1797" s="30" t="s">
        <v>278</v>
      </c>
      <c r="J1797" s="210" t="s">
        <v>10038</v>
      </c>
      <c r="K1797" s="30" t="s">
        <v>379</v>
      </c>
      <c r="L1797" s="30" t="s">
        <v>10039</v>
      </c>
      <c r="M1797" s="30" t="s">
        <v>63</v>
      </c>
      <c r="N1797" s="30" t="s">
        <v>142</v>
      </c>
      <c r="O1797" s="30" t="s">
        <v>77</v>
      </c>
      <c r="P1797" s="89" t="s">
        <v>6941</v>
      </c>
      <c r="Q1797" s="89" t="s">
        <v>10040</v>
      </c>
      <c r="R1797" s="89" t="s">
        <v>382</v>
      </c>
      <c r="S1797" s="30">
        <v>0</v>
      </c>
      <c r="T1797" s="233">
        <v>0</v>
      </c>
      <c r="U1797" s="30">
        <v>0</v>
      </c>
      <c r="V1797" s="233">
        <v>0</v>
      </c>
      <c r="W1797" s="30">
        <v>0</v>
      </c>
      <c r="X1797" s="30">
        <v>0</v>
      </c>
      <c r="Y1797" s="30">
        <v>0</v>
      </c>
      <c r="Z1797" s="233">
        <v>0</v>
      </c>
      <c r="AA1797" s="30">
        <v>0</v>
      </c>
      <c r="AB1797" s="30">
        <v>0</v>
      </c>
      <c r="AC1797" s="30">
        <v>0</v>
      </c>
      <c r="AD1797" s="30">
        <v>0</v>
      </c>
      <c r="AE1797" s="89" t="s">
        <v>92</v>
      </c>
      <c r="AF1797" s="89"/>
      <c r="AG1797" s="89" t="s">
        <v>352</v>
      </c>
      <c r="AH1797" s="72">
        <v>41992</v>
      </c>
      <c r="AI1797" s="30">
        <v>12</v>
      </c>
      <c r="AJ1797" s="89" t="s">
        <v>10041</v>
      </c>
      <c r="AK1797" s="89" t="s">
        <v>68</v>
      </c>
      <c r="AL1797" s="91">
        <v>42090</v>
      </c>
      <c r="AM1797" s="91"/>
      <c r="AN1797" s="91"/>
      <c r="AO1797" s="91"/>
      <c r="AP1797" s="73" t="e">
        <f>MID(VLOOKUP(K1797,#REF!,2,FALSE),1,2)</f>
        <v>#REF!</v>
      </c>
      <c r="AQ1797" s="89">
        <f>DATE(2014,7,1)</f>
        <v>41821</v>
      </c>
      <c r="AR1797" s="82">
        <f t="shared" si="118"/>
        <v>1</v>
      </c>
      <c r="AS1797" s="83">
        <f t="shared" si="119"/>
        <v>7</v>
      </c>
      <c r="AT1797" s="84">
        <f t="shared" si="120"/>
        <v>2014</v>
      </c>
      <c r="AU1797" s="86"/>
      <c r="AV1797" s="86"/>
      <c r="AW1797" s="87"/>
      <c r="AX1797" s="86"/>
      <c r="AY1797" s="83"/>
      <c r="AZ1797" s="84"/>
      <c r="BA1797" s="86"/>
      <c r="BB1797" s="86"/>
    </row>
    <row r="1798" spans="1:54" ht="36.75" customHeight="1">
      <c r="A1798" s="30"/>
      <c r="B1798" s="30" t="s">
        <v>55</v>
      </c>
      <c r="C1798" s="69" t="str">
        <f t="shared" si="121"/>
        <v>Closed</v>
      </c>
      <c r="D1798" s="27" t="s">
        <v>10042</v>
      </c>
      <c r="E1798" s="29" t="s">
        <v>10043</v>
      </c>
      <c r="F1798" s="30" t="s">
        <v>6455</v>
      </c>
      <c r="G1798" s="89">
        <f>DATE(2014,7,2)</f>
        <v>41822</v>
      </c>
      <c r="H1798" s="90">
        <v>1.9270833333333335</v>
      </c>
      <c r="I1798" s="30" t="s">
        <v>73</v>
      </c>
      <c r="J1798" s="210" t="s">
        <v>10044</v>
      </c>
      <c r="K1798" s="30" t="s">
        <v>584</v>
      </c>
      <c r="L1798" s="30" t="s">
        <v>10045</v>
      </c>
      <c r="M1798" s="30" t="s">
        <v>63</v>
      </c>
      <c r="N1798" s="30" t="s">
        <v>142</v>
      </c>
      <c r="O1798" s="30" t="s">
        <v>77</v>
      </c>
      <c r="P1798" s="89" t="s">
        <v>78</v>
      </c>
      <c r="Q1798" s="89" t="s">
        <v>586</v>
      </c>
      <c r="R1798" s="89" t="s">
        <v>587</v>
      </c>
      <c r="S1798" s="30">
        <v>0</v>
      </c>
      <c r="T1798" s="233">
        <v>0</v>
      </c>
      <c r="U1798" s="30">
        <v>0</v>
      </c>
      <c r="V1798" s="233">
        <v>0</v>
      </c>
      <c r="W1798" s="30">
        <v>0</v>
      </c>
      <c r="X1798" s="30">
        <v>0</v>
      </c>
      <c r="Y1798" s="30">
        <v>0</v>
      </c>
      <c r="Z1798" s="233">
        <v>0</v>
      </c>
      <c r="AA1798" s="30">
        <v>0</v>
      </c>
      <c r="AB1798" s="30">
        <v>0</v>
      </c>
      <c r="AC1798" s="30">
        <v>0</v>
      </c>
      <c r="AD1798" s="30">
        <v>0</v>
      </c>
      <c r="AE1798" s="89" t="s">
        <v>394</v>
      </c>
      <c r="AF1798" s="89"/>
      <c r="AG1798" s="89" t="s">
        <v>133</v>
      </c>
      <c r="AH1798" s="72">
        <v>41828</v>
      </c>
      <c r="AI1798" s="30">
        <v>0</v>
      </c>
      <c r="AJ1798" s="89" t="s">
        <v>10046</v>
      </c>
      <c r="AK1798" s="89" t="s">
        <v>1233</v>
      </c>
      <c r="AL1798" s="91">
        <v>41830</v>
      </c>
      <c r="AM1798" s="91"/>
      <c r="AN1798" s="91"/>
      <c r="AO1798" s="91"/>
      <c r="AP1798" s="73" t="e">
        <f>MID(VLOOKUP(K1798,#REF!,2,FALSE),1,2)</f>
        <v>#REF!</v>
      </c>
      <c r="AQ1798" s="89">
        <f>DATE(2014,7,2)</f>
        <v>41822</v>
      </c>
      <c r="AR1798" s="82">
        <f t="shared" si="118"/>
        <v>2</v>
      </c>
      <c r="AS1798" s="83">
        <f t="shared" si="119"/>
        <v>7</v>
      </c>
      <c r="AT1798" s="84">
        <f t="shared" si="120"/>
        <v>2014</v>
      </c>
      <c r="AU1798" s="86"/>
      <c r="AV1798" s="86"/>
      <c r="AW1798" s="87"/>
      <c r="AX1798" s="86"/>
      <c r="AY1798" s="83"/>
      <c r="AZ1798" s="84"/>
      <c r="BA1798" s="86"/>
      <c r="BB1798" s="86"/>
    </row>
    <row r="1799" spans="1:54" ht="36.75" customHeight="1">
      <c r="A1799" s="30"/>
      <c r="B1799" s="30" t="s">
        <v>55</v>
      </c>
      <c r="C1799" s="69" t="str">
        <f t="shared" si="121"/>
        <v>Closed</v>
      </c>
      <c r="D1799" s="27" t="s">
        <v>10047</v>
      </c>
      <c r="E1799" s="29" t="s">
        <v>10048</v>
      </c>
      <c r="F1799" s="30" t="s">
        <v>17820</v>
      </c>
      <c r="G1799" s="89">
        <f>DATE(2014,7,2)</f>
        <v>41822</v>
      </c>
      <c r="H1799" s="90">
        <v>1.8194444444444446</v>
      </c>
      <c r="I1799" s="30" t="s">
        <v>9419</v>
      </c>
      <c r="J1799" s="210" t="s">
        <v>10049</v>
      </c>
      <c r="K1799" s="30" t="s">
        <v>640</v>
      </c>
      <c r="L1799" s="30" t="s">
        <v>10050</v>
      </c>
      <c r="M1799" s="30" t="s">
        <v>63</v>
      </c>
      <c r="N1799" s="30" t="s">
        <v>142</v>
      </c>
      <c r="O1799" s="30" t="s">
        <v>64</v>
      </c>
      <c r="P1799" s="89" t="s">
        <v>462</v>
      </c>
      <c r="Q1799" s="89" t="s">
        <v>642</v>
      </c>
      <c r="R1799" s="89" t="s">
        <v>643</v>
      </c>
      <c r="S1799" s="30">
        <v>0</v>
      </c>
      <c r="T1799" s="233">
        <v>0</v>
      </c>
      <c r="U1799" s="30">
        <v>0</v>
      </c>
      <c r="V1799" s="233">
        <v>0</v>
      </c>
      <c r="W1799" s="30">
        <v>0</v>
      </c>
      <c r="X1799" s="30">
        <v>0</v>
      </c>
      <c r="Y1799" s="30">
        <v>0</v>
      </c>
      <c r="Z1799" s="233">
        <v>0</v>
      </c>
      <c r="AA1799" s="30">
        <v>0</v>
      </c>
      <c r="AB1799" s="30">
        <v>0</v>
      </c>
      <c r="AC1799" s="30">
        <v>0</v>
      </c>
      <c r="AD1799" s="30">
        <v>0</v>
      </c>
      <c r="AE1799" s="89" t="s">
        <v>394</v>
      </c>
      <c r="AF1799" s="89"/>
      <c r="AG1799" s="89" t="s">
        <v>133</v>
      </c>
      <c r="AH1799" s="72">
        <v>41834</v>
      </c>
      <c r="AI1799" s="30">
        <v>1</v>
      </c>
      <c r="AJ1799" s="89" t="s">
        <v>10051</v>
      </c>
      <c r="AK1799" s="89" t="s">
        <v>68</v>
      </c>
      <c r="AL1799" s="91">
        <v>41842</v>
      </c>
      <c r="AM1799" s="91"/>
      <c r="AN1799" s="91"/>
      <c r="AO1799" s="91"/>
      <c r="AP1799" s="73" t="e">
        <f>MID(VLOOKUP(K1799,#REF!,2,FALSE),1,2)</f>
        <v>#REF!</v>
      </c>
      <c r="AQ1799" s="89">
        <f>DATE(2014,7,2)</f>
        <v>41822</v>
      </c>
      <c r="AR1799" s="82">
        <f t="shared" si="118"/>
        <v>2</v>
      </c>
      <c r="AS1799" s="83">
        <f t="shared" si="119"/>
        <v>7</v>
      </c>
      <c r="AT1799" s="84">
        <f t="shared" si="120"/>
        <v>2014</v>
      </c>
      <c r="AU1799" s="86"/>
      <c r="AV1799" s="86"/>
      <c r="AW1799" s="87"/>
      <c r="AX1799" s="86"/>
      <c r="AY1799" s="83"/>
      <c r="AZ1799" s="84"/>
      <c r="BA1799" s="86"/>
      <c r="BB1799" s="86"/>
    </row>
    <row r="1800" spans="1:54" ht="36.75" customHeight="1">
      <c r="A1800" s="30"/>
      <c r="B1800" s="30" t="s">
        <v>2124</v>
      </c>
      <c r="C1800" s="69" t="str">
        <f t="shared" si="121"/>
        <v>Open</v>
      </c>
      <c r="D1800" s="27" t="s">
        <v>10052</v>
      </c>
      <c r="E1800" s="29" t="s">
        <v>10053</v>
      </c>
      <c r="F1800" s="30" t="s">
        <v>16702</v>
      </c>
      <c r="G1800" s="89">
        <f>DATE(2014,7,2)</f>
        <v>41822</v>
      </c>
      <c r="H1800" s="90">
        <v>1.9305555555555554</v>
      </c>
      <c r="I1800" s="30" t="s">
        <v>73</v>
      </c>
      <c r="J1800" s="210" t="s">
        <v>10054</v>
      </c>
      <c r="K1800" s="30" t="s">
        <v>596</v>
      </c>
      <c r="L1800" s="30" t="s">
        <v>10055</v>
      </c>
      <c r="M1800" s="30" t="s">
        <v>63</v>
      </c>
      <c r="N1800" s="30" t="s">
        <v>99</v>
      </c>
      <c r="O1800" s="30" t="s">
        <v>64</v>
      </c>
      <c r="P1800" s="89" t="s">
        <v>78</v>
      </c>
      <c r="Q1800" s="89" t="s">
        <v>10056</v>
      </c>
      <c r="R1800" s="89" t="s">
        <v>599</v>
      </c>
      <c r="S1800" s="30">
        <v>0</v>
      </c>
      <c r="T1800" s="233">
        <v>0</v>
      </c>
      <c r="U1800" s="30">
        <v>0</v>
      </c>
      <c r="V1800" s="233">
        <v>0</v>
      </c>
      <c r="W1800" s="30">
        <v>0</v>
      </c>
      <c r="X1800" s="30">
        <v>0</v>
      </c>
      <c r="Y1800" s="30">
        <v>0</v>
      </c>
      <c r="Z1800" s="233">
        <v>0</v>
      </c>
      <c r="AA1800" s="30">
        <v>0</v>
      </c>
      <c r="AB1800" s="30">
        <v>0</v>
      </c>
      <c r="AC1800" s="30">
        <v>0</v>
      </c>
      <c r="AD1800" s="30">
        <v>0</v>
      </c>
      <c r="AE1800" s="89" t="s">
        <v>394</v>
      </c>
      <c r="AF1800" s="89"/>
      <c r="AG1800" s="89" t="s">
        <v>352</v>
      </c>
      <c r="AH1800" s="72">
        <v>41950</v>
      </c>
      <c r="AI1800" s="30">
        <v>0</v>
      </c>
      <c r="AJ1800" s="89" t="s">
        <v>68</v>
      </c>
      <c r="AK1800" s="89" t="s">
        <v>68</v>
      </c>
      <c r="AL1800" s="91">
        <v>41837</v>
      </c>
      <c r="AM1800" s="91"/>
      <c r="AN1800" s="91"/>
      <c r="AO1800" s="91"/>
      <c r="AP1800" s="73" t="e">
        <f>MID(VLOOKUP(K1800,#REF!,2,FALSE),1,2)</f>
        <v>#REF!</v>
      </c>
      <c r="AQ1800" s="89">
        <f>DATE(2014,7,2)</f>
        <v>41822</v>
      </c>
      <c r="AR1800" s="82">
        <f t="shared" si="118"/>
        <v>2</v>
      </c>
      <c r="AS1800" s="83">
        <f t="shared" si="119"/>
        <v>7</v>
      </c>
      <c r="AT1800" s="84">
        <f t="shared" si="120"/>
        <v>2014</v>
      </c>
      <c r="AU1800" s="86"/>
      <c r="AV1800" s="86"/>
      <c r="AW1800" s="87"/>
      <c r="AX1800" s="86"/>
      <c r="AY1800" s="83"/>
      <c r="AZ1800" s="84"/>
      <c r="BA1800" s="86"/>
      <c r="BB1800" s="86"/>
    </row>
    <row r="1801" spans="1:54" ht="36.75" customHeight="1">
      <c r="A1801" s="30"/>
      <c r="B1801" s="30" t="s">
        <v>55</v>
      </c>
      <c r="C1801" s="69" t="str">
        <f t="shared" si="121"/>
        <v>Closed</v>
      </c>
      <c r="D1801" s="27" t="s">
        <v>10057</v>
      </c>
      <c r="E1801" s="29" t="s">
        <v>10058</v>
      </c>
      <c r="F1801" s="30" t="s">
        <v>16429</v>
      </c>
      <c r="G1801" s="89">
        <f>DATE(2014,7,8)</f>
        <v>41828</v>
      </c>
      <c r="H1801" s="90">
        <v>1.1666666666666667</v>
      </c>
      <c r="I1801" s="30" t="s">
        <v>198</v>
      </c>
      <c r="J1801" s="210" t="s">
        <v>10059</v>
      </c>
      <c r="K1801" s="30" t="s">
        <v>425</v>
      </c>
      <c r="L1801" s="30" t="s">
        <v>10060</v>
      </c>
      <c r="M1801" s="30" t="s">
        <v>63</v>
      </c>
      <c r="N1801" s="30" t="s">
        <v>89</v>
      </c>
      <c r="O1801" s="30" t="s">
        <v>77</v>
      </c>
      <c r="P1801" s="89" t="s">
        <v>78</v>
      </c>
      <c r="Q1801" s="89" t="s">
        <v>10061</v>
      </c>
      <c r="R1801" s="89" t="s">
        <v>3103</v>
      </c>
      <c r="S1801" s="30">
        <v>0</v>
      </c>
      <c r="T1801" s="233">
        <v>0</v>
      </c>
      <c r="U1801" s="30">
        <v>0</v>
      </c>
      <c r="V1801" s="233">
        <v>0</v>
      </c>
      <c r="W1801" s="30">
        <v>0</v>
      </c>
      <c r="X1801" s="30">
        <v>0</v>
      </c>
      <c r="Y1801" s="30">
        <v>0</v>
      </c>
      <c r="Z1801" s="233">
        <v>0</v>
      </c>
      <c r="AA1801" s="30">
        <v>0</v>
      </c>
      <c r="AB1801" s="30">
        <v>0</v>
      </c>
      <c r="AC1801" s="30">
        <v>0</v>
      </c>
      <c r="AD1801" s="30">
        <v>0</v>
      </c>
      <c r="AE1801" s="89" t="s">
        <v>394</v>
      </c>
      <c r="AF1801" s="89"/>
      <c r="AG1801" s="89" t="s">
        <v>133</v>
      </c>
      <c r="AH1801" s="72">
        <v>41919</v>
      </c>
      <c r="AI1801" s="30">
        <v>3</v>
      </c>
      <c r="AJ1801" s="89" t="s">
        <v>10062</v>
      </c>
      <c r="AK1801" s="89" t="s">
        <v>10063</v>
      </c>
      <c r="AL1801" s="91">
        <v>41830</v>
      </c>
      <c r="AM1801" s="91"/>
      <c r="AN1801" s="91"/>
      <c r="AO1801" s="91"/>
      <c r="AP1801" s="73" t="e">
        <f>MID(VLOOKUP(K1801,#REF!,2,FALSE),1,2)</f>
        <v>#REF!</v>
      </c>
      <c r="AQ1801" s="89">
        <f>DATE(2014,7,8)</f>
        <v>41828</v>
      </c>
      <c r="AR1801" s="82">
        <f t="shared" si="118"/>
        <v>8</v>
      </c>
      <c r="AS1801" s="83">
        <f t="shared" si="119"/>
        <v>7</v>
      </c>
      <c r="AT1801" s="84">
        <f t="shared" si="120"/>
        <v>2014</v>
      </c>
      <c r="AU1801" s="86"/>
      <c r="AV1801" s="86"/>
      <c r="AW1801" s="87"/>
      <c r="AX1801" s="86"/>
      <c r="AY1801" s="83"/>
      <c r="AZ1801" s="84"/>
      <c r="BA1801" s="86"/>
      <c r="BB1801" s="86"/>
    </row>
    <row r="1802" spans="1:54" ht="36.75" customHeight="1">
      <c r="A1802" s="30"/>
      <c r="B1802" s="30" t="s">
        <v>55</v>
      </c>
      <c r="C1802" s="69" t="str">
        <f t="shared" si="121"/>
        <v>Closed</v>
      </c>
      <c r="D1802" s="27" t="s">
        <v>10064</v>
      </c>
      <c r="E1802" s="29" t="s">
        <v>10065</v>
      </c>
      <c r="F1802" s="30" t="s">
        <v>18070</v>
      </c>
      <c r="G1802" s="89">
        <f>DATE(2014,7,9)</f>
        <v>41829</v>
      </c>
      <c r="H1802" s="90">
        <v>1.6590277777777778</v>
      </c>
      <c r="I1802" s="30" t="s">
        <v>73</v>
      </c>
      <c r="J1802" s="210" t="s">
        <v>10066</v>
      </c>
      <c r="K1802" s="30" t="s">
        <v>140</v>
      </c>
      <c r="L1802" s="30" t="s">
        <v>10067</v>
      </c>
      <c r="M1802" s="30" t="s">
        <v>63</v>
      </c>
      <c r="N1802" s="30" t="s">
        <v>142</v>
      </c>
      <c r="O1802" s="30" t="s">
        <v>64</v>
      </c>
      <c r="P1802" s="89" t="s">
        <v>78</v>
      </c>
      <c r="Q1802" s="89" t="s">
        <v>143</v>
      </c>
      <c r="R1802" s="89" t="s">
        <v>4934</v>
      </c>
      <c r="S1802" s="30">
        <v>0</v>
      </c>
      <c r="T1802" s="233">
        <v>0</v>
      </c>
      <c r="U1802" s="30">
        <v>0</v>
      </c>
      <c r="V1802" s="233">
        <v>0</v>
      </c>
      <c r="W1802" s="30">
        <v>0</v>
      </c>
      <c r="X1802" s="30">
        <v>0</v>
      </c>
      <c r="Y1802" s="30">
        <v>0</v>
      </c>
      <c r="Z1802" s="233">
        <v>0</v>
      </c>
      <c r="AA1802" s="30">
        <v>0</v>
      </c>
      <c r="AB1802" s="30">
        <v>0</v>
      </c>
      <c r="AC1802" s="30">
        <v>0</v>
      </c>
      <c r="AD1802" s="30">
        <v>0</v>
      </c>
      <c r="AE1802" s="89" t="s">
        <v>394</v>
      </c>
      <c r="AF1802" s="89"/>
      <c r="AG1802" s="89" t="s">
        <v>133</v>
      </c>
      <c r="AH1802" s="72">
        <v>41835</v>
      </c>
      <c r="AI1802" s="30">
        <v>2</v>
      </c>
      <c r="AJ1802" s="89" t="s">
        <v>10068</v>
      </c>
      <c r="AK1802" s="89" t="s">
        <v>10069</v>
      </c>
      <c r="AL1802" s="91">
        <v>41507</v>
      </c>
      <c r="AM1802" s="91"/>
      <c r="AN1802" s="91"/>
      <c r="AO1802" s="91"/>
      <c r="AP1802" s="73" t="e">
        <f>MID(VLOOKUP(K1802,#REF!,2,FALSE),1,2)</f>
        <v>#REF!</v>
      </c>
      <c r="AQ1802" s="89">
        <f>DATE(2014,7,9)</f>
        <v>41829</v>
      </c>
      <c r="AR1802" s="82">
        <f t="shared" si="118"/>
        <v>9</v>
      </c>
      <c r="AS1802" s="83">
        <f t="shared" si="119"/>
        <v>7</v>
      </c>
      <c r="AT1802" s="84">
        <f t="shared" si="120"/>
        <v>2014</v>
      </c>
      <c r="AU1802" s="86"/>
      <c r="AV1802" s="86"/>
      <c r="AW1802" s="87"/>
      <c r="AX1802" s="86"/>
      <c r="AY1802" s="83"/>
      <c r="AZ1802" s="84"/>
      <c r="BA1802" s="86"/>
      <c r="BB1802" s="86"/>
    </row>
    <row r="1803" spans="1:54" ht="36.75" customHeight="1">
      <c r="A1803" s="30"/>
      <c r="B1803" s="30" t="s">
        <v>55</v>
      </c>
      <c r="C1803" s="69" t="str">
        <f t="shared" si="121"/>
        <v>Closed</v>
      </c>
      <c r="D1803" s="27" t="s">
        <v>10070</v>
      </c>
      <c r="E1803" s="29" t="s">
        <v>10071</v>
      </c>
      <c r="F1803" s="30" t="s">
        <v>6455</v>
      </c>
      <c r="G1803" s="89">
        <f>DATE(2014,7,10)</f>
        <v>41830</v>
      </c>
      <c r="H1803" s="90">
        <v>1.0430555555555556</v>
      </c>
      <c r="I1803" s="30" t="s">
        <v>73</v>
      </c>
      <c r="J1803" s="210" t="s">
        <v>10072</v>
      </c>
      <c r="K1803" s="30" t="s">
        <v>584</v>
      </c>
      <c r="L1803" s="30" t="s">
        <v>10073</v>
      </c>
      <c r="M1803" s="30" t="s">
        <v>63</v>
      </c>
      <c r="N1803" s="30" t="s">
        <v>142</v>
      </c>
      <c r="O1803" s="30" t="s">
        <v>77</v>
      </c>
      <c r="P1803" s="89" t="s">
        <v>78</v>
      </c>
      <c r="Q1803" s="89" t="s">
        <v>586</v>
      </c>
      <c r="R1803" s="89" t="s">
        <v>587</v>
      </c>
      <c r="S1803" s="30">
        <v>0</v>
      </c>
      <c r="T1803" s="233">
        <v>0</v>
      </c>
      <c r="U1803" s="30">
        <v>0</v>
      </c>
      <c r="V1803" s="233">
        <v>0</v>
      </c>
      <c r="W1803" s="30">
        <v>0</v>
      </c>
      <c r="X1803" s="30">
        <v>0</v>
      </c>
      <c r="Y1803" s="30">
        <v>0</v>
      </c>
      <c r="Z1803" s="233">
        <v>0</v>
      </c>
      <c r="AA1803" s="30">
        <v>0</v>
      </c>
      <c r="AB1803" s="30">
        <v>0</v>
      </c>
      <c r="AC1803" s="30">
        <v>0</v>
      </c>
      <c r="AD1803" s="30">
        <v>0</v>
      </c>
      <c r="AE1803" s="89" t="s">
        <v>92</v>
      </c>
      <c r="AF1803" s="89"/>
      <c r="AG1803" s="89" t="s">
        <v>133</v>
      </c>
      <c r="AH1803" s="72">
        <v>41878</v>
      </c>
      <c r="AI1803" s="30">
        <v>0</v>
      </c>
      <c r="AJ1803" s="89" t="s">
        <v>10074</v>
      </c>
      <c r="AK1803" s="89" t="s">
        <v>1233</v>
      </c>
      <c r="AL1803" s="91">
        <v>41879</v>
      </c>
      <c r="AM1803" s="91"/>
      <c r="AN1803" s="91"/>
      <c r="AO1803" s="91"/>
      <c r="AP1803" s="73" t="e">
        <f>MID(VLOOKUP(K1803,#REF!,2,FALSE),1,2)</f>
        <v>#REF!</v>
      </c>
      <c r="AQ1803" s="89">
        <f>DATE(2014,7,10)</f>
        <v>41830</v>
      </c>
      <c r="AR1803" s="82">
        <f t="shared" si="118"/>
        <v>10</v>
      </c>
      <c r="AS1803" s="83">
        <f t="shared" si="119"/>
        <v>7</v>
      </c>
      <c r="AT1803" s="84">
        <f t="shared" si="120"/>
        <v>2014</v>
      </c>
      <c r="AU1803" s="86"/>
      <c r="AV1803" s="86"/>
      <c r="AW1803" s="87"/>
      <c r="AX1803" s="86"/>
      <c r="AY1803" s="83"/>
      <c r="AZ1803" s="84"/>
      <c r="BA1803" s="86"/>
      <c r="BB1803" s="86"/>
    </row>
    <row r="1804" spans="1:54" ht="36.75" customHeight="1">
      <c r="A1804" s="30"/>
      <c r="B1804" s="30" t="s">
        <v>55</v>
      </c>
      <c r="C1804" s="69" t="str">
        <f t="shared" si="121"/>
        <v>Closed</v>
      </c>
      <c r="D1804" s="27" t="s">
        <v>10075</v>
      </c>
      <c r="E1804" s="29" t="s">
        <v>10076</v>
      </c>
      <c r="F1804" s="30" t="s">
        <v>17820</v>
      </c>
      <c r="G1804" s="89">
        <f>DATE(2014,7,10)</f>
        <v>41830</v>
      </c>
      <c r="H1804" s="90">
        <v>1.4791666666666667</v>
      </c>
      <c r="I1804" s="30" t="s">
        <v>104</v>
      </c>
      <c r="J1804" s="210" t="s">
        <v>10077</v>
      </c>
      <c r="K1804" s="30" t="s">
        <v>640</v>
      </c>
      <c r="L1804" s="30" t="s">
        <v>10078</v>
      </c>
      <c r="M1804" s="30" t="s">
        <v>63</v>
      </c>
      <c r="N1804" s="30" t="s">
        <v>99</v>
      </c>
      <c r="O1804" s="30" t="s">
        <v>77</v>
      </c>
      <c r="P1804" s="89" t="s">
        <v>78</v>
      </c>
      <c r="Q1804" s="89" t="s">
        <v>4904</v>
      </c>
      <c r="R1804" s="89" t="s">
        <v>643</v>
      </c>
      <c r="S1804" s="30">
        <v>0</v>
      </c>
      <c r="T1804" s="233">
        <v>0</v>
      </c>
      <c r="U1804" s="30">
        <v>0</v>
      </c>
      <c r="V1804" s="233">
        <v>0</v>
      </c>
      <c r="W1804" s="30">
        <v>0</v>
      </c>
      <c r="X1804" s="30">
        <v>0</v>
      </c>
      <c r="Y1804" s="30">
        <v>0</v>
      </c>
      <c r="Z1804" s="233">
        <v>0</v>
      </c>
      <c r="AA1804" s="30">
        <v>0</v>
      </c>
      <c r="AB1804" s="30">
        <v>0</v>
      </c>
      <c r="AC1804" s="30">
        <v>0</v>
      </c>
      <c r="AD1804" s="30">
        <v>0</v>
      </c>
      <c r="AE1804" s="89" t="s">
        <v>92</v>
      </c>
      <c r="AF1804" s="89"/>
      <c r="AG1804" s="89" t="s">
        <v>352</v>
      </c>
      <c r="AH1804" s="72">
        <v>41905</v>
      </c>
      <c r="AI1804" s="30">
        <v>0</v>
      </c>
      <c r="AJ1804" s="89" t="s">
        <v>10079</v>
      </c>
      <c r="AK1804" s="89" t="s">
        <v>68</v>
      </c>
      <c r="AL1804" s="91">
        <v>41912</v>
      </c>
      <c r="AM1804" s="91"/>
      <c r="AN1804" s="91"/>
      <c r="AO1804" s="91"/>
      <c r="AP1804" s="73" t="e">
        <f>MID(VLOOKUP(K1804,#REF!,2,FALSE),1,2)</f>
        <v>#REF!</v>
      </c>
      <c r="AQ1804" s="89">
        <f>DATE(2014,7,10)</f>
        <v>41830</v>
      </c>
      <c r="AR1804" s="82">
        <f t="shared" si="118"/>
        <v>10</v>
      </c>
      <c r="AS1804" s="83">
        <f t="shared" si="119"/>
        <v>7</v>
      </c>
      <c r="AT1804" s="84">
        <f t="shared" si="120"/>
        <v>2014</v>
      </c>
      <c r="AU1804" s="86"/>
      <c r="AV1804" s="86"/>
      <c r="AW1804" s="87"/>
      <c r="AX1804" s="86"/>
      <c r="AY1804" s="83"/>
      <c r="AZ1804" s="84"/>
      <c r="BA1804" s="86"/>
      <c r="BB1804" s="86"/>
    </row>
    <row r="1805" spans="1:54" ht="36.75" customHeight="1">
      <c r="A1805" s="30"/>
      <c r="B1805" s="30" t="s">
        <v>55</v>
      </c>
      <c r="C1805" s="69" t="str">
        <f t="shared" si="121"/>
        <v>Closed</v>
      </c>
      <c r="D1805" s="27" t="s">
        <v>10080</v>
      </c>
      <c r="E1805" s="29" t="s">
        <v>10081</v>
      </c>
      <c r="F1805" s="30" t="s">
        <v>16429</v>
      </c>
      <c r="G1805" s="89">
        <f>DATE(2014,7,11)</f>
        <v>41831</v>
      </c>
      <c r="H1805" s="90">
        <v>1.7395833333333335</v>
      </c>
      <c r="I1805" s="30" t="s">
        <v>116</v>
      </c>
      <c r="J1805" s="210" t="s">
        <v>10082</v>
      </c>
      <c r="K1805" s="30" t="s">
        <v>425</v>
      </c>
      <c r="L1805" s="30" t="s">
        <v>10083</v>
      </c>
      <c r="M1805" s="30" t="s">
        <v>63</v>
      </c>
      <c r="N1805" s="30" t="s">
        <v>99</v>
      </c>
      <c r="O1805" s="30" t="s">
        <v>64</v>
      </c>
      <c r="P1805" s="89" t="s">
        <v>165</v>
      </c>
      <c r="Q1805" s="89" t="s">
        <v>4551</v>
      </c>
      <c r="R1805" s="89" t="s">
        <v>3103</v>
      </c>
      <c r="S1805" s="30">
        <v>0</v>
      </c>
      <c r="T1805" s="233">
        <v>0</v>
      </c>
      <c r="U1805" s="30">
        <v>0</v>
      </c>
      <c r="V1805" s="233">
        <v>0</v>
      </c>
      <c r="W1805" s="30">
        <v>0</v>
      </c>
      <c r="X1805" s="30">
        <v>0</v>
      </c>
      <c r="Y1805" s="30">
        <v>0</v>
      </c>
      <c r="Z1805" s="233">
        <v>0</v>
      </c>
      <c r="AA1805" s="30">
        <v>0</v>
      </c>
      <c r="AB1805" s="30">
        <v>0</v>
      </c>
      <c r="AC1805" s="30">
        <v>0</v>
      </c>
      <c r="AD1805" s="30">
        <v>0</v>
      </c>
      <c r="AE1805" s="89" t="s">
        <v>92</v>
      </c>
      <c r="AF1805" s="89"/>
      <c r="AG1805" s="89" t="s">
        <v>133</v>
      </c>
      <c r="AH1805" s="72">
        <v>41767</v>
      </c>
      <c r="AI1805" s="30">
        <v>3</v>
      </c>
      <c r="AJ1805" s="89" t="s">
        <v>10084</v>
      </c>
      <c r="AK1805" s="89" t="s">
        <v>10085</v>
      </c>
      <c r="AL1805" s="91">
        <v>41857</v>
      </c>
      <c r="AM1805" s="91"/>
      <c r="AN1805" s="91"/>
      <c r="AO1805" s="91"/>
      <c r="AP1805" s="73" t="e">
        <f>MID(VLOOKUP(K1805,#REF!,2,FALSE),1,2)</f>
        <v>#REF!</v>
      </c>
      <c r="AQ1805" s="89">
        <f>DATE(2014,7,11)</f>
        <v>41831</v>
      </c>
      <c r="AR1805" s="82">
        <f t="shared" si="118"/>
        <v>11</v>
      </c>
      <c r="AS1805" s="83">
        <f t="shared" si="119"/>
        <v>7</v>
      </c>
      <c r="AT1805" s="84">
        <f t="shared" si="120"/>
        <v>2014</v>
      </c>
      <c r="AU1805" s="86"/>
      <c r="AV1805" s="86"/>
      <c r="AW1805" s="87"/>
      <c r="AX1805" s="86"/>
      <c r="AY1805" s="83"/>
      <c r="AZ1805" s="84"/>
      <c r="BA1805" s="86"/>
      <c r="BB1805" s="86"/>
    </row>
    <row r="1806" spans="1:54" ht="36.75" customHeight="1">
      <c r="A1806" s="30"/>
      <c r="B1806" s="30" t="s">
        <v>55</v>
      </c>
      <c r="C1806" s="69" t="str">
        <f t="shared" si="121"/>
        <v>Closed</v>
      </c>
      <c r="D1806" s="27" t="s">
        <v>10086</v>
      </c>
      <c r="E1806" s="29" t="s">
        <v>10087</v>
      </c>
      <c r="F1806" s="30" t="s">
        <v>17820</v>
      </c>
      <c r="G1806" s="89">
        <f>DATE(2014,7,11)</f>
        <v>41831</v>
      </c>
      <c r="H1806" s="90">
        <v>1.8562500000000002</v>
      </c>
      <c r="I1806" s="30" t="s">
        <v>278</v>
      </c>
      <c r="J1806" s="210" t="s">
        <v>10088</v>
      </c>
      <c r="K1806" s="30" t="s">
        <v>640</v>
      </c>
      <c r="L1806" s="30" t="s">
        <v>10089</v>
      </c>
      <c r="M1806" s="30" t="s">
        <v>63</v>
      </c>
      <c r="N1806" s="30" t="s">
        <v>99</v>
      </c>
      <c r="O1806" s="30" t="s">
        <v>77</v>
      </c>
      <c r="P1806" s="89" t="s">
        <v>6902</v>
      </c>
      <c r="Q1806" s="89" t="s">
        <v>642</v>
      </c>
      <c r="R1806" s="89" t="s">
        <v>643</v>
      </c>
      <c r="S1806" s="30">
        <v>0</v>
      </c>
      <c r="T1806" s="233">
        <v>0</v>
      </c>
      <c r="U1806" s="30">
        <v>0</v>
      </c>
      <c r="V1806" s="233">
        <v>0</v>
      </c>
      <c r="W1806" s="30">
        <v>1</v>
      </c>
      <c r="X1806" s="30">
        <v>1</v>
      </c>
      <c r="Y1806" s="30">
        <v>0</v>
      </c>
      <c r="Z1806" s="233">
        <v>0</v>
      </c>
      <c r="AA1806" s="30">
        <v>0</v>
      </c>
      <c r="AB1806" s="30">
        <v>0</v>
      </c>
      <c r="AC1806" s="30">
        <v>0</v>
      </c>
      <c r="AD1806" s="30">
        <v>0</v>
      </c>
      <c r="AE1806" s="89" t="s">
        <v>92</v>
      </c>
      <c r="AF1806" s="89"/>
      <c r="AG1806" s="89" t="s">
        <v>352</v>
      </c>
      <c r="AH1806" s="72">
        <v>41834</v>
      </c>
      <c r="AI1806" s="30">
        <v>3</v>
      </c>
      <c r="AJ1806" s="89" t="s">
        <v>10090</v>
      </c>
      <c r="AK1806" s="89" t="s">
        <v>68</v>
      </c>
      <c r="AL1806" s="91">
        <v>41842</v>
      </c>
      <c r="AM1806" s="91"/>
      <c r="AN1806" s="91"/>
      <c r="AO1806" s="91"/>
      <c r="AP1806" s="73" t="e">
        <f>MID(VLOOKUP(K1806,#REF!,2,FALSE),1,2)</f>
        <v>#REF!</v>
      </c>
      <c r="AQ1806" s="89">
        <f>DATE(2014,7,11)</f>
        <v>41831</v>
      </c>
      <c r="AR1806" s="82">
        <f t="shared" si="118"/>
        <v>11</v>
      </c>
      <c r="AS1806" s="83">
        <f t="shared" si="119"/>
        <v>7</v>
      </c>
      <c r="AT1806" s="84">
        <f t="shared" si="120"/>
        <v>2014</v>
      </c>
      <c r="AU1806" s="86"/>
      <c r="AV1806" s="86"/>
      <c r="AW1806" s="87"/>
      <c r="AX1806" s="86"/>
      <c r="AY1806" s="83"/>
      <c r="AZ1806" s="84"/>
      <c r="BA1806" s="86"/>
      <c r="BB1806" s="86"/>
    </row>
    <row r="1807" spans="1:54" ht="36.75" customHeight="1">
      <c r="A1807" s="30"/>
      <c r="B1807" s="30" t="s">
        <v>55</v>
      </c>
      <c r="C1807" s="69" t="str">
        <f t="shared" si="121"/>
        <v>Closed</v>
      </c>
      <c r="D1807" s="27" t="s">
        <v>10091</v>
      </c>
      <c r="E1807" s="29" t="s">
        <v>10092</v>
      </c>
      <c r="F1807" s="30" t="s">
        <v>9789</v>
      </c>
      <c r="G1807" s="89">
        <f>DATE(2014,7,11)</f>
        <v>41831</v>
      </c>
      <c r="H1807" s="90">
        <v>1.7534722222222223</v>
      </c>
      <c r="I1807" s="30" t="s">
        <v>73</v>
      </c>
      <c r="J1807" s="210" t="s">
        <v>10093</v>
      </c>
      <c r="K1807" s="30" t="s">
        <v>9791</v>
      </c>
      <c r="L1807" s="30" t="s">
        <v>10094</v>
      </c>
      <c r="M1807" s="30" t="s">
        <v>63</v>
      </c>
      <c r="N1807" s="30" t="s">
        <v>99</v>
      </c>
      <c r="O1807" s="30" t="s">
        <v>64</v>
      </c>
      <c r="P1807" s="89" t="s">
        <v>301</v>
      </c>
      <c r="Q1807" s="89" t="s">
        <v>9838</v>
      </c>
      <c r="R1807" s="89" t="s">
        <v>9794</v>
      </c>
      <c r="S1807" s="30">
        <v>0</v>
      </c>
      <c r="T1807" s="233">
        <v>0</v>
      </c>
      <c r="U1807" s="30">
        <v>0</v>
      </c>
      <c r="V1807" s="233">
        <v>0</v>
      </c>
      <c r="W1807" s="30">
        <v>0</v>
      </c>
      <c r="X1807" s="30">
        <v>0</v>
      </c>
      <c r="Y1807" s="30">
        <v>0</v>
      </c>
      <c r="Z1807" s="233">
        <v>0</v>
      </c>
      <c r="AA1807" s="30">
        <v>0</v>
      </c>
      <c r="AB1807" s="30">
        <v>0</v>
      </c>
      <c r="AC1807" s="30">
        <v>0</v>
      </c>
      <c r="AD1807" s="30">
        <v>0</v>
      </c>
      <c r="AE1807" s="89" t="s">
        <v>92</v>
      </c>
      <c r="AF1807" s="89"/>
      <c r="AG1807" s="89" t="s">
        <v>133</v>
      </c>
      <c r="AH1807" s="72">
        <v>41832</v>
      </c>
      <c r="AI1807" s="30">
        <v>1</v>
      </c>
      <c r="AJ1807" s="89" t="s">
        <v>10095</v>
      </c>
      <c r="AK1807" s="89" t="s">
        <v>1233</v>
      </c>
      <c r="AL1807" s="91">
        <v>41836</v>
      </c>
      <c r="AM1807" s="91"/>
      <c r="AN1807" s="91"/>
      <c r="AO1807" s="91"/>
      <c r="AP1807" s="73" t="e">
        <f>MID(VLOOKUP(K1807,#REF!,2,FALSE),1,2)</f>
        <v>#REF!</v>
      </c>
      <c r="AQ1807" s="89">
        <f>DATE(2014,7,11)</f>
        <v>41831</v>
      </c>
      <c r="AR1807" s="82">
        <f t="shared" si="118"/>
        <v>11</v>
      </c>
      <c r="AS1807" s="83">
        <f t="shared" si="119"/>
        <v>7</v>
      </c>
      <c r="AT1807" s="84">
        <f t="shared" si="120"/>
        <v>2014</v>
      </c>
      <c r="AU1807" s="86"/>
      <c r="AV1807" s="86"/>
      <c r="AW1807" s="87"/>
      <c r="AX1807" s="86"/>
      <c r="AY1807" s="83"/>
      <c r="AZ1807" s="84"/>
      <c r="BA1807" s="86"/>
      <c r="BB1807" s="86"/>
    </row>
    <row r="1808" spans="1:54" ht="36.75" customHeight="1">
      <c r="A1808" s="30"/>
      <c r="B1808" s="30" t="s">
        <v>55</v>
      </c>
      <c r="C1808" s="69" t="str">
        <f t="shared" si="121"/>
        <v>Closed</v>
      </c>
      <c r="D1808" s="27" t="s">
        <v>10096</v>
      </c>
      <c r="E1808" s="29" t="s">
        <v>10097</v>
      </c>
      <c r="F1808" s="30" t="s">
        <v>17773</v>
      </c>
      <c r="G1808" s="89">
        <f>DATE(2014,7,12)</f>
        <v>41832</v>
      </c>
      <c r="H1808" s="90">
        <v>1.6368055555555556</v>
      </c>
      <c r="I1808" s="30" t="s">
        <v>73</v>
      </c>
      <c r="J1808" s="210" t="s">
        <v>10098</v>
      </c>
      <c r="K1808" s="30" t="s">
        <v>2603</v>
      </c>
      <c r="L1808" s="30" t="s">
        <v>10099</v>
      </c>
      <c r="M1808" s="30" t="s">
        <v>63</v>
      </c>
      <c r="N1808" s="30" t="s">
        <v>89</v>
      </c>
      <c r="O1808" s="30" t="s">
        <v>77</v>
      </c>
      <c r="P1808" s="89" t="s">
        <v>462</v>
      </c>
      <c r="Q1808" s="89" t="s">
        <v>6342</v>
      </c>
      <c r="R1808" s="89" t="s">
        <v>2606</v>
      </c>
      <c r="S1808" s="30">
        <v>0</v>
      </c>
      <c r="T1808" s="233">
        <v>1</v>
      </c>
      <c r="U1808" s="30">
        <v>0</v>
      </c>
      <c r="V1808" s="233">
        <v>0</v>
      </c>
      <c r="W1808" s="30">
        <v>0</v>
      </c>
      <c r="X1808" s="30">
        <v>1</v>
      </c>
      <c r="Y1808" s="30">
        <v>0</v>
      </c>
      <c r="Z1808" s="233">
        <v>0</v>
      </c>
      <c r="AA1808" s="30">
        <v>0</v>
      </c>
      <c r="AB1808" s="30">
        <v>0</v>
      </c>
      <c r="AC1808" s="30">
        <v>0</v>
      </c>
      <c r="AD1808" s="30">
        <v>0</v>
      </c>
      <c r="AE1808" s="89" t="s">
        <v>394</v>
      </c>
      <c r="AF1808" s="89"/>
      <c r="AG1808" s="89" t="s">
        <v>82</v>
      </c>
      <c r="AH1808" s="72">
        <v>41837</v>
      </c>
      <c r="AI1808" s="30">
        <v>4</v>
      </c>
      <c r="AJ1808" s="89" t="s">
        <v>10100</v>
      </c>
      <c r="AK1808" s="89" t="s">
        <v>10101</v>
      </c>
      <c r="AL1808" s="91">
        <v>41858</v>
      </c>
      <c r="AM1808" s="91"/>
      <c r="AN1808" s="91"/>
      <c r="AO1808" s="91"/>
      <c r="AP1808" s="73" t="e">
        <f>MID(VLOOKUP(K1808,#REF!,2,FALSE),1,2)</f>
        <v>#REF!</v>
      </c>
      <c r="AQ1808" s="89">
        <f>DATE(2014,7,12)</f>
        <v>41832</v>
      </c>
      <c r="AR1808" s="82">
        <f t="shared" si="118"/>
        <v>12</v>
      </c>
      <c r="AS1808" s="83">
        <f t="shared" si="119"/>
        <v>7</v>
      </c>
      <c r="AT1808" s="84">
        <f t="shared" si="120"/>
        <v>2014</v>
      </c>
      <c r="AU1808" s="86"/>
      <c r="AV1808" s="86"/>
      <c r="AW1808" s="87"/>
      <c r="AX1808" s="86"/>
      <c r="AY1808" s="83"/>
      <c r="AZ1808" s="84"/>
      <c r="BA1808" s="86"/>
      <c r="BB1808" s="86"/>
    </row>
    <row r="1809" spans="1:54" ht="36.75" customHeight="1">
      <c r="A1809" s="30"/>
      <c r="B1809" s="30" t="s">
        <v>55</v>
      </c>
      <c r="C1809" s="69" t="str">
        <f t="shared" si="121"/>
        <v>Closed</v>
      </c>
      <c r="D1809" s="27" t="s">
        <v>10102</v>
      </c>
      <c r="E1809" s="29" t="s">
        <v>10103</v>
      </c>
      <c r="F1809" s="30" t="s">
        <v>17578</v>
      </c>
      <c r="G1809" s="89">
        <f>DATE(2014,7,15)</f>
        <v>41835</v>
      </c>
      <c r="H1809" s="90">
        <v>1.65</v>
      </c>
      <c r="I1809" s="30" t="s">
        <v>73</v>
      </c>
      <c r="J1809" s="210" t="s">
        <v>10104</v>
      </c>
      <c r="K1809" s="30" t="s">
        <v>837</v>
      </c>
      <c r="L1809" s="30" t="s">
        <v>9994</v>
      </c>
      <c r="M1809" s="30" t="s">
        <v>9919</v>
      </c>
      <c r="N1809" s="30" t="s">
        <v>99</v>
      </c>
      <c r="O1809" s="30" t="s">
        <v>64</v>
      </c>
      <c r="P1809" s="89" t="s">
        <v>165</v>
      </c>
      <c r="Q1809" s="89">
        <v>0</v>
      </c>
      <c r="R1809" s="89">
        <v>0</v>
      </c>
      <c r="S1809" s="30">
        <v>0</v>
      </c>
      <c r="T1809" s="233">
        <v>0</v>
      </c>
      <c r="U1809" s="30">
        <v>0</v>
      </c>
      <c r="V1809" s="233">
        <v>0</v>
      </c>
      <c r="W1809" s="30">
        <v>0</v>
      </c>
      <c r="X1809" s="30">
        <v>0</v>
      </c>
      <c r="Y1809" s="30">
        <v>0</v>
      </c>
      <c r="Z1809" s="233">
        <v>0</v>
      </c>
      <c r="AA1809" s="30">
        <v>0</v>
      </c>
      <c r="AB1809" s="30">
        <v>0</v>
      </c>
      <c r="AC1809" s="30">
        <v>0</v>
      </c>
      <c r="AD1809" s="30">
        <v>0</v>
      </c>
      <c r="AE1809" s="89" t="s">
        <v>92</v>
      </c>
      <c r="AF1809" s="89"/>
      <c r="AG1809" s="89" t="s">
        <v>589</v>
      </c>
      <c r="AH1809" s="72">
        <v>41835</v>
      </c>
      <c r="AI1809" s="30">
        <v>0</v>
      </c>
      <c r="AJ1809" s="89" t="s">
        <v>10105</v>
      </c>
      <c r="AK1809" s="89" t="s">
        <v>68</v>
      </c>
      <c r="AL1809" s="91">
        <v>41970</v>
      </c>
      <c r="AM1809" s="91"/>
      <c r="AN1809" s="91"/>
      <c r="AO1809" s="91"/>
      <c r="AP1809" s="73" t="e">
        <f>MID(VLOOKUP(K1809,#REF!,2,FALSE),1,2)</f>
        <v>#REF!</v>
      </c>
      <c r="AQ1809" s="89">
        <f>DATE(2014,7,15)</f>
        <v>41835</v>
      </c>
      <c r="AR1809" s="82">
        <f t="shared" si="118"/>
        <v>15</v>
      </c>
      <c r="AS1809" s="83">
        <f t="shared" si="119"/>
        <v>7</v>
      </c>
      <c r="AT1809" s="84">
        <f t="shared" si="120"/>
        <v>2014</v>
      </c>
      <c r="AU1809" s="86"/>
      <c r="AV1809" s="86"/>
      <c r="AW1809" s="87"/>
      <c r="AX1809" s="86"/>
      <c r="AY1809" s="83"/>
      <c r="AZ1809" s="84"/>
      <c r="BA1809" s="86"/>
      <c r="BB1809" s="86"/>
    </row>
    <row r="1810" spans="1:54" ht="36.75" customHeight="1">
      <c r="A1810" s="30"/>
      <c r="B1810" s="30" t="s">
        <v>55</v>
      </c>
      <c r="C1810" s="69" t="str">
        <f t="shared" si="121"/>
        <v>Closed</v>
      </c>
      <c r="D1810" s="27" t="s">
        <v>10106</v>
      </c>
      <c r="E1810" s="29" t="s">
        <v>10107</v>
      </c>
      <c r="F1810" s="30" t="s">
        <v>17578</v>
      </c>
      <c r="G1810" s="89">
        <f>DATE(2014,7,15)</f>
        <v>41835</v>
      </c>
      <c r="H1810" s="90">
        <v>1.7076388888888889</v>
      </c>
      <c r="I1810" s="30" t="s">
        <v>125</v>
      </c>
      <c r="J1810" s="210" t="s">
        <v>10108</v>
      </c>
      <c r="K1810" s="30" t="s">
        <v>837</v>
      </c>
      <c r="L1810" s="30" t="s">
        <v>10109</v>
      </c>
      <c r="M1810" s="30" t="s">
        <v>129</v>
      </c>
      <c r="N1810" s="30" t="s">
        <v>99</v>
      </c>
      <c r="O1810" s="30" t="s">
        <v>77</v>
      </c>
      <c r="P1810" s="89" t="s">
        <v>129</v>
      </c>
      <c r="Q1810" s="89" t="s">
        <v>4210</v>
      </c>
      <c r="R1810" s="89" t="s">
        <v>4210</v>
      </c>
      <c r="S1810" s="30">
        <v>0</v>
      </c>
      <c r="T1810" s="233">
        <v>0</v>
      </c>
      <c r="U1810" s="30">
        <v>0</v>
      </c>
      <c r="V1810" s="233">
        <v>0</v>
      </c>
      <c r="W1810" s="30">
        <v>0</v>
      </c>
      <c r="X1810" s="30">
        <v>0</v>
      </c>
      <c r="Y1810" s="30">
        <v>0</v>
      </c>
      <c r="Z1810" s="233">
        <v>0</v>
      </c>
      <c r="AA1810" s="30">
        <v>0</v>
      </c>
      <c r="AB1810" s="30">
        <v>0</v>
      </c>
      <c r="AC1810" s="30">
        <v>0</v>
      </c>
      <c r="AD1810" s="30">
        <v>0</v>
      </c>
      <c r="AE1810" s="89" t="s">
        <v>92</v>
      </c>
      <c r="AF1810" s="89"/>
      <c r="AG1810" s="89" t="s">
        <v>352</v>
      </c>
      <c r="AH1810" s="72">
        <v>41835</v>
      </c>
      <c r="AI1810" s="30">
        <v>0</v>
      </c>
      <c r="AJ1810" s="89" t="s">
        <v>10110</v>
      </c>
      <c r="AK1810" s="89" t="s">
        <v>68</v>
      </c>
      <c r="AL1810" s="91">
        <v>41974</v>
      </c>
      <c r="AM1810" s="91"/>
      <c r="AN1810" s="91"/>
      <c r="AO1810" s="91"/>
      <c r="AP1810" s="73" t="e">
        <f>MID(VLOOKUP(K1810,#REF!,2,FALSE),1,2)</f>
        <v>#REF!</v>
      </c>
      <c r="AQ1810" s="89">
        <f>DATE(2014,7,15)</f>
        <v>41835</v>
      </c>
      <c r="AR1810" s="82">
        <f t="shared" si="118"/>
        <v>15</v>
      </c>
      <c r="AS1810" s="83">
        <f t="shared" si="119"/>
        <v>7</v>
      </c>
      <c r="AT1810" s="84">
        <f t="shared" si="120"/>
        <v>2014</v>
      </c>
      <c r="AU1810" s="86"/>
      <c r="AV1810" s="86"/>
      <c r="AW1810" s="87"/>
      <c r="AX1810" s="86"/>
      <c r="AY1810" s="83"/>
      <c r="AZ1810" s="84"/>
      <c r="BA1810" s="86"/>
      <c r="BB1810" s="86"/>
    </row>
    <row r="1811" spans="1:54" ht="36.75" customHeight="1">
      <c r="A1811" s="30"/>
      <c r="B1811" s="30" t="s">
        <v>55</v>
      </c>
      <c r="C1811" s="69" t="str">
        <f t="shared" si="121"/>
        <v>Closed</v>
      </c>
      <c r="D1811" s="27" t="s">
        <v>10111</v>
      </c>
      <c r="E1811" s="29" t="s">
        <v>10112</v>
      </c>
      <c r="F1811" s="30" t="s">
        <v>18131</v>
      </c>
      <c r="G1811" s="89">
        <f>DATE(2014,7,15)</f>
        <v>41835</v>
      </c>
      <c r="H1811" s="90">
        <v>1.9138888888888888</v>
      </c>
      <c r="I1811" s="30" t="s">
        <v>198</v>
      </c>
      <c r="J1811" s="210" t="s">
        <v>10113</v>
      </c>
      <c r="K1811" s="30" t="s">
        <v>379</v>
      </c>
      <c r="L1811" s="30" t="s">
        <v>8743</v>
      </c>
      <c r="M1811" s="30" t="s">
        <v>63</v>
      </c>
      <c r="N1811" s="30" t="s">
        <v>89</v>
      </c>
      <c r="O1811" s="30" t="s">
        <v>77</v>
      </c>
      <c r="P1811" s="89" t="s">
        <v>165</v>
      </c>
      <c r="Q1811" s="89" t="s">
        <v>2906</v>
      </c>
      <c r="R1811" s="89" t="s">
        <v>382</v>
      </c>
      <c r="S1811" s="30">
        <v>0</v>
      </c>
      <c r="T1811" s="233">
        <v>0</v>
      </c>
      <c r="U1811" s="30">
        <v>0</v>
      </c>
      <c r="V1811" s="233">
        <v>0</v>
      </c>
      <c r="W1811" s="30">
        <v>0</v>
      </c>
      <c r="X1811" s="30">
        <v>0</v>
      </c>
      <c r="Y1811" s="30">
        <v>0</v>
      </c>
      <c r="Z1811" s="233">
        <v>0</v>
      </c>
      <c r="AA1811" s="30">
        <v>0</v>
      </c>
      <c r="AB1811" s="30">
        <v>0</v>
      </c>
      <c r="AC1811" s="30">
        <v>0</v>
      </c>
      <c r="AD1811" s="30">
        <v>0</v>
      </c>
      <c r="AE1811" s="89" t="s">
        <v>394</v>
      </c>
      <c r="AF1811" s="89"/>
      <c r="AG1811" s="89" t="s">
        <v>133</v>
      </c>
      <c r="AH1811" s="72">
        <v>41836</v>
      </c>
      <c r="AI1811" s="30">
        <v>2</v>
      </c>
      <c r="AJ1811" s="89" t="s">
        <v>10114</v>
      </c>
      <c r="AK1811" s="89" t="s">
        <v>68</v>
      </c>
      <c r="AL1811" s="91">
        <v>41844</v>
      </c>
      <c r="AM1811" s="91"/>
      <c r="AN1811" s="91"/>
      <c r="AO1811" s="91"/>
      <c r="AP1811" s="73" t="e">
        <f>MID(VLOOKUP(K1811,#REF!,2,FALSE),1,2)</f>
        <v>#REF!</v>
      </c>
      <c r="AQ1811" s="89">
        <f>DATE(2014,7,15)</f>
        <v>41835</v>
      </c>
      <c r="AR1811" s="82">
        <f t="shared" si="118"/>
        <v>15</v>
      </c>
      <c r="AS1811" s="83">
        <f t="shared" si="119"/>
        <v>7</v>
      </c>
      <c r="AT1811" s="84">
        <f t="shared" si="120"/>
        <v>2014</v>
      </c>
      <c r="AU1811" s="86"/>
      <c r="AV1811" s="86"/>
      <c r="AW1811" s="87"/>
      <c r="AX1811" s="86"/>
      <c r="AY1811" s="83"/>
      <c r="AZ1811" s="84"/>
      <c r="BA1811" s="86"/>
      <c r="BB1811" s="86"/>
    </row>
    <row r="1812" spans="1:54" ht="36.75" customHeight="1">
      <c r="A1812" s="30"/>
      <c r="B1812" s="30" t="s">
        <v>55</v>
      </c>
      <c r="C1812" s="69" t="str">
        <f t="shared" si="121"/>
        <v>Closed</v>
      </c>
      <c r="D1812" s="27" t="s">
        <v>10115</v>
      </c>
      <c r="E1812" s="29" t="s">
        <v>10116</v>
      </c>
      <c r="F1812" s="30" t="s">
        <v>17344</v>
      </c>
      <c r="G1812" s="89">
        <f>DATE(2014,7,16)</f>
        <v>41836</v>
      </c>
      <c r="H1812" s="90">
        <v>1.4736111111111112</v>
      </c>
      <c r="I1812" s="30" t="s">
        <v>156</v>
      </c>
      <c r="J1812" s="210" t="s">
        <v>10117</v>
      </c>
      <c r="K1812" s="30" t="s">
        <v>127</v>
      </c>
      <c r="L1812" s="30" t="s">
        <v>10118</v>
      </c>
      <c r="M1812" s="30" t="s">
        <v>129</v>
      </c>
      <c r="N1812" s="30" t="s">
        <v>142</v>
      </c>
      <c r="O1812" s="30" t="s">
        <v>64</v>
      </c>
      <c r="P1812" s="89" t="s">
        <v>129</v>
      </c>
      <c r="Q1812" s="89" t="s">
        <v>10119</v>
      </c>
      <c r="R1812" s="89" t="s">
        <v>131</v>
      </c>
      <c r="S1812" s="30">
        <v>0</v>
      </c>
      <c r="T1812" s="233">
        <v>0</v>
      </c>
      <c r="U1812" s="30">
        <v>0</v>
      </c>
      <c r="V1812" s="233">
        <v>0</v>
      </c>
      <c r="W1812" s="30">
        <v>0</v>
      </c>
      <c r="X1812" s="30">
        <v>0</v>
      </c>
      <c r="Y1812" s="30">
        <v>0</v>
      </c>
      <c r="Z1812" s="233">
        <v>0</v>
      </c>
      <c r="AA1812" s="30">
        <v>0</v>
      </c>
      <c r="AB1812" s="30">
        <v>0</v>
      </c>
      <c r="AC1812" s="30">
        <v>0</v>
      </c>
      <c r="AD1812" s="30">
        <v>0</v>
      </c>
      <c r="AE1812" s="89" t="s">
        <v>92</v>
      </c>
      <c r="AF1812" s="89"/>
      <c r="AG1812" s="89" t="s">
        <v>133</v>
      </c>
      <c r="AH1812" s="72">
        <v>41838</v>
      </c>
      <c r="AI1812" s="30">
        <v>1</v>
      </c>
      <c r="AJ1812" s="89" t="s">
        <v>10120</v>
      </c>
      <c r="AK1812" s="89" t="s">
        <v>10121</v>
      </c>
      <c r="AL1812" s="91">
        <v>41871</v>
      </c>
      <c r="AM1812" s="91"/>
      <c r="AN1812" s="91"/>
      <c r="AO1812" s="91"/>
      <c r="AP1812" s="73" t="e">
        <f>MID(VLOOKUP(K1812,#REF!,2,FALSE),1,2)</f>
        <v>#REF!</v>
      </c>
      <c r="AQ1812" s="89">
        <f>DATE(2014,7,16)</f>
        <v>41836</v>
      </c>
      <c r="AR1812" s="82">
        <f t="shared" si="118"/>
        <v>16</v>
      </c>
      <c r="AS1812" s="83">
        <f t="shared" si="119"/>
        <v>7</v>
      </c>
      <c r="AT1812" s="84">
        <f t="shared" si="120"/>
        <v>2014</v>
      </c>
      <c r="AU1812" s="86"/>
      <c r="AV1812" s="86"/>
      <c r="AW1812" s="87"/>
      <c r="AX1812" s="86"/>
      <c r="AY1812" s="83"/>
      <c r="AZ1812" s="84"/>
      <c r="BA1812" s="86"/>
      <c r="BB1812" s="86"/>
    </row>
    <row r="1813" spans="1:54" ht="36.75" customHeight="1">
      <c r="A1813" s="30"/>
      <c r="B1813" s="30" t="s">
        <v>55</v>
      </c>
      <c r="C1813" s="69" t="str">
        <f t="shared" si="121"/>
        <v>Closed</v>
      </c>
      <c r="D1813" s="27" t="s">
        <v>10122</v>
      </c>
      <c r="E1813" s="29" t="s">
        <v>10123</v>
      </c>
      <c r="F1813" s="30" t="s">
        <v>16310</v>
      </c>
      <c r="G1813" s="89">
        <f>DATE(2014,7,17)</f>
        <v>41837</v>
      </c>
      <c r="H1813" s="90">
        <v>1.7291666666666665</v>
      </c>
      <c r="I1813" s="30" t="s">
        <v>198</v>
      </c>
      <c r="J1813" s="210" t="s">
        <v>10124</v>
      </c>
      <c r="K1813" s="30" t="s">
        <v>118</v>
      </c>
      <c r="L1813" s="30" t="s">
        <v>10125</v>
      </c>
      <c r="M1813" s="30" t="s">
        <v>63</v>
      </c>
      <c r="N1813" s="30" t="s">
        <v>142</v>
      </c>
      <c r="O1813" s="30" t="s">
        <v>64</v>
      </c>
      <c r="P1813" s="89" t="s">
        <v>10126</v>
      </c>
      <c r="Q1813" s="89" t="s">
        <v>118</v>
      </c>
      <c r="R1813" s="89" t="s">
        <v>121</v>
      </c>
      <c r="S1813" s="30">
        <v>0</v>
      </c>
      <c r="T1813" s="233">
        <v>0</v>
      </c>
      <c r="U1813" s="30">
        <v>0</v>
      </c>
      <c r="V1813" s="233">
        <v>0</v>
      </c>
      <c r="W1813" s="30">
        <v>0</v>
      </c>
      <c r="X1813" s="30">
        <v>0</v>
      </c>
      <c r="Y1813" s="30">
        <v>2</v>
      </c>
      <c r="Z1813" s="233">
        <v>0</v>
      </c>
      <c r="AA1813" s="30">
        <v>0</v>
      </c>
      <c r="AB1813" s="30">
        <v>0</v>
      </c>
      <c r="AC1813" s="30">
        <v>0</v>
      </c>
      <c r="AD1813" s="30">
        <v>2</v>
      </c>
      <c r="AE1813" s="89" t="s">
        <v>145</v>
      </c>
      <c r="AF1813" s="89"/>
      <c r="AG1813" s="89" t="s">
        <v>82</v>
      </c>
      <c r="AH1813" s="72">
        <v>41838</v>
      </c>
      <c r="AI1813" s="30">
        <v>2</v>
      </c>
      <c r="AJ1813" s="89" t="s">
        <v>10127</v>
      </c>
      <c r="AK1813" s="89" t="s">
        <v>10128</v>
      </c>
      <c r="AL1813" s="91">
        <v>41845</v>
      </c>
      <c r="AM1813" s="91"/>
      <c r="AN1813" s="91"/>
      <c r="AO1813" s="91"/>
      <c r="AP1813" s="73" t="e">
        <f>MID(VLOOKUP(K1813,#REF!,2,FALSE),1,2)</f>
        <v>#REF!</v>
      </c>
      <c r="AQ1813" s="89">
        <f>DATE(2014,7,17)</f>
        <v>41837</v>
      </c>
      <c r="AR1813" s="82">
        <f t="shared" si="118"/>
        <v>17</v>
      </c>
      <c r="AS1813" s="83">
        <f t="shared" si="119"/>
        <v>7</v>
      </c>
      <c r="AT1813" s="84">
        <f t="shared" si="120"/>
        <v>2014</v>
      </c>
      <c r="AU1813" s="86"/>
      <c r="AV1813" s="86"/>
      <c r="AW1813" s="87"/>
      <c r="AX1813" s="86"/>
      <c r="AY1813" s="83"/>
      <c r="AZ1813" s="84"/>
      <c r="BA1813" s="86"/>
      <c r="BB1813" s="86"/>
    </row>
    <row r="1814" spans="1:54" ht="36.75" customHeight="1">
      <c r="A1814" s="30"/>
      <c r="B1814" s="30" t="s">
        <v>55</v>
      </c>
      <c r="C1814" s="69" t="str">
        <f t="shared" si="121"/>
        <v>Closed</v>
      </c>
      <c r="D1814" s="27" t="s">
        <v>10129</v>
      </c>
      <c r="E1814" s="29" t="s">
        <v>10130</v>
      </c>
      <c r="F1814" s="30" t="s">
        <v>9789</v>
      </c>
      <c r="G1814" s="89">
        <f>DATE(2014,7,17)</f>
        <v>41837</v>
      </c>
      <c r="H1814" s="90">
        <v>1.3541666666666667</v>
      </c>
      <c r="I1814" s="30" t="s">
        <v>73</v>
      </c>
      <c r="J1814" s="210" t="s">
        <v>10131</v>
      </c>
      <c r="K1814" s="30" t="s">
        <v>9791</v>
      </c>
      <c r="L1814" s="30" t="s">
        <v>10132</v>
      </c>
      <c r="M1814" s="30" t="s">
        <v>63</v>
      </c>
      <c r="N1814" s="30" t="s">
        <v>99</v>
      </c>
      <c r="O1814" s="30" t="s">
        <v>6875</v>
      </c>
      <c r="P1814" s="89" t="s">
        <v>301</v>
      </c>
      <c r="Q1814" s="89" t="s">
        <v>9838</v>
      </c>
      <c r="R1814" s="89" t="s">
        <v>9794</v>
      </c>
      <c r="S1814" s="30">
        <v>0</v>
      </c>
      <c r="T1814" s="233">
        <v>0</v>
      </c>
      <c r="U1814" s="30">
        <v>0</v>
      </c>
      <c r="V1814" s="233">
        <v>0</v>
      </c>
      <c r="W1814" s="30">
        <v>0</v>
      </c>
      <c r="X1814" s="30">
        <v>0</v>
      </c>
      <c r="Y1814" s="30">
        <v>0</v>
      </c>
      <c r="Z1814" s="233">
        <v>0</v>
      </c>
      <c r="AA1814" s="30">
        <v>0</v>
      </c>
      <c r="AB1814" s="30">
        <v>0</v>
      </c>
      <c r="AC1814" s="30">
        <v>0</v>
      </c>
      <c r="AD1814" s="30">
        <v>0</v>
      </c>
      <c r="AE1814" s="89" t="s">
        <v>92</v>
      </c>
      <c r="AF1814" s="89"/>
      <c r="AG1814" s="89" t="s">
        <v>352</v>
      </c>
      <c r="AH1814" s="72">
        <v>41837</v>
      </c>
      <c r="AI1814" s="30">
        <v>0</v>
      </c>
      <c r="AJ1814" s="89" t="s">
        <v>10133</v>
      </c>
      <c r="AK1814" s="89" t="s">
        <v>1233</v>
      </c>
      <c r="AL1814" s="91">
        <v>41841</v>
      </c>
      <c r="AM1814" s="91"/>
      <c r="AN1814" s="91"/>
      <c r="AO1814" s="91"/>
      <c r="AP1814" s="73" t="e">
        <f>MID(VLOOKUP(K1814,#REF!,2,FALSE),1,2)</f>
        <v>#REF!</v>
      </c>
      <c r="AQ1814" s="89">
        <f>DATE(2014,7,17)</f>
        <v>41837</v>
      </c>
      <c r="AR1814" s="82">
        <f t="shared" si="118"/>
        <v>17</v>
      </c>
      <c r="AS1814" s="83">
        <f t="shared" si="119"/>
        <v>7</v>
      </c>
      <c r="AT1814" s="84">
        <f t="shared" si="120"/>
        <v>2014</v>
      </c>
      <c r="AU1814" s="86"/>
      <c r="AV1814" s="86"/>
      <c r="AW1814" s="87"/>
      <c r="AX1814" s="86"/>
      <c r="AY1814" s="83"/>
      <c r="AZ1814" s="84"/>
      <c r="BA1814" s="86"/>
      <c r="BB1814" s="86"/>
    </row>
    <row r="1815" spans="1:54" ht="36.75" customHeight="1">
      <c r="A1815" s="30"/>
      <c r="B1815" s="30" t="s">
        <v>55</v>
      </c>
      <c r="C1815" s="69" t="str">
        <f t="shared" si="121"/>
        <v>Closed</v>
      </c>
      <c r="D1815" s="27" t="s">
        <v>10134</v>
      </c>
      <c r="E1815" s="29" t="s">
        <v>10135</v>
      </c>
      <c r="F1815" s="30" t="s">
        <v>377</v>
      </c>
      <c r="G1815" s="89">
        <f>DATE(2014,7,17)</f>
        <v>41837</v>
      </c>
      <c r="H1815" s="90">
        <v>1.7465277777777777</v>
      </c>
      <c r="I1815" s="30" t="s">
        <v>278</v>
      </c>
      <c r="J1815" s="89" t="s">
        <v>10136</v>
      </c>
      <c r="K1815" s="30" t="s">
        <v>379</v>
      </c>
      <c r="L1815" s="30" t="s">
        <v>10137</v>
      </c>
      <c r="M1815" s="30" t="s">
        <v>63</v>
      </c>
      <c r="N1815" s="30" t="s">
        <v>99</v>
      </c>
      <c r="O1815" s="30" t="s">
        <v>64</v>
      </c>
      <c r="P1815" s="89" t="s">
        <v>165</v>
      </c>
      <c r="Q1815" s="89" t="s">
        <v>2906</v>
      </c>
      <c r="R1815" s="89" t="s">
        <v>382</v>
      </c>
      <c r="S1815" s="30">
        <v>0</v>
      </c>
      <c r="T1815" s="233">
        <v>3</v>
      </c>
      <c r="U1815" s="30">
        <v>0</v>
      </c>
      <c r="V1815" s="233">
        <v>0</v>
      </c>
      <c r="W1815" s="30">
        <v>0</v>
      </c>
      <c r="X1815" s="30">
        <v>3</v>
      </c>
      <c r="Y1815" s="30">
        <v>0</v>
      </c>
      <c r="Z1815" s="233">
        <v>0</v>
      </c>
      <c r="AA1815" s="30">
        <v>0</v>
      </c>
      <c r="AB1815" s="30">
        <v>0</v>
      </c>
      <c r="AC1815" s="30">
        <v>0</v>
      </c>
      <c r="AD1815" s="30">
        <v>0</v>
      </c>
      <c r="AE1815" s="89" t="s">
        <v>92</v>
      </c>
      <c r="AF1815" s="89"/>
      <c r="AG1815" s="89" t="s">
        <v>82</v>
      </c>
      <c r="AH1815" s="72">
        <v>41838</v>
      </c>
      <c r="AI1815" s="30">
        <v>0</v>
      </c>
      <c r="AJ1815" s="89" t="s">
        <v>10138</v>
      </c>
      <c r="AK1815" s="89" t="s">
        <v>10139</v>
      </c>
      <c r="AL1815" s="91">
        <v>41844</v>
      </c>
      <c r="AM1815" s="91"/>
      <c r="AN1815" s="91"/>
      <c r="AO1815" s="91"/>
      <c r="AP1815" s="73" t="e">
        <f>MID(VLOOKUP(K1815,#REF!,2,FALSE),1,2)</f>
        <v>#REF!</v>
      </c>
      <c r="AQ1815" s="89">
        <f>DATE(2014,7,17)</f>
        <v>41837</v>
      </c>
      <c r="AR1815" s="82">
        <f t="shared" si="118"/>
        <v>17</v>
      </c>
      <c r="AS1815" s="83">
        <f t="shared" si="119"/>
        <v>7</v>
      </c>
      <c r="AT1815" s="84">
        <f t="shared" si="120"/>
        <v>2014</v>
      </c>
      <c r="AU1815" s="86"/>
      <c r="AV1815" s="86"/>
      <c r="AW1815" s="87"/>
      <c r="AX1815" s="86"/>
      <c r="AY1815" s="83"/>
      <c r="AZ1815" s="84"/>
      <c r="BA1815" s="86"/>
      <c r="BB1815" s="86"/>
    </row>
    <row r="1816" spans="1:54" ht="36.75" customHeight="1">
      <c r="A1816" s="30"/>
      <c r="B1816" s="30" t="s">
        <v>55</v>
      </c>
      <c r="C1816" s="69" t="str">
        <f t="shared" si="121"/>
        <v>Closed</v>
      </c>
      <c r="D1816" s="27" t="s">
        <v>10140</v>
      </c>
      <c r="E1816" s="29" t="s">
        <v>10141</v>
      </c>
      <c r="F1816" s="30" t="s">
        <v>835</v>
      </c>
      <c r="G1816" s="89">
        <f>DATE(2014,7,19)</f>
        <v>41839</v>
      </c>
      <c r="H1816" s="90">
        <v>1.6493055555555556</v>
      </c>
      <c r="I1816" s="30" t="s">
        <v>73</v>
      </c>
      <c r="J1816" s="89" t="s">
        <v>10142</v>
      </c>
      <c r="K1816" s="30" t="s">
        <v>837</v>
      </c>
      <c r="L1816" s="30" t="s">
        <v>10143</v>
      </c>
      <c r="M1816" s="30" t="s">
        <v>9919</v>
      </c>
      <c r="N1816" s="30" t="s">
        <v>99</v>
      </c>
      <c r="O1816" s="30" t="s">
        <v>64</v>
      </c>
      <c r="P1816" s="89" t="s">
        <v>165</v>
      </c>
      <c r="Q1816" s="89">
        <v>0</v>
      </c>
      <c r="R1816" s="89">
        <v>0</v>
      </c>
      <c r="S1816" s="30">
        <v>0</v>
      </c>
      <c r="T1816" s="233">
        <v>0</v>
      </c>
      <c r="U1816" s="30">
        <v>0</v>
      </c>
      <c r="V1816" s="233">
        <v>0</v>
      </c>
      <c r="W1816" s="30">
        <v>0</v>
      </c>
      <c r="X1816" s="30">
        <v>0</v>
      </c>
      <c r="Y1816" s="30">
        <v>0</v>
      </c>
      <c r="Z1816" s="233">
        <v>0</v>
      </c>
      <c r="AA1816" s="30">
        <v>0</v>
      </c>
      <c r="AB1816" s="30">
        <v>0</v>
      </c>
      <c r="AC1816" s="30">
        <v>0</v>
      </c>
      <c r="AD1816" s="30">
        <v>0</v>
      </c>
      <c r="AE1816" s="89" t="s">
        <v>92</v>
      </c>
      <c r="AF1816" s="89"/>
      <c r="AG1816" s="89" t="s">
        <v>82</v>
      </c>
      <c r="AH1816" s="72">
        <v>41839</v>
      </c>
      <c r="AI1816" s="30">
        <v>0</v>
      </c>
      <c r="AJ1816" s="89" t="s">
        <v>10105</v>
      </c>
      <c r="AK1816" s="89" t="s">
        <v>68</v>
      </c>
      <c r="AL1816" s="91">
        <v>41970</v>
      </c>
      <c r="AM1816" s="91"/>
      <c r="AN1816" s="91"/>
      <c r="AO1816" s="91"/>
      <c r="AP1816" s="73" t="e">
        <f>MID(VLOOKUP(K1816,#REF!,2,FALSE),1,2)</f>
        <v>#REF!</v>
      </c>
      <c r="AQ1816" s="89">
        <f>DATE(2014,7,19)</f>
        <v>41839</v>
      </c>
      <c r="AR1816" s="82">
        <f t="shared" si="118"/>
        <v>19</v>
      </c>
      <c r="AS1816" s="83">
        <f t="shared" si="119"/>
        <v>7</v>
      </c>
      <c r="AT1816" s="84">
        <f t="shared" si="120"/>
        <v>2014</v>
      </c>
      <c r="AU1816" s="86"/>
      <c r="AV1816" s="86"/>
      <c r="AW1816" s="87"/>
      <c r="AX1816" s="86"/>
      <c r="AY1816" s="83"/>
      <c r="AZ1816" s="84"/>
      <c r="BA1816" s="86"/>
      <c r="BB1816" s="86"/>
    </row>
    <row r="1817" spans="1:54" ht="36.75" customHeight="1">
      <c r="A1817" s="30"/>
      <c r="B1817" s="30" t="s">
        <v>55</v>
      </c>
      <c r="C1817" s="69" t="str">
        <f t="shared" si="121"/>
        <v>Closed</v>
      </c>
      <c r="D1817" s="27" t="s">
        <v>10144</v>
      </c>
      <c r="E1817" s="29" t="s">
        <v>10145</v>
      </c>
      <c r="F1817" s="30" t="s">
        <v>835</v>
      </c>
      <c r="G1817" s="89">
        <f>DATE(2014,7,19)</f>
        <v>41839</v>
      </c>
      <c r="H1817" s="90">
        <v>1.6124999999999998</v>
      </c>
      <c r="I1817" s="30" t="s">
        <v>104</v>
      </c>
      <c r="J1817" s="89" t="s">
        <v>10146</v>
      </c>
      <c r="K1817" s="30" t="s">
        <v>837</v>
      </c>
      <c r="L1817" s="30" t="s">
        <v>10147</v>
      </c>
      <c r="M1817" s="30" t="s">
        <v>63</v>
      </c>
      <c r="N1817" s="30" t="s">
        <v>142</v>
      </c>
      <c r="O1817" s="30" t="s">
        <v>77</v>
      </c>
      <c r="P1817" s="89" t="s">
        <v>165</v>
      </c>
      <c r="Q1817" s="89" t="s">
        <v>2162</v>
      </c>
      <c r="R1817" s="89" t="s">
        <v>840</v>
      </c>
      <c r="S1817" s="30">
        <v>0</v>
      </c>
      <c r="T1817" s="233">
        <v>0</v>
      </c>
      <c r="U1817" s="30">
        <v>0</v>
      </c>
      <c r="V1817" s="233">
        <v>0</v>
      </c>
      <c r="W1817" s="30">
        <v>0</v>
      </c>
      <c r="X1817" s="30">
        <v>0</v>
      </c>
      <c r="Y1817" s="30">
        <v>0</v>
      </c>
      <c r="Z1817" s="233">
        <v>0</v>
      </c>
      <c r="AA1817" s="30">
        <v>0</v>
      </c>
      <c r="AB1817" s="30">
        <v>0</v>
      </c>
      <c r="AC1817" s="30">
        <v>0</v>
      </c>
      <c r="AD1817" s="30">
        <v>0</v>
      </c>
      <c r="AE1817" s="89" t="s">
        <v>92</v>
      </c>
      <c r="AF1817" s="89"/>
      <c r="AG1817" s="89" t="s">
        <v>133</v>
      </c>
      <c r="AH1817" s="72">
        <v>41971</v>
      </c>
      <c r="AI1817" s="30">
        <v>3</v>
      </c>
      <c r="AJ1817" s="89" t="s">
        <v>10148</v>
      </c>
      <c r="AK1817" s="89" t="s">
        <v>10149</v>
      </c>
      <c r="AL1817" s="91">
        <v>41971</v>
      </c>
      <c r="AM1817" s="91"/>
      <c r="AN1817" s="91"/>
      <c r="AO1817" s="91"/>
      <c r="AP1817" s="73" t="e">
        <f>MID(VLOOKUP(K1817,#REF!,2,FALSE),1,2)</f>
        <v>#REF!</v>
      </c>
      <c r="AQ1817" s="89">
        <f>DATE(2014,7,19)</f>
        <v>41839</v>
      </c>
      <c r="AR1817" s="82">
        <f t="shared" si="118"/>
        <v>19</v>
      </c>
      <c r="AS1817" s="83">
        <f t="shared" si="119"/>
        <v>7</v>
      </c>
      <c r="AT1817" s="84">
        <f t="shared" si="120"/>
        <v>2014</v>
      </c>
      <c r="AU1817" s="86"/>
      <c r="AV1817" s="86"/>
      <c r="AW1817" s="87"/>
      <c r="AX1817" s="86"/>
      <c r="AY1817" s="83"/>
      <c r="AZ1817" s="84"/>
      <c r="BA1817" s="86"/>
      <c r="BB1817" s="86"/>
    </row>
    <row r="1818" spans="1:54" ht="36.75" customHeight="1">
      <c r="A1818" s="30"/>
      <c r="B1818" s="30" t="s">
        <v>55</v>
      </c>
      <c r="C1818" s="69" t="str">
        <f t="shared" si="121"/>
        <v>Closed</v>
      </c>
      <c r="D1818" s="27" t="s">
        <v>10150</v>
      </c>
      <c r="E1818" s="29" t="s">
        <v>10151</v>
      </c>
      <c r="F1818" s="30" t="s">
        <v>138</v>
      </c>
      <c r="G1818" s="89">
        <f>DATE(2014,7,22)</f>
        <v>41842</v>
      </c>
      <c r="H1818" s="90">
        <v>1.8125</v>
      </c>
      <c r="I1818" s="30" t="s">
        <v>2264</v>
      </c>
      <c r="J1818" s="89" t="s">
        <v>10152</v>
      </c>
      <c r="K1818" s="30" t="s">
        <v>140</v>
      </c>
      <c r="L1818" s="30" t="s">
        <v>10153</v>
      </c>
      <c r="M1818" s="30" t="s">
        <v>63</v>
      </c>
      <c r="N1818" s="30" t="s">
        <v>99</v>
      </c>
      <c r="O1818" s="30" t="s">
        <v>77</v>
      </c>
      <c r="P1818" s="89" t="s">
        <v>10154</v>
      </c>
      <c r="Q1818" s="89" t="s">
        <v>10155</v>
      </c>
      <c r="R1818" s="89" t="s">
        <v>4934</v>
      </c>
      <c r="S1818" s="30">
        <v>0</v>
      </c>
      <c r="T1818" s="233">
        <v>0</v>
      </c>
      <c r="U1818" s="30">
        <v>0</v>
      </c>
      <c r="V1818" s="233">
        <v>0</v>
      </c>
      <c r="W1818" s="30">
        <v>0</v>
      </c>
      <c r="X1818" s="30">
        <v>0</v>
      </c>
      <c r="Y1818" s="30">
        <v>0</v>
      </c>
      <c r="Z1818" s="233">
        <v>0</v>
      </c>
      <c r="AA1818" s="30">
        <v>0</v>
      </c>
      <c r="AB1818" s="30">
        <v>0</v>
      </c>
      <c r="AC1818" s="30">
        <v>0</v>
      </c>
      <c r="AD1818" s="30">
        <v>0</v>
      </c>
      <c r="AE1818" s="89" t="s">
        <v>92</v>
      </c>
      <c r="AF1818" s="89"/>
      <c r="AG1818" s="89" t="s">
        <v>133</v>
      </c>
      <c r="AH1818" s="72">
        <v>41843</v>
      </c>
      <c r="AI1818" s="30">
        <v>1</v>
      </c>
      <c r="AJ1818" s="89" t="s">
        <v>10156</v>
      </c>
      <c r="AK1818" s="89" t="s">
        <v>10157</v>
      </c>
      <c r="AL1818" s="91">
        <v>41890</v>
      </c>
      <c r="AM1818" s="91"/>
      <c r="AN1818" s="91"/>
      <c r="AO1818" s="91"/>
      <c r="AP1818" s="73" t="e">
        <f>MID(VLOOKUP(K1818,#REF!,2,FALSE),1,2)</f>
        <v>#REF!</v>
      </c>
      <c r="AQ1818" s="89">
        <f>DATE(2014,7,22)</f>
        <v>41842</v>
      </c>
      <c r="AR1818" s="82">
        <f t="shared" si="118"/>
        <v>22</v>
      </c>
      <c r="AS1818" s="83">
        <f t="shared" si="119"/>
        <v>7</v>
      </c>
      <c r="AT1818" s="84">
        <f t="shared" si="120"/>
        <v>2014</v>
      </c>
      <c r="AU1818" s="86"/>
      <c r="AV1818" s="86"/>
      <c r="AW1818" s="87"/>
      <c r="AX1818" s="86"/>
      <c r="AY1818" s="83"/>
      <c r="AZ1818" s="84"/>
      <c r="BA1818" s="86"/>
      <c r="BB1818" s="86"/>
    </row>
    <row r="1819" spans="1:54" ht="36.75" customHeight="1">
      <c r="A1819" s="30"/>
      <c r="B1819" s="30" t="s">
        <v>55</v>
      </c>
      <c r="C1819" s="69" t="str">
        <f t="shared" si="121"/>
        <v>Closed</v>
      </c>
      <c r="D1819" s="27" t="s">
        <v>10158</v>
      </c>
      <c r="E1819" s="29" t="s">
        <v>10159</v>
      </c>
      <c r="F1819" s="30" t="s">
        <v>423</v>
      </c>
      <c r="G1819" s="89">
        <f>DATE(2014,7,26)</f>
        <v>41846</v>
      </c>
      <c r="H1819" s="90">
        <v>1.3277777777777777</v>
      </c>
      <c r="I1819" s="30" t="s">
        <v>116</v>
      </c>
      <c r="J1819" s="89" t="s">
        <v>10160</v>
      </c>
      <c r="K1819" s="30" t="s">
        <v>425</v>
      </c>
      <c r="L1819" s="30" t="s">
        <v>10161</v>
      </c>
      <c r="M1819" s="30" t="s">
        <v>63</v>
      </c>
      <c r="N1819" s="30" t="s">
        <v>99</v>
      </c>
      <c r="O1819" s="30" t="s">
        <v>64</v>
      </c>
      <c r="P1819" s="89" t="s">
        <v>165</v>
      </c>
      <c r="Q1819" s="89" t="s">
        <v>427</v>
      </c>
      <c r="R1819" s="89" t="s">
        <v>3103</v>
      </c>
      <c r="S1819" s="30">
        <v>0</v>
      </c>
      <c r="T1819" s="233">
        <v>0</v>
      </c>
      <c r="U1819" s="30">
        <v>1</v>
      </c>
      <c r="V1819" s="233">
        <v>0</v>
      </c>
      <c r="W1819" s="30">
        <v>0</v>
      </c>
      <c r="X1819" s="30">
        <v>1</v>
      </c>
      <c r="Y1819" s="30">
        <v>0</v>
      </c>
      <c r="Z1819" s="233">
        <v>0</v>
      </c>
      <c r="AA1819" s="30">
        <v>1</v>
      </c>
      <c r="AB1819" s="30">
        <v>0</v>
      </c>
      <c r="AC1819" s="30">
        <v>0</v>
      </c>
      <c r="AD1819" s="30">
        <v>1</v>
      </c>
      <c r="AE1819" s="89" t="s">
        <v>92</v>
      </c>
      <c r="AF1819" s="89"/>
      <c r="AG1819" s="89" t="s">
        <v>133</v>
      </c>
      <c r="AH1819" s="72">
        <v>41767</v>
      </c>
      <c r="AI1819" s="30">
        <v>2</v>
      </c>
      <c r="AJ1819" s="89" t="s">
        <v>10162</v>
      </c>
      <c r="AK1819" s="89" t="s">
        <v>10163</v>
      </c>
      <c r="AL1819" s="91">
        <v>41857</v>
      </c>
      <c r="AM1819" s="91"/>
      <c r="AN1819" s="91"/>
      <c r="AO1819" s="91"/>
      <c r="AP1819" s="73" t="e">
        <f>MID(VLOOKUP(K1819,#REF!,2,FALSE),1,2)</f>
        <v>#REF!</v>
      </c>
      <c r="AQ1819" s="89">
        <f>DATE(2014,7,26)</f>
        <v>41846</v>
      </c>
      <c r="AR1819" s="82">
        <f t="shared" si="118"/>
        <v>26</v>
      </c>
      <c r="AS1819" s="83">
        <f t="shared" si="119"/>
        <v>7</v>
      </c>
      <c r="AT1819" s="84">
        <f t="shared" si="120"/>
        <v>2014</v>
      </c>
      <c r="AU1819" s="86"/>
      <c r="AV1819" s="86"/>
      <c r="AW1819" s="87"/>
      <c r="AX1819" s="86"/>
      <c r="AY1819" s="83"/>
      <c r="AZ1819" s="84"/>
      <c r="BA1819" s="86"/>
      <c r="BB1819" s="86"/>
    </row>
    <row r="1820" spans="1:54" ht="36.75" customHeight="1">
      <c r="A1820" s="30"/>
      <c r="B1820" s="30" t="s">
        <v>55</v>
      </c>
      <c r="C1820" s="69" t="str">
        <f t="shared" si="121"/>
        <v>Closed</v>
      </c>
      <c r="D1820" s="27" t="s">
        <v>10164</v>
      </c>
      <c r="E1820" s="29" t="s">
        <v>10165</v>
      </c>
      <c r="F1820" s="30" t="s">
        <v>423</v>
      </c>
      <c r="G1820" s="89">
        <f>DATE(2014,7,27)</f>
        <v>41847</v>
      </c>
      <c r="H1820" s="90">
        <v>1.7347222222222221</v>
      </c>
      <c r="I1820" s="30" t="s">
        <v>104</v>
      </c>
      <c r="J1820" s="89" t="s">
        <v>10166</v>
      </c>
      <c r="K1820" s="30" t="s">
        <v>425</v>
      </c>
      <c r="L1820" s="30" t="s">
        <v>8356</v>
      </c>
      <c r="M1820" s="30" t="s">
        <v>63</v>
      </c>
      <c r="N1820" s="30" t="s">
        <v>89</v>
      </c>
      <c r="O1820" s="30" t="s">
        <v>77</v>
      </c>
      <c r="P1820" s="89" t="s">
        <v>5324</v>
      </c>
      <c r="Q1820" s="89" t="s">
        <v>427</v>
      </c>
      <c r="R1820" s="89" t="s">
        <v>3103</v>
      </c>
      <c r="S1820" s="30">
        <v>0</v>
      </c>
      <c r="T1820" s="233">
        <v>0</v>
      </c>
      <c r="U1820" s="30">
        <v>0</v>
      </c>
      <c r="V1820" s="233">
        <v>0</v>
      </c>
      <c r="W1820" s="30">
        <v>0</v>
      </c>
      <c r="X1820" s="30">
        <v>0</v>
      </c>
      <c r="Y1820" s="30">
        <v>0</v>
      </c>
      <c r="Z1820" s="233">
        <v>0</v>
      </c>
      <c r="AA1820" s="30">
        <v>0</v>
      </c>
      <c r="AB1820" s="30">
        <v>0</v>
      </c>
      <c r="AC1820" s="30">
        <v>0</v>
      </c>
      <c r="AD1820" s="30">
        <v>0</v>
      </c>
      <c r="AE1820" s="89" t="s">
        <v>92</v>
      </c>
      <c r="AF1820" s="89"/>
      <c r="AG1820" s="89" t="s">
        <v>133</v>
      </c>
      <c r="AH1820" s="72">
        <v>41767</v>
      </c>
      <c r="AI1820" s="30">
        <v>2</v>
      </c>
      <c r="AJ1820" s="89" t="s">
        <v>10167</v>
      </c>
      <c r="AK1820" s="89" t="s">
        <v>10168</v>
      </c>
      <c r="AL1820" s="91">
        <v>41857</v>
      </c>
      <c r="AM1820" s="91"/>
      <c r="AN1820" s="91"/>
      <c r="AO1820" s="91"/>
      <c r="AP1820" s="73" t="e">
        <f>MID(VLOOKUP(K1820,#REF!,2,FALSE),1,2)</f>
        <v>#REF!</v>
      </c>
      <c r="AQ1820" s="89">
        <f>DATE(2014,7,27)</f>
        <v>41847</v>
      </c>
      <c r="AR1820" s="82">
        <f t="shared" si="118"/>
        <v>27</v>
      </c>
      <c r="AS1820" s="83">
        <f t="shared" si="119"/>
        <v>7</v>
      </c>
      <c r="AT1820" s="84">
        <f t="shared" si="120"/>
        <v>2014</v>
      </c>
      <c r="AU1820" s="86"/>
      <c r="AV1820" s="86"/>
      <c r="AW1820" s="87"/>
      <c r="AX1820" s="86"/>
      <c r="AY1820" s="83"/>
      <c r="AZ1820" s="84"/>
      <c r="BA1820" s="86"/>
      <c r="BB1820" s="86"/>
    </row>
    <row r="1821" spans="1:54" ht="36.75" customHeight="1">
      <c r="A1821" s="30"/>
      <c r="B1821" s="30" t="s">
        <v>55</v>
      </c>
      <c r="C1821" s="69" t="str">
        <f t="shared" si="121"/>
        <v>Closed</v>
      </c>
      <c r="D1821" s="27" t="s">
        <v>10169</v>
      </c>
      <c r="E1821" s="29" t="s">
        <v>10170</v>
      </c>
      <c r="F1821" s="30" t="s">
        <v>1770</v>
      </c>
      <c r="G1821" s="89">
        <f>DATE(2014,7,28)</f>
        <v>41848</v>
      </c>
      <c r="H1821" s="90">
        <v>1.8895833333333334</v>
      </c>
      <c r="I1821" s="30" t="s">
        <v>5494</v>
      </c>
      <c r="J1821" s="89" t="s">
        <v>10171</v>
      </c>
      <c r="K1821" s="30" t="s">
        <v>1772</v>
      </c>
      <c r="L1821" s="30" t="s">
        <v>10172</v>
      </c>
      <c r="M1821" s="30" t="s">
        <v>63</v>
      </c>
      <c r="N1821" s="30" t="s">
        <v>89</v>
      </c>
      <c r="O1821" s="30" t="s">
        <v>77</v>
      </c>
      <c r="P1821" s="89" t="s">
        <v>165</v>
      </c>
      <c r="Q1821" s="89" t="s">
        <v>1774</v>
      </c>
      <c r="R1821" s="89" t="s">
        <v>1775</v>
      </c>
      <c r="S1821" s="30">
        <v>0</v>
      </c>
      <c r="T1821" s="233">
        <v>0</v>
      </c>
      <c r="U1821" s="30">
        <v>0</v>
      </c>
      <c r="V1821" s="233">
        <v>0</v>
      </c>
      <c r="W1821" s="30">
        <v>0</v>
      </c>
      <c r="X1821" s="30">
        <v>0</v>
      </c>
      <c r="Y1821" s="30">
        <v>0</v>
      </c>
      <c r="Z1821" s="233">
        <v>0</v>
      </c>
      <c r="AA1821" s="30">
        <v>0</v>
      </c>
      <c r="AB1821" s="30">
        <v>0</v>
      </c>
      <c r="AC1821" s="30">
        <v>0</v>
      </c>
      <c r="AD1821" s="30">
        <v>0</v>
      </c>
      <c r="AE1821" s="89" t="s">
        <v>92</v>
      </c>
      <c r="AF1821" s="89"/>
      <c r="AG1821" s="89" t="s">
        <v>589</v>
      </c>
      <c r="AH1821" s="72">
        <v>41872</v>
      </c>
      <c r="AI1821" s="30">
        <v>0</v>
      </c>
      <c r="AJ1821" s="89" t="s">
        <v>10173</v>
      </c>
      <c r="AK1821" s="89" t="s">
        <v>1233</v>
      </c>
      <c r="AL1821" s="91">
        <v>41873</v>
      </c>
      <c r="AM1821" s="91"/>
      <c r="AN1821" s="91"/>
      <c r="AO1821" s="91"/>
      <c r="AP1821" s="73" t="e">
        <f>MID(VLOOKUP(K1821,#REF!,2,FALSE),1,2)</f>
        <v>#REF!</v>
      </c>
      <c r="AQ1821" s="89">
        <f>DATE(2014,7,28)</f>
        <v>41848</v>
      </c>
      <c r="AR1821" s="82">
        <f t="shared" si="118"/>
        <v>28</v>
      </c>
      <c r="AS1821" s="83">
        <f t="shared" si="119"/>
        <v>7</v>
      </c>
      <c r="AT1821" s="84">
        <f t="shared" si="120"/>
        <v>2014</v>
      </c>
      <c r="AU1821" s="86"/>
      <c r="AV1821" s="86"/>
      <c r="AW1821" s="87"/>
      <c r="AX1821" s="86"/>
      <c r="AY1821" s="83"/>
      <c r="AZ1821" s="84"/>
      <c r="BA1821" s="86"/>
      <c r="BB1821" s="86"/>
    </row>
    <row r="1822" spans="1:54" ht="36.75" customHeight="1">
      <c r="A1822" s="30"/>
      <c r="B1822" s="30" t="s">
        <v>55</v>
      </c>
      <c r="C1822" s="69" t="str">
        <f t="shared" si="121"/>
        <v>Closed</v>
      </c>
      <c r="D1822" s="27" t="s">
        <v>10174</v>
      </c>
      <c r="E1822" s="29" t="s">
        <v>10175</v>
      </c>
      <c r="F1822" s="30" t="s">
        <v>582</v>
      </c>
      <c r="G1822" s="89">
        <f>DATE(2014,8,1)</f>
        <v>41852</v>
      </c>
      <c r="H1822" s="90">
        <v>1.8687499999999999</v>
      </c>
      <c r="I1822" s="30" t="s">
        <v>198</v>
      </c>
      <c r="J1822" s="89" t="s">
        <v>10176</v>
      </c>
      <c r="K1822" s="30" t="s">
        <v>584</v>
      </c>
      <c r="L1822" s="30" t="s">
        <v>10177</v>
      </c>
      <c r="M1822" s="30" t="s">
        <v>63</v>
      </c>
      <c r="N1822" s="30" t="s">
        <v>142</v>
      </c>
      <c r="O1822" s="30" t="s">
        <v>77</v>
      </c>
      <c r="P1822" s="89" t="s">
        <v>78</v>
      </c>
      <c r="Q1822" s="89" t="s">
        <v>10178</v>
      </c>
      <c r="R1822" s="89" t="s">
        <v>587</v>
      </c>
      <c r="S1822" s="30">
        <v>0</v>
      </c>
      <c r="T1822" s="233">
        <v>0</v>
      </c>
      <c r="U1822" s="30">
        <v>0</v>
      </c>
      <c r="V1822" s="233">
        <v>0</v>
      </c>
      <c r="W1822" s="30">
        <v>0</v>
      </c>
      <c r="X1822" s="30">
        <v>0</v>
      </c>
      <c r="Y1822" s="30">
        <v>4</v>
      </c>
      <c r="Z1822" s="233">
        <v>0</v>
      </c>
      <c r="AA1822" s="30">
        <v>0</v>
      </c>
      <c r="AB1822" s="30">
        <v>0</v>
      </c>
      <c r="AC1822" s="30">
        <v>0</v>
      </c>
      <c r="AD1822" s="30">
        <v>4</v>
      </c>
      <c r="AE1822" s="89" t="s">
        <v>145</v>
      </c>
      <c r="AF1822" s="89"/>
      <c r="AG1822" s="89" t="s">
        <v>82</v>
      </c>
      <c r="AH1822" s="72">
        <v>41852</v>
      </c>
      <c r="AI1822" s="30">
        <v>2</v>
      </c>
      <c r="AJ1822" s="89" t="s">
        <v>10179</v>
      </c>
      <c r="AK1822" s="89" t="s">
        <v>1233</v>
      </c>
      <c r="AL1822" s="91">
        <v>41873</v>
      </c>
      <c r="AM1822" s="91"/>
      <c r="AN1822" s="91"/>
      <c r="AO1822" s="91"/>
      <c r="AP1822" s="73" t="e">
        <f>MID(VLOOKUP(K1822,#REF!,2,FALSE),1,2)</f>
        <v>#REF!</v>
      </c>
      <c r="AQ1822" s="89">
        <f>DATE(2014,8,1)</f>
        <v>41852</v>
      </c>
      <c r="AR1822" s="82">
        <f t="shared" si="118"/>
        <v>1</v>
      </c>
      <c r="AS1822" s="83">
        <f t="shared" si="119"/>
        <v>8</v>
      </c>
      <c r="AT1822" s="84">
        <f t="shared" si="120"/>
        <v>2014</v>
      </c>
      <c r="AU1822" s="86"/>
      <c r="AV1822" s="86"/>
      <c r="AW1822" s="87"/>
      <c r="AX1822" s="86"/>
      <c r="AY1822" s="83"/>
      <c r="AZ1822" s="84"/>
      <c r="BA1822" s="86"/>
      <c r="BB1822" s="86"/>
    </row>
    <row r="1823" spans="1:54" ht="36.75" customHeight="1">
      <c r="A1823" s="30"/>
      <c r="B1823" s="30" t="s">
        <v>55</v>
      </c>
      <c r="C1823" s="69" t="str">
        <f t="shared" si="121"/>
        <v>Closed</v>
      </c>
      <c r="D1823" s="27" t="s">
        <v>10180</v>
      </c>
      <c r="E1823" s="29" t="s">
        <v>10181</v>
      </c>
      <c r="F1823" s="30" t="s">
        <v>1572</v>
      </c>
      <c r="G1823" s="89">
        <f>DATE(2014,8,2)</f>
        <v>41853</v>
      </c>
      <c r="H1823" s="90">
        <v>1.2256944444444444</v>
      </c>
      <c r="I1823" s="30" t="s">
        <v>198</v>
      </c>
      <c r="J1823" s="89" t="s">
        <v>10182</v>
      </c>
      <c r="K1823" s="30" t="s">
        <v>1574</v>
      </c>
      <c r="L1823" s="30" t="s">
        <v>10183</v>
      </c>
      <c r="M1823" s="30" t="s">
        <v>63</v>
      </c>
      <c r="N1823" s="30" t="s">
        <v>142</v>
      </c>
      <c r="O1823" s="30" t="s">
        <v>77</v>
      </c>
      <c r="P1823" s="89" t="s">
        <v>78</v>
      </c>
      <c r="Q1823" s="89" t="s">
        <v>5619</v>
      </c>
      <c r="R1823" s="89" t="s">
        <v>6434</v>
      </c>
      <c r="S1823" s="30">
        <v>0</v>
      </c>
      <c r="T1823" s="233">
        <v>0</v>
      </c>
      <c r="U1823" s="30">
        <v>0</v>
      </c>
      <c r="V1823" s="233">
        <v>0</v>
      </c>
      <c r="W1823" s="30">
        <v>0</v>
      </c>
      <c r="X1823" s="30">
        <v>0</v>
      </c>
      <c r="Y1823" s="30">
        <v>0</v>
      </c>
      <c r="Z1823" s="233">
        <v>0</v>
      </c>
      <c r="AA1823" s="30">
        <v>0</v>
      </c>
      <c r="AB1823" s="30">
        <v>0</v>
      </c>
      <c r="AC1823" s="30">
        <v>0</v>
      </c>
      <c r="AD1823" s="30">
        <v>0</v>
      </c>
      <c r="AE1823" s="89" t="s">
        <v>145</v>
      </c>
      <c r="AF1823" s="89"/>
      <c r="AG1823" s="89" t="s">
        <v>82</v>
      </c>
      <c r="AH1823" s="72">
        <v>41855</v>
      </c>
      <c r="AI1823" s="30">
        <v>3</v>
      </c>
      <c r="AJ1823" s="89" t="s">
        <v>10184</v>
      </c>
      <c r="AK1823" s="89" t="s">
        <v>10185</v>
      </c>
      <c r="AL1823" s="91">
        <v>41859</v>
      </c>
      <c r="AM1823" s="91"/>
      <c r="AN1823" s="91"/>
      <c r="AO1823" s="91"/>
      <c r="AP1823" s="73" t="e">
        <f>MID(VLOOKUP(K1823,#REF!,2,FALSE),1,2)</f>
        <v>#REF!</v>
      </c>
      <c r="AQ1823" s="89">
        <f>DATE(2014,8,2)</f>
        <v>41853</v>
      </c>
      <c r="AR1823" s="82">
        <f t="shared" si="118"/>
        <v>2</v>
      </c>
      <c r="AS1823" s="83">
        <f t="shared" si="119"/>
        <v>8</v>
      </c>
      <c r="AT1823" s="84">
        <f t="shared" si="120"/>
        <v>2014</v>
      </c>
      <c r="AU1823" s="86"/>
      <c r="AV1823" s="86"/>
      <c r="AW1823" s="87"/>
      <c r="AX1823" s="86"/>
      <c r="AY1823" s="83"/>
      <c r="AZ1823" s="84"/>
      <c r="BA1823" s="86"/>
      <c r="BB1823" s="86"/>
    </row>
    <row r="1824" spans="1:54" ht="36.75" customHeight="1">
      <c r="A1824" s="30"/>
      <c r="B1824" s="30" t="s">
        <v>55</v>
      </c>
      <c r="C1824" s="69" t="str">
        <f t="shared" si="121"/>
        <v>Closed</v>
      </c>
      <c r="D1824" s="27" t="s">
        <v>10186</v>
      </c>
      <c r="E1824" s="29" t="s">
        <v>10187</v>
      </c>
      <c r="F1824" s="30" t="s">
        <v>1572</v>
      </c>
      <c r="G1824" s="89">
        <f>DATE(2014,8,4)</f>
        <v>41855</v>
      </c>
      <c r="H1824" s="90">
        <v>1.8104166666666668</v>
      </c>
      <c r="I1824" s="30" t="s">
        <v>73</v>
      </c>
      <c r="J1824" s="89" t="s">
        <v>10188</v>
      </c>
      <c r="K1824" s="30" t="s">
        <v>1574</v>
      </c>
      <c r="L1824" s="30" t="s">
        <v>10189</v>
      </c>
      <c r="M1824" s="30" t="s">
        <v>63</v>
      </c>
      <c r="N1824" s="30" t="s">
        <v>142</v>
      </c>
      <c r="O1824" s="30" t="s">
        <v>77</v>
      </c>
      <c r="P1824" s="89" t="s">
        <v>78</v>
      </c>
      <c r="Q1824" s="89" t="s">
        <v>9075</v>
      </c>
      <c r="R1824" s="89" t="s">
        <v>6434</v>
      </c>
      <c r="S1824" s="30">
        <v>0</v>
      </c>
      <c r="T1824" s="233">
        <v>0</v>
      </c>
      <c r="U1824" s="30">
        <v>0</v>
      </c>
      <c r="V1824" s="233">
        <v>0</v>
      </c>
      <c r="W1824" s="30">
        <v>0</v>
      </c>
      <c r="X1824" s="30">
        <v>0</v>
      </c>
      <c r="Y1824" s="30">
        <v>0</v>
      </c>
      <c r="Z1824" s="233">
        <v>0</v>
      </c>
      <c r="AA1824" s="30">
        <v>0</v>
      </c>
      <c r="AB1824" s="30">
        <v>0</v>
      </c>
      <c r="AC1824" s="30">
        <v>0</v>
      </c>
      <c r="AD1824" s="30">
        <v>0</v>
      </c>
      <c r="AE1824" s="89" t="s">
        <v>92</v>
      </c>
      <c r="AF1824" s="89"/>
      <c r="AG1824" s="89" t="s">
        <v>133</v>
      </c>
      <c r="AH1824" s="72">
        <v>41856</v>
      </c>
      <c r="AI1824" s="30">
        <v>0</v>
      </c>
      <c r="AJ1824" s="89" t="s">
        <v>10190</v>
      </c>
      <c r="AK1824" s="89" t="s">
        <v>1233</v>
      </c>
      <c r="AL1824" s="91">
        <v>41859</v>
      </c>
      <c r="AM1824" s="91"/>
      <c r="AN1824" s="91"/>
      <c r="AO1824" s="91"/>
      <c r="AP1824" s="73" t="e">
        <f>MID(VLOOKUP(K1824,#REF!,2,FALSE),1,2)</f>
        <v>#REF!</v>
      </c>
      <c r="AQ1824" s="89">
        <f>DATE(2014,8,4)</f>
        <v>41855</v>
      </c>
      <c r="AR1824" s="82">
        <f t="shared" si="118"/>
        <v>4</v>
      </c>
      <c r="AS1824" s="83">
        <f t="shared" si="119"/>
        <v>8</v>
      </c>
      <c r="AT1824" s="84">
        <f t="shared" si="120"/>
        <v>2014</v>
      </c>
      <c r="AU1824" s="86"/>
      <c r="AV1824" s="86"/>
      <c r="AW1824" s="87"/>
      <c r="AX1824" s="86"/>
      <c r="AY1824" s="83"/>
      <c r="AZ1824" s="84"/>
      <c r="BA1824" s="86"/>
      <c r="BB1824" s="86"/>
    </row>
    <row r="1825" spans="1:54" ht="36.75" customHeight="1">
      <c r="A1825" s="30"/>
      <c r="B1825" s="30" t="s">
        <v>55</v>
      </c>
      <c r="C1825" s="69" t="str">
        <f t="shared" si="121"/>
        <v>Closed</v>
      </c>
      <c r="D1825" s="27" t="s">
        <v>10191</v>
      </c>
      <c r="E1825" s="29" t="s">
        <v>10192</v>
      </c>
      <c r="F1825" s="30" t="s">
        <v>638</v>
      </c>
      <c r="G1825" s="89">
        <f>DATE(2014,8,6)</f>
        <v>41857</v>
      </c>
      <c r="H1825" s="90">
        <v>1.9201388888888888</v>
      </c>
      <c r="I1825" s="30" t="s">
        <v>125</v>
      </c>
      <c r="J1825" s="89" t="s">
        <v>10193</v>
      </c>
      <c r="K1825" s="30" t="s">
        <v>640</v>
      </c>
      <c r="L1825" s="30" t="s">
        <v>10194</v>
      </c>
      <c r="M1825" s="30" t="s">
        <v>63</v>
      </c>
      <c r="N1825" s="30" t="s">
        <v>142</v>
      </c>
      <c r="O1825" s="30" t="s">
        <v>64</v>
      </c>
      <c r="P1825" s="89" t="s">
        <v>65</v>
      </c>
      <c r="Q1825" s="89" t="s">
        <v>642</v>
      </c>
      <c r="R1825" s="89" t="s">
        <v>643</v>
      </c>
      <c r="S1825" s="30">
        <v>0</v>
      </c>
      <c r="T1825" s="233">
        <v>0</v>
      </c>
      <c r="U1825" s="30">
        <v>0</v>
      </c>
      <c r="V1825" s="233">
        <v>0</v>
      </c>
      <c r="W1825" s="30">
        <v>0</v>
      </c>
      <c r="X1825" s="30">
        <v>0</v>
      </c>
      <c r="Y1825" s="30">
        <v>0</v>
      </c>
      <c r="Z1825" s="233">
        <v>0</v>
      </c>
      <c r="AA1825" s="30">
        <v>0</v>
      </c>
      <c r="AB1825" s="30">
        <v>0</v>
      </c>
      <c r="AC1825" s="30">
        <v>0</v>
      </c>
      <c r="AD1825" s="30">
        <v>0</v>
      </c>
      <c r="AE1825" s="89" t="s">
        <v>92</v>
      </c>
      <c r="AF1825" s="89"/>
      <c r="AG1825" s="89" t="s">
        <v>133</v>
      </c>
      <c r="AH1825" s="72">
        <v>41905</v>
      </c>
      <c r="AI1825" s="30">
        <v>2</v>
      </c>
      <c r="AJ1825" s="89" t="s">
        <v>10195</v>
      </c>
      <c r="AK1825" s="89" t="s">
        <v>68</v>
      </c>
      <c r="AL1825" s="91">
        <v>41912</v>
      </c>
      <c r="AM1825" s="91"/>
      <c r="AN1825" s="91"/>
      <c r="AO1825" s="91"/>
      <c r="AP1825" s="73" t="e">
        <f>MID(VLOOKUP(K1825,#REF!,2,FALSE),1,2)</f>
        <v>#REF!</v>
      </c>
      <c r="AQ1825" s="89">
        <f>DATE(2014,8,6)</f>
        <v>41857</v>
      </c>
      <c r="AR1825" s="82">
        <f t="shared" si="118"/>
        <v>6</v>
      </c>
      <c r="AS1825" s="83">
        <f t="shared" si="119"/>
        <v>8</v>
      </c>
      <c r="AT1825" s="84">
        <f t="shared" si="120"/>
        <v>2014</v>
      </c>
      <c r="AU1825" s="86"/>
      <c r="AV1825" s="86"/>
      <c r="AW1825" s="87"/>
      <c r="AX1825" s="86"/>
      <c r="AY1825" s="83"/>
      <c r="AZ1825" s="84"/>
      <c r="BA1825" s="86"/>
      <c r="BB1825" s="86"/>
    </row>
    <row r="1826" spans="1:54" ht="36.75" customHeight="1">
      <c r="A1826" s="30"/>
      <c r="B1826" s="30" t="s">
        <v>55</v>
      </c>
      <c r="C1826" s="69" t="str">
        <f t="shared" si="121"/>
        <v>Closed</v>
      </c>
      <c r="D1826" s="27" t="s">
        <v>10196</v>
      </c>
      <c r="E1826" s="29" t="s">
        <v>10197</v>
      </c>
      <c r="F1826" s="30" t="s">
        <v>2601</v>
      </c>
      <c r="G1826" s="89">
        <f>DATE(2014,8,7)</f>
        <v>41858</v>
      </c>
      <c r="H1826" s="90">
        <v>1.7604166666666665</v>
      </c>
      <c r="I1826" s="30" t="s">
        <v>125</v>
      </c>
      <c r="J1826" s="89" t="s">
        <v>10198</v>
      </c>
      <c r="K1826" s="30" t="s">
        <v>2603</v>
      </c>
      <c r="L1826" s="30" t="s">
        <v>10199</v>
      </c>
      <c r="M1826" s="30" t="s">
        <v>63</v>
      </c>
      <c r="N1826" s="30" t="s">
        <v>142</v>
      </c>
      <c r="O1826" s="30" t="s">
        <v>64</v>
      </c>
      <c r="P1826" s="89" t="s">
        <v>462</v>
      </c>
      <c r="Q1826" s="89" t="s">
        <v>6342</v>
      </c>
      <c r="R1826" s="89" t="s">
        <v>2606</v>
      </c>
      <c r="S1826" s="30">
        <v>0</v>
      </c>
      <c r="T1826" s="233">
        <v>0</v>
      </c>
      <c r="U1826" s="30">
        <v>0</v>
      </c>
      <c r="V1826" s="233">
        <v>0</v>
      </c>
      <c r="W1826" s="30">
        <v>0</v>
      </c>
      <c r="X1826" s="30">
        <v>0</v>
      </c>
      <c r="Y1826" s="30">
        <v>0</v>
      </c>
      <c r="Z1826" s="233">
        <v>0</v>
      </c>
      <c r="AA1826" s="30">
        <v>0</v>
      </c>
      <c r="AB1826" s="30">
        <v>0</v>
      </c>
      <c r="AC1826" s="30">
        <v>0</v>
      </c>
      <c r="AD1826" s="30">
        <v>0</v>
      </c>
      <c r="AE1826" s="89" t="s">
        <v>92</v>
      </c>
      <c r="AF1826" s="89"/>
      <c r="AG1826" s="89" t="s">
        <v>133</v>
      </c>
      <c r="AH1826" s="72">
        <v>41859</v>
      </c>
      <c r="AI1826" s="30">
        <v>3</v>
      </c>
      <c r="AJ1826" s="89" t="s">
        <v>10200</v>
      </c>
      <c r="AK1826" s="89" t="s">
        <v>10201</v>
      </c>
      <c r="AL1826" s="91">
        <v>41878</v>
      </c>
      <c r="AM1826" s="91"/>
      <c r="AN1826" s="91"/>
      <c r="AO1826" s="91"/>
      <c r="AP1826" s="73" t="e">
        <f>MID(VLOOKUP(K1826,#REF!,2,FALSE),1,2)</f>
        <v>#REF!</v>
      </c>
      <c r="AQ1826" s="89">
        <f>DATE(2014,8,7)</f>
        <v>41858</v>
      </c>
      <c r="AR1826" s="82">
        <f t="shared" si="118"/>
        <v>7</v>
      </c>
      <c r="AS1826" s="83">
        <f t="shared" si="119"/>
        <v>8</v>
      </c>
      <c r="AT1826" s="84">
        <f t="shared" si="120"/>
        <v>2014</v>
      </c>
      <c r="AU1826" s="86"/>
      <c r="AV1826" s="86"/>
      <c r="AW1826" s="87"/>
      <c r="AX1826" s="86"/>
      <c r="AY1826" s="83"/>
      <c r="AZ1826" s="84"/>
      <c r="BA1826" s="86"/>
      <c r="BB1826" s="86"/>
    </row>
    <row r="1827" spans="1:54" ht="36.75" customHeight="1">
      <c r="A1827" s="30"/>
      <c r="B1827" s="30" t="s">
        <v>55</v>
      </c>
      <c r="C1827" s="69" t="str">
        <f t="shared" si="121"/>
        <v>Closed</v>
      </c>
      <c r="D1827" s="27" t="s">
        <v>10202</v>
      </c>
      <c r="E1827" s="29" t="s">
        <v>10203</v>
      </c>
      <c r="F1827" s="30" t="s">
        <v>582</v>
      </c>
      <c r="G1827" s="89">
        <f>DATE(2014,8,8)</f>
        <v>41859</v>
      </c>
      <c r="H1827" s="90">
        <v>1.0118055555555556</v>
      </c>
      <c r="I1827" s="30" t="s">
        <v>73</v>
      </c>
      <c r="J1827" s="89" t="s">
        <v>10204</v>
      </c>
      <c r="K1827" s="30" t="s">
        <v>584</v>
      </c>
      <c r="L1827" s="30" t="s">
        <v>10205</v>
      </c>
      <c r="M1827" s="30" t="s">
        <v>63</v>
      </c>
      <c r="N1827" s="30" t="s">
        <v>142</v>
      </c>
      <c r="O1827" s="30" t="s">
        <v>77</v>
      </c>
      <c r="P1827" s="89" t="s">
        <v>78</v>
      </c>
      <c r="Q1827" s="89" t="s">
        <v>586</v>
      </c>
      <c r="R1827" s="89" t="s">
        <v>587</v>
      </c>
      <c r="S1827" s="30">
        <v>0</v>
      </c>
      <c r="T1827" s="233">
        <v>0</v>
      </c>
      <c r="U1827" s="30">
        <v>0</v>
      </c>
      <c r="V1827" s="233">
        <v>0</v>
      </c>
      <c r="W1827" s="30">
        <v>0</v>
      </c>
      <c r="X1827" s="30">
        <v>0</v>
      </c>
      <c r="Y1827" s="30">
        <v>0</v>
      </c>
      <c r="Z1827" s="233">
        <v>0</v>
      </c>
      <c r="AA1827" s="30">
        <v>0</v>
      </c>
      <c r="AB1827" s="30">
        <v>0</v>
      </c>
      <c r="AC1827" s="30">
        <v>0</v>
      </c>
      <c r="AD1827" s="30">
        <v>0</v>
      </c>
      <c r="AE1827" s="89" t="s">
        <v>394</v>
      </c>
      <c r="AF1827" s="89"/>
      <c r="AG1827" s="89" t="s">
        <v>133</v>
      </c>
      <c r="AH1827" s="72">
        <v>41863</v>
      </c>
      <c r="AI1827" s="30">
        <v>0</v>
      </c>
      <c r="AJ1827" s="89" t="s">
        <v>10206</v>
      </c>
      <c r="AK1827" s="89" t="s">
        <v>1233</v>
      </c>
      <c r="AL1827" s="91">
        <v>41873</v>
      </c>
      <c r="AM1827" s="91"/>
      <c r="AN1827" s="91"/>
      <c r="AO1827" s="91"/>
      <c r="AP1827" s="73" t="e">
        <f>MID(VLOOKUP(K1827,#REF!,2,FALSE),1,2)</f>
        <v>#REF!</v>
      </c>
      <c r="AQ1827" s="89">
        <f>DATE(2014,8,8)</f>
        <v>41859</v>
      </c>
      <c r="AR1827" s="82">
        <f t="shared" si="118"/>
        <v>8</v>
      </c>
      <c r="AS1827" s="83">
        <f t="shared" si="119"/>
        <v>8</v>
      </c>
      <c r="AT1827" s="84">
        <f t="shared" si="120"/>
        <v>2014</v>
      </c>
      <c r="AU1827" s="86"/>
      <c r="AV1827" s="86"/>
      <c r="AW1827" s="87"/>
      <c r="AX1827" s="86"/>
      <c r="AY1827" s="83"/>
      <c r="AZ1827" s="84"/>
      <c r="BA1827" s="86"/>
      <c r="BB1827" s="86"/>
    </row>
    <row r="1828" spans="1:54" ht="36.75" customHeight="1">
      <c r="A1828" s="30"/>
      <c r="B1828" s="30" t="s">
        <v>55</v>
      </c>
      <c r="C1828" s="69" t="str">
        <f t="shared" si="121"/>
        <v>Closed</v>
      </c>
      <c r="D1828" s="27" t="s">
        <v>10207</v>
      </c>
      <c r="E1828" s="29" t="s">
        <v>10208</v>
      </c>
      <c r="F1828" s="30" t="s">
        <v>835</v>
      </c>
      <c r="G1828" s="89">
        <f>DATE(2014,8,8)</f>
        <v>41859</v>
      </c>
      <c r="H1828" s="90">
        <v>1.5451388888888888</v>
      </c>
      <c r="I1828" s="30" t="s">
        <v>2264</v>
      </c>
      <c r="J1828" s="89" t="s">
        <v>10209</v>
      </c>
      <c r="K1828" s="30" t="s">
        <v>837</v>
      </c>
      <c r="L1828" s="30" t="s">
        <v>10210</v>
      </c>
      <c r="M1828" s="30" t="s">
        <v>63</v>
      </c>
      <c r="N1828" s="30" t="s">
        <v>99</v>
      </c>
      <c r="O1828" s="30" t="s">
        <v>77</v>
      </c>
      <c r="P1828" s="89" t="s">
        <v>165</v>
      </c>
      <c r="Q1828" s="89" t="s">
        <v>2162</v>
      </c>
      <c r="R1828" s="89" t="s">
        <v>840</v>
      </c>
      <c r="S1828" s="30">
        <v>0</v>
      </c>
      <c r="T1828" s="233">
        <v>0</v>
      </c>
      <c r="U1828" s="30">
        <v>0</v>
      </c>
      <c r="V1828" s="233">
        <v>0</v>
      </c>
      <c r="W1828" s="30">
        <v>0</v>
      </c>
      <c r="X1828" s="30">
        <v>0</v>
      </c>
      <c r="Y1828" s="30">
        <v>0</v>
      </c>
      <c r="Z1828" s="233">
        <v>0</v>
      </c>
      <c r="AA1828" s="30">
        <v>0</v>
      </c>
      <c r="AB1828" s="30">
        <v>0</v>
      </c>
      <c r="AC1828" s="30">
        <v>0</v>
      </c>
      <c r="AD1828" s="30">
        <v>0</v>
      </c>
      <c r="AE1828" s="89" t="s">
        <v>92</v>
      </c>
      <c r="AF1828" s="89"/>
      <c r="AG1828" s="89" t="s">
        <v>352</v>
      </c>
      <c r="AH1828" s="72">
        <v>41859</v>
      </c>
      <c r="AI1828" s="30">
        <v>0</v>
      </c>
      <c r="AJ1828" s="89" t="s">
        <v>8641</v>
      </c>
      <c r="AK1828" s="89" t="s">
        <v>68</v>
      </c>
      <c r="AL1828" s="91">
        <v>41860</v>
      </c>
      <c r="AM1828" s="91"/>
      <c r="AN1828" s="91"/>
      <c r="AO1828" s="91"/>
      <c r="AP1828" s="73" t="e">
        <f>MID(VLOOKUP(K1828,#REF!,2,FALSE),1,2)</f>
        <v>#REF!</v>
      </c>
      <c r="AQ1828" s="89">
        <f>DATE(2014,8,8)</f>
        <v>41859</v>
      </c>
      <c r="AR1828" s="82">
        <f t="shared" si="118"/>
        <v>8</v>
      </c>
      <c r="AS1828" s="83">
        <f t="shared" si="119"/>
        <v>8</v>
      </c>
      <c r="AT1828" s="84">
        <f t="shared" si="120"/>
        <v>2014</v>
      </c>
      <c r="AU1828" s="86"/>
      <c r="AV1828" s="86"/>
      <c r="AW1828" s="87"/>
      <c r="AX1828" s="86"/>
      <c r="AY1828" s="83"/>
      <c r="AZ1828" s="84"/>
      <c r="BA1828" s="86"/>
      <c r="BB1828" s="86"/>
    </row>
    <row r="1829" spans="1:54" ht="36.75" customHeight="1">
      <c r="A1829" s="30"/>
      <c r="B1829" s="30" t="s">
        <v>55</v>
      </c>
      <c r="C1829" s="69" t="str">
        <f t="shared" si="121"/>
        <v>Closed</v>
      </c>
      <c r="D1829" s="27" t="s">
        <v>10211</v>
      </c>
      <c r="E1829" s="29" t="s">
        <v>10212</v>
      </c>
      <c r="F1829" s="30" t="s">
        <v>638</v>
      </c>
      <c r="G1829" s="89">
        <f>DATE(2014,8,11)</f>
        <v>41862</v>
      </c>
      <c r="H1829" s="90">
        <v>1.4624999999999999</v>
      </c>
      <c r="I1829" s="30" t="s">
        <v>5494</v>
      </c>
      <c r="J1829" s="89" t="s">
        <v>10213</v>
      </c>
      <c r="K1829" s="30" t="s">
        <v>640</v>
      </c>
      <c r="L1829" s="30" t="s">
        <v>10214</v>
      </c>
      <c r="M1829" s="30" t="s">
        <v>63</v>
      </c>
      <c r="N1829" s="30" t="s">
        <v>142</v>
      </c>
      <c r="O1829" s="30" t="s">
        <v>77</v>
      </c>
      <c r="P1829" s="89" t="s">
        <v>65</v>
      </c>
      <c r="Q1829" s="89" t="s">
        <v>642</v>
      </c>
      <c r="R1829" s="89" t="s">
        <v>643</v>
      </c>
      <c r="S1829" s="30">
        <v>0</v>
      </c>
      <c r="T1829" s="233">
        <v>0</v>
      </c>
      <c r="U1829" s="30">
        <v>0</v>
      </c>
      <c r="V1829" s="233">
        <v>0</v>
      </c>
      <c r="W1829" s="30">
        <v>0</v>
      </c>
      <c r="X1829" s="30">
        <v>0</v>
      </c>
      <c r="Y1829" s="30">
        <v>0</v>
      </c>
      <c r="Z1829" s="233">
        <v>0</v>
      </c>
      <c r="AA1829" s="30">
        <v>0</v>
      </c>
      <c r="AB1829" s="30">
        <v>0</v>
      </c>
      <c r="AC1829" s="30">
        <v>0</v>
      </c>
      <c r="AD1829" s="30">
        <v>0</v>
      </c>
      <c r="AE1829" s="89" t="s">
        <v>92</v>
      </c>
      <c r="AF1829" s="89"/>
      <c r="AG1829" s="89" t="s">
        <v>352</v>
      </c>
      <c r="AH1829" s="72">
        <v>41905</v>
      </c>
      <c r="AI1829" s="30">
        <v>2</v>
      </c>
      <c r="AJ1829" s="89" t="s">
        <v>10215</v>
      </c>
      <c r="AK1829" s="89" t="s">
        <v>68</v>
      </c>
      <c r="AL1829" s="91">
        <v>41912</v>
      </c>
      <c r="AM1829" s="91"/>
      <c r="AN1829" s="91"/>
      <c r="AO1829" s="91"/>
      <c r="AP1829" s="73" t="e">
        <f>MID(VLOOKUP(K1829,#REF!,2,FALSE),1,2)</f>
        <v>#REF!</v>
      </c>
      <c r="AQ1829" s="89">
        <f>DATE(2014,8,11)</f>
        <v>41862</v>
      </c>
      <c r="AR1829" s="82">
        <f t="shared" si="118"/>
        <v>11</v>
      </c>
      <c r="AS1829" s="83">
        <f t="shared" si="119"/>
        <v>8</v>
      </c>
      <c r="AT1829" s="84">
        <f t="shared" si="120"/>
        <v>2014</v>
      </c>
      <c r="AU1829" s="86"/>
      <c r="AV1829" s="86"/>
      <c r="AW1829" s="87"/>
      <c r="AX1829" s="86"/>
      <c r="AY1829" s="83"/>
      <c r="AZ1829" s="84"/>
      <c r="BA1829" s="86"/>
      <c r="BB1829" s="86"/>
    </row>
    <row r="1830" spans="1:54" ht="36.75" customHeight="1">
      <c r="A1830" s="30"/>
      <c r="B1830" s="30" t="s">
        <v>55</v>
      </c>
      <c r="C1830" s="69" t="str">
        <f t="shared" si="121"/>
        <v>Closed</v>
      </c>
      <c r="D1830" s="27" t="s">
        <v>10216</v>
      </c>
      <c r="E1830" s="29" t="s">
        <v>10217</v>
      </c>
      <c r="F1830" s="30" t="s">
        <v>233</v>
      </c>
      <c r="G1830" s="89">
        <f>DATE(2014,8,11)</f>
        <v>41862</v>
      </c>
      <c r="H1830" s="90">
        <v>1.7888888888888888</v>
      </c>
      <c r="I1830" s="30" t="s">
        <v>125</v>
      </c>
      <c r="J1830" s="89" t="s">
        <v>10218</v>
      </c>
      <c r="K1830" s="30" t="s">
        <v>235</v>
      </c>
      <c r="L1830" s="30" t="s">
        <v>10219</v>
      </c>
      <c r="M1830" s="30" t="s">
        <v>129</v>
      </c>
      <c r="N1830" s="30" t="s">
        <v>142</v>
      </c>
      <c r="O1830" s="30" t="s">
        <v>77</v>
      </c>
      <c r="P1830" s="89" t="s">
        <v>129</v>
      </c>
      <c r="Q1830" s="89" t="s">
        <v>7399</v>
      </c>
      <c r="R1830" s="89">
        <v>0</v>
      </c>
      <c r="S1830" s="30">
        <v>0</v>
      </c>
      <c r="T1830" s="233">
        <v>0</v>
      </c>
      <c r="U1830" s="30">
        <v>0</v>
      </c>
      <c r="V1830" s="233">
        <v>0</v>
      </c>
      <c r="W1830" s="30">
        <v>0</v>
      </c>
      <c r="X1830" s="30">
        <v>0</v>
      </c>
      <c r="Y1830" s="30">
        <v>0</v>
      </c>
      <c r="Z1830" s="233">
        <v>0</v>
      </c>
      <c r="AA1830" s="30">
        <v>0</v>
      </c>
      <c r="AB1830" s="30">
        <v>0</v>
      </c>
      <c r="AC1830" s="30">
        <v>0</v>
      </c>
      <c r="AD1830" s="30">
        <v>0</v>
      </c>
      <c r="AE1830" s="89" t="s">
        <v>92</v>
      </c>
      <c r="AF1830" s="89"/>
      <c r="AG1830" s="89" t="s">
        <v>133</v>
      </c>
      <c r="AH1830" s="72">
        <v>41877</v>
      </c>
      <c r="AI1830" s="30">
        <v>3</v>
      </c>
      <c r="AJ1830" s="89" t="s">
        <v>10220</v>
      </c>
      <c r="AK1830" s="89" t="s">
        <v>10221</v>
      </c>
      <c r="AL1830" s="91">
        <v>41914</v>
      </c>
      <c r="AM1830" s="91"/>
      <c r="AN1830" s="91"/>
      <c r="AO1830" s="91"/>
      <c r="AP1830" s="73" t="e">
        <f>MID(VLOOKUP(K1830,#REF!,2,FALSE),1,2)</f>
        <v>#REF!</v>
      </c>
      <c r="AQ1830" s="89">
        <f>DATE(2014,8,11)</f>
        <v>41862</v>
      </c>
      <c r="AR1830" s="82">
        <f t="shared" si="118"/>
        <v>11</v>
      </c>
      <c r="AS1830" s="83">
        <f t="shared" si="119"/>
        <v>8</v>
      </c>
      <c r="AT1830" s="84">
        <f t="shared" si="120"/>
        <v>2014</v>
      </c>
      <c r="AU1830" s="86"/>
      <c r="AV1830" s="86"/>
      <c r="AW1830" s="87"/>
      <c r="AX1830" s="86"/>
      <c r="AY1830" s="83"/>
      <c r="AZ1830" s="84"/>
      <c r="BA1830" s="86"/>
      <c r="BB1830" s="86"/>
    </row>
    <row r="1831" spans="1:54" ht="36.75" customHeight="1">
      <c r="A1831" s="30"/>
      <c r="B1831" s="30" t="s">
        <v>55</v>
      </c>
      <c r="C1831" s="69" t="str">
        <f t="shared" si="121"/>
        <v>Closed</v>
      </c>
      <c r="D1831" s="27" t="s">
        <v>10222</v>
      </c>
      <c r="E1831" s="29" t="s">
        <v>10223</v>
      </c>
      <c r="F1831" s="30" t="s">
        <v>1572</v>
      </c>
      <c r="G1831" s="89">
        <f>DATE(2014,8,22)</f>
        <v>41873</v>
      </c>
      <c r="H1831" s="90">
        <v>1.0034722222222223</v>
      </c>
      <c r="I1831" s="30" t="s">
        <v>73</v>
      </c>
      <c r="J1831" s="89" t="s">
        <v>10224</v>
      </c>
      <c r="K1831" s="30" t="s">
        <v>1574</v>
      </c>
      <c r="L1831" s="30" t="s">
        <v>10225</v>
      </c>
      <c r="M1831" s="30" t="s">
        <v>63</v>
      </c>
      <c r="N1831" s="30" t="s">
        <v>99</v>
      </c>
      <c r="O1831" s="30" t="s">
        <v>64</v>
      </c>
      <c r="P1831" s="89" t="s">
        <v>78</v>
      </c>
      <c r="Q1831" s="89" t="s">
        <v>2655</v>
      </c>
      <c r="R1831" s="89" t="s">
        <v>6434</v>
      </c>
      <c r="S1831" s="30">
        <v>0</v>
      </c>
      <c r="T1831" s="233">
        <v>0</v>
      </c>
      <c r="U1831" s="30">
        <v>0</v>
      </c>
      <c r="V1831" s="233">
        <v>0</v>
      </c>
      <c r="W1831" s="30">
        <v>0</v>
      </c>
      <c r="X1831" s="30">
        <v>0</v>
      </c>
      <c r="Y1831" s="30">
        <v>0</v>
      </c>
      <c r="Z1831" s="233">
        <v>0</v>
      </c>
      <c r="AA1831" s="30">
        <v>0</v>
      </c>
      <c r="AB1831" s="30">
        <v>0</v>
      </c>
      <c r="AC1831" s="30">
        <v>0</v>
      </c>
      <c r="AD1831" s="30">
        <v>0</v>
      </c>
      <c r="AE1831" s="89" t="s">
        <v>92</v>
      </c>
      <c r="AF1831" s="89"/>
      <c r="AG1831" s="89" t="s">
        <v>133</v>
      </c>
      <c r="AH1831" s="72">
        <v>41876</v>
      </c>
      <c r="AI1831" s="30">
        <v>1</v>
      </c>
      <c r="AJ1831" s="89" t="s">
        <v>10226</v>
      </c>
      <c r="AK1831" s="89" t="s">
        <v>10227</v>
      </c>
      <c r="AL1831" s="91">
        <v>41878</v>
      </c>
      <c r="AM1831" s="91"/>
      <c r="AN1831" s="91"/>
      <c r="AO1831" s="91"/>
      <c r="AP1831" s="73" t="e">
        <f>MID(VLOOKUP(K1831,#REF!,2,FALSE),1,2)</f>
        <v>#REF!</v>
      </c>
      <c r="AQ1831" s="89">
        <f>DATE(2014,8,22)</f>
        <v>41873</v>
      </c>
      <c r="AR1831" s="82">
        <f t="shared" si="118"/>
        <v>22</v>
      </c>
      <c r="AS1831" s="83">
        <f t="shared" si="119"/>
        <v>8</v>
      </c>
      <c r="AT1831" s="84">
        <f t="shared" si="120"/>
        <v>2014</v>
      </c>
      <c r="AU1831" s="86"/>
      <c r="AV1831" s="86"/>
      <c r="AW1831" s="87"/>
      <c r="AX1831" s="86"/>
      <c r="AY1831" s="83"/>
      <c r="AZ1831" s="84"/>
      <c r="BA1831" s="86"/>
      <c r="BB1831" s="86"/>
    </row>
    <row r="1832" spans="1:54" ht="36.75" customHeight="1">
      <c r="A1832" s="30"/>
      <c r="B1832" s="30" t="s">
        <v>55</v>
      </c>
      <c r="C1832" s="69" t="str">
        <f t="shared" si="121"/>
        <v>Closed</v>
      </c>
      <c r="D1832" s="27" t="s">
        <v>10228</v>
      </c>
      <c r="E1832" s="29" t="s">
        <v>10229</v>
      </c>
      <c r="F1832" s="30" t="s">
        <v>835</v>
      </c>
      <c r="G1832" s="89">
        <f>DATE(2014,8,26)</f>
        <v>41877</v>
      </c>
      <c r="H1832" s="90">
        <v>1.2979166666666666</v>
      </c>
      <c r="I1832" s="30" t="s">
        <v>487</v>
      </c>
      <c r="J1832" s="89" t="s">
        <v>10230</v>
      </c>
      <c r="K1832" s="30" t="s">
        <v>837</v>
      </c>
      <c r="L1832" s="30" t="s">
        <v>10231</v>
      </c>
      <c r="M1832" s="30" t="s">
        <v>255</v>
      </c>
      <c r="N1832" s="30" t="s">
        <v>89</v>
      </c>
      <c r="O1832" s="30" t="s">
        <v>86</v>
      </c>
      <c r="P1832" s="89" t="s">
        <v>6552</v>
      </c>
      <c r="Q1832" s="89">
        <v>0</v>
      </c>
      <c r="R1832" s="89">
        <v>0</v>
      </c>
      <c r="S1832" s="30">
        <v>0</v>
      </c>
      <c r="T1832" s="233">
        <v>0</v>
      </c>
      <c r="U1832" s="30">
        <v>0</v>
      </c>
      <c r="V1832" s="233">
        <v>0</v>
      </c>
      <c r="W1832" s="30">
        <v>0</v>
      </c>
      <c r="X1832" s="30">
        <v>0</v>
      </c>
      <c r="Y1832" s="30">
        <v>0</v>
      </c>
      <c r="Z1832" s="233">
        <v>0</v>
      </c>
      <c r="AA1832" s="30">
        <v>0</v>
      </c>
      <c r="AB1832" s="30">
        <v>0</v>
      </c>
      <c r="AC1832" s="30">
        <v>0</v>
      </c>
      <c r="AD1832" s="30">
        <v>0</v>
      </c>
      <c r="AE1832" s="89" t="s">
        <v>92</v>
      </c>
      <c r="AF1832" s="89"/>
      <c r="AG1832" s="89" t="s">
        <v>367</v>
      </c>
      <c r="AH1832" s="72">
        <v>41877</v>
      </c>
      <c r="AI1832" s="30">
        <v>0</v>
      </c>
      <c r="AJ1832" s="89" t="s">
        <v>10232</v>
      </c>
      <c r="AK1832" s="89" t="s">
        <v>68</v>
      </c>
      <c r="AL1832" s="91">
        <v>41877</v>
      </c>
      <c r="AM1832" s="91"/>
      <c r="AN1832" s="91"/>
      <c r="AO1832" s="91"/>
      <c r="AP1832" s="73" t="e">
        <f>MID(VLOOKUP(K1832,#REF!,2,FALSE),1,2)</f>
        <v>#REF!</v>
      </c>
      <c r="AQ1832" s="89">
        <f>DATE(2014,8,26)</f>
        <v>41877</v>
      </c>
      <c r="AR1832" s="82">
        <f t="shared" si="118"/>
        <v>26</v>
      </c>
      <c r="AS1832" s="83">
        <f t="shared" si="119"/>
        <v>8</v>
      </c>
      <c r="AT1832" s="84">
        <f t="shared" si="120"/>
        <v>2014</v>
      </c>
      <c r="AU1832" s="86"/>
      <c r="AV1832" s="86"/>
      <c r="AW1832" s="87"/>
      <c r="AX1832" s="86"/>
      <c r="AY1832" s="83"/>
      <c r="AZ1832" s="84"/>
      <c r="BA1832" s="86"/>
      <c r="BB1832" s="86"/>
    </row>
    <row r="1833" spans="1:54" ht="36.75" customHeight="1">
      <c r="A1833" s="30"/>
      <c r="B1833" s="30" t="s">
        <v>55</v>
      </c>
      <c r="C1833" s="69" t="str">
        <f t="shared" si="121"/>
        <v>Closed</v>
      </c>
      <c r="D1833" s="27" t="s">
        <v>10233</v>
      </c>
      <c r="E1833" s="29" t="s">
        <v>10234</v>
      </c>
      <c r="F1833" s="30" t="s">
        <v>624</v>
      </c>
      <c r="G1833" s="89">
        <f>DATE(2014,8,27)</f>
        <v>41878</v>
      </c>
      <c r="H1833" s="90">
        <v>1.6076388888888888</v>
      </c>
      <c r="I1833" s="30" t="s">
        <v>9026</v>
      </c>
      <c r="J1833" s="89" t="s">
        <v>9026</v>
      </c>
      <c r="K1833" s="30" t="s">
        <v>626</v>
      </c>
      <c r="L1833" s="30" t="s">
        <v>10235</v>
      </c>
      <c r="M1833" s="30" t="s">
        <v>63</v>
      </c>
      <c r="N1833" s="30" t="s">
        <v>99</v>
      </c>
      <c r="O1833" s="30" t="s">
        <v>64</v>
      </c>
      <c r="P1833" s="89" t="s">
        <v>165</v>
      </c>
      <c r="Q1833" s="89" t="s">
        <v>7181</v>
      </c>
      <c r="R1833" s="89" t="s">
        <v>629</v>
      </c>
      <c r="S1833" s="30">
        <v>0</v>
      </c>
      <c r="T1833" s="233">
        <v>0</v>
      </c>
      <c r="U1833" s="30">
        <v>0</v>
      </c>
      <c r="V1833" s="233">
        <v>0</v>
      </c>
      <c r="W1833" s="30">
        <v>0</v>
      </c>
      <c r="X1833" s="30">
        <v>0</v>
      </c>
      <c r="Y1833" s="30">
        <v>0</v>
      </c>
      <c r="Z1833" s="233">
        <v>0</v>
      </c>
      <c r="AA1833" s="30">
        <v>0</v>
      </c>
      <c r="AB1833" s="30">
        <v>0</v>
      </c>
      <c r="AC1833" s="30">
        <v>0</v>
      </c>
      <c r="AD1833" s="30">
        <v>0</v>
      </c>
      <c r="AE1833" s="89" t="s">
        <v>394</v>
      </c>
      <c r="AF1833" s="89"/>
      <c r="AG1833" s="89" t="s">
        <v>589</v>
      </c>
      <c r="AH1833" s="72">
        <v>41878</v>
      </c>
      <c r="AI1833" s="30">
        <v>1</v>
      </c>
      <c r="AJ1833" s="89" t="s">
        <v>10236</v>
      </c>
      <c r="AK1833" s="89" t="s">
        <v>68</v>
      </c>
      <c r="AL1833" s="91">
        <v>41983</v>
      </c>
      <c r="AM1833" s="91"/>
      <c r="AN1833" s="91"/>
      <c r="AO1833" s="91"/>
      <c r="AP1833" s="73" t="e">
        <f>MID(VLOOKUP(K1833,#REF!,2,FALSE),1,2)</f>
        <v>#REF!</v>
      </c>
      <c r="AQ1833" s="89">
        <f>DATE(2014,8,27)</f>
        <v>41878</v>
      </c>
      <c r="AR1833" s="82">
        <f t="shared" si="118"/>
        <v>27</v>
      </c>
      <c r="AS1833" s="83">
        <f t="shared" si="119"/>
        <v>8</v>
      </c>
      <c r="AT1833" s="84">
        <f t="shared" si="120"/>
        <v>2014</v>
      </c>
      <c r="AU1833" s="86"/>
      <c r="AV1833" s="86"/>
      <c r="AW1833" s="87"/>
      <c r="AX1833" s="86"/>
      <c r="AY1833" s="83"/>
      <c r="AZ1833" s="84"/>
      <c r="BA1833" s="86"/>
      <c r="BB1833" s="86"/>
    </row>
    <row r="1834" spans="1:54" ht="36.75" customHeight="1">
      <c r="A1834" s="30"/>
      <c r="B1834" s="30" t="s">
        <v>55</v>
      </c>
      <c r="C1834" s="69" t="str">
        <f t="shared" si="121"/>
        <v>Closed</v>
      </c>
      <c r="D1834" s="27" t="s">
        <v>10237</v>
      </c>
      <c r="E1834" s="29" t="s">
        <v>10238</v>
      </c>
      <c r="F1834" s="30" t="s">
        <v>1572</v>
      </c>
      <c r="G1834" s="89">
        <f>DATE(2014,8,28)</f>
        <v>41879</v>
      </c>
      <c r="H1834" s="90">
        <v>1.3125</v>
      </c>
      <c r="I1834" s="30" t="s">
        <v>73</v>
      </c>
      <c r="J1834" s="89" t="s">
        <v>10239</v>
      </c>
      <c r="K1834" s="30" t="s">
        <v>1574</v>
      </c>
      <c r="L1834" s="30" t="s">
        <v>10225</v>
      </c>
      <c r="M1834" s="30" t="s">
        <v>63</v>
      </c>
      <c r="N1834" s="30" t="s">
        <v>99</v>
      </c>
      <c r="O1834" s="30" t="s">
        <v>64</v>
      </c>
      <c r="P1834" s="89" t="s">
        <v>78</v>
      </c>
      <c r="Q1834" s="89" t="s">
        <v>2655</v>
      </c>
      <c r="R1834" s="89" t="s">
        <v>6434</v>
      </c>
      <c r="S1834" s="30">
        <v>0</v>
      </c>
      <c r="T1834" s="233">
        <v>0</v>
      </c>
      <c r="U1834" s="30">
        <v>0</v>
      </c>
      <c r="V1834" s="233">
        <v>0</v>
      </c>
      <c r="W1834" s="30">
        <v>0</v>
      </c>
      <c r="X1834" s="30">
        <v>0</v>
      </c>
      <c r="Y1834" s="30">
        <v>0</v>
      </c>
      <c r="Z1834" s="233">
        <v>0</v>
      </c>
      <c r="AA1834" s="30">
        <v>0</v>
      </c>
      <c r="AB1834" s="30">
        <v>0</v>
      </c>
      <c r="AC1834" s="30">
        <v>0</v>
      </c>
      <c r="AD1834" s="30">
        <v>0</v>
      </c>
      <c r="AE1834" s="89" t="s">
        <v>92</v>
      </c>
      <c r="AF1834" s="89"/>
      <c r="AG1834" s="89" t="s">
        <v>133</v>
      </c>
      <c r="AH1834" s="72">
        <v>41911</v>
      </c>
      <c r="AI1834" s="30">
        <v>1</v>
      </c>
      <c r="AJ1834" s="89" t="s">
        <v>10240</v>
      </c>
      <c r="AK1834" s="89" t="s">
        <v>10241</v>
      </c>
      <c r="AL1834" s="91">
        <v>41887</v>
      </c>
      <c r="AM1834" s="91"/>
      <c r="AN1834" s="91"/>
      <c r="AO1834" s="91"/>
      <c r="AP1834" s="73" t="e">
        <f>MID(VLOOKUP(K1834,#REF!,2,FALSE),1,2)</f>
        <v>#REF!</v>
      </c>
      <c r="AQ1834" s="89">
        <f>DATE(2014,8,28)</f>
        <v>41879</v>
      </c>
      <c r="AR1834" s="82">
        <f t="shared" si="118"/>
        <v>28</v>
      </c>
      <c r="AS1834" s="83">
        <f t="shared" si="119"/>
        <v>8</v>
      </c>
      <c r="AT1834" s="84">
        <f t="shared" si="120"/>
        <v>2014</v>
      </c>
      <c r="AU1834" s="86"/>
      <c r="AV1834" s="86"/>
      <c r="AW1834" s="87"/>
      <c r="AX1834" s="86"/>
      <c r="AY1834" s="83"/>
      <c r="AZ1834" s="84"/>
      <c r="BA1834" s="86"/>
      <c r="BB1834" s="86"/>
    </row>
    <row r="1835" spans="1:54" ht="36.75" customHeight="1">
      <c r="A1835" s="30"/>
      <c r="B1835" s="30" t="s">
        <v>55</v>
      </c>
      <c r="C1835" s="69" t="str">
        <f t="shared" si="121"/>
        <v>Closed</v>
      </c>
      <c r="D1835" s="27" t="s">
        <v>10242</v>
      </c>
      <c r="E1835" s="29" t="s">
        <v>10243</v>
      </c>
      <c r="F1835" s="30" t="s">
        <v>423</v>
      </c>
      <c r="G1835" s="89">
        <f>DATE(2014,8,30)</f>
        <v>41881</v>
      </c>
      <c r="H1835" s="90">
        <v>1.6770833333333335</v>
      </c>
      <c r="I1835" s="30" t="s">
        <v>116</v>
      </c>
      <c r="J1835" s="89" t="s">
        <v>10244</v>
      </c>
      <c r="K1835" s="30" t="s">
        <v>425</v>
      </c>
      <c r="L1835" s="30" t="s">
        <v>10245</v>
      </c>
      <c r="M1835" s="30" t="s">
        <v>63</v>
      </c>
      <c r="N1835" s="30" t="s">
        <v>99</v>
      </c>
      <c r="O1835" s="30" t="s">
        <v>64</v>
      </c>
      <c r="P1835" s="89" t="s">
        <v>301</v>
      </c>
      <c r="Q1835" s="89" t="s">
        <v>10246</v>
      </c>
      <c r="R1835" s="89" t="s">
        <v>3103</v>
      </c>
      <c r="S1835" s="30">
        <v>0</v>
      </c>
      <c r="T1835" s="233">
        <v>0</v>
      </c>
      <c r="U1835" s="30">
        <v>0</v>
      </c>
      <c r="V1835" s="233">
        <v>0</v>
      </c>
      <c r="W1835" s="30">
        <v>0</v>
      </c>
      <c r="X1835" s="30">
        <v>0</v>
      </c>
      <c r="Y1835" s="30">
        <v>0</v>
      </c>
      <c r="Z1835" s="233">
        <v>0</v>
      </c>
      <c r="AA1835" s="30">
        <v>1</v>
      </c>
      <c r="AB1835" s="30">
        <v>0</v>
      </c>
      <c r="AC1835" s="30">
        <v>0</v>
      </c>
      <c r="AD1835" s="30">
        <v>1</v>
      </c>
      <c r="AE1835" s="89" t="s">
        <v>92</v>
      </c>
      <c r="AF1835" s="89"/>
      <c r="AG1835" s="89" t="s">
        <v>133</v>
      </c>
      <c r="AH1835" s="72">
        <v>41648</v>
      </c>
      <c r="AI1835" s="30">
        <v>2</v>
      </c>
      <c r="AJ1835" s="89" t="s">
        <v>10247</v>
      </c>
      <c r="AK1835" s="89" t="s">
        <v>10248</v>
      </c>
      <c r="AL1835" s="91">
        <v>41885</v>
      </c>
      <c r="AM1835" s="91"/>
      <c r="AN1835" s="91"/>
      <c r="AO1835" s="91"/>
      <c r="AP1835" s="73" t="e">
        <f>MID(VLOOKUP(K1835,#REF!,2,FALSE),1,2)</f>
        <v>#REF!</v>
      </c>
      <c r="AQ1835" s="89">
        <f>DATE(2014,8,30)</f>
        <v>41881</v>
      </c>
      <c r="AR1835" s="82">
        <f t="shared" si="118"/>
        <v>30</v>
      </c>
      <c r="AS1835" s="83">
        <f t="shared" si="119"/>
        <v>8</v>
      </c>
      <c r="AT1835" s="84">
        <f t="shared" si="120"/>
        <v>2014</v>
      </c>
      <c r="AU1835" s="86"/>
      <c r="AV1835" s="86"/>
      <c r="AW1835" s="87"/>
      <c r="AX1835" s="86"/>
      <c r="AY1835" s="83"/>
      <c r="AZ1835" s="84"/>
      <c r="BA1835" s="86"/>
      <c r="BB1835" s="86"/>
    </row>
    <row r="1836" spans="1:54" ht="36.75" customHeight="1">
      <c r="A1836" s="30"/>
      <c r="B1836" s="30" t="s">
        <v>55</v>
      </c>
      <c r="C1836" s="69" t="str">
        <f t="shared" si="121"/>
        <v>Closed</v>
      </c>
      <c r="D1836" s="27" t="s">
        <v>10249</v>
      </c>
      <c r="E1836" s="29" t="s">
        <v>10250</v>
      </c>
      <c r="F1836" s="30" t="s">
        <v>638</v>
      </c>
      <c r="G1836" s="89">
        <f>DATE(2014,8,31)</f>
        <v>41882</v>
      </c>
      <c r="H1836" s="90">
        <v>1.6763888888888889</v>
      </c>
      <c r="I1836" s="30" t="s">
        <v>73</v>
      </c>
      <c r="J1836" s="89" t="s">
        <v>10251</v>
      </c>
      <c r="K1836" s="30" t="s">
        <v>640</v>
      </c>
      <c r="L1836" s="30" t="s">
        <v>7732</v>
      </c>
      <c r="M1836" s="30" t="s">
        <v>63</v>
      </c>
      <c r="N1836" s="30" t="s">
        <v>99</v>
      </c>
      <c r="O1836" s="30" t="s">
        <v>77</v>
      </c>
      <c r="P1836" s="89" t="s">
        <v>65</v>
      </c>
      <c r="Q1836" s="89" t="s">
        <v>642</v>
      </c>
      <c r="R1836" s="89" t="s">
        <v>643</v>
      </c>
      <c r="S1836" s="30">
        <v>0</v>
      </c>
      <c r="T1836" s="233">
        <v>0</v>
      </c>
      <c r="U1836" s="30">
        <v>0</v>
      </c>
      <c r="V1836" s="233">
        <v>0</v>
      </c>
      <c r="W1836" s="30">
        <v>0</v>
      </c>
      <c r="X1836" s="30">
        <v>0</v>
      </c>
      <c r="Y1836" s="30">
        <v>0</v>
      </c>
      <c r="Z1836" s="233">
        <v>0</v>
      </c>
      <c r="AA1836" s="30">
        <v>0</v>
      </c>
      <c r="AB1836" s="30">
        <v>0</v>
      </c>
      <c r="AC1836" s="30">
        <v>0</v>
      </c>
      <c r="AD1836" s="30">
        <v>0</v>
      </c>
      <c r="AE1836" s="89" t="s">
        <v>92</v>
      </c>
      <c r="AF1836" s="89"/>
      <c r="AG1836" s="89" t="s">
        <v>352</v>
      </c>
      <c r="AH1836" s="72">
        <v>41905</v>
      </c>
      <c r="AI1836" s="30">
        <v>3</v>
      </c>
      <c r="AJ1836" s="89" t="s">
        <v>10252</v>
      </c>
      <c r="AK1836" s="89" t="s">
        <v>68</v>
      </c>
      <c r="AL1836" s="91">
        <v>41912</v>
      </c>
      <c r="AM1836" s="91"/>
      <c r="AN1836" s="91"/>
      <c r="AO1836" s="91"/>
      <c r="AP1836" s="73" t="e">
        <f>MID(VLOOKUP(K1836,#REF!,2,FALSE),1,2)</f>
        <v>#REF!</v>
      </c>
      <c r="AQ1836" s="89">
        <f>DATE(2014,8,31)</f>
        <v>41882</v>
      </c>
      <c r="AR1836" s="82">
        <f t="shared" si="118"/>
        <v>31</v>
      </c>
      <c r="AS1836" s="83">
        <f t="shared" si="119"/>
        <v>8</v>
      </c>
      <c r="AT1836" s="84">
        <f t="shared" si="120"/>
        <v>2014</v>
      </c>
      <c r="AU1836" s="86"/>
      <c r="AV1836" s="86"/>
      <c r="AW1836" s="87"/>
      <c r="AX1836" s="86"/>
      <c r="AY1836" s="83"/>
      <c r="AZ1836" s="84"/>
      <c r="BA1836" s="86"/>
      <c r="BB1836" s="86"/>
    </row>
    <row r="1837" spans="1:54" ht="36.75" customHeight="1">
      <c r="A1837" s="30"/>
      <c r="B1837" s="30" t="s">
        <v>55</v>
      </c>
      <c r="C1837" s="69" t="str">
        <f t="shared" si="121"/>
        <v>Closed</v>
      </c>
      <c r="D1837" s="27" t="s">
        <v>10253</v>
      </c>
      <c r="E1837" s="29" t="s">
        <v>10254</v>
      </c>
      <c r="F1837" s="30" t="s">
        <v>9789</v>
      </c>
      <c r="G1837" s="89">
        <f>DATE(2014,8,31)</f>
        <v>41882</v>
      </c>
      <c r="H1837" s="90">
        <v>1.6111111111111112</v>
      </c>
      <c r="I1837" s="30" t="s">
        <v>73</v>
      </c>
      <c r="J1837" s="210" t="s">
        <v>10255</v>
      </c>
      <c r="K1837" s="30" t="s">
        <v>9791</v>
      </c>
      <c r="L1837" s="30" t="s">
        <v>10256</v>
      </c>
      <c r="M1837" s="30" t="s">
        <v>63</v>
      </c>
      <c r="N1837" s="30" t="s">
        <v>89</v>
      </c>
      <c r="O1837" s="30" t="s">
        <v>77</v>
      </c>
      <c r="P1837" s="89" t="s">
        <v>78</v>
      </c>
      <c r="Q1837" s="89" t="s">
        <v>10257</v>
      </c>
      <c r="R1837" s="89" t="s">
        <v>9794</v>
      </c>
      <c r="S1837" s="30">
        <v>0</v>
      </c>
      <c r="T1837" s="233">
        <v>0</v>
      </c>
      <c r="U1837" s="30">
        <v>0</v>
      </c>
      <c r="V1837" s="233">
        <v>0</v>
      </c>
      <c r="W1837" s="30">
        <v>0</v>
      </c>
      <c r="X1837" s="30">
        <v>0</v>
      </c>
      <c r="Y1837" s="30">
        <v>0</v>
      </c>
      <c r="Z1837" s="233">
        <v>0</v>
      </c>
      <c r="AA1837" s="30">
        <v>0</v>
      </c>
      <c r="AB1837" s="30">
        <v>0</v>
      </c>
      <c r="AC1837" s="30">
        <v>0</v>
      </c>
      <c r="AD1837" s="30">
        <v>0</v>
      </c>
      <c r="AE1837" s="89" t="s">
        <v>92</v>
      </c>
      <c r="AF1837" s="89"/>
      <c r="AG1837" s="89" t="s">
        <v>133</v>
      </c>
      <c r="AH1837" s="72">
        <v>41886</v>
      </c>
      <c r="AI1837" s="30">
        <v>0</v>
      </c>
      <c r="AJ1837" s="89" t="s">
        <v>10258</v>
      </c>
      <c r="AK1837" s="89" t="s">
        <v>10259</v>
      </c>
      <c r="AL1837" s="91">
        <v>41886</v>
      </c>
      <c r="AM1837" s="91"/>
      <c r="AN1837" s="91"/>
      <c r="AO1837" s="91"/>
      <c r="AP1837" s="73" t="e">
        <f>MID(VLOOKUP(K1837,#REF!,2,FALSE),1,2)</f>
        <v>#REF!</v>
      </c>
      <c r="AQ1837" s="89">
        <f>DATE(2014,8,31)</f>
        <v>41882</v>
      </c>
      <c r="AR1837" s="82">
        <f t="shared" si="118"/>
        <v>31</v>
      </c>
      <c r="AS1837" s="83">
        <f t="shared" si="119"/>
        <v>8</v>
      </c>
      <c r="AT1837" s="84">
        <f t="shared" si="120"/>
        <v>2014</v>
      </c>
      <c r="AU1837" s="86"/>
      <c r="AV1837" s="86"/>
      <c r="AW1837" s="87"/>
      <c r="AX1837" s="86"/>
      <c r="AY1837" s="83"/>
      <c r="AZ1837" s="84"/>
      <c r="BA1837" s="86"/>
      <c r="BB1837" s="86"/>
    </row>
    <row r="1838" spans="1:54" ht="36.75" customHeight="1">
      <c r="A1838" s="30"/>
      <c r="B1838" s="30" t="s">
        <v>55</v>
      </c>
      <c r="C1838" s="69" t="str">
        <f t="shared" si="121"/>
        <v>Closed</v>
      </c>
      <c r="D1838" s="27" t="s">
        <v>10260</v>
      </c>
      <c r="E1838" s="29" t="s">
        <v>10261</v>
      </c>
      <c r="F1838" s="30" t="s">
        <v>2336</v>
      </c>
      <c r="G1838" s="89">
        <f>DATE(2014,8,31)</f>
        <v>41882</v>
      </c>
      <c r="H1838" s="90">
        <v>1.6784722222222221</v>
      </c>
      <c r="I1838" s="30" t="s">
        <v>73</v>
      </c>
      <c r="J1838" s="89" t="s">
        <v>10262</v>
      </c>
      <c r="K1838" s="30" t="s">
        <v>2338</v>
      </c>
      <c r="L1838" s="30" t="s">
        <v>10263</v>
      </c>
      <c r="M1838" s="30" t="s">
        <v>63</v>
      </c>
      <c r="N1838" s="30" t="s">
        <v>142</v>
      </c>
      <c r="O1838" s="30" t="s">
        <v>64</v>
      </c>
      <c r="P1838" s="89" t="s">
        <v>78</v>
      </c>
      <c r="Q1838" s="89" t="s">
        <v>2975</v>
      </c>
      <c r="R1838" s="89" t="s">
        <v>2341</v>
      </c>
      <c r="S1838" s="30">
        <v>0</v>
      </c>
      <c r="T1838" s="233">
        <v>0</v>
      </c>
      <c r="U1838" s="30">
        <v>0</v>
      </c>
      <c r="V1838" s="233">
        <v>0</v>
      </c>
      <c r="W1838" s="30">
        <v>0</v>
      </c>
      <c r="X1838" s="30">
        <v>0</v>
      </c>
      <c r="Y1838" s="30">
        <v>0</v>
      </c>
      <c r="Z1838" s="233">
        <v>0</v>
      </c>
      <c r="AA1838" s="30">
        <v>0</v>
      </c>
      <c r="AB1838" s="30">
        <v>0</v>
      </c>
      <c r="AC1838" s="30">
        <v>0</v>
      </c>
      <c r="AD1838" s="30">
        <v>0</v>
      </c>
      <c r="AE1838" s="89" t="s">
        <v>92</v>
      </c>
      <c r="AF1838" s="89"/>
      <c r="AG1838" s="89" t="s">
        <v>395</v>
      </c>
      <c r="AH1838" s="72">
        <v>42048</v>
      </c>
      <c r="AI1838" s="30">
        <v>7</v>
      </c>
      <c r="AJ1838" s="89" t="s">
        <v>10264</v>
      </c>
      <c r="AK1838" s="89" t="s">
        <v>10265</v>
      </c>
      <c r="AL1838" s="91">
        <v>42054</v>
      </c>
      <c r="AM1838" s="91"/>
      <c r="AN1838" s="91"/>
      <c r="AO1838" s="91"/>
      <c r="AP1838" s="73" t="e">
        <f>MID(VLOOKUP(K1838,#REF!,2,FALSE),1,2)</f>
        <v>#REF!</v>
      </c>
      <c r="AQ1838" s="89">
        <f>DATE(2014,8,31)</f>
        <v>41882</v>
      </c>
      <c r="AR1838" s="82">
        <f t="shared" si="118"/>
        <v>31</v>
      </c>
      <c r="AS1838" s="83">
        <f t="shared" si="119"/>
        <v>8</v>
      </c>
      <c r="AT1838" s="84">
        <f t="shared" si="120"/>
        <v>2014</v>
      </c>
      <c r="AU1838" s="86"/>
      <c r="AV1838" s="86"/>
      <c r="AW1838" s="87"/>
      <c r="AX1838" s="86"/>
      <c r="AY1838" s="83"/>
      <c r="AZ1838" s="84"/>
      <c r="BA1838" s="86"/>
      <c r="BB1838" s="86"/>
    </row>
    <row r="1839" spans="1:54" ht="36.75" customHeight="1">
      <c r="A1839" s="30"/>
      <c r="B1839" s="30" t="s">
        <v>55</v>
      </c>
      <c r="C1839" s="69" t="str">
        <f t="shared" si="121"/>
        <v>Closed</v>
      </c>
      <c r="D1839" s="27" t="s">
        <v>10266</v>
      </c>
      <c r="E1839" s="29" t="s">
        <v>10267</v>
      </c>
      <c r="F1839" s="30" t="s">
        <v>582</v>
      </c>
      <c r="G1839" s="89">
        <f>DATE(2014,9,2)</f>
        <v>41884</v>
      </c>
      <c r="H1839" s="90">
        <v>1.4652777777777777</v>
      </c>
      <c r="I1839" s="30" t="s">
        <v>116</v>
      </c>
      <c r="J1839" s="89" t="s">
        <v>10268</v>
      </c>
      <c r="K1839" s="30" t="s">
        <v>584</v>
      </c>
      <c r="L1839" s="30" t="s">
        <v>10269</v>
      </c>
      <c r="M1839" s="30" t="s">
        <v>63</v>
      </c>
      <c r="N1839" s="30" t="s">
        <v>99</v>
      </c>
      <c r="O1839" s="30" t="s">
        <v>64</v>
      </c>
      <c r="P1839" s="89" t="s">
        <v>381</v>
      </c>
      <c r="Q1839" s="89" t="s">
        <v>586</v>
      </c>
      <c r="R1839" s="89" t="s">
        <v>587</v>
      </c>
      <c r="S1839" s="30">
        <v>0</v>
      </c>
      <c r="T1839" s="233">
        <v>0</v>
      </c>
      <c r="U1839" s="30">
        <v>0</v>
      </c>
      <c r="V1839" s="233">
        <v>0</v>
      </c>
      <c r="W1839" s="30">
        <v>0</v>
      </c>
      <c r="X1839" s="30">
        <v>0</v>
      </c>
      <c r="Y1839" s="30">
        <v>0</v>
      </c>
      <c r="Z1839" s="233">
        <v>0</v>
      </c>
      <c r="AA1839" s="30">
        <v>0</v>
      </c>
      <c r="AB1839" s="30">
        <v>0</v>
      </c>
      <c r="AC1839" s="30">
        <v>0</v>
      </c>
      <c r="AD1839" s="30">
        <v>1</v>
      </c>
      <c r="AE1839" s="89" t="s">
        <v>92</v>
      </c>
      <c r="AF1839" s="89"/>
      <c r="AG1839" s="89" t="s">
        <v>133</v>
      </c>
      <c r="AH1839" s="72">
        <v>41885</v>
      </c>
      <c r="AI1839" s="30">
        <v>0</v>
      </c>
      <c r="AJ1839" s="89" t="s">
        <v>10270</v>
      </c>
      <c r="AK1839" s="89" t="s">
        <v>1233</v>
      </c>
      <c r="AL1839" s="91">
        <v>41897</v>
      </c>
      <c r="AM1839" s="91"/>
      <c r="AN1839" s="91"/>
      <c r="AO1839" s="91"/>
      <c r="AP1839" s="73" t="e">
        <f>MID(VLOOKUP(K1839,#REF!,2,FALSE),1,2)</f>
        <v>#REF!</v>
      </c>
      <c r="AQ1839" s="89">
        <f>DATE(2014,9,2)</f>
        <v>41884</v>
      </c>
      <c r="AR1839" s="82">
        <f t="shared" si="118"/>
        <v>2</v>
      </c>
      <c r="AS1839" s="83">
        <f t="shared" si="119"/>
        <v>9</v>
      </c>
      <c r="AT1839" s="84">
        <f t="shared" si="120"/>
        <v>2014</v>
      </c>
      <c r="AU1839" s="86"/>
      <c r="AV1839" s="86"/>
      <c r="AW1839" s="87"/>
      <c r="AX1839" s="86"/>
      <c r="AY1839" s="83"/>
      <c r="AZ1839" s="84"/>
      <c r="BA1839" s="86"/>
      <c r="BB1839" s="86"/>
    </row>
    <row r="1840" spans="1:54" ht="36.75" customHeight="1">
      <c r="A1840" s="30"/>
      <c r="B1840" s="30" t="s">
        <v>55</v>
      </c>
      <c r="C1840" s="69" t="str">
        <f t="shared" si="121"/>
        <v>Closed</v>
      </c>
      <c r="D1840" s="27" t="s">
        <v>10271</v>
      </c>
      <c r="E1840" s="29" t="s">
        <v>10272</v>
      </c>
      <c r="F1840" s="30" t="s">
        <v>638</v>
      </c>
      <c r="G1840" s="89">
        <f>DATE(2014,9,2)</f>
        <v>41884</v>
      </c>
      <c r="H1840" s="90">
        <v>1.8826388888888888</v>
      </c>
      <c r="I1840" s="30" t="s">
        <v>73</v>
      </c>
      <c r="J1840" s="89" t="s">
        <v>10273</v>
      </c>
      <c r="K1840" s="30" t="s">
        <v>640</v>
      </c>
      <c r="L1840" s="30" t="s">
        <v>10274</v>
      </c>
      <c r="M1840" s="30" t="s">
        <v>63</v>
      </c>
      <c r="N1840" s="30" t="s">
        <v>99</v>
      </c>
      <c r="O1840" s="30" t="s">
        <v>64</v>
      </c>
      <c r="P1840" s="89" t="s">
        <v>78</v>
      </c>
      <c r="Q1840" s="89" t="s">
        <v>4904</v>
      </c>
      <c r="R1840" s="89" t="s">
        <v>643</v>
      </c>
      <c r="S1840" s="30">
        <v>0</v>
      </c>
      <c r="T1840" s="233">
        <v>0</v>
      </c>
      <c r="U1840" s="30">
        <v>0</v>
      </c>
      <c r="V1840" s="233">
        <v>0</v>
      </c>
      <c r="W1840" s="30">
        <v>0</v>
      </c>
      <c r="X1840" s="30">
        <v>0</v>
      </c>
      <c r="Y1840" s="30">
        <v>0</v>
      </c>
      <c r="Z1840" s="233">
        <v>0</v>
      </c>
      <c r="AA1840" s="30">
        <v>0</v>
      </c>
      <c r="AB1840" s="30">
        <v>0</v>
      </c>
      <c r="AC1840" s="30">
        <v>0</v>
      </c>
      <c r="AD1840" s="30">
        <v>0</v>
      </c>
      <c r="AE1840" s="89" t="s">
        <v>92</v>
      </c>
      <c r="AF1840" s="89"/>
      <c r="AG1840" s="89" t="s">
        <v>352</v>
      </c>
      <c r="AH1840" s="72">
        <v>41905</v>
      </c>
      <c r="AI1840" s="30">
        <v>1</v>
      </c>
      <c r="AJ1840" s="89" t="s">
        <v>10275</v>
      </c>
      <c r="AK1840" s="89" t="s">
        <v>68</v>
      </c>
      <c r="AL1840" s="91">
        <v>41912</v>
      </c>
      <c r="AM1840" s="91"/>
      <c r="AN1840" s="91"/>
      <c r="AO1840" s="91"/>
      <c r="AP1840" s="73" t="e">
        <f>MID(VLOOKUP(K1840,#REF!,2,FALSE),1,2)</f>
        <v>#REF!</v>
      </c>
      <c r="AQ1840" s="89">
        <f>DATE(2014,9,2)</f>
        <v>41884</v>
      </c>
      <c r="AR1840" s="82">
        <f t="shared" si="118"/>
        <v>2</v>
      </c>
      <c r="AS1840" s="83">
        <f t="shared" si="119"/>
        <v>9</v>
      </c>
      <c r="AT1840" s="84">
        <f t="shared" si="120"/>
        <v>2014</v>
      </c>
      <c r="AU1840" s="86"/>
      <c r="AV1840" s="86"/>
      <c r="AW1840" s="87"/>
      <c r="AX1840" s="86"/>
      <c r="AY1840" s="83"/>
      <c r="AZ1840" s="84"/>
      <c r="BA1840" s="86"/>
      <c r="BB1840" s="86"/>
    </row>
    <row r="1841" spans="1:54" ht="36.75" customHeight="1">
      <c r="A1841" s="30"/>
      <c r="B1841" s="30" t="s">
        <v>55</v>
      </c>
      <c r="C1841" s="69" t="str">
        <f t="shared" si="121"/>
        <v>Closed</v>
      </c>
      <c r="D1841" s="27" t="s">
        <v>10276</v>
      </c>
      <c r="E1841" s="29" t="s">
        <v>10277</v>
      </c>
      <c r="F1841" s="30" t="s">
        <v>451</v>
      </c>
      <c r="G1841" s="89">
        <f>DATE(2014,9,3)</f>
        <v>41885</v>
      </c>
      <c r="H1841" s="90">
        <v>1.8736111111111109</v>
      </c>
      <c r="I1841" s="30" t="s">
        <v>116</v>
      </c>
      <c r="J1841" s="89" t="s">
        <v>10278</v>
      </c>
      <c r="K1841" s="30" t="s">
        <v>453</v>
      </c>
      <c r="L1841" s="30" t="s">
        <v>10279</v>
      </c>
      <c r="M1841" s="30" t="s">
        <v>63</v>
      </c>
      <c r="N1841" s="30" t="s">
        <v>99</v>
      </c>
      <c r="O1841" s="30" t="s">
        <v>64</v>
      </c>
      <c r="P1841" s="89" t="s">
        <v>165</v>
      </c>
      <c r="Q1841" s="89" t="s">
        <v>665</v>
      </c>
      <c r="R1841" s="89" t="s">
        <v>572</v>
      </c>
      <c r="S1841" s="30">
        <v>0</v>
      </c>
      <c r="T1841" s="233">
        <v>0</v>
      </c>
      <c r="U1841" s="30">
        <v>2</v>
      </c>
      <c r="V1841" s="233">
        <v>0</v>
      </c>
      <c r="W1841" s="30">
        <v>0</v>
      </c>
      <c r="X1841" s="30">
        <v>2</v>
      </c>
      <c r="Y1841" s="30">
        <v>0</v>
      </c>
      <c r="Z1841" s="233">
        <v>0</v>
      </c>
      <c r="AA1841" s="30">
        <v>0</v>
      </c>
      <c r="AB1841" s="30">
        <v>0</v>
      </c>
      <c r="AC1841" s="30">
        <v>0</v>
      </c>
      <c r="AD1841" s="30">
        <v>0</v>
      </c>
      <c r="AE1841" s="89" t="s">
        <v>394</v>
      </c>
      <c r="AF1841" s="89"/>
      <c r="AG1841" s="89" t="s">
        <v>82</v>
      </c>
      <c r="AH1841" s="72">
        <v>41886</v>
      </c>
      <c r="AI1841" s="30">
        <v>1</v>
      </c>
      <c r="AJ1841" s="89" t="s">
        <v>10280</v>
      </c>
      <c r="AK1841" s="89" t="s">
        <v>68</v>
      </c>
      <c r="AL1841" s="91">
        <v>42831</v>
      </c>
      <c r="AM1841" s="91"/>
      <c r="AN1841" s="91"/>
      <c r="AO1841" s="91"/>
      <c r="AP1841" s="73" t="e">
        <f>MID(VLOOKUP(K1841,#REF!,2,FALSE),1,2)</f>
        <v>#REF!</v>
      </c>
      <c r="AQ1841" s="89">
        <f>DATE(2014,9,3)</f>
        <v>41885</v>
      </c>
      <c r="AR1841" s="82">
        <f t="shared" si="118"/>
        <v>3</v>
      </c>
      <c r="AS1841" s="83">
        <f t="shared" si="119"/>
        <v>9</v>
      </c>
      <c r="AT1841" s="84">
        <f t="shared" si="120"/>
        <v>2014</v>
      </c>
      <c r="AU1841" s="86"/>
      <c r="AV1841" s="86"/>
      <c r="AW1841" s="87"/>
      <c r="AX1841" s="86"/>
      <c r="AY1841" s="83"/>
      <c r="AZ1841" s="84"/>
      <c r="BA1841" s="86"/>
      <c r="BB1841" s="86"/>
    </row>
    <row r="1842" spans="1:54" ht="36.75" customHeight="1">
      <c r="A1842" s="30"/>
      <c r="B1842" s="30" t="s">
        <v>55</v>
      </c>
      <c r="C1842" s="69" t="str">
        <f t="shared" si="121"/>
        <v>Closed</v>
      </c>
      <c r="D1842" s="27" t="s">
        <v>10281</v>
      </c>
      <c r="E1842" s="29" t="s">
        <v>10282</v>
      </c>
      <c r="F1842" s="30" t="s">
        <v>835</v>
      </c>
      <c r="G1842" s="89">
        <f>DATE(2014,9,3)</f>
        <v>41885</v>
      </c>
      <c r="H1842" s="90">
        <v>1.3659722222222221</v>
      </c>
      <c r="I1842" s="30" t="s">
        <v>104</v>
      </c>
      <c r="J1842" s="89" t="s">
        <v>10283</v>
      </c>
      <c r="K1842" s="30" t="s">
        <v>837</v>
      </c>
      <c r="L1842" s="30" t="s">
        <v>10284</v>
      </c>
      <c r="M1842" s="30" t="s">
        <v>63</v>
      </c>
      <c r="N1842" s="30" t="s">
        <v>142</v>
      </c>
      <c r="O1842" s="30" t="s">
        <v>77</v>
      </c>
      <c r="P1842" s="89" t="s">
        <v>301</v>
      </c>
      <c r="Q1842" s="89">
        <v>0</v>
      </c>
      <c r="R1842" s="89" t="s">
        <v>840</v>
      </c>
      <c r="S1842" s="30">
        <v>0</v>
      </c>
      <c r="T1842" s="233">
        <v>0</v>
      </c>
      <c r="U1842" s="30">
        <v>0</v>
      </c>
      <c r="V1842" s="233">
        <v>0</v>
      </c>
      <c r="W1842" s="30">
        <v>0</v>
      </c>
      <c r="X1842" s="30">
        <v>0</v>
      </c>
      <c r="Y1842" s="30">
        <v>0</v>
      </c>
      <c r="Z1842" s="233">
        <v>0</v>
      </c>
      <c r="AA1842" s="30">
        <v>0</v>
      </c>
      <c r="AB1842" s="30">
        <v>0</v>
      </c>
      <c r="AC1842" s="30">
        <v>0</v>
      </c>
      <c r="AD1842" s="30">
        <v>0</v>
      </c>
      <c r="AE1842" s="89" t="s">
        <v>92</v>
      </c>
      <c r="AF1842" s="89"/>
      <c r="AG1842" s="89" t="s">
        <v>133</v>
      </c>
      <c r="AH1842" s="72">
        <v>41885</v>
      </c>
      <c r="AI1842" s="30">
        <v>0</v>
      </c>
      <c r="AJ1842" s="89" t="s">
        <v>8641</v>
      </c>
      <c r="AK1842" s="89" t="s">
        <v>68</v>
      </c>
      <c r="AL1842" s="91">
        <v>41940</v>
      </c>
      <c r="AM1842" s="91"/>
      <c r="AN1842" s="91"/>
      <c r="AO1842" s="91"/>
      <c r="AP1842" s="73" t="e">
        <f>MID(VLOOKUP(K1842,#REF!,2,FALSE),1,2)</f>
        <v>#REF!</v>
      </c>
      <c r="AQ1842" s="89">
        <f>DATE(2014,9,3)</f>
        <v>41885</v>
      </c>
      <c r="AR1842" s="82">
        <f t="shared" si="118"/>
        <v>3</v>
      </c>
      <c r="AS1842" s="83">
        <f t="shared" si="119"/>
        <v>9</v>
      </c>
      <c r="AT1842" s="84">
        <f t="shared" si="120"/>
        <v>2014</v>
      </c>
      <c r="AU1842" s="86"/>
      <c r="AV1842" s="86"/>
      <c r="AW1842" s="87"/>
      <c r="AX1842" s="86"/>
      <c r="AY1842" s="83"/>
      <c r="AZ1842" s="84"/>
      <c r="BA1842" s="86"/>
      <c r="BB1842" s="86"/>
    </row>
    <row r="1843" spans="1:54" ht="36.75" customHeight="1">
      <c r="A1843" s="30"/>
      <c r="B1843" s="30" t="s">
        <v>55</v>
      </c>
      <c r="C1843" s="69" t="str">
        <f t="shared" si="121"/>
        <v>Closed</v>
      </c>
      <c r="D1843" s="27" t="s">
        <v>10285</v>
      </c>
      <c r="E1843" s="29" t="s">
        <v>10286</v>
      </c>
      <c r="F1843" s="30" t="s">
        <v>835</v>
      </c>
      <c r="G1843" s="89">
        <f>DATE(2014,9,3)</f>
        <v>41885</v>
      </c>
      <c r="H1843" s="90">
        <v>1.7173611111111109</v>
      </c>
      <c r="I1843" s="30" t="s">
        <v>116</v>
      </c>
      <c r="J1843" s="89" t="s">
        <v>10287</v>
      </c>
      <c r="K1843" s="30" t="s">
        <v>837</v>
      </c>
      <c r="L1843" s="30" t="s">
        <v>10288</v>
      </c>
      <c r="M1843" s="30" t="s">
        <v>63</v>
      </c>
      <c r="N1843" s="30" t="s">
        <v>99</v>
      </c>
      <c r="O1843" s="30" t="s">
        <v>64</v>
      </c>
      <c r="P1843" s="89" t="s">
        <v>165</v>
      </c>
      <c r="Q1843" s="89" t="s">
        <v>2162</v>
      </c>
      <c r="R1843" s="89" t="s">
        <v>840</v>
      </c>
      <c r="S1843" s="30">
        <v>0</v>
      </c>
      <c r="T1843" s="233">
        <v>0</v>
      </c>
      <c r="U1843" s="30">
        <v>0</v>
      </c>
      <c r="V1843" s="233">
        <v>0</v>
      </c>
      <c r="W1843" s="30">
        <v>0</v>
      </c>
      <c r="X1843" s="30">
        <v>0</v>
      </c>
      <c r="Y1843" s="30">
        <v>0</v>
      </c>
      <c r="Z1843" s="233">
        <v>0</v>
      </c>
      <c r="AA1843" s="30">
        <v>0</v>
      </c>
      <c r="AB1843" s="30">
        <v>0</v>
      </c>
      <c r="AC1843" s="30">
        <v>0</v>
      </c>
      <c r="AD1843" s="30">
        <v>0</v>
      </c>
      <c r="AE1843" s="89" t="s">
        <v>92</v>
      </c>
      <c r="AF1843" s="89"/>
      <c r="AG1843" s="89" t="s">
        <v>133</v>
      </c>
      <c r="AH1843" s="72">
        <v>41885</v>
      </c>
      <c r="AI1843" s="30">
        <v>0</v>
      </c>
      <c r="AJ1843" s="89" t="s">
        <v>8641</v>
      </c>
      <c r="AK1843" s="89" t="s">
        <v>68</v>
      </c>
      <c r="AL1843" s="91">
        <v>41975</v>
      </c>
      <c r="AM1843" s="91"/>
      <c r="AN1843" s="91"/>
      <c r="AO1843" s="91"/>
      <c r="AP1843" s="73" t="e">
        <f>MID(VLOOKUP(K1843,#REF!,2,FALSE),1,2)</f>
        <v>#REF!</v>
      </c>
      <c r="AQ1843" s="89">
        <f>DATE(2014,9,3)</f>
        <v>41885</v>
      </c>
      <c r="AR1843" s="82">
        <f t="shared" si="118"/>
        <v>3</v>
      </c>
      <c r="AS1843" s="83">
        <f t="shared" si="119"/>
        <v>9</v>
      </c>
      <c r="AT1843" s="84">
        <f t="shared" si="120"/>
        <v>2014</v>
      </c>
      <c r="AU1843" s="86"/>
      <c r="AV1843" s="86"/>
      <c r="AW1843" s="87"/>
      <c r="AX1843" s="86"/>
      <c r="AY1843" s="83"/>
      <c r="AZ1843" s="84"/>
      <c r="BA1843" s="86"/>
      <c r="BB1843" s="86"/>
    </row>
    <row r="1844" spans="1:54" ht="36.75" customHeight="1">
      <c r="A1844" s="30"/>
      <c r="B1844" s="30" t="s">
        <v>55</v>
      </c>
      <c r="C1844" s="69" t="str">
        <f t="shared" si="121"/>
        <v>Closed</v>
      </c>
      <c r="D1844" s="27" t="s">
        <v>10289</v>
      </c>
      <c r="E1844" s="29" t="s">
        <v>10290</v>
      </c>
      <c r="F1844" s="30" t="s">
        <v>9789</v>
      </c>
      <c r="G1844" s="89">
        <f>DATE(2014,9,4)</f>
        <v>41886</v>
      </c>
      <c r="H1844" s="90">
        <v>1.5347222222222223</v>
      </c>
      <c r="I1844" s="30" t="s">
        <v>125</v>
      </c>
      <c r="J1844" s="210" t="s">
        <v>10291</v>
      </c>
      <c r="K1844" s="30" t="s">
        <v>9791</v>
      </c>
      <c r="L1844" s="30" t="s">
        <v>10132</v>
      </c>
      <c r="M1844" s="30" t="s">
        <v>63</v>
      </c>
      <c r="N1844" s="30" t="s">
        <v>89</v>
      </c>
      <c r="O1844" s="30" t="s">
        <v>77</v>
      </c>
      <c r="P1844" s="89" t="s">
        <v>6902</v>
      </c>
      <c r="Q1844" s="89" t="s">
        <v>9960</v>
      </c>
      <c r="R1844" s="89" t="s">
        <v>9794</v>
      </c>
      <c r="S1844" s="30">
        <v>0</v>
      </c>
      <c r="T1844" s="233">
        <v>0</v>
      </c>
      <c r="U1844" s="30">
        <v>0</v>
      </c>
      <c r="V1844" s="233">
        <v>0</v>
      </c>
      <c r="W1844" s="30">
        <v>0</v>
      </c>
      <c r="X1844" s="30">
        <v>0</v>
      </c>
      <c r="Y1844" s="30">
        <v>0</v>
      </c>
      <c r="Z1844" s="233">
        <v>0</v>
      </c>
      <c r="AA1844" s="30">
        <v>0</v>
      </c>
      <c r="AB1844" s="30">
        <v>0</v>
      </c>
      <c r="AC1844" s="30">
        <v>0</v>
      </c>
      <c r="AD1844" s="30">
        <v>0</v>
      </c>
      <c r="AE1844" s="89" t="s">
        <v>92</v>
      </c>
      <c r="AF1844" s="89"/>
      <c r="AG1844" s="89" t="s">
        <v>133</v>
      </c>
      <c r="AH1844" s="72">
        <v>41888</v>
      </c>
      <c r="AI1844" s="30">
        <v>1</v>
      </c>
      <c r="AJ1844" s="89" t="s">
        <v>10292</v>
      </c>
      <c r="AK1844" s="89" t="s">
        <v>10293</v>
      </c>
      <c r="AL1844" s="91">
        <v>41887</v>
      </c>
      <c r="AM1844" s="91"/>
      <c r="AN1844" s="91"/>
      <c r="AO1844" s="91"/>
      <c r="AP1844" s="73" t="e">
        <f>MID(VLOOKUP(K1844,#REF!,2,FALSE),1,2)</f>
        <v>#REF!</v>
      </c>
      <c r="AQ1844" s="89">
        <f>DATE(2014,9,4)</f>
        <v>41886</v>
      </c>
      <c r="AR1844" s="82">
        <f t="shared" si="118"/>
        <v>4</v>
      </c>
      <c r="AS1844" s="83">
        <f t="shared" si="119"/>
        <v>9</v>
      </c>
      <c r="AT1844" s="84">
        <f t="shared" si="120"/>
        <v>2014</v>
      </c>
      <c r="AU1844" s="86"/>
      <c r="AV1844" s="86"/>
      <c r="AW1844" s="87"/>
      <c r="AX1844" s="86"/>
      <c r="AY1844" s="83"/>
      <c r="AZ1844" s="84"/>
      <c r="BA1844" s="86"/>
      <c r="BB1844" s="86"/>
    </row>
    <row r="1845" spans="1:54" ht="36.75" customHeight="1">
      <c r="A1845" s="30"/>
      <c r="B1845" s="30" t="s">
        <v>55</v>
      </c>
      <c r="C1845" s="69" t="str">
        <f t="shared" si="121"/>
        <v>Closed</v>
      </c>
      <c r="D1845" s="27" t="s">
        <v>10294</v>
      </c>
      <c r="E1845" s="29" t="s">
        <v>10295</v>
      </c>
      <c r="F1845" s="30" t="s">
        <v>1572</v>
      </c>
      <c r="G1845" s="89">
        <f>DATE(2014,9,5)</f>
        <v>41887</v>
      </c>
      <c r="H1845" s="90">
        <v>1.9722222222222223</v>
      </c>
      <c r="I1845" s="30" t="s">
        <v>73</v>
      </c>
      <c r="J1845" s="89" t="s">
        <v>10296</v>
      </c>
      <c r="K1845" s="30" t="s">
        <v>1574</v>
      </c>
      <c r="L1845" s="30" t="s">
        <v>10297</v>
      </c>
      <c r="M1845" s="30" t="s">
        <v>63</v>
      </c>
      <c r="N1845" s="30" t="s">
        <v>99</v>
      </c>
      <c r="O1845" s="30" t="s">
        <v>64</v>
      </c>
      <c r="P1845" s="89" t="s">
        <v>78</v>
      </c>
      <c r="Q1845" s="89" t="s">
        <v>2655</v>
      </c>
      <c r="R1845" s="89" t="s">
        <v>2561</v>
      </c>
      <c r="S1845" s="30">
        <v>0</v>
      </c>
      <c r="T1845" s="233">
        <v>0</v>
      </c>
      <c r="U1845" s="30">
        <v>0</v>
      </c>
      <c r="V1845" s="233">
        <v>0</v>
      </c>
      <c r="W1845" s="30">
        <v>0</v>
      </c>
      <c r="X1845" s="30">
        <v>0</v>
      </c>
      <c r="Y1845" s="30">
        <v>0</v>
      </c>
      <c r="Z1845" s="233">
        <v>0</v>
      </c>
      <c r="AA1845" s="30">
        <v>0</v>
      </c>
      <c r="AB1845" s="30">
        <v>0</v>
      </c>
      <c r="AC1845" s="30">
        <v>0</v>
      </c>
      <c r="AD1845" s="30">
        <v>0</v>
      </c>
      <c r="AE1845" s="89" t="s">
        <v>92</v>
      </c>
      <c r="AF1845" s="89"/>
      <c r="AG1845" s="89" t="s">
        <v>133</v>
      </c>
      <c r="AH1845" s="72">
        <v>41890</v>
      </c>
      <c r="AI1845" s="30">
        <v>1</v>
      </c>
      <c r="AJ1845" s="89" t="s">
        <v>10298</v>
      </c>
      <c r="AK1845" s="89" t="s">
        <v>10299</v>
      </c>
      <c r="AL1845" s="91">
        <v>41894</v>
      </c>
      <c r="AM1845" s="91"/>
      <c r="AN1845" s="91"/>
      <c r="AO1845" s="91"/>
      <c r="AP1845" s="73" t="e">
        <f>MID(VLOOKUP(K1845,#REF!,2,FALSE),1,2)</f>
        <v>#REF!</v>
      </c>
      <c r="AQ1845" s="89">
        <f>DATE(2014,9,5)</f>
        <v>41887</v>
      </c>
      <c r="AR1845" s="82">
        <f t="shared" si="118"/>
        <v>5</v>
      </c>
      <c r="AS1845" s="83">
        <f t="shared" si="119"/>
        <v>9</v>
      </c>
      <c r="AT1845" s="84">
        <f t="shared" si="120"/>
        <v>2014</v>
      </c>
      <c r="AU1845" s="86"/>
      <c r="AV1845" s="86"/>
      <c r="AW1845" s="87"/>
      <c r="AX1845" s="86"/>
      <c r="AY1845" s="83"/>
      <c r="AZ1845" s="84"/>
      <c r="BA1845" s="86"/>
      <c r="BB1845" s="86"/>
    </row>
    <row r="1846" spans="1:54" ht="36.75" customHeight="1">
      <c r="A1846" s="30"/>
      <c r="B1846" s="30" t="s">
        <v>55</v>
      </c>
      <c r="C1846" s="69" t="str">
        <f t="shared" si="121"/>
        <v>Closed</v>
      </c>
      <c r="D1846" s="27" t="s">
        <v>10300</v>
      </c>
      <c r="E1846" s="29" t="s">
        <v>10301</v>
      </c>
      <c r="F1846" s="30" t="s">
        <v>2547</v>
      </c>
      <c r="G1846" s="89">
        <f>DATE(2014,9,7)</f>
        <v>41889</v>
      </c>
      <c r="H1846" s="90">
        <v>1.2618055555555556</v>
      </c>
      <c r="I1846" s="30" t="s">
        <v>278</v>
      </c>
      <c r="J1846" s="89" t="s">
        <v>10302</v>
      </c>
      <c r="K1846" s="30" t="s">
        <v>2549</v>
      </c>
      <c r="L1846" s="30" t="s">
        <v>10303</v>
      </c>
      <c r="M1846" s="30" t="s">
        <v>63</v>
      </c>
      <c r="N1846" s="30" t="s">
        <v>89</v>
      </c>
      <c r="O1846" s="30" t="s">
        <v>90</v>
      </c>
      <c r="P1846" s="89" t="s">
        <v>91</v>
      </c>
      <c r="Q1846" s="89" t="s">
        <v>3504</v>
      </c>
      <c r="R1846" s="89" t="s">
        <v>10304</v>
      </c>
      <c r="S1846" s="30">
        <v>0</v>
      </c>
      <c r="T1846" s="233">
        <v>1</v>
      </c>
      <c r="U1846" s="30">
        <v>0</v>
      </c>
      <c r="V1846" s="233">
        <v>0</v>
      </c>
      <c r="W1846" s="30">
        <v>0</v>
      </c>
      <c r="X1846" s="30">
        <v>1</v>
      </c>
      <c r="Y1846" s="30">
        <v>0</v>
      </c>
      <c r="Z1846" s="233">
        <v>0</v>
      </c>
      <c r="AA1846" s="30">
        <v>0</v>
      </c>
      <c r="AB1846" s="30">
        <v>0</v>
      </c>
      <c r="AC1846" s="30">
        <v>0</v>
      </c>
      <c r="AD1846" s="30">
        <v>0</v>
      </c>
      <c r="AE1846" s="89" t="s">
        <v>394</v>
      </c>
      <c r="AF1846" s="89"/>
      <c r="AG1846" s="89" t="s">
        <v>133</v>
      </c>
      <c r="AH1846" s="72">
        <v>41892</v>
      </c>
      <c r="AI1846" s="30">
        <v>1</v>
      </c>
      <c r="AJ1846" s="89" t="s">
        <v>10305</v>
      </c>
      <c r="AK1846" s="89" t="s">
        <v>10306</v>
      </c>
      <c r="AL1846" s="91">
        <v>41892</v>
      </c>
      <c r="AM1846" s="91"/>
      <c r="AN1846" s="91"/>
      <c r="AO1846" s="91"/>
      <c r="AP1846" s="73" t="e">
        <f>MID(VLOOKUP(K1846,#REF!,2,FALSE),1,2)</f>
        <v>#REF!</v>
      </c>
      <c r="AQ1846" s="89">
        <f>DATE(2014,9,7)</f>
        <v>41889</v>
      </c>
      <c r="AR1846" s="82">
        <f t="shared" si="118"/>
        <v>7</v>
      </c>
      <c r="AS1846" s="83">
        <f t="shared" si="119"/>
        <v>9</v>
      </c>
      <c r="AT1846" s="84">
        <f t="shared" si="120"/>
        <v>2014</v>
      </c>
      <c r="AU1846" s="86"/>
      <c r="AV1846" s="86"/>
      <c r="AW1846" s="87"/>
      <c r="AX1846" s="86"/>
      <c r="AY1846" s="83"/>
      <c r="AZ1846" s="84"/>
      <c r="BA1846" s="86"/>
      <c r="BB1846" s="86"/>
    </row>
    <row r="1847" spans="1:54" ht="36.75" customHeight="1">
      <c r="A1847" s="30"/>
      <c r="B1847" s="30" t="s">
        <v>55</v>
      </c>
      <c r="C1847" s="69" t="str">
        <f t="shared" si="121"/>
        <v>Closed</v>
      </c>
      <c r="D1847" s="27" t="s">
        <v>10307</v>
      </c>
      <c r="E1847" s="29" t="s">
        <v>10308</v>
      </c>
      <c r="F1847" s="30" t="s">
        <v>1572</v>
      </c>
      <c r="G1847" s="89">
        <f>DATE(2014,9,7)</f>
        <v>41889</v>
      </c>
      <c r="H1847" s="90">
        <v>1.1701388888888888</v>
      </c>
      <c r="I1847" s="30" t="s">
        <v>73</v>
      </c>
      <c r="J1847" s="89" t="s">
        <v>10309</v>
      </c>
      <c r="K1847" s="30" t="s">
        <v>1574</v>
      </c>
      <c r="L1847" s="30" t="s">
        <v>10310</v>
      </c>
      <c r="M1847" s="30" t="s">
        <v>63</v>
      </c>
      <c r="N1847" s="30" t="s">
        <v>99</v>
      </c>
      <c r="O1847" s="30" t="s">
        <v>77</v>
      </c>
      <c r="P1847" s="89" t="s">
        <v>78</v>
      </c>
      <c r="Q1847" s="89" t="s">
        <v>6093</v>
      </c>
      <c r="R1847" s="89" t="s">
        <v>4920</v>
      </c>
      <c r="S1847" s="30">
        <v>0</v>
      </c>
      <c r="T1847" s="233">
        <v>0</v>
      </c>
      <c r="U1847" s="30">
        <v>0</v>
      </c>
      <c r="V1847" s="233">
        <v>0</v>
      </c>
      <c r="W1847" s="30">
        <v>0</v>
      </c>
      <c r="X1847" s="30">
        <v>0</v>
      </c>
      <c r="Y1847" s="30">
        <v>0</v>
      </c>
      <c r="Z1847" s="233">
        <v>0</v>
      </c>
      <c r="AA1847" s="30">
        <v>0</v>
      </c>
      <c r="AB1847" s="30">
        <v>0</v>
      </c>
      <c r="AC1847" s="30">
        <v>0</v>
      </c>
      <c r="AD1847" s="30">
        <v>0</v>
      </c>
      <c r="AE1847" s="89" t="s">
        <v>92</v>
      </c>
      <c r="AF1847" s="89"/>
      <c r="AG1847" s="89" t="s">
        <v>133</v>
      </c>
      <c r="AH1847" s="72">
        <v>41890</v>
      </c>
      <c r="AI1847" s="30">
        <v>0</v>
      </c>
      <c r="AJ1847" s="89" t="s">
        <v>10311</v>
      </c>
      <c r="AK1847" s="89" t="s">
        <v>10312</v>
      </c>
      <c r="AL1847" s="91">
        <v>41894</v>
      </c>
      <c r="AM1847" s="91"/>
      <c r="AN1847" s="91"/>
      <c r="AO1847" s="91"/>
      <c r="AP1847" s="73" t="e">
        <f>MID(VLOOKUP(K1847,#REF!,2,FALSE),1,2)</f>
        <v>#REF!</v>
      </c>
      <c r="AQ1847" s="89">
        <f>DATE(2014,9,7)</f>
        <v>41889</v>
      </c>
      <c r="AR1847" s="82">
        <f t="shared" si="118"/>
        <v>7</v>
      </c>
      <c r="AS1847" s="83">
        <f t="shared" si="119"/>
        <v>9</v>
      </c>
      <c r="AT1847" s="84">
        <f t="shared" si="120"/>
        <v>2014</v>
      </c>
      <c r="AU1847" s="86"/>
      <c r="AV1847" s="86"/>
      <c r="AW1847" s="87"/>
      <c r="AX1847" s="86"/>
      <c r="AY1847" s="83"/>
      <c r="AZ1847" s="84"/>
      <c r="BA1847" s="86"/>
      <c r="BB1847" s="86"/>
    </row>
    <row r="1848" spans="1:54" ht="36.75" customHeight="1">
      <c r="A1848" s="30"/>
      <c r="B1848" s="30" t="s">
        <v>55</v>
      </c>
      <c r="C1848" s="69" t="str">
        <f t="shared" si="121"/>
        <v>Closed</v>
      </c>
      <c r="D1848" s="27" t="s">
        <v>10313</v>
      </c>
      <c r="E1848" s="29" t="s">
        <v>10314</v>
      </c>
      <c r="F1848" s="30" t="s">
        <v>423</v>
      </c>
      <c r="G1848" s="89">
        <f>DATE(2014,9,9)</f>
        <v>41891</v>
      </c>
      <c r="H1848" s="90">
        <v>1.7798611111111109</v>
      </c>
      <c r="I1848" s="30" t="s">
        <v>278</v>
      </c>
      <c r="J1848" s="89" t="s">
        <v>10315</v>
      </c>
      <c r="K1848" s="30" t="s">
        <v>425</v>
      </c>
      <c r="L1848" s="30" t="s">
        <v>10316</v>
      </c>
      <c r="M1848" s="30" t="s">
        <v>255</v>
      </c>
      <c r="N1848" s="30" t="s">
        <v>142</v>
      </c>
      <c r="O1848" s="30" t="s">
        <v>64</v>
      </c>
      <c r="P1848" s="89" t="s">
        <v>6552</v>
      </c>
      <c r="Q1848" s="89" t="s">
        <v>1343</v>
      </c>
      <c r="R1848" s="89" t="s">
        <v>1343</v>
      </c>
      <c r="S1848" s="30">
        <v>0</v>
      </c>
      <c r="T1848" s="233">
        <v>0</v>
      </c>
      <c r="U1848" s="30">
        <v>0</v>
      </c>
      <c r="V1848" s="233">
        <v>0</v>
      </c>
      <c r="W1848" s="30">
        <v>0</v>
      </c>
      <c r="X1848" s="30">
        <v>0</v>
      </c>
      <c r="Y1848" s="30">
        <v>1</v>
      </c>
      <c r="Z1848" s="233">
        <v>0</v>
      </c>
      <c r="AA1848" s="30">
        <v>0</v>
      </c>
      <c r="AB1848" s="30">
        <v>0</v>
      </c>
      <c r="AC1848" s="30">
        <v>0</v>
      </c>
      <c r="AD1848" s="30">
        <v>1</v>
      </c>
      <c r="AE1848" s="89" t="s">
        <v>92</v>
      </c>
      <c r="AF1848" s="89"/>
      <c r="AG1848" s="89" t="s">
        <v>352</v>
      </c>
      <c r="AH1848" s="72">
        <v>41901</v>
      </c>
      <c r="AI1848" s="30">
        <v>1</v>
      </c>
      <c r="AJ1848" s="89" t="s">
        <v>10317</v>
      </c>
      <c r="AK1848" s="89" t="s">
        <v>10318</v>
      </c>
      <c r="AL1848" s="91">
        <v>41904</v>
      </c>
      <c r="AM1848" s="91"/>
      <c r="AN1848" s="91"/>
      <c r="AO1848" s="91"/>
      <c r="AP1848" s="73" t="e">
        <f>MID(VLOOKUP(K1848,#REF!,2,FALSE),1,2)</f>
        <v>#REF!</v>
      </c>
      <c r="AQ1848" s="89">
        <f>DATE(2014,9,9)</f>
        <v>41891</v>
      </c>
      <c r="AR1848" s="82">
        <f t="shared" ref="AR1848:AR1911" si="122">DAY(AQ1848)</f>
        <v>9</v>
      </c>
      <c r="AS1848" s="83">
        <f t="shared" ref="AS1848:AS1911" si="123">MONTH(AQ1848)</f>
        <v>9</v>
      </c>
      <c r="AT1848" s="84">
        <f t="shared" ref="AT1848:AT1911" si="124">YEAR(AQ1848)</f>
        <v>2014</v>
      </c>
      <c r="AU1848" s="86"/>
      <c r="AV1848" s="86"/>
      <c r="AW1848" s="87"/>
      <c r="AX1848" s="86"/>
      <c r="AY1848" s="83"/>
      <c r="AZ1848" s="84"/>
      <c r="BA1848" s="86"/>
      <c r="BB1848" s="86"/>
    </row>
    <row r="1849" spans="1:54" ht="36.75" customHeight="1">
      <c r="A1849" s="30"/>
      <c r="B1849" s="30" t="s">
        <v>55</v>
      </c>
      <c r="C1849" s="69" t="str">
        <f t="shared" si="121"/>
        <v>Closed</v>
      </c>
      <c r="D1849" s="27" t="s">
        <v>10319</v>
      </c>
      <c r="E1849" s="29" t="s">
        <v>10320</v>
      </c>
      <c r="F1849" s="30" t="s">
        <v>9789</v>
      </c>
      <c r="G1849" s="89">
        <f>DATE(2014,9,11)</f>
        <v>41893</v>
      </c>
      <c r="H1849" s="90">
        <v>1.5416666666666665</v>
      </c>
      <c r="I1849" s="30" t="s">
        <v>198</v>
      </c>
      <c r="J1849" s="210" t="s">
        <v>10321</v>
      </c>
      <c r="K1849" s="30" t="s">
        <v>9791</v>
      </c>
      <c r="L1849" s="30" t="s">
        <v>10322</v>
      </c>
      <c r="M1849" s="30" t="s">
        <v>63</v>
      </c>
      <c r="N1849" s="30" t="s">
        <v>89</v>
      </c>
      <c r="O1849" s="30" t="s">
        <v>6875</v>
      </c>
      <c r="P1849" s="89" t="s">
        <v>91</v>
      </c>
      <c r="Q1849" s="89" t="s">
        <v>9960</v>
      </c>
      <c r="R1849" s="89" t="s">
        <v>9794</v>
      </c>
      <c r="S1849" s="30">
        <v>0</v>
      </c>
      <c r="T1849" s="233">
        <v>0</v>
      </c>
      <c r="U1849" s="30">
        <v>0</v>
      </c>
      <c r="V1849" s="233">
        <v>0</v>
      </c>
      <c r="W1849" s="30">
        <v>0</v>
      </c>
      <c r="X1849" s="30">
        <v>0</v>
      </c>
      <c r="Y1849" s="30">
        <v>0</v>
      </c>
      <c r="Z1849" s="233">
        <v>0</v>
      </c>
      <c r="AA1849" s="30">
        <v>0</v>
      </c>
      <c r="AB1849" s="30">
        <v>0</v>
      </c>
      <c r="AC1849" s="30">
        <v>0</v>
      </c>
      <c r="AD1849" s="30">
        <v>0</v>
      </c>
      <c r="AE1849" s="89" t="s">
        <v>92</v>
      </c>
      <c r="AF1849" s="89"/>
      <c r="AG1849" s="89" t="s">
        <v>133</v>
      </c>
      <c r="AH1849" s="72">
        <v>41893</v>
      </c>
      <c r="AI1849" s="30">
        <v>0</v>
      </c>
      <c r="AJ1849" s="89" t="s">
        <v>10323</v>
      </c>
      <c r="AK1849" s="89" t="s">
        <v>10324</v>
      </c>
      <c r="AL1849" s="91">
        <v>41900</v>
      </c>
      <c r="AM1849" s="91"/>
      <c r="AN1849" s="91"/>
      <c r="AO1849" s="91"/>
      <c r="AP1849" s="73" t="e">
        <f>MID(VLOOKUP(K1849,#REF!,2,FALSE),1,2)</f>
        <v>#REF!</v>
      </c>
      <c r="AQ1849" s="89">
        <f>DATE(2014,9,11)</f>
        <v>41893</v>
      </c>
      <c r="AR1849" s="82">
        <f t="shared" si="122"/>
        <v>11</v>
      </c>
      <c r="AS1849" s="83">
        <f t="shared" si="123"/>
        <v>9</v>
      </c>
      <c r="AT1849" s="84">
        <f t="shared" si="124"/>
        <v>2014</v>
      </c>
      <c r="AU1849" s="86"/>
      <c r="AV1849" s="86"/>
      <c r="AW1849" s="87"/>
      <c r="AX1849" s="86"/>
      <c r="AY1849" s="83"/>
      <c r="AZ1849" s="84"/>
      <c r="BA1849" s="86"/>
      <c r="BB1849" s="86"/>
    </row>
    <row r="1850" spans="1:54" ht="36.75" customHeight="1">
      <c r="A1850" s="30"/>
      <c r="B1850" s="30" t="s">
        <v>55</v>
      </c>
      <c r="C1850" s="69" t="str">
        <f t="shared" si="121"/>
        <v>Closed</v>
      </c>
      <c r="D1850" s="27" t="s">
        <v>10325</v>
      </c>
      <c r="E1850" s="29" t="s">
        <v>10326</v>
      </c>
      <c r="F1850" s="30" t="s">
        <v>9789</v>
      </c>
      <c r="G1850" s="89">
        <f>DATE(2014,9,11)</f>
        <v>41893</v>
      </c>
      <c r="H1850" s="90">
        <v>1.7819444444444446</v>
      </c>
      <c r="I1850" s="30" t="s">
        <v>73</v>
      </c>
      <c r="J1850" s="210" t="s">
        <v>10327</v>
      </c>
      <c r="K1850" s="30" t="s">
        <v>9791</v>
      </c>
      <c r="L1850" s="30" t="s">
        <v>10328</v>
      </c>
      <c r="M1850" s="30" t="s">
        <v>63</v>
      </c>
      <c r="N1850" s="30" t="s">
        <v>99</v>
      </c>
      <c r="O1850" s="30" t="s">
        <v>64</v>
      </c>
      <c r="P1850" s="89" t="s">
        <v>65</v>
      </c>
      <c r="Q1850" s="89" t="s">
        <v>9960</v>
      </c>
      <c r="R1850" s="89" t="s">
        <v>9794</v>
      </c>
      <c r="S1850" s="30">
        <v>0</v>
      </c>
      <c r="T1850" s="233">
        <v>0</v>
      </c>
      <c r="U1850" s="30">
        <v>0</v>
      </c>
      <c r="V1850" s="233">
        <v>0</v>
      </c>
      <c r="W1850" s="30">
        <v>0</v>
      </c>
      <c r="X1850" s="30">
        <v>0</v>
      </c>
      <c r="Y1850" s="30">
        <v>0</v>
      </c>
      <c r="Z1850" s="233">
        <v>0</v>
      </c>
      <c r="AA1850" s="30">
        <v>0</v>
      </c>
      <c r="AB1850" s="30">
        <v>0</v>
      </c>
      <c r="AC1850" s="30">
        <v>0</v>
      </c>
      <c r="AD1850" s="30">
        <v>0</v>
      </c>
      <c r="AE1850" s="89" t="s">
        <v>394</v>
      </c>
      <c r="AF1850" s="89"/>
      <c r="AG1850" s="89" t="s">
        <v>133</v>
      </c>
      <c r="AH1850" s="72">
        <v>41893</v>
      </c>
      <c r="AI1850" s="30">
        <v>1</v>
      </c>
      <c r="AJ1850" s="89" t="s">
        <v>10329</v>
      </c>
      <c r="AK1850" s="89" t="s">
        <v>10330</v>
      </c>
      <c r="AL1850" s="91">
        <v>41901</v>
      </c>
      <c r="AM1850" s="91"/>
      <c r="AN1850" s="91"/>
      <c r="AO1850" s="91"/>
      <c r="AP1850" s="73" t="e">
        <f>MID(VLOOKUP(K1850,#REF!,2,FALSE),1,2)</f>
        <v>#REF!</v>
      </c>
      <c r="AQ1850" s="89">
        <f>DATE(2014,9,11)</f>
        <v>41893</v>
      </c>
      <c r="AR1850" s="82">
        <f t="shared" si="122"/>
        <v>11</v>
      </c>
      <c r="AS1850" s="83">
        <f t="shared" si="123"/>
        <v>9</v>
      </c>
      <c r="AT1850" s="84">
        <f t="shared" si="124"/>
        <v>2014</v>
      </c>
      <c r="AU1850" s="86"/>
      <c r="AV1850" s="86"/>
      <c r="AW1850" s="87"/>
      <c r="AX1850" s="86"/>
      <c r="AY1850" s="83"/>
      <c r="AZ1850" s="84"/>
      <c r="BA1850" s="86"/>
      <c r="BB1850" s="86"/>
    </row>
    <row r="1851" spans="1:54" ht="36.75" customHeight="1">
      <c r="A1851" s="30"/>
      <c r="B1851" s="30" t="s">
        <v>55</v>
      </c>
      <c r="C1851" s="69" t="str">
        <f t="shared" si="121"/>
        <v>Closed</v>
      </c>
      <c r="D1851" s="27" t="s">
        <v>10331</v>
      </c>
      <c r="E1851" s="29" t="s">
        <v>10332</v>
      </c>
      <c r="F1851" s="30" t="s">
        <v>423</v>
      </c>
      <c r="G1851" s="89">
        <f>DATE(2014,9,14)</f>
        <v>41896</v>
      </c>
      <c r="H1851" s="90">
        <v>1.8840277777777779</v>
      </c>
      <c r="I1851" s="30" t="s">
        <v>73</v>
      </c>
      <c r="J1851" s="89" t="s">
        <v>10333</v>
      </c>
      <c r="K1851" s="30" t="s">
        <v>425</v>
      </c>
      <c r="L1851" s="30" t="s">
        <v>10334</v>
      </c>
      <c r="M1851" s="30" t="s">
        <v>63</v>
      </c>
      <c r="N1851" s="30" t="s">
        <v>99</v>
      </c>
      <c r="O1851" s="30" t="s">
        <v>64</v>
      </c>
      <c r="P1851" s="89" t="s">
        <v>78</v>
      </c>
      <c r="Q1851" s="89" t="s">
        <v>2582</v>
      </c>
      <c r="R1851" s="89" t="s">
        <v>3103</v>
      </c>
      <c r="S1851" s="30">
        <v>0</v>
      </c>
      <c r="T1851" s="233">
        <v>0</v>
      </c>
      <c r="U1851" s="30">
        <v>0</v>
      </c>
      <c r="V1851" s="233">
        <v>0</v>
      </c>
      <c r="W1851" s="30">
        <v>0</v>
      </c>
      <c r="X1851" s="30">
        <v>0</v>
      </c>
      <c r="Y1851" s="30">
        <v>0</v>
      </c>
      <c r="Z1851" s="233">
        <v>0</v>
      </c>
      <c r="AA1851" s="30">
        <v>0</v>
      </c>
      <c r="AB1851" s="30">
        <v>0</v>
      </c>
      <c r="AC1851" s="30">
        <v>0</v>
      </c>
      <c r="AD1851" s="30">
        <v>0</v>
      </c>
      <c r="AE1851" s="89" t="s">
        <v>394</v>
      </c>
      <c r="AF1851" s="89"/>
      <c r="AG1851" s="89" t="s">
        <v>133</v>
      </c>
      <c r="AH1851" s="72">
        <v>41898</v>
      </c>
      <c r="AI1851" s="30">
        <v>1</v>
      </c>
      <c r="AJ1851" s="89" t="s">
        <v>10335</v>
      </c>
      <c r="AK1851" s="89" t="s">
        <v>10336</v>
      </c>
      <c r="AL1851" s="91">
        <v>41898</v>
      </c>
      <c r="AM1851" s="91"/>
      <c r="AN1851" s="91"/>
      <c r="AO1851" s="91"/>
      <c r="AP1851" s="73" t="e">
        <f>MID(VLOOKUP(K1851,#REF!,2,FALSE),1,2)</f>
        <v>#REF!</v>
      </c>
      <c r="AQ1851" s="89">
        <f>DATE(2014,9,14)</f>
        <v>41896</v>
      </c>
      <c r="AR1851" s="82">
        <f t="shared" si="122"/>
        <v>14</v>
      </c>
      <c r="AS1851" s="83">
        <f t="shared" si="123"/>
        <v>9</v>
      </c>
      <c r="AT1851" s="84">
        <f t="shared" si="124"/>
        <v>2014</v>
      </c>
      <c r="AU1851" s="86"/>
      <c r="AV1851" s="86"/>
      <c r="AW1851" s="87"/>
      <c r="AX1851" s="86"/>
      <c r="AY1851" s="83"/>
      <c r="AZ1851" s="84"/>
      <c r="BA1851" s="86"/>
      <c r="BB1851" s="86"/>
    </row>
    <row r="1852" spans="1:54" ht="36.75" customHeight="1">
      <c r="A1852" s="30"/>
      <c r="B1852" s="30" t="s">
        <v>55</v>
      </c>
      <c r="C1852" s="69" t="str">
        <f t="shared" si="121"/>
        <v>Closed</v>
      </c>
      <c r="D1852" s="27" t="s">
        <v>10337</v>
      </c>
      <c r="E1852" s="29" t="s">
        <v>10338</v>
      </c>
      <c r="F1852" s="30" t="s">
        <v>835</v>
      </c>
      <c r="G1852" s="89">
        <f>DATE(2014,9,16)</f>
        <v>41898</v>
      </c>
      <c r="H1852" s="90">
        <v>1.5763888888888888</v>
      </c>
      <c r="I1852" s="30" t="s">
        <v>125</v>
      </c>
      <c r="J1852" s="89" t="s">
        <v>10339</v>
      </c>
      <c r="K1852" s="30" t="s">
        <v>837</v>
      </c>
      <c r="L1852" s="30" t="s">
        <v>10340</v>
      </c>
      <c r="M1852" s="30" t="s">
        <v>63</v>
      </c>
      <c r="N1852" s="30" t="s">
        <v>142</v>
      </c>
      <c r="O1852" s="30" t="s">
        <v>64</v>
      </c>
      <c r="P1852" s="89" t="s">
        <v>165</v>
      </c>
      <c r="Q1852" s="89" t="s">
        <v>2162</v>
      </c>
      <c r="R1852" s="89" t="s">
        <v>840</v>
      </c>
      <c r="S1852" s="30">
        <v>0</v>
      </c>
      <c r="T1852" s="233">
        <v>0</v>
      </c>
      <c r="U1852" s="30">
        <v>0</v>
      </c>
      <c r="V1852" s="233">
        <v>0</v>
      </c>
      <c r="W1852" s="30">
        <v>0</v>
      </c>
      <c r="X1852" s="30">
        <v>0</v>
      </c>
      <c r="Y1852" s="30">
        <v>0</v>
      </c>
      <c r="Z1852" s="233">
        <v>0</v>
      </c>
      <c r="AA1852" s="30">
        <v>0</v>
      </c>
      <c r="AB1852" s="30">
        <v>0</v>
      </c>
      <c r="AC1852" s="30">
        <v>0</v>
      </c>
      <c r="AD1852" s="30">
        <v>0</v>
      </c>
      <c r="AE1852" s="89" t="s">
        <v>92</v>
      </c>
      <c r="AF1852" s="89"/>
      <c r="AG1852" s="89" t="s">
        <v>352</v>
      </c>
      <c r="AH1852" s="72">
        <v>41898</v>
      </c>
      <c r="AI1852" s="30">
        <v>0</v>
      </c>
      <c r="AJ1852" s="89" t="s">
        <v>10341</v>
      </c>
      <c r="AK1852" s="89" t="s">
        <v>10342</v>
      </c>
      <c r="AL1852" s="91">
        <v>41929</v>
      </c>
      <c r="AM1852" s="91"/>
      <c r="AN1852" s="91"/>
      <c r="AO1852" s="91"/>
      <c r="AP1852" s="73" t="e">
        <f>MID(VLOOKUP(K1852,#REF!,2,FALSE),1,2)</f>
        <v>#REF!</v>
      </c>
      <c r="AQ1852" s="89">
        <f>DATE(2014,9,16)</f>
        <v>41898</v>
      </c>
      <c r="AR1852" s="82">
        <f t="shared" si="122"/>
        <v>16</v>
      </c>
      <c r="AS1852" s="83">
        <f t="shared" si="123"/>
        <v>9</v>
      </c>
      <c r="AT1852" s="84">
        <f t="shared" si="124"/>
        <v>2014</v>
      </c>
      <c r="AU1852" s="86"/>
      <c r="AV1852" s="86"/>
      <c r="AW1852" s="87"/>
      <c r="AX1852" s="86"/>
      <c r="AY1852" s="83"/>
      <c r="AZ1852" s="84"/>
      <c r="BA1852" s="86"/>
      <c r="BB1852" s="86"/>
    </row>
    <row r="1853" spans="1:54" ht="36.75" customHeight="1">
      <c r="A1853" s="30"/>
      <c r="B1853" s="30" t="s">
        <v>55</v>
      </c>
      <c r="C1853" s="69" t="str">
        <f t="shared" si="121"/>
        <v>Closed</v>
      </c>
      <c r="D1853" s="27" t="s">
        <v>10343</v>
      </c>
      <c r="E1853" s="29" t="s">
        <v>10344</v>
      </c>
      <c r="F1853" s="30" t="s">
        <v>423</v>
      </c>
      <c r="G1853" s="89">
        <f>DATE(2014,9,17)</f>
        <v>41899</v>
      </c>
      <c r="H1853" s="90">
        <v>1.9138888888888888</v>
      </c>
      <c r="I1853" s="30" t="s">
        <v>198</v>
      </c>
      <c r="J1853" s="89" t="s">
        <v>10345</v>
      </c>
      <c r="K1853" s="30" t="s">
        <v>425</v>
      </c>
      <c r="L1853" s="30" t="s">
        <v>10346</v>
      </c>
      <c r="M1853" s="30" t="s">
        <v>63</v>
      </c>
      <c r="N1853" s="30" t="s">
        <v>89</v>
      </c>
      <c r="O1853" s="30" t="s">
        <v>77</v>
      </c>
      <c r="P1853" s="89" t="s">
        <v>4442</v>
      </c>
      <c r="Q1853" s="89" t="s">
        <v>10347</v>
      </c>
      <c r="R1853" s="89" t="s">
        <v>3103</v>
      </c>
      <c r="S1853" s="30">
        <v>0</v>
      </c>
      <c r="T1853" s="233">
        <v>0</v>
      </c>
      <c r="U1853" s="30">
        <v>0</v>
      </c>
      <c r="V1853" s="233">
        <v>0</v>
      </c>
      <c r="W1853" s="30">
        <v>0</v>
      </c>
      <c r="X1853" s="30">
        <v>0</v>
      </c>
      <c r="Y1853" s="30">
        <v>0</v>
      </c>
      <c r="Z1853" s="233">
        <v>1</v>
      </c>
      <c r="AA1853" s="30">
        <v>0</v>
      </c>
      <c r="AB1853" s="30">
        <v>0</v>
      </c>
      <c r="AC1853" s="30">
        <v>0</v>
      </c>
      <c r="AD1853" s="30">
        <v>1</v>
      </c>
      <c r="AE1853" s="89" t="s">
        <v>394</v>
      </c>
      <c r="AF1853" s="89"/>
      <c r="AG1853" s="89" t="s">
        <v>133</v>
      </c>
      <c r="AH1853" s="72">
        <v>42087</v>
      </c>
      <c r="AI1853" s="30">
        <v>2</v>
      </c>
      <c r="AJ1853" s="89" t="s">
        <v>10348</v>
      </c>
      <c r="AK1853" s="89" t="s">
        <v>10349</v>
      </c>
      <c r="AL1853" s="91">
        <v>42087</v>
      </c>
      <c r="AM1853" s="91"/>
      <c r="AN1853" s="91"/>
      <c r="AO1853" s="91"/>
      <c r="AP1853" s="73" t="e">
        <f>MID(VLOOKUP(K1853,#REF!,2,FALSE),1,2)</f>
        <v>#REF!</v>
      </c>
      <c r="AQ1853" s="89">
        <f>DATE(2014,9,17)</f>
        <v>41899</v>
      </c>
      <c r="AR1853" s="82">
        <f t="shared" si="122"/>
        <v>17</v>
      </c>
      <c r="AS1853" s="83">
        <f t="shared" si="123"/>
        <v>9</v>
      </c>
      <c r="AT1853" s="84">
        <f t="shared" si="124"/>
        <v>2014</v>
      </c>
      <c r="AU1853" s="86"/>
      <c r="AV1853" s="86"/>
      <c r="AW1853" s="87"/>
      <c r="AX1853" s="86"/>
      <c r="AY1853" s="83"/>
      <c r="AZ1853" s="84"/>
      <c r="BA1853" s="86"/>
      <c r="BB1853" s="86"/>
    </row>
    <row r="1854" spans="1:54" ht="36.75" customHeight="1">
      <c r="A1854" s="30"/>
      <c r="B1854" s="30" t="s">
        <v>55</v>
      </c>
      <c r="C1854" s="69" t="str">
        <f t="shared" si="121"/>
        <v>Closed</v>
      </c>
      <c r="D1854" s="27" t="s">
        <v>10350</v>
      </c>
      <c r="E1854" s="29" t="s">
        <v>10351</v>
      </c>
      <c r="F1854" s="30" t="s">
        <v>582</v>
      </c>
      <c r="G1854" s="89">
        <f>DATE(2014,9,18)</f>
        <v>41900</v>
      </c>
      <c r="H1854" s="90">
        <v>0</v>
      </c>
      <c r="I1854" s="30" t="s">
        <v>125</v>
      </c>
      <c r="J1854" s="89" t="s">
        <v>10352</v>
      </c>
      <c r="K1854" s="30" t="s">
        <v>584</v>
      </c>
      <c r="L1854" s="30" t="s">
        <v>10353</v>
      </c>
      <c r="M1854" s="30" t="s">
        <v>63</v>
      </c>
      <c r="N1854" s="30" t="s">
        <v>142</v>
      </c>
      <c r="O1854" s="30" t="s">
        <v>77</v>
      </c>
      <c r="P1854" s="89" t="s">
        <v>78</v>
      </c>
      <c r="Q1854" s="89" t="s">
        <v>586</v>
      </c>
      <c r="R1854" s="89" t="s">
        <v>587</v>
      </c>
      <c r="S1854" s="30">
        <v>0</v>
      </c>
      <c r="T1854" s="233">
        <v>0</v>
      </c>
      <c r="U1854" s="30">
        <v>0</v>
      </c>
      <c r="V1854" s="233">
        <v>0</v>
      </c>
      <c r="W1854" s="30">
        <v>0</v>
      </c>
      <c r="X1854" s="30">
        <v>0</v>
      </c>
      <c r="Y1854" s="30">
        <v>0</v>
      </c>
      <c r="Z1854" s="233">
        <v>0</v>
      </c>
      <c r="AA1854" s="30">
        <v>0</v>
      </c>
      <c r="AB1854" s="30">
        <v>0</v>
      </c>
      <c r="AC1854" s="30">
        <v>0</v>
      </c>
      <c r="AD1854" s="30">
        <v>0</v>
      </c>
      <c r="AE1854" s="89" t="s">
        <v>394</v>
      </c>
      <c r="AF1854" s="89"/>
      <c r="AG1854" s="89" t="s">
        <v>133</v>
      </c>
      <c r="AH1854" s="72">
        <v>42034</v>
      </c>
      <c r="AI1854" s="30">
        <v>0</v>
      </c>
      <c r="AJ1854" s="89" t="s">
        <v>10354</v>
      </c>
      <c r="AK1854" s="89" t="s">
        <v>1233</v>
      </c>
      <c r="AL1854" s="91">
        <v>42058</v>
      </c>
      <c r="AM1854" s="91"/>
      <c r="AN1854" s="91"/>
      <c r="AO1854" s="91"/>
      <c r="AP1854" s="73" t="e">
        <f>MID(VLOOKUP(K1854,#REF!,2,FALSE),1,2)</f>
        <v>#REF!</v>
      </c>
      <c r="AQ1854" s="89">
        <f>DATE(2014,9,18)</f>
        <v>41900</v>
      </c>
      <c r="AR1854" s="82">
        <f t="shared" si="122"/>
        <v>18</v>
      </c>
      <c r="AS1854" s="83">
        <f t="shared" si="123"/>
        <v>9</v>
      </c>
      <c r="AT1854" s="84">
        <f t="shared" si="124"/>
        <v>2014</v>
      </c>
      <c r="AU1854" s="86"/>
      <c r="AV1854" s="86"/>
      <c r="AW1854" s="87"/>
      <c r="AX1854" s="86"/>
      <c r="AY1854" s="83"/>
      <c r="AZ1854" s="84"/>
      <c r="BA1854" s="86"/>
      <c r="BB1854" s="86"/>
    </row>
    <row r="1855" spans="1:54" ht="36.75" customHeight="1">
      <c r="A1855" s="30"/>
      <c r="B1855" s="30" t="s">
        <v>55</v>
      </c>
      <c r="C1855" s="69" t="str">
        <f t="shared" si="121"/>
        <v>Closed</v>
      </c>
      <c r="D1855" s="27" t="s">
        <v>10355</v>
      </c>
      <c r="E1855" s="29" t="s">
        <v>10356</v>
      </c>
      <c r="F1855" s="30" t="s">
        <v>9789</v>
      </c>
      <c r="G1855" s="89">
        <f>DATE(2014,9,18)</f>
        <v>41900</v>
      </c>
      <c r="H1855" s="90">
        <v>1.5520833333333335</v>
      </c>
      <c r="I1855" s="30" t="s">
        <v>116</v>
      </c>
      <c r="J1855" s="210" t="s">
        <v>10357</v>
      </c>
      <c r="K1855" s="30" t="s">
        <v>9791</v>
      </c>
      <c r="L1855" s="30" t="s">
        <v>10358</v>
      </c>
      <c r="M1855" s="30" t="s">
        <v>63</v>
      </c>
      <c r="N1855" s="30" t="s">
        <v>99</v>
      </c>
      <c r="O1855" s="30" t="s">
        <v>64</v>
      </c>
      <c r="P1855" s="89" t="s">
        <v>6902</v>
      </c>
      <c r="Q1855" s="89" t="s">
        <v>9960</v>
      </c>
      <c r="R1855" s="89" t="s">
        <v>9794</v>
      </c>
      <c r="S1855" s="30">
        <v>0</v>
      </c>
      <c r="T1855" s="233">
        <v>0</v>
      </c>
      <c r="U1855" s="30">
        <v>0</v>
      </c>
      <c r="V1855" s="233">
        <v>0</v>
      </c>
      <c r="W1855" s="30">
        <v>0</v>
      </c>
      <c r="X1855" s="30">
        <v>0</v>
      </c>
      <c r="Y1855" s="30">
        <v>0</v>
      </c>
      <c r="Z1855" s="233">
        <v>0</v>
      </c>
      <c r="AA1855" s="30">
        <v>0</v>
      </c>
      <c r="AB1855" s="30">
        <v>0</v>
      </c>
      <c r="AC1855" s="30">
        <v>0</v>
      </c>
      <c r="AD1855" s="30">
        <v>0</v>
      </c>
      <c r="AE1855" s="89" t="s">
        <v>92</v>
      </c>
      <c r="AF1855" s="89"/>
      <c r="AG1855" s="89" t="s">
        <v>874</v>
      </c>
      <c r="AH1855" s="72">
        <v>41901</v>
      </c>
      <c r="AI1855" s="30">
        <v>4</v>
      </c>
      <c r="AJ1855" s="89" t="s">
        <v>10359</v>
      </c>
      <c r="AK1855" s="89" t="s">
        <v>10360</v>
      </c>
      <c r="AL1855" s="91">
        <v>41915</v>
      </c>
      <c r="AM1855" s="91"/>
      <c r="AN1855" s="91"/>
      <c r="AO1855" s="91"/>
      <c r="AP1855" s="73" t="e">
        <f>MID(VLOOKUP(K1855,#REF!,2,FALSE),1,2)</f>
        <v>#REF!</v>
      </c>
      <c r="AQ1855" s="89">
        <f>DATE(2014,9,18)</f>
        <v>41900</v>
      </c>
      <c r="AR1855" s="82">
        <f t="shared" si="122"/>
        <v>18</v>
      </c>
      <c r="AS1855" s="83">
        <f t="shared" si="123"/>
        <v>9</v>
      </c>
      <c r="AT1855" s="84">
        <f t="shared" si="124"/>
        <v>2014</v>
      </c>
      <c r="AU1855" s="86"/>
      <c r="AV1855" s="86"/>
      <c r="AW1855" s="87"/>
      <c r="AX1855" s="86"/>
      <c r="AY1855" s="83"/>
      <c r="AZ1855" s="84"/>
      <c r="BA1855" s="86"/>
      <c r="BB1855" s="86"/>
    </row>
    <row r="1856" spans="1:54" ht="36.75" customHeight="1">
      <c r="A1856" s="30"/>
      <c r="B1856" s="30" t="s">
        <v>55</v>
      </c>
      <c r="C1856" s="69" t="str">
        <f t="shared" si="121"/>
        <v>Closed</v>
      </c>
      <c r="D1856" s="27" t="s">
        <v>10361</v>
      </c>
      <c r="E1856" s="29" t="s">
        <v>10362</v>
      </c>
      <c r="F1856" s="30" t="s">
        <v>1572</v>
      </c>
      <c r="G1856" s="89">
        <f>DATE(2014,9,19)</f>
        <v>41901</v>
      </c>
      <c r="H1856" s="90">
        <v>1.65625</v>
      </c>
      <c r="I1856" s="30" t="s">
        <v>116</v>
      </c>
      <c r="J1856" s="89" t="s">
        <v>10363</v>
      </c>
      <c r="K1856" s="30" t="s">
        <v>1574</v>
      </c>
      <c r="L1856" s="30" t="s">
        <v>10364</v>
      </c>
      <c r="M1856" s="30" t="s">
        <v>63</v>
      </c>
      <c r="N1856" s="30" t="s">
        <v>142</v>
      </c>
      <c r="O1856" s="30" t="s">
        <v>77</v>
      </c>
      <c r="P1856" s="89" t="s">
        <v>65</v>
      </c>
      <c r="Q1856" s="89" t="s">
        <v>2413</v>
      </c>
      <c r="R1856" s="89" t="s">
        <v>6434</v>
      </c>
      <c r="S1856" s="30">
        <v>0</v>
      </c>
      <c r="T1856" s="233">
        <v>1</v>
      </c>
      <c r="U1856" s="30">
        <v>1</v>
      </c>
      <c r="V1856" s="233">
        <v>0</v>
      </c>
      <c r="W1856" s="30">
        <v>0</v>
      </c>
      <c r="X1856" s="30">
        <v>2</v>
      </c>
      <c r="Y1856" s="30">
        <v>0</v>
      </c>
      <c r="Z1856" s="233">
        <v>0</v>
      </c>
      <c r="AA1856" s="30">
        <v>0</v>
      </c>
      <c r="AB1856" s="30">
        <v>0</v>
      </c>
      <c r="AC1856" s="30">
        <v>0</v>
      </c>
      <c r="AD1856" s="30">
        <v>0</v>
      </c>
      <c r="AE1856" s="89" t="s">
        <v>394</v>
      </c>
      <c r="AF1856" s="89"/>
      <c r="AG1856" s="89" t="s">
        <v>133</v>
      </c>
      <c r="AH1856" s="72">
        <v>41907</v>
      </c>
      <c r="AI1856" s="30">
        <v>1</v>
      </c>
      <c r="AJ1856" s="89" t="s">
        <v>10365</v>
      </c>
      <c r="AK1856" s="89" t="s">
        <v>10366</v>
      </c>
      <c r="AL1856" s="91">
        <v>41911</v>
      </c>
      <c r="AM1856" s="91"/>
      <c r="AN1856" s="91"/>
      <c r="AO1856" s="91"/>
      <c r="AP1856" s="73" t="e">
        <f>MID(VLOOKUP(K1856,#REF!,2,FALSE),1,2)</f>
        <v>#REF!</v>
      </c>
      <c r="AQ1856" s="89">
        <f>DATE(2014,9,19)</f>
        <v>41901</v>
      </c>
      <c r="AR1856" s="82">
        <f t="shared" si="122"/>
        <v>19</v>
      </c>
      <c r="AS1856" s="83">
        <f t="shared" si="123"/>
        <v>9</v>
      </c>
      <c r="AT1856" s="84">
        <f t="shared" si="124"/>
        <v>2014</v>
      </c>
      <c r="AU1856" s="86"/>
      <c r="AV1856" s="86"/>
      <c r="AW1856" s="87"/>
      <c r="AX1856" s="86"/>
      <c r="AY1856" s="83"/>
      <c r="AZ1856" s="84"/>
      <c r="BA1856" s="86"/>
      <c r="BB1856" s="86"/>
    </row>
    <row r="1857" spans="1:54" ht="36.75" customHeight="1">
      <c r="A1857" s="30"/>
      <c r="B1857" s="30" t="s">
        <v>55</v>
      </c>
      <c r="C1857" s="69" t="str">
        <f t="shared" si="121"/>
        <v>Closed</v>
      </c>
      <c r="D1857" s="27" t="s">
        <v>10367</v>
      </c>
      <c r="E1857" s="29" t="s">
        <v>10368</v>
      </c>
      <c r="F1857" s="30" t="s">
        <v>233</v>
      </c>
      <c r="G1857" s="89">
        <f>DATE(2014,9,22)</f>
        <v>41904</v>
      </c>
      <c r="H1857" s="90">
        <v>1.6041666666666665</v>
      </c>
      <c r="I1857" s="30" t="s">
        <v>278</v>
      </c>
      <c r="J1857" s="89" t="s">
        <v>10369</v>
      </c>
      <c r="K1857" s="30" t="s">
        <v>235</v>
      </c>
      <c r="L1857" s="30" t="s">
        <v>10370</v>
      </c>
      <c r="M1857" s="30" t="s">
        <v>63</v>
      </c>
      <c r="N1857" s="30" t="s">
        <v>89</v>
      </c>
      <c r="O1857" s="30" t="s">
        <v>64</v>
      </c>
      <c r="P1857" s="89" t="s">
        <v>6941</v>
      </c>
      <c r="Q1857" s="89" t="s">
        <v>5612</v>
      </c>
      <c r="R1857" s="89" t="s">
        <v>238</v>
      </c>
      <c r="S1857" s="30">
        <v>0</v>
      </c>
      <c r="T1857" s="233">
        <v>0</v>
      </c>
      <c r="U1857" s="30">
        <v>0</v>
      </c>
      <c r="V1857" s="233">
        <v>0</v>
      </c>
      <c r="W1857" s="30">
        <v>0</v>
      </c>
      <c r="X1857" s="30">
        <v>0</v>
      </c>
      <c r="Y1857" s="30">
        <v>0</v>
      </c>
      <c r="Z1857" s="233">
        <v>0</v>
      </c>
      <c r="AA1857" s="30">
        <v>0</v>
      </c>
      <c r="AB1857" s="30">
        <v>0</v>
      </c>
      <c r="AC1857" s="30">
        <v>0</v>
      </c>
      <c r="AD1857" s="30">
        <v>0</v>
      </c>
      <c r="AE1857" s="89" t="s">
        <v>92</v>
      </c>
      <c r="AF1857" s="89"/>
      <c r="AG1857" s="89" t="s">
        <v>133</v>
      </c>
      <c r="AH1857" s="72">
        <v>41932</v>
      </c>
      <c r="AI1857" s="30">
        <v>2</v>
      </c>
      <c r="AJ1857" s="89" t="s">
        <v>10371</v>
      </c>
      <c r="AK1857" s="89" t="s">
        <v>10372</v>
      </c>
      <c r="AL1857" s="91">
        <v>41939</v>
      </c>
      <c r="AM1857" s="91"/>
      <c r="AN1857" s="91"/>
      <c r="AO1857" s="91"/>
      <c r="AP1857" s="73" t="e">
        <f>MID(VLOOKUP(K1857,#REF!,2,FALSE),1,2)</f>
        <v>#REF!</v>
      </c>
      <c r="AQ1857" s="89">
        <f>DATE(2014,9,22)</f>
        <v>41904</v>
      </c>
      <c r="AR1857" s="82">
        <f t="shared" si="122"/>
        <v>22</v>
      </c>
      <c r="AS1857" s="83">
        <f t="shared" si="123"/>
        <v>9</v>
      </c>
      <c r="AT1857" s="84">
        <f t="shared" si="124"/>
        <v>2014</v>
      </c>
      <c r="AU1857" s="86"/>
      <c r="AV1857" s="86"/>
      <c r="AW1857" s="87"/>
      <c r="AX1857" s="86"/>
      <c r="AY1857" s="83"/>
      <c r="AZ1857" s="84"/>
      <c r="BA1857" s="86"/>
      <c r="BB1857" s="86"/>
    </row>
    <row r="1858" spans="1:54" ht="36.75" customHeight="1">
      <c r="A1858" s="30"/>
      <c r="B1858" s="30" t="s">
        <v>55</v>
      </c>
      <c r="C1858" s="69" t="str">
        <f t="shared" ref="C1858:C1921" si="125">IF(B1858="Notification","Open",IF(B1858="Interim Statement","In progress","Closed"))</f>
        <v>Closed</v>
      </c>
      <c r="D1858" s="27" t="s">
        <v>10373</v>
      </c>
      <c r="E1858" s="29" t="s">
        <v>10374</v>
      </c>
      <c r="F1858" s="30" t="s">
        <v>233</v>
      </c>
      <c r="G1858" s="89">
        <f>DATE(2014,9,23)</f>
        <v>41905</v>
      </c>
      <c r="H1858" s="90">
        <v>1.7638888888888888</v>
      </c>
      <c r="I1858" s="30" t="s">
        <v>10375</v>
      </c>
      <c r="J1858" s="89" t="s">
        <v>10376</v>
      </c>
      <c r="K1858" s="30" t="s">
        <v>235</v>
      </c>
      <c r="L1858" s="30" t="s">
        <v>10377</v>
      </c>
      <c r="M1858" s="30" t="s">
        <v>63</v>
      </c>
      <c r="N1858" s="30" t="s">
        <v>142</v>
      </c>
      <c r="O1858" s="30" t="s">
        <v>64</v>
      </c>
      <c r="P1858" s="89" t="s">
        <v>462</v>
      </c>
      <c r="Q1858" s="89" t="s">
        <v>7117</v>
      </c>
      <c r="R1858" s="89" t="s">
        <v>238</v>
      </c>
      <c r="S1858" s="30">
        <v>0</v>
      </c>
      <c r="T1858" s="233">
        <v>0</v>
      </c>
      <c r="U1858" s="30">
        <v>0</v>
      </c>
      <c r="V1858" s="233">
        <v>0</v>
      </c>
      <c r="W1858" s="30">
        <v>0</v>
      </c>
      <c r="X1858" s="30">
        <v>0</v>
      </c>
      <c r="Y1858" s="30">
        <v>0</v>
      </c>
      <c r="Z1858" s="233">
        <v>1</v>
      </c>
      <c r="AA1858" s="30">
        <v>0</v>
      </c>
      <c r="AB1858" s="30">
        <v>0</v>
      </c>
      <c r="AC1858" s="30">
        <v>0</v>
      </c>
      <c r="AD1858" s="30">
        <v>1</v>
      </c>
      <c r="AE1858" s="89" t="s">
        <v>92</v>
      </c>
      <c r="AF1858" s="89"/>
      <c r="AG1858" s="89" t="s">
        <v>133</v>
      </c>
      <c r="AH1858" s="72">
        <v>41911</v>
      </c>
      <c r="AI1858" s="30">
        <v>2</v>
      </c>
      <c r="AJ1858" s="89" t="s">
        <v>10378</v>
      </c>
      <c r="AK1858" s="89" t="s">
        <v>10379</v>
      </c>
      <c r="AL1858" s="91">
        <v>41939</v>
      </c>
      <c r="AM1858" s="91"/>
      <c r="AN1858" s="91"/>
      <c r="AO1858" s="91"/>
      <c r="AP1858" s="73" t="e">
        <f>MID(VLOOKUP(K1858,#REF!,2,FALSE),1,2)</f>
        <v>#REF!</v>
      </c>
      <c r="AQ1858" s="89">
        <f>DATE(2014,9,23)</f>
        <v>41905</v>
      </c>
      <c r="AR1858" s="82">
        <f t="shared" si="122"/>
        <v>23</v>
      </c>
      <c r="AS1858" s="83">
        <f t="shared" si="123"/>
        <v>9</v>
      </c>
      <c r="AT1858" s="84">
        <f t="shared" si="124"/>
        <v>2014</v>
      </c>
      <c r="AU1858" s="86"/>
      <c r="AV1858" s="86"/>
      <c r="AW1858" s="87"/>
      <c r="AX1858" s="86"/>
      <c r="AY1858" s="83"/>
      <c r="AZ1858" s="84"/>
      <c r="BA1858" s="86"/>
      <c r="BB1858" s="86"/>
    </row>
    <row r="1859" spans="1:54" ht="36.75" customHeight="1">
      <c r="A1859" s="30"/>
      <c r="B1859" s="30" t="s">
        <v>55</v>
      </c>
      <c r="C1859" s="69" t="str">
        <f t="shared" si="125"/>
        <v>Closed</v>
      </c>
      <c r="D1859" s="27" t="s">
        <v>10380</v>
      </c>
      <c r="E1859" s="29" t="s">
        <v>10381</v>
      </c>
      <c r="F1859" s="30" t="s">
        <v>1572</v>
      </c>
      <c r="G1859" s="89">
        <f>DATE(2014,9,24)</f>
        <v>41906</v>
      </c>
      <c r="H1859" s="90">
        <v>1.5729166666666665</v>
      </c>
      <c r="I1859" s="30" t="s">
        <v>73</v>
      </c>
      <c r="J1859" s="89" t="s">
        <v>10382</v>
      </c>
      <c r="K1859" s="30" t="s">
        <v>1574</v>
      </c>
      <c r="L1859" s="30" t="s">
        <v>10383</v>
      </c>
      <c r="M1859" s="30" t="s">
        <v>63</v>
      </c>
      <c r="N1859" s="30" t="s">
        <v>99</v>
      </c>
      <c r="O1859" s="30" t="s">
        <v>64</v>
      </c>
      <c r="P1859" s="89" t="s">
        <v>78</v>
      </c>
      <c r="Q1859" s="89">
        <v>0</v>
      </c>
      <c r="R1859" s="89" t="s">
        <v>6434</v>
      </c>
      <c r="S1859" s="30">
        <v>0</v>
      </c>
      <c r="T1859" s="233">
        <v>0</v>
      </c>
      <c r="U1859" s="30">
        <v>0</v>
      </c>
      <c r="V1859" s="233">
        <v>0</v>
      </c>
      <c r="W1859" s="30">
        <v>0</v>
      </c>
      <c r="X1859" s="30">
        <v>0</v>
      </c>
      <c r="Y1859" s="30">
        <v>0</v>
      </c>
      <c r="Z1859" s="233">
        <v>0</v>
      </c>
      <c r="AA1859" s="30">
        <v>0</v>
      </c>
      <c r="AB1859" s="30">
        <v>0</v>
      </c>
      <c r="AC1859" s="30">
        <v>0</v>
      </c>
      <c r="AD1859" s="30">
        <v>0</v>
      </c>
      <c r="AE1859" s="89" t="s">
        <v>92</v>
      </c>
      <c r="AF1859" s="89"/>
      <c r="AG1859" s="89" t="s">
        <v>133</v>
      </c>
      <c r="AH1859" s="72">
        <v>41907</v>
      </c>
      <c r="AI1859" s="30">
        <v>1</v>
      </c>
      <c r="AJ1859" s="89" t="s">
        <v>10384</v>
      </c>
      <c r="AK1859" s="89" t="s">
        <v>10385</v>
      </c>
      <c r="AL1859" s="91">
        <v>41911</v>
      </c>
      <c r="AM1859" s="91"/>
      <c r="AN1859" s="91"/>
      <c r="AO1859" s="91"/>
      <c r="AP1859" s="73" t="e">
        <f>MID(VLOOKUP(K1859,#REF!,2,FALSE),1,2)</f>
        <v>#REF!</v>
      </c>
      <c r="AQ1859" s="89">
        <f>DATE(2014,9,24)</f>
        <v>41906</v>
      </c>
      <c r="AR1859" s="82">
        <f t="shared" si="122"/>
        <v>24</v>
      </c>
      <c r="AS1859" s="83">
        <f t="shared" si="123"/>
        <v>9</v>
      </c>
      <c r="AT1859" s="84">
        <f t="shared" si="124"/>
        <v>2014</v>
      </c>
      <c r="AU1859" s="86"/>
      <c r="AV1859" s="86"/>
      <c r="AW1859" s="87"/>
      <c r="AX1859" s="86"/>
      <c r="AY1859" s="83"/>
      <c r="AZ1859" s="84"/>
      <c r="BA1859" s="86"/>
      <c r="BB1859" s="86"/>
    </row>
    <row r="1860" spans="1:54" ht="36.75" customHeight="1">
      <c r="A1860" s="30"/>
      <c r="B1860" s="30" t="s">
        <v>55</v>
      </c>
      <c r="C1860" s="69" t="str">
        <f t="shared" si="125"/>
        <v>Closed</v>
      </c>
      <c r="D1860" s="27" t="s">
        <v>10386</v>
      </c>
      <c r="E1860" s="29" t="s">
        <v>10387</v>
      </c>
      <c r="F1860" s="30" t="s">
        <v>638</v>
      </c>
      <c r="G1860" s="89">
        <f>DATE(2014,9,26)</f>
        <v>41908</v>
      </c>
      <c r="H1860" s="90">
        <v>1.2854166666666667</v>
      </c>
      <c r="I1860" s="30" t="s">
        <v>198</v>
      </c>
      <c r="J1860" s="89" t="s">
        <v>10388</v>
      </c>
      <c r="K1860" s="30" t="s">
        <v>640</v>
      </c>
      <c r="L1860" s="30" t="s">
        <v>10389</v>
      </c>
      <c r="M1860" s="30" t="s">
        <v>63</v>
      </c>
      <c r="N1860" s="30" t="s">
        <v>142</v>
      </c>
      <c r="O1860" s="30" t="s">
        <v>64</v>
      </c>
      <c r="P1860" s="89" t="s">
        <v>3430</v>
      </c>
      <c r="Q1860" s="89" t="s">
        <v>10390</v>
      </c>
      <c r="R1860" s="89" t="s">
        <v>643</v>
      </c>
      <c r="S1860" s="30">
        <v>0</v>
      </c>
      <c r="T1860" s="233">
        <v>0</v>
      </c>
      <c r="U1860" s="30">
        <v>0</v>
      </c>
      <c r="V1860" s="233">
        <v>0</v>
      </c>
      <c r="W1860" s="30">
        <v>0</v>
      </c>
      <c r="X1860" s="30">
        <v>0</v>
      </c>
      <c r="Y1860" s="30">
        <v>0</v>
      </c>
      <c r="Z1860" s="233">
        <v>0</v>
      </c>
      <c r="AA1860" s="30">
        <v>0</v>
      </c>
      <c r="AB1860" s="30">
        <v>0</v>
      </c>
      <c r="AC1860" s="30">
        <v>0</v>
      </c>
      <c r="AD1860" s="30">
        <v>0</v>
      </c>
      <c r="AE1860" s="89" t="s">
        <v>92</v>
      </c>
      <c r="AF1860" s="89"/>
      <c r="AG1860" s="89" t="s">
        <v>352</v>
      </c>
      <c r="AH1860" s="72">
        <v>41940</v>
      </c>
      <c r="AI1860" s="30">
        <v>1</v>
      </c>
      <c r="AJ1860" s="89" t="s">
        <v>10391</v>
      </c>
      <c r="AK1860" s="89" t="s">
        <v>68</v>
      </c>
      <c r="AL1860" s="91">
        <v>41946</v>
      </c>
      <c r="AM1860" s="91"/>
      <c r="AN1860" s="91"/>
      <c r="AO1860" s="91"/>
      <c r="AP1860" s="73" t="e">
        <f>MID(VLOOKUP(K1860,#REF!,2,FALSE),1,2)</f>
        <v>#REF!</v>
      </c>
      <c r="AQ1860" s="89">
        <f>DATE(2014,9,26)</f>
        <v>41908</v>
      </c>
      <c r="AR1860" s="82">
        <f t="shared" si="122"/>
        <v>26</v>
      </c>
      <c r="AS1860" s="83">
        <f t="shared" si="123"/>
        <v>9</v>
      </c>
      <c r="AT1860" s="84">
        <f t="shared" si="124"/>
        <v>2014</v>
      </c>
      <c r="AU1860" s="86"/>
      <c r="AV1860" s="86"/>
      <c r="AW1860" s="87"/>
      <c r="AX1860" s="86"/>
      <c r="AY1860" s="83"/>
      <c r="AZ1860" s="84"/>
      <c r="BA1860" s="86"/>
      <c r="BB1860" s="86"/>
    </row>
    <row r="1861" spans="1:54" ht="36.75" customHeight="1">
      <c r="A1861" s="30"/>
      <c r="B1861" s="30" t="s">
        <v>55</v>
      </c>
      <c r="C1861" s="69" t="str">
        <f t="shared" si="125"/>
        <v>Closed</v>
      </c>
      <c r="D1861" s="27" t="s">
        <v>10392</v>
      </c>
      <c r="E1861" s="29" t="s">
        <v>10393</v>
      </c>
      <c r="F1861" s="30" t="s">
        <v>638</v>
      </c>
      <c r="G1861" s="89">
        <f>DATE(2014,9,26)</f>
        <v>41908</v>
      </c>
      <c r="H1861" s="90">
        <v>1.6986111111111111</v>
      </c>
      <c r="I1861" s="30" t="s">
        <v>104</v>
      </c>
      <c r="J1861" s="89" t="s">
        <v>10394</v>
      </c>
      <c r="K1861" s="30" t="s">
        <v>640</v>
      </c>
      <c r="L1861" s="30" t="s">
        <v>10395</v>
      </c>
      <c r="M1861" s="30" t="s">
        <v>63</v>
      </c>
      <c r="N1861" s="30" t="s">
        <v>142</v>
      </c>
      <c r="O1861" s="30" t="s">
        <v>77</v>
      </c>
      <c r="P1861" s="89" t="s">
        <v>6941</v>
      </c>
      <c r="Q1861" s="89" t="s">
        <v>642</v>
      </c>
      <c r="R1861" s="89" t="s">
        <v>643</v>
      </c>
      <c r="S1861" s="30">
        <v>0</v>
      </c>
      <c r="T1861" s="233">
        <v>0</v>
      </c>
      <c r="U1861" s="30">
        <v>0</v>
      </c>
      <c r="V1861" s="233">
        <v>0</v>
      </c>
      <c r="W1861" s="30">
        <v>0</v>
      </c>
      <c r="X1861" s="30">
        <v>0</v>
      </c>
      <c r="Y1861" s="30">
        <v>0</v>
      </c>
      <c r="Z1861" s="233">
        <v>0</v>
      </c>
      <c r="AA1861" s="30">
        <v>0</v>
      </c>
      <c r="AB1861" s="30">
        <v>0</v>
      </c>
      <c r="AC1861" s="30">
        <v>0</v>
      </c>
      <c r="AD1861" s="30">
        <v>0</v>
      </c>
      <c r="AE1861" s="89" t="s">
        <v>92</v>
      </c>
      <c r="AF1861" s="89"/>
      <c r="AG1861" s="89" t="s">
        <v>352</v>
      </c>
      <c r="AH1861" s="72">
        <v>41940</v>
      </c>
      <c r="AI1861" s="30">
        <v>1</v>
      </c>
      <c r="AJ1861" s="89" t="s">
        <v>10396</v>
      </c>
      <c r="AK1861" s="89" t="s">
        <v>68</v>
      </c>
      <c r="AL1861" s="91">
        <v>41946</v>
      </c>
      <c r="AM1861" s="91"/>
      <c r="AN1861" s="91"/>
      <c r="AO1861" s="91"/>
      <c r="AP1861" s="73" t="e">
        <f>MID(VLOOKUP(K1861,#REF!,2,FALSE),1,2)</f>
        <v>#REF!</v>
      </c>
      <c r="AQ1861" s="89">
        <f>DATE(2014,9,26)</f>
        <v>41908</v>
      </c>
      <c r="AR1861" s="82">
        <f t="shared" si="122"/>
        <v>26</v>
      </c>
      <c r="AS1861" s="83">
        <f t="shared" si="123"/>
        <v>9</v>
      </c>
      <c r="AT1861" s="84">
        <f t="shared" si="124"/>
        <v>2014</v>
      </c>
      <c r="AU1861" s="86"/>
      <c r="AV1861" s="86"/>
      <c r="AW1861" s="87"/>
      <c r="AX1861" s="86"/>
      <c r="AY1861" s="83"/>
      <c r="AZ1861" s="84"/>
      <c r="BA1861" s="86"/>
      <c r="BB1861" s="86"/>
    </row>
    <row r="1862" spans="1:54" ht="36.75" customHeight="1">
      <c r="A1862" s="30"/>
      <c r="B1862" s="30" t="s">
        <v>55</v>
      </c>
      <c r="C1862" s="69" t="str">
        <f t="shared" si="125"/>
        <v>Closed</v>
      </c>
      <c r="D1862" s="27" t="s">
        <v>10397</v>
      </c>
      <c r="E1862" s="29" t="s">
        <v>10398</v>
      </c>
      <c r="F1862" s="30" t="s">
        <v>582</v>
      </c>
      <c r="G1862" s="89">
        <f>DATE(2014,9,28)</f>
        <v>41910</v>
      </c>
      <c r="H1862" s="90">
        <v>1.7625000000000002</v>
      </c>
      <c r="I1862" s="30" t="s">
        <v>125</v>
      </c>
      <c r="J1862" s="89" t="s">
        <v>10399</v>
      </c>
      <c r="K1862" s="30" t="s">
        <v>584</v>
      </c>
      <c r="L1862" s="30" t="s">
        <v>10400</v>
      </c>
      <c r="M1862" s="30" t="s">
        <v>63</v>
      </c>
      <c r="N1862" s="30" t="s">
        <v>142</v>
      </c>
      <c r="O1862" s="30" t="s">
        <v>77</v>
      </c>
      <c r="P1862" s="89" t="s">
        <v>165</v>
      </c>
      <c r="Q1862" s="89" t="s">
        <v>10401</v>
      </c>
      <c r="R1862" s="89" t="s">
        <v>587</v>
      </c>
      <c r="S1862" s="30">
        <v>0</v>
      </c>
      <c r="T1862" s="233">
        <v>0</v>
      </c>
      <c r="U1862" s="30">
        <v>0</v>
      </c>
      <c r="V1862" s="233">
        <v>0</v>
      </c>
      <c r="W1862" s="30">
        <v>0</v>
      </c>
      <c r="X1862" s="30">
        <v>0</v>
      </c>
      <c r="Y1862" s="30">
        <v>0</v>
      </c>
      <c r="Z1862" s="233">
        <v>0</v>
      </c>
      <c r="AA1862" s="30">
        <v>0</v>
      </c>
      <c r="AB1862" s="30">
        <v>0</v>
      </c>
      <c r="AC1862" s="30">
        <v>0</v>
      </c>
      <c r="AD1862" s="30">
        <v>0</v>
      </c>
      <c r="AE1862" s="89" t="s">
        <v>92</v>
      </c>
      <c r="AF1862" s="89"/>
      <c r="AG1862" s="89" t="s">
        <v>589</v>
      </c>
      <c r="AH1862" s="72">
        <v>41988</v>
      </c>
      <c r="AI1862" s="30">
        <v>0</v>
      </c>
      <c r="AJ1862" s="89" t="s">
        <v>10402</v>
      </c>
      <c r="AK1862" s="89" t="s">
        <v>1233</v>
      </c>
      <c r="AL1862" s="91">
        <v>42018</v>
      </c>
      <c r="AM1862" s="91"/>
      <c r="AN1862" s="91"/>
      <c r="AO1862" s="91"/>
      <c r="AP1862" s="73" t="e">
        <f>MID(VLOOKUP(K1862,#REF!,2,FALSE),1,2)</f>
        <v>#REF!</v>
      </c>
      <c r="AQ1862" s="89">
        <f>DATE(2014,9,28)</f>
        <v>41910</v>
      </c>
      <c r="AR1862" s="82">
        <f t="shared" si="122"/>
        <v>28</v>
      </c>
      <c r="AS1862" s="83">
        <f t="shared" si="123"/>
        <v>9</v>
      </c>
      <c r="AT1862" s="84">
        <f t="shared" si="124"/>
        <v>2014</v>
      </c>
      <c r="AU1862" s="86"/>
      <c r="AV1862" s="86"/>
      <c r="AW1862" s="87"/>
      <c r="AX1862" s="86"/>
      <c r="AY1862" s="83"/>
      <c r="AZ1862" s="84"/>
      <c r="BA1862" s="86"/>
      <c r="BB1862" s="86"/>
    </row>
    <row r="1863" spans="1:54" ht="36.75" customHeight="1">
      <c r="A1863" s="30"/>
      <c r="B1863" s="30" t="s">
        <v>55</v>
      </c>
      <c r="C1863" s="69" t="str">
        <f t="shared" si="125"/>
        <v>Closed</v>
      </c>
      <c r="D1863" s="27" t="s">
        <v>10403</v>
      </c>
      <c r="E1863" s="29" t="s">
        <v>10404</v>
      </c>
      <c r="F1863" s="30" t="s">
        <v>233</v>
      </c>
      <c r="G1863" s="89">
        <f>DATE(2014,10,2)</f>
        <v>41914</v>
      </c>
      <c r="H1863" s="90">
        <v>1.1041666666666667</v>
      </c>
      <c r="I1863" s="30" t="s">
        <v>73</v>
      </c>
      <c r="J1863" s="89" t="s">
        <v>10405</v>
      </c>
      <c r="K1863" s="30" t="s">
        <v>235</v>
      </c>
      <c r="L1863" s="30" t="s">
        <v>10406</v>
      </c>
      <c r="M1863" s="30" t="s">
        <v>63</v>
      </c>
      <c r="N1863" s="30" t="s">
        <v>142</v>
      </c>
      <c r="O1863" s="30" t="s">
        <v>64</v>
      </c>
      <c r="P1863" s="89" t="s">
        <v>78</v>
      </c>
      <c r="Q1863" s="89" t="s">
        <v>4042</v>
      </c>
      <c r="R1863" s="89" t="s">
        <v>238</v>
      </c>
      <c r="S1863" s="30">
        <v>0</v>
      </c>
      <c r="T1863" s="233">
        <v>0</v>
      </c>
      <c r="U1863" s="30">
        <v>0</v>
      </c>
      <c r="V1863" s="233">
        <v>0</v>
      </c>
      <c r="W1863" s="30">
        <v>0</v>
      </c>
      <c r="X1863" s="30">
        <v>0</v>
      </c>
      <c r="Y1863" s="30">
        <v>0</v>
      </c>
      <c r="Z1863" s="233">
        <v>0</v>
      </c>
      <c r="AA1863" s="30">
        <v>0</v>
      </c>
      <c r="AB1863" s="30">
        <v>0</v>
      </c>
      <c r="AC1863" s="30">
        <v>0</v>
      </c>
      <c r="AD1863" s="30">
        <v>0</v>
      </c>
      <c r="AE1863" s="89" t="s">
        <v>92</v>
      </c>
      <c r="AF1863" s="89"/>
      <c r="AG1863" s="89" t="s">
        <v>133</v>
      </c>
      <c r="AH1863" s="72">
        <v>41918</v>
      </c>
      <c r="AI1863" s="30">
        <v>3</v>
      </c>
      <c r="AJ1863" s="89" t="s">
        <v>10407</v>
      </c>
      <c r="AK1863" s="89" t="s">
        <v>10408</v>
      </c>
      <c r="AL1863" s="91">
        <v>41939</v>
      </c>
      <c r="AM1863" s="91"/>
      <c r="AN1863" s="91"/>
      <c r="AO1863" s="91"/>
      <c r="AP1863" s="73" t="e">
        <f>MID(VLOOKUP(K1863,#REF!,2,FALSE),1,2)</f>
        <v>#REF!</v>
      </c>
      <c r="AQ1863" s="89">
        <f>DATE(2014,10,2)</f>
        <v>41914</v>
      </c>
      <c r="AR1863" s="82">
        <f t="shared" si="122"/>
        <v>2</v>
      </c>
      <c r="AS1863" s="83">
        <f t="shared" si="123"/>
        <v>10</v>
      </c>
      <c r="AT1863" s="84">
        <f t="shared" si="124"/>
        <v>2014</v>
      </c>
      <c r="AU1863" s="86"/>
      <c r="AV1863" s="86"/>
      <c r="AW1863" s="87"/>
      <c r="AX1863" s="86"/>
      <c r="AY1863" s="83"/>
      <c r="AZ1863" s="84"/>
      <c r="BA1863" s="86"/>
      <c r="BB1863" s="86"/>
    </row>
    <row r="1864" spans="1:54" ht="36.75" customHeight="1">
      <c r="A1864" s="30"/>
      <c r="B1864" s="30" t="s">
        <v>55</v>
      </c>
      <c r="C1864" s="69" t="str">
        <f t="shared" si="125"/>
        <v>Closed</v>
      </c>
      <c r="D1864" s="27" t="s">
        <v>10409</v>
      </c>
      <c r="E1864" s="29" t="s">
        <v>10410</v>
      </c>
      <c r="F1864" s="30" t="s">
        <v>451</v>
      </c>
      <c r="G1864" s="89">
        <f>DATE(2014,10,3)</f>
        <v>41915</v>
      </c>
      <c r="H1864" s="90">
        <v>1.5333333333333332</v>
      </c>
      <c r="I1864" s="30" t="s">
        <v>116</v>
      </c>
      <c r="J1864" s="89" t="s">
        <v>10411</v>
      </c>
      <c r="K1864" s="30" t="s">
        <v>453</v>
      </c>
      <c r="L1864" s="30" t="s">
        <v>10412</v>
      </c>
      <c r="M1864" s="30" t="s">
        <v>63</v>
      </c>
      <c r="N1864" s="30" t="s">
        <v>99</v>
      </c>
      <c r="O1864" s="30" t="s">
        <v>64</v>
      </c>
      <c r="P1864" s="89" t="s">
        <v>165</v>
      </c>
      <c r="Q1864" s="89" t="s">
        <v>10413</v>
      </c>
      <c r="R1864" s="89" t="s">
        <v>10414</v>
      </c>
      <c r="S1864" s="30">
        <v>0</v>
      </c>
      <c r="T1864" s="233">
        <v>0</v>
      </c>
      <c r="U1864" s="30">
        <v>1</v>
      </c>
      <c r="V1864" s="233">
        <v>0</v>
      </c>
      <c r="W1864" s="30">
        <v>0</v>
      </c>
      <c r="X1864" s="30">
        <v>1</v>
      </c>
      <c r="Y1864" s="30">
        <v>0</v>
      </c>
      <c r="Z1864" s="233">
        <v>0</v>
      </c>
      <c r="AA1864" s="30">
        <v>0</v>
      </c>
      <c r="AB1864" s="30">
        <v>0</v>
      </c>
      <c r="AC1864" s="30">
        <v>0</v>
      </c>
      <c r="AD1864" s="30">
        <v>0</v>
      </c>
      <c r="AE1864" s="89" t="s">
        <v>92</v>
      </c>
      <c r="AF1864" s="89"/>
      <c r="AG1864" s="89" t="s">
        <v>82</v>
      </c>
      <c r="AH1864" s="72">
        <v>41915</v>
      </c>
      <c r="AI1864" s="30">
        <v>0</v>
      </c>
      <c r="AJ1864" s="89" t="s">
        <v>10415</v>
      </c>
      <c r="AK1864" s="89" t="s">
        <v>68</v>
      </c>
      <c r="AL1864" s="91">
        <v>42831</v>
      </c>
      <c r="AM1864" s="91"/>
      <c r="AN1864" s="91"/>
      <c r="AO1864" s="91"/>
      <c r="AP1864" s="73" t="e">
        <f>MID(VLOOKUP(K1864,#REF!,2,FALSE),1,2)</f>
        <v>#REF!</v>
      </c>
      <c r="AQ1864" s="89">
        <f>DATE(2014,10,3)</f>
        <v>41915</v>
      </c>
      <c r="AR1864" s="82">
        <f t="shared" si="122"/>
        <v>3</v>
      </c>
      <c r="AS1864" s="83">
        <f t="shared" si="123"/>
        <v>10</v>
      </c>
      <c r="AT1864" s="84">
        <f t="shared" si="124"/>
        <v>2014</v>
      </c>
      <c r="AU1864" s="86"/>
      <c r="AV1864" s="86"/>
      <c r="AW1864" s="87"/>
      <c r="AX1864" s="86"/>
      <c r="AY1864" s="83"/>
      <c r="AZ1864" s="84"/>
      <c r="BA1864" s="86"/>
      <c r="BB1864" s="86"/>
    </row>
    <row r="1865" spans="1:54" ht="36.75" customHeight="1">
      <c r="A1865" s="30"/>
      <c r="B1865" s="30" t="s">
        <v>55</v>
      </c>
      <c r="C1865" s="69" t="str">
        <f t="shared" si="125"/>
        <v>Closed</v>
      </c>
      <c r="D1865" s="27" t="s">
        <v>10416</v>
      </c>
      <c r="E1865" s="29" t="s">
        <v>10417</v>
      </c>
      <c r="F1865" s="30" t="s">
        <v>2601</v>
      </c>
      <c r="G1865" s="89">
        <f>DATE(2014,10,9)</f>
        <v>41921</v>
      </c>
      <c r="H1865" s="90">
        <v>1.5868055555555556</v>
      </c>
      <c r="I1865" s="30" t="s">
        <v>116</v>
      </c>
      <c r="J1865" s="89" t="s">
        <v>10418</v>
      </c>
      <c r="K1865" s="30" t="s">
        <v>2603</v>
      </c>
      <c r="L1865" s="30" t="s">
        <v>10419</v>
      </c>
      <c r="M1865" s="30" t="s">
        <v>63</v>
      </c>
      <c r="N1865" s="30" t="s">
        <v>142</v>
      </c>
      <c r="O1865" s="30" t="s">
        <v>64</v>
      </c>
      <c r="P1865" s="89" t="s">
        <v>381</v>
      </c>
      <c r="Q1865" s="89" t="s">
        <v>4813</v>
      </c>
      <c r="R1865" s="89" t="s">
        <v>2606</v>
      </c>
      <c r="S1865" s="30">
        <v>0</v>
      </c>
      <c r="T1865" s="233">
        <v>0</v>
      </c>
      <c r="U1865" s="30">
        <v>1</v>
      </c>
      <c r="V1865" s="233">
        <v>0</v>
      </c>
      <c r="W1865" s="30">
        <v>0</v>
      </c>
      <c r="X1865" s="30">
        <v>1</v>
      </c>
      <c r="Y1865" s="30">
        <v>0</v>
      </c>
      <c r="Z1865" s="233">
        <v>0</v>
      </c>
      <c r="AA1865" s="30">
        <v>0</v>
      </c>
      <c r="AB1865" s="30">
        <v>0</v>
      </c>
      <c r="AC1865" s="30">
        <v>0</v>
      </c>
      <c r="AD1865" s="30">
        <v>0</v>
      </c>
      <c r="AE1865" s="89" t="s">
        <v>92</v>
      </c>
      <c r="AF1865" s="89"/>
      <c r="AG1865" s="89" t="s">
        <v>133</v>
      </c>
      <c r="AH1865" s="72">
        <v>41922</v>
      </c>
      <c r="AI1865" s="30">
        <v>1</v>
      </c>
      <c r="AJ1865" s="89" t="s">
        <v>10420</v>
      </c>
      <c r="AK1865" s="89" t="s">
        <v>10421</v>
      </c>
      <c r="AL1865" s="91">
        <v>41932</v>
      </c>
      <c r="AM1865" s="91"/>
      <c r="AN1865" s="91"/>
      <c r="AO1865" s="91"/>
      <c r="AP1865" s="73" t="e">
        <f>MID(VLOOKUP(K1865,#REF!,2,FALSE),1,2)</f>
        <v>#REF!</v>
      </c>
      <c r="AQ1865" s="89">
        <f>DATE(2014,10,9)</f>
        <v>41921</v>
      </c>
      <c r="AR1865" s="82">
        <f t="shared" si="122"/>
        <v>9</v>
      </c>
      <c r="AS1865" s="83">
        <f t="shared" si="123"/>
        <v>10</v>
      </c>
      <c r="AT1865" s="84">
        <f t="shared" si="124"/>
        <v>2014</v>
      </c>
      <c r="AU1865" s="86"/>
      <c r="AV1865" s="86"/>
      <c r="AW1865" s="87"/>
      <c r="AX1865" s="86"/>
      <c r="AY1865" s="83"/>
      <c r="AZ1865" s="84"/>
      <c r="BA1865" s="86"/>
      <c r="BB1865" s="86"/>
    </row>
    <row r="1866" spans="1:54" ht="36.75" customHeight="1">
      <c r="A1866" s="30"/>
      <c r="B1866" s="30" t="s">
        <v>55</v>
      </c>
      <c r="C1866" s="69" t="str">
        <f t="shared" si="125"/>
        <v>Closed</v>
      </c>
      <c r="D1866" s="27" t="s">
        <v>10422</v>
      </c>
      <c r="E1866" s="29" t="s">
        <v>10423</v>
      </c>
      <c r="F1866" s="30" t="s">
        <v>1770</v>
      </c>
      <c r="G1866" s="89">
        <f>DATE(2014,10,10)</f>
        <v>41922</v>
      </c>
      <c r="H1866" s="90">
        <v>0</v>
      </c>
      <c r="I1866" s="30" t="s">
        <v>104</v>
      </c>
      <c r="J1866" s="89" t="s">
        <v>10424</v>
      </c>
      <c r="K1866" s="30" t="s">
        <v>1772</v>
      </c>
      <c r="L1866" s="30" t="s">
        <v>10425</v>
      </c>
      <c r="M1866" s="30" t="s">
        <v>63</v>
      </c>
      <c r="N1866" s="30" t="s">
        <v>89</v>
      </c>
      <c r="O1866" s="30" t="s">
        <v>77</v>
      </c>
      <c r="P1866" s="89" t="s">
        <v>165</v>
      </c>
      <c r="Q1866" s="89" t="s">
        <v>1774</v>
      </c>
      <c r="R1866" s="89" t="s">
        <v>1775</v>
      </c>
      <c r="S1866" s="30">
        <v>0</v>
      </c>
      <c r="T1866" s="233">
        <v>0</v>
      </c>
      <c r="U1866" s="30">
        <v>0</v>
      </c>
      <c r="V1866" s="233">
        <v>0</v>
      </c>
      <c r="W1866" s="30">
        <v>0</v>
      </c>
      <c r="X1866" s="30">
        <v>0</v>
      </c>
      <c r="Y1866" s="30">
        <v>0</v>
      </c>
      <c r="Z1866" s="233">
        <v>0</v>
      </c>
      <c r="AA1866" s="30">
        <v>0</v>
      </c>
      <c r="AB1866" s="30">
        <v>0</v>
      </c>
      <c r="AC1866" s="30">
        <v>0</v>
      </c>
      <c r="AD1866" s="30">
        <v>0</v>
      </c>
      <c r="AE1866" s="89" t="s">
        <v>92</v>
      </c>
      <c r="AF1866" s="89"/>
      <c r="AG1866" s="89" t="s">
        <v>589</v>
      </c>
      <c r="AH1866" s="72">
        <v>41928</v>
      </c>
      <c r="AI1866" s="30">
        <v>3</v>
      </c>
      <c r="AJ1866" s="89" t="s">
        <v>10426</v>
      </c>
      <c r="AK1866" s="89" t="s">
        <v>1233</v>
      </c>
      <c r="AL1866" s="91">
        <v>41929</v>
      </c>
      <c r="AM1866" s="91"/>
      <c r="AN1866" s="91"/>
      <c r="AO1866" s="91"/>
      <c r="AP1866" s="73" t="e">
        <f>MID(VLOOKUP(K1866,#REF!,2,FALSE),1,2)</f>
        <v>#REF!</v>
      </c>
      <c r="AQ1866" s="89">
        <f>DATE(2014,10,10)</f>
        <v>41922</v>
      </c>
      <c r="AR1866" s="82">
        <f t="shared" si="122"/>
        <v>10</v>
      </c>
      <c r="AS1866" s="83">
        <f t="shared" si="123"/>
        <v>10</v>
      </c>
      <c r="AT1866" s="84">
        <f t="shared" si="124"/>
        <v>2014</v>
      </c>
      <c r="AU1866" s="86"/>
      <c r="AV1866" s="86"/>
      <c r="AW1866" s="87"/>
      <c r="AX1866" s="86"/>
      <c r="AY1866" s="83"/>
      <c r="AZ1866" s="84"/>
      <c r="BA1866" s="86"/>
      <c r="BB1866" s="86"/>
    </row>
    <row r="1867" spans="1:54" ht="36.75" customHeight="1">
      <c r="A1867" s="30"/>
      <c r="B1867" s="30" t="s">
        <v>55</v>
      </c>
      <c r="C1867" s="69" t="str">
        <f t="shared" si="125"/>
        <v>Closed</v>
      </c>
      <c r="D1867" s="27" t="s">
        <v>10427</v>
      </c>
      <c r="E1867" s="29" t="s">
        <v>10428</v>
      </c>
      <c r="F1867" s="30" t="s">
        <v>638</v>
      </c>
      <c r="G1867" s="89">
        <f>DATE(2014,10,11)</f>
        <v>41923</v>
      </c>
      <c r="H1867" s="90">
        <v>1.4618055555555556</v>
      </c>
      <c r="I1867" s="30" t="s">
        <v>73</v>
      </c>
      <c r="J1867" s="89" t="s">
        <v>10429</v>
      </c>
      <c r="K1867" s="30" t="s">
        <v>640</v>
      </c>
      <c r="L1867" s="30" t="s">
        <v>10430</v>
      </c>
      <c r="M1867" s="30" t="s">
        <v>63</v>
      </c>
      <c r="N1867" s="30" t="s">
        <v>142</v>
      </c>
      <c r="O1867" s="30" t="s">
        <v>6875</v>
      </c>
      <c r="P1867" s="89" t="s">
        <v>78</v>
      </c>
      <c r="Q1867" s="89" t="s">
        <v>10431</v>
      </c>
      <c r="R1867" s="89" t="s">
        <v>643</v>
      </c>
      <c r="S1867" s="30">
        <v>0</v>
      </c>
      <c r="T1867" s="233">
        <v>0</v>
      </c>
      <c r="U1867" s="30">
        <v>0</v>
      </c>
      <c r="V1867" s="233">
        <v>0</v>
      </c>
      <c r="W1867" s="30">
        <v>0</v>
      </c>
      <c r="X1867" s="30">
        <v>0</v>
      </c>
      <c r="Y1867" s="30">
        <v>0</v>
      </c>
      <c r="Z1867" s="233">
        <v>0</v>
      </c>
      <c r="AA1867" s="30">
        <v>0</v>
      </c>
      <c r="AB1867" s="30">
        <v>0</v>
      </c>
      <c r="AC1867" s="30">
        <v>0</v>
      </c>
      <c r="AD1867" s="30">
        <v>0</v>
      </c>
      <c r="AE1867" s="89" t="s">
        <v>92</v>
      </c>
      <c r="AF1867" s="89"/>
      <c r="AG1867" s="89" t="s">
        <v>352</v>
      </c>
      <c r="AH1867" s="72">
        <v>41968</v>
      </c>
      <c r="AI1867" s="30">
        <v>0</v>
      </c>
      <c r="AJ1867" s="89" t="s">
        <v>10432</v>
      </c>
      <c r="AK1867" s="89" t="s">
        <v>68</v>
      </c>
      <c r="AL1867" s="91">
        <v>41975</v>
      </c>
      <c r="AM1867" s="91"/>
      <c r="AN1867" s="91"/>
      <c r="AO1867" s="91"/>
      <c r="AP1867" s="73" t="e">
        <f>MID(VLOOKUP(K1867,#REF!,2,FALSE),1,2)</f>
        <v>#REF!</v>
      </c>
      <c r="AQ1867" s="89">
        <f>DATE(2014,10,11)</f>
        <v>41923</v>
      </c>
      <c r="AR1867" s="82">
        <f t="shared" si="122"/>
        <v>11</v>
      </c>
      <c r="AS1867" s="83">
        <f t="shared" si="123"/>
        <v>10</v>
      </c>
      <c r="AT1867" s="84">
        <f t="shared" si="124"/>
        <v>2014</v>
      </c>
      <c r="AU1867" s="86"/>
      <c r="AV1867" s="86"/>
      <c r="AW1867" s="87"/>
      <c r="AX1867" s="86"/>
      <c r="AY1867" s="83"/>
      <c r="AZ1867" s="84"/>
      <c r="BA1867" s="86"/>
      <c r="BB1867" s="86"/>
    </row>
    <row r="1868" spans="1:54" ht="36.75" customHeight="1">
      <c r="A1868" s="30"/>
      <c r="B1868" s="30" t="s">
        <v>55</v>
      </c>
      <c r="C1868" s="69" t="str">
        <f t="shared" si="125"/>
        <v>Closed</v>
      </c>
      <c r="D1868" s="27" t="s">
        <v>10433</v>
      </c>
      <c r="E1868" s="29" t="s">
        <v>10434</v>
      </c>
      <c r="F1868" s="30" t="s">
        <v>6455</v>
      </c>
      <c r="G1868" s="89">
        <f>DATE(2014,10,20)</f>
        <v>41932</v>
      </c>
      <c r="H1868" s="90">
        <v>1.8027777777777776</v>
      </c>
      <c r="I1868" s="30" t="s">
        <v>73</v>
      </c>
      <c r="J1868" s="89" t="s">
        <v>10435</v>
      </c>
      <c r="K1868" s="30" t="s">
        <v>584</v>
      </c>
      <c r="L1868" s="30" t="s">
        <v>10436</v>
      </c>
      <c r="M1868" s="30" t="s">
        <v>63</v>
      </c>
      <c r="N1868" s="30" t="s">
        <v>142</v>
      </c>
      <c r="O1868" s="30" t="s">
        <v>77</v>
      </c>
      <c r="P1868" s="89" t="s">
        <v>165</v>
      </c>
      <c r="Q1868" s="89" t="s">
        <v>10437</v>
      </c>
      <c r="R1868" s="89" t="s">
        <v>9852</v>
      </c>
      <c r="S1868" s="30">
        <v>0</v>
      </c>
      <c r="T1868" s="233">
        <v>0</v>
      </c>
      <c r="U1868" s="30">
        <v>0</v>
      </c>
      <c r="V1868" s="233">
        <v>0</v>
      </c>
      <c r="W1868" s="30">
        <v>0</v>
      </c>
      <c r="X1868" s="30">
        <v>0</v>
      </c>
      <c r="Y1868" s="30">
        <v>0</v>
      </c>
      <c r="Z1868" s="233">
        <v>0</v>
      </c>
      <c r="AA1868" s="30">
        <v>0</v>
      </c>
      <c r="AB1868" s="30">
        <v>0</v>
      </c>
      <c r="AC1868" s="30">
        <v>0</v>
      </c>
      <c r="AD1868" s="30">
        <v>0</v>
      </c>
      <c r="AE1868" s="89" t="s">
        <v>394</v>
      </c>
      <c r="AF1868" s="89" t="s">
        <v>10438</v>
      </c>
      <c r="AG1868" s="89" t="s">
        <v>8859</v>
      </c>
      <c r="AH1868" s="72">
        <v>41936</v>
      </c>
      <c r="AI1868" s="30">
        <v>0</v>
      </c>
      <c r="AJ1868" s="89" t="s">
        <v>10439</v>
      </c>
      <c r="AK1868" s="89" t="s">
        <v>68</v>
      </c>
      <c r="AL1868" s="91">
        <v>41940</v>
      </c>
      <c r="AM1868" s="91"/>
      <c r="AN1868" s="91">
        <v>44833</v>
      </c>
      <c r="AO1868" s="91">
        <v>44788</v>
      </c>
      <c r="AP1868" s="73" t="e">
        <f>MID(VLOOKUP(K1868,#REF!,2,FALSE),1,2)</f>
        <v>#REF!</v>
      </c>
      <c r="AQ1868" s="89">
        <f>DATE(2014,10,20)</f>
        <v>41932</v>
      </c>
      <c r="AR1868" s="82">
        <f t="shared" si="122"/>
        <v>20</v>
      </c>
      <c r="AS1868" s="83">
        <f t="shared" si="123"/>
        <v>10</v>
      </c>
      <c r="AT1868" s="84">
        <f t="shared" si="124"/>
        <v>2014</v>
      </c>
      <c r="AU1868" s="86"/>
      <c r="AV1868" s="86"/>
      <c r="AW1868" s="87"/>
      <c r="AX1868" s="86"/>
      <c r="AY1868" s="83"/>
      <c r="AZ1868" s="84"/>
      <c r="BA1868" s="86"/>
      <c r="BB1868" s="86"/>
    </row>
    <row r="1869" spans="1:54" ht="36.75" customHeight="1">
      <c r="A1869" s="30"/>
      <c r="B1869" s="30" t="s">
        <v>55</v>
      </c>
      <c r="C1869" s="69" t="str">
        <f t="shared" si="125"/>
        <v>Closed</v>
      </c>
      <c r="D1869" s="27" t="s">
        <v>10440</v>
      </c>
      <c r="E1869" s="29" t="s">
        <v>10441</v>
      </c>
      <c r="F1869" s="30" t="s">
        <v>835</v>
      </c>
      <c r="G1869" s="89">
        <f>DATE(2014,10,20)</f>
        <v>41932</v>
      </c>
      <c r="H1869" s="90">
        <v>1.3868055555555556</v>
      </c>
      <c r="I1869" s="30" t="s">
        <v>116</v>
      </c>
      <c r="J1869" s="89" t="s">
        <v>10442</v>
      </c>
      <c r="K1869" s="30" t="s">
        <v>837</v>
      </c>
      <c r="L1869" s="30" t="s">
        <v>10443</v>
      </c>
      <c r="M1869" s="30" t="s">
        <v>63</v>
      </c>
      <c r="N1869" s="30" t="s">
        <v>99</v>
      </c>
      <c r="O1869" s="30" t="s">
        <v>64</v>
      </c>
      <c r="P1869" s="89" t="s">
        <v>165</v>
      </c>
      <c r="Q1869" s="89" t="s">
        <v>2162</v>
      </c>
      <c r="R1869" s="89" t="s">
        <v>840</v>
      </c>
      <c r="S1869" s="30">
        <v>0</v>
      </c>
      <c r="T1869" s="233">
        <v>0</v>
      </c>
      <c r="U1869" s="30">
        <v>1</v>
      </c>
      <c r="V1869" s="233">
        <v>0</v>
      </c>
      <c r="W1869" s="30">
        <v>0</v>
      </c>
      <c r="X1869" s="30">
        <v>1</v>
      </c>
      <c r="Y1869" s="30">
        <v>0</v>
      </c>
      <c r="Z1869" s="233">
        <v>0</v>
      </c>
      <c r="AA1869" s="30">
        <v>4</v>
      </c>
      <c r="AB1869" s="30">
        <v>0</v>
      </c>
      <c r="AC1869" s="30">
        <v>0</v>
      </c>
      <c r="AD1869" s="30">
        <v>4</v>
      </c>
      <c r="AE1869" s="89" t="s">
        <v>92</v>
      </c>
      <c r="AF1869" s="89"/>
      <c r="AG1869" s="89" t="s">
        <v>133</v>
      </c>
      <c r="AH1869" s="72">
        <v>41932</v>
      </c>
      <c r="AI1869" s="30">
        <v>0</v>
      </c>
      <c r="AJ1869" s="89" t="s">
        <v>8641</v>
      </c>
      <c r="AK1869" s="89" t="s">
        <v>68</v>
      </c>
      <c r="AL1869" s="91">
        <v>41971</v>
      </c>
      <c r="AM1869" s="91"/>
      <c r="AN1869" s="91"/>
      <c r="AO1869" s="91"/>
      <c r="AP1869" s="73" t="e">
        <f>MID(VLOOKUP(K1869,#REF!,2,FALSE),1,2)</f>
        <v>#REF!</v>
      </c>
      <c r="AQ1869" s="89">
        <f>DATE(2014,10,20)</f>
        <v>41932</v>
      </c>
      <c r="AR1869" s="82">
        <f t="shared" si="122"/>
        <v>20</v>
      </c>
      <c r="AS1869" s="83">
        <f t="shared" si="123"/>
        <v>10</v>
      </c>
      <c r="AT1869" s="84">
        <f t="shared" si="124"/>
        <v>2014</v>
      </c>
      <c r="AU1869" s="86"/>
      <c r="AV1869" s="86"/>
      <c r="AW1869" s="87"/>
      <c r="AX1869" s="86"/>
      <c r="AY1869" s="83"/>
      <c r="AZ1869" s="84"/>
      <c r="BA1869" s="86"/>
      <c r="BB1869" s="86"/>
    </row>
    <row r="1870" spans="1:54" ht="36.75" customHeight="1">
      <c r="A1870" s="30"/>
      <c r="B1870" s="30" t="s">
        <v>55</v>
      </c>
      <c r="C1870" s="69" t="str">
        <f t="shared" si="125"/>
        <v>Closed</v>
      </c>
      <c r="D1870" s="27" t="s">
        <v>10444</v>
      </c>
      <c r="E1870" s="29" t="s">
        <v>10445</v>
      </c>
      <c r="F1870" s="30" t="s">
        <v>835</v>
      </c>
      <c r="G1870" s="89">
        <f>DATE(2014,10,21)</f>
        <v>41933</v>
      </c>
      <c r="H1870" s="90">
        <v>1.8611111111111112</v>
      </c>
      <c r="I1870" s="30" t="s">
        <v>73</v>
      </c>
      <c r="J1870" s="89" t="s">
        <v>10446</v>
      </c>
      <c r="K1870" s="30" t="s">
        <v>837</v>
      </c>
      <c r="L1870" s="30" t="s">
        <v>10447</v>
      </c>
      <c r="M1870" s="30" t="s">
        <v>63</v>
      </c>
      <c r="N1870" s="30" t="s">
        <v>99</v>
      </c>
      <c r="O1870" s="30" t="s">
        <v>77</v>
      </c>
      <c r="P1870" s="89" t="s">
        <v>65</v>
      </c>
      <c r="Q1870" s="89" t="s">
        <v>2162</v>
      </c>
      <c r="R1870" s="89" t="s">
        <v>840</v>
      </c>
      <c r="S1870" s="30">
        <v>0</v>
      </c>
      <c r="T1870" s="233">
        <v>0</v>
      </c>
      <c r="U1870" s="30">
        <v>0</v>
      </c>
      <c r="V1870" s="233">
        <v>0</v>
      </c>
      <c r="W1870" s="30">
        <v>0</v>
      </c>
      <c r="X1870" s="30">
        <v>0</v>
      </c>
      <c r="Y1870" s="30">
        <v>0</v>
      </c>
      <c r="Z1870" s="233">
        <v>0</v>
      </c>
      <c r="AA1870" s="30">
        <v>0</v>
      </c>
      <c r="AB1870" s="30">
        <v>0</v>
      </c>
      <c r="AC1870" s="30">
        <v>0</v>
      </c>
      <c r="AD1870" s="30">
        <v>0</v>
      </c>
      <c r="AE1870" s="89" t="s">
        <v>394</v>
      </c>
      <c r="AF1870" s="89"/>
      <c r="AG1870" s="89" t="s">
        <v>352</v>
      </c>
      <c r="AH1870" s="72">
        <v>41933</v>
      </c>
      <c r="AI1870" s="30">
        <v>0</v>
      </c>
      <c r="AJ1870" s="89" t="s">
        <v>8641</v>
      </c>
      <c r="AK1870" s="89" t="s">
        <v>68</v>
      </c>
      <c r="AL1870" s="91">
        <v>41942</v>
      </c>
      <c r="AM1870" s="91"/>
      <c r="AN1870" s="91"/>
      <c r="AO1870" s="91"/>
      <c r="AP1870" s="73" t="e">
        <f>MID(VLOOKUP(K1870,#REF!,2,FALSE),1,2)</f>
        <v>#REF!</v>
      </c>
      <c r="AQ1870" s="89">
        <f>DATE(2014,10,21)</f>
        <v>41933</v>
      </c>
      <c r="AR1870" s="82">
        <f t="shared" si="122"/>
        <v>21</v>
      </c>
      <c r="AS1870" s="83">
        <f t="shared" si="123"/>
        <v>10</v>
      </c>
      <c r="AT1870" s="84">
        <f t="shared" si="124"/>
        <v>2014</v>
      </c>
      <c r="AU1870" s="86"/>
      <c r="AV1870" s="86"/>
      <c r="AW1870" s="87"/>
      <c r="AX1870" s="86"/>
      <c r="AY1870" s="83"/>
      <c r="AZ1870" s="84"/>
      <c r="BA1870" s="86"/>
      <c r="BB1870" s="86"/>
    </row>
    <row r="1871" spans="1:54" ht="36.75" customHeight="1">
      <c r="A1871" s="30"/>
      <c r="B1871" s="30" t="s">
        <v>55</v>
      </c>
      <c r="C1871" s="69" t="str">
        <f t="shared" si="125"/>
        <v>Closed</v>
      </c>
      <c r="D1871" s="27" t="s">
        <v>10448</v>
      </c>
      <c r="E1871" s="29" t="s">
        <v>10449</v>
      </c>
      <c r="F1871" s="30" t="s">
        <v>233</v>
      </c>
      <c r="G1871" s="89">
        <f>DATE(2014,10,23)</f>
        <v>41935</v>
      </c>
      <c r="H1871" s="90">
        <v>1.6493055555555556</v>
      </c>
      <c r="I1871" s="30" t="s">
        <v>73</v>
      </c>
      <c r="J1871" s="89" t="s">
        <v>10450</v>
      </c>
      <c r="K1871" s="30" t="s">
        <v>235</v>
      </c>
      <c r="L1871" s="30" t="s">
        <v>10451</v>
      </c>
      <c r="M1871" s="30" t="s">
        <v>63</v>
      </c>
      <c r="N1871" s="30" t="s">
        <v>89</v>
      </c>
      <c r="O1871" s="30" t="s">
        <v>64</v>
      </c>
      <c r="P1871" s="89" t="s">
        <v>78</v>
      </c>
      <c r="Q1871" s="89" t="s">
        <v>434</v>
      </c>
      <c r="R1871" s="89" t="s">
        <v>238</v>
      </c>
      <c r="S1871" s="30">
        <v>0</v>
      </c>
      <c r="T1871" s="233">
        <v>0</v>
      </c>
      <c r="U1871" s="30">
        <v>0</v>
      </c>
      <c r="V1871" s="233">
        <v>0</v>
      </c>
      <c r="W1871" s="30">
        <v>0</v>
      </c>
      <c r="X1871" s="30">
        <v>0</v>
      </c>
      <c r="Y1871" s="30">
        <v>0</v>
      </c>
      <c r="Z1871" s="233">
        <v>0</v>
      </c>
      <c r="AA1871" s="30">
        <v>0</v>
      </c>
      <c r="AB1871" s="30">
        <v>0</v>
      </c>
      <c r="AC1871" s="30">
        <v>0</v>
      </c>
      <c r="AD1871" s="30">
        <v>0</v>
      </c>
      <c r="AE1871" s="89" t="s">
        <v>92</v>
      </c>
      <c r="AF1871" s="89"/>
      <c r="AG1871" s="89" t="s">
        <v>133</v>
      </c>
      <c r="AH1871" s="72">
        <v>41946</v>
      </c>
      <c r="AI1871" s="30">
        <v>5</v>
      </c>
      <c r="AJ1871" s="89" t="s">
        <v>10452</v>
      </c>
      <c r="AK1871" s="89" t="s">
        <v>10453</v>
      </c>
      <c r="AL1871" s="91">
        <v>41971</v>
      </c>
      <c r="AM1871" s="91"/>
      <c r="AN1871" s="91"/>
      <c r="AO1871" s="91"/>
      <c r="AP1871" s="73" t="e">
        <f>MID(VLOOKUP(K1871,#REF!,2,FALSE),1,2)</f>
        <v>#REF!</v>
      </c>
      <c r="AQ1871" s="89">
        <f>DATE(2014,10,23)</f>
        <v>41935</v>
      </c>
      <c r="AR1871" s="82">
        <f t="shared" si="122"/>
        <v>23</v>
      </c>
      <c r="AS1871" s="83">
        <f t="shared" si="123"/>
        <v>10</v>
      </c>
      <c r="AT1871" s="84">
        <f t="shared" si="124"/>
        <v>2014</v>
      </c>
      <c r="AU1871" s="86"/>
      <c r="AV1871" s="86"/>
      <c r="AW1871" s="87"/>
      <c r="AX1871" s="86"/>
      <c r="AY1871" s="83"/>
      <c r="AZ1871" s="84"/>
      <c r="BA1871" s="86"/>
      <c r="BB1871" s="86"/>
    </row>
    <row r="1872" spans="1:54" ht="36.75" customHeight="1">
      <c r="A1872" s="30"/>
      <c r="B1872" s="30" t="s">
        <v>55</v>
      </c>
      <c r="C1872" s="69" t="str">
        <f t="shared" si="125"/>
        <v>Closed</v>
      </c>
      <c r="D1872" s="27" t="s">
        <v>10454</v>
      </c>
      <c r="E1872" s="29" t="s">
        <v>10455</v>
      </c>
      <c r="F1872" s="30" t="s">
        <v>233</v>
      </c>
      <c r="G1872" s="89">
        <f>DATE(2014,10,26)</f>
        <v>41938</v>
      </c>
      <c r="H1872" s="90">
        <v>1.3104166666666668</v>
      </c>
      <c r="I1872" s="30" t="s">
        <v>156</v>
      </c>
      <c r="J1872" s="89" t="s">
        <v>10456</v>
      </c>
      <c r="K1872" s="30" t="s">
        <v>235</v>
      </c>
      <c r="L1872" s="30" t="s">
        <v>10457</v>
      </c>
      <c r="M1872" s="30" t="s">
        <v>63</v>
      </c>
      <c r="N1872" s="30" t="s">
        <v>89</v>
      </c>
      <c r="O1872" s="30" t="s">
        <v>64</v>
      </c>
      <c r="P1872" s="89" t="s">
        <v>165</v>
      </c>
      <c r="Q1872" s="89" t="s">
        <v>10458</v>
      </c>
      <c r="R1872" s="89" t="s">
        <v>238</v>
      </c>
      <c r="S1872" s="30">
        <v>0</v>
      </c>
      <c r="T1872" s="233">
        <v>0</v>
      </c>
      <c r="U1872" s="30">
        <v>0</v>
      </c>
      <c r="V1872" s="233">
        <v>0</v>
      </c>
      <c r="W1872" s="30">
        <v>0</v>
      </c>
      <c r="X1872" s="30">
        <v>0</v>
      </c>
      <c r="Y1872" s="30">
        <v>0</v>
      </c>
      <c r="Z1872" s="233">
        <v>0</v>
      </c>
      <c r="AA1872" s="30">
        <v>0</v>
      </c>
      <c r="AB1872" s="30">
        <v>0</v>
      </c>
      <c r="AC1872" s="30">
        <v>0</v>
      </c>
      <c r="AD1872" s="30">
        <v>0</v>
      </c>
      <c r="AE1872" s="89" t="s">
        <v>92</v>
      </c>
      <c r="AF1872" s="89"/>
      <c r="AG1872" s="89" t="s">
        <v>133</v>
      </c>
      <c r="AH1872" s="72">
        <v>41946</v>
      </c>
      <c r="AI1872" s="30">
        <v>6</v>
      </c>
      <c r="AJ1872" s="89" t="s">
        <v>10459</v>
      </c>
      <c r="AK1872" s="89" t="s">
        <v>10460</v>
      </c>
      <c r="AL1872" s="91">
        <v>41960</v>
      </c>
      <c r="AM1872" s="91"/>
      <c r="AN1872" s="91"/>
      <c r="AO1872" s="91"/>
      <c r="AP1872" s="73" t="e">
        <f>MID(VLOOKUP(K1872,#REF!,2,FALSE),1,2)</f>
        <v>#REF!</v>
      </c>
      <c r="AQ1872" s="89">
        <f>DATE(2014,10,26)</f>
        <v>41938</v>
      </c>
      <c r="AR1872" s="82">
        <f t="shared" si="122"/>
        <v>26</v>
      </c>
      <c r="AS1872" s="83">
        <f t="shared" si="123"/>
        <v>10</v>
      </c>
      <c r="AT1872" s="84">
        <f t="shared" si="124"/>
        <v>2014</v>
      </c>
      <c r="AU1872" s="86"/>
      <c r="AV1872" s="86"/>
      <c r="AW1872" s="87"/>
      <c r="AX1872" s="86"/>
      <c r="AY1872" s="83"/>
      <c r="AZ1872" s="84"/>
      <c r="BA1872" s="86"/>
      <c r="BB1872" s="86"/>
    </row>
    <row r="1873" spans="1:54" ht="36.75" customHeight="1">
      <c r="A1873" s="30"/>
      <c r="B1873" s="30" t="s">
        <v>55</v>
      </c>
      <c r="C1873" s="69" t="str">
        <f t="shared" si="125"/>
        <v>Closed</v>
      </c>
      <c r="D1873" s="27" t="s">
        <v>10461</v>
      </c>
      <c r="E1873" s="29" t="s">
        <v>10462</v>
      </c>
      <c r="F1873" s="30" t="s">
        <v>582</v>
      </c>
      <c r="G1873" s="89">
        <f>DATE(2014,10,29)</f>
        <v>41941</v>
      </c>
      <c r="H1873" s="90">
        <v>1.9840277777777779</v>
      </c>
      <c r="I1873" s="30" t="s">
        <v>198</v>
      </c>
      <c r="J1873" s="89" t="s">
        <v>10463</v>
      </c>
      <c r="K1873" s="30" t="s">
        <v>584</v>
      </c>
      <c r="L1873" s="30" t="s">
        <v>10464</v>
      </c>
      <c r="M1873" s="30" t="s">
        <v>63</v>
      </c>
      <c r="N1873" s="30" t="s">
        <v>142</v>
      </c>
      <c r="O1873" s="30" t="s">
        <v>77</v>
      </c>
      <c r="P1873" s="89" t="s">
        <v>78</v>
      </c>
      <c r="Q1873" s="89" t="s">
        <v>586</v>
      </c>
      <c r="R1873" s="89" t="s">
        <v>587</v>
      </c>
      <c r="S1873" s="30">
        <v>0</v>
      </c>
      <c r="T1873" s="233">
        <v>0</v>
      </c>
      <c r="U1873" s="30">
        <v>0</v>
      </c>
      <c r="V1873" s="233">
        <v>0</v>
      </c>
      <c r="W1873" s="30">
        <v>0</v>
      </c>
      <c r="X1873" s="30">
        <v>0</v>
      </c>
      <c r="Y1873" s="30">
        <v>0</v>
      </c>
      <c r="Z1873" s="233">
        <v>0</v>
      </c>
      <c r="AA1873" s="30">
        <v>0</v>
      </c>
      <c r="AB1873" s="30">
        <v>0</v>
      </c>
      <c r="AC1873" s="30">
        <v>0</v>
      </c>
      <c r="AD1873" s="30">
        <v>0</v>
      </c>
      <c r="AE1873" s="89" t="s">
        <v>92</v>
      </c>
      <c r="AF1873" s="89"/>
      <c r="AG1873" s="89" t="s">
        <v>133</v>
      </c>
      <c r="AH1873" s="72">
        <v>41946</v>
      </c>
      <c r="AI1873" s="30">
        <v>0</v>
      </c>
      <c r="AJ1873" s="89" t="s">
        <v>10465</v>
      </c>
      <c r="AK1873" s="89" t="s">
        <v>1233</v>
      </c>
      <c r="AL1873" s="91">
        <v>41961</v>
      </c>
      <c r="AM1873" s="91"/>
      <c r="AN1873" s="91"/>
      <c r="AO1873" s="91"/>
      <c r="AP1873" s="73" t="e">
        <f>MID(VLOOKUP(K1873,#REF!,2,FALSE),1,2)</f>
        <v>#REF!</v>
      </c>
      <c r="AQ1873" s="89">
        <f>DATE(2014,10,29)</f>
        <v>41941</v>
      </c>
      <c r="AR1873" s="82">
        <f t="shared" si="122"/>
        <v>29</v>
      </c>
      <c r="AS1873" s="83">
        <f t="shared" si="123"/>
        <v>10</v>
      </c>
      <c r="AT1873" s="84">
        <f t="shared" si="124"/>
        <v>2014</v>
      </c>
      <c r="AU1873" s="86"/>
      <c r="AV1873" s="86"/>
      <c r="AW1873" s="87"/>
      <c r="AX1873" s="86"/>
      <c r="AY1873" s="83"/>
      <c r="AZ1873" s="84"/>
      <c r="BA1873" s="86"/>
      <c r="BB1873" s="86"/>
    </row>
    <row r="1874" spans="1:54" ht="36.75" customHeight="1">
      <c r="A1874" s="30"/>
      <c r="B1874" s="30" t="s">
        <v>55</v>
      </c>
      <c r="C1874" s="69" t="str">
        <f t="shared" si="125"/>
        <v>Closed</v>
      </c>
      <c r="D1874" s="27" t="s">
        <v>10466</v>
      </c>
      <c r="E1874" s="29" t="s">
        <v>10467</v>
      </c>
      <c r="F1874" s="30" t="s">
        <v>582</v>
      </c>
      <c r="G1874" s="89">
        <f>DATE(2014,10,30)</f>
        <v>41942</v>
      </c>
      <c r="H1874" s="90">
        <v>1.3020833333333333</v>
      </c>
      <c r="I1874" s="30" t="s">
        <v>73</v>
      </c>
      <c r="J1874" s="89" t="s">
        <v>10468</v>
      </c>
      <c r="K1874" s="30" t="s">
        <v>584</v>
      </c>
      <c r="L1874" s="30" t="s">
        <v>10469</v>
      </c>
      <c r="M1874" s="30" t="s">
        <v>63</v>
      </c>
      <c r="N1874" s="30" t="s">
        <v>142</v>
      </c>
      <c r="O1874" s="30" t="s">
        <v>77</v>
      </c>
      <c r="P1874" s="89" t="s">
        <v>78</v>
      </c>
      <c r="Q1874" s="89" t="s">
        <v>586</v>
      </c>
      <c r="R1874" s="89" t="s">
        <v>587</v>
      </c>
      <c r="S1874" s="30">
        <v>0</v>
      </c>
      <c r="T1874" s="233">
        <v>0</v>
      </c>
      <c r="U1874" s="30">
        <v>0</v>
      </c>
      <c r="V1874" s="233">
        <v>0</v>
      </c>
      <c r="W1874" s="30">
        <v>0</v>
      </c>
      <c r="X1874" s="30">
        <v>0</v>
      </c>
      <c r="Y1874" s="30">
        <v>0</v>
      </c>
      <c r="Z1874" s="233">
        <v>0</v>
      </c>
      <c r="AA1874" s="30">
        <v>0</v>
      </c>
      <c r="AB1874" s="30">
        <v>0</v>
      </c>
      <c r="AC1874" s="30">
        <v>0</v>
      </c>
      <c r="AD1874" s="30">
        <v>0</v>
      </c>
      <c r="AE1874" s="89" t="s">
        <v>92</v>
      </c>
      <c r="AF1874" s="89"/>
      <c r="AG1874" s="89" t="s">
        <v>133</v>
      </c>
      <c r="AH1874" s="72">
        <v>41946</v>
      </c>
      <c r="AI1874" s="30">
        <v>0</v>
      </c>
      <c r="AJ1874" s="89" t="s">
        <v>10470</v>
      </c>
      <c r="AK1874" s="89" t="s">
        <v>1233</v>
      </c>
      <c r="AL1874" s="91">
        <v>41961</v>
      </c>
      <c r="AM1874" s="91"/>
      <c r="AN1874" s="91"/>
      <c r="AO1874" s="91"/>
      <c r="AP1874" s="73" t="e">
        <f>MID(VLOOKUP(K1874,#REF!,2,FALSE),1,2)</f>
        <v>#REF!</v>
      </c>
      <c r="AQ1874" s="89">
        <f>DATE(2014,10,30)</f>
        <v>41942</v>
      </c>
      <c r="AR1874" s="82">
        <f t="shared" si="122"/>
        <v>30</v>
      </c>
      <c r="AS1874" s="83">
        <f t="shared" si="123"/>
        <v>10</v>
      </c>
      <c r="AT1874" s="84">
        <f t="shared" si="124"/>
        <v>2014</v>
      </c>
      <c r="AU1874" s="86"/>
      <c r="AV1874" s="86"/>
      <c r="AW1874" s="87"/>
      <c r="AX1874" s="86"/>
      <c r="AY1874" s="83"/>
      <c r="AZ1874" s="84"/>
      <c r="BA1874" s="86"/>
      <c r="BB1874" s="86"/>
    </row>
    <row r="1875" spans="1:54" ht="36.75" customHeight="1">
      <c r="A1875" s="30"/>
      <c r="B1875" s="30" t="s">
        <v>55</v>
      </c>
      <c r="C1875" s="69" t="str">
        <f t="shared" si="125"/>
        <v>Closed</v>
      </c>
      <c r="D1875" s="27" t="s">
        <v>10471</v>
      </c>
      <c r="E1875" s="29" t="s">
        <v>10472</v>
      </c>
      <c r="F1875" s="30" t="s">
        <v>1572</v>
      </c>
      <c r="G1875" s="89">
        <f>DATE(2014,10,30)</f>
        <v>41942</v>
      </c>
      <c r="H1875" s="90">
        <v>1.7152777777777777</v>
      </c>
      <c r="I1875" s="30" t="s">
        <v>73</v>
      </c>
      <c r="J1875" s="89" t="s">
        <v>10473</v>
      </c>
      <c r="K1875" s="30" t="s">
        <v>1574</v>
      </c>
      <c r="L1875" s="30" t="s">
        <v>10474</v>
      </c>
      <c r="M1875" s="30" t="s">
        <v>63</v>
      </c>
      <c r="N1875" s="30" t="s">
        <v>99</v>
      </c>
      <c r="O1875" s="30" t="s">
        <v>64</v>
      </c>
      <c r="P1875" s="89" t="s">
        <v>65</v>
      </c>
      <c r="Q1875" s="89" t="s">
        <v>2413</v>
      </c>
      <c r="R1875" s="89" t="s">
        <v>6434</v>
      </c>
      <c r="S1875" s="30">
        <v>0</v>
      </c>
      <c r="T1875" s="233">
        <v>0</v>
      </c>
      <c r="U1875" s="30">
        <v>0</v>
      </c>
      <c r="V1875" s="233">
        <v>0</v>
      </c>
      <c r="W1875" s="30">
        <v>0</v>
      </c>
      <c r="X1875" s="30">
        <v>0</v>
      </c>
      <c r="Y1875" s="30">
        <v>0</v>
      </c>
      <c r="Z1875" s="233">
        <v>0</v>
      </c>
      <c r="AA1875" s="30">
        <v>0</v>
      </c>
      <c r="AB1875" s="30">
        <v>0</v>
      </c>
      <c r="AC1875" s="30">
        <v>0</v>
      </c>
      <c r="AD1875" s="30">
        <v>0</v>
      </c>
      <c r="AE1875" s="89" t="s">
        <v>92</v>
      </c>
      <c r="AF1875" s="89"/>
      <c r="AG1875" s="89" t="s">
        <v>133</v>
      </c>
      <c r="AH1875" s="72">
        <v>41946</v>
      </c>
      <c r="AI1875" s="30">
        <v>1</v>
      </c>
      <c r="AJ1875" s="89" t="s">
        <v>10475</v>
      </c>
      <c r="AK1875" s="89" t="s">
        <v>10476</v>
      </c>
      <c r="AL1875" s="91">
        <v>41946</v>
      </c>
      <c r="AM1875" s="91"/>
      <c r="AN1875" s="91"/>
      <c r="AO1875" s="91"/>
      <c r="AP1875" s="73" t="e">
        <f>MID(VLOOKUP(K1875,#REF!,2,FALSE),1,2)</f>
        <v>#REF!</v>
      </c>
      <c r="AQ1875" s="89">
        <f>DATE(2014,10,30)</f>
        <v>41942</v>
      </c>
      <c r="AR1875" s="82">
        <f t="shared" si="122"/>
        <v>30</v>
      </c>
      <c r="AS1875" s="83">
        <f t="shared" si="123"/>
        <v>10</v>
      </c>
      <c r="AT1875" s="84">
        <f t="shared" si="124"/>
        <v>2014</v>
      </c>
      <c r="AU1875" s="86"/>
      <c r="AV1875" s="86"/>
      <c r="AW1875" s="87"/>
      <c r="AX1875" s="86"/>
      <c r="AY1875" s="83"/>
      <c r="AZ1875" s="84"/>
      <c r="BA1875" s="86"/>
      <c r="BB1875" s="86"/>
    </row>
    <row r="1876" spans="1:54" ht="36.75" customHeight="1">
      <c r="A1876" s="30"/>
      <c r="B1876" s="30" t="s">
        <v>55</v>
      </c>
      <c r="C1876" s="69" t="str">
        <f t="shared" si="125"/>
        <v>Closed</v>
      </c>
      <c r="D1876" s="27" t="s">
        <v>10477</v>
      </c>
      <c r="E1876" s="29" t="s">
        <v>10478</v>
      </c>
      <c r="F1876" s="30" t="s">
        <v>233</v>
      </c>
      <c r="G1876" s="89">
        <f>DATE(2014,11,1)</f>
        <v>41944</v>
      </c>
      <c r="H1876" s="90">
        <v>1.9194444444444443</v>
      </c>
      <c r="I1876" s="30" t="s">
        <v>487</v>
      </c>
      <c r="J1876" s="89" t="s">
        <v>10479</v>
      </c>
      <c r="K1876" s="30" t="s">
        <v>235</v>
      </c>
      <c r="L1876" s="30" t="s">
        <v>10480</v>
      </c>
      <c r="M1876" s="30" t="s">
        <v>63</v>
      </c>
      <c r="N1876" s="30" t="s">
        <v>99</v>
      </c>
      <c r="O1876" s="30" t="s">
        <v>64</v>
      </c>
      <c r="P1876" s="89" t="s">
        <v>86</v>
      </c>
      <c r="Q1876" s="89" t="s">
        <v>718</v>
      </c>
      <c r="R1876" s="89" t="s">
        <v>238</v>
      </c>
      <c r="S1876" s="30">
        <v>0</v>
      </c>
      <c r="T1876" s="233">
        <v>0</v>
      </c>
      <c r="U1876" s="30">
        <v>0</v>
      </c>
      <c r="V1876" s="233">
        <v>0</v>
      </c>
      <c r="W1876" s="30">
        <v>0</v>
      </c>
      <c r="X1876" s="30">
        <v>0</v>
      </c>
      <c r="Y1876" s="30">
        <v>0</v>
      </c>
      <c r="Z1876" s="233">
        <v>0</v>
      </c>
      <c r="AA1876" s="30">
        <v>0</v>
      </c>
      <c r="AB1876" s="30">
        <v>0</v>
      </c>
      <c r="AC1876" s="30">
        <v>0</v>
      </c>
      <c r="AD1876" s="30">
        <v>0</v>
      </c>
      <c r="AE1876" s="89" t="s">
        <v>92</v>
      </c>
      <c r="AF1876" s="89"/>
      <c r="AG1876" s="89" t="s">
        <v>133</v>
      </c>
      <c r="AH1876" s="72">
        <v>41953</v>
      </c>
      <c r="AI1876" s="30">
        <v>6</v>
      </c>
      <c r="AJ1876" s="89" t="s">
        <v>10481</v>
      </c>
      <c r="AK1876" s="89" t="s">
        <v>10482</v>
      </c>
      <c r="AL1876" s="91">
        <v>41960</v>
      </c>
      <c r="AM1876" s="91"/>
      <c r="AN1876" s="91"/>
      <c r="AO1876" s="91"/>
      <c r="AP1876" s="73" t="e">
        <f>MID(VLOOKUP(K1876,#REF!,2,FALSE),1,2)</f>
        <v>#REF!</v>
      </c>
      <c r="AQ1876" s="89">
        <f>DATE(2014,11,1)</f>
        <v>41944</v>
      </c>
      <c r="AR1876" s="82">
        <f t="shared" si="122"/>
        <v>1</v>
      </c>
      <c r="AS1876" s="83">
        <f t="shared" si="123"/>
        <v>11</v>
      </c>
      <c r="AT1876" s="84">
        <f t="shared" si="124"/>
        <v>2014</v>
      </c>
      <c r="AU1876" s="86"/>
      <c r="AV1876" s="86"/>
      <c r="AW1876" s="87"/>
      <c r="AX1876" s="86"/>
      <c r="AY1876" s="83"/>
      <c r="AZ1876" s="84"/>
      <c r="BA1876" s="86"/>
      <c r="BB1876" s="86"/>
    </row>
    <row r="1877" spans="1:54" ht="36.75" customHeight="1">
      <c r="A1877" s="30"/>
      <c r="B1877" s="30" t="s">
        <v>55</v>
      </c>
      <c r="C1877" s="69" t="str">
        <f t="shared" si="125"/>
        <v>Closed</v>
      </c>
      <c r="D1877" s="27" t="s">
        <v>10483</v>
      </c>
      <c r="E1877" s="29" t="s">
        <v>10484</v>
      </c>
      <c r="F1877" s="30" t="s">
        <v>1770</v>
      </c>
      <c r="G1877" s="89">
        <f>DATE(2014,11,3)</f>
        <v>41946</v>
      </c>
      <c r="H1877" s="90">
        <v>1.5625</v>
      </c>
      <c r="I1877" s="30" t="s">
        <v>198</v>
      </c>
      <c r="J1877" s="89" t="s">
        <v>10485</v>
      </c>
      <c r="K1877" s="30" t="s">
        <v>1772</v>
      </c>
      <c r="L1877" s="30" t="s">
        <v>10486</v>
      </c>
      <c r="M1877" s="30" t="s">
        <v>63</v>
      </c>
      <c r="N1877" s="30" t="s">
        <v>142</v>
      </c>
      <c r="O1877" s="30" t="s">
        <v>64</v>
      </c>
      <c r="P1877" s="89" t="s">
        <v>2931</v>
      </c>
      <c r="Q1877" s="89" t="s">
        <v>10487</v>
      </c>
      <c r="R1877" s="89" t="s">
        <v>1775</v>
      </c>
      <c r="S1877" s="30">
        <v>0</v>
      </c>
      <c r="T1877" s="233">
        <v>0</v>
      </c>
      <c r="U1877" s="30">
        <v>0</v>
      </c>
      <c r="V1877" s="233">
        <v>0</v>
      </c>
      <c r="W1877" s="30">
        <v>0</v>
      </c>
      <c r="X1877" s="30">
        <v>0</v>
      </c>
      <c r="Y1877" s="30">
        <v>0</v>
      </c>
      <c r="Z1877" s="233">
        <v>0</v>
      </c>
      <c r="AA1877" s="30">
        <v>0</v>
      </c>
      <c r="AB1877" s="30">
        <v>0</v>
      </c>
      <c r="AC1877" s="30">
        <v>0</v>
      </c>
      <c r="AD1877" s="30">
        <v>0</v>
      </c>
      <c r="AE1877" s="89" t="s">
        <v>394</v>
      </c>
      <c r="AF1877" s="89"/>
      <c r="AG1877" s="89" t="s">
        <v>133</v>
      </c>
      <c r="AH1877" s="72">
        <v>41950</v>
      </c>
      <c r="AI1877" s="30">
        <v>11</v>
      </c>
      <c r="AJ1877" s="89" t="s">
        <v>10488</v>
      </c>
      <c r="AK1877" s="89" t="s">
        <v>10489</v>
      </c>
      <c r="AL1877" s="91">
        <v>41955</v>
      </c>
      <c r="AM1877" s="91"/>
      <c r="AN1877" s="91"/>
      <c r="AO1877" s="91"/>
      <c r="AP1877" s="73" t="e">
        <f>MID(VLOOKUP(K1877,#REF!,2,FALSE),1,2)</f>
        <v>#REF!</v>
      </c>
      <c r="AQ1877" s="89">
        <f>DATE(2014,11,3)</f>
        <v>41946</v>
      </c>
      <c r="AR1877" s="82">
        <f t="shared" si="122"/>
        <v>3</v>
      </c>
      <c r="AS1877" s="83">
        <f t="shared" si="123"/>
        <v>11</v>
      </c>
      <c r="AT1877" s="84">
        <f t="shared" si="124"/>
        <v>2014</v>
      </c>
      <c r="AU1877" s="86"/>
      <c r="AV1877" s="86"/>
      <c r="AW1877" s="87"/>
      <c r="AX1877" s="86"/>
      <c r="AY1877" s="83"/>
      <c r="AZ1877" s="84"/>
      <c r="BA1877" s="86"/>
      <c r="BB1877" s="86"/>
    </row>
    <row r="1878" spans="1:54" ht="36.75" customHeight="1">
      <c r="A1878" s="30"/>
      <c r="B1878" s="30" t="s">
        <v>55</v>
      </c>
      <c r="C1878" s="69" t="str">
        <f t="shared" si="125"/>
        <v>Closed</v>
      </c>
      <c r="D1878" s="27" t="s">
        <v>10490</v>
      </c>
      <c r="E1878" s="29" t="s">
        <v>10491</v>
      </c>
      <c r="F1878" s="30" t="s">
        <v>124</v>
      </c>
      <c r="G1878" s="89">
        <f>DATE(2014,11,3)</f>
        <v>41946</v>
      </c>
      <c r="H1878" s="90">
        <v>1.1458333333333333</v>
      </c>
      <c r="I1878" s="30" t="s">
        <v>73</v>
      </c>
      <c r="J1878" s="89" t="s">
        <v>10492</v>
      </c>
      <c r="K1878" s="30" t="s">
        <v>127</v>
      </c>
      <c r="L1878" s="30" t="s">
        <v>10493</v>
      </c>
      <c r="M1878" s="30" t="s">
        <v>63</v>
      </c>
      <c r="N1878" s="30" t="s">
        <v>99</v>
      </c>
      <c r="O1878" s="30" t="s">
        <v>77</v>
      </c>
      <c r="P1878" s="89" t="s">
        <v>78</v>
      </c>
      <c r="Q1878" s="89" t="s">
        <v>4232</v>
      </c>
      <c r="R1878" s="89" t="s">
        <v>167</v>
      </c>
      <c r="S1878" s="30">
        <v>0</v>
      </c>
      <c r="T1878" s="233">
        <v>0</v>
      </c>
      <c r="U1878" s="30">
        <v>0</v>
      </c>
      <c r="V1878" s="233">
        <v>0</v>
      </c>
      <c r="W1878" s="30">
        <v>0</v>
      </c>
      <c r="X1878" s="30">
        <v>0</v>
      </c>
      <c r="Y1878" s="30">
        <v>0</v>
      </c>
      <c r="Z1878" s="233">
        <v>0</v>
      </c>
      <c r="AA1878" s="30">
        <v>0</v>
      </c>
      <c r="AB1878" s="30">
        <v>0</v>
      </c>
      <c r="AC1878" s="30">
        <v>0</v>
      </c>
      <c r="AD1878" s="30">
        <v>0</v>
      </c>
      <c r="AE1878" s="89" t="s">
        <v>92</v>
      </c>
      <c r="AF1878" s="89"/>
      <c r="AG1878" s="89" t="s">
        <v>133</v>
      </c>
      <c r="AH1878" s="72">
        <v>41956</v>
      </c>
      <c r="AI1878" s="30">
        <v>2</v>
      </c>
      <c r="AJ1878" s="89" t="s">
        <v>10494</v>
      </c>
      <c r="AK1878" s="89" t="s">
        <v>68</v>
      </c>
      <c r="AL1878" s="91">
        <v>41960</v>
      </c>
      <c r="AM1878" s="91"/>
      <c r="AN1878" s="91"/>
      <c r="AO1878" s="91"/>
      <c r="AP1878" s="73" t="e">
        <f>MID(VLOOKUP(K1878,#REF!,2,FALSE),1,2)</f>
        <v>#REF!</v>
      </c>
      <c r="AQ1878" s="89">
        <f>DATE(2014,11,3)</f>
        <v>41946</v>
      </c>
      <c r="AR1878" s="82">
        <f t="shared" si="122"/>
        <v>3</v>
      </c>
      <c r="AS1878" s="83">
        <f t="shared" si="123"/>
        <v>11</v>
      </c>
      <c r="AT1878" s="84">
        <f t="shared" si="124"/>
        <v>2014</v>
      </c>
      <c r="AU1878" s="86"/>
      <c r="AV1878" s="86"/>
      <c r="AW1878" s="87"/>
      <c r="AX1878" s="86"/>
      <c r="AY1878" s="83"/>
      <c r="AZ1878" s="84"/>
      <c r="BA1878" s="86"/>
      <c r="BB1878" s="86"/>
    </row>
    <row r="1879" spans="1:54" ht="36.75" customHeight="1">
      <c r="A1879" s="30"/>
      <c r="B1879" s="30" t="s">
        <v>55</v>
      </c>
      <c r="C1879" s="69" t="str">
        <f t="shared" si="125"/>
        <v>Closed</v>
      </c>
      <c r="D1879" s="27" t="s">
        <v>10495</v>
      </c>
      <c r="E1879" s="29" t="s">
        <v>10496</v>
      </c>
      <c r="F1879" s="30" t="s">
        <v>835</v>
      </c>
      <c r="G1879" s="89">
        <f>DATE(2014,11,4)</f>
        <v>41947</v>
      </c>
      <c r="H1879" s="90">
        <v>1.1805555555555556</v>
      </c>
      <c r="I1879" s="30" t="s">
        <v>7482</v>
      </c>
      <c r="J1879" s="89" t="s">
        <v>10497</v>
      </c>
      <c r="K1879" s="30" t="s">
        <v>837</v>
      </c>
      <c r="L1879" s="30" t="s">
        <v>10498</v>
      </c>
      <c r="M1879" s="30" t="s">
        <v>63</v>
      </c>
      <c r="N1879" s="30" t="s">
        <v>99</v>
      </c>
      <c r="O1879" s="30" t="s">
        <v>77</v>
      </c>
      <c r="P1879" s="89" t="s">
        <v>78</v>
      </c>
      <c r="Q1879" s="89" t="s">
        <v>4708</v>
      </c>
      <c r="R1879" s="89" t="s">
        <v>840</v>
      </c>
      <c r="S1879" s="30">
        <v>0</v>
      </c>
      <c r="T1879" s="233">
        <v>0</v>
      </c>
      <c r="U1879" s="30">
        <v>0</v>
      </c>
      <c r="V1879" s="233">
        <v>0</v>
      </c>
      <c r="W1879" s="30">
        <v>0</v>
      </c>
      <c r="X1879" s="30">
        <v>0</v>
      </c>
      <c r="Y1879" s="30">
        <v>0</v>
      </c>
      <c r="Z1879" s="233">
        <v>0</v>
      </c>
      <c r="AA1879" s="30">
        <v>0</v>
      </c>
      <c r="AB1879" s="30">
        <v>0</v>
      </c>
      <c r="AC1879" s="30">
        <v>0</v>
      </c>
      <c r="AD1879" s="30">
        <v>0</v>
      </c>
      <c r="AE1879" s="89" t="s">
        <v>92</v>
      </c>
      <c r="AF1879" s="89"/>
      <c r="AG1879" s="89" t="s">
        <v>352</v>
      </c>
      <c r="AH1879" s="72">
        <v>41947</v>
      </c>
      <c r="AI1879" s="30">
        <v>0</v>
      </c>
      <c r="AJ1879" s="89" t="s">
        <v>10499</v>
      </c>
      <c r="AK1879" s="89" t="s">
        <v>1233</v>
      </c>
      <c r="AL1879" s="91">
        <v>41974</v>
      </c>
      <c r="AM1879" s="91"/>
      <c r="AN1879" s="91"/>
      <c r="AO1879" s="91"/>
      <c r="AP1879" s="73" t="e">
        <f>MID(VLOOKUP(K1879,#REF!,2,FALSE),1,2)</f>
        <v>#REF!</v>
      </c>
      <c r="AQ1879" s="89">
        <f>DATE(2014,11,4)</f>
        <v>41947</v>
      </c>
      <c r="AR1879" s="82">
        <f t="shared" si="122"/>
        <v>4</v>
      </c>
      <c r="AS1879" s="83">
        <f t="shared" si="123"/>
        <v>11</v>
      </c>
      <c r="AT1879" s="84">
        <f t="shared" si="124"/>
        <v>2014</v>
      </c>
      <c r="AU1879" s="86"/>
      <c r="AV1879" s="86"/>
      <c r="AW1879" s="87"/>
      <c r="AX1879" s="86"/>
      <c r="AY1879" s="83"/>
      <c r="AZ1879" s="84"/>
      <c r="BA1879" s="86"/>
      <c r="BB1879" s="86"/>
    </row>
    <row r="1880" spans="1:54" ht="36.75" customHeight="1">
      <c r="A1880" s="30"/>
      <c r="B1880" s="30" t="s">
        <v>55</v>
      </c>
      <c r="C1880" s="69" t="str">
        <f t="shared" si="125"/>
        <v>Closed</v>
      </c>
      <c r="D1880" s="27" t="s">
        <v>10500</v>
      </c>
      <c r="E1880" s="29" t="s">
        <v>10501</v>
      </c>
      <c r="F1880" s="30" t="s">
        <v>1572</v>
      </c>
      <c r="G1880" s="89">
        <f>DATE(2014,11,4)</f>
        <v>41947</v>
      </c>
      <c r="H1880" s="90">
        <v>1.8527777777777779</v>
      </c>
      <c r="I1880" s="30" t="s">
        <v>73</v>
      </c>
      <c r="J1880" s="89" t="s">
        <v>10502</v>
      </c>
      <c r="K1880" s="30" t="s">
        <v>1574</v>
      </c>
      <c r="L1880" s="30" t="s">
        <v>10503</v>
      </c>
      <c r="M1880" s="30" t="s">
        <v>63</v>
      </c>
      <c r="N1880" s="30" t="s">
        <v>142</v>
      </c>
      <c r="O1880" s="30" t="s">
        <v>64</v>
      </c>
      <c r="P1880" s="89" t="s">
        <v>78</v>
      </c>
      <c r="Q1880" s="89" t="s">
        <v>2655</v>
      </c>
      <c r="R1880" s="89" t="s">
        <v>6434</v>
      </c>
      <c r="S1880" s="30">
        <v>0</v>
      </c>
      <c r="T1880" s="233">
        <v>0</v>
      </c>
      <c r="U1880" s="30">
        <v>0</v>
      </c>
      <c r="V1880" s="233">
        <v>0</v>
      </c>
      <c r="W1880" s="30">
        <v>0</v>
      </c>
      <c r="X1880" s="30">
        <v>0</v>
      </c>
      <c r="Y1880" s="30">
        <v>0</v>
      </c>
      <c r="Z1880" s="233">
        <v>0</v>
      </c>
      <c r="AA1880" s="30">
        <v>0</v>
      </c>
      <c r="AB1880" s="30">
        <v>0</v>
      </c>
      <c r="AC1880" s="30">
        <v>0</v>
      </c>
      <c r="AD1880" s="30">
        <v>0</v>
      </c>
      <c r="AE1880" s="89" t="s">
        <v>92</v>
      </c>
      <c r="AF1880" s="89"/>
      <c r="AG1880" s="89" t="s">
        <v>589</v>
      </c>
      <c r="AH1880" s="72">
        <v>41948</v>
      </c>
      <c r="AI1880" s="30">
        <v>3</v>
      </c>
      <c r="AJ1880" s="89" t="s">
        <v>10504</v>
      </c>
      <c r="AK1880" s="89" t="s">
        <v>10505</v>
      </c>
      <c r="AL1880" s="91">
        <v>41950</v>
      </c>
      <c r="AM1880" s="91"/>
      <c r="AN1880" s="91"/>
      <c r="AO1880" s="91"/>
      <c r="AP1880" s="73" t="e">
        <f>MID(VLOOKUP(K1880,#REF!,2,FALSE),1,2)</f>
        <v>#REF!</v>
      </c>
      <c r="AQ1880" s="89">
        <f>DATE(2014,11,4)</f>
        <v>41947</v>
      </c>
      <c r="AR1880" s="82">
        <f t="shared" si="122"/>
        <v>4</v>
      </c>
      <c r="AS1880" s="83">
        <f t="shared" si="123"/>
        <v>11</v>
      </c>
      <c r="AT1880" s="84">
        <f t="shared" si="124"/>
        <v>2014</v>
      </c>
      <c r="AU1880" s="86"/>
      <c r="AV1880" s="86"/>
      <c r="AW1880" s="87"/>
      <c r="AX1880" s="86"/>
      <c r="AY1880" s="83"/>
      <c r="AZ1880" s="84"/>
      <c r="BA1880" s="86"/>
      <c r="BB1880" s="86"/>
    </row>
    <row r="1881" spans="1:54" ht="36.75" customHeight="1">
      <c r="A1881" s="30"/>
      <c r="B1881" s="30" t="s">
        <v>55</v>
      </c>
      <c r="C1881" s="69" t="str">
        <f t="shared" si="125"/>
        <v>Closed</v>
      </c>
      <c r="D1881" s="27" t="s">
        <v>10506</v>
      </c>
      <c r="E1881" s="29" t="s">
        <v>10507</v>
      </c>
      <c r="F1881" s="30" t="s">
        <v>138</v>
      </c>
      <c r="G1881" s="89">
        <f>DATE(2014,11,4)</f>
        <v>41947</v>
      </c>
      <c r="H1881" s="90">
        <v>0</v>
      </c>
      <c r="I1881" s="30" t="s">
        <v>5494</v>
      </c>
      <c r="J1881" s="89" t="s">
        <v>10508</v>
      </c>
      <c r="K1881" s="30" t="s">
        <v>140</v>
      </c>
      <c r="L1881" s="30" t="s">
        <v>10509</v>
      </c>
      <c r="M1881" s="30" t="s">
        <v>63</v>
      </c>
      <c r="N1881" s="30" t="s">
        <v>89</v>
      </c>
      <c r="O1881" s="30" t="s">
        <v>77</v>
      </c>
      <c r="P1881" s="89" t="s">
        <v>6941</v>
      </c>
      <c r="Q1881" s="89" t="s">
        <v>10510</v>
      </c>
      <c r="R1881" s="89" t="s">
        <v>4934</v>
      </c>
      <c r="S1881" s="30">
        <v>0</v>
      </c>
      <c r="T1881" s="233">
        <v>0</v>
      </c>
      <c r="U1881" s="30">
        <v>0</v>
      </c>
      <c r="V1881" s="233">
        <v>0</v>
      </c>
      <c r="W1881" s="30">
        <v>0</v>
      </c>
      <c r="X1881" s="30">
        <v>0</v>
      </c>
      <c r="Y1881" s="30">
        <v>0</v>
      </c>
      <c r="Z1881" s="233">
        <v>0</v>
      </c>
      <c r="AA1881" s="30">
        <v>0</v>
      </c>
      <c r="AB1881" s="30">
        <v>0</v>
      </c>
      <c r="AC1881" s="30">
        <v>0</v>
      </c>
      <c r="AD1881" s="30">
        <v>0</v>
      </c>
      <c r="AE1881" s="89" t="s">
        <v>92</v>
      </c>
      <c r="AF1881" s="89"/>
      <c r="AG1881" s="89" t="s">
        <v>10511</v>
      </c>
      <c r="AH1881" s="72">
        <v>41950</v>
      </c>
      <c r="AI1881" s="30">
        <v>0</v>
      </c>
      <c r="AJ1881" s="89" t="s">
        <v>10512</v>
      </c>
      <c r="AK1881" s="89" t="s">
        <v>10513</v>
      </c>
      <c r="AL1881" s="91">
        <v>41969</v>
      </c>
      <c r="AM1881" s="91"/>
      <c r="AN1881" s="91"/>
      <c r="AO1881" s="91"/>
      <c r="AP1881" s="73" t="e">
        <f>MID(VLOOKUP(K1881,#REF!,2,FALSE),1,2)</f>
        <v>#REF!</v>
      </c>
      <c r="AQ1881" s="89">
        <f>DATE(2014,11,4)</f>
        <v>41947</v>
      </c>
      <c r="AR1881" s="82">
        <f t="shared" si="122"/>
        <v>4</v>
      </c>
      <c r="AS1881" s="83">
        <f t="shared" si="123"/>
        <v>11</v>
      </c>
      <c r="AT1881" s="84">
        <f t="shared" si="124"/>
        <v>2014</v>
      </c>
      <c r="AU1881" s="86"/>
      <c r="AV1881" s="86"/>
      <c r="AW1881" s="87"/>
      <c r="AX1881" s="86"/>
      <c r="AY1881" s="83"/>
      <c r="AZ1881" s="84"/>
      <c r="BA1881" s="86"/>
      <c r="BB1881" s="86"/>
    </row>
    <row r="1882" spans="1:54" ht="36.75" customHeight="1">
      <c r="A1882" s="30"/>
      <c r="B1882" s="30" t="s">
        <v>55</v>
      </c>
      <c r="C1882" s="69" t="str">
        <f t="shared" si="125"/>
        <v>Closed</v>
      </c>
      <c r="D1882" s="27" t="s">
        <v>10514</v>
      </c>
      <c r="E1882" s="29" t="s">
        <v>10515</v>
      </c>
      <c r="F1882" s="30" t="s">
        <v>638</v>
      </c>
      <c r="G1882" s="89">
        <f>DATE(2014,11,9)</f>
        <v>41952</v>
      </c>
      <c r="H1882" s="90">
        <v>1.4909722222222221</v>
      </c>
      <c r="I1882" s="30" t="s">
        <v>116</v>
      </c>
      <c r="J1882" s="89" t="s">
        <v>10516</v>
      </c>
      <c r="K1882" s="30" t="s">
        <v>640</v>
      </c>
      <c r="L1882" s="30" t="s">
        <v>10517</v>
      </c>
      <c r="M1882" s="30" t="s">
        <v>63</v>
      </c>
      <c r="N1882" s="30" t="s">
        <v>99</v>
      </c>
      <c r="O1882" s="30" t="s">
        <v>64</v>
      </c>
      <c r="P1882" s="89" t="s">
        <v>165</v>
      </c>
      <c r="Q1882" s="89" t="s">
        <v>642</v>
      </c>
      <c r="R1882" s="89" t="s">
        <v>643</v>
      </c>
      <c r="S1882" s="30">
        <v>0</v>
      </c>
      <c r="T1882" s="233">
        <v>0</v>
      </c>
      <c r="U1882" s="30">
        <v>1</v>
      </c>
      <c r="V1882" s="233">
        <v>0</v>
      </c>
      <c r="W1882" s="30">
        <v>0</v>
      </c>
      <c r="X1882" s="30">
        <v>1</v>
      </c>
      <c r="Y1882" s="30">
        <v>0</v>
      </c>
      <c r="Z1882" s="233">
        <v>0</v>
      </c>
      <c r="AA1882" s="30">
        <v>0</v>
      </c>
      <c r="AB1882" s="30">
        <v>0</v>
      </c>
      <c r="AC1882" s="30">
        <v>0</v>
      </c>
      <c r="AD1882" s="30">
        <v>0</v>
      </c>
      <c r="AE1882" s="89" t="s">
        <v>92</v>
      </c>
      <c r="AF1882" s="89"/>
      <c r="AG1882" s="89" t="s">
        <v>352</v>
      </c>
      <c r="AH1882" s="72">
        <v>41968</v>
      </c>
      <c r="AI1882" s="30">
        <v>4</v>
      </c>
      <c r="AJ1882" s="89" t="s">
        <v>10518</v>
      </c>
      <c r="AK1882" s="89" t="s">
        <v>68</v>
      </c>
      <c r="AL1882" s="91">
        <v>41975</v>
      </c>
      <c r="AM1882" s="91"/>
      <c r="AN1882" s="91"/>
      <c r="AO1882" s="91"/>
      <c r="AP1882" s="73" t="e">
        <f>MID(VLOOKUP(K1882,#REF!,2,FALSE),1,2)</f>
        <v>#REF!</v>
      </c>
      <c r="AQ1882" s="89">
        <f>DATE(2014,11,9)</f>
        <v>41952</v>
      </c>
      <c r="AR1882" s="82">
        <f t="shared" si="122"/>
        <v>9</v>
      </c>
      <c r="AS1882" s="83">
        <f t="shared" si="123"/>
        <v>11</v>
      </c>
      <c r="AT1882" s="84">
        <f t="shared" si="124"/>
        <v>2014</v>
      </c>
      <c r="AU1882" s="86"/>
      <c r="AV1882" s="86"/>
      <c r="AW1882" s="87"/>
      <c r="AX1882" s="86"/>
      <c r="AY1882" s="83"/>
      <c r="AZ1882" s="84"/>
      <c r="BA1882" s="86"/>
      <c r="BB1882" s="86"/>
    </row>
    <row r="1883" spans="1:54" ht="36.75" customHeight="1">
      <c r="A1883" s="30"/>
      <c r="B1883" s="30" t="s">
        <v>55</v>
      </c>
      <c r="C1883" s="69" t="str">
        <f t="shared" si="125"/>
        <v>Closed</v>
      </c>
      <c r="D1883" s="27" t="s">
        <v>10519</v>
      </c>
      <c r="E1883" s="29" t="s">
        <v>10520</v>
      </c>
      <c r="F1883" s="30" t="s">
        <v>9789</v>
      </c>
      <c r="G1883" s="89">
        <f>DATE(2014,11,10)</f>
        <v>41953</v>
      </c>
      <c r="H1883" s="90">
        <v>1.6041666666666665</v>
      </c>
      <c r="I1883" s="30" t="s">
        <v>73</v>
      </c>
      <c r="J1883" s="210" t="s">
        <v>10521</v>
      </c>
      <c r="K1883" s="30" t="s">
        <v>9791</v>
      </c>
      <c r="L1883" s="30" t="s">
        <v>10522</v>
      </c>
      <c r="M1883" s="30" t="s">
        <v>63</v>
      </c>
      <c r="N1883" s="30" t="s">
        <v>89</v>
      </c>
      <c r="O1883" s="30" t="s">
        <v>90</v>
      </c>
      <c r="P1883" s="89" t="s">
        <v>381</v>
      </c>
      <c r="Q1883" s="89" t="s">
        <v>10257</v>
      </c>
      <c r="R1883" s="89" t="s">
        <v>9794</v>
      </c>
      <c r="S1883" s="30">
        <v>0</v>
      </c>
      <c r="T1883" s="233">
        <v>0</v>
      </c>
      <c r="U1883" s="30">
        <v>0</v>
      </c>
      <c r="V1883" s="233">
        <v>0</v>
      </c>
      <c r="W1883" s="30">
        <v>0</v>
      </c>
      <c r="X1883" s="30">
        <v>0</v>
      </c>
      <c r="Y1883" s="30">
        <v>0</v>
      </c>
      <c r="Z1883" s="233">
        <v>0</v>
      </c>
      <c r="AA1883" s="30">
        <v>0</v>
      </c>
      <c r="AB1883" s="30">
        <v>0</v>
      </c>
      <c r="AC1883" s="30">
        <v>0</v>
      </c>
      <c r="AD1883" s="30">
        <v>0</v>
      </c>
      <c r="AE1883" s="89" t="s">
        <v>92</v>
      </c>
      <c r="AF1883" s="89"/>
      <c r="AG1883" s="89" t="s">
        <v>395</v>
      </c>
      <c r="AH1883" s="72">
        <v>42026</v>
      </c>
      <c r="AI1883" s="30">
        <v>1</v>
      </c>
      <c r="AJ1883" s="89" t="s">
        <v>10523</v>
      </c>
      <c r="AK1883" s="89" t="s">
        <v>10524</v>
      </c>
      <c r="AL1883" s="91">
        <v>42027</v>
      </c>
      <c r="AM1883" s="91"/>
      <c r="AN1883" s="91"/>
      <c r="AO1883" s="91"/>
      <c r="AP1883" s="73" t="e">
        <f>MID(VLOOKUP(K1883,#REF!,2,FALSE),1,2)</f>
        <v>#REF!</v>
      </c>
      <c r="AQ1883" s="89">
        <f>DATE(2014,11,10)</f>
        <v>41953</v>
      </c>
      <c r="AR1883" s="82">
        <f t="shared" si="122"/>
        <v>10</v>
      </c>
      <c r="AS1883" s="83">
        <f t="shared" si="123"/>
        <v>11</v>
      </c>
      <c r="AT1883" s="84">
        <f t="shared" si="124"/>
        <v>2014</v>
      </c>
      <c r="AU1883" s="86"/>
      <c r="AV1883" s="86"/>
      <c r="AW1883" s="87"/>
      <c r="AX1883" s="86"/>
      <c r="AY1883" s="83"/>
      <c r="AZ1883" s="84"/>
      <c r="BA1883" s="86"/>
      <c r="BB1883" s="86"/>
    </row>
    <row r="1884" spans="1:54" ht="36.75" customHeight="1">
      <c r="A1884" s="30"/>
      <c r="B1884" s="30" t="s">
        <v>55</v>
      </c>
      <c r="C1884" s="69" t="str">
        <f t="shared" si="125"/>
        <v>Closed</v>
      </c>
      <c r="D1884" s="27" t="s">
        <v>10525</v>
      </c>
      <c r="E1884" s="29" t="s">
        <v>10526</v>
      </c>
      <c r="F1884" s="30" t="s">
        <v>594</v>
      </c>
      <c r="G1884" s="89">
        <f>DATE(2014,11,10)</f>
        <v>41953</v>
      </c>
      <c r="H1884" s="90">
        <v>1.8006944444444444</v>
      </c>
      <c r="I1884" s="30" t="s">
        <v>5494</v>
      </c>
      <c r="J1884" s="89" t="s">
        <v>10527</v>
      </c>
      <c r="K1884" s="30" t="s">
        <v>596</v>
      </c>
      <c r="L1884" s="30" t="s">
        <v>10528</v>
      </c>
      <c r="M1884" s="30" t="s">
        <v>63</v>
      </c>
      <c r="N1884" s="30" t="s">
        <v>142</v>
      </c>
      <c r="O1884" s="30" t="s">
        <v>77</v>
      </c>
      <c r="P1884" s="89" t="s">
        <v>6902</v>
      </c>
      <c r="Q1884" s="89" t="s">
        <v>10529</v>
      </c>
      <c r="R1884" s="89" t="s">
        <v>599</v>
      </c>
      <c r="S1884" s="30">
        <v>0</v>
      </c>
      <c r="T1884" s="233">
        <v>0</v>
      </c>
      <c r="U1884" s="30">
        <v>0</v>
      </c>
      <c r="V1884" s="233">
        <v>0</v>
      </c>
      <c r="W1884" s="30">
        <v>0</v>
      </c>
      <c r="X1884" s="30">
        <v>0</v>
      </c>
      <c r="Y1884" s="30">
        <v>1</v>
      </c>
      <c r="Z1884" s="233">
        <v>0</v>
      </c>
      <c r="AA1884" s="30">
        <v>0</v>
      </c>
      <c r="AB1884" s="30">
        <v>0</v>
      </c>
      <c r="AC1884" s="30">
        <v>0</v>
      </c>
      <c r="AD1884" s="30">
        <v>1</v>
      </c>
      <c r="AE1884" s="89" t="s">
        <v>92</v>
      </c>
      <c r="AF1884" s="89"/>
      <c r="AG1884" s="89" t="s">
        <v>133</v>
      </c>
      <c r="AH1884" s="72">
        <v>41962</v>
      </c>
      <c r="AI1884" s="30">
        <v>7</v>
      </c>
      <c r="AJ1884" s="89" t="s">
        <v>10530</v>
      </c>
      <c r="AK1884" s="89" t="s">
        <v>10531</v>
      </c>
      <c r="AL1884" s="91">
        <v>41964</v>
      </c>
      <c r="AM1884" s="91"/>
      <c r="AN1884" s="91"/>
      <c r="AO1884" s="91"/>
      <c r="AP1884" s="73" t="e">
        <f>MID(VLOOKUP(K1884,#REF!,2,FALSE),1,2)</f>
        <v>#REF!</v>
      </c>
      <c r="AQ1884" s="89">
        <f>DATE(2014,11,10)</f>
        <v>41953</v>
      </c>
      <c r="AR1884" s="82">
        <f t="shared" si="122"/>
        <v>10</v>
      </c>
      <c r="AS1884" s="83">
        <f t="shared" si="123"/>
        <v>11</v>
      </c>
      <c r="AT1884" s="84">
        <f t="shared" si="124"/>
        <v>2014</v>
      </c>
      <c r="AU1884" s="86"/>
      <c r="AV1884" s="86"/>
      <c r="AW1884" s="87"/>
      <c r="AX1884" s="86"/>
      <c r="AY1884" s="83"/>
      <c r="AZ1884" s="84"/>
      <c r="BA1884" s="86"/>
      <c r="BB1884" s="86"/>
    </row>
    <row r="1885" spans="1:54" ht="36.75" customHeight="1">
      <c r="A1885" s="30"/>
      <c r="B1885" s="30" t="s">
        <v>55</v>
      </c>
      <c r="C1885" s="69" t="str">
        <f t="shared" si="125"/>
        <v>Closed</v>
      </c>
      <c r="D1885" s="27" t="s">
        <v>10532</v>
      </c>
      <c r="E1885" s="29" t="s">
        <v>10533</v>
      </c>
      <c r="F1885" s="30" t="s">
        <v>423</v>
      </c>
      <c r="G1885" s="89">
        <f>DATE(2014,11,11)</f>
        <v>41954</v>
      </c>
      <c r="H1885" s="90">
        <v>1.7270833333333333</v>
      </c>
      <c r="I1885" s="30" t="s">
        <v>198</v>
      </c>
      <c r="J1885" s="89" t="s">
        <v>10534</v>
      </c>
      <c r="K1885" s="30" t="s">
        <v>425</v>
      </c>
      <c r="L1885" s="30" t="s">
        <v>10535</v>
      </c>
      <c r="M1885" s="30" t="s">
        <v>63</v>
      </c>
      <c r="N1885" s="30" t="s">
        <v>142</v>
      </c>
      <c r="O1885" s="30" t="s">
        <v>64</v>
      </c>
      <c r="P1885" s="89" t="s">
        <v>2551</v>
      </c>
      <c r="Q1885" s="89" t="s">
        <v>10536</v>
      </c>
      <c r="R1885" s="89" t="s">
        <v>3103</v>
      </c>
      <c r="S1885" s="30">
        <v>0</v>
      </c>
      <c r="T1885" s="233">
        <v>0</v>
      </c>
      <c r="U1885" s="30">
        <v>0</v>
      </c>
      <c r="V1885" s="233">
        <v>0</v>
      </c>
      <c r="W1885" s="30">
        <v>0</v>
      </c>
      <c r="X1885" s="30">
        <v>0</v>
      </c>
      <c r="Y1885" s="30">
        <v>0</v>
      </c>
      <c r="Z1885" s="233">
        <v>0</v>
      </c>
      <c r="AA1885" s="30">
        <v>0</v>
      </c>
      <c r="AB1885" s="30">
        <v>0</v>
      </c>
      <c r="AC1885" s="30">
        <v>0</v>
      </c>
      <c r="AD1885" s="30">
        <v>0</v>
      </c>
      <c r="AE1885" s="89" t="s">
        <v>92</v>
      </c>
      <c r="AF1885" s="89"/>
      <c r="AG1885" s="89" t="s">
        <v>589</v>
      </c>
      <c r="AH1885" s="72">
        <v>41961</v>
      </c>
      <c r="AI1885" s="30">
        <v>2</v>
      </c>
      <c r="AJ1885" s="89" t="s">
        <v>10537</v>
      </c>
      <c r="AK1885" s="89" t="s">
        <v>10538</v>
      </c>
      <c r="AL1885" s="91">
        <v>41962</v>
      </c>
      <c r="AM1885" s="91"/>
      <c r="AN1885" s="91"/>
      <c r="AO1885" s="91"/>
      <c r="AP1885" s="73" t="e">
        <f>MID(VLOOKUP(K1885,#REF!,2,FALSE),1,2)</f>
        <v>#REF!</v>
      </c>
      <c r="AQ1885" s="89">
        <f>DATE(2014,11,11)</f>
        <v>41954</v>
      </c>
      <c r="AR1885" s="82">
        <f t="shared" si="122"/>
        <v>11</v>
      </c>
      <c r="AS1885" s="83">
        <f t="shared" si="123"/>
        <v>11</v>
      </c>
      <c r="AT1885" s="84">
        <f t="shared" si="124"/>
        <v>2014</v>
      </c>
      <c r="AU1885" s="86"/>
      <c r="AV1885" s="86"/>
      <c r="AW1885" s="87"/>
      <c r="AX1885" s="86"/>
      <c r="AY1885" s="83"/>
      <c r="AZ1885" s="84"/>
      <c r="BA1885" s="86"/>
      <c r="BB1885" s="86"/>
    </row>
    <row r="1886" spans="1:54" ht="36.75" customHeight="1">
      <c r="A1886" s="30"/>
      <c r="B1886" s="30" t="s">
        <v>55</v>
      </c>
      <c r="C1886" s="69" t="str">
        <f t="shared" si="125"/>
        <v>Closed</v>
      </c>
      <c r="D1886" s="27" t="s">
        <v>10539</v>
      </c>
      <c r="E1886" s="29" t="s">
        <v>10540</v>
      </c>
      <c r="F1886" s="30" t="s">
        <v>9789</v>
      </c>
      <c r="G1886" s="89">
        <f>DATE(2014,11,11)</f>
        <v>41954</v>
      </c>
      <c r="H1886" s="90">
        <v>1.2611111111111111</v>
      </c>
      <c r="I1886" s="30" t="s">
        <v>5494</v>
      </c>
      <c r="J1886" s="210" t="s">
        <v>10541</v>
      </c>
      <c r="K1886" s="30" t="s">
        <v>9791</v>
      </c>
      <c r="L1886" s="30" t="s">
        <v>10542</v>
      </c>
      <c r="M1886" s="30" t="s">
        <v>63</v>
      </c>
      <c r="N1886" s="30" t="s">
        <v>99</v>
      </c>
      <c r="O1886" s="30" t="s">
        <v>64</v>
      </c>
      <c r="P1886" s="89" t="s">
        <v>78</v>
      </c>
      <c r="Q1886" s="89" t="s">
        <v>10257</v>
      </c>
      <c r="R1886" s="89" t="s">
        <v>9794</v>
      </c>
      <c r="S1886" s="30">
        <v>0</v>
      </c>
      <c r="T1886" s="233">
        <v>0</v>
      </c>
      <c r="U1886" s="30">
        <v>0</v>
      </c>
      <c r="V1886" s="233">
        <v>0</v>
      </c>
      <c r="W1886" s="30">
        <v>0</v>
      </c>
      <c r="X1886" s="30">
        <v>0</v>
      </c>
      <c r="Y1886" s="30">
        <v>0</v>
      </c>
      <c r="Z1886" s="233">
        <v>0</v>
      </c>
      <c r="AA1886" s="30">
        <v>0</v>
      </c>
      <c r="AB1886" s="30">
        <v>0</v>
      </c>
      <c r="AC1886" s="30">
        <v>0</v>
      </c>
      <c r="AD1886" s="30">
        <v>0</v>
      </c>
      <c r="AE1886" s="89" t="s">
        <v>394</v>
      </c>
      <c r="AF1886" s="89"/>
      <c r="AG1886" s="89" t="s">
        <v>10543</v>
      </c>
      <c r="AH1886" s="72">
        <v>41957</v>
      </c>
      <c r="AI1886" s="30">
        <v>1</v>
      </c>
      <c r="AJ1886" s="89" t="s">
        <v>10544</v>
      </c>
      <c r="AK1886" s="89" t="s">
        <v>10545</v>
      </c>
      <c r="AL1886" s="91">
        <v>41957</v>
      </c>
      <c r="AM1886" s="91"/>
      <c r="AN1886" s="91"/>
      <c r="AO1886" s="91"/>
      <c r="AP1886" s="73" t="e">
        <f>MID(VLOOKUP(K1886,#REF!,2,FALSE),1,2)</f>
        <v>#REF!</v>
      </c>
      <c r="AQ1886" s="89">
        <f>DATE(2014,11,11)</f>
        <v>41954</v>
      </c>
      <c r="AR1886" s="82">
        <f t="shared" si="122"/>
        <v>11</v>
      </c>
      <c r="AS1886" s="83">
        <f t="shared" si="123"/>
        <v>11</v>
      </c>
      <c r="AT1886" s="84">
        <f t="shared" si="124"/>
        <v>2014</v>
      </c>
      <c r="AU1886" s="86"/>
      <c r="AV1886" s="86"/>
      <c r="AW1886" s="87"/>
      <c r="AX1886" s="86"/>
      <c r="AY1886" s="83"/>
      <c r="AZ1886" s="84"/>
      <c r="BA1886" s="86"/>
      <c r="BB1886" s="86"/>
    </row>
    <row r="1887" spans="1:54" ht="36.75" customHeight="1">
      <c r="A1887" s="30"/>
      <c r="B1887" s="30" t="s">
        <v>55</v>
      </c>
      <c r="C1887" s="69" t="str">
        <f t="shared" si="125"/>
        <v>Closed</v>
      </c>
      <c r="D1887" s="27" t="s">
        <v>10546</v>
      </c>
      <c r="E1887" s="29" t="s">
        <v>10547</v>
      </c>
      <c r="F1887" s="30" t="s">
        <v>835</v>
      </c>
      <c r="G1887" s="89">
        <f>DATE(2014,11,11)</f>
        <v>41954</v>
      </c>
      <c r="H1887" s="90">
        <v>1.6111111111111112</v>
      </c>
      <c r="I1887" s="30" t="s">
        <v>116</v>
      </c>
      <c r="J1887" s="89" t="s">
        <v>10548</v>
      </c>
      <c r="K1887" s="30" t="s">
        <v>837</v>
      </c>
      <c r="L1887" s="30" t="s">
        <v>10549</v>
      </c>
      <c r="M1887" s="30" t="s">
        <v>63</v>
      </c>
      <c r="N1887" s="30" t="s">
        <v>99</v>
      </c>
      <c r="O1887" s="30" t="s">
        <v>64</v>
      </c>
      <c r="P1887" s="89" t="s">
        <v>165</v>
      </c>
      <c r="Q1887" s="89" t="s">
        <v>2162</v>
      </c>
      <c r="R1887" s="89" t="s">
        <v>840</v>
      </c>
      <c r="S1887" s="30">
        <v>0</v>
      </c>
      <c r="T1887" s="233">
        <v>1</v>
      </c>
      <c r="U1887" s="30">
        <v>0</v>
      </c>
      <c r="V1887" s="233">
        <v>0</v>
      </c>
      <c r="W1887" s="30">
        <v>0</v>
      </c>
      <c r="X1887" s="30">
        <v>1</v>
      </c>
      <c r="Y1887" s="30">
        <v>0</v>
      </c>
      <c r="Z1887" s="233">
        <v>0</v>
      </c>
      <c r="AA1887" s="30">
        <v>0</v>
      </c>
      <c r="AB1887" s="30">
        <v>0</v>
      </c>
      <c r="AC1887" s="30">
        <v>0</v>
      </c>
      <c r="AD1887" s="30">
        <v>0</v>
      </c>
      <c r="AE1887" s="89" t="s">
        <v>92</v>
      </c>
      <c r="AF1887" s="89"/>
      <c r="AG1887" s="89" t="s">
        <v>352</v>
      </c>
      <c r="AH1887" s="72">
        <v>41982</v>
      </c>
      <c r="AI1887" s="30">
        <v>0</v>
      </c>
      <c r="AJ1887" s="89" t="s">
        <v>10550</v>
      </c>
      <c r="AK1887" s="89" t="s">
        <v>1233</v>
      </c>
      <c r="AL1887" s="91">
        <v>41982</v>
      </c>
      <c r="AM1887" s="91"/>
      <c r="AN1887" s="91"/>
      <c r="AO1887" s="91"/>
      <c r="AP1887" s="73" t="e">
        <f>MID(VLOOKUP(K1887,#REF!,2,FALSE),1,2)</f>
        <v>#REF!</v>
      </c>
      <c r="AQ1887" s="89">
        <f>DATE(2014,11,11)</f>
        <v>41954</v>
      </c>
      <c r="AR1887" s="82">
        <f t="shared" si="122"/>
        <v>11</v>
      </c>
      <c r="AS1887" s="83">
        <f t="shared" si="123"/>
        <v>11</v>
      </c>
      <c r="AT1887" s="84">
        <f t="shared" si="124"/>
        <v>2014</v>
      </c>
      <c r="AU1887" s="86"/>
      <c r="AV1887" s="86"/>
      <c r="AW1887" s="87"/>
      <c r="AX1887" s="86"/>
      <c r="AY1887" s="83"/>
      <c r="AZ1887" s="84"/>
      <c r="BA1887" s="86"/>
      <c r="BB1887" s="86"/>
    </row>
    <row r="1888" spans="1:54" ht="36.75" customHeight="1">
      <c r="A1888" s="30"/>
      <c r="B1888" s="30" t="s">
        <v>55</v>
      </c>
      <c r="C1888" s="69" t="str">
        <f t="shared" si="125"/>
        <v>Closed</v>
      </c>
      <c r="D1888" s="27" t="s">
        <v>10551</v>
      </c>
      <c r="E1888" s="29" t="s">
        <v>10552</v>
      </c>
      <c r="F1888" s="30" t="s">
        <v>124</v>
      </c>
      <c r="G1888" s="89">
        <f>DATE(2014,11,11)</f>
        <v>41954</v>
      </c>
      <c r="H1888" s="90">
        <v>1.7277777777777779</v>
      </c>
      <c r="I1888" s="30" t="s">
        <v>156</v>
      </c>
      <c r="J1888" s="89" t="s">
        <v>10553</v>
      </c>
      <c r="K1888" s="30" t="s">
        <v>127</v>
      </c>
      <c r="L1888" s="30" t="s">
        <v>10554</v>
      </c>
      <c r="M1888" s="30" t="s">
        <v>255</v>
      </c>
      <c r="N1888" s="30" t="s">
        <v>142</v>
      </c>
      <c r="O1888" s="30" t="s">
        <v>64</v>
      </c>
      <c r="P1888" s="89" t="s">
        <v>6552</v>
      </c>
      <c r="Q1888" s="89" t="s">
        <v>10555</v>
      </c>
      <c r="R1888" s="89" t="s">
        <v>131</v>
      </c>
      <c r="S1888" s="30">
        <v>0</v>
      </c>
      <c r="T1888" s="233">
        <v>0</v>
      </c>
      <c r="U1888" s="30">
        <v>0</v>
      </c>
      <c r="V1888" s="233">
        <v>0</v>
      </c>
      <c r="W1888" s="30">
        <v>0</v>
      </c>
      <c r="X1888" s="30">
        <v>0</v>
      </c>
      <c r="Y1888" s="30">
        <v>0</v>
      </c>
      <c r="Z1888" s="233">
        <v>1</v>
      </c>
      <c r="AA1888" s="30">
        <v>0</v>
      </c>
      <c r="AB1888" s="30">
        <v>0</v>
      </c>
      <c r="AC1888" s="30">
        <v>0</v>
      </c>
      <c r="AD1888" s="30">
        <v>1</v>
      </c>
      <c r="AE1888" s="89" t="s">
        <v>394</v>
      </c>
      <c r="AF1888" s="89"/>
      <c r="AG1888" s="89" t="s">
        <v>367</v>
      </c>
      <c r="AH1888" s="72">
        <v>41961</v>
      </c>
      <c r="AI1888" s="30">
        <v>0</v>
      </c>
      <c r="AJ1888" s="89" t="s">
        <v>10556</v>
      </c>
      <c r="AK1888" s="89" t="s">
        <v>68</v>
      </c>
      <c r="AL1888" s="91">
        <v>41967</v>
      </c>
      <c r="AM1888" s="91"/>
      <c r="AN1888" s="91"/>
      <c r="AO1888" s="91"/>
      <c r="AP1888" s="73" t="e">
        <f>MID(VLOOKUP(K1888,#REF!,2,FALSE),1,2)</f>
        <v>#REF!</v>
      </c>
      <c r="AQ1888" s="89">
        <f>DATE(2014,11,11)</f>
        <v>41954</v>
      </c>
      <c r="AR1888" s="82">
        <f t="shared" si="122"/>
        <v>11</v>
      </c>
      <c r="AS1888" s="83">
        <f t="shared" si="123"/>
        <v>11</v>
      </c>
      <c r="AT1888" s="84">
        <f t="shared" si="124"/>
        <v>2014</v>
      </c>
      <c r="AU1888" s="86"/>
      <c r="AV1888" s="86"/>
      <c r="AW1888" s="87"/>
      <c r="AX1888" s="86"/>
      <c r="AY1888" s="83"/>
      <c r="AZ1888" s="84"/>
      <c r="BA1888" s="86"/>
      <c r="BB1888" s="86"/>
    </row>
    <row r="1889" spans="1:54" ht="36.75" customHeight="1">
      <c r="A1889" s="30"/>
      <c r="B1889" s="30" t="s">
        <v>55</v>
      </c>
      <c r="C1889" s="69" t="str">
        <f t="shared" si="125"/>
        <v>Closed</v>
      </c>
      <c r="D1889" s="27" t="s">
        <v>10557</v>
      </c>
      <c r="E1889" s="29" t="s">
        <v>10558</v>
      </c>
      <c r="F1889" s="30" t="s">
        <v>423</v>
      </c>
      <c r="G1889" s="89">
        <f>DATE(2014,11,13)</f>
        <v>41956</v>
      </c>
      <c r="H1889" s="90">
        <v>1.9618055555555554</v>
      </c>
      <c r="I1889" s="30" t="s">
        <v>73</v>
      </c>
      <c r="J1889" s="89" t="s">
        <v>10559</v>
      </c>
      <c r="K1889" s="30" t="s">
        <v>425</v>
      </c>
      <c r="L1889" s="30" t="s">
        <v>10560</v>
      </c>
      <c r="M1889" s="30" t="s">
        <v>63</v>
      </c>
      <c r="N1889" s="30" t="s">
        <v>142</v>
      </c>
      <c r="O1889" s="30" t="s">
        <v>77</v>
      </c>
      <c r="P1889" s="89" t="s">
        <v>78</v>
      </c>
      <c r="Q1889" s="89" t="s">
        <v>2582</v>
      </c>
      <c r="R1889" s="89" t="s">
        <v>3103</v>
      </c>
      <c r="S1889" s="30">
        <v>0</v>
      </c>
      <c r="T1889" s="233">
        <v>0</v>
      </c>
      <c r="U1889" s="30">
        <v>0</v>
      </c>
      <c r="V1889" s="233">
        <v>0</v>
      </c>
      <c r="W1889" s="30">
        <v>0</v>
      </c>
      <c r="X1889" s="30">
        <v>0</v>
      </c>
      <c r="Y1889" s="30">
        <v>0</v>
      </c>
      <c r="Z1889" s="233">
        <v>0</v>
      </c>
      <c r="AA1889" s="30">
        <v>0</v>
      </c>
      <c r="AB1889" s="30">
        <v>0</v>
      </c>
      <c r="AC1889" s="30">
        <v>0</v>
      </c>
      <c r="AD1889" s="30">
        <v>0</v>
      </c>
      <c r="AE1889" s="89" t="s">
        <v>394</v>
      </c>
      <c r="AF1889" s="89"/>
      <c r="AG1889" s="89" t="s">
        <v>874</v>
      </c>
      <c r="AH1889" s="72">
        <v>41956</v>
      </c>
      <c r="AI1889" s="30">
        <v>2</v>
      </c>
      <c r="AJ1889" s="89" t="s">
        <v>10561</v>
      </c>
      <c r="AK1889" s="89" t="s">
        <v>10562</v>
      </c>
      <c r="AL1889" s="91">
        <v>41962</v>
      </c>
      <c r="AM1889" s="91"/>
      <c r="AN1889" s="91"/>
      <c r="AO1889" s="91"/>
      <c r="AP1889" s="73" t="e">
        <f>MID(VLOOKUP(K1889,#REF!,2,FALSE),1,2)</f>
        <v>#REF!</v>
      </c>
      <c r="AQ1889" s="89">
        <f>DATE(2014,11,13)</f>
        <v>41956</v>
      </c>
      <c r="AR1889" s="82">
        <f t="shared" si="122"/>
        <v>13</v>
      </c>
      <c r="AS1889" s="83">
        <f t="shared" si="123"/>
        <v>11</v>
      </c>
      <c r="AT1889" s="84">
        <f t="shared" si="124"/>
        <v>2014</v>
      </c>
      <c r="AU1889" s="86"/>
      <c r="AV1889" s="86"/>
      <c r="AW1889" s="87"/>
      <c r="AX1889" s="86"/>
      <c r="AY1889" s="83"/>
      <c r="AZ1889" s="84"/>
      <c r="BA1889" s="86"/>
      <c r="BB1889" s="86"/>
    </row>
    <row r="1890" spans="1:54" ht="36.75" customHeight="1">
      <c r="A1890" s="30"/>
      <c r="B1890" s="30" t="s">
        <v>55</v>
      </c>
      <c r="C1890" s="69" t="str">
        <f t="shared" si="125"/>
        <v>Closed</v>
      </c>
      <c r="D1890" s="27" t="s">
        <v>10563</v>
      </c>
      <c r="E1890" s="29" t="s">
        <v>10564</v>
      </c>
      <c r="F1890" s="30" t="s">
        <v>582</v>
      </c>
      <c r="G1890" s="89">
        <f>DATE(2014,11,13)</f>
        <v>41956</v>
      </c>
      <c r="H1890" s="90">
        <v>1.1784722222222221</v>
      </c>
      <c r="I1890" s="30" t="s">
        <v>198</v>
      </c>
      <c r="J1890" s="89" t="s">
        <v>10565</v>
      </c>
      <c r="K1890" s="30" t="s">
        <v>584</v>
      </c>
      <c r="L1890" s="30" t="s">
        <v>10566</v>
      </c>
      <c r="M1890" s="30" t="s">
        <v>63</v>
      </c>
      <c r="N1890" s="30" t="s">
        <v>142</v>
      </c>
      <c r="O1890" s="30" t="s">
        <v>77</v>
      </c>
      <c r="P1890" s="89" t="s">
        <v>165</v>
      </c>
      <c r="Q1890" s="89" t="s">
        <v>3903</v>
      </c>
      <c r="R1890" s="89" t="s">
        <v>587</v>
      </c>
      <c r="S1890" s="30">
        <v>0</v>
      </c>
      <c r="T1890" s="233">
        <v>0</v>
      </c>
      <c r="U1890" s="30">
        <v>0</v>
      </c>
      <c r="V1890" s="233">
        <v>0</v>
      </c>
      <c r="W1890" s="30">
        <v>0</v>
      </c>
      <c r="X1890" s="30">
        <v>0</v>
      </c>
      <c r="Y1890" s="30">
        <v>0</v>
      </c>
      <c r="Z1890" s="233">
        <v>0</v>
      </c>
      <c r="AA1890" s="30">
        <v>0</v>
      </c>
      <c r="AB1890" s="30">
        <v>0</v>
      </c>
      <c r="AC1890" s="30">
        <v>0</v>
      </c>
      <c r="AD1890" s="30">
        <v>0</v>
      </c>
      <c r="AE1890" s="89" t="s">
        <v>92</v>
      </c>
      <c r="AF1890" s="89" t="s">
        <v>10567</v>
      </c>
      <c r="AG1890" s="89" t="s">
        <v>8859</v>
      </c>
      <c r="AH1890" s="72">
        <v>41961</v>
      </c>
      <c r="AI1890" s="30">
        <v>0</v>
      </c>
      <c r="AJ1890" s="89" t="s">
        <v>10568</v>
      </c>
      <c r="AK1890" s="89" t="s">
        <v>10569</v>
      </c>
      <c r="AL1890" s="91">
        <v>41961</v>
      </c>
      <c r="AM1890" s="91"/>
      <c r="AN1890" s="91">
        <v>44587</v>
      </c>
      <c r="AO1890" s="91">
        <v>44587</v>
      </c>
      <c r="AP1890" s="73" t="e">
        <f>MID(VLOOKUP(K1890,#REF!,2,FALSE),1,2)</f>
        <v>#REF!</v>
      </c>
      <c r="AQ1890" s="89">
        <f>DATE(2014,11,13)</f>
        <v>41956</v>
      </c>
      <c r="AR1890" s="82">
        <f t="shared" si="122"/>
        <v>13</v>
      </c>
      <c r="AS1890" s="83">
        <f t="shared" si="123"/>
        <v>11</v>
      </c>
      <c r="AT1890" s="84">
        <f t="shared" si="124"/>
        <v>2014</v>
      </c>
      <c r="AU1890" s="86"/>
      <c r="AV1890" s="86"/>
      <c r="AW1890" s="87"/>
      <c r="AX1890" s="86"/>
      <c r="AY1890" s="83"/>
      <c r="AZ1890" s="84"/>
      <c r="BA1890" s="86"/>
      <c r="BB1890" s="86"/>
    </row>
    <row r="1891" spans="1:54" ht="36.75" customHeight="1">
      <c r="A1891" s="30"/>
      <c r="B1891" s="30" t="s">
        <v>55</v>
      </c>
      <c r="C1891" s="69" t="str">
        <f t="shared" si="125"/>
        <v>Closed</v>
      </c>
      <c r="D1891" s="27" t="s">
        <v>10570</v>
      </c>
      <c r="E1891" s="29" t="s">
        <v>10571</v>
      </c>
      <c r="F1891" s="30" t="s">
        <v>582</v>
      </c>
      <c r="G1891" s="89">
        <f>DATE(2014,11,13)</f>
        <v>41956</v>
      </c>
      <c r="H1891" s="90">
        <v>1.46875</v>
      </c>
      <c r="I1891" s="30" t="s">
        <v>198</v>
      </c>
      <c r="J1891" s="89" t="s">
        <v>10572</v>
      </c>
      <c r="K1891" s="30" t="s">
        <v>584</v>
      </c>
      <c r="L1891" s="30" t="s">
        <v>10573</v>
      </c>
      <c r="M1891" s="30" t="s">
        <v>63</v>
      </c>
      <c r="N1891" s="30" t="s">
        <v>142</v>
      </c>
      <c r="O1891" s="30" t="s">
        <v>77</v>
      </c>
      <c r="P1891" s="89" t="s">
        <v>165</v>
      </c>
      <c r="Q1891" s="89" t="s">
        <v>10574</v>
      </c>
      <c r="R1891" s="89" t="s">
        <v>587</v>
      </c>
      <c r="S1891" s="30">
        <v>0</v>
      </c>
      <c r="T1891" s="233">
        <v>0</v>
      </c>
      <c r="U1891" s="30">
        <v>0</v>
      </c>
      <c r="V1891" s="233">
        <v>0</v>
      </c>
      <c r="W1891" s="30">
        <v>0</v>
      </c>
      <c r="X1891" s="30">
        <v>0</v>
      </c>
      <c r="Y1891" s="30">
        <v>0</v>
      </c>
      <c r="Z1891" s="233">
        <v>1</v>
      </c>
      <c r="AA1891" s="30">
        <v>0</v>
      </c>
      <c r="AB1891" s="30">
        <v>0</v>
      </c>
      <c r="AC1891" s="30">
        <v>0</v>
      </c>
      <c r="AD1891" s="30">
        <v>1</v>
      </c>
      <c r="AE1891" s="89" t="s">
        <v>394</v>
      </c>
      <c r="AF1891" s="89"/>
      <c r="AG1891" s="89" t="s">
        <v>133</v>
      </c>
      <c r="AH1891" s="72">
        <v>41961</v>
      </c>
      <c r="AI1891" s="30">
        <v>0</v>
      </c>
      <c r="AJ1891" s="89" t="s">
        <v>10575</v>
      </c>
      <c r="AK1891" s="89" t="s">
        <v>1233</v>
      </c>
      <c r="AL1891" s="91">
        <v>41961</v>
      </c>
      <c r="AM1891" s="91"/>
      <c r="AN1891" s="91"/>
      <c r="AO1891" s="91"/>
      <c r="AP1891" s="73" t="e">
        <f>MID(VLOOKUP(K1891,#REF!,2,FALSE),1,2)</f>
        <v>#REF!</v>
      </c>
      <c r="AQ1891" s="89">
        <f>DATE(2014,11,13)</f>
        <v>41956</v>
      </c>
      <c r="AR1891" s="82">
        <f t="shared" si="122"/>
        <v>13</v>
      </c>
      <c r="AS1891" s="83">
        <f t="shared" si="123"/>
        <v>11</v>
      </c>
      <c r="AT1891" s="84">
        <f t="shared" si="124"/>
        <v>2014</v>
      </c>
      <c r="AU1891" s="86"/>
      <c r="AV1891" s="86"/>
      <c r="AW1891" s="87"/>
      <c r="AX1891" s="86"/>
      <c r="AY1891" s="83"/>
      <c r="AZ1891" s="84"/>
      <c r="BA1891" s="86"/>
      <c r="BB1891" s="86"/>
    </row>
    <row r="1892" spans="1:54" ht="36.75" customHeight="1">
      <c r="A1892" s="30"/>
      <c r="B1892" s="30" t="s">
        <v>55</v>
      </c>
      <c r="C1892" s="69" t="str">
        <f t="shared" si="125"/>
        <v>Closed</v>
      </c>
      <c r="D1892" s="27" t="s">
        <v>10576</v>
      </c>
      <c r="E1892" s="29" t="s">
        <v>10577</v>
      </c>
      <c r="F1892" s="30" t="s">
        <v>423</v>
      </c>
      <c r="G1892" s="89">
        <f>DATE(2014,11,16)</f>
        <v>41959</v>
      </c>
      <c r="H1892" s="90">
        <v>1.2833333333333332</v>
      </c>
      <c r="I1892" s="30" t="s">
        <v>156</v>
      </c>
      <c r="J1892" s="89" t="s">
        <v>10578</v>
      </c>
      <c r="K1892" s="30" t="s">
        <v>425</v>
      </c>
      <c r="L1892" s="30" t="s">
        <v>10579</v>
      </c>
      <c r="M1892" s="30" t="s">
        <v>63</v>
      </c>
      <c r="N1892" s="30" t="s">
        <v>89</v>
      </c>
      <c r="O1892" s="30" t="s">
        <v>77</v>
      </c>
      <c r="P1892" s="89" t="s">
        <v>8448</v>
      </c>
      <c r="Q1892" s="89" t="s">
        <v>4551</v>
      </c>
      <c r="R1892" s="89" t="s">
        <v>3103</v>
      </c>
      <c r="S1892" s="30">
        <v>0</v>
      </c>
      <c r="T1892" s="233">
        <v>0</v>
      </c>
      <c r="U1892" s="30">
        <v>0</v>
      </c>
      <c r="V1892" s="233">
        <v>0</v>
      </c>
      <c r="W1892" s="30">
        <v>0</v>
      </c>
      <c r="X1892" s="30">
        <v>0</v>
      </c>
      <c r="Y1892" s="30">
        <v>0</v>
      </c>
      <c r="Z1892" s="233">
        <v>0</v>
      </c>
      <c r="AA1892" s="30">
        <v>0</v>
      </c>
      <c r="AB1892" s="30">
        <v>0</v>
      </c>
      <c r="AC1892" s="30">
        <v>0</v>
      </c>
      <c r="AD1892" s="30">
        <v>0</v>
      </c>
      <c r="AE1892" s="89" t="s">
        <v>92</v>
      </c>
      <c r="AF1892" s="89"/>
      <c r="AG1892" s="89" t="s">
        <v>352</v>
      </c>
      <c r="AH1892" s="72">
        <v>42038</v>
      </c>
      <c r="AI1892" s="30">
        <v>3</v>
      </c>
      <c r="AJ1892" s="89" t="s">
        <v>10580</v>
      </c>
      <c r="AK1892" s="89" t="s">
        <v>879</v>
      </c>
      <c r="AL1892" s="91">
        <v>42066</v>
      </c>
      <c r="AM1892" s="91"/>
      <c r="AN1892" s="91"/>
      <c r="AO1892" s="91"/>
      <c r="AP1892" s="73" t="e">
        <f>MID(VLOOKUP(K1892,#REF!,2,FALSE),1,2)</f>
        <v>#REF!</v>
      </c>
      <c r="AQ1892" s="89">
        <f>DATE(2014,11,16)</f>
        <v>41959</v>
      </c>
      <c r="AR1892" s="82">
        <f t="shared" si="122"/>
        <v>16</v>
      </c>
      <c r="AS1892" s="83">
        <f t="shared" si="123"/>
        <v>11</v>
      </c>
      <c r="AT1892" s="84">
        <f t="shared" si="124"/>
        <v>2014</v>
      </c>
      <c r="AU1892" s="86"/>
      <c r="AV1892" s="86"/>
      <c r="AW1892" s="87"/>
      <c r="AX1892" s="86"/>
      <c r="AY1892" s="83"/>
      <c r="AZ1892" s="84"/>
      <c r="BA1892" s="86"/>
      <c r="BB1892" s="86"/>
    </row>
    <row r="1893" spans="1:54" ht="36.75" customHeight="1">
      <c r="A1893" s="30"/>
      <c r="B1893" s="30" t="s">
        <v>55</v>
      </c>
      <c r="C1893" s="69" t="str">
        <f t="shared" si="125"/>
        <v>Closed</v>
      </c>
      <c r="D1893" s="27" t="s">
        <v>10581</v>
      </c>
      <c r="E1893" s="29" t="s">
        <v>10582</v>
      </c>
      <c r="F1893" s="30" t="s">
        <v>233</v>
      </c>
      <c r="G1893" s="89">
        <f>DATE(2014,11,17)</f>
        <v>41960</v>
      </c>
      <c r="H1893" s="90">
        <v>1.6187499999999999</v>
      </c>
      <c r="I1893" s="30" t="s">
        <v>156</v>
      </c>
      <c r="J1893" s="89" t="s">
        <v>10583</v>
      </c>
      <c r="K1893" s="30" t="s">
        <v>235</v>
      </c>
      <c r="L1893" s="30" t="s">
        <v>10584</v>
      </c>
      <c r="M1893" s="30" t="s">
        <v>63</v>
      </c>
      <c r="N1893" s="30" t="s">
        <v>89</v>
      </c>
      <c r="O1893" s="30" t="s">
        <v>64</v>
      </c>
      <c r="P1893" s="89" t="s">
        <v>6941</v>
      </c>
      <c r="Q1893" s="89" t="s">
        <v>1428</v>
      </c>
      <c r="R1893" s="89" t="s">
        <v>238</v>
      </c>
      <c r="S1893" s="30">
        <v>0</v>
      </c>
      <c r="T1893" s="233">
        <v>0</v>
      </c>
      <c r="U1893" s="30">
        <v>0</v>
      </c>
      <c r="V1893" s="233">
        <v>0</v>
      </c>
      <c r="W1893" s="30">
        <v>0</v>
      </c>
      <c r="X1893" s="30">
        <v>0</v>
      </c>
      <c r="Y1893" s="30">
        <v>0</v>
      </c>
      <c r="Z1893" s="233">
        <v>0</v>
      </c>
      <c r="AA1893" s="30">
        <v>0</v>
      </c>
      <c r="AB1893" s="30">
        <v>0</v>
      </c>
      <c r="AC1893" s="30">
        <v>0</v>
      </c>
      <c r="AD1893" s="30">
        <v>0</v>
      </c>
      <c r="AE1893" s="89" t="s">
        <v>92</v>
      </c>
      <c r="AF1893" s="89"/>
      <c r="AG1893" s="89" t="s">
        <v>133</v>
      </c>
      <c r="AH1893" s="72">
        <v>41967</v>
      </c>
      <c r="AI1893" s="30">
        <v>5</v>
      </c>
      <c r="AJ1893" s="89" t="s">
        <v>10585</v>
      </c>
      <c r="AK1893" s="89" t="s">
        <v>10586</v>
      </c>
      <c r="AL1893" s="91">
        <v>41996</v>
      </c>
      <c r="AM1893" s="91"/>
      <c r="AN1893" s="91"/>
      <c r="AO1893" s="91"/>
      <c r="AP1893" s="73" t="e">
        <f>MID(VLOOKUP(K1893,#REF!,2,FALSE),1,2)</f>
        <v>#REF!</v>
      </c>
      <c r="AQ1893" s="89">
        <f>DATE(2014,11,17)</f>
        <v>41960</v>
      </c>
      <c r="AR1893" s="82">
        <f t="shared" si="122"/>
        <v>17</v>
      </c>
      <c r="AS1893" s="83">
        <f t="shared" si="123"/>
        <v>11</v>
      </c>
      <c r="AT1893" s="84">
        <f t="shared" si="124"/>
        <v>2014</v>
      </c>
      <c r="AU1893" s="86"/>
      <c r="AV1893" s="86"/>
      <c r="AW1893" s="87"/>
      <c r="AX1893" s="86"/>
      <c r="AY1893" s="83"/>
      <c r="AZ1893" s="84"/>
      <c r="BA1893" s="86"/>
      <c r="BB1893" s="86"/>
    </row>
    <row r="1894" spans="1:54" ht="36.75" customHeight="1">
      <c r="A1894" s="30"/>
      <c r="B1894" s="30" t="s">
        <v>55</v>
      </c>
      <c r="C1894" s="69" t="str">
        <f t="shared" si="125"/>
        <v>Closed</v>
      </c>
      <c r="D1894" s="27" t="s">
        <v>10587</v>
      </c>
      <c r="E1894" s="29" t="s">
        <v>10588</v>
      </c>
      <c r="F1894" s="30" t="s">
        <v>638</v>
      </c>
      <c r="G1894" s="89">
        <f>DATE(2014,11,18)</f>
        <v>41961</v>
      </c>
      <c r="H1894" s="90">
        <v>1.8868055555555556</v>
      </c>
      <c r="I1894" s="30" t="s">
        <v>73</v>
      </c>
      <c r="J1894" s="89" t="s">
        <v>10589</v>
      </c>
      <c r="K1894" s="30" t="s">
        <v>640</v>
      </c>
      <c r="L1894" s="30" t="s">
        <v>10590</v>
      </c>
      <c r="M1894" s="30" t="s">
        <v>63</v>
      </c>
      <c r="N1894" s="30" t="s">
        <v>99</v>
      </c>
      <c r="O1894" s="30" t="s">
        <v>77</v>
      </c>
      <c r="P1894" s="89" t="s">
        <v>78</v>
      </c>
      <c r="Q1894" s="89">
        <v>0</v>
      </c>
      <c r="R1894" s="89" t="s">
        <v>643</v>
      </c>
      <c r="S1894" s="30">
        <v>0</v>
      </c>
      <c r="T1894" s="233">
        <v>0</v>
      </c>
      <c r="U1894" s="30">
        <v>0</v>
      </c>
      <c r="V1894" s="233">
        <v>0</v>
      </c>
      <c r="W1894" s="30">
        <v>0</v>
      </c>
      <c r="X1894" s="30">
        <v>0</v>
      </c>
      <c r="Y1894" s="30">
        <v>0</v>
      </c>
      <c r="Z1894" s="233">
        <v>0</v>
      </c>
      <c r="AA1894" s="30">
        <v>0</v>
      </c>
      <c r="AB1894" s="30">
        <v>0</v>
      </c>
      <c r="AC1894" s="30">
        <v>0</v>
      </c>
      <c r="AD1894" s="30">
        <v>0</v>
      </c>
      <c r="AE1894" s="89" t="s">
        <v>92</v>
      </c>
      <c r="AF1894" s="89"/>
      <c r="AG1894" s="89" t="s">
        <v>352</v>
      </c>
      <c r="AH1894" s="72">
        <v>41968</v>
      </c>
      <c r="AI1894" s="30">
        <v>1</v>
      </c>
      <c r="AJ1894" s="89" t="s">
        <v>10591</v>
      </c>
      <c r="AK1894" s="89" t="s">
        <v>68</v>
      </c>
      <c r="AL1894" s="91">
        <v>41975</v>
      </c>
      <c r="AM1894" s="91"/>
      <c r="AN1894" s="91"/>
      <c r="AO1894" s="91"/>
      <c r="AP1894" s="73" t="e">
        <f>MID(VLOOKUP(K1894,#REF!,2,FALSE),1,2)</f>
        <v>#REF!</v>
      </c>
      <c r="AQ1894" s="89">
        <f>DATE(2014,11,18)</f>
        <v>41961</v>
      </c>
      <c r="AR1894" s="82">
        <f t="shared" si="122"/>
        <v>18</v>
      </c>
      <c r="AS1894" s="83">
        <f t="shared" si="123"/>
        <v>11</v>
      </c>
      <c r="AT1894" s="84">
        <f t="shared" si="124"/>
        <v>2014</v>
      </c>
      <c r="AU1894" s="86"/>
      <c r="AV1894" s="86"/>
      <c r="AW1894" s="87"/>
      <c r="AX1894" s="86"/>
      <c r="AY1894" s="83"/>
      <c r="AZ1894" s="84"/>
      <c r="BA1894" s="86"/>
      <c r="BB1894" s="86"/>
    </row>
    <row r="1895" spans="1:54" ht="36.75" customHeight="1">
      <c r="A1895" s="30"/>
      <c r="B1895" s="30" t="s">
        <v>55</v>
      </c>
      <c r="C1895" s="69" t="str">
        <f t="shared" si="125"/>
        <v>Closed</v>
      </c>
      <c r="D1895" s="27" t="s">
        <v>10592</v>
      </c>
      <c r="E1895" s="29" t="s">
        <v>10593</v>
      </c>
      <c r="F1895" s="30" t="s">
        <v>1572</v>
      </c>
      <c r="G1895" s="89">
        <f>DATE(2014,11,19)</f>
        <v>41962</v>
      </c>
      <c r="H1895" s="90">
        <v>1.1597222222222223</v>
      </c>
      <c r="I1895" s="30" t="s">
        <v>73</v>
      </c>
      <c r="J1895" s="89" t="s">
        <v>10594</v>
      </c>
      <c r="K1895" s="30" t="s">
        <v>1574</v>
      </c>
      <c r="L1895" s="30" t="s">
        <v>10595</v>
      </c>
      <c r="M1895" s="30" t="s">
        <v>63</v>
      </c>
      <c r="N1895" s="30" t="s">
        <v>142</v>
      </c>
      <c r="O1895" s="30" t="s">
        <v>77</v>
      </c>
      <c r="P1895" s="89" t="s">
        <v>78</v>
      </c>
      <c r="Q1895" s="89" t="s">
        <v>9075</v>
      </c>
      <c r="R1895" s="89" t="s">
        <v>6434</v>
      </c>
      <c r="S1895" s="30">
        <v>0</v>
      </c>
      <c r="T1895" s="233">
        <v>0</v>
      </c>
      <c r="U1895" s="30">
        <v>0</v>
      </c>
      <c r="V1895" s="233">
        <v>0</v>
      </c>
      <c r="W1895" s="30">
        <v>0</v>
      </c>
      <c r="X1895" s="30">
        <v>0</v>
      </c>
      <c r="Y1895" s="30">
        <v>0</v>
      </c>
      <c r="Z1895" s="233">
        <v>0</v>
      </c>
      <c r="AA1895" s="30">
        <v>0</v>
      </c>
      <c r="AB1895" s="30">
        <v>0</v>
      </c>
      <c r="AC1895" s="30">
        <v>0</v>
      </c>
      <c r="AD1895" s="30">
        <v>0</v>
      </c>
      <c r="AE1895" s="89" t="s">
        <v>92</v>
      </c>
      <c r="AF1895" s="89"/>
      <c r="AG1895" s="89" t="s">
        <v>133</v>
      </c>
      <c r="AH1895" s="72">
        <v>41962</v>
      </c>
      <c r="AI1895" s="30">
        <v>0</v>
      </c>
      <c r="AJ1895" s="89" t="s">
        <v>10596</v>
      </c>
      <c r="AK1895" s="89" t="s">
        <v>10597</v>
      </c>
      <c r="AL1895" s="91">
        <v>41962</v>
      </c>
      <c r="AM1895" s="91"/>
      <c r="AN1895" s="91"/>
      <c r="AO1895" s="91"/>
      <c r="AP1895" s="73" t="e">
        <f>MID(VLOOKUP(K1895,#REF!,2,FALSE),1,2)</f>
        <v>#REF!</v>
      </c>
      <c r="AQ1895" s="89">
        <f>DATE(2014,11,19)</f>
        <v>41962</v>
      </c>
      <c r="AR1895" s="82">
        <f t="shared" si="122"/>
        <v>19</v>
      </c>
      <c r="AS1895" s="83">
        <f t="shared" si="123"/>
        <v>11</v>
      </c>
      <c r="AT1895" s="84">
        <f t="shared" si="124"/>
        <v>2014</v>
      </c>
      <c r="AU1895" s="86"/>
      <c r="AV1895" s="86"/>
      <c r="AW1895" s="87"/>
      <c r="AX1895" s="86"/>
      <c r="AY1895" s="83"/>
      <c r="AZ1895" s="84"/>
      <c r="BA1895" s="86"/>
      <c r="BB1895" s="86"/>
    </row>
    <row r="1896" spans="1:54" ht="36.75" customHeight="1">
      <c r="A1896" s="30"/>
      <c r="B1896" s="30" t="s">
        <v>55</v>
      </c>
      <c r="C1896" s="69" t="str">
        <f t="shared" si="125"/>
        <v>Closed</v>
      </c>
      <c r="D1896" s="27" t="s">
        <v>10598</v>
      </c>
      <c r="E1896" s="29" t="s">
        <v>10599</v>
      </c>
      <c r="F1896" s="30" t="s">
        <v>423</v>
      </c>
      <c r="G1896" s="89">
        <f>DATE(2014,11,21)</f>
        <v>41964</v>
      </c>
      <c r="H1896" s="90">
        <v>1.9486111111111111</v>
      </c>
      <c r="I1896" s="30" t="s">
        <v>73</v>
      </c>
      <c r="J1896" s="89" t="s">
        <v>10600</v>
      </c>
      <c r="K1896" s="30" t="s">
        <v>425</v>
      </c>
      <c r="L1896" s="30" t="s">
        <v>10601</v>
      </c>
      <c r="M1896" s="30" t="s">
        <v>63</v>
      </c>
      <c r="N1896" s="30" t="s">
        <v>89</v>
      </c>
      <c r="O1896" s="30" t="s">
        <v>77</v>
      </c>
      <c r="P1896" s="89" t="s">
        <v>78</v>
      </c>
      <c r="Q1896" s="89" t="s">
        <v>5546</v>
      </c>
      <c r="R1896" s="89" t="s">
        <v>3103</v>
      </c>
      <c r="S1896" s="30">
        <v>0</v>
      </c>
      <c r="T1896" s="233">
        <v>0</v>
      </c>
      <c r="U1896" s="30">
        <v>0</v>
      </c>
      <c r="V1896" s="233">
        <v>0</v>
      </c>
      <c r="W1896" s="30">
        <v>0</v>
      </c>
      <c r="X1896" s="30">
        <v>0</v>
      </c>
      <c r="Y1896" s="30">
        <v>0</v>
      </c>
      <c r="Z1896" s="233">
        <v>0</v>
      </c>
      <c r="AA1896" s="30">
        <v>0</v>
      </c>
      <c r="AB1896" s="30">
        <v>0</v>
      </c>
      <c r="AC1896" s="30">
        <v>0</v>
      </c>
      <c r="AD1896" s="30">
        <v>0</v>
      </c>
      <c r="AE1896" s="89" t="s">
        <v>394</v>
      </c>
      <c r="AF1896" s="89"/>
      <c r="AG1896" s="89" t="s">
        <v>133</v>
      </c>
      <c r="AH1896" s="72">
        <v>41964</v>
      </c>
      <c r="AI1896" s="30">
        <v>2</v>
      </c>
      <c r="AJ1896" s="89" t="s">
        <v>10602</v>
      </c>
      <c r="AK1896" s="89" t="s">
        <v>68</v>
      </c>
      <c r="AL1896" s="91">
        <v>41967</v>
      </c>
      <c r="AM1896" s="91"/>
      <c r="AN1896" s="91"/>
      <c r="AO1896" s="91"/>
      <c r="AP1896" s="73" t="e">
        <f>MID(VLOOKUP(K1896,#REF!,2,FALSE),1,2)</f>
        <v>#REF!</v>
      </c>
      <c r="AQ1896" s="89">
        <f>DATE(2014,11,21)</f>
        <v>41964</v>
      </c>
      <c r="AR1896" s="82">
        <f t="shared" si="122"/>
        <v>21</v>
      </c>
      <c r="AS1896" s="83">
        <f t="shared" si="123"/>
        <v>11</v>
      </c>
      <c r="AT1896" s="84">
        <f t="shared" si="124"/>
        <v>2014</v>
      </c>
      <c r="AU1896" s="86"/>
      <c r="AV1896" s="86"/>
      <c r="AW1896" s="87"/>
      <c r="AX1896" s="86"/>
      <c r="AY1896" s="83"/>
      <c r="AZ1896" s="84"/>
      <c r="BA1896" s="86"/>
      <c r="BB1896" s="86"/>
    </row>
    <row r="1897" spans="1:54" ht="36.75" customHeight="1">
      <c r="A1897" s="30"/>
      <c r="B1897" s="30" t="s">
        <v>55</v>
      </c>
      <c r="C1897" s="69" t="str">
        <f t="shared" si="125"/>
        <v>Closed</v>
      </c>
      <c r="D1897" s="27" t="s">
        <v>10603</v>
      </c>
      <c r="E1897" s="29" t="s">
        <v>10604</v>
      </c>
      <c r="F1897" s="30" t="s">
        <v>1572</v>
      </c>
      <c r="G1897" s="89">
        <f>DATE(2014,11,23)</f>
        <v>41966</v>
      </c>
      <c r="H1897" s="90">
        <v>1.4756944444444444</v>
      </c>
      <c r="I1897" s="30" t="s">
        <v>73</v>
      </c>
      <c r="J1897" s="89" t="s">
        <v>10605</v>
      </c>
      <c r="K1897" s="30" t="s">
        <v>1574</v>
      </c>
      <c r="L1897" s="30" t="s">
        <v>10606</v>
      </c>
      <c r="M1897" s="30" t="s">
        <v>63</v>
      </c>
      <c r="N1897" s="30" t="s">
        <v>99</v>
      </c>
      <c r="O1897" s="30" t="s">
        <v>77</v>
      </c>
      <c r="P1897" s="89" t="s">
        <v>78</v>
      </c>
      <c r="Q1897" s="89" t="s">
        <v>9075</v>
      </c>
      <c r="R1897" s="89" t="s">
        <v>6434</v>
      </c>
      <c r="S1897" s="30">
        <v>0</v>
      </c>
      <c r="T1897" s="232">
        <v>0</v>
      </c>
      <c r="U1897" s="30">
        <v>0</v>
      </c>
      <c r="V1897" s="232">
        <v>0</v>
      </c>
      <c r="W1897" s="30">
        <v>0</v>
      </c>
      <c r="X1897" s="30">
        <v>0</v>
      </c>
      <c r="Y1897" s="30">
        <v>0</v>
      </c>
      <c r="Z1897" s="232">
        <v>0</v>
      </c>
      <c r="AA1897" s="30">
        <v>0</v>
      </c>
      <c r="AB1897" s="30">
        <v>0</v>
      </c>
      <c r="AC1897" s="30">
        <v>0</v>
      </c>
      <c r="AD1897" s="30">
        <v>0</v>
      </c>
      <c r="AE1897" s="89" t="s">
        <v>92</v>
      </c>
      <c r="AF1897" s="89"/>
      <c r="AG1897" s="89" t="s">
        <v>133</v>
      </c>
      <c r="AH1897" s="72">
        <v>41967</v>
      </c>
      <c r="AI1897" s="30">
        <v>0</v>
      </c>
      <c r="AJ1897" s="89" t="s">
        <v>10607</v>
      </c>
      <c r="AK1897" s="89" t="s">
        <v>10608</v>
      </c>
      <c r="AL1897" s="91">
        <v>41968</v>
      </c>
      <c r="AM1897" s="91"/>
      <c r="AN1897" s="91"/>
      <c r="AO1897" s="91"/>
      <c r="AP1897" s="73" t="e">
        <f>MID(VLOOKUP(K1897,#REF!,2,FALSE),1,2)</f>
        <v>#REF!</v>
      </c>
      <c r="AQ1897" s="89">
        <f>DATE(2014,11,23)</f>
        <v>41966</v>
      </c>
      <c r="AR1897" s="82">
        <f t="shared" si="122"/>
        <v>23</v>
      </c>
      <c r="AS1897" s="83">
        <f t="shared" si="123"/>
        <v>11</v>
      </c>
      <c r="AT1897" s="84">
        <f t="shared" si="124"/>
        <v>2014</v>
      </c>
      <c r="AU1897" s="86"/>
      <c r="AV1897" s="86"/>
      <c r="AW1897" s="87"/>
      <c r="AX1897" s="86"/>
      <c r="AY1897" s="83"/>
      <c r="AZ1897" s="84"/>
      <c r="BA1897" s="86"/>
      <c r="BB1897" s="86"/>
    </row>
    <row r="1898" spans="1:54" ht="36.75" customHeight="1">
      <c r="A1898" s="98" t="s">
        <v>4910</v>
      </c>
      <c r="B1898" s="30" t="s">
        <v>55</v>
      </c>
      <c r="C1898" s="69" t="str">
        <f t="shared" si="125"/>
        <v>Closed</v>
      </c>
      <c r="D1898" s="27" t="s">
        <v>10609</v>
      </c>
      <c r="E1898" s="29" t="s">
        <v>10610</v>
      </c>
      <c r="F1898" s="30" t="s">
        <v>582</v>
      </c>
      <c r="G1898" s="89">
        <f>DATE(2014,11,25)</f>
        <v>41968</v>
      </c>
      <c r="H1898" s="90">
        <v>0</v>
      </c>
      <c r="I1898" s="30" t="s">
        <v>116</v>
      </c>
      <c r="J1898" s="89" t="s">
        <v>10611</v>
      </c>
      <c r="K1898" s="30" t="s">
        <v>584</v>
      </c>
      <c r="L1898" s="30" t="s">
        <v>10612</v>
      </c>
      <c r="M1898" s="30" t="s">
        <v>63</v>
      </c>
      <c r="N1898" s="30" t="s">
        <v>142</v>
      </c>
      <c r="O1898" s="30" t="s">
        <v>64</v>
      </c>
      <c r="P1898" s="89" t="s">
        <v>165</v>
      </c>
      <c r="Q1898" s="89" t="s">
        <v>4487</v>
      </c>
      <c r="R1898" s="89" t="s">
        <v>587</v>
      </c>
      <c r="S1898" s="30">
        <v>0</v>
      </c>
      <c r="T1898" s="101">
        <v>0</v>
      </c>
      <c r="U1898" s="30">
        <v>1</v>
      </c>
      <c r="V1898" s="101">
        <v>0</v>
      </c>
      <c r="W1898" s="30">
        <v>0</v>
      </c>
      <c r="X1898" s="30">
        <v>1</v>
      </c>
      <c r="Y1898" s="30">
        <v>0</v>
      </c>
      <c r="Z1898" s="101">
        <v>0</v>
      </c>
      <c r="AA1898" s="30">
        <v>0</v>
      </c>
      <c r="AB1898" s="30">
        <v>0</v>
      </c>
      <c r="AC1898" s="30">
        <v>0</v>
      </c>
      <c r="AD1898" s="30">
        <v>0</v>
      </c>
      <c r="AE1898" s="89" t="s">
        <v>92</v>
      </c>
      <c r="AF1898" s="89"/>
      <c r="AG1898" s="89" t="s">
        <v>82</v>
      </c>
      <c r="AH1898" s="72">
        <v>41978</v>
      </c>
      <c r="AI1898" s="30">
        <v>0</v>
      </c>
      <c r="AJ1898" s="89" t="s">
        <v>68</v>
      </c>
      <c r="AK1898" s="89" t="s">
        <v>68</v>
      </c>
      <c r="AL1898" s="91">
        <v>42018</v>
      </c>
      <c r="AM1898" s="91"/>
      <c r="AN1898" s="91"/>
      <c r="AO1898" s="91"/>
      <c r="AP1898" s="73" t="e">
        <f>MID(VLOOKUP(K1898,#REF!,2,FALSE),1,2)</f>
        <v>#REF!</v>
      </c>
      <c r="AQ1898" s="89">
        <f>DATE(2014,11,25)</f>
        <v>41968</v>
      </c>
      <c r="AR1898" s="82">
        <f t="shared" si="122"/>
        <v>25</v>
      </c>
      <c r="AS1898" s="83">
        <f t="shared" si="123"/>
        <v>11</v>
      </c>
      <c r="AT1898" s="84">
        <f t="shared" si="124"/>
        <v>2014</v>
      </c>
      <c r="AU1898" s="86"/>
      <c r="AV1898" s="86"/>
      <c r="AW1898" s="87"/>
      <c r="AX1898" s="86"/>
      <c r="AY1898" s="83"/>
      <c r="AZ1898" s="84"/>
      <c r="BA1898" s="86"/>
      <c r="BB1898" s="86"/>
    </row>
    <row r="1899" spans="1:54" ht="36.75" customHeight="1">
      <c r="A1899" s="30"/>
      <c r="B1899" s="30" t="s">
        <v>55</v>
      </c>
      <c r="C1899" s="69" t="str">
        <f t="shared" si="125"/>
        <v>Closed</v>
      </c>
      <c r="D1899" s="27" t="s">
        <v>10613</v>
      </c>
      <c r="E1899" s="29" t="s">
        <v>10614</v>
      </c>
      <c r="F1899" s="30" t="s">
        <v>233</v>
      </c>
      <c r="G1899" s="89">
        <f>DATE(2014,11,27)</f>
        <v>41970</v>
      </c>
      <c r="H1899" s="90">
        <v>1.0125</v>
      </c>
      <c r="I1899" s="30" t="s">
        <v>198</v>
      </c>
      <c r="J1899" s="89" t="s">
        <v>10615</v>
      </c>
      <c r="K1899" s="30" t="s">
        <v>235</v>
      </c>
      <c r="L1899" s="30" t="s">
        <v>10616</v>
      </c>
      <c r="M1899" s="30" t="s">
        <v>63</v>
      </c>
      <c r="N1899" s="30" t="s">
        <v>142</v>
      </c>
      <c r="O1899" s="30" t="s">
        <v>77</v>
      </c>
      <c r="P1899" s="89" t="s">
        <v>301</v>
      </c>
      <c r="Q1899" s="89" t="s">
        <v>10617</v>
      </c>
      <c r="R1899" s="89" t="s">
        <v>238</v>
      </c>
      <c r="S1899" s="30">
        <v>0</v>
      </c>
      <c r="T1899" s="233">
        <v>0</v>
      </c>
      <c r="U1899" s="30">
        <v>0</v>
      </c>
      <c r="V1899" s="233">
        <v>0</v>
      </c>
      <c r="W1899" s="30">
        <v>0</v>
      </c>
      <c r="X1899" s="30">
        <v>0</v>
      </c>
      <c r="Y1899" s="30">
        <v>0</v>
      </c>
      <c r="Z1899" s="233">
        <v>0</v>
      </c>
      <c r="AA1899" s="30">
        <v>0</v>
      </c>
      <c r="AB1899" s="30">
        <v>0</v>
      </c>
      <c r="AC1899" s="30">
        <v>0</v>
      </c>
      <c r="AD1899" s="30">
        <v>0</v>
      </c>
      <c r="AE1899" s="89" t="s">
        <v>92</v>
      </c>
      <c r="AF1899" s="89"/>
      <c r="AG1899" s="89" t="s">
        <v>133</v>
      </c>
      <c r="AH1899" s="72">
        <v>41974</v>
      </c>
      <c r="AI1899" s="30">
        <v>5</v>
      </c>
      <c r="AJ1899" s="89" t="s">
        <v>10618</v>
      </c>
      <c r="AK1899" s="89" t="s">
        <v>10619</v>
      </c>
      <c r="AL1899" s="91">
        <v>41996</v>
      </c>
      <c r="AM1899" s="91"/>
      <c r="AN1899" s="91"/>
      <c r="AO1899" s="91"/>
      <c r="AP1899" s="73" t="e">
        <f>MID(VLOOKUP(K1899,#REF!,2,FALSE),1,2)</f>
        <v>#REF!</v>
      </c>
      <c r="AQ1899" s="89">
        <f>DATE(2014,11,27)</f>
        <v>41970</v>
      </c>
      <c r="AR1899" s="82">
        <f t="shared" si="122"/>
        <v>27</v>
      </c>
      <c r="AS1899" s="83">
        <f t="shared" si="123"/>
        <v>11</v>
      </c>
      <c r="AT1899" s="84">
        <f t="shared" si="124"/>
        <v>2014</v>
      </c>
      <c r="AU1899" s="86"/>
      <c r="AV1899" s="86"/>
      <c r="AW1899" s="87"/>
      <c r="AX1899" s="86"/>
      <c r="AY1899" s="83"/>
      <c r="AZ1899" s="84"/>
      <c r="BA1899" s="86"/>
      <c r="BB1899" s="86"/>
    </row>
    <row r="1900" spans="1:54" ht="36.75" customHeight="1">
      <c r="A1900" s="30"/>
      <c r="B1900" s="30" t="s">
        <v>55</v>
      </c>
      <c r="C1900" s="69" t="str">
        <f t="shared" si="125"/>
        <v>Closed</v>
      </c>
      <c r="D1900" s="27" t="s">
        <v>10620</v>
      </c>
      <c r="E1900" s="29" t="s">
        <v>10621</v>
      </c>
      <c r="F1900" s="30" t="s">
        <v>423</v>
      </c>
      <c r="G1900" s="89">
        <f>DATE(2014,11,28)</f>
        <v>41971</v>
      </c>
      <c r="H1900" s="90">
        <v>1.3472222222222223</v>
      </c>
      <c r="I1900" s="30" t="s">
        <v>73</v>
      </c>
      <c r="J1900" s="89" t="s">
        <v>10622</v>
      </c>
      <c r="K1900" s="30" t="s">
        <v>425</v>
      </c>
      <c r="L1900" s="30" t="s">
        <v>10623</v>
      </c>
      <c r="M1900" s="30" t="s">
        <v>63</v>
      </c>
      <c r="N1900" s="30" t="s">
        <v>89</v>
      </c>
      <c r="O1900" s="30" t="s">
        <v>77</v>
      </c>
      <c r="P1900" s="89" t="s">
        <v>78</v>
      </c>
      <c r="Q1900" s="89" t="s">
        <v>5199</v>
      </c>
      <c r="R1900" s="89" t="s">
        <v>427</v>
      </c>
      <c r="S1900" s="30">
        <v>0</v>
      </c>
      <c r="T1900" s="233">
        <v>0</v>
      </c>
      <c r="U1900" s="30">
        <v>0</v>
      </c>
      <c r="V1900" s="233">
        <v>0</v>
      </c>
      <c r="W1900" s="30">
        <v>0</v>
      </c>
      <c r="X1900" s="30">
        <v>0</v>
      </c>
      <c r="Y1900" s="30">
        <v>0</v>
      </c>
      <c r="Z1900" s="233">
        <v>0</v>
      </c>
      <c r="AA1900" s="30">
        <v>0</v>
      </c>
      <c r="AB1900" s="30">
        <v>0</v>
      </c>
      <c r="AC1900" s="30">
        <v>0</v>
      </c>
      <c r="AD1900" s="30">
        <v>0</v>
      </c>
      <c r="AE1900" s="89" t="s">
        <v>92</v>
      </c>
      <c r="AF1900" s="89"/>
      <c r="AG1900" s="89" t="s">
        <v>133</v>
      </c>
      <c r="AH1900" s="72">
        <v>41971</v>
      </c>
      <c r="AI1900" s="30">
        <v>2</v>
      </c>
      <c r="AJ1900" s="89" t="s">
        <v>10624</v>
      </c>
      <c r="AK1900" s="89" t="s">
        <v>10625</v>
      </c>
      <c r="AL1900" s="91">
        <v>41974</v>
      </c>
      <c r="AM1900" s="91"/>
      <c r="AN1900" s="91"/>
      <c r="AO1900" s="91"/>
      <c r="AP1900" s="73" t="e">
        <f>MID(VLOOKUP(K1900,#REF!,2,FALSE),1,2)</f>
        <v>#REF!</v>
      </c>
      <c r="AQ1900" s="89">
        <f>DATE(2014,11,28)</f>
        <v>41971</v>
      </c>
      <c r="AR1900" s="82">
        <f t="shared" si="122"/>
        <v>28</v>
      </c>
      <c r="AS1900" s="83">
        <f t="shared" si="123"/>
        <v>11</v>
      </c>
      <c r="AT1900" s="84">
        <f t="shared" si="124"/>
        <v>2014</v>
      </c>
      <c r="AU1900" s="86"/>
      <c r="AV1900" s="86"/>
      <c r="AW1900" s="87"/>
      <c r="AX1900" s="86"/>
      <c r="AY1900" s="83"/>
      <c r="AZ1900" s="84"/>
      <c r="BA1900" s="86"/>
      <c r="BB1900" s="86"/>
    </row>
    <row r="1901" spans="1:54" ht="36.75" customHeight="1">
      <c r="A1901" s="30"/>
      <c r="B1901" s="30" t="s">
        <v>55</v>
      </c>
      <c r="C1901" s="69" t="str">
        <f t="shared" si="125"/>
        <v>Closed</v>
      </c>
      <c r="D1901" s="27" t="s">
        <v>10626</v>
      </c>
      <c r="E1901" s="29" t="s">
        <v>10627</v>
      </c>
      <c r="F1901" s="30" t="s">
        <v>1572</v>
      </c>
      <c r="G1901" s="89">
        <f>DATE(2014,11,30)</f>
        <v>41973</v>
      </c>
      <c r="H1901" s="90">
        <v>1.90625</v>
      </c>
      <c r="I1901" s="30" t="s">
        <v>73</v>
      </c>
      <c r="J1901" s="89" t="s">
        <v>10628</v>
      </c>
      <c r="K1901" s="30" t="s">
        <v>1574</v>
      </c>
      <c r="L1901" s="30" t="s">
        <v>10629</v>
      </c>
      <c r="M1901" s="30" t="s">
        <v>63</v>
      </c>
      <c r="N1901" s="30" t="s">
        <v>99</v>
      </c>
      <c r="O1901" s="30" t="s">
        <v>64</v>
      </c>
      <c r="P1901" s="89" t="s">
        <v>78</v>
      </c>
      <c r="Q1901" s="89" t="s">
        <v>7932</v>
      </c>
      <c r="R1901" s="89" t="s">
        <v>6434</v>
      </c>
      <c r="S1901" s="30">
        <v>0</v>
      </c>
      <c r="T1901" s="233">
        <v>0</v>
      </c>
      <c r="U1901" s="30">
        <v>0</v>
      </c>
      <c r="V1901" s="233">
        <v>0</v>
      </c>
      <c r="W1901" s="30">
        <v>0</v>
      </c>
      <c r="X1901" s="30">
        <v>0</v>
      </c>
      <c r="Y1901" s="30">
        <v>0</v>
      </c>
      <c r="Z1901" s="233">
        <v>0</v>
      </c>
      <c r="AA1901" s="30">
        <v>0</v>
      </c>
      <c r="AB1901" s="30">
        <v>0</v>
      </c>
      <c r="AC1901" s="30">
        <v>0</v>
      </c>
      <c r="AD1901" s="30">
        <v>0</v>
      </c>
      <c r="AE1901" s="89" t="s">
        <v>92</v>
      </c>
      <c r="AF1901" s="89"/>
      <c r="AG1901" s="89" t="s">
        <v>352</v>
      </c>
      <c r="AH1901" s="72">
        <v>41975</v>
      </c>
      <c r="AI1901" s="30">
        <v>0</v>
      </c>
      <c r="AJ1901" s="89" t="s">
        <v>10630</v>
      </c>
      <c r="AK1901" s="89" t="s">
        <v>10631</v>
      </c>
      <c r="AL1901" s="91">
        <v>41977</v>
      </c>
      <c r="AM1901" s="91"/>
      <c r="AN1901" s="91"/>
      <c r="AO1901" s="91"/>
      <c r="AP1901" s="73" t="e">
        <f>MID(VLOOKUP(K1901,#REF!,2,FALSE),1,2)</f>
        <v>#REF!</v>
      </c>
      <c r="AQ1901" s="89">
        <f>DATE(2014,11,30)</f>
        <v>41973</v>
      </c>
      <c r="AR1901" s="82">
        <f t="shared" si="122"/>
        <v>30</v>
      </c>
      <c r="AS1901" s="83">
        <f t="shared" si="123"/>
        <v>11</v>
      </c>
      <c r="AT1901" s="84">
        <f t="shared" si="124"/>
        <v>2014</v>
      </c>
      <c r="AU1901" s="86"/>
      <c r="AV1901" s="86"/>
      <c r="AW1901" s="87"/>
      <c r="AX1901" s="86"/>
      <c r="AY1901" s="83"/>
      <c r="AZ1901" s="84"/>
      <c r="BA1901" s="86"/>
      <c r="BB1901" s="86"/>
    </row>
    <row r="1902" spans="1:54" ht="36.75" customHeight="1">
      <c r="A1902" s="30"/>
      <c r="B1902" s="30" t="s">
        <v>55</v>
      </c>
      <c r="C1902" s="69" t="str">
        <f t="shared" si="125"/>
        <v>Closed</v>
      </c>
      <c r="D1902" s="27" t="s">
        <v>10632</v>
      </c>
      <c r="E1902" s="29" t="s">
        <v>10633</v>
      </c>
      <c r="F1902" s="30" t="s">
        <v>423</v>
      </c>
      <c r="G1902" s="89">
        <f>DATE(2014,12,1)</f>
        <v>41974</v>
      </c>
      <c r="H1902" s="90">
        <v>1.3638888888888889</v>
      </c>
      <c r="I1902" s="30" t="s">
        <v>73</v>
      </c>
      <c r="J1902" s="89" t="s">
        <v>10634</v>
      </c>
      <c r="K1902" s="30" t="s">
        <v>425</v>
      </c>
      <c r="L1902" s="30" t="s">
        <v>10635</v>
      </c>
      <c r="M1902" s="30" t="s">
        <v>63</v>
      </c>
      <c r="N1902" s="30" t="s">
        <v>142</v>
      </c>
      <c r="O1902" s="30" t="s">
        <v>64</v>
      </c>
      <c r="P1902" s="89" t="s">
        <v>78</v>
      </c>
      <c r="Q1902" s="89" t="s">
        <v>2582</v>
      </c>
      <c r="R1902" s="89" t="s">
        <v>3103</v>
      </c>
      <c r="S1902" s="30">
        <v>0</v>
      </c>
      <c r="T1902" s="233">
        <v>0</v>
      </c>
      <c r="U1902" s="30">
        <v>0</v>
      </c>
      <c r="V1902" s="233">
        <v>0</v>
      </c>
      <c r="W1902" s="30">
        <v>0</v>
      </c>
      <c r="X1902" s="30">
        <v>0</v>
      </c>
      <c r="Y1902" s="30">
        <v>0</v>
      </c>
      <c r="Z1902" s="233">
        <v>0</v>
      </c>
      <c r="AA1902" s="30">
        <v>0</v>
      </c>
      <c r="AB1902" s="30">
        <v>0</v>
      </c>
      <c r="AC1902" s="30">
        <v>0</v>
      </c>
      <c r="AD1902" s="30">
        <v>0</v>
      </c>
      <c r="AE1902" s="89" t="s">
        <v>394</v>
      </c>
      <c r="AF1902" s="89"/>
      <c r="AG1902" s="89" t="s">
        <v>133</v>
      </c>
      <c r="AH1902" s="72">
        <v>41710</v>
      </c>
      <c r="AI1902" s="30">
        <v>3</v>
      </c>
      <c r="AJ1902" s="89" t="s">
        <v>10636</v>
      </c>
      <c r="AK1902" s="89" t="s">
        <v>10637</v>
      </c>
      <c r="AL1902" s="91">
        <v>41982</v>
      </c>
      <c r="AM1902" s="91"/>
      <c r="AN1902" s="91"/>
      <c r="AO1902" s="91"/>
      <c r="AP1902" s="73" t="e">
        <f>MID(VLOOKUP(K1902,#REF!,2,FALSE),1,2)</f>
        <v>#REF!</v>
      </c>
      <c r="AQ1902" s="89">
        <f>DATE(2014,12,1)</f>
        <v>41974</v>
      </c>
      <c r="AR1902" s="82">
        <f t="shared" si="122"/>
        <v>1</v>
      </c>
      <c r="AS1902" s="83">
        <f t="shared" si="123"/>
        <v>12</v>
      </c>
      <c r="AT1902" s="84">
        <f t="shared" si="124"/>
        <v>2014</v>
      </c>
      <c r="AU1902" s="86"/>
      <c r="AV1902" s="86"/>
      <c r="AW1902" s="87"/>
      <c r="AX1902" s="86"/>
      <c r="AY1902" s="83"/>
      <c r="AZ1902" s="84"/>
      <c r="BA1902" s="86"/>
      <c r="BB1902" s="86"/>
    </row>
    <row r="1903" spans="1:54" ht="36.75" customHeight="1">
      <c r="A1903" s="30"/>
      <c r="B1903" s="30" t="s">
        <v>55</v>
      </c>
      <c r="C1903" s="69" t="str">
        <f t="shared" si="125"/>
        <v>Closed</v>
      </c>
      <c r="D1903" s="27" t="s">
        <v>10638</v>
      </c>
      <c r="E1903" s="29" t="s">
        <v>10639</v>
      </c>
      <c r="F1903" s="30" t="s">
        <v>582</v>
      </c>
      <c r="G1903" s="89">
        <f>DATE(2014,12,2)</f>
        <v>41975</v>
      </c>
      <c r="H1903" s="90">
        <v>0</v>
      </c>
      <c r="I1903" s="30" t="s">
        <v>73</v>
      </c>
      <c r="J1903" s="89" t="s">
        <v>10640</v>
      </c>
      <c r="K1903" s="30" t="s">
        <v>584</v>
      </c>
      <c r="L1903" s="30" t="s">
        <v>10641</v>
      </c>
      <c r="M1903" s="30" t="s">
        <v>63</v>
      </c>
      <c r="N1903" s="30" t="s">
        <v>142</v>
      </c>
      <c r="O1903" s="30" t="s">
        <v>77</v>
      </c>
      <c r="P1903" s="89" t="s">
        <v>78</v>
      </c>
      <c r="Q1903" s="89" t="s">
        <v>10642</v>
      </c>
      <c r="R1903" s="89" t="s">
        <v>587</v>
      </c>
      <c r="S1903" s="30">
        <v>0</v>
      </c>
      <c r="T1903" s="233">
        <v>0</v>
      </c>
      <c r="U1903" s="30">
        <v>0</v>
      </c>
      <c r="V1903" s="233">
        <v>0</v>
      </c>
      <c r="W1903" s="30">
        <v>0</v>
      </c>
      <c r="X1903" s="30">
        <v>0</v>
      </c>
      <c r="Y1903" s="30">
        <v>0</v>
      </c>
      <c r="Z1903" s="233">
        <v>0</v>
      </c>
      <c r="AA1903" s="30">
        <v>0</v>
      </c>
      <c r="AB1903" s="30">
        <v>0</v>
      </c>
      <c r="AC1903" s="30">
        <v>0</v>
      </c>
      <c r="AD1903" s="30">
        <v>0</v>
      </c>
      <c r="AE1903" s="89" t="s">
        <v>394</v>
      </c>
      <c r="AF1903" s="89"/>
      <c r="AG1903" s="89" t="s">
        <v>133</v>
      </c>
      <c r="AH1903" s="72">
        <v>41981</v>
      </c>
      <c r="AI1903" s="30">
        <v>0</v>
      </c>
      <c r="AJ1903" s="89" t="s">
        <v>10643</v>
      </c>
      <c r="AK1903" s="89" t="s">
        <v>1233</v>
      </c>
      <c r="AL1903" s="91">
        <v>41981</v>
      </c>
      <c r="AM1903" s="91"/>
      <c r="AN1903" s="91"/>
      <c r="AO1903" s="91"/>
      <c r="AP1903" s="73" t="e">
        <f>MID(VLOOKUP(K1903,#REF!,2,FALSE),1,2)</f>
        <v>#REF!</v>
      </c>
      <c r="AQ1903" s="89">
        <f>DATE(2014,12,2)</f>
        <v>41975</v>
      </c>
      <c r="AR1903" s="82">
        <f t="shared" si="122"/>
        <v>2</v>
      </c>
      <c r="AS1903" s="83">
        <f t="shared" si="123"/>
        <v>12</v>
      </c>
      <c r="AT1903" s="84">
        <f t="shared" si="124"/>
        <v>2014</v>
      </c>
      <c r="AU1903" s="86"/>
      <c r="AV1903" s="86"/>
      <c r="AW1903" s="87"/>
      <c r="AX1903" s="86"/>
      <c r="AY1903" s="83"/>
      <c r="AZ1903" s="84"/>
      <c r="BA1903" s="86"/>
      <c r="BB1903" s="86"/>
    </row>
    <row r="1904" spans="1:54" ht="36.75" customHeight="1">
      <c r="A1904" s="30"/>
      <c r="B1904" s="30" t="s">
        <v>55</v>
      </c>
      <c r="C1904" s="69" t="str">
        <f t="shared" si="125"/>
        <v>Closed</v>
      </c>
      <c r="D1904" s="27" t="s">
        <v>10644</v>
      </c>
      <c r="E1904" s="29" t="s">
        <v>10645</v>
      </c>
      <c r="F1904" s="30" t="s">
        <v>582</v>
      </c>
      <c r="G1904" s="89">
        <f>DATE(2014,12,2)</f>
        <v>41975</v>
      </c>
      <c r="H1904" s="90">
        <v>0</v>
      </c>
      <c r="I1904" s="30" t="s">
        <v>116</v>
      </c>
      <c r="J1904" s="89" t="s">
        <v>10646</v>
      </c>
      <c r="K1904" s="30" t="s">
        <v>584</v>
      </c>
      <c r="L1904" s="30" t="s">
        <v>10647</v>
      </c>
      <c r="M1904" s="30" t="s">
        <v>63</v>
      </c>
      <c r="N1904" s="30" t="s">
        <v>142</v>
      </c>
      <c r="O1904" s="30" t="s">
        <v>64</v>
      </c>
      <c r="P1904" s="89" t="s">
        <v>165</v>
      </c>
      <c r="Q1904" s="89" t="s">
        <v>3903</v>
      </c>
      <c r="R1904" s="89" t="s">
        <v>587</v>
      </c>
      <c r="S1904" s="30">
        <v>0</v>
      </c>
      <c r="T1904" s="233">
        <v>0</v>
      </c>
      <c r="U1904" s="30">
        <v>0</v>
      </c>
      <c r="V1904" s="233">
        <v>0</v>
      </c>
      <c r="W1904" s="30">
        <v>0</v>
      </c>
      <c r="X1904" s="30">
        <v>0</v>
      </c>
      <c r="Y1904" s="30">
        <v>0</v>
      </c>
      <c r="Z1904" s="233">
        <v>0</v>
      </c>
      <c r="AA1904" s="30">
        <v>1</v>
      </c>
      <c r="AB1904" s="30">
        <v>0</v>
      </c>
      <c r="AC1904" s="30">
        <v>0</v>
      </c>
      <c r="AD1904" s="30">
        <v>1</v>
      </c>
      <c r="AE1904" s="89" t="s">
        <v>92</v>
      </c>
      <c r="AF1904" s="89"/>
      <c r="AG1904" s="89" t="s">
        <v>352</v>
      </c>
      <c r="AH1904" s="72">
        <v>41992</v>
      </c>
      <c r="AI1904" s="30">
        <v>0</v>
      </c>
      <c r="AJ1904" s="89" t="s">
        <v>10648</v>
      </c>
      <c r="AK1904" s="89" t="s">
        <v>1233</v>
      </c>
      <c r="AL1904" s="91">
        <v>42018</v>
      </c>
      <c r="AM1904" s="91"/>
      <c r="AN1904" s="91"/>
      <c r="AO1904" s="91"/>
      <c r="AP1904" s="73" t="e">
        <f>MID(VLOOKUP(K1904,#REF!,2,FALSE),1,2)</f>
        <v>#REF!</v>
      </c>
      <c r="AQ1904" s="89">
        <f>DATE(2014,12,2)</f>
        <v>41975</v>
      </c>
      <c r="AR1904" s="82">
        <f t="shared" si="122"/>
        <v>2</v>
      </c>
      <c r="AS1904" s="83">
        <f t="shared" si="123"/>
        <v>12</v>
      </c>
      <c r="AT1904" s="84">
        <f t="shared" si="124"/>
        <v>2014</v>
      </c>
      <c r="AU1904" s="86"/>
      <c r="AV1904" s="86"/>
      <c r="AW1904" s="87"/>
      <c r="AX1904" s="86"/>
      <c r="AY1904" s="83"/>
      <c r="AZ1904" s="84"/>
      <c r="BA1904" s="86"/>
      <c r="BB1904" s="86"/>
    </row>
    <row r="1905" spans="1:54" ht="36.75" customHeight="1">
      <c r="A1905" s="30"/>
      <c r="B1905" s="30" t="s">
        <v>55</v>
      </c>
      <c r="C1905" s="69" t="str">
        <f t="shared" si="125"/>
        <v>Closed</v>
      </c>
      <c r="D1905" s="27" t="s">
        <v>10649</v>
      </c>
      <c r="E1905" s="29" t="s">
        <v>10650</v>
      </c>
      <c r="F1905" s="30" t="s">
        <v>835</v>
      </c>
      <c r="G1905" s="89">
        <f>DATE(2014,12,3)</f>
        <v>41976</v>
      </c>
      <c r="H1905" s="90">
        <v>1.6180555555555556</v>
      </c>
      <c r="I1905" s="30" t="s">
        <v>104</v>
      </c>
      <c r="J1905" s="89" t="s">
        <v>10651</v>
      </c>
      <c r="K1905" s="30" t="s">
        <v>837</v>
      </c>
      <c r="L1905" s="30" t="s">
        <v>10652</v>
      </c>
      <c r="M1905" s="30" t="s">
        <v>63</v>
      </c>
      <c r="N1905" s="30" t="s">
        <v>89</v>
      </c>
      <c r="O1905" s="30" t="s">
        <v>77</v>
      </c>
      <c r="P1905" s="89" t="s">
        <v>165</v>
      </c>
      <c r="Q1905" s="89" t="s">
        <v>2162</v>
      </c>
      <c r="R1905" s="89" t="s">
        <v>840</v>
      </c>
      <c r="S1905" s="30">
        <v>0</v>
      </c>
      <c r="T1905" s="233">
        <v>0</v>
      </c>
      <c r="U1905" s="30">
        <v>0</v>
      </c>
      <c r="V1905" s="233">
        <v>0</v>
      </c>
      <c r="W1905" s="30">
        <v>0</v>
      </c>
      <c r="X1905" s="30">
        <v>0</v>
      </c>
      <c r="Y1905" s="30">
        <v>0</v>
      </c>
      <c r="Z1905" s="233">
        <v>0</v>
      </c>
      <c r="AA1905" s="30">
        <v>0</v>
      </c>
      <c r="AB1905" s="30">
        <v>0</v>
      </c>
      <c r="AC1905" s="30">
        <v>0</v>
      </c>
      <c r="AD1905" s="30">
        <v>0</v>
      </c>
      <c r="AE1905" s="89" t="s">
        <v>92</v>
      </c>
      <c r="AF1905" s="89"/>
      <c r="AG1905" s="89" t="s">
        <v>352</v>
      </c>
      <c r="AH1905" s="72">
        <v>41978</v>
      </c>
      <c r="AI1905" s="30">
        <v>0</v>
      </c>
      <c r="AJ1905" s="89" t="s">
        <v>10653</v>
      </c>
      <c r="AK1905" s="89" t="s">
        <v>10654</v>
      </c>
      <c r="AL1905" s="91">
        <v>41981</v>
      </c>
      <c r="AM1905" s="91"/>
      <c r="AN1905" s="91"/>
      <c r="AO1905" s="91"/>
      <c r="AP1905" s="73" t="e">
        <f>MID(VLOOKUP(K1905,#REF!,2,FALSE),1,2)</f>
        <v>#REF!</v>
      </c>
      <c r="AQ1905" s="89">
        <f>DATE(2014,12,3)</f>
        <v>41976</v>
      </c>
      <c r="AR1905" s="82">
        <f t="shared" si="122"/>
        <v>3</v>
      </c>
      <c r="AS1905" s="83">
        <f t="shared" si="123"/>
        <v>12</v>
      </c>
      <c r="AT1905" s="84">
        <f t="shared" si="124"/>
        <v>2014</v>
      </c>
      <c r="AU1905" s="86"/>
      <c r="AV1905" s="86"/>
      <c r="AW1905" s="87"/>
      <c r="AX1905" s="86"/>
      <c r="AY1905" s="83"/>
      <c r="AZ1905" s="84"/>
      <c r="BA1905" s="86"/>
      <c r="BB1905" s="86"/>
    </row>
    <row r="1906" spans="1:54" ht="36.75" customHeight="1">
      <c r="A1906" s="30"/>
      <c r="B1906" s="30" t="s">
        <v>55</v>
      </c>
      <c r="C1906" s="69" t="str">
        <f t="shared" si="125"/>
        <v>Closed</v>
      </c>
      <c r="D1906" s="27" t="s">
        <v>10655</v>
      </c>
      <c r="E1906" s="29" t="s">
        <v>10656</v>
      </c>
      <c r="F1906" s="30" t="s">
        <v>1572</v>
      </c>
      <c r="G1906" s="89">
        <f>DATE(2014,12,7)</f>
        <v>41980</v>
      </c>
      <c r="H1906" s="90">
        <v>1.9791666666666665</v>
      </c>
      <c r="I1906" s="30" t="s">
        <v>125</v>
      </c>
      <c r="J1906" s="89" t="s">
        <v>10657</v>
      </c>
      <c r="K1906" s="30" t="s">
        <v>1574</v>
      </c>
      <c r="L1906" s="30" t="s">
        <v>10658</v>
      </c>
      <c r="M1906" s="30" t="s">
        <v>63</v>
      </c>
      <c r="N1906" s="30" t="s">
        <v>142</v>
      </c>
      <c r="O1906" s="30" t="s">
        <v>64</v>
      </c>
      <c r="P1906" s="89" t="s">
        <v>78</v>
      </c>
      <c r="Q1906" s="89" t="s">
        <v>6093</v>
      </c>
      <c r="R1906" s="89" t="s">
        <v>4920</v>
      </c>
      <c r="S1906" s="30">
        <v>0</v>
      </c>
      <c r="T1906" s="233">
        <v>0</v>
      </c>
      <c r="U1906" s="30">
        <v>0</v>
      </c>
      <c r="V1906" s="233">
        <v>0</v>
      </c>
      <c r="W1906" s="30">
        <v>0</v>
      </c>
      <c r="X1906" s="30">
        <v>0</v>
      </c>
      <c r="Y1906" s="30">
        <v>0</v>
      </c>
      <c r="Z1906" s="233">
        <v>1</v>
      </c>
      <c r="AA1906" s="30">
        <v>0</v>
      </c>
      <c r="AB1906" s="30">
        <v>0</v>
      </c>
      <c r="AC1906" s="30">
        <v>0</v>
      </c>
      <c r="AD1906" s="30">
        <v>1</v>
      </c>
      <c r="AE1906" s="89" t="s">
        <v>92</v>
      </c>
      <c r="AF1906" s="89"/>
      <c r="AG1906" s="89" t="s">
        <v>82</v>
      </c>
      <c r="AH1906" s="72">
        <v>41982</v>
      </c>
      <c r="AI1906" s="30">
        <v>2</v>
      </c>
      <c r="AJ1906" s="89" t="s">
        <v>10659</v>
      </c>
      <c r="AK1906" s="89" t="s">
        <v>10660</v>
      </c>
      <c r="AL1906" s="91">
        <v>41984</v>
      </c>
      <c r="AM1906" s="91"/>
      <c r="AN1906" s="91"/>
      <c r="AO1906" s="91"/>
      <c r="AP1906" s="73" t="e">
        <f>MID(VLOOKUP(K1906,#REF!,2,FALSE),1,2)</f>
        <v>#REF!</v>
      </c>
      <c r="AQ1906" s="89">
        <f>DATE(2014,12,7)</f>
        <v>41980</v>
      </c>
      <c r="AR1906" s="82">
        <f t="shared" si="122"/>
        <v>7</v>
      </c>
      <c r="AS1906" s="83">
        <f t="shared" si="123"/>
        <v>12</v>
      </c>
      <c r="AT1906" s="84">
        <f t="shared" si="124"/>
        <v>2014</v>
      </c>
      <c r="AU1906" s="86"/>
      <c r="AV1906" s="86"/>
      <c r="AW1906" s="87"/>
      <c r="AX1906" s="86"/>
      <c r="AY1906" s="83"/>
      <c r="AZ1906" s="84"/>
      <c r="BA1906" s="86"/>
      <c r="BB1906" s="86"/>
    </row>
    <row r="1907" spans="1:54" ht="36.75" customHeight="1">
      <c r="A1907" s="30"/>
      <c r="B1907" s="30" t="s">
        <v>55</v>
      </c>
      <c r="C1907" s="69" t="str">
        <f t="shared" si="125"/>
        <v>Closed</v>
      </c>
      <c r="D1907" s="27" t="s">
        <v>10661</v>
      </c>
      <c r="E1907" s="29" t="s">
        <v>10662</v>
      </c>
      <c r="F1907" s="30" t="s">
        <v>115</v>
      </c>
      <c r="G1907" s="89">
        <f>DATE(2014,12,9)</f>
        <v>41982</v>
      </c>
      <c r="H1907" s="90">
        <v>1.2583333333333333</v>
      </c>
      <c r="I1907" s="30" t="s">
        <v>59</v>
      </c>
      <c r="J1907" s="89" t="s">
        <v>10663</v>
      </c>
      <c r="K1907" s="30" t="s">
        <v>118</v>
      </c>
      <c r="L1907" s="30" t="s">
        <v>10664</v>
      </c>
      <c r="M1907" s="30" t="s">
        <v>63</v>
      </c>
      <c r="N1907" s="30" t="s">
        <v>89</v>
      </c>
      <c r="O1907" s="30" t="s">
        <v>77</v>
      </c>
      <c r="P1907" s="89" t="s">
        <v>6902</v>
      </c>
      <c r="Q1907" s="89" t="s">
        <v>120</v>
      </c>
      <c r="R1907" s="89" t="s">
        <v>121</v>
      </c>
      <c r="S1907" s="30">
        <v>0</v>
      </c>
      <c r="T1907" s="233">
        <v>0</v>
      </c>
      <c r="U1907" s="30">
        <v>0</v>
      </c>
      <c r="V1907" s="233">
        <v>0</v>
      </c>
      <c r="W1907" s="30">
        <v>0</v>
      </c>
      <c r="X1907" s="30">
        <v>0</v>
      </c>
      <c r="Y1907" s="30">
        <v>0</v>
      </c>
      <c r="Z1907" s="233">
        <v>0</v>
      </c>
      <c r="AA1907" s="30">
        <v>0</v>
      </c>
      <c r="AB1907" s="30">
        <v>0</v>
      </c>
      <c r="AC1907" s="30">
        <v>0</v>
      </c>
      <c r="AD1907" s="30">
        <v>0</v>
      </c>
      <c r="AE1907" s="89" t="s">
        <v>92</v>
      </c>
      <c r="AF1907" s="89"/>
      <c r="AG1907" s="89" t="s">
        <v>589</v>
      </c>
      <c r="AH1907" s="72">
        <v>41983</v>
      </c>
      <c r="AI1907" s="30">
        <v>4</v>
      </c>
      <c r="AJ1907" s="89" t="s">
        <v>10665</v>
      </c>
      <c r="AK1907" s="89" t="s">
        <v>10666</v>
      </c>
      <c r="AL1907" s="91">
        <v>41989</v>
      </c>
      <c r="AM1907" s="91"/>
      <c r="AN1907" s="91"/>
      <c r="AO1907" s="91"/>
      <c r="AP1907" s="73" t="e">
        <f>MID(VLOOKUP(K1907,#REF!,2,FALSE),1,2)</f>
        <v>#REF!</v>
      </c>
      <c r="AQ1907" s="89">
        <f>DATE(2014,12,9)</f>
        <v>41982</v>
      </c>
      <c r="AR1907" s="82">
        <f t="shared" si="122"/>
        <v>9</v>
      </c>
      <c r="AS1907" s="83">
        <f t="shared" si="123"/>
        <v>12</v>
      </c>
      <c r="AT1907" s="84">
        <f t="shared" si="124"/>
        <v>2014</v>
      </c>
      <c r="AU1907" s="86"/>
      <c r="AV1907" s="86"/>
      <c r="AW1907" s="87"/>
      <c r="AX1907" s="86"/>
      <c r="AY1907" s="83"/>
      <c r="AZ1907" s="84"/>
      <c r="BA1907" s="86"/>
      <c r="BB1907" s="86"/>
    </row>
    <row r="1908" spans="1:54" ht="36.75" customHeight="1">
      <c r="A1908" s="30"/>
      <c r="B1908" s="30" t="s">
        <v>55</v>
      </c>
      <c r="C1908" s="69" t="str">
        <f t="shared" si="125"/>
        <v>Closed</v>
      </c>
      <c r="D1908" s="27" t="s">
        <v>10667</v>
      </c>
      <c r="E1908" s="29" t="s">
        <v>10668</v>
      </c>
      <c r="F1908" s="30" t="s">
        <v>115</v>
      </c>
      <c r="G1908" s="89">
        <f>DATE(2014,12,9)</f>
        <v>41982</v>
      </c>
      <c r="H1908" s="90">
        <v>1.7694444444444444</v>
      </c>
      <c r="I1908" s="30" t="s">
        <v>9026</v>
      </c>
      <c r="J1908" s="89" t="s">
        <v>10669</v>
      </c>
      <c r="K1908" s="30" t="s">
        <v>118</v>
      </c>
      <c r="L1908" s="30" t="s">
        <v>10670</v>
      </c>
      <c r="M1908" s="30" t="s">
        <v>63</v>
      </c>
      <c r="N1908" s="30" t="s">
        <v>142</v>
      </c>
      <c r="O1908" s="30" t="s">
        <v>64</v>
      </c>
      <c r="P1908" s="89" t="s">
        <v>6941</v>
      </c>
      <c r="Q1908" s="89" t="s">
        <v>118</v>
      </c>
      <c r="R1908" s="89" t="s">
        <v>118</v>
      </c>
      <c r="S1908" s="30">
        <v>0</v>
      </c>
      <c r="T1908" s="233">
        <v>0</v>
      </c>
      <c r="U1908" s="30">
        <v>0</v>
      </c>
      <c r="V1908" s="233">
        <v>0</v>
      </c>
      <c r="W1908" s="30">
        <v>0</v>
      </c>
      <c r="X1908" s="30">
        <v>0</v>
      </c>
      <c r="Y1908" s="30">
        <v>0</v>
      </c>
      <c r="Z1908" s="233">
        <v>0</v>
      </c>
      <c r="AA1908" s="30">
        <v>0</v>
      </c>
      <c r="AB1908" s="30">
        <v>0</v>
      </c>
      <c r="AC1908" s="30">
        <v>0</v>
      </c>
      <c r="AD1908" s="30">
        <v>0</v>
      </c>
      <c r="AE1908" s="89" t="s">
        <v>394</v>
      </c>
      <c r="AF1908" s="89"/>
      <c r="AG1908" s="89" t="s">
        <v>352</v>
      </c>
      <c r="AH1908" s="72">
        <v>41983</v>
      </c>
      <c r="AI1908" s="30">
        <v>3</v>
      </c>
      <c r="AJ1908" s="89" t="s">
        <v>10671</v>
      </c>
      <c r="AK1908" s="89" t="s">
        <v>10672</v>
      </c>
      <c r="AL1908" s="91">
        <v>42073</v>
      </c>
      <c r="AM1908" s="91"/>
      <c r="AN1908" s="91"/>
      <c r="AO1908" s="91"/>
      <c r="AP1908" s="73" t="e">
        <f>MID(VLOOKUP(K1908,#REF!,2,FALSE),1,2)</f>
        <v>#REF!</v>
      </c>
      <c r="AQ1908" s="89">
        <f>DATE(2014,12,9)</f>
        <v>41982</v>
      </c>
      <c r="AR1908" s="82">
        <f t="shared" si="122"/>
        <v>9</v>
      </c>
      <c r="AS1908" s="83">
        <f t="shared" si="123"/>
        <v>12</v>
      </c>
      <c r="AT1908" s="84">
        <f t="shared" si="124"/>
        <v>2014</v>
      </c>
      <c r="AU1908" s="86"/>
      <c r="AV1908" s="86"/>
      <c r="AW1908" s="87"/>
      <c r="AX1908" s="86"/>
      <c r="AY1908" s="83"/>
      <c r="AZ1908" s="84"/>
      <c r="BA1908" s="86"/>
      <c r="BB1908" s="86"/>
    </row>
    <row r="1909" spans="1:54" ht="36.75" customHeight="1">
      <c r="A1909" s="30"/>
      <c r="B1909" s="30" t="s">
        <v>55</v>
      </c>
      <c r="C1909" s="69" t="str">
        <f t="shared" si="125"/>
        <v>Closed</v>
      </c>
      <c r="D1909" s="27" t="s">
        <v>10673</v>
      </c>
      <c r="E1909" s="29" t="s">
        <v>10674</v>
      </c>
      <c r="F1909" s="30" t="s">
        <v>1572</v>
      </c>
      <c r="G1909" s="89">
        <f>DATE(2014,12,12)</f>
        <v>41985</v>
      </c>
      <c r="H1909" s="90">
        <v>1.1388888888888888</v>
      </c>
      <c r="I1909" s="30" t="s">
        <v>73</v>
      </c>
      <c r="J1909" s="89" t="s">
        <v>10675</v>
      </c>
      <c r="K1909" s="30" t="s">
        <v>1574</v>
      </c>
      <c r="L1909" s="30" t="s">
        <v>10676</v>
      </c>
      <c r="M1909" s="30" t="s">
        <v>63</v>
      </c>
      <c r="N1909" s="30" t="s">
        <v>99</v>
      </c>
      <c r="O1909" s="30" t="s">
        <v>64</v>
      </c>
      <c r="P1909" s="89" t="s">
        <v>78</v>
      </c>
      <c r="Q1909" s="89" t="s">
        <v>7932</v>
      </c>
      <c r="R1909" s="89" t="s">
        <v>6434</v>
      </c>
      <c r="S1909" s="30">
        <v>0</v>
      </c>
      <c r="T1909" s="233">
        <v>0</v>
      </c>
      <c r="U1909" s="30">
        <v>0</v>
      </c>
      <c r="V1909" s="233">
        <v>0</v>
      </c>
      <c r="W1909" s="30">
        <v>0</v>
      </c>
      <c r="X1909" s="30">
        <v>0</v>
      </c>
      <c r="Y1909" s="30">
        <v>0</v>
      </c>
      <c r="Z1909" s="233">
        <v>0</v>
      </c>
      <c r="AA1909" s="30">
        <v>0</v>
      </c>
      <c r="AB1909" s="30">
        <v>0</v>
      </c>
      <c r="AC1909" s="30">
        <v>0</v>
      </c>
      <c r="AD1909" s="30">
        <v>0</v>
      </c>
      <c r="AE1909" s="89" t="s">
        <v>92</v>
      </c>
      <c r="AF1909" s="89"/>
      <c r="AG1909" s="89" t="s">
        <v>133</v>
      </c>
      <c r="AH1909" s="72">
        <v>41985</v>
      </c>
      <c r="AI1909" s="30">
        <v>0</v>
      </c>
      <c r="AJ1909" s="89" t="s">
        <v>10677</v>
      </c>
      <c r="AK1909" s="89" t="s">
        <v>10678</v>
      </c>
      <c r="AL1909" s="91">
        <v>41989</v>
      </c>
      <c r="AM1909" s="91"/>
      <c r="AN1909" s="91"/>
      <c r="AO1909" s="91"/>
      <c r="AP1909" s="73" t="e">
        <f>MID(VLOOKUP(K1909,#REF!,2,FALSE),1,2)</f>
        <v>#REF!</v>
      </c>
      <c r="AQ1909" s="89">
        <f>DATE(2014,12,12)</f>
        <v>41985</v>
      </c>
      <c r="AR1909" s="82">
        <f t="shared" si="122"/>
        <v>12</v>
      </c>
      <c r="AS1909" s="83">
        <f t="shared" si="123"/>
        <v>12</v>
      </c>
      <c r="AT1909" s="84">
        <f t="shared" si="124"/>
        <v>2014</v>
      </c>
      <c r="AU1909" s="86"/>
      <c r="AV1909" s="86"/>
      <c r="AW1909" s="87"/>
      <c r="AX1909" s="86"/>
      <c r="AY1909" s="83"/>
      <c r="AZ1909" s="84"/>
      <c r="BA1909" s="86"/>
      <c r="BB1909" s="86"/>
    </row>
    <row r="1910" spans="1:54" ht="36.75" customHeight="1">
      <c r="A1910" s="30"/>
      <c r="B1910" s="30" t="s">
        <v>55</v>
      </c>
      <c r="C1910" s="69" t="str">
        <f t="shared" si="125"/>
        <v>Closed</v>
      </c>
      <c r="D1910" s="27" t="s">
        <v>10679</v>
      </c>
      <c r="E1910" s="29" t="s">
        <v>10680</v>
      </c>
      <c r="F1910" s="30" t="s">
        <v>197</v>
      </c>
      <c r="G1910" s="96">
        <f>DATE(2014,12,15)</f>
        <v>41988</v>
      </c>
      <c r="H1910" s="90">
        <v>1.2868055555555555</v>
      </c>
      <c r="I1910" s="30" t="s">
        <v>278</v>
      </c>
      <c r="J1910" s="89" t="s">
        <v>10681</v>
      </c>
      <c r="K1910" s="30" t="s">
        <v>200</v>
      </c>
      <c r="L1910" s="30" t="s">
        <v>10682</v>
      </c>
      <c r="M1910" s="30" t="s">
        <v>63</v>
      </c>
      <c r="N1910" s="30" t="s">
        <v>99</v>
      </c>
      <c r="O1910" s="30" t="s">
        <v>6875</v>
      </c>
      <c r="P1910" s="89" t="s">
        <v>91</v>
      </c>
      <c r="Q1910" s="89" t="s">
        <v>2453</v>
      </c>
      <c r="R1910" s="89">
        <v>0</v>
      </c>
      <c r="S1910" s="30">
        <v>0</v>
      </c>
      <c r="T1910" s="233">
        <v>1</v>
      </c>
      <c r="U1910" s="30">
        <v>0</v>
      </c>
      <c r="V1910" s="233">
        <v>0</v>
      </c>
      <c r="W1910" s="30">
        <v>0</v>
      </c>
      <c r="X1910" s="30">
        <v>1</v>
      </c>
      <c r="Y1910" s="30">
        <v>0</v>
      </c>
      <c r="Z1910" s="233">
        <v>0</v>
      </c>
      <c r="AA1910" s="30">
        <v>0</v>
      </c>
      <c r="AB1910" s="30">
        <v>0</v>
      </c>
      <c r="AC1910" s="30">
        <v>0</v>
      </c>
      <c r="AD1910" s="30">
        <v>0</v>
      </c>
      <c r="AE1910" s="89" t="s">
        <v>92</v>
      </c>
      <c r="AF1910" s="89"/>
      <c r="AG1910" s="89" t="s">
        <v>133</v>
      </c>
      <c r="AH1910" s="72">
        <v>41991</v>
      </c>
      <c r="AI1910" s="30">
        <v>4</v>
      </c>
      <c r="AJ1910" s="89" t="s">
        <v>10683</v>
      </c>
      <c r="AK1910" s="89" t="s">
        <v>1233</v>
      </c>
      <c r="AL1910" s="91">
        <v>42011</v>
      </c>
      <c r="AM1910" s="91"/>
      <c r="AN1910" s="91"/>
      <c r="AO1910" s="91"/>
      <c r="AP1910" s="73" t="e">
        <f>MID(VLOOKUP(K1910,#REF!,2,FALSE),1,2)</f>
        <v>#REF!</v>
      </c>
      <c r="AQ1910" s="96">
        <f>DATE(2014,12,15)</f>
        <v>41988</v>
      </c>
      <c r="AR1910" s="82">
        <f t="shared" si="122"/>
        <v>15</v>
      </c>
      <c r="AS1910" s="83">
        <f t="shared" si="123"/>
        <v>12</v>
      </c>
      <c r="AT1910" s="84">
        <f t="shared" si="124"/>
        <v>2014</v>
      </c>
      <c r="AU1910" s="86"/>
      <c r="AV1910" s="86"/>
      <c r="AW1910" s="87"/>
      <c r="AX1910" s="86"/>
      <c r="AY1910" s="83"/>
      <c r="AZ1910" s="84"/>
      <c r="BA1910" s="86"/>
      <c r="BB1910" s="86"/>
    </row>
    <row r="1911" spans="1:54" ht="36.75" customHeight="1">
      <c r="A1911" s="30"/>
      <c r="B1911" s="30" t="s">
        <v>55</v>
      </c>
      <c r="C1911" s="69" t="str">
        <f t="shared" si="125"/>
        <v>Closed</v>
      </c>
      <c r="D1911" s="27" t="s">
        <v>10684</v>
      </c>
      <c r="E1911" s="29" t="s">
        <v>10685</v>
      </c>
      <c r="F1911" s="30" t="s">
        <v>423</v>
      </c>
      <c r="G1911" s="89">
        <f>DATE(2014,12,15)</f>
        <v>41988</v>
      </c>
      <c r="H1911" s="90">
        <v>1.848611111111111</v>
      </c>
      <c r="I1911" s="30" t="s">
        <v>156</v>
      </c>
      <c r="J1911" s="89" t="s">
        <v>10686</v>
      </c>
      <c r="K1911" s="30" t="s">
        <v>425</v>
      </c>
      <c r="L1911" s="30" t="s">
        <v>10687</v>
      </c>
      <c r="M1911" s="30" t="s">
        <v>63</v>
      </c>
      <c r="N1911" s="30" t="s">
        <v>89</v>
      </c>
      <c r="O1911" s="30" t="s">
        <v>77</v>
      </c>
      <c r="P1911" s="89" t="s">
        <v>10688</v>
      </c>
      <c r="Q1911" s="89" t="s">
        <v>10689</v>
      </c>
      <c r="R1911" s="89" t="s">
        <v>3103</v>
      </c>
      <c r="S1911" s="30">
        <v>0</v>
      </c>
      <c r="T1911" s="233">
        <v>0</v>
      </c>
      <c r="U1911" s="30">
        <v>0</v>
      </c>
      <c r="V1911" s="233">
        <v>0</v>
      </c>
      <c r="W1911" s="30">
        <v>0</v>
      </c>
      <c r="X1911" s="30">
        <v>0</v>
      </c>
      <c r="Y1911" s="30">
        <v>0</v>
      </c>
      <c r="Z1911" s="233">
        <v>0</v>
      </c>
      <c r="AA1911" s="30">
        <v>0</v>
      </c>
      <c r="AB1911" s="30">
        <v>0</v>
      </c>
      <c r="AC1911" s="30">
        <v>0</v>
      </c>
      <c r="AD1911" s="30">
        <v>0</v>
      </c>
      <c r="AE1911" s="89" t="s">
        <v>92</v>
      </c>
      <c r="AF1911" s="89"/>
      <c r="AG1911" s="89" t="s">
        <v>82</v>
      </c>
      <c r="AH1911" s="72">
        <v>41988</v>
      </c>
      <c r="AI1911" s="30">
        <v>2</v>
      </c>
      <c r="AJ1911" s="89" t="s">
        <v>10690</v>
      </c>
      <c r="AK1911" s="89" t="s">
        <v>10691</v>
      </c>
      <c r="AL1911" s="91">
        <v>41989</v>
      </c>
      <c r="AM1911" s="91"/>
      <c r="AN1911" s="91"/>
      <c r="AO1911" s="91"/>
      <c r="AP1911" s="73" t="e">
        <f>MID(VLOOKUP(K1911,#REF!,2,FALSE),1,2)</f>
        <v>#REF!</v>
      </c>
      <c r="AQ1911" s="89">
        <f>DATE(2014,12,15)</f>
        <v>41988</v>
      </c>
      <c r="AR1911" s="82">
        <f t="shared" si="122"/>
        <v>15</v>
      </c>
      <c r="AS1911" s="83">
        <f t="shared" si="123"/>
        <v>12</v>
      </c>
      <c r="AT1911" s="84">
        <f t="shared" si="124"/>
        <v>2014</v>
      </c>
      <c r="AU1911" s="86"/>
      <c r="AV1911" s="86"/>
      <c r="AW1911" s="87"/>
      <c r="AX1911" s="86"/>
      <c r="AY1911" s="83"/>
      <c r="AZ1911" s="84"/>
      <c r="BA1911" s="86"/>
      <c r="BB1911" s="86"/>
    </row>
    <row r="1912" spans="1:54" ht="36.75" customHeight="1">
      <c r="A1912" s="30"/>
      <c r="B1912" s="30" t="s">
        <v>55</v>
      </c>
      <c r="C1912" s="69" t="str">
        <f t="shared" si="125"/>
        <v>Closed</v>
      </c>
      <c r="D1912" s="27" t="s">
        <v>10692</v>
      </c>
      <c r="E1912" s="29" t="s">
        <v>10693</v>
      </c>
      <c r="F1912" s="30" t="s">
        <v>115</v>
      </c>
      <c r="G1912" s="89">
        <f>DATE(2014,12,15)</f>
        <v>41988</v>
      </c>
      <c r="H1912" s="90">
        <v>1.3597222222222223</v>
      </c>
      <c r="I1912" s="30" t="s">
        <v>198</v>
      </c>
      <c r="J1912" s="89" t="s">
        <v>10694</v>
      </c>
      <c r="K1912" s="30" t="s">
        <v>118</v>
      </c>
      <c r="L1912" s="30" t="s">
        <v>10695</v>
      </c>
      <c r="M1912" s="30" t="s">
        <v>63</v>
      </c>
      <c r="N1912" s="30" t="s">
        <v>89</v>
      </c>
      <c r="O1912" s="30" t="s">
        <v>77</v>
      </c>
      <c r="P1912" s="89" t="s">
        <v>10696</v>
      </c>
      <c r="Q1912" s="89" t="s">
        <v>120</v>
      </c>
      <c r="R1912" s="89" t="s">
        <v>121</v>
      </c>
      <c r="S1912" s="30">
        <v>0</v>
      </c>
      <c r="T1912" s="233">
        <v>0</v>
      </c>
      <c r="U1912" s="30">
        <v>0</v>
      </c>
      <c r="V1912" s="233">
        <v>0</v>
      </c>
      <c r="W1912" s="30">
        <v>0</v>
      </c>
      <c r="X1912" s="30">
        <v>0</v>
      </c>
      <c r="Y1912" s="30">
        <v>0</v>
      </c>
      <c r="Z1912" s="233">
        <v>0</v>
      </c>
      <c r="AA1912" s="30">
        <v>0</v>
      </c>
      <c r="AB1912" s="30">
        <v>0</v>
      </c>
      <c r="AC1912" s="30">
        <v>0</v>
      </c>
      <c r="AD1912" s="30">
        <v>0</v>
      </c>
      <c r="AE1912" s="89" t="s">
        <v>92</v>
      </c>
      <c r="AF1912" s="89"/>
      <c r="AG1912" s="89" t="s">
        <v>133</v>
      </c>
      <c r="AH1912" s="72">
        <v>41989</v>
      </c>
      <c r="AI1912" s="30">
        <v>1</v>
      </c>
      <c r="AJ1912" s="89" t="s">
        <v>10697</v>
      </c>
      <c r="AK1912" s="89" t="s">
        <v>1233</v>
      </c>
      <c r="AL1912" s="91">
        <v>42017</v>
      </c>
      <c r="AM1912" s="91"/>
      <c r="AN1912" s="91"/>
      <c r="AO1912" s="91"/>
      <c r="AP1912" s="73" t="e">
        <f>MID(VLOOKUP(K1912,#REF!,2,FALSE),1,2)</f>
        <v>#REF!</v>
      </c>
      <c r="AQ1912" s="89">
        <f>DATE(2014,12,15)</f>
        <v>41988</v>
      </c>
      <c r="AR1912" s="82">
        <f t="shared" ref="AR1912:AR1975" si="126">DAY(AQ1912)</f>
        <v>15</v>
      </c>
      <c r="AS1912" s="83">
        <f t="shared" ref="AS1912:AS1975" si="127">MONTH(AQ1912)</f>
        <v>12</v>
      </c>
      <c r="AT1912" s="84">
        <f t="shared" ref="AT1912:AT1975" si="128">YEAR(AQ1912)</f>
        <v>2014</v>
      </c>
      <c r="AU1912" s="86"/>
      <c r="AV1912" s="86"/>
      <c r="AW1912" s="87"/>
      <c r="AX1912" s="86"/>
      <c r="AY1912" s="83"/>
      <c r="AZ1912" s="84"/>
      <c r="BA1912" s="86"/>
      <c r="BB1912" s="86"/>
    </row>
    <row r="1913" spans="1:54" ht="36.75" customHeight="1">
      <c r="A1913" s="30"/>
      <c r="B1913" s="30" t="s">
        <v>55</v>
      </c>
      <c r="C1913" s="69" t="str">
        <f t="shared" si="125"/>
        <v>Closed</v>
      </c>
      <c r="D1913" s="27" t="s">
        <v>10698</v>
      </c>
      <c r="E1913" s="29" t="s">
        <v>10699</v>
      </c>
      <c r="F1913" s="30" t="s">
        <v>835</v>
      </c>
      <c r="G1913" s="89">
        <f>DATE(2014,12,16)</f>
        <v>41989</v>
      </c>
      <c r="H1913" s="90">
        <v>0</v>
      </c>
      <c r="I1913" s="30" t="s">
        <v>104</v>
      </c>
      <c r="J1913" s="89" t="s">
        <v>10700</v>
      </c>
      <c r="K1913" s="30" t="s">
        <v>837</v>
      </c>
      <c r="L1913" s="30" t="s">
        <v>10701</v>
      </c>
      <c r="M1913" s="30" t="s">
        <v>63</v>
      </c>
      <c r="N1913" s="30" t="s">
        <v>89</v>
      </c>
      <c r="O1913" s="30" t="s">
        <v>77</v>
      </c>
      <c r="P1913" s="89" t="s">
        <v>86</v>
      </c>
      <c r="Q1913" s="89" t="s">
        <v>2162</v>
      </c>
      <c r="R1913" s="89" t="s">
        <v>840</v>
      </c>
      <c r="S1913" s="30">
        <v>0</v>
      </c>
      <c r="T1913" s="233">
        <v>0</v>
      </c>
      <c r="U1913" s="30">
        <v>0</v>
      </c>
      <c r="V1913" s="233">
        <v>0</v>
      </c>
      <c r="W1913" s="30">
        <v>0</v>
      </c>
      <c r="X1913" s="30">
        <v>0</v>
      </c>
      <c r="Y1913" s="30">
        <v>0</v>
      </c>
      <c r="Z1913" s="233">
        <v>0</v>
      </c>
      <c r="AA1913" s="30">
        <v>0</v>
      </c>
      <c r="AB1913" s="30">
        <v>0</v>
      </c>
      <c r="AC1913" s="30">
        <v>0</v>
      </c>
      <c r="AD1913" s="30">
        <v>0</v>
      </c>
      <c r="AE1913" s="89" t="s">
        <v>92</v>
      </c>
      <c r="AF1913" s="89"/>
      <c r="AG1913" s="89" t="s">
        <v>352</v>
      </c>
      <c r="AH1913" s="72">
        <v>41989</v>
      </c>
      <c r="AI1913" s="30">
        <v>1</v>
      </c>
      <c r="AJ1913" s="89" t="s">
        <v>10702</v>
      </c>
      <c r="AK1913" s="89" t="s">
        <v>10703</v>
      </c>
      <c r="AL1913" s="91">
        <v>41989</v>
      </c>
      <c r="AM1913" s="91"/>
      <c r="AN1913" s="91"/>
      <c r="AO1913" s="91"/>
      <c r="AP1913" s="73" t="e">
        <f>MID(VLOOKUP(K1913,#REF!,2,FALSE),1,2)</f>
        <v>#REF!</v>
      </c>
      <c r="AQ1913" s="89">
        <f>DATE(2014,12,16)</f>
        <v>41989</v>
      </c>
      <c r="AR1913" s="82">
        <f t="shared" si="126"/>
        <v>16</v>
      </c>
      <c r="AS1913" s="83">
        <f t="shared" si="127"/>
        <v>12</v>
      </c>
      <c r="AT1913" s="84">
        <f t="shared" si="128"/>
        <v>2014</v>
      </c>
      <c r="AU1913" s="86"/>
      <c r="AV1913" s="86"/>
      <c r="AW1913" s="87"/>
      <c r="AX1913" s="86"/>
      <c r="AY1913" s="83"/>
      <c r="AZ1913" s="84"/>
      <c r="BA1913" s="86"/>
      <c r="BB1913" s="86"/>
    </row>
    <row r="1914" spans="1:54" ht="36.75" customHeight="1">
      <c r="A1914" s="30"/>
      <c r="B1914" s="30" t="s">
        <v>55</v>
      </c>
      <c r="C1914" s="69" t="str">
        <f t="shared" si="125"/>
        <v>Closed</v>
      </c>
      <c r="D1914" s="27" t="s">
        <v>10704</v>
      </c>
      <c r="E1914" s="29" t="s">
        <v>10705</v>
      </c>
      <c r="F1914" s="30" t="s">
        <v>835</v>
      </c>
      <c r="G1914" s="89">
        <f>DATE(2014,12,17)</f>
        <v>41990</v>
      </c>
      <c r="H1914" s="90">
        <v>1.3812500000000001</v>
      </c>
      <c r="I1914" s="30" t="s">
        <v>5494</v>
      </c>
      <c r="J1914" s="89" t="s">
        <v>10706</v>
      </c>
      <c r="K1914" s="30" t="s">
        <v>837</v>
      </c>
      <c r="L1914" s="30" t="s">
        <v>10707</v>
      </c>
      <c r="M1914" s="30" t="s">
        <v>255</v>
      </c>
      <c r="N1914" s="30" t="s">
        <v>142</v>
      </c>
      <c r="O1914" s="30" t="s">
        <v>64</v>
      </c>
      <c r="P1914" s="89" t="s">
        <v>6552</v>
      </c>
      <c r="Q1914" s="89" t="s">
        <v>4210</v>
      </c>
      <c r="R1914" s="89" t="s">
        <v>4210</v>
      </c>
      <c r="S1914" s="30">
        <v>0</v>
      </c>
      <c r="T1914" s="233">
        <v>0</v>
      </c>
      <c r="U1914" s="30">
        <v>0</v>
      </c>
      <c r="V1914" s="233">
        <v>0</v>
      </c>
      <c r="W1914" s="30">
        <v>0</v>
      </c>
      <c r="X1914" s="30">
        <v>0</v>
      </c>
      <c r="Y1914" s="30">
        <v>0</v>
      </c>
      <c r="Z1914" s="233">
        <v>0</v>
      </c>
      <c r="AA1914" s="30">
        <v>0</v>
      </c>
      <c r="AB1914" s="30">
        <v>0</v>
      </c>
      <c r="AC1914" s="30">
        <v>0</v>
      </c>
      <c r="AD1914" s="30">
        <v>0</v>
      </c>
      <c r="AE1914" s="89" t="s">
        <v>92</v>
      </c>
      <c r="AF1914" s="89"/>
      <c r="AG1914" s="89" t="s">
        <v>367</v>
      </c>
      <c r="AH1914" s="72">
        <v>41990</v>
      </c>
      <c r="AI1914" s="30">
        <v>0</v>
      </c>
      <c r="AJ1914" s="89" t="s">
        <v>10708</v>
      </c>
      <c r="AK1914" s="89" t="s">
        <v>68</v>
      </c>
      <c r="AL1914" s="91">
        <v>41990</v>
      </c>
      <c r="AM1914" s="91"/>
      <c r="AN1914" s="91"/>
      <c r="AO1914" s="91"/>
      <c r="AP1914" s="73" t="e">
        <f>MID(VLOOKUP(K1914,#REF!,2,FALSE),1,2)</f>
        <v>#REF!</v>
      </c>
      <c r="AQ1914" s="89">
        <f>DATE(2014,12,17)</f>
        <v>41990</v>
      </c>
      <c r="AR1914" s="82">
        <f t="shared" si="126"/>
        <v>17</v>
      </c>
      <c r="AS1914" s="83">
        <f t="shared" si="127"/>
        <v>12</v>
      </c>
      <c r="AT1914" s="84">
        <f t="shared" si="128"/>
        <v>2014</v>
      </c>
      <c r="AU1914" s="86"/>
      <c r="AV1914" s="86"/>
      <c r="AW1914" s="87"/>
      <c r="AX1914" s="86"/>
      <c r="AY1914" s="83"/>
      <c r="AZ1914" s="84"/>
      <c r="BA1914" s="86"/>
      <c r="BB1914" s="86"/>
    </row>
    <row r="1915" spans="1:54" ht="36.75" customHeight="1">
      <c r="A1915" s="30"/>
      <c r="B1915" s="30" t="s">
        <v>55</v>
      </c>
      <c r="C1915" s="69" t="str">
        <f t="shared" si="125"/>
        <v>Closed</v>
      </c>
      <c r="D1915" s="27" t="s">
        <v>10709</v>
      </c>
      <c r="E1915" s="29" t="s">
        <v>10710</v>
      </c>
      <c r="F1915" s="30" t="s">
        <v>835</v>
      </c>
      <c r="G1915" s="89">
        <f>DATE(2014,12,17)</f>
        <v>41990</v>
      </c>
      <c r="H1915" s="90">
        <v>1.3972222222222221</v>
      </c>
      <c r="I1915" s="30" t="s">
        <v>156</v>
      </c>
      <c r="J1915" s="89" t="s">
        <v>10711</v>
      </c>
      <c r="K1915" s="30" t="s">
        <v>837</v>
      </c>
      <c r="L1915" s="30" t="s">
        <v>10712</v>
      </c>
      <c r="M1915" s="30" t="s">
        <v>63</v>
      </c>
      <c r="N1915" s="30" t="s">
        <v>142</v>
      </c>
      <c r="O1915" s="30" t="s">
        <v>77</v>
      </c>
      <c r="P1915" s="89" t="s">
        <v>65</v>
      </c>
      <c r="Q1915" s="89" t="s">
        <v>2162</v>
      </c>
      <c r="R1915" s="89" t="s">
        <v>840</v>
      </c>
      <c r="S1915" s="30">
        <v>0</v>
      </c>
      <c r="T1915" s="233">
        <v>0</v>
      </c>
      <c r="U1915" s="30">
        <v>0</v>
      </c>
      <c r="V1915" s="233">
        <v>0</v>
      </c>
      <c r="W1915" s="30">
        <v>0</v>
      </c>
      <c r="X1915" s="30">
        <v>0</v>
      </c>
      <c r="Y1915" s="30">
        <v>0</v>
      </c>
      <c r="Z1915" s="233">
        <v>0</v>
      </c>
      <c r="AA1915" s="30">
        <v>0</v>
      </c>
      <c r="AB1915" s="30">
        <v>0</v>
      </c>
      <c r="AC1915" s="30">
        <v>0</v>
      </c>
      <c r="AD1915" s="30">
        <v>0</v>
      </c>
      <c r="AE1915" s="89" t="s">
        <v>92</v>
      </c>
      <c r="AF1915" s="89"/>
      <c r="AG1915" s="89" t="s">
        <v>589</v>
      </c>
      <c r="AH1915" s="72">
        <v>41996</v>
      </c>
      <c r="AI1915" s="30">
        <v>0</v>
      </c>
      <c r="AJ1915" s="89" t="s">
        <v>10713</v>
      </c>
      <c r="AK1915" s="89" t="s">
        <v>68</v>
      </c>
      <c r="AL1915" s="91">
        <v>41996</v>
      </c>
      <c r="AM1915" s="91"/>
      <c r="AN1915" s="91"/>
      <c r="AO1915" s="91"/>
      <c r="AP1915" s="73" t="e">
        <f>MID(VLOOKUP(K1915,#REF!,2,FALSE),1,2)</f>
        <v>#REF!</v>
      </c>
      <c r="AQ1915" s="89">
        <f>DATE(2014,12,17)</f>
        <v>41990</v>
      </c>
      <c r="AR1915" s="82">
        <f t="shared" si="126"/>
        <v>17</v>
      </c>
      <c r="AS1915" s="83">
        <f t="shared" si="127"/>
        <v>12</v>
      </c>
      <c r="AT1915" s="84">
        <f t="shared" si="128"/>
        <v>2014</v>
      </c>
      <c r="AU1915" s="86"/>
      <c r="AV1915" s="86"/>
      <c r="AW1915" s="87"/>
      <c r="AX1915" s="86"/>
      <c r="AY1915" s="83"/>
      <c r="AZ1915" s="84"/>
      <c r="BA1915" s="86"/>
      <c r="BB1915" s="86"/>
    </row>
    <row r="1916" spans="1:54" ht="36.75" customHeight="1">
      <c r="A1916" s="30"/>
      <c r="B1916" s="30" t="s">
        <v>55</v>
      </c>
      <c r="C1916" s="69" t="str">
        <f t="shared" si="125"/>
        <v>Closed</v>
      </c>
      <c r="D1916" s="27" t="s">
        <v>10714</v>
      </c>
      <c r="E1916" s="29" t="s">
        <v>10715</v>
      </c>
      <c r="F1916" s="30" t="s">
        <v>377</v>
      </c>
      <c r="G1916" s="89">
        <f>DATE(2014,12,17)</f>
        <v>41990</v>
      </c>
      <c r="H1916" s="90">
        <v>1.7916666666666665</v>
      </c>
      <c r="I1916" s="30" t="s">
        <v>198</v>
      </c>
      <c r="J1916" s="89" t="s">
        <v>10716</v>
      </c>
      <c r="K1916" s="30" t="s">
        <v>379</v>
      </c>
      <c r="L1916" s="30" t="s">
        <v>10717</v>
      </c>
      <c r="M1916" s="30" t="s">
        <v>63</v>
      </c>
      <c r="N1916" s="30" t="s">
        <v>142</v>
      </c>
      <c r="O1916" s="30" t="s">
        <v>77</v>
      </c>
      <c r="P1916" s="89" t="s">
        <v>91</v>
      </c>
      <c r="Q1916" s="89" t="s">
        <v>3909</v>
      </c>
      <c r="R1916" s="89" t="s">
        <v>382</v>
      </c>
      <c r="S1916" s="30">
        <v>0</v>
      </c>
      <c r="T1916" s="233">
        <v>0</v>
      </c>
      <c r="U1916" s="30">
        <v>0</v>
      </c>
      <c r="V1916" s="233">
        <v>0</v>
      </c>
      <c r="W1916" s="30">
        <v>0</v>
      </c>
      <c r="X1916" s="30">
        <v>0</v>
      </c>
      <c r="Y1916" s="30">
        <v>0</v>
      </c>
      <c r="Z1916" s="233">
        <v>0</v>
      </c>
      <c r="AA1916" s="30">
        <v>0</v>
      </c>
      <c r="AB1916" s="30">
        <v>0</v>
      </c>
      <c r="AC1916" s="30">
        <v>0</v>
      </c>
      <c r="AD1916" s="30">
        <v>0</v>
      </c>
      <c r="AE1916" s="89" t="s">
        <v>92</v>
      </c>
      <c r="AF1916" s="89"/>
      <c r="AG1916" s="89" t="s">
        <v>133</v>
      </c>
      <c r="AH1916" s="72">
        <v>41997</v>
      </c>
      <c r="AI1916" s="30">
        <v>2</v>
      </c>
      <c r="AJ1916" s="89" t="s">
        <v>10718</v>
      </c>
      <c r="AK1916" s="89" t="s">
        <v>10719</v>
      </c>
      <c r="AL1916" s="91">
        <v>42038</v>
      </c>
      <c r="AM1916" s="91"/>
      <c r="AN1916" s="91"/>
      <c r="AO1916" s="91"/>
      <c r="AP1916" s="73" t="e">
        <f>MID(VLOOKUP(K1916,#REF!,2,FALSE),1,2)</f>
        <v>#REF!</v>
      </c>
      <c r="AQ1916" s="89">
        <f>DATE(2014,12,17)</f>
        <v>41990</v>
      </c>
      <c r="AR1916" s="82">
        <f t="shared" si="126"/>
        <v>17</v>
      </c>
      <c r="AS1916" s="83">
        <f t="shared" si="127"/>
        <v>12</v>
      </c>
      <c r="AT1916" s="84">
        <f t="shared" si="128"/>
        <v>2014</v>
      </c>
      <c r="AU1916" s="86"/>
      <c r="AV1916" s="86"/>
      <c r="AW1916" s="87"/>
      <c r="AX1916" s="86"/>
      <c r="AY1916" s="83"/>
      <c r="AZ1916" s="84"/>
      <c r="BA1916" s="86"/>
      <c r="BB1916" s="86"/>
    </row>
    <row r="1917" spans="1:54" ht="36.75" customHeight="1">
      <c r="A1917" s="30"/>
      <c r="B1917" s="30" t="s">
        <v>55</v>
      </c>
      <c r="C1917" s="69" t="str">
        <f t="shared" si="125"/>
        <v>Closed</v>
      </c>
      <c r="D1917" s="27" t="s">
        <v>10720</v>
      </c>
      <c r="E1917" s="29" t="s">
        <v>10721</v>
      </c>
      <c r="F1917" s="30" t="s">
        <v>1572</v>
      </c>
      <c r="G1917" s="89">
        <f>DATE(2014,12,17)</f>
        <v>41990</v>
      </c>
      <c r="H1917" s="90">
        <v>1.8263888888888888</v>
      </c>
      <c r="I1917" s="30" t="s">
        <v>73</v>
      </c>
      <c r="J1917" s="89" t="s">
        <v>10722</v>
      </c>
      <c r="K1917" s="30" t="s">
        <v>1574</v>
      </c>
      <c r="L1917" s="30" t="s">
        <v>10723</v>
      </c>
      <c r="M1917" s="30" t="s">
        <v>63</v>
      </c>
      <c r="N1917" s="30" t="s">
        <v>99</v>
      </c>
      <c r="O1917" s="30" t="s">
        <v>77</v>
      </c>
      <c r="P1917" s="89" t="s">
        <v>78</v>
      </c>
      <c r="Q1917" s="89" t="s">
        <v>6024</v>
      </c>
      <c r="R1917" s="89" t="s">
        <v>2561</v>
      </c>
      <c r="S1917" s="30">
        <v>0</v>
      </c>
      <c r="T1917" s="233">
        <v>0</v>
      </c>
      <c r="U1917" s="30">
        <v>0</v>
      </c>
      <c r="V1917" s="233">
        <v>0</v>
      </c>
      <c r="W1917" s="30">
        <v>0</v>
      </c>
      <c r="X1917" s="30">
        <v>0</v>
      </c>
      <c r="Y1917" s="30">
        <v>0</v>
      </c>
      <c r="Z1917" s="233">
        <v>0</v>
      </c>
      <c r="AA1917" s="30">
        <v>0</v>
      </c>
      <c r="AB1917" s="30">
        <v>0</v>
      </c>
      <c r="AC1917" s="30">
        <v>0</v>
      </c>
      <c r="AD1917" s="30">
        <v>0</v>
      </c>
      <c r="AE1917" s="89" t="s">
        <v>92</v>
      </c>
      <c r="AF1917" s="89"/>
      <c r="AG1917" s="89" t="s">
        <v>133</v>
      </c>
      <c r="AH1917" s="72">
        <v>41991</v>
      </c>
      <c r="AI1917" s="30">
        <v>1</v>
      </c>
      <c r="AJ1917" s="89" t="s">
        <v>10724</v>
      </c>
      <c r="AK1917" s="89" t="s">
        <v>10725</v>
      </c>
      <c r="AL1917" s="91">
        <v>41992</v>
      </c>
      <c r="AM1917" s="91"/>
      <c r="AN1917" s="91"/>
      <c r="AO1917" s="91"/>
      <c r="AP1917" s="73" t="e">
        <f>MID(VLOOKUP(K1917,#REF!,2,FALSE),1,2)</f>
        <v>#REF!</v>
      </c>
      <c r="AQ1917" s="89">
        <f>DATE(2014,12,17)</f>
        <v>41990</v>
      </c>
      <c r="AR1917" s="82">
        <f t="shared" si="126"/>
        <v>17</v>
      </c>
      <c r="AS1917" s="83">
        <f t="shared" si="127"/>
        <v>12</v>
      </c>
      <c r="AT1917" s="84">
        <f t="shared" si="128"/>
        <v>2014</v>
      </c>
      <c r="AU1917" s="86"/>
      <c r="AV1917" s="86"/>
      <c r="AW1917" s="87"/>
      <c r="AX1917" s="86"/>
      <c r="AY1917" s="83"/>
      <c r="AZ1917" s="84"/>
      <c r="BA1917" s="86"/>
      <c r="BB1917" s="86"/>
    </row>
    <row r="1918" spans="1:54" ht="36.75" customHeight="1">
      <c r="A1918" s="30"/>
      <c r="B1918" s="30" t="s">
        <v>55</v>
      </c>
      <c r="C1918" s="69" t="str">
        <f t="shared" si="125"/>
        <v>Closed</v>
      </c>
      <c r="D1918" s="27" t="s">
        <v>10726</v>
      </c>
      <c r="E1918" s="29" t="s">
        <v>10727</v>
      </c>
      <c r="F1918" s="30" t="s">
        <v>1572</v>
      </c>
      <c r="G1918" s="89">
        <f>DATE(2014,12,18)</f>
        <v>41991</v>
      </c>
      <c r="H1918" s="90">
        <v>1.9166666666666665</v>
      </c>
      <c r="I1918" s="30" t="s">
        <v>73</v>
      </c>
      <c r="J1918" s="89" t="s">
        <v>10728</v>
      </c>
      <c r="K1918" s="30" t="s">
        <v>1574</v>
      </c>
      <c r="L1918" s="30" t="s">
        <v>9074</v>
      </c>
      <c r="M1918" s="30" t="s">
        <v>63</v>
      </c>
      <c r="N1918" s="30" t="s">
        <v>142</v>
      </c>
      <c r="O1918" s="30" t="s">
        <v>77</v>
      </c>
      <c r="P1918" s="89" t="s">
        <v>78</v>
      </c>
      <c r="Q1918" s="89" t="s">
        <v>9075</v>
      </c>
      <c r="R1918" s="89" t="s">
        <v>6434</v>
      </c>
      <c r="S1918" s="30">
        <v>0</v>
      </c>
      <c r="T1918" s="233">
        <v>0</v>
      </c>
      <c r="U1918" s="30">
        <v>0</v>
      </c>
      <c r="V1918" s="233">
        <v>0</v>
      </c>
      <c r="W1918" s="30">
        <v>0</v>
      </c>
      <c r="X1918" s="30">
        <v>0</v>
      </c>
      <c r="Y1918" s="30">
        <v>0</v>
      </c>
      <c r="Z1918" s="233">
        <v>0</v>
      </c>
      <c r="AA1918" s="30">
        <v>0</v>
      </c>
      <c r="AB1918" s="30">
        <v>0</v>
      </c>
      <c r="AC1918" s="30">
        <v>0</v>
      </c>
      <c r="AD1918" s="30">
        <v>0</v>
      </c>
      <c r="AE1918" s="89" t="s">
        <v>92</v>
      </c>
      <c r="AF1918" s="89"/>
      <c r="AG1918" s="89" t="s">
        <v>133</v>
      </c>
      <c r="AH1918" s="72">
        <v>41992</v>
      </c>
      <c r="AI1918" s="30">
        <v>0</v>
      </c>
      <c r="AJ1918" s="89" t="s">
        <v>10729</v>
      </c>
      <c r="AK1918" s="89" t="s">
        <v>10730</v>
      </c>
      <c r="AL1918" s="91">
        <v>41992</v>
      </c>
      <c r="AM1918" s="91"/>
      <c r="AN1918" s="91"/>
      <c r="AO1918" s="91"/>
      <c r="AP1918" s="73" t="e">
        <f>MID(VLOOKUP(K1918,#REF!,2,FALSE),1,2)</f>
        <v>#REF!</v>
      </c>
      <c r="AQ1918" s="89">
        <f>DATE(2014,12,18)</f>
        <v>41991</v>
      </c>
      <c r="AR1918" s="82">
        <f t="shared" si="126"/>
        <v>18</v>
      </c>
      <c r="AS1918" s="83">
        <f t="shared" si="127"/>
        <v>12</v>
      </c>
      <c r="AT1918" s="84">
        <f t="shared" si="128"/>
        <v>2014</v>
      </c>
      <c r="AU1918" s="86"/>
      <c r="AV1918" s="86"/>
      <c r="AW1918" s="87"/>
      <c r="AX1918" s="86"/>
      <c r="AY1918" s="83"/>
      <c r="AZ1918" s="84"/>
      <c r="BA1918" s="86"/>
      <c r="BB1918" s="86"/>
    </row>
    <row r="1919" spans="1:54" ht="36.75" customHeight="1">
      <c r="A1919" s="30"/>
      <c r="B1919" s="30" t="s">
        <v>55</v>
      </c>
      <c r="C1919" s="69" t="str">
        <f t="shared" si="125"/>
        <v>Closed</v>
      </c>
      <c r="D1919" s="27" t="s">
        <v>10731</v>
      </c>
      <c r="E1919" s="29" t="s">
        <v>10732</v>
      </c>
      <c r="F1919" s="30" t="s">
        <v>835</v>
      </c>
      <c r="G1919" s="89">
        <f>DATE(2014,12,22)</f>
        <v>41995</v>
      </c>
      <c r="H1919" s="90">
        <v>1.2791666666666668</v>
      </c>
      <c r="I1919" s="30" t="s">
        <v>73</v>
      </c>
      <c r="J1919" s="89" t="s">
        <v>10733</v>
      </c>
      <c r="K1919" s="30" t="s">
        <v>837</v>
      </c>
      <c r="L1919" s="30" t="s">
        <v>10734</v>
      </c>
      <c r="M1919" s="30" t="s">
        <v>255</v>
      </c>
      <c r="N1919" s="30" t="s">
        <v>142</v>
      </c>
      <c r="O1919" s="30" t="s">
        <v>77</v>
      </c>
      <c r="P1919" s="89" t="s">
        <v>6552</v>
      </c>
      <c r="Q1919" s="89" t="s">
        <v>4210</v>
      </c>
      <c r="R1919" s="89" t="s">
        <v>4210</v>
      </c>
      <c r="S1919" s="30">
        <v>0</v>
      </c>
      <c r="T1919" s="233">
        <v>0</v>
      </c>
      <c r="U1919" s="30">
        <v>0</v>
      </c>
      <c r="V1919" s="233">
        <v>0</v>
      </c>
      <c r="W1919" s="30">
        <v>0</v>
      </c>
      <c r="X1919" s="30">
        <v>0</v>
      </c>
      <c r="Y1919" s="30">
        <v>0</v>
      </c>
      <c r="Z1919" s="233">
        <v>0</v>
      </c>
      <c r="AA1919" s="30">
        <v>0</v>
      </c>
      <c r="AB1919" s="30">
        <v>0</v>
      </c>
      <c r="AC1919" s="30">
        <v>0</v>
      </c>
      <c r="AD1919" s="30">
        <v>0</v>
      </c>
      <c r="AE1919" s="89" t="s">
        <v>92</v>
      </c>
      <c r="AF1919" s="89"/>
      <c r="AG1919" s="89" t="s">
        <v>352</v>
      </c>
      <c r="AH1919" s="72">
        <v>41995</v>
      </c>
      <c r="AI1919" s="30">
        <v>0</v>
      </c>
      <c r="AJ1919" s="89" t="s">
        <v>10735</v>
      </c>
      <c r="AK1919" s="89" t="s">
        <v>68</v>
      </c>
      <c r="AL1919" s="91">
        <v>41995</v>
      </c>
      <c r="AM1919" s="91"/>
      <c r="AN1919" s="91"/>
      <c r="AO1919" s="91"/>
      <c r="AP1919" s="73" t="e">
        <f>MID(VLOOKUP(K1919,#REF!,2,FALSE),1,2)</f>
        <v>#REF!</v>
      </c>
      <c r="AQ1919" s="89">
        <f>DATE(2014,12,22)</f>
        <v>41995</v>
      </c>
      <c r="AR1919" s="82">
        <f t="shared" si="126"/>
        <v>22</v>
      </c>
      <c r="AS1919" s="83">
        <f t="shared" si="127"/>
        <v>12</v>
      </c>
      <c r="AT1919" s="84">
        <f t="shared" si="128"/>
        <v>2014</v>
      </c>
      <c r="AU1919" s="86"/>
      <c r="AV1919" s="86"/>
      <c r="AW1919" s="87"/>
      <c r="AX1919" s="86"/>
      <c r="AY1919" s="83"/>
      <c r="AZ1919" s="84"/>
      <c r="BA1919" s="86"/>
      <c r="BB1919" s="86"/>
    </row>
    <row r="1920" spans="1:54" ht="36.75" customHeight="1">
      <c r="A1920" s="30"/>
      <c r="B1920" s="30" t="s">
        <v>55</v>
      </c>
      <c r="C1920" s="69" t="str">
        <f t="shared" si="125"/>
        <v>Closed</v>
      </c>
      <c r="D1920" s="27" t="s">
        <v>10736</v>
      </c>
      <c r="E1920" s="29" t="s">
        <v>10737</v>
      </c>
      <c r="F1920" s="30" t="s">
        <v>2601</v>
      </c>
      <c r="G1920" s="89">
        <f>DATE(2014,12,23)</f>
        <v>41996</v>
      </c>
      <c r="H1920" s="90">
        <v>1.2951388888888888</v>
      </c>
      <c r="I1920" s="30" t="s">
        <v>73</v>
      </c>
      <c r="J1920" s="89" t="s">
        <v>10738</v>
      </c>
      <c r="K1920" s="30" t="s">
        <v>2603</v>
      </c>
      <c r="L1920" s="30" t="s">
        <v>10739</v>
      </c>
      <c r="M1920" s="30" t="s">
        <v>63</v>
      </c>
      <c r="N1920" s="30" t="s">
        <v>89</v>
      </c>
      <c r="O1920" s="30" t="s">
        <v>77</v>
      </c>
      <c r="P1920" s="89" t="s">
        <v>78</v>
      </c>
      <c r="Q1920" s="89" t="s">
        <v>10740</v>
      </c>
      <c r="R1920" s="89" t="s">
        <v>2606</v>
      </c>
      <c r="S1920" s="30">
        <v>0</v>
      </c>
      <c r="T1920" s="233">
        <v>0</v>
      </c>
      <c r="U1920" s="30">
        <v>0</v>
      </c>
      <c r="V1920" s="233">
        <v>0</v>
      </c>
      <c r="W1920" s="30">
        <v>0</v>
      </c>
      <c r="X1920" s="30">
        <v>0</v>
      </c>
      <c r="Y1920" s="30">
        <v>0</v>
      </c>
      <c r="Z1920" s="233">
        <v>0</v>
      </c>
      <c r="AA1920" s="30">
        <v>0</v>
      </c>
      <c r="AB1920" s="30">
        <v>0</v>
      </c>
      <c r="AC1920" s="30">
        <v>0</v>
      </c>
      <c r="AD1920" s="30">
        <v>0</v>
      </c>
      <c r="AE1920" s="89" t="s">
        <v>394</v>
      </c>
      <c r="AF1920" s="89"/>
      <c r="AG1920" s="89" t="s">
        <v>589</v>
      </c>
      <c r="AH1920" s="72">
        <v>41996</v>
      </c>
      <c r="AI1920" s="30">
        <v>2</v>
      </c>
      <c r="AJ1920" s="89" t="s">
        <v>10741</v>
      </c>
      <c r="AK1920" s="89" t="s">
        <v>10742</v>
      </c>
      <c r="AL1920" s="91">
        <v>42010</v>
      </c>
      <c r="AM1920" s="91"/>
      <c r="AN1920" s="91"/>
      <c r="AO1920" s="91"/>
      <c r="AP1920" s="73" t="e">
        <f>MID(VLOOKUP(K1920,#REF!,2,FALSE),1,2)</f>
        <v>#REF!</v>
      </c>
      <c r="AQ1920" s="89">
        <f>DATE(2014,12,23)</f>
        <v>41996</v>
      </c>
      <c r="AR1920" s="82">
        <f t="shared" si="126"/>
        <v>23</v>
      </c>
      <c r="AS1920" s="83">
        <f t="shared" si="127"/>
        <v>12</v>
      </c>
      <c r="AT1920" s="84">
        <f t="shared" si="128"/>
        <v>2014</v>
      </c>
      <c r="AU1920" s="86"/>
      <c r="AV1920" s="86"/>
      <c r="AW1920" s="87"/>
      <c r="AX1920" s="86"/>
      <c r="AY1920" s="83"/>
      <c r="AZ1920" s="84"/>
      <c r="BA1920" s="86"/>
      <c r="BB1920" s="86"/>
    </row>
    <row r="1921" spans="1:54" ht="36.75" customHeight="1">
      <c r="A1921" s="30"/>
      <c r="B1921" s="30" t="s">
        <v>55</v>
      </c>
      <c r="C1921" s="69" t="str">
        <f t="shared" si="125"/>
        <v>Closed</v>
      </c>
      <c r="D1921" s="27" t="s">
        <v>10743</v>
      </c>
      <c r="E1921" s="29" t="s">
        <v>10744</v>
      </c>
      <c r="F1921" s="30" t="s">
        <v>1572</v>
      </c>
      <c r="G1921" s="89">
        <f>DATE(2014,12,23)</f>
        <v>41996</v>
      </c>
      <c r="H1921" s="90">
        <v>1.0854166666666667</v>
      </c>
      <c r="I1921" s="30" t="s">
        <v>73</v>
      </c>
      <c r="J1921" s="89" t="s">
        <v>10745</v>
      </c>
      <c r="K1921" s="30" t="s">
        <v>1574</v>
      </c>
      <c r="L1921" s="30" t="s">
        <v>9608</v>
      </c>
      <c r="M1921" s="30" t="s">
        <v>63</v>
      </c>
      <c r="N1921" s="30" t="s">
        <v>142</v>
      </c>
      <c r="O1921" s="30" t="s">
        <v>77</v>
      </c>
      <c r="P1921" s="89" t="s">
        <v>78</v>
      </c>
      <c r="Q1921" s="89" t="s">
        <v>6093</v>
      </c>
      <c r="R1921" s="89" t="s">
        <v>4920</v>
      </c>
      <c r="S1921" s="30">
        <v>0</v>
      </c>
      <c r="T1921" s="233">
        <v>0</v>
      </c>
      <c r="U1921" s="30">
        <v>0</v>
      </c>
      <c r="V1921" s="233">
        <v>0</v>
      </c>
      <c r="W1921" s="30">
        <v>0</v>
      </c>
      <c r="X1921" s="30">
        <v>0</v>
      </c>
      <c r="Y1921" s="30">
        <v>0</v>
      </c>
      <c r="Z1921" s="233">
        <v>0</v>
      </c>
      <c r="AA1921" s="30">
        <v>0</v>
      </c>
      <c r="AB1921" s="30">
        <v>0</v>
      </c>
      <c r="AC1921" s="30">
        <v>0</v>
      </c>
      <c r="AD1921" s="30">
        <v>0</v>
      </c>
      <c r="AE1921" s="89" t="s">
        <v>92</v>
      </c>
      <c r="AF1921" s="89"/>
      <c r="AG1921" s="89" t="s">
        <v>133</v>
      </c>
      <c r="AH1921" s="72">
        <v>41996</v>
      </c>
      <c r="AI1921" s="30">
        <v>1</v>
      </c>
      <c r="AJ1921" s="89" t="s">
        <v>10746</v>
      </c>
      <c r="AK1921" s="89" t="s">
        <v>10747</v>
      </c>
      <c r="AL1921" s="91">
        <v>42002</v>
      </c>
      <c r="AM1921" s="91"/>
      <c r="AN1921" s="91"/>
      <c r="AO1921" s="91"/>
      <c r="AP1921" s="73" t="e">
        <f>MID(VLOOKUP(K1921,#REF!,2,FALSE),1,2)</f>
        <v>#REF!</v>
      </c>
      <c r="AQ1921" s="89">
        <f>DATE(2014,12,23)</f>
        <v>41996</v>
      </c>
      <c r="AR1921" s="82">
        <f t="shared" si="126"/>
        <v>23</v>
      </c>
      <c r="AS1921" s="83">
        <f t="shared" si="127"/>
        <v>12</v>
      </c>
      <c r="AT1921" s="84">
        <f t="shared" si="128"/>
        <v>2014</v>
      </c>
      <c r="AU1921" s="86"/>
      <c r="AV1921" s="86"/>
      <c r="AW1921" s="87"/>
      <c r="AX1921" s="86"/>
      <c r="AY1921" s="83"/>
      <c r="AZ1921" s="84"/>
      <c r="BA1921" s="86"/>
      <c r="BB1921" s="86"/>
    </row>
    <row r="1922" spans="1:54" ht="36.75" customHeight="1">
      <c r="A1922" s="30"/>
      <c r="B1922" s="30" t="s">
        <v>55</v>
      </c>
      <c r="C1922" s="69" t="str">
        <f t="shared" ref="C1922:C1985" si="129">IF(B1922="Notification","Open",IF(B1922="Interim Statement","In progress","Closed"))</f>
        <v>Closed</v>
      </c>
      <c r="D1922" s="27" t="s">
        <v>10748</v>
      </c>
      <c r="E1922" s="29" t="s">
        <v>10749</v>
      </c>
      <c r="F1922" s="30" t="s">
        <v>233</v>
      </c>
      <c r="G1922" s="89">
        <f>DATE(2014,12,28)</f>
        <v>42001</v>
      </c>
      <c r="H1922" s="90">
        <v>1.4201388888888888</v>
      </c>
      <c r="I1922" s="30" t="s">
        <v>278</v>
      </c>
      <c r="J1922" s="89" t="s">
        <v>10750</v>
      </c>
      <c r="K1922" s="30" t="s">
        <v>235</v>
      </c>
      <c r="L1922" s="30" t="s">
        <v>10751</v>
      </c>
      <c r="M1922" s="30" t="s">
        <v>63</v>
      </c>
      <c r="N1922" s="30" t="s">
        <v>89</v>
      </c>
      <c r="O1922" s="30" t="s">
        <v>64</v>
      </c>
      <c r="P1922" s="89" t="s">
        <v>6941</v>
      </c>
      <c r="Q1922" s="89" t="s">
        <v>9948</v>
      </c>
      <c r="R1922" s="89" t="s">
        <v>238</v>
      </c>
      <c r="S1922" s="30">
        <v>0</v>
      </c>
      <c r="T1922" s="233">
        <v>0</v>
      </c>
      <c r="U1922" s="30">
        <v>0</v>
      </c>
      <c r="V1922" s="233">
        <v>0</v>
      </c>
      <c r="W1922" s="30">
        <v>0</v>
      </c>
      <c r="X1922" s="30">
        <v>0</v>
      </c>
      <c r="Y1922" s="30">
        <v>0</v>
      </c>
      <c r="Z1922" s="233">
        <v>0</v>
      </c>
      <c r="AA1922" s="30">
        <v>0</v>
      </c>
      <c r="AB1922" s="30">
        <v>0</v>
      </c>
      <c r="AC1922" s="30">
        <v>0</v>
      </c>
      <c r="AD1922" s="30">
        <v>0</v>
      </c>
      <c r="AE1922" s="89" t="s">
        <v>92</v>
      </c>
      <c r="AF1922" s="89"/>
      <c r="AG1922" s="89" t="s">
        <v>133</v>
      </c>
      <c r="AH1922" s="72">
        <v>42016</v>
      </c>
      <c r="AI1922" s="30">
        <v>4</v>
      </c>
      <c r="AJ1922" s="89" t="s">
        <v>10752</v>
      </c>
      <c r="AK1922" s="89" t="s">
        <v>10753</v>
      </c>
      <c r="AL1922" s="91">
        <v>42023</v>
      </c>
      <c r="AM1922" s="91"/>
      <c r="AN1922" s="91"/>
      <c r="AO1922" s="91"/>
      <c r="AP1922" s="73" t="e">
        <f>MID(VLOOKUP(K1922,#REF!,2,FALSE),1,2)</f>
        <v>#REF!</v>
      </c>
      <c r="AQ1922" s="89">
        <f>DATE(2014,12,28)</f>
        <v>42001</v>
      </c>
      <c r="AR1922" s="82">
        <f t="shared" si="126"/>
        <v>28</v>
      </c>
      <c r="AS1922" s="83">
        <f t="shared" si="127"/>
        <v>12</v>
      </c>
      <c r="AT1922" s="84">
        <f t="shared" si="128"/>
        <v>2014</v>
      </c>
      <c r="AU1922" s="86"/>
      <c r="AV1922" s="86"/>
      <c r="AW1922" s="87"/>
      <c r="AX1922" s="86"/>
      <c r="AY1922" s="83"/>
      <c r="AZ1922" s="84"/>
      <c r="BA1922" s="86"/>
      <c r="BB1922" s="86"/>
    </row>
    <row r="1923" spans="1:54" ht="36.75" customHeight="1">
      <c r="A1923" s="30"/>
      <c r="B1923" s="30" t="s">
        <v>55</v>
      </c>
      <c r="C1923" s="69" t="str">
        <f t="shared" si="129"/>
        <v>Closed</v>
      </c>
      <c r="D1923" s="27" t="s">
        <v>10754</v>
      </c>
      <c r="E1923" s="29" t="s">
        <v>10755</v>
      </c>
      <c r="F1923" s="30" t="s">
        <v>423</v>
      </c>
      <c r="G1923" s="89">
        <f>DATE(2014,12,30)</f>
        <v>42003</v>
      </c>
      <c r="H1923" s="90">
        <v>1.6041666666666665</v>
      </c>
      <c r="I1923" s="30" t="s">
        <v>198</v>
      </c>
      <c r="J1923" s="89" t="s">
        <v>10756</v>
      </c>
      <c r="K1923" s="30" t="s">
        <v>425</v>
      </c>
      <c r="L1923" s="30" t="s">
        <v>10757</v>
      </c>
      <c r="M1923" s="30" t="s">
        <v>63</v>
      </c>
      <c r="N1923" s="30" t="s">
        <v>89</v>
      </c>
      <c r="O1923" s="30" t="s">
        <v>77</v>
      </c>
      <c r="P1923" s="89" t="s">
        <v>5324</v>
      </c>
      <c r="Q1923" s="89" t="s">
        <v>4551</v>
      </c>
      <c r="R1923" s="89" t="s">
        <v>3103</v>
      </c>
      <c r="S1923" s="30">
        <v>0</v>
      </c>
      <c r="T1923" s="233">
        <v>0</v>
      </c>
      <c r="U1923" s="30">
        <v>0</v>
      </c>
      <c r="V1923" s="233">
        <v>0</v>
      </c>
      <c r="W1923" s="30">
        <v>0</v>
      </c>
      <c r="X1923" s="30">
        <v>0</v>
      </c>
      <c r="Y1923" s="30">
        <v>0</v>
      </c>
      <c r="Z1923" s="233">
        <v>0</v>
      </c>
      <c r="AA1923" s="30">
        <v>0</v>
      </c>
      <c r="AB1923" s="30">
        <v>0</v>
      </c>
      <c r="AC1923" s="30">
        <v>0</v>
      </c>
      <c r="AD1923" s="30">
        <v>0</v>
      </c>
      <c r="AE1923" s="89" t="s">
        <v>394</v>
      </c>
      <c r="AF1923" s="89"/>
      <c r="AG1923" s="89" t="s">
        <v>133</v>
      </c>
      <c r="AH1923" s="72">
        <v>42156</v>
      </c>
      <c r="AI1923" s="30">
        <v>3</v>
      </c>
      <c r="AJ1923" s="89" t="s">
        <v>10758</v>
      </c>
      <c r="AK1923" s="89" t="s">
        <v>10759</v>
      </c>
      <c r="AL1923" s="91">
        <v>42010</v>
      </c>
      <c r="AM1923" s="91"/>
      <c r="AN1923" s="91"/>
      <c r="AO1923" s="91"/>
      <c r="AP1923" s="73" t="e">
        <f>MID(VLOOKUP(K1923,#REF!,2,FALSE),1,2)</f>
        <v>#REF!</v>
      </c>
      <c r="AQ1923" s="89">
        <f>DATE(2014,12,30)</f>
        <v>42003</v>
      </c>
      <c r="AR1923" s="82">
        <f t="shared" si="126"/>
        <v>30</v>
      </c>
      <c r="AS1923" s="83">
        <f t="shared" si="127"/>
        <v>12</v>
      </c>
      <c r="AT1923" s="84">
        <f t="shared" si="128"/>
        <v>2014</v>
      </c>
      <c r="AU1923" s="86"/>
      <c r="AV1923" s="86"/>
      <c r="AW1923" s="87"/>
      <c r="AX1923" s="86"/>
      <c r="AY1923" s="83"/>
      <c r="AZ1923" s="84"/>
      <c r="BA1923" s="86"/>
      <c r="BB1923" s="86"/>
    </row>
    <row r="1924" spans="1:54" ht="36.75" customHeight="1">
      <c r="A1924" s="30"/>
      <c r="B1924" s="30" t="s">
        <v>55</v>
      </c>
      <c r="C1924" s="69" t="str">
        <f t="shared" si="129"/>
        <v>Closed</v>
      </c>
      <c r="D1924" s="27" t="s">
        <v>10760</v>
      </c>
      <c r="E1924" s="29" t="s">
        <v>10761</v>
      </c>
      <c r="F1924" s="30" t="s">
        <v>835</v>
      </c>
      <c r="G1924" s="89">
        <f>DATE(2014,12,30)</f>
        <v>42003</v>
      </c>
      <c r="H1924" s="90">
        <v>1.3368055555555556</v>
      </c>
      <c r="I1924" s="30" t="s">
        <v>73</v>
      </c>
      <c r="J1924" s="89" t="s">
        <v>10762</v>
      </c>
      <c r="K1924" s="30" t="s">
        <v>837</v>
      </c>
      <c r="L1924" s="30" t="s">
        <v>10763</v>
      </c>
      <c r="M1924" s="30" t="s">
        <v>255</v>
      </c>
      <c r="N1924" s="30" t="s">
        <v>142</v>
      </c>
      <c r="O1924" s="30" t="s">
        <v>64</v>
      </c>
      <c r="P1924" s="89" t="s">
        <v>6552</v>
      </c>
      <c r="Q1924" s="89" t="s">
        <v>4210</v>
      </c>
      <c r="R1924" s="89" t="s">
        <v>4210</v>
      </c>
      <c r="S1924" s="30">
        <v>0</v>
      </c>
      <c r="T1924" s="233">
        <v>0</v>
      </c>
      <c r="U1924" s="30">
        <v>0</v>
      </c>
      <c r="V1924" s="233">
        <v>0</v>
      </c>
      <c r="W1924" s="30">
        <v>0</v>
      </c>
      <c r="X1924" s="30">
        <v>0</v>
      </c>
      <c r="Y1924" s="30">
        <v>0</v>
      </c>
      <c r="Z1924" s="233">
        <v>0</v>
      </c>
      <c r="AA1924" s="30">
        <v>0</v>
      </c>
      <c r="AB1924" s="30">
        <v>0</v>
      </c>
      <c r="AC1924" s="30">
        <v>0</v>
      </c>
      <c r="AD1924" s="30">
        <v>0</v>
      </c>
      <c r="AE1924" s="89" t="s">
        <v>92</v>
      </c>
      <c r="AF1924" s="89"/>
      <c r="AG1924" s="89" t="s">
        <v>589</v>
      </c>
      <c r="AH1924" s="72">
        <v>42003</v>
      </c>
      <c r="AI1924" s="30">
        <v>0</v>
      </c>
      <c r="AJ1924" s="89" t="s">
        <v>9680</v>
      </c>
      <c r="AK1924" s="89" t="s">
        <v>68</v>
      </c>
      <c r="AL1924" s="91">
        <v>42010</v>
      </c>
      <c r="AM1924" s="91"/>
      <c r="AN1924" s="91"/>
      <c r="AO1924" s="91"/>
      <c r="AP1924" s="73" t="e">
        <f>MID(VLOOKUP(K1924,#REF!,2,FALSE),1,2)</f>
        <v>#REF!</v>
      </c>
      <c r="AQ1924" s="89">
        <f>DATE(2014,12,30)</f>
        <v>42003</v>
      </c>
      <c r="AR1924" s="82">
        <f t="shared" si="126"/>
        <v>30</v>
      </c>
      <c r="AS1924" s="83">
        <f t="shared" si="127"/>
        <v>12</v>
      </c>
      <c r="AT1924" s="84">
        <f t="shared" si="128"/>
        <v>2014</v>
      </c>
      <c r="AU1924" s="86"/>
      <c r="AV1924" s="86"/>
      <c r="AW1924" s="87"/>
      <c r="AX1924" s="86"/>
      <c r="AY1924" s="83"/>
      <c r="AZ1924" s="84"/>
      <c r="BA1924" s="86"/>
      <c r="BB1924" s="86"/>
    </row>
    <row r="1925" spans="1:54" ht="36.75" customHeight="1">
      <c r="A1925" s="30"/>
      <c r="B1925" s="30" t="s">
        <v>55</v>
      </c>
      <c r="C1925" s="69" t="str">
        <f t="shared" si="129"/>
        <v>Closed</v>
      </c>
      <c r="D1925" s="27" t="s">
        <v>10764</v>
      </c>
      <c r="E1925" s="29" t="s">
        <v>10765</v>
      </c>
      <c r="F1925" s="30" t="s">
        <v>451</v>
      </c>
      <c r="G1925" s="89">
        <f>DATE(2015,1,6)</f>
        <v>42010</v>
      </c>
      <c r="H1925" s="90">
        <v>1.7527777777777778</v>
      </c>
      <c r="I1925" s="30" t="s">
        <v>116</v>
      </c>
      <c r="J1925" s="89" t="s">
        <v>10766</v>
      </c>
      <c r="K1925" s="30" t="s">
        <v>453</v>
      </c>
      <c r="L1925" s="30" t="s">
        <v>10767</v>
      </c>
      <c r="M1925" s="30" t="s">
        <v>63</v>
      </c>
      <c r="N1925" s="30" t="s">
        <v>99</v>
      </c>
      <c r="O1925" s="30" t="s">
        <v>64</v>
      </c>
      <c r="P1925" s="89" t="s">
        <v>65</v>
      </c>
      <c r="Q1925" s="89" t="s">
        <v>571</v>
      </c>
      <c r="R1925" s="89" t="s">
        <v>572</v>
      </c>
      <c r="S1925" s="30">
        <v>0</v>
      </c>
      <c r="T1925" s="233">
        <v>0</v>
      </c>
      <c r="U1925" s="30">
        <v>1</v>
      </c>
      <c r="V1925" s="233">
        <v>0</v>
      </c>
      <c r="W1925" s="30">
        <v>0</v>
      </c>
      <c r="X1925" s="30">
        <v>1</v>
      </c>
      <c r="Y1925" s="30">
        <v>0</v>
      </c>
      <c r="Z1925" s="233">
        <v>0</v>
      </c>
      <c r="AA1925" s="30">
        <v>0</v>
      </c>
      <c r="AB1925" s="30">
        <v>0</v>
      </c>
      <c r="AC1925" s="30">
        <v>0</v>
      </c>
      <c r="AD1925" s="30">
        <v>0</v>
      </c>
      <c r="AE1925" s="89" t="s">
        <v>92</v>
      </c>
      <c r="AF1925" s="89"/>
      <c r="AG1925" s="89" t="s">
        <v>82</v>
      </c>
      <c r="AH1925" s="72">
        <v>42012</v>
      </c>
      <c r="AI1925" s="30">
        <v>0</v>
      </c>
      <c r="AJ1925" s="89" t="s">
        <v>10768</v>
      </c>
      <c r="AK1925" s="89" t="s">
        <v>1233</v>
      </c>
      <c r="AL1925" s="91">
        <v>42831</v>
      </c>
      <c r="AM1925" s="91"/>
      <c r="AN1925" s="91"/>
      <c r="AO1925" s="91"/>
      <c r="AP1925" s="73" t="e">
        <f>MID(VLOOKUP(K1925,#REF!,2,FALSE),1,2)</f>
        <v>#REF!</v>
      </c>
      <c r="AQ1925" s="89">
        <f>DATE(2015,1,6)</f>
        <v>42010</v>
      </c>
      <c r="AR1925" s="82">
        <f t="shared" si="126"/>
        <v>6</v>
      </c>
      <c r="AS1925" s="83">
        <f t="shared" si="127"/>
        <v>1</v>
      </c>
      <c r="AT1925" s="84">
        <f t="shared" si="128"/>
        <v>2015</v>
      </c>
      <c r="AU1925" s="86"/>
      <c r="AV1925" s="86"/>
      <c r="AW1925" s="87">
        <f t="shared" ref="AW1925:AW1988" si="130">AU1925-AV1925</f>
        <v>0</v>
      </c>
      <c r="AX1925" s="86"/>
      <c r="AY1925" s="83"/>
      <c r="AZ1925" s="84"/>
      <c r="BA1925" s="86"/>
      <c r="BB1925" s="86"/>
    </row>
    <row r="1926" spans="1:54" ht="36.75" customHeight="1">
      <c r="A1926" s="30"/>
      <c r="B1926" s="30" t="s">
        <v>55</v>
      </c>
      <c r="C1926" s="69" t="str">
        <f t="shared" si="129"/>
        <v>Closed</v>
      </c>
      <c r="D1926" s="27" t="s">
        <v>10769</v>
      </c>
      <c r="E1926" s="29" t="s">
        <v>10770</v>
      </c>
      <c r="F1926" s="30" t="s">
        <v>835</v>
      </c>
      <c r="G1926" s="89">
        <f>DATE(2015,1,6)</f>
        <v>42010</v>
      </c>
      <c r="H1926" s="90">
        <v>1.7291666666666665</v>
      </c>
      <c r="I1926" s="30" t="s">
        <v>73</v>
      </c>
      <c r="J1926" s="89" t="s">
        <v>10771</v>
      </c>
      <c r="K1926" s="30" t="s">
        <v>837</v>
      </c>
      <c r="L1926" s="30" t="s">
        <v>10772</v>
      </c>
      <c r="M1926" s="30" t="s">
        <v>63</v>
      </c>
      <c r="N1926" s="30" t="s">
        <v>142</v>
      </c>
      <c r="O1926" s="30" t="s">
        <v>64</v>
      </c>
      <c r="P1926" s="89" t="s">
        <v>6902</v>
      </c>
      <c r="Q1926" s="89" t="s">
        <v>4210</v>
      </c>
      <c r="R1926" s="89" t="s">
        <v>4210</v>
      </c>
      <c r="S1926" s="30">
        <v>0</v>
      </c>
      <c r="T1926" s="233">
        <v>0</v>
      </c>
      <c r="U1926" s="30">
        <v>0</v>
      </c>
      <c r="V1926" s="233">
        <v>0</v>
      </c>
      <c r="W1926" s="30">
        <v>0</v>
      </c>
      <c r="X1926" s="30">
        <v>0</v>
      </c>
      <c r="Y1926" s="30">
        <v>0</v>
      </c>
      <c r="Z1926" s="233">
        <v>0</v>
      </c>
      <c r="AA1926" s="30">
        <v>0</v>
      </c>
      <c r="AB1926" s="30">
        <v>0</v>
      </c>
      <c r="AC1926" s="30">
        <v>0</v>
      </c>
      <c r="AD1926" s="30">
        <v>0</v>
      </c>
      <c r="AE1926" s="89" t="s">
        <v>92</v>
      </c>
      <c r="AF1926" s="89"/>
      <c r="AG1926" s="89" t="s">
        <v>133</v>
      </c>
      <c r="AH1926" s="72">
        <v>42010</v>
      </c>
      <c r="AI1926" s="30">
        <v>1</v>
      </c>
      <c r="AJ1926" s="89" t="s">
        <v>10773</v>
      </c>
      <c r="AK1926" s="89" t="s">
        <v>68</v>
      </c>
      <c r="AL1926" s="91">
        <v>42017</v>
      </c>
      <c r="AM1926" s="91"/>
      <c r="AN1926" s="91"/>
      <c r="AO1926" s="91"/>
      <c r="AP1926" s="73" t="e">
        <f>MID(VLOOKUP(K1926,#REF!,2,FALSE),1,2)</f>
        <v>#REF!</v>
      </c>
      <c r="AQ1926" s="89">
        <f>DATE(2015,1,6)</f>
        <v>42010</v>
      </c>
      <c r="AR1926" s="82">
        <f t="shared" si="126"/>
        <v>6</v>
      </c>
      <c r="AS1926" s="83">
        <f t="shared" si="127"/>
        <v>1</v>
      </c>
      <c r="AT1926" s="84">
        <f t="shared" si="128"/>
        <v>2015</v>
      </c>
      <c r="AU1926" s="86"/>
      <c r="AV1926" s="86"/>
      <c r="AW1926" s="87">
        <f t="shared" si="130"/>
        <v>0</v>
      </c>
      <c r="AX1926" s="86"/>
      <c r="AY1926" s="83"/>
      <c r="AZ1926" s="84"/>
      <c r="BA1926" s="86"/>
      <c r="BB1926" s="86"/>
    </row>
    <row r="1927" spans="1:54" ht="36.75" customHeight="1">
      <c r="A1927" s="30"/>
      <c r="B1927" s="30" t="s">
        <v>55</v>
      </c>
      <c r="C1927" s="69" t="str">
        <f t="shared" si="129"/>
        <v>Closed</v>
      </c>
      <c r="D1927" s="27" t="s">
        <v>10774</v>
      </c>
      <c r="E1927" s="29" t="s">
        <v>10775</v>
      </c>
      <c r="F1927" s="30" t="s">
        <v>124</v>
      </c>
      <c r="G1927" s="89">
        <f>DATE(2015,1,6)</f>
        <v>42010</v>
      </c>
      <c r="H1927" s="90">
        <v>1</v>
      </c>
      <c r="I1927" s="30" t="s">
        <v>59</v>
      </c>
      <c r="J1927" s="89" t="s">
        <v>10776</v>
      </c>
      <c r="K1927" s="30" t="s">
        <v>127</v>
      </c>
      <c r="L1927" s="30" t="s">
        <v>10777</v>
      </c>
      <c r="M1927" s="30" t="s">
        <v>63</v>
      </c>
      <c r="N1927" s="30" t="s">
        <v>99</v>
      </c>
      <c r="O1927" s="30" t="s">
        <v>77</v>
      </c>
      <c r="P1927" s="89" t="s">
        <v>6941</v>
      </c>
      <c r="Q1927" s="89" t="s">
        <v>229</v>
      </c>
      <c r="R1927" s="89" t="s">
        <v>167</v>
      </c>
      <c r="S1927" s="30">
        <v>0</v>
      </c>
      <c r="T1927" s="233">
        <v>0</v>
      </c>
      <c r="U1927" s="30">
        <v>0</v>
      </c>
      <c r="V1927" s="233">
        <v>0</v>
      </c>
      <c r="W1927" s="30">
        <v>0</v>
      </c>
      <c r="X1927" s="30">
        <v>0</v>
      </c>
      <c r="Y1927" s="30">
        <v>0</v>
      </c>
      <c r="Z1927" s="233">
        <v>0</v>
      </c>
      <c r="AA1927" s="30">
        <v>0</v>
      </c>
      <c r="AB1927" s="30">
        <v>0</v>
      </c>
      <c r="AC1927" s="30">
        <v>0</v>
      </c>
      <c r="AD1927" s="30">
        <v>0</v>
      </c>
      <c r="AE1927" s="89" t="s">
        <v>92</v>
      </c>
      <c r="AF1927" s="89"/>
      <c r="AG1927" s="89" t="s">
        <v>589</v>
      </c>
      <c r="AH1927" s="72">
        <v>42017</v>
      </c>
      <c r="AI1927" s="30">
        <v>0</v>
      </c>
      <c r="AJ1927" s="89" t="s">
        <v>10778</v>
      </c>
      <c r="AK1927" s="89" t="s">
        <v>1233</v>
      </c>
      <c r="AL1927" s="91">
        <v>42019</v>
      </c>
      <c r="AM1927" s="91"/>
      <c r="AN1927" s="91"/>
      <c r="AO1927" s="91"/>
      <c r="AP1927" s="73" t="e">
        <f>MID(VLOOKUP(K1927,#REF!,2,FALSE),1,2)</f>
        <v>#REF!</v>
      </c>
      <c r="AQ1927" s="89">
        <f>DATE(2015,1,6)</f>
        <v>42010</v>
      </c>
      <c r="AR1927" s="82">
        <f t="shared" si="126"/>
        <v>6</v>
      </c>
      <c r="AS1927" s="83">
        <f t="shared" si="127"/>
        <v>1</v>
      </c>
      <c r="AT1927" s="84">
        <f t="shared" si="128"/>
        <v>2015</v>
      </c>
      <c r="AU1927" s="86"/>
      <c r="AV1927" s="86"/>
      <c r="AW1927" s="87">
        <f t="shared" si="130"/>
        <v>0</v>
      </c>
      <c r="AX1927" s="86"/>
      <c r="AY1927" s="83"/>
      <c r="AZ1927" s="84"/>
      <c r="BA1927" s="86"/>
      <c r="BB1927" s="86"/>
    </row>
    <row r="1928" spans="1:54" ht="36.75" customHeight="1">
      <c r="A1928" s="30"/>
      <c r="B1928" s="30" t="s">
        <v>55</v>
      </c>
      <c r="C1928" s="69" t="str">
        <f t="shared" si="129"/>
        <v>Closed</v>
      </c>
      <c r="D1928" s="27" t="s">
        <v>10779</v>
      </c>
      <c r="E1928" s="29" t="s">
        <v>10780</v>
      </c>
      <c r="F1928" s="30" t="s">
        <v>58</v>
      </c>
      <c r="G1928" s="89">
        <f>DATE(2015,1,7)</f>
        <v>42011</v>
      </c>
      <c r="H1928" s="90">
        <v>0</v>
      </c>
      <c r="I1928" s="30" t="s">
        <v>6775</v>
      </c>
      <c r="J1928" s="89" t="s">
        <v>10781</v>
      </c>
      <c r="K1928" s="30" t="s">
        <v>61</v>
      </c>
      <c r="L1928" s="30" t="s">
        <v>61</v>
      </c>
      <c r="M1928" s="30" t="s">
        <v>63</v>
      </c>
      <c r="N1928" s="30" t="s">
        <v>89</v>
      </c>
      <c r="O1928" s="30" t="s">
        <v>86</v>
      </c>
      <c r="P1928" s="89" t="s">
        <v>6941</v>
      </c>
      <c r="Q1928" s="89" t="s">
        <v>66</v>
      </c>
      <c r="R1928" s="89" t="s">
        <v>67</v>
      </c>
      <c r="S1928" s="30">
        <v>0</v>
      </c>
      <c r="T1928" s="233">
        <v>0</v>
      </c>
      <c r="U1928" s="30">
        <v>0</v>
      </c>
      <c r="V1928" s="233">
        <v>0</v>
      </c>
      <c r="W1928" s="30">
        <v>0</v>
      </c>
      <c r="X1928" s="30">
        <v>0</v>
      </c>
      <c r="Y1928" s="30">
        <v>0</v>
      </c>
      <c r="Z1928" s="233">
        <v>0</v>
      </c>
      <c r="AA1928" s="30">
        <v>0</v>
      </c>
      <c r="AB1928" s="30">
        <v>0</v>
      </c>
      <c r="AC1928" s="30">
        <v>0</v>
      </c>
      <c r="AD1928" s="30">
        <v>0</v>
      </c>
      <c r="AE1928" s="89" t="s">
        <v>92</v>
      </c>
      <c r="AF1928" s="89"/>
      <c r="AG1928" s="89" t="s">
        <v>352</v>
      </c>
      <c r="AH1928" s="72">
        <v>42011</v>
      </c>
      <c r="AI1928" s="30">
        <v>5</v>
      </c>
      <c r="AJ1928" s="89" t="s">
        <v>10782</v>
      </c>
      <c r="AK1928" s="89" t="s">
        <v>10783</v>
      </c>
      <c r="AL1928" s="91">
        <v>42018</v>
      </c>
      <c r="AM1928" s="91"/>
      <c r="AN1928" s="91"/>
      <c r="AO1928" s="91"/>
      <c r="AP1928" s="73" t="e">
        <f>MID(VLOOKUP(K1928,#REF!,2,FALSE),1,2)</f>
        <v>#REF!</v>
      </c>
      <c r="AQ1928" s="89">
        <f>DATE(2015,1,7)</f>
        <v>42011</v>
      </c>
      <c r="AR1928" s="82">
        <f t="shared" si="126"/>
        <v>7</v>
      </c>
      <c r="AS1928" s="83">
        <f t="shared" si="127"/>
        <v>1</v>
      </c>
      <c r="AT1928" s="84">
        <f t="shared" si="128"/>
        <v>2015</v>
      </c>
      <c r="AU1928" s="86"/>
      <c r="AV1928" s="86"/>
      <c r="AW1928" s="87">
        <f t="shared" si="130"/>
        <v>0</v>
      </c>
      <c r="AX1928" s="86"/>
      <c r="AY1928" s="83"/>
      <c r="AZ1928" s="84"/>
      <c r="BA1928" s="86"/>
      <c r="BB1928" s="86"/>
    </row>
    <row r="1929" spans="1:54" ht="36.75" customHeight="1">
      <c r="A1929" s="30"/>
      <c r="B1929" s="30" t="s">
        <v>55</v>
      </c>
      <c r="C1929" s="69" t="str">
        <f t="shared" si="129"/>
        <v>Closed</v>
      </c>
      <c r="D1929" s="27" t="s">
        <v>10784</v>
      </c>
      <c r="E1929" s="29" t="s">
        <v>10785</v>
      </c>
      <c r="F1929" s="30" t="s">
        <v>423</v>
      </c>
      <c r="G1929" s="89">
        <f>DATE(2015,1,11)</f>
        <v>42015</v>
      </c>
      <c r="H1929" s="90">
        <v>1.2881944444444444</v>
      </c>
      <c r="I1929" s="30" t="s">
        <v>156</v>
      </c>
      <c r="J1929" s="89" t="s">
        <v>10786</v>
      </c>
      <c r="K1929" s="30" t="s">
        <v>425</v>
      </c>
      <c r="L1929" s="30" t="s">
        <v>10787</v>
      </c>
      <c r="M1929" s="30" t="s">
        <v>63</v>
      </c>
      <c r="N1929" s="30" t="s">
        <v>99</v>
      </c>
      <c r="O1929" s="30" t="s">
        <v>64</v>
      </c>
      <c r="P1929" s="89" t="s">
        <v>165</v>
      </c>
      <c r="Q1929" s="89" t="s">
        <v>4551</v>
      </c>
      <c r="R1929" s="89" t="s">
        <v>3103</v>
      </c>
      <c r="S1929" s="30">
        <v>0</v>
      </c>
      <c r="T1929" s="233">
        <v>0</v>
      </c>
      <c r="U1929" s="30">
        <v>0</v>
      </c>
      <c r="V1929" s="233">
        <v>0</v>
      </c>
      <c r="W1929" s="30">
        <v>0</v>
      </c>
      <c r="X1929" s="30">
        <v>0</v>
      </c>
      <c r="Y1929" s="30">
        <v>0</v>
      </c>
      <c r="Z1929" s="233">
        <v>0</v>
      </c>
      <c r="AA1929" s="30">
        <v>0</v>
      </c>
      <c r="AB1929" s="30">
        <v>0</v>
      </c>
      <c r="AC1929" s="30">
        <v>0</v>
      </c>
      <c r="AD1929" s="30">
        <v>0</v>
      </c>
      <c r="AE1929" s="89" t="s">
        <v>92</v>
      </c>
      <c r="AF1929" s="89"/>
      <c r="AG1929" s="89" t="s">
        <v>133</v>
      </c>
      <c r="AH1929" s="72">
        <v>42032</v>
      </c>
      <c r="AI1929" s="30">
        <v>2</v>
      </c>
      <c r="AJ1929" s="89" t="s">
        <v>10788</v>
      </c>
      <c r="AK1929" s="89" t="s">
        <v>10789</v>
      </c>
      <c r="AL1929" s="91">
        <v>42032</v>
      </c>
      <c r="AM1929" s="91"/>
      <c r="AN1929" s="91"/>
      <c r="AO1929" s="91"/>
      <c r="AP1929" s="73" t="e">
        <f>MID(VLOOKUP(K1929,#REF!,2,FALSE),1,2)</f>
        <v>#REF!</v>
      </c>
      <c r="AQ1929" s="89">
        <f>DATE(2015,1,11)</f>
        <v>42015</v>
      </c>
      <c r="AR1929" s="82">
        <f t="shared" si="126"/>
        <v>11</v>
      </c>
      <c r="AS1929" s="83">
        <f t="shared" si="127"/>
        <v>1</v>
      </c>
      <c r="AT1929" s="84">
        <f t="shared" si="128"/>
        <v>2015</v>
      </c>
      <c r="AU1929" s="86"/>
      <c r="AV1929" s="86"/>
      <c r="AW1929" s="87">
        <f t="shared" si="130"/>
        <v>0</v>
      </c>
      <c r="AX1929" s="86"/>
      <c r="AY1929" s="83"/>
      <c r="AZ1929" s="84"/>
      <c r="BA1929" s="86"/>
      <c r="BB1929" s="86"/>
    </row>
    <row r="1930" spans="1:54" ht="36.75" customHeight="1">
      <c r="A1930" s="30"/>
      <c r="B1930" s="30" t="s">
        <v>55</v>
      </c>
      <c r="C1930" s="69" t="str">
        <f t="shared" si="129"/>
        <v>Closed</v>
      </c>
      <c r="D1930" s="27" t="s">
        <v>10790</v>
      </c>
      <c r="E1930" s="29" t="s">
        <v>10791</v>
      </c>
      <c r="F1930" s="30" t="s">
        <v>638</v>
      </c>
      <c r="G1930" s="89">
        <f>DATE(2015,1,12)</f>
        <v>42016</v>
      </c>
      <c r="H1930" s="90">
        <v>1.8847222222222224</v>
      </c>
      <c r="I1930" s="30" t="s">
        <v>104</v>
      </c>
      <c r="J1930" s="89" t="s">
        <v>10792</v>
      </c>
      <c r="K1930" s="30" t="s">
        <v>640</v>
      </c>
      <c r="L1930" s="30" t="s">
        <v>10793</v>
      </c>
      <c r="M1930" s="30" t="s">
        <v>63</v>
      </c>
      <c r="N1930" s="30" t="s">
        <v>142</v>
      </c>
      <c r="O1930" s="30" t="s">
        <v>77</v>
      </c>
      <c r="P1930" s="89" t="s">
        <v>6902</v>
      </c>
      <c r="Q1930" s="89" t="s">
        <v>642</v>
      </c>
      <c r="R1930" s="89" t="s">
        <v>643</v>
      </c>
      <c r="S1930" s="30">
        <v>0</v>
      </c>
      <c r="T1930" s="233">
        <v>0</v>
      </c>
      <c r="U1930" s="30">
        <v>0</v>
      </c>
      <c r="V1930" s="233">
        <v>0</v>
      </c>
      <c r="W1930" s="30">
        <v>0</v>
      </c>
      <c r="X1930" s="30">
        <v>0</v>
      </c>
      <c r="Y1930" s="30">
        <v>0</v>
      </c>
      <c r="Z1930" s="233">
        <v>0</v>
      </c>
      <c r="AA1930" s="30">
        <v>0</v>
      </c>
      <c r="AB1930" s="30">
        <v>0</v>
      </c>
      <c r="AC1930" s="30">
        <v>0</v>
      </c>
      <c r="AD1930" s="30">
        <v>0</v>
      </c>
      <c r="AE1930" s="89" t="s">
        <v>92</v>
      </c>
      <c r="AF1930" s="89"/>
      <c r="AG1930" s="89" t="s">
        <v>352</v>
      </c>
      <c r="AH1930" s="72">
        <v>42045</v>
      </c>
      <c r="AI1930" s="30">
        <v>3</v>
      </c>
      <c r="AJ1930" s="89" t="s">
        <v>10794</v>
      </c>
      <c r="AK1930" s="89" t="s">
        <v>68</v>
      </c>
      <c r="AL1930" s="91">
        <v>42054</v>
      </c>
      <c r="AM1930" s="91"/>
      <c r="AN1930" s="91"/>
      <c r="AO1930" s="91"/>
      <c r="AP1930" s="73" t="e">
        <f>MID(VLOOKUP(K1930,#REF!,2,FALSE),1,2)</f>
        <v>#REF!</v>
      </c>
      <c r="AQ1930" s="89">
        <f>DATE(2015,1,12)</f>
        <v>42016</v>
      </c>
      <c r="AR1930" s="82">
        <f t="shared" si="126"/>
        <v>12</v>
      </c>
      <c r="AS1930" s="83">
        <f t="shared" si="127"/>
        <v>1</v>
      </c>
      <c r="AT1930" s="84">
        <f t="shared" si="128"/>
        <v>2015</v>
      </c>
      <c r="AU1930" s="86"/>
      <c r="AV1930" s="86"/>
      <c r="AW1930" s="87">
        <f t="shared" si="130"/>
        <v>0</v>
      </c>
      <c r="AX1930" s="86"/>
      <c r="AY1930" s="83"/>
      <c r="AZ1930" s="84"/>
      <c r="BA1930" s="86"/>
      <c r="BB1930" s="86"/>
    </row>
    <row r="1931" spans="1:54" ht="36.75" customHeight="1">
      <c r="A1931" s="30"/>
      <c r="B1931" s="30" t="s">
        <v>55</v>
      </c>
      <c r="C1931" s="69" t="str">
        <f t="shared" si="129"/>
        <v>Closed</v>
      </c>
      <c r="D1931" s="27" t="s">
        <v>10795</v>
      </c>
      <c r="E1931" s="29" t="s">
        <v>10796</v>
      </c>
      <c r="F1931" s="30" t="s">
        <v>9789</v>
      </c>
      <c r="G1931" s="89">
        <f>DATE(2015,1,12)</f>
        <v>42016</v>
      </c>
      <c r="H1931" s="90">
        <v>1.4111111111111112</v>
      </c>
      <c r="I1931" s="30" t="s">
        <v>9026</v>
      </c>
      <c r="J1931" s="210" t="s">
        <v>10797</v>
      </c>
      <c r="K1931" s="30" t="s">
        <v>9791</v>
      </c>
      <c r="L1931" s="30" t="s">
        <v>10798</v>
      </c>
      <c r="M1931" s="30" t="s">
        <v>63</v>
      </c>
      <c r="N1931" s="30" t="s">
        <v>99</v>
      </c>
      <c r="O1931" s="30" t="s">
        <v>64</v>
      </c>
      <c r="P1931" s="89" t="s">
        <v>6941</v>
      </c>
      <c r="Q1931" s="89" t="s">
        <v>9960</v>
      </c>
      <c r="R1931" s="89" t="s">
        <v>9794</v>
      </c>
      <c r="S1931" s="30">
        <v>0</v>
      </c>
      <c r="T1931" s="233">
        <v>0</v>
      </c>
      <c r="U1931" s="30">
        <v>0</v>
      </c>
      <c r="V1931" s="233">
        <v>0</v>
      </c>
      <c r="W1931" s="30">
        <v>0</v>
      </c>
      <c r="X1931" s="30">
        <v>0</v>
      </c>
      <c r="Y1931" s="30">
        <v>0</v>
      </c>
      <c r="Z1931" s="233">
        <v>0</v>
      </c>
      <c r="AA1931" s="30">
        <v>0</v>
      </c>
      <c r="AB1931" s="30">
        <v>0</v>
      </c>
      <c r="AC1931" s="30">
        <v>0</v>
      </c>
      <c r="AD1931" s="30">
        <v>0</v>
      </c>
      <c r="AE1931" s="89" t="s">
        <v>394</v>
      </c>
      <c r="AF1931" s="89"/>
      <c r="AG1931" s="89" t="s">
        <v>1507</v>
      </c>
      <c r="AH1931" s="72">
        <v>42016</v>
      </c>
      <c r="AI1931" s="30">
        <v>1</v>
      </c>
      <c r="AJ1931" s="89" t="s">
        <v>10799</v>
      </c>
      <c r="AK1931" s="89" t="s">
        <v>10800</v>
      </c>
      <c r="AL1931" s="91">
        <v>42027</v>
      </c>
      <c r="AM1931" s="91"/>
      <c r="AN1931" s="91"/>
      <c r="AO1931" s="91"/>
      <c r="AP1931" s="73" t="e">
        <f>MID(VLOOKUP(K1931,#REF!,2,FALSE),1,2)</f>
        <v>#REF!</v>
      </c>
      <c r="AQ1931" s="89">
        <f>DATE(2015,1,12)</f>
        <v>42016</v>
      </c>
      <c r="AR1931" s="82">
        <f t="shared" si="126"/>
        <v>12</v>
      </c>
      <c r="AS1931" s="83">
        <f t="shared" si="127"/>
        <v>1</v>
      </c>
      <c r="AT1931" s="84">
        <f t="shared" si="128"/>
        <v>2015</v>
      </c>
      <c r="AU1931" s="86"/>
      <c r="AV1931" s="86"/>
      <c r="AW1931" s="87">
        <f t="shared" si="130"/>
        <v>0</v>
      </c>
      <c r="AX1931" s="86"/>
      <c r="AY1931" s="83"/>
      <c r="AZ1931" s="84"/>
      <c r="BA1931" s="86"/>
      <c r="BB1931" s="86"/>
    </row>
    <row r="1932" spans="1:54" ht="36.75" customHeight="1">
      <c r="A1932" s="30"/>
      <c r="B1932" s="30" t="s">
        <v>55</v>
      </c>
      <c r="C1932" s="69" t="str">
        <f t="shared" si="129"/>
        <v>Closed</v>
      </c>
      <c r="D1932" s="27" t="s">
        <v>10801</v>
      </c>
      <c r="E1932" s="29" t="s">
        <v>10802</v>
      </c>
      <c r="F1932" s="30" t="s">
        <v>835</v>
      </c>
      <c r="G1932" s="89">
        <f>DATE(2015,1,16)</f>
        <v>42020</v>
      </c>
      <c r="H1932" s="90">
        <v>1.2270833333333333</v>
      </c>
      <c r="I1932" s="30" t="s">
        <v>73</v>
      </c>
      <c r="J1932" s="89" t="s">
        <v>10803</v>
      </c>
      <c r="K1932" s="30" t="s">
        <v>837</v>
      </c>
      <c r="L1932" s="30" t="s">
        <v>10804</v>
      </c>
      <c r="M1932" s="30" t="s">
        <v>63</v>
      </c>
      <c r="N1932" s="30" t="s">
        <v>142</v>
      </c>
      <c r="O1932" s="30" t="s">
        <v>90</v>
      </c>
      <c r="P1932" s="89" t="s">
        <v>78</v>
      </c>
      <c r="Q1932" s="89" t="s">
        <v>10805</v>
      </c>
      <c r="R1932" s="89" t="s">
        <v>840</v>
      </c>
      <c r="S1932" s="30">
        <v>0</v>
      </c>
      <c r="T1932" s="233">
        <v>0</v>
      </c>
      <c r="U1932" s="30">
        <v>0</v>
      </c>
      <c r="V1932" s="233">
        <v>0</v>
      </c>
      <c r="W1932" s="30">
        <v>0</v>
      </c>
      <c r="X1932" s="30">
        <v>0</v>
      </c>
      <c r="Y1932" s="30">
        <v>0</v>
      </c>
      <c r="Z1932" s="233">
        <v>0</v>
      </c>
      <c r="AA1932" s="30">
        <v>0</v>
      </c>
      <c r="AB1932" s="30">
        <v>0</v>
      </c>
      <c r="AC1932" s="30">
        <v>0</v>
      </c>
      <c r="AD1932" s="30">
        <v>0</v>
      </c>
      <c r="AE1932" s="89" t="s">
        <v>92</v>
      </c>
      <c r="AF1932" s="89"/>
      <c r="AG1932" s="89" t="s">
        <v>352</v>
      </c>
      <c r="AH1932" s="72">
        <v>42020</v>
      </c>
      <c r="AI1932" s="30">
        <v>0</v>
      </c>
      <c r="AJ1932" s="89" t="s">
        <v>10806</v>
      </c>
      <c r="AK1932" s="89" t="s">
        <v>68</v>
      </c>
      <c r="AL1932" s="91">
        <v>42024</v>
      </c>
      <c r="AM1932" s="91"/>
      <c r="AN1932" s="91"/>
      <c r="AO1932" s="91"/>
      <c r="AP1932" s="73" t="e">
        <f>MID(VLOOKUP(K1932,#REF!,2,FALSE),1,2)</f>
        <v>#REF!</v>
      </c>
      <c r="AQ1932" s="89">
        <f>DATE(2015,1,16)</f>
        <v>42020</v>
      </c>
      <c r="AR1932" s="82">
        <f t="shared" si="126"/>
        <v>16</v>
      </c>
      <c r="AS1932" s="83">
        <f t="shared" si="127"/>
        <v>1</v>
      </c>
      <c r="AT1932" s="84">
        <f t="shared" si="128"/>
        <v>2015</v>
      </c>
      <c r="AU1932" s="86"/>
      <c r="AV1932" s="86"/>
      <c r="AW1932" s="87">
        <f t="shared" si="130"/>
        <v>0</v>
      </c>
      <c r="AX1932" s="86"/>
      <c r="AY1932" s="83"/>
      <c r="AZ1932" s="84"/>
      <c r="BA1932" s="86"/>
      <c r="BB1932" s="86"/>
    </row>
    <row r="1933" spans="1:54" ht="36.75" customHeight="1">
      <c r="A1933" s="30"/>
      <c r="B1933" s="30" t="s">
        <v>55</v>
      </c>
      <c r="C1933" s="69" t="str">
        <f t="shared" si="129"/>
        <v>Closed</v>
      </c>
      <c r="D1933" s="27" t="s">
        <v>10807</v>
      </c>
      <c r="E1933" s="29" t="s">
        <v>10808</v>
      </c>
      <c r="F1933" s="30" t="s">
        <v>115</v>
      </c>
      <c r="G1933" s="89">
        <f>DATE(2015,1,17)</f>
        <v>42021</v>
      </c>
      <c r="H1933" s="90">
        <v>1.5208333333333335</v>
      </c>
      <c r="I1933" s="30" t="s">
        <v>125</v>
      </c>
      <c r="J1933" s="89" t="s">
        <v>10809</v>
      </c>
      <c r="K1933" s="30" t="s">
        <v>10810</v>
      </c>
      <c r="L1933" s="30" t="s">
        <v>10811</v>
      </c>
      <c r="M1933" s="30" t="s">
        <v>63</v>
      </c>
      <c r="N1933" s="30" t="s">
        <v>142</v>
      </c>
      <c r="O1933" s="30" t="s">
        <v>86</v>
      </c>
      <c r="P1933" s="89" t="s">
        <v>78</v>
      </c>
      <c r="Q1933" s="89">
        <v>0</v>
      </c>
      <c r="R1933" s="89">
        <v>0</v>
      </c>
      <c r="S1933" s="30">
        <v>0</v>
      </c>
      <c r="T1933" s="233">
        <v>0</v>
      </c>
      <c r="U1933" s="30">
        <v>0</v>
      </c>
      <c r="V1933" s="233">
        <v>0</v>
      </c>
      <c r="W1933" s="30">
        <v>0</v>
      </c>
      <c r="X1933" s="30">
        <v>0</v>
      </c>
      <c r="Y1933" s="30">
        <v>0</v>
      </c>
      <c r="Z1933" s="233">
        <v>0</v>
      </c>
      <c r="AA1933" s="30">
        <v>0</v>
      </c>
      <c r="AB1933" s="30">
        <v>0</v>
      </c>
      <c r="AC1933" s="30">
        <v>0</v>
      </c>
      <c r="AD1933" s="30">
        <v>0</v>
      </c>
      <c r="AE1933" s="89" t="s">
        <v>145</v>
      </c>
      <c r="AF1933" s="89"/>
      <c r="AG1933" s="89" t="s">
        <v>82</v>
      </c>
      <c r="AH1933" s="72">
        <v>42024</v>
      </c>
      <c r="AI1933" s="30">
        <v>6</v>
      </c>
      <c r="AJ1933" s="89" t="s">
        <v>10812</v>
      </c>
      <c r="AK1933" s="89" t="s">
        <v>10813</v>
      </c>
      <c r="AL1933" s="91">
        <v>42030</v>
      </c>
      <c r="AM1933" s="91"/>
      <c r="AN1933" s="91"/>
      <c r="AO1933" s="91"/>
      <c r="AP1933" s="73" t="e">
        <f>MID(VLOOKUP(K1933,#REF!,2,FALSE),1,2)</f>
        <v>#REF!</v>
      </c>
      <c r="AQ1933" s="89">
        <f>DATE(2015,1,17)</f>
        <v>42021</v>
      </c>
      <c r="AR1933" s="82">
        <f t="shared" si="126"/>
        <v>17</v>
      </c>
      <c r="AS1933" s="83">
        <f t="shared" si="127"/>
        <v>1</v>
      </c>
      <c r="AT1933" s="84">
        <f t="shared" si="128"/>
        <v>2015</v>
      </c>
      <c r="AU1933" s="86"/>
      <c r="AV1933" s="86"/>
      <c r="AW1933" s="87">
        <f t="shared" si="130"/>
        <v>0</v>
      </c>
      <c r="AX1933" s="86"/>
      <c r="AY1933" s="83"/>
      <c r="AZ1933" s="84"/>
      <c r="BA1933" s="86"/>
      <c r="BB1933" s="86"/>
    </row>
    <row r="1934" spans="1:54" ht="36.75" customHeight="1">
      <c r="A1934" s="30"/>
      <c r="B1934" s="30" t="s">
        <v>55</v>
      </c>
      <c r="C1934" s="69" t="str">
        <f t="shared" si="129"/>
        <v>Closed</v>
      </c>
      <c r="D1934" s="27" t="s">
        <v>10814</v>
      </c>
      <c r="E1934" s="29" t="s">
        <v>10815</v>
      </c>
      <c r="F1934" s="30" t="s">
        <v>835</v>
      </c>
      <c r="G1934" s="89">
        <f>DATE(2015,1,19)</f>
        <v>42023</v>
      </c>
      <c r="H1934" s="90">
        <v>1.7166666666666668</v>
      </c>
      <c r="I1934" s="30" t="s">
        <v>73</v>
      </c>
      <c r="J1934" s="89" t="s">
        <v>10816</v>
      </c>
      <c r="K1934" s="30" t="s">
        <v>837</v>
      </c>
      <c r="L1934" s="30" t="s">
        <v>10817</v>
      </c>
      <c r="M1934" s="30" t="s">
        <v>255</v>
      </c>
      <c r="N1934" s="30" t="s">
        <v>142</v>
      </c>
      <c r="O1934" s="30" t="s">
        <v>77</v>
      </c>
      <c r="P1934" s="89" t="s">
        <v>6552</v>
      </c>
      <c r="Q1934" s="89" t="s">
        <v>4210</v>
      </c>
      <c r="R1934" s="89" t="s">
        <v>4210</v>
      </c>
      <c r="S1934" s="30">
        <v>0</v>
      </c>
      <c r="T1934" s="233">
        <v>0</v>
      </c>
      <c r="U1934" s="30">
        <v>0</v>
      </c>
      <c r="V1934" s="233">
        <v>0</v>
      </c>
      <c r="W1934" s="30">
        <v>0</v>
      </c>
      <c r="X1934" s="30">
        <v>0</v>
      </c>
      <c r="Y1934" s="30">
        <v>0</v>
      </c>
      <c r="Z1934" s="233">
        <v>0</v>
      </c>
      <c r="AA1934" s="30">
        <v>0</v>
      </c>
      <c r="AB1934" s="30">
        <v>0</v>
      </c>
      <c r="AC1934" s="30">
        <v>0</v>
      </c>
      <c r="AD1934" s="30">
        <v>0</v>
      </c>
      <c r="AE1934" s="89" t="s">
        <v>92</v>
      </c>
      <c r="AF1934" s="89"/>
      <c r="AG1934" s="89" t="s">
        <v>352</v>
      </c>
      <c r="AH1934" s="72">
        <v>42024</v>
      </c>
      <c r="AI1934" s="30">
        <v>0</v>
      </c>
      <c r="AJ1934" s="89" t="s">
        <v>10818</v>
      </c>
      <c r="AK1934" s="89" t="s">
        <v>68</v>
      </c>
      <c r="AL1934" s="91">
        <v>42025</v>
      </c>
      <c r="AM1934" s="91"/>
      <c r="AN1934" s="91"/>
      <c r="AO1934" s="91"/>
      <c r="AP1934" s="73" t="e">
        <f>MID(VLOOKUP(K1934,#REF!,2,FALSE),1,2)</f>
        <v>#REF!</v>
      </c>
      <c r="AQ1934" s="89">
        <f>DATE(2015,1,19)</f>
        <v>42023</v>
      </c>
      <c r="AR1934" s="82">
        <f t="shared" si="126"/>
        <v>19</v>
      </c>
      <c r="AS1934" s="83">
        <f t="shared" si="127"/>
        <v>1</v>
      </c>
      <c r="AT1934" s="84">
        <f t="shared" si="128"/>
        <v>2015</v>
      </c>
      <c r="AU1934" s="86"/>
      <c r="AV1934" s="86"/>
      <c r="AW1934" s="87">
        <f t="shared" si="130"/>
        <v>0</v>
      </c>
      <c r="AX1934" s="86"/>
      <c r="AY1934" s="83"/>
      <c r="AZ1934" s="84"/>
      <c r="BA1934" s="86"/>
      <c r="BB1934" s="86"/>
    </row>
    <row r="1935" spans="1:54" ht="36.75" customHeight="1">
      <c r="A1935" s="30"/>
      <c r="B1935" s="30" t="s">
        <v>55</v>
      </c>
      <c r="C1935" s="69" t="str">
        <f t="shared" si="129"/>
        <v>Closed</v>
      </c>
      <c r="D1935" s="27" t="s">
        <v>10819</v>
      </c>
      <c r="E1935" s="29" t="s">
        <v>10820</v>
      </c>
      <c r="F1935" s="30" t="s">
        <v>1572</v>
      </c>
      <c r="G1935" s="89">
        <f>DATE(2015,1,24)</f>
        <v>42028</v>
      </c>
      <c r="H1935" s="90">
        <v>1.2152777777777777</v>
      </c>
      <c r="I1935" s="30" t="s">
        <v>125</v>
      </c>
      <c r="J1935" s="89" t="s">
        <v>10821</v>
      </c>
      <c r="K1935" s="30" t="s">
        <v>1574</v>
      </c>
      <c r="L1935" s="30" t="s">
        <v>10822</v>
      </c>
      <c r="M1935" s="30" t="s">
        <v>63</v>
      </c>
      <c r="N1935" s="30" t="s">
        <v>99</v>
      </c>
      <c r="O1935" s="30" t="s">
        <v>77</v>
      </c>
      <c r="P1935" s="89" t="s">
        <v>78</v>
      </c>
      <c r="Q1935" s="89" t="s">
        <v>7932</v>
      </c>
      <c r="R1935" s="89" t="s">
        <v>6434</v>
      </c>
      <c r="S1935" s="30">
        <v>0</v>
      </c>
      <c r="T1935" s="233">
        <v>0</v>
      </c>
      <c r="U1935" s="30">
        <v>0</v>
      </c>
      <c r="V1935" s="233">
        <v>0</v>
      </c>
      <c r="W1935" s="30">
        <v>0</v>
      </c>
      <c r="X1935" s="30">
        <v>0</v>
      </c>
      <c r="Y1935" s="30">
        <v>0</v>
      </c>
      <c r="Z1935" s="233">
        <v>0</v>
      </c>
      <c r="AA1935" s="30">
        <v>0</v>
      </c>
      <c r="AB1935" s="30">
        <v>0</v>
      </c>
      <c r="AC1935" s="30">
        <v>0</v>
      </c>
      <c r="AD1935" s="30">
        <v>0</v>
      </c>
      <c r="AE1935" s="89" t="s">
        <v>92</v>
      </c>
      <c r="AF1935" s="89"/>
      <c r="AG1935" s="89" t="s">
        <v>589</v>
      </c>
      <c r="AH1935" s="72">
        <v>42030</v>
      </c>
      <c r="AI1935" s="30">
        <v>2</v>
      </c>
      <c r="AJ1935" s="89" t="s">
        <v>10823</v>
      </c>
      <c r="AK1935" s="89" t="s">
        <v>10824</v>
      </c>
      <c r="AL1935" s="91">
        <v>42030</v>
      </c>
      <c r="AM1935" s="91"/>
      <c r="AN1935" s="91"/>
      <c r="AO1935" s="91"/>
      <c r="AP1935" s="73" t="e">
        <f>MID(VLOOKUP(K1935,#REF!,2,FALSE),1,2)</f>
        <v>#REF!</v>
      </c>
      <c r="AQ1935" s="89">
        <f>DATE(2015,1,24)</f>
        <v>42028</v>
      </c>
      <c r="AR1935" s="82">
        <f t="shared" si="126"/>
        <v>24</v>
      </c>
      <c r="AS1935" s="83">
        <f t="shared" si="127"/>
        <v>1</v>
      </c>
      <c r="AT1935" s="84">
        <f t="shared" si="128"/>
        <v>2015</v>
      </c>
      <c r="AU1935" s="86"/>
      <c r="AV1935" s="86"/>
      <c r="AW1935" s="87">
        <f t="shared" si="130"/>
        <v>0</v>
      </c>
      <c r="AX1935" s="86"/>
      <c r="AY1935" s="83"/>
      <c r="AZ1935" s="84"/>
      <c r="BA1935" s="86"/>
      <c r="BB1935" s="86"/>
    </row>
    <row r="1936" spans="1:54" ht="36.75" customHeight="1">
      <c r="A1936" s="30"/>
      <c r="B1936" s="30" t="s">
        <v>55</v>
      </c>
      <c r="C1936" s="69" t="str">
        <f t="shared" si="129"/>
        <v>Closed</v>
      </c>
      <c r="D1936" s="27" t="s">
        <v>10825</v>
      </c>
      <c r="E1936" s="29" t="s">
        <v>10826</v>
      </c>
      <c r="F1936" s="30" t="s">
        <v>423</v>
      </c>
      <c r="G1936" s="89">
        <f>DATE(2015,1,28)</f>
        <v>42032</v>
      </c>
      <c r="H1936" s="90">
        <v>1.2729166666666667</v>
      </c>
      <c r="I1936" s="30" t="s">
        <v>156</v>
      </c>
      <c r="J1936" s="89" t="s">
        <v>10827</v>
      </c>
      <c r="K1936" s="30" t="s">
        <v>425</v>
      </c>
      <c r="L1936" s="30" t="s">
        <v>10828</v>
      </c>
      <c r="M1936" s="30" t="s">
        <v>63</v>
      </c>
      <c r="N1936" s="30" t="s">
        <v>99</v>
      </c>
      <c r="O1936" s="30" t="s">
        <v>64</v>
      </c>
      <c r="P1936" s="89" t="s">
        <v>165</v>
      </c>
      <c r="Q1936" s="89" t="s">
        <v>4551</v>
      </c>
      <c r="R1936" s="89" t="s">
        <v>3103</v>
      </c>
      <c r="S1936" s="30">
        <v>0</v>
      </c>
      <c r="T1936" s="233">
        <v>0</v>
      </c>
      <c r="U1936" s="30">
        <v>0</v>
      </c>
      <c r="V1936" s="233">
        <v>0</v>
      </c>
      <c r="W1936" s="30">
        <v>0</v>
      </c>
      <c r="X1936" s="30">
        <v>0</v>
      </c>
      <c r="Y1936" s="30">
        <v>0</v>
      </c>
      <c r="Z1936" s="233">
        <v>1</v>
      </c>
      <c r="AA1936" s="30">
        <v>0</v>
      </c>
      <c r="AB1936" s="30">
        <v>0</v>
      </c>
      <c r="AC1936" s="30">
        <v>0</v>
      </c>
      <c r="AD1936" s="30">
        <v>1</v>
      </c>
      <c r="AE1936" s="89" t="s">
        <v>92</v>
      </c>
      <c r="AF1936" s="89"/>
      <c r="AG1936" s="89" t="s">
        <v>82</v>
      </c>
      <c r="AH1936" s="72">
        <v>42065</v>
      </c>
      <c r="AI1936" s="30">
        <v>2</v>
      </c>
      <c r="AJ1936" s="89" t="s">
        <v>10829</v>
      </c>
      <c r="AK1936" s="89" t="s">
        <v>10830</v>
      </c>
      <c r="AL1936" s="91">
        <v>42038</v>
      </c>
      <c r="AM1936" s="91"/>
      <c r="AN1936" s="91"/>
      <c r="AO1936" s="91"/>
      <c r="AP1936" s="73" t="e">
        <f>MID(VLOOKUP(K1936,#REF!,2,FALSE),1,2)</f>
        <v>#REF!</v>
      </c>
      <c r="AQ1936" s="89">
        <f>DATE(2015,1,28)</f>
        <v>42032</v>
      </c>
      <c r="AR1936" s="82">
        <f t="shared" si="126"/>
        <v>28</v>
      </c>
      <c r="AS1936" s="83">
        <f t="shared" si="127"/>
        <v>1</v>
      </c>
      <c r="AT1936" s="84">
        <f t="shared" si="128"/>
        <v>2015</v>
      </c>
      <c r="AU1936" s="86"/>
      <c r="AV1936" s="86"/>
      <c r="AW1936" s="87">
        <f t="shared" si="130"/>
        <v>0</v>
      </c>
      <c r="AX1936" s="86"/>
      <c r="AY1936" s="83"/>
      <c r="AZ1936" s="84"/>
      <c r="BA1936" s="86"/>
      <c r="BB1936" s="86"/>
    </row>
    <row r="1937" spans="1:54" ht="36.75" customHeight="1">
      <c r="A1937" s="30"/>
      <c r="B1937" s="30" t="s">
        <v>55</v>
      </c>
      <c r="C1937" s="69" t="str">
        <f t="shared" si="129"/>
        <v>Closed</v>
      </c>
      <c r="D1937" s="27" t="s">
        <v>10831</v>
      </c>
      <c r="E1937" s="29" t="s">
        <v>10832</v>
      </c>
      <c r="F1937" s="30" t="s">
        <v>115</v>
      </c>
      <c r="G1937" s="89">
        <f>DATE(2015,1,28)</f>
        <v>42032</v>
      </c>
      <c r="H1937" s="90">
        <v>1.7361111111111112</v>
      </c>
      <c r="I1937" s="30" t="s">
        <v>73</v>
      </c>
      <c r="J1937" s="89" t="s">
        <v>10833</v>
      </c>
      <c r="K1937" s="30" t="s">
        <v>118</v>
      </c>
      <c r="L1937" s="30" t="s">
        <v>10834</v>
      </c>
      <c r="M1937" s="30" t="s">
        <v>63</v>
      </c>
      <c r="N1937" s="30" t="s">
        <v>89</v>
      </c>
      <c r="O1937" s="30" t="s">
        <v>77</v>
      </c>
      <c r="P1937" s="89" t="s">
        <v>91</v>
      </c>
      <c r="Q1937" s="89" t="s">
        <v>120</v>
      </c>
      <c r="R1937" s="89" t="s">
        <v>121</v>
      </c>
      <c r="S1937" s="30">
        <v>0</v>
      </c>
      <c r="T1937" s="233">
        <v>0</v>
      </c>
      <c r="U1937" s="30">
        <v>0</v>
      </c>
      <c r="V1937" s="233">
        <v>0</v>
      </c>
      <c r="W1937" s="30">
        <v>0</v>
      </c>
      <c r="X1937" s="30">
        <v>0</v>
      </c>
      <c r="Y1937" s="30">
        <v>0</v>
      </c>
      <c r="Z1937" s="233">
        <v>0</v>
      </c>
      <c r="AA1937" s="30">
        <v>0</v>
      </c>
      <c r="AB1937" s="30">
        <v>0</v>
      </c>
      <c r="AC1937" s="30">
        <v>0</v>
      </c>
      <c r="AD1937" s="30">
        <v>0</v>
      </c>
      <c r="AE1937" s="89" t="s">
        <v>394</v>
      </c>
      <c r="AF1937" s="89"/>
      <c r="AG1937" s="89" t="s">
        <v>82</v>
      </c>
      <c r="AH1937" s="72">
        <v>42033</v>
      </c>
      <c r="AI1937" s="30">
        <v>3</v>
      </c>
      <c r="AJ1937" s="89" t="s">
        <v>10835</v>
      </c>
      <c r="AK1937" s="89" t="s">
        <v>10836</v>
      </c>
      <c r="AL1937" s="91">
        <v>42075</v>
      </c>
      <c r="AM1937" s="91"/>
      <c r="AN1937" s="91"/>
      <c r="AO1937" s="91"/>
      <c r="AP1937" s="73" t="e">
        <f>MID(VLOOKUP(K1937,#REF!,2,FALSE),1,2)</f>
        <v>#REF!</v>
      </c>
      <c r="AQ1937" s="89">
        <f>DATE(2015,1,28)</f>
        <v>42032</v>
      </c>
      <c r="AR1937" s="82">
        <f t="shared" si="126"/>
        <v>28</v>
      </c>
      <c r="AS1937" s="83">
        <f t="shared" si="127"/>
        <v>1</v>
      </c>
      <c r="AT1937" s="84">
        <f t="shared" si="128"/>
        <v>2015</v>
      </c>
      <c r="AU1937" s="86"/>
      <c r="AV1937" s="86"/>
      <c r="AW1937" s="87">
        <f t="shared" si="130"/>
        <v>0</v>
      </c>
      <c r="AX1937" s="86"/>
      <c r="AY1937" s="83"/>
      <c r="AZ1937" s="84"/>
      <c r="BA1937" s="86"/>
      <c r="BB1937" s="86"/>
    </row>
    <row r="1938" spans="1:54" ht="36.75" customHeight="1">
      <c r="A1938" s="30"/>
      <c r="B1938" s="30" t="s">
        <v>55</v>
      </c>
      <c r="C1938" s="69" t="str">
        <f t="shared" si="129"/>
        <v>Closed</v>
      </c>
      <c r="D1938" s="27" t="s">
        <v>10837</v>
      </c>
      <c r="E1938" s="29" t="s">
        <v>10838</v>
      </c>
      <c r="F1938" s="30" t="s">
        <v>594</v>
      </c>
      <c r="G1938" s="89">
        <f>DATE(2015,1,28)</f>
        <v>42032</v>
      </c>
      <c r="H1938" s="90">
        <v>1.3527777777777779</v>
      </c>
      <c r="I1938" s="30" t="s">
        <v>116</v>
      </c>
      <c r="J1938" s="89" t="s">
        <v>10839</v>
      </c>
      <c r="K1938" s="30" t="s">
        <v>596</v>
      </c>
      <c r="L1938" s="30" t="s">
        <v>10840</v>
      </c>
      <c r="M1938" s="30" t="s">
        <v>63</v>
      </c>
      <c r="N1938" s="30" t="s">
        <v>99</v>
      </c>
      <c r="O1938" s="30" t="s">
        <v>64</v>
      </c>
      <c r="P1938" s="89" t="s">
        <v>165</v>
      </c>
      <c r="Q1938" s="89" t="s">
        <v>10529</v>
      </c>
      <c r="R1938" s="89" t="s">
        <v>599</v>
      </c>
      <c r="S1938" s="30">
        <v>0</v>
      </c>
      <c r="T1938" s="233">
        <v>0</v>
      </c>
      <c r="U1938" s="30">
        <v>1</v>
      </c>
      <c r="V1938" s="233">
        <v>0</v>
      </c>
      <c r="W1938" s="30">
        <v>0</v>
      </c>
      <c r="X1938" s="30">
        <v>1</v>
      </c>
      <c r="Y1938" s="30">
        <v>0</v>
      </c>
      <c r="Z1938" s="233">
        <v>0</v>
      </c>
      <c r="AA1938" s="30">
        <v>0</v>
      </c>
      <c r="AB1938" s="30">
        <v>0</v>
      </c>
      <c r="AC1938" s="30">
        <v>0</v>
      </c>
      <c r="AD1938" s="30">
        <v>0</v>
      </c>
      <c r="AE1938" s="89" t="s">
        <v>92</v>
      </c>
      <c r="AF1938" s="89"/>
      <c r="AG1938" s="89" t="s">
        <v>352</v>
      </c>
      <c r="AH1938" s="72">
        <v>42311</v>
      </c>
      <c r="AI1938" s="30">
        <v>16</v>
      </c>
      <c r="AJ1938" s="89" t="s">
        <v>10841</v>
      </c>
      <c r="AK1938" s="89" t="s">
        <v>10842</v>
      </c>
      <c r="AL1938" s="91">
        <v>42083</v>
      </c>
      <c r="AM1938" s="91"/>
      <c r="AN1938" s="91"/>
      <c r="AO1938" s="91"/>
      <c r="AP1938" s="73" t="e">
        <f>MID(VLOOKUP(K1938,#REF!,2,FALSE),1,2)</f>
        <v>#REF!</v>
      </c>
      <c r="AQ1938" s="89">
        <f>DATE(2015,1,28)</f>
        <v>42032</v>
      </c>
      <c r="AR1938" s="82">
        <f t="shared" si="126"/>
        <v>28</v>
      </c>
      <c r="AS1938" s="83">
        <f t="shared" si="127"/>
        <v>1</v>
      </c>
      <c r="AT1938" s="84">
        <f t="shared" si="128"/>
        <v>2015</v>
      </c>
      <c r="AU1938" s="86"/>
      <c r="AV1938" s="86"/>
      <c r="AW1938" s="87">
        <f t="shared" si="130"/>
        <v>0</v>
      </c>
      <c r="AX1938" s="86"/>
      <c r="AY1938" s="83"/>
      <c r="AZ1938" s="84"/>
      <c r="BA1938" s="86"/>
      <c r="BB1938" s="86"/>
    </row>
    <row r="1939" spans="1:54" ht="36.75" customHeight="1">
      <c r="A1939" s="30"/>
      <c r="B1939" s="30" t="s">
        <v>55</v>
      </c>
      <c r="C1939" s="69" t="str">
        <f t="shared" si="129"/>
        <v>Closed</v>
      </c>
      <c r="D1939" s="27" t="s">
        <v>10843</v>
      </c>
      <c r="E1939" s="29" t="s">
        <v>10844</v>
      </c>
      <c r="F1939" s="30" t="s">
        <v>233</v>
      </c>
      <c r="G1939" s="89">
        <f>DATE(2015,1,28)</f>
        <v>42032</v>
      </c>
      <c r="H1939" s="90">
        <v>1.2694444444444444</v>
      </c>
      <c r="I1939" s="30" t="s">
        <v>156</v>
      </c>
      <c r="J1939" s="89" t="s">
        <v>10845</v>
      </c>
      <c r="K1939" s="30" t="s">
        <v>235</v>
      </c>
      <c r="L1939" s="30" t="s">
        <v>10846</v>
      </c>
      <c r="M1939" s="30" t="s">
        <v>63</v>
      </c>
      <c r="N1939" s="30" t="s">
        <v>142</v>
      </c>
      <c r="O1939" s="30" t="s">
        <v>77</v>
      </c>
      <c r="P1939" s="89" t="s">
        <v>165</v>
      </c>
      <c r="Q1939" s="89" t="s">
        <v>446</v>
      </c>
      <c r="R1939" s="89" t="s">
        <v>238</v>
      </c>
      <c r="S1939" s="30">
        <v>0</v>
      </c>
      <c r="T1939" s="233">
        <v>0</v>
      </c>
      <c r="U1939" s="30">
        <v>0</v>
      </c>
      <c r="V1939" s="233">
        <v>0</v>
      </c>
      <c r="W1939" s="30">
        <v>0</v>
      </c>
      <c r="X1939" s="30">
        <v>0</v>
      </c>
      <c r="Y1939" s="30">
        <v>0</v>
      </c>
      <c r="Z1939" s="233">
        <v>0</v>
      </c>
      <c r="AA1939" s="30">
        <v>0</v>
      </c>
      <c r="AB1939" s="30">
        <v>0</v>
      </c>
      <c r="AC1939" s="30">
        <v>0</v>
      </c>
      <c r="AD1939" s="30">
        <v>0</v>
      </c>
      <c r="AE1939" s="89" t="s">
        <v>92</v>
      </c>
      <c r="AF1939" s="89"/>
      <c r="AG1939" s="89" t="s">
        <v>133</v>
      </c>
      <c r="AH1939" s="72">
        <v>42051</v>
      </c>
      <c r="AI1939" s="30">
        <v>2</v>
      </c>
      <c r="AJ1939" s="89" t="s">
        <v>10847</v>
      </c>
      <c r="AK1939" s="89" t="s">
        <v>10848</v>
      </c>
      <c r="AL1939" s="91">
        <v>42093</v>
      </c>
      <c r="AM1939" s="91"/>
      <c r="AN1939" s="91"/>
      <c r="AO1939" s="91"/>
      <c r="AP1939" s="73" t="e">
        <f>MID(VLOOKUP(K1939,#REF!,2,FALSE),1,2)</f>
        <v>#REF!</v>
      </c>
      <c r="AQ1939" s="89">
        <f>DATE(2015,1,28)</f>
        <v>42032</v>
      </c>
      <c r="AR1939" s="82">
        <f t="shared" si="126"/>
        <v>28</v>
      </c>
      <c r="AS1939" s="83">
        <f t="shared" si="127"/>
        <v>1</v>
      </c>
      <c r="AT1939" s="84">
        <f t="shared" si="128"/>
        <v>2015</v>
      </c>
      <c r="AU1939" s="88">
        <f>DATE(2015,2,3)</f>
        <v>42038</v>
      </c>
      <c r="AV1939" s="88">
        <f>DATE(2015,2,3)</f>
        <v>42038</v>
      </c>
      <c r="AW1939" s="87">
        <f t="shared" si="130"/>
        <v>0</v>
      </c>
      <c r="AX1939" s="86"/>
      <c r="AY1939" s="83"/>
      <c r="AZ1939" s="84"/>
      <c r="BA1939" s="86"/>
      <c r="BB1939" s="86"/>
    </row>
    <row r="1940" spans="1:54" ht="36.75" customHeight="1">
      <c r="A1940" s="30"/>
      <c r="B1940" s="30" t="s">
        <v>55</v>
      </c>
      <c r="C1940" s="69" t="str">
        <f t="shared" si="129"/>
        <v>Closed</v>
      </c>
      <c r="D1940" s="27" t="s">
        <v>10849</v>
      </c>
      <c r="E1940" s="29" t="s">
        <v>10850</v>
      </c>
      <c r="F1940" s="30" t="s">
        <v>233</v>
      </c>
      <c r="G1940" s="89">
        <f>DATE(2015,1,30)</f>
        <v>42034</v>
      </c>
      <c r="H1940" s="90">
        <v>1.8298611111111112</v>
      </c>
      <c r="I1940" s="30" t="s">
        <v>125</v>
      </c>
      <c r="J1940" s="89" t="s">
        <v>10851</v>
      </c>
      <c r="K1940" s="30" t="s">
        <v>235</v>
      </c>
      <c r="L1940" s="30" t="s">
        <v>10852</v>
      </c>
      <c r="M1940" s="30" t="s">
        <v>63</v>
      </c>
      <c r="N1940" s="30" t="s">
        <v>142</v>
      </c>
      <c r="O1940" s="30" t="s">
        <v>64</v>
      </c>
      <c r="P1940" s="89" t="s">
        <v>165</v>
      </c>
      <c r="Q1940" s="89" t="s">
        <v>1081</v>
      </c>
      <c r="R1940" s="89" t="s">
        <v>238</v>
      </c>
      <c r="S1940" s="30">
        <v>0</v>
      </c>
      <c r="T1940" s="233">
        <v>0</v>
      </c>
      <c r="U1940" s="30">
        <v>0</v>
      </c>
      <c r="V1940" s="233">
        <v>0</v>
      </c>
      <c r="W1940" s="30">
        <v>0</v>
      </c>
      <c r="X1940" s="30">
        <v>0</v>
      </c>
      <c r="Y1940" s="30">
        <v>0</v>
      </c>
      <c r="Z1940" s="233">
        <v>0</v>
      </c>
      <c r="AA1940" s="30">
        <v>0</v>
      </c>
      <c r="AB1940" s="30">
        <v>0</v>
      </c>
      <c r="AC1940" s="30">
        <v>0</v>
      </c>
      <c r="AD1940" s="30">
        <v>0</v>
      </c>
      <c r="AE1940" s="89" t="s">
        <v>92</v>
      </c>
      <c r="AF1940" s="89"/>
      <c r="AG1940" s="89" t="s">
        <v>589</v>
      </c>
      <c r="AH1940" s="72">
        <v>42044</v>
      </c>
      <c r="AI1940" s="30">
        <v>4</v>
      </c>
      <c r="AJ1940" s="89" t="s">
        <v>10853</v>
      </c>
      <c r="AK1940" s="89" t="s">
        <v>10854</v>
      </c>
      <c r="AL1940" s="91">
        <v>42052</v>
      </c>
      <c r="AM1940" s="91"/>
      <c r="AN1940" s="91"/>
      <c r="AO1940" s="91"/>
      <c r="AP1940" s="73" t="e">
        <f>MID(VLOOKUP(K1940,#REF!,2,FALSE),1,2)</f>
        <v>#REF!</v>
      </c>
      <c r="AQ1940" s="89">
        <f>DATE(2015,1,30)</f>
        <v>42034</v>
      </c>
      <c r="AR1940" s="82">
        <f t="shared" si="126"/>
        <v>30</v>
      </c>
      <c r="AS1940" s="83">
        <f t="shared" si="127"/>
        <v>1</v>
      </c>
      <c r="AT1940" s="84">
        <f t="shared" si="128"/>
        <v>2015</v>
      </c>
      <c r="AU1940" s="88">
        <f>DATE(2015,2,17)</f>
        <v>42052</v>
      </c>
      <c r="AV1940" s="88">
        <f>DATE(2015,2,9)</f>
        <v>42044</v>
      </c>
      <c r="AW1940" s="87">
        <f t="shared" si="130"/>
        <v>8</v>
      </c>
      <c r="AX1940" s="88">
        <f>DATE(2015,2,17)</f>
        <v>42052</v>
      </c>
      <c r="AY1940" s="83">
        <f>MONTH(AX1940)</f>
        <v>2</v>
      </c>
      <c r="AZ1940" s="84">
        <f>YEAR(AX1940)</f>
        <v>2015</v>
      </c>
      <c r="BA1940" s="86"/>
      <c r="BB1940" s="86"/>
    </row>
    <row r="1941" spans="1:54" ht="36.75" customHeight="1">
      <c r="A1941" s="30"/>
      <c r="B1941" s="30" t="s">
        <v>55</v>
      </c>
      <c r="C1941" s="69" t="str">
        <f t="shared" si="129"/>
        <v>Closed</v>
      </c>
      <c r="D1941" s="27" t="s">
        <v>10855</v>
      </c>
      <c r="E1941" s="29" t="s">
        <v>10856</v>
      </c>
      <c r="F1941" s="30" t="s">
        <v>582</v>
      </c>
      <c r="G1941" s="89">
        <f>DATE(2015,1,31)</f>
        <v>42035</v>
      </c>
      <c r="H1941" s="90">
        <v>1.8263888888888888</v>
      </c>
      <c r="I1941" s="30" t="s">
        <v>278</v>
      </c>
      <c r="J1941" s="89" t="s">
        <v>10857</v>
      </c>
      <c r="K1941" s="30" t="s">
        <v>584</v>
      </c>
      <c r="L1941" s="30" t="s">
        <v>10858</v>
      </c>
      <c r="M1941" s="30" t="s">
        <v>63</v>
      </c>
      <c r="N1941" s="30" t="s">
        <v>142</v>
      </c>
      <c r="O1941" s="30" t="s">
        <v>77</v>
      </c>
      <c r="P1941" s="89" t="s">
        <v>6941</v>
      </c>
      <c r="Q1941" s="89" t="s">
        <v>4487</v>
      </c>
      <c r="R1941" s="89" t="s">
        <v>587</v>
      </c>
      <c r="S1941" s="30">
        <v>1</v>
      </c>
      <c r="T1941" s="233">
        <v>0</v>
      </c>
      <c r="U1941" s="30">
        <v>0</v>
      </c>
      <c r="V1941" s="233">
        <v>0</v>
      </c>
      <c r="W1941" s="30">
        <v>0</v>
      </c>
      <c r="X1941" s="30">
        <v>1</v>
      </c>
      <c r="Y1941" s="30">
        <v>0</v>
      </c>
      <c r="Z1941" s="233">
        <v>0</v>
      </c>
      <c r="AA1941" s="30">
        <v>0</v>
      </c>
      <c r="AB1941" s="30">
        <v>0</v>
      </c>
      <c r="AC1941" s="30">
        <v>0</v>
      </c>
      <c r="AD1941" s="30">
        <v>0</v>
      </c>
      <c r="AE1941" s="89" t="s">
        <v>92</v>
      </c>
      <c r="AF1941" s="89"/>
      <c r="AG1941" s="89" t="s">
        <v>133</v>
      </c>
      <c r="AH1941" s="72">
        <v>42060</v>
      </c>
      <c r="AI1941" s="30">
        <v>0</v>
      </c>
      <c r="AJ1941" s="89" t="s">
        <v>10859</v>
      </c>
      <c r="AK1941" s="89" t="s">
        <v>1233</v>
      </c>
      <c r="AL1941" s="91">
        <v>42090</v>
      </c>
      <c r="AM1941" s="91"/>
      <c r="AN1941" s="91"/>
      <c r="AO1941" s="91"/>
      <c r="AP1941" s="73" t="e">
        <f>MID(VLOOKUP(K1941,#REF!,2,FALSE),1,2)</f>
        <v>#REF!</v>
      </c>
      <c r="AQ1941" s="89">
        <f>DATE(2015,1,31)</f>
        <v>42035</v>
      </c>
      <c r="AR1941" s="82">
        <f t="shared" si="126"/>
        <v>31</v>
      </c>
      <c r="AS1941" s="83">
        <f t="shared" si="127"/>
        <v>1</v>
      </c>
      <c r="AT1941" s="84">
        <f t="shared" si="128"/>
        <v>2015</v>
      </c>
      <c r="AU1941" s="88">
        <f>DATE(2015,3,27)</f>
        <v>42090</v>
      </c>
      <c r="AV1941" s="88">
        <f>DATE(2015,2,25)</f>
        <v>42060</v>
      </c>
      <c r="AW1941" s="87">
        <f t="shared" si="130"/>
        <v>30</v>
      </c>
      <c r="AX1941" s="86"/>
      <c r="AY1941" s="83"/>
      <c r="AZ1941" s="84"/>
      <c r="BA1941" s="86"/>
      <c r="BB1941" s="86"/>
    </row>
    <row r="1942" spans="1:54" ht="36.75" customHeight="1">
      <c r="A1942" s="30"/>
      <c r="B1942" s="30" t="s">
        <v>55</v>
      </c>
      <c r="C1942" s="69" t="str">
        <f t="shared" si="129"/>
        <v>Closed</v>
      </c>
      <c r="D1942" s="27" t="s">
        <v>10860</v>
      </c>
      <c r="E1942" s="29" t="s">
        <v>10861</v>
      </c>
      <c r="F1942" s="30" t="s">
        <v>2601</v>
      </c>
      <c r="G1942" s="89">
        <f>DATE(2015,2,1)</f>
        <v>42036</v>
      </c>
      <c r="H1942" s="90">
        <v>1.3805555555555555</v>
      </c>
      <c r="I1942" s="30" t="s">
        <v>73</v>
      </c>
      <c r="J1942" s="89" t="s">
        <v>10862</v>
      </c>
      <c r="K1942" s="30" t="s">
        <v>2603</v>
      </c>
      <c r="L1942" s="30" t="s">
        <v>10863</v>
      </c>
      <c r="M1942" s="30" t="s">
        <v>63</v>
      </c>
      <c r="N1942" s="30" t="s">
        <v>89</v>
      </c>
      <c r="O1942" s="30" t="s">
        <v>77</v>
      </c>
      <c r="P1942" s="89" t="s">
        <v>165</v>
      </c>
      <c r="Q1942" s="89" t="s">
        <v>6342</v>
      </c>
      <c r="R1942" s="89" t="s">
        <v>2606</v>
      </c>
      <c r="S1942" s="30">
        <v>0</v>
      </c>
      <c r="T1942" s="233">
        <v>0</v>
      </c>
      <c r="U1942" s="30">
        <v>0</v>
      </c>
      <c r="V1942" s="233">
        <v>0</v>
      </c>
      <c r="W1942" s="30">
        <v>0</v>
      </c>
      <c r="X1942" s="30">
        <v>0</v>
      </c>
      <c r="Y1942" s="30">
        <v>0</v>
      </c>
      <c r="Z1942" s="233">
        <v>0</v>
      </c>
      <c r="AA1942" s="30">
        <v>0</v>
      </c>
      <c r="AB1942" s="30">
        <v>0</v>
      </c>
      <c r="AC1942" s="30">
        <v>0</v>
      </c>
      <c r="AD1942" s="30">
        <v>0</v>
      </c>
      <c r="AE1942" s="89" t="s">
        <v>92</v>
      </c>
      <c r="AF1942" s="89"/>
      <c r="AG1942" s="89" t="s">
        <v>133</v>
      </c>
      <c r="AH1942" s="72">
        <v>42037</v>
      </c>
      <c r="AI1942" s="30">
        <v>2</v>
      </c>
      <c r="AJ1942" s="89" t="s">
        <v>10864</v>
      </c>
      <c r="AK1942" s="89" t="s">
        <v>10865</v>
      </c>
      <c r="AL1942" s="91">
        <v>42038</v>
      </c>
      <c r="AM1942" s="91"/>
      <c r="AN1942" s="91"/>
      <c r="AO1942" s="91"/>
      <c r="AP1942" s="73" t="e">
        <f>MID(VLOOKUP(K1942,#REF!,2,FALSE),1,2)</f>
        <v>#REF!</v>
      </c>
      <c r="AQ1942" s="89">
        <f>DATE(2015,2,1)</f>
        <v>42036</v>
      </c>
      <c r="AR1942" s="82">
        <f t="shared" si="126"/>
        <v>1</v>
      </c>
      <c r="AS1942" s="83">
        <f t="shared" si="127"/>
        <v>2</v>
      </c>
      <c r="AT1942" s="84">
        <f t="shared" si="128"/>
        <v>2015</v>
      </c>
      <c r="AU1942" s="88">
        <f>DATE(2015,2,3)</f>
        <v>42038</v>
      </c>
      <c r="AV1942" s="88">
        <f>DATE(2015,2,2)</f>
        <v>42037</v>
      </c>
      <c r="AW1942" s="87">
        <f t="shared" si="130"/>
        <v>1</v>
      </c>
      <c r="AX1942" s="88">
        <f>DATE(2015,2,3)</f>
        <v>42038</v>
      </c>
      <c r="AY1942" s="83">
        <f>MONTH(AX1942)</f>
        <v>2</v>
      </c>
      <c r="AZ1942" s="84">
        <f>YEAR(AX1942)</f>
        <v>2015</v>
      </c>
      <c r="BA1942" s="88">
        <f>DATE(2015,2,1)</f>
        <v>42036</v>
      </c>
      <c r="BB1942" s="86"/>
    </row>
    <row r="1943" spans="1:54" ht="36.75" customHeight="1">
      <c r="A1943" s="30"/>
      <c r="B1943" s="30" t="s">
        <v>55</v>
      </c>
      <c r="C1943" s="69" t="str">
        <f t="shared" si="129"/>
        <v>Closed</v>
      </c>
      <c r="D1943" s="27" t="s">
        <v>10866</v>
      </c>
      <c r="E1943" s="29" t="s">
        <v>10867</v>
      </c>
      <c r="F1943" s="30" t="s">
        <v>58</v>
      </c>
      <c r="G1943" s="89">
        <f>DATE(2015,2,6)</f>
        <v>42041</v>
      </c>
      <c r="H1943" s="90">
        <v>1.3847222222222222</v>
      </c>
      <c r="I1943" s="30" t="s">
        <v>9026</v>
      </c>
      <c r="J1943" s="89" t="s">
        <v>10868</v>
      </c>
      <c r="K1943" s="30" t="s">
        <v>61</v>
      </c>
      <c r="L1943" s="30" t="s">
        <v>10869</v>
      </c>
      <c r="M1943" s="30" t="s">
        <v>63</v>
      </c>
      <c r="N1943" s="30" t="s">
        <v>99</v>
      </c>
      <c r="O1943" s="30" t="s">
        <v>64</v>
      </c>
      <c r="P1943" s="89" t="s">
        <v>6941</v>
      </c>
      <c r="Q1943" s="89" t="s">
        <v>10870</v>
      </c>
      <c r="R1943" s="89" t="s">
        <v>67</v>
      </c>
      <c r="S1943" s="30">
        <v>0</v>
      </c>
      <c r="T1943" s="233">
        <v>0</v>
      </c>
      <c r="U1943" s="30">
        <v>0</v>
      </c>
      <c r="V1943" s="233">
        <v>0</v>
      </c>
      <c r="W1943" s="30">
        <v>0</v>
      </c>
      <c r="X1943" s="30">
        <v>0</v>
      </c>
      <c r="Y1943" s="30">
        <v>0</v>
      </c>
      <c r="Z1943" s="233">
        <v>1</v>
      </c>
      <c r="AA1943" s="30">
        <v>1</v>
      </c>
      <c r="AB1943" s="30">
        <v>0</v>
      </c>
      <c r="AC1943" s="30">
        <v>0</v>
      </c>
      <c r="AD1943" s="30">
        <v>2</v>
      </c>
      <c r="AE1943" s="89" t="s">
        <v>394</v>
      </c>
      <c r="AF1943" s="89"/>
      <c r="AG1943" s="89" t="s">
        <v>133</v>
      </c>
      <c r="AH1943" s="72">
        <v>42045</v>
      </c>
      <c r="AI1943" s="30">
        <v>3</v>
      </c>
      <c r="AJ1943" s="89" t="s">
        <v>10871</v>
      </c>
      <c r="AK1943" s="89" t="s">
        <v>10872</v>
      </c>
      <c r="AL1943" s="91">
        <v>42048</v>
      </c>
      <c r="AM1943" s="91"/>
      <c r="AN1943" s="91"/>
      <c r="AO1943" s="91"/>
      <c r="AP1943" s="73" t="e">
        <f>MID(VLOOKUP(K1943,#REF!,2,FALSE),1,2)</f>
        <v>#REF!</v>
      </c>
      <c r="AQ1943" s="89">
        <f>DATE(2015,2,6)</f>
        <v>42041</v>
      </c>
      <c r="AR1943" s="82">
        <f t="shared" si="126"/>
        <v>6</v>
      </c>
      <c r="AS1943" s="83">
        <f t="shared" si="127"/>
        <v>2</v>
      </c>
      <c r="AT1943" s="84">
        <f t="shared" si="128"/>
        <v>2015</v>
      </c>
      <c r="AU1943" s="88">
        <f>DATE(2015,2,13)</f>
        <v>42048</v>
      </c>
      <c r="AV1943" s="88">
        <f>DATE(2015,2,10)</f>
        <v>42045</v>
      </c>
      <c r="AW1943" s="87">
        <f t="shared" si="130"/>
        <v>3</v>
      </c>
      <c r="AX1943" s="86"/>
      <c r="AY1943" s="83"/>
      <c r="AZ1943" s="84"/>
      <c r="BA1943" s="88">
        <f>DATE(2015,2,6)</f>
        <v>42041</v>
      </c>
      <c r="BB1943" s="86"/>
    </row>
    <row r="1944" spans="1:54" ht="36.75" customHeight="1">
      <c r="A1944" s="30"/>
      <c r="B1944" s="30" t="s">
        <v>55</v>
      </c>
      <c r="C1944" s="69" t="str">
        <f t="shared" si="129"/>
        <v>Closed</v>
      </c>
      <c r="D1944" s="27" t="s">
        <v>10873</v>
      </c>
      <c r="E1944" s="29" t="s">
        <v>10874</v>
      </c>
      <c r="F1944" s="30" t="s">
        <v>1572</v>
      </c>
      <c r="G1944" s="89">
        <f>DATE(2015,2,7)</f>
        <v>42042</v>
      </c>
      <c r="H1944" s="90">
        <v>1.59375</v>
      </c>
      <c r="I1944" s="30" t="s">
        <v>73</v>
      </c>
      <c r="J1944" s="89" t="s">
        <v>10875</v>
      </c>
      <c r="K1944" s="30" t="s">
        <v>1574</v>
      </c>
      <c r="L1944" s="30" t="s">
        <v>10876</v>
      </c>
      <c r="M1944" s="30" t="s">
        <v>63</v>
      </c>
      <c r="N1944" s="30" t="s">
        <v>99</v>
      </c>
      <c r="O1944" s="30" t="s">
        <v>64</v>
      </c>
      <c r="P1944" s="89" t="s">
        <v>78</v>
      </c>
      <c r="Q1944" s="89" t="s">
        <v>6093</v>
      </c>
      <c r="R1944" s="89" t="s">
        <v>2561</v>
      </c>
      <c r="S1944" s="30">
        <v>0</v>
      </c>
      <c r="T1944" s="233">
        <v>0</v>
      </c>
      <c r="U1944" s="30">
        <v>0</v>
      </c>
      <c r="V1944" s="233">
        <v>0</v>
      </c>
      <c r="W1944" s="30">
        <v>0</v>
      </c>
      <c r="X1944" s="30">
        <v>0</v>
      </c>
      <c r="Y1944" s="30">
        <v>0</v>
      </c>
      <c r="Z1944" s="233">
        <v>0</v>
      </c>
      <c r="AA1944" s="30">
        <v>0</v>
      </c>
      <c r="AB1944" s="30">
        <v>0</v>
      </c>
      <c r="AC1944" s="30">
        <v>0</v>
      </c>
      <c r="AD1944" s="30">
        <v>0</v>
      </c>
      <c r="AE1944" s="89" t="s">
        <v>92</v>
      </c>
      <c r="AF1944" s="89"/>
      <c r="AG1944" s="89" t="s">
        <v>133</v>
      </c>
      <c r="AH1944" s="72">
        <v>42044</v>
      </c>
      <c r="AI1944" s="30">
        <v>1</v>
      </c>
      <c r="AJ1944" s="89" t="s">
        <v>10877</v>
      </c>
      <c r="AK1944" s="89" t="s">
        <v>10878</v>
      </c>
      <c r="AL1944" s="91">
        <v>42044</v>
      </c>
      <c r="AM1944" s="91"/>
      <c r="AN1944" s="91"/>
      <c r="AO1944" s="91"/>
      <c r="AP1944" s="73" t="e">
        <f>MID(VLOOKUP(K1944,#REF!,2,FALSE),1,2)</f>
        <v>#REF!</v>
      </c>
      <c r="AQ1944" s="89">
        <f>DATE(2015,2,7)</f>
        <v>42042</v>
      </c>
      <c r="AR1944" s="82">
        <f t="shared" si="126"/>
        <v>7</v>
      </c>
      <c r="AS1944" s="83">
        <f t="shared" si="127"/>
        <v>2</v>
      </c>
      <c r="AT1944" s="84">
        <f t="shared" si="128"/>
        <v>2015</v>
      </c>
      <c r="AU1944" s="88">
        <f>DATE(2015,2,9)</f>
        <v>42044</v>
      </c>
      <c r="AV1944" s="88">
        <f>DATE(2015,2,9)</f>
        <v>42044</v>
      </c>
      <c r="AW1944" s="87">
        <f t="shared" si="130"/>
        <v>0</v>
      </c>
      <c r="AX1944" s="88">
        <f>DATE(2015,2,9)</f>
        <v>42044</v>
      </c>
      <c r="AY1944" s="83">
        <f>MONTH(AX1944)</f>
        <v>2</v>
      </c>
      <c r="AZ1944" s="84">
        <f>YEAR(AX1944)</f>
        <v>2015</v>
      </c>
      <c r="BA1944" s="88">
        <f>DATE(2015,2,7)</f>
        <v>42042</v>
      </c>
      <c r="BB1944" s="86"/>
    </row>
    <row r="1945" spans="1:54" ht="36.75" customHeight="1">
      <c r="A1945" s="30"/>
      <c r="B1945" s="30" t="s">
        <v>55</v>
      </c>
      <c r="C1945" s="69" t="str">
        <f t="shared" si="129"/>
        <v>Closed</v>
      </c>
      <c r="D1945" s="27" t="s">
        <v>10879</v>
      </c>
      <c r="E1945" s="29" t="s">
        <v>10880</v>
      </c>
      <c r="F1945" s="30" t="s">
        <v>638</v>
      </c>
      <c r="G1945" s="89">
        <f>DATE(2015,2,9)</f>
        <v>42044</v>
      </c>
      <c r="H1945" s="90">
        <v>1.3868055555555556</v>
      </c>
      <c r="I1945" s="30" t="s">
        <v>156</v>
      </c>
      <c r="J1945" s="89" t="s">
        <v>10881</v>
      </c>
      <c r="K1945" s="30" t="s">
        <v>640</v>
      </c>
      <c r="L1945" s="30" t="s">
        <v>10882</v>
      </c>
      <c r="M1945" s="30" t="s">
        <v>63</v>
      </c>
      <c r="N1945" s="30" t="s">
        <v>99</v>
      </c>
      <c r="O1945" s="30" t="s">
        <v>90</v>
      </c>
      <c r="P1945" s="89" t="s">
        <v>91</v>
      </c>
      <c r="Q1945" s="89" t="s">
        <v>4904</v>
      </c>
      <c r="R1945" s="89" t="s">
        <v>643</v>
      </c>
      <c r="S1945" s="30">
        <v>0</v>
      </c>
      <c r="T1945" s="233">
        <v>0</v>
      </c>
      <c r="U1945" s="30">
        <v>0</v>
      </c>
      <c r="V1945" s="233">
        <v>0</v>
      </c>
      <c r="W1945" s="30">
        <v>0</v>
      </c>
      <c r="X1945" s="30">
        <v>0</v>
      </c>
      <c r="Y1945" s="30">
        <v>0</v>
      </c>
      <c r="Z1945" s="233">
        <v>0</v>
      </c>
      <c r="AA1945" s="30">
        <v>0</v>
      </c>
      <c r="AB1945" s="30">
        <v>0</v>
      </c>
      <c r="AC1945" s="30">
        <v>0</v>
      </c>
      <c r="AD1945" s="30">
        <v>0</v>
      </c>
      <c r="AE1945" s="89" t="s">
        <v>92</v>
      </c>
      <c r="AF1945" s="89"/>
      <c r="AG1945" s="89" t="s">
        <v>352</v>
      </c>
      <c r="AH1945" s="72">
        <v>42087</v>
      </c>
      <c r="AI1945" s="30">
        <v>0</v>
      </c>
      <c r="AJ1945" s="89" t="s">
        <v>10883</v>
      </c>
      <c r="AK1945" s="89" t="s">
        <v>68</v>
      </c>
      <c r="AL1945" s="91">
        <v>42094</v>
      </c>
      <c r="AM1945" s="91"/>
      <c r="AN1945" s="91"/>
      <c r="AO1945" s="91"/>
      <c r="AP1945" s="73" t="e">
        <f>MID(VLOOKUP(K1945,#REF!,2,FALSE),1,2)</f>
        <v>#REF!</v>
      </c>
      <c r="AQ1945" s="89">
        <f>DATE(2015,2,9)</f>
        <v>42044</v>
      </c>
      <c r="AR1945" s="82">
        <f t="shared" si="126"/>
        <v>9</v>
      </c>
      <c r="AS1945" s="83">
        <f t="shared" si="127"/>
        <v>2</v>
      </c>
      <c r="AT1945" s="84">
        <f t="shared" si="128"/>
        <v>2015</v>
      </c>
      <c r="AU1945" s="88">
        <f>DATE(2015,3,31)</f>
        <v>42094</v>
      </c>
      <c r="AV1945" s="88">
        <f>DATE(2015,3,24)</f>
        <v>42087</v>
      </c>
      <c r="AW1945" s="87">
        <f t="shared" si="130"/>
        <v>7</v>
      </c>
      <c r="AX1945" s="86"/>
      <c r="AY1945" s="83"/>
      <c r="AZ1945" s="84"/>
      <c r="BA1945" s="86"/>
      <c r="BB1945" s="86"/>
    </row>
    <row r="1946" spans="1:54" ht="36.75" customHeight="1">
      <c r="A1946" s="30"/>
      <c r="B1946" s="30" t="s">
        <v>55</v>
      </c>
      <c r="C1946" s="69" t="str">
        <f t="shared" si="129"/>
        <v>Closed</v>
      </c>
      <c r="D1946" s="27" t="s">
        <v>10884</v>
      </c>
      <c r="E1946" s="29" t="s">
        <v>10885</v>
      </c>
      <c r="F1946" s="30" t="s">
        <v>124</v>
      </c>
      <c r="G1946" s="89">
        <f>DATE(2015,2,9)</f>
        <v>42044</v>
      </c>
      <c r="H1946" s="90">
        <v>1.3659722222222221</v>
      </c>
      <c r="I1946" s="30" t="s">
        <v>156</v>
      </c>
      <c r="J1946" s="89" t="s">
        <v>10886</v>
      </c>
      <c r="K1946" s="30" t="s">
        <v>127</v>
      </c>
      <c r="L1946" s="30" t="s">
        <v>10887</v>
      </c>
      <c r="M1946" s="30" t="s">
        <v>63</v>
      </c>
      <c r="N1946" s="30" t="s">
        <v>89</v>
      </c>
      <c r="O1946" s="30" t="s">
        <v>77</v>
      </c>
      <c r="P1946" s="89" t="s">
        <v>165</v>
      </c>
      <c r="Q1946" s="89" t="s">
        <v>229</v>
      </c>
      <c r="R1946" s="89" t="s">
        <v>167</v>
      </c>
      <c r="S1946" s="30">
        <v>0</v>
      </c>
      <c r="T1946" s="233">
        <v>0</v>
      </c>
      <c r="U1946" s="30">
        <v>0</v>
      </c>
      <c r="V1946" s="233">
        <v>0</v>
      </c>
      <c r="W1946" s="30">
        <v>0</v>
      </c>
      <c r="X1946" s="30">
        <v>0</v>
      </c>
      <c r="Y1946" s="30">
        <v>0</v>
      </c>
      <c r="Z1946" s="233">
        <v>0</v>
      </c>
      <c r="AA1946" s="30">
        <v>0</v>
      </c>
      <c r="AB1946" s="30">
        <v>0</v>
      </c>
      <c r="AC1946" s="30">
        <v>0</v>
      </c>
      <c r="AD1946" s="30">
        <v>0</v>
      </c>
      <c r="AE1946" s="89" t="s">
        <v>92</v>
      </c>
      <c r="AF1946" s="89"/>
      <c r="AG1946" s="89" t="s">
        <v>133</v>
      </c>
      <c r="AH1946" s="72">
        <v>42048</v>
      </c>
      <c r="AI1946" s="30">
        <v>1</v>
      </c>
      <c r="AJ1946" s="89" t="s">
        <v>10888</v>
      </c>
      <c r="AK1946" s="89" t="s">
        <v>68</v>
      </c>
      <c r="AL1946" s="91">
        <v>42048</v>
      </c>
      <c r="AM1946" s="91"/>
      <c r="AN1946" s="91"/>
      <c r="AO1946" s="91"/>
      <c r="AP1946" s="73" t="e">
        <f>MID(VLOOKUP(K1946,#REF!,2,FALSE),1,2)</f>
        <v>#REF!</v>
      </c>
      <c r="AQ1946" s="89">
        <f>DATE(2015,2,9)</f>
        <v>42044</v>
      </c>
      <c r="AR1946" s="82">
        <f t="shared" si="126"/>
        <v>9</v>
      </c>
      <c r="AS1946" s="83">
        <f t="shared" si="127"/>
        <v>2</v>
      </c>
      <c r="AT1946" s="84">
        <f t="shared" si="128"/>
        <v>2015</v>
      </c>
      <c r="AU1946" s="88">
        <f>DATE(2015,2,13)</f>
        <v>42048</v>
      </c>
      <c r="AV1946" s="88">
        <f>DATE(2015,2,13)</f>
        <v>42048</v>
      </c>
      <c r="AW1946" s="87">
        <f t="shared" si="130"/>
        <v>0</v>
      </c>
      <c r="AX1946" s="86"/>
      <c r="AY1946" s="83"/>
      <c r="AZ1946" s="84"/>
      <c r="BA1946" s="86"/>
      <c r="BB1946" s="86"/>
    </row>
    <row r="1947" spans="1:54" ht="36.75" customHeight="1">
      <c r="A1947" s="30"/>
      <c r="B1947" s="30" t="s">
        <v>55</v>
      </c>
      <c r="C1947" s="69" t="str">
        <f t="shared" si="129"/>
        <v>Closed</v>
      </c>
      <c r="D1947" s="27" t="s">
        <v>10889</v>
      </c>
      <c r="E1947" s="29" t="s">
        <v>10890</v>
      </c>
      <c r="F1947" s="30" t="s">
        <v>124</v>
      </c>
      <c r="G1947" s="89">
        <f>DATE(2015,2,9)</f>
        <v>42044</v>
      </c>
      <c r="H1947" s="90">
        <v>1.3472222222222223</v>
      </c>
      <c r="I1947" s="30" t="s">
        <v>73</v>
      </c>
      <c r="J1947" s="89" t="s">
        <v>10891</v>
      </c>
      <c r="K1947" s="30" t="s">
        <v>127</v>
      </c>
      <c r="L1947" s="30" t="s">
        <v>10892</v>
      </c>
      <c r="M1947" s="30" t="s">
        <v>63</v>
      </c>
      <c r="N1947" s="30" t="s">
        <v>99</v>
      </c>
      <c r="O1947" s="30" t="s">
        <v>64</v>
      </c>
      <c r="P1947" s="89" t="s">
        <v>78</v>
      </c>
      <c r="Q1947" s="89" t="s">
        <v>401</v>
      </c>
      <c r="R1947" s="89" t="s">
        <v>167</v>
      </c>
      <c r="S1947" s="30">
        <v>0</v>
      </c>
      <c r="T1947" s="233">
        <v>0</v>
      </c>
      <c r="U1947" s="30">
        <v>0</v>
      </c>
      <c r="V1947" s="233">
        <v>0</v>
      </c>
      <c r="W1947" s="30">
        <v>0</v>
      </c>
      <c r="X1947" s="30">
        <v>0</v>
      </c>
      <c r="Y1947" s="30">
        <v>0</v>
      </c>
      <c r="Z1947" s="233">
        <v>0</v>
      </c>
      <c r="AA1947" s="30">
        <v>0</v>
      </c>
      <c r="AB1947" s="30">
        <v>0</v>
      </c>
      <c r="AC1947" s="30">
        <v>0</v>
      </c>
      <c r="AD1947" s="30">
        <v>0</v>
      </c>
      <c r="AE1947" s="89" t="s">
        <v>394</v>
      </c>
      <c r="AF1947" s="89"/>
      <c r="AG1947" s="89" t="s">
        <v>82</v>
      </c>
      <c r="AH1947" s="72">
        <v>42054</v>
      </c>
      <c r="AI1947" s="30">
        <v>1</v>
      </c>
      <c r="AJ1947" s="89" t="s">
        <v>10893</v>
      </c>
      <c r="AK1947" s="89" t="s">
        <v>68</v>
      </c>
      <c r="AL1947" s="91">
        <v>42058</v>
      </c>
      <c r="AM1947" s="91"/>
      <c r="AN1947" s="91"/>
      <c r="AO1947" s="91"/>
      <c r="AP1947" s="73" t="e">
        <f>MID(VLOOKUP(K1947,#REF!,2,FALSE),1,2)</f>
        <v>#REF!</v>
      </c>
      <c r="AQ1947" s="89">
        <f>DATE(2015,2,9)</f>
        <v>42044</v>
      </c>
      <c r="AR1947" s="82">
        <f t="shared" si="126"/>
        <v>9</v>
      </c>
      <c r="AS1947" s="83">
        <f t="shared" si="127"/>
        <v>2</v>
      </c>
      <c r="AT1947" s="84">
        <f t="shared" si="128"/>
        <v>2015</v>
      </c>
      <c r="AU1947" s="88">
        <f>DATE(2015,2,23)</f>
        <v>42058</v>
      </c>
      <c r="AV1947" s="88">
        <f>DATE(2015,2,19)</f>
        <v>42054</v>
      </c>
      <c r="AW1947" s="87">
        <f t="shared" si="130"/>
        <v>4</v>
      </c>
      <c r="AX1947" s="86"/>
      <c r="AY1947" s="83"/>
      <c r="AZ1947" s="84"/>
      <c r="BA1947" s="86"/>
      <c r="BB1947" s="86"/>
    </row>
    <row r="1948" spans="1:54" ht="36.75" customHeight="1">
      <c r="A1948" s="30"/>
      <c r="B1948" s="30" t="s">
        <v>55</v>
      </c>
      <c r="C1948" s="69" t="str">
        <f t="shared" si="129"/>
        <v>Closed</v>
      </c>
      <c r="D1948" s="27" t="s">
        <v>10894</v>
      </c>
      <c r="E1948" s="29" t="s">
        <v>10895</v>
      </c>
      <c r="F1948" s="30" t="s">
        <v>638</v>
      </c>
      <c r="G1948" s="89">
        <f>DATE(2015,2,13)</f>
        <v>42048</v>
      </c>
      <c r="H1948" s="90">
        <v>1.6083333333333334</v>
      </c>
      <c r="I1948" s="30" t="s">
        <v>73</v>
      </c>
      <c r="J1948" s="89" t="s">
        <v>10896</v>
      </c>
      <c r="K1948" s="30" t="s">
        <v>640</v>
      </c>
      <c r="L1948" s="30" t="s">
        <v>10897</v>
      </c>
      <c r="M1948" s="30" t="s">
        <v>63</v>
      </c>
      <c r="N1948" s="30" t="s">
        <v>142</v>
      </c>
      <c r="O1948" s="30" t="s">
        <v>77</v>
      </c>
      <c r="P1948" s="89" t="s">
        <v>65</v>
      </c>
      <c r="Q1948" s="89">
        <v>0</v>
      </c>
      <c r="R1948" s="89" t="s">
        <v>643</v>
      </c>
      <c r="S1948" s="30">
        <v>0</v>
      </c>
      <c r="T1948" s="233">
        <v>0</v>
      </c>
      <c r="U1948" s="30">
        <v>0</v>
      </c>
      <c r="V1948" s="233">
        <v>0</v>
      </c>
      <c r="W1948" s="30">
        <v>0</v>
      </c>
      <c r="X1948" s="30">
        <v>0</v>
      </c>
      <c r="Y1948" s="30">
        <v>0</v>
      </c>
      <c r="Z1948" s="233">
        <v>0</v>
      </c>
      <c r="AA1948" s="30">
        <v>0</v>
      </c>
      <c r="AB1948" s="30">
        <v>0</v>
      </c>
      <c r="AC1948" s="30">
        <v>0</v>
      </c>
      <c r="AD1948" s="30">
        <v>0</v>
      </c>
      <c r="AE1948" s="89" t="s">
        <v>92</v>
      </c>
      <c r="AF1948" s="89"/>
      <c r="AG1948" s="89" t="s">
        <v>352</v>
      </c>
      <c r="AH1948" s="72">
        <v>42087</v>
      </c>
      <c r="AI1948" s="30">
        <v>2</v>
      </c>
      <c r="AJ1948" s="89" t="s">
        <v>10898</v>
      </c>
      <c r="AK1948" s="89" t="s">
        <v>68</v>
      </c>
      <c r="AL1948" s="91">
        <v>42094</v>
      </c>
      <c r="AM1948" s="91"/>
      <c r="AN1948" s="91"/>
      <c r="AO1948" s="91"/>
      <c r="AP1948" s="73" t="e">
        <f>MID(VLOOKUP(K1948,#REF!,2,FALSE),1,2)</f>
        <v>#REF!</v>
      </c>
      <c r="AQ1948" s="89">
        <f>DATE(2015,2,13)</f>
        <v>42048</v>
      </c>
      <c r="AR1948" s="82">
        <f t="shared" si="126"/>
        <v>13</v>
      </c>
      <c r="AS1948" s="83">
        <f t="shared" si="127"/>
        <v>2</v>
      </c>
      <c r="AT1948" s="84">
        <f t="shared" si="128"/>
        <v>2015</v>
      </c>
      <c r="AU1948" s="88">
        <f>DATE(2015,3,31)</f>
        <v>42094</v>
      </c>
      <c r="AV1948" s="88">
        <f>DATE(2015,3,24)</f>
        <v>42087</v>
      </c>
      <c r="AW1948" s="87">
        <f t="shared" si="130"/>
        <v>7</v>
      </c>
      <c r="AX1948" s="86"/>
      <c r="AY1948" s="83"/>
      <c r="AZ1948" s="84"/>
      <c r="BA1948" s="86"/>
      <c r="BB1948" s="86"/>
    </row>
    <row r="1949" spans="1:54" ht="36.75" customHeight="1">
      <c r="A1949" s="30"/>
      <c r="B1949" s="30" t="s">
        <v>55</v>
      </c>
      <c r="C1949" s="69" t="str">
        <f t="shared" si="129"/>
        <v>Closed</v>
      </c>
      <c r="D1949" s="27" t="s">
        <v>10899</v>
      </c>
      <c r="E1949" s="29" t="s">
        <v>10900</v>
      </c>
      <c r="F1949" s="30" t="s">
        <v>1572</v>
      </c>
      <c r="G1949" s="89">
        <f>DATE(2015,2,14)</f>
        <v>42049</v>
      </c>
      <c r="H1949" s="90">
        <v>1.1909722222222223</v>
      </c>
      <c r="I1949" s="30" t="s">
        <v>73</v>
      </c>
      <c r="J1949" s="89" t="s">
        <v>10901</v>
      </c>
      <c r="K1949" s="30" t="s">
        <v>1574</v>
      </c>
      <c r="L1949" s="30" t="s">
        <v>10902</v>
      </c>
      <c r="M1949" s="30" t="s">
        <v>63</v>
      </c>
      <c r="N1949" s="30" t="s">
        <v>99</v>
      </c>
      <c r="O1949" s="30" t="s">
        <v>64</v>
      </c>
      <c r="P1949" s="89" t="s">
        <v>78</v>
      </c>
      <c r="Q1949" s="89" t="s">
        <v>7932</v>
      </c>
      <c r="R1949" s="89" t="s">
        <v>2561</v>
      </c>
      <c r="S1949" s="30">
        <v>0</v>
      </c>
      <c r="T1949" s="233">
        <v>0</v>
      </c>
      <c r="U1949" s="30">
        <v>0</v>
      </c>
      <c r="V1949" s="233">
        <v>0</v>
      </c>
      <c r="W1949" s="30">
        <v>0</v>
      </c>
      <c r="X1949" s="30">
        <v>0</v>
      </c>
      <c r="Y1949" s="30">
        <v>0</v>
      </c>
      <c r="Z1949" s="233">
        <v>0</v>
      </c>
      <c r="AA1949" s="30">
        <v>0</v>
      </c>
      <c r="AB1949" s="30">
        <v>0</v>
      </c>
      <c r="AC1949" s="30">
        <v>0</v>
      </c>
      <c r="AD1949" s="30">
        <v>0</v>
      </c>
      <c r="AE1949" s="89" t="s">
        <v>92</v>
      </c>
      <c r="AF1949" s="89"/>
      <c r="AG1949" s="89" t="s">
        <v>133</v>
      </c>
      <c r="AH1949" s="72">
        <v>42051</v>
      </c>
      <c r="AI1949" s="30">
        <v>1</v>
      </c>
      <c r="AJ1949" s="89" t="s">
        <v>10903</v>
      </c>
      <c r="AK1949" s="89" t="s">
        <v>10904</v>
      </c>
      <c r="AL1949" s="91">
        <v>42052</v>
      </c>
      <c r="AM1949" s="91"/>
      <c r="AN1949" s="91"/>
      <c r="AO1949" s="91"/>
      <c r="AP1949" s="73" t="e">
        <f>MID(VLOOKUP(K1949,#REF!,2,FALSE),1,2)</f>
        <v>#REF!</v>
      </c>
      <c r="AQ1949" s="89">
        <f>DATE(2015,2,14)</f>
        <v>42049</v>
      </c>
      <c r="AR1949" s="82">
        <f t="shared" si="126"/>
        <v>14</v>
      </c>
      <c r="AS1949" s="83">
        <f t="shared" si="127"/>
        <v>2</v>
      </c>
      <c r="AT1949" s="84">
        <f t="shared" si="128"/>
        <v>2015</v>
      </c>
      <c r="AU1949" s="88">
        <f>DATE(2015,2,17)</f>
        <v>42052</v>
      </c>
      <c r="AV1949" s="88">
        <f>DATE(2015,2,16)</f>
        <v>42051</v>
      </c>
      <c r="AW1949" s="87">
        <f t="shared" si="130"/>
        <v>1</v>
      </c>
      <c r="AX1949" s="88">
        <f>DATE(2015,2,17)</f>
        <v>42052</v>
      </c>
      <c r="AY1949" s="83">
        <f>MONTH(AX1949)</f>
        <v>2</v>
      </c>
      <c r="AZ1949" s="84">
        <f>YEAR(AX1949)</f>
        <v>2015</v>
      </c>
      <c r="BA1949" s="88">
        <f>DATE(2015,2,14)</f>
        <v>42049</v>
      </c>
      <c r="BB1949" s="86"/>
    </row>
    <row r="1950" spans="1:54" ht="36.75" customHeight="1">
      <c r="A1950" s="30"/>
      <c r="B1950" s="30" t="s">
        <v>55</v>
      </c>
      <c r="C1950" s="69" t="str">
        <f t="shared" si="129"/>
        <v>Closed</v>
      </c>
      <c r="D1950" s="27" t="s">
        <v>10905</v>
      </c>
      <c r="E1950" s="29" t="s">
        <v>10906</v>
      </c>
      <c r="F1950" s="30" t="s">
        <v>423</v>
      </c>
      <c r="G1950" s="89">
        <f>DATE(2015,2,16)</f>
        <v>42051</v>
      </c>
      <c r="H1950" s="90">
        <v>1.5562499999999999</v>
      </c>
      <c r="I1950" s="30" t="s">
        <v>198</v>
      </c>
      <c r="J1950" s="89" t="s">
        <v>10907</v>
      </c>
      <c r="K1950" s="30" t="s">
        <v>425</v>
      </c>
      <c r="L1950" s="30" t="s">
        <v>10908</v>
      </c>
      <c r="M1950" s="30" t="s">
        <v>63</v>
      </c>
      <c r="N1950" s="30" t="s">
        <v>89</v>
      </c>
      <c r="O1950" s="30" t="s">
        <v>77</v>
      </c>
      <c r="P1950" s="89" t="s">
        <v>2551</v>
      </c>
      <c r="Q1950" s="89" t="s">
        <v>2582</v>
      </c>
      <c r="R1950" s="89" t="s">
        <v>3103</v>
      </c>
      <c r="S1950" s="30">
        <v>0</v>
      </c>
      <c r="T1950" s="233">
        <v>0</v>
      </c>
      <c r="U1950" s="30">
        <v>0</v>
      </c>
      <c r="V1950" s="233">
        <v>0</v>
      </c>
      <c r="W1950" s="30">
        <v>0</v>
      </c>
      <c r="X1950" s="30">
        <v>0</v>
      </c>
      <c r="Y1950" s="30">
        <v>0</v>
      </c>
      <c r="Z1950" s="233">
        <v>0</v>
      </c>
      <c r="AA1950" s="30">
        <v>0</v>
      </c>
      <c r="AB1950" s="30">
        <v>0</v>
      </c>
      <c r="AC1950" s="30">
        <v>0</v>
      </c>
      <c r="AD1950" s="30">
        <v>0</v>
      </c>
      <c r="AE1950" s="89" t="s">
        <v>394</v>
      </c>
      <c r="AF1950" s="89"/>
      <c r="AG1950" s="89" t="s">
        <v>589</v>
      </c>
      <c r="AH1950" s="72">
        <v>42280</v>
      </c>
      <c r="AI1950" s="30">
        <v>2</v>
      </c>
      <c r="AJ1950" s="89" t="s">
        <v>10909</v>
      </c>
      <c r="AK1950" s="89" t="s">
        <v>10910</v>
      </c>
      <c r="AL1950" s="91">
        <v>42073</v>
      </c>
      <c r="AM1950" s="91"/>
      <c r="AN1950" s="91"/>
      <c r="AO1950" s="91"/>
      <c r="AP1950" s="73" t="e">
        <f>MID(VLOOKUP(K1950,#REF!,2,FALSE),1,2)</f>
        <v>#REF!</v>
      </c>
      <c r="AQ1950" s="89">
        <f>DATE(2015,2,16)</f>
        <v>42051</v>
      </c>
      <c r="AR1950" s="82">
        <f t="shared" si="126"/>
        <v>16</v>
      </c>
      <c r="AS1950" s="83">
        <f t="shared" si="127"/>
        <v>2</v>
      </c>
      <c r="AT1950" s="84">
        <f t="shared" si="128"/>
        <v>2015</v>
      </c>
      <c r="AU1950" s="88">
        <f>DATE(2015,3,10)</f>
        <v>42073</v>
      </c>
      <c r="AV1950" s="88">
        <f>DATE(2015,3,10)</f>
        <v>42073</v>
      </c>
      <c r="AW1950" s="87">
        <f t="shared" si="130"/>
        <v>0</v>
      </c>
      <c r="AX1950" s="86"/>
      <c r="AY1950" s="83"/>
      <c r="AZ1950" s="84"/>
      <c r="BA1950" s="86"/>
      <c r="BB1950" s="86"/>
    </row>
    <row r="1951" spans="1:54" ht="36.75" customHeight="1">
      <c r="A1951" s="30"/>
      <c r="B1951" s="30" t="s">
        <v>55</v>
      </c>
      <c r="C1951" s="69" t="str">
        <f t="shared" si="129"/>
        <v>Closed</v>
      </c>
      <c r="D1951" s="27" t="s">
        <v>10911</v>
      </c>
      <c r="E1951" s="29" t="s">
        <v>10912</v>
      </c>
      <c r="F1951" s="30" t="s">
        <v>377</v>
      </c>
      <c r="G1951" s="89">
        <f>DATE(2015,2,16)</f>
        <v>42051</v>
      </c>
      <c r="H1951" s="90">
        <v>1.5222222222222221</v>
      </c>
      <c r="I1951" s="30" t="s">
        <v>198</v>
      </c>
      <c r="J1951" s="89" t="s">
        <v>10913</v>
      </c>
      <c r="K1951" s="30" t="s">
        <v>379</v>
      </c>
      <c r="L1951" s="30" t="s">
        <v>10914</v>
      </c>
      <c r="M1951" s="30" t="s">
        <v>63</v>
      </c>
      <c r="N1951" s="30" t="s">
        <v>142</v>
      </c>
      <c r="O1951" s="30" t="s">
        <v>64</v>
      </c>
      <c r="P1951" s="89" t="s">
        <v>1912</v>
      </c>
      <c r="Q1951" s="89" t="s">
        <v>10915</v>
      </c>
      <c r="R1951" s="89" t="s">
        <v>382</v>
      </c>
      <c r="S1951" s="30">
        <v>0</v>
      </c>
      <c r="T1951" s="233">
        <v>0</v>
      </c>
      <c r="U1951" s="30">
        <v>0</v>
      </c>
      <c r="V1951" s="233">
        <v>0</v>
      </c>
      <c r="W1951" s="30">
        <v>0</v>
      </c>
      <c r="X1951" s="30">
        <v>0</v>
      </c>
      <c r="Y1951" s="30">
        <v>0</v>
      </c>
      <c r="Z1951" s="233">
        <v>0</v>
      </c>
      <c r="AA1951" s="30">
        <v>0</v>
      </c>
      <c r="AB1951" s="30">
        <v>0</v>
      </c>
      <c r="AC1951" s="30">
        <v>0</v>
      </c>
      <c r="AD1951" s="30">
        <v>0</v>
      </c>
      <c r="AE1951" s="89" t="s">
        <v>394</v>
      </c>
      <c r="AF1951" s="89"/>
      <c r="AG1951" s="89" t="s">
        <v>133</v>
      </c>
      <c r="AH1951" s="72">
        <v>42052</v>
      </c>
      <c r="AI1951" s="30">
        <v>6</v>
      </c>
      <c r="AJ1951" s="89" t="s">
        <v>10916</v>
      </c>
      <c r="AK1951" s="89" t="s">
        <v>10917</v>
      </c>
      <c r="AL1951" s="91">
        <v>42299</v>
      </c>
      <c r="AM1951" s="91"/>
      <c r="AN1951" s="91"/>
      <c r="AO1951" s="91"/>
      <c r="AP1951" s="73" t="e">
        <f>MID(VLOOKUP(K1951,#REF!,2,FALSE),1,2)</f>
        <v>#REF!</v>
      </c>
      <c r="AQ1951" s="89">
        <f>DATE(2015,2,16)</f>
        <v>42051</v>
      </c>
      <c r="AR1951" s="82">
        <f t="shared" si="126"/>
        <v>16</v>
      </c>
      <c r="AS1951" s="83">
        <f t="shared" si="127"/>
        <v>2</v>
      </c>
      <c r="AT1951" s="84">
        <f t="shared" si="128"/>
        <v>2015</v>
      </c>
      <c r="AU1951" s="88">
        <f>DATE(2015,10,22)</f>
        <v>42299</v>
      </c>
      <c r="AV1951" s="88">
        <f>DATE(2015,2,17)</f>
        <v>42052</v>
      </c>
      <c r="AW1951" s="87">
        <f t="shared" si="130"/>
        <v>247</v>
      </c>
      <c r="AX1951" s="88">
        <f>DATE(2015,10,22)</f>
        <v>42299</v>
      </c>
      <c r="AY1951" s="83">
        <f>MONTH(AX1951)</f>
        <v>10</v>
      </c>
      <c r="AZ1951" s="84">
        <f>YEAR(AX1951)</f>
        <v>2015</v>
      </c>
      <c r="BA1951" s="88">
        <f>DATE(2015,2,16)</f>
        <v>42051</v>
      </c>
      <c r="BB1951" s="86"/>
    </row>
    <row r="1952" spans="1:54" ht="36.75" customHeight="1">
      <c r="A1952" s="30"/>
      <c r="B1952" s="30" t="s">
        <v>55</v>
      </c>
      <c r="C1952" s="69" t="str">
        <f t="shared" si="129"/>
        <v>Closed</v>
      </c>
      <c r="D1952" s="27" t="s">
        <v>10918</v>
      </c>
      <c r="E1952" s="29" t="s">
        <v>10919</v>
      </c>
      <c r="F1952" s="30" t="s">
        <v>638</v>
      </c>
      <c r="G1952" s="89">
        <f>DATE(2015,2,17)</f>
        <v>42052</v>
      </c>
      <c r="H1952" s="90">
        <v>1.6458333333333335</v>
      </c>
      <c r="I1952" s="30" t="s">
        <v>104</v>
      </c>
      <c r="J1952" s="89" t="s">
        <v>10920</v>
      </c>
      <c r="K1952" s="30" t="s">
        <v>640</v>
      </c>
      <c r="L1952" s="30" t="s">
        <v>6918</v>
      </c>
      <c r="M1952" s="30" t="s">
        <v>63</v>
      </c>
      <c r="N1952" s="30" t="s">
        <v>142</v>
      </c>
      <c r="O1952" s="30" t="s">
        <v>77</v>
      </c>
      <c r="P1952" s="89" t="s">
        <v>6941</v>
      </c>
      <c r="Q1952" s="89">
        <v>0</v>
      </c>
      <c r="R1952" s="89" t="s">
        <v>643</v>
      </c>
      <c r="S1952" s="30">
        <v>0</v>
      </c>
      <c r="T1952" s="233">
        <v>0</v>
      </c>
      <c r="U1952" s="30">
        <v>0</v>
      </c>
      <c r="V1952" s="233">
        <v>0</v>
      </c>
      <c r="W1952" s="30">
        <v>0</v>
      </c>
      <c r="X1952" s="30">
        <v>0</v>
      </c>
      <c r="Y1952" s="30">
        <v>0</v>
      </c>
      <c r="Z1952" s="233">
        <v>0</v>
      </c>
      <c r="AA1952" s="30">
        <v>0</v>
      </c>
      <c r="AB1952" s="30">
        <v>0</v>
      </c>
      <c r="AC1952" s="30">
        <v>0</v>
      </c>
      <c r="AD1952" s="30">
        <v>0</v>
      </c>
      <c r="AE1952" s="89" t="s">
        <v>92</v>
      </c>
      <c r="AF1952" s="89"/>
      <c r="AG1952" s="89" t="s">
        <v>352</v>
      </c>
      <c r="AH1952" s="72">
        <v>42087</v>
      </c>
      <c r="AI1952" s="30">
        <v>0</v>
      </c>
      <c r="AJ1952" s="89" t="s">
        <v>10921</v>
      </c>
      <c r="AK1952" s="89" t="s">
        <v>68</v>
      </c>
      <c r="AL1952" s="91">
        <v>42094</v>
      </c>
      <c r="AM1952" s="91"/>
      <c r="AN1952" s="91"/>
      <c r="AO1952" s="91"/>
      <c r="AP1952" s="73" t="e">
        <f>MID(VLOOKUP(K1952,#REF!,2,FALSE),1,2)</f>
        <v>#REF!</v>
      </c>
      <c r="AQ1952" s="89">
        <f>DATE(2015,2,17)</f>
        <v>42052</v>
      </c>
      <c r="AR1952" s="82">
        <f t="shared" si="126"/>
        <v>17</v>
      </c>
      <c r="AS1952" s="83">
        <f t="shared" si="127"/>
        <v>2</v>
      </c>
      <c r="AT1952" s="84">
        <f t="shared" si="128"/>
        <v>2015</v>
      </c>
      <c r="AU1952" s="88">
        <f>DATE(2015,3,31)</f>
        <v>42094</v>
      </c>
      <c r="AV1952" s="88">
        <f>DATE(2015,3,24)</f>
        <v>42087</v>
      </c>
      <c r="AW1952" s="87">
        <f t="shared" si="130"/>
        <v>7</v>
      </c>
      <c r="AX1952" s="86"/>
      <c r="AY1952" s="83"/>
      <c r="AZ1952" s="84"/>
      <c r="BA1952" s="86"/>
      <c r="BB1952" s="86"/>
    </row>
    <row r="1953" spans="1:54" ht="36.75" customHeight="1">
      <c r="A1953" s="30"/>
      <c r="B1953" s="30" t="s">
        <v>55</v>
      </c>
      <c r="C1953" s="69" t="str">
        <f t="shared" si="129"/>
        <v>Closed</v>
      </c>
      <c r="D1953" s="27" t="s">
        <v>10922</v>
      </c>
      <c r="E1953" s="29" t="s">
        <v>10923</v>
      </c>
      <c r="F1953" s="30" t="s">
        <v>1572</v>
      </c>
      <c r="G1953" s="89">
        <f>DATE(2015,2,17)</f>
        <v>42052</v>
      </c>
      <c r="H1953" s="90">
        <v>1.4652777777777777</v>
      </c>
      <c r="I1953" s="30" t="s">
        <v>1040</v>
      </c>
      <c r="J1953" s="89" t="s">
        <v>10924</v>
      </c>
      <c r="K1953" s="30" t="s">
        <v>1574</v>
      </c>
      <c r="L1953" s="30" t="s">
        <v>10925</v>
      </c>
      <c r="M1953" s="30" t="s">
        <v>63</v>
      </c>
      <c r="N1953" s="30" t="s">
        <v>99</v>
      </c>
      <c r="O1953" s="30" t="s">
        <v>77</v>
      </c>
      <c r="P1953" s="89" t="s">
        <v>6941</v>
      </c>
      <c r="Q1953" s="89" t="s">
        <v>2413</v>
      </c>
      <c r="R1953" s="89" t="s">
        <v>6434</v>
      </c>
      <c r="S1953" s="30">
        <v>0</v>
      </c>
      <c r="T1953" s="233">
        <v>0</v>
      </c>
      <c r="U1953" s="30">
        <v>0</v>
      </c>
      <c r="V1953" s="233">
        <v>0</v>
      </c>
      <c r="W1953" s="30">
        <v>0</v>
      </c>
      <c r="X1953" s="30">
        <v>0</v>
      </c>
      <c r="Y1953" s="30">
        <v>0</v>
      </c>
      <c r="Z1953" s="233">
        <v>0</v>
      </c>
      <c r="AA1953" s="30">
        <v>0</v>
      </c>
      <c r="AB1953" s="30">
        <v>0</v>
      </c>
      <c r="AC1953" s="30">
        <v>0</v>
      </c>
      <c r="AD1953" s="30">
        <v>0</v>
      </c>
      <c r="AE1953" s="89" t="s">
        <v>92</v>
      </c>
      <c r="AF1953" s="89"/>
      <c r="AG1953" s="89" t="s">
        <v>589</v>
      </c>
      <c r="AH1953" s="72">
        <v>42055</v>
      </c>
      <c r="AI1953" s="30">
        <v>2</v>
      </c>
      <c r="AJ1953" s="89" t="s">
        <v>10926</v>
      </c>
      <c r="AK1953" s="89" t="s">
        <v>10927</v>
      </c>
      <c r="AL1953" s="91">
        <v>42062</v>
      </c>
      <c r="AM1953" s="91"/>
      <c r="AN1953" s="91"/>
      <c r="AO1953" s="91"/>
      <c r="AP1953" s="73" t="e">
        <f>MID(VLOOKUP(K1953,#REF!,2,FALSE),1,2)</f>
        <v>#REF!</v>
      </c>
      <c r="AQ1953" s="89">
        <f>DATE(2015,2,17)</f>
        <v>42052</v>
      </c>
      <c r="AR1953" s="82">
        <f t="shared" si="126"/>
        <v>17</v>
      </c>
      <c r="AS1953" s="83">
        <f t="shared" si="127"/>
        <v>2</v>
      </c>
      <c r="AT1953" s="84">
        <f t="shared" si="128"/>
        <v>2015</v>
      </c>
      <c r="AU1953" s="88">
        <f>DATE(2015,2,27)</f>
        <v>42062</v>
      </c>
      <c r="AV1953" s="88">
        <f>DATE(2015,2,20)</f>
        <v>42055</v>
      </c>
      <c r="AW1953" s="87">
        <f t="shared" si="130"/>
        <v>7</v>
      </c>
      <c r="AX1953" s="88">
        <f>DATE(2015,2,27)</f>
        <v>42062</v>
      </c>
      <c r="AY1953" s="83">
        <f>MONTH(AX1953)</f>
        <v>2</v>
      </c>
      <c r="AZ1953" s="84">
        <f>YEAR(AX1953)</f>
        <v>2015</v>
      </c>
      <c r="BA1953" s="88">
        <f>DATE(2015,2,17)</f>
        <v>42052</v>
      </c>
      <c r="BB1953" s="86"/>
    </row>
    <row r="1954" spans="1:54" ht="36.75" customHeight="1">
      <c r="A1954" s="30"/>
      <c r="B1954" s="30" t="s">
        <v>55</v>
      </c>
      <c r="C1954" s="69" t="str">
        <f t="shared" si="129"/>
        <v>Closed</v>
      </c>
      <c r="D1954" s="27" t="s">
        <v>10928</v>
      </c>
      <c r="E1954" s="29" t="s">
        <v>10929</v>
      </c>
      <c r="F1954" s="30" t="s">
        <v>6455</v>
      </c>
      <c r="G1954" s="89">
        <f>DATE(2015,2,18)</f>
        <v>42053</v>
      </c>
      <c r="H1954" s="90">
        <v>1.5416666666666665</v>
      </c>
      <c r="I1954" s="30" t="s">
        <v>2078</v>
      </c>
      <c r="J1954" s="89" t="s">
        <v>10930</v>
      </c>
      <c r="K1954" s="30" t="s">
        <v>584</v>
      </c>
      <c r="L1954" s="30" t="s">
        <v>10931</v>
      </c>
      <c r="M1954" s="30" t="s">
        <v>63</v>
      </c>
      <c r="N1954" s="30" t="s">
        <v>142</v>
      </c>
      <c r="O1954" s="30" t="s">
        <v>64</v>
      </c>
      <c r="P1954" s="89" t="s">
        <v>165</v>
      </c>
      <c r="Q1954" s="89" t="s">
        <v>4487</v>
      </c>
      <c r="R1954" s="89" t="s">
        <v>587</v>
      </c>
      <c r="S1954" s="30">
        <v>0</v>
      </c>
      <c r="T1954" s="233">
        <v>0</v>
      </c>
      <c r="U1954" s="30">
        <v>0</v>
      </c>
      <c r="V1954" s="233">
        <v>0</v>
      </c>
      <c r="W1954" s="30">
        <v>0</v>
      </c>
      <c r="X1954" s="30">
        <v>0</v>
      </c>
      <c r="Y1954" s="30">
        <v>0</v>
      </c>
      <c r="Z1954" s="233">
        <v>0</v>
      </c>
      <c r="AA1954" s="30">
        <v>0</v>
      </c>
      <c r="AB1954" s="30">
        <v>0</v>
      </c>
      <c r="AC1954" s="30">
        <v>0</v>
      </c>
      <c r="AD1954" s="30">
        <v>0</v>
      </c>
      <c r="AE1954" s="89" t="s">
        <v>92</v>
      </c>
      <c r="AF1954" s="89" t="s">
        <v>10932</v>
      </c>
      <c r="AG1954" s="89" t="s">
        <v>8859</v>
      </c>
      <c r="AH1954" s="72">
        <v>42132</v>
      </c>
      <c r="AI1954" s="30">
        <v>0</v>
      </c>
      <c r="AJ1954" s="89" t="s">
        <v>10933</v>
      </c>
      <c r="AK1954" s="89" t="s">
        <v>10569</v>
      </c>
      <c r="AL1954" s="91">
        <v>42136</v>
      </c>
      <c r="AM1954" s="91">
        <v>44593</v>
      </c>
      <c r="AN1954" s="91">
        <v>44656</v>
      </c>
      <c r="AO1954" s="91">
        <v>44641</v>
      </c>
      <c r="AP1954" s="73" t="e">
        <f>MID(VLOOKUP(K1954,#REF!,2,FALSE),1,2)</f>
        <v>#REF!</v>
      </c>
      <c r="AQ1954" s="89">
        <f>DATE(2015,2,18)</f>
        <v>42053</v>
      </c>
      <c r="AR1954" s="82">
        <f t="shared" si="126"/>
        <v>18</v>
      </c>
      <c r="AS1954" s="83">
        <f t="shared" si="127"/>
        <v>2</v>
      </c>
      <c r="AT1954" s="84">
        <f t="shared" si="128"/>
        <v>2015</v>
      </c>
      <c r="AU1954" s="88">
        <f>DATE(2015,5,12)</f>
        <v>42136</v>
      </c>
      <c r="AV1954" s="88">
        <f>DATE(2015,5,8)</f>
        <v>42132</v>
      </c>
      <c r="AW1954" s="87">
        <f t="shared" si="130"/>
        <v>4</v>
      </c>
      <c r="AX1954" s="86"/>
      <c r="AY1954" s="83"/>
      <c r="AZ1954" s="84"/>
      <c r="BA1954" s="86"/>
      <c r="BB1954" s="86"/>
    </row>
    <row r="1955" spans="1:54" ht="36.75" customHeight="1">
      <c r="A1955" s="30"/>
      <c r="B1955" s="30" t="s">
        <v>55</v>
      </c>
      <c r="C1955" s="69" t="str">
        <f t="shared" si="129"/>
        <v>Closed</v>
      </c>
      <c r="D1955" s="27" t="s">
        <v>10934</v>
      </c>
      <c r="E1955" s="29" t="s">
        <v>10935</v>
      </c>
      <c r="F1955" s="30" t="s">
        <v>423</v>
      </c>
      <c r="G1955" s="89">
        <f>DATE(2015,2,19)</f>
        <v>42054</v>
      </c>
      <c r="H1955" s="90">
        <v>1.6805555555555554</v>
      </c>
      <c r="I1955" s="30" t="s">
        <v>2078</v>
      </c>
      <c r="J1955" s="89" t="s">
        <v>10936</v>
      </c>
      <c r="K1955" s="30" t="s">
        <v>425</v>
      </c>
      <c r="L1955" s="30" t="s">
        <v>10937</v>
      </c>
      <c r="M1955" s="30" t="s">
        <v>63</v>
      </c>
      <c r="N1955" s="30" t="s">
        <v>89</v>
      </c>
      <c r="O1955" s="30" t="s">
        <v>6875</v>
      </c>
      <c r="P1955" s="89" t="s">
        <v>91</v>
      </c>
      <c r="Q1955" s="89" t="s">
        <v>5199</v>
      </c>
      <c r="R1955" s="89" t="s">
        <v>5200</v>
      </c>
      <c r="S1955" s="30">
        <v>0</v>
      </c>
      <c r="T1955" s="233">
        <v>0</v>
      </c>
      <c r="U1955" s="30">
        <v>0</v>
      </c>
      <c r="V1955" s="233">
        <v>0</v>
      </c>
      <c r="W1955" s="30">
        <v>0</v>
      </c>
      <c r="X1955" s="30">
        <v>0</v>
      </c>
      <c r="Y1955" s="30">
        <v>0</v>
      </c>
      <c r="Z1955" s="233">
        <v>0</v>
      </c>
      <c r="AA1955" s="30">
        <v>0</v>
      </c>
      <c r="AB1955" s="30">
        <v>0</v>
      </c>
      <c r="AC1955" s="30">
        <v>0</v>
      </c>
      <c r="AD1955" s="30">
        <v>0</v>
      </c>
      <c r="AE1955" s="89" t="s">
        <v>394</v>
      </c>
      <c r="AF1955" s="89"/>
      <c r="AG1955" s="89" t="s">
        <v>133</v>
      </c>
      <c r="AH1955" s="72">
        <v>42055</v>
      </c>
      <c r="AI1955" s="30">
        <v>3</v>
      </c>
      <c r="AJ1955" s="89" t="s">
        <v>10938</v>
      </c>
      <c r="AK1955" s="89" t="s">
        <v>10939</v>
      </c>
      <c r="AL1955" s="91">
        <v>42058</v>
      </c>
      <c r="AM1955" s="91"/>
      <c r="AN1955" s="91"/>
      <c r="AO1955" s="91"/>
      <c r="AP1955" s="73" t="e">
        <f>MID(VLOOKUP(K1955,#REF!,2,FALSE),1,2)</f>
        <v>#REF!</v>
      </c>
      <c r="AQ1955" s="89">
        <f>DATE(2015,2,19)</f>
        <v>42054</v>
      </c>
      <c r="AR1955" s="82">
        <f t="shared" si="126"/>
        <v>19</v>
      </c>
      <c r="AS1955" s="83">
        <f t="shared" si="127"/>
        <v>2</v>
      </c>
      <c r="AT1955" s="84">
        <f t="shared" si="128"/>
        <v>2015</v>
      </c>
      <c r="AU1955" s="88">
        <f>DATE(2015,2,23)</f>
        <v>42058</v>
      </c>
      <c r="AV1955" s="88">
        <f>DATE(2015,2,20)</f>
        <v>42055</v>
      </c>
      <c r="AW1955" s="87">
        <f t="shared" si="130"/>
        <v>3</v>
      </c>
      <c r="AX1955" s="86"/>
      <c r="AY1955" s="83"/>
      <c r="AZ1955" s="84"/>
      <c r="BA1955" s="86"/>
      <c r="BB1955" s="86"/>
    </row>
    <row r="1956" spans="1:54" ht="36.75" customHeight="1">
      <c r="A1956" s="30"/>
      <c r="B1956" s="30" t="s">
        <v>55</v>
      </c>
      <c r="C1956" s="69" t="str">
        <f t="shared" si="129"/>
        <v>Closed</v>
      </c>
      <c r="D1956" s="27" t="s">
        <v>10940</v>
      </c>
      <c r="E1956" s="29" t="s">
        <v>10941</v>
      </c>
      <c r="F1956" s="30" t="s">
        <v>233</v>
      </c>
      <c r="G1956" s="89">
        <f>DATE(2015,2,22)</f>
        <v>42057</v>
      </c>
      <c r="H1956" s="90">
        <v>1.7333333333333334</v>
      </c>
      <c r="I1956" s="30" t="s">
        <v>156</v>
      </c>
      <c r="J1956" s="89" t="s">
        <v>10942</v>
      </c>
      <c r="K1956" s="30" t="s">
        <v>235</v>
      </c>
      <c r="L1956" s="30" t="s">
        <v>10943</v>
      </c>
      <c r="M1956" s="30" t="s">
        <v>63</v>
      </c>
      <c r="N1956" s="30" t="s">
        <v>142</v>
      </c>
      <c r="O1956" s="30" t="s">
        <v>64</v>
      </c>
      <c r="P1956" s="89" t="s">
        <v>6941</v>
      </c>
      <c r="Q1956" s="89" t="s">
        <v>1428</v>
      </c>
      <c r="R1956" s="89" t="s">
        <v>238</v>
      </c>
      <c r="S1956" s="30">
        <v>0</v>
      </c>
      <c r="T1956" s="233">
        <v>0</v>
      </c>
      <c r="U1956" s="30">
        <v>0</v>
      </c>
      <c r="V1956" s="233">
        <v>0</v>
      </c>
      <c r="W1956" s="30">
        <v>0</v>
      </c>
      <c r="X1956" s="30">
        <v>0</v>
      </c>
      <c r="Y1956" s="30">
        <v>0</v>
      </c>
      <c r="Z1956" s="233">
        <v>0</v>
      </c>
      <c r="AA1956" s="30">
        <v>0</v>
      </c>
      <c r="AB1956" s="30">
        <v>0</v>
      </c>
      <c r="AC1956" s="30">
        <v>0</v>
      </c>
      <c r="AD1956" s="30">
        <v>0</v>
      </c>
      <c r="AE1956" s="89" t="s">
        <v>92</v>
      </c>
      <c r="AF1956" s="89"/>
      <c r="AG1956" s="89" t="s">
        <v>133</v>
      </c>
      <c r="AH1956" s="72">
        <v>42065</v>
      </c>
      <c r="AI1956" s="30">
        <v>4</v>
      </c>
      <c r="AJ1956" s="89" t="s">
        <v>10944</v>
      </c>
      <c r="AK1956" s="89" t="s">
        <v>10945</v>
      </c>
      <c r="AL1956" s="91">
        <v>42093</v>
      </c>
      <c r="AM1956" s="91"/>
      <c r="AN1956" s="91"/>
      <c r="AO1956" s="91"/>
      <c r="AP1956" s="73" t="e">
        <f>MID(VLOOKUP(K1956,#REF!,2,FALSE),1,2)</f>
        <v>#REF!</v>
      </c>
      <c r="AQ1956" s="89">
        <f>DATE(2015,2,22)</f>
        <v>42057</v>
      </c>
      <c r="AR1956" s="82">
        <f t="shared" si="126"/>
        <v>22</v>
      </c>
      <c r="AS1956" s="83">
        <f t="shared" si="127"/>
        <v>2</v>
      </c>
      <c r="AT1956" s="84">
        <f t="shared" si="128"/>
        <v>2015</v>
      </c>
      <c r="AU1956" s="88">
        <f>DATE(2015,3,30)</f>
        <v>42093</v>
      </c>
      <c r="AV1956" s="88">
        <f>DATE(2015,3,2)</f>
        <v>42065</v>
      </c>
      <c r="AW1956" s="87">
        <f t="shared" si="130"/>
        <v>28</v>
      </c>
      <c r="AX1956" s="88">
        <f>DATE(2015,3,30)</f>
        <v>42093</v>
      </c>
      <c r="AY1956" s="83">
        <f>MONTH(AX1956)</f>
        <v>3</v>
      </c>
      <c r="AZ1956" s="84">
        <f>YEAR(AX1956)</f>
        <v>2015</v>
      </c>
      <c r="BA1956" s="86"/>
      <c r="BB1956" s="86"/>
    </row>
    <row r="1957" spans="1:54" ht="36.75" customHeight="1">
      <c r="A1957" s="30"/>
      <c r="B1957" s="30" t="s">
        <v>55</v>
      </c>
      <c r="C1957" s="69" t="str">
        <f t="shared" si="129"/>
        <v>Closed</v>
      </c>
      <c r="D1957" s="27" t="s">
        <v>10946</v>
      </c>
      <c r="E1957" s="29" t="s">
        <v>10947</v>
      </c>
      <c r="F1957" s="30" t="s">
        <v>423</v>
      </c>
      <c r="G1957" s="89">
        <f>DATE(2015,2,27)</f>
        <v>42062</v>
      </c>
      <c r="H1957" s="90">
        <v>1.7916666666666665</v>
      </c>
      <c r="I1957" s="30" t="s">
        <v>278</v>
      </c>
      <c r="J1957" s="89" t="s">
        <v>10948</v>
      </c>
      <c r="K1957" s="30" t="s">
        <v>425</v>
      </c>
      <c r="L1957" s="30" t="s">
        <v>10949</v>
      </c>
      <c r="M1957" s="30" t="s">
        <v>63</v>
      </c>
      <c r="N1957" s="30" t="s">
        <v>142</v>
      </c>
      <c r="O1957" s="30" t="s">
        <v>77</v>
      </c>
      <c r="P1957" s="89" t="s">
        <v>165</v>
      </c>
      <c r="Q1957" s="89" t="s">
        <v>427</v>
      </c>
      <c r="R1957" s="89" t="s">
        <v>3103</v>
      </c>
      <c r="S1957" s="30">
        <v>0</v>
      </c>
      <c r="T1957" s="233">
        <v>0</v>
      </c>
      <c r="U1957" s="30">
        <v>0</v>
      </c>
      <c r="V1957" s="233">
        <v>0</v>
      </c>
      <c r="W1957" s="30">
        <v>0</v>
      </c>
      <c r="X1957" s="30">
        <v>0</v>
      </c>
      <c r="Y1957" s="30">
        <v>0</v>
      </c>
      <c r="Z1957" s="233">
        <v>0</v>
      </c>
      <c r="AA1957" s="30">
        <v>0</v>
      </c>
      <c r="AB1957" s="30">
        <v>0</v>
      </c>
      <c r="AC1957" s="30">
        <v>0</v>
      </c>
      <c r="AD1957" s="30">
        <v>0</v>
      </c>
      <c r="AE1957" s="89" t="s">
        <v>92</v>
      </c>
      <c r="AF1957" s="89"/>
      <c r="AG1957" s="89" t="s">
        <v>589</v>
      </c>
      <c r="AH1957" s="72">
        <v>42280</v>
      </c>
      <c r="AI1957" s="30">
        <v>2</v>
      </c>
      <c r="AJ1957" s="89" t="s">
        <v>10950</v>
      </c>
      <c r="AK1957" s="89" t="s">
        <v>10951</v>
      </c>
      <c r="AL1957" s="91">
        <v>42073</v>
      </c>
      <c r="AM1957" s="91"/>
      <c r="AN1957" s="91"/>
      <c r="AO1957" s="91"/>
      <c r="AP1957" s="73" t="e">
        <f>MID(VLOOKUP(K1957,#REF!,2,FALSE),1,2)</f>
        <v>#REF!</v>
      </c>
      <c r="AQ1957" s="89">
        <f>DATE(2015,2,27)</f>
        <v>42062</v>
      </c>
      <c r="AR1957" s="82">
        <f t="shared" si="126"/>
        <v>27</v>
      </c>
      <c r="AS1957" s="83">
        <f t="shared" si="127"/>
        <v>2</v>
      </c>
      <c r="AT1957" s="84">
        <f t="shared" si="128"/>
        <v>2015</v>
      </c>
      <c r="AU1957" s="88">
        <f>DATE(2015,3,10)</f>
        <v>42073</v>
      </c>
      <c r="AV1957" s="88">
        <f>DATE(2015,3,10)</f>
        <v>42073</v>
      </c>
      <c r="AW1957" s="87">
        <f t="shared" si="130"/>
        <v>0</v>
      </c>
      <c r="AX1957" s="86"/>
      <c r="AY1957" s="83"/>
      <c r="AZ1957" s="84"/>
      <c r="BA1957" s="86"/>
      <c r="BB1957" s="86"/>
    </row>
    <row r="1958" spans="1:54" ht="36.75" customHeight="1">
      <c r="A1958" s="30"/>
      <c r="B1958" s="30" t="s">
        <v>55</v>
      </c>
      <c r="C1958" s="69" t="str">
        <f t="shared" si="129"/>
        <v>Closed</v>
      </c>
      <c r="D1958" s="27" t="s">
        <v>10952</v>
      </c>
      <c r="E1958" s="29" t="s">
        <v>10953</v>
      </c>
      <c r="F1958" s="30" t="s">
        <v>9789</v>
      </c>
      <c r="G1958" s="89">
        <f>DATE(2015,2,27)</f>
        <v>42062</v>
      </c>
      <c r="H1958" s="90">
        <v>1.75</v>
      </c>
      <c r="I1958" s="30" t="s">
        <v>116</v>
      </c>
      <c r="J1958" s="210" t="s">
        <v>10954</v>
      </c>
      <c r="K1958" s="30" t="s">
        <v>9791</v>
      </c>
      <c r="L1958" s="30" t="s">
        <v>10955</v>
      </c>
      <c r="M1958" s="30" t="s">
        <v>63</v>
      </c>
      <c r="N1958" s="30" t="s">
        <v>99</v>
      </c>
      <c r="O1958" s="30" t="s">
        <v>64</v>
      </c>
      <c r="P1958" s="89" t="s">
        <v>78</v>
      </c>
      <c r="Q1958" s="89" t="s">
        <v>10257</v>
      </c>
      <c r="R1958" s="89" t="s">
        <v>9794</v>
      </c>
      <c r="S1958" s="30">
        <v>0</v>
      </c>
      <c r="T1958" s="233">
        <v>0</v>
      </c>
      <c r="U1958" s="30">
        <v>0</v>
      </c>
      <c r="V1958" s="233">
        <v>0</v>
      </c>
      <c r="W1958" s="30">
        <v>0</v>
      </c>
      <c r="X1958" s="30">
        <v>0</v>
      </c>
      <c r="Y1958" s="30">
        <v>0</v>
      </c>
      <c r="Z1958" s="233">
        <v>0</v>
      </c>
      <c r="AA1958" s="30">
        <v>0</v>
      </c>
      <c r="AB1958" s="30">
        <v>0</v>
      </c>
      <c r="AC1958" s="30">
        <v>0</v>
      </c>
      <c r="AD1958" s="30">
        <v>0</v>
      </c>
      <c r="AE1958" s="89" t="s">
        <v>394</v>
      </c>
      <c r="AF1958" s="89"/>
      <c r="AG1958" s="89" t="s">
        <v>352</v>
      </c>
      <c r="AH1958" s="72">
        <v>42063</v>
      </c>
      <c r="AI1958" s="30">
        <v>5</v>
      </c>
      <c r="AJ1958" s="89" t="s">
        <v>10956</v>
      </c>
      <c r="AK1958" s="89" t="s">
        <v>10957</v>
      </c>
      <c r="AL1958" s="91">
        <v>42076</v>
      </c>
      <c r="AM1958" s="91"/>
      <c r="AN1958" s="91"/>
      <c r="AO1958" s="91"/>
      <c r="AP1958" s="73" t="e">
        <f>MID(VLOOKUP(K1958,#REF!,2,FALSE),1,2)</f>
        <v>#REF!</v>
      </c>
      <c r="AQ1958" s="89">
        <f>DATE(2015,2,27)</f>
        <v>42062</v>
      </c>
      <c r="AR1958" s="82">
        <f t="shared" si="126"/>
        <v>27</v>
      </c>
      <c r="AS1958" s="83">
        <f t="shared" si="127"/>
        <v>2</v>
      </c>
      <c r="AT1958" s="84">
        <f t="shared" si="128"/>
        <v>2015</v>
      </c>
      <c r="AU1958" s="88">
        <f>DATE(2015,3,13)</f>
        <v>42076</v>
      </c>
      <c r="AV1958" s="88">
        <f>DATE(2015,2,28)</f>
        <v>42063</v>
      </c>
      <c r="AW1958" s="87">
        <f t="shared" si="130"/>
        <v>13</v>
      </c>
      <c r="AX1958" s="86"/>
      <c r="AY1958" s="83"/>
      <c r="AZ1958" s="84"/>
      <c r="BA1958" s="86"/>
      <c r="BB1958" s="86"/>
    </row>
    <row r="1959" spans="1:54" ht="36.75" customHeight="1">
      <c r="A1959" s="30"/>
      <c r="B1959" s="30" t="s">
        <v>55</v>
      </c>
      <c r="C1959" s="69" t="str">
        <f t="shared" si="129"/>
        <v>Closed</v>
      </c>
      <c r="D1959" s="27" t="s">
        <v>10958</v>
      </c>
      <c r="E1959" s="29" t="s">
        <v>10959</v>
      </c>
      <c r="F1959" s="30" t="s">
        <v>6455</v>
      </c>
      <c r="G1959" s="89">
        <f>DATE(2015,3,3)</f>
        <v>42066</v>
      </c>
      <c r="H1959" s="90">
        <v>1.3812500000000001</v>
      </c>
      <c r="I1959" s="30" t="s">
        <v>2078</v>
      </c>
      <c r="J1959" s="89" t="s">
        <v>10960</v>
      </c>
      <c r="K1959" s="30" t="s">
        <v>584</v>
      </c>
      <c r="L1959" s="30" t="s">
        <v>10961</v>
      </c>
      <c r="M1959" s="30" t="s">
        <v>63</v>
      </c>
      <c r="N1959" s="30" t="s">
        <v>99</v>
      </c>
      <c r="O1959" s="30" t="s">
        <v>77</v>
      </c>
      <c r="P1959" s="89" t="s">
        <v>165</v>
      </c>
      <c r="Q1959" s="89" t="s">
        <v>10962</v>
      </c>
      <c r="R1959" s="89" t="s">
        <v>587</v>
      </c>
      <c r="S1959" s="30">
        <v>0</v>
      </c>
      <c r="T1959" s="233">
        <v>0</v>
      </c>
      <c r="U1959" s="30">
        <v>0</v>
      </c>
      <c r="V1959" s="233">
        <v>0</v>
      </c>
      <c r="W1959" s="30">
        <v>0</v>
      </c>
      <c r="X1959" s="30">
        <v>0</v>
      </c>
      <c r="Y1959" s="30">
        <v>0</v>
      </c>
      <c r="Z1959" s="233">
        <v>0</v>
      </c>
      <c r="AA1959" s="30">
        <v>0</v>
      </c>
      <c r="AB1959" s="30">
        <v>0</v>
      </c>
      <c r="AC1959" s="30">
        <v>0</v>
      </c>
      <c r="AD1959" s="30">
        <v>0</v>
      </c>
      <c r="AE1959" s="89" t="s">
        <v>92</v>
      </c>
      <c r="AF1959" s="89" t="s">
        <v>10963</v>
      </c>
      <c r="AG1959" s="89" t="s">
        <v>8859</v>
      </c>
      <c r="AH1959" s="72">
        <v>42104</v>
      </c>
      <c r="AI1959" s="30">
        <v>0</v>
      </c>
      <c r="AJ1959" s="89" t="s">
        <v>10964</v>
      </c>
      <c r="AK1959" s="89" t="s">
        <v>10965</v>
      </c>
      <c r="AL1959" s="91">
        <v>42104</v>
      </c>
      <c r="AM1959" s="91"/>
      <c r="AN1959" s="89">
        <v>44670</v>
      </c>
      <c r="AO1959" s="89">
        <v>44662</v>
      </c>
      <c r="AP1959" s="73" t="e">
        <f>MID(VLOOKUP(K1959,#REF!,2,FALSE),1,2)</f>
        <v>#REF!</v>
      </c>
      <c r="AQ1959" s="89">
        <f>DATE(2015,3,3)</f>
        <v>42066</v>
      </c>
      <c r="AR1959" s="82">
        <f t="shared" si="126"/>
        <v>3</v>
      </c>
      <c r="AS1959" s="83">
        <f t="shared" si="127"/>
        <v>3</v>
      </c>
      <c r="AT1959" s="84">
        <f t="shared" si="128"/>
        <v>2015</v>
      </c>
      <c r="AU1959" s="88">
        <f>DATE(2015,4,10)</f>
        <v>42104</v>
      </c>
      <c r="AV1959" s="88">
        <f>DATE(2015,4,10)</f>
        <v>42104</v>
      </c>
      <c r="AW1959" s="87">
        <f t="shared" si="130"/>
        <v>0</v>
      </c>
      <c r="AX1959" s="86"/>
      <c r="AY1959" s="83"/>
      <c r="AZ1959" s="84"/>
      <c r="BA1959" s="86"/>
      <c r="BB1959" s="86"/>
    </row>
    <row r="1960" spans="1:54" ht="36.75" customHeight="1">
      <c r="A1960" s="30"/>
      <c r="B1960" s="30" t="s">
        <v>55</v>
      </c>
      <c r="C1960" s="69" t="str">
        <f t="shared" si="129"/>
        <v>Closed</v>
      </c>
      <c r="D1960" s="27" t="s">
        <v>10966</v>
      </c>
      <c r="E1960" s="29" t="s">
        <v>10967</v>
      </c>
      <c r="F1960" s="30" t="s">
        <v>638</v>
      </c>
      <c r="G1960" s="89">
        <f>DATE(2015,3,4)</f>
        <v>42067</v>
      </c>
      <c r="H1960" s="90">
        <v>1.8034722222222221</v>
      </c>
      <c r="I1960" s="30" t="s">
        <v>73</v>
      </c>
      <c r="J1960" s="89" t="s">
        <v>10968</v>
      </c>
      <c r="K1960" s="30" t="s">
        <v>640</v>
      </c>
      <c r="L1960" s="30" t="s">
        <v>10969</v>
      </c>
      <c r="M1960" s="30" t="s">
        <v>63</v>
      </c>
      <c r="N1960" s="30" t="s">
        <v>99</v>
      </c>
      <c r="O1960" s="30" t="s">
        <v>64</v>
      </c>
      <c r="P1960" s="89" t="s">
        <v>6941</v>
      </c>
      <c r="Q1960" s="89">
        <v>0</v>
      </c>
      <c r="R1960" s="89" t="s">
        <v>643</v>
      </c>
      <c r="S1960" s="30">
        <v>0</v>
      </c>
      <c r="T1960" s="233">
        <v>0</v>
      </c>
      <c r="U1960" s="30">
        <v>0</v>
      </c>
      <c r="V1960" s="233">
        <v>0</v>
      </c>
      <c r="W1960" s="30">
        <v>0</v>
      </c>
      <c r="X1960" s="30">
        <v>0</v>
      </c>
      <c r="Y1960" s="30">
        <v>0</v>
      </c>
      <c r="Z1960" s="233">
        <v>0</v>
      </c>
      <c r="AA1960" s="30">
        <v>0</v>
      </c>
      <c r="AB1960" s="30">
        <v>0</v>
      </c>
      <c r="AC1960" s="30">
        <v>0</v>
      </c>
      <c r="AD1960" s="30">
        <v>0</v>
      </c>
      <c r="AE1960" s="89" t="s">
        <v>92</v>
      </c>
      <c r="AF1960" s="89"/>
      <c r="AG1960" s="89" t="s">
        <v>352</v>
      </c>
      <c r="AH1960" s="72">
        <v>42080</v>
      </c>
      <c r="AI1960" s="30">
        <v>2</v>
      </c>
      <c r="AJ1960" s="89" t="s">
        <v>10970</v>
      </c>
      <c r="AK1960" s="89" t="s">
        <v>68</v>
      </c>
      <c r="AL1960" s="91">
        <v>42094</v>
      </c>
      <c r="AM1960" s="91"/>
      <c r="AN1960" s="91"/>
      <c r="AO1960" s="91"/>
      <c r="AP1960" s="73" t="e">
        <f>MID(VLOOKUP(K1960,#REF!,2,FALSE),1,2)</f>
        <v>#REF!</v>
      </c>
      <c r="AQ1960" s="89">
        <f>DATE(2015,3,4)</f>
        <v>42067</v>
      </c>
      <c r="AR1960" s="82">
        <f t="shared" si="126"/>
        <v>4</v>
      </c>
      <c r="AS1960" s="83">
        <f t="shared" si="127"/>
        <v>3</v>
      </c>
      <c r="AT1960" s="84">
        <f t="shared" si="128"/>
        <v>2015</v>
      </c>
      <c r="AU1960" s="88">
        <f>DATE(2015,3,31)</f>
        <v>42094</v>
      </c>
      <c r="AV1960" s="88">
        <f>DATE(2015,3,17)</f>
        <v>42080</v>
      </c>
      <c r="AW1960" s="87">
        <f t="shared" si="130"/>
        <v>14</v>
      </c>
      <c r="AX1960" s="86"/>
      <c r="AY1960" s="83"/>
      <c r="AZ1960" s="84"/>
      <c r="BA1960" s="86"/>
      <c r="BB1960" s="86"/>
    </row>
    <row r="1961" spans="1:54" ht="36.75" customHeight="1">
      <c r="A1961" s="30"/>
      <c r="B1961" s="30" t="s">
        <v>55</v>
      </c>
      <c r="C1961" s="69" t="str">
        <f t="shared" si="129"/>
        <v>Closed</v>
      </c>
      <c r="D1961" s="27" t="s">
        <v>10971</v>
      </c>
      <c r="E1961" s="29" t="s">
        <v>10972</v>
      </c>
      <c r="F1961" s="30" t="s">
        <v>72</v>
      </c>
      <c r="G1961" s="89">
        <f>DATE(2015,3,6)</f>
        <v>42069</v>
      </c>
      <c r="H1961" s="90">
        <v>1.6979166666666665</v>
      </c>
      <c r="I1961" s="30" t="s">
        <v>198</v>
      </c>
      <c r="J1961" s="89" t="s">
        <v>10973</v>
      </c>
      <c r="K1961" s="30" t="s">
        <v>75</v>
      </c>
      <c r="L1961" s="30" t="s">
        <v>10974</v>
      </c>
      <c r="M1961" s="30" t="s">
        <v>63</v>
      </c>
      <c r="N1961" s="30" t="s">
        <v>89</v>
      </c>
      <c r="O1961" s="30" t="s">
        <v>77</v>
      </c>
      <c r="P1961" s="89" t="s">
        <v>10688</v>
      </c>
      <c r="Q1961" s="89">
        <v>0</v>
      </c>
      <c r="R1961" s="89" t="s">
        <v>75</v>
      </c>
      <c r="S1961" s="30">
        <v>0</v>
      </c>
      <c r="T1961" s="232">
        <v>0</v>
      </c>
      <c r="U1961" s="30">
        <v>0</v>
      </c>
      <c r="V1961" s="232">
        <v>0</v>
      </c>
      <c r="W1961" s="30">
        <v>0</v>
      </c>
      <c r="X1961" s="30">
        <v>0</v>
      </c>
      <c r="Y1961" s="30">
        <v>0</v>
      </c>
      <c r="Z1961" s="232">
        <v>0</v>
      </c>
      <c r="AA1961" s="30">
        <v>0</v>
      </c>
      <c r="AB1961" s="30">
        <v>0</v>
      </c>
      <c r="AC1961" s="30">
        <v>0</v>
      </c>
      <c r="AD1961" s="30">
        <v>0</v>
      </c>
      <c r="AE1961" s="89" t="s">
        <v>394</v>
      </c>
      <c r="AF1961" s="89"/>
      <c r="AG1961" s="89" t="s">
        <v>133</v>
      </c>
      <c r="AH1961" s="72">
        <v>42073</v>
      </c>
      <c r="AI1961" s="30">
        <v>6</v>
      </c>
      <c r="AJ1961" s="89" t="s">
        <v>10975</v>
      </c>
      <c r="AK1961" s="89" t="s">
        <v>68</v>
      </c>
      <c r="AL1961" s="91">
        <v>42075</v>
      </c>
      <c r="AM1961" s="91"/>
      <c r="AN1961" s="91"/>
      <c r="AO1961" s="91"/>
      <c r="AP1961" s="73" t="e">
        <f>MID(VLOOKUP(K1961,#REF!,2,FALSE),1,2)</f>
        <v>#REF!</v>
      </c>
      <c r="AQ1961" s="89">
        <f>DATE(2015,3,6)</f>
        <v>42069</v>
      </c>
      <c r="AR1961" s="82">
        <f t="shared" si="126"/>
        <v>6</v>
      </c>
      <c r="AS1961" s="83">
        <f t="shared" si="127"/>
        <v>3</v>
      </c>
      <c r="AT1961" s="84">
        <f t="shared" si="128"/>
        <v>2015</v>
      </c>
      <c r="AU1961" s="88">
        <f>DATE(2015,3,12)</f>
        <v>42075</v>
      </c>
      <c r="AV1961" s="88">
        <f>DATE(2015,3,10)</f>
        <v>42073</v>
      </c>
      <c r="AW1961" s="87">
        <f t="shared" si="130"/>
        <v>2</v>
      </c>
      <c r="AX1961" s="86"/>
      <c r="AY1961" s="83"/>
      <c r="AZ1961" s="84"/>
      <c r="BA1961" s="86"/>
      <c r="BB1961" s="86"/>
    </row>
    <row r="1962" spans="1:54" ht="36.75" customHeight="1">
      <c r="A1962" s="98" t="s">
        <v>4910</v>
      </c>
      <c r="B1962" s="30" t="s">
        <v>55</v>
      </c>
      <c r="C1962" s="69" t="str">
        <f t="shared" si="129"/>
        <v>Closed</v>
      </c>
      <c r="D1962" s="27" t="s">
        <v>10976</v>
      </c>
      <c r="E1962" s="29" t="s">
        <v>10977</v>
      </c>
      <c r="F1962" s="30" t="s">
        <v>582</v>
      </c>
      <c r="G1962" s="89">
        <f>DATE(2015,3,7)</f>
        <v>42070</v>
      </c>
      <c r="H1962" s="90">
        <v>1.911111111111111</v>
      </c>
      <c r="I1962" s="30" t="s">
        <v>116</v>
      </c>
      <c r="J1962" s="89" t="s">
        <v>10978</v>
      </c>
      <c r="K1962" s="30" t="s">
        <v>584</v>
      </c>
      <c r="L1962" s="30" t="s">
        <v>10979</v>
      </c>
      <c r="M1962" s="30" t="s">
        <v>63</v>
      </c>
      <c r="N1962" s="30" t="s">
        <v>142</v>
      </c>
      <c r="O1962" s="30" t="s">
        <v>64</v>
      </c>
      <c r="P1962" s="89" t="s">
        <v>165</v>
      </c>
      <c r="Q1962" s="89" t="s">
        <v>4487</v>
      </c>
      <c r="R1962" s="89" t="s">
        <v>587</v>
      </c>
      <c r="S1962" s="30">
        <v>0</v>
      </c>
      <c r="T1962" s="101">
        <v>0</v>
      </c>
      <c r="U1962" s="30">
        <v>0</v>
      </c>
      <c r="V1962" s="101">
        <v>0</v>
      </c>
      <c r="W1962" s="30">
        <v>0</v>
      </c>
      <c r="X1962" s="30">
        <v>0</v>
      </c>
      <c r="Y1962" s="30">
        <v>0</v>
      </c>
      <c r="Z1962" s="101">
        <v>0</v>
      </c>
      <c r="AA1962" s="30">
        <v>0</v>
      </c>
      <c r="AB1962" s="30">
        <v>0</v>
      </c>
      <c r="AC1962" s="30">
        <v>0</v>
      </c>
      <c r="AD1962" s="30">
        <v>0</v>
      </c>
      <c r="AE1962" s="89" t="s">
        <v>394</v>
      </c>
      <c r="AF1962" s="89"/>
      <c r="AG1962" s="89" t="s">
        <v>352</v>
      </c>
      <c r="AH1962" s="72">
        <v>42139</v>
      </c>
      <c r="AI1962" s="30">
        <v>0</v>
      </c>
      <c r="AJ1962" s="89" t="s">
        <v>68</v>
      </c>
      <c r="AK1962" s="89" t="s">
        <v>68</v>
      </c>
      <c r="AL1962" s="91">
        <v>42139</v>
      </c>
      <c r="AM1962" s="91"/>
      <c r="AN1962" s="91"/>
      <c r="AO1962" s="91"/>
      <c r="AP1962" s="73" t="e">
        <f>MID(VLOOKUP(K1962,#REF!,2,FALSE),1,2)</f>
        <v>#REF!</v>
      </c>
      <c r="AQ1962" s="89">
        <f>DATE(2015,3,7)</f>
        <v>42070</v>
      </c>
      <c r="AR1962" s="82">
        <f t="shared" si="126"/>
        <v>7</v>
      </c>
      <c r="AS1962" s="83">
        <f t="shared" si="127"/>
        <v>3</v>
      </c>
      <c r="AT1962" s="84">
        <f t="shared" si="128"/>
        <v>2015</v>
      </c>
      <c r="AU1962" s="88">
        <f>DATE(2015,5,15)</f>
        <v>42139</v>
      </c>
      <c r="AV1962" s="88">
        <f>DATE(2015,5,15)</f>
        <v>42139</v>
      </c>
      <c r="AW1962" s="87">
        <f t="shared" si="130"/>
        <v>0</v>
      </c>
      <c r="AX1962" s="86"/>
      <c r="AY1962" s="83"/>
      <c r="AZ1962" s="84"/>
      <c r="BA1962" s="86"/>
      <c r="BB1962" s="86"/>
    </row>
    <row r="1963" spans="1:54" ht="36.75" customHeight="1">
      <c r="A1963" s="30"/>
      <c r="B1963" s="30" t="s">
        <v>55</v>
      </c>
      <c r="C1963" s="69" t="str">
        <f t="shared" si="129"/>
        <v>Closed</v>
      </c>
      <c r="D1963" s="27" t="s">
        <v>10980</v>
      </c>
      <c r="E1963" s="29" t="s">
        <v>10981</v>
      </c>
      <c r="F1963" s="30" t="s">
        <v>451</v>
      </c>
      <c r="G1963" s="89">
        <f>DATE(2015,3,7)</f>
        <v>42070</v>
      </c>
      <c r="H1963" s="90">
        <v>1.0833333333333333</v>
      </c>
      <c r="I1963" s="30" t="s">
        <v>278</v>
      </c>
      <c r="J1963" s="89" t="s">
        <v>10982</v>
      </c>
      <c r="K1963" s="30" t="s">
        <v>453</v>
      </c>
      <c r="L1963" s="30" t="s">
        <v>10983</v>
      </c>
      <c r="M1963" s="30" t="s">
        <v>63</v>
      </c>
      <c r="N1963" s="30" t="s">
        <v>142</v>
      </c>
      <c r="O1963" s="30" t="s">
        <v>77</v>
      </c>
      <c r="P1963" s="89" t="s">
        <v>78</v>
      </c>
      <c r="Q1963" s="89" t="s">
        <v>10984</v>
      </c>
      <c r="R1963" s="89" t="s">
        <v>572</v>
      </c>
      <c r="S1963" s="30">
        <v>0</v>
      </c>
      <c r="T1963" s="233">
        <v>0</v>
      </c>
      <c r="U1963" s="30">
        <v>0</v>
      </c>
      <c r="V1963" s="233">
        <v>1</v>
      </c>
      <c r="W1963" s="30">
        <v>0</v>
      </c>
      <c r="X1963" s="30">
        <v>1</v>
      </c>
      <c r="Y1963" s="30">
        <v>0</v>
      </c>
      <c r="Z1963" s="233">
        <v>0</v>
      </c>
      <c r="AA1963" s="30">
        <v>0</v>
      </c>
      <c r="AB1963" s="30">
        <v>0</v>
      </c>
      <c r="AC1963" s="30">
        <v>0</v>
      </c>
      <c r="AD1963" s="30">
        <v>0</v>
      </c>
      <c r="AE1963" s="89" t="s">
        <v>92</v>
      </c>
      <c r="AF1963" s="89"/>
      <c r="AG1963" s="89" t="s">
        <v>82</v>
      </c>
      <c r="AH1963" s="72">
        <v>42072</v>
      </c>
      <c r="AI1963" s="30">
        <v>0</v>
      </c>
      <c r="AJ1963" s="89" t="s">
        <v>10985</v>
      </c>
      <c r="AK1963" s="89" t="s">
        <v>68</v>
      </c>
      <c r="AL1963" s="91">
        <v>43356</v>
      </c>
      <c r="AM1963" s="91"/>
      <c r="AN1963" s="91"/>
      <c r="AO1963" s="91"/>
      <c r="AP1963" s="73" t="e">
        <f>MID(VLOOKUP(K1963,#REF!,2,FALSE),1,2)</f>
        <v>#REF!</v>
      </c>
      <c r="AQ1963" s="89">
        <f>DATE(2015,3,7)</f>
        <v>42070</v>
      </c>
      <c r="AR1963" s="82">
        <f t="shared" si="126"/>
        <v>7</v>
      </c>
      <c r="AS1963" s="83">
        <f t="shared" si="127"/>
        <v>3</v>
      </c>
      <c r="AT1963" s="84">
        <f t="shared" si="128"/>
        <v>2015</v>
      </c>
      <c r="AU1963" s="86"/>
      <c r="AV1963" s="86"/>
      <c r="AW1963" s="87">
        <f t="shared" si="130"/>
        <v>0</v>
      </c>
      <c r="AX1963" s="86"/>
      <c r="AY1963" s="83"/>
      <c r="AZ1963" s="84"/>
      <c r="BA1963" s="86"/>
      <c r="BB1963" s="86"/>
    </row>
    <row r="1964" spans="1:54" ht="36.75" customHeight="1">
      <c r="A1964" s="30"/>
      <c r="B1964" s="30" t="s">
        <v>55</v>
      </c>
      <c r="C1964" s="69" t="str">
        <f t="shared" si="129"/>
        <v>Closed</v>
      </c>
      <c r="D1964" s="27" t="s">
        <v>10986</v>
      </c>
      <c r="E1964" s="29" t="s">
        <v>10987</v>
      </c>
      <c r="F1964" s="30" t="s">
        <v>233</v>
      </c>
      <c r="G1964" s="89">
        <f>DATE(2015,3,7)</f>
        <v>42070</v>
      </c>
      <c r="H1964" s="90">
        <v>1.7263888888888888</v>
      </c>
      <c r="I1964" s="30" t="s">
        <v>104</v>
      </c>
      <c r="J1964" s="89" t="s">
        <v>10988</v>
      </c>
      <c r="K1964" s="30" t="s">
        <v>235</v>
      </c>
      <c r="L1964" s="30" t="s">
        <v>10989</v>
      </c>
      <c r="M1964" s="30" t="s">
        <v>63</v>
      </c>
      <c r="N1964" s="30" t="s">
        <v>89</v>
      </c>
      <c r="O1964" s="30" t="s">
        <v>64</v>
      </c>
      <c r="P1964" s="89" t="s">
        <v>6941</v>
      </c>
      <c r="Q1964" s="89" t="s">
        <v>8368</v>
      </c>
      <c r="R1964" s="89" t="s">
        <v>238</v>
      </c>
      <c r="S1964" s="30">
        <v>0</v>
      </c>
      <c r="T1964" s="233">
        <v>0</v>
      </c>
      <c r="U1964" s="30">
        <v>0</v>
      </c>
      <c r="V1964" s="233">
        <v>0</v>
      </c>
      <c r="W1964" s="30">
        <v>0</v>
      </c>
      <c r="X1964" s="30">
        <v>0</v>
      </c>
      <c r="Y1964" s="30">
        <v>0</v>
      </c>
      <c r="Z1964" s="233">
        <v>0</v>
      </c>
      <c r="AA1964" s="30">
        <v>0</v>
      </c>
      <c r="AB1964" s="30">
        <v>0</v>
      </c>
      <c r="AC1964" s="30">
        <v>0</v>
      </c>
      <c r="AD1964" s="30">
        <v>0</v>
      </c>
      <c r="AE1964" s="89" t="s">
        <v>92</v>
      </c>
      <c r="AF1964" s="89"/>
      <c r="AG1964" s="89" t="s">
        <v>133</v>
      </c>
      <c r="AH1964" s="72">
        <v>42072</v>
      </c>
      <c r="AI1964" s="30">
        <v>5</v>
      </c>
      <c r="AJ1964" s="89" t="s">
        <v>10990</v>
      </c>
      <c r="AK1964" s="89" t="s">
        <v>10991</v>
      </c>
      <c r="AL1964" s="91">
        <v>42093</v>
      </c>
      <c r="AM1964" s="91"/>
      <c r="AN1964" s="91"/>
      <c r="AO1964" s="91"/>
      <c r="AP1964" s="73" t="e">
        <f>MID(VLOOKUP(K1964,#REF!,2,FALSE),1,2)</f>
        <v>#REF!</v>
      </c>
      <c r="AQ1964" s="89">
        <f>DATE(2015,3,7)</f>
        <v>42070</v>
      </c>
      <c r="AR1964" s="82">
        <f t="shared" si="126"/>
        <v>7</v>
      </c>
      <c r="AS1964" s="83">
        <f t="shared" si="127"/>
        <v>3</v>
      </c>
      <c r="AT1964" s="84">
        <f t="shared" si="128"/>
        <v>2015</v>
      </c>
      <c r="AU1964" s="88">
        <f>DATE(2015,3,30)</f>
        <v>42093</v>
      </c>
      <c r="AV1964" s="88">
        <f>DATE(2015,3,9)</f>
        <v>42072</v>
      </c>
      <c r="AW1964" s="87">
        <f t="shared" si="130"/>
        <v>21</v>
      </c>
      <c r="AX1964" s="88">
        <f>DATE(2015,3,30)</f>
        <v>42093</v>
      </c>
      <c r="AY1964" s="83">
        <f>MONTH(AX1964)</f>
        <v>3</v>
      </c>
      <c r="AZ1964" s="84">
        <f>YEAR(AX1964)</f>
        <v>2015</v>
      </c>
      <c r="BA1964" s="86"/>
      <c r="BB1964" s="86"/>
    </row>
    <row r="1965" spans="1:54" ht="36.75" customHeight="1">
      <c r="A1965" s="30"/>
      <c r="B1965" s="30" t="s">
        <v>55</v>
      </c>
      <c r="C1965" s="69" t="str">
        <f t="shared" si="129"/>
        <v>Closed</v>
      </c>
      <c r="D1965" s="27" t="s">
        <v>10992</v>
      </c>
      <c r="E1965" s="29" t="s">
        <v>10993</v>
      </c>
      <c r="F1965" s="30" t="s">
        <v>233</v>
      </c>
      <c r="G1965" s="89">
        <f>DATE(2015,3,7)</f>
        <v>42070</v>
      </c>
      <c r="H1965" s="90">
        <v>1.0972222222222223</v>
      </c>
      <c r="I1965" s="30" t="s">
        <v>5494</v>
      </c>
      <c r="J1965" s="89" t="s">
        <v>10994</v>
      </c>
      <c r="K1965" s="30" t="s">
        <v>235</v>
      </c>
      <c r="L1965" s="30" t="s">
        <v>10995</v>
      </c>
      <c r="M1965" s="30" t="s">
        <v>63</v>
      </c>
      <c r="N1965" s="30" t="s">
        <v>142</v>
      </c>
      <c r="O1965" s="30" t="s">
        <v>64</v>
      </c>
      <c r="P1965" s="89" t="s">
        <v>78</v>
      </c>
      <c r="Q1965" s="89" t="s">
        <v>434</v>
      </c>
      <c r="R1965" s="89" t="s">
        <v>235</v>
      </c>
      <c r="S1965" s="30">
        <v>0</v>
      </c>
      <c r="T1965" s="233">
        <v>0</v>
      </c>
      <c r="U1965" s="30">
        <v>0</v>
      </c>
      <c r="V1965" s="233">
        <v>0</v>
      </c>
      <c r="W1965" s="30">
        <v>0</v>
      </c>
      <c r="X1965" s="30">
        <v>0</v>
      </c>
      <c r="Y1965" s="30">
        <v>0</v>
      </c>
      <c r="Z1965" s="233">
        <v>0</v>
      </c>
      <c r="AA1965" s="30">
        <v>0</v>
      </c>
      <c r="AB1965" s="30">
        <v>0</v>
      </c>
      <c r="AC1965" s="30">
        <v>0</v>
      </c>
      <c r="AD1965" s="30">
        <v>0</v>
      </c>
      <c r="AE1965" s="89" t="s">
        <v>92</v>
      </c>
      <c r="AF1965" s="89"/>
      <c r="AG1965" s="89" t="s">
        <v>133</v>
      </c>
      <c r="AH1965" s="72">
        <v>42086</v>
      </c>
      <c r="AI1965" s="30">
        <v>0</v>
      </c>
      <c r="AJ1965" s="89" t="s">
        <v>10996</v>
      </c>
      <c r="AK1965" s="89" t="s">
        <v>68</v>
      </c>
      <c r="AL1965" s="91">
        <v>42265</v>
      </c>
      <c r="AM1965" s="91"/>
      <c r="AN1965" s="91"/>
      <c r="AO1965" s="91"/>
      <c r="AP1965" s="73" t="e">
        <f>MID(VLOOKUP(K1965,#REF!,2,FALSE),1,2)</f>
        <v>#REF!</v>
      </c>
      <c r="AQ1965" s="89">
        <f>DATE(2015,3,7)</f>
        <v>42070</v>
      </c>
      <c r="AR1965" s="82">
        <f t="shared" si="126"/>
        <v>7</v>
      </c>
      <c r="AS1965" s="83">
        <f t="shared" si="127"/>
        <v>3</v>
      </c>
      <c r="AT1965" s="84">
        <f t="shared" si="128"/>
        <v>2015</v>
      </c>
      <c r="AU1965" s="88">
        <f>DATE(2015,9,18)</f>
        <v>42265</v>
      </c>
      <c r="AV1965" s="88">
        <f>DATE(2015,3,23)</f>
        <v>42086</v>
      </c>
      <c r="AW1965" s="87">
        <f t="shared" si="130"/>
        <v>179</v>
      </c>
      <c r="AX1965" s="88">
        <f>DATE(2015,9,18)</f>
        <v>42265</v>
      </c>
      <c r="AY1965" s="83">
        <f>MONTH(AX1965)</f>
        <v>9</v>
      </c>
      <c r="AZ1965" s="84">
        <f>YEAR(AX1965)</f>
        <v>2015</v>
      </c>
      <c r="BA1965" s="86"/>
      <c r="BB1965" s="86"/>
    </row>
    <row r="1966" spans="1:54" ht="36.75" customHeight="1">
      <c r="A1966" s="30"/>
      <c r="B1966" s="30" t="s">
        <v>55</v>
      </c>
      <c r="C1966" s="69" t="str">
        <f t="shared" si="129"/>
        <v>Closed</v>
      </c>
      <c r="D1966" s="27" t="s">
        <v>10997</v>
      </c>
      <c r="E1966" s="29" t="s">
        <v>10998</v>
      </c>
      <c r="F1966" s="30" t="s">
        <v>124</v>
      </c>
      <c r="G1966" s="89">
        <f>DATE(2015,3,10)</f>
        <v>42073</v>
      </c>
      <c r="H1966" s="90">
        <v>1.4583333333333333</v>
      </c>
      <c r="I1966" s="30" t="s">
        <v>198</v>
      </c>
      <c r="J1966" s="89" t="s">
        <v>10999</v>
      </c>
      <c r="K1966" s="30" t="s">
        <v>127</v>
      </c>
      <c r="L1966" s="30" t="s">
        <v>11000</v>
      </c>
      <c r="M1966" s="30" t="s">
        <v>63</v>
      </c>
      <c r="N1966" s="30" t="s">
        <v>142</v>
      </c>
      <c r="O1966" s="30" t="s">
        <v>64</v>
      </c>
      <c r="P1966" s="89" t="s">
        <v>10696</v>
      </c>
      <c r="Q1966" s="89" t="s">
        <v>11001</v>
      </c>
      <c r="R1966" s="89" t="s">
        <v>167</v>
      </c>
      <c r="S1966" s="30">
        <v>0</v>
      </c>
      <c r="T1966" s="233">
        <v>0</v>
      </c>
      <c r="U1966" s="30">
        <v>0</v>
      </c>
      <c r="V1966" s="233">
        <v>0</v>
      </c>
      <c r="W1966" s="30">
        <v>0</v>
      </c>
      <c r="X1966" s="30">
        <v>0</v>
      </c>
      <c r="Y1966" s="30">
        <v>0</v>
      </c>
      <c r="Z1966" s="233">
        <v>0</v>
      </c>
      <c r="AA1966" s="30">
        <v>0</v>
      </c>
      <c r="AB1966" s="30">
        <v>0</v>
      </c>
      <c r="AC1966" s="30">
        <v>0</v>
      </c>
      <c r="AD1966" s="30">
        <v>0</v>
      </c>
      <c r="AE1966" s="89" t="s">
        <v>92</v>
      </c>
      <c r="AF1966" s="89"/>
      <c r="AG1966" s="89" t="s">
        <v>133</v>
      </c>
      <c r="AH1966" s="72">
        <v>42081</v>
      </c>
      <c r="AI1966" s="30">
        <v>1</v>
      </c>
      <c r="AJ1966" s="89" t="s">
        <v>11002</v>
      </c>
      <c r="AK1966" s="89" t="s">
        <v>68</v>
      </c>
      <c r="AL1966" s="91">
        <v>42086</v>
      </c>
      <c r="AM1966" s="91"/>
      <c r="AN1966" s="91"/>
      <c r="AO1966" s="91"/>
      <c r="AP1966" s="73" t="e">
        <f>MID(VLOOKUP(K1966,#REF!,2,FALSE),1,2)</f>
        <v>#REF!</v>
      </c>
      <c r="AQ1966" s="89">
        <f>DATE(2015,3,10)</f>
        <v>42073</v>
      </c>
      <c r="AR1966" s="82">
        <f t="shared" si="126"/>
        <v>10</v>
      </c>
      <c r="AS1966" s="83">
        <f t="shared" si="127"/>
        <v>3</v>
      </c>
      <c r="AT1966" s="84">
        <f t="shared" si="128"/>
        <v>2015</v>
      </c>
      <c r="AU1966" s="88">
        <f>DATE(2015,3,23)</f>
        <v>42086</v>
      </c>
      <c r="AV1966" s="88">
        <f>DATE(2015,3,18)</f>
        <v>42081</v>
      </c>
      <c r="AW1966" s="87">
        <f t="shared" si="130"/>
        <v>5</v>
      </c>
      <c r="AX1966" s="86"/>
      <c r="AY1966" s="83"/>
      <c r="AZ1966" s="84"/>
      <c r="BA1966" s="86"/>
      <c r="BB1966" s="86"/>
    </row>
    <row r="1967" spans="1:54" ht="36.75" customHeight="1">
      <c r="A1967" s="30"/>
      <c r="B1967" s="30" t="s">
        <v>55</v>
      </c>
      <c r="C1967" s="69" t="str">
        <f t="shared" si="129"/>
        <v>Closed</v>
      </c>
      <c r="D1967" s="27" t="s">
        <v>11003</v>
      </c>
      <c r="E1967" s="29" t="s">
        <v>11004</v>
      </c>
      <c r="F1967" s="30" t="s">
        <v>58</v>
      </c>
      <c r="G1967" s="89">
        <f>DATE(2015,3,12)</f>
        <v>42075</v>
      </c>
      <c r="H1967" s="90">
        <v>1.5541666666666667</v>
      </c>
      <c r="I1967" s="30" t="s">
        <v>2264</v>
      </c>
      <c r="J1967" s="89" t="s">
        <v>11005</v>
      </c>
      <c r="K1967" s="30" t="s">
        <v>61</v>
      </c>
      <c r="L1967" s="30" t="s">
        <v>11006</v>
      </c>
      <c r="M1967" s="30" t="s">
        <v>63</v>
      </c>
      <c r="N1967" s="30" t="s">
        <v>89</v>
      </c>
      <c r="O1967" s="30" t="s">
        <v>64</v>
      </c>
      <c r="P1967" s="89" t="s">
        <v>6902</v>
      </c>
      <c r="Q1967" s="89" t="s">
        <v>10870</v>
      </c>
      <c r="R1967" s="89" t="s">
        <v>67</v>
      </c>
      <c r="S1967" s="30">
        <v>0</v>
      </c>
      <c r="T1967" s="233">
        <v>0</v>
      </c>
      <c r="U1967" s="30">
        <v>0</v>
      </c>
      <c r="V1967" s="233">
        <v>0</v>
      </c>
      <c r="W1967" s="30">
        <v>0</v>
      </c>
      <c r="X1967" s="30">
        <v>0</v>
      </c>
      <c r="Y1967" s="30">
        <v>0</v>
      </c>
      <c r="Z1967" s="233">
        <v>0</v>
      </c>
      <c r="AA1967" s="30">
        <v>0</v>
      </c>
      <c r="AB1967" s="30">
        <v>0</v>
      </c>
      <c r="AC1967" s="30">
        <v>0</v>
      </c>
      <c r="AD1967" s="30">
        <v>0</v>
      </c>
      <c r="AE1967" s="89" t="s">
        <v>92</v>
      </c>
      <c r="AF1967" s="89"/>
      <c r="AG1967" s="89" t="s">
        <v>133</v>
      </c>
      <c r="AH1967" s="72">
        <v>42076</v>
      </c>
      <c r="AI1967" s="30">
        <v>3</v>
      </c>
      <c r="AJ1967" s="89" t="s">
        <v>11007</v>
      </c>
      <c r="AK1967" s="89" t="s">
        <v>11008</v>
      </c>
      <c r="AL1967" s="91">
        <v>42090</v>
      </c>
      <c r="AM1967" s="91"/>
      <c r="AN1967" s="91"/>
      <c r="AO1967" s="91"/>
      <c r="AP1967" s="73" t="e">
        <f>MID(VLOOKUP(K1967,#REF!,2,FALSE),1,2)</f>
        <v>#REF!</v>
      </c>
      <c r="AQ1967" s="89">
        <f>DATE(2015,3,12)</f>
        <v>42075</v>
      </c>
      <c r="AR1967" s="82">
        <f t="shared" si="126"/>
        <v>12</v>
      </c>
      <c r="AS1967" s="83">
        <f t="shared" si="127"/>
        <v>3</v>
      </c>
      <c r="AT1967" s="84">
        <f t="shared" si="128"/>
        <v>2015</v>
      </c>
      <c r="AU1967" s="88">
        <f>DATE(2015,3,27)</f>
        <v>42090</v>
      </c>
      <c r="AV1967" s="88">
        <f>DATE(2015,3,13)</f>
        <v>42076</v>
      </c>
      <c r="AW1967" s="87">
        <f t="shared" si="130"/>
        <v>14</v>
      </c>
      <c r="AX1967" s="88">
        <f>DATE(2015,3,13)</f>
        <v>42076</v>
      </c>
      <c r="AY1967" s="83">
        <f>MONTH(AX1967)</f>
        <v>3</v>
      </c>
      <c r="AZ1967" s="84">
        <f>YEAR(AX1967)</f>
        <v>2015</v>
      </c>
      <c r="BA1967" s="88">
        <f>DATE(2015,3,12)</f>
        <v>42075</v>
      </c>
      <c r="BB1967" s="86"/>
    </row>
    <row r="1968" spans="1:54" ht="36.75" customHeight="1">
      <c r="A1968" s="30"/>
      <c r="B1968" s="30" t="s">
        <v>55</v>
      </c>
      <c r="C1968" s="69" t="str">
        <f t="shared" si="129"/>
        <v>Closed</v>
      </c>
      <c r="D1968" s="27" t="s">
        <v>11009</v>
      </c>
      <c r="E1968" s="29" t="s">
        <v>11010</v>
      </c>
      <c r="F1968" s="30" t="s">
        <v>233</v>
      </c>
      <c r="G1968" s="89">
        <f>DATE(2015,3,12)</f>
        <v>42075</v>
      </c>
      <c r="H1968" s="90">
        <v>1.3326388888888889</v>
      </c>
      <c r="I1968" s="30" t="s">
        <v>278</v>
      </c>
      <c r="J1968" s="89" t="s">
        <v>11011</v>
      </c>
      <c r="K1968" s="30" t="s">
        <v>235</v>
      </c>
      <c r="L1968" s="30" t="s">
        <v>11012</v>
      </c>
      <c r="M1968" s="30" t="s">
        <v>129</v>
      </c>
      <c r="N1968" s="30" t="s">
        <v>99</v>
      </c>
      <c r="O1968" s="30" t="s">
        <v>77</v>
      </c>
      <c r="P1968" s="89" t="s">
        <v>129</v>
      </c>
      <c r="Q1968" s="89" t="s">
        <v>683</v>
      </c>
      <c r="R1968" s="89" t="s">
        <v>683</v>
      </c>
      <c r="S1968" s="30">
        <v>0</v>
      </c>
      <c r="T1968" s="233">
        <v>0</v>
      </c>
      <c r="U1968" s="30">
        <v>0</v>
      </c>
      <c r="V1968" s="233">
        <v>0</v>
      </c>
      <c r="W1968" s="30">
        <v>0</v>
      </c>
      <c r="X1968" s="30">
        <v>0</v>
      </c>
      <c r="Y1968" s="30">
        <v>1</v>
      </c>
      <c r="Z1968" s="233">
        <v>0</v>
      </c>
      <c r="AA1968" s="30">
        <v>0</v>
      </c>
      <c r="AB1968" s="30">
        <v>0</v>
      </c>
      <c r="AC1968" s="30">
        <v>0</v>
      </c>
      <c r="AD1968" s="30">
        <v>1</v>
      </c>
      <c r="AE1968" s="89" t="s">
        <v>92</v>
      </c>
      <c r="AF1968" s="89"/>
      <c r="AG1968" s="89" t="s">
        <v>133</v>
      </c>
      <c r="AH1968" s="72">
        <v>42079</v>
      </c>
      <c r="AI1968" s="30">
        <v>1</v>
      </c>
      <c r="AJ1968" s="89" t="s">
        <v>11013</v>
      </c>
      <c r="AK1968" s="89" t="s">
        <v>11014</v>
      </c>
      <c r="AL1968" s="91">
        <v>42093</v>
      </c>
      <c r="AM1968" s="91"/>
      <c r="AN1968" s="91"/>
      <c r="AO1968" s="91"/>
      <c r="AP1968" s="73" t="e">
        <f>MID(VLOOKUP(K1968,#REF!,2,FALSE),1,2)</f>
        <v>#REF!</v>
      </c>
      <c r="AQ1968" s="89">
        <f>DATE(2015,3,12)</f>
        <v>42075</v>
      </c>
      <c r="AR1968" s="82">
        <f t="shared" si="126"/>
        <v>12</v>
      </c>
      <c r="AS1968" s="83">
        <f t="shared" si="127"/>
        <v>3</v>
      </c>
      <c r="AT1968" s="84">
        <f t="shared" si="128"/>
        <v>2015</v>
      </c>
      <c r="AU1968" s="88">
        <f>DATE(2015,3,30)</f>
        <v>42093</v>
      </c>
      <c r="AV1968" s="88">
        <f>DATE(2015,3,16)</f>
        <v>42079</v>
      </c>
      <c r="AW1968" s="87">
        <f t="shared" si="130"/>
        <v>14</v>
      </c>
      <c r="AX1968" s="88">
        <f>DATE(2015,3,30)</f>
        <v>42093</v>
      </c>
      <c r="AY1968" s="83">
        <f>MONTH(AX1968)</f>
        <v>3</v>
      </c>
      <c r="AZ1968" s="84">
        <f>YEAR(AX1968)</f>
        <v>2015</v>
      </c>
      <c r="BA1968" s="86"/>
      <c r="BB1968" s="86"/>
    </row>
    <row r="1969" spans="1:54" ht="36.75" customHeight="1">
      <c r="A1969" s="30"/>
      <c r="B1969" s="30" t="s">
        <v>55</v>
      </c>
      <c r="C1969" s="69" t="str">
        <f t="shared" si="129"/>
        <v>Closed</v>
      </c>
      <c r="D1969" s="27" t="s">
        <v>11015</v>
      </c>
      <c r="E1969" s="29" t="s">
        <v>11016</v>
      </c>
      <c r="F1969" s="30" t="s">
        <v>638</v>
      </c>
      <c r="G1969" s="89">
        <f>DATE(2015,3,18)</f>
        <v>42081</v>
      </c>
      <c r="H1969" s="90">
        <v>1.6770833333333335</v>
      </c>
      <c r="I1969" s="30" t="s">
        <v>487</v>
      </c>
      <c r="J1969" s="89" t="s">
        <v>11017</v>
      </c>
      <c r="K1969" s="30" t="s">
        <v>640</v>
      </c>
      <c r="L1969" s="30" t="s">
        <v>11018</v>
      </c>
      <c r="M1969" s="30" t="s">
        <v>63</v>
      </c>
      <c r="N1969" s="30" t="s">
        <v>99</v>
      </c>
      <c r="O1969" s="30" t="s">
        <v>77</v>
      </c>
      <c r="P1969" s="89" t="s">
        <v>381</v>
      </c>
      <c r="Q1969" s="89">
        <v>0</v>
      </c>
      <c r="R1969" s="89" t="s">
        <v>643</v>
      </c>
      <c r="S1969" s="30">
        <v>0</v>
      </c>
      <c r="T1969" s="233">
        <v>0</v>
      </c>
      <c r="U1969" s="30">
        <v>0</v>
      </c>
      <c r="V1969" s="233">
        <v>0</v>
      </c>
      <c r="W1969" s="30">
        <v>0</v>
      </c>
      <c r="X1969" s="30">
        <v>0</v>
      </c>
      <c r="Y1969" s="30">
        <v>0</v>
      </c>
      <c r="Z1969" s="233">
        <v>0</v>
      </c>
      <c r="AA1969" s="30">
        <v>0</v>
      </c>
      <c r="AB1969" s="30">
        <v>0</v>
      </c>
      <c r="AC1969" s="30">
        <v>0</v>
      </c>
      <c r="AD1969" s="30">
        <v>0</v>
      </c>
      <c r="AE1969" s="89" t="s">
        <v>92</v>
      </c>
      <c r="AF1969" s="89"/>
      <c r="AG1969" s="89" t="s">
        <v>133</v>
      </c>
      <c r="AH1969" s="72">
        <v>42087</v>
      </c>
      <c r="AI1969" s="30">
        <v>6</v>
      </c>
      <c r="AJ1969" s="89" t="s">
        <v>11019</v>
      </c>
      <c r="AK1969" s="89" t="s">
        <v>68</v>
      </c>
      <c r="AL1969" s="91">
        <v>42094</v>
      </c>
      <c r="AM1969" s="91"/>
      <c r="AN1969" s="91"/>
      <c r="AO1969" s="91"/>
      <c r="AP1969" s="73" t="e">
        <f>MID(VLOOKUP(K1969,#REF!,2,FALSE),1,2)</f>
        <v>#REF!</v>
      </c>
      <c r="AQ1969" s="89">
        <f>DATE(2015,3,18)</f>
        <v>42081</v>
      </c>
      <c r="AR1969" s="82">
        <f t="shared" si="126"/>
        <v>18</v>
      </c>
      <c r="AS1969" s="83">
        <f t="shared" si="127"/>
        <v>3</v>
      </c>
      <c r="AT1969" s="84">
        <f t="shared" si="128"/>
        <v>2015</v>
      </c>
      <c r="AU1969" s="88">
        <f>DATE(2015,3,31)</f>
        <v>42094</v>
      </c>
      <c r="AV1969" s="88">
        <f>DATE(2015,3,24)</f>
        <v>42087</v>
      </c>
      <c r="AW1969" s="87">
        <f t="shared" si="130"/>
        <v>7</v>
      </c>
      <c r="AX1969" s="86"/>
      <c r="AY1969" s="83"/>
      <c r="AZ1969" s="84"/>
      <c r="BA1969" s="86"/>
      <c r="BB1969" s="86"/>
    </row>
    <row r="1970" spans="1:54" ht="36.75" customHeight="1">
      <c r="A1970" s="30"/>
      <c r="B1970" s="30" t="s">
        <v>55</v>
      </c>
      <c r="C1970" s="69" t="str">
        <f t="shared" si="129"/>
        <v>Closed</v>
      </c>
      <c r="D1970" s="27" t="s">
        <v>11020</v>
      </c>
      <c r="E1970" s="29" t="s">
        <v>11021</v>
      </c>
      <c r="F1970" s="30" t="s">
        <v>58</v>
      </c>
      <c r="G1970" s="89">
        <f>DATE(2015,3,18)</f>
        <v>42081</v>
      </c>
      <c r="H1970" s="90">
        <v>1.6236111111111111</v>
      </c>
      <c r="I1970" s="30" t="s">
        <v>2078</v>
      </c>
      <c r="J1970" s="89" t="s">
        <v>11022</v>
      </c>
      <c r="K1970" s="30" t="s">
        <v>61</v>
      </c>
      <c r="L1970" s="30" t="s">
        <v>11023</v>
      </c>
      <c r="M1970" s="30" t="s">
        <v>63</v>
      </c>
      <c r="N1970" s="30" t="s">
        <v>142</v>
      </c>
      <c r="O1970" s="30" t="s">
        <v>77</v>
      </c>
      <c r="P1970" s="89" t="s">
        <v>6902</v>
      </c>
      <c r="Q1970" s="89" t="s">
        <v>10870</v>
      </c>
      <c r="R1970" s="89" t="s">
        <v>67</v>
      </c>
      <c r="S1970" s="30">
        <v>0</v>
      </c>
      <c r="T1970" s="233">
        <v>0</v>
      </c>
      <c r="U1970" s="30">
        <v>0</v>
      </c>
      <c r="V1970" s="233">
        <v>0</v>
      </c>
      <c r="W1970" s="30">
        <v>0</v>
      </c>
      <c r="X1970" s="30">
        <v>0</v>
      </c>
      <c r="Y1970" s="30">
        <v>0</v>
      </c>
      <c r="Z1970" s="233">
        <v>0</v>
      </c>
      <c r="AA1970" s="30">
        <v>0</v>
      </c>
      <c r="AB1970" s="30">
        <v>0</v>
      </c>
      <c r="AC1970" s="30">
        <v>0</v>
      </c>
      <c r="AD1970" s="30">
        <v>0</v>
      </c>
      <c r="AE1970" s="89" t="s">
        <v>92</v>
      </c>
      <c r="AF1970" s="89"/>
      <c r="AG1970" s="89" t="s">
        <v>133</v>
      </c>
      <c r="AH1970" s="72">
        <v>42088</v>
      </c>
      <c r="AI1970" s="30">
        <v>6</v>
      </c>
      <c r="AJ1970" s="89" t="s">
        <v>11024</v>
      </c>
      <c r="AK1970" s="89" t="s">
        <v>11025</v>
      </c>
      <c r="AL1970" s="91">
        <v>42090</v>
      </c>
      <c r="AM1970" s="91"/>
      <c r="AN1970" s="91"/>
      <c r="AO1970" s="91"/>
      <c r="AP1970" s="73" t="e">
        <f>MID(VLOOKUP(K1970,#REF!,2,FALSE),1,2)</f>
        <v>#REF!</v>
      </c>
      <c r="AQ1970" s="89">
        <f>DATE(2015,3,18)</f>
        <v>42081</v>
      </c>
      <c r="AR1970" s="82">
        <f t="shared" si="126"/>
        <v>18</v>
      </c>
      <c r="AS1970" s="83">
        <f t="shared" si="127"/>
        <v>3</v>
      </c>
      <c r="AT1970" s="84">
        <f t="shared" si="128"/>
        <v>2015</v>
      </c>
      <c r="AU1970" s="88">
        <f>DATE(2015,3,27)</f>
        <v>42090</v>
      </c>
      <c r="AV1970" s="88">
        <f>DATE(2015,3,25)</f>
        <v>42088</v>
      </c>
      <c r="AW1970" s="87">
        <f t="shared" si="130"/>
        <v>2</v>
      </c>
      <c r="AX1970" s="88">
        <f>DATE(2015,3,20)</f>
        <v>42083</v>
      </c>
      <c r="AY1970" s="83">
        <f>MONTH(AX1970)</f>
        <v>3</v>
      </c>
      <c r="AZ1970" s="84">
        <f>YEAR(AX1970)</f>
        <v>2015</v>
      </c>
      <c r="BA1970" s="88">
        <f>DATE(2015,3,25)</f>
        <v>42088</v>
      </c>
      <c r="BB1970" s="86"/>
    </row>
    <row r="1971" spans="1:54" ht="36.75" customHeight="1">
      <c r="A1971" s="30"/>
      <c r="B1971" s="30" t="s">
        <v>55</v>
      </c>
      <c r="C1971" s="69" t="str">
        <f t="shared" si="129"/>
        <v>Closed</v>
      </c>
      <c r="D1971" s="27" t="s">
        <v>11026</v>
      </c>
      <c r="E1971" s="29" t="s">
        <v>11027</v>
      </c>
      <c r="F1971" s="30" t="s">
        <v>9789</v>
      </c>
      <c r="G1971" s="89">
        <f>DATE(2015,3,19)</f>
        <v>42082</v>
      </c>
      <c r="H1971" s="90">
        <v>1.7743055555555554</v>
      </c>
      <c r="I1971" s="30" t="s">
        <v>156</v>
      </c>
      <c r="J1971" s="210" t="s">
        <v>11028</v>
      </c>
      <c r="K1971" s="30" t="s">
        <v>9791</v>
      </c>
      <c r="L1971" s="30" t="s">
        <v>11029</v>
      </c>
      <c r="M1971" s="30" t="s">
        <v>63</v>
      </c>
      <c r="N1971" s="30" t="s">
        <v>99</v>
      </c>
      <c r="O1971" s="30" t="s">
        <v>64</v>
      </c>
      <c r="P1971" s="89" t="s">
        <v>6941</v>
      </c>
      <c r="Q1971" s="89" t="s">
        <v>9960</v>
      </c>
      <c r="R1971" s="89" t="s">
        <v>9794</v>
      </c>
      <c r="S1971" s="30">
        <v>0</v>
      </c>
      <c r="T1971" s="233">
        <v>0</v>
      </c>
      <c r="U1971" s="30">
        <v>0</v>
      </c>
      <c r="V1971" s="233">
        <v>0</v>
      </c>
      <c r="W1971" s="30">
        <v>0</v>
      </c>
      <c r="X1971" s="30">
        <v>0</v>
      </c>
      <c r="Y1971" s="30">
        <v>0</v>
      </c>
      <c r="Z1971" s="233">
        <v>0</v>
      </c>
      <c r="AA1971" s="30">
        <v>0</v>
      </c>
      <c r="AB1971" s="30">
        <v>0</v>
      </c>
      <c r="AC1971" s="30">
        <v>0</v>
      </c>
      <c r="AD1971" s="30">
        <v>0</v>
      </c>
      <c r="AE1971" s="89" t="s">
        <v>92</v>
      </c>
      <c r="AF1971" s="89"/>
      <c r="AG1971" s="89" t="s">
        <v>11030</v>
      </c>
      <c r="AH1971" s="72">
        <v>42087</v>
      </c>
      <c r="AI1971" s="30">
        <v>0</v>
      </c>
      <c r="AJ1971" s="89" t="s">
        <v>11031</v>
      </c>
      <c r="AK1971" s="89" t="s">
        <v>11032</v>
      </c>
      <c r="AL1971" s="91">
        <v>42093</v>
      </c>
      <c r="AM1971" s="91"/>
      <c r="AN1971" s="91"/>
      <c r="AO1971" s="91"/>
      <c r="AP1971" s="73" t="e">
        <f>MID(VLOOKUP(K1971,#REF!,2,FALSE),1,2)</f>
        <v>#REF!</v>
      </c>
      <c r="AQ1971" s="89">
        <f>DATE(2015,3,19)</f>
        <v>42082</v>
      </c>
      <c r="AR1971" s="82">
        <f t="shared" si="126"/>
        <v>19</v>
      </c>
      <c r="AS1971" s="83">
        <f t="shared" si="127"/>
        <v>3</v>
      </c>
      <c r="AT1971" s="84">
        <f t="shared" si="128"/>
        <v>2015</v>
      </c>
      <c r="AU1971" s="88">
        <f>DATE(2015,3,30)</f>
        <v>42093</v>
      </c>
      <c r="AV1971" s="88">
        <f>DATE(2015,3,24)</f>
        <v>42087</v>
      </c>
      <c r="AW1971" s="87">
        <f t="shared" si="130"/>
        <v>6</v>
      </c>
      <c r="AX1971" s="88">
        <f>DATE(2015,3,24)</f>
        <v>42087</v>
      </c>
      <c r="AY1971" s="83">
        <f>MONTH(AX1971)</f>
        <v>3</v>
      </c>
      <c r="AZ1971" s="84">
        <f>YEAR(AX1971)</f>
        <v>2015</v>
      </c>
      <c r="BA1971" s="88">
        <f>DATE(2015,3,26)</f>
        <v>42089</v>
      </c>
      <c r="BB1971" s="86"/>
    </row>
    <row r="1972" spans="1:54" ht="36.75" customHeight="1">
      <c r="A1972" s="30"/>
      <c r="B1972" s="30" t="s">
        <v>55</v>
      </c>
      <c r="C1972" s="69" t="str">
        <f t="shared" si="129"/>
        <v>Closed</v>
      </c>
      <c r="D1972" s="27" t="s">
        <v>11033</v>
      </c>
      <c r="E1972" s="29" t="s">
        <v>11034</v>
      </c>
      <c r="F1972" s="30" t="s">
        <v>233</v>
      </c>
      <c r="G1972" s="89">
        <f>DATE(2015,3,23)</f>
        <v>42086</v>
      </c>
      <c r="H1972" s="90">
        <v>1.3618055555555555</v>
      </c>
      <c r="I1972" s="30" t="s">
        <v>73</v>
      </c>
      <c r="J1972" s="89" t="s">
        <v>11035</v>
      </c>
      <c r="K1972" s="30" t="s">
        <v>235</v>
      </c>
      <c r="L1972" s="30" t="s">
        <v>1055</v>
      </c>
      <c r="M1972" s="30" t="s">
        <v>63</v>
      </c>
      <c r="N1972" s="30" t="s">
        <v>89</v>
      </c>
      <c r="O1972" s="30" t="s">
        <v>64</v>
      </c>
      <c r="P1972" s="89" t="s">
        <v>78</v>
      </c>
      <c r="Q1972" s="89" t="s">
        <v>434</v>
      </c>
      <c r="R1972" s="89" t="s">
        <v>238</v>
      </c>
      <c r="S1972" s="30">
        <v>0</v>
      </c>
      <c r="T1972" s="233">
        <v>0</v>
      </c>
      <c r="U1972" s="30">
        <v>0</v>
      </c>
      <c r="V1972" s="233">
        <v>0</v>
      </c>
      <c r="W1972" s="30">
        <v>0</v>
      </c>
      <c r="X1972" s="30">
        <v>0</v>
      </c>
      <c r="Y1972" s="30">
        <v>0</v>
      </c>
      <c r="Z1972" s="233">
        <v>0</v>
      </c>
      <c r="AA1972" s="30">
        <v>0</v>
      </c>
      <c r="AB1972" s="30">
        <v>0</v>
      </c>
      <c r="AC1972" s="30">
        <v>0</v>
      </c>
      <c r="AD1972" s="30">
        <v>0</v>
      </c>
      <c r="AE1972" s="89" t="s">
        <v>92</v>
      </c>
      <c r="AF1972" s="89"/>
      <c r="AG1972" s="89" t="s">
        <v>133</v>
      </c>
      <c r="AH1972" s="72">
        <v>42093</v>
      </c>
      <c r="AI1972" s="30">
        <v>3</v>
      </c>
      <c r="AJ1972" s="89" t="s">
        <v>11036</v>
      </c>
      <c r="AK1972" s="89" t="s">
        <v>11037</v>
      </c>
      <c r="AL1972" s="91">
        <v>42130</v>
      </c>
      <c r="AM1972" s="91"/>
      <c r="AN1972" s="91"/>
      <c r="AO1972" s="91"/>
      <c r="AP1972" s="73" t="e">
        <f>MID(VLOOKUP(K1972,#REF!,2,FALSE),1,2)</f>
        <v>#REF!</v>
      </c>
      <c r="AQ1972" s="89">
        <f>DATE(2015,3,23)</f>
        <v>42086</v>
      </c>
      <c r="AR1972" s="82">
        <f t="shared" si="126"/>
        <v>23</v>
      </c>
      <c r="AS1972" s="83">
        <f t="shared" si="127"/>
        <v>3</v>
      </c>
      <c r="AT1972" s="84">
        <f t="shared" si="128"/>
        <v>2015</v>
      </c>
      <c r="AU1972" s="88">
        <f>DATE(2015,5,6)</f>
        <v>42130</v>
      </c>
      <c r="AV1972" s="88">
        <f>DATE(2015,3,30)</f>
        <v>42093</v>
      </c>
      <c r="AW1972" s="87">
        <f t="shared" si="130"/>
        <v>37</v>
      </c>
      <c r="AX1972" s="88">
        <f>DATE(2015,5,6)</f>
        <v>42130</v>
      </c>
      <c r="AY1972" s="83">
        <f>MONTH(AX1972)</f>
        <v>5</v>
      </c>
      <c r="AZ1972" s="84">
        <f>YEAR(AX1972)</f>
        <v>2015</v>
      </c>
      <c r="BA1972" s="86"/>
      <c r="BB1972" s="86"/>
    </row>
    <row r="1973" spans="1:54" ht="36.75" customHeight="1">
      <c r="A1973" s="30"/>
      <c r="B1973" s="30" t="s">
        <v>55</v>
      </c>
      <c r="C1973" s="69" t="str">
        <f t="shared" si="129"/>
        <v>Closed</v>
      </c>
      <c r="D1973" s="27" t="s">
        <v>11038</v>
      </c>
      <c r="E1973" s="29" t="s">
        <v>11039</v>
      </c>
      <c r="F1973" s="30" t="s">
        <v>423</v>
      </c>
      <c r="G1973" s="89">
        <f>DATE(2015,3,24)</f>
        <v>42087</v>
      </c>
      <c r="H1973" s="90">
        <v>1.2909722222222222</v>
      </c>
      <c r="I1973" s="30" t="s">
        <v>116</v>
      </c>
      <c r="J1973" s="89" t="s">
        <v>11040</v>
      </c>
      <c r="K1973" s="30" t="s">
        <v>425</v>
      </c>
      <c r="L1973" s="30" t="s">
        <v>11041</v>
      </c>
      <c r="M1973" s="30" t="s">
        <v>63</v>
      </c>
      <c r="N1973" s="30" t="s">
        <v>99</v>
      </c>
      <c r="O1973" s="30" t="s">
        <v>64</v>
      </c>
      <c r="P1973" s="89" t="s">
        <v>165</v>
      </c>
      <c r="Q1973" s="89" t="s">
        <v>4551</v>
      </c>
      <c r="R1973" s="89" t="s">
        <v>3103</v>
      </c>
      <c r="S1973" s="30">
        <v>0</v>
      </c>
      <c r="T1973" s="233">
        <v>0</v>
      </c>
      <c r="U1973" s="30">
        <v>0</v>
      </c>
      <c r="V1973" s="233">
        <v>0</v>
      </c>
      <c r="W1973" s="30">
        <v>0</v>
      </c>
      <c r="X1973" s="30">
        <v>0</v>
      </c>
      <c r="Y1973" s="30">
        <v>0</v>
      </c>
      <c r="Z1973" s="233">
        <v>0</v>
      </c>
      <c r="AA1973" s="30">
        <v>0</v>
      </c>
      <c r="AB1973" s="30">
        <v>0</v>
      </c>
      <c r="AC1973" s="30">
        <v>0</v>
      </c>
      <c r="AD1973" s="30">
        <v>0</v>
      </c>
      <c r="AE1973" s="89" t="s">
        <v>394</v>
      </c>
      <c r="AF1973" s="89"/>
      <c r="AG1973" s="89" t="s">
        <v>589</v>
      </c>
      <c r="AH1973" s="72">
        <v>42087</v>
      </c>
      <c r="AI1973" s="30">
        <v>3</v>
      </c>
      <c r="AJ1973" s="89" t="s">
        <v>11042</v>
      </c>
      <c r="AK1973" s="89" t="s">
        <v>11043</v>
      </c>
      <c r="AL1973" s="91">
        <v>42088</v>
      </c>
      <c r="AM1973" s="91"/>
      <c r="AN1973" s="91"/>
      <c r="AO1973" s="91"/>
      <c r="AP1973" s="73" t="e">
        <f>MID(VLOOKUP(K1973,#REF!,2,FALSE),1,2)</f>
        <v>#REF!</v>
      </c>
      <c r="AQ1973" s="89">
        <f>DATE(2015,3,24)</f>
        <v>42087</v>
      </c>
      <c r="AR1973" s="82">
        <f t="shared" si="126"/>
        <v>24</v>
      </c>
      <c r="AS1973" s="83">
        <f t="shared" si="127"/>
        <v>3</v>
      </c>
      <c r="AT1973" s="84">
        <f t="shared" si="128"/>
        <v>2015</v>
      </c>
      <c r="AU1973" s="88">
        <f>DATE(2015,3,25)</f>
        <v>42088</v>
      </c>
      <c r="AV1973" s="88">
        <f>DATE(2015,3,24)</f>
        <v>42087</v>
      </c>
      <c r="AW1973" s="87">
        <f t="shared" si="130"/>
        <v>1</v>
      </c>
      <c r="AX1973" s="86"/>
      <c r="AY1973" s="83"/>
      <c r="AZ1973" s="84"/>
      <c r="BA1973" s="86"/>
      <c r="BB1973" s="86"/>
    </row>
    <row r="1974" spans="1:54" ht="36.75" customHeight="1">
      <c r="A1974" s="30"/>
      <c r="B1974" s="30" t="s">
        <v>55</v>
      </c>
      <c r="C1974" s="69" t="str">
        <f t="shared" si="129"/>
        <v>Closed</v>
      </c>
      <c r="D1974" s="27" t="s">
        <v>11044</v>
      </c>
      <c r="E1974" s="29" t="s">
        <v>11045</v>
      </c>
      <c r="F1974" s="30" t="s">
        <v>423</v>
      </c>
      <c r="G1974" s="89">
        <f>DATE(2015,3,28)</f>
        <v>42091</v>
      </c>
      <c r="H1974" s="90">
        <v>1.3597222222222223</v>
      </c>
      <c r="I1974" s="30" t="s">
        <v>198</v>
      </c>
      <c r="J1974" s="89" t="s">
        <v>11046</v>
      </c>
      <c r="K1974" s="30" t="s">
        <v>425</v>
      </c>
      <c r="L1974" s="30" t="s">
        <v>11047</v>
      </c>
      <c r="M1974" s="30" t="s">
        <v>63</v>
      </c>
      <c r="N1974" s="30" t="s">
        <v>142</v>
      </c>
      <c r="O1974" s="30" t="s">
        <v>64</v>
      </c>
      <c r="P1974" s="89" t="s">
        <v>78</v>
      </c>
      <c r="Q1974" s="89" t="s">
        <v>2582</v>
      </c>
      <c r="R1974" s="89" t="s">
        <v>3103</v>
      </c>
      <c r="S1974" s="30">
        <v>0</v>
      </c>
      <c r="T1974" s="233">
        <v>0</v>
      </c>
      <c r="U1974" s="30">
        <v>0</v>
      </c>
      <c r="V1974" s="233">
        <v>0</v>
      </c>
      <c r="W1974" s="30">
        <v>0</v>
      </c>
      <c r="X1974" s="30">
        <v>0</v>
      </c>
      <c r="Y1974" s="30">
        <v>0</v>
      </c>
      <c r="Z1974" s="233">
        <v>0</v>
      </c>
      <c r="AA1974" s="30">
        <v>0</v>
      </c>
      <c r="AB1974" s="30">
        <v>0</v>
      </c>
      <c r="AC1974" s="30">
        <v>0</v>
      </c>
      <c r="AD1974" s="30">
        <v>0</v>
      </c>
      <c r="AE1974" s="89" t="s">
        <v>394</v>
      </c>
      <c r="AF1974" s="89"/>
      <c r="AG1974" s="89" t="s">
        <v>82</v>
      </c>
      <c r="AH1974" s="72">
        <v>42091</v>
      </c>
      <c r="AI1974" s="30">
        <v>3</v>
      </c>
      <c r="AJ1974" s="89" t="s">
        <v>11048</v>
      </c>
      <c r="AK1974" s="89" t="s">
        <v>11049</v>
      </c>
      <c r="AL1974" s="91">
        <v>42093</v>
      </c>
      <c r="AM1974" s="91"/>
      <c r="AN1974" s="91"/>
      <c r="AO1974" s="91"/>
      <c r="AP1974" s="73" t="e">
        <f>MID(VLOOKUP(K1974,#REF!,2,FALSE),1,2)</f>
        <v>#REF!</v>
      </c>
      <c r="AQ1974" s="89">
        <f>DATE(2015,3,28)</f>
        <v>42091</v>
      </c>
      <c r="AR1974" s="82">
        <f t="shared" si="126"/>
        <v>28</v>
      </c>
      <c r="AS1974" s="83">
        <f t="shared" si="127"/>
        <v>3</v>
      </c>
      <c r="AT1974" s="84">
        <f t="shared" si="128"/>
        <v>2015</v>
      </c>
      <c r="AU1974" s="88">
        <f>DATE(2015,3,30)</f>
        <v>42093</v>
      </c>
      <c r="AV1974" s="88">
        <f>DATE(2015,3,28)</f>
        <v>42091</v>
      </c>
      <c r="AW1974" s="87">
        <f t="shared" si="130"/>
        <v>2</v>
      </c>
      <c r="AX1974" s="86"/>
      <c r="AY1974" s="83"/>
      <c r="AZ1974" s="84"/>
      <c r="BA1974" s="86"/>
      <c r="BB1974" s="86"/>
    </row>
    <row r="1975" spans="1:54" ht="36.75" customHeight="1">
      <c r="A1975" s="30"/>
      <c r="B1975" s="30" t="s">
        <v>55</v>
      </c>
      <c r="C1975" s="69" t="str">
        <f t="shared" si="129"/>
        <v>Closed</v>
      </c>
      <c r="D1975" s="27" t="s">
        <v>11050</v>
      </c>
      <c r="E1975" s="29" t="s">
        <v>11051</v>
      </c>
      <c r="F1975" s="30" t="s">
        <v>638</v>
      </c>
      <c r="G1975" s="89">
        <f>DATE(2015,3,31)</f>
        <v>42094</v>
      </c>
      <c r="H1975" s="90">
        <v>1.1506944444444445</v>
      </c>
      <c r="I1975" s="30" t="s">
        <v>73</v>
      </c>
      <c r="J1975" s="89" t="s">
        <v>11052</v>
      </c>
      <c r="K1975" s="30" t="s">
        <v>640</v>
      </c>
      <c r="L1975" s="30" t="s">
        <v>11053</v>
      </c>
      <c r="M1975" s="30" t="s">
        <v>63</v>
      </c>
      <c r="N1975" s="30" t="s">
        <v>142</v>
      </c>
      <c r="O1975" s="30" t="s">
        <v>77</v>
      </c>
      <c r="P1975" s="89" t="s">
        <v>78</v>
      </c>
      <c r="Q1975" s="89" t="s">
        <v>3439</v>
      </c>
      <c r="R1975" s="89" t="s">
        <v>643</v>
      </c>
      <c r="S1975" s="30">
        <v>0</v>
      </c>
      <c r="T1975" s="233">
        <v>0</v>
      </c>
      <c r="U1975" s="30">
        <v>0</v>
      </c>
      <c r="V1975" s="233">
        <v>0</v>
      </c>
      <c r="W1975" s="30">
        <v>0</v>
      </c>
      <c r="X1975" s="30">
        <v>0</v>
      </c>
      <c r="Y1975" s="30">
        <v>0</v>
      </c>
      <c r="Z1975" s="233">
        <v>0</v>
      </c>
      <c r="AA1975" s="30">
        <v>0</v>
      </c>
      <c r="AB1975" s="30">
        <v>0</v>
      </c>
      <c r="AC1975" s="30">
        <v>0</v>
      </c>
      <c r="AD1975" s="30">
        <v>0</v>
      </c>
      <c r="AE1975" s="89" t="s">
        <v>92</v>
      </c>
      <c r="AF1975" s="89"/>
      <c r="AG1975" s="89" t="s">
        <v>352</v>
      </c>
      <c r="AH1975" s="72">
        <v>42122</v>
      </c>
      <c r="AI1975" s="30">
        <v>2</v>
      </c>
      <c r="AJ1975" s="89" t="s">
        <v>11054</v>
      </c>
      <c r="AK1975" s="89" t="s">
        <v>68</v>
      </c>
      <c r="AL1975" s="91">
        <v>42205</v>
      </c>
      <c r="AM1975" s="91"/>
      <c r="AN1975" s="91"/>
      <c r="AO1975" s="91"/>
      <c r="AP1975" s="73" t="e">
        <f>MID(VLOOKUP(K1975,#REF!,2,FALSE),1,2)</f>
        <v>#REF!</v>
      </c>
      <c r="AQ1975" s="89">
        <f>DATE(2015,3,31)</f>
        <v>42094</v>
      </c>
      <c r="AR1975" s="82">
        <f t="shared" si="126"/>
        <v>31</v>
      </c>
      <c r="AS1975" s="83">
        <f t="shared" si="127"/>
        <v>3</v>
      </c>
      <c r="AT1975" s="84">
        <f t="shared" si="128"/>
        <v>2015</v>
      </c>
      <c r="AU1975" s="88">
        <f>DATE(2015,7,20)</f>
        <v>42205</v>
      </c>
      <c r="AV1975" s="88">
        <f>DATE(2015,4,28)</f>
        <v>42122</v>
      </c>
      <c r="AW1975" s="87">
        <f t="shared" si="130"/>
        <v>83</v>
      </c>
      <c r="AX1975" s="86"/>
      <c r="AY1975" s="83"/>
      <c r="AZ1975" s="84"/>
      <c r="BA1975" s="86"/>
      <c r="BB1975" s="86"/>
    </row>
    <row r="1976" spans="1:54" ht="36.75" customHeight="1">
      <c r="A1976" s="30"/>
      <c r="B1976" s="30" t="s">
        <v>55</v>
      </c>
      <c r="C1976" s="69" t="str">
        <f t="shared" si="129"/>
        <v>Closed</v>
      </c>
      <c r="D1976" s="27" t="s">
        <v>11055</v>
      </c>
      <c r="E1976" s="29" t="s">
        <v>11056</v>
      </c>
      <c r="F1976" s="30" t="s">
        <v>835</v>
      </c>
      <c r="G1976" s="89">
        <f>DATE(2015,4,5)</f>
        <v>42099</v>
      </c>
      <c r="H1976" s="90">
        <v>1.2729166666666667</v>
      </c>
      <c r="I1976" s="30" t="s">
        <v>156</v>
      </c>
      <c r="J1976" s="89" t="s">
        <v>11057</v>
      </c>
      <c r="K1976" s="30" t="s">
        <v>837</v>
      </c>
      <c r="L1976" s="30" t="s">
        <v>11058</v>
      </c>
      <c r="M1976" s="30" t="s">
        <v>63</v>
      </c>
      <c r="N1976" s="30" t="s">
        <v>142</v>
      </c>
      <c r="O1976" s="30" t="s">
        <v>77</v>
      </c>
      <c r="P1976" s="89" t="s">
        <v>6902</v>
      </c>
      <c r="Q1976" s="89" t="s">
        <v>2162</v>
      </c>
      <c r="R1976" s="89" t="s">
        <v>840</v>
      </c>
      <c r="S1976" s="30">
        <v>0</v>
      </c>
      <c r="T1976" s="233">
        <v>0</v>
      </c>
      <c r="U1976" s="30">
        <v>0</v>
      </c>
      <c r="V1976" s="233">
        <v>0</v>
      </c>
      <c r="W1976" s="30">
        <v>0</v>
      </c>
      <c r="X1976" s="30">
        <v>0</v>
      </c>
      <c r="Y1976" s="30">
        <v>1</v>
      </c>
      <c r="Z1976" s="233">
        <v>0</v>
      </c>
      <c r="AA1976" s="30">
        <v>0</v>
      </c>
      <c r="AB1976" s="30">
        <v>0</v>
      </c>
      <c r="AC1976" s="30">
        <v>0</v>
      </c>
      <c r="AD1976" s="30">
        <v>1</v>
      </c>
      <c r="AE1976" s="89" t="s">
        <v>92</v>
      </c>
      <c r="AF1976" s="89"/>
      <c r="AG1976" s="89" t="s">
        <v>69</v>
      </c>
      <c r="AH1976" s="72">
        <v>42099</v>
      </c>
      <c r="AI1976" s="30">
        <v>0</v>
      </c>
      <c r="AJ1976" s="89" t="s">
        <v>11059</v>
      </c>
      <c r="AK1976" s="89" t="s">
        <v>68</v>
      </c>
      <c r="AL1976" s="91">
        <v>42102</v>
      </c>
      <c r="AM1976" s="91"/>
      <c r="AN1976" s="91"/>
      <c r="AO1976" s="91"/>
      <c r="AP1976" s="73" t="e">
        <f>MID(VLOOKUP(K1976,#REF!,2,FALSE),1,2)</f>
        <v>#REF!</v>
      </c>
      <c r="AQ1976" s="89">
        <f>DATE(2015,4,5)</f>
        <v>42099</v>
      </c>
      <c r="AR1976" s="82">
        <f t="shared" ref="AR1976:AR2039" si="131">DAY(AQ1976)</f>
        <v>5</v>
      </c>
      <c r="AS1976" s="83">
        <f t="shared" ref="AS1976:AS2039" si="132">MONTH(AQ1976)</f>
        <v>4</v>
      </c>
      <c r="AT1976" s="84">
        <f t="shared" ref="AT1976:AT2039" si="133">YEAR(AQ1976)</f>
        <v>2015</v>
      </c>
      <c r="AU1976" s="88">
        <f>DATE(2015,4,8)</f>
        <v>42102</v>
      </c>
      <c r="AV1976" s="88">
        <f>DATE(2015,4,5)</f>
        <v>42099</v>
      </c>
      <c r="AW1976" s="87">
        <f t="shared" si="130"/>
        <v>3</v>
      </c>
      <c r="AX1976" s="88">
        <f>DATE(2015,4,5)</f>
        <v>42099</v>
      </c>
      <c r="AY1976" s="83">
        <f>MONTH(AX1976)</f>
        <v>4</v>
      </c>
      <c r="AZ1976" s="84">
        <f>YEAR(AX1976)</f>
        <v>2015</v>
      </c>
      <c r="BA1976" s="88">
        <f>DATE(2015,4,5)</f>
        <v>42099</v>
      </c>
      <c r="BB1976" s="86"/>
    </row>
    <row r="1977" spans="1:54" ht="36.75" customHeight="1">
      <c r="A1977" s="30" t="s">
        <v>4910</v>
      </c>
      <c r="B1977" s="30" t="s">
        <v>55</v>
      </c>
      <c r="C1977" s="69" t="str">
        <f t="shared" si="129"/>
        <v>Closed</v>
      </c>
      <c r="D1977" s="27" t="s">
        <v>11060</v>
      </c>
      <c r="E1977" s="29" t="s">
        <v>11061</v>
      </c>
      <c r="F1977" s="30" t="s">
        <v>582</v>
      </c>
      <c r="G1977" s="89">
        <f>DATE(2015,4,7)</f>
        <v>42101</v>
      </c>
      <c r="H1977" s="90">
        <v>0</v>
      </c>
      <c r="I1977" s="30" t="s">
        <v>73</v>
      </c>
      <c r="J1977" s="89" t="s">
        <v>11062</v>
      </c>
      <c r="K1977" s="30" t="s">
        <v>584</v>
      </c>
      <c r="L1977" s="30" t="s">
        <v>11063</v>
      </c>
      <c r="M1977" s="30" t="s">
        <v>63</v>
      </c>
      <c r="N1977" s="30" t="s">
        <v>142</v>
      </c>
      <c r="O1977" s="30" t="s">
        <v>77</v>
      </c>
      <c r="P1977" s="89" t="s">
        <v>6941</v>
      </c>
      <c r="Q1977" s="89" t="s">
        <v>11064</v>
      </c>
      <c r="R1977" s="89" t="s">
        <v>587</v>
      </c>
      <c r="S1977" s="30">
        <v>0</v>
      </c>
      <c r="T1977" s="233">
        <v>0</v>
      </c>
      <c r="U1977" s="30">
        <v>0</v>
      </c>
      <c r="V1977" s="233">
        <v>0</v>
      </c>
      <c r="W1977" s="30">
        <v>0</v>
      </c>
      <c r="X1977" s="30">
        <v>0</v>
      </c>
      <c r="Y1977" s="30">
        <v>0</v>
      </c>
      <c r="Z1977" s="233">
        <v>0</v>
      </c>
      <c r="AA1977" s="30">
        <v>0</v>
      </c>
      <c r="AB1977" s="30">
        <v>0</v>
      </c>
      <c r="AC1977" s="30">
        <v>0</v>
      </c>
      <c r="AD1977" s="30">
        <v>0</v>
      </c>
      <c r="AE1977" s="89" t="s">
        <v>394</v>
      </c>
      <c r="AF1977" s="89"/>
      <c r="AG1977" s="89" t="s">
        <v>133</v>
      </c>
      <c r="AH1977" s="72">
        <v>42101</v>
      </c>
      <c r="AI1977" s="30">
        <v>0</v>
      </c>
      <c r="AJ1977" s="89" t="s">
        <v>11065</v>
      </c>
      <c r="AK1977" s="89" t="s">
        <v>1233</v>
      </c>
      <c r="AL1977" s="91">
        <v>42104</v>
      </c>
      <c r="AM1977" s="91"/>
      <c r="AN1977" s="91"/>
      <c r="AO1977" s="91"/>
      <c r="AP1977" s="73" t="e">
        <f>MID(VLOOKUP(K1977,#REF!,2,FALSE),1,2)</f>
        <v>#REF!</v>
      </c>
      <c r="AQ1977" s="89">
        <f>DATE(2015,4,7)</f>
        <v>42101</v>
      </c>
      <c r="AR1977" s="82">
        <f t="shared" si="131"/>
        <v>7</v>
      </c>
      <c r="AS1977" s="83">
        <f t="shared" si="132"/>
        <v>4</v>
      </c>
      <c r="AT1977" s="84">
        <f t="shared" si="133"/>
        <v>2015</v>
      </c>
      <c r="AU1977" s="88">
        <f>DATE(2015,4,10)</f>
        <v>42104</v>
      </c>
      <c r="AV1977" s="88">
        <f>DATE(2015,4,7)</f>
        <v>42101</v>
      </c>
      <c r="AW1977" s="87">
        <f t="shared" si="130"/>
        <v>3</v>
      </c>
      <c r="AX1977" s="86"/>
      <c r="AY1977" s="83"/>
      <c r="AZ1977" s="84"/>
      <c r="BA1977" s="86"/>
      <c r="BB1977" s="86"/>
    </row>
    <row r="1978" spans="1:54" ht="36.75" customHeight="1">
      <c r="A1978" s="30"/>
      <c r="B1978" s="30" t="s">
        <v>55</v>
      </c>
      <c r="C1978" s="69" t="str">
        <f t="shared" si="129"/>
        <v>Closed</v>
      </c>
      <c r="D1978" s="27" t="s">
        <v>11066</v>
      </c>
      <c r="E1978" s="29" t="s">
        <v>11067</v>
      </c>
      <c r="F1978" s="30" t="s">
        <v>835</v>
      </c>
      <c r="G1978" s="89">
        <f>DATE(2015,4,7)</f>
        <v>42101</v>
      </c>
      <c r="H1978" s="90">
        <v>1.6124999999999998</v>
      </c>
      <c r="I1978" s="30" t="s">
        <v>73</v>
      </c>
      <c r="J1978" s="89" t="s">
        <v>11068</v>
      </c>
      <c r="K1978" s="30" t="s">
        <v>837</v>
      </c>
      <c r="L1978" s="30" t="s">
        <v>11069</v>
      </c>
      <c r="M1978" s="30" t="s">
        <v>9919</v>
      </c>
      <c r="N1978" s="30" t="s">
        <v>99</v>
      </c>
      <c r="O1978" s="30" t="s">
        <v>77</v>
      </c>
      <c r="P1978" s="89" t="s">
        <v>165</v>
      </c>
      <c r="Q1978" s="89" t="s">
        <v>11070</v>
      </c>
      <c r="R1978" s="89" t="s">
        <v>840</v>
      </c>
      <c r="S1978" s="30">
        <v>0</v>
      </c>
      <c r="T1978" s="233">
        <v>0</v>
      </c>
      <c r="U1978" s="30">
        <v>0</v>
      </c>
      <c r="V1978" s="233">
        <v>0</v>
      </c>
      <c r="W1978" s="30">
        <v>0</v>
      </c>
      <c r="X1978" s="30">
        <v>0</v>
      </c>
      <c r="Y1978" s="30">
        <v>0</v>
      </c>
      <c r="Z1978" s="233">
        <v>0</v>
      </c>
      <c r="AA1978" s="30">
        <v>0</v>
      </c>
      <c r="AB1978" s="30">
        <v>0</v>
      </c>
      <c r="AC1978" s="30">
        <v>0</v>
      </c>
      <c r="AD1978" s="30">
        <v>0</v>
      </c>
      <c r="AE1978" s="89" t="s">
        <v>92</v>
      </c>
      <c r="AF1978" s="89"/>
      <c r="AG1978" s="89" t="s">
        <v>352</v>
      </c>
      <c r="AH1978" s="72">
        <v>42101</v>
      </c>
      <c r="AI1978" s="30">
        <v>1</v>
      </c>
      <c r="AJ1978" s="89" t="s">
        <v>11071</v>
      </c>
      <c r="AK1978" s="89" t="s">
        <v>68</v>
      </c>
      <c r="AL1978" s="91">
        <v>42102</v>
      </c>
      <c r="AM1978" s="91"/>
      <c r="AN1978" s="91"/>
      <c r="AO1978" s="91"/>
      <c r="AP1978" s="73" t="e">
        <f>MID(VLOOKUP(K1978,#REF!,2,FALSE),1,2)</f>
        <v>#REF!</v>
      </c>
      <c r="AQ1978" s="89">
        <f>DATE(2015,4,7)</f>
        <v>42101</v>
      </c>
      <c r="AR1978" s="82">
        <f t="shared" si="131"/>
        <v>7</v>
      </c>
      <c r="AS1978" s="83">
        <f t="shared" si="132"/>
        <v>4</v>
      </c>
      <c r="AT1978" s="84">
        <f t="shared" si="133"/>
        <v>2015</v>
      </c>
      <c r="AU1978" s="88">
        <f>DATE(2015,4,8)</f>
        <v>42102</v>
      </c>
      <c r="AV1978" s="88">
        <f>DATE(2015,4,7)</f>
        <v>42101</v>
      </c>
      <c r="AW1978" s="87">
        <f t="shared" si="130"/>
        <v>1</v>
      </c>
      <c r="AX1978" s="88">
        <f>DATE(2015,4,7)</f>
        <v>42101</v>
      </c>
      <c r="AY1978" s="83">
        <f>MONTH(AX1978)</f>
        <v>4</v>
      </c>
      <c r="AZ1978" s="84">
        <f>YEAR(AX1978)</f>
        <v>2015</v>
      </c>
      <c r="BA1978" s="88">
        <f>DATE(2015,4,7)</f>
        <v>42101</v>
      </c>
      <c r="BB1978" s="86"/>
    </row>
    <row r="1979" spans="1:54" ht="36.75" customHeight="1">
      <c r="A1979" s="30"/>
      <c r="B1979" s="30" t="s">
        <v>55</v>
      </c>
      <c r="C1979" s="69" t="str">
        <f t="shared" si="129"/>
        <v>Closed</v>
      </c>
      <c r="D1979" s="27" t="s">
        <v>11072</v>
      </c>
      <c r="E1979" s="29" t="s">
        <v>11073</v>
      </c>
      <c r="F1979" s="30" t="s">
        <v>197</v>
      </c>
      <c r="G1979" s="89">
        <f>DATE(2015,4,8)</f>
        <v>42102</v>
      </c>
      <c r="H1979" s="90">
        <v>0</v>
      </c>
      <c r="I1979" s="30" t="s">
        <v>156</v>
      </c>
      <c r="J1979" s="89" t="s">
        <v>11074</v>
      </c>
      <c r="K1979" s="30" t="s">
        <v>200</v>
      </c>
      <c r="L1979" s="30" t="s">
        <v>11075</v>
      </c>
      <c r="M1979" s="30" t="s">
        <v>63</v>
      </c>
      <c r="N1979" s="30" t="s">
        <v>89</v>
      </c>
      <c r="O1979" s="30" t="s">
        <v>64</v>
      </c>
      <c r="P1979" s="89" t="s">
        <v>78</v>
      </c>
      <c r="Q1979" s="89" t="s">
        <v>2453</v>
      </c>
      <c r="R1979" s="89" t="s">
        <v>203</v>
      </c>
      <c r="S1979" s="30">
        <v>0</v>
      </c>
      <c r="T1979" s="233">
        <v>0</v>
      </c>
      <c r="U1979" s="30">
        <v>0</v>
      </c>
      <c r="V1979" s="233">
        <v>0</v>
      </c>
      <c r="W1979" s="30">
        <v>1</v>
      </c>
      <c r="X1979" s="30">
        <v>1</v>
      </c>
      <c r="Y1979" s="30">
        <v>0</v>
      </c>
      <c r="Z1979" s="233">
        <v>0</v>
      </c>
      <c r="AA1979" s="30">
        <v>0</v>
      </c>
      <c r="AB1979" s="30">
        <v>0</v>
      </c>
      <c r="AC1979" s="30">
        <v>0</v>
      </c>
      <c r="AD1979" s="30">
        <v>0</v>
      </c>
      <c r="AE1979" s="89" t="s">
        <v>92</v>
      </c>
      <c r="AF1979" s="89"/>
      <c r="AG1979" s="89" t="s">
        <v>133</v>
      </c>
      <c r="AH1979" s="72">
        <v>42139</v>
      </c>
      <c r="AI1979" s="30">
        <v>1</v>
      </c>
      <c r="AJ1979" s="89" t="s">
        <v>11076</v>
      </c>
      <c r="AK1979" s="89" t="s">
        <v>1233</v>
      </c>
      <c r="AL1979" s="91">
        <v>42145</v>
      </c>
      <c r="AM1979" s="91"/>
      <c r="AN1979" s="91"/>
      <c r="AO1979" s="91"/>
      <c r="AP1979" s="73" t="e">
        <f>MID(VLOOKUP(K1979,#REF!,2,FALSE),1,2)</f>
        <v>#REF!</v>
      </c>
      <c r="AQ1979" s="89">
        <f>DATE(2015,4,8)</f>
        <v>42102</v>
      </c>
      <c r="AR1979" s="82">
        <f t="shared" si="131"/>
        <v>8</v>
      </c>
      <c r="AS1979" s="83">
        <f t="shared" si="132"/>
        <v>4</v>
      </c>
      <c r="AT1979" s="84">
        <f t="shared" si="133"/>
        <v>2015</v>
      </c>
      <c r="AU1979" s="88">
        <f>DATE(2015,5,21)</f>
        <v>42145</v>
      </c>
      <c r="AV1979" s="88">
        <f>DATE(2015,5,15)</f>
        <v>42139</v>
      </c>
      <c r="AW1979" s="87">
        <f t="shared" si="130"/>
        <v>6</v>
      </c>
      <c r="AX1979" s="88">
        <f>DATE(2015,10,19)</f>
        <v>42296</v>
      </c>
      <c r="AY1979" s="83">
        <f>MONTH(AX1979)</f>
        <v>10</v>
      </c>
      <c r="AZ1979" s="84">
        <f>YEAR(AX1979)</f>
        <v>2015</v>
      </c>
      <c r="BA1979" s="86"/>
      <c r="BB1979" s="86"/>
    </row>
    <row r="1980" spans="1:54" ht="36.75" customHeight="1">
      <c r="A1980" s="30"/>
      <c r="B1980" s="30" t="s">
        <v>55</v>
      </c>
      <c r="C1980" s="69" t="str">
        <f t="shared" si="129"/>
        <v>Closed</v>
      </c>
      <c r="D1980" s="27" t="s">
        <v>11077</v>
      </c>
      <c r="E1980" s="29" t="s">
        <v>11078</v>
      </c>
      <c r="F1980" s="30" t="s">
        <v>835</v>
      </c>
      <c r="G1980" s="89">
        <f>DATE(2015,4,8)</f>
        <v>42102</v>
      </c>
      <c r="H1980" s="90">
        <v>1.3166666666666667</v>
      </c>
      <c r="I1980" s="30" t="s">
        <v>73</v>
      </c>
      <c r="J1980" s="89" t="s">
        <v>11079</v>
      </c>
      <c r="K1980" s="30" t="s">
        <v>837</v>
      </c>
      <c r="L1980" s="30" t="s">
        <v>11080</v>
      </c>
      <c r="M1980" s="30" t="s">
        <v>63</v>
      </c>
      <c r="N1980" s="30" t="s">
        <v>99</v>
      </c>
      <c r="O1980" s="30" t="s">
        <v>77</v>
      </c>
      <c r="P1980" s="89" t="s">
        <v>78</v>
      </c>
      <c r="Q1980" s="89" t="s">
        <v>11081</v>
      </c>
      <c r="R1980" s="89" t="s">
        <v>840</v>
      </c>
      <c r="S1980" s="30">
        <v>0</v>
      </c>
      <c r="T1980" s="233">
        <v>0</v>
      </c>
      <c r="U1980" s="30">
        <v>0</v>
      </c>
      <c r="V1980" s="233">
        <v>0</v>
      </c>
      <c r="W1980" s="30">
        <v>0</v>
      </c>
      <c r="X1980" s="30">
        <v>0</v>
      </c>
      <c r="Y1980" s="30">
        <v>0</v>
      </c>
      <c r="Z1980" s="233">
        <v>0</v>
      </c>
      <c r="AA1980" s="30">
        <v>0</v>
      </c>
      <c r="AB1980" s="30">
        <v>0</v>
      </c>
      <c r="AC1980" s="30">
        <v>0</v>
      </c>
      <c r="AD1980" s="30">
        <v>0</v>
      </c>
      <c r="AE1980" s="89" t="s">
        <v>92</v>
      </c>
      <c r="AF1980" s="89"/>
      <c r="AG1980" s="89" t="s">
        <v>589</v>
      </c>
      <c r="AH1980" s="72">
        <v>42109</v>
      </c>
      <c r="AI1980" s="30">
        <v>1</v>
      </c>
      <c r="AJ1980" s="89" t="s">
        <v>11082</v>
      </c>
      <c r="AK1980" s="89" t="s">
        <v>11083</v>
      </c>
      <c r="AL1980" s="91">
        <v>42116</v>
      </c>
      <c r="AM1980" s="91"/>
      <c r="AN1980" s="91"/>
      <c r="AO1980" s="91"/>
      <c r="AP1980" s="73" t="e">
        <f>MID(VLOOKUP(K1980,#REF!,2,FALSE),1,2)</f>
        <v>#REF!</v>
      </c>
      <c r="AQ1980" s="89">
        <f>DATE(2015,4,8)</f>
        <v>42102</v>
      </c>
      <c r="AR1980" s="82">
        <f t="shared" si="131"/>
        <v>8</v>
      </c>
      <c r="AS1980" s="83">
        <f t="shared" si="132"/>
        <v>4</v>
      </c>
      <c r="AT1980" s="84">
        <f t="shared" si="133"/>
        <v>2015</v>
      </c>
      <c r="AU1980" s="88">
        <f>DATE(2015,4,22)</f>
        <v>42116</v>
      </c>
      <c r="AV1980" s="88">
        <f>DATE(2015,4,15)</f>
        <v>42109</v>
      </c>
      <c r="AW1980" s="87">
        <f t="shared" si="130"/>
        <v>7</v>
      </c>
      <c r="AX1980" s="86"/>
      <c r="AY1980" s="83"/>
      <c r="AZ1980" s="84"/>
      <c r="BA1980" s="86"/>
      <c r="BB1980" s="86"/>
    </row>
    <row r="1981" spans="1:54" ht="36.75" customHeight="1">
      <c r="A1981" s="30"/>
      <c r="B1981" s="30" t="s">
        <v>55</v>
      </c>
      <c r="C1981" s="69" t="str">
        <f t="shared" si="129"/>
        <v>Closed</v>
      </c>
      <c r="D1981" s="27" t="s">
        <v>11084</v>
      </c>
      <c r="E1981" s="29" t="s">
        <v>11085</v>
      </c>
      <c r="F1981" s="30" t="s">
        <v>233</v>
      </c>
      <c r="G1981" s="89">
        <f>DATE(2015,4,10)</f>
        <v>42104</v>
      </c>
      <c r="H1981" s="90">
        <v>1.4826388888888888</v>
      </c>
      <c r="I1981" s="30" t="s">
        <v>278</v>
      </c>
      <c r="J1981" s="89" t="s">
        <v>11086</v>
      </c>
      <c r="K1981" s="30" t="s">
        <v>235</v>
      </c>
      <c r="L1981" s="30" t="s">
        <v>11087</v>
      </c>
      <c r="M1981" s="30" t="s">
        <v>63</v>
      </c>
      <c r="N1981" s="30" t="s">
        <v>142</v>
      </c>
      <c r="O1981" s="30" t="s">
        <v>77</v>
      </c>
      <c r="P1981" s="89" t="s">
        <v>165</v>
      </c>
      <c r="Q1981" s="89" t="s">
        <v>1521</v>
      </c>
      <c r="R1981" s="89" t="s">
        <v>238</v>
      </c>
      <c r="S1981" s="30">
        <v>0</v>
      </c>
      <c r="T1981" s="233">
        <v>0</v>
      </c>
      <c r="U1981" s="30">
        <v>0</v>
      </c>
      <c r="V1981" s="233">
        <v>0</v>
      </c>
      <c r="W1981" s="30">
        <v>0</v>
      </c>
      <c r="X1981" s="30">
        <v>0</v>
      </c>
      <c r="Y1981" s="30">
        <v>1</v>
      </c>
      <c r="Z1981" s="233">
        <v>0</v>
      </c>
      <c r="AA1981" s="30">
        <v>0</v>
      </c>
      <c r="AB1981" s="30">
        <v>0</v>
      </c>
      <c r="AC1981" s="30">
        <v>0</v>
      </c>
      <c r="AD1981" s="30">
        <v>1</v>
      </c>
      <c r="AE1981" s="89" t="s">
        <v>92</v>
      </c>
      <c r="AF1981" s="89"/>
      <c r="AG1981" s="89" t="s">
        <v>133</v>
      </c>
      <c r="AH1981" s="72">
        <v>42107</v>
      </c>
      <c r="AI1981" s="30">
        <v>2</v>
      </c>
      <c r="AJ1981" s="89" t="s">
        <v>11088</v>
      </c>
      <c r="AK1981" s="89" t="s">
        <v>11089</v>
      </c>
      <c r="AL1981" s="91">
        <v>42130</v>
      </c>
      <c r="AM1981" s="91"/>
      <c r="AN1981" s="91"/>
      <c r="AO1981" s="91"/>
      <c r="AP1981" s="73" t="e">
        <f>MID(VLOOKUP(K1981,#REF!,2,FALSE),1,2)</f>
        <v>#REF!</v>
      </c>
      <c r="AQ1981" s="89">
        <f>DATE(2015,4,10)</f>
        <v>42104</v>
      </c>
      <c r="AR1981" s="82">
        <f t="shared" si="131"/>
        <v>10</v>
      </c>
      <c r="AS1981" s="83">
        <f t="shared" si="132"/>
        <v>4</v>
      </c>
      <c r="AT1981" s="84">
        <f t="shared" si="133"/>
        <v>2015</v>
      </c>
      <c r="AU1981" s="88">
        <f>DATE(2015,5,6)</f>
        <v>42130</v>
      </c>
      <c r="AV1981" s="88">
        <f>DATE(2015,4,13)</f>
        <v>42107</v>
      </c>
      <c r="AW1981" s="87">
        <f t="shared" si="130"/>
        <v>23</v>
      </c>
      <c r="AX1981" s="88">
        <f>DATE(2015,5,6)</f>
        <v>42130</v>
      </c>
      <c r="AY1981" s="83">
        <f>MONTH(AX1981)</f>
        <v>5</v>
      </c>
      <c r="AZ1981" s="84">
        <f>YEAR(AX1981)</f>
        <v>2015</v>
      </c>
      <c r="BA1981" s="86"/>
      <c r="BB1981" s="86"/>
    </row>
    <row r="1982" spans="1:54" ht="36.75" customHeight="1">
      <c r="A1982" s="30"/>
      <c r="B1982" s="30" t="s">
        <v>55</v>
      </c>
      <c r="C1982" s="69" t="str">
        <f t="shared" si="129"/>
        <v>Closed</v>
      </c>
      <c r="D1982" s="27" t="s">
        <v>11090</v>
      </c>
      <c r="E1982" s="29" t="s">
        <v>11091</v>
      </c>
      <c r="F1982" s="30" t="s">
        <v>1572</v>
      </c>
      <c r="G1982" s="89">
        <f>DATE(2015,4,14)</f>
        <v>42108</v>
      </c>
      <c r="H1982" s="90">
        <v>1.6458333333333335</v>
      </c>
      <c r="I1982" s="30" t="s">
        <v>6872</v>
      </c>
      <c r="J1982" s="89" t="s">
        <v>11092</v>
      </c>
      <c r="K1982" s="30" t="s">
        <v>1574</v>
      </c>
      <c r="L1982" s="30" t="s">
        <v>8700</v>
      </c>
      <c r="M1982" s="30" t="s">
        <v>63</v>
      </c>
      <c r="N1982" s="30" t="s">
        <v>142</v>
      </c>
      <c r="O1982" s="30" t="s">
        <v>77</v>
      </c>
      <c r="P1982" s="89" t="s">
        <v>78</v>
      </c>
      <c r="Q1982" s="89" t="s">
        <v>2655</v>
      </c>
      <c r="R1982" s="89" t="s">
        <v>6434</v>
      </c>
      <c r="S1982" s="30">
        <v>0</v>
      </c>
      <c r="T1982" s="233">
        <v>0</v>
      </c>
      <c r="U1982" s="30">
        <v>0</v>
      </c>
      <c r="V1982" s="233">
        <v>0</v>
      </c>
      <c r="W1982" s="30">
        <v>0</v>
      </c>
      <c r="X1982" s="30">
        <v>0</v>
      </c>
      <c r="Y1982" s="30">
        <v>0</v>
      </c>
      <c r="Z1982" s="233">
        <v>0</v>
      </c>
      <c r="AA1982" s="30">
        <v>0</v>
      </c>
      <c r="AB1982" s="30">
        <v>0</v>
      </c>
      <c r="AC1982" s="30">
        <v>0</v>
      </c>
      <c r="AD1982" s="30">
        <v>0</v>
      </c>
      <c r="AE1982" s="89" t="s">
        <v>92</v>
      </c>
      <c r="AF1982" s="89"/>
      <c r="AG1982" s="89" t="s">
        <v>133</v>
      </c>
      <c r="AH1982" s="72">
        <v>42109</v>
      </c>
      <c r="AI1982" s="30">
        <v>1</v>
      </c>
      <c r="AJ1982" s="89" t="s">
        <v>11093</v>
      </c>
      <c r="AK1982" s="89" t="s">
        <v>11094</v>
      </c>
      <c r="AL1982" s="91">
        <v>42109</v>
      </c>
      <c r="AM1982" s="91"/>
      <c r="AN1982" s="91"/>
      <c r="AO1982" s="91"/>
      <c r="AP1982" s="73" t="e">
        <f>MID(VLOOKUP(K1982,#REF!,2,FALSE),1,2)</f>
        <v>#REF!</v>
      </c>
      <c r="AQ1982" s="89">
        <f>DATE(2015,4,14)</f>
        <v>42108</v>
      </c>
      <c r="AR1982" s="82">
        <f t="shared" si="131"/>
        <v>14</v>
      </c>
      <c r="AS1982" s="83">
        <f t="shared" si="132"/>
        <v>4</v>
      </c>
      <c r="AT1982" s="84">
        <f t="shared" si="133"/>
        <v>2015</v>
      </c>
      <c r="AU1982" s="88">
        <f>DATE(2015,4,15)</f>
        <v>42109</v>
      </c>
      <c r="AV1982" s="88">
        <f>DATE(2015,4,15)</f>
        <v>42109</v>
      </c>
      <c r="AW1982" s="87">
        <f t="shared" si="130"/>
        <v>0</v>
      </c>
      <c r="AX1982" s="88">
        <f>DATE(2015,4,15)</f>
        <v>42109</v>
      </c>
      <c r="AY1982" s="83">
        <f>MONTH(AX1982)</f>
        <v>4</v>
      </c>
      <c r="AZ1982" s="84">
        <f>YEAR(AX1982)</f>
        <v>2015</v>
      </c>
      <c r="BA1982" s="88">
        <f>DATE(2015,4,14)</f>
        <v>42108</v>
      </c>
      <c r="BB1982" s="86"/>
    </row>
    <row r="1983" spans="1:54" ht="36.75" customHeight="1">
      <c r="A1983" s="30"/>
      <c r="B1983" s="30" t="s">
        <v>55</v>
      </c>
      <c r="C1983" s="69" t="str">
        <f t="shared" si="129"/>
        <v>Closed</v>
      </c>
      <c r="D1983" s="27" t="s">
        <v>11095</v>
      </c>
      <c r="E1983" s="29" t="s">
        <v>11096</v>
      </c>
      <c r="F1983" s="30" t="s">
        <v>582</v>
      </c>
      <c r="G1983" s="89">
        <f>DATE(2015,4,15)</f>
        <v>42109</v>
      </c>
      <c r="H1983" s="90">
        <v>0</v>
      </c>
      <c r="I1983" s="30" t="s">
        <v>198</v>
      </c>
      <c r="J1983" s="89" t="s">
        <v>11097</v>
      </c>
      <c r="K1983" s="30" t="s">
        <v>584</v>
      </c>
      <c r="L1983" s="30" t="s">
        <v>11098</v>
      </c>
      <c r="M1983" s="30" t="s">
        <v>63</v>
      </c>
      <c r="N1983" s="30" t="s">
        <v>142</v>
      </c>
      <c r="O1983" s="30" t="s">
        <v>77</v>
      </c>
      <c r="P1983" s="89" t="s">
        <v>78</v>
      </c>
      <c r="Q1983" s="89" t="s">
        <v>11099</v>
      </c>
      <c r="R1983" s="89" t="s">
        <v>587</v>
      </c>
      <c r="S1983" s="30">
        <v>0</v>
      </c>
      <c r="T1983" s="233">
        <v>0</v>
      </c>
      <c r="U1983" s="30">
        <v>0</v>
      </c>
      <c r="V1983" s="233">
        <v>0</v>
      </c>
      <c r="W1983" s="30">
        <v>0</v>
      </c>
      <c r="X1983" s="30">
        <v>0</v>
      </c>
      <c r="Y1983" s="30">
        <v>0</v>
      </c>
      <c r="Z1983" s="233">
        <v>0</v>
      </c>
      <c r="AA1983" s="30">
        <v>0</v>
      </c>
      <c r="AB1983" s="30">
        <v>0</v>
      </c>
      <c r="AC1983" s="30">
        <v>0</v>
      </c>
      <c r="AD1983" s="30">
        <v>0</v>
      </c>
      <c r="AE1983" s="89" t="s">
        <v>394</v>
      </c>
      <c r="AF1983" s="89"/>
      <c r="AG1983" s="89" t="s">
        <v>133</v>
      </c>
      <c r="AH1983" s="72">
        <v>42116</v>
      </c>
      <c r="AI1983" s="30">
        <v>0</v>
      </c>
      <c r="AJ1983" s="89" t="s">
        <v>11100</v>
      </c>
      <c r="AK1983" s="89" t="s">
        <v>1233</v>
      </c>
      <c r="AL1983" s="91">
        <v>42118</v>
      </c>
      <c r="AM1983" s="91"/>
      <c r="AN1983" s="91"/>
      <c r="AO1983" s="91"/>
      <c r="AP1983" s="73" t="e">
        <f>MID(VLOOKUP(K1983,#REF!,2,FALSE),1,2)</f>
        <v>#REF!</v>
      </c>
      <c r="AQ1983" s="89">
        <f>DATE(2015,4,15)</f>
        <v>42109</v>
      </c>
      <c r="AR1983" s="82">
        <f t="shared" si="131"/>
        <v>15</v>
      </c>
      <c r="AS1983" s="83">
        <f t="shared" si="132"/>
        <v>4</v>
      </c>
      <c r="AT1983" s="84">
        <f t="shared" si="133"/>
        <v>2015</v>
      </c>
      <c r="AU1983" s="88">
        <f>DATE(2015,4,24)</f>
        <v>42118</v>
      </c>
      <c r="AV1983" s="88">
        <f>DATE(2015,4,22)</f>
        <v>42116</v>
      </c>
      <c r="AW1983" s="87">
        <f t="shared" si="130"/>
        <v>2</v>
      </c>
      <c r="AX1983" s="86"/>
      <c r="AY1983" s="83"/>
      <c r="AZ1983" s="84"/>
      <c r="BA1983" s="86"/>
      <c r="BB1983" s="86"/>
    </row>
    <row r="1984" spans="1:54" ht="36.75" customHeight="1">
      <c r="A1984" s="30"/>
      <c r="B1984" s="30" t="s">
        <v>55</v>
      </c>
      <c r="C1984" s="69" t="str">
        <f t="shared" si="129"/>
        <v>Closed</v>
      </c>
      <c r="D1984" s="27" t="s">
        <v>11101</v>
      </c>
      <c r="E1984" s="29" t="s">
        <v>11102</v>
      </c>
      <c r="F1984" s="30" t="s">
        <v>594</v>
      </c>
      <c r="G1984" s="89">
        <f>DATE(2015,4,17)</f>
        <v>42111</v>
      </c>
      <c r="H1984" s="90">
        <v>1.3354166666666667</v>
      </c>
      <c r="I1984" s="30" t="s">
        <v>2418</v>
      </c>
      <c r="J1984" s="89" t="s">
        <v>11103</v>
      </c>
      <c r="K1984" s="30" t="s">
        <v>596</v>
      </c>
      <c r="L1984" s="30" t="s">
        <v>11104</v>
      </c>
      <c r="M1984" s="30" t="s">
        <v>63</v>
      </c>
      <c r="N1984" s="30" t="s">
        <v>99</v>
      </c>
      <c r="O1984" s="30" t="s">
        <v>64</v>
      </c>
      <c r="P1984" s="89" t="s">
        <v>165</v>
      </c>
      <c r="Q1984" s="89" t="s">
        <v>10529</v>
      </c>
      <c r="R1984" s="89" t="s">
        <v>599</v>
      </c>
      <c r="S1984" s="30">
        <v>0</v>
      </c>
      <c r="T1984" s="233">
        <v>0</v>
      </c>
      <c r="U1984" s="30">
        <v>0</v>
      </c>
      <c r="V1984" s="233">
        <v>0</v>
      </c>
      <c r="W1984" s="30">
        <v>0</v>
      </c>
      <c r="X1984" s="30">
        <v>0</v>
      </c>
      <c r="Y1984" s="30">
        <v>0</v>
      </c>
      <c r="Z1984" s="233">
        <v>0</v>
      </c>
      <c r="AA1984" s="30">
        <v>0</v>
      </c>
      <c r="AB1984" s="30">
        <v>0</v>
      </c>
      <c r="AC1984" s="30">
        <v>0</v>
      </c>
      <c r="AD1984" s="30">
        <v>0</v>
      </c>
      <c r="AE1984" s="89" t="s">
        <v>92</v>
      </c>
      <c r="AF1984" s="89"/>
      <c r="AG1984" s="89" t="s">
        <v>133</v>
      </c>
      <c r="AH1984" s="72">
        <v>42116</v>
      </c>
      <c r="AI1984" s="30">
        <v>8</v>
      </c>
      <c r="AJ1984" s="89" t="s">
        <v>11105</v>
      </c>
      <c r="AK1984" s="89" t="s">
        <v>11106</v>
      </c>
      <c r="AL1984" s="91">
        <v>42121</v>
      </c>
      <c r="AM1984" s="91"/>
      <c r="AN1984" s="91"/>
      <c r="AO1984" s="91"/>
      <c r="AP1984" s="73" t="e">
        <f>MID(VLOOKUP(K1984,#REF!,2,FALSE),1,2)</f>
        <v>#REF!</v>
      </c>
      <c r="AQ1984" s="89">
        <f>DATE(2015,4,17)</f>
        <v>42111</v>
      </c>
      <c r="AR1984" s="82">
        <f t="shared" si="131"/>
        <v>17</v>
      </c>
      <c r="AS1984" s="83">
        <f t="shared" si="132"/>
        <v>4</v>
      </c>
      <c r="AT1984" s="84">
        <f t="shared" si="133"/>
        <v>2015</v>
      </c>
      <c r="AU1984" s="88">
        <f>DATE(2015,4,27)</f>
        <v>42121</v>
      </c>
      <c r="AV1984" s="88">
        <f>DATE(2015,4,22)</f>
        <v>42116</v>
      </c>
      <c r="AW1984" s="87">
        <f t="shared" si="130"/>
        <v>5</v>
      </c>
      <c r="AX1984" s="88">
        <f>DATE(2015,4,22)</f>
        <v>42116</v>
      </c>
      <c r="AY1984" s="83">
        <f>MONTH(AX1984)</f>
        <v>4</v>
      </c>
      <c r="AZ1984" s="84">
        <f>YEAR(AX1984)</f>
        <v>2015</v>
      </c>
      <c r="BA1984" s="88">
        <f>DATE(2015,4,27)</f>
        <v>42121</v>
      </c>
      <c r="BB1984" s="86"/>
    </row>
    <row r="1985" spans="1:54" ht="36.75" customHeight="1">
      <c r="A1985" s="30"/>
      <c r="B1985" s="30" t="s">
        <v>55</v>
      </c>
      <c r="C1985" s="69" t="str">
        <f t="shared" si="129"/>
        <v>Closed</v>
      </c>
      <c r="D1985" s="27" t="s">
        <v>11107</v>
      </c>
      <c r="E1985" s="29" t="s">
        <v>11108</v>
      </c>
      <c r="F1985" s="30" t="s">
        <v>582</v>
      </c>
      <c r="G1985" s="89">
        <f>DATE(2015,4,19)</f>
        <v>42113</v>
      </c>
      <c r="H1985" s="90">
        <v>0</v>
      </c>
      <c r="I1985" s="30" t="s">
        <v>73</v>
      </c>
      <c r="J1985" s="89" t="s">
        <v>11109</v>
      </c>
      <c r="K1985" s="30" t="s">
        <v>584</v>
      </c>
      <c r="L1985" s="30" t="s">
        <v>11110</v>
      </c>
      <c r="M1985" s="30" t="s">
        <v>63</v>
      </c>
      <c r="N1985" s="30" t="s">
        <v>142</v>
      </c>
      <c r="O1985" s="30" t="s">
        <v>77</v>
      </c>
      <c r="P1985" s="89" t="s">
        <v>6941</v>
      </c>
      <c r="Q1985" s="89" t="s">
        <v>11111</v>
      </c>
      <c r="R1985" s="89" t="s">
        <v>587</v>
      </c>
      <c r="S1985" s="30">
        <v>0</v>
      </c>
      <c r="T1985" s="233">
        <v>0</v>
      </c>
      <c r="U1985" s="30">
        <v>0</v>
      </c>
      <c r="V1985" s="233">
        <v>0</v>
      </c>
      <c r="W1985" s="30">
        <v>0</v>
      </c>
      <c r="X1985" s="30">
        <v>0</v>
      </c>
      <c r="Y1985" s="30">
        <v>0</v>
      </c>
      <c r="Z1985" s="233">
        <v>0</v>
      </c>
      <c r="AA1985" s="30">
        <v>0</v>
      </c>
      <c r="AB1985" s="30">
        <v>0</v>
      </c>
      <c r="AC1985" s="30">
        <v>0</v>
      </c>
      <c r="AD1985" s="30">
        <v>0</v>
      </c>
      <c r="AE1985" s="89" t="s">
        <v>394</v>
      </c>
      <c r="AF1985" s="89"/>
      <c r="AG1985" s="89" t="s">
        <v>133</v>
      </c>
      <c r="AH1985" s="72">
        <v>42117</v>
      </c>
      <c r="AI1985" s="30">
        <v>0</v>
      </c>
      <c r="AJ1985" s="89" t="s">
        <v>11112</v>
      </c>
      <c r="AK1985" s="89" t="s">
        <v>1233</v>
      </c>
      <c r="AL1985" s="91">
        <v>42118</v>
      </c>
      <c r="AM1985" s="91"/>
      <c r="AN1985" s="91"/>
      <c r="AO1985" s="91"/>
      <c r="AP1985" s="73" t="e">
        <f>MID(VLOOKUP(K1985,#REF!,2,FALSE),1,2)</f>
        <v>#REF!</v>
      </c>
      <c r="AQ1985" s="89">
        <f>DATE(2015,4,19)</f>
        <v>42113</v>
      </c>
      <c r="AR1985" s="82">
        <f t="shared" si="131"/>
        <v>19</v>
      </c>
      <c r="AS1985" s="83">
        <f t="shared" si="132"/>
        <v>4</v>
      </c>
      <c r="AT1985" s="84">
        <f t="shared" si="133"/>
        <v>2015</v>
      </c>
      <c r="AU1985" s="88">
        <f>DATE(2015,4,24)</f>
        <v>42118</v>
      </c>
      <c r="AV1985" s="88">
        <f>DATE(2015,4,23)</f>
        <v>42117</v>
      </c>
      <c r="AW1985" s="87">
        <f t="shared" si="130"/>
        <v>1</v>
      </c>
      <c r="AX1985" s="86"/>
      <c r="AY1985" s="83"/>
      <c r="AZ1985" s="84"/>
      <c r="BA1985" s="86"/>
      <c r="BB1985" s="86"/>
    </row>
    <row r="1986" spans="1:54" ht="36.75" customHeight="1">
      <c r="A1986" s="30"/>
      <c r="B1986" s="30" t="s">
        <v>55</v>
      </c>
      <c r="C1986" s="69" t="str">
        <f t="shared" ref="C1986:C2049" si="134">IF(B1986="Notification","Open",IF(B1986="Interim Statement","In progress","Closed"))</f>
        <v>Closed</v>
      </c>
      <c r="D1986" s="27" t="s">
        <v>11113</v>
      </c>
      <c r="E1986" s="29" t="s">
        <v>11114</v>
      </c>
      <c r="F1986" s="30" t="s">
        <v>115</v>
      </c>
      <c r="G1986" s="89">
        <f>DATE(2015,4,20)</f>
        <v>42114</v>
      </c>
      <c r="H1986" s="90">
        <v>1.3611111111111112</v>
      </c>
      <c r="I1986" s="30" t="s">
        <v>116</v>
      </c>
      <c r="J1986" s="89" t="s">
        <v>11115</v>
      </c>
      <c r="K1986" s="30" t="s">
        <v>118</v>
      </c>
      <c r="L1986" s="30" t="s">
        <v>11116</v>
      </c>
      <c r="M1986" s="30" t="s">
        <v>63</v>
      </c>
      <c r="N1986" s="30" t="s">
        <v>142</v>
      </c>
      <c r="O1986" s="30" t="s">
        <v>64</v>
      </c>
      <c r="P1986" s="89" t="s">
        <v>6941</v>
      </c>
      <c r="Q1986" s="89" t="s">
        <v>120</v>
      </c>
      <c r="R1986" s="89" t="s">
        <v>121</v>
      </c>
      <c r="S1986" s="30">
        <v>0</v>
      </c>
      <c r="T1986" s="233">
        <v>0</v>
      </c>
      <c r="U1986" s="30">
        <v>0</v>
      </c>
      <c r="V1986" s="233">
        <v>0</v>
      </c>
      <c r="W1986" s="30">
        <v>0</v>
      </c>
      <c r="X1986" s="30">
        <v>0</v>
      </c>
      <c r="Y1986" s="30">
        <v>2</v>
      </c>
      <c r="Z1986" s="233">
        <v>1</v>
      </c>
      <c r="AA1986" s="30">
        <v>0</v>
      </c>
      <c r="AB1986" s="30">
        <v>0</v>
      </c>
      <c r="AC1986" s="30">
        <v>0</v>
      </c>
      <c r="AD1986" s="30">
        <v>3</v>
      </c>
      <c r="AE1986" s="89" t="s">
        <v>145</v>
      </c>
      <c r="AF1986" s="89"/>
      <c r="AG1986" s="89" t="s">
        <v>248</v>
      </c>
      <c r="AH1986" s="72">
        <v>42115</v>
      </c>
      <c r="AI1986" s="30">
        <v>3</v>
      </c>
      <c r="AJ1986" s="89" t="s">
        <v>11117</v>
      </c>
      <c r="AK1986" s="89" t="s">
        <v>11118</v>
      </c>
      <c r="AL1986" s="91">
        <v>42129</v>
      </c>
      <c r="AM1986" s="91"/>
      <c r="AN1986" s="91"/>
      <c r="AO1986" s="91"/>
      <c r="AP1986" s="73" t="e">
        <f>MID(VLOOKUP(K1986,#REF!,2,FALSE),1,2)</f>
        <v>#REF!</v>
      </c>
      <c r="AQ1986" s="89">
        <f>DATE(2015,4,20)</f>
        <v>42114</v>
      </c>
      <c r="AR1986" s="82">
        <f t="shared" si="131"/>
        <v>20</v>
      </c>
      <c r="AS1986" s="83">
        <f t="shared" si="132"/>
        <v>4</v>
      </c>
      <c r="AT1986" s="84">
        <f t="shared" si="133"/>
        <v>2015</v>
      </c>
      <c r="AU1986" s="88">
        <f>DATE(2015,5,5)</f>
        <v>42129</v>
      </c>
      <c r="AV1986" s="88">
        <f>DATE(2015,4,21)</f>
        <v>42115</v>
      </c>
      <c r="AW1986" s="87">
        <f t="shared" si="130"/>
        <v>14</v>
      </c>
      <c r="AX1986" s="86"/>
      <c r="AY1986" s="83"/>
      <c r="AZ1986" s="84"/>
      <c r="BA1986" s="86"/>
      <c r="BB1986" s="86"/>
    </row>
    <row r="1987" spans="1:54" ht="36.75" customHeight="1">
      <c r="A1987" s="30"/>
      <c r="B1987" s="30" t="s">
        <v>55</v>
      </c>
      <c r="C1987" s="69" t="str">
        <f t="shared" si="134"/>
        <v>Closed</v>
      </c>
      <c r="D1987" s="27" t="s">
        <v>11119</v>
      </c>
      <c r="E1987" s="29" t="s">
        <v>11120</v>
      </c>
      <c r="F1987" s="30" t="s">
        <v>835</v>
      </c>
      <c r="G1987" s="89">
        <f>DATE(2015,4,20)</f>
        <v>42114</v>
      </c>
      <c r="H1987" s="90">
        <v>1.0020833333333334</v>
      </c>
      <c r="I1987" s="30" t="s">
        <v>73</v>
      </c>
      <c r="J1987" s="89" t="s">
        <v>11121</v>
      </c>
      <c r="K1987" s="30" t="s">
        <v>837</v>
      </c>
      <c r="L1987" s="30" t="s">
        <v>11122</v>
      </c>
      <c r="M1987" s="30" t="s">
        <v>63</v>
      </c>
      <c r="N1987" s="30" t="s">
        <v>142</v>
      </c>
      <c r="O1987" s="30" t="s">
        <v>77</v>
      </c>
      <c r="P1987" s="89" t="s">
        <v>78</v>
      </c>
      <c r="Q1987" s="89" t="s">
        <v>4708</v>
      </c>
      <c r="R1987" s="89" t="s">
        <v>840</v>
      </c>
      <c r="S1987" s="30">
        <v>0</v>
      </c>
      <c r="T1987" s="233">
        <v>0</v>
      </c>
      <c r="U1987" s="30">
        <v>0</v>
      </c>
      <c r="V1987" s="233">
        <v>0</v>
      </c>
      <c r="W1987" s="30">
        <v>0</v>
      </c>
      <c r="X1987" s="30">
        <v>0</v>
      </c>
      <c r="Y1987" s="30">
        <v>0</v>
      </c>
      <c r="Z1987" s="233">
        <v>0</v>
      </c>
      <c r="AA1987" s="30">
        <v>0</v>
      </c>
      <c r="AB1987" s="30">
        <v>0</v>
      </c>
      <c r="AC1987" s="30">
        <v>0</v>
      </c>
      <c r="AD1987" s="30">
        <v>0</v>
      </c>
      <c r="AE1987" s="89" t="s">
        <v>394</v>
      </c>
      <c r="AF1987" s="89"/>
      <c r="AG1987" s="89" t="s">
        <v>352</v>
      </c>
      <c r="AH1987" s="72">
        <v>42114</v>
      </c>
      <c r="AI1987" s="30">
        <v>0</v>
      </c>
      <c r="AJ1987" s="89" t="s">
        <v>11123</v>
      </c>
      <c r="AK1987" s="89" t="e">
        <v>#NAME?</v>
      </c>
      <c r="AL1987" s="91">
        <v>42114</v>
      </c>
      <c r="AM1987" s="91"/>
      <c r="AN1987" s="91"/>
      <c r="AO1987" s="91"/>
      <c r="AP1987" s="73" t="e">
        <f>MID(VLOOKUP(K1987,#REF!,2,FALSE),1,2)</f>
        <v>#REF!</v>
      </c>
      <c r="AQ1987" s="89">
        <f>DATE(2015,4,20)</f>
        <v>42114</v>
      </c>
      <c r="AR1987" s="82">
        <f t="shared" si="131"/>
        <v>20</v>
      </c>
      <c r="AS1987" s="83">
        <f t="shared" si="132"/>
        <v>4</v>
      </c>
      <c r="AT1987" s="84">
        <f t="shared" si="133"/>
        <v>2015</v>
      </c>
      <c r="AU1987" s="88">
        <f>DATE(2015,4,20)</f>
        <v>42114</v>
      </c>
      <c r="AV1987" s="88">
        <f>DATE(2015,4,20)</f>
        <v>42114</v>
      </c>
      <c r="AW1987" s="87">
        <f t="shared" si="130"/>
        <v>0</v>
      </c>
      <c r="AX1987" s="88">
        <f>DATE(2015,4,20)</f>
        <v>42114</v>
      </c>
      <c r="AY1987" s="83">
        <f>MONTH(AX1987)</f>
        <v>4</v>
      </c>
      <c r="AZ1987" s="84">
        <f>YEAR(AX1987)</f>
        <v>2015</v>
      </c>
      <c r="BA1987" s="88">
        <f>DATE(2015,4,20)</f>
        <v>42114</v>
      </c>
      <c r="BB1987" s="86"/>
    </row>
    <row r="1988" spans="1:54" ht="36.75" customHeight="1">
      <c r="A1988" s="30"/>
      <c r="B1988" s="30" t="s">
        <v>55</v>
      </c>
      <c r="C1988" s="69" t="str">
        <f t="shared" si="134"/>
        <v>Closed</v>
      </c>
      <c r="D1988" s="27" t="s">
        <v>11124</v>
      </c>
      <c r="E1988" s="29" t="s">
        <v>11125</v>
      </c>
      <c r="F1988" s="30" t="s">
        <v>582</v>
      </c>
      <c r="G1988" s="89">
        <f>DATE(2015,4,21)</f>
        <v>42115</v>
      </c>
      <c r="H1988" s="90">
        <v>0</v>
      </c>
      <c r="I1988" s="30" t="s">
        <v>73</v>
      </c>
      <c r="J1988" s="89" t="s">
        <v>11126</v>
      </c>
      <c r="K1988" s="30" t="s">
        <v>584</v>
      </c>
      <c r="L1988" s="30" t="s">
        <v>11127</v>
      </c>
      <c r="M1988" s="30" t="s">
        <v>63</v>
      </c>
      <c r="N1988" s="30" t="s">
        <v>142</v>
      </c>
      <c r="O1988" s="30" t="s">
        <v>77</v>
      </c>
      <c r="P1988" s="89" t="s">
        <v>78</v>
      </c>
      <c r="Q1988" s="89" t="s">
        <v>586</v>
      </c>
      <c r="R1988" s="89" t="s">
        <v>587</v>
      </c>
      <c r="S1988" s="30">
        <v>0</v>
      </c>
      <c r="T1988" s="233">
        <v>0</v>
      </c>
      <c r="U1988" s="30">
        <v>0</v>
      </c>
      <c r="V1988" s="233">
        <v>0</v>
      </c>
      <c r="W1988" s="30">
        <v>0</v>
      </c>
      <c r="X1988" s="30">
        <v>0</v>
      </c>
      <c r="Y1988" s="30">
        <v>0</v>
      </c>
      <c r="Z1988" s="233">
        <v>0</v>
      </c>
      <c r="AA1988" s="30">
        <v>0</v>
      </c>
      <c r="AB1988" s="30">
        <v>0</v>
      </c>
      <c r="AC1988" s="30">
        <v>0</v>
      </c>
      <c r="AD1988" s="30">
        <v>0</v>
      </c>
      <c r="AE1988" s="89" t="s">
        <v>394</v>
      </c>
      <c r="AF1988" s="89"/>
      <c r="AG1988" s="89" t="s">
        <v>133</v>
      </c>
      <c r="AH1988" s="72">
        <v>42117</v>
      </c>
      <c r="AI1988" s="30">
        <v>0</v>
      </c>
      <c r="AJ1988" s="89" t="s">
        <v>11128</v>
      </c>
      <c r="AK1988" s="89" t="s">
        <v>1233</v>
      </c>
      <c r="AL1988" s="91">
        <v>42118</v>
      </c>
      <c r="AM1988" s="91"/>
      <c r="AN1988" s="91"/>
      <c r="AO1988" s="91"/>
      <c r="AP1988" s="73" t="e">
        <f>MID(VLOOKUP(K1988,#REF!,2,FALSE),1,2)</f>
        <v>#REF!</v>
      </c>
      <c r="AQ1988" s="89">
        <f>DATE(2015,4,21)</f>
        <v>42115</v>
      </c>
      <c r="AR1988" s="82">
        <f t="shared" si="131"/>
        <v>21</v>
      </c>
      <c r="AS1988" s="83">
        <f t="shared" si="132"/>
        <v>4</v>
      </c>
      <c r="AT1988" s="84">
        <f t="shared" si="133"/>
        <v>2015</v>
      </c>
      <c r="AU1988" s="88">
        <f>DATE(2015,4,24)</f>
        <v>42118</v>
      </c>
      <c r="AV1988" s="88">
        <f>DATE(2015,4,23)</f>
        <v>42117</v>
      </c>
      <c r="AW1988" s="87">
        <f t="shared" si="130"/>
        <v>1</v>
      </c>
      <c r="AX1988" s="86"/>
      <c r="AY1988" s="83"/>
      <c r="AZ1988" s="84"/>
      <c r="BA1988" s="86"/>
      <c r="BB1988" s="86"/>
    </row>
    <row r="1989" spans="1:54" ht="36.75" customHeight="1">
      <c r="A1989" s="30"/>
      <c r="B1989" s="30" t="s">
        <v>55</v>
      </c>
      <c r="C1989" s="69" t="str">
        <f t="shared" si="134"/>
        <v>Closed</v>
      </c>
      <c r="D1989" s="27" t="s">
        <v>11129</v>
      </c>
      <c r="E1989" s="29" t="s">
        <v>11130</v>
      </c>
      <c r="F1989" s="30" t="s">
        <v>582</v>
      </c>
      <c r="G1989" s="89">
        <f>DATE(2015,4,24)</f>
        <v>42118</v>
      </c>
      <c r="H1989" s="90">
        <v>0.94791666666666663</v>
      </c>
      <c r="I1989" s="30" t="s">
        <v>104</v>
      </c>
      <c r="J1989" s="89" t="s">
        <v>11131</v>
      </c>
      <c r="K1989" s="30" t="s">
        <v>584</v>
      </c>
      <c r="L1989" s="30" t="s">
        <v>11132</v>
      </c>
      <c r="M1989" s="30" t="s">
        <v>63</v>
      </c>
      <c r="N1989" s="30" t="s">
        <v>142</v>
      </c>
      <c r="O1989" s="30" t="s">
        <v>77</v>
      </c>
      <c r="P1989" s="89" t="s">
        <v>78</v>
      </c>
      <c r="Q1989" s="89" t="s">
        <v>11133</v>
      </c>
      <c r="R1989" s="89" t="s">
        <v>587</v>
      </c>
      <c r="S1989" s="30">
        <v>0</v>
      </c>
      <c r="T1989" s="233">
        <v>0</v>
      </c>
      <c r="U1989" s="30">
        <v>0</v>
      </c>
      <c r="V1989" s="233">
        <v>0</v>
      </c>
      <c r="W1989" s="30">
        <v>0</v>
      </c>
      <c r="X1989" s="30">
        <v>0</v>
      </c>
      <c r="Y1989" s="30">
        <v>0</v>
      </c>
      <c r="Z1989" s="233">
        <v>0</v>
      </c>
      <c r="AA1989" s="30">
        <v>0</v>
      </c>
      <c r="AB1989" s="30">
        <v>0</v>
      </c>
      <c r="AC1989" s="30">
        <v>0</v>
      </c>
      <c r="AD1989" s="30">
        <v>0</v>
      </c>
      <c r="AE1989" s="89" t="s">
        <v>92</v>
      </c>
      <c r="AF1989" s="89" t="s">
        <v>11134</v>
      </c>
      <c r="AG1989" s="89" t="s">
        <v>8859</v>
      </c>
      <c r="AH1989" s="72">
        <v>42139</v>
      </c>
      <c r="AI1989" s="30">
        <v>0</v>
      </c>
      <c r="AJ1989" s="89" t="s">
        <v>11135</v>
      </c>
      <c r="AK1989" s="89" t="s">
        <v>10569</v>
      </c>
      <c r="AL1989" s="91">
        <v>42139</v>
      </c>
      <c r="AM1989" s="91"/>
      <c r="AN1989" s="91">
        <v>44512</v>
      </c>
      <c r="AO1989" s="91">
        <v>44511</v>
      </c>
      <c r="AP1989" s="73" t="e">
        <f>MID(VLOOKUP(K1989,#REF!,2,FALSE),1,2)</f>
        <v>#REF!</v>
      </c>
      <c r="AQ1989" s="89">
        <f>DATE(2015,4,24)</f>
        <v>42118</v>
      </c>
      <c r="AR1989" s="82">
        <f t="shared" si="131"/>
        <v>24</v>
      </c>
      <c r="AS1989" s="83">
        <f t="shared" si="132"/>
        <v>4</v>
      </c>
      <c r="AT1989" s="84">
        <f t="shared" si="133"/>
        <v>2015</v>
      </c>
      <c r="AU1989" s="88">
        <f>DATE(2015,5,15)</f>
        <v>42139</v>
      </c>
      <c r="AV1989" s="88">
        <f>DATE(2015,5,15)</f>
        <v>42139</v>
      </c>
      <c r="AW1989" s="87">
        <f t="shared" ref="AW1989:AW2052" si="135">AU1989-AV1989</f>
        <v>0</v>
      </c>
      <c r="AX1989" s="86"/>
      <c r="AY1989" s="83"/>
      <c r="AZ1989" s="84"/>
      <c r="BA1989" s="86"/>
      <c r="BB1989" s="86"/>
    </row>
    <row r="1990" spans="1:54" ht="36.75" customHeight="1">
      <c r="A1990" s="30"/>
      <c r="B1990" s="30" t="s">
        <v>55</v>
      </c>
      <c r="C1990" s="69" t="str">
        <f t="shared" si="134"/>
        <v>Closed</v>
      </c>
      <c r="D1990" s="27" t="s">
        <v>11136</v>
      </c>
      <c r="E1990" s="29" t="s">
        <v>11137</v>
      </c>
      <c r="F1990" s="30" t="s">
        <v>582</v>
      </c>
      <c r="G1990" s="89">
        <f>DATE(2015,4,25)</f>
        <v>42119</v>
      </c>
      <c r="H1990" s="90">
        <v>1.3576388888888888</v>
      </c>
      <c r="I1990" s="30" t="s">
        <v>125</v>
      </c>
      <c r="J1990" s="89" t="s">
        <v>11138</v>
      </c>
      <c r="K1990" s="30" t="s">
        <v>584</v>
      </c>
      <c r="L1990" s="30" t="s">
        <v>11139</v>
      </c>
      <c r="M1990" s="30" t="s">
        <v>63</v>
      </c>
      <c r="N1990" s="30" t="s">
        <v>142</v>
      </c>
      <c r="O1990" s="30" t="s">
        <v>77</v>
      </c>
      <c r="P1990" s="89" t="s">
        <v>78</v>
      </c>
      <c r="Q1990" s="89" t="s">
        <v>11133</v>
      </c>
      <c r="R1990" s="89" t="s">
        <v>587</v>
      </c>
      <c r="S1990" s="30">
        <v>0</v>
      </c>
      <c r="T1990" s="233">
        <v>0</v>
      </c>
      <c r="U1990" s="30">
        <v>0</v>
      </c>
      <c r="V1990" s="233">
        <v>0</v>
      </c>
      <c r="W1990" s="30">
        <v>0</v>
      </c>
      <c r="X1990" s="30">
        <v>0</v>
      </c>
      <c r="Y1990" s="30">
        <v>0</v>
      </c>
      <c r="Z1990" s="233">
        <v>0</v>
      </c>
      <c r="AA1990" s="30">
        <v>0</v>
      </c>
      <c r="AB1990" s="30">
        <v>0</v>
      </c>
      <c r="AC1990" s="30">
        <v>0</v>
      </c>
      <c r="AD1990" s="30">
        <v>0</v>
      </c>
      <c r="AE1990" s="89" t="s">
        <v>92</v>
      </c>
      <c r="AF1990" s="89" t="s">
        <v>11134</v>
      </c>
      <c r="AG1990" s="89" t="s">
        <v>352</v>
      </c>
      <c r="AH1990" s="72">
        <v>42132</v>
      </c>
      <c r="AI1990" s="30">
        <v>1</v>
      </c>
      <c r="AJ1990" s="89" t="s">
        <v>11140</v>
      </c>
      <c r="AK1990" s="89" t="s">
        <v>1233</v>
      </c>
      <c r="AL1990" s="91">
        <v>42136</v>
      </c>
      <c r="AM1990" s="91"/>
      <c r="AN1990" s="91"/>
      <c r="AO1990" s="91"/>
      <c r="AP1990" s="73" t="e">
        <f>MID(VLOOKUP(K1990,#REF!,2,FALSE),1,2)</f>
        <v>#REF!</v>
      </c>
      <c r="AQ1990" s="89">
        <f>DATE(2015,4,25)</f>
        <v>42119</v>
      </c>
      <c r="AR1990" s="82">
        <f t="shared" si="131"/>
        <v>25</v>
      </c>
      <c r="AS1990" s="83">
        <f t="shared" si="132"/>
        <v>4</v>
      </c>
      <c r="AT1990" s="84">
        <f t="shared" si="133"/>
        <v>2015</v>
      </c>
      <c r="AU1990" s="88">
        <f>DATE(2015,5,12)</f>
        <v>42136</v>
      </c>
      <c r="AV1990" s="88">
        <f>DATE(2015,5,8)</f>
        <v>42132</v>
      </c>
      <c r="AW1990" s="87">
        <f t="shared" si="135"/>
        <v>4</v>
      </c>
      <c r="AX1990" s="86"/>
      <c r="AY1990" s="83"/>
      <c r="AZ1990" s="84"/>
      <c r="BA1990" s="86"/>
      <c r="BB1990" s="86"/>
    </row>
    <row r="1991" spans="1:54" ht="36.75" customHeight="1">
      <c r="A1991" s="30"/>
      <c r="B1991" s="30" t="s">
        <v>55</v>
      </c>
      <c r="C1991" s="69" t="str">
        <f t="shared" si="134"/>
        <v>Closed</v>
      </c>
      <c r="D1991" s="27" t="s">
        <v>11141</v>
      </c>
      <c r="E1991" s="29" t="s">
        <v>11142</v>
      </c>
      <c r="F1991" s="30" t="s">
        <v>582</v>
      </c>
      <c r="G1991" s="89">
        <f>DATE(2015,4,26)</f>
        <v>42120</v>
      </c>
      <c r="H1991" s="90">
        <v>1.7513888888888891</v>
      </c>
      <c r="I1991" s="30" t="s">
        <v>73</v>
      </c>
      <c r="J1991" s="89" t="s">
        <v>11143</v>
      </c>
      <c r="K1991" s="30" t="s">
        <v>584</v>
      </c>
      <c r="L1991" s="30" t="s">
        <v>11132</v>
      </c>
      <c r="M1991" s="30" t="s">
        <v>63</v>
      </c>
      <c r="N1991" s="30" t="s">
        <v>142</v>
      </c>
      <c r="O1991" s="30" t="s">
        <v>77</v>
      </c>
      <c r="P1991" s="89" t="s">
        <v>165</v>
      </c>
      <c r="Q1991" s="89" t="s">
        <v>4487</v>
      </c>
      <c r="R1991" s="89" t="s">
        <v>587</v>
      </c>
      <c r="S1991" s="30">
        <v>0</v>
      </c>
      <c r="T1991" s="233">
        <v>0</v>
      </c>
      <c r="U1991" s="30">
        <v>0</v>
      </c>
      <c r="V1991" s="233">
        <v>0</v>
      </c>
      <c r="W1991" s="30">
        <v>0</v>
      </c>
      <c r="X1991" s="30">
        <v>0</v>
      </c>
      <c r="Y1991" s="30">
        <v>0</v>
      </c>
      <c r="Z1991" s="233">
        <v>0</v>
      </c>
      <c r="AA1991" s="30">
        <v>0</v>
      </c>
      <c r="AB1991" s="30">
        <v>0</v>
      </c>
      <c r="AC1991" s="30">
        <v>0</v>
      </c>
      <c r="AD1991" s="30">
        <v>0</v>
      </c>
      <c r="AE1991" s="89" t="s">
        <v>92</v>
      </c>
      <c r="AF1991" s="89" t="s">
        <v>11144</v>
      </c>
      <c r="AG1991" s="89" t="s">
        <v>8859</v>
      </c>
      <c r="AH1991" s="72">
        <v>42132</v>
      </c>
      <c r="AI1991" s="30">
        <v>0</v>
      </c>
      <c r="AJ1991" s="89" t="s">
        <v>11145</v>
      </c>
      <c r="AK1991" s="89" t="s">
        <v>10569</v>
      </c>
      <c r="AL1991" s="91">
        <v>42136</v>
      </c>
      <c r="AM1991" s="91"/>
      <c r="AN1991" s="89">
        <v>44587</v>
      </c>
      <c r="AO1991" s="89">
        <v>44587</v>
      </c>
      <c r="AP1991" s="73" t="e">
        <f>MID(VLOOKUP(K1991,#REF!,2,FALSE),1,2)</f>
        <v>#REF!</v>
      </c>
      <c r="AQ1991" s="89">
        <f>DATE(2015,4,26)</f>
        <v>42120</v>
      </c>
      <c r="AR1991" s="82">
        <f t="shared" si="131"/>
        <v>26</v>
      </c>
      <c r="AS1991" s="83">
        <f t="shared" si="132"/>
        <v>4</v>
      </c>
      <c r="AT1991" s="84">
        <f t="shared" si="133"/>
        <v>2015</v>
      </c>
      <c r="AU1991" s="88">
        <f>DATE(2015,5,12)</f>
        <v>42136</v>
      </c>
      <c r="AV1991" s="88">
        <f>DATE(2015,5,8)</f>
        <v>42132</v>
      </c>
      <c r="AW1991" s="87">
        <f t="shared" si="135"/>
        <v>4</v>
      </c>
      <c r="AX1991" s="86"/>
      <c r="AY1991" s="83"/>
      <c r="AZ1991" s="84"/>
      <c r="BA1991" s="86"/>
      <c r="BB1991" s="86"/>
    </row>
    <row r="1992" spans="1:54" ht="36.75" customHeight="1">
      <c r="A1992" s="30"/>
      <c r="B1992" s="30" t="s">
        <v>55</v>
      </c>
      <c r="C1992" s="69" t="str">
        <f t="shared" si="134"/>
        <v>Closed</v>
      </c>
      <c r="D1992" s="27" t="s">
        <v>11146</v>
      </c>
      <c r="E1992" s="29" t="s">
        <v>11147</v>
      </c>
      <c r="F1992" s="30" t="s">
        <v>1572</v>
      </c>
      <c r="G1992" s="89">
        <f>DATE(2015,4,27)</f>
        <v>42121</v>
      </c>
      <c r="H1992" s="90">
        <v>1.1458333333333333</v>
      </c>
      <c r="I1992" s="30" t="s">
        <v>125</v>
      </c>
      <c r="J1992" s="89" t="s">
        <v>11148</v>
      </c>
      <c r="K1992" s="30" t="s">
        <v>1574</v>
      </c>
      <c r="L1992" s="30" t="s">
        <v>11149</v>
      </c>
      <c r="M1992" s="30" t="s">
        <v>63</v>
      </c>
      <c r="N1992" s="30" t="s">
        <v>99</v>
      </c>
      <c r="O1992" s="30" t="s">
        <v>77</v>
      </c>
      <c r="P1992" s="89" t="s">
        <v>165</v>
      </c>
      <c r="Q1992" s="89" t="s">
        <v>4487</v>
      </c>
      <c r="R1992" s="89" t="s">
        <v>587</v>
      </c>
      <c r="S1992" s="30">
        <v>0</v>
      </c>
      <c r="T1992" s="233">
        <v>0</v>
      </c>
      <c r="U1992" s="30">
        <v>0</v>
      </c>
      <c r="V1992" s="233">
        <v>0</v>
      </c>
      <c r="W1992" s="30">
        <v>0</v>
      </c>
      <c r="X1992" s="30">
        <v>0</v>
      </c>
      <c r="Y1992" s="30">
        <v>0</v>
      </c>
      <c r="Z1992" s="233">
        <v>0</v>
      </c>
      <c r="AA1992" s="30">
        <v>0</v>
      </c>
      <c r="AB1992" s="30">
        <v>0</v>
      </c>
      <c r="AC1992" s="30">
        <v>0</v>
      </c>
      <c r="AD1992" s="30">
        <v>0</v>
      </c>
      <c r="AE1992" s="89" t="s">
        <v>92</v>
      </c>
      <c r="AF1992" s="89" t="s">
        <v>11144</v>
      </c>
      <c r="AG1992" s="89" t="s">
        <v>133</v>
      </c>
      <c r="AH1992" s="72">
        <v>42121</v>
      </c>
      <c r="AI1992" s="30">
        <v>1</v>
      </c>
      <c r="AJ1992" s="89" t="s">
        <v>11150</v>
      </c>
      <c r="AK1992" s="89" t="s">
        <v>11151</v>
      </c>
      <c r="AL1992" s="91">
        <v>42122</v>
      </c>
      <c r="AM1992" s="91"/>
      <c r="AN1992" s="91"/>
      <c r="AO1992" s="91"/>
      <c r="AP1992" s="73" t="e">
        <f>MID(VLOOKUP(K1992,#REF!,2,FALSE),1,2)</f>
        <v>#REF!</v>
      </c>
      <c r="AQ1992" s="89">
        <f>DATE(2015,4,27)</f>
        <v>42121</v>
      </c>
      <c r="AR1992" s="82">
        <f t="shared" si="131"/>
        <v>27</v>
      </c>
      <c r="AS1992" s="83">
        <f t="shared" si="132"/>
        <v>4</v>
      </c>
      <c r="AT1992" s="84">
        <f t="shared" si="133"/>
        <v>2015</v>
      </c>
      <c r="AU1992" s="88">
        <f>DATE(2015,4,28)</f>
        <v>42122</v>
      </c>
      <c r="AV1992" s="88">
        <f>DATE(2015,4,27)</f>
        <v>42121</v>
      </c>
      <c r="AW1992" s="87">
        <f t="shared" si="135"/>
        <v>1</v>
      </c>
      <c r="AX1992" s="88">
        <f>DATE(2015,4,28)</f>
        <v>42122</v>
      </c>
      <c r="AY1992" s="83">
        <f>MONTH(AX1992)</f>
        <v>4</v>
      </c>
      <c r="AZ1992" s="84">
        <f>YEAR(AX1992)</f>
        <v>2015</v>
      </c>
      <c r="BA1992" s="88">
        <f>DATE(2015,4,27)</f>
        <v>42121</v>
      </c>
      <c r="BB1992" s="86"/>
    </row>
    <row r="1993" spans="1:54" ht="36.75" customHeight="1">
      <c r="A1993" s="30"/>
      <c r="B1993" s="30" t="s">
        <v>55</v>
      </c>
      <c r="C1993" s="69" t="str">
        <f t="shared" si="134"/>
        <v>Closed</v>
      </c>
      <c r="D1993" s="27" t="s">
        <v>11152</v>
      </c>
      <c r="E1993" s="29" t="s">
        <v>11153</v>
      </c>
      <c r="F1993" s="30" t="s">
        <v>1572</v>
      </c>
      <c r="G1993" s="89">
        <f>DATE(2015,4,28)</f>
        <v>42122</v>
      </c>
      <c r="H1993" s="90">
        <v>0</v>
      </c>
      <c r="I1993" s="30" t="s">
        <v>86</v>
      </c>
      <c r="J1993" s="89" t="s">
        <v>11154</v>
      </c>
      <c r="K1993" s="30" t="s">
        <v>1574</v>
      </c>
      <c r="L1993" s="30" t="s">
        <v>11155</v>
      </c>
      <c r="M1993" s="30" t="s">
        <v>63</v>
      </c>
      <c r="N1993" s="30" t="s">
        <v>142</v>
      </c>
      <c r="O1993" s="30" t="s">
        <v>77</v>
      </c>
      <c r="P1993" s="89" t="s">
        <v>165</v>
      </c>
      <c r="Q1993" s="89" t="s">
        <v>4487</v>
      </c>
      <c r="R1993" s="89" t="s">
        <v>587</v>
      </c>
      <c r="S1993" s="30">
        <v>0</v>
      </c>
      <c r="T1993" s="233">
        <v>0</v>
      </c>
      <c r="U1993" s="30">
        <v>0</v>
      </c>
      <c r="V1993" s="233">
        <v>0</v>
      </c>
      <c r="W1993" s="30">
        <v>0</v>
      </c>
      <c r="X1993" s="30">
        <v>0</v>
      </c>
      <c r="Y1993" s="30">
        <v>0</v>
      </c>
      <c r="Z1993" s="233">
        <v>0</v>
      </c>
      <c r="AA1993" s="30">
        <v>0</v>
      </c>
      <c r="AB1993" s="30">
        <v>0</v>
      </c>
      <c r="AC1993" s="30">
        <v>0</v>
      </c>
      <c r="AD1993" s="30">
        <v>0</v>
      </c>
      <c r="AE1993" s="89" t="s">
        <v>92</v>
      </c>
      <c r="AF1993" s="89" t="s">
        <v>11144</v>
      </c>
      <c r="AG1993" s="89" t="s">
        <v>1507</v>
      </c>
      <c r="AH1993" s="72">
        <v>42131</v>
      </c>
      <c r="AI1993" s="30">
        <v>1</v>
      </c>
      <c r="AJ1993" s="89" t="s">
        <v>11156</v>
      </c>
      <c r="AK1993" s="89" t="s">
        <v>1233</v>
      </c>
      <c r="AL1993" s="91">
        <v>42132</v>
      </c>
      <c r="AM1993" s="91"/>
      <c r="AN1993" s="91"/>
      <c r="AO1993" s="91"/>
      <c r="AP1993" s="73" t="e">
        <f>MID(VLOOKUP(K1993,#REF!,2,FALSE),1,2)</f>
        <v>#REF!</v>
      </c>
      <c r="AQ1993" s="89">
        <f>DATE(2015,4,28)</f>
        <v>42122</v>
      </c>
      <c r="AR1993" s="82">
        <f t="shared" si="131"/>
        <v>28</v>
      </c>
      <c r="AS1993" s="83">
        <f t="shared" si="132"/>
        <v>4</v>
      </c>
      <c r="AT1993" s="84">
        <f t="shared" si="133"/>
        <v>2015</v>
      </c>
      <c r="AU1993" s="88">
        <f>DATE(2015,5,8)</f>
        <v>42132</v>
      </c>
      <c r="AV1993" s="88">
        <f>DATE(2015,5,7)</f>
        <v>42131</v>
      </c>
      <c r="AW1993" s="87">
        <f t="shared" si="135"/>
        <v>1</v>
      </c>
      <c r="AX1993" s="86"/>
      <c r="AY1993" s="83"/>
      <c r="AZ1993" s="84"/>
      <c r="BA1993" s="86"/>
      <c r="BB1993" s="86"/>
    </row>
    <row r="1994" spans="1:54" ht="36.75" customHeight="1">
      <c r="A1994" s="30"/>
      <c r="B1994" s="30" t="s">
        <v>55</v>
      </c>
      <c r="C1994" s="69" t="str">
        <f t="shared" si="134"/>
        <v>Closed</v>
      </c>
      <c r="D1994" s="27" t="s">
        <v>11157</v>
      </c>
      <c r="E1994" s="29" t="s">
        <v>11158</v>
      </c>
      <c r="F1994" s="30" t="s">
        <v>423</v>
      </c>
      <c r="G1994" s="89">
        <f>DATE(2015,5,4)</f>
        <v>42128</v>
      </c>
      <c r="H1994" s="90">
        <v>1.3722222222222222</v>
      </c>
      <c r="I1994" s="30" t="s">
        <v>156</v>
      </c>
      <c r="J1994" s="89" t="s">
        <v>11159</v>
      </c>
      <c r="K1994" s="30" t="s">
        <v>425</v>
      </c>
      <c r="L1994" s="30" t="s">
        <v>11160</v>
      </c>
      <c r="M1994" s="30" t="s">
        <v>63</v>
      </c>
      <c r="N1994" s="30" t="s">
        <v>99</v>
      </c>
      <c r="O1994" s="30" t="s">
        <v>77</v>
      </c>
      <c r="P1994" s="89" t="s">
        <v>165</v>
      </c>
      <c r="Q1994" s="89" t="s">
        <v>4487</v>
      </c>
      <c r="R1994" s="89" t="s">
        <v>587</v>
      </c>
      <c r="S1994" s="30">
        <v>0</v>
      </c>
      <c r="T1994" s="233">
        <v>0</v>
      </c>
      <c r="U1994" s="30">
        <v>0</v>
      </c>
      <c r="V1994" s="233">
        <v>0</v>
      </c>
      <c r="W1994" s="30">
        <v>0</v>
      </c>
      <c r="X1994" s="30">
        <v>0</v>
      </c>
      <c r="Y1994" s="30">
        <v>0</v>
      </c>
      <c r="Z1994" s="233">
        <v>0</v>
      </c>
      <c r="AA1994" s="30">
        <v>0</v>
      </c>
      <c r="AB1994" s="30">
        <v>0</v>
      </c>
      <c r="AC1994" s="30">
        <v>0</v>
      </c>
      <c r="AD1994" s="30">
        <v>0</v>
      </c>
      <c r="AE1994" s="89" t="s">
        <v>92</v>
      </c>
      <c r="AF1994" s="89" t="s">
        <v>11144</v>
      </c>
      <c r="AG1994" s="89" t="s">
        <v>133</v>
      </c>
      <c r="AH1994" s="72">
        <v>42190</v>
      </c>
      <c r="AI1994" s="30">
        <v>0</v>
      </c>
      <c r="AJ1994" s="89" t="s">
        <v>11161</v>
      </c>
      <c r="AK1994" s="89" t="s">
        <v>11162</v>
      </c>
      <c r="AL1994" s="91">
        <v>42135</v>
      </c>
      <c r="AM1994" s="91"/>
      <c r="AN1994" s="91"/>
      <c r="AO1994" s="91"/>
      <c r="AP1994" s="73" t="e">
        <f>MID(VLOOKUP(K1994,#REF!,2,FALSE),1,2)</f>
        <v>#REF!</v>
      </c>
      <c r="AQ1994" s="89">
        <f>DATE(2015,5,4)</f>
        <v>42128</v>
      </c>
      <c r="AR1994" s="82">
        <f t="shared" si="131"/>
        <v>4</v>
      </c>
      <c r="AS1994" s="83">
        <f t="shared" si="132"/>
        <v>5</v>
      </c>
      <c r="AT1994" s="84">
        <f t="shared" si="133"/>
        <v>2015</v>
      </c>
      <c r="AU1994" s="88">
        <f>DATE(2015,5,11)</f>
        <v>42135</v>
      </c>
      <c r="AV1994" s="88">
        <f>DATE(2015,5,7)</f>
        <v>42131</v>
      </c>
      <c r="AW1994" s="87">
        <f t="shared" si="135"/>
        <v>4</v>
      </c>
      <c r="AX1994" s="86"/>
      <c r="AY1994" s="83"/>
      <c r="AZ1994" s="84"/>
      <c r="BA1994" s="86"/>
      <c r="BB1994" s="86"/>
    </row>
    <row r="1995" spans="1:54" ht="36.75" customHeight="1">
      <c r="A1995" s="30"/>
      <c r="B1995" s="30" t="s">
        <v>55</v>
      </c>
      <c r="C1995" s="69" t="str">
        <f t="shared" si="134"/>
        <v>Closed</v>
      </c>
      <c r="D1995" s="27" t="s">
        <v>11163</v>
      </c>
      <c r="E1995" s="29" t="s">
        <v>11164</v>
      </c>
      <c r="F1995" s="30" t="s">
        <v>582</v>
      </c>
      <c r="G1995" s="89">
        <f>DATE(2015,5,4)</f>
        <v>42128</v>
      </c>
      <c r="H1995" s="90">
        <v>1.3138888888888889</v>
      </c>
      <c r="I1995" s="30" t="s">
        <v>73</v>
      </c>
      <c r="J1995" s="89" t="s">
        <v>11165</v>
      </c>
      <c r="K1995" s="30" t="s">
        <v>584</v>
      </c>
      <c r="L1995" s="30" t="s">
        <v>11166</v>
      </c>
      <c r="M1995" s="30" t="s">
        <v>63</v>
      </c>
      <c r="N1995" s="30" t="s">
        <v>142</v>
      </c>
      <c r="O1995" s="30" t="s">
        <v>77</v>
      </c>
      <c r="P1995" s="89" t="s">
        <v>165</v>
      </c>
      <c r="Q1995" s="89" t="s">
        <v>4487</v>
      </c>
      <c r="R1995" s="89" t="s">
        <v>587</v>
      </c>
      <c r="S1995" s="30">
        <v>0</v>
      </c>
      <c r="T1995" s="233">
        <v>0</v>
      </c>
      <c r="U1995" s="30">
        <v>0</v>
      </c>
      <c r="V1995" s="233">
        <v>0</v>
      </c>
      <c r="W1995" s="30">
        <v>0</v>
      </c>
      <c r="X1995" s="30">
        <v>0</v>
      </c>
      <c r="Y1995" s="30">
        <v>0</v>
      </c>
      <c r="Z1995" s="233">
        <v>0</v>
      </c>
      <c r="AA1995" s="30">
        <v>0</v>
      </c>
      <c r="AB1995" s="30">
        <v>0</v>
      </c>
      <c r="AC1995" s="30">
        <v>0</v>
      </c>
      <c r="AD1995" s="30">
        <v>0</v>
      </c>
      <c r="AE1995" s="89" t="s">
        <v>92</v>
      </c>
      <c r="AF1995" s="89" t="s">
        <v>11144</v>
      </c>
      <c r="AG1995" s="89" t="s">
        <v>133</v>
      </c>
      <c r="AH1995" s="72">
        <v>42132</v>
      </c>
      <c r="AI1995" s="30">
        <v>0</v>
      </c>
      <c r="AJ1995" s="89" t="s">
        <v>11167</v>
      </c>
      <c r="AK1995" s="89" t="s">
        <v>1233</v>
      </c>
      <c r="AL1995" s="91">
        <v>42136</v>
      </c>
      <c r="AM1995" s="91"/>
      <c r="AN1995" s="91"/>
      <c r="AO1995" s="91"/>
      <c r="AP1995" s="73" t="e">
        <f>MID(VLOOKUP(K1995,#REF!,2,FALSE),1,2)</f>
        <v>#REF!</v>
      </c>
      <c r="AQ1995" s="89">
        <f>DATE(2015,5,4)</f>
        <v>42128</v>
      </c>
      <c r="AR1995" s="82">
        <f t="shared" si="131"/>
        <v>4</v>
      </c>
      <c r="AS1995" s="83">
        <f t="shared" si="132"/>
        <v>5</v>
      </c>
      <c r="AT1995" s="84">
        <f t="shared" si="133"/>
        <v>2015</v>
      </c>
      <c r="AU1995" s="88">
        <f>DATE(2015,5,12)</f>
        <v>42136</v>
      </c>
      <c r="AV1995" s="88">
        <f>DATE(2015,5,8)</f>
        <v>42132</v>
      </c>
      <c r="AW1995" s="87">
        <f t="shared" si="135"/>
        <v>4</v>
      </c>
      <c r="AX1995" s="86"/>
      <c r="AY1995" s="83"/>
      <c r="AZ1995" s="84"/>
      <c r="BA1995" s="86"/>
      <c r="BB1995" s="86"/>
    </row>
    <row r="1996" spans="1:54" ht="36.75" customHeight="1">
      <c r="A1996" s="30"/>
      <c r="B1996" s="30" t="s">
        <v>55</v>
      </c>
      <c r="C1996" s="69" t="str">
        <f t="shared" si="134"/>
        <v>Closed</v>
      </c>
      <c r="D1996" s="27" t="s">
        <v>11168</v>
      </c>
      <c r="E1996" s="29" t="s">
        <v>11169</v>
      </c>
      <c r="F1996" s="30" t="s">
        <v>197</v>
      </c>
      <c r="G1996" s="89">
        <f>DATE(2015,5,6)</f>
        <v>42130</v>
      </c>
      <c r="H1996" s="90">
        <v>1.425</v>
      </c>
      <c r="I1996" s="30" t="s">
        <v>104</v>
      </c>
      <c r="J1996" s="89" t="s">
        <v>11170</v>
      </c>
      <c r="K1996" s="30" t="s">
        <v>200</v>
      </c>
      <c r="L1996" s="30" t="s">
        <v>11171</v>
      </c>
      <c r="M1996" s="30" t="s">
        <v>63</v>
      </c>
      <c r="N1996" s="30" t="s">
        <v>99</v>
      </c>
      <c r="O1996" s="30" t="s">
        <v>64</v>
      </c>
      <c r="P1996" s="89" t="s">
        <v>165</v>
      </c>
      <c r="Q1996" s="89" t="s">
        <v>4487</v>
      </c>
      <c r="R1996" s="89" t="s">
        <v>587</v>
      </c>
      <c r="S1996" s="30">
        <v>0</v>
      </c>
      <c r="T1996" s="233">
        <v>0</v>
      </c>
      <c r="U1996" s="30">
        <v>0</v>
      </c>
      <c r="V1996" s="233">
        <v>0</v>
      </c>
      <c r="W1996" s="30">
        <v>0</v>
      </c>
      <c r="X1996" s="30">
        <v>0</v>
      </c>
      <c r="Y1996" s="30">
        <v>0</v>
      </c>
      <c r="Z1996" s="233">
        <v>0</v>
      </c>
      <c r="AA1996" s="30">
        <v>0</v>
      </c>
      <c r="AB1996" s="30">
        <v>0</v>
      </c>
      <c r="AC1996" s="30">
        <v>0</v>
      </c>
      <c r="AD1996" s="30">
        <v>0</v>
      </c>
      <c r="AE1996" s="89" t="s">
        <v>92</v>
      </c>
      <c r="AF1996" s="89" t="s">
        <v>11144</v>
      </c>
      <c r="AG1996" s="89" t="s">
        <v>82</v>
      </c>
      <c r="AH1996" s="72">
        <v>42145</v>
      </c>
      <c r="AI1996" s="30">
        <v>4</v>
      </c>
      <c r="AJ1996" s="89" t="s">
        <v>11172</v>
      </c>
      <c r="AK1996" s="89" t="s">
        <v>1233</v>
      </c>
      <c r="AL1996" s="91">
        <v>42145</v>
      </c>
      <c r="AM1996" s="91"/>
      <c r="AN1996" s="91"/>
      <c r="AO1996" s="91"/>
      <c r="AP1996" s="73" t="e">
        <f>MID(VLOOKUP(K1996,#REF!,2,FALSE),1,2)</f>
        <v>#REF!</v>
      </c>
      <c r="AQ1996" s="89">
        <f>DATE(2015,5,6)</f>
        <v>42130</v>
      </c>
      <c r="AR1996" s="82">
        <f t="shared" si="131"/>
        <v>6</v>
      </c>
      <c r="AS1996" s="83">
        <f t="shared" si="132"/>
        <v>5</v>
      </c>
      <c r="AT1996" s="84">
        <f t="shared" si="133"/>
        <v>2015</v>
      </c>
      <c r="AU1996" s="88">
        <f>DATE(2015,5,21)</f>
        <v>42145</v>
      </c>
      <c r="AV1996" s="88">
        <f>DATE(2015,5,21)</f>
        <v>42145</v>
      </c>
      <c r="AW1996" s="87">
        <f t="shared" si="135"/>
        <v>0</v>
      </c>
      <c r="AX1996" s="88">
        <f>DATE(2015,6,3)</f>
        <v>42158</v>
      </c>
      <c r="AY1996" s="83">
        <f>MONTH(AX1996)</f>
        <v>6</v>
      </c>
      <c r="AZ1996" s="84">
        <f>YEAR(AX1996)</f>
        <v>2015</v>
      </c>
      <c r="BA1996" s="86"/>
      <c r="BB1996" s="86"/>
    </row>
    <row r="1997" spans="1:54" ht="36.75" customHeight="1">
      <c r="A1997" s="30"/>
      <c r="B1997" s="30" t="s">
        <v>55</v>
      </c>
      <c r="C1997" s="69" t="str">
        <f t="shared" si="134"/>
        <v>Closed</v>
      </c>
      <c r="D1997" s="27" t="s">
        <v>11173</v>
      </c>
      <c r="E1997" s="29" t="s">
        <v>11174</v>
      </c>
      <c r="F1997" s="30" t="s">
        <v>6455</v>
      </c>
      <c r="G1997" s="89">
        <f>DATE(2015,5,6)</f>
        <v>42130</v>
      </c>
      <c r="H1997" s="90">
        <v>0.46527777777777773</v>
      </c>
      <c r="I1997" s="30" t="s">
        <v>156</v>
      </c>
      <c r="J1997" s="89" t="s">
        <v>11175</v>
      </c>
      <c r="K1997" s="30" t="s">
        <v>584</v>
      </c>
      <c r="L1997" s="30" t="s">
        <v>11176</v>
      </c>
      <c r="M1997" s="30" t="s">
        <v>63</v>
      </c>
      <c r="N1997" s="30" t="s">
        <v>142</v>
      </c>
      <c r="O1997" s="30" t="s">
        <v>64</v>
      </c>
      <c r="P1997" s="89" t="s">
        <v>462</v>
      </c>
      <c r="Q1997" s="89" t="s">
        <v>4830</v>
      </c>
      <c r="R1997" s="89" t="s">
        <v>587</v>
      </c>
      <c r="S1997" s="30">
        <v>0</v>
      </c>
      <c r="T1997" s="233">
        <v>0</v>
      </c>
      <c r="U1997" s="30">
        <v>0</v>
      </c>
      <c r="V1997" s="233">
        <v>0</v>
      </c>
      <c r="W1997" s="30">
        <v>0</v>
      </c>
      <c r="X1997" s="30">
        <v>0</v>
      </c>
      <c r="Y1997" s="30">
        <v>0</v>
      </c>
      <c r="Z1997" s="233">
        <v>0</v>
      </c>
      <c r="AA1997" s="30">
        <v>0</v>
      </c>
      <c r="AB1997" s="30">
        <v>0</v>
      </c>
      <c r="AC1997" s="30">
        <v>0</v>
      </c>
      <c r="AD1997" s="30">
        <v>0</v>
      </c>
      <c r="AE1997" s="89" t="s">
        <v>92</v>
      </c>
      <c r="AF1997" s="89" t="s">
        <v>11177</v>
      </c>
      <c r="AG1997" s="89" t="s">
        <v>8859</v>
      </c>
      <c r="AH1997" s="72">
        <v>42132</v>
      </c>
      <c r="AI1997" s="30">
        <v>0</v>
      </c>
      <c r="AJ1997" s="89" t="s">
        <v>11178</v>
      </c>
      <c r="AK1997" s="89" t="s">
        <v>68</v>
      </c>
      <c r="AL1997" s="91">
        <v>42136</v>
      </c>
      <c r="AM1997" s="91"/>
      <c r="AN1997" s="89">
        <v>44643</v>
      </c>
      <c r="AO1997" s="89">
        <v>44641</v>
      </c>
      <c r="AP1997" s="73" t="e">
        <f>MID(VLOOKUP(K1997,#REF!,2,FALSE),1,2)</f>
        <v>#REF!</v>
      </c>
      <c r="AQ1997" s="89">
        <f>DATE(2015,5,6)</f>
        <v>42130</v>
      </c>
      <c r="AR1997" s="82">
        <f t="shared" si="131"/>
        <v>6</v>
      </c>
      <c r="AS1997" s="83">
        <f t="shared" si="132"/>
        <v>5</v>
      </c>
      <c r="AT1997" s="84">
        <f t="shared" si="133"/>
        <v>2015</v>
      </c>
      <c r="AU1997" s="88">
        <f>DATE(2015,5,12)</f>
        <v>42136</v>
      </c>
      <c r="AV1997" s="88">
        <f>DATE(2015,5,8)</f>
        <v>42132</v>
      </c>
      <c r="AW1997" s="87">
        <f t="shared" si="135"/>
        <v>4</v>
      </c>
      <c r="AX1997" s="86"/>
      <c r="AY1997" s="83"/>
      <c r="AZ1997" s="84"/>
      <c r="BA1997" s="86"/>
      <c r="BB1997" s="86"/>
    </row>
    <row r="1998" spans="1:54" ht="36.75" customHeight="1">
      <c r="A1998" s="30"/>
      <c r="B1998" s="30" t="s">
        <v>55</v>
      </c>
      <c r="C1998" s="69" t="str">
        <f t="shared" si="134"/>
        <v>Closed</v>
      </c>
      <c r="D1998" s="27" t="s">
        <v>11179</v>
      </c>
      <c r="E1998" s="29" t="s">
        <v>11180</v>
      </c>
      <c r="F1998" s="30" t="s">
        <v>1572</v>
      </c>
      <c r="G1998" s="89">
        <f>DATE(2015,5,7)</f>
        <v>42131</v>
      </c>
      <c r="H1998" s="90">
        <v>1.6145833333333335</v>
      </c>
      <c r="I1998" s="30" t="s">
        <v>73</v>
      </c>
      <c r="J1998" s="89" t="s">
        <v>11181</v>
      </c>
      <c r="K1998" s="30" t="s">
        <v>1574</v>
      </c>
      <c r="L1998" s="30" t="s">
        <v>11182</v>
      </c>
      <c r="M1998" s="30" t="s">
        <v>63</v>
      </c>
      <c r="N1998" s="30" t="s">
        <v>142</v>
      </c>
      <c r="O1998" s="30" t="s">
        <v>64</v>
      </c>
      <c r="P1998" s="89" t="s">
        <v>165</v>
      </c>
      <c r="Q1998" s="89" t="s">
        <v>4487</v>
      </c>
      <c r="R1998" s="89" t="s">
        <v>587</v>
      </c>
      <c r="S1998" s="30">
        <v>0</v>
      </c>
      <c r="T1998" s="233">
        <v>0</v>
      </c>
      <c r="U1998" s="30">
        <v>0</v>
      </c>
      <c r="V1998" s="233">
        <v>0</v>
      </c>
      <c r="W1998" s="30">
        <v>0</v>
      </c>
      <c r="X1998" s="30">
        <v>0</v>
      </c>
      <c r="Y1998" s="30">
        <v>0</v>
      </c>
      <c r="Z1998" s="233">
        <v>0</v>
      </c>
      <c r="AA1998" s="30">
        <v>0</v>
      </c>
      <c r="AB1998" s="30">
        <v>0</v>
      </c>
      <c r="AC1998" s="30">
        <v>0</v>
      </c>
      <c r="AD1998" s="30">
        <v>0</v>
      </c>
      <c r="AE1998" s="89" t="s">
        <v>92</v>
      </c>
      <c r="AF1998" s="89" t="s">
        <v>11144</v>
      </c>
      <c r="AG1998" s="89" t="s">
        <v>352</v>
      </c>
      <c r="AH1998" s="72">
        <v>42135</v>
      </c>
      <c r="AI1998" s="30">
        <v>0</v>
      </c>
      <c r="AJ1998" s="89" t="s">
        <v>11183</v>
      </c>
      <c r="AK1998" s="89" t="s">
        <v>11184</v>
      </c>
      <c r="AL1998" s="91">
        <v>42135</v>
      </c>
      <c r="AM1998" s="91"/>
      <c r="AN1998" s="91"/>
      <c r="AO1998" s="91"/>
      <c r="AP1998" s="73" t="e">
        <f>MID(VLOOKUP(K1998,#REF!,2,FALSE),1,2)</f>
        <v>#REF!</v>
      </c>
      <c r="AQ1998" s="89">
        <f>DATE(2015,5,7)</f>
        <v>42131</v>
      </c>
      <c r="AR1998" s="82">
        <f t="shared" si="131"/>
        <v>7</v>
      </c>
      <c r="AS1998" s="83">
        <f t="shared" si="132"/>
        <v>5</v>
      </c>
      <c r="AT1998" s="84">
        <f t="shared" si="133"/>
        <v>2015</v>
      </c>
      <c r="AU1998" s="88">
        <f>DATE(2015,5,11)</f>
        <v>42135</v>
      </c>
      <c r="AV1998" s="88">
        <f>DATE(2015,5,11)</f>
        <v>42135</v>
      </c>
      <c r="AW1998" s="87">
        <f t="shared" si="135"/>
        <v>0</v>
      </c>
      <c r="AX1998" s="88">
        <f>DATE(2015,5,11)</f>
        <v>42135</v>
      </c>
      <c r="AY1998" s="83">
        <f>MONTH(AX1998)</f>
        <v>5</v>
      </c>
      <c r="AZ1998" s="84">
        <f>YEAR(AX1998)</f>
        <v>2015</v>
      </c>
      <c r="BA1998" s="88">
        <f>DATE(2015,5,7)</f>
        <v>42131</v>
      </c>
      <c r="BB1998" s="86"/>
    </row>
    <row r="1999" spans="1:54" ht="36.75" customHeight="1">
      <c r="A1999" s="30"/>
      <c r="B1999" s="30" t="s">
        <v>55</v>
      </c>
      <c r="C1999" s="69" t="str">
        <f t="shared" si="134"/>
        <v>Closed</v>
      </c>
      <c r="D1999" s="27" t="s">
        <v>11185</v>
      </c>
      <c r="E1999" s="29" t="s">
        <v>11186</v>
      </c>
      <c r="F1999" s="30" t="s">
        <v>638</v>
      </c>
      <c r="G1999" s="89">
        <f>DATE(2015,5,10)</f>
        <v>42134</v>
      </c>
      <c r="H1999" s="90">
        <v>1.932638888888889</v>
      </c>
      <c r="I1999" s="30" t="s">
        <v>104</v>
      </c>
      <c r="J1999" s="89" t="s">
        <v>11187</v>
      </c>
      <c r="K1999" s="30" t="s">
        <v>640</v>
      </c>
      <c r="L1999" s="30" t="s">
        <v>9205</v>
      </c>
      <c r="M1999" s="30" t="s">
        <v>63</v>
      </c>
      <c r="N1999" s="30" t="s">
        <v>142</v>
      </c>
      <c r="O1999" s="30" t="s">
        <v>77</v>
      </c>
      <c r="P1999" s="89" t="s">
        <v>165</v>
      </c>
      <c r="Q1999" s="89" t="s">
        <v>4487</v>
      </c>
      <c r="R1999" s="89" t="s">
        <v>587</v>
      </c>
      <c r="S1999" s="30">
        <v>0</v>
      </c>
      <c r="T1999" s="233">
        <v>0</v>
      </c>
      <c r="U1999" s="30">
        <v>0</v>
      </c>
      <c r="V1999" s="233">
        <v>0</v>
      </c>
      <c r="W1999" s="30">
        <v>0</v>
      </c>
      <c r="X1999" s="30">
        <v>0</v>
      </c>
      <c r="Y1999" s="30">
        <v>0</v>
      </c>
      <c r="Z1999" s="233">
        <v>0</v>
      </c>
      <c r="AA1999" s="30">
        <v>0</v>
      </c>
      <c r="AB1999" s="30">
        <v>0</v>
      </c>
      <c r="AC1999" s="30">
        <v>0</v>
      </c>
      <c r="AD1999" s="30">
        <v>0</v>
      </c>
      <c r="AE1999" s="89" t="s">
        <v>92</v>
      </c>
      <c r="AF1999" s="89" t="s">
        <v>11144</v>
      </c>
      <c r="AG1999" s="89" t="s">
        <v>352</v>
      </c>
      <c r="AH1999" s="72">
        <v>42199</v>
      </c>
      <c r="AI1999" s="30">
        <v>1</v>
      </c>
      <c r="AJ1999" s="89" t="s">
        <v>11188</v>
      </c>
      <c r="AK1999" s="89" t="s">
        <v>68</v>
      </c>
      <c r="AL1999" s="91">
        <v>42205</v>
      </c>
      <c r="AM1999" s="91"/>
      <c r="AN1999" s="91"/>
      <c r="AO1999" s="91"/>
      <c r="AP1999" s="73" t="e">
        <f>MID(VLOOKUP(K1999,#REF!,2,FALSE),1,2)</f>
        <v>#REF!</v>
      </c>
      <c r="AQ1999" s="89">
        <f>DATE(2015,5,10)</f>
        <v>42134</v>
      </c>
      <c r="AR1999" s="82">
        <f t="shared" si="131"/>
        <v>10</v>
      </c>
      <c r="AS1999" s="83">
        <f t="shared" si="132"/>
        <v>5</v>
      </c>
      <c r="AT1999" s="84">
        <f t="shared" si="133"/>
        <v>2015</v>
      </c>
      <c r="AU1999" s="88">
        <f>DATE(2015,7,20)</f>
        <v>42205</v>
      </c>
      <c r="AV1999" s="88">
        <f>DATE(2015,7,14)</f>
        <v>42199</v>
      </c>
      <c r="AW1999" s="87">
        <f t="shared" si="135"/>
        <v>6</v>
      </c>
      <c r="AX1999" s="86"/>
      <c r="AY1999" s="83"/>
      <c r="AZ1999" s="84"/>
      <c r="BA1999" s="86"/>
      <c r="BB1999" s="86"/>
    </row>
    <row r="2000" spans="1:54" ht="36.75" customHeight="1">
      <c r="A2000" s="30"/>
      <c r="B2000" s="30" t="s">
        <v>55</v>
      </c>
      <c r="C2000" s="69" t="str">
        <f t="shared" si="134"/>
        <v>Closed</v>
      </c>
      <c r="D2000" s="27" t="s">
        <v>11189</v>
      </c>
      <c r="E2000" s="29" t="s">
        <v>11190</v>
      </c>
      <c r="F2000" s="30" t="s">
        <v>835</v>
      </c>
      <c r="G2000" s="89">
        <f>DATE(2015,5,12)</f>
        <v>42136</v>
      </c>
      <c r="H2000" s="90">
        <v>1.71875</v>
      </c>
      <c r="I2000" s="30" t="s">
        <v>73</v>
      </c>
      <c r="J2000" s="89" t="s">
        <v>11191</v>
      </c>
      <c r="K2000" s="30" t="s">
        <v>837</v>
      </c>
      <c r="L2000" s="30" t="s">
        <v>11069</v>
      </c>
      <c r="M2000" s="30" t="s">
        <v>9919</v>
      </c>
      <c r="N2000" s="30" t="s">
        <v>99</v>
      </c>
      <c r="O2000" s="30" t="s">
        <v>64</v>
      </c>
      <c r="P2000" s="89" t="s">
        <v>165</v>
      </c>
      <c r="Q2000" s="89" t="s">
        <v>4487</v>
      </c>
      <c r="R2000" s="89" t="s">
        <v>587</v>
      </c>
      <c r="S2000" s="30">
        <v>0</v>
      </c>
      <c r="T2000" s="233">
        <v>0</v>
      </c>
      <c r="U2000" s="30">
        <v>0</v>
      </c>
      <c r="V2000" s="233">
        <v>0</v>
      </c>
      <c r="W2000" s="30">
        <v>0</v>
      </c>
      <c r="X2000" s="30">
        <v>0</v>
      </c>
      <c r="Y2000" s="30">
        <v>0</v>
      </c>
      <c r="Z2000" s="233">
        <v>0</v>
      </c>
      <c r="AA2000" s="30">
        <v>0</v>
      </c>
      <c r="AB2000" s="30">
        <v>0</v>
      </c>
      <c r="AC2000" s="30">
        <v>0</v>
      </c>
      <c r="AD2000" s="30">
        <v>0</v>
      </c>
      <c r="AE2000" s="89" t="s">
        <v>92</v>
      </c>
      <c r="AF2000" s="89" t="s">
        <v>11144</v>
      </c>
      <c r="AG2000" s="89" t="s">
        <v>352</v>
      </c>
      <c r="AH2000" s="72">
        <v>42136</v>
      </c>
      <c r="AI2000" s="30">
        <v>0</v>
      </c>
      <c r="AJ2000" s="89" t="s">
        <v>11192</v>
      </c>
      <c r="AK2000" s="89" t="s">
        <v>68</v>
      </c>
      <c r="AL2000" s="91">
        <v>42158</v>
      </c>
      <c r="AM2000" s="91"/>
      <c r="AN2000" s="91"/>
      <c r="AO2000" s="91"/>
      <c r="AP2000" s="73" t="e">
        <f>MID(VLOOKUP(K2000,#REF!,2,FALSE),1,2)</f>
        <v>#REF!</v>
      </c>
      <c r="AQ2000" s="89">
        <f>DATE(2015,5,12)</f>
        <v>42136</v>
      </c>
      <c r="AR2000" s="82">
        <f t="shared" si="131"/>
        <v>12</v>
      </c>
      <c r="AS2000" s="83">
        <f t="shared" si="132"/>
        <v>5</v>
      </c>
      <c r="AT2000" s="84">
        <f t="shared" si="133"/>
        <v>2015</v>
      </c>
      <c r="AU2000" s="88">
        <f>DATE(2015,6,3)</f>
        <v>42158</v>
      </c>
      <c r="AV2000" s="88">
        <f>DATE(2015,5,12)</f>
        <v>42136</v>
      </c>
      <c r="AW2000" s="87">
        <f t="shared" si="135"/>
        <v>22</v>
      </c>
      <c r="AX2000" s="88">
        <f>DATE(2015,5,12)</f>
        <v>42136</v>
      </c>
      <c r="AY2000" s="83">
        <f>MONTH(AX2000)</f>
        <v>5</v>
      </c>
      <c r="AZ2000" s="84">
        <f>YEAR(AX2000)</f>
        <v>2015</v>
      </c>
      <c r="BA2000" s="88">
        <f>DATE(2015,5,12)</f>
        <v>42136</v>
      </c>
      <c r="BB2000" s="86"/>
    </row>
    <row r="2001" spans="1:54" ht="36.75" customHeight="1">
      <c r="A2001" s="30"/>
      <c r="B2001" s="30" t="s">
        <v>55</v>
      </c>
      <c r="C2001" s="69" t="str">
        <f t="shared" si="134"/>
        <v>Closed</v>
      </c>
      <c r="D2001" s="27" t="s">
        <v>11193</v>
      </c>
      <c r="E2001" s="29" t="s">
        <v>11194</v>
      </c>
      <c r="F2001" s="30" t="s">
        <v>233</v>
      </c>
      <c r="G2001" s="89">
        <f>DATE(2015,5,12)</f>
        <v>42136</v>
      </c>
      <c r="H2001" s="90">
        <v>1.46875</v>
      </c>
      <c r="I2001" s="30" t="s">
        <v>278</v>
      </c>
      <c r="J2001" s="89" t="s">
        <v>11195</v>
      </c>
      <c r="K2001" s="30" t="s">
        <v>235</v>
      </c>
      <c r="L2001" s="30" t="s">
        <v>11196</v>
      </c>
      <c r="M2001" s="30" t="s">
        <v>255</v>
      </c>
      <c r="N2001" s="30" t="s">
        <v>99</v>
      </c>
      <c r="O2001" s="30" t="s">
        <v>64</v>
      </c>
      <c r="P2001" s="89" t="s">
        <v>165</v>
      </c>
      <c r="Q2001" s="89" t="s">
        <v>4487</v>
      </c>
      <c r="R2001" s="89" t="s">
        <v>587</v>
      </c>
      <c r="S2001" s="30">
        <v>0</v>
      </c>
      <c r="T2001" s="233">
        <v>0</v>
      </c>
      <c r="U2001" s="30">
        <v>0</v>
      </c>
      <c r="V2001" s="233">
        <v>0</v>
      </c>
      <c r="W2001" s="30">
        <v>0</v>
      </c>
      <c r="X2001" s="30">
        <v>0</v>
      </c>
      <c r="Y2001" s="30">
        <v>0</v>
      </c>
      <c r="Z2001" s="233">
        <v>0</v>
      </c>
      <c r="AA2001" s="30">
        <v>0</v>
      </c>
      <c r="AB2001" s="30">
        <v>0</v>
      </c>
      <c r="AC2001" s="30">
        <v>0</v>
      </c>
      <c r="AD2001" s="30">
        <v>0</v>
      </c>
      <c r="AE2001" s="89" t="s">
        <v>92</v>
      </c>
      <c r="AF2001" s="89" t="s">
        <v>11144</v>
      </c>
      <c r="AG2001" s="89" t="s">
        <v>133</v>
      </c>
      <c r="AH2001" s="72">
        <v>42177</v>
      </c>
      <c r="AI2001" s="30">
        <v>3</v>
      </c>
      <c r="AJ2001" s="89" t="s">
        <v>11197</v>
      </c>
      <c r="AK2001" s="89" t="s">
        <v>11198</v>
      </c>
      <c r="AL2001" s="91">
        <v>42188</v>
      </c>
      <c r="AM2001" s="91"/>
      <c r="AN2001" s="91"/>
      <c r="AO2001" s="91"/>
      <c r="AP2001" s="73" t="e">
        <f>MID(VLOOKUP(K2001,#REF!,2,FALSE),1,2)</f>
        <v>#REF!</v>
      </c>
      <c r="AQ2001" s="89">
        <f>DATE(2015,5,12)</f>
        <v>42136</v>
      </c>
      <c r="AR2001" s="82">
        <f t="shared" si="131"/>
        <v>12</v>
      </c>
      <c r="AS2001" s="83">
        <f t="shared" si="132"/>
        <v>5</v>
      </c>
      <c r="AT2001" s="84">
        <f t="shared" si="133"/>
        <v>2015</v>
      </c>
      <c r="AU2001" s="88">
        <f>DATE(2015,7,3)</f>
        <v>42188</v>
      </c>
      <c r="AV2001" s="88">
        <f>DATE(2015,6,22)</f>
        <v>42177</v>
      </c>
      <c r="AW2001" s="87">
        <f t="shared" si="135"/>
        <v>11</v>
      </c>
      <c r="AX2001" s="88">
        <f>DATE(2015,7,3)</f>
        <v>42188</v>
      </c>
      <c r="AY2001" s="83">
        <f>MONTH(AX2001)</f>
        <v>7</v>
      </c>
      <c r="AZ2001" s="84">
        <f>YEAR(AX2001)</f>
        <v>2015</v>
      </c>
      <c r="BA2001" s="86"/>
      <c r="BB2001" s="86"/>
    </row>
    <row r="2002" spans="1:54" ht="36.75" customHeight="1">
      <c r="A2002" s="30"/>
      <c r="B2002" s="30" t="s">
        <v>55</v>
      </c>
      <c r="C2002" s="69" t="str">
        <f t="shared" si="134"/>
        <v>Closed</v>
      </c>
      <c r="D2002" s="27" t="s">
        <v>11199</v>
      </c>
      <c r="E2002" s="29" t="s">
        <v>11200</v>
      </c>
      <c r="F2002" s="30" t="s">
        <v>233</v>
      </c>
      <c r="G2002" s="89">
        <f>DATE(2015,5,14)</f>
        <v>42138</v>
      </c>
      <c r="H2002" s="90">
        <v>1.7625000000000002</v>
      </c>
      <c r="I2002" s="30" t="s">
        <v>116</v>
      </c>
      <c r="J2002" s="89" t="s">
        <v>11201</v>
      </c>
      <c r="K2002" s="30" t="s">
        <v>235</v>
      </c>
      <c r="L2002" s="30" t="s">
        <v>11202</v>
      </c>
      <c r="M2002" s="30" t="s">
        <v>63</v>
      </c>
      <c r="N2002" s="30" t="s">
        <v>99</v>
      </c>
      <c r="O2002" s="30" t="s">
        <v>64</v>
      </c>
      <c r="P2002" s="89" t="s">
        <v>165</v>
      </c>
      <c r="Q2002" s="89" t="s">
        <v>4487</v>
      </c>
      <c r="R2002" s="89" t="s">
        <v>587</v>
      </c>
      <c r="S2002" s="30">
        <v>0</v>
      </c>
      <c r="T2002" s="233">
        <v>0</v>
      </c>
      <c r="U2002" s="30">
        <v>0</v>
      </c>
      <c r="V2002" s="233">
        <v>0</v>
      </c>
      <c r="W2002" s="30">
        <v>0</v>
      </c>
      <c r="X2002" s="30">
        <v>0</v>
      </c>
      <c r="Y2002" s="30">
        <v>0</v>
      </c>
      <c r="Z2002" s="233">
        <v>0</v>
      </c>
      <c r="AA2002" s="30">
        <v>0</v>
      </c>
      <c r="AB2002" s="30">
        <v>0</v>
      </c>
      <c r="AC2002" s="30">
        <v>0</v>
      </c>
      <c r="AD2002" s="30">
        <v>0</v>
      </c>
      <c r="AE2002" s="89" t="s">
        <v>92</v>
      </c>
      <c r="AF2002" s="89" t="s">
        <v>11144</v>
      </c>
      <c r="AG2002" s="89" t="s">
        <v>133</v>
      </c>
      <c r="AH2002" s="72">
        <v>42150</v>
      </c>
      <c r="AI2002" s="30">
        <v>3</v>
      </c>
      <c r="AJ2002" s="89" t="s">
        <v>11203</v>
      </c>
      <c r="AK2002" s="89" t="s">
        <v>11204</v>
      </c>
      <c r="AL2002" s="91">
        <v>42227</v>
      </c>
      <c r="AM2002" s="91"/>
      <c r="AN2002" s="91"/>
      <c r="AO2002" s="91"/>
      <c r="AP2002" s="73" t="e">
        <f>MID(VLOOKUP(K2002,#REF!,2,FALSE),1,2)</f>
        <v>#REF!</v>
      </c>
      <c r="AQ2002" s="89">
        <f>DATE(2015,5,14)</f>
        <v>42138</v>
      </c>
      <c r="AR2002" s="82">
        <f t="shared" si="131"/>
        <v>14</v>
      </c>
      <c r="AS2002" s="83">
        <f t="shared" si="132"/>
        <v>5</v>
      </c>
      <c r="AT2002" s="84">
        <f t="shared" si="133"/>
        <v>2015</v>
      </c>
      <c r="AU2002" s="88">
        <f>DATE(2015,8,11)</f>
        <v>42227</v>
      </c>
      <c r="AV2002" s="88">
        <f>DATE(2015,5,26)</f>
        <v>42150</v>
      </c>
      <c r="AW2002" s="87">
        <f t="shared" si="135"/>
        <v>77</v>
      </c>
      <c r="AX2002" s="88">
        <f>DATE(2015,8,11)</f>
        <v>42227</v>
      </c>
      <c r="AY2002" s="83">
        <f>MONTH(AX2002)</f>
        <v>8</v>
      </c>
      <c r="AZ2002" s="84">
        <f>YEAR(AX2002)</f>
        <v>2015</v>
      </c>
      <c r="BA2002" s="86"/>
      <c r="BB2002" s="86"/>
    </row>
    <row r="2003" spans="1:54" ht="36.75" customHeight="1">
      <c r="A2003" s="30"/>
      <c r="B2003" s="30" t="s">
        <v>55</v>
      </c>
      <c r="C2003" s="69" t="str">
        <f t="shared" si="134"/>
        <v>Closed</v>
      </c>
      <c r="D2003" s="27" t="s">
        <v>11205</v>
      </c>
      <c r="E2003" s="29" t="s">
        <v>11206</v>
      </c>
      <c r="F2003" s="30" t="s">
        <v>1572</v>
      </c>
      <c r="G2003" s="89">
        <f>DATE(2015,5,15)</f>
        <v>42139</v>
      </c>
      <c r="H2003" s="90">
        <v>1.5173611111111112</v>
      </c>
      <c r="I2003" s="30" t="s">
        <v>125</v>
      </c>
      <c r="J2003" s="89" t="s">
        <v>11207</v>
      </c>
      <c r="K2003" s="30" t="s">
        <v>1574</v>
      </c>
      <c r="L2003" s="30" t="s">
        <v>11208</v>
      </c>
      <c r="M2003" s="30" t="s">
        <v>63</v>
      </c>
      <c r="N2003" s="30" t="s">
        <v>142</v>
      </c>
      <c r="O2003" s="30" t="s">
        <v>64</v>
      </c>
      <c r="P2003" s="89" t="s">
        <v>165</v>
      </c>
      <c r="Q2003" s="89" t="s">
        <v>4487</v>
      </c>
      <c r="R2003" s="89" t="s">
        <v>587</v>
      </c>
      <c r="S2003" s="30">
        <v>0</v>
      </c>
      <c r="T2003" s="233">
        <v>0</v>
      </c>
      <c r="U2003" s="30">
        <v>0</v>
      </c>
      <c r="V2003" s="233">
        <v>0</v>
      </c>
      <c r="W2003" s="30">
        <v>0</v>
      </c>
      <c r="X2003" s="30">
        <v>0</v>
      </c>
      <c r="Y2003" s="30">
        <v>0</v>
      </c>
      <c r="Z2003" s="233">
        <v>0</v>
      </c>
      <c r="AA2003" s="30">
        <v>0</v>
      </c>
      <c r="AB2003" s="30">
        <v>0</v>
      </c>
      <c r="AC2003" s="30">
        <v>0</v>
      </c>
      <c r="AD2003" s="30">
        <v>0</v>
      </c>
      <c r="AE2003" s="89" t="s">
        <v>92</v>
      </c>
      <c r="AF2003" s="89" t="s">
        <v>11144</v>
      </c>
      <c r="AG2003" s="89" t="s">
        <v>133</v>
      </c>
      <c r="AH2003" s="72">
        <v>42142</v>
      </c>
      <c r="AI2003" s="30">
        <v>0</v>
      </c>
      <c r="AJ2003" s="89" t="s">
        <v>11209</v>
      </c>
      <c r="AK2003" s="89" t="s">
        <v>11210</v>
      </c>
      <c r="AL2003" s="91">
        <v>42142</v>
      </c>
      <c r="AM2003" s="91"/>
      <c r="AN2003" s="91"/>
      <c r="AO2003" s="91"/>
      <c r="AP2003" s="73" t="e">
        <f>MID(VLOOKUP(K2003,#REF!,2,FALSE),1,2)</f>
        <v>#REF!</v>
      </c>
      <c r="AQ2003" s="89">
        <f>DATE(2015,5,15)</f>
        <v>42139</v>
      </c>
      <c r="AR2003" s="82">
        <f t="shared" si="131"/>
        <v>15</v>
      </c>
      <c r="AS2003" s="83">
        <f t="shared" si="132"/>
        <v>5</v>
      </c>
      <c r="AT2003" s="84">
        <f t="shared" si="133"/>
        <v>2015</v>
      </c>
      <c r="AU2003" s="88">
        <f>DATE(2015,5,18)</f>
        <v>42142</v>
      </c>
      <c r="AV2003" s="88">
        <f>DATE(2015,5,18)</f>
        <v>42142</v>
      </c>
      <c r="AW2003" s="87">
        <f t="shared" si="135"/>
        <v>0</v>
      </c>
      <c r="AX2003" s="88">
        <f>DATE(2015,5,18)</f>
        <v>42142</v>
      </c>
      <c r="AY2003" s="83">
        <f>MONTH(AX2003)</f>
        <v>5</v>
      </c>
      <c r="AZ2003" s="84">
        <f>YEAR(AX2003)</f>
        <v>2015</v>
      </c>
      <c r="BA2003" s="88">
        <f>DATE(2015,5,15)</f>
        <v>42139</v>
      </c>
      <c r="BB2003" s="86"/>
    </row>
    <row r="2004" spans="1:54" ht="36.75" customHeight="1">
      <c r="A2004" s="30"/>
      <c r="B2004" s="30" t="s">
        <v>55</v>
      </c>
      <c r="C2004" s="69" t="str">
        <f t="shared" si="134"/>
        <v>Closed</v>
      </c>
      <c r="D2004" s="27" t="s">
        <v>11211</v>
      </c>
      <c r="E2004" s="29" t="s">
        <v>11212</v>
      </c>
      <c r="F2004" s="30" t="s">
        <v>582</v>
      </c>
      <c r="G2004" s="89">
        <f>DATE(2015,5,16)</f>
        <v>42140</v>
      </c>
      <c r="H2004" s="90">
        <v>0</v>
      </c>
      <c r="I2004" s="30" t="s">
        <v>73</v>
      </c>
      <c r="J2004" s="89" t="s">
        <v>11213</v>
      </c>
      <c r="K2004" s="30" t="s">
        <v>584</v>
      </c>
      <c r="L2004" s="30" t="s">
        <v>11214</v>
      </c>
      <c r="M2004" s="30" t="s">
        <v>63</v>
      </c>
      <c r="N2004" s="30" t="s">
        <v>142</v>
      </c>
      <c r="O2004" s="30" t="s">
        <v>77</v>
      </c>
      <c r="P2004" s="89" t="s">
        <v>165</v>
      </c>
      <c r="Q2004" s="89" t="s">
        <v>4487</v>
      </c>
      <c r="R2004" s="89" t="s">
        <v>587</v>
      </c>
      <c r="S2004" s="30">
        <v>0</v>
      </c>
      <c r="T2004" s="233">
        <v>0</v>
      </c>
      <c r="U2004" s="30">
        <v>0</v>
      </c>
      <c r="V2004" s="233">
        <v>0</v>
      </c>
      <c r="W2004" s="30">
        <v>0</v>
      </c>
      <c r="X2004" s="30">
        <v>0</v>
      </c>
      <c r="Y2004" s="30">
        <v>0</v>
      </c>
      <c r="Z2004" s="233">
        <v>0</v>
      </c>
      <c r="AA2004" s="30">
        <v>0</v>
      </c>
      <c r="AB2004" s="30">
        <v>0</v>
      </c>
      <c r="AC2004" s="30">
        <v>0</v>
      </c>
      <c r="AD2004" s="30">
        <v>0</v>
      </c>
      <c r="AE2004" s="89" t="s">
        <v>92</v>
      </c>
      <c r="AF2004" s="89" t="s">
        <v>11144</v>
      </c>
      <c r="AG2004" s="89" t="s">
        <v>133</v>
      </c>
      <c r="AH2004" s="72">
        <v>42142</v>
      </c>
      <c r="AI2004" s="30">
        <v>0</v>
      </c>
      <c r="AJ2004" s="89" t="s">
        <v>11215</v>
      </c>
      <c r="AK2004" s="89" t="s">
        <v>1233</v>
      </c>
      <c r="AL2004" s="91">
        <v>42156</v>
      </c>
      <c r="AM2004" s="91"/>
      <c r="AN2004" s="91"/>
      <c r="AO2004" s="91"/>
      <c r="AP2004" s="73" t="e">
        <f>MID(VLOOKUP(K2004,#REF!,2,FALSE),1,2)</f>
        <v>#REF!</v>
      </c>
      <c r="AQ2004" s="89">
        <f>DATE(2015,5,16)</f>
        <v>42140</v>
      </c>
      <c r="AR2004" s="82">
        <f t="shared" si="131"/>
        <v>16</v>
      </c>
      <c r="AS2004" s="83">
        <f t="shared" si="132"/>
        <v>5</v>
      </c>
      <c r="AT2004" s="84">
        <f t="shared" si="133"/>
        <v>2015</v>
      </c>
      <c r="AU2004" s="88">
        <f>DATE(2015,6,1)</f>
        <v>42156</v>
      </c>
      <c r="AV2004" s="88">
        <f>DATE(2015,5,18)</f>
        <v>42142</v>
      </c>
      <c r="AW2004" s="87">
        <f t="shared" si="135"/>
        <v>14</v>
      </c>
      <c r="AX2004" s="86"/>
      <c r="AY2004" s="83"/>
      <c r="AZ2004" s="84"/>
      <c r="BA2004" s="86"/>
      <c r="BB2004" s="86"/>
    </row>
    <row r="2005" spans="1:54" ht="36.75" customHeight="1">
      <c r="A2005" s="30"/>
      <c r="B2005" s="30" t="s">
        <v>55</v>
      </c>
      <c r="C2005" s="69" t="str">
        <f t="shared" si="134"/>
        <v>Closed</v>
      </c>
      <c r="D2005" s="27" t="s">
        <v>11216</v>
      </c>
      <c r="E2005" s="29" t="s">
        <v>11217</v>
      </c>
      <c r="F2005" s="30" t="s">
        <v>1572</v>
      </c>
      <c r="G2005" s="89">
        <f>DATE(2015,5,16)</f>
        <v>42140</v>
      </c>
      <c r="H2005" s="90">
        <v>1.7430555555555554</v>
      </c>
      <c r="I2005" s="30" t="s">
        <v>73</v>
      </c>
      <c r="J2005" s="89" t="s">
        <v>11218</v>
      </c>
      <c r="K2005" s="30" t="s">
        <v>1574</v>
      </c>
      <c r="L2005" s="30" t="s">
        <v>11219</v>
      </c>
      <c r="M2005" s="30" t="s">
        <v>63</v>
      </c>
      <c r="N2005" s="30" t="s">
        <v>99</v>
      </c>
      <c r="O2005" s="30" t="s">
        <v>64</v>
      </c>
      <c r="P2005" s="89" t="s">
        <v>165</v>
      </c>
      <c r="Q2005" s="89" t="s">
        <v>4487</v>
      </c>
      <c r="R2005" s="89" t="s">
        <v>587</v>
      </c>
      <c r="S2005" s="30">
        <v>0</v>
      </c>
      <c r="T2005" s="233">
        <v>0</v>
      </c>
      <c r="U2005" s="30">
        <v>0</v>
      </c>
      <c r="V2005" s="233">
        <v>0</v>
      </c>
      <c r="W2005" s="30">
        <v>0</v>
      </c>
      <c r="X2005" s="30">
        <v>0</v>
      </c>
      <c r="Y2005" s="30">
        <v>0</v>
      </c>
      <c r="Z2005" s="233">
        <v>0</v>
      </c>
      <c r="AA2005" s="30">
        <v>0</v>
      </c>
      <c r="AB2005" s="30">
        <v>0</v>
      </c>
      <c r="AC2005" s="30">
        <v>0</v>
      </c>
      <c r="AD2005" s="30">
        <v>0</v>
      </c>
      <c r="AE2005" s="89" t="s">
        <v>92</v>
      </c>
      <c r="AF2005" s="89" t="s">
        <v>11144</v>
      </c>
      <c r="AG2005" s="89" t="s">
        <v>133</v>
      </c>
      <c r="AH2005" s="72">
        <v>42142</v>
      </c>
      <c r="AI2005" s="30">
        <v>1</v>
      </c>
      <c r="AJ2005" s="89" t="s">
        <v>11220</v>
      </c>
      <c r="AK2005" s="89" t="s">
        <v>11221</v>
      </c>
      <c r="AL2005" s="91">
        <v>42142</v>
      </c>
      <c r="AM2005" s="91"/>
      <c r="AN2005" s="91"/>
      <c r="AO2005" s="91"/>
      <c r="AP2005" s="73" t="e">
        <f>MID(VLOOKUP(K2005,#REF!,2,FALSE),1,2)</f>
        <v>#REF!</v>
      </c>
      <c r="AQ2005" s="89">
        <f>DATE(2015,5,16)</f>
        <v>42140</v>
      </c>
      <c r="AR2005" s="82">
        <f t="shared" si="131"/>
        <v>16</v>
      </c>
      <c r="AS2005" s="83">
        <f t="shared" si="132"/>
        <v>5</v>
      </c>
      <c r="AT2005" s="84">
        <f t="shared" si="133"/>
        <v>2015</v>
      </c>
      <c r="AU2005" s="88">
        <f>DATE(2015,5,18)</f>
        <v>42142</v>
      </c>
      <c r="AV2005" s="88">
        <f>DATE(2015,5,18)</f>
        <v>42142</v>
      </c>
      <c r="AW2005" s="87">
        <f t="shared" si="135"/>
        <v>0</v>
      </c>
      <c r="AX2005" s="88">
        <f>DATE(2015,5,18)</f>
        <v>42142</v>
      </c>
      <c r="AY2005" s="83">
        <f>MONTH(AX2005)</f>
        <v>5</v>
      </c>
      <c r="AZ2005" s="84">
        <f>YEAR(AX2005)</f>
        <v>2015</v>
      </c>
      <c r="BA2005" s="88">
        <f>DATE(2015,5,16)</f>
        <v>42140</v>
      </c>
      <c r="BB2005" s="86"/>
    </row>
    <row r="2006" spans="1:54" ht="36.75" customHeight="1">
      <c r="A2006" s="30"/>
      <c r="B2006" s="30" t="s">
        <v>55</v>
      </c>
      <c r="C2006" s="69" t="str">
        <f t="shared" si="134"/>
        <v>Closed</v>
      </c>
      <c r="D2006" s="27" t="s">
        <v>11222</v>
      </c>
      <c r="E2006" s="29" t="s">
        <v>11223</v>
      </c>
      <c r="F2006" s="30" t="s">
        <v>835</v>
      </c>
      <c r="G2006" s="89">
        <f>DATE(2015,5,19)</f>
        <v>42143</v>
      </c>
      <c r="H2006" s="90">
        <v>1.9861111111111112</v>
      </c>
      <c r="I2006" s="30" t="s">
        <v>116</v>
      </c>
      <c r="J2006" s="89" t="s">
        <v>11224</v>
      </c>
      <c r="K2006" s="30" t="s">
        <v>837</v>
      </c>
      <c r="L2006" s="30" t="s">
        <v>8447</v>
      </c>
      <c r="M2006" s="30" t="s">
        <v>63</v>
      </c>
      <c r="N2006" s="30" t="s">
        <v>99</v>
      </c>
      <c r="O2006" s="30" t="s">
        <v>64</v>
      </c>
      <c r="P2006" s="89" t="s">
        <v>165</v>
      </c>
      <c r="Q2006" s="89" t="s">
        <v>4487</v>
      </c>
      <c r="R2006" s="89" t="s">
        <v>587</v>
      </c>
      <c r="S2006" s="30">
        <v>0</v>
      </c>
      <c r="T2006" s="233">
        <v>0</v>
      </c>
      <c r="U2006" s="30">
        <v>0</v>
      </c>
      <c r="V2006" s="233">
        <v>0</v>
      </c>
      <c r="W2006" s="30">
        <v>0</v>
      </c>
      <c r="X2006" s="30">
        <v>0</v>
      </c>
      <c r="Y2006" s="30">
        <v>0</v>
      </c>
      <c r="Z2006" s="233">
        <v>0</v>
      </c>
      <c r="AA2006" s="30">
        <v>0</v>
      </c>
      <c r="AB2006" s="30">
        <v>0</v>
      </c>
      <c r="AC2006" s="30">
        <v>0</v>
      </c>
      <c r="AD2006" s="30">
        <v>0</v>
      </c>
      <c r="AE2006" s="89" t="s">
        <v>92</v>
      </c>
      <c r="AF2006" s="89" t="s">
        <v>11144</v>
      </c>
      <c r="AG2006" s="89" t="s">
        <v>352</v>
      </c>
      <c r="AH2006" s="72">
        <v>42153</v>
      </c>
      <c r="AI2006" s="30">
        <v>0</v>
      </c>
      <c r="AJ2006" s="89" t="s">
        <v>8641</v>
      </c>
      <c r="AK2006" s="89" t="s">
        <v>68</v>
      </c>
      <c r="AL2006" s="91">
        <v>42159</v>
      </c>
      <c r="AM2006" s="91"/>
      <c r="AN2006" s="91"/>
      <c r="AO2006" s="91"/>
      <c r="AP2006" s="73" t="e">
        <f>MID(VLOOKUP(K2006,#REF!,2,FALSE),1,2)</f>
        <v>#REF!</v>
      </c>
      <c r="AQ2006" s="89">
        <f>DATE(2015,5,19)</f>
        <v>42143</v>
      </c>
      <c r="AR2006" s="82">
        <f t="shared" si="131"/>
        <v>19</v>
      </c>
      <c r="AS2006" s="83">
        <f t="shared" si="132"/>
        <v>5</v>
      </c>
      <c r="AT2006" s="84">
        <f t="shared" si="133"/>
        <v>2015</v>
      </c>
      <c r="AU2006" s="88">
        <f>DATE(2015,6,4)</f>
        <v>42159</v>
      </c>
      <c r="AV2006" s="88">
        <f>DATE(2015,5,29)</f>
        <v>42153</v>
      </c>
      <c r="AW2006" s="87">
        <f t="shared" si="135"/>
        <v>6</v>
      </c>
      <c r="AX2006" s="88">
        <f>DATE(2015,5,29)</f>
        <v>42153</v>
      </c>
      <c r="AY2006" s="83">
        <f>MONTH(AX2006)</f>
        <v>5</v>
      </c>
      <c r="AZ2006" s="84">
        <f>YEAR(AX2006)</f>
        <v>2015</v>
      </c>
      <c r="BA2006" s="88">
        <f>DATE(2015,5,19)</f>
        <v>42143</v>
      </c>
      <c r="BB2006" s="86"/>
    </row>
    <row r="2007" spans="1:54" ht="36.75" customHeight="1">
      <c r="A2007" s="30"/>
      <c r="B2007" s="30" t="s">
        <v>55</v>
      </c>
      <c r="C2007" s="69" t="str">
        <f t="shared" si="134"/>
        <v>Closed</v>
      </c>
      <c r="D2007" s="27" t="s">
        <v>11225</v>
      </c>
      <c r="E2007" s="29" t="s">
        <v>11226</v>
      </c>
      <c r="F2007" s="30" t="s">
        <v>124</v>
      </c>
      <c r="G2007" s="89">
        <f>DATE(2015,5,20)</f>
        <v>42144</v>
      </c>
      <c r="H2007" s="90">
        <v>0</v>
      </c>
      <c r="I2007" s="30" t="s">
        <v>73</v>
      </c>
      <c r="J2007" s="89" t="s">
        <v>11227</v>
      </c>
      <c r="K2007" s="30" t="s">
        <v>127</v>
      </c>
      <c r="L2007" s="30" t="s">
        <v>11228</v>
      </c>
      <c r="M2007" s="30" t="s">
        <v>63</v>
      </c>
      <c r="N2007" s="30" t="s">
        <v>142</v>
      </c>
      <c r="O2007" s="30" t="s">
        <v>64</v>
      </c>
      <c r="P2007" s="89" t="s">
        <v>165</v>
      </c>
      <c r="Q2007" s="89" t="s">
        <v>4487</v>
      </c>
      <c r="R2007" s="89" t="s">
        <v>587</v>
      </c>
      <c r="S2007" s="30">
        <v>0</v>
      </c>
      <c r="T2007" s="233">
        <v>0</v>
      </c>
      <c r="U2007" s="30">
        <v>0</v>
      </c>
      <c r="V2007" s="233">
        <v>0</v>
      </c>
      <c r="W2007" s="30">
        <v>0</v>
      </c>
      <c r="X2007" s="30">
        <v>0</v>
      </c>
      <c r="Y2007" s="30">
        <v>0</v>
      </c>
      <c r="Z2007" s="233">
        <v>0</v>
      </c>
      <c r="AA2007" s="30">
        <v>0</v>
      </c>
      <c r="AB2007" s="30">
        <v>0</v>
      </c>
      <c r="AC2007" s="30">
        <v>0</v>
      </c>
      <c r="AD2007" s="30">
        <v>0</v>
      </c>
      <c r="AE2007" s="89" t="s">
        <v>92</v>
      </c>
      <c r="AF2007" s="89" t="s">
        <v>11144</v>
      </c>
      <c r="AG2007" s="89" t="s">
        <v>82</v>
      </c>
      <c r="AH2007" s="72">
        <v>42145</v>
      </c>
      <c r="AI2007" s="30">
        <v>2</v>
      </c>
      <c r="AJ2007" s="89" t="s">
        <v>11229</v>
      </c>
      <c r="AK2007" s="89" t="s">
        <v>11230</v>
      </c>
      <c r="AL2007" s="91">
        <v>42170</v>
      </c>
      <c r="AM2007" s="91"/>
      <c r="AN2007" s="91"/>
      <c r="AO2007" s="91"/>
      <c r="AP2007" s="73" t="e">
        <f>MID(VLOOKUP(K2007,#REF!,2,FALSE),1,2)</f>
        <v>#REF!</v>
      </c>
      <c r="AQ2007" s="89">
        <f>DATE(2015,5,20)</f>
        <v>42144</v>
      </c>
      <c r="AR2007" s="82">
        <f t="shared" si="131"/>
        <v>20</v>
      </c>
      <c r="AS2007" s="83">
        <f t="shared" si="132"/>
        <v>5</v>
      </c>
      <c r="AT2007" s="84">
        <f t="shared" si="133"/>
        <v>2015</v>
      </c>
      <c r="AU2007" s="88">
        <f>DATE(2015,6,15)</f>
        <v>42170</v>
      </c>
      <c r="AV2007" s="88">
        <f>DATE(2015,5,21)</f>
        <v>42145</v>
      </c>
      <c r="AW2007" s="87">
        <f t="shared" si="135"/>
        <v>25</v>
      </c>
      <c r="AX2007" s="86"/>
      <c r="AY2007" s="83"/>
      <c r="AZ2007" s="84"/>
      <c r="BA2007" s="86"/>
      <c r="BB2007" s="86"/>
    </row>
    <row r="2008" spans="1:54" ht="36.75" customHeight="1">
      <c r="A2008" s="30"/>
      <c r="B2008" s="30" t="s">
        <v>55</v>
      </c>
      <c r="C2008" s="69" t="str">
        <f t="shared" si="134"/>
        <v>Closed</v>
      </c>
      <c r="D2008" s="27" t="s">
        <v>11231</v>
      </c>
      <c r="E2008" s="29" t="s">
        <v>11232</v>
      </c>
      <c r="F2008" s="30" t="s">
        <v>197</v>
      </c>
      <c r="G2008" s="89">
        <f>DATE(2015,5,22)</f>
        <v>42146</v>
      </c>
      <c r="H2008" s="90">
        <v>1.7833333333333332</v>
      </c>
      <c r="I2008" s="30" t="s">
        <v>116</v>
      </c>
      <c r="J2008" s="89" t="s">
        <v>11233</v>
      </c>
      <c r="K2008" s="30" t="s">
        <v>200</v>
      </c>
      <c r="L2008" s="30" t="s">
        <v>11234</v>
      </c>
      <c r="M2008" s="30" t="s">
        <v>63</v>
      </c>
      <c r="N2008" s="30" t="s">
        <v>99</v>
      </c>
      <c r="O2008" s="30" t="s">
        <v>64</v>
      </c>
      <c r="P2008" s="89" t="s">
        <v>165</v>
      </c>
      <c r="Q2008" s="89" t="s">
        <v>202</v>
      </c>
      <c r="R2008" s="89" t="s">
        <v>203</v>
      </c>
      <c r="S2008" s="30">
        <v>0</v>
      </c>
      <c r="T2008" s="233">
        <v>0</v>
      </c>
      <c r="U2008" s="30">
        <v>5</v>
      </c>
      <c r="V2008" s="233">
        <v>0</v>
      </c>
      <c r="W2008" s="30">
        <v>0</v>
      </c>
      <c r="X2008" s="30">
        <v>5</v>
      </c>
      <c r="Y2008" s="30">
        <v>0</v>
      </c>
      <c r="Z2008" s="233">
        <v>0</v>
      </c>
      <c r="AA2008" s="30">
        <v>3</v>
      </c>
      <c r="AB2008" s="30">
        <v>0</v>
      </c>
      <c r="AC2008" s="30">
        <v>0</v>
      </c>
      <c r="AD2008" s="30">
        <v>3</v>
      </c>
      <c r="AE2008" s="89" t="s">
        <v>92</v>
      </c>
      <c r="AF2008" s="89"/>
      <c r="AG2008" s="89" t="s">
        <v>133</v>
      </c>
      <c r="AH2008" s="72">
        <v>42150</v>
      </c>
      <c r="AI2008" s="30">
        <v>9</v>
      </c>
      <c r="AJ2008" s="89" t="s">
        <v>11235</v>
      </c>
      <c r="AK2008" s="89" t="s">
        <v>1233</v>
      </c>
      <c r="AL2008" s="91">
        <v>42158</v>
      </c>
      <c r="AM2008" s="91"/>
      <c r="AN2008" s="91"/>
      <c r="AO2008" s="91"/>
      <c r="AP2008" s="73" t="e">
        <f>MID(VLOOKUP(K2008,#REF!,2,FALSE),1,2)</f>
        <v>#REF!</v>
      </c>
      <c r="AQ2008" s="89">
        <f>DATE(2015,5,22)</f>
        <v>42146</v>
      </c>
      <c r="AR2008" s="82">
        <f t="shared" si="131"/>
        <v>22</v>
      </c>
      <c r="AS2008" s="83">
        <f t="shared" si="132"/>
        <v>5</v>
      </c>
      <c r="AT2008" s="84">
        <f t="shared" si="133"/>
        <v>2015</v>
      </c>
      <c r="AU2008" s="88">
        <f>DATE(2015,6,3)</f>
        <v>42158</v>
      </c>
      <c r="AV2008" s="88">
        <f>DATE(2015,5,26)</f>
        <v>42150</v>
      </c>
      <c r="AW2008" s="87">
        <f t="shared" si="135"/>
        <v>8</v>
      </c>
      <c r="AX2008" s="86"/>
      <c r="AY2008" s="83"/>
      <c r="AZ2008" s="84"/>
      <c r="BA2008" s="86"/>
      <c r="BB2008" s="86"/>
    </row>
    <row r="2009" spans="1:54" ht="36.75" customHeight="1">
      <c r="A2009" s="30"/>
      <c r="B2009" s="30" t="s">
        <v>55</v>
      </c>
      <c r="C2009" s="69" t="str">
        <f t="shared" si="134"/>
        <v>Closed</v>
      </c>
      <c r="D2009" s="27" t="s">
        <v>11236</v>
      </c>
      <c r="E2009" s="29" t="s">
        <v>11237</v>
      </c>
      <c r="F2009" s="30" t="s">
        <v>638</v>
      </c>
      <c r="G2009" s="89">
        <f>DATE(2015,5,22)</f>
        <v>42146</v>
      </c>
      <c r="H2009" s="90">
        <v>1.8930555555555557</v>
      </c>
      <c r="I2009" s="30" t="s">
        <v>104</v>
      </c>
      <c r="J2009" s="89" t="s">
        <v>11238</v>
      </c>
      <c r="K2009" s="30" t="s">
        <v>640</v>
      </c>
      <c r="L2009" s="30" t="s">
        <v>11239</v>
      </c>
      <c r="M2009" s="30" t="s">
        <v>63</v>
      </c>
      <c r="N2009" s="30" t="s">
        <v>142</v>
      </c>
      <c r="O2009" s="30" t="s">
        <v>77</v>
      </c>
      <c r="P2009" s="89" t="s">
        <v>3430</v>
      </c>
      <c r="Q2009" s="89" t="s">
        <v>11240</v>
      </c>
      <c r="R2009" s="89" t="s">
        <v>643</v>
      </c>
      <c r="S2009" s="30">
        <v>0</v>
      </c>
      <c r="T2009" s="233">
        <v>0</v>
      </c>
      <c r="U2009" s="30">
        <v>0</v>
      </c>
      <c r="V2009" s="233">
        <v>0</v>
      </c>
      <c r="W2009" s="30">
        <v>0</v>
      </c>
      <c r="X2009" s="30">
        <v>0</v>
      </c>
      <c r="Y2009" s="30">
        <v>0</v>
      </c>
      <c r="Z2009" s="233">
        <v>0</v>
      </c>
      <c r="AA2009" s="30">
        <v>0</v>
      </c>
      <c r="AB2009" s="30">
        <v>0</v>
      </c>
      <c r="AC2009" s="30">
        <v>0</v>
      </c>
      <c r="AD2009" s="30">
        <v>0</v>
      </c>
      <c r="AE2009" s="89" t="s">
        <v>92</v>
      </c>
      <c r="AF2009" s="89"/>
      <c r="AG2009" s="89" t="s">
        <v>352</v>
      </c>
      <c r="AH2009" s="72">
        <v>42199</v>
      </c>
      <c r="AI2009" s="30">
        <v>2</v>
      </c>
      <c r="AJ2009" s="89" t="s">
        <v>11241</v>
      </c>
      <c r="AK2009" s="89" t="s">
        <v>11242</v>
      </c>
      <c r="AL2009" s="91">
        <v>42205</v>
      </c>
      <c r="AM2009" s="91"/>
      <c r="AN2009" s="91"/>
      <c r="AO2009" s="91"/>
      <c r="AP2009" s="73" t="e">
        <f>MID(VLOOKUP(K2009,#REF!,2,FALSE),1,2)</f>
        <v>#REF!</v>
      </c>
      <c r="AQ2009" s="89">
        <f>DATE(2015,5,22)</f>
        <v>42146</v>
      </c>
      <c r="AR2009" s="82">
        <f t="shared" si="131"/>
        <v>22</v>
      </c>
      <c r="AS2009" s="83">
        <f t="shared" si="132"/>
        <v>5</v>
      </c>
      <c r="AT2009" s="84">
        <f t="shared" si="133"/>
        <v>2015</v>
      </c>
      <c r="AU2009" s="88">
        <f>DATE(2015,7,20)</f>
        <v>42205</v>
      </c>
      <c r="AV2009" s="88">
        <f>DATE(2015,7,14)</f>
        <v>42199</v>
      </c>
      <c r="AW2009" s="87">
        <f t="shared" si="135"/>
        <v>6</v>
      </c>
      <c r="AX2009" s="86"/>
      <c r="AY2009" s="83"/>
      <c r="AZ2009" s="84"/>
      <c r="BA2009" s="86"/>
      <c r="BB2009" s="86"/>
    </row>
    <row r="2010" spans="1:54" ht="36.75" customHeight="1">
      <c r="A2010" s="30"/>
      <c r="B2010" s="30" t="s">
        <v>55</v>
      </c>
      <c r="C2010" s="69" t="str">
        <f t="shared" si="134"/>
        <v>Closed</v>
      </c>
      <c r="D2010" s="27" t="s">
        <v>11243</v>
      </c>
      <c r="E2010" s="29" t="s">
        <v>11244</v>
      </c>
      <c r="F2010" s="30" t="s">
        <v>1572</v>
      </c>
      <c r="G2010" s="89">
        <f>DATE(2015,5,22)</f>
        <v>42146</v>
      </c>
      <c r="H2010" s="90">
        <v>1.1527777777777777</v>
      </c>
      <c r="I2010" s="30" t="s">
        <v>73</v>
      </c>
      <c r="J2010" s="89" t="s">
        <v>11245</v>
      </c>
      <c r="K2010" s="30" t="s">
        <v>1574</v>
      </c>
      <c r="L2010" s="30" t="s">
        <v>11246</v>
      </c>
      <c r="M2010" s="30" t="s">
        <v>63</v>
      </c>
      <c r="N2010" s="30" t="s">
        <v>142</v>
      </c>
      <c r="O2010" s="30" t="s">
        <v>77</v>
      </c>
      <c r="P2010" s="89" t="s">
        <v>78</v>
      </c>
      <c r="Q2010" s="89" t="s">
        <v>2655</v>
      </c>
      <c r="R2010" s="89" t="s">
        <v>6434</v>
      </c>
      <c r="S2010" s="30">
        <v>0</v>
      </c>
      <c r="T2010" s="233">
        <v>0</v>
      </c>
      <c r="U2010" s="30">
        <v>0</v>
      </c>
      <c r="V2010" s="233">
        <v>0</v>
      </c>
      <c r="W2010" s="30">
        <v>0</v>
      </c>
      <c r="X2010" s="30">
        <v>0</v>
      </c>
      <c r="Y2010" s="30">
        <v>0</v>
      </c>
      <c r="Z2010" s="233">
        <v>0</v>
      </c>
      <c r="AA2010" s="30">
        <v>0</v>
      </c>
      <c r="AB2010" s="30">
        <v>0</v>
      </c>
      <c r="AC2010" s="30">
        <v>0</v>
      </c>
      <c r="AD2010" s="30">
        <v>0</v>
      </c>
      <c r="AE2010" s="89" t="s">
        <v>92</v>
      </c>
      <c r="AF2010" s="89"/>
      <c r="AG2010" s="89" t="s">
        <v>133</v>
      </c>
      <c r="AH2010" s="72">
        <v>42149</v>
      </c>
      <c r="AI2010" s="30">
        <v>2</v>
      </c>
      <c r="AJ2010" s="89" t="s">
        <v>11247</v>
      </c>
      <c r="AK2010" s="89" t="s">
        <v>11248</v>
      </c>
      <c r="AL2010" s="91">
        <v>42150</v>
      </c>
      <c r="AM2010" s="91"/>
      <c r="AN2010" s="91"/>
      <c r="AO2010" s="91"/>
      <c r="AP2010" s="73" t="e">
        <f>MID(VLOOKUP(K2010,#REF!,2,FALSE),1,2)</f>
        <v>#REF!</v>
      </c>
      <c r="AQ2010" s="89">
        <f>DATE(2015,5,22)</f>
        <v>42146</v>
      </c>
      <c r="AR2010" s="82">
        <f t="shared" si="131"/>
        <v>22</v>
      </c>
      <c r="AS2010" s="83">
        <f t="shared" si="132"/>
        <v>5</v>
      </c>
      <c r="AT2010" s="84">
        <f t="shared" si="133"/>
        <v>2015</v>
      </c>
      <c r="AU2010" s="88">
        <f>DATE(2015,5,26)</f>
        <v>42150</v>
      </c>
      <c r="AV2010" s="88">
        <f>DATE(2015,5,25)</f>
        <v>42149</v>
      </c>
      <c r="AW2010" s="87">
        <f t="shared" si="135"/>
        <v>1</v>
      </c>
      <c r="AX2010" s="88">
        <f>DATE(2015,5,26)</f>
        <v>42150</v>
      </c>
      <c r="AY2010" s="83">
        <f>MONTH(AX2010)</f>
        <v>5</v>
      </c>
      <c r="AZ2010" s="84">
        <f>YEAR(AX2010)</f>
        <v>2015</v>
      </c>
      <c r="BA2010" s="88">
        <f>DATE(2015,5,22)</f>
        <v>42146</v>
      </c>
      <c r="BB2010" s="86"/>
    </row>
    <row r="2011" spans="1:54" ht="36.75" customHeight="1">
      <c r="A2011" s="30"/>
      <c r="B2011" s="30" t="s">
        <v>55</v>
      </c>
      <c r="C2011" s="69" t="str">
        <f t="shared" si="134"/>
        <v>Closed</v>
      </c>
      <c r="D2011" s="27" t="s">
        <v>11249</v>
      </c>
      <c r="E2011" s="29" t="s">
        <v>11250</v>
      </c>
      <c r="F2011" s="30" t="s">
        <v>423</v>
      </c>
      <c r="G2011" s="89">
        <f>DATE(2015,5,25)</f>
        <v>42149</v>
      </c>
      <c r="H2011" s="90">
        <v>1.46875</v>
      </c>
      <c r="I2011" s="30" t="s">
        <v>116</v>
      </c>
      <c r="J2011" s="89" t="s">
        <v>11251</v>
      </c>
      <c r="K2011" s="30" t="s">
        <v>425</v>
      </c>
      <c r="L2011" s="30" t="s">
        <v>11252</v>
      </c>
      <c r="M2011" s="30" t="s">
        <v>63</v>
      </c>
      <c r="N2011" s="30" t="s">
        <v>99</v>
      </c>
      <c r="O2011" s="30" t="s">
        <v>64</v>
      </c>
      <c r="P2011" s="89" t="s">
        <v>165</v>
      </c>
      <c r="Q2011" s="89" t="s">
        <v>427</v>
      </c>
      <c r="R2011" s="89" t="s">
        <v>3103</v>
      </c>
      <c r="S2011" s="30">
        <v>0</v>
      </c>
      <c r="T2011" s="233">
        <v>0</v>
      </c>
      <c r="U2011" s="30">
        <v>0</v>
      </c>
      <c r="V2011" s="233">
        <v>0</v>
      </c>
      <c r="W2011" s="30">
        <v>0</v>
      </c>
      <c r="X2011" s="30">
        <v>0</v>
      </c>
      <c r="Y2011" s="30">
        <v>2</v>
      </c>
      <c r="Z2011" s="233">
        <v>0</v>
      </c>
      <c r="AA2011" s="30">
        <v>1</v>
      </c>
      <c r="AB2011" s="30">
        <v>0</v>
      </c>
      <c r="AC2011" s="30">
        <v>0</v>
      </c>
      <c r="AD2011" s="30">
        <v>3</v>
      </c>
      <c r="AE2011" s="89" t="s">
        <v>92</v>
      </c>
      <c r="AF2011" s="89"/>
      <c r="AG2011" s="89" t="s">
        <v>352</v>
      </c>
      <c r="AH2011" s="72">
        <v>42150</v>
      </c>
      <c r="AI2011" s="30">
        <v>4</v>
      </c>
      <c r="AJ2011" s="89" t="s">
        <v>11253</v>
      </c>
      <c r="AK2011" s="89" t="s">
        <v>11254</v>
      </c>
      <c r="AL2011" s="91">
        <v>42150</v>
      </c>
      <c r="AM2011" s="91"/>
      <c r="AN2011" s="91"/>
      <c r="AO2011" s="91"/>
      <c r="AP2011" s="73" t="e">
        <f>MID(VLOOKUP(K2011,#REF!,2,FALSE),1,2)</f>
        <v>#REF!</v>
      </c>
      <c r="AQ2011" s="89">
        <f>DATE(2015,5,25)</f>
        <v>42149</v>
      </c>
      <c r="AR2011" s="82">
        <f t="shared" si="131"/>
        <v>25</v>
      </c>
      <c r="AS2011" s="83">
        <f t="shared" si="132"/>
        <v>5</v>
      </c>
      <c r="AT2011" s="84">
        <f t="shared" si="133"/>
        <v>2015</v>
      </c>
      <c r="AU2011" s="88">
        <f>DATE(2015,5,26)</f>
        <v>42150</v>
      </c>
      <c r="AV2011" s="88">
        <f>DATE(2015,5,26)</f>
        <v>42150</v>
      </c>
      <c r="AW2011" s="87">
        <f t="shared" si="135"/>
        <v>0</v>
      </c>
      <c r="AX2011" s="86"/>
      <c r="AY2011" s="83"/>
      <c r="AZ2011" s="84"/>
      <c r="BA2011" s="86"/>
      <c r="BB2011" s="86"/>
    </row>
    <row r="2012" spans="1:54" ht="36.75" customHeight="1">
      <c r="A2012" s="30"/>
      <c r="B2012" s="30" t="s">
        <v>55</v>
      </c>
      <c r="C2012" s="69" t="str">
        <f t="shared" si="134"/>
        <v>Closed</v>
      </c>
      <c r="D2012" s="27" t="s">
        <v>11255</v>
      </c>
      <c r="E2012" s="29" t="s">
        <v>11256</v>
      </c>
      <c r="F2012" s="30" t="s">
        <v>1572</v>
      </c>
      <c r="G2012" s="89">
        <f>DATE(2015,5,26)</f>
        <v>42150</v>
      </c>
      <c r="H2012" s="90">
        <v>1.2604166666666667</v>
      </c>
      <c r="I2012" s="30" t="s">
        <v>73</v>
      </c>
      <c r="J2012" s="89" t="s">
        <v>11257</v>
      </c>
      <c r="K2012" s="30" t="s">
        <v>1574</v>
      </c>
      <c r="L2012" s="30" t="s">
        <v>11258</v>
      </c>
      <c r="M2012" s="30" t="s">
        <v>63</v>
      </c>
      <c r="N2012" s="30" t="s">
        <v>142</v>
      </c>
      <c r="O2012" s="30" t="s">
        <v>77</v>
      </c>
      <c r="P2012" s="89" t="s">
        <v>78</v>
      </c>
      <c r="Q2012" s="89" t="s">
        <v>9075</v>
      </c>
      <c r="R2012" s="89" t="s">
        <v>6434</v>
      </c>
      <c r="S2012" s="30">
        <v>0</v>
      </c>
      <c r="T2012" s="233">
        <v>0</v>
      </c>
      <c r="U2012" s="30">
        <v>0</v>
      </c>
      <c r="V2012" s="233">
        <v>0</v>
      </c>
      <c r="W2012" s="30">
        <v>0</v>
      </c>
      <c r="X2012" s="30">
        <v>0</v>
      </c>
      <c r="Y2012" s="30">
        <v>0</v>
      </c>
      <c r="Z2012" s="233">
        <v>0</v>
      </c>
      <c r="AA2012" s="30">
        <v>0</v>
      </c>
      <c r="AB2012" s="30">
        <v>0</v>
      </c>
      <c r="AC2012" s="30">
        <v>0</v>
      </c>
      <c r="AD2012" s="30">
        <v>0</v>
      </c>
      <c r="AE2012" s="89" t="s">
        <v>394</v>
      </c>
      <c r="AF2012" s="89"/>
      <c r="AG2012" s="89" t="s">
        <v>133</v>
      </c>
      <c r="AH2012" s="72">
        <v>42152</v>
      </c>
      <c r="AI2012" s="30">
        <v>3</v>
      </c>
      <c r="AJ2012" s="89" t="s">
        <v>11259</v>
      </c>
      <c r="AK2012" s="89" t="s">
        <v>11260</v>
      </c>
      <c r="AL2012" s="91">
        <v>42152</v>
      </c>
      <c r="AM2012" s="91"/>
      <c r="AN2012" s="91"/>
      <c r="AO2012" s="91"/>
      <c r="AP2012" s="73" t="e">
        <f>MID(VLOOKUP(K2012,#REF!,2,FALSE),1,2)</f>
        <v>#REF!</v>
      </c>
      <c r="AQ2012" s="89">
        <f>DATE(2015,5,26)</f>
        <v>42150</v>
      </c>
      <c r="AR2012" s="82">
        <f t="shared" si="131"/>
        <v>26</v>
      </c>
      <c r="AS2012" s="83">
        <f t="shared" si="132"/>
        <v>5</v>
      </c>
      <c r="AT2012" s="84">
        <f t="shared" si="133"/>
        <v>2015</v>
      </c>
      <c r="AU2012" s="88">
        <f>DATE(2015,5,28)</f>
        <v>42152</v>
      </c>
      <c r="AV2012" s="88">
        <f>DATE(2015,5,28)</f>
        <v>42152</v>
      </c>
      <c r="AW2012" s="87">
        <f t="shared" si="135"/>
        <v>0</v>
      </c>
      <c r="AX2012" s="88">
        <f>DATE(2015,5,29)</f>
        <v>42153</v>
      </c>
      <c r="AY2012" s="83">
        <f t="shared" ref="AY2012:AY2018" si="136">MONTH(AX2012)</f>
        <v>5</v>
      </c>
      <c r="AZ2012" s="84">
        <f t="shared" ref="AZ2012:AZ2018" si="137">YEAR(AX2012)</f>
        <v>2015</v>
      </c>
      <c r="BA2012" s="88">
        <f>DATE(2015,5,27)</f>
        <v>42151</v>
      </c>
      <c r="BB2012" s="86"/>
    </row>
    <row r="2013" spans="1:54" ht="36.75" customHeight="1">
      <c r="A2013" s="30"/>
      <c r="B2013" s="30" t="s">
        <v>55</v>
      </c>
      <c r="C2013" s="69" t="str">
        <f t="shared" si="134"/>
        <v>Closed</v>
      </c>
      <c r="D2013" s="27" t="s">
        <v>11261</v>
      </c>
      <c r="E2013" s="29" t="s">
        <v>11262</v>
      </c>
      <c r="F2013" s="30" t="s">
        <v>1572</v>
      </c>
      <c r="G2013" s="89">
        <f>DATE(2015,5,27)</f>
        <v>42151</v>
      </c>
      <c r="H2013" s="90">
        <v>1.9479166666666665</v>
      </c>
      <c r="I2013" s="30" t="s">
        <v>198</v>
      </c>
      <c r="J2013" s="89" t="s">
        <v>11263</v>
      </c>
      <c r="K2013" s="30" t="s">
        <v>1574</v>
      </c>
      <c r="L2013" s="30" t="s">
        <v>11264</v>
      </c>
      <c r="M2013" s="30" t="s">
        <v>63</v>
      </c>
      <c r="N2013" s="30" t="s">
        <v>142</v>
      </c>
      <c r="O2013" s="30" t="s">
        <v>64</v>
      </c>
      <c r="P2013" s="89" t="s">
        <v>301</v>
      </c>
      <c r="Q2013" s="89" t="s">
        <v>2655</v>
      </c>
      <c r="R2013" s="89" t="s">
        <v>6434</v>
      </c>
      <c r="S2013" s="30">
        <v>0</v>
      </c>
      <c r="T2013" s="233">
        <v>0</v>
      </c>
      <c r="U2013" s="30">
        <v>0</v>
      </c>
      <c r="V2013" s="233">
        <v>0</v>
      </c>
      <c r="W2013" s="30">
        <v>0</v>
      </c>
      <c r="X2013" s="30">
        <v>0</v>
      </c>
      <c r="Y2013" s="30">
        <v>0</v>
      </c>
      <c r="Z2013" s="233">
        <v>0</v>
      </c>
      <c r="AA2013" s="30">
        <v>0</v>
      </c>
      <c r="AB2013" s="30">
        <v>0</v>
      </c>
      <c r="AC2013" s="30">
        <v>0</v>
      </c>
      <c r="AD2013" s="30">
        <v>0</v>
      </c>
      <c r="AE2013" s="89" t="s">
        <v>92</v>
      </c>
      <c r="AF2013" s="89"/>
      <c r="AG2013" s="89" t="s">
        <v>133</v>
      </c>
      <c r="AH2013" s="72">
        <v>42152</v>
      </c>
      <c r="AI2013" s="30">
        <v>2</v>
      </c>
      <c r="AJ2013" s="89" t="s">
        <v>11265</v>
      </c>
      <c r="AK2013" s="89" t="s">
        <v>11266</v>
      </c>
      <c r="AL2013" s="91">
        <v>42152</v>
      </c>
      <c r="AM2013" s="91"/>
      <c r="AN2013" s="91"/>
      <c r="AO2013" s="91"/>
      <c r="AP2013" s="73" t="e">
        <f>MID(VLOOKUP(K2013,#REF!,2,FALSE),1,2)</f>
        <v>#REF!</v>
      </c>
      <c r="AQ2013" s="89">
        <f>DATE(2015,5,27)</f>
        <v>42151</v>
      </c>
      <c r="AR2013" s="82">
        <f t="shared" si="131"/>
        <v>27</v>
      </c>
      <c r="AS2013" s="83">
        <f t="shared" si="132"/>
        <v>5</v>
      </c>
      <c r="AT2013" s="84">
        <f t="shared" si="133"/>
        <v>2015</v>
      </c>
      <c r="AU2013" s="88">
        <f>DATE(2015,5,28)</f>
        <v>42152</v>
      </c>
      <c r="AV2013" s="88">
        <f>DATE(2015,5,28)</f>
        <v>42152</v>
      </c>
      <c r="AW2013" s="87">
        <f t="shared" si="135"/>
        <v>0</v>
      </c>
      <c r="AX2013" s="88">
        <f>DATE(2015,5,28)</f>
        <v>42152</v>
      </c>
      <c r="AY2013" s="83">
        <f t="shared" si="136"/>
        <v>5</v>
      </c>
      <c r="AZ2013" s="84">
        <f t="shared" si="137"/>
        <v>2015</v>
      </c>
      <c r="BA2013" s="88">
        <f>DATE(2015,5,27)</f>
        <v>42151</v>
      </c>
      <c r="BB2013" s="86"/>
    </row>
    <row r="2014" spans="1:54" ht="36.75" customHeight="1">
      <c r="A2014" s="30"/>
      <c r="B2014" s="30" t="s">
        <v>55</v>
      </c>
      <c r="C2014" s="69" t="str">
        <f t="shared" si="134"/>
        <v>Closed</v>
      </c>
      <c r="D2014" s="27" t="s">
        <v>11267</v>
      </c>
      <c r="E2014" s="29" t="s">
        <v>11268</v>
      </c>
      <c r="F2014" s="30" t="s">
        <v>835</v>
      </c>
      <c r="G2014" s="89">
        <f>DATE(2015,5,29)</f>
        <v>42153</v>
      </c>
      <c r="H2014" s="90">
        <v>1.1006944444444444</v>
      </c>
      <c r="I2014" s="30" t="s">
        <v>156</v>
      </c>
      <c r="J2014" s="89" t="s">
        <v>11269</v>
      </c>
      <c r="K2014" s="30" t="s">
        <v>837</v>
      </c>
      <c r="L2014" s="30" t="s">
        <v>11270</v>
      </c>
      <c r="M2014" s="30" t="s">
        <v>63</v>
      </c>
      <c r="N2014" s="30" t="s">
        <v>142</v>
      </c>
      <c r="O2014" s="30" t="s">
        <v>77</v>
      </c>
      <c r="P2014" s="89" t="s">
        <v>78</v>
      </c>
      <c r="Q2014" s="89" t="s">
        <v>4708</v>
      </c>
      <c r="R2014" s="89" t="s">
        <v>840</v>
      </c>
      <c r="S2014" s="30">
        <v>0</v>
      </c>
      <c r="T2014" s="233">
        <v>0</v>
      </c>
      <c r="U2014" s="30">
        <v>0</v>
      </c>
      <c r="V2014" s="233">
        <v>0</v>
      </c>
      <c r="W2014" s="30">
        <v>0</v>
      </c>
      <c r="X2014" s="30">
        <v>0</v>
      </c>
      <c r="Y2014" s="30">
        <v>0</v>
      </c>
      <c r="Z2014" s="233">
        <v>0</v>
      </c>
      <c r="AA2014" s="30">
        <v>0</v>
      </c>
      <c r="AB2014" s="30">
        <v>0</v>
      </c>
      <c r="AC2014" s="30">
        <v>0</v>
      </c>
      <c r="AD2014" s="30">
        <v>0</v>
      </c>
      <c r="AE2014" s="89" t="s">
        <v>92</v>
      </c>
      <c r="AF2014" s="89"/>
      <c r="AG2014" s="89" t="s">
        <v>7495</v>
      </c>
      <c r="AH2014" s="72">
        <v>42191</v>
      </c>
      <c r="AI2014" s="30">
        <v>0</v>
      </c>
      <c r="AJ2014" s="89" t="s">
        <v>10713</v>
      </c>
      <c r="AK2014" s="89" t="s">
        <v>68</v>
      </c>
      <c r="AL2014" s="91">
        <v>42194</v>
      </c>
      <c r="AM2014" s="91"/>
      <c r="AN2014" s="91"/>
      <c r="AO2014" s="91"/>
      <c r="AP2014" s="73" t="e">
        <f>MID(VLOOKUP(K2014,#REF!,2,FALSE),1,2)</f>
        <v>#REF!</v>
      </c>
      <c r="AQ2014" s="89">
        <f>DATE(2015,5,29)</f>
        <v>42153</v>
      </c>
      <c r="AR2014" s="82">
        <f t="shared" si="131"/>
        <v>29</v>
      </c>
      <c r="AS2014" s="83">
        <f t="shared" si="132"/>
        <v>5</v>
      </c>
      <c r="AT2014" s="84">
        <f t="shared" si="133"/>
        <v>2015</v>
      </c>
      <c r="AU2014" s="88">
        <f>DATE(2015,7,9)</f>
        <v>42194</v>
      </c>
      <c r="AV2014" s="88">
        <f>DATE(2015,7,6)</f>
        <v>42191</v>
      </c>
      <c r="AW2014" s="87">
        <f t="shared" si="135"/>
        <v>3</v>
      </c>
      <c r="AX2014" s="88">
        <f>DATE(2015,7,7)</f>
        <v>42192</v>
      </c>
      <c r="AY2014" s="83">
        <f t="shared" si="136"/>
        <v>7</v>
      </c>
      <c r="AZ2014" s="84">
        <f t="shared" si="137"/>
        <v>2015</v>
      </c>
      <c r="BA2014" s="88">
        <f>DATE(2015,7,7)</f>
        <v>42192</v>
      </c>
      <c r="BB2014" s="86"/>
    </row>
    <row r="2015" spans="1:54" ht="36.75" customHeight="1">
      <c r="A2015" s="30"/>
      <c r="B2015" s="30" t="s">
        <v>55</v>
      </c>
      <c r="C2015" s="69" t="str">
        <f t="shared" si="134"/>
        <v>Closed</v>
      </c>
      <c r="D2015" s="27" t="s">
        <v>11271</v>
      </c>
      <c r="E2015" s="29" t="s">
        <v>11272</v>
      </c>
      <c r="F2015" s="30" t="s">
        <v>835</v>
      </c>
      <c r="G2015" s="89">
        <f>DATE(2015,6,1)</f>
        <v>42156</v>
      </c>
      <c r="H2015" s="90">
        <v>1.2965277777777777</v>
      </c>
      <c r="I2015" s="30" t="s">
        <v>156</v>
      </c>
      <c r="J2015" s="89" t="s">
        <v>11273</v>
      </c>
      <c r="K2015" s="30" t="s">
        <v>837</v>
      </c>
      <c r="L2015" s="30" t="s">
        <v>11274</v>
      </c>
      <c r="M2015" s="30" t="s">
        <v>63</v>
      </c>
      <c r="N2015" s="30" t="s">
        <v>142</v>
      </c>
      <c r="O2015" s="30" t="s">
        <v>77</v>
      </c>
      <c r="P2015" s="89" t="s">
        <v>6902</v>
      </c>
      <c r="Q2015" s="89" t="s">
        <v>2162</v>
      </c>
      <c r="R2015" s="89" t="s">
        <v>840</v>
      </c>
      <c r="S2015" s="30">
        <v>0</v>
      </c>
      <c r="T2015" s="233">
        <v>0</v>
      </c>
      <c r="U2015" s="30">
        <v>0</v>
      </c>
      <c r="V2015" s="233">
        <v>0</v>
      </c>
      <c r="W2015" s="30">
        <v>0</v>
      </c>
      <c r="X2015" s="30">
        <v>0</v>
      </c>
      <c r="Y2015" s="30">
        <v>0</v>
      </c>
      <c r="Z2015" s="233">
        <v>0</v>
      </c>
      <c r="AA2015" s="30">
        <v>0</v>
      </c>
      <c r="AB2015" s="30">
        <v>0</v>
      </c>
      <c r="AC2015" s="30">
        <v>0</v>
      </c>
      <c r="AD2015" s="30">
        <v>0</v>
      </c>
      <c r="AE2015" s="89" t="s">
        <v>92</v>
      </c>
      <c r="AF2015" s="89"/>
      <c r="AG2015" s="89" t="s">
        <v>352</v>
      </c>
      <c r="AH2015" s="72">
        <v>42157</v>
      </c>
      <c r="AI2015" s="30">
        <v>0</v>
      </c>
      <c r="AJ2015" s="89" t="s">
        <v>11275</v>
      </c>
      <c r="AK2015" s="89" t="s">
        <v>1233</v>
      </c>
      <c r="AL2015" s="91">
        <v>42160</v>
      </c>
      <c r="AM2015" s="91"/>
      <c r="AN2015" s="91"/>
      <c r="AO2015" s="91"/>
      <c r="AP2015" s="73" t="e">
        <f>MID(VLOOKUP(K2015,#REF!,2,FALSE),1,2)</f>
        <v>#REF!</v>
      </c>
      <c r="AQ2015" s="89">
        <f>DATE(2015,6,1)</f>
        <v>42156</v>
      </c>
      <c r="AR2015" s="82">
        <f t="shared" si="131"/>
        <v>1</v>
      </c>
      <c r="AS2015" s="83">
        <f t="shared" si="132"/>
        <v>6</v>
      </c>
      <c r="AT2015" s="84">
        <f t="shared" si="133"/>
        <v>2015</v>
      </c>
      <c r="AU2015" s="88">
        <f>DATE(2015,6,5)</f>
        <v>42160</v>
      </c>
      <c r="AV2015" s="88">
        <f>DATE(2015,6,2)</f>
        <v>42157</v>
      </c>
      <c r="AW2015" s="87">
        <f t="shared" si="135"/>
        <v>3</v>
      </c>
      <c r="AX2015" s="88">
        <f>DATE(2015,6,2)</f>
        <v>42157</v>
      </c>
      <c r="AY2015" s="83">
        <f t="shared" si="136"/>
        <v>6</v>
      </c>
      <c r="AZ2015" s="84">
        <f t="shared" si="137"/>
        <v>2015</v>
      </c>
      <c r="BA2015" s="88">
        <f>DATE(2015,6,2)</f>
        <v>42157</v>
      </c>
      <c r="BB2015" s="86"/>
    </row>
    <row r="2016" spans="1:54" ht="36.75" customHeight="1">
      <c r="A2016" s="30"/>
      <c r="B2016" s="30" t="s">
        <v>55</v>
      </c>
      <c r="C2016" s="69" t="str">
        <f t="shared" si="134"/>
        <v>Closed</v>
      </c>
      <c r="D2016" s="27" t="s">
        <v>11276</v>
      </c>
      <c r="E2016" s="29" t="s">
        <v>11277</v>
      </c>
      <c r="F2016" s="30" t="s">
        <v>2336</v>
      </c>
      <c r="G2016" s="89">
        <f>DATE(2015,6,3)</f>
        <v>42158</v>
      </c>
      <c r="H2016" s="90">
        <v>1.65625</v>
      </c>
      <c r="I2016" s="30" t="s">
        <v>116</v>
      </c>
      <c r="J2016" s="89" t="s">
        <v>11278</v>
      </c>
      <c r="K2016" s="30" t="s">
        <v>2338</v>
      </c>
      <c r="L2016" s="30" t="s">
        <v>11279</v>
      </c>
      <c r="M2016" s="30" t="s">
        <v>63</v>
      </c>
      <c r="N2016" s="30" t="s">
        <v>99</v>
      </c>
      <c r="O2016" s="30" t="s">
        <v>64</v>
      </c>
      <c r="P2016" s="89" t="s">
        <v>6941</v>
      </c>
      <c r="Q2016" s="89" t="s">
        <v>11280</v>
      </c>
      <c r="R2016" s="89" t="s">
        <v>2341</v>
      </c>
      <c r="S2016" s="30">
        <v>2</v>
      </c>
      <c r="T2016" s="233">
        <v>0</v>
      </c>
      <c r="U2016" s="30">
        <v>0</v>
      </c>
      <c r="V2016" s="233">
        <v>0</v>
      </c>
      <c r="W2016" s="30">
        <v>0</v>
      </c>
      <c r="X2016" s="30">
        <v>2</v>
      </c>
      <c r="Y2016" s="30">
        <v>2</v>
      </c>
      <c r="Z2016" s="233">
        <v>0</v>
      </c>
      <c r="AA2016" s="30">
        <v>0</v>
      </c>
      <c r="AB2016" s="30">
        <v>0</v>
      </c>
      <c r="AC2016" s="30">
        <v>0</v>
      </c>
      <c r="AD2016" s="30">
        <v>2</v>
      </c>
      <c r="AE2016" s="89" t="s">
        <v>92</v>
      </c>
      <c r="AF2016" s="89"/>
      <c r="AG2016" s="89" t="s">
        <v>82</v>
      </c>
      <c r="AH2016" s="72">
        <v>42171</v>
      </c>
      <c r="AI2016" s="30">
        <v>7</v>
      </c>
      <c r="AJ2016" s="89" t="s">
        <v>11281</v>
      </c>
      <c r="AK2016" s="89" t="s">
        <v>11282</v>
      </c>
      <c r="AL2016" s="91">
        <v>42174</v>
      </c>
      <c r="AM2016" s="91"/>
      <c r="AN2016" s="91"/>
      <c r="AO2016" s="91"/>
      <c r="AP2016" s="73" t="e">
        <f>MID(VLOOKUP(K2016,#REF!,2,FALSE),1,2)</f>
        <v>#REF!</v>
      </c>
      <c r="AQ2016" s="89">
        <f>DATE(2015,6,3)</f>
        <v>42158</v>
      </c>
      <c r="AR2016" s="82">
        <f t="shared" si="131"/>
        <v>3</v>
      </c>
      <c r="AS2016" s="83">
        <f t="shared" si="132"/>
        <v>6</v>
      </c>
      <c r="AT2016" s="84">
        <f t="shared" si="133"/>
        <v>2015</v>
      </c>
      <c r="AU2016" s="88">
        <f>DATE(2015,6,19)</f>
        <v>42174</v>
      </c>
      <c r="AV2016" s="88">
        <f>DATE(2015,6,16)</f>
        <v>42171</v>
      </c>
      <c r="AW2016" s="87">
        <f t="shared" si="135"/>
        <v>3</v>
      </c>
      <c r="AX2016" s="88">
        <f>DATE(2015,6,17)</f>
        <v>42172</v>
      </c>
      <c r="AY2016" s="83">
        <f t="shared" si="136"/>
        <v>6</v>
      </c>
      <c r="AZ2016" s="84">
        <f t="shared" si="137"/>
        <v>2015</v>
      </c>
      <c r="BA2016" s="88">
        <f>DATE(2015,6,3)</f>
        <v>42158</v>
      </c>
      <c r="BB2016" s="86"/>
    </row>
    <row r="2017" spans="1:54" ht="36.75" customHeight="1">
      <c r="A2017" s="30"/>
      <c r="B2017" s="30" t="s">
        <v>55</v>
      </c>
      <c r="C2017" s="69" t="str">
        <f t="shared" si="134"/>
        <v>Closed</v>
      </c>
      <c r="D2017" s="27" t="s">
        <v>11283</v>
      </c>
      <c r="E2017" s="29" t="s">
        <v>11284</v>
      </c>
      <c r="F2017" s="30" t="s">
        <v>233</v>
      </c>
      <c r="G2017" s="89">
        <f>DATE(2015,6,3)</f>
        <v>42158</v>
      </c>
      <c r="H2017" s="90">
        <v>1.5090277777777779</v>
      </c>
      <c r="I2017" s="30" t="s">
        <v>73</v>
      </c>
      <c r="J2017" s="89" t="s">
        <v>11285</v>
      </c>
      <c r="K2017" s="30" t="s">
        <v>235</v>
      </c>
      <c r="L2017" s="30" t="s">
        <v>9773</v>
      </c>
      <c r="M2017" s="30" t="s">
        <v>63</v>
      </c>
      <c r="N2017" s="30" t="s">
        <v>99</v>
      </c>
      <c r="O2017" s="30" t="s">
        <v>64</v>
      </c>
      <c r="P2017" s="89" t="s">
        <v>78</v>
      </c>
      <c r="Q2017" s="89" t="s">
        <v>2759</v>
      </c>
      <c r="R2017" s="89" t="s">
        <v>235</v>
      </c>
      <c r="S2017" s="30">
        <v>0</v>
      </c>
      <c r="T2017" s="233">
        <v>0</v>
      </c>
      <c r="U2017" s="30">
        <v>0</v>
      </c>
      <c r="V2017" s="233">
        <v>0</v>
      </c>
      <c r="W2017" s="30">
        <v>0</v>
      </c>
      <c r="X2017" s="30">
        <v>0</v>
      </c>
      <c r="Y2017" s="30">
        <v>0</v>
      </c>
      <c r="Z2017" s="233">
        <v>0</v>
      </c>
      <c r="AA2017" s="30">
        <v>0</v>
      </c>
      <c r="AB2017" s="30">
        <v>0</v>
      </c>
      <c r="AC2017" s="30">
        <v>0</v>
      </c>
      <c r="AD2017" s="30">
        <v>0</v>
      </c>
      <c r="AE2017" s="89" t="s">
        <v>92</v>
      </c>
      <c r="AF2017" s="89"/>
      <c r="AG2017" s="89" t="s">
        <v>133</v>
      </c>
      <c r="AH2017" s="72">
        <v>42184</v>
      </c>
      <c r="AI2017" s="30">
        <v>3</v>
      </c>
      <c r="AJ2017" s="89" t="s">
        <v>11286</v>
      </c>
      <c r="AK2017" s="89" t="s">
        <v>11287</v>
      </c>
      <c r="AL2017" s="91">
        <v>42227</v>
      </c>
      <c r="AM2017" s="91"/>
      <c r="AN2017" s="91"/>
      <c r="AO2017" s="91"/>
      <c r="AP2017" s="73" t="e">
        <f>MID(VLOOKUP(K2017,#REF!,2,FALSE),1,2)</f>
        <v>#REF!</v>
      </c>
      <c r="AQ2017" s="89">
        <f>DATE(2015,6,3)</f>
        <v>42158</v>
      </c>
      <c r="AR2017" s="82">
        <f t="shared" si="131"/>
        <v>3</v>
      </c>
      <c r="AS2017" s="83">
        <f t="shared" si="132"/>
        <v>6</v>
      </c>
      <c r="AT2017" s="84">
        <f t="shared" si="133"/>
        <v>2015</v>
      </c>
      <c r="AU2017" s="88">
        <f>DATE(2015,8,11)</f>
        <v>42227</v>
      </c>
      <c r="AV2017" s="88">
        <f>DATE(2015,6,29)</f>
        <v>42184</v>
      </c>
      <c r="AW2017" s="87">
        <f t="shared" si="135"/>
        <v>43</v>
      </c>
      <c r="AX2017" s="88">
        <f>DATE(2015,8,11)</f>
        <v>42227</v>
      </c>
      <c r="AY2017" s="83">
        <f t="shared" si="136"/>
        <v>8</v>
      </c>
      <c r="AZ2017" s="84">
        <f t="shared" si="137"/>
        <v>2015</v>
      </c>
      <c r="BA2017" s="86"/>
      <c r="BB2017" s="86"/>
    </row>
    <row r="2018" spans="1:54" ht="36.75" customHeight="1">
      <c r="A2018" s="30"/>
      <c r="B2018" s="30" t="s">
        <v>55</v>
      </c>
      <c r="C2018" s="69" t="str">
        <f t="shared" si="134"/>
        <v>Closed</v>
      </c>
      <c r="D2018" s="27" t="s">
        <v>11288</v>
      </c>
      <c r="E2018" s="29" t="s">
        <v>11289</v>
      </c>
      <c r="F2018" s="30" t="s">
        <v>1572</v>
      </c>
      <c r="G2018" s="89">
        <f>DATE(2015,6,5)</f>
        <v>42160</v>
      </c>
      <c r="H2018" s="90">
        <v>1.1041666666666667</v>
      </c>
      <c r="I2018" s="30" t="s">
        <v>73</v>
      </c>
      <c r="J2018" s="89" t="s">
        <v>11290</v>
      </c>
      <c r="K2018" s="30" t="s">
        <v>1574</v>
      </c>
      <c r="L2018" s="30" t="s">
        <v>11291</v>
      </c>
      <c r="M2018" s="30" t="s">
        <v>63</v>
      </c>
      <c r="N2018" s="30" t="s">
        <v>142</v>
      </c>
      <c r="O2018" s="30" t="s">
        <v>64</v>
      </c>
      <c r="P2018" s="89" t="s">
        <v>78</v>
      </c>
      <c r="Q2018" s="89" t="s">
        <v>2655</v>
      </c>
      <c r="R2018" s="89" t="s">
        <v>6434</v>
      </c>
      <c r="S2018" s="30">
        <v>0</v>
      </c>
      <c r="T2018" s="233">
        <v>0</v>
      </c>
      <c r="U2018" s="30">
        <v>0</v>
      </c>
      <c r="V2018" s="233">
        <v>0</v>
      </c>
      <c r="W2018" s="30">
        <v>0</v>
      </c>
      <c r="X2018" s="30">
        <v>0</v>
      </c>
      <c r="Y2018" s="30">
        <v>0</v>
      </c>
      <c r="Z2018" s="233">
        <v>0</v>
      </c>
      <c r="AA2018" s="30">
        <v>0</v>
      </c>
      <c r="AB2018" s="30">
        <v>0</v>
      </c>
      <c r="AC2018" s="30">
        <v>0</v>
      </c>
      <c r="AD2018" s="30">
        <v>0</v>
      </c>
      <c r="AE2018" s="89" t="s">
        <v>394</v>
      </c>
      <c r="AF2018" s="89"/>
      <c r="AG2018" s="89" t="s">
        <v>133</v>
      </c>
      <c r="AH2018" s="72">
        <v>42163</v>
      </c>
      <c r="AI2018" s="30">
        <v>2</v>
      </c>
      <c r="AJ2018" s="89" t="s">
        <v>11292</v>
      </c>
      <c r="AK2018" s="89" t="s">
        <v>11293</v>
      </c>
      <c r="AL2018" s="91">
        <v>42165</v>
      </c>
      <c r="AM2018" s="91"/>
      <c r="AN2018" s="91"/>
      <c r="AO2018" s="91"/>
      <c r="AP2018" s="73" t="e">
        <f>MID(VLOOKUP(K2018,#REF!,2,FALSE),1,2)</f>
        <v>#REF!</v>
      </c>
      <c r="AQ2018" s="89">
        <f>DATE(2015,6,4)</f>
        <v>42159</v>
      </c>
      <c r="AR2018" s="82">
        <f t="shared" si="131"/>
        <v>4</v>
      </c>
      <c r="AS2018" s="83">
        <f t="shared" si="132"/>
        <v>6</v>
      </c>
      <c r="AT2018" s="84">
        <f t="shared" si="133"/>
        <v>2015</v>
      </c>
      <c r="AU2018" s="88">
        <f>DATE(2015,6,10)</f>
        <v>42165</v>
      </c>
      <c r="AV2018" s="88">
        <f>DATE(2015,6,8)</f>
        <v>42163</v>
      </c>
      <c r="AW2018" s="87">
        <f t="shared" si="135"/>
        <v>2</v>
      </c>
      <c r="AX2018" s="88">
        <f>DATE(2015,6,10)</f>
        <v>42165</v>
      </c>
      <c r="AY2018" s="83">
        <f t="shared" si="136"/>
        <v>6</v>
      </c>
      <c r="AZ2018" s="84">
        <f t="shared" si="137"/>
        <v>2015</v>
      </c>
      <c r="BA2018" s="88">
        <f>DATE(2015,6,4)</f>
        <v>42159</v>
      </c>
      <c r="BB2018" s="86"/>
    </row>
    <row r="2019" spans="1:54" ht="36.75" customHeight="1">
      <c r="A2019" s="30"/>
      <c r="B2019" s="30" t="s">
        <v>55</v>
      </c>
      <c r="C2019" s="69" t="str">
        <f t="shared" si="134"/>
        <v>Closed</v>
      </c>
      <c r="D2019" s="27" t="s">
        <v>11294</v>
      </c>
      <c r="E2019" s="29" t="s">
        <v>11295</v>
      </c>
      <c r="F2019" s="30" t="s">
        <v>582</v>
      </c>
      <c r="G2019" s="89">
        <f>DATE(2015,6,10)</f>
        <v>42165</v>
      </c>
      <c r="H2019" s="90">
        <v>1.5381944444444444</v>
      </c>
      <c r="I2019" s="30" t="s">
        <v>116</v>
      </c>
      <c r="J2019" s="89" t="s">
        <v>11296</v>
      </c>
      <c r="K2019" s="30" t="s">
        <v>584</v>
      </c>
      <c r="L2019" s="30" t="s">
        <v>11297</v>
      </c>
      <c r="M2019" s="30" t="s">
        <v>63</v>
      </c>
      <c r="N2019" s="30" t="s">
        <v>142</v>
      </c>
      <c r="O2019" s="30" t="s">
        <v>64</v>
      </c>
      <c r="P2019" s="89" t="s">
        <v>6941</v>
      </c>
      <c r="Q2019" s="89" t="s">
        <v>11298</v>
      </c>
      <c r="R2019" s="89" t="s">
        <v>587</v>
      </c>
      <c r="S2019" s="30">
        <v>0</v>
      </c>
      <c r="T2019" s="233">
        <v>0</v>
      </c>
      <c r="U2019" s="30">
        <v>0</v>
      </c>
      <c r="V2019" s="233">
        <v>0</v>
      </c>
      <c r="W2019" s="30">
        <v>0</v>
      </c>
      <c r="X2019" s="30">
        <v>0</v>
      </c>
      <c r="Y2019" s="30">
        <v>0</v>
      </c>
      <c r="Z2019" s="233">
        <v>0</v>
      </c>
      <c r="AA2019" s="30">
        <v>0</v>
      </c>
      <c r="AB2019" s="30">
        <v>0</v>
      </c>
      <c r="AC2019" s="30">
        <v>0</v>
      </c>
      <c r="AD2019" s="30">
        <v>0</v>
      </c>
      <c r="AE2019" s="89" t="s">
        <v>92</v>
      </c>
      <c r="AF2019" s="89"/>
      <c r="AG2019" s="89" t="s">
        <v>352</v>
      </c>
      <c r="AH2019" s="72">
        <v>42198</v>
      </c>
      <c r="AI2019" s="30">
        <v>0</v>
      </c>
      <c r="AJ2019" s="89" t="s">
        <v>11299</v>
      </c>
      <c r="AK2019" s="89" t="s">
        <v>1233</v>
      </c>
      <c r="AL2019" s="91">
        <v>42199</v>
      </c>
      <c r="AM2019" s="91"/>
      <c r="AN2019" s="91"/>
      <c r="AO2019" s="91"/>
      <c r="AP2019" s="73" t="e">
        <f>MID(VLOOKUP(K2019,#REF!,2,FALSE),1,2)</f>
        <v>#REF!</v>
      </c>
      <c r="AQ2019" s="89">
        <f>DATE(2015,6,10)</f>
        <v>42165</v>
      </c>
      <c r="AR2019" s="82">
        <f t="shared" si="131"/>
        <v>10</v>
      </c>
      <c r="AS2019" s="83">
        <f t="shared" si="132"/>
        <v>6</v>
      </c>
      <c r="AT2019" s="84">
        <f t="shared" si="133"/>
        <v>2015</v>
      </c>
      <c r="AU2019" s="88">
        <f>DATE(2015,7,14)</f>
        <v>42199</v>
      </c>
      <c r="AV2019" s="88">
        <f>DATE(2015,7,13)</f>
        <v>42198</v>
      </c>
      <c r="AW2019" s="87">
        <f t="shared" si="135"/>
        <v>1</v>
      </c>
      <c r="AX2019" s="86"/>
      <c r="AY2019" s="83"/>
      <c r="AZ2019" s="84"/>
      <c r="BA2019" s="86"/>
      <c r="BB2019" s="86"/>
    </row>
    <row r="2020" spans="1:54" ht="36.75" customHeight="1">
      <c r="A2020" s="30"/>
      <c r="B2020" s="30" t="s">
        <v>55</v>
      </c>
      <c r="C2020" s="69" t="str">
        <f t="shared" si="134"/>
        <v>Closed</v>
      </c>
      <c r="D2020" s="27" t="s">
        <v>11300</v>
      </c>
      <c r="E2020" s="29" t="s">
        <v>11301</v>
      </c>
      <c r="F2020" s="30" t="s">
        <v>594</v>
      </c>
      <c r="G2020" s="89">
        <f>DATE(2015,6,14)</f>
        <v>42169</v>
      </c>
      <c r="H2020" s="90">
        <v>0</v>
      </c>
      <c r="I2020" s="30" t="s">
        <v>5494</v>
      </c>
      <c r="J2020" s="89" t="s">
        <v>11302</v>
      </c>
      <c r="K2020" s="30" t="s">
        <v>596</v>
      </c>
      <c r="L2020" s="30" t="s">
        <v>11303</v>
      </c>
      <c r="M2020" s="30" t="s">
        <v>63</v>
      </c>
      <c r="N2020" s="30" t="s">
        <v>99</v>
      </c>
      <c r="O2020" s="30" t="s">
        <v>77</v>
      </c>
      <c r="P2020" s="89" t="s">
        <v>65</v>
      </c>
      <c r="Q2020" s="89" t="s">
        <v>10529</v>
      </c>
      <c r="R2020" s="89">
        <v>0</v>
      </c>
      <c r="S2020" s="30">
        <v>0</v>
      </c>
      <c r="T2020" s="233">
        <v>0</v>
      </c>
      <c r="U2020" s="30">
        <v>0</v>
      </c>
      <c r="V2020" s="233">
        <v>0</v>
      </c>
      <c r="W2020" s="30">
        <v>0</v>
      </c>
      <c r="X2020" s="30">
        <v>0</v>
      </c>
      <c r="Y2020" s="30">
        <v>0</v>
      </c>
      <c r="Z2020" s="233">
        <v>0</v>
      </c>
      <c r="AA2020" s="30">
        <v>0</v>
      </c>
      <c r="AB2020" s="30">
        <v>0</v>
      </c>
      <c r="AC2020" s="30">
        <v>0</v>
      </c>
      <c r="AD2020" s="30">
        <v>0</v>
      </c>
      <c r="AE2020" s="89" t="s">
        <v>92</v>
      </c>
      <c r="AF2020" s="89"/>
      <c r="AG2020" s="89" t="s">
        <v>133</v>
      </c>
      <c r="AH2020" s="72">
        <v>42162</v>
      </c>
      <c r="AI2020" s="30">
        <v>3</v>
      </c>
      <c r="AJ2020" s="89" t="s">
        <v>11304</v>
      </c>
      <c r="AK2020" s="89" t="s">
        <v>11305</v>
      </c>
      <c r="AL2020" s="91">
        <v>42199</v>
      </c>
      <c r="AM2020" s="91"/>
      <c r="AN2020" s="91"/>
      <c r="AO2020" s="91"/>
      <c r="AP2020" s="73" t="e">
        <f>MID(VLOOKUP(K2020,#REF!,2,FALSE),1,2)</f>
        <v>#REF!</v>
      </c>
      <c r="AQ2020" s="89">
        <f>DATE(2015,6,14)</f>
        <v>42169</v>
      </c>
      <c r="AR2020" s="82">
        <f t="shared" si="131"/>
        <v>14</v>
      </c>
      <c r="AS2020" s="83">
        <f t="shared" si="132"/>
        <v>6</v>
      </c>
      <c r="AT2020" s="84">
        <f t="shared" si="133"/>
        <v>2015</v>
      </c>
      <c r="AU2020" s="88">
        <f>DATE(2015,7,14)</f>
        <v>42199</v>
      </c>
      <c r="AV2020" s="88">
        <f>DATE(2015,7,6)</f>
        <v>42191</v>
      </c>
      <c r="AW2020" s="87">
        <f t="shared" si="135"/>
        <v>8</v>
      </c>
      <c r="AX2020" s="88">
        <f>DATE(2015,7,6)</f>
        <v>42191</v>
      </c>
      <c r="AY2020" s="83">
        <f>MONTH(AX2020)</f>
        <v>7</v>
      </c>
      <c r="AZ2020" s="84">
        <f>YEAR(AX2020)</f>
        <v>2015</v>
      </c>
      <c r="BA2020" s="88">
        <f>DATE(2015,7,13)</f>
        <v>42198</v>
      </c>
      <c r="BB2020" s="86"/>
    </row>
    <row r="2021" spans="1:54" ht="36.75" customHeight="1">
      <c r="A2021" s="30"/>
      <c r="B2021" s="30" t="s">
        <v>55</v>
      </c>
      <c r="C2021" s="69" t="str">
        <f t="shared" si="134"/>
        <v>Closed</v>
      </c>
      <c r="D2021" s="27" t="s">
        <v>11306</v>
      </c>
      <c r="E2021" s="29" t="s">
        <v>11307</v>
      </c>
      <c r="F2021" s="30" t="s">
        <v>582</v>
      </c>
      <c r="G2021" s="89">
        <f>DATE(2015,6,18)</f>
        <v>42173</v>
      </c>
      <c r="H2021" s="90">
        <v>1.6305555555555555</v>
      </c>
      <c r="I2021" s="30" t="s">
        <v>198</v>
      </c>
      <c r="J2021" s="89" t="s">
        <v>11308</v>
      </c>
      <c r="K2021" s="30" t="s">
        <v>584</v>
      </c>
      <c r="L2021" s="30" t="s">
        <v>11309</v>
      </c>
      <c r="M2021" s="30" t="s">
        <v>63</v>
      </c>
      <c r="N2021" s="30" t="s">
        <v>142</v>
      </c>
      <c r="O2021" s="30" t="s">
        <v>77</v>
      </c>
      <c r="P2021" s="89" t="s">
        <v>91</v>
      </c>
      <c r="Q2021" s="89" t="s">
        <v>4487</v>
      </c>
      <c r="R2021" s="89" t="s">
        <v>587</v>
      </c>
      <c r="S2021" s="30">
        <v>0</v>
      </c>
      <c r="T2021" s="233">
        <v>0</v>
      </c>
      <c r="U2021" s="30">
        <v>0</v>
      </c>
      <c r="V2021" s="233">
        <v>0</v>
      </c>
      <c r="W2021" s="30">
        <v>0</v>
      </c>
      <c r="X2021" s="30">
        <v>0</v>
      </c>
      <c r="Y2021" s="30">
        <v>0</v>
      </c>
      <c r="Z2021" s="233">
        <v>0</v>
      </c>
      <c r="AA2021" s="30">
        <v>0</v>
      </c>
      <c r="AB2021" s="30">
        <v>0</v>
      </c>
      <c r="AC2021" s="30">
        <v>0</v>
      </c>
      <c r="AD2021" s="30">
        <v>0</v>
      </c>
      <c r="AE2021" s="89" t="s">
        <v>92</v>
      </c>
      <c r="AF2021" s="89"/>
      <c r="AG2021" s="89" t="s">
        <v>133</v>
      </c>
      <c r="AH2021" s="72">
        <v>42188</v>
      </c>
      <c r="AI2021" s="30">
        <v>0</v>
      </c>
      <c r="AJ2021" s="89" t="s">
        <v>11310</v>
      </c>
      <c r="AK2021" s="89" t="s">
        <v>1233</v>
      </c>
      <c r="AL2021" s="91">
        <v>42188</v>
      </c>
      <c r="AM2021" s="91"/>
      <c r="AN2021" s="91"/>
      <c r="AO2021" s="91"/>
      <c r="AP2021" s="73" t="e">
        <f>MID(VLOOKUP(K2021,#REF!,2,FALSE),1,2)</f>
        <v>#REF!</v>
      </c>
      <c r="AQ2021" s="89">
        <f>DATE(2015,6,18)</f>
        <v>42173</v>
      </c>
      <c r="AR2021" s="82">
        <f t="shared" si="131"/>
        <v>18</v>
      </c>
      <c r="AS2021" s="83">
        <f t="shared" si="132"/>
        <v>6</v>
      </c>
      <c r="AT2021" s="84">
        <f t="shared" si="133"/>
        <v>2015</v>
      </c>
      <c r="AU2021" s="88">
        <f>DATE(2015,7,3)</f>
        <v>42188</v>
      </c>
      <c r="AV2021" s="88">
        <f>DATE(2015,7,3)</f>
        <v>42188</v>
      </c>
      <c r="AW2021" s="87">
        <f t="shared" si="135"/>
        <v>0</v>
      </c>
      <c r="AX2021" s="86"/>
      <c r="AY2021" s="83"/>
      <c r="AZ2021" s="84"/>
      <c r="BA2021" s="86"/>
      <c r="BB2021" s="86"/>
    </row>
    <row r="2022" spans="1:54" ht="36.75" customHeight="1">
      <c r="A2022" s="30"/>
      <c r="B2022" s="30" t="s">
        <v>55</v>
      </c>
      <c r="C2022" s="69" t="str">
        <f t="shared" si="134"/>
        <v>Closed</v>
      </c>
      <c r="D2022" s="27" t="s">
        <v>11311</v>
      </c>
      <c r="E2022" s="29" t="s">
        <v>11312</v>
      </c>
      <c r="F2022" s="30" t="s">
        <v>423</v>
      </c>
      <c r="G2022" s="89">
        <f>DATE(2015,6,24)</f>
        <v>42179</v>
      </c>
      <c r="H2022" s="90">
        <v>1.5562499999999999</v>
      </c>
      <c r="I2022" s="30" t="s">
        <v>116</v>
      </c>
      <c r="J2022" s="89" t="s">
        <v>11313</v>
      </c>
      <c r="K2022" s="30" t="s">
        <v>425</v>
      </c>
      <c r="L2022" s="30" t="s">
        <v>11314</v>
      </c>
      <c r="M2022" s="30" t="s">
        <v>63</v>
      </c>
      <c r="N2022" s="30" t="s">
        <v>99</v>
      </c>
      <c r="O2022" s="30" t="s">
        <v>64</v>
      </c>
      <c r="P2022" s="89" t="s">
        <v>165</v>
      </c>
      <c r="Q2022" s="89" t="s">
        <v>4551</v>
      </c>
      <c r="R2022" s="89" t="s">
        <v>3103</v>
      </c>
      <c r="S2022" s="30">
        <v>0</v>
      </c>
      <c r="T2022" s="232">
        <v>0</v>
      </c>
      <c r="U2022" s="30">
        <v>1</v>
      </c>
      <c r="V2022" s="232">
        <v>0</v>
      </c>
      <c r="W2022" s="30">
        <v>0</v>
      </c>
      <c r="X2022" s="30">
        <v>1</v>
      </c>
      <c r="Y2022" s="30">
        <v>0</v>
      </c>
      <c r="Z2022" s="232">
        <v>0</v>
      </c>
      <c r="AA2022" s="30">
        <v>0</v>
      </c>
      <c r="AB2022" s="30">
        <v>0</v>
      </c>
      <c r="AC2022" s="30">
        <v>0</v>
      </c>
      <c r="AD2022" s="30">
        <v>0</v>
      </c>
      <c r="AE2022" s="89" t="s">
        <v>92</v>
      </c>
      <c r="AF2022" s="89"/>
      <c r="AG2022" s="89" t="s">
        <v>874</v>
      </c>
      <c r="AH2022" s="72">
        <v>42179</v>
      </c>
      <c r="AI2022" s="30">
        <v>4</v>
      </c>
      <c r="AJ2022" s="89" t="s">
        <v>11315</v>
      </c>
      <c r="AK2022" s="89" t="s">
        <v>11316</v>
      </c>
      <c r="AL2022" s="91">
        <v>42180</v>
      </c>
      <c r="AM2022" s="91"/>
      <c r="AN2022" s="91"/>
      <c r="AO2022" s="91"/>
      <c r="AP2022" s="73" t="e">
        <f>MID(VLOOKUP(K2022,#REF!,2,FALSE),1,2)</f>
        <v>#REF!</v>
      </c>
      <c r="AQ2022" s="89">
        <f>DATE(2015,6,24)</f>
        <v>42179</v>
      </c>
      <c r="AR2022" s="82">
        <f t="shared" si="131"/>
        <v>24</v>
      </c>
      <c r="AS2022" s="83">
        <f t="shared" si="132"/>
        <v>6</v>
      </c>
      <c r="AT2022" s="84">
        <f t="shared" si="133"/>
        <v>2015</v>
      </c>
      <c r="AU2022" s="88">
        <f>DATE(2015,6,25)</f>
        <v>42180</v>
      </c>
      <c r="AV2022" s="88">
        <f>DATE(2015,6,24)</f>
        <v>42179</v>
      </c>
      <c r="AW2022" s="87">
        <f t="shared" si="135"/>
        <v>1</v>
      </c>
      <c r="AX2022" s="88">
        <f>DATE(2015,6,25)</f>
        <v>42180</v>
      </c>
      <c r="AY2022" s="83">
        <f>MONTH(AX2022)</f>
        <v>6</v>
      </c>
      <c r="AZ2022" s="84">
        <f>YEAR(AX2022)</f>
        <v>2015</v>
      </c>
      <c r="BA2022" s="86"/>
      <c r="BB2022" s="86"/>
    </row>
    <row r="2023" spans="1:54" ht="36.75" customHeight="1">
      <c r="A2023" s="30"/>
      <c r="B2023" s="30" t="s">
        <v>55</v>
      </c>
      <c r="C2023" s="69" t="str">
        <f t="shared" si="134"/>
        <v>Closed</v>
      </c>
      <c r="D2023" s="27" t="s">
        <v>11317</v>
      </c>
      <c r="E2023" s="29" t="s">
        <v>11318</v>
      </c>
      <c r="F2023" s="30" t="s">
        <v>423</v>
      </c>
      <c r="G2023" s="89">
        <f>DATE(2015,6,29)</f>
        <v>42184</v>
      </c>
      <c r="H2023" s="90">
        <v>1.6131944444444444</v>
      </c>
      <c r="I2023" s="30" t="s">
        <v>73</v>
      </c>
      <c r="J2023" s="89" t="s">
        <v>11319</v>
      </c>
      <c r="K2023" s="30" t="s">
        <v>425</v>
      </c>
      <c r="L2023" s="30" t="s">
        <v>11320</v>
      </c>
      <c r="M2023" s="30" t="s">
        <v>63</v>
      </c>
      <c r="N2023" s="30" t="s">
        <v>142</v>
      </c>
      <c r="O2023" s="30" t="s">
        <v>64</v>
      </c>
      <c r="P2023" s="89" t="s">
        <v>78</v>
      </c>
      <c r="Q2023" s="89" t="s">
        <v>2582</v>
      </c>
      <c r="R2023" s="89" t="s">
        <v>3103</v>
      </c>
      <c r="S2023" s="30">
        <v>0</v>
      </c>
      <c r="T2023" s="233">
        <v>0</v>
      </c>
      <c r="U2023" s="30">
        <v>0</v>
      </c>
      <c r="V2023" s="233">
        <v>0</v>
      </c>
      <c r="W2023" s="30">
        <v>0</v>
      </c>
      <c r="X2023" s="30">
        <v>0</v>
      </c>
      <c r="Y2023" s="30">
        <v>0</v>
      </c>
      <c r="Z2023" s="233">
        <v>0</v>
      </c>
      <c r="AA2023" s="30">
        <v>0</v>
      </c>
      <c r="AB2023" s="30">
        <v>0</v>
      </c>
      <c r="AC2023" s="30">
        <v>0</v>
      </c>
      <c r="AD2023" s="30">
        <v>0</v>
      </c>
      <c r="AE2023" s="89" t="s">
        <v>394</v>
      </c>
      <c r="AF2023" s="89"/>
      <c r="AG2023" s="89" t="s">
        <v>82</v>
      </c>
      <c r="AH2023" s="72">
        <v>42184</v>
      </c>
      <c r="AI2023" s="30">
        <v>3</v>
      </c>
      <c r="AJ2023" s="89" t="s">
        <v>11321</v>
      </c>
      <c r="AK2023" s="89" t="s">
        <v>11322</v>
      </c>
      <c r="AL2023" s="91">
        <v>42185</v>
      </c>
      <c r="AM2023" s="91"/>
      <c r="AN2023" s="91"/>
      <c r="AO2023" s="91"/>
      <c r="AP2023" s="73" t="e">
        <f>MID(VLOOKUP(K2023,#REF!,2,FALSE),1,2)</f>
        <v>#REF!</v>
      </c>
      <c r="AQ2023" s="89">
        <f>DATE(2015,6,29)</f>
        <v>42184</v>
      </c>
      <c r="AR2023" s="82">
        <f t="shared" si="131"/>
        <v>29</v>
      </c>
      <c r="AS2023" s="83">
        <f t="shared" si="132"/>
        <v>6</v>
      </c>
      <c r="AT2023" s="84">
        <f t="shared" si="133"/>
        <v>2015</v>
      </c>
      <c r="AU2023" s="88">
        <f>DATE(2015,6,30)</f>
        <v>42185</v>
      </c>
      <c r="AV2023" s="88">
        <f>DATE(2015,6,29)</f>
        <v>42184</v>
      </c>
      <c r="AW2023" s="87">
        <f t="shared" si="135"/>
        <v>1</v>
      </c>
      <c r="AX2023" s="88">
        <f>DATE(2015,6,30)</f>
        <v>42185</v>
      </c>
      <c r="AY2023" s="83">
        <f>MONTH(AX2023)</f>
        <v>6</v>
      </c>
      <c r="AZ2023" s="84">
        <f>YEAR(AX2023)</f>
        <v>2015</v>
      </c>
      <c r="BA2023" s="86"/>
      <c r="BB2023" s="86"/>
    </row>
    <row r="2024" spans="1:54" ht="36.75" customHeight="1">
      <c r="A2024" s="98" t="s">
        <v>4910</v>
      </c>
      <c r="B2024" s="30" t="s">
        <v>55</v>
      </c>
      <c r="C2024" s="69" t="str">
        <f t="shared" si="134"/>
        <v>Closed</v>
      </c>
      <c r="D2024" s="27" t="s">
        <v>11323</v>
      </c>
      <c r="E2024" s="29" t="s">
        <v>11324</v>
      </c>
      <c r="F2024" s="30" t="s">
        <v>582</v>
      </c>
      <c r="G2024" s="89">
        <f>DATE(2015,6,29)</f>
        <v>42184</v>
      </c>
      <c r="H2024" s="90">
        <v>0</v>
      </c>
      <c r="I2024" s="30" t="s">
        <v>198</v>
      </c>
      <c r="J2024" s="89" t="s">
        <v>11325</v>
      </c>
      <c r="K2024" s="30" t="s">
        <v>584</v>
      </c>
      <c r="L2024" s="30" t="s">
        <v>11326</v>
      </c>
      <c r="M2024" s="30" t="s">
        <v>63</v>
      </c>
      <c r="N2024" s="30" t="s">
        <v>142</v>
      </c>
      <c r="O2024" s="30" t="s">
        <v>77</v>
      </c>
      <c r="P2024" s="89" t="s">
        <v>165</v>
      </c>
      <c r="Q2024" s="89" t="s">
        <v>1301</v>
      </c>
      <c r="R2024" s="89" t="s">
        <v>587</v>
      </c>
      <c r="S2024" s="30">
        <v>0</v>
      </c>
      <c r="T2024" s="101">
        <v>0</v>
      </c>
      <c r="U2024" s="30">
        <v>0</v>
      </c>
      <c r="V2024" s="101">
        <v>0</v>
      </c>
      <c r="W2024" s="30">
        <v>0</v>
      </c>
      <c r="X2024" s="30">
        <v>0</v>
      </c>
      <c r="Y2024" s="30">
        <v>0</v>
      </c>
      <c r="Z2024" s="101">
        <v>0</v>
      </c>
      <c r="AA2024" s="30">
        <v>0</v>
      </c>
      <c r="AB2024" s="30">
        <v>0</v>
      </c>
      <c r="AC2024" s="30">
        <v>0</v>
      </c>
      <c r="AD2024" s="30">
        <v>0</v>
      </c>
      <c r="AE2024" s="89" t="s">
        <v>145</v>
      </c>
      <c r="AF2024" s="89"/>
      <c r="AG2024" s="89" t="s">
        <v>82</v>
      </c>
      <c r="AH2024" s="72">
        <v>42188</v>
      </c>
      <c r="AI2024" s="30">
        <v>0</v>
      </c>
      <c r="AJ2024" s="89" t="s">
        <v>11327</v>
      </c>
      <c r="AK2024" s="89" t="s">
        <v>1233</v>
      </c>
      <c r="AL2024" s="91">
        <v>42188</v>
      </c>
      <c r="AM2024" s="91"/>
      <c r="AN2024" s="91"/>
      <c r="AO2024" s="91"/>
      <c r="AP2024" s="73" t="e">
        <f>MID(VLOOKUP(K2024,#REF!,2,FALSE),1,2)</f>
        <v>#REF!</v>
      </c>
      <c r="AQ2024" s="89">
        <f>DATE(2015,6,29)</f>
        <v>42184</v>
      </c>
      <c r="AR2024" s="82">
        <f t="shared" si="131"/>
        <v>29</v>
      </c>
      <c r="AS2024" s="83">
        <f t="shared" si="132"/>
        <v>6</v>
      </c>
      <c r="AT2024" s="84">
        <f t="shared" si="133"/>
        <v>2015</v>
      </c>
      <c r="AU2024" s="88">
        <f>DATE(2015,7,3)</f>
        <v>42188</v>
      </c>
      <c r="AV2024" s="88">
        <f>DATE(2015,7,3)</f>
        <v>42188</v>
      </c>
      <c r="AW2024" s="87">
        <f t="shared" si="135"/>
        <v>0</v>
      </c>
      <c r="AX2024" s="86"/>
      <c r="AY2024" s="83"/>
      <c r="AZ2024" s="84"/>
      <c r="BA2024" s="86"/>
      <c r="BB2024" s="86"/>
    </row>
    <row r="2025" spans="1:54" ht="36.75" customHeight="1">
      <c r="A2025" s="30"/>
      <c r="B2025" s="30" t="s">
        <v>55</v>
      </c>
      <c r="C2025" s="69" t="str">
        <f t="shared" si="134"/>
        <v>Closed</v>
      </c>
      <c r="D2025" s="27" t="s">
        <v>11328</v>
      </c>
      <c r="E2025" s="29" t="s">
        <v>11329</v>
      </c>
      <c r="F2025" s="30" t="s">
        <v>835</v>
      </c>
      <c r="G2025" s="89">
        <f>DATE(2015,6,29)</f>
        <v>42184</v>
      </c>
      <c r="H2025" s="90">
        <v>1.3756944444444446</v>
      </c>
      <c r="I2025" s="30" t="s">
        <v>125</v>
      </c>
      <c r="J2025" s="89" t="s">
        <v>11330</v>
      </c>
      <c r="K2025" s="30" t="s">
        <v>837</v>
      </c>
      <c r="L2025" s="30" t="s">
        <v>11331</v>
      </c>
      <c r="M2025" s="30" t="s">
        <v>63</v>
      </c>
      <c r="N2025" s="30" t="s">
        <v>89</v>
      </c>
      <c r="O2025" s="30" t="s">
        <v>77</v>
      </c>
      <c r="P2025" s="89" t="s">
        <v>78</v>
      </c>
      <c r="Q2025" s="89" t="s">
        <v>4708</v>
      </c>
      <c r="R2025" s="89" t="s">
        <v>840</v>
      </c>
      <c r="S2025" s="30">
        <v>0</v>
      </c>
      <c r="T2025" s="233">
        <v>0</v>
      </c>
      <c r="U2025" s="30">
        <v>0</v>
      </c>
      <c r="V2025" s="233">
        <v>0</v>
      </c>
      <c r="W2025" s="30">
        <v>0</v>
      </c>
      <c r="X2025" s="30">
        <v>0</v>
      </c>
      <c r="Y2025" s="30">
        <v>0</v>
      </c>
      <c r="Z2025" s="233">
        <v>0</v>
      </c>
      <c r="AA2025" s="30">
        <v>0</v>
      </c>
      <c r="AB2025" s="30">
        <v>0</v>
      </c>
      <c r="AC2025" s="30">
        <v>0</v>
      </c>
      <c r="AD2025" s="30">
        <v>0</v>
      </c>
      <c r="AE2025" s="89" t="s">
        <v>92</v>
      </c>
      <c r="AF2025" s="89"/>
      <c r="AG2025" s="89" t="s">
        <v>352</v>
      </c>
      <c r="AH2025" s="72">
        <v>42187</v>
      </c>
      <c r="AI2025" s="30">
        <v>2</v>
      </c>
      <c r="AJ2025" s="89" t="s">
        <v>11332</v>
      </c>
      <c r="AK2025" s="89" t="s">
        <v>1233</v>
      </c>
      <c r="AL2025" s="91">
        <v>42191</v>
      </c>
      <c r="AM2025" s="91"/>
      <c r="AN2025" s="91"/>
      <c r="AO2025" s="91"/>
      <c r="AP2025" s="73" t="e">
        <f>MID(VLOOKUP(K2025,#REF!,2,FALSE),1,2)</f>
        <v>#REF!</v>
      </c>
      <c r="AQ2025" s="89">
        <f>DATE(2015,6,29)</f>
        <v>42184</v>
      </c>
      <c r="AR2025" s="82">
        <f t="shared" si="131"/>
        <v>29</v>
      </c>
      <c r="AS2025" s="83">
        <f t="shared" si="132"/>
        <v>6</v>
      </c>
      <c r="AT2025" s="84">
        <f t="shared" si="133"/>
        <v>2015</v>
      </c>
      <c r="AU2025" s="88">
        <f>DATE(2015,7,6)</f>
        <v>42191</v>
      </c>
      <c r="AV2025" s="88">
        <f>DATE(2015,7,2)</f>
        <v>42187</v>
      </c>
      <c r="AW2025" s="87">
        <f t="shared" si="135"/>
        <v>4</v>
      </c>
      <c r="AX2025" s="86"/>
      <c r="AY2025" s="83"/>
      <c r="AZ2025" s="84"/>
      <c r="BA2025" s="86"/>
      <c r="BB2025" s="86"/>
    </row>
    <row r="2026" spans="1:54" ht="36.75" customHeight="1">
      <c r="A2026" s="30"/>
      <c r="B2026" s="30" t="s">
        <v>55</v>
      </c>
      <c r="C2026" s="69" t="str">
        <f t="shared" si="134"/>
        <v>Closed</v>
      </c>
      <c r="D2026" s="27" t="s">
        <v>11333</v>
      </c>
      <c r="E2026" s="29" t="s">
        <v>11334</v>
      </c>
      <c r="F2026" s="30" t="s">
        <v>6455</v>
      </c>
      <c r="G2026" s="89">
        <f>DATE(2015,6,30)</f>
        <v>42185</v>
      </c>
      <c r="H2026" s="90">
        <v>1.5173611111111112</v>
      </c>
      <c r="I2026" s="30" t="s">
        <v>73</v>
      </c>
      <c r="J2026" s="89" t="s">
        <v>11335</v>
      </c>
      <c r="K2026" s="30" t="s">
        <v>584</v>
      </c>
      <c r="L2026" s="30" t="s">
        <v>11336</v>
      </c>
      <c r="M2026" s="30" t="s">
        <v>63</v>
      </c>
      <c r="N2026" s="30" t="s">
        <v>142</v>
      </c>
      <c r="O2026" s="30" t="s">
        <v>64</v>
      </c>
      <c r="P2026" s="89" t="s">
        <v>78</v>
      </c>
      <c r="Q2026" s="89" t="s">
        <v>11099</v>
      </c>
      <c r="R2026" s="89" t="s">
        <v>587</v>
      </c>
      <c r="S2026" s="30">
        <v>0</v>
      </c>
      <c r="T2026" s="233">
        <v>0</v>
      </c>
      <c r="U2026" s="30">
        <v>0</v>
      </c>
      <c r="V2026" s="233">
        <v>0</v>
      </c>
      <c r="W2026" s="30">
        <v>0</v>
      </c>
      <c r="X2026" s="30">
        <v>0</v>
      </c>
      <c r="Y2026" s="30">
        <v>0</v>
      </c>
      <c r="Z2026" s="233">
        <v>0</v>
      </c>
      <c r="AA2026" s="30">
        <v>0</v>
      </c>
      <c r="AB2026" s="30">
        <v>0</v>
      </c>
      <c r="AC2026" s="30">
        <v>0</v>
      </c>
      <c r="AD2026" s="30">
        <v>0</v>
      </c>
      <c r="AE2026" s="89" t="s">
        <v>394</v>
      </c>
      <c r="AF2026" s="89" t="s">
        <v>11337</v>
      </c>
      <c r="AG2026" s="89" t="s">
        <v>8859</v>
      </c>
      <c r="AH2026" s="72">
        <v>42186</v>
      </c>
      <c r="AI2026" s="30">
        <v>0</v>
      </c>
      <c r="AJ2026" s="89" t="s">
        <v>11338</v>
      </c>
      <c r="AK2026" s="89" t="s">
        <v>10569</v>
      </c>
      <c r="AL2026" s="91">
        <v>42188</v>
      </c>
      <c r="AM2026" s="91">
        <v>44978</v>
      </c>
      <c r="AN2026" s="91">
        <v>45161</v>
      </c>
      <c r="AO2026" s="91">
        <v>45132</v>
      </c>
      <c r="AP2026" s="73" t="e">
        <f>MID(VLOOKUP(K2026,#REF!,2,FALSE),1,2)</f>
        <v>#REF!</v>
      </c>
      <c r="AQ2026" s="89">
        <f>DATE(2015,6,30)</f>
        <v>42185</v>
      </c>
      <c r="AR2026" s="82">
        <f t="shared" si="131"/>
        <v>30</v>
      </c>
      <c r="AS2026" s="83">
        <f t="shared" si="132"/>
        <v>6</v>
      </c>
      <c r="AT2026" s="84">
        <f t="shared" si="133"/>
        <v>2015</v>
      </c>
      <c r="AU2026" s="88">
        <f>DATE(2015,7,3)</f>
        <v>42188</v>
      </c>
      <c r="AV2026" s="88">
        <f>DATE(2015,7,3)</f>
        <v>42188</v>
      </c>
      <c r="AW2026" s="87">
        <f t="shared" si="135"/>
        <v>0</v>
      </c>
      <c r="AX2026" s="86"/>
      <c r="AY2026" s="83"/>
      <c r="AZ2026" s="84"/>
      <c r="BA2026" s="86"/>
      <c r="BB2026" s="86"/>
    </row>
    <row r="2027" spans="1:54" ht="36.75" customHeight="1">
      <c r="A2027" s="30"/>
      <c r="B2027" s="30" t="s">
        <v>55</v>
      </c>
      <c r="C2027" s="69" t="str">
        <f t="shared" si="134"/>
        <v>Closed</v>
      </c>
      <c r="D2027" s="27" t="s">
        <v>11339</v>
      </c>
      <c r="E2027" s="29" t="s">
        <v>11340</v>
      </c>
      <c r="F2027" s="30" t="s">
        <v>9789</v>
      </c>
      <c r="G2027" s="89">
        <f>DATE(2015,6,30)</f>
        <v>42185</v>
      </c>
      <c r="H2027" s="90">
        <v>1.3229166666666667</v>
      </c>
      <c r="I2027" s="30" t="s">
        <v>278</v>
      </c>
      <c r="J2027" s="210" t="s">
        <v>11341</v>
      </c>
      <c r="K2027" s="30" t="s">
        <v>9791</v>
      </c>
      <c r="L2027" s="30" t="s">
        <v>11342</v>
      </c>
      <c r="M2027" s="30" t="s">
        <v>63</v>
      </c>
      <c r="N2027" s="30" t="s">
        <v>89</v>
      </c>
      <c r="O2027" s="30" t="s">
        <v>77</v>
      </c>
      <c r="P2027" s="89" t="s">
        <v>91</v>
      </c>
      <c r="Q2027" s="89" t="s">
        <v>9960</v>
      </c>
      <c r="R2027" s="89" t="s">
        <v>9794</v>
      </c>
      <c r="S2027" s="30">
        <v>0</v>
      </c>
      <c r="T2027" s="233">
        <v>1</v>
      </c>
      <c r="U2027" s="30">
        <v>0</v>
      </c>
      <c r="V2027" s="233">
        <v>0</v>
      </c>
      <c r="W2027" s="30">
        <v>0</v>
      </c>
      <c r="X2027" s="30">
        <v>1</v>
      </c>
      <c r="Y2027" s="30">
        <v>0</v>
      </c>
      <c r="Z2027" s="233">
        <v>0</v>
      </c>
      <c r="AA2027" s="30">
        <v>0</v>
      </c>
      <c r="AB2027" s="30">
        <v>0</v>
      </c>
      <c r="AC2027" s="30">
        <v>0</v>
      </c>
      <c r="AD2027" s="30">
        <v>0</v>
      </c>
      <c r="AE2027" s="89" t="s">
        <v>92</v>
      </c>
      <c r="AF2027" s="89"/>
      <c r="AG2027" s="89" t="s">
        <v>82</v>
      </c>
      <c r="AH2027" s="72">
        <v>42185</v>
      </c>
      <c r="AI2027" s="30">
        <v>1</v>
      </c>
      <c r="AJ2027" s="89" t="s">
        <v>11343</v>
      </c>
      <c r="AK2027" s="89" t="s">
        <v>11344</v>
      </c>
      <c r="AL2027" s="91">
        <v>42186</v>
      </c>
      <c r="AM2027" s="91"/>
      <c r="AN2027" s="91"/>
      <c r="AO2027" s="91"/>
      <c r="AP2027" s="73" t="e">
        <f>MID(VLOOKUP(K2027,#REF!,2,FALSE),1,2)</f>
        <v>#REF!</v>
      </c>
      <c r="AQ2027" s="89">
        <f>DATE(2015,6,30)</f>
        <v>42185</v>
      </c>
      <c r="AR2027" s="82">
        <f t="shared" si="131"/>
        <v>30</v>
      </c>
      <c r="AS2027" s="83">
        <f t="shared" si="132"/>
        <v>6</v>
      </c>
      <c r="AT2027" s="84">
        <f t="shared" si="133"/>
        <v>2015</v>
      </c>
      <c r="AU2027" s="88">
        <f>DATE(2015,7,1)</f>
        <v>42186</v>
      </c>
      <c r="AV2027" s="88">
        <f>DATE(2015,6,30)</f>
        <v>42185</v>
      </c>
      <c r="AW2027" s="87">
        <f t="shared" si="135"/>
        <v>1</v>
      </c>
      <c r="AX2027" s="86"/>
      <c r="AY2027" s="83"/>
      <c r="AZ2027" s="84"/>
      <c r="BA2027" s="86"/>
      <c r="BB2027" s="86"/>
    </row>
    <row r="2028" spans="1:54" ht="36.75" customHeight="1">
      <c r="A2028" s="30"/>
      <c r="B2028" s="30" t="s">
        <v>55</v>
      </c>
      <c r="C2028" s="69" t="str">
        <f t="shared" si="134"/>
        <v>Closed</v>
      </c>
      <c r="D2028" s="27" t="s">
        <v>11345</v>
      </c>
      <c r="E2028" s="29" t="s">
        <v>11346</v>
      </c>
      <c r="F2028" s="30" t="s">
        <v>377</v>
      </c>
      <c r="G2028" s="89">
        <f>DATE(2015,6,30)</f>
        <v>42185</v>
      </c>
      <c r="H2028" s="90">
        <v>1.3472222222222223</v>
      </c>
      <c r="I2028" s="30" t="s">
        <v>2418</v>
      </c>
      <c r="J2028" s="89" t="s">
        <v>11347</v>
      </c>
      <c r="K2028" s="30" t="s">
        <v>379</v>
      </c>
      <c r="L2028" s="30" t="s">
        <v>11348</v>
      </c>
      <c r="M2028" s="30" t="s">
        <v>63</v>
      </c>
      <c r="N2028" s="30" t="s">
        <v>99</v>
      </c>
      <c r="O2028" s="30" t="s">
        <v>64</v>
      </c>
      <c r="P2028" s="89" t="s">
        <v>165</v>
      </c>
      <c r="Q2028" s="89" t="s">
        <v>2906</v>
      </c>
      <c r="R2028" s="89" t="s">
        <v>382</v>
      </c>
      <c r="S2028" s="30">
        <v>0</v>
      </c>
      <c r="T2028" s="233">
        <v>0</v>
      </c>
      <c r="U2028" s="30">
        <v>0</v>
      </c>
      <c r="V2028" s="233">
        <v>0</v>
      </c>
      <c r="W2028" s="30">
        <v>0</v>
      </c>
      <c r="X2028" s="30">
        <v>0</v>
      </c>
      <c r="Y2028" s="30">
        <v>0</v>
      </c>
      <c r="Z2028" s="233">
        <v>0</v>
      </c>
      <c r="AA2028" s="30">
        <v>0</v>
      </c>
      <c r="AB2028" s="30">
        <v>0</v>
      </c>
      <c r="AC2028" s="30">
        <v>0</v>
      </c>
      <c r="AD2028" s="30">
        <v>0</v>
      </c>
      <c r="AE2028" s="89" t="s">
        <v>92</v>
      </c>
      <c r="AF2028" s="89"/>
      <c r="AG2028" s="89" t="s">
        <v>1457</v>
      </c>
      <c r="AH2028" s="72">
        <v>42319</v>
      </c>
      <c r="AI2028" s="30">
        <v>11</v>
      </c>
      <c r="AJ2028" s="89" t="s">
        <v>11349</v>
      </c>
      <c r="AK2028" s="89" t="s">
        <v>11350</v>
      </c>
      <c r="AL2028" s="91">
        <v>42325</v>
      </c>
      <c r="AM2028" s="91"/>
      <c r="AN2028" s="91"/>
      <c r="AO2028" s="91"/>
      <c r="AP2028" s="73" t="e">
        <f>MID(VLOOKUP(K2028,#REF!,2,FALSE),1,2)</f>
        <v>#REF!</v>
      </c>
      <c r="AQ2028" s="89">
        <f>DATE(2015,6,30)</f>
        <v>42185</v>
      </c>
      <c r="AR2028" s="82">
        <f t="shared" si="131"/>
        <v>30</v>
      </c>
      <c r="AS2028" s="83">
        <f t="shared" si="132"/>
        <v>6</v>
      </c>
      <c r="AT2028" s="84">
        <f t="shared" si="133"/>
        <v>2015</v>
      </c>
      <c r="AU2028" s="88">
        <f>DATE(2015,11,17)</f>
        <v>42325</v>
      </c>
      <c r="AV2028" s="88">
        <f>DATE(2015,11,17)</f>
        <v>42325</v>
      </c>
      <c r="AW2028" s="87">
        <f t="shared" si="135"/>
        <v>0</v>
      </c>
      <c r="AX2028" s="88">
        <f>DATE(2015,11,17)</f>
        <v>42325</v>
      </c>
      <c r="AY2028" s="83">
        <f>MONTH(AX2028)</f>
        <v>11</v>
      </c>
      <c r="AZ2028" s="84">
        <f>YEAR(AX2028)</f>
        <v>2015</v>
      </c>
      <c r="BA2028" s="88">
        <f>DATE(2015,6,30)</f>
        <v>42185</v>
      </c>
      <c r="BB2028" s="86"/>
    </row>
    <row r="2029" spans="1:54" ht="36.75" customHeight="1">
      <c r="A2029" s="30"/>
      <c r="B2029" s="30" t="s">
        <v>55</v>
      </c>
      <c r="C2029" s="69" t="str">
        <f t="shared" si="134"/>
        <v>Closed</v>
      </c>
      <c r="D2029" s="27" t="s">
        <v>11351</v>
      </c>
      <c r="E2029" s="29" t="s">
        <v>11352</v>
      </c>
      <c r="F2029" s="30" t="s">
        <v>233</v>
      </c>
      <c r="G2029" s="89">
        <f>DATE(2015,6,30)</f>
        <v>42185</v>
      </c>
      <c r="H2029" s="90">
        <v>1.6041666666666665</v>
      </c>
      <c r="I2029" s="30" t="s">
        <v>73</v>
      </c>
      <c r="J2029" s="89" t="s">
        <v>11353</v>
      </c>
      <c r="K2029" s="30" t="s">
        <v>235</v>
      </c>
      <c r="L2029" s="30" t="s">
        <v>11354</v>
      </c>
      <c r="M2029" s="30" t="s">
        <v>63</v>
      </c>
      <c r="N2029" s="30" t="s">
        <v>142</v>
      </c>
      <c r="O2029" s="30" t="s">
        <v>64</v>
      </c>
      <c r="P2029" s="89" t="s">
        <v>78</v>
      </c>
      <c r="Q2029" s="89" t="s">
        <v>4042</v>
      </c>
      <c r="R2029" s="89" t="s">
        <v>235</v>
      </c>
      <c r="S2029" s="30">
        <v>0</v>
      </c>
      <c r="T2029" s="233">
        <v>0</v>
      </c>
      <c r="U2029" s="30">
        <v>0</v>
      </c>
      <c r="V2029" s="233">
        <v>0</v>
      </c>
      <c r="W2029" s="30">
        <v>0</v>
      </c>
      <c r="X2029" s="30">
        <v>0</v>
      </c>
      <c r="Y2029" s="30">
        <v>0</v>
      </c>
      <c r="Z2029" s="233">
        <v>0</v>
      </c>
      <c r="AA2029" s="30">
        <v>0</v>
      </c>
      <c r="AB2029" s="30">
        <v>0</v>
      </c>
      <c r="AC2029" s="30">
        <v>0</v>
      </c>
      <c r="AD2029" s="30">
        <v>0</v>
      </c>
      <c r="AE2029" s="89" t="s">
        <v>145</v>
      </c>
      <c r="AF2029" s="89"/>
      <c r="AG2029" s="89" t="s">
        <v>82</v>
      </c>
      <c r="AH2029" s="72">
        <v>42191</v>
      </c>
      <c r="AI2029" s="30">
        <v>4</v>
      </c>
      <c r="AJ2029" s="89" t="s">
        <v>11355</v>
      </c>
      <c r="AK2029" s="89" t="s">
        <v>11356</v>
      </c>
      <c r="AL2029" s="91">
        <v>42227</v>
      </c>
      <c r="AM2029" s="91"/>
      <c r="AN2029" s="91"/>
      <c r="AO2029" s="91"/>
      <c r="AP2029" s="73" t="e">
        <f>MID(VLOOKUP(K2029,#REF!,2,FALSE),1,2)</f>
        <v>#REF!</v>
      </c>
      <c r="AQ2029" s="89">
        <f>DATE(2015,6,30)</f>
        <v>42185</v>
      </c>
      <c r="AR2029" s="82">
        <f t="shared" si="131"/>
        <v>30</v>
      </c>
      <c r="AS2029" s="83">
        <f t="shared" si="132"/>
        <v>6</v>
      </c>
      <c r="AT2029" s="84">
        <f t="shared" si="133"/>
        <v>2015</v>
      </c>
      <c r="AU2029" s="88">
        <f>DATE(2015,8,11)</f>
        <v>42227</v>
      </c>
      <c r="AV2029" s="88">
        <f>DATE(2015,7,6)</f>
        <v>42191</v>
      </c>
      <c r="AW2029" s="87">
        <f t="shared" si="135"/>
        <v>36</v>
      </c>
      <c r="AX2029" s="88">
        <f>DATE(2015,8,11)</f>
        <v>42227</v>
      </c>
      <c r="AY2029" s="83">
        <f>MONTH(AX2029)</f>
        <v>8</v>
      </c>
      <c r="AZ2029" s="84">
        <f>YEAR(AX2029)</f>
        <v>2015</v>
      </c>
      <c r="BA2029" s="86"/>
      <c r="BB2029" s="86"/>
    </row>
    <row r="2030" spans="1:54" ht="36.75" customHeight="1">
      <c r="A2030" s="30"/>
      <c r="B2030" s="30" t="s">
        <v>55</v>
      </c>
      <c r="C2030" s="69" t="str">
        <f t="shared" si="134"/>
        <v>Closed</v>
      </c>
      <c r="D2030" s="27" t="s">
        <v>11357</v>
      </c>
      <c r="E2030" s="29" t="s">
        <v>11358</v>
      </c>
      <c r="F2030" s="30" t="s">
        <v>835</v>
      </c>
      <c r="G2030" s="89">
        <f>DATE(2015,7,1)</f>
        <v>42186</v>
      </c>
      <c r="H2030" s="90">
        <v>1.71875</v>
      </c>
      <c r="I2030" s="30" t="s">
        <v>59</v>
      </c>
      <c r="J2030" s="89" t="s">
        <v>11359</v>
      </c>
      <c r="K2030" s="30" t="s">
        <v>837</v>
      </c>
      <c r="L2030" s="30" t="s">
        <v>11360</v>
      </c>
      <c r="M2030" s="30" t="s">
        <v>63</v>
      </c>
      <c r="N2030" s="30" t="s">
        <v>89</v>
      </c>
      <c r="O2030" s="30" t="s">
        <v>77</v>
      </c>
      <c r="P2030" s="89" t="s">
        <v>1912</v>
      </c>
      <c r="Q2030" s="89" t="s">
        <v>2162</v>
      </c>
      <c r="R2030" s="89" t="s">
        <v>840</v>
      </c>
      <c r="S2030" s="30">
        <v>0</v>
      </c>
      <c r="T2030" s="233">
        <v>0</v>
      </c>
      <c r="U2030" s="30">
        <v>0</v>
      </c>
      <c r="V2030" s="233">
        <v>0</v>
      </c>
      <c r="W2030" s="30">
        <v>0</v>
      </c>
      <c r="X2030" s="30">
        <v>0</v>
      </c>
      <c r="Y2030" s="30">
        <v>0</v>
      </c>
      <c r="Z2030" s="233">
        <v>0</v>
      </c>
      <c r="AA2030" s="30">
        <v>0</v>
      </c>
      <c r="AB2030" s="30">
        <v>0</v>
      </c>
      <c r="AC2030" s="30">
        <v>0</v>
      </c>
      <c r="AD2030" s="30">
        <v>0</v>
      </c>
      <c r="AE2030" s="89" t="s">
        <v>92</v>
      </c>
      <c r="AF2030" s="89"/>
      <c r="AG2030" s="89" t="s">
        <v>352</v>
      </c>
      <c r="AH2030" s="72">
        <v>42187</v>
      </c>
      <c r="AI2030" s="30">
        <v>0</v>
      </c>
      <c r="AJ2030" s="89" t="s">
        <v>10713</v>
      </c>
      <c r="AK2030" s="89" t="s">
        <v>68</v>
      </c>
      <c r="AL2030" s="91">
        <v>42191</v>
      </c>
      <c r="AM2030" s="91"/>
      <c r="AN2030" s="91"/>
      <c r="AO2030" s="91"/>
      <c r="AP2030" s="73" t="e">
        <f>MID(VLOOKUP(K2030,#REF!,2,FALSE),1,2)</f>
        <v>#REF!</v>
      </c>
      <c r="AQ2030" s="89">
        <f>DATE(2015,7,1)</f>
        <v>42186</v>
      </c>
      <c r="AR2030" s="82">
        <f t="shared" si="131"/>
        <v>1</v>
      </c>
      <c r="AS2030" s="83">
        <f t="shared" si="132"/>
        <v>7</v>
      </c>
      <c r="AT2030" s="84">
        <f t="shared" si="133"/>
        <v>2015</v>
      </c>
      <c r="AU2030" s="88">
        <f>DATE(2015,7,6)</f>
        <v>42191</v>
      </c>
      <c r="AV2030" s="88">
        <f>DATE(2015,7,2)</f>
        <v>42187</v>
      </c>
      <c r="AW2030" s="87">
        <f t="shared" si="135"/>
        <v>4</v>
      </c>
      <c r="AX2030" s="86"/>
      <c r="AY2030" s="83"/>
      <c r="AZ2030" s="84"/>
      <c r="BA2030" s="86"/>
      <c r="BB2030" s="86"/>
    </row>
    <row r="2031" spans="1:54" ht="36.75" customHeight="1">
      <c r="A2031" s="30"/>
      <c r="B2031" s="30" t="s">
        <v>55</v>
      </c>
      <c r="C2031" s="69" t="str">
        <f t="shared" si="134"/>
        <v>Closed</v>
      </c>
      <c r="D2031" s="27" t="s">
        <v>11361</v>
      </c>
      <c r="E2031" s="29" t="s">
        <v>11362</v>
      </c>
      <c r="F2031" s="30" t="s">
        <v>835</v>
      </c>
      <c r="G2031" s="89">
        <f>DATE(2015,7,1)</f>
        <v>42186</v>
      </c>
      <c r="H2031" s="90">
        <v>1.0138888888888888</v>
      </c>
      <c r="I2031" s="30" t="s">
        <v>2078</v>
      </c>
      <c r="J2031" s="89" t="s">
        <v>11363</v>
      </c>
      <c r="K2031" s="30" t="s">
        <v>837</v>
      </c>
      <c r="L2031" s="30" t="s">
        <v>11364</v>
      </c>
      <c r="M2031" s="30" t="s">
        <v>63</v>
      </c>
      <c r="N2031" s="30" t="s">
        <v>142</v>
      </c>
      <c r="O2031" s="30" t="s">
        <v>77</v>
      </c>
      <c r="P2031" s="89" t="s">
        <v>2551</v>
      </c>
      <c r="Q2031" s="89" t="s">
        <v>11365</v>
      </c>
      <c r="R2031" s="89" t="s">
        <v>840</v>
      </c>
      <c r="S2031" s="30">
        <v>0</v>
      </c>
      <c r="T2031" s="233">
        <v>0</v>
      </c>
      <c r="U2031" s="30">
        <v>0</v>
      </c>
      <c r="V2031" s="233">
        <v>0</v>
      </c>
      <c r="W2031" s="30">
        <v>0</v>
      </c>
      <c r="X2031" s="30">
        <v>0</v>
      </c>
      <c r="Y2031" s="30">
        <v>0</v>
      </c>
      <c r="Z2031" s="233">
        <v>0</v>
      </c>
      <c r="AA2031" s="30">
        <v>0</v>
      </c>
      <c r="AB2031" s="30">
        <v>0</v>
      </c>
      <c r="AC2031" s="30">
        <v>0</v>
      </c>
      <c r="AD2031" s="30">
        <v>0</v>
      </c>
      <c r="AE2031" s="89" t="s">
        <v>92</v>
      </c>
      <c r="AF2031" s="89"/>
      <c r="AG2031" s="89" t="s">
        <v>352</v>
      </c>
      <c r="AH2031" s="72">
        <v>42188</v>
      </c>
      <c r="AI2031" s="30">
        <v>0</v>
      </c>
      <c r="AJ2031" s="89" t="s">
        <v>11366</v>
      </c>
      <c r="AK2031" s="89" t="s">
        <v>11367</v>
      </c>
      <c r="AL2031" s="91">
        <v>42188</v>
      </c>
      <c r="AM2031" s="91"/>
      <c r="AN2031" s="91"/>
      <c r="AO2031" s="91"/>
      <c r="AP2031" s="73" t="e">
        <f>MID(VLOOKUP(K2031,#REF!,2,FALSE),1,2)</f>
        <v>#REF!</v>
      </c>
      <c r="AQ2031" s="89">
        <f>DATE(2015,7,1)</f>
        <v>42186</v>
      </c>
      <c r="AR2031" s="82">
        <f t="shared" si="131"/>
        <v>1</v>
      </c>
      <c r="AS2031" s="83">
        <f t="shared" si="132"/>
        <v>7</v>
      </c>
      <c r="AT2031" s="84">
        <f t="shared" si="133"/>
        <v>2015</v>
      </c>
      <c r="AU2031" s="88">
        <f>DATE(2015,7,6)</f>
        <v>42191</v>
      </c>
      <c r="AV2031" s="88">
        <f>DATE(2015,7,2)</f>
        <v>42187</v>
      </c>
      <c r="AW2031" s="87">
        <f t="shared" si="135"/>
        <v>4</v>
      </c>
      <c r="AX2031" s="86"/>
      <c r="AY2031" s="83"/>
      <c r="AZ2031" s="84"/>
      <c r="BA2031" s="86"/>
      <c r="BB2031" s="86"/>
    </row>
    <row r="2032" spans="1:54" ht="36.75" customHeight="1">
      <c r="A2032" s="30"/>
      <c r="B2032" s="30" t="s">
        <v>55</v>
      </c>
      <c r="C2032" s="69" t="str">
        <f t="shared" si="134"/>
        <v>Closed</v>
      </c>
      <c r="D2032" s="27" t="s">
        <v>11368</v>
      </c>
      <c r="E2032" s="29" t="s">
        <v>11369</v>
      </c>
      <c r="F2032" s="30" t="s">
        <v>1572</v>
      </c>
      <c r="G2032" s="89">
        <f>DATE(2015,7,2)</f>
        <v>42187</v>
      </c>
      <c r="H2032" s="90">
        <v>1.9618055555555554</v>
      </c>
      <c r="I2032" s="30" t="s">
        <v>73</v>
      </c>
      <c r="J2032" s="89" t="s">
        <v>11370</v>
      </c>
      <c r="K2032" s="30" t="s">
        <v>1574</v>
      </c>
      <c r="L2032" s="30" t="s">
        <v>11371</v>
      </c>
      <c r="M2032" s="30" t="s">
        <v>63</v>
      </c>
      <c r="N2032" s="30" t="s">
        <v>142</v>
      </c>
      <c r="O2032" s="30" t="s">
        <v>77</v>
      </c>
      <c r="P2032" s="89" t="s">
        <v>78</v>
      </c>
      <c r="Q2032" s="89" t="s">
        <v>7932</v>
      </c>
      <c r="R2032" s="89" t="s">
        <v>6434</v>
      </c>
      <c r="S2032" s="30">
        <v>0</v>
      </c>
      <c r="T2032" s="233">
        <v>0</v>
      </c>
      <c r="U2032" s="30">
        <v>0</v>
      </c>
      <c r="V2032" s="233">
        <v>0</v>
      </c>
      <c r="W2032" s="30">
        <v>0</v>
      </c>
      <c r="X2032" s="30">
        <v>0</v>
      </c>
      <c r="Y2032" s="30">
        <v>0</v>
      </c>
      <c r="Z2032" s="233">
        <v>0</v>
      </c>
      <c r="AA2032" s="30">
        <v>0</v>
      </c>
      <c r="AB2032" s="30">
        <v>0</v>
      </c>
      <c r="AC2032" s="30">
        <v>0</v>
      </c>
      <c r="AD2032" s="30">
        <v>0</v>
      </c>
      <c r="AE2032" s="89" t="s">
        <v>92</v>
      </c>
      <c r="AF2032" s="89"/>
      <c r="AG2032" s="89" t="s">
        <v>133</v>
      </c>
      <c r="AH2032" s="72">
        <v>42188</v>
      </c>
      <c r="AI2032" s="30">
        <v>0</v>
      </c>
      <c r="AJ2032" s="89" t="s">
        <v>11372</v>
      </c>
      <c r="AK2032" s="89" t="s">
        <v>11373</v>
      </c>
      <c r="AL2032" s="91">
        <v>42256</v>
      </c>
      <c r="AM2032" s="91"/>
      <c r="AN2032" s="91"/>
      <c r="AO2032" s="91"/>
      <c r="AP2032" s="73" t="e">
        <f>MID(VLOOKUP(K2032,#REF!,2,FALSE),1,2)</f>
        <v>#REF!</v>
      </c>
      <c r="AQ2032" s="89">
        <f>DATE(2015,7,2)</f>
        <v>42187</v>
      </c>
      <c r="AR2032" s="82">
        <f t="shared" si="131"/>
        <v>2</v>
      </c>
      <c r="AS2032" s="83">
        <f t="shared" si="132"/>
        <v>7</v>
      </c>
      <c r="AT2032" s="84">
        <f t="shared" si="133"/>
        <v>2015</v>
      </c>
      <c r="AU2032" s="88">
        <f>DATE(2015,9,9)</f>
        <v>42256</v>
      </c>
      <c r="AV2032" s="88">
        <f>DATE(2015,7,3)</f>
        <v>42188</v>
      </c>
      <c r="AW2032" s="87">
        <f t="shared" si="135"/>
        <v>68</v>
      </c>
      <c r="AX2032" s="88">
        <f>DATE(2015,9,9)</f>
        <v>42256</v>
      </c>
      <c r="AY2032" s="83">
        <f>MONTH(AX2032)</f>
        <v>9</v>
      </c>
      <c r="AZ2032" s="84">
        <f>YEAR(AX2032)</f>
        <v>2015</v>
      </c>
      <c r="BA2032" s="88">
        <f>DATE(2015,7,2)</f>
        <v>42187</v>
      </c>
      <c r="BB2032" s="86"/>
    </row>
    <row r="2033" spans="1:54" ht="36.75" customHeight="1">
      <c r="A2033" s="30"/>
      <c r="B2033" s="30" t="s">
        <v>55</v>
      </c>
      <c r="C2033" s="69" t="str">
        <f t="shared" si="134"/>
        <v>Closed</v>
      </c>
      <c r="D2033" s="27" t="s">
        <v>11374</v>
      </c>
      <c r="E2033" s="29" t="s">
        <v>11375</v>
      </c>
      <c r="F2033" s="30" t="s">
        <v>423</v>
      </c>
      <c r="G2033" s="89">
        <f>DATE(2015,7,3)</f>
        <v>42188</v>
      </c>
      <c r="H2033" s="90">
        <v>1.4826388888888888</v>
      </c>
      <c r="I2033" s="30" t="s">
        <v>73</v>
      </c>
      <c r="J2033" s="89" t="s">
        <v>11376</v>
      </c>
      <c r="K2033" s="30" t="s">
        <v>425</v>
      </c>
      <c r="L2033" s="30" t="s">
        <v>11377</v>
      </c>
      <c r="M2033" s="30" t="s">
        <v>63</v>
      </c>
      <c r="N2033" s="30" t="s">
        <v>142</v>
      </c>
      <c r="O2033" s="30" t="s">
        <v>77</v>
      </c>
      <c r="P2033" s="89" t="s">
        <v>78</v>
      </c>
      <c r="Q2033" s="89" t="s">
        <v>2582</v>
      </c>
      <c r="R2033" s="89" t="s">
        <v>3103</v>
      </c>
      <c r="S2033" s="30">
        <v>0</v>
      </c>
      <c r="T2033" s="233">
        <v>0</v>
      </c>
      <c r="U2033" s="30">
        <v>0</v>
      </c>
      <c r="V2033" s="233">
        <v>0</v>
      </c>
      <c r="W2033" s="30">
        <v>0</v>
      </c>
      <c r="X2033" s="30">
        <v>0</v>
      </c>
      <c r="Y2033" s="30">
        <v>0</v>
      </c>
      <c r="Z2033" s="233">
        <v>0</v>
      </c>
      <c r="AA2033" s="30">
        <v>0</v>
      </c>
      <c r="AB2033" s="30">
        <v>0</v>
      </c>
      <c r="AC2033" s="30">
        <v>0</v>
      </c>
      <c r="AD2033" s="30">
        <v>0</v>
      </c>
      <c r="AE2033" s="89" t="s">
        <v>92</v>
      </c>
      <c r="AF2033" s="89"/>
      <c r="AG2033" s="89" t="s">
        <v>133</v>
      </c>
      <c r="AH2033" s="72">
        <v>42192</v>
      </c>
      <c r="AI2033" s="30">
        <v>0</v>
      </c>
      <c r="AJ2033" s="89" t="s">
        <v>11378</v>
      </c>
      <c r="AK2033" s="89" t="s">
        <v>11379</v>
      </c>
      <c r="AL2033" s="91">
        <v>42192</v>
      </c>
      <c r="AM2033" s="91"/>
      <c r="AN2033" s="91"/>
      <c r="AO2033" s="91"/>
      <c r="AP2033" s="73" t="e">
        <f>MID(VLOOKUP(K2033,#REF!,2,FALSE),1,2)</f>
        <v>#REF!</v>
      </c>
      <c r="AQ2033" s="89">
        <f>DATE(2015,7,3)</f>
        <v>42188</v>
      </c>
      <c r="AR2033" s="82">
        <f t="shared" si="131"/>
        <v>3</v>
      </c>
      <c r="AS2033" s="83">
        <f t="shared" si="132"/>
        <v>7</v>
      </c>
      <c r="AT2033" s="84">
        <f t="shared" si="133"/>
        <v>2015</v>
      </c>
      <c r="AU2033" s="88">
        <f>DATE(2015,7,7)</f>
        <v>42192</v>
      </c>
      <c r="AV2033" s="88">
        <f>DATE(2015,7,7)</f>
        <v>42192</v>
      </c>
      <c r="AW2033" s="87">
        <f t="shared" si="135"/>
        <v>0</v>
      </c>
      <c r="AX2033" s="88">
        <f>DATE(2015,7,7)</f>
        <v>42192</v>
      </c>
      <c r="AY2033" s="83">
        <f>MONTH(AX2033)</f>
        <v>7</v>
      </c>
      <c r="AZ2033" s="84">
        <f>YEAR(AX2033)</f>
        <v>2015</v>
      </c>
      <c r="BA2033" s="86"/>
      <c r="BB2033" s="86"/>
    </row>
    <row r="2034" spans="1:54" ht="36.75" customHeight="1">
      <c r="A2034" s="30"/>
      <c r="B2034" s="30" t="s">
        <v>55</v>
      </c>
      <c r="C2034" s="69" t="str">
        <f t="shared" si="134"/>
        <v>Closed</v>
      </c>
      <c r="D2034" s="27" t="s">
        <v>11380</v>
      </c>
      <c r="E2034" s="29" t="s">
        <v>11381</v>
      </c>
      <c r="F2034" s="30" t="s">
        <v>835</v>
      </c>
      <c r="G2034" s="89">
        <f>DATE(2015,7,3)</f>
        <v>42188</v>
      </c>
      <c r="H2034" s="90">
        <v>1.6708333333333334</v>
      </c>
      <c r="I2034" s="30" t="s">
        <v>2078</v>
      </c>
      <c r="J2034" s="89" t="s">
        <v>11382</v>
      </c>
      <c r="K2034" s="30" t="s">
        <v>837</v>
      </c>
      <c r="L2034" s="30" t="s">
        <v>11383</v>
      </c>
      <c r="M2034" s="30" t="s">
        <v>63</v>
      </c>
      <c r="N2034" s="30" t="s">
        <v>99</v>
      </c>
      <c r="O2034" s="30" t="s">
        <v>77</v>
      </c>
      <c r="P2034" s="89" t="s">
        <v>165</v>
      </c>
      <c r="Q2034" s="89" t="s">
        <v>2162</v>
      </c>
      <c r="R2034" s="89" t="s">
        <v>840</v>
      </c>
      <c r="S2034" s="30">
        <v>0</v>
      </c>
      <c r="T2034" s="233">
        <v>0</v>
      </c>
      <c r="U2034" s="30">
        <v>0</v>
      </c>
      <c r="V2034" s="233">
        <v>0</v>
      </c>
      <c r="W2034" s="30">
        <v>0</v>
      </c>
      <c r="X2034" s="30">
        <v>0</v>
      </c>
      <c r="Y2034" s="30">
        <v>0</v>
      </c>
      <c r="Z2034" s="233">
        <v>0</v>
      </c>
      <c r="AA2034" s="30">
        <v>0</v>
      </c>
      <c r="AB2034" s="30">
        <v>0</v>
      </c>
      <c r="AC2034" s="30">
        <v>0</v>
      </c>
      <c r="AD2034" s="30">
        <v>0</v>
      </c>
      <c r="AE2034" s="89" t="s">
        <v>92</v>
      </c>
      <c r="AF2034" s="89"/>
      <c r="AG2034" s="89" t="s">
        <v>352</v>
      </c>
      <c r="AH2034" s="72">
        <v>42191</v>
      </c>
      <c r="AI2034" s="30">
        <v>0</v>
      </c>
      <c r="AJ2034" s="89" t="s">
        <v>11384</v>
      </c>
      <c r="AK2034" s="89" t="s">
        <v>68</v>
      </c>
      <c r="AL2034" s="91">
        <v>42191</v>
      </c>
      <c r="AM2034" s="91"/>
      <c r="AN2034" s="91"/>
      <c r="AO2034" s="91"/>
      <c r="AP2034" s="73" t="e">
        <f>MID(VLOOKUP(K2034,#REF!,2,FALSE),1,2)</f>
        <v>#REF!</v>
      </c>
      <c r="AQ2034" s="89">
        <f>DATE(2015,7,3)</f>
        <v>42188</v>
      </c>
      <c r="AR2034" s="82">
        <f t="shared" si="131"/>
        <v>3</v>
      </c>
      <c r="AS2034" s="83">
        <f t="shared" si="132"/>
        <v>7</v>
      </c>
      <c r="AT2034" s="84">
        <f t="shared" si="133"/>
        <v>2015</v>
      </c>
      <c r="AU2034" s="88">
        <f>DATE(2015,7,6)</f>
        <v>42191</v>
      </c>
      <c r="AV2034" s="88">
        <f>DATE(2015,7,6)</f>
        <v>42191</v>
      </c>
      <c r="AW2034" s="87">
        <f t="shared" si="135"/>
        <v>0</v>
      </c>
      <c r="AX2034" s="88"/>
      <c r="AY2034" s="83"/>
      <c r="AZ2034" s="84"/>
      <c r="BA2034" s="86"/>
      <c r="BB2034" s="86"/>
    </row>
    <row r="2035" spans="1:54" ht="36.75" customHeight="1">
      <c r="A2035" s="30"/>
      <c r="B2035" s="30" t="s">
        <v>55</v>
      </c>
      <c r="C2035" s="69" t="str">
        <f t="shared" si="134"/>
        <v>Closed</v>
      </c>
      <c r="D2035" s="27" t="s">
        <v>11385</v>
      </c>
      <c r="E2035" s="29" t="s">
        <v>11386</v>
      </c>
      <c r="F2035" s="30" t="s">
        <v>1572</v>
      </c>
      <c r="G2035" s="89">
        <f>DATE(2015,7,5)</f>
        <v>42190</v>
      </c>
      <c r="H2035" s="90">
        <v>1.6909722222222223</v>
      </c>
      <c r="I2035" s="30" t="s">
        <v>73</v>
      </c>
      <c r="J2035" s="89" t="s">
        <v>11387</v>
      </c>
      <c r="K2035" s="30" t="s">
        <v>1574</v>
      </c>
      <c r="L2035" s="30" t="s">
        <v>11388</v>
      </c>
      <c r="M2035" s="30" t="s">
        <v>63</v>
      </c>
      <c r="N2035" s="30" t="s">
        <v>142</v>
      </c>
      <c r="O2035" s="30" t="s">
        <v>64</v>
      </c>
      <c r="P2035" s="89" t="s">
        <v>78</v>
      </c>
      <c r="Q2035" s="89" t="s">
        <v>9461</v>
      </c>
      <c r="R2035" s="89" t="s">
        <v>6434</v>
      </c>
      <c r="S2035" s="30">
        <v>0</v>
      </c>
      <c r="T2035" s="233">
        <v>0</v>
      </c>
      <c r="U2035" s="30">
        <v>0</v>
      </c>
      <c r="V2035" s="233">
        <v>0</v>
      </c>
      <c r="W2035" s="30">
        <v>0</v>
      </c>
      <c r="X2035" s="30">
        <v>0</v>
      </c>
      <c r="Y2035" s="30">
        <v>0</v>
      </c>
      <c r="Z2035" s="233">
        <v>0</v>
      </c>
      <c r="AA2035" s="30">
        <v>0</v>
      </c>
      <c r="AB2035" s="30">
        <v>0</v>
      </c>
      <c r="AC2035" s="30">
        <v>0</v>
      </c>
      <c r="AD2035" s="30">
        <v>0</v>
      </c>
      <c r="AE2035" s="89" t="s">
        <v>92</v>
      </c>
      <c r="AF2035" s="89"/>
      <c r="AG2035" s="89" t="s">
        <v>133</v>
      </c>
      <c r="AH2035" s="72">
        <v>42192</v>
      </c>
      <c r="AI2035" s="30">
        <v>0</v>
      </c>
      <c r="AJ2035" s="89" t="s">
        <v>11389</v>
      </c>
      <c r="AK2035" s="89" t="s">
        <v>11390</v>
      </c>
      <c r="AL2035" s="91">
        <v>42193</v>
      </c>
      <c r="AM2035" s="91"/>
      <c r="AN2035" s="91"/>
      <c r="AO2035" s="91"/>
      <c r="AP2035" s="73" t="e">
        <f>MID(VLOOKUP(K2035,#REF!,2,FALSE),1,2)</f>
        <v>#REF!</v>
      </c>
      <c r="AQ2035" s="89">
        <f>DATE(2015,7,5)</f>
        <v>42190</v>
      </c>
      <c r="AR2035" s="82">
        <f t="shared" si="131"/>
        <v>5</v>
      </c>
      <c r="AS2035" s="83">
        <f t="shared" si="132"/>
        <v>7</v>
      </c>
      <c r="AT2035" s="84">
        <f t="shared" si="133"/>
        <v>2015</v>
      </c>
      <c r="AU2035" s="88">
        <f>DATE(2015,7,8)</f>
        <v>42193</v>
      </c>
      <c r="AV2035" s="88">
        <f>DATE(2015,7,7)</f>
        <v>42192</v>
      </c>
      <c r="AW2035" s="87">
        <f t="shared" si="135"/>
        <v>1</v>
      </c>
      <c r="AX2035" s="88">
        <f>DATE(2015,7,8)</f>
        <v>42193</v>
      </c>
      <c r="AY2035" s="83">
        <f>MONTH(AX2035)</f>
        <v>7</v>
      </c>
      <c r="AZ2035" s="84">
        <f>YEAR(AX2035)</f>
        <v>2015</v>
      </c>
      <c r="BA2035" s="88">
        <f>DATE(2015,7,5)</f>
        <v>42190</v>
      </c>
      <c r="BB2035" s="86"/>
    </row>
    <row r="2036" spans="1:54" ht="36.75" customHeight="1">
      <c r="A2036" s="30"/>
      <c r="B2036" s="30" t="s">
        <v>55</v>
      </c>
      <c r="C2036" s="69" t="str">
        <f t="shared" si="134"/>
        <v>Closed</v>
      </c>
      <c r="D2036" s="27" t="s">
        <v>11391</v>
      </c>
      <c r="E2036" s="29" t="s">
        <v>11392</v>
      </c>
      <c r="F2036" s="30" t="s">
        <v>1572</v>
      </c>
      <c r="G2036" s="89">
        <f>DATE(2015,7,6)</f>
        <v>42191</v>
      </c>
      <c r="H2036" s="90">
        <v>1.7708333333333335</v>
      </c>
      <c r="I2036" s="30" t="s">
        <v>73</v>
      </c>
      <c r="J2036" s="89" t="s">
        <v>11393</v>
      </c>
      <c r="K2036" s="30" t="s">
        <v>1574</v>
      </c>
      <c r="L2036" s="30" t="s">
        <v>10606</v>
      </c>
      <c r="M2036" s="30" t="s">
        <v>63</v>
      </c>
      <c r="N2036" s="30" t="s">
        <v>99</v>
      </c>
      <c r="O2036" s="30" t="s">
        <v>77</v>
      </c>
      <c r="P2036" s="89" t="s">
        <v>78</v>
      </c>
      <c r="Q2036" s="89" t="s">
        <v>9075</v>
      </c>
      <c r="R2036" s="89" t="s">
        <v>6434</v>
      </c>
      <c r="S2036" s="30">
        <v>0</v>
      </c>
      <c r="T2036" s="233">
        <v>0</v>
      </c>
      <c r="U2036" s="30">
        <v>0</v>
      </c>
      <c r="V2036" s="233">
        <v>0</v>
      </c>
      <c r="W2036" s="30">
        <v>0</v>
      </c>
      <c r="X2036" s="30">
        <v>0</v>
      </c>
      <c r="Y2036" s="30">
        <v>0</v>
      </c>
      <c r="Z2036" s="233">
        <v>0</v>
      </c>
      <c r="AA2036" s="30">
        <v>0</v>
      </c>
      <c r="AB2036" s="30">
        <v>0</v>
      </c>
      <c r="AC2036" s="30">
        <v>0</v>
      </c>
      <c r="AD2036" s="30">
        <v>0</v>
      </c>
      <c r="AE2036" s="89" t="s">
        <v>92</v>
      </c>
      <c r="AF2036" s="89"/>
      <c r="AG2036" s="89" t="s">
        <v>133</v>
      </c>
      <c r="AH2036" s="72">
        <v>42192</v>
      </c>
      <c r="AI2036" s="30">
        <v>0</v>
      </c>
      <c r="AJ2036" s="89" t="s">
        <v>11394</v>
      </c>
      <c r="AK2036" s="89" t="s">
        <v>11395</v>
      </c>
      <c r="AL2036" s="91">
        <v>42193</v>
      </c>
      <c r="AM2036" s="91"/>
      <c r="AN2036" s="91"/>
      <c r="AO2036" s="91"/>
      <c r="AP2036" s="73" t="e">
        <f>MID(VLOOKUP(K2036,#REF!,2,FALSE),1,2)</f>
        <v>#REF!</v>
      </c>
      <c r="AQ2036" s="89">
        <f>DATE(2015,7,6)</f>
        <v>42191</v>
      </c>
      <c r="AR2036" s="82">
        <f t="shared" si="131"/>
        <v>6</v>
      </c>
      <c r="AS2036" s="83">
        <f t="shared" si="132"/>
        <v>7</v>
      </c>
      <c r="AT2036" s="84">
        <f t="shared" si="133"/>
        <v>2015</v>
      </c>
      <c r="AU2036" s="88">
        <f>DATE(2015,7,8)</f>
        <v>42193</v>
      </c>
      <c r="AV2036" s="88">
        <f>DATE(2015,7,7)</f>
        <v>42192</v>
      </c>
      <c r="AW2036" s="87">
        <f t="shared" si="135"/>
        <v>1</v>
      </c>
      <c r="AX2036" s="88">
        <f>DATE(2015,7,8)</f>
        <v>42193</v>
      </c>
      <c r="AY2036" s="83">
        <f>MONTH(AX2036)</f>
        <v>7</v>
      </c>
      <c r="AZ2036" s="84">
        <f>YEAR(AX2036)</f>
        <v>2015</v>
      </c>
      <c r="BA2036" s="88">
        <f>DATE(2015,7,6)</f>
        <v>42191</v>
      </c>
      <c r="BB2036" s="86"/>
    </row>
    <row r="2037" spans="1:54" ht="36.75" customHeight="1">
      <c r="A2037" s="30"/>
      <c r="B2037" s="30" t="s">
        <v>55</v>
      </c>
      <c r="C2037" s="69" t="str">
        <f t="shared" si="134"/>
        <v>Closed</v>
      </c>
      <c r="D2037" s="27" t="s">
        <v>11396</v>
      </c>
      <c r="E2037" s="29" t="s">
        <v>11397</v>
      </c>
      <c r="F2037" s="30" t="s">
        <v>835</v>
      </c>
      <c r="G2037" s="89">
        <f>DATE(2015,7,7)</f>
        <v>42192</v>
      </c>
      <c r="H2037" s="90">
        <v>1.1125</v>
      </c>
      <c r="I2037" s="30" t="s">
        <v>73</v>
      </c>
      <c r="J2037" s="89" t="s">
        <v>11398</v>
      </c>
      <c r="K2037" s="30" t="s">
        <v>837</v>
      </c>
      <c r="L2037" s="30" t="s">
        <v>11399</v>
      </c>
      <c r="M2037" s="30" t="s">
        <v>63</v>
      </c>
      <c r="N2037" s="30" t="s">
        <v>99</v>
      </c>
      <c r="O2037" s="30" t="s">
        <v>77</v>
      </c>
      <c r="P2037" s="89" t="s">
        <v>78</v>
      </c>
      <c r="Q2037" s="89" t="s">
        <v>4708</v>
      </c>
      <c r="R2037" s="89" t="s">
        <v>840</v>
      </c>
      <c r="S2037" s="30">
        <v>0</v>
      </c>
      <c r="T2037" s="233">
        <v>0</v>
      </c>
      <c r="U2037" s="30">
        <v>0</v>
      </c>
      <c r="V2037" s="233">
        <v>0</v>
      </c>
      <c r="W2037" s="30">
        <v>0</v>
      </c>
      <c r="X2037" s="30">
        <v>0</v>
      </c>
      <c r="Y2037" s="30">
        <v>0</v>
      </c>
      <c r="Z2037" s="233">
        <v>0</v>
      </c>
      <c r="AA2037" s="30">
        <v>0</v>
      </c>
      <c r="AB2037" s="30">
        <v>0</v>
      </c>
      <c r="AC2037" s="30">
        <v>0</v>
      </c>
      <c r="AD2037" s="30">
        <v>0</v>
      </c>
      <c r="AE2037" s="89" t="s">
        <v>92</v>
      </c>
      <c r="AF2037" s="89"/>
      <c r="AG2037" s="89" t="s">
        <v>352</v>
      </c>
      <c r="AH2037" s="72">
        <v>42192</v>
      </c>
      <c r="AI2037" s="30">
        <v>0</v>
      </c>
      <c r="AJ2037" s="89" t="s">
        <v>11400</v>
      </c>
      <c r="AK2037" s="89" t="s">
        <v>11401</v>
      </c>
      <c r="AL2037" s="91">
        <v>42194</v>
      </c>
      <c r="AM2037" s="91"/>
      <c r="AN2037" s="91"/>
      <c r="AO2037" s="91"/>
      <c r="AP2037" s="73" t="e">
        <f>MID(VLOOKUP(K2037,#REF!,2,FALSE),1,2)</f>
        <v>#REF!</v>
      </c>
      <c r="AQ2037" s="89">
        <f>DATE(2015,7,7)</f>
        <v>42192</v>
      </c>
      <c r="AR2037" s="82">
        <f t="shared" si="131"/>
        <v>7</v>
      </c>
      <c r="AS2037" s="83">
        <f t="shared" si="132"/>
        <v>7</v>
      </c>
      <c r="AT2037" s="84">
        <f t="shared" si="133"/>
        <v>2015</v>
      </c>
      <c r="AU2037" s="88">
        <f>DATE(2015,7,9)</f>
        <v>42194</v>
      </c>
      <c r="AV2037" s="88">
        <f>DATE(2015,7,7)</f>
        <v>42192</v>
      </c>
      <c r="AW2037" s="87">
        <f t="shared" si="135"/>
        <v>2</v>
      </c>
      <c r="AX2037" s="88">
        <f>DATE(2015,7,7)</f>
        <v>42192</v>
      </c>
      <c r="AY2037" s="83">
        <f>MONTH(AX2037)</f>
        <v>7</v>
      </c>
      <c r="AZ2037" s="84">
        <f>YEAR(AX2037)</f>
        <v>2015</v>
      </c>
      <c r="BA2037" s="88">
        <f>DATE(2015,7,7)</f>
        <v>42192</v>
      </c>
      <c r="BB2037" s="86"/>
    </row>
    <row r="2038" spans="1:54" ht="36.75" customHeight="1">
      <c r="A2038" s="30"/>
      <c r="B2038" s="30" t="s">
        <v>55</v>
      </c>
      <c r="C2038" s="69" t="str">
        <f t="shared" si="134"/>
        <v>Closed</v>
      </c>
      <c r="D2038" s="27" t="s">
        <v>11402</v>
      </c>
      <c r="E2038" s="29" t="s">
        <v>11403</v>
      </c>
      <c r="F2038" s="30" t="s">
        <v>9789</v>
      </c>
      <c r="G2038" s="89">
        <f>DATE(2015,7,10)</f>
        <v>42195</v>
      </c>
      <c r="H2038" s="90">
        <v>1.6770833333333335</v>
      </c>
      <c r="I2038" s="30" t="s">
        <v>9026</v>
      </c>
      <c r="J2038" s="210" t="s">
        <v>11404</v>
      </c>
      <c r="K2038" s="30" t="s">
        <v>9791</v>
      </c>
      <c r="L2038" s="30" t="s">
        <v>11405</v>
      </c>
      <c r="M2038" s="30" t="s">
        <v>63</v>
      </c>
      <c r="N2038" s="30" t="s">
        <v>99</v>
      </c>
      <c r="O2038" s="30" t="s">
        <v>64</v>
      </c>
      <c r="P2038" s="89" t="s">
        <v>6941</v>
      </c>
      <c r="Q2038" s="89" t="s">
        <v>9960</v>
      </c>
      <c r="R2038" s="89" t="s">
        <v>9794</v>
      </c>
      <c r="S2038" s="30">
        <v>0</v>
      </c>
      <c r="T2038" s="233">
        <v>0</v>
      </c>
      <c r="U2038" s="30">
        <v>1</v>
      </c>
      <c r="V2038" s="233">
        <v>0</v>
      </c>
      <c r="W2038" s="30">
        <v>0</v>
      </c>
      <c r="X2038" s="30">
        <v>1</v>
      </c>
      <c r="Y2038" s="30">
        <v>0</v>
      </c>
      <c r="Z2038" s="233">
        <v>0</v>
      </c>
      <c r="AA2038" s="30">
        <v>1</v>
      </c>
      <c r="AB2038" s="30">
        <v>0</v>
      </c>
      <c r="AC2038" s="30">
        <v>0</v>
      </c>
      <c r="AD2038" s="30">
        <v>1</v>
      </c>
      <c r="AE2038" s="89" t="s">
        <v>92</v>
      </c>
      <c r="AF2038" s="89"/>
      <c r="AG2038" s="89" t="s">
        <v>82</v>
      </c>
      <c r="AH2038" s="72">
        <v>42198</v>
      </c>
      <c r="AI2038" s="30">
        <v>5</v>
      </c>
      <c r="AJ2038" s="89" t="s">
        <v>11406</v>
      </c>
      <c r="AK2038" s="89" t="s">
        <v>11407</v>
      </c>
      <c r="AL2038" s="91">
        <v>42199</v>
      </c>
      <c r="AM2038" s="91"/>
      <c r="AN2038" s="91"/>
      <c r="AO2038" s="91"/>
      <c r="AP2038" s="73" t="e">
        <f>MID(VLOOKUP(K2038,#REF!,2,FALSE),1,2)</f>
        <v>#REF!</v>
      </c>
      <c r="AQ2038" s="89">
        <f>DATE(2015,7,10)</f>
        <v>42195</v>
      </c>
      <c r="AR2038" s="82">
        <f t="shared" si="131"/>
        <v>10</v>
      </c>
      <c r="AS2038" s="83">
        <f t="shared" si="132"/>
        <v>7</v>
      </c>
      <c r="AT2038" s="84">
        <f t="shared" si="133"/>
        <v>2015</v>
      </c>
      <c r="AU2038" s="88">
        <f>DATE(2015,7,14)</f>
        <v>42199</v>
      </c>
      <c r="AV2038" s="88">
        <f>DATE(2015,7,13)</f>
        <v>42198</v>
      </c>
      <c r="AW2038" s="87">
        <f t="shared" si="135"/>
        <v>1</v>
      </c>
      <c r="AX2038" s="86"/>
      <c r="AY2038" s="83"/>
      <c r="AZ2038" s="84"/>
      <c r="BA2038" s="86"/>
      <c r="BB2038" s="86"/>
    </row>
    <row r="2039" spans="1:54" ht="36.75" customHeight="1">
      <c r="A2039" s="30"/>
      <c r="B2039" s="30" t="s">
        <v>55</v>
      </c>
      <c r="C2039" s="69" t="str">
        <f t="shared" si="134"/>
        <v>Closed</v>
      </c>
      <c r="D2039" s="27" t="s">
        <v>11408</v>
      </c>
      <c r="E2039" s="29" t="s">
        <v>11409</v>
      </c>
      <c r="F2039" s="30" t="s">
        <v>2336</v>
      </c>
      <c r="G2039" s="89">
        <f>DATE(2015,7,11)</f>
        <v>42196</v>
      </c>
      <c r="H2039" s="90">
        <v>1.7152777777777777</v>
      </c>
      <c r="I2039" s="30" t="s">
        <v>116</v>
      </c>
      <c r="J2039" s="89" t="s">
        <v>11410</v>
      </c>
      <c r="K2039" s="30" t="s">
        <v>2338</v>
      </c>
      <c r="L2039" s="30" t="s">
        <v>11411</v>
      </c>
      <c r="M2039" s="30" t="s">
        <v>63</v>
      </c>
      <c r="N2039" s="30" t="s">
        <v>142</v>
      </c>
      <c r="O2039" s="30" t="s">
        <v>64</v>
      </c>
      <c r="P2039" s="89" t="s">
        <v>65</v>
      </c>
      <c r="Q2039" s="89" t="s">
        <v>2945</v>
      </c>
      <c r="R2039" s="89" t="s">
        <v>2341</v>
      </c>
      <c r="S2039" s="30">
        <v>0</v>
      </c>
      <c r="T2039" s="233">
        <v>0</v>
      </c>
      <c r="U2039" s="30">
        <v>2</v>
      </c>
      <c r="V2039" s="233">
        <v>0</v>
      </c>
      <c r="W2039" s="30">
        <v>0</v>
      </c>
      <c r="X2039" s="30">
        <v>2</v>
      </c>
      <c r="Y2039" s="30">
        <v>0</v>
      </c>
      <c r="Z2039" s="233">
        <v>0</v>
      </c>
      <c r="AA2039" s="30">
        <v>1</v>
      </c>
      <c r="AB2039" s="30">
        <v>0</v>
      </c>
      <c r="AC2039" s="30">
        <v>0</v>
      </c>
      <c r="AD2039" s="30">
        <v>1</v>
      </c>
      <c r="AE2039" s="89" t="s">
        <v>92</v>
      </c>
      <c r="AF2039" s="89"/>
      <c r="AG2039" s="89" t="s">
        <v>82</v>
      </c>
      <c r="AH2039" s="72">
        <v>42201</v>
      </c>
      <c r="AI2039" s="30">
        <v>12</v>
      </c>
      <c r="AJ2039" s="89" t="s">
        <v>11412</v>
      </c>
      <c r="AK2039" s="89" t="s">
        <v>11413</v>
      </c>
      <c r="AL2039" s="91">
        <v>42208</v>
      </c>
      <c r="AM2039" s="91"/>
      <c r="AN2039" s="91"/>
      <c r="AO2039" s="91"/>
      <c r="AP2039" s="73" t="e">
        <f>MID(VLOOKUP(K2039,#REF!,2,FALSE),1,2)</f>
        <v>#REF!</v>
      </c>
      <c r="AQ2039" s="89">
        <f>DATE(2015,7,11)</f>
        <v>42196</v>
      </c>
      <c r="AR2039" s="82">
        <f t="shared" si="131"/>
        <v>11</v>
      </c>
      <c r="AS2039" s="83">
        <f t="shared" si="132"/>
        <v>7</v>
      </c>
      <c r="AT2039" s="84">
        <f t="shared" si="133"/>
        <v>2015</v>
      </c>
      <c r="AU2039" s="88">
        <f>DATE(2015,7,23)</f>
        <v>42208</v>
      </c>
      <c r="AV2039" s="88">
        <f>DATE(2015,7,16)</f>
        <v>42201</v>
      </c>
      <c r="AW2039" s="87">
        <f t="shared" si="135"/>
        <v>7</v>
      </c>
      <c r="AX2039" s="88">
        <f>DATE(2015,7,23)</f>
        <v>42208</v>
      </c>
      <c r="AY2039" s="83">
        <f>MONTH(AX2039)</f>
        <v>7</v>
      </c>
      <c r="AZ2039" s="84">
        <f>YEAR(AX2039)</f>
        <v>2015</v>
      </c>
      <c r="BA2039" s="88">
        <f>DATE(2015,7,16)</f>
        <v>42201</v>
      </c>
      <c r="BB2039" s="86"/>
    </row>
    <row r="2040" spans="1:54" ht="36.75" customHeight="1">
      <c r="A2040" s="30"/>
      <c r="B2040" s="30" t="s">
        <v>55</v>
      </c>
      <c r="C2040" s="69" t="str">
        <f t="shared" si="134"/>
        <v>Closed</v>
      </c>
      <c r="D2040" s="27" t="s">
        <v>11414</v>
      </c>
      <c r="E2040" s="29" t="s">
        <v>11415</v>
      </c>
      <c r="F2040" s="30" t="s">
        <v>423</v>
      </c>
      <c r="G2040" s="89">
        <f>DATE(2015,7,14)</f>
        <v>42199</v>
      </c>
      <c r="H2040" s="90">
        <v>1.9673611111111109</v>
      </c>
      <c r="I2040" s="30" t="s">
        <v>156</v>
      </c>
      <c r="J2040" s="89" t="s">
        <v>11416</v>
      </c>
      <c r="K2040" s="30" t="s">
        <v>425</v>
      </c>
      <c r="L2040" s="30" t="s">
        <v>11417</v>
      </c>
      <c r="M2040" s="30" t="s">
        <v>63</v>
      </c>
      <c r="N2040" s="30" t="s">
        <v>89</v>
      </c>
      <c r="O2040" s="30" t="s">
        <v>77</v>
      </c>
      <c r="P2040" s="89" t="s">
        <v>165</v>
      </c>
      <c r="Q2040" s="89" t="s">
        <v>4551</v>
      </c>
      <c r="R2040" s="89" t="s">
        <v>3103</v>
      </c>
      <c r="S2040" s="30">
        <v>0</v>
      </c>
      <c r="T2040" s="233">
        <v>0</v>
      </c>
      <c r="U2040" s="30">
        <v>0</v>
      </c>
      <c r="V2040" s="233">
        <v>0</v>
      </c>
      <c r="W2040" s="30">
        <v>0</v>
      </c>
      <c r="X2040" s="30">
        <v>0</v>
      </c>
      <c r="Y2040" s="30">
        <v>0</v>
      </c>
      <c r="Z2040" s="233">
        <v>0</v>
      </c>
      <c r="AA2040" s="30">
        <v>0</v>
      </c>
      <c r="AB2040" s="30">
        <v>0</v>
      </c>
      <c r="AC2040" s="30">
        <v>0</v>
      </c>
      <c r="AD2040" s="30">
        <v>0</v>
      </c>
      <c r="AE2040" s="89" t="s">
        <v>145</v>
      </c>
      <c r="AF2040" s="89"/>
      <c r="AG2040" s="89" t="s">
        <v>133</v>
      </c>
      <c r="AH2040" s="72">
        <v>42200</v>
      </c>
      <c r="AI2040" s="30">
        <v>2</v>
      </c>
      <c r="AJ2040" s="89" t="s">
        <v>11418</v>
      </c>
      <c r="AK2040" s="89" t="s">
        <v>11419</v>
      </c>
      <c r="AL2040" s="91">
        <v>42201</v>
      </c>
      <c r="AM2040" s="91"/>
      <c r="AN2040" s="91"/>
      <c r="AO2040" s="91"/>
      <c r="AP2040" s="73" t="e">
        <f>MID(VLOOKUP(K2040,#REF!,2,FALSE),1,2)</f>
        <v>#REF!</v>
      </c>
      <c r="AQ2040" s="89">
        <f>DATE(2015,7,14)</f>
        <v>42199</v>
      </c>
      <c r="AR2040" s="82">
        <f t="shared" ref="AR2040:AR2103" si="138">DAY(AQ2040)</f>
        <v>14</v>
      </c>
      <c r="AS2040" s="83">
        <f t="shared" ref="AS2040:AS2103" si="139">MONTH(AQ2040)</f>
        <v>7</v>
      </c>
      <c r="AT2040" s="84">
        <f t="shared" ref="AT2040:AT2103" si="140">YEAR(AQ2040)</f>
        <v>2015</v>
      </c>
      <c r="AU2040" s="88">
        <f>DATE(2015,7,16)</f>
        <v>42201</v>
      </c>
      <c r="AV2040" s="88">
        <f>DATE(2015,7,15)</f>
        <v>42200</v>
      </c>
      <c r="AW2040" s="87">
        <f t="shared" si="135"/>
        <v>1</v>
      </c>
      <c r="AX2040" s="88">
        <f>DATE(2015,7,16)</f>
        <v>42201</v>
      </c>
      <c r="AY2040" s="83">
        <f>MONTH(AX2040)</f>
        <v>7</v>
      </c>
      <c r="AZ2040" s="84">
        <f>YEAR(AX2040)</f>
        <v>2015</v>
      </c>
      <c r="BA2040" s="86"/>
      <c r="BB2040" s="86"/>
    </row>
    <row r="2041" spans="1:54" ht="36.75" customHeight="1">
      <c r="A2041" s="30"/>
      <c r="B2041" s="30" t="s">
        <v>55</v>
      </c>
      <c r="C2041" s="69" t="str">
        <f t="shared" si="134"/>
        <v>Closed</v>
      </c>
      <c r="D2041" s="27" t="s">
        <v>11420</v>
      </c>
      <c r="E2041" s="29" t="s">
        <v>11421</v>
      </c>
      <c r="F2041" s="30" t="s">
        <v>197</v>
      </c>
      <c r="G2041" s="89">
        <f>DATE(2015,7,15)</f>
        <v>42200</v>
      </c>
      <c r="H2041" s="90">
        <v>1.336111111111111</v>
      </c>
      <c r="I2041" s="30" t="s">
        <v>104</v>
      </c>
      <c r="J2041" s="89" t="s">
        <v>11422</v>
      </c>
      <c r="K2041" s="30" t="s">
        <v>200</v>
      </c>
      <c r="L2041" s="30" t="s">
        <v>11423</v>
      </c>
      <c r="M2041" s="30" t="s">
        <v>63</v>
      </c>
      <c r="N2041" s="30" t="s">
        <v>89</v>
      </c>
      <c r="O2041" s="30" t="s">
        <v>77</v>
      </c>
      <c r="P2041" s="89" t="s">
        <v>8025</v>
      </c>
      <c r="Q2041" s="89" t="s">
        <v>11424</v>
      </c>
      <c r="R2041" s="89" t="s">
        <v>203</v>
      </c>
      <c r="S2041" s="30">
        <v>0</v>
      </c>
      <c r="T2041" s="233">
        <v>0</v>
      </c>
      <c r="U2041" s="30">
        <v>0</v>
      </c>
      <c r="V2041" s="233">
        <v>0</v>
      </c>
      <c r="W2041" s="30">
        <v>0</v>
      </c>
      <c r="X2041" s="30">
        <v>0</v>
      </c>
      <c r="Y2041" s="30">
        <v>0</v>
      </c>
      <c r="Z2041" s="233">
        <v>0</v>
      </c>
      <c r="AA2041" s="30">
        <v>0</v>
      </c>
      <c r="AB2041" s="30">
        <v>0</v>
      </c>
      <c r="AC2041" s="30">
        <v>0</v>
      </c>
      <c r="AD2041" s="30">
        <v>0</v>
      </c>
      <c r="AE2041" s="89" t="s">
        <v>145</v>
      </c>
      <c r="AF2041" s="89"/>
      <c r="AG2041" s="89" t="s">
        <v>82</v>
      </c>
      <c r="AH2041" s="72">
        <v>42202</v>
      </c>
      <c r="AI2041" s="30">
        <v>2</v>
      </c>
      <c r="AJ2041" s="89" t="s">
        <v>11425</v>
      </c>
      <c r="AK2041" s="89" t="s">
        <v>1233</v>
      </c>
      <c r="AL2041" s="91">
        <v>42216</v>
      </c>
      <c r="AM2041" s="91"/>
      <c r="AN2041" s="91"/>
      <c r="AO2041" s="91"/>
      <c r="AP2041" s="73" t="e">
        <f>MID(VLOOKUP(K2041,#REF!,2,FALSE),1,2)</f>
        <v>#REF!</v>
      </c>
      <c r="AQ2041" s="89">
        <f>DATE(2015,7,15)</f>
        <v>42200</v>
      </c>
      <c r="AR2041" s="82">
        <f t="shared" si="138"/>
        <v>15</v>
      </c>
      <c r="AS2041" s="83">
        <f t="shared" si="139"/>
        <v>7</v>
      </c>
      <c r="AT2041" s="84">
        <f t="shared" si="140"/>
        <v>2015</v>
      </c>
      <c r="AU2041" s="88">
        <f>DATE(2015,7,31)</f>
        <v>42216</v>
      </c>
      <c r="AV2041" s="88">
        <f>DATE(2015,7,17)</f>
        <v>42202</v>
      </c>
      <c r="AW2041" s="87">
        <f t="shared" si="135"/>
        <v>14</v>
      </c>
      <c r="AX2041" s="86"/>
      <c r="AY2041" s="83"/>
      <c r="AZ2041" s="84"/>
      <c r="BA2041" s="86"/>
      <c r="BB2041" s="86"/>
    </row>
    <row r="2042" spans="1:54" ht="36.75" customHeight="1">
      <c r="A2042" s="30"/>
      <c r="B2042" s="30" t="s">
        <v>55</v>
      </c>
      <c r="C2042" s="69" t="str">
        <f t="shared" si="134"/>
        <v>Closed</v>
      </c>
      <c r="D2042" s="27" t="s">
        <v>11426</v>
      </c>
      <c r="E2042" s="29" t="s">
        <v>11427</v>
      </c>
      <c r="F2042" s="30" t="s">
        <v>377</v>
      </c>
      <c r="G2042" s="89">
        <f>DATE(2015,7,20)</f>
        <v>42205</v>
      </c>
      <c r="H2042" s="90">
        <v>1.5902777777777777</v>
      </c>
      <c r="I2042" s="30" t="s">
        <v>5494</v>
      </c>
      <c r="J2042" s="89" t="s">
        <v>11428</v>
      </c>
      <c r="K2042" s="30" t="s">
        <v>379</v>
      </c>
      <c r="L2042" s="30" t="s">
        <v>11429</v>
      </c>
      <c r="M2042" s="30" t="s">
        <v>63</v>
      </c>
      <c r="N2042" s="30" t="s">
        <v>142</v>
      </c>
      <c r="O2042" s="30" t="s">
        <v>64</v>
      </c>
      <c r="P2042" s="89" t="s">
        <v>165</v>
      </c>
      <c r="Q2042" s="89" t="s">
        <v>2906</v>
      </c>
      <c r="R2042" s="89" t="s">
        <v>382</v>
      </c>
      <c r="S2042" s="30">
        <v>0</v>
      </c>
      <c r="T2042" s="233">
        <v>0</v>
      </c>
      <c r="U2042" s="30">
        <v>0</v>
      </c>
      <c r="V2042" s="233">
        <v>0</v>
      </c>
      <c r="W2042" s="30">
        <v>0</v>
      </c>
      <c r="X2042" s="30">
        <v>0</v>
      </c>
      <c r="Y2042" s="30">
        <v>0</v>
      </c>
      <c r="Z2042" s="233">
        <v>0</v>
      </c>
      <c r="AA2042" s="30">
        <v>0</v>
      </c>
      <c r="AB2042" s="30">
        <v>0</v>
      </c>
      <c r="AC2042" s="30">
        <v>0</v>
      </c>
      <c r="AD2042" s="30">
        <v>0</v>
      </c>
      <c r="AE2042" s="89" t="s">
        <v>92</v>
      </c>
      <c r="AF2042" s="89"/>
      <c r="AG2042" s="89" t="s">
        <v>133</v>
      </c>
      <c r="AH2042" s="72">
        <v>42213</v>
      </c>
      <c r="AI2042" s="30">
        <v>3</v>
      </c>
      <c r="AJ2042" s="89" t="s">
        <v>11430</v>
      </c>
      <c r="AK2042" s="89" t="s">
        <v>11431</v>
      </c>
      <c r="AL2042" s="91">
        <v>42222</v>
      </c>
      <c r="AM2042" s="91"/>
      <c r="AN2042" s="91"/>
      <c r="AO2042" s="91"/>
      <c r="AP2042" s="73" t="e">
        <f>MID(VLOOKUP(K2042,#REF!,2,FALSE),1,2)</f>
        <v>#REF!</v>
      </c>
      <c r="AQ2042" s="89">
        <f>DATE(2015,7,20)</f>
        <v>42205</v>
      </c>
      <c r="AR2042" s="82">
        <f t="shared" si="138"/>
        <v>20</v>
      </c>
      <c r="AS2042" s="83">
        <f t="shared" si="139"/>
        <v>7</v>
      </c>
      <c r="AT2042" s="84">
        <f t="shared" si="140"/>
        <v>2015</v>
      </c>
      <c r="AU2042" s="88">
        <f>DATE(2015,8,6)</f>
        <v>42222</v>
      </c>
      <c r="AV2042" s="88">
        <f>DATE(2015,7,28)</f>
        <v>42213</v>
      </c>
      <c r="AW2042" s="87">
        <f t="shared" si="135"/>
        <v>9</v>
      </c>
      <c r="AX2042" s="88">
        <f>DATE(2015,8,6)</f>
        <v>42222</v>
      </c>
      <c r="AY2042" s="83">
        <f>MONTH(AX2042)</f>
        <v>8</v>
      </c>
      <c r="AZ2042" s="84">
        <f>YEAR(AX2042)</f>
        <v>2015</v>
      </c>
      <c r="BA2042" s="88">
        <f>DATE(2015,7,20)</f>
        <v>42205</v>
      </c>
      <c r="BB2042" s="86"/>
    </row>
    <row r="2043" spans="1:54" ht="36.75" customHeight="1">
      <c r="A2043" s="30"/>
      <c r="B2043" s="30" t="s">
        <v>55</v>
      </c>
      <c r="C2043" s="69" t="str">
        <f t="shared" si="134"/>
        <v>Closed</v>
      </c>
      <c r="D2043" s="27" t="s">
        <v>11432</v>
      </c>
      <c r="E2043" s="29" t="s">
        <v>11433</v>
      </c>
      <c r="F2043" s="30" t="s">
        <v>1572</v>
      </c>
      <c r="G2043" s="89">
        <f>DATE(2015,7,20)</f>
        <v>42205</v>
      </c>
      <c r="H2043" s="90">
        <v>1.6805555555555554</v>
      </c>
      <c r="I2043" s="30" t="s">
        <v>73</v>
      </c>
      <c r="J2043" s="89" t="s">
        <v>11434</v>
      </c>
      <c r="K2043" s="30" t="s">
        <v>1574</v>
      </c>
      <c r="L2043" s="30" t="s">
        <v>11435</v>
      </c>
      <c r="M2043" s="30" t="s">
        <v>63</v>
      </c>
      <c r="N2043" s="30" t="s">
        <v>99</v>
      </c>
      <c r="O2043" s="30" t="s">
        <v>64</v>
      </c>
      <c r="P2043" s="89" t="s">
        <v>78</v>
      </c>
      <c r="Q2043" s="89" t="s">
        <v>5619</v>
      </c>
      <c r="R2043" s="89" t="s">
        <v>6434</v>
      </c>
      <c r="S2043" s="30">
        <v>0</v>
      </c>
      <c r="T2043" s="233">
        <v>0</v>
      </c>
      <c r="U2043" s="30">
        <v>0</v>
      </c>
      <c r="V2043" s="233">
        <v>0</v>
      </c>
      <c r="W2043" s="30">
        <v>0</v>
      </c>
      <c r="X2043" s="30">
        <v>0</v>
      </c>
      <c r="Y2043" s="30">
        <v>0</v>
      </c>
      <c r="Z2043" s="233">
        <v>0</v>
      </c>
      <c r="AA2043" s="30">
        <v>0</v>
      </c>
      <c r="AB2043" s="30">
        <v>0</v>
      </c>
      <c r="AC2043" s="30">
        <v>0</v>
      </c>
      <c r="AD2043" s="30">
        <v>0</v>
      </c>
      <c r="AE2043" s="89" t="s">
        <v>92</v>
      </c>
      <c r="AF2043" s="89"/>
      <c r="AG2043" s="89" t="s">
        <v>133</v>
      </c>
      <c r="AH2043" s="72">
        <v>42206</v>
      </c>
      <c r="AI2043" s="30">
        <v>1</v>
      </c>
      <c r="AJ2043" s="89" t="s">
        <v>11436</v>
      </c>
      <c r="AK2043" s="89" t="s">
        <v>11437</v>
      </c>
      <c r="AL2043" s="91">
        <v>42212</v>
      </c>
      <c r="AM2043" s="91"/>
      <c r="AN2043" s="91"/>
      <c r="AO2043" s="91"/>
      <c r="AP2043" s="73" t="e">
        <f>MID(VLOOKUP(K2043,#REF!,2,FALSE),1,2)</f>
        <v>#REF!</v>
      </c>
      <c r="AQ2043" s="89">
        <f>DATE(2015,7,20)</f>
        <v>42205</v>
      </c>
      <c r="AR2043" s="82">
        <f t="shared" si="138"/>
        <v>20</v>
      </c>
      <c r="AS2043" s="83">
        <f t="shared" si="139"/>
        <v>7</v>
      </c>
      <c r="AT2043" s="84">
        <f t="shared" si="140"/>
        <v>2015</v>
      </c>
      <c r="AU2043" s="88">
        <f>DATE(2015,7,27)</f>
        <v>42212</v>
      </c>
      <c r="AV2043" s="88">
        <f>DATE(2015,7,21)</f>
        <v>42206</v>
      </c>
      <c r="AW2043" s="87">
        <f t="shared" si="135"/>
        <v>6</v>
      </c>
      <c r="AX2043" s="88">
        <f>DATE(2015,7,27)</f>
        <v>42212</v>
      </c>
      <c r="AY2043" s="83">
        <f>MONTH(AX2043)</f>
        <v>7</v>
      </c>
      <c r="AZ2043" s="84">
        <f>YEAR(AX2043)</f>
        <v>2015</v>
      </c>
      <c r="BA2043" s="88">
        <f>DATE(2015,7,20)</f>
        <v>42205</v>
      </c>
      <c r="BB2043" s="86"/>
    </row>
    <row r="2044" spans="1:54" ht="36.75" customHeight="1">
      <c r="A2044" s="30"/>
      <c r="B2044" s="30" t="s">
        <v>2124</v>
      </c>
      <c r="C2044" s="69" t="str">
        <f t="shared" si="134"/>
        <v>Open</v>
      </c>
      <c r="D2044" s="27" t="s">
        <v>11438</v>
      </c>
      <c r="E2044" s="29" t="s">
        <v>11439</v>
      </c>
      <c r="F2044" s="30" t="s">
        <v>594</v>
      </c>
      <c r="G2044" s="89">
        <f>DATE(2015,7,21)</f>
        <v>42206</v>
      </c>
      <c r="H2044" s="90">
        <v>0</v>
      </c>
      <c r="I2044" s="30" t="s">
        <v>73</v>
      </c>
      <c r="J2044" s="89" t="s">
        <v>11440</v>
      </c>
      <c r="K2044" s="30" t="s">
        <v>596</v>
      </c>
      <c r="L2044" s="30" t="s">
        <v>11441</v>
      </c>
      <c r="M2044" s="30" t="s">
        <v>63</v>
      </c>
      <c r="N2044" s="30" t="s">
        <v>99</v>
      </c>
      <c r="O2044" s="30" t="s">
        <v>64</v>
      </c>
      <c r="P2044" s="89" t="s">
        <v>78</v>
      </c>
      <c r="Q2044" s="89" t="s">
        <v>5121</v>
      </c>
      <c r="R2044" s="89" t="s">
        <v>599</v>
      </c>
      <c r="S2044" s="30">
        <v>0</v>
      </c>
      <c r="T2044" s="233">
        <v>0</v>
      </c>
      <c r="U2044" s="30">
        <v>0</v>
      </c>
      <c r="V2044" s="233">
        <v>0</v>
      </c>
      <c r="W2044" s="30">
        <v>0</v>
      </c>
      <c r="X2044" s="30">
        <v>0</v>
      </c>
      <c r="Y2044" s="30">
        <v>0</v>
      </c>
      <c r="Z2044" s="233">
        <v>0</v>
      </c>
      <c r="AA2044" s="30">
        <v>0</v>
      </c>
      <c r="AB2044" s="30">
        <v>0</v>
      </c>
      <c r="AC2044" s="30">
        <v>0</v>
      </c>
      <c r="AD2044" s="30">
        <v>0</v>
      </c>
      <c r="AE2044" s="89" t="s">
        <v>92</v>
      </c>
      <c r="AF2044" s="89"/>
      <c r="AG2044" s="89" t="s">
        <v>11442</v>
      </c>
      <c r="AH2044" s="72">
        <v>42071</v>
      </c>
      <c r="AI2044" s="30">
        <v>0</v>
      </c>
      <c r="AJ2044" s="89" t="s">
        <v>68</v>
      </c>
      <c r="AK2044" s="89" t="s">
        <v>68</v>
      </c>
      <c r="AL2044" s="91">
        <v>42226</v>
      </c>
      <c r="AM2044" s="91"/>
      <c r="AN2044" s="91"/>
      <c r="AO2044" s="91"/>
      <c r="AP2044" s="73" t="e">
        <f>MID(VLOOKUP(K2044,#REF!,2,FALSE),1,2)</f>
        <v>#REF!</v>
      </c>
      <c r="AQ2044" s="89">
        <f>DATE(2015,7,21)</f>
        <v>42206</v>
      </c>
      <c r="AR2044" s="82">
        <f t="shared" si="138"/>
        <v>21</v>
      </c>
      <c r="AS2044" s="83">
        <f t="shared" si="139"/>
        <v>7</v>
      </c>
      <c r="AT2044" s="84">
        <f t="shared" si="140"/>
        <v>2015</v>
      </c>
      <c r="AU2044" s="88">
        <f>DATE(2015,8,11)</f>
        <v>42227</v>
      </c>
      <c r="AV2044" s="88">
        <f>DATE(2015,8,3)</f>
        <v>42219</v>
      </c>
      <c r="AW2044" s="87">
        <f t="shared" si="135"/>
        <v>8</v>
      </c>
      <c r="AX2044" s="88">
        <f>DATE(2015,8,3)</f>
        <v>42219</v>
      </c>
      <c r="AY2044" s="83">
        <f>MONTH(AX2044)</f>
        <v>8</v>
      </c>
      <c r="AZ2044" s="84">
        <f>YEAR(AX2044)</f>
        <v>2015</v>
      </c>
      <c r="BA2044" s="88">
        <f>DATE(2015,8,5)</f>
        <v>42221</v>
      </c>
      <c r="BB2044" s="86"/>
    </row>
    <row r="2045" spans="1:54" ht="36.75" customHeight="1">
      <c r="A2045" s="30"/>
      <c r="B2045" s="30" t="s">
        <v>55</v>
      </c>
      <c r="C2045" s="69" t="str">
        <f t="shared" si="134"/>
        <v>Closed</v>
      </c>
      <c r="D2045" s="27" t="s">
        <v>11443</v>
      </c>
      <c r="E2045" s="29" t="s">
        <v>11444</v>
      </c>
      <c r="F2045" s="30" t="s">
        <v>423</v>
      </c>
      <c r="G2045" s="89">
        <f>DATE(2015,7,22)</f>
        <v>42207</v>
      </c>
      <c r="H2045" s="90">
        <v>1.320138888888889</v>
      </c>
      <c r="I2045" s="30" t="s">
        <v>116</v>
      </c>
      <c r="J2045" s="89" t="s">
        <v>11445</v>
      </c>
      <c r="K2045" s="30" t="s">
        <v>425</v>
      </c>
      <c r="L2045" s="30" t="s">
        <v>11446</v>
      </c>
      <c r="M2045" s="30" t="s">
        <v>63</v>
      </c>
      <c r="N2045" s="30" t="s">
        <v>89</v>
      </c>
      <c r="O2045" s="30" t="s">
        <v>64</v>
      </c>
      <c r="P2045" s="89" t="s">
        <v>65</v>
      </c>
      <c r="Q2045" s="89" t="s">
        <v>4551</v>
      </c>
      <c r="R2045" s="89" t="s">
        <v>3103</v>
      </c>
      <c r="S2045" s="30">
        <v>3</v>
      </c>
      <c r="T2045" s="233">
        <v>0</v>
      </c>
      <c r="U2045" s="30">
        <v>0</v>
      </c>
      <c r="V2045" s="233">
        <v>0</v>
      </c>
      <c r="W2045" s="30">
        <v>0</v>
      </c>
      <c r="X2045" s="30">
        <v>3</v>
      </c>
      <c r="Y2045" s="30">
        <v>4</v>
      </c>
      <c r="Z2045" s="233">
        <v>1</v>
      </c>
      <c r="AA2045" s="30">
        <v>0</v>
      </c>
      <c r="AB2045" s="30">
        <v>0</v>
      </c>
      <c r="AC2045" s="30">
        <v>0</v>
      </c>
      <c r="AD2045" s="30">
        <v>5</v>
      </c>
      <c r="AE2045" s="89" t="s">
        <v>145</v>
      </c>
      <c r="AF2045" s="89"/>
      <c r="AG2045" s="89" t="s">
        <v>82</v>
      </c>
      <c r="AH2045" s="72">
        <v>42207</v>
      </c>
      <c r="AI2045" s="30">
        <v>4</v>
      </c>
      <c r="AJ2045" s="89" t="s">
        <v>11447</v>
      </c>
      <c r="AK2045" s="89" t="s">
        <v>11448</v>
      </c>
      <c r="AL2045" s="91">
        <v>42213</v>
      </c>
      <c r="AM2045" s="91"/>
      <c r="AN2045" s="91"/>
      <c r="AO2045" s="91"/>
      <c r="AP2045" s="73" t="e">
        <f>MID(VLOOKUP(K2045,#REF!,2,FALSE),1,2)</f>
        <v>#REF!</v>
      </c>
      <c r="AQ2045" s="89">
        <f>DATE(2015,7,22)</f>
        <v>42207</v>
      </c>
      <c r="AR2045" s="82">
        <f t="shared" si="138"/>
        <v>22</v>
      </c>
      <c r="AS2045" s="83">
        <f t="shared" si="139"/>
        <v>7</v>
      </c>
      <c r="AT2045" s="84">
        <f t="shared" si="140"/>
        <v>2015</v>
      </c>
      <c r="AU2045" s="88">
        <f>DATE(2015,7,28)</f>
        <v>42213</v>
      </c>
      <c r="AV2045" s="88">
        <f>DATE(2015,7,22)</f>
        <v>42207</v>
      </c>
      <c r="AW2045" s="87">
        <f t="shared" si="135"/>
        <v>6</v>
      </c>
      <c r="AX2045" s="86"/>
      <c r="AY2045" s="83"/>
      <c r="AZ2045" s="84"/>
      <c r="BA2045" s="86"/>
      <c r="BB2045" s="86"/>
    </row>
    <row r="2046" spans="1:54" ht="36.75" customHeight="1">
      <c r="A2046" s="30"/>
      <c r="B2046" s="30" t="s">
        <v>55</v>
      </c>
      <c r="C2046" s="69" t="str">
        <f t="shared" si="134"/>
        <v>Closed</v>
      </c>
      <c r="D2046" s="27" t="s">
        <v>11449</v>
      </c>
      <c r="E2046" s="29" t="s">
        <v>11450</v>
      </c>
      <c r="F2046" s="30" t="s">
        <v>835</v>
      </c>
      <c r="G2046" s="89">
        <f>DATE(2015,7,23)</f>
        <v>42208</v>
      </c>
      <c r="H2046" s="90">
        <v>1.4652777777777777</v>
      </c>
      <c r="I2046" s="30" t="s">
        <v>116</v>
      </c>
      <c r="J2046" s="89" t="s">
        <v>11451</v>
      </c>
      <c r="K2046" s="30" t="s">
        <v>837</v>
      </c>
      <c r="L2046" s="30" t="s">
        <v>11452</v>
      </c>
      <c r="M2046" s="30" t="s">
        <v>63</v>
      </c>
      <c r="N2046" s="30" t="s">
        <v>99</v>
      </c>
      <c r="O2046" s="30" t="s">
        <v>77</v>
      </c>
      <c r="P2046" s="89" t="s">
        <v>165</v>
      </c>
      <c r="Q2046" s="89" t="s">
        <v>2797</v>
      </c>
      <c r="R2046" s="89" t="s">
        <v>2797</v>
      </c>
      <c r="S2046" s="30">
        <v>0</v>
      </c>
      <c r="T2046" s="233">
        <v>0</v>
      </c>
      <c r="U2046" s="30">
        <v>4</v>
      </c>
      <c r="V2046" s="233">
        <v>0</v>
      </c>
      <c r="W2046" s="30">
        <v>0</v>
      </c>
      <c r="X2046" s="30">
        <v>4</v>
      </c>
      <c r="Y2046" s="30">
        <v>0</v>
      </c>
      <c r="Z2046" s="233">
        <v>0</v>
      </c>
      <c r="AA2046" s="30">
        <v>0</v>
      </c>
      <c r="AB2046" s="30">
        <v>0</v>
      </c>
      <c r="AC2046" s="30">
        <v>0</v>
      </c>
      <c r="AD2046" s="30">
        <v>0</v>
      </c>
      <c r="AE2046" s="89" t="s">
        <v>92</v>
      </c>
      <c r="AF2046" s="89"/>
      <c r="AG2046" s="89" t="s">
        <v>133</v>
      </c>
      <c r="AH2046" s="72">
        <v>42209</v>
      </c>
      <c r="AI2046" s="30">
        <v>1</v>
      </c>
      <c r="AJ2046" s="89" t="s">
        <v>9109</v>
      </c>
      <c r="AK2046" s="89" t="s">
        <v>68</v>
      </c>
      <c r="AL2046" s="91">
        <v>42216</v>
      </c>
      <c r="AM2046" s="91"/>
      <c r="AN2046" s="91"/>
      <c r="AO2046" s="91"/>
      <c r="AP2046" s="73" t="e">
        <f>MID(VLOOKUP(K2046,#REF!,2,FALSE),1,2)</f>
        <v>#REF!</v>
      </c>
      <c r="AQ2046" s="89">
        <f>DATE(2015,7,23)</f>
        <v>42208</v>
      </c>
      <c r="AR2046" s="82">
        <f t="shared" si="138"/>
        <v>23</v>
      </c>
      <c r="AS2046" s="83">
        <f t="shared" si="139"/>
        <v>7</v>
      </c>
      <c r="AT2046" s="84">
        <f t="shared" si="140"/>
        <v>2015</v>
      </c>
      <c r="AU2046" s="88">
        <f>DATE(2015,7,31)</f>
        <v>42216</v>
      </c>
      <c r="AV2046" s="88">
        <f>DATE(2015,7,24)</f>
        <v>42209</v>
      </c>
      <c r="AW2046" s="87">
        <f t="shared" si="135"/>
        <v>7</v>
      </c>
      <c r="AX2046" s="86"/>
      <c r="AY2046" s="83"/>
      <c r="AZ2046" s="84"/>
      <c r="BA2046" s="86"/>
      <c r="BB2046" s="86"/>
    </row>
    <row r="2047" spans="1:54" ht="36.75" customHeight="1">
      <c r="A2047" s="30"/>
      <c r="B2047" s="30" t="s">
        <v>55</v>
      </c>
      <c r="C2047" s="69" t="str">
        <f t="shared" si="134"/>
        <v>Closed</v>
      </c>
      <c r="D2047" s="27" t="s">
        <v>11453</v>
      </c>
      <c r="E2047" s="29" t="s">
        <v>11454</v>
      </c>
      <c r="F2047" s="30" t="s">
        <v>582</v>
      </c>
      <c r="G2047" s="89">
        <f>DATE(2015,7,25)</f>
        <v>42210</v>
      </c>
      <c r="H2047" s="90">
        <v>1.8055555555555554</v>
      </c>
      <c r="I2047" s="30" t="s">
        <v>156</v>
      </c>
      <c r="J2047" s="89" t="s">
        <v>11455</v>
      </c>
      <c r="K2047" s="30" t="s">
        <v>584</v>
      </c>
      <c r="L2047" s="30" t="s">
        <v>11456</v>
      </c>
      <c r="M2047" s="30" t="s">
        <v>63</v>
      </c>
      <c r="N2047" s="30" t="s">
        <v>142</v>
      </c>
      <c r="O2047" s="30" t="s">
        <v>64</v>
      </c>
      <c r="P2047" s="89" t="s">
        <v>6941</v>
      </c>
      <c r="Q2047" s="89" t="s">
        <v>11457</v>
      </c>
      <c r="R2047" s="89" t="s">
        <v>587</v>
      </c>
      <c r="S2047" s="30">
        <v>0</v>
      </c>
      <c r="T2047" s="233">
        <v>0</v>
      </c>
      <c r="U2047" s="30">
        <v>0</v>
      </c>
      <c r="V2047" s="233">
        <v>0</v>
      </c>
      <c r="W2047" s="30">
        <v>0</v>
      </c>
      <c r="X2047" s="30">
        <v>0</v>
      </c>
      <c r="Y2047" s="30">
        <v>0</v>
      </c>
      <c r="Z2047" s="233">
        <v>0</v>
      </c>
      <c r="AA2047" s="30">
        <v>0</v>
      </c>
      <c r="AB2047" s="30">
        <v>0</v>
      </c>
      <c r="AC2047" s="30">
        <v>0</v>
      </c>
      <c r="AD2047" s="30">
        <v>0</v>
      </c>
      <c r="AE2047" s="89" t="s">
        <v>145</v>
      </c>
      <c r="AF2047" s="89"/>
      <c r="AG2047" s="89" t="s">
        <v>82</v>
      </c>
      <c r="AH2047" s="72">
        <v>42247</v>
      </c>
      <c r="AI2047" s="30">
        <v>0</v>
      </c>
      <c r="AJ2047" s="89" t="s">
        <v>11458</v>
      </c>
      <c r="AK2047" s="89" t="s">
        <v>1233</v>
      </c>
      <c r="AL2047" s="91">
        <v>42249</v>
      </c>
      <c r="AM2047" s="91"/>
      <c r="AN2047" s="91"/>
      <c r="AO2047" s="91"/>
      <c r="AP2047" s="73" t="e">
        <f>MID(VLOOKUP(K2047,#REF!,2,FALSE),1,2)</f>
        <v>#REF!</v>
      </c>
      <c r="AQ2047" s="89">
        <f>DATE(2015,7,25)</f>
        <v>42210</v>
      </c>
      <c r="AR2047" s="82">
        <f t="shared" si="138"/>
        <v>25</v>
      </c>
      <c r="AS2047" s="83">
        <f t="shared" si="139"/>
        <v>7</v>
      </c>
      <c r="AT2047" s="84">
        <f t="shared" si="140"/>
        <v>2015</v>
      </c>
      <c r="AU2047" s="88">
        <f>DATE(2015,9,2)</f>
        <v>42249</v>
      </c>
      <c r="AV2047" s="88">
        <f>DATE(2015,8,31)</f>
        <v>42247</v>
      </c>
      <c r="AW2047" s="87">
        <f t="shared" si="135"/>
        <v>2</v>
      </c>
      <c r="AX2047" s="86"/>
      <c r="AY2047" s="83"/>
      <c r="AZ2047" s="84"/>
      <c r="BA2047" s="86"/>
      <c r="BB2047" s="86"/>
    </row>
    <row r="2048" spans="1:54" ht="36.75" customHeight="1">
      <c r="A2048" s="30"/>
      <c r="B2048" s="30" t="s">
        <v>55</v>
      </c>
      <c r="C2048" s="69" t="str">
        <f t="shared" si="134"/>
        <v>Closed</v>
      </c>
      <c r="D2048" s="27" t="s">
        <v>11459</v>
      </c>
      <c r="E2048" s="29" t="s">
        <v>11460</v>
      </c>
      <c r="F2048" s="30" t="s">
        <v>233</v>
      </c>
      <c r="G2048" s="89">
        <f>DATE(2015,7,25)</f>
        <v>42210</v>
      </c>
      <c r="H2048" s="90">
        <v>1.5486111111111112</v>
      </c>
      <c r="I2048" s="30" t="s">
        <v>278</v>
      </c>
      <c r="J2048" s="89" t="s">
        <v>11461</v>
      </c>
      <c r="K2048" s="30" t="s">
        <v>235</v>
      </c>
      <c r="L2048" s="30" t="s">
        <v>11462</v>
      </c>
      <c r="M2048" s="30" t="s">
        <v>63</v>
      </c>
      <c r="N2048" s="30" t="s">
        <v>142</v>
      </c>
      <c r="O2048" s="30" t="s">
        <v>77</v>
      </c>
      <c r="P2048" s="89" t="s">
        <v>6941</v>
      </c>
      <c r="Q2048" s="89" t="s">
        <v>1428</v>
      </c>
      <c r="R2048" s="89" t="s">
        <v>235</v>
      </c>
      <c r="S2048" s="30">
        <v>0</v>
      </c>
      <c r="T2048" s="233">
        <v>0</v>
      </c>
      <c r="U2048" s="30">
        <v>0</v>
      </c>
      <c r="V2048" s="233">
        <v>0</v>
      </c>
      <c r="W2048" s="30">
        <v>0</v>
      </c>
      <c r="X2048" s="30">
        <v>0</v>
      </c>
      <c r="Y2048" s="30">
        <v>0</v>
      </c>
      <c r="Z2048" s="233">
        <v>0</v>
      </c>
      <c r="AA2048" s="30">
        <v>0</v>
      </c>
      <c r="AB2048" s="30">
        <v>0</v>
      </c>
      <c r="AC2048" s="30">
        <v>0</v>
      </c>
      <c r="AD2048" s="30">
        <v>0</v>
      </c>
      <c r="AE2048" s="89" t="s">
        <v>92</v>
      </c>
      <c r="AF2048" s="89"/>
      <c r="AG2048" s="89" t="s">
        <v>133</v>
      </c>
      <c r="AH2048" s="72">
        <v>42248</v>
      </c>
      <c r="AI2048" s="30">
        <v>2</v>
      </c>
      <c r="AJ2048" s="89" t="s">
        <v>11463</v>
      </c>
      <c r="AK2048" s="89" t="s">
        <v>11464</v>
      </c>
      <c r="AL2048" s="91">
        <v>42355</v>
      </c>
      <c r="AM2048" s="91"/>
      <c r="AN2048" s="91"/>
      <c r="AO2048" s="91"/>
      <c r="AP2048" s="73" t="e">
        <f>MID(VLOOKUP(K2048,#REF!,2,FALSE),1,2)</f>
        <v>#REF!</v>
      </c>
      <c r="AQ2048" s="89">
        <f>DATE(2015,7,25)</f>
        <v>42210</v>
      </c>
      <c r="AR2048" s="82">
        <f t="shared" si="138"/>
        <v>25</v>
      </c>
      <c r="AS2048" s="83">
        <f t="shared" si="139"/>
        <v>7</v>
      </c>
      <c r="AT2048" s="84">
        <f t="shared" si="140"/>
        <v>2015</v>
      </c>
      <c r="AU2048" s="88">
        <f>DATE(2015,12,17)</f>
        <v>42355</v>
      </c>
      <c r="AV2048" s="88">
        <f>DATE(2015,9,1)</f>
        <v>42248</v>
      </c>
      <c r="AW2048" s="87">
        <f t="shared" si="135"/>
        <v>107</v>
      </c>
      <c r="AX2048" s="88">
        <f>DATE(2015,12,17)</f>
        <v>42355</v>
      </c>
      <c r="AY2048" s="83">
        <f>MONTH(AX2048)</f>
        <v>12</v>
      </c>
      <c r="AZ2048" s="84">
        <f>YEAR(AX2048)</f>
        <v>2015</v>
      </c>
      <c r="BA2048" s="88">
        <f>DATE(2015,8,24)</f>
        <v>42240</v>
      </c>
      <c r="BB2048" s="86"/>
    </row>
    <row r="2049" spans="1:54" ht="36.75" customHeight="1">
      <c r="A2049" s="30"/>
      <c r="B2049" s="30" t="s">
        <v>55</v>
      </c>
      <c r="C2049" s="69" t="str">
        <f t="shared" si="134"/>
        <v>Closed</v>
      </c>
      <c r="D2049" s="27" t="s">
        <v>11465</v>
      </c>
      <c r="E2049" s="29" t="s">
        <v>11466</v>
      </c>
      <c r="F2049" s="30" t="s">
        <v>233</v>
      </c>
      <c r="G2049" s="89">
        <f>DATE(2015,7,26)</f>
        <v>42211</v>
      </c>
      <c r="H2049" s="90">
        <v>1.9048611111111109</v>
      </c>
      <c r="I2049" s="30" t="s">
        <v>73</v>
      </c>
      <c r="J2049" s="89" t="s">
        <v>11467</v>
      </c>
      <c r="K2049" s="30" t="s">
        <v>235</v>
      </c>
      <c r="L2049" s="30" t="s">
        <v>11468</v>
      </c>
      <c r="M2049" s="30" t="s">
        <v>63</v>
      </c>
      <c r="N2049" s="30" t="s">
        <v>142</v>
      </c>
      <c r="O2049" s="30" t="s">
        <v>64</v>
      </c>
      <c r="P2049" s="89" t="s">
        <v>165</v>
      </c>
      <c r="Q2049" s="89" t="s">
        <v>1521</v>
      </c>
      <c r="R2049" s="89" t="s">
        <v>235</v>
      </c>
      <c r="S2049" s="30">
        <v>0</v>
      </c>
      <c r="T2049" s="233">
        <v>0</v>
      </c>
      <c r="U2049" s="30">
        <v>0</v>
      </c>
      <c r="V2049" s="233">
        <v>0</v>
      </c>
      <c r="W2049" s="30">
        <v>0</v>
      </c>
      <c r="X2049" s="30">
        <v>0</v>
      </c>
      <c r="Y2049" s="30">
        <v>0</v>
      </c>
      <c r="Z2049" s="233">
        <v>0</v>
      </c>
      <c r="AA2049" s="30">
        <v>0</v>
      </c>
      <c r="AB2049" s="30">
        <v>0</v>
      </c>
      <c r="AC2049" s="30">
        <v>0</v>
      </c>
      <c r="AD2049" s="30">
        <v>0</v>
      </c>
      <c r="AE2049" s="89" t="s">
        <v>92</v>
      </c>
      <c r="AF2049" s="89"/>
      <c r="AG2049" s="89" t="s">
        <v>133</v>
      </c>
      <c r="AH2049" s="72">
        <v>42219</v>
      </c>
      <c r="AI2049" s="30">
        <v>5</v>
      </c>
      <c r="AJ2049" s="89" t="s">
        <v>11469</v>
      </c>
      <c r="AK2049" s="89" t="s">
        <v>11470</v>
      </c>
      <c r="AL2049" s="91">
        <v>42227</v>
      </c>
      <c r="AM2049" s="91"/>
      <c r="AN2049" s="91"/>
      <c r="AO2049" s="91"/>
      <c r="AP2049" s="73" t="e">
        <f>MID(VLOOKUP(K2049,#REF!,2,FALSE),1,2)</f>
        <v>#REF!</v>
      </c>
      <c r="AQ2049" s="89">
        <f>DATE(2015,7,26)</f>
        <v>42211</v>
      </c>
      <c r="AR2049" s="82">
        <f t="shared" si="138"/>
        <v>26</v>
      </c>
      <c r="AS2049" s="83">
        <f t="shared" si="139"/>
        <v>7</v>
      </c>
      <c r="AT2049" s="84">
        <f t="shared" si="140"/>
        <v>2015</v>
      </c>
      <c r="AU2049" s="88">
        <f>DATE(2015,8,11)</f>
        <v>42227</v>
      </c>
      <c r="AV2049" s="88">
        <f>DATE(2015,8,3)</f>
        <v>42219</v>
      </c>
      <c r="AW2049" s="87">
        <f t="shared" si="135"/>
        <v>8</v>
      </c>
      <c r="AX2049" s="88">
        <f>DATE(2015,8,11)</f>
        <v>42227</v>
      </c>
      <c r="AY2049" s="83">
        <f>MONTH(AX2049)</f>
        <v>8</v>
      </c>
      <c r="AZ2049" s="84">
        <f>YEAR(AX2049)</f>
        <v>2015</v>
      </c>
      <c r="BA2049" s="86"/>
      <c r="BB2049" s="86"/>
    </row>
    <row r="2050" spans="1:54" ht="36.75" customHeight="1">
      <c r="A2050" s="30"/>
      <c r="B2050" s="30" t="s">
        <v>55</v>
      </c>
      <c r="C2050" s="69" t="str">
        <f t="shared" ref="C2050:C2113" si="141">IF(B2050="Notification","Open",IF(B2050="Interim Statement","In progress","Closed"))</f>
        <v>Closed</v>
      </c>
      <c r="D2050" s="27" t="s">
        <v>11471</v>
      </c>
      <c r="E2050" s="29" t="s">
        <v>11472</v>
      </c>
      <c r="F2050" s="30" t="s">
        <v>835</v>
      </c>
      <c r="G2050" s="89">
        <f>DATE(2015,7,27)</f>
        <v>42212</v>
      </c>
      <c r="H2050" s="90">
        <v>1.0034722222222223</v>
      </c>
      <c r="I2050" s="30" t="s">
        <v>73</v>
      </c>
      <c r="J2050" s="89" t="s">
        <v>11473</v>
      </c>
      <c r="K2050" s="30" t="s">
        <v>837</v>
      </c>
      <c r="L2050" s="30" t="s">
        <v>11474</v>
      </c>
      <c r="M2050" s="30" t="s">
        <v>63</v>
      </c>
      <c r="N2050" s="30" t="s">
        <v>99</v>
      </c>
      <c r="O2050" s="30" t="s">
        <v>64</v>
      </c>
      <c r="P2050" s="89" t="s">
        <v>78</v>
      </c>
      <c r="Q2050" s="89" t="s">
        <v>4708</v>
      </c>
      <c r="R2050" s="89" t="s">
        <v>840</v>
      </c>
      <c r="S2050" s="30">
        <v>0</v>
      </c>
      <c r="T2050" s="233">
        <v>0</v>
      </c>
      <c r="U2050" s="30">
        <v>0</v>
      </c>
      <c r="V2050" s="233">
        <v>0</v>
      </c>
      <c r="W2050" s="30">
        <v>0</v>
      </c>
      <c r="X2050" s="30">
        <v>0</v>
      </c>
      <c r="Y2050" s="30">
        <v>0</v>
      </c>
      <c r="Z2050" s="233">
        <v>0</v>
      </c>
      <c r="AA2050" s="30">
        <v>0</v>
      </c>
      <c r="AB2050" s="30">
        <v>0</v>
      </c>
      <c r="AC2050" s="30">
        <v>0</v>
      </c>
      <c r="AD2050" s="30">
        <v>0</v>
      </c>
      <c r="AE2050" s="89" t="s">
        <v>92</v>
      </c>
      <c r="AF2050" s="89"/>
      <c r="AG2050" s="89" t="s">
        <v>352</v>
      </c>
      <c r="AH2050" s="72">
        <v>42213</v>
      </c>
      <c r="AI2050" s="30">
        <v>0</v>
      </c>
      <c r="AJ2050" s="89" t="s">
        <v>11475</v>
      </c>
      <c r="AK2050" s="89" t="s">
        <v>11476</v>
      </c>
      <c r="AL2050" s="91">
        <v>42216</v>
      </c>
      <c r="AM2050" s="91"/>
      <c r="AN2050" s="91"/>
      <c r="AO2050" s="91"/>
      <c r="AP2050" s="73" t="e">
        <f>MID(VLOOKUP(K2050,#REF!,2,FALSE),1,2)</f>
        <v>#REF!</v>
      </c>
      <c r="AQ2050" s="89">
        <f>DATE(2015,7,27)</f>
        <v>42212</v>
      </c>
      <c r="AR2050" s="82">
        <f t="shared" si="138"/>
        <v>27</v>
      </c>
      <c r="AS2050" s="83">
        <f t="shared" si="139"/>
        <v>7</v>
      </c>
      <c r="AT2050" s="84">
        <f t="shared" si="140"/>
        <v>2015</v>
      </c>
      <c r="AU2050" s="88">
        <f>DATE(2015,7,31)</f>
        <v>42216</v>
      </c>
      <c r="AV2050" s="88">
        <f>DATE(2015,7,28)</f>
        <v>42213</v>
      </c>
      <c r="AW2050" s="87">
        <f t="shared" si="135"/>
        <v>3</v>
      </c>
      <c r="AX2050" s="86"/>
      <c r="AY2050" s="83"/>
      <c r="AZ2050" s="84"/>
      <c r="BA2050" s="86"/>
      <c r="BB2050" s="86"/>
    </row>
    <row r="2051" spans="1:54" ht="36.75" customHeight="1">
      <c r="A2051" s="30"/>
      <c r="B2051" s="30" t="s">
        <v>55</v>
      </c>
      <c r="C2051" s="69" t="str">
        <f t="shared" si="141"/>
        <v>Closed</v>
      </c>
      <c r="D2051" s="27" t="s">
        <v>11477</v>
      </c>
      <c r="E2051" s="29" t="s">
        <v>11478</v>
      </c>
      <c r="F2051" s="30" t="s">
        <v>835</v>
      </c>
      <c r="G2051" s="89">
        <f>DATE(2015,7,28)</f>
        <v>42213</v>
      </c>
      <c r="H2051" s="90">
        <v>1.7583333333333333</v>
      </c>
      <c r="I2051" s="30" t="s">
        <v>73</v>
      </c>
      <c r="J2051" s="89" t="s">
        <v>11479</v>
      </c>
      <c r="K2051" s="30" t="s">
        <v>837</v>
      </c>
      <c r="L2051" s="30" t="s">
        <v>11480</v>
      </c>
      <c r="M2051" s="30" t="s">
        <v>63</v>
      </c>
      <c r="N2051" s="30" t="s">
        <v>142</v>
      </c>
      <c r="O2051" s="30" t="s">
        <v>77</v>
      </c>
      <c r="P2051" s="89" t="s">
        <v>78</v>
      </c>
      <c r="Q2051" s="89" t="s">
        <v>11481</v>
      </c>
      <c r="R2051" s="89" t="s">
        <v>840</v>
      </c>
      <c r="S2051" s="30">
        <v>0</v>
      </c>
      <c r="T2051" s="232">
        <v>0</v>
      </c>
      <c r="U2051" s="30">
        <v>0</v>
      </c>
      <c r="V2051" s="232">
        <v>0</v>
      </c>
      <c r="W2051" s="30">
        <v>0</v>
      </c>
      <c r="X2051" s="30">
        <v>0</v>
      </c>
      <c r="Y2051" s="30">
        <v>0</v>
      </c>
      <c r="Z2051" s="232">
        <v>0</v>
      </c>
      <c r="AA2051" s="30">
        <v>0</v>
      </c>
      <c r="AB2051" s="30">
        <v>0</v>
      </c>
      <c r="AC2051" s="30">
        <v>0</v>
      </c>
      <c r="AD2051" s="30">
        <v>0</v>
      </c>
      <c r="AE2051" s="89" t="s">
        <v>92</v>
      </c>
      <c r="AF2051" s="89"/>
      <c r="AG2051" s="89" t="s">
        <v>352</v>
      </c>
      <c r="AH2051" s="72">
        <v>42214</v>
      </c>
      <c r="AI2051" s="30">
        <v>0</v>
      </c>
      <c r="AJ2051" s="89" t="s">
        <v>11482</v>
      </c>
      <c r="AK2051" s="89" t="s">
        <v>68</v>
      </c>
      <c r="AL2051" s="91">
        <v>42216</v>
      </c>
      <c r="AM2051" s="91"/>
      <c r="AN2051" s="91"/>
      <c r="AO2051" s="91"/>
      <c r="AP2051" s="73" t="e">
        <f>MID(VLOOKUP(K2051,#REF!,2,FALSE),1,2)</f>
        <v>#REF!</v>
      </c>
      <c r="AQ2051" s="89">
        <f>DATE(2015,7,28)</f>
        <v>42213</v>
      </c>
      <c r="AR2051" s="82">
        <f t="shared" si="138"/>
        <v>28</v>
      </c>
      <c r="AS2051" s="83">
        <f t="shared" si="139"/>
        <v>7</v>
      </c>
      <c r="AT2051" s="84">
        <f t="shared" si="140"/>
        <v>2015</v>
      </c>
      <c r="AU2051" s="88">
        <f>DATE(2015,7,31)</f>
        <v>42216</v>
      </c>
      <c r="AV2051" s="88">
        <f>DATE(2015,7,29)</f>
        <v>42214</v>
      </c>
      <c r="AW2051" s="87">
        <f t="shared" si="135"/>
        <v>2</v>
      </c>
      <c r="AX2051" s="86"/>
      <c r="AY2051" s="83"/>
      <c r="AZ2051" s="84"/>
      <c r="BA2051" s="86"/>
      <c r="BB2051" s="86"/>
    </row>
    <row r="2052" spans="1:54" ht="36.75" customHeight="1">
      <c r="A2052" s="30"/>
      <c r="B2052" s="30" t="s">
        <v>55</v>
      </c>
      <c r="C2052" s="69" t="str">
        <f t="shared" si="141"/>
        <v>Closed</v>
      </c>
      <c r="D2052" s="27" t="s">
        <v>11483</v>
      </c>
      <c r="E2052" s="29" t="s">
        <v>11484</v>
      </c>
      <c r="F2052" s="30" t="s">
        <v>233</v>
      </c>
      <c r="G2052" s="89">
        <f>DATE(2015,8,1)</f>
        <v>42217</v>
      </c>
      <c r="H2052" s="90">
        <v>1.4736111111111112</v>
      </c>
      <c r="I2052" s="30" t="s">
        <v>198</v>
      </c>
      <c r="J2052" s="89" t="s">
        <v>11485</v>
      </c>
      <c r="K2052" s="30" t="s">
        <v>235</v>
      </c>
      <c r="L2052" s="30" t="s">
        <v>11486</v>
      </c>
      <c r="M2052" s="30" t="s">
        <v>63</v>
      </c>
      <c r="N2052" s="30" t="s">
        <v>142</v>
      </c>
      <c r="O2052" s="30" t="s">
        <v>64</v>
      </c>
      <c r="P2052" s="89" t="s">
        <v>301</v>
      </c>
      <c r="Q2052" s="89" t="s">
        <v>7308</v>
      </c>
      <c r="R2052" s="89" t="s">
        <v>235</v>
      </c>
      <c r="S2052" s="30">
        <v>0</v>
      </c>
      <c r="T2052" s="233">
        <v>0</v>
      </c>
      <c r="U2052" s="30">
        <v>0</v>
      </c>
      <c r="V2052" s="233">
        <v>0</v>
      </c>
      <c r="W2052" s="30">
        <v>0</v>
      </c>
      <c r="X2052" s="30">
        <v>0</v>
      </c>
      <c r="Y2052" s="30">
        <v>0</v>
      </c>
      <c r="Z2052" s="233">
        <v>0</v>
      </c>
      <c r="AA2052" s="30">
        <v>0</v>
      </c>
      <c r="AB2052" s="30">
        <v>0</v>
      </c>
      <c r="AC2052" s="30">
        <v>0</v>
      </c>
      <c r="AD2052" s="30">
        <v>0</v>
      </c>
      <c r="AE2052" s="89" t="s">
        <v>145</v>
      </c>
      <c r="AF2052" s="89"/>
      <c r="AG2052" s="89" t="s">
        <v>82</v>
      </c>
      <c r="AH2052" s="72">
        <v>42226</v>
      </c>
      <c r="AI2052" s="30">
        <v>4</v>
      </c>
      <c r="AJ2052" s="89" t="s">
        <v>11487</v>
      </c>
      <c r="AK2052" s="89" t="s">
        <v>11488</v>
      </c>
      <c r="AL2052" s="91">
        <v>42240</v>
      </c>
      <c r="AM2052" s="91"/>
      <c r="AN2052" s="91"/>
      <c r="AO2052" s="91"/>
      <c r="AP2052" s="73" t="e">
        <f>MID(VLOOKUP(K2052,#REF!,2,FALSE),1,2)</f>
        <v>#REF!</v>
      </c>
      <c r="AQ2052" s="89">
        <f>DATE(2015,8,1)</f>
        <v>42217</v>
      </c>
      <c r="AR2052" s="82">
        <f t="shared" si="138"/>
        <v>1</v>
      </c>
      <c r="AS2052" s="83">
        <f t="shared" si="139"/>
        <v>8</v>
      </c>
      <c r="AT2052" s="84">
        <f t="shared" si="140"/>
        <v>2015</v>
      </c>
      <c r="AU2052" s="88">
        <f>DATE(2015,8,24)</f>
        <v>42240</v>
      </c>
      <c r="AV2052" s="88">
        <f>DATE(2015,8,10)</f>
        <v>42226</v>
      </c>
      <c r="AW2052" s="87">
        <f t="shared" si="135"/>
        <v>14</v>
      </c>
      <c r="AX2052" s="88">
        <f>DATE(2015,8,24)</f>
        <v>42240</v>
      </c>
      <c r="AY2052" s="83">
        <f>MONTH(AX2052)</f>
        <v>8</v>
      </c>
      <c r="AZ2052" s="84">
        <f>YEAR(AX2052)</f>
        <v>2015</v>
      </c>
      <c r="BA2052" s="86"/>
      <c r="BB2052" s="86"/>
    </row>
    <row r="2053" spans="1:54" ht="36.75" customHeight="1">
      <c r="A2053" s="98" t="s">
        <v>4910</v>
      </c>
      <c r="B2053" s="30" t="s">
        <v>55</v>
      </c>
      <c r="C2053" s="69" t="str">
        <f t="shared" si="141"/>
        <v>Closed</v>
      </c>
      <c r="D2053" s="27" t="s">
        <v>11489</v>
      </c>
      <c r="E2053" s="29" t="s">
        <v>11490</v>
      </c>
      <c r="F2053" s="30" t="s">
        <v>582</v>
      </c>
      <c r="G2053" s="89">
        <f>DATE(2015,8,2)</f>
        <v>42218</v>
      </c>
      <c r="H2053" s="90">
        <v>1.2083333333333333</v>
      </c>
      <c r="I2053" s="30" t="s">
        <v>73</v>
      </c>
      <c r="J2053" s="89" t="s">
        <v>11491</v>
      </c>
      <c r="K2053" s="30" t="s">
        <v>584</v>
      </c>
      <c r="L2053" s="30" t="s">
        <v>11492</v>
      </c>
      <c r="M2053" s="30" t="s">
        <v>63</v>
      </c>
      <c r="N2053" s="30" t="s">
        <v>142</v>
      </c>
      <c r="O2053" s="30" t="s">
        <v>64</v>
      </c>
      <c r="P2053" s="89" t="s">
        <v>301</v>
      </c>
      <c r="Q2053" s="89" t="s">
        <v>11493</v>
      </c>
      <c r="R2053" s="89" t="s">
        <v>587</v>
      </c>
      <c r="S2053" s="30">
        <v>0</v>
      </c>
      <c r="T2053" s="101">
        <v>0</v>
      </c>
      <c r="U2053" s="30">
        <v>0</v>
      </c>
      <c r="V2053" s="101">
        <v>0</v>
      </c>
      <c r="W2053" s="30">
        <v>0</v>
      </c>
      <c r="X2053" s="30">
        <v>0</v>
      </c>
      <c r="Y2053" s="30">
        <v>0</v>
      </c>
      <c r="Z2053" s="101">
        <v>0</v>
      </c>
      <c r="AA2053" s="30">
        <v>0</v>
      </c>
      <c r="AB2053" s="30">
        <v>0</v>
      </c>
      <c r="AC2053" s="30">
        <v>0</v>
      </c>
      <c r="AD2053" s="30">
        <v>0</v>
      </c>
      <c r="AE2053" s="89" t="s">
        <v>394</v>
      </c>
      <c r="AF2053" s="89"/>
      <c r="AG2053" s="89" t="s">
        <v>133</v>
      </c>
      <c r="AH2053" s="72">
        <v>42247</v>
      </c>
      <c r="AI2053" s="30">
        <v>0</v>
      </c>
      <c r="AJ2053" s="89" t="s">
        <v>68</v>
      </c>
      <c r="AK2053" s="89" t="s">
        <v>68</v>
      </c>
      <c r="AL2053" s="91">
        <v>42250</v>
      </c>
      <c r="AM2053" s="91"/>
      <c r="AN2053" s="91"/>
      <c r="AO2053" s="91"/>
      <c r="AP2053" s="73" t="e">
        <f>MID(VLOOKUP(K2053,#REF!,2,FALSE),1,2)</f>
        <v>#REF!</v>
      </c>
      <c r="AQ2053" s="89">
        <f>DATE(2015,8,2)</f>
        <v>42218</v>
      </c>
      <c r="AR2053" s="82">
        <f t="shared" si="138"/>
        <v>2</v>
      </c>
      <c r="AS2053" s="83">
        <f t="shared" si="139"/>
        <v>8</v>
      </c>
      <c r="AT2053" s="84">
        <f t="shared" si="140"/>
        <v>2015</v>
      </c>
      <c r="AU2053" s="88">
        <f>DATE(2015,9,3)</f>
        <v>42250</v>
      </c>
      <c r="AV2053" s="88">
        <f>DATE(2015,8,31)</f>
        <v>42247</v>
      </c>
      <c r="AW2053" s="87">
        <f t="shared" ref="AW2053:AW2116" si="142">AU2053-AV2053</f>
        <v>3</v>
      </c>
      <c r="AX2053" s="86"/>
      <c r="AY2053" s="83"/>
      <c r="AZ2053" s="84"/>
      <c r="BA2053" s="86"/>
      <c r="BB2053" s="86"/>
    </row>
    <row r="2054" spans="1:54" ht="36.75" customHeight="1">
      <c r="A2054" s="30"/>
      <c r="B2054" s="30" t="s">
        <v>55</v>
      </c>
      <c r="C2054" s="69" t="str">
        <f t="shared" si="141"/>
        <v>Closed</v>
      </c>
      <c r="D2054" s="27" t="s">
        <v>11494</v>
      </c>
      <c r="E2054" s="29" t="s">
        <v>11495</v>
      </c>
      <c r="F2054" s="30" t="s">
        <v>624</v>
      </c>
      <c r="G2054" s="89">
        <f>DATE(2015,8,3)</f>
        <v>42219</v>
      </c>
      <c r="H2054" s="90">
        <v>1.2493055555555554</v>
      </c>
      <c r="I2054" s="30" t="s">
        <v>104</v>
      </c>
      <c r="J2054" s="89" t="s">
        <v>4610</v>
      </c>
      <c r="K2054" s="30" t="s">
        <v>626</v>
      </c>
      <c r="L2054" s="30" t="s">
        <v>11496</v>
      </c>
      <c r="M2054" s="30" t="s">
        <v>63</v>
      </c>
      <c r="N2054" s="30" t="s">
        <v>142</v>
      </c>
      <c r="O2054" s="30" t="s">
        <v>77</v>
      </c>
      <c r="P2054" s="89" t="s">
        <v>165</v>
      </c>
      <c r="Q2054" s="89" t="s">
        <v>7181</v>
      </c>
      <c r="R2054" s="89" t="s">
        <v>629</v>
      </c>
      <c r="S2054" s="30">
        <v>0</v>
      </c>
      <c r="T2054" s="233">
        <v>0</v>
      </c>
      <c r="U2054" s="30">
        <v>0</v>
      </c>
      <c r="V2054" s="233">
        <v>0</v>
      </c>
      <c r="W2054" s="30">
        <v>0</v>
      </c>
      <c r="X2054" s="30">
        <v>0</v>
      </c>
      <c r="Y2054" s="30">
        <v>0</v>
      </c>
      <c r="Z2054" s="233">
        <v>0</v>
      </c>
      <c r="AA2054" s="30">
        <v>0</v>
      </c>
      <c r="AB2054" s="30">
        <v>0</v>
      </c>
      <c r="AC2054" s="30">
        <v>0</v>
      </c>
      <c r="AD2054" s="30">
        <v>0</v>
      </c>
      <c r="AE2054" s="89" t="s">
        <v>92</v>
      </c>
      <c r="AF2054" s="89"/>
      <c r="AG2054" s="89" t="s">
        <v>352</v>
      </c>
      <c r="AH2054" s="72">
        <v>42071</v>
      </c>
      <c r="AI2054" s="30">
        <v>2</v>
      </c>
      <c r="AJ2054" s="89" t="s">
        <v>4610</v>
      </c>
      <c r="AK2054" s="89" t="s">
        <v>68</v>
      </c>
      <c r="AL2054" s="91">
        <v>42279</v>
      </c>
      <c r="AM2054" s="91"/>
      <c r="AN2054" s="91"/>
      <c r="AO2054" s="91"/>
      <c r="AP2054" s="73" t="e">
        <f>MID(VLOOKUP(K2054,#REF!,2,FALSE),1,2)</f>
        <v>#REF!</v>
      </c>
      <c r="AQ2054" s="89">
        <f>DATE(2015,8,3)</f>
        <v>42219</v>
      </c>
      <c r="AR2054" s="82">
        <f t="shared" si="138"/>
        <v>3</v>
      </c>
      <c r="AS2054" s="83">
        <f t="shared" si="139"/>
        <v>8</v>
      </c>
      <c r="AT2054" s="84">
        <f t="shared" si="140"/>
        <v>2015</v>
      </c>
      <c r="AU2054" s="88">
        <f>DATE(2015,10,2)</f>
        <v>42279</v>
      </c>
      <c r="AV2054" s="88">
        <f>DATE(2015,8,3)</f>
        <v>42219</v>
      </c>
      <c r="AW2054" s="87">
        <f t="shared" si="142"/>
        <v>60</v>
      </c>
      <c r="AX2054" s="86"/>
      <c r="AY2054" s="83"/>
      <c r="AZ2054" s="84"/>
      <c r="BA2054" s="86"/>
      <c r="BB2054" s="86"/>
    </row>
    <row r="2055" spans="1:54" ht="36.75" customHeight="1">
      <c r="A2055" s="30"/>
      <c r="B2055" s="30" t="s">
        <v>55</v>
      </c>
      <c r="C2055" s="69" t="str">
        <f t="shared" si="141"/>
        <v>Closed</v>
      </c>
      <c r="D2055" s="27" t="s">
        <v>11497</v>
      </c>
      <c r="E2055" s="29" t="s">
        <v>11498</v>
      </c>
      <c r="F2055" s="30" t="s">
        <v>423</v>
      </c>
      <c r="G2055" s="89">
        <f>DATE(2015,8,4)</f>
        <v>42220</v>
      </c>
      <c r="H2055" s="90">
        <v>1.5548611111111112</v>
      </c>
      <c r="I2055" s="30" t="s">
        <v>198</v>
      </c>
      <c r="J2055" s="89" t="s">
        <v>11499</v>
      </c>
      <c r="K2055" s="30" t="s">
        <v>425</v>
      </c>
      <c r="L2055" s="30" t="s">
        <v>11500</v>
      </c>
      <c r="M2055" s="30" t="s">
        <v>63</v>
      </c>
      <c r="N2055" s="30" t="s">
        <v>142</v>
      </c>
      <c r="O2055" s="30" t="s">
        <v>77</v>
      </c>
      <c r="P2055" s="89" t="s">
        <v>65</v>
      </c>
      <c r="Q2055" s="89" t="s">
        <v>4551</v>
      </c>
      <c r="R2055" s="89" t="s">
        <v>3103</v>
      </c>
      <c r="S2055" s="30">
        <v>0</v>
      </c>
      <c r="T2055" s="233">
        <v>0</v>
      </c>
      <c r="U2055" s="30">
        <v>0</v>
      </c>
      <c r="V2055" s="233">
        <v>0</v>
      </c>
      <c r="W2055" s="30">
        <v>0</v>
      </c>
      <c r="X2055" s="30">
        <v>0</v>
      </c>
      <c r="Y2055" s="30">
        <v>5</v>
      </c>
      <c r="Z2055" s="233">
        <v>1</v>
      </c>
      <c r="AA2055" s="30">
        <v>0</v>
      </c>
      <c r="AB2055" s="30">
        <v>0</v>
      </c>
      <c r="AC2055" s="30">
        <v>0</v>
      </c>
      <c r="AD2055" s="30">
        <v>6</v>
      </c>
      <c r="AE2055" s="89" t="s">
        <v>394</v>
      </c>
      <c r="AF2055" s="89"/>
      <c r="AG2055" s="89" t="s">
        <v>82</v>
      </c>
      <c r="AH2055" s="72">
        <v>42102</v>
      </c>
      <c r="AI2055" s="30">
        <v>2</v>
      </c>
      <c r="AJ2055" s="89" t="s">
        <v>11501</v>
      </c>
      <c r="AK2055" s="89" t="s">
        <v>11502</v>
      </c>
      <c r="AL2055" s="91">
        <v>42221</v>
      </c>
      <c r="AM2055" s="91"/>
      <c r="AN2055" s="91"/>
      <c r="AO2055" s="91"/>
      <c r="AP2055" s="73" t="e">
        <f>MID(VLOOKUP(K2055,#REF!,2,FALSE),1,2)</f>
        <v>#REF!</v>
      </c>
      <c r="AQ2055" s="89">
        <f>DATE(2015,8,4)</f>
        <v>42220</v>
      </c>
      <c r="AR2055" s="82">
        <f t="shared" si="138"/>
        <v>4</v>
      </c>
      <c r="AS2055" s="83">
        <f t="shared" si="139"/>
        <v>8</v>
      </c>
      <c r="AT2055" s="84">
        <f t="shared" si="140"/>
        <v>2015</v>
      </c>
      <c r="AU2055" s="88">
        <f>DATE(2015,8,5)</f>
        <v>42221</v>
      </c>
      <c r="AV2055" s="88">
        <f>DATE(2015,8,4)</f>
        <v>42220</v>
      </c>
      <c r="AW2055" s="87">
        <f t="shared" si="142"/>
        <v>1</v>
      </c>
      <c r="AX2055" s="86"/>
      <c r="AY2055" s="83"/>
      <c r="AZ2055" s="84"/>
      <c r="BA2055" s="86"/>
      <c r="BB2055" s="86"/>
    </row>
    <row r="2056" spans="1:54" ht="36.75" customHeight="1">
      <c r="A2056" s="30"/>
      <c r="B2056" s="30" t="s">
        <v>55</v>
      </c>
      <c r="C2056" s="69" t="str">
        <f t="shared" si="141"/>
        <v>Closed</v>
      </c>
      <c r="D2056" s="27" t="s">
        <v>11503</v>
      </c>
      <c r="E2056" s="29" t="s">
        <v>11504</v>
      </c>
      <c r="F2056" s="30" t="s">
        <v>6455</v>
      </c>
      <c r="G2056" s="89">
        <f>DATE(2015,8,4)</f>
        <v>42220</v>
      </c>
      <c r="H2056" s="90">
        <v>1.6506944444444445</v>
      </c>
      <c r="I2056" s="30" t="s">
        <v>116</v>
      </c>
      <c r="J2056" s="89" t="s">
        <v>11505</v>
      </c>
      <c r="K2056" s="30" t="s">
        <v>584</v>
      </c>
      <c r="L2056" s="30" t="s">
        <v>11506</v>
      </c>
      <c r="M2056" s="30" t="s">
        <v>63</v>
      </c>
      <c r="N2056" s="30" t="s">
        <v>142</v>
      </c>
      <c r="O2056" s="30" t="s">
        <v>64</v>
      </c>
      <c r="P2056" s="89" t="s">
        <v>165</v>
      </c>
      <c r="Q2056" s="89" t="s">
        <v>11507</v>
      </c>
      <c r="R2056" s="89" t="s">
        <v>587</v>
      </c>
      <c r="S2056" s="30">
        <v>0</v>
      </c>
      <c r="T2056" s="233">
        <v>0</v>
      </c>
      <c r="U2056" s="30">
        <v>0</v>
      </c>
      <c r="V2056" s="233">
        <v>0</v>
      </c>
      <c r="W2056" s="30">
        <v>0</v>
      </c>
      <c r="X2056" s="30">
        <v>0</v>
      </c>
      <c r="Y2056" s="30">
        <v>0</v>
      </c>
      <c r="Z2056" s="233">
        <v>0</v>
      </c>
      <c r="AA2056" s="30">
        <v>0</v>
      </c>
      <c r="AB2056" s="30">
        <v>0</v>
      </c>
      <c r="AC2056" s="30">
        <v>0</v>
      </c>
      <c r="AD2056" s="30">
        <v>0</v>
      </c>
      <c r="AE2056" s="89" t="s">
        <v>394</v>
      </c>
      <c r="AF2056" s="89" t="s">
        <v>11508</v>
      </c>
      <c r="AG2056" s="89" t="s">
        <v>8859</v>
      </c>
      <c r="AH2056" s="72">
        <v>42247</v>
      </c>
      <c r="AI2056" s="30">
        <v>0</v>
      </c>
      <c r="AJ2056" s="89" t="s">
        <v>11509</v>
      </c>
      <c r="AK2056" s="89" t="s">
        <v>10569</v>
      </c>
      <c r="AL2056" s="91">
        <v>42250</v>
      </c>
      <c r="AM2056" s="91">
        <v>44978</v>
      </c>
      <c r="AN2056" s="91">
        <v>45113</v>
      </c>
      <c r="AO2056" s="91">
        <v>45113</v>
      </c>
      <c r="AP2056" s="73" t="e">
        <f>MID(VLOOKUP(K2056,#REF!,2,FALSE),1,2)</f>
        <v>#REF!</v>
      </c>
      <c r="AQ2056" s="89">
        <f>DATE(2015,8,4)</f>
        <v>42220</v>
      </c>
      <c r="AR2056" s="82">
        <f t="shared" si="138"/>
        <v>4</v>
      </c>
      <c r="AS2056" s="83">
        <f t="shared" si="139"/>
        <v>8</v>
      </c>
      <c r="AT2056" s="84">
        <f t="shared" si="140"/>
        <v>2015</v>
      </c>
      <c r="AU2056" s="88">
        <f>DATE(2015,9,3)</f>
        <v>42250</v>
      </c>
      <c r="AV2056" s="88">
        <f>DATE(2015,8,31)</f>
        <v>42247</v>
      </c>
      <c r="AW2056" s="87">
        <f t="shared" si="142"/>
        <v>3</v>
      </c>
      <c r="AX2056" s="86"/>
      <c r="AY2056" s="83"/>
      <c r="AZ2056" s="84"/>
      <c r="BA2056" s="86"/>
      <c r="BB2056" s="86"/>
    </row>
    <row r="2057" spans="1:54" ht="36.75" customHeight="1">
      <c r="A2057" s="30"/>
      <c r="B2057" s="30" t="s">
        <v>55</v>
      </c>
      <c r="C2057" s="69" t="str">
        <f t="shared" si="141"/>
        <v>Closed</v>
      </c>
      <c r="D2057" s="27" t="s">
        <v>11510</v>
      </c>
      <c r="E2057" s="29" t="s">
        <v>11511</v>
      </c>
      <c r="F2057" s="30" t="s">
        <v>2601</v>
      </c>
      <c r="G2057" s="89">
        <f>DATE(2015,8,9)</f>
        <v>42225</v>
      </c>
      <c r="H2057" s="90">
        <v>1.9076388888888891</v>
      </c>
      <c r="I2057" s="30" t="s">
        <v>198</v>
      </c>
      <c r="J2057" s="89" t="s">
        <v>11512</v>
      </c>
      <c r="K2057" s="30" t="s">
        <v>2603</v>
      </c>
      <c r="L2057" s="30" t="s">
        <v>11513</v>
      </c>
      <c r="M2057" s="30" t="s">
        <v>63</v>
      </c>
      <c r="N2057" s="30" t="s">
        <v>89</v>
      </c>
      <c r="O2057" s="30" t="s">
        <v>77</v>
      </c>
      <c r="P2057" s="89" t="s">
        <v>91</v>
      </c>
      <c r="Q2057" s="89" t="s">
        <v>6342</v>
      </c>
      <c r="R2057" s="89" t="s">
        <v>2606</v>
      </c>
      <c r="S2057" s="30">
        <v>0</v>
      </c>
      <c r="T2057" s="233">
        <v>0</v>
      </c>
      <c r="U2057" s="30">
        <v>0</v>
      </c>
      <c r="V2057" s="233">
        <v>0</v>
      </c>
      <c r="W2057" s="30">
        <v>0</v>
      </c>
      <c r="X2057" s="30">
        <v>0</v>
      </c>
      <c r="Y2057" s="30">
        <v>1</v>
      </c>
      <c r="Z2057" s="233">
        <v>0</v>
      </c>
      <c r="AA2057" s="30">
        <v>0</v>
      </c>
      <c r="AB2057" s="30">
        <v>0</v>
      </c>
      <c r="AC2057" s="30">
        <v>0</v>
      </c>
      <c r="AD2057" s="30">
        <v>1</v>
      </c>
      <c r="AE2057" s="89" t="s">
        <v>92</v>
      </c>
      <c r="AF2057" s="89"/>
      <c r="AG2057" s="89" t="s">
        <v>11514</v>
      </c>
      <c r="AH2057" s="72">
        <v>42230</v>
      </c>
      <c r="AI2057" s="30">
        <v>3</v>
      </c>
      <c r="AJ2057" s="89" t="s">
        <v>11515</v>
      </c>
      <c r="AK2057" s="89" t="s">
        <v>11516</v>
      </c>
      <c r="AL2057" s="91">
        <v>42240</v>
      </c>
      <c r="AM2057" s="91"/>
      <c r="AN2057" s="91"/>
      <c r="AO2057" s="91"/>
      <c r="AP2057" s="73" t="e">
        <f>MID(VLOOKUP(K2057,#REF!,2,FALSE),1,2)</f>
        <v>#REF!</v>
      </c>
      <c r="AQ2057" s="89">
        <f>DATE(2015,8,9)</f>
        <v>42225</v>
      </c>
      <c r="AR2057" s="82">
        <f t="shared" si="138"/>
        <v>9</v>
      </c>
      <c r="AS2057" s="83">
        <f t="shared" si="139"/>
        <v>8</v>
      </c>
      <c r="AT2057" s="84">
        <f t="shared" si="140"/>
        <v>2015</v>
      </c>
      <c r="AU2057" s="88">
        <f>DATE(2015,8,24)</f>
        <v>42240</v>
      </c>
      <c r="AV2057" s="88">
        <f>DATE(2015,8,14)</f>
        <v>42230</v>
      </c>
      <c r="AW2057" s="87">
        <f t="shared" si="142"/>
        <v>10</v>
      </c>
      <c r="AX2057" s="88">
        <f>DATE(2015,8,9)</f>
        <v>42225</v>
      </c>
      <c r="AY2057" s="83">
        <f>MONTH(AX2057)</f>
        <v>8</v>
      </c>
      <c r="AZ2057" s="84">
        <f>YEAR(AX2057)</f>
        <v>2015</v>
      </c>
      <c r="BA2057" s="88">
        <f>DATE(2015,8,9)</f>
        <v>42225</v>
      </c>
      <c r="BB2057" s="86"/>
    </row>
    <row r="2058" spans="1:54" ht="36.75" customHeight="1">
      <c r="A2058" s="30"/>
      <c r="B2058" s="30" t="s">
        <v>55</v>
      </c>
      <c r="C2058" s="69" t="str">
        <f t="shared" si="141"/>
        <v>Closed</v>
      </c>
      <c r="D2058" s="27" t="s">
        <v>11517</v>
      </c>
      <c r="E2058" s="29" t="s">
        <v>11518</v>
      </c>
      <c r="F2058" s="30" t="s">
        <v>835</v>
      </c>
      <c r="G2058" s="89">
        <f>DATE(2015,8,9)</f>
        <v>42225</v>
      </c>
      <c r="H2058" s="90">
        <v>1.7340277777777779</v>
      </c>
      <c r="I2058" s="30" t="s">
        <v>104</v>
      </c>
      <c r="J2058" s="89" t="s">
        <v>11519</v>
      </c>
      <c r="K2058" s="30" t="s">
        <v>837</v>
      </c>
      <c r="L2058" s="30" t="s">
        <v>11520</v>
      </c>
      <c r="M2058" s="30" t="s">
        <v>63</v>
      </c>
      <c r="N2058" s="30" t="s">
        <v>142</v>
      </c>
      <c r="O2058" s="30" t="s">
        <v>77</v>
      </c>
      <c r="P2058" s="89" t="s">
        <v>165</v>
      </c>
      <c r="Q2058" s="89" t="s">
        <v>2162</v>
      </c>
      <c r="R2058" s="89" t="s">
        <v>840</v>
      </c>
      <c r="S2058" s="30">
        <v>0</v>
      </c>
      <c r="T2058" s="233">
        <v>0</v>
      </c>
      <c r="U2058" s="30">
        <v>0</v>
      </c>
      <c r="V2058" s="233">
        <v>0</v>
      </c>
      <c r="W2058" s="30">
        <v>0</v>
      </c>
      <c r="X2058" s="30">
        <v>0</v>
      </c>
      <c r="Y2058" s="30">
        <v>0</v>
      </c>
      <c r="Z2058" s="233">
        <v>0</v>
      </c>
      <c r="AA2058" s="30">
        <v>0</v>
      </c>
      <c r="AB2058" s="30">
        <v>0</v>
      </c>
      <c r="AC2058" s="30">
        <v>0</v>
      </c>
      <c r="AD2058" s="30">
        <v>0</v>
      </c>
      <c r="AE2058" s="89" t="s">
        <v>92</v>
      </c>
      <c r="AF2058" s="89"/>
      <c r="AG2058" s="89" t="s">
        <v>352</v>
      </c>
      <c r="AH2058" s="72">
        <v>42229</v>
      </c>
      <c r="AI2058" s="30">
        <v>0</v>
      </c>
      <c r="AJ2058" s="89" t="s">
        <v>11521</v>
      </c>
      <c r="AK2058" s="89" t="s">
        <v>11522</v>
      </c>
      <c r="AL2058" s="91">
        <v>42230</v>
      </c>
      <c r="AM2058" s="91"/>
      <c r="AN2058" s="91"/>
      <c r="AO2058" s="91"/>
      <c r="AP2058" s="73" t="e">
        <f>MID(VLOOKUP(K2058,#REF!,2,FALSE),1,2)</f>
        <v>#REF!</v>
      </c>
      <c r="AQ2058" s="89">
        <f>DATE(2015,8,9)</f>
        <v>42225</v>
      </c>
      <c r="AR2058" s="82">
        <f t="shared" si="138"/>
        <v>9</v>
      </c>
      <c r="AS2058" s="83">
        <f t="shared" si="139"/>
        <v>8</v>
      </c>
      <c r="AT2058" s="84">
        <f t="shared" si="140"/>
        <v>2015</v>
      </c>
      <c r="AU2058" s="88">
        <f>DATE(2015,8,14)</f>
        <v>42230</v>
      </c>
      <c r="AV2058" s="88">
        <f>DATE(2015,8,13)</f>
        <v>42229</v>
      </c>
      <c r="AW2058" s="87">
        <f t="shared" si="142"/>
        <v>1</v>
      </c>
      <c r="AX2058" s="86"/>
      <c r="AY2058" s="83"/>
      <c r="AZ2058" s="84"/>
      <c r="BA2058" s="86"/>
      <c r="BB2058" s="86"/>
    </row>
    <row r="2059" spans="1:54" ht="36.75" customHeight="1">
      <c r="A2059" s="30"/>
      <c r="B2059" s="30" t="s">
        <v>55</v>
      </c>
      <c r="C2059" s="69" t="str">
        <f t="shared" si="141"/>
        <v>Closed</v>
      </c>
      <c r="D2059" s="27" t="s">
        <v>11523</v>
      </c>
      <c r="E2059" s="29" t="s">
        <v>11524</v>
      </c>
      <c r="F2059" s="30" t="s">
        <v>835</v>
      </c>
      <c r="G2059" s="89">
        <f>DATE(2015,8,11)</f>
        <v>42227</v>
      </c>
      <c r="H2059" s="90">
        <v>1.6006944444444444</v>
      </c>
      <c r="I2059" s="30" t="s">
        <v>104</v>
      </c>
      <c r="J2059" s="89" t="s">
        <v>11525</v>
      </c>
      <c r="K2059" s="30" t="s">
        <v>837</v>
      </c>
      <c r="L2059" s="30" t="s">
        <v>11526</v>
      </c>
      <c r="M2059" s="30" t="s">
        <v>63</v>
      </c>
      <c r="N2059" s="30" t="s">
        <v>89</v>
      </c>
      <c r="O2059" s="30" t="s">
        <v>77</v>
      </c>
      <c r="P2059" s="89" t="s">
        <v>78</v>
      </c>
      <c r="Q2059" s="89" t="s">
        <v>4708</v>
      </c>
      <c r="R2059" s="89" t="s">
        <v>840</v>
      </c>
      <c r="S2059" s="30">
        <v>0</v>
      </c>
      <c r="T2059" s="233">
        <v>0</v>
      </c>
      <c r="U2059" s="30">
        <v>0</v>
      </c>
      <c r="V2059" s="233">
        <v>0</v>
      </c>
      <c r="W2059" s="30">
        <v>0</v>
      </c>
      <c r="X2059" s="30">
        <v>0</v>
      </c>
      <c r="Y2059" s="30">
        <v>0</v>
      </c>
      <c r="Z2059" s="233">
        <v>0</v>
      </c>
      <c r="AA2059" s="30">
        <v>0</v>
      </c>
      <c r="AB2059" s="30">
        <v>0</v>
      </c>
      <c r="AC2059" s="30">
        <v>0</v>
      </c>
      <c r="AD2059" s="30">
        <v>0</v>
      </c>
      <c r="AE2059" s="89" t="s">
        <v>92</v>
      </c>
      <c r="AF2059" s="89"/>
      <c r="AG2059" s="89" t="s">
        <v>352</v>
      </c>
      <c r="AH2059" s="72">
        <v>42229</v>
      </c>
      <c r="AI2059" s="30">
        <v>0</v>
      </c>
      <c r="AJ2059" s="89" t="s">
        <v>11527</v>
      </c>
      <c r="AK2059" s="89" t="s">
        <v>11528</v>
      </c>
      <c r="AL2059" s="91">
        <v>42230</v>
      </c>
      <c r="AM2059" s="91"/>
      <c r="AN2059" s="91"/>
      <c r="AO2059" s="91"/>
      <c r="AP2059" s="73" t="e">
        <f>MID(VLOOKUP(K2059,#REF!,2,FALSE),1,2)</f>
        <v>#REF!</v>
      </c>
      <c r="AQ2059" s="89">
        <f>DATE(2015,8,11)</f>
        <v>42227</v>
      </c>
      <c r="AR2059" s="82">
        <f t="shared" si="138"/>
        <v>11</v>
      </c>
      <c r="AS2059" s="83">
        <f t="shared" si="139"/>
        <v>8</v>
      </c>
      <c r="AT2059" s="84">
        <f t="shared" si="140"/>
        <v>2015</v>
      </c>
      <c r="AU2059" s="88">
        <f>DATE(2015,8,14)</f>
        <v>42230</v>
      </c>
      <c r="AV2059" s="88">
        <f>DATE(2015,8,13)</f>
        <v>42229</v>
      </c>
      <c r="AW2059" s="87">
        <f t="shared" si="142"/>
        <v>1</v>
      </c>
      <c r="AX2059" s="86"/>
      <c r="AY2059" s="83"/>
      <c r="AZ2059" s="84"/>
      <c r="BA2059" s="86"/>
      <c r="BB2059" s="86"/>
    </row>
    <row r="2060" spans="1:54" ht="36.75" customHeight="1">
      <c r="A2060" s="30"/>
      <c r="B2060" s="30" t="s">
        <v>55</v>
      </c>
      <c r="C2060" s="69" t="str">
        <f t="shared" si="141"/>
        <v>Closed</v>
      </c>
      <c r="D2060" s="27" t="s">
        <v>11529</v>
      </c>
      <c r="E2060" s="29" t="s">
        <v>11530</v>
      </c>
      <c r="F2060" s="30" t="s">
        <v>1572</v>
      </c>
      <c r="G2060" s="89">
        <f>DATE(2015,8,11)</f>
        <v>42227</v>
      </c>
      <c r="H2060" s="90">
        <v>1.7916666666666665</v>
      </c>
      <c r="I2060" s="30" t="s">
        <v>125</v>
      </c>
      <c r="J2060" s="89" t="s">
        <v>11531</v>
      </c>
      <c r="K2060" s="30" t="s">
        <v>1574</v>
      </c>
      <c r="L2060" s="30" t="s">
        <v>11532</v>
      </c>
      <c r="M2060" s="30" t="s">
        <v>63</v>
      </c>
      <c r="N2060" s="30" t="s">
        <v>142</v>
      </c>
      <c r="O2060" s="30" t="s">
        <v>64</v>
      </c>
      <c r="P2060" s="89" t="s">
        <v>78</v>
      </c>
      <c r="Q2060" s="89" t="s">
        <v>4920</v>
      </c>
      <c r="R2060" s="89" t="s">
        <v>6434</v>
      </c>
      <c r="S2060" s="30">
        <v>0</v>
      </c>
      <c r="T2060" s="233">
        <v>0</v>
      </c>
      <c r="U2060" s="30">
        <v>0</v>
      </c>
      <c r="V2060" s="233">
        <v>0</v>
      </c>
      <c r="W2060" s="30">
        <v>0</v>
      </c>
      <c r="X2060" s="30">
        <v>0</v>
      </c>
      <c r="Y2060" s="30">
        <v>0</v>
      </c>
      <c r="Z2060" s="233">
        <v>0</v>
      </c>
      <c r="AA2060" s="30">
        <v>0</v>
      </c>
      <c r="AB2060" s="30">
        <v>0</v>
      </c>
      <c r="AC2060" s="30">
        <v>0</v>
      </c>
      <c r="AD2060" s="30">
        <v>0</v>
      </c>
      <c r="AE2060" s="89" t="s">
        <v>394</v>
      </c>
      <c r="AF2060" s="89"/>
      <c r="AG2060" s="89" t="s">
        <v>133</v>
      </c>
      <c r="AH2060" s="72">
        <v>42228</v>
      </c>
      <c r="AI2060" s="30">
        <v>1</v>
      </c>
      <c r="AJ2060" s="89" t="s">
        <v>11533</v>
      </c>
      <c r="AK2060" s="89" t="s">
        <v>11534</v>
      </c>
      <c r="AL2060" s="91">
        <v>42229</v>
      </c>
      <c r="AM2060" s="91"/>
      <c r="AN2060" s="91"/>
      <c r="AO2060" s="91"/>
      <c r="AP2060" s="73" t="e">
        <f>MID(VLOOKUP(K2060,#REF!,2,FALSE),1,2)</f>
        <v>#REF!</v>
      </c>
      <c r="AQ2060" s="89">
        <f>DATE(2015,8,11)</f>
        <v>42227</v>
      </c>
      <c r="AR2060" s="82">
        <f t="shared" si="138"/>
        <v>11</v>
      </c>
      <c r="AS2060" s="83">
        <f t="shared" si="139"/>
        <v>8</v>
      </c>
      <c r="AT2060" s="84">
        <f t="shared" si="140"/>
        <v>2015</v>
      </c>
      <c r="AU2060" s="88">
        <f>DATE(2015,8,13)</f>
        <v>42229</v>
      </c>
      <c r="AV2060" s="88">
        <f>DATE(2015,8,12)</f>
        <v>42228</v>
      </c>
      <c r="AW2060" s="87">
        <f t="shared" si="142"/>
        <v>1</v>
      </c>
      <c r="AX2060" s="88">
        <f>DATE(2015,8,13)</f>
        <v>42229</v>
      </c>
      <c r="AY2060" s="83">
        <f>MONTH(AX2060)</f>
        <v>8</v>
      </c>
      <c r="AZ2060" s="84">
        <f>YEAR(AX2060)</f>
        <v>2015</v>
      </c>
      <c r="BA2060" s="88">
        <f>DATE(2015,8,11)</f>
        <v>42227</v>
      </c>
      <c r="BB2060" s="86"/>
    </row>
    <row r="2061" spans="1:54" ht="36.75" customHeight="1">
      <c r="A2061" s="30"/>
      <c r="B2061" s="30" t="s">
        <v>55</v>
      </c>
      <c r="C2061" s="69" t="str">
        <f t="shared" si="141"/>
        <v>Closed</v>
      </c>
      <c r="D2061" s="27" t="s">
        <v>11535</v>
      </c>
      <c r="E2061" s="29" t="s">
        <v>11536</v>
      </c>
      <c r="F2061" s="30" t="s">
        <v>624</v>
      </c>
      <c r="G2061" s="89">
        <f>DATE(2015,8,13)</f>
        <v>42229</v>
      </c>
      <c r="H2061" s="90">
        <v>1.3736111111111111</v>
      </c>
      <c r="I2061" s="30" t="s">
        <v>116</v>
      </c>
      <c r="J2061" s="89" t="s">
        <v>116</v>
      </c>
      <c r="K2061" s="30" t="s">
        <v>626</v>
      </c>
      <c r="L2061" s="30" t="s">
        <v>11537</v>
      </c>
      <c r="M2061" s="30" t="s">
        <v>63</v>
      </c>
      <c r="N2061" s="30" t="s">
        <v>99</v>
      </c>
      <c r="O2061" s="30" t="s">
        <v>64</v>
      </c>
      <c r="P2061" s="89" t="s">
        <v>78</v>
      </c>
      <c r="Q2061" s="89" t="s">
        <v>11538</v>
      </c>
      <c r="R2061" s="89" t="s">
        <v>629</v>
      </c>
      <c r="S2061" s="30">
        <v>0</v>
      </c>
      <c r="T2061" s="233">
        <v>0</v>
      </c>
      <c r="U2061" s="30">
        <v>0</v>
      </c>
      <c r="V2061" s="233">
        <v>0</v>
      </c>
      <c r="W2061" s="30">
        <v>0</v>
      </c>
      <c r="X2061" s="30">
        <v>0</v>
      </c>
      <c r="Y2061" s="30">
        <v>0</v>
      </c>
      <c r="Z2061" s="233">
        <v>0</v>
      </c>
      <c r="AA2061" s="30">
        <v>0</v>
      </c>
      <c r="AB2061" s="30">
        <v>0</v>
      </c>
      <c r="AC2061" s="30">
        <v>0</v>
      </c>
      <c r="AD2061" s="30">
        <v>0</v>
      </c>
      <c r="AE2061" s="89" t="s">
        <v>92</v>
      </c>
      <c r="AF2061" s="89"/>
      <c r="AG2061" s="89" t="s">
        <v>352</v>
      </c>
      <c r="AH2061" s="72">
        <v>42229</v>
      </c>
      <c r="AI2061" s="30">
        <v>4</v>
      </c>
      <c r="AJ2061" s="89" t="s">
        <v>11539</v>
      </c>
      <c r="AK2061" s="89" t="s">
        <v>68</v>
      </c>
      <c r="AL2061" s="91">
        <v>42312</v>
      </c>
      <c r="AM2061" s="91"/>
      <c r="AN2061" s="91"/>
      <c r="AO2061" s="91"/>
      <c r="AP2061" s="73" t="e">
        <f>MID(VLOOKUP(K2061,#REF!,2,FALSE),1,2)</f>
        <v>#REF!</v>
      </c>
      <c r="AQ2061" s="89">
        <f>DATE(2015,8,13)</f>
        <v>42229</v>
      </c>
      <c r="AR2061" s="82">
        <f t="shared" si="138"/>
        <v>13</v>
      </c>
      <c r="AS2061" s="83">
        <f t="shared" si="139"/>
        <v>8</v>
      </c>
      <c r="AT2061" s="84">
        <f t="shared" si="140"/>
        <v>2015</v>
      </c>
      <c r="AU2061" s="88">
        <f>DATE(2015,11,4)</f>
        <v>42312</v>
      </c>
      <c r="AV2061" s="88">
        <f>DATE(2015,8,13)</f>
        <v>42229</v>
      </c>
      <c r="AW2061" s="87">
        <f t="shared" si="142"/>
        <v>83</v>
      </c>
      <c r="AX2061" s="86"/>
      <c r="AY2061" s="83"/>
      <c r="AZ2061" s="84"/>
      <c r="BA2061" s="86"/>
      <c r="BB2061" s="86"/>
    </row>
    <row r="2062" spans="1:54" ht="36.75" customHeight="1">
      <c r="A2062" s="30"/>
      <c r="B2062" s="30" t="s">
        <v>55</v>
      </c>
      <c r="C2062" s="69" t="str">
        <f t="shared" si="141"/>
        <v>Closed</v>
      </c>
      <c r="D2062" s="27" t="s">
        <v>11540</v>
      </c>
      <c r="E2062" s="29" t="s">
        <v>11541</v>
      </c>
      <c r="F2062" s="30" t="s">
        <v>423</v>
      </c>
      <c r="G2062" s="89">
        <f>DATE(2015,8,14)</f>
        <v>42230</v>
      </c>
      <c r="H2062" s="90">
        <v>1.620138888888889</v>
      </c>
      <c r="I2062" s="30" t="s">
        <v>116</v>
      </c>
      <c r="J2062" s="89" t="s">
        <v>11542</v>
      </c>
      <c r="K2062" s="30" t="s">
        <v>425</v>
      </c>
      <c r="L2062" s="30" t="s">
        <v>11543</v>
      </c>
      <c r="M2062" s="30" t="s">
        <v>63</v>
      </c>
      <c r="N2062" s="30" t="s">
        <v>99</v>
      </c>
      <c r="O2062" s="30" t="s">
        <v>64</v>
      </c>
      <c r="P2062" s="89" t="s">
        <v>78</v>
      </c>
      <c r="Q2062" s="89" t="s">
        <v>2582</v>
      </c>
      <c r="R2062" s="89" t="s">
        <v>3103</v>
      </c>
      <c r="S2062" s="30">
        <v>0</v>
      </c>
      <c r="T2062" s="233">
        <v>0</v>
      </c>
      <c r="U2062" s="30">
        <v>2</v>
      </c>
      <c r="V2062" s="233">
        <v>0</v>
      </c>
      <c r="W2062" s="30">
        <v>0</v>
      </c>
      <c r="X2062" s="30">
        <v>2</v>
      </c>
      <c r="Y2062" s="30">
        <v>0</v>
      </c>
      <c r="Z2062" s="233">
        <v>0</v>
      </c>
      <c r="AA2062" s="30">
        <v>2</v>
      </c>
      <c r="AB2062" s="30">
        <v>0</v>
      </c>
      <c r="AC2062" s="30">
        <v>0</v>
      </c>
      <c r="AD2062" s="30">
        <v>2</v>
      </c>
      <c r="AE2062" s="89" t="s">
        <v>92</v>
      </c>
      <c r="AF2062" s="89"/>
      <c r="AG2062" s="89" t="s">
        <v>133</v>
      </c>
      <c r="AH2062" s="72">
        <v>42225</v>
      </c>
      <c r="AI2062" s="30">
        <v>3</v>
      </c>
      <c r="AJ2062" s="89" t="s">
        <v>11544</v>
      </c>
      <c r="AK2062" s="89" t="s">
        <v>11545</v>
      </c>
      <c r="AL2062" s="91">
        <v>42256</v>
      </c>
      <c r="AM2062" s="91"/>
      <c r="AN2062" s="91"/>
      <c r="AO2062" s="91"/>
      <c r="AP2062" s="73" t="e">
        <f>MID(VLOOKUP(K2062,#REF!,2,FALSE),1,2)</f>
        <v>#REF!</v>
      </c>
      <c r="AQ2062" s="89">
        <f>DATE(2015,8,14)</f>
        <v>42230</v>
      </c>
      <c r="AR2062" s="82">
        <f t="shared" si="138"/>
        <v>14</v>
      </c>
      <c r="AS2062" s="83">
        <f t="shared" si="139"/>
        <v>8</v>
      </c>
      <c r="AT2062" s="84">
        <f t="shared" si="140"/>
        <v>2015</v>
      </c>
      <c r="AU2062" s="88">
        <f>DATE(2015,9,9)</f>
        <v>42256</v>
      </c>
      <c r="AV2062" s="88">
        <f>DATE(2015,9,8)</f>
        <v>42255</v>
      </c>
      <c r="AW2062" s="87">
        <f t="shared" si="142"/>
        <v>1</v>
      </c>
      <c r="AX2062" s="86"/>
      <c r="AY2062" s="83"/>
      <c r="AZ2062" s="84"/>
      <c r="BA2062" s="86"/>
      <c r="BB2062" s="86"/>
    </row>
    <row r="2063" spans="1:54" ht="36.75" customHeight="1">
      <c r="A2063" s="30"/>
      <c r="B2063" s="30" t="s">
        <v>55</v>
      </c>
      <c r="C2063" s="69" t="str">
        <f t="shared" si="141"/>
        <v>Closed</v>
      </c>
      <c r="D2063" s="27" t="s">
        <v>11546</v>
      </c>
      <c r="E2063" s="29" t="s">
        <v>11547</v>
      </c>
      <c r="F2063" s="30" t="s">
        <v>835</v>
      </c>
      <c r="G2063" s="89">
        <f>DATE(2015,8,16)</f>
        <v>42232</v>
      </c>
      <c r="H2063" s="90">
        <v>1.3590277777777777</v>
      </c>
      <c r="I2063" s="30" t="s">
        <v>198</v>
      </c>
      <c r="J2063" s="89" t="s">
        <v>11548</v>
      </c>
      <c r="K2063" s="30" t="s">
        <v>837</v>
      </c>
      <c r="L2063" s="30" t="s">
        <v>11549</v>
      </c>
      <c r="M2063" s="30" t="s">
        <v>63</v>
      </c>
      <c r="N2063" s="30" t="s">
        <v>99</v>
      </c>
      <c r="O2063" s="30" t="s">
        <v>64</v>
      </c>
      <c r="P2063" s="89" t="s">
        <v>165</v>
      </c>
      <c r="Q2063" s="89" t="s">
        <v>2162</v>
      </c>
      <c r="R2063" s="89" t="s">
        <v>840</v>
      </c>
      <c r="S2063" s="30">
        <v>0</v>
      </c>
      <c r="T2063" s="233">
        <v>0</v>
      </c>
      <c r="U2063" s="30">
        <v>0</v>
      </c>
      <c r="V2063" s="233">
        <v>0</v>
      </c>
      <c r="W2063" s="30">
        <v>0</v>
      </c>
      <c r="X2063" s="30">
        <v>0</v>
      </c>
      <c r="Y2063" s="30">
        <v>3</v>
      </c>
      <c r="Z2063" s="233">
        <v>1</v>
      </c>
      <c r="AA2063" s="30">
        <v>0</v>
      </c>
      <c r="AB2063" s="30">
        <v>0</v>
      </c>
      <c r="AC2063" s="30">
        <v>0</v>
      </c>
      <c r="AD2063" s="30">
        <v>4</v>
      </c>
      <c r="AE2063" s="89" t="s">
        <v>394</v>
      </c>
      <c r="AF2063" s="89"/>
      <c r="AG2063" s="89" t="s">
        <v>133</v>
      </c>
      <c r="AH2063" s="72">
        <v>42232</v>
      </c>
      <c r="AI2063" s="30">
        <v>1</v>
      </c>
      <c r="AJ2063" s="89" t="s">
        <v>11550</v>
      </c>
      <c r="AK2063" s="89" t="s">
        <v>11551</v>
      </c>
      <c r="AL2063" s="91">
        <v>42234</v>
      </c>
      <c r="AM2063" s="91"/>
      <c r="AN2063" s="91"/>
      <c r="AO2063" s="91"/>
      <c r="AP2063" s="73" t="e">
        <f>MID(VLOOKUP(K2063,#REF!,2,FALSE),1,2)</f>
        <v>#REF!</v>
      </c>
      <c r="AQ2063" s="89">
        <f>DATE(2015,8,16)</f>
        <v>42232</v>
      </c>
      <c r="AR2063" s="82">
        <f t="shared" si="138"/>
        <v>16</v>
      </c>
      <c r="AS2063" s="83">
        <f t="shared" si="139"/>
        <v>8</v>
      </c>
      <c r="AT2063" s="84">
        <f t="shared" si="140"/>
        <v>2015</v>
      </c>
      <c r="AU2063" s="88">
        <f>DATE(2015,8,18)</f>
        <v>42234</v>
      </c>
      <c r="AV2063" s="88">
        <f>DATE(2015,8,16)</f>
        <v>42232</v>
      </c>
      <c r="AW2063" s="87">
        <f t="shared" si="142"/>
        <v>2</v>
      </c>
      <c r="AX2063" s="86"/>
      <c r="AY2063" s="83"/>
      <c r="AZ2063" s="84"/>
      <c r="BA2063" s="86"/>
      <c r="BB2063" s="86"/>
    </row>
    <row r="2064" spans="1:54" ht="36.75" customHeight="1">
      <c r="A2064" s="30"/>
      <c r="B2064" s="30" t="s">
        <v>55</v>
      </c>
      <c r="C2064" s="69" t="str">
        <f t="shared" si="141"/>
        <v>Closed</v>
      </c>
      <c r="D2064" s="27" t="s">
        <v>11552</v>
      </c>
      <c r="E2064" s="29" t="s">
        <v>11553</v>
      </c>
      <c r="F2064" s="30" t="s">
        <v>1572</v>
      </c>
      <c r="G2064" s="89">
        <f>DATE(2015,8,22)</f>
        <v>42238</v>
      </c>
      <c r="H2064" s="90">
        <v>1.6944444444444446</v>
      </c>
      <c r="I2064" s="30" t="s">
        <v>125</v>
      </c>
      <c r="J2064" s="89" t="s">
        <v>11554</v>
      </c>
      <c r="K2064" s="30" t="s">
        <v>1574</v>
      </c>
      <c r="L2064" s="30" t="s">
        <v>11555</v>
      </c>
      <c r="M2064" s="30" t="s">
        <v>63</v>
      </c>
      <c r="N2064" s="30" t="s">
        <v>99</v>
      </c>
      <c r="O2064" s="30" t="s">
        <v>64</v>
      </c>
      <c r="P2064" s="89" t="s">
        <v>78</v>
      </c>
      <c r="Q2064" s="89" t="s">
        <v>6093</v>
      </c>
      <c r="R2064" s="89" t="s">
        <v>11556</v>
      </c>
      <c r="S2064" s="30">
        <v>0</v>
      </c>
      <c r="T2064" s="233">
        <v>0</v>
      </c>
      <c r="U2064" s="30">
        <v>0</v>
      </c>
      <c r="V2064" s="233">
        <v>0</v>
      </c>
      <c r="W2064" s="30">
        <v>0</v>
      </c>
      <c r="X2064" s="30">
        <v>0</v>
      </c>
      <c r="Y2064" s="30">
        <v>0</v>
      </c>
      <c r="Z2064" s="233">
        <v>0</v>
      </c>
      <c r="AA2064" s="30">
        <v>0</v>
      </c>
      <c r="AB2064" s="30">
        <v>0</v>
      </c>
      <c r="AC2064" s="30">
        <v>0</v>
      </c>
      <c r="AD2064" s="30">
        <v>0</v>
      </c>
      <c r="AE2064" s="89" t="s">
        <v>92</v>
      </c>
      <c r="AF2064" s="89"/>
      <c r="AG2064" s="89" t="s">
        <v>133</v>
      </c>
      <c r="AH2064" s="72">
        <v>42240</v>
      </c>
      <c r="AI2064" s="30">
        <v>0</v>
      </c>
      <c r="AJ2064" s="89" t="s">
        <v>11557</v>
      </c>
      <c r="AK2064" s="89" t="s">
        <v>11558</v>
      </c>
      <c r="AL2064" s="91">
        <v>42244</v>
      </c>
      <c r="AM2064" s="91"/>
      <c r="AN2064" s="91"/>
      <c r="AO2064" s="91"/>
      <c r="AP2064" s="73" t="e">
        <f>MID(VLOOKUP(K2064,#REF!,2,FALSE),1,2)</f>
        <v>#REF!</v>
      </c>
      <c r="AQ2064" s="89">
        <f>DATE(2015,8,22)</f>
        <v>42238</v>
      </c>
      <c r="AR2064" s="82">
        <f t="shared" si="138"/>
        <v>22</v>
      </c>
      <c r="AS2064" s="83">
        <f t="shared" si="139"/>
        <v>8</v>
      </c>
      <c r="AT2064" s="84">
        <f t="shared" si="140"/>
        <v>2015</v>
      </c>
      <c r="AU2064" s="88">
        <f>DATE(2015,8,28)</f>
        <v>42244</v>
      </c>
      <c r="AV2064" s="88">
        <f>DATE(2015,8,24)</f>
        <v>42240</v>
      </c>
      <c r="AW2064" s="87">
        <f t="shared" si="142"/>
        <v>4</v>
      </c>
      <c r="AX2064" s="88">
        <f>DATE(2015,8,28)</f>
        <v>42244</v>
      </c>
      <c r="AY2064" s="83">
        <f>MONTH(AX2064)</f>
        <v>8</v>
      </c>
      <c r="AZ2064" s="84">
        <f>YEAR(AX2064)</f>
        <v>2015</v>
      </c>
      <c r="BA2064" s="88">
        <f>DATE(2015,8,22)</f>
        <v>42238</v>
      </c>
      <c r="BB2064" s="86"/>
    </row>
    <row r="2065" spans="1:54" ht="36.75" customHeight="1">
      <c r="A2065" s="30"/>
      <c r="B2065" s="30" t="s">
        <v>55</v>
      </c>
      <c r="C2065" s="69" t="str">
        <f t="shared" si="141"/>
        <v>Closed</v>
      </c>
      <c r="D2065" s="27" t="s">
        <v>11559</v>
      </c>
      <c r="E2065" s="29" t="s">
        <v>11560</v>
      </c>
      <c r="F2065" s="30" t="s">
        <v>638</v>
      </c>
      <c r="G2065" s="89">
        <f>DATE(2015,8,27)</f>
        <v>42243</v>
      </c>
      <c r="H2065" s="90">
        <v>1.8624999999999998</v>
      </c>
      <c r="I2065" s="30" t="s">
        <v>125</v>
      </c>
      <c r="J2065" s="89" t="s">
        <v>11561</v>
      </c>
      <c r="K2065" s="30" t="s">
        <v>640</v>
      </c>
      <c r="L2065" s="30" t="s">
        <v>11562</v>
      </c>
      <c r="M2065" s="30" t="s">
        <v>63</v>
      </c>
      <c r="N2065" s="30" t="s">
        <v>99</v>
      </c>
      <c r="O2065" s="30" t="s">
        <v>77</v>
      </c>
      <c r="P2065" s="89" t="s">
        <v>6941</v>
      </c>
      <c r="Q2065" s="89" t="s">
        <v>642</v>
      </c>
      <c r="R2065" s="89" t="s">
        <v>643</v>
      </c>
      <c r="S2065" s="30">
        <v>0</v>
      </c>
      <c r="T2065" s="233">
        <v>0</v>
      </c>
      <c r="U2065" s="30">
        <v>0</v>
      </c>
      <c r="V2065" s="233">
        <v>0</v>
      </c>
      <c r="W2065" s="30">
        <v>0</v>
      </c>
      <c r="X2065" s="30">
        <v>0</v>
      </c>
      <c r="Y2065" s="30">
        <v>0</v>
      </c>
      <c r="Z2065" s="233">
        <v>0</v>
      </c>
      <c r="AA2065" s="30">
        <v>0</v>
      </c>
      <c r="AB2065" s="30">
        <v>0</v>
      </c>
      <c r="AC2065" s="30">
        <v>0</v>
      </c>
      <c r="AD2065" s="30">
        <v>0</v>
      </c>
      <c r="AE2065" s="89" t="s">
        <v>92</v>
      </c>
      <c r="AF2065" s="89"/>
      <c r="AG2065" s="89" t="s">
        <v>352</v>
      </c>
      <c r="AH2065" s="72">
        <v>42269</v>
      </c>
      <c r="AI2065" s="30">
        <v>2</v>
      </c>
      <c r="AJ2065" s="89" t="s">
        <v>11563</v>
      </c>
      <c r="AK2065" s="89" t="s">
        <v>68</v>
      </c>
      <c r="AL2065" s="91">
        <v>42277</v>
      </c>
      <c r="AM2065" s="91"/>
      <c r="AN2065" s="91"/>
      <c r="AO2065" s="91"/>
      <c r="AP2065" s="73" t="e">
        <f>MID(VLOOKUP(K2065,#REF!,2,FALSE),1,2)</f>
        <v>#REF!</v>
      </c>
      <c r="AQ2065" s="89">
        <f>DATE(2015,8,27)</f>
        <v>42243</v>
      </c>
      <c r="AR2065" s="82">
        <f t="shared" si="138"/>
        <v>27</v>
      </c>
      <c r="AS2065" s="83">
        <f t="shared" si="139"/>
        <v>8</v>
      </c>
      <c r="AT2065" s="84">
        <f t="shared" si="140"/>
        <v>2015</v>
      </c>
      <c r="AU2065" s="88">
        <f>DATE(2015,9,30)</f>
        <v>42277</v>
      </c>
      <c r="AV2065" s="88">
        <f>DATE(2015,9,22)</f>
        <v>42269</v>
      </c>
      <c r="AW2065" s="87">
        <f t="shared" si="142"/>
        <v>8</v>
      </c>
      <c r="AX2065" s="86"/>
      <c r="AY2065" s="83"/>
      <c r="AZ2065" s="84"/>
      <c r="BA2065" s="86"/>
      <c r="BB2065" s="86"/>
    </row>
    <row r="2066" spans="1:54" ht="36.75" customHeight="1">
      <c r="A2066" s="30"/>
      <c r="B2066" s="30" t="s">
        <v>55</v>
      </c>
      <c r="C2066" s="69" t="str">
        <f t="shared" si="141"/>
        <v>Closed</v>
      </c>
      <c r="D2066" s="27" t="s">
        <v>11564</v>
      </c>
      <c r="E2066" s="29" t="s">
        <v>11565</v>
      </c>
      <c r="F2066" s="30" t="s">
        <v>835</v>
      </c>
      <c r="G2066" s="89">
        <f>DATE(2015,8,27)</f>
        <v>42243</v>
      </c>
      <c r="H2066" s="90">
        <v>1.4930555555555556</v>
      </c>
      <c r="I2066" s="30" t="s">
        <v>104</v>
      </c>
      <c r="J2066" s="89" t="s">
        <v>11566</v>
      </c>
      <c r="K2066" s="30" t="s">
        <v>837</v>
      </c>
      <c r="L2066" s="30" t="s">
        <v>11567</v>
      </c>
      <c r="M2066" s="30" t="s">
        <v>63</v>
      </c>
      <c r="N2066" s="30" t="s">
        <v>99</v>
      </c>
      <c r="O2066" s="30" t="s">
        <v>77</v>
      </c>
      <c r="P2066" s="89" t="s">
        <v>165</v>
      </c>
      <c r="Q2066" s="89" t="s">
        <v>2797</v>
      </c>
      <c r="R2066" s="89" t="s">
        <v>2797</v>
      </c>
      <c r="S2066" s="30">
        <v>0</v>
      </c>
      <c r="T2066" s="233">
        <v>0</v>
      </c>
      <c r="U2066" s="30">
        <v>0</v>
      </c>
      <c r="V2066" s="233">
        <v>0</v>
      </c>
      <c r="W2066" s="30">
        <v>0</v>
      </c>
      <c r="X2066" s="30">
        <v>0</v>
      </c>
      <c r="Y2066" s="30">
        <v>0</v>
      </c>
      <c r="Z2066" s="233">
        <v>0</v>
      </c>
      <c r="AA2066" s="30">
        <v>0</v>
      </c>
      <c r="AB2066" s="30">
        <v>0</v>
      </c>
      <c r="AC2066" s="30">
        <v>0</v>
      </c>
      <c r="AD2066" s="30">
        <v>0</v>
      </c>
      <c r="AE2066" s="89" t="s">
        <v>92</v>
      </c>
      <c r="AF2066" s="89"/>
      <c r="AG2066" s="89" t="s">
        <v>352</v>
      </c>
      <c r="AH2066" s="72">
        <v>42243</v>
      </c>
      <c r="AI2066" s="30">
        <v>0</v>
      </c>
      <c r="AJ2066" s="89" t="s">
        <v>11568</v>
      </c>
      <c r="AK2066" s="89" t="s">
        <v>68</v>
      </c>
      <c r="AL2066" s="91">
        <v>42247</v>
      </c>
      <c r="AM2066" s="91"/>
      <c r="AN2066" s="91"/>
      <c r="AO2066" s="91"/>
      <c r="AP2066" s="73" t="e">
        <f>MID(VLOOKUP(K2066,#REF!,2,FALSE),1,2)</f>
        <v>#REF!</v>
      </c>
      <c r="AQ2066" s="89">
        <f>DATE(2015,8,27)</f>
        <v>42243</v>
      </c>
      <c r="AR2066" s="82">
        <f t="shared" si="138"/>
        <v>27</v>
      </c>
      <c r="AS2066" s="83">
        <f t="shared" si="139"/>
        <v>8</v>
      </c>
      <c r="AT2066" s="84">
        <f t="shared" si="140"/>
        <v>2015</v>
      </c>
      <c r="AU2066" s="88">
        <f>DATE(2015,8,31)</f>
        <v>42247</v>
      </c>
      <c r="AV2066" s="88">
        <f>DATE(2015,8,27)</f>
        <v>42243</v>
      </c>
      <c r="AW2066" s="87">
        <f t="shared" si="142"/>
        <v>4</v>
      </c>
      <c r="AX2066" s="88">
        <f>DATE(2015,8,27)</f>
        <v>42243</v>
      </c>
      <c r="AY2066" s="83">
        <f>MONTH(AX2066)</f>
        <v>8</v>
      </c>
      <c r="AZ2066" s="84">
        <f>YEAR(AX2066)</f>
        <v>2015</v>
      </c>
      <c r="BA2066" s="88">
        <f>DATE(2015,8,27)</f>
        <v>42243</v>
      </c>
      <c r="BB2066" s="86"/>
    </row>
    <row r="2067" spans="1:54" ht="36.75" customHeight="1">
      <c r="A2067" s="30"/>
      <c r="B2067" s="30" t="s">
        <v>55</v>
      </c>
      <c r="C2067" s="69" t="str">
        <f t="shared" si="141"/>
        <v>Closed</v>
      </c>
      <c r="D2067" s="27" t="s">
        <v>11569</v>
      </c>
      <c r="E2067" s="29" t="s">
        <v>11570</v>
      </c>
      <c r="F2067" s="30" t="s">
        <v>638</v>
      </c>
      <c r="G2067" s="89">
        <f>DATE(2015,9,2)</f>
        <v>42249</v>
      </c>
      <c r="H2067" s="90">
        <v>1.2013888888888888</v>
      </c>
      <c r="I2067" s="30" t="s">
        <v>156</v>
      </c>
      <c r="J2067" s="89" t="s">
        <v>11571</v>
      </c>
      <c r="K2067" s="30" t="s">
        <v>640</v>
      </c>
      <c r="L2067" s="30" t="s">
        <v>11572</v>
      </c>
      <c r="M2067" s="30" t="s">
        <v>63</v>
      </c>
      <c r="N2067" s="30" t="s">
        <v>99</v>
      </c>
      <c r="O2067" s="30" t="s">
        <v>64</v>
      </c>
      <c r="P2067" s="89" t="s">
        <v>78</v>
      </c>
      <c r="Q2067" s="89" t="s">
        <v>4904</v>
      </c>
      <c r="R2067" s="89" t="s">
        <v>643</v>
      </c>
      <c r="S2067" s="30">
        <v>0</v>
      </c>
      <c r="T2067" s="233">
        <v>0</v>
      </c>
      <c r="U2067" s="30">
        <v>0</v>
      </c>
      <c r="V2067" s="233">
        <v>0</v>
      </c>
      <c r="W2067" s="30">
        <v>0</v>
      </c>
      <c r="X2067" s="30">
        <v>0</v>
      </c>
      <c r="Y2067" s="30">
        <v>0</v>
      </c>
      <c r="Z2067" s="233">
        <v>0</v>
      </c>
      <c r="AA2067" s="30">
        <v>0</v>
      </c>
      <c r="AB2067" s="30">
        <v>0</v>
      </c>
      <c r="AC2067" s="30">
        <v>0</v>
      </c>
      <c r="AD2067" s="30">
        <v>0</v>
      </c>
      <c r="AE2067" s="89" t="s">
        <v>394</v>
      </c>
      <c r="AF2067" s="89"/>
      <c r="AG2067" s="89" t="s">
        <v>133</v>
      </c>
      <c r="AH2067" s="72">
        <v>42269</v>
      </c>
      <c r="AI2067" s="30">
        <v>1</v>
      </c>
      <c r="AJ2067" s="89" t="s">
        <v>11573</v>
      </c>
      <c r="AK2067" s="89" t="s">
        <v>68</v>
      </c>
      <c r="AL2067" s="91">
        <v>42292</v>
      </c>
      <c r="AM2067" s="91"/>
      <c r="AN2067" s="91"/>
      <c r="AO2067" s="91"/>
      <c r="AP2067" s="73" t="e">
        <f>MID(VLOOKUP(K2067,#REF!,2,FALSE),1,2)</f>
        <v>#REF!</v>
      </c>
      <c r="AQ2067" s="89">
        <f>DATE(2015,9,2)</f>
        <v>42249</v>
      </c>
      <c r="AR2067" s="82">
        <f t="shared" si="138"/>
        <v>2</v>
      </c>
      <c r="AS2067" s="83">
        <f t="shared" si="139"/>
        <v>9</v>
      </c>
      <c r="AT2067" s="84">
        <f t="shared" si="140"/>
        <v>2015</v>
      </c>
      <c r="AU2067" s="88">
        <f>DATE(2015,10,15)</f>
        <v>42292</v>
      </c>
      <c r="AV2067" s="88">
        <f>DATE(2015,9,22)</f>
        <v>42269</v>
      </c>
      <c r="AW2067" s="87">
        <f t="shared" si="142"/>
        <v>23</v>
      </c>
      <c r="AX2067" s="86"/>
      <c r="AY2067" s="83"/>
      <c r="AZ2067" s="84"/>
      <c r="BA2067" s="86"/>
      <c r="BB2067" s="86"/>
    </row>
    <row r="2068" spans="1:54" ht="36.75" customHeight="1">
      <c r="A2068" s="30"/>
      <c r="B2068" s="30" t="s">
        <v>55</v>
      </c>
      <c r="C2068" s="69" t="str">
        <f t="shared" si="141"/>
        <v>Closed</v>
      </c>
      <c r="D2068" s="27" t="s">
        <v>11574</v>
      </c>
      <c r="E2068" s="29" t="s">
        <v>11575</v>
      </c>
      <c r="F2068" s="30" t="s">
        <v>138</v>
      </c>
      <c r="G2068" s="89">
        <f>DATE(2015,9,5)</f>
        <v>42252</v>
      </c>
      <c r="H2068" s="90">
        <v>1.6312500000000001</v>
      </c>
      <c r="I2068" s="30" t="s">
        <v>278</v>
      </c>
      <c r="J2068" s="89" t="s">
        <v>11576</v>
      </c>
      <c r="K2068" s="30" t="s">
        <v>140</v>
      </c>
      <c r="L2068" s="30" t="s">
        <v>11577</v>
      </c>
      <c r="M2068" s="30" t="s">
        <v>63</v>
      </c>
      <c r="N2068" s="30" t="s">
        <v>89</v>
      </c>
      <c r="O2068" s="30" t="s">
        <v>64</v>
      </c>
      <c r="P2068" s="89" t="s">
        <v>381</v>
      </c>
      <c r="Q2068" s="89" t="s">
        <v>143</v>
      </c>
      <c r="R2068" s="89" t="s">
        <v>4934</v>
      </c>
      <c r="S2068" s="30">
        <v>0</v>
      </c>
      <c r="T2068" s="233">
        <v>0</v>
      </c>
      <c r="U2068" s="30">
        <v>0</v>
      </c>
      <c r="V2068" s="233">
        <v>0</v>
      </c>
      <c r="W2068" s="30">
        <v>0</v>
      </c>
      <c r="X2068" s="30">
        <v>0</v>
      </c>
      <c r="Y2068" s="30">
        <v>0</v>
      </c>
      <c r="Z2068" s="233">
        <v>1</v>
      </c>
      <c r="AA2068" s="30">
        <v>0</v>
      </c>
      <c r="AB2068" s="30">
        <v>0</v>
      </c>
      <c r="AC2068" s="30">
        <v>0</v>
      </c>
      <c r="AD2068" s="30">
        <v>1</v>
      </c>
      <c r="AE2068" s="89" t="s">
        <v>92</v>
      </c>
      <c r="AF2068" s="89"/>
      <c r="AG2068" s="89" t="s">
        <v>874</v>
      </c>
      <c r="AH2068" s="72">
        <v>42257</v>
      </c>
      <c r="AI2068" s="30">
        <v>1</v>
      </c>
      <c r="AJ2068" s="89" t="s">
        <v>11578</v>
      </c>
      <c r="AK2068" s="89" t="s">
        <v>11579</v>
      </c>
      <c r="AL2068" s="91">
        <v>42257</v>
      </c>
      <c r="AM2068" s="91"/>
      <c r="AN2068" s="91"/>
      <c r="AO2068" s="91"/>
      <c r="AP2068" s="73" t="e">
        <f>MID(VLOOKUP(K2068,#REF!,2,FALSE),1,2)</f>
        <v>#REF!</v>
      </c>
      <c r="AQ2068" s="89">
        <f>DATE(2015,9,5)</f>
        <v>42252</v>
      </c>
      <c r="AR2068" s="82">
        <f t="shared" si="138"/>
        <v>5</v>
      </c>
      <c r="AS2068" s="83">
        <f t="shared" si="139"/>
        <v>9</v>
      </c>
      <c r="AT2068" s="84">
        <f t="shared" si="140"/>
        <v>2015</v>
      </c>
      <c r="AU2068" s="88">
        <f>DATE(2015,9,10)</f>
        <v>42257</v>
      </c>
      <c r="AV2068" s="88">
        <f>DATE(2015,9,10)</f>
        <v>42257</v>
      </c>
      <c r="AW2068" s="87">
        <f t="shared" si="142"/>
        <v>0</v>
      </c>
      <c r="AX2068" s="88">
        <f>DATE(2015,9,10)</f>
        <v>42257</v>
      </c>
      <c r="AY2068" s="83">
        <f>MONTH(AX2068)</f>
        <v>9</v>
      </c>
      <c r="AZ2068" s="84">
        <f>YEAR(AX2068)</f>
        <v>2015</v>
      </c>
      <c r="BA2068" s="86"/>
      <c r="BB2068" s="86"/>
    </row>
    <row r="2069" spans="1:54" ht="36.75" customHeight="1">
      <c r="A2069" s="30"/>
      <c r="B2069" s="30" t="s">
        <v>55</v>
      </c>
      <c r="C2069" s="69" t="str">
        <f t="shared" si="141"/>
        <v>Closed</v>
      </c>
      <c r="D2069" s="27" t="s">
        <v>11580</v>
      </c>
      <c r="E2069" s="29" t="s">
        <v>11581</v>
      </c>
      <c r="F2069" s="30" t="s">
        <v>835</v>
      </c>
      <c r="G2069" s="89">
        <f>DATE(2015,9,6)</f>
        <v>42253</v>
      </c>
      <c r="H2069" s="90">
        <v>1.1701388888888888</v>
      </c>
      <c r="I2069" s="30" t="s">
        <v>198</v>
      </c>
      <c r="J2069" s="89" t="s">
        <v>11582</v>
      </c>
      <c r="K2069" s="30" t="s">
        <v>837</v>
      </c>
      <c r="L2069" s="30" t="s">
        <v>11583</v>
      </c>
      <c r="M2069" s="30" t="s">
        <v>63</v>
      </c>
      <c r="N2069" s="30" t="s">
        <v>142</v>
      </c>
      <c r="O2069" s="30" t="s">
        <v>77</v>
      </c>
      <c r="P2069" s="89" t="s">
        <v>78</v>
      </c>
      <c r="Q2069" s="89" t="s">
        <v>11584</v>
      </c>
      <c r="R2069" s="89" t="s">
        <v>840</v>
      </c>
      <c r="S2069" s="30">
        <v>0</v>
      </c>
      <c r="T2069" s="233">
        <v>0</v>
      </c>
      <c r="U2069" s="30">
        <v>0</v>
      </c>
      <c r="V2069" s="233">
        <v>0</v>
      </c>
      <c r="W2069" s="30">
        <v>0</v>
      </c>
      <c r="X2069" s="30">
        <v>0</v>
      </c>
      <c r="Y2069" s="30">
        <v>0</v>
      </c>
      <c r="Z2069" s="233">
        <v>0</v>
      </c>
      <c r="AA2069" s="30">
        <v>0</v>
      </c>
      <c r="AB2069" s="30">
        <v>0</v>
      </c>
      <c r="AC2069" s="30">
        <v>0</v>
      </c>
      <c r="AD2069" s="30">
        <v>0</v>
      </c>
      <c r="AE2069" s="89" t="s">
        <v>92</v>
      </c>
      <c r="AF2069" s="89"/>
      <c r="AG2069" s="89" t="s">
        <v>1507</v>
      </c>
      <c r="AH2069" s="72">
        <v>42253</v>
      </c>
      <c r="AI2069" s="30">
        <v>0</v>
      </c>
      <c r="AJ2069" s="89" t="s">
        <v>11585</v>
      </c>
      <c r="AK2069" s="89" t="s">
        <v>68</v>
      </c>
      <c r="AL2069" s="91">
        <v>42261</v>
      </c>
      <c r="AM2069" s="91"/>
      <c r="AN2069" s="91"/>
      <c r="AO2069" s="91"/>
      <c r="AP2069" s="73" t="e">
        <f>MID(VLOOKUP(K2069,#REF!,2,FALSE),1,2)</f>
        <v>#REF!</v>
      </c>
      <c r="AQ2069" s="89">
        <f>DATE(2015,9,6)</f>
        <v>42253</v>
      </c>
      <c r="AR2069" s="82">
        <f t="shared" si="138"/>
        <v>6</v>
      </c>
      <c r="AS2069" s="83">
        <f t="shared" si="139"/>
        <v>9</v>
      </c>
      <c r="AT2069" s="84">
        <f t="shared" si="140"/>
        <v>2015</v>
      </c>
      <c r="AU2069" s="88">
        <f>DATE(2015,9,14)</f>
        <v>42261</v>
      </c>
      <c r="AV2069" s="88">
        <f>DATE(2015,9,6)</f>
        <v>42253</v>
      </c>
      <c r="AW2069" s="87">
        <f t="shared" si="142"/>
        <v>8</v>
      </c>
      <c r="AX2069" s="88">
        <f>DATE(2015,9,6)</f>
        <v>42253</v>
      </c>
      <c r="AY2069" s="83">
        <f>MONTH(AX2069)</f>
        <v>9</v>
      </c>
      <c r="AZ2069" s="84">
        <f>YEAR(AX2069)</f>
        <v>2015</v>
      </c>
      <c r="BA2069" s="88">
        <f>DATE(2015,9,6)</f>
        <v>42253</v>
      </c>
      <c r="BB2069" s="86"/>
    </row>
    <row r="2070" spans="1:54" ht="36.75" customHeight="1">
      <c r="A2070" s="30"/>
      <c r="B2070" s="30" t="s">
        <v>55</v>
      </c>
      <c r="C2070" s="69" t="str">
        <f t="shared" si="141"/>
        <v>Closed</v>
      </c>
      <c r="D2070" s="27" t="s">
        <v>11586</v>
      </c>
      <c r="E2070" s="29" t="s">
        <v>11587</v>
      </c>
      <c r="F2070" s="30" t="s">
        <v>1572</v>
      </c>
      <c r="G2070" s="89">
        <f>DATE(2015,9,6)</f>
        <v>42253</v>
      </c>
      <c r="H2070" s="90">
        <v>1.9194444444444443</v>
      </c>
      <c r="I2070" s="30" t="s">
        <v>73</v>
      </c>
      <c r="J2070" s="89" t="s">
        <v>11588</v>
      </c>
      <c r="K2070" s="30" t="s">
        <v>1574</v>
      </c>
      <c r="L2070" s="30" t="s">
        <v>11589</v>
      </c>
      <c r="M2070" s="30" t="s">
        <v>63</v>
      </c>
      <c r="N2070" s="30" t="s">
        <v>99</v>
      </c>
      <c r="O2070" s="30" t="s">
        <v>64</v>
      </c>
      <c r="P2070" s="89" t="s">
        <v>78</v>
      </c>
      <c r="Q2070" s="89" t="s">
        <v>6093</v>
      </c>
      <c r="R2070" s="89" t="s">
        <v>6434</v>
      </c>
      <c r="S2070" s="30">
        <v>0</v>
      </c>
      <c r="T2070" s="233">
        <v>0</v>
      </c>
      <c r="U2070" s="30">
        <v>0</v>
      </c>
      <c r="V2070" s="233">
        <v>0</v>
      </c>
      <c r="W2070" s="30">
        <v>0</v>
      </c>
      <c r="X2070" s="30">
        <v>0</v>
      </c>
      <c r="Y2070" s="30">
        <v>0</v>
      </c>
      <c r="Z2070" s="233">
        <v>0</v>
      </c>
      <c r="AA2070" s="30">
        <v>0</v>
      </c>
      <c r="AB2070" s="30">
        <v>0</v>
      </c>
      <c r="AC2070" s="30">
        <v>0</v>
      </c>
      <c r="AD2070" s="30">
        <v>0</v>
      </c>
      <c r="AE2070" s="89" t="s">
        <v>394</v>
      </c>
      <c r="AF2070" s="89"/>
      <c r="AG2070" s="89" t="s">
        <v>133</v>
      </c>
      <c r="AH2070" s="72">
        <v>42256</v>
      </c>
      <c r="AI2070" s="30">
        <v>1</v>
      </c>
      <c r="AJ2070" s="89" t="s">
        <v>11590</v>
      </c>
      <c r="AK2070" s="89" t="s">
        <v>11591</v>
      </c>
      <c r="AL2070" s="91">
        <v>42257</v>
      </c>
      <c r="AM2070" s="91"/>
      <c r="AN2070" s="91"/>
      <c r="AO2070" s="91"/>
      <c r="AP2070" s="73" t="e">
        <f>MID(VLOOKUP(K2070,#REF!,2,FALSE),1,2)</f>
        <v>#REF!</v>
      </c>
      <c r="AQ2070" s="89">
        <f>DATE(2015,9,6)</f>
        <v>42253</v>
      </c>
      <c r="AR2070" s="82">
        <f t="shared" si="138"/>
        <v>6</v>
      </c>
      <c r="AS2070" s="83">
        <f t="shared" si="139"/>
        <v>9</v>
      </c>
      <c r="AT2070" s="84">
        <f t="shared" si="140"/>
        <v>2015</v>
      </c>
      <c r="AU2070" s="88">
        <f>DATE(2015,9,10)</f>
        <v>42257</v>
      </c>
      <c r="AV2070" s="88">
        <f>DATE(2015,9,9)</f>
        <v>42256</v>
      </c>
      <c r="AW2070" s="87">
        <f t="shared" si="142"/>
        <v>1</v>
      </c>
      <c r="AX2070" s="88">
        <f>DATE(2015,9,10)</f>
        <v>42257</v>
      </c>
      <c r="AY2070" s="83">
        <f>MONTH(AX2070)</f>
        <v>9</v>
      </c>
      <c r="AZ2070" s="84">
        <f>YEAR(AX2070)</f>
        <v>2015</v>
      </c>
      <c r="BA2070" s="88">
        <f>DATE(2015,9,6)</f>
        <v>42253</v>
      </c>
      <c r="BB2070" s="86"/>
    </row>
    <row r="2071" spans="1:54" ht="36.75" customHeight="1">
      <c r="A2071" s="30"/>
      <c r="B2071" s="30" t="s">
        <v>55</v>
      </c>
      <c r="C2071" s="69" t="str">
        <f t="shared" si="141"/>
        <v>Closed</v>
      </c>
      <c r="D2071" s="27" t="s">
        <v>11592</v>
      </c>
      <c r="E2071" s="29" t="s">
        <v>11593</v>
      </c>
      <c r="F2071" s="30" t="s">
        <v>423</v>
      </c>
      <c r="G2071" s="89">
        <f>DATE(2015,9,7)</f>
        <v>42254</v>
      </c>
      <c r="H2071" s="90">
        <v>1.6770833333333335</v>
      </c>
      <c r="I2071" s="30" t="s">
        <v>116</v>
      </c>
      <c r="J2071" s="89" t="s">
        <v>11594</v>
      </c>
      <c r="K2071" s="30" t="s">
        <v>425</v>
      </c>
      <c r="L2071" s="30" t="s">
        <v>11595</v>
      </c>
      <c r="M2071" s="30" t="s">
        <v>63</v>
      </c>
      <c r="N2071" s="30" t="s">
        <v>99</v>
      </c>
      <c r="O2071" s="30" t="s">
        <v>77</v>
      </c>
      <c r="P2071" s="89" t="s">
        <v>165</v>
      </c>
      <c r="Q2071" s="89" t="s">
        <v>4551</v>
      </c>
      <c r="R2071" s="89" t="s">
        <v>3103</v>
      </c>
      <c r="S2071" s="30">
        <v>0</v>
      </c>
      <c r="T2071" s="233">
        <v>0</v>
      </c>
      <c r="U2071" s="30">
        <v>0</v>
      </c>
      <c r="V2071" s="233">
        <v>0</v>
      </c>
      <c r="W2071" s="30">
        <v>0</v>
      </c>
      <c r="X2071" s="30">
        <v>0</v>
      </c>
      <c r="Y2071" s="30">
        <v>0</v>
      </c>
      <c r="Z2071" s="233">
        <v>1</v>
      </c>
      <c r="AA2071" s="30">
        <v>0</v>
      </c>
      <c r="AB2071" s="30">
        <v>0</v>
      </c>
      <c r="AC2071" s="30">
        <v>0</v>
      </c>
      <c r="AD2071" s="30">
        <v>1</v>
      </c>
      <c r="AE2071" s="89" t="s">
        <v>394</v>
      </c>
      <c r="AF2071" s="89"/>
      <c r="AG2071" s="89" t="s">
        <v>133</v>
      </c>
      <c r="AH2071" s="72">
        <v>42269</v>
      </c>
      <c r="AI2071" s="30">
        <v>4</v>
      </c>
      <c r="AJ2071" s="89" t="s">
        <v>11596</v>
      </c>
      <c r="AK2071" s="89" t="s">
        <v>11597</v>
      </c>
      <c r="AL2071" s="91">
        <v>42269</v>
      </c>
      <c r="AM2071" s="91"/>
      <c r="AN2071" s="91"/>
      <c r="AO2071" s="91"/>
      <c r="AP2071" s="73" t="e">
        <f>MID(VLOOKUP(K2071,#REF!,2,FALSE),1,2)</f>
        <v>#REF!</v>
      </c>
      <c r="AQ2071" s="89">
        <f>DATE(2015,9,7)</f>
        <v>42254</v>
      </c>
      <c r="AR2071" s="82">
        <f t="shared" si="138"/>
        <v>7</v>
      </c>
      <c r="AS2071" s="83">
        <f t="shared" si="139"/>
        <v>9</v>
      </c>
      <c r="AT2071" s="84">
        <f t="shared" si="140"/>
        <v>2015</v>
      </c>
      <c r="AU2071" s="88">
        <f>DATE(2015,9,22)</f>
        <v>42269</v>
      </c>
      <c r="AV2071" s="88">
        <f>DATE(2015,9,22)</f>
        <v>42269</v>
      </c>
      <c r="AW2071" s="87">
        <f t="shared" si="142"/>
        <v>0</v>
      </c>
      <c r="AX2071" s="86"/>
      <c r="AY2071" s="83"/>
      <c r="AZ2071" s="84"/>
      <c r="BA2071" s="86"/>
      <c r="BB2071" s="86"/>
    </row>
    <row r="2072" spans="1:54" ht="36.75" customHeight="1">
      <c r="A2072" s="30"/>
      <c r="B2072" s="30" t="s">
        <v>55</v>
      </c>
      <c r="C2072" s="69" t="str">
        <f t="shared" si="141"/>
        <v>Closed</v>
      </c>
      <c r="D2072" s="27" t="s">
        <v>11598</v>
      </c>
      <c r="E2072" s="29" t="s">
        <v>11599</v>
      </c>
      <c r="F2072" s="30" t="s">
        <v>6455</v>
      </c>
      <c r="G2072" s="89">
        <f>DATE(2015,9,8)</f>
        <v>42255</v>
      </c>
      <c r="H2072" s="90">
        <v>1.9909722222222221</v>
      </c>
      <c r="I2072" s="30" t="s">
        <v>73</v>
      </c>
      <c r="J2072" s="89" t="s">
        <v>11600</v>
      </c>
      <c r="K2072" s="30" t="s">
        <v>584</v>
      </c>
      <c r="L2072" s="30" t="s">
        <v>11601</v>
      </c>
      <c r="M2072" s="30" t="s">
        <v>63</v>
      </c>
      <c r="N2072" s="30" t="s">
        <v>142</v>
      </c>
      <c r="O2072" s="30" t="s">
        <v>77</v>
      </c>
      <c r="P2072" s="89" t="s">
        <v>165</v>
      </c>
      <c r="Q2072" s="89" t="s">
        <v>4487</v>
      </c>
      <c r="R2072" s="89" t="s">
        <v>587</v>
      </c>
      <c r="S2072" s="30">
        <v>0</v>
      </c>
      <c r="T2072" s="233">
        <v>0</v>
      </c>
      <c r="U2072" s="30">
        <v>0</v>
      </c>
      <c r="V2072" s="233">
        <v>0</v>
      </c>
      <c r="W2072" s="30">
        <v>0</v>
      </c>
      <c r="X2072" s="30">
        <v>0</v>
      </c>
      <c r="Y2072" s="30">
        <v>0</v>
      </c>
      <c r="Z2072" s="233">
        <v>0</v>
      </c>
      <c r="AA2072" s="30">
        <v>0</v>
      </c>
      <c r="AB2072" s="30">
        <v>0</v>
      </c>
      <c r="AC2072" s="30">
        <v>0</v>
      </c>
      <c r="AD2072" s="30">
        <v>0</v>
      </c>
      <c r="AE2072" s="89" t="s">
        <v>92</v>
      </c>
      <c r="AF2072" s="89" t="s">
        <v>11602</v>
      </c>
      <c r="AG2072" s="89" t="s">
        <v>8859</v>
      </c>
      <c r="AH2072" s="72">
        <v>42265</v>
      </c>
      <c r="AI2072" s="30">
        <v>0</v>
      </c>
      <c r="AJ2072" s="89" t="s">
        <v>11603</v>
      </c>
      <c r="AK2072" s="89" t="s">
        <v>10569</v>
      </c>
      <c r="AL2072" s="91">
        <v>42276</v>
      </c>
      <c r="AM2072" s="91"/>
      <c r="AN2072" s="91">
        <v>44545</v>
      </c>
      <c r="AO2072" s="91">
        <v>44544</v>
      </c>
      <c r="AP2072" s="73" t="e">
        <f>MID(VLOOKUP(K2072,#REF!,2,FALSE),1,2)</f>
        <v>#REF!</v>
      </c>
      <c r="AQ2072" s="89">
        <f>DATE(2015,9,8)</f>
        <v>42255</v>
      </c>
      <c r="AR2072" s="82">
        <f t="shared" si="138"/>
        <v>8</v>
      </c>
      <c r="AS2072" s="83">
        <f t="shared" si="139"/>
        <v>9</v>
      </c>
      <c r="AT2072" s="84">
        <f t="shared" si="140"/>
        <v>2015</v>
      </c>
      <c r="AU2072" s="88">
        <f>DATE(2015,9,29)</f>
        <v>42276</v>
      </c>
      <c r="AV2072" s="88">
        <f>DATE(2015,9,18)</f>
        <v>42265</v>
      </c>
      <c r="AW2072" s="87">
        <f t="shared" si="142"/>
        <v>11</v>
      </c>
      <c r="AX2072" s="86"/>
      <c r="AY2072" s="83"/>
      <c r="AZ2072" s="84"/>
      <c r="BA2072" s="86"/>
      <c r="BB2072" s="86"/>
    </row>
    <row r="2073" spans="1:54" ht="36.75" customHeight="1">
      <c r="A2073" s="30"/>
      <c r="B2073" s="30" t="s">
        <v>55</v>
      </c>
      <c r="C2073" s="69" t="str">
        <f t="shared" si="141"/>
        <v>Closed</v>
      </c>
      <c r="D2073" s="27" t="s">
        <v>11604</v>
      </c>
      <c r="E2073" s="29" t="s">
        <v>11605</v>
      </c>
      <c r="F2073" s="30" t="s">
        <v>423</v>
      </c>
      <c r="G2073" s="89">
        <f>DATE(2015,9,9)</f>
        <v>42256</v>
      </c>
      <c r="H2073" s="90">
        <v>1.3854166666666667</v>
      </c>
      <c r="I2073" s="30" t="s">
        <v>278</v>
      </c>
      <c r="J2073" s="89" t="s">
        <v>11606</v>
      </c>
      <c r="K2073" s="30" t="s">
        <v>425</v>
      </c>
      <c r="L2073" s="30" t="s">
        <v>11607</v>
      </c>
      <c r="M2073" s="30" t="s">
        <v>63</v>
      </c>
      <c r="N2073" s="30" t="s">
        <v>89</v>
      </c>
      <c r="O2073" s="30" t="s">
        <v>77</v>
      </c>
      <c r="P2073" s="89" t="s">
        <v>301</v>
      </c>
      <c r="Q2073" s="89" t="s">
        <v>7583</v>
      </c>
      <c r="R2073" s="89" t="s">
        <v>3103</v>
      </c>
      <c r="S2073" s="30">
        <v>0</v>
      </c>
      <c r="T2073" s="233">
        <v>1</v>
      </c>
      <c r="U2073" s="30">
        <v>0</v>
      </c>
      <c r="V2073" s="233">
        <v>0</v>
      </c>
      <c r="W2073" s="30">
        <v>0</v>
      </c>
      <c r="X2073" s="30">
        <v>1</v>
      </c>
      <c r="Y2073" s="30">
        <v>0</v>
      </c>
      <c r="Z2073" s="233">
        <v>1</v>
      </c>
      <c r="AA2073" s="30">
        <v>0</v>
      </c>
      <c r="AB2073" s="30">
        <v>0</v>
      </c>
      <c r="AC2073" s="30">
        <v>0</v>
      </c>
      <c r="AD2073" s="30">
        <v>1</v>
      </c>
      <c r="AE2073" s="89" t="s">
        <v>92</v>
      </c>
      <c r="AF2073" s="89"/>
      <c r="AG2073" s="89" t="s">
        <v>133</v>
      </c>
      <c r="AH2073" s="72">
        <v>42256</v>
      </c>
      <c r="AI2073" s="30">
        <v>2</v>
      </c>
      <c r="AJ2073" s="89" t="s">
        <v>11608</v>
      </c>
      <c r="AK2073" s="89" t="s">
        <v>11609</v>
      </c>
      <c r="AL2073" s="91">
        <v>42258</v>
      </c>
      <c r="AM2073" s="91"/>
      <c r="AN2073" s="91"/>
      <c r="AO2073" s="91"/>
      <c r="AP2073" s="73" t="e">
        <f>MID(VLOOKUP(K2073,#REF!,2,FALSE),1,2)</f>
        <v>#REF!</v>
      </c>
      <c r="AQ2073" s="89">
        <f>DATE(2015,9,9)</f>
        <v>42256</v>
      </c>
      <c r="AR2073" s="82">
        <f t="shared" si="138"/>
        <v>9</v>
      </c>
      <c r="AS2073" s="83">
        <f t="shared" si="139"/>
        <v>9</v>
      </c>
      <c r="AT2073" s="84">
        <f t="shared" si="140"/>
        <v>2015</v>
      </c>
      <c r="AU2073" s="88">
        <f>DATE(2015,9,11)</f>
        <v>42258</v>
      </c>
      <c r="AV2073" s="88">
        <f>DATE(2015,9,9)</f>
        <v>42256</v>
      </c>
      <c r="AW2073" s="87">
        <f t="shared" si="142"/>
        <v>2</v>
      </c>
      <c r="AX2073" s="86"/>
      <c r="AY2073" s="83"/>
      <c r="AZ2073" s="84"/>
      <c r="BA2073" s="86"/>
      <c r="BB2073" s="86"/>
    </row>
    <row r="2074" spans="1:54" ht="36.75" customHeight="1">
      <c r="A2074" s="30"/>
      <c r="B2074" s="30" t="s">
        <v>55</v>
      </c>
      <c r="C2074" s="69" t="str">
        <f t="shared" si="141"/>
        <v>Closed</v>
      </c>
      <c r="D2074" s="27" t="s">
        <v>11610</v>
      </c>
      <c r="E2074" s="29" t="s">
        <v>11611</v>
      </c>
      <c r="F2074" s="30" t="s">
        <v>1770</v>
      </c>
      <c r="G2074" s="89">
        <f>DATE(2015,9,10)</f>
        <v>42257</v>
      </c>
      <c r="H2074" s="90">
        <v>1.7062499999999998</v>
      </c>
      <c r="I2074" s="30" t="s">
        <v>73</v>
      </c>
      <c r="J2074" s="89" t="s">
        <v>11612</v>
      </c>
      <c r="K2074" s="30" t="s">
        <v>1772</v>
      </c>
      <c r="L2074" s="30" t="s">
        <v>4609</v>
      </c>
      <c r="M2074" s="30" t="s">
        <v>63</v>
      </c>
      <c r="N2074" s="30" t="s">
        <v>89</v>
      </c>
      <c r="O2074" s="30" t="s">
        <v>64</v>
      </c>
      <c r="P2074" s="89" t="s">
        <v>165</v>
      </c>
      <c r="Q2074" s="89" t="s">
        <v>4289</v>
      </c>
      <c r="R2074" s="89" t="s">
        <v>1775</v>
      </c>
      <c r="S2074" s="30">
        <v>0</v>
      </c>
      <c r="T2074" s="233">
        <v>0</v>
      </c>
      <c r="U2074" s="30">
        <v>0</v>
      </c>
      <c r="V2074" s="233">
        <v>0</v>
      </c>
      <c r="W2074" s="30">
        <v>0</v>
      </c>
      <c r="X2074" s="30">
        <v>0</v>
      </c>
      <c r="Y2074" s="30">
        <v>0</v>
      </c>
      <c r="Z2074" s="233">
        <v>0</v>
      </c>
      <c r="AA2074" s="30">
        <v>0</v>
      </c>
      <c r="AB2074" s="30">
        <v>0</v>
      </c>
      <c r="AC2074" s="30">
        <v>0</v>
      </c>
      <c r="AD2074" s="30">
        <v>0</v>
      </c>
      <c r="AE2074" s="89" t="s">
        <v>92</v>
      </c>
      <c r="AF2074" s="89"/>
      <c r="AG2074" s="89" t="s">
        <v>133</v>
      </c>
      <c r="AH2074" s="72">
        <v>42257</v>
      </c>
      <c r="AI2074" s="30">
        <v>4</v>
      </c>
      <c r="AJ2074" s="89" t="s">
        <v>11613</v>
      </c>
      <c r="AK2074" s="89" t="s">
        <v>11614</v>
      </c>
      <c r="AL2074" s="91">
        <v>42270</v>
      </c>
      <c r="AM2074" s="91"/>
      <c r="AN2074" s="91"/>
      <c r="AO2074" s="91"/>
      <c r="AP2074" s="73" t="e">
        <f>MID(VLOOKUP(K2074,#REF!,2,FALSE),1,2)</f>
        <v>#REF!</v>
      </c>
      <c r="AQ2074" s="89">
        <f>DATE(2015,9,10)</f>
        <v>42257</v>
      </c>
      <c r="AR2074" s="82">
        <f t="shared" si="138"/>
        <v>10</v>
      </c>
      <c r="AS2074" s="83">
        <f t="shared" si="139"/>
        <v>9</v>
      </c>
      <c r="AT2074" s="84">
        <f t="shared" si="140"/>
        <v>2015</v>
      </c>
      <c r="AU2074" s="88">
        <f>DATE(2015,9,23)</f>
        <v>42270</v>
      </c>
      <c r="AV2074" s="88">
        <f>DATE(2015,9,10)</f>
        <v>42257</v>
      </c>
      <c r="AW2074" s="87">
        <f t="shared" si="142"/>
        <v>13</v>
      </c>
      <c r="AX2074" s="88">
        <f>DATE(2015,9,14)</f>
        <v>42261</v>
      </c>
      <c r="AY2074" s="83">
        <f>MONTH(AX2074)</f>
        <v>9</v>
      </c>
      <c r="AZ2074" s="84">
        <f>YEAR(AX2074)</f>
        <v>2015</v>
      </c>
      <c r="BA2074" s="88">
        <f>DATE(2015,9,14)</f>
        <v>42261</v>
      </c>
      <c r="BB2074" s="86"/>
    </row>
    <row r="2075" spans="1:54" ht="36.75" customHeight="1">
      <c r="A2075" s="30"/>
      <c r="B2075" s="30" t="s">
        <v>55</v>
      </c>
      <c r="C2075" s="69" t="str">
        <f t="shared" si="141"/>
        <v>Closed</v>
      </c>
      <c r="D2075" s="27" t="s">
        <v>11615</v>
      </c>
      <c r="E2075" s="29" t="s">
        <v>11616</v>
      </c>
      <c r="F2075" s="30" t="s">
        <v>582</v>
      </c>
      <c r="G2075" s="89">
        <f>DATE(2015,9,11)</f>
        <v>42258</v>
      </c>
      <c r="H2075" s="90">
        <v>1.9347222222222222</v>
      </c>
      <c r="I2075" s="30" t="s">
        <v>73</v>
      </c>
      <c r="J2075" s="89" t="s">
        <v>11617</v>
      </c>
      <c r="K2075" s="30" t="s">
        <v>584</v>
      </c>
      <c r="L2075" s="30" t="s">
        <v>11618</v>
      </c>
      <c r="M2075" s="30" t="s">
        <v>63</v>
      </c>
      <c r="N2075" s="30" t="s">
        <v>142</v>
      </c>
      <c r="O2075" s="30" t="s">
        <v>64</v>
      </c>
      <c r="P2075" s="89" t="s">
        <v>78</v>
      </c>
      <c r="Q2075" s="89" t="s">
        <v>586</v>
      </c>
      <c r="R2075" s="89" t="s">
        <v>587</v>
      </c>
      <c r="S2075" s="30">
        <v>0</v>
      </c>
      <c r="T2075" s="233">
        <v>0</v>
      </c>
      <c r="U2075" s="30">
        <v>0</v>
      </c>
      <c r="V2075" s="233">
        <v>0</v>
      </c>
      <c r="W2075" s="30">
        <v>0</v>
      </c>
      <c r="X2075" s="30">
        <v>0</v>
      </c>
      <c r="Y2075" s="30">
        <v>0</v>
      </c>
      <c r="Z2075" s="233">
        <v>0</v>
      </c>
      <c r="AA2075" s="30">
        <v>0</v>
      </c>
      <c r="AB2075" s="30">
        <v>0</v>
      </c>
      <c r="AC2075" s="30">
        <v>0</v>
      </c>
      <c r="AD2075" s="30">
        <v>0</v>
      </c>
      <c r="AE2075" s="89" t="s">
        <v>394</v>
      </c>
      <c r="AF2075" s="89"/>
      <c r="AG2075" s="89" t="s">
        <v>133</v>
      </c>
      <c r="AH2075" s="72">
        <v>42265</v>
      </c>
      <c r="AI2075" s="30">
        <v>1</v>
      </c>
      <c r="AJ2075" s="89" t="s">
        <v>11619</v>
      </c>
      <c r="AK2075" s="89" t="s">
        <v>1233</v>
      </c>
      <c r="AL2075" s="91">
        <v>42276</v>
      </c>
      <c r="AM2075" s="91"/>
      <c r="AN2075" s="91"/>
      <c r="AO2075" s="91"/>
      <c r="AP2075" s="73" t="e">
        <f>MID(VLOOKUP(K2075,#REF!,2,FALSE),1,2)</f>
        <v>#REF!</v>
      </c>
      <c r="AQ2075" s="89">
        <f>DATE(2015,9,11)</f>
        <v>42258</v>
      </c>
      <c r="AR2075" s="82">
        <f t="shared" si="138"/>
        <v>11</v>
      </c>
      <c r="AS2075" s="83">
        <f t="shared" si="139"/>
        <v>9</v>
      </c>
      <c r="AT2075" s="84">
        <f t="shared" si="140"/>
        <v>2015</v>
      </c>
      <c r="AU2075" s="88">
        <f>DATE(2015,9,29)</f>
        <v>42276</v>
      </c>
      <c r="AV2075" s="88">
        <f>DATE(2015,9,18)</f>
        <v>42265</v>
      </c>
      <c r="AW2075" s="87">
        <f t="shared" si="142"/>
        <v>11</v>
      </c>
      <c r="AX2075" s="86"/>
      <c r="AY2075" s="83"/>
      <c r="AZ2075" s="84"/>
      <c r="BA2075" s="86"/>
      <c r="BB2075" s="86"/>
    </row>
    <row r="2076" spans="1:54" ht="36.75" customHeight="1">
      <c r="A2076" s="30"/>
      <c r="B2076" s="30" t="s">
        <v>55</v>
      </c>
      <c r="C2076" s="69" t="str">
        <f t="shared" si="141"/>
        <v>Closed</v>
      </c>
      <c r="D2076" s="27" t="s">
        <v>11620</v>
      </c>
      <c r="E2076" s="29" t="s">
        <v>11621</v>
      </c>
      <c r="F2076" s="30" t="s">
        <v>1572</v>
      </c>
      <c r="G2076" s="89">
        <f>DATE(2015,9,11)</f>
        <v>42258</v>
      </c>
      <c r="H2076" s="90">
        <v>1.0590277777777777</v>
      </c>
      <c r="I2076" s="30" t="s">
        <v>73</v>
      </c>
      <c r="J2076" s="89" t="s">
        <v>11622</v>
      </c>
      <c r="K2076" s="30" t="s">
        <v>1574</v>
      </c>
      <c r="L2076" s="30" t="s">
        <v>11623</v>
      </c>
      <c r="M2076" s="30" t="s">
        <v>63</v>
      </c>
      <c r="N2076" s="30" t="s">
        <v>99</v>
      </c>
      <c r="O2076" s="30" t="s">
        <v>77</v>
      </c>
      <c r="P2076" s="89" t="s">
        <v>78</v>
      </c>
      <c r="Q2076" s="89" t="s">
        <v>7932</v>
      </c>
      <c r="R2076" s="89" t="s">
        <v>2561</v>
      </c>
      <c r="S2076" s="30">
        <v>0</v>
      </c>
      <c r="T2076" s="233">
        <v>0</v>
      </c>
      <c r="U2076" s="30">
        <v>0</v>
      </c>
      <c r="V2076" s="233">
        <v>0</v>
      </c>
      <c r="W2076" s="30">
        <v>0</v>
      </c>
      <c r="X2076" s="30">
        <v>0</v>
      </c>
      <c r="Y2076" s="30">
        <v>0</v>
      </c>
      <c r="Z2076" s="233">
        <v>0</v>
      </c>
      <c r="AA2076" s="30">
        <v>0</v>
      </c>
      <c r="AB2076" s="30">
        <v>0</v>
      </c>
      <c r="AC2076" s="30">
        <v>0</v>
      </c>
      <c r="AD2076" s="30">
        <v>0</v>
      </c>
      <c r="AE2076" s="89" t="s">
        <v>92</v>
      </c>
      <c r="AF2076" s="89"/>
      <c r="AG2076" s="89" t="s">
        <v>133</v>
      </c>
      <c r="AH2076" s="72">
        <v>42258</v>
      </c>
      <c r="AI2076" s="30">
        <v>0</v>
      </c>
      <c r="AJ2076" s="89" t="s">
        <v>11624</v>
      </c>
      <c r="AK2076" s="89" t="s">
        <v>11625</v>
      </c>
      <c r="AL2076" s="91">
        <v>42261</v>
      </c>
      <c r="AM2076" s="91"/>
      <c r="AN2076" s="91"/>
      <c r="AO2076" s="91"/>
      <c r="AP2076" s="73" t="e">
        <f>MID(VLOOKUP(K2076,#REF!,2,FALSE),1,2)</f>
        <v>#REF!</v>
      </c>
      <c r="AQ2076" s="89">
        <f>DATE(2015,9,11)</f>
        <v>42258</v>
      </c>
      <c r="AR2076" s="82">
        <f t="shared" si="138"/>
        <v>11</v>
      </c>
      <c r="AS2076" s="83">
        <f t="shared" si="139"/>
        <v>9</v>
      </c>
      <c r="AT2076" s="84">
        <f t="shared" si="140"/>
        <v>2015</v>
      </c>
      <c r="AU2076" s="88">
        <f>DATE(2015,9,14)</f>
        <v>42261</v>
      </c>
      <c r="AV2076" s="88">
        <f>DATE(2015,9,11)</f>
        <v>42258</v>
      </c>
      <c r="AW2076" s="87">
        <f t="shared" si="142"/>
        <v>3</v>
      </c>
      <c r="AX2076" s="88">
        <f>DATE(2015,9,14)</f>
        <v>42261</v>
      </c>
      <c r="AY2076" s="83">
        <f>MONTH(AX2076)</f>
        <v>9</v>
      </c>
      <c r="AZ2076" s="84">
        <f>YEAR(AX2076)</f>
        <v>2015</v>
      </c>
      <c r="BA2076" s="88">
        <f>DATE(2015,9,11)</f>
        <v>42258</v>
      </c>
      <c r="BB2076" s="86"/>
    </row>
    <row r="2077" spans="1:54" ht="36.75" customHeight="1">
      <c r="A2077" s="30"/>
      <c r="B2077" s="30" t="s">
        <v>55</v>
      </c>
      <c r="C2077" s="69" t="str">
        <f t="shared" si="141"/>
        <v>Closed</v>
      </c>
      <c r="D2077" s="27" t="s">
        <v>11626</v>
      </c>
      <c r="E2077" s="29" t="s">
        <v>11627</v>
      </c>
      <c r="F2077" s="30" t="s">
        <v>233</v>
      </c>
      <c r="G2077" s="89">
        <f>DATE(2015,9,11)</f>
        <v>42258</v>
      </c>
      <c r="H2077" s="90">
        <v>1.7416666666666667</v>
      </c>
      <c r="I2077" s="30" t="s">
        <v>2078</v>
      </c>
      <c r="J2077" s="89" t="s">
        <v>11628</v>
      </c>
      <c r="K2077" s="30" t="s">
        <v>235</v>
      </c>
      <c r="L2077" s="30" t="s">
        <v>11629</v>
      </c>
      <c r="M2077" s="30" t="s">
        <v>63</v>
      </c>
      <c r="N2077" s="30" t="s">
        <v>142</v>
      </c>
      <c r="O2077" s="30" t="s">
        <v>64</v>
      </c>
      <c r="P2077" s="89" t="s">
        <v>6941</v>
      </c>
      <c r="Q2077" s="89" t="s">
        <v>235</v>
      </c>
      <c r="R2077" s="89" t="s">
        <v>235</v>
      </c>
      <c r="S2077" s="30">
        <v>0</v>
      </c>
      <c r="T2077" s="232">
        <v>0</v>
      </c>
      <c r="U2077" s="30">
        <v>0</v>
      </c>
      <c r="V2077" s="232">
        <v>0</v>
      </c>
      <c r="W2077" s="30">
        <v>0</v>
      </c>
      <c r="X2077" s="30">
        <v>0</v>
      </c>
      <c r="Y2077" s="30">
        <v>0</v>
      </c>
      <c r="Z2077" s="232">
        <v>0</v>
      </c>
      <c r="AA2077" s="30">
        <v>0</v>
      </c>
      <c r="AB2077" s="30">
        <v>0</v>
      </c>
      <c r="AC2077" s="30">
        <v>0</v>
      </c>
      <c r="AD2077" s="30">
        <v>0</v>
      </c>
      <c r="AE2077" s="72" t="s">
        <v>92</v>
      </c>
      <c r="AF2077" s="89"/>
      <c r="AG2077" s="89" t="s">
        <v>133</v>
      </c>
      <c r="AH2077" s="72">
        <v>42282</v>
      </c>
      <c r="AI2077" s="30">
        <v>5</v>
      </c>
      <c r="AJ2077" s="89" t="s">
        <v>11630</v>
      </c>
      <c r="AK2077" s="89" t="s">
        <v>11631</v>
      </c>
      <c r="AL2077" s="91">
        <v>42325</v>
      </c>
      <c r="AM2077" s="91"/>
      <c r="AN2077" s="91"/>
      <c r="AO2077" s="91"/>
      <c r="AP2077" s="73" t="e">
        <f>MID(VLOOKUP(K2077,#REF!,2,FALSE),1,2)</f>
        <v>#REF!</v>
      </c>
      <c r="AQ2077" s="89">
        <f>DATE(2015,9,11)</f>
        <v>42258</v>
      </c>
      <c r="AR2077" s="82">
        <f t="shared" si="138"/>
        <v>11</v>
      </c>
      <c r="AS2077" s="83">
        <f t="shared" si="139"/>
        <v>9</v>
      </c>
      <c r="AT2077" s="84">
        <f t="shared" si="140"/>
        <v>2015</v>
      </c>
      <c r="AU2077" s="88">
        <f>DATE(2015,9,17)</f>
        <v>42264</v>
      </c>
      <c r="AV2077" s="88">
        <f>DATE(2015,10,5)</f>
        <v>42282</v>
      </c>
      <c r="AW2077" s="87">
        <f t="shared" si="142"/>
        <v>-18</v>
      </c>
      <c r="AX2077" s="88">
        <f>DATE(2015,9,17)</f>
        <v>42264</v>
      </c>
      <c r="AY2077" s="83">
        <f>MONTH(AX2077)</f>
        <v>9</v>
      </c>
      <c r="AZ2077" s="84">
        <f>YEAR(AX2077)</f>
        <v>2015</v>
      </c>
      <c r="BA2077" s="86"/>
      <c r="BB2077" s="86"/>
    </row>
    <row r="2078" spans="1:54" ht="36.75" customHeight="1">
      <c r="A2078" s="30"/>
      <c r="B2078" s="30" t="s">
        <v>55</v>
      </c>
      <c r="C2078" s="69" t="str">
        <f t="shared" si="141"/>
        <v>Closed</v>
      </c>
      <c r="D2078" s="27" t="s">
        <v>11632</v>
      </c>
      <c r="E2078" s="29" t="s">
        <v>11633</v>
      </c>
      <c r="F2078" s="30" t="s">
        <v>423</v>
      </c>
      <c r="G2078" s="89">
        <f>DATE(2015,9,12)</f>
        <v>42259</v>
      </c>
      <c r="H2078" s="90">
        <v>1.14375</v>
      </c>
      <c r="I2078" s="30" t="s">
        <v>156</v>
      </c>
      <c r="J2078" s="89" t="s">
        <v>11634</v>
      </c>
      <c r="K2078" s="30" t="s">
        <v>425</v>
      </c>
      <c r="L2078" s="30" t="s">
        <v>11635</v>
      </c>
      <c r="M2078" s="30" t="s">
        <v>63</v>
      </c>
      <c r="N2078" s="30" t="s">
        <v>89</v>
      </c>
      <c r="O2078" s="30" t="s">
        <v>77</v>
      </c>
      <c r="P2078" s="89" t="s">
        <v>78</v>
      </c>
      <c r="Q2078" s="89" t="s">
        <v>2582</v>
      </c>
      <c r="R2078" s="89" t="s">
        <v>3103</v>
      </c>
      <c r="S2078" s="30">
        <v>0</v>
      </c>
      <c r="T2078" s="233">
        <v>0</v>
      </c>
      <c r="U2078" s="30">
        <v>0</v>
      </c>
      <c r="V2078" s="233">
        <v>0</v>
      </c>
      <c r="W2078" s="30">
        <v>0</v>
      </c>
      <c r="X2078" s="30">
        <v>0</v>
      </c>
      <c r="Y2078" s="30">
        <v>0</v>
      </c>
      <c r="Z2078" s="233">
        <v>0</v>
      </c>
      <c r="AA2078" s="30">
        <v>0</v>
      </c>
      <c r="AB2078" s="30">
        <v>0</v>
      </c>
      <c r="AC2078" s="30">
        <v>0</v>
      </c>
      <c r="AD2078" s="30">
        <v>0</v>
      </c>
      <c r="AE2078" s="89" t="s">
        <v>92</v>
      </c>
      <c r="AF2078" s="89"/>
      <c r="AG2078" s="89" t="s">
        <v>352</v>
      </c>
      <c r="AH2078" s="72">
        <v>42331</v>
      </c>
      <c r="AI2078" s="30">
        <v>0</v>
      </c>
      <c r="AJ2078" s="89" t="s">
        <v>11636</v>
      </c>
      <c r="AK2078" s="89" t="s">
        <v>11637</v>
      </c>
      <c r="AL2078" s="91">
        <v>42333</v>
      </c>
      <c r="AM2078" s="91"/>
      <c r="AN2078" s="91"/>
      <c r="AO2078" s="91"/>
      <c r="AP2078" s="73" t="e">
        <f>MID(VLOOKUP(K2078,#REF!,2,FALSE),1,2)</f>
        <v>#REF!</v>
      </c>
      <c r="AQ2078" s="89">
        <f>DATE(2015,9,12)</f>
        <v>42259</v>
      </c>
      <c r="AR2078" s="82">
        <f t="shared" si="138"/>
        <v>12</v>
      </c>
      <c r="AS2078" s="83">
        <f t="shared" si="139"/>
        <v>9</v>
      </c>
      <c r="AT2078" s="84">
        <f t="shared" si="140"/>
        <v>2015</v>
      </c>
      <c r="AU2078" s="88">
        <f>DATE(2015,11,25)</f>
        <v>42333</v>
      </c>
      <c r="AV2078" s="88">
        <f>DATE(2015,11,23)</f>
        <v>42331</v>
      </c>
      <c r="AW2078" s="87">
        <f t="shared" si="142"/>
        <v>2</v>
      </c>
      <c r="AX2078" s="86"/>
      <c r="AY2078" s="83"/>
      <c r="AZ2078" s="84"/>
      <c r="BA2078" s="86"/>
      <c r="BB2078" s="86"/>
    </row>
    <row r="2079" spans="1:54" ht="36.75" customHeight="1">
      <c r="A2079" s="98" t="s">
        <v>4910</v>
      </c>
      <c r="B2079" s="30" t="s">
        <v>55</v>
      </c>
      <c r="C2079" s="69" t="str">
        <f t="shared" si="141"/>
        <v>Closed</v>
      </c>
      <c r="D2079" s="27" t="s">
        <v>11638</v>
      </c>
      <c r="E2079" s="29" t="s">
        <v>11639</v>
      </c>
      <c r="F2079" s="30" t="s">
        <v>582</v>
      </c>
      <c r="G2079" s="89">
        <f>DATE(2015,9,12)</f>
        <v>42259</v>
      </c>
      <c r="H2079" s="90">
        <v>1.5597222222222222</v>
      </c>
      <c r="I2079" s="30" t="s">
        <v>2078</v>
      </c>
      <c r="J2079" s="89" t="s">
        <v>11640</v>
      </c>
      <c r="K2079" s="30" t="s">
        <v>584</v>
      </c>
      <c r="L2079" s="30" t="s">
        <v>11641</v>
      </c>
      <c r="M2079" s="30" t="s">
        <v>63</v>
      </c>
      <c r="N2079" s="30" t="s">
        <v>142</v>
      </c>
      <c r="O2079" s="30" t="s">
        <v>64</v>
      </c>
      <c r="P2079" s="89" t="s">
        <v>6941</v>
      </c>
      <c r="Q2079" s="89" t="s">
        <v>4487</v>
      </c>
      <c r="R2079" s="89" t="s">
        <v>587</v>
      </c>
      <c r="S2079" s="30">
        <v>0</v>
      </c>
      <c r="T2079" s="101">
        <v>0</v>
      </c>
      <c r="U2079" s="30">
        <v>0</v>
      </c>
      <c r="V2079" s="101">
        <v>0</v>
      </c>
      <c r="W2079" s="30">
        <v>0</v>
      </c>
      <c r="X2079" s="30">
        <v>0</v>
      </c>
      <c r="Y2079" s="30">
        <v>0</v>
      </c>
      <c r="Z2079" s="101">
        <v>0</v>
      </c>
      <c r="AA2079" s="30">
        <v>0</v>
      </c>
      <c r="AB2079" s="30">
        <v>0</v>
      </c>
      <c r="AC2079" s="30">
        <v>0</v>
      </c>
      <c r="AD2079" s="30">
        <v>0</v>
      </c>
      <c r="AE2079" s="29" t="s">
        <v>92</v>
      </c>
      <c r="AF2079" s="89"/>
      <c r="AG2079" s="89" t="s">
        <v>1507</v>
      </c>
      <c r="AH2079" s="72">
        <v>42265</v>
      </c>
      <c r="AI2079" s="30">
        <v>0</v>
      </c>
      <c r="AJ2079" s="89" t="s">
        <v>68</v>
      </c>
      <c r="AK2079" s="89" t="s">
        <v>68</v>
      </c>
      <c r="AL2079" s="91">
        <v>42310</v>
      </c>
      <c r="AM2079" s="91"/>
      <c r="AN2079" s="91"/>
      <c r="AO2079" s="91"/>
      <c r="AP2079" s="73" t="e">
        <f>MID(VLOOKUP(K2079,#REF!,2,FALSE),1,2)</f>
        <v>#REF!</v>
      </c>
      <c r="AQ2079" s="89">
        <f>DATE(2015,9,12)</f>
        <v>42259</v>
      </c>
      <c r="AR2079" s="82">
        <f t="shared" si="138"/>
        <v>12</v>
      </c>
      <c r="AS2079" s="83">
        <f t="shared" si="139"/>
        <v>9</v>
      </c>
      <c r="AT2079" s="84">
        <f t="shared" si="140"/>
        <v>2015</v>
      </c>
      <c r="AU2079" s="88">
        <f>DATE(2015,11,2)</f>
        <v>42310</v>
      </c>
      <c r="AV2079" s="88">
        <f>DATE(2015,9,18)</f>
        <v>42265</v>
      </c>
      <c r="AW2079" s="87">
        <f t="shared" si="142"/>
        <v>45</v>
      </c>
      <c r="AX2079" s="86"/>
      <c r="AY2079" s="83"/>
      <c r="AZ2079" s="84"/>
      <c r="BA2079" s="86"/>
      <c r="BB2079" s="86"/>
    </row>
    <row r="2080" spans="1:54" ht="36.75" customHeight="1">
      <c r="A2080" s="30"/>
      <c r="B2080" s="30" t="s">
        <v>55</v>
      </c>
      <c r="C2080" s="69" t="str">
        <f t="shared" si="141"/>
        <v>Closed</v>
      </c>
      <c r="D2080" s="27" t="s">
        <v>11642</v>
      </c>
      <c r="E2080" s="29" t="s">
        <v>11643</v>
      </c>
      <c r="F2080" s="30" t="s">
        <v>582</v>
      </c>
      <c r="G2080" s="89">
        <f>DATE(2015,9,12)</f>
        <v>42259</v>
      </c>
      <c r="H2080" s="90">
        <v>0</v>
      </c>
      <c r="I2080" s="30" t="s">
        <v>116</v>
      </c>
      <c r="J2080" s="89" t="s">
        <v>11644</v>
      </c>
      <c r="K2080" s="30" t="s">
        <v>584</v>
      </c>
      <c r="L2080" s="30" t="s">
        <v>11645</v>
      </c>
      <c r="M2080" s="30" t="s">
        <v>63</v>
      </c>
      <c r="N2080" s="30" t="s">
        <v>142</v>
      </c>
      <c r="O2080" s="30" t="s">
        <v>64</v>
      </c>
      <c r="P2080" s="89" t="s">
        <v>165</v>
      </c>
      <c r="Q2080" s="89" t="s">
        <v>11646</v>
      </c>
      <c r="R2080" s="89" t="s">
        <v>587</v>
      </c>
      <c r="S2080" s="30">
        <v>0</v>
      </c>
      <c r="T2080" s="233">
        <v>0</v>
      </c>
      <c r="U2080" s="30">
        <v>5</v>
      </c>
      <c r="V2080" s="233">
        <v>0</v>
      </c>
      <c r="W2080" s="30">
        <v>0</v>
      </c>
      <c r="X2080" s="30">
        <v>5</v>
      </c>
      <c r="Y2080" s="30">
        <v>0</v>
      </c>
      <c r="Z2080" s="233">
        <v>0</v>
      </c>
      <c r="AA2080" s="30">
        <v>0</v>
      </c>
      <c r="AB2080" s="30">
        <v>0</v>
      </c>
      <c r="AC2080" s="30">
        <v>0</v>
      </c>
      <c r="AD2080" s="30">
        <v>0</v>
      </c>
      <c r="AE2080" s="89" t="s">
        <v>394</v>
      </c>
      <c r="AF2080" s="89"/>
      <c r="AG2080" s="89" t="s">
        <v>82</v>
      </c>
      <c r="AH2080" s="72">
        <v>42259</v>
      </c>
      <c r="AI2080" s="30">
        <v>0</v>
      </c>
      <c r="AJ2080" s="89" t="s">
        <v>11647</v>
      </c>
      <c r="AK2080" s="89" t="s">
        <v>1233</v>
      </c>
      <c r="AL2080" s="91">
        <v>42310</v>
      </c>
      <c r="AM2080" s="91"/>
      <c r="AN2080" s="91"/>
      <c r="AO2080" s="91"/>
      <c r="AP2080" s="73" t="e">
        <f>MID(VLOOKUP(K2080,#REF!,2,FALSE),1,2)</f>
        <v>#REF!</v>
      </c>
      <c r="AQ2080" s="89">
        <f>DATE(2015,9,12)</f>
        <v>42259</v>
      </c>
      <c r="AR2080" s="82">
        <f t="shared" si="138"/>
        <v>12</v>
      </c>
      <c r="AS2080" s="83">
        <f t="shared" si="139"/>
        <v>9</v>
      </c>
      <c r="AT2080" s="84">
        <f t="shared" si="140"/>
        <v>2015</v>
      </c>
      <c r="AU2080" s="88">
        <f>DATE(2015,11,2)</f>
        <v>42310</v>
      </c>
      <c r="AV2080" s="88">
        <f>DATE(2015,9,12)</f>
        <v>42259</v>
      </c>
      <c r="AW2080" s="87">
        <f t="shared" si="142"/>
        <v>51</v>
      </c>
      <c r="AX2080" s="86"/>
      <c r="AY2080" s="83"/>
      <c r="AZ2080" s="84"/>
      <c r="BA2080" s="86"/>
      <c r="BB2080" s="86"/>
    </row>
    <row r="2081" spans="1:54" ht="36.75" customHeight="1">
      <c r="A2081" s="30"/>
      <c r="B2081" s="30" t="s">
        <v>55</v>
      </c>
      <c r="C2081" s="69" t="str">
        <f t="shared" si="141"/>
        <v>Closed</v>
      </c>
      <c r="D2081" s="27" t="s">
        <v>11648</v>
      </c>
      <c r="E2081" s="29" t="s">
        <v>11649</v>
      </c>
      <c r="F2081" s="30" t="s">
        <v>1938</v>
      </c>
      <c r="G2081" s="89">
        <f>DATE(2015,9,12)</f>
        <v>42259</v>
      </c>
      <c r="H2081" s="90">
        <v>0</v>
      </c>
      <c r="I2081" s="30" t="s">
        <v>6775</v>
      </c>
      <c r="J2081" s="89" t="s">
        <v>11650</v>
      </c>
      <c r="K2081" s="30" t="s">
        <v>1940</v>
      </c>
      <c r="L2081" s="30" t="s">
        <v>11651</v>
      </c>
      <c r="M2081" s="30" t="s">
        <v>63</v>
      </c>
      <c r="N2081" s="30" t="s">
        <v>142</v>
      </c>
      <c r="O2081" s="30" t="s">
        <v>64</v>
      </c>
      <c r="P2081" s="89" t="s">
        <v>165</v>
      </c>
      <c r="Q2081" s="89" t="s">
        <v>1942</v>
      </c>
      <c r="R2081" s="89" t="s">
        <v>1940</v>
      </c>
      <c r="S2081" s="30">
        <v>0</v>
      </c>
      <c r="T2081" s="233">
        <v>0</v>
      </c>
      <c r="U2081" s="30">
        <v>0</v>
      </c>
      <c r="V2081" s="233">
        <v>0</v>
      </c>
      <c r="W2081" s="30">
        <v>0</v>
      </c>
      <c r="X2081" s="30">
        <v>0</v>
      </c>
      <c r="Y2081" s="30">
        <v>0</v>
      </c>
      <c r="Z2081" s="233">
        <v>0</v>
      </c>
      <c r="AA2081" s="30">
        <v>0</v>
      </c>
      <c r="AB2081" s="30">
        <v>0</v>
      </c>
      <c r="AC2081" s="30">
        <v>0</v>
      </c>
      <c r="AD2081" s="30">
        <v>0</v>
      </c>
      <c r="AE2081" s="89" t="s">
        <v>92</v>
      </c>
      <c r="AF2081" s="89"/>
      <c r="AG2081" s="89" t="s">
        <v>589</v>
      </c>
      <c r="AH2081" s="72">
        <v>42275</v>
      </c>
      <c r="AI2081" s="30">
        <v>2</v>
      </c>
      <c r="AJ2081" s="89" t="s">
        <v>11652</v>
      </c>
      <c r="AK2081" s="89" t="s">
        <v>68</v>
      </c>
      <c r="AL2081" s="91">
        <v>42275</v>
      </c>
      <c r="AM2081" s="91"/>
      <c r="AN2081" s="91"/>
      <c r="AO2081" s="91"/>
      <c r="AP2081" s="73" t="e">
        <f>MID(VLOOKUP(K2081,#REF!,2,FALSE),1,2)</f>
        <v>#REF!</v>
      </c>
      <c r="AQ2081" s="89">
        <f>DATE(2015,9,12)</f>
        <v>42259</v>
      </c>
      <c r="AR2081" s="82">
        <f t="shared" si="138"/>
        <v>12</v>
      </c>
      <c r="AS2081" s="83">
        <f t="shared" si="139"/>
        <v>9</v>
      </c>
      <c r="AT2081" s="84">
        <f t="shared" si="140"/>
        <v>2015</v>
      </c>
      <c r="AU2081" s="88">
        <f>DATE(2015,9,28)</f>
        <v>42275</v>
      </c>
      <c r="AV2081" s="88">
        <f>DATE(2015,9,28)</f>
        <v>42275</v>
      </c>
      <c r="AW2081" s="87">
        <f t="shared" si="142"/>
        <v>0</v>
      </c>
      <c r="AX2081" s="86"/>
      <c r="AY2081" s="83"/>
      <c r="AZ2081" s="84"/>
      <c r="BA2081" s="86"/>
      <c r="BB2081" s="86"/>
    </row>
    <row r="2082" spans="1:54" ht="36.75" customHeight="1">
      <c r="A2082" s="30"/>
      <c r="B2082" s="30" t="s">
        <v>55</v>
      </c>
      <c r="C2082" s="69" t="str">
        <f t="shared" si="141"/>
        <v>Closed</v>
      </c>
      <c r="D2082" s="27" t="s">
        <v>11653</v>
      </c>
      <c r="E2082" s="29" t="s">
        <v>11654</v>
      </c>
      <c r="F2082" s="30" t="s">
        <v>423</v>
      </c>
      <c r="G2082" s="89">
        <f>DATE(2015,9,14)</f>
        <v>42261</v>
      </c>
      <c r="H2082" s="90">
        <v>1.3506944444444444</v>
      </c>
      <c r="I2082" s="30" t="s">
        <v>73</v>
      </c>
      <c r="J2082" s="89" t="s">
        <v>11655</v>
      </c>
      <c r="K2082" s="30" t="s">
        <v>425</v>
      </c>
      <c r="L2082" s="30" t="s">
        <v>11656</v>
      </c>
      <c r="M2082" s="30" t="s">
        <v>63</v>
      </c>
      <c r="N2082" s="30" t="s">
        <v>89</v>
      </c>
      <c r="O2082" s="30" t="s">
        <v>77</v>
      </c>
      <c r="P2082" s="89" t="s">
        <v>78</v>
      </c>
      <c r="Q2082" s="89" t="s">
        <v>2582</v>
      </c>
      <c r="R2082" s="89" t="s">
        <v>3103</v>
      </c>
      <c r="S2082" s="30">
        <v>0</v>
      </c>
      <c r="T2082" s="233">
        <v>0</v>
      </c>
      <c r="U2082" s="30">
        <v>0</v>
      </c>
      <c r="V2082" s="233">
        <v>0</v>
      </c>
      <c r="W2082" s="30">
        <v>0</v>
      </c>
      <c r="X2082" s="30">
        <v>0</v>
      </c>
      <c r="Y2082" s="30">
        <v>0</v>
      </c>
      <c r="Z2082" s="233">
        <v>0</v>
      </c>
      <c r="AA2082" s="30">
        <v>0</v>
      </c>
      <c r="AB2082" s="30">
        <v>0</v>
      </c>
      <c r="AC2082" s="30">
        <v>0</v>
      </c>
      <c r="AD2082" s="30">
        <v>0</v>
      </c>
      <c r="AE2082" s="89" t="s">
        <v>92</v>
      </c>
      <c r="AF2082" s="89"/>
      <c r="AG2082" s="89" t="s">
        <v>352</v>
      </c>
      <c r="AH2082" s="72">
        <v>42261</v>
      </c>
      <c r="AI2082" s="30">
        <v>2</v>
      </c>
      <c r="AJ2082" s="89" t="s">
        <v>11657</v>
      </c>
      <c r="AK2082" s="89" t="s">
        <v>879</v>
      </c>
      <c r="AL2082" s="91">
        <v>42263</v>
      </c>
      <c r="AM2082" s="91"/>
      <c r="AN2082" s="91"/>
      <c r="AO2082" s="91"/>
      <c r="AP2082" s="73" t="e">
        <f>MID(VLOOKUP(K2082,#REF!,2,FALSE),1,2)</f>
        <v>#REF!</v>
      </c>
      <c r="AQ2082" s="89">
        <f>DATE(2015,9,14)</f>
        <v>42261</v>
      </c>
      <c r="AR2082" s="82">
        <f t="shared" si="138"/>
        <v>14</v>
      </c>
      <c r="AS2082" s="83">
        <f t="shared" si="139"/>
        <v>9</v>
      </c>
      <c r="AT2082" s="84">
        <f t="shared" si="140"/>
        <v>2015</v>
      </c>
      <c r="AU2082" s="88">
        <f>DATE(2015,9,16)</f>
        <v>42263</v>
      </c>
      <c r="AV2082" s="88">
        <f>DATE(2015,9,14)</f>
        <v>42261</v>
      </c>
      <c r="AW2082" s="87">
        <f t="shared" si="142"/>
        <v>2</v>
      </c>
      <c r="AX2082" s="86"/>
      <c r="AY2082" s="83"/>
      <c r="AZ2082" s="84"/>
      <c r="BA2082" s="86"/>
      <c r="BB2082" s="86"/>
    </row>
    <row r="2083" spans="1:54" ht="36.75" customHeight="1">
      <c r="A2083" s="30"/>
      <c r="B2083" s="30" t="s">
        <v>55</v>
      </c>
      <c r="C2083" s="69" t="str">
        <f t="shared" si="141"/>
        <v>Closed</v>
      </c>
      <c r="D2083" s="27" t="s">
        <v>11658</v>
      </c>
      <c r="E2083" s="29" t="s">
        <v>11659</v>
      </c>
      <c r="F2083" s="30" t="s">
        <v>835</v>
      </c>
      <c r="G2083" s="89">
        <f>DATE(2015,9,15)</f>
        <v>42262</v>
      </c>
      <c r="H2083" s="90">
        <v>1.9534722222222221</v>
      </c>
      <c r="I2083" s="30" t="s">
        <v>73</v>
      </c>
      <c r="J2083" s="89" t="s">
        <v>11660</v>
      </c>
      <c r="K2083" s="30" t="s">
        <v>837</v>
      </c>
      <c r="L2083" s="30" t="s">
        <v>11661</v>
      </c>
      <c r="M2083" s="30" t="s">
        <v>63</v>
      </c>
      <c r="N2083" s="30" t="s">
        <v>99</v>
      </c>
      <c r="O2083" s="30" t="s">
        <v>64</v>
      </c>
      <c r="P2083" s="89" t="s">
        <v>78</v>
      </c>
      <c r="Q2083" s="89" t="s">
        <v>4708</v>
      </c>
      <c r="R2083" s="89" t="s">
        <v>840</v>
      </c>
      <c r="S2083" s="30">
        <v>0</v>
      </c>
      <c r="T2083" s="233">
        <v>0</v>
      </c>
      <c r="U2083" s="30">
        <v>0</v>
      </c>
      <c r="V2083" s="233">
        <v>0</v>
      </c>
      <c r="W2083" s="30">
        <v>0</v>
      </c>
      <c r="X2083" s="30">
        <v>0</v>
      </c>
      <c r="Y2083" s="30">
        <v>0</v>
      </c>
      <c r="Z2083" s="233">
        <v>0</v>
      </c>
      <c r="AA2083" s="30">
        <v>0</v>
      </c>
      <c r="AB2083" s="30">
        <v>0</v>
      </c>
      <c r="AC2083" s="30">
        <v>0</v>
      </c>
      <c r="AD2083" s="30">
        <v>0</v>
      </c>
      <c r="AE2083" s="89" t="s">
        <v>92</v>
      </c>
      <c r="AF2083" s="89"/>
      <c r="AG2083" s="89" t="s">
        <v>352</v>
      </c>
      <c r="AH2083" s="72">
        <v>42263</v>
      </c>
      <c r="AI2083" s="30">
        <v>0</v>
      </c>
      <c r="AJ2083" s="89" t="s">
        <v>11662</v>
      </c>
      <c r="AK2083" s="89" t="s">
        <v>11663</v>
      </c>
      <c r="AL2083" s="91">
        <v>42265</v>
      </c>
      <c r="AM2083" s="91"/>
      <c r="AN2083" s="91"/>
      <c r="AO2083" s="91"/>
      <c r="AP2083" s="73" t="e">
        <f>MID(VLOOKUP(K2083,#REF!,2,FALSE),1,2)</f>
        <v>#REF!</v>
      </c>
      <c r="AQ2083" s="89">
        <f>DATE(2015,9,15)</f>
        <v>42262</v>
      </c>
      <c r="AR2083" s="82">
        <f t="shared" si="138"/>
        <v>15</v>
      </c>
      <c r="AS2083" s="83">
        <f t="shared" si="139"/>
        <v>9</v>
      </c>
      <c r="AT2083" s="84">
        <f t="shared" si="140"/>
        <v>2015</v>
      </c>
      <c r="AU2083" s="88">
        <f>DATE(2015,9,18)</f>
        <v>42265</v>
      </c>
      <c r="AV2083" s="88">
        <f>DATE(2015,9,16)</f>
        <v>42263</v>
      </c>
      <c r="AW2083" s="87">
        <f t="shared" si="142"/>
        <v>2</v>
      </c>
      <c r="AX2083" s="86"/>
      <c r="AY2083" s="83"/>
      <c r="AZ2083" s="84"/>
      <c r="BA2083" s="86"/>
      <c r="BB2083" s="86"/>
    </row>
    <row r="2084" spans="1:54" ht="36.75" customHeight="1">
      <c r="A2084" s="30"/>
      <c r="B2084" s="30" t="s">
        <v>55</v>
      </c>
      <c r="C2084" s="69" t="str">
        <f t="shared" si="141"/>
        <v>Closed</v>
      </c>
      <c r="D2084" s="27" t="s">
        <v>11664</v>
      </c>
      <c r="E2084" s="29" t="s">
        <v>11665</v>
      </c>
      <c r="F2084" s="30" t="s">
        <v>582</v>
      </c>
      <c r="G2084" s="89">
        <f>DATE(2015,9,16)</f>
        <v>42263</v>
      </c>
      <c r="H2084" s="90">
        <v>1.3215277777777779</v>
      </c>
      <c r="I2084" s="30" t="s">
        <v>116</v>
      </c>
      <c r="J2084" s="89" t="s">
        <v>11666</v>
      </c>
      <c r="K2084" s="30" t="s">
        <v>584</v>
      </c>
      <c r="L2084" s="30" t="s">
        <v>11667</v>
      </c>
      <c r="M2084" s="30" t="s">
        <v>63</v>
      </c>
      <c r="N2084" s="30" t="s">
        <v>99</v>
      </c>
      <c r="O2084" s="30" t="s">
        <v>64</v>
      </c>
      <c r="P2084" s="89" t="s">
        <v>165</v>
      </c>
      <c r="Q2084" s="89" t="s">
        <v>9167</v>
      </c>
      <c r="R2084" s="89" t="s">
        <v>587</v>
      </c>
      <c r="S2084" s="30">
        <v>0</v>
      </c>
      <c r="T2084" s="233">
        <v>0</v>
      </c>
      <c r="U2084" s="30">
        <v>0</v>
      </c>
      <c r="V2084" s="233">
        <v>0</v>
      </c>
      <c r="W2084" s="30">
        <v>0</v>
      </c>
      <c r="X2084" s="30">
        <v>0</v>
      </c>
      <c r="Y2084" s="30">
        <v>0</v>
      </c>
      <c r="Z2084" s="233">
        <v>0</v>
      </c>
      <c r="AA2084" s="30">
        <v>0</v>
      </c>
      <c r="AB2084" s="30">
        <v>0</v>
      </c>
      <c r="AC2084" s="30">
        <v>0</v>
      </c>
      <c r="AD2084" s="30">
        <v>0</v>
      </c>
      <c r="AE2084" s="89" t="s">
        <v>394</v>
      </c>
      <c r="AF2084" s="89"/>
      <c r="AG2084" s="89" t="s">
        <v>133</v>
      </c>
      <c r="AH2084" s="72">
        <v>42263</v>
      </c>
      <c r="AI2084" s="30">
        <v>0</v>
      </c>
      <c r="AJ2084" s="89" t="s">
        <v>11668</v>
      </c>
      <c r="AK2084" s="89" t="s">
        <v>1233</v>
      </c>
      <c r="AL2084" s="91">
        <v>42310</v>
      </c>
      <c r="AM2084" s="91"/>
      <c r="AN2084" s="91"/>
      <c r="AO2084" s="91"/>
      <c r="AP2084" s="73" t="e">
        <f>MID(VLOOKUP(K2084,#REF!,2,FALSE),1,2)</f>
        <v>#REF!</v>
      </c>
      <c r="AQ2084" s="89">
        <f>DATE(2015,9,16)</f>
        <v>42263</v>
      </c>
      <c r="AR2084" s="82">
        <f t="shared" si="138"/>
        <v>16</v>
      </c>
      <c r="AS2084" s="83">
        <f t="shared" si="139"/>
        <v>9</v>
      </c>
      <c r="AT2084" s="84">
        <f t="shared" si="140"/>
        <v>2015</v>
      </c>
      <c r="AU2084" s="88">
        <f>DATE(2015,11,2)</f>
        <v>42310</v>
      </c>
      <c r="AV2084" s="88">
        <f>DATE(2015,9,16)</f>
        <v>42263</v>
      </c>
      <c r="AW2084" s="87">
        <f t="shared" si="142"/>
        <v>47</v>
      </c>
      <c r="AX2084" s="86"/>
      <c r="AY2084" s="83"/>
      <c r="AZ2084" s="84"/>
      <c r="BA2084" s="86"/>
      <c r="BB2084" s="86"/>
    </row>
    <row r="2085" spans="1:54" ht="36.75" customHeight="1">
      <c r="A2085" s="30"/>
      <c r="B2085" s="30" t="s">
        <v>55</v>
      </c>
      <c r="C2085" s="69" t="str">
        <f t="shared" si="141"/>
        <v>Closed</v>
      </c>
      <c r="D2085" s="27" t="s">
        <v>11669</v>
      </c>
      <c r="E2085" s="29" t="s">
        <v>11670</v>
      </c>
      <c r="F2085" s="30" t="s">
        <v>233</v>
      </c>
      <c r="G2085" s="89">
        <f>DATE(2015,9,17)</f>
        <v>42264</v>
      </c>
      <c r="H2085" s="90">
        <v>1.5125000000000002</v>
      </c>
      <c r="I2085" s="30" t="s">
        <v>156</v>
      </c>
      <c r="J2085" s="89" t="s">
        <v>11671</v>
      </c>
      <c r="K2085" s="30" t="s">
        <v>235</v>
      </c>
      <c r="L2085" s="30" t="s">
        <v>11672</v>
      </c>
      <c r="M2085" s="30" t="s">
        <v>63</v>
      </c>
      <c r="N2085" s="30" t="s">
        <v>99</v>
      </c>
      <c r="O2085" s="30" t="s">
        <v>77</v>
      </c>
      <c r="P2085" s="89" t="s">
        <v>6902</v>
      </c>
      <c r="Q2085" s="89" t="s">
        <v>469</v>
      </c>
      <c r="R2085" s="89" t="s">
        <v>235</v>
      </c>
      <c r="S2085" s="30">
        <v>0</v>
      </c>
      <c r="T2085" s="233">
        <v>0</v>
      </c>
      <c r="U2085" s="30">
        <v>0</v>
      </c>
      <c r="V2085" s="233">
        <v>0</v>
      </c>
      <c r="W2085" s="30">
        <v>0</v>
      </c>
      <c r="X2085" s="30">
        <v>0</v>
      </c>
      <c r="Y2085" s="30">
        <v>0</v>
      </c>
      <c r="Z2085" s="233">
        <v>0</v>
      </c>
      <c r="AA2085" s="30">
        <v>0</v>
      </c>
      <c r="AB2085" s="30">
        <v>0</v>
      </c>
      <c r="AC2085" s="30">
        <v>0</v>
      </c>
      <c r="AD2085" s="30">
        <v>0</v>
      </c>
      <c r="AE2085" s="89" t="s">
        <v>92</v>
      </c>
      <c r="AF2085" s="89"/>
      <c r="AG2085" s="89" t="s">
        <v>133</v>
      </c>
      <c r="AH2085" s="72">
        <v>42268</v>
      </c>
      <c r="AI2085" s="30">
        <v>2</v>
      </c>
      <c r="AJ2085" s="89" t="s">
        <v>11673</v>
      </c>
      <c r="AK2085" s="89" t="s">
        <v>11674</v>
      </c>
      <c r="AL2085" s="91">
        <v>42293</v>
      </c>
      <c r="AM2085" s="91"/>
      <c r="AN2085" s="91"/>
      <c r="AO2085" s="91"/>
      <c r="AP2085" s="73" t="e">
        <f>MID(VLOOKUP(K2085,#REF!,2,FALSE),1,2)</f>
        <v>#REF!</v>
      </c>
      <c r="AQ2085" s="89">
        <f>DATE(2015,9,17)</f>
        <v>42264</v>
      </c>
      <c r="AR2085" s="82">
        <f t="shared" si="138"/>
        <v>17</v>
      </c>
      <c r="AS2085" s="83">
        <f t="shared" si="139"/>
        <v>9</v>
      </c>
      <c r="AT2085" s="84">
        <f t="shared" si="140"/>
        <v>2015</v>
      </c>
      <c r="AU2085" s="88">
        <f>DATE(2015,10,16)</f>
        <v>42293</v>
      </c>
      <c r="AV2085" s="88">
        <f>DATE(2015,9,21)</f>
        <v>42268</v>
      </c>
      <c r="AW2085" s="87">
        <f t="shared" si="142"/>
        <v>25</v>
      </c>
      <c r="AX2085" s="88">
        <f>DATE(2015,10,16)</f>
        <v>42293</v>
      </c>
      <c r="AY2085" s="83">
        <f>MONTH(AX2085)</f>
        <v>10</v>
      </c>
      <c r="AZ2085" s="84">
        <f>YEAR(AX2085)</f>
        <v>2015</v>
      </c>
      <c r="BA2085" s="86"/>
      <c r="BB2085" s="86"/>
    </row>
    <row r="2086" spans="1:54" ht="36.75" customHeight="1">
      <c r="A2086" s="30"/>
      <c r="B2086" s="30" t="s">
        <v>55</v>
      </c>
      <c r="C2086" s="69" t="str">
        <f t="shared" si="141"/>
        <v>Closed</v>
      </c>
      <c r="D2086" s="27" t="s">
        <v>11675</v>
      </c>
      <c r="E2086" s="29" t="s">
        <v>11676</v>
      </c>
      <c r="F2086" s="30" t="s">
        <v>624</v>
      </c>
      <c r="G2086" s="89">
        <f>DATE(2015,9,22)</f>
        <v>42269</v>
      </c>
      <c r="H2086" s="90">
        <v>1.8333333333333335</v>
      </c>
      <c r="I2086" s="30" t="s">
        <v>104</v>
      </c>
      <c r="J2086" s="89" t="s">
        <v>4610</v>
      </c>
      <c r="K2086" s="30" t="s">
        <v>626</v>
      </c>
      <c r="L2086" s="30" t="s">
        <v>11677</v>
      </c>
      <c r="M2086" s="30" t="s">
        <v>63</v>
      </c>
      <c r="N2086" s="30" t="s">
        <v>99</v>
      </c>
      <c r="O2086" s="30" t="s">
        <v>77</v>
      </c>
      <c r="P2086" s="89" t="s">
        <v>78</v>
      </c>
      <c r="Q2086" s="89" t="s">
        <v>11678</v>
      </c>
      <c r="R2086" s="89" t="s">
        <v>629</v>
      </c>
      <c r="S2086" s="30">
        <v>0</v>
      </c>
      <c r="T2086" s="233">
        <v>0</v>
      </c>
      <c r="U2086" s="30">
        <v>0</v>
      </c>
      <c r="V2086" s="233">
        <v>0</v>
      </c>
      <c r="W2086" s="30">
        <v>0</v>
      </c>
      <c r="X2086" s="30">
        <v>0</v>
      </c>
      <c r="Y2086" s="30">
        <v>0</v>
      </c>
      <c r="Z2086" s="233">
        <v>0</v>
      </c>
      <c r="AA2086" s="30">
        <v>0</v>
      </c>
      <c r="AB2086" s="30">
        <v>0</v>
      </c>
      <c r="AC2086" s="30">
        <v>0</v>
      </c>
      <c r="AD2086" s="30">
        <v>0</v>
      </c>
      <c r="AE2086" s="89" t="s">
        <v>92</v>
      </c>
      <c r="AF2086" s="89"/>
      <c r="AG2086" s="89" t="s">
        <v>352</v>
      </c>
      <c r="AH2086" s="72">
        <v>42269</v>
      </c>
      <c r="AI2086" s="30">
        <v>1</v>
      </c>
      <c r="AJ2086" s="89" t="s">
        <v>7952</v>
      </c>
      <c r="AK2086" s="89" t="s">
        <v>68</v>
      </c>
      <c r="AL2086" s="91">
        <v>42312</v>
      </c>
      <c r="AM2086" s="91"/>
      <c r="AN2086" s="91"/>
      <c r="AO2086" s="91"/>
      <c r="AP2086" s="73" t="e">
        <f>MID(VLOOKUP(K2086,#REF!,2,FALSE),1,2)</f>
        <v>#REF!</v>
      </c>
      <c r="AQ2086" s="89">
        <f>DATE(2015,9,22)</f>
        <v>42269</v>
      </c>
      <c r="AR2086" s="82">
        <f t="shared" si="138"/>
        <v>22</v>
      </c>
      <c r="AS2086" s="83">
        <f t="shared" si="139"/>
        <v>9</v>
      </c>
      <c r="AT2086" s="84">
        <f t="shared" si="140"/>
        <v>2015</v>
      </c>
      <c r="AU2086" s="88">
        <f>DATE(2015,11,4)</f>
        <v>42312</v>
      </c>
      <c r="AV2086" s="88">
        <f>DATE(2015,9,22)</f>
        <v>42269</v>
      </c>
      <c r="AW2086" s="87">
        <f t="shared" si="142"/>
        <v>43</v>
      </c>
      <c r="AX2086" s="86"/>
      <c r="AY2086" s="83"/>
      <c r="AZ2086" s="84"/>
      <c r="BA2086" s="86"/>
      <c r="BB2086" s="86"/>
    </row>
    <row r="2087" spans="1:54" ht="36.75" customHeight="1">
      <c r="A2087" s="30"/>
      <c r="B2087" s="30" t="s">
        <v>55</v>
      </c>
      <c r="C2087" s="69" t="str">
        <f t="shared" si="141"/>
        <v>Closed</v>
      </c>
      <c r="D2087" s="27" t="s">
        <v>11679</v>
      </c>
      <c r="E2087" s="29" t="s">
        <v>11680</v>
      </c>
      <c r="F2087" s="30" t="s">
        <v>624</v>
      </c>
      <c r="G2087" s="89">
        <f>DATE(2015,9,26)</f>
        <v>42273</v>
      </c>
      <c r="H2087" s="90">
        <v>1.6645833333333333</v>
      </c>
      <c r="I2087" s="30" t="s">
        <v>73</v>
      </c>
      <c r="J2087" s="89" t="s">
        <v>73</v>
      </c>
      <c r="K2087" s="30" t="s">
        <v>626</v>
      </c>
      <c r="L2087" s="30" t="s">
        <v>11681</v>
      </c>
      <c r="M2087" s="30" t="s">
        <v>63</v>
      </c>
      <c r="N2087" s="30" t="s">
        <v>142</v>
      </c>
      <c r="O2087" s="30" t="s">
        <v>77</v>
      </c>
      <c r="P2087" s="89" t="s">
        <v>78</v>
      </c>
      <c r="Q2087" s="89" t="s">
        <v>9674</v>
      </c>
      <c r="R2087" s="89" t="s">
        <v>629</v>
      </c>
      <c r="S2087" s="30">
        <v>0</v>
      </c>
      <c r="T2087" s="233">
        <v>0</v>
      </c>
      <c r="U2087" s="30">
        <v>0</v>
      </c>
      <c r="V2087" s="233">
        <v>0</v>
      </c>
      <c r="W2087" s="30">
        <v>0</v>
      </c>
      <c r="X2087" s="30">
        <v>0</v>
      </c>
      <c r="Y2087" s="30">
        <v>0</v>
      </c>
      <c r="Z2087" s="233">
        <v>0</v>
      </c>
      <c r="AA2087" s="30">
        <v>0</v>
      </c>
      <c r="AB2087" s="30">
        <v>0</v>
      </c>
      <c r="AC2087" s="30">
        <v>0</v>
      </c>
      <c r="AD2087" s="30">
        <v>0</v>
      </c>
      <c r="AE2087" s="89" t="s">
        <v>92</v>
      </c>
      <c r="AF2087" s="89"/>
      <c r="AG2087" s="89" t="s">
        <v>352</v>
      </c>
      <c r="AH2087" s="72">
        <v>42273</v>
      </c>
      <c r="AI2087" s="30">
        <v>1</v>
      </c>
      <c r="AJ2087" s="89" t="s">
        <v>11682</v>
      </c>
      <c r="AK2087" s="89" t="s">
        <v>68</v>
      </c>
      <c r="AL2087" s="91">
        <v>42312</v>
      </c>
      <c r="AM2087" s="91"/>
      <c r="AN2087" s="91"/>
      <c r="AO2087" s="91"/>
      <c r="AP2087" s="73" t="e">
        <f>MID(VLOOKUP(K2087,#REF!,2,FALSE),1,2)</f>
        <v>#REF!</v>
      </c>
      <c r="AQ2087" s="89">
        <f>DATE(2015,9,26)</f>
        <v>42273</v>
      </c>
      <c r="AR2087" s="82">
        <f t="shared" si="138"/>
        <v>26</v>
      </c>
      <c r="AS2087" s="83">
        <f t="shared" si="139"/>
        <v>9</v>
      </c>
      <c r="AT2087" s="84">
        <f t="shared" si="140"/>
        <v>2015</v>
      </c>
      <c r="AU2087" s="88">
        <f>DATE(2015,11,4)</f>
        <v>42312</v>
      </c>
      <c r="AV2087" s="88">
        <f>DATE(2015,9,26)</f>
        <v>42273</v>
      </c>
      <c r="AW2087" s="87">
        <f t="shared" si="142"/>
        <v>39</v>
      </c>
      <c r="AX2087" s="86"/>
      <c r="AY2087" s="83"/>
      <c r="AZ2087" s="84"/>
      <c r="BA2087" s="86"/>
      <c r="BB2087" s="86"/>
    </row>
    <row r="2088" spans="1:54" ht="36.75" customHeight="1">
      <c r="A2088" s="30"/>
      <c r="B2088" s="30" t="s">
        <v>55</v>
      </c>
      <c r="C2088" s="69" t="str">
        <f t="shared" si="141"/>
        <v>Closed</v>
      </c>
      <c r="D2088" s="27" t="s">
        <v>11683</v>
      </c>
      <c r="E2088" s="29" t="s">
        <v>11684</v>
      </c>
      <c r="F2088" s="30" t="s">
        <v>451</v>
      </c>
      <c r="G2088" s="89">
        <f>DATE(2015,9,28)</f>
        <v>42275</v>
      </c>
      <c r="H2088" s="90">
        <v>1.3347222222222221</v>
      </c>
      <c r="I2088" s="30" t="s">
        <v>116</v>
      </c>
      <c r="J2088" s="89" t="s">
        <v>11685</v>
      </c>
      <c r="K2088" s="30" t="s">
        <v>453</v>
      </c>
      <c r="L2088" s="30" t="s">
        <v>11686</v>
      </c>
      <c r="M2088" s="30" t="s">
        <v>63</v>
      </c>
      <c r="N2088" s="30" t="s">
        <v>99</v>
      </c>
      <c r="O2088" s="30" t="s">
        <v>64</v>
      </c>
      <c r="P2088" s="89" t="s">
        <v>165</v>
      </c>
      <c r="Q2088" s="89" t="s">
        <v>10413</v>
      </c>
      <c r="R2088" s="89" t="s">
        <v>10414</v>
      </c>
      <c r="S2088" s="30">
        <v>0</v>
      </c>
      <c r="T2088" s="233">
        <v>1</v>
      </c>
      <c r="U2088" s="30">
        <v>0</v>
      </c>
      <c r="V2088" s="233">
        <v>0</v>
      </c>
      <c r="W2088" s="30">
        <v>0</v>
      </c>
      <c r="X2088" s="30">
        <v>1</v>
      </c>
      <c r="Y2088" s="30">
        <v>0</v>
      </c>
      <c r="Z2088" s="233">
        <v>0</v>
      </c>
      <c r="AA2088" s="30">
        <v>0</v>
      </c>
      <c r="AB2088" s="30">
        <v>0</v>
      </c>
      <c r="AC2088" s="30">
        <v>0</v>
      </c>
      <c r="AD2088" s="30">
        <v>0</v>
      </c>
      <c r="AE2088" s="89" t="s">
        <v>92</v>
      </c>
      <c r="AF2088" s="89"/>
      <c r="AG2088" s="89" t="s">
        <v>82</v>
      </c>
      <c r="AH2088" s="72">
        <v>42275</v>
      </c>
      <c r="AI2088" s="30">
        <v>0</v>
      </c>
      <c r="AJ2088" s="89" t="s">
        <v>11687</v>
      </c>
      <c r="AK2088" s="89" t="s">
        <v>68</v>
      </c>
      <c r="AL2088" s="91">
        <v>42831</v>
      </c>
      <c r="AM2088" s="91"/>
      <c r="AN2088" s="91"/>
      <c r="AO2088" s="91"/>
      <c r="AP2088" s="73" t="e">
        <f>MID(VLOOKUP(K2088,#REF!,2,FALSE),1,2)</f>
        <v>#REF!</v>
      </c>
      <c r="AQ2088" s="89">
        <f>DATE(2015,9,28)</f>
        <v>42275</v>
      </c>
      <c r="AR2088" s="82">
        <f t="shared" si="138"/>
        <v>28</v>
      </c>
      <c r="AS2088" s="83">
        <f t="shared" si="139"/>
        <v>9</v>
      </c>
      <c r="AT2088" s="84">
        <f t="shared" si="140"/>
        <v>2015</v>
      </c>
      <c r="AU2088" s="88">
        <f>DATE(2017,4,6)</f>
        <v>42831</v>
      </c>
      <c r="AV2088" s="88">
        <f>DATE(2015,9,28)</f>
        <v>42275</v>
      </c>
      <c r="AW2088" s="87">
        <f t="shared" si="142"/>
        <v>556</v>
      </c>
      <c r="AX2088" s="86"/>
      <c r="AY2088" s="83"/>
      <c r="AZ2088" s="84"/>
      <c r="BA2088" s="86"/>
      <c r="BB2088" s="86"/>
    </row>
    <row r="2089" spans="1:54" ht="36.75" customHeight="1">
      <c r="A2089" s="30"/>
      <c r="B2089" s="30" t="s">
        <v>55</v>
      </c>
      <c r="C2089" s="69" t="str">
        <f t="shared" si="141"/>
        <v>Closed</v>
      </c>
      <c r="D2089" s="27" t="s">
        <v>11688</v>
      </c>
      <c r="E2089" s="29" t="s">
        <v>11689</v>
      </c>
      <c r="F2089" s="30" t="s">
        <v>423</v>
      </c>
      <c r="G2089" s="89">
        <f>DATE(2015,9,30)</f>
        <v>42277</v>
      </c>
      <c r="H2089" s="90">
        <v>1.0381944444444444</v>
      </c>
      <c r="I2089" s="30" t="s">
        <v>198</v>
      </c>
      <c r="J2089" s="89" t="s">
        <v>11690</v>
      </c>
      <c r="K2089" s="30" t="s">
        <v>425</v>
      </c>
      <c r="L2089" s="30" t="s">
        <v>11691</v>
      </c>
      <c r="M2089" s="30" t="s">
        <v>63</v>
      </c>
      <c r="N2089" s="30" t="s">
        <v>89</v>
      </c>
      <c r="O2089" s="30" t="s">
        <v>6875</v>
      </c>
      <c r="P2089" s="89" t="s">
        <v>91</v>
      </c>
      <c r="Q2089" s="89" t="s">
        <v>8776</v>
      </c>
      <c r="R2089" s="89" t="s">
        <v>8776</v>
      </c>
      <c r="S2089" s="30">
        <v>0</v>
      </c>
      <c r="T2089" s="233">
        <v>1</v>
      </c>
      <c r="U2089" s="30">
        <v>0</v>
      </c>
      <c r="V2089" s="233">
        <v>0</v>
      </c>
      <c r="W2089" s="30">
        <v>0</v>
      </c>
      <c r="X2089" s="30">
        <v>1</v>
      </c>
      <c r="Y2089" s="30">
        <v>0</v>
      </c>
      <c r="Z2089" s="233">
        <v>0</v>
      </c>
      <c r="AA2089" s="30">
        <v>0</v>
      </c>
      <c r="AB2089" s="30">
        <v>0</v>
      </c>
      <c r="AC2089" s="30">
        <v>0</v>
      </c>
      <c r="AD2089" s="30">
        <v>0</v>
      </c>
      <c r="AE2089" s="89" t="s">
        <v>92</v>
      </c>
      <c r="AF2089" s="89"/>
      <c r="AG2089" s="89" t="s">
        <v>133</v>
      </c>
      <c r="AH2089" s="72">
        <v>42074</v>
      </c>
      <c r="AI2089" s="30">
        <v>0</v>
      </c>
      <c r="AJ2089" s="89" t="s">
        <v>11692</v>
      </c>
      <c r="AK2089" s="89" t="s">
        <v>11693</v>
      </c>
      <c r="AL2089" s="91">
        <v>42314</v>
      </c>
      <c r="AM2089" s="91"/>
      <c r="AN2089" s="91"/>
      <c r="AO2089" s="91"/>
      <c r="AP2089" s="73" t="e">
        <f>MID(VLOOKUP(K2089,#REF!,2,FALSE),1,2)</f>
        <v>#REF!</v>
      </c>
      <c r="AQ2089" s="89">
        <f>DATE(2015,9,30)</f>
        <v>42277</v>
      </c>
      <c r="AR2089" s="82">
        <f t="shared" si="138"/>
        <v>30</v>
      </c>
      <c r="AS2089" s="83">
        <f t="shared" si="139"/>
        <v>9</v>
      </c>
      <c r="AT2089" s="84">
        <f t="shared" si="140"/>
        <v>2015</v>
      </c>
      <c r="AU2089" s="88">
        <f>DATE(2015,11,6)</f>
        <v>42314</v>
      </c>
      <c r="AV2089" s="88">
        <f>DATE(2015,11,3)</f>
        <v>42311</v>
      </c>
      <c r="AW2089" s="87">
        <f t="shared" si="142"/>
        <v>3</v>
      </c>
      <c r="AX2089" s="86"/>
      <c r="AY2089" s="83"/>
      <c r="AZ2089" s="84"/>
      <c r="BA2089" s="86"/>
      <c r="BB2089" s="86"/>
    </row>
    <row r="2090" spans="1:54" ht="36.75" customHeight="1">
      <c r="A2090" s="30"/>
      <c r="B2090" s="30" t="s">
        <v>55</v>
      </c>
      <c r="C2090" s="69" t="str">
        <f t="shared" si="141"/>
        <v>Closed</v>
      </c>
      <c r="D2090" s="27" t="s">
        <v>11694</v>
      </c>
      <c r="E2090" s="29" t="s">
        <v>11695</v>
      </c>
      <c r="F2090" s="30" t="s">
        <v>624</v>
      </c>
      <c r="G2090" s="89">
        <f>DATE(2015,10,1)</f>
        <v>42278</v>
      </c>
      <c r="H2090" s="90">
        <v>1.8930555555555557</v>
      </c>
      <c r="I2090" s="30" t="s">
        <v>104</v>
      </c>
      <c r="J2090" s="89" t="s">
        <v>4610</v>
      </c>
      <c r="K2090" s="30" t="s">
        <v>626</v>
      </c>
      <c r="L2090" s="30" t="s">
        <v>11696</v>
      </c>
      <c r="M2090" s="30" t="s">
        <v>63</v>
      </c>
      <c r="N2090" s="30" t="s">
        <v>142</v>
      </c>
      <c r="O2090" s="30" t="s">
        <v>77</v>
      </c>
      <c r="P2090" s="89" t="s">
        <v>78</v>
      </c>
      <c r="Q2090" s="89" t="s">
        <v>11697</v>
      </c>
      <c r="R2090" s="89" t="s">
        <v>629</v>
      </c>
      <c r="S2090" s="30">
        <v>0</v>
      </c>
      <c r="T2090" s="233">
        <v>0</v>
      </c>
      <c r="U2090" s="30">
        <v>0</v>
      </c>
      <c r="V2090" s="233">
        <v>0</v>
      </c>
      <c r="W2090" s="30">
        <v>0</v>
      </c>
      <c r="X2090" s="30">
        <v>0</v>
      </c>
      <c r="Y2090" s="30">
        <v>0</v>
      </c>
      <c r="Z2090" s="233">
        <v>0</v>
      </c>
      <c r="AA2090" s="30">
        <v>0</v>
      </c>
      <c r="AB2090" s="30">
        <v>0</v>
      </c>
      <c r="AC2090" s="30">
        <v>0</v>
      </c>
      <c r="AD2090" s="30">
        <v>0</v>
      </c>
      <c r="AE2090" s="89" t="s">
        <v>92</v>
      </c>
      <c r="AF2090" s="89"/>
      <c r="AG2090" s="89" t="s">
        <v>352</v>
      </c>
      <c r="AH2090" s="72">
        <v>42014</v>
      </c>
      <c r="AI2090" s="30">
        <v>1</v>
      </c>
      <c r="AJ2090" s="89" t="s">
        <v>7952</v>
      </c>
      <c r="AK2090" s="89" t="s">
        <v>68</v>
      </c>
      <c r="AL2090" s="91">
        <v>42312</v>
      </c>
      <c r="AM2090" s="91"/>
      <c r="AN2090" s="91"/>
      <c r="AO2090" s="91"/>
      <c r="AP2090" s="73" t="e">
        <f>MID(VLOOKUP(K2090,#REF!,2,FALSE),1,2)</f>
        <v>#REF!</v>
      </c>
      <c r="AQ2090" s="89">
        <f>DATE(2015,10,1)</f>
        <v>42278</v>
      </c>
      <c r="AR2090" s="82">
        <f t="shared" si="138"/>
        <v>1</v>
      </c>
      <c r="AS2090" s="83">
        <f t="shared" si="139"/>
        <v>10</v>
      </c>
      <c r="AT2090" s="84">
        <f t="shared" si="140"/>
        <v>2015</v>
      </c>
      <c r="AU2090" s="88">
        <f>DATE(2015,11,4)</f>
        <v>42312</v>
      </c>
      <c r="AV2090" s="88">
        <f>DATE(2015,10,1)</f>
        <v>42278</v>
      </c>
      <c r="AW2090" s="87">
        <f t="shared" si="142"/>
        <v>34</v>
      </c>
      <c r="AX2090" s="86"/>
      <c r="AY2090" s="83"/>
      <c r="AZ2090" s="84"/>
      <c r="BA2090" s="86"/>
      <c r="BB2090" s="86"/>
    </row>
    <row r="2091" spans="1:54" ht="36.75" customHeight="1">
      <c r="A2091" s="30"/>
      <c r="B2091" s="30" t="s">
        <v>55</v>
      </c>
      <c r="C2091" s="69" t="str">
        <f t="shared" si="141"/>
        <v>Closed</v>
      </c>
      <c r="D2091" s="27" t="s">
        <v>11698</v>
      </c>
      <c r="E2091" s="29" t="s">
        <v>11699</v>
      </c>
      <c r="F2091" s="30" t="s">
        <v>638</v>
      </c>
      <c r="G2091" s="89">
        <f>DATE(2015,10,5)</f>
        <v>42282</v>
      </c>
      <c r="H2091" s="90">
        <v>1.7534722222222223</v>
      </c>
      <c r="I2091" s="30" t="s">
        <v>198</v>
      </c>
      <c r="J2091" s="89" t="s">
        <v>11700</v>
      </c>
      <c r="K2091" s="30" t="s">
        <v>640</v>
      </c>
      <c r="L2091" s="30" t="s">
        <v>11701</v>
      </c>
      <c r="M2091" s="30" t="s">
        <v>63</v>
      </c>
      <c r="N2091" s="30" t="s">
        <v>99</v>
      </c>
      <c r="O2091" s="30" t="s">
        <v>77</v>
      </c>
      <c r="P2091" s="89" t="s">
        <v>91</v>
      </c>
      <c r="Q2091" s="89" t="s">
        <v>3439</v>
      </c>
      <c r="R2091" s="89" t="s">
        <v>643</v>
      </c>
      <c r="S2091" s="30">
        <v>0</v>
      </c>
      <c r="T2091" s="233">
        <v>0</v>
      </c>
      <c r="U2091" s="30">
        <v>0</v>
      </c>
      <c r="V2091" s="233">
        <v>0</v>
      </c>
      <c r="W2091" s="30">
        <v>0</v>
      </c>
      <c r="X2091" s="30">
        <v>0</v>
      </c>
      <c r="Y2091" s="30">
        <v>0</v>
      </c>
      <c r="Z2091" s="233">
        <v>0</v>
      </c>
      <c r="AA2091" s="30">
        <v>0</v>
      </c>
      <c r="AB2091" s="30">
        <v>0</v>
      </c>
      <c r="AC2091" s="30">
        <v>0</v>
      </c>
      <c r="AD2091" s="30">
        <v>0</v>
      </c>
      <c r="AE2091" s="89" t="s">
        <v>92</v>
      </c>
      <c r="AF2091" s="89"/>
      <c r="AG2091" s="89" t="s">
        <v>352</v>
      </c>
      <c r="AH2091" s="72">
        <v>42299</v>
      </c>
      <c r="AI2091" s="30">
        <v>3</v>
      </c>
      <c r="AJ2091" s="89" t="s">
        <v>11702</v>
      </c>
      <c r="AK2091" s="89" t="s">
        <v>68</v>
      </c>
      <c r="AL2091" s="91">
        <v>42305</v>
      </c>
      <c r="AM2091" s="91"/>
      <c r="AN2091" s="91"/>
      <c r="AO2091" s="91"/>
      <c r="AP2091" s="73" t="e">
        <f>MID(VLOOKUP(K2091,#REF!,2,FALSE),1,2)</f>
        <v>#REF!</v>
      </c>
      <c r="AQ2091" s="89">
        <f>DATE(2015,10,5)</f>
        <v>42282</v>
      </c>
      <c r="AR2091" s="82">
        <f t="shared" si="138"/>
        <v>5</v>
      </c>
      <c r="AS2091" s="83">
        <f t="shared" si="139"/>
        <v>10</v>
      </c>
      <c r="AT2091" s="84">
        <f t="shared" si="140"/>
        <v>2015</v>
      </c>
      <c r="AU2091" s="88">
        <f>DATE(2015,10,28)</f>
        <v>42305</v>
      </c>
      <c r="AV2091" s="88">
        <f>DATE(2015,10,22)</f>
        <v>42299</v>
      </c>
      <c r="AW2091" s="87">
        <f t="shared" si="142"/>
        <v>6</v>
      </c>
      <c r="AX2091" s="86"/>
      <c r="AY2091" s="83"/>
      <c r="AZ2091" s="84"/>
      <c r="BA2091" s="86"/>
      <c r="BB2091" s="86"/>
    </row>
    <row r="2092" spans="1:54" ht="36.75" customHeight="1">
      <c r="A2092" s="30"/>
      <c r="B2092" s="30" t="s">
        <v>55</v>
      </c>
      <c r="C2092" s="69" t="str">
        <f t="shared" si="141"/>
        <v>Closed</v>
      </c>
      <c r="D2092" s="27" t="s">
        <v>11703</v>
      </c>
      <c r="E2092" s="29" t="s">
        <v>11704</v>
      </c>
      <c r="F2092" s="30" t="s">
        <v>124</v>
      </c>
      <c r="G2092" s="89">
        <f>DATE(2015,10,5)</f>
        <v>42282</v>
      </c>
      <c r="H2092" s="90">
        <v>1.7395833333333335</v>
      </c>
      <c r="I2092" s="30" t="s">
        <v>487</v>
      </c>
      <c r="J2092" s="89" t="s">
        <v>11705</v>
      </c>
      <c r="K2092" s="30" t="s">
        <v>127</v>
      </c>
      <c r="L2092" s="30" t="s">
        <v>11706</v>
      </c>
      <c r="M2092" s="30" t="s">
        <v>63</v>
      </c>
      <c r="N2092" s="30" t="s">
        <v>89</v>
      </c>
      <c r="O2092" s="30" t="s">
        <v>6875</v>
      </c>
      <c r="P2092" s="89" t="s">
        <v>381</v>
      </c>
      <c r="Q2092" s="89" t="s">
        <v>401</v>
      </c>
      <c r="R2092" s="89" t="s">
        <v>167</v>
      </c>
      <c r="S2092" s="30">
        <v>0</v>
      </c>
      <c r="T2092" s="233">
        <v>0</v>
      </c>
      <c r="U2092" s="30">
        <v>0</v>
      </c>
      <c r="V2092" s="233">
        <v>0</v>
      </c>
      <c r="W2092" s="30">
        <v>0</v>
      </c>
      <c r="X2092" s="30">
        <v>0</v>
      </c>
      <c r="Y2092" s="30">
        <v>0</v>
      </c>
      <c r="Z2092" s="233">
        <v>0</v>
      </c>
      <c r="AA2092" s="30">
        <v>0</v>
      </c>
      <c r="AB2092" s="30">
        <v>0</v>
      </c>
      <c r="AC2092" s="30">
        <v>0</v>
      </c>
      <c r="AD2092" s="30">
        <v>0</v>
      </c>
      <c r="AE2092" s="89" t="s">
        <v>92</v>
      </c>
      <c r="AF2092" s="89"/>
      <c r="AG2092" s="89" t="s">
        <v>133</v>
      </c>
      <c r="AH2092" s="72">
        <v>42289</v>
      </c>
      <c r="AI2092" s="30">
        <v>1</v>
      </c>
      <c r="AJ2092" s="89" t="s">
        <v>11707</v>
      </c>
      <c r="AK2092" s="89" t="s">
        <v>11708</v>
      </c>
      <c r="AL2092" s="91">
        <v>42290</v>
      </c>
      <c r="AM2092" s="91"/>
      <c r="AN2092" s="91"/>
      <c r="AO2092" s="91"/>
      <c r="AP2092" s="73" t="e">
        <f>MID(VLOOKUP(K2092,#REF!,2,FALSE),1,2)</f>
        <v>#REF!</v>
      </c>
      <c r="AQ2092" s="89">
        <f>DATE(2015,10,5)</f>
        <v>42282</v>
      </c>
      <c r="AR2092" s="82">
        <f t="shared" si="138"/>
        <v>5</v>
      </c>
      <c r="AS2092" s="83">
        <f t="shared" si="139"/>
        <v>10</v>
      </c>
      <c r="AT2092" s="84">
        <f t="shared" si="140"/>
        <v>2015</v>
      </c>
      <c r="AU2092" s="88">
        <f>DATE(2015,10,13)</f>
        <v>42290</v>
      </c>
      <c r="AV2092" s="88">
        <f>DATE(2015,10,12)</f>
        <v>42289</v>
      </c>
      <c r="AW2092" s="87">
        <f t="shared" si="142"/>
        <v>1</v>
      </c>
      <c r="AX2092" s="86"/>
      <c r="AY2092" s="83"/>
      <c r="AZ2092" s="84"/>
      <c r="BA2092" s="88">
        <f>DATE(2015,10,12)</f>
        <v>42289</v>
      </c>
      <c r="BB2092" s="86"/>
    </row>
    <row r="2093" spans="1:54" ht="36.75" customHeight="1">
      <c r="A2093" s="30"/>
      <c r="B2093" s="30" t="s">
        <v>55</v>
      </c>
      <c r="C2093" s="69" t="str">
        <f t="shared" si="141"/>
        <v>Closed</v>
      </c>
      <c r="D2093" s="27" t="s">
        <v>11709</v>
      </c>
      <c r="E2093" s="29" t="s">
        <v>11710</v>
      </c>
      <c r="F2093" s="30" t="s">
        <v>835</v>
      </c>
      <c r="G2093" s="89">
        <f>DATE(2015,10,7)</f>
        <v>42284</v>
      </c>
      <c r="H2093" s="90">
        <v>1.4513888888888888</v>
      </c>
      <c r="I2093" s="30" t="s">
        <v>116</v>
      </c>
      <c r="J2093" s="89" t="s">
        <v>11711</v>
      </c>
      <c r="K2093" s="30" t="s">
        <v>837</v>
      </c>
      <c r="L2093" s="30" t="s">
        <v>11712</v>
      </c>
      <c r="M2093" s="30" t="s">
        <v>63</v>
      </c>
      <c r="N2093" s="30" t="s">
        <v>99</v>
      </c>
      <c r="O2093" s="30" t="s">
        <v>77</v>
      </c>
      <c r="P2093" s="89" t="s">
        <v>165</v>
      </c>
      <c r="Q2093" s="89" t="s">
        <v>2797</v>
      </c>
      <c r="R2093" s="89" t="s">
        <v>2797</v>
      </c>
      <c r="S2093" s="30">
        <v>0</v>
      </c>
      <c r="T2093" s="233">
        <v>0</v>
      </c>
      <c r="U2093" s="30">
        <v>1</v>
      </c>
      <c r="V2093" s="233">
        <v>0</v>
      </c>
      <c r="W2093" s="30">
        <v>0</v>
      </c>
      <c r="X2093" s="30">
        <v>1</v>
      </c>
      <c r="Y2093" s="30">
        <v>0</v>
      </c>
      <c r="Z2093" s="233">
        <v>0</v>
      </c>
      <c r="AA2093" s="30">
        <v>0</v>
      </c>
      <c r="AB2093" s="30">
        <v>0</v>
      </c>
      <c r="AC2093" s="30">
        <v>0</v>
      </c>
      <c r="AD2093" s="30">
        <v>0</v>
      </c>
      <c r="AE2093" s="89" t="s">
        <v>92</v>
      </c>
      <c r="AF2093" s="89"/>
      <c r="AG2093" s="89" t="s">
        <v>352</v>
      </c>
      <c r="AH2093" s="72">
        <v>42284</v>
      </c>
      <c r="AI2093" s="30">
        <v>0</v>
      </c>
      <c r="AJ2093" s="89" t="s">
        <v>11713</v>
      </c>
      <c r="AK2093" s="89" t="s">
        <v>68</v>
      </c>
      <c r="AL2093" s="91">
        <v>42286</v>
      </c>
      <c r="AM2093" s="91"/>
      <c r="AN2093" s="91"/>
      <c r="AO2093" s="91"/>
      <c r="AP2093" s="73" t="e">
        <f>MID(VLOOKUP(K2093,#REF!,2,FALSE),1,2)</f>
        <v>#REF!</v>
      </c>
      <c r="AQ2093" s="89">
        <f>DATE(2015,10,7)</f>
        <v>42284</v>
      </c>
      <c r="AR2093" s="82">
        <f t="shared" si="138"/>
        <v>7</v>
      </c>
      <c r="AS2093" s="83">
        <f t="shared" si="139"/>
        <v>10</v>
      </c>
      <c r="AT2093" s="84">
        <f t="shared" si="140"/>
        <v>2015</v>
      </c>
      <c r="AU2093" s="88">
        <f>DATE(2015,10,9)</f>
        <v>42286</v>
      </c>
      <c r="AV2093" s="88">
        <f>DATE(2015,10,7)</f>
        <v>42284</v>
      </c>
      <c r="AW2093" s="87">
        <f t="shared" si="142"/>
        <v>2</v>
      </c>
      <c r="AX2093" s="86"/>
      <c r="AY2093" s="83"/>
      <c r="AZ2093" s="84"/>
      <c r="BA2093" s="86"/>
      <c r="BB2093" s="86"/>
    </row>
    <row r="2094" spans="1:54" ht="36.75" customHeight="1">
      <c r="A2094" s="30"/>
      <c r="B2094" s="30" t="s">
        <v>55</v>
      </c>
      <c r="C2094" s="69" t="str">
        <f t="shared" si="141"/>
        <v>Closed</v>
      </c>
      <c r="D2094" s="27" t="s">
        <v>11714</v>
      </c>
      <c r="E2094" s="29" t="s">
        <v>11715</v>
      </c>
      <c r="F2094" s="30" t="s">
        <v>582</v>
      </c>
      <c r="G2094" s="89">
        <f>DATE(2015,10,9)</f>
        <v>42286</v>
      </c>
      <c r="H2094" s="90">
        <v>1.5069444444444444</v>
      </c>
      <c r="I2094" s="30" t="s">
        <v>73</v>
      </c>
      <c r="J2094" s="89" t="s">
        <v>11716</v>
      </c>
      <c r="K2094" s="30" t="s">
        <v>584</v>
      </c>
      <c r="L2094" s="30" t="s">
        <v>11717</v>
      </c>
      <c r="M2094" s="30" t="s">
        <v>63</v>
      </c>
      <c r="N2094" s="30" t="s">
        <v>142</v>
      </c>
      <c r="O2094" s="30" t="s">
        <v>77</v>
      </c>
      <c r="P2094" s="89" t="s">
        <v>165</v>
      </c>
      <c r="Q2094" s="89" t="s">
        <v>4487</v>
      </c>
      <c r="R2094" s="89" t="s">
        <v>587</v>
      </c>
      <c r="S2094" s="30">
        <v>0</v>
      </c>
      <c r="T2094" s="233">
        <v>0</v>
      </c>
      <c r="U2094" s="30">
        <v>0</v>
      </c>
      <c r="V2094" s="233">
        <v>0</v>
      </c>
      <c r="W2094" s="30">
        <v>0</v>
      </c>
      <c r="X2094" s="30">
        <v>0</v>
      </c>
      <c r="Y2094" s="30">
        <v>0</v>
      </c>
      <c r="Z2094" s="233">
        <v>0</v>
      </c>
      <c r="AA2094" s="30">
        <v>0</v>
      </c>
      <c r="AB2094" s="30">
        <v>0</v>
      </c>
      <c r="AC2094" s="30">
        <v>0</v>
      </c>
      <c r="AD2094" s="30">
        <v>0</v>
      </c>
      <c r="AE2094" s="89" t="s">
        <v>394</v>
      </c>
      <c r="AF2094" s="89"/>
      <c r="AG2094" s="89" t="s">
        <v>133</v>
      </c>
      <c r="AH2094" s="72">
        <v>42289</v>
      </c>
      <c r="AI2094" s="30">
        <v>0</v>
      </c>
      <c r="AJ2094" s="89" t="s">
        <v>11718</v>
      </c>
      <c r="AK2094" s="89" t="s">
        <v>1233</v>
      </c>
      <c r="AL2094" s="91">
        <v>42310</v>
      </c>
      <c r="AM2094" s="91"/>
      <c r="AN2094" s="91"/>
      <c r="AO2094" s="91"/>
      <c r="AP2094" s="73" t="e">
        <f>MID(VLOOKUP(K2094,#REF!,2,FALSE),1,2)</f>
        <v>#REF!</v>
      </c>
      <c r="AQ2094" s="89">
        <f>DATE(2015,10,9)</f>
        <v>42286</v>
      </c>
      <c r="AR2094" s="82">
        <f t="shared" si="138"/>
        <v>9</v>
      </c>
      <c r="AS2094" s="83">
        <f t="shared" si="139"/>
        <v>10</v>
      </c>
      <c r="AT2094" s="84">
        <f t="shared" si="140"/>
        <v>2015</v>
      </c>
      <c r="AU2094" s="88">
        <f>DATE(2015,11,2)</f>
        <v>42310</v>
      </c>
      <c r="AV2094" s="88">
        <f>DATE(2015,10,12)</f>
        <v>42289</v>
      </c>
      <c r="AW2094" s="87">
        <f t="shared" si="142"/>
        <v>21</v>
      </c>
      <c r="AX2094" s="86"/>
      <c r="AY2094" s="83"/>
      <c r="AZ2094" s="84"/>
      <c r="BA2094" s="86"/>
      <c r="BB2094" s="86"/>
    </row>
    <row r="2095" spans="1:54" ht="36.75" customHeight="1">
      <c r="A2095" s="30"/>
      <c r="B2095" s="30" t="s">
        <v>55</v>
      </c>
      <c r="C2095" s="69" t="str">
        <f t="shared" si="141"/>
        <v>Closed</v>
      </c>
      <c r="D2095" s="27" t="s">
        <v>11719</v>
      </c>
      <c r="E2095" s="29" t="s">
        <v>11720</v>
      </c>
      <c r="F2095" s="30" t="s">
        <v>115</v>
      </c>
      <c r="G2095" s="89">
        <f>DATE(2015,10,12)</f>
        <v>42289</v>
      </c>
      <c r="H2095" s="90">
        <v>1.2361111111111112</v>
      </c>
      <c r="I2095" s="30" t="s">
        <v>73</v>
      </c>
      <c r="J2095" s="89" t="s">
        <v>11721</v>
      </c>
      <c r="K2095" s="30" t="s">
        <v>118</v>
      </c>
      <c r="L2095" s="30" t="s">
        <v>11722</v>
      </c>
      <c r="M2095" s="30" t="s">
        <v>63</v>
      </c>
      <c r="N2095" s="30" t="s">
        <v>99</v>
      </c>
      <c r="O2095" s="30" t="s">
        <v>77</v>
      </c>
      <c r="P2095" s="89" t="s">
        <v>6941</v>
      </c>
      <c r="Q2095" s="89" t="s">
        <v>118</v>
      </c>
      <c r="R2095" s="89" t="s">
        <v>118</v>
      </c>
      <c r="S2095" s="30">
        <v>0</v>
      </c>
      <c r="T2095" s="233">
        <v>0</v>
      </c>
      <c r="U2095" s="30">
        <v>0</v>
      </c>
      <c r="V2095" s="233">
        <v>0</v>
      </c>
      <c r="W2095" s="30">
        <v>0</v>
      </c>
      <c r="X2095" s="30">
        <v>0</v>
      </c>
      <c r="Y2095" s="30">
        <v>0</v>
      </c>
      <c r="Z2095" s="233">
        <v>0</v>
      </c>
      <c r="AA2095" s="30">
        <v>0</v>
      </c>
      <c r="AB2095" s="30">
        <v>0</v>
      </c>
      <c r="AC2095" s="30">
        <v>0</v>
      </c>
      <c r="AD2095" s="30">
        <v>0</v>
      </c>
      <c r="AE2095" s="89" t="s">
        <v>92</v>
      </c>
      <c r="AF2095" s="89"/>
      <c r="AG2095" s="89" t="s">
        <v>352</v>
      </c>
      <c r="AH2095" s="72">
        <v>42290</v>
      </c>
      <c r="AI2095" s="30">
        <v>5</v>
      </c>
      <c r="AJ2095" s="89" t="s">
        <v>11723</v>
      </c>
      <c r="AK2095" s="89" t="s">
        <v>11724</v>
      </c>
      <c r="AL2095" s="91">
        <v>42291</v>
      </c>
      <c r="AM2095" s="91"/>
      <c r="AN2095" s="91"/>
      <c r="AO2095" s="91"/>
      <c r="AP2095" s="73" t="e">
        <f>MID(VLOOKUP(K2095,#REF!,2,FALSE),1,2)</f>
        <v>#REF!</v>
      </c>
      <c r="AQ2095" s="89">
        <f>DATE(2015,10,12)</f>
        <v>42289</v>
      </c>
      <c r="AR2095" s="82">
        <f t="shared" si="138"/>
        <v>12</v>
      </c>
      <c r="AS2095" s="83">
        <f t="shared" si="139"/>
        <v>10</v>
      </c>
      <c r="AT2095" s="84">
        <f t="shared" si="140"/>
        <v>2015</v>
      </c>
      <c r="AU2095" s="88">
        <f>DATE(2015,10,14)</f>
        <v>42291</v>
      </c>
      <c r="AV2095" s="88">
        <f>DATE(2015,10,13)</f>
        <v>42290</v>
      </c>
      <c r="AW2095" s="87">
        <f t="shared" si="142"/>
        <v>1</v>
      </c>
      <c r="AX2095" s="86"/>
      <c r="AY2095" s="83"/>
      <c r="AZ2095" s="84"/>
      <c r="BA2095" s="86"/>
      <c r="BB2095" s="86"/>
    </row>
    <row r="2096" spans="1:54" ht="36.75" customHeight="1">
      <c r="A2096" s="30"/>
      <c r="B2096" s="30" t="s">
        <v>55</v>
      </c>
      <c r="C2096" s="69" t="str">
        <f t="shared" si="141"/>
        <v>Closed</v>
      </c>
      <c r="D2096" s="27" t="s">
        <v>11725</v>
      </c>
      <c r="E2096" s="29" t="s">
        <v>11726</v>
      </c>
      <c r="F2096" s="30" t="s">
        <v>2601</v>
      </c>
      <c r="G2096" s="89">
        <f>DATE(2015,10,13)</f>
        <v>42290</v>
      </c>
      <c r="H2096" s="90">
        <v>1.375</v>
      </c>
      <c r="I2096" s="30" t="s">
        <v>125</v>
      </c>
      <c r="J2096" s="89" t="s">
        <v>11727</v>
      </c>
      <c r="K2096" s="30" t="s">
        <v>2603</v>
      </c>
      <c r="L2096" s="30" t="s">
        <v>11728</v>
      </c>
      <c r="M2096" s="30" t="s">
        <v>63</v>
      </c>
      <c r="N2096" s="30" t="s">
        <v>142</v>
      </c>
      <c r="O2096" s="30" t="s">
        <v>64</v>
      </c>
      <c r="P2096" s="89" t="s">
        <v>462</v>
      </c>
      <c r="Q2096" s="89" t="s">
        <v>6342</v>
      </c>
      <c r="R2096" s="89" t="s">
        <v>2606</v>
      </c>
      <c r="S2096" s="30">
        <v>0</v>
      </c>
      <c r="T2096" s="233">
        <v>0</v>
      </c>
      <c r="U2096" s="30">
        <v>0</v>
      </c>
      <c r="V2096" s="233">
        <v>0</v>
      </c>
      <c r="W2096" s="30">
        <v>0</v>
      </c>
      <c r="X2096" s="30">
        <v>0</v>
      </c>
      <c r="Y2096" s="30">
        <v>0</v>
      </c>
      <c r="Z2096" s="233">
        <v>0</v>
      </c>
      <c r="AA2096" s="30">
        <v>0</v>
      </c>
      <c r="AB2096" s="30">
        <v>0</v>
      </c>
      <c r="AC2096" s="30">
        <v>0</v>
      </c>
      <c r="AD2096" s="30">
        <v>0</v>
      </c>
      <c r="AE2096" s="89" t="s">
        <v>92</v>
      </c>
      <c r="AF2096" s="89"/>
      <c r="AG2096" s="89" t="s">
        <v>352</v>
      </c>
      <c r="AH2096" s="72">
        <v>42293</v>
      </c>
      <c r="AI2096" s="30">
        <v>3</v>
      </c>
      <c r="AJ2096" s="89" t="s">
        <v>11729</v>
      </c>
      <c r="AK2096" s="89" t="s">
        <v>68</v>
      </c>
      <c r="AL2096" s="91">
        <v>42300</v>
      </c>
      <c r="AM2096" s="91"/>
      <c r="AN2096" s="91"/>
      <c r="AO2096" s="91"/>
      <c r="AP2096" s="73" t="e">
        <f>MID(VLOOKUP(K2096,#REF!,2,FALSE),1,2)</f>
        <v>#REF!</v>
      </c>
      <c r="AQ2096" s="89">
        <f>DATE(2015,10,13)</f>
        <v>42290</v>
      </c>
      <c r="AR2096" s="82">
        <f t="shared" si="138"/>
        <v>13</v>
      </c>
      <c r="AS2096" s="83">
        <f t="shared" si="139"/>
        <v>10</v>
      </c>
      <c r="AT2096" s="84">
        <f t="shared" si="140"/>
        <v>2015</v>
      </c>
      <c r="AU2096" s="88">
        <f>DATE(2015,10,23)</f>
        <v>42300</v>
      </c>
      <c r="AV2096" s="88">
        <f>DATE(2015,10,16)</f>
        <v>42293</v>
      </c>
      <c r="AW2096" s="87">
        <f t="shared" si="142"/>
        <v>7</v>
      </c>
      <c r="AX2096" s="88">
        <f>DATE(2015,10,13)</f>
        <v>42290</v>
      </c>
      <c r="AY2096" s="83">
        <f>MONTH(AX2096)</f>
        <v>10</v>
      </c>
      <c r="AZ2096" s="84">
        <f>YEAR(AX2096)</f>
        <v>2015</v>
      </c>
      <c r="BA2096" s="88">
        <f>DATE(2015,10,13)</f>
        <v>42290</v>
      </c>
      <c r="BB2096" s="86"/>
    </row>
    <row r="2097" spans="1:54" ht="36.75" customHeight="1">
      <c r="A2097" s="30"/>
      <c r="B2097" s="30" t="s">
        <v>55</v>
      </c>
      <c r="C2097" s="69" t="str">
        <f t="shared" si="141"/>
        <v>Closed</v>
      </c>
      <c r="D2097" s="27" t="s">
        <v>11730</v>
      </c>
      <c r="E2097" s="29" t="s">
        <v>11731</v>
      </c>
      <c r="F2097" s="30" t="s">
        <v>638</v>
      </c>
      <c r="G2097" s="89">
        <f>DATE(2015,10,14)</f>
        <v>42291</v>
      </c>
      <c r="H2097" s="90">
        <v>1.6958333333333333</v>
      </c>
      <c r="I2097" s="30" t="s">
        <v>5494</v>
      </c>
      <c r="J2097" s="89" t="s">
        <v>11732</v>
      </c>
      <c r="K2097" s="30" t="s">
        <v>640</v>
      </c>
      <c r="L2097" s="30" t="s">
        <v>11733</v>
      </c>
      <c r="M2097" s="30" t="s">
        <v>63</v>
      </c>
      <c r="N2097" s="30" t="s">
        <v>99</v>
      </c>
      <c r="O2097" s="30" t="s">
        <v>77</v>
      </c>
      <c r="P2097" s="89" t="s">
        <v>6941</v>
      </c>
      <c r="Q2097" s="89" t="s">
        <v>642</v>
      </c>
      <c r="R2097" s="89" t="s">
        <v>643</v>
      </c>
      <c r="S2097" s="30">
        <v>0</v>
      </c>
      <c r="T2097" s="233">
        <v>0</v>
      </c>
      <c r="U2097" s="30">
        <v>0</v>
      </c>
      <c r="V2097" s="233">
        <v>0</v>
      </c>
      <c r="W2097" s="30">
        <v>0</v>
      </c>
      <c r="X2097" s="30">
        <v>0</v>
      </c>
      <c r="Y2097" s="30">
        <v>0</v>
      </c>
      <c r="Z2097" s="233">
        <v>0</v>
      </c>
      <c r="AA2097" s="30">
        <v>0</v>
      </c>
      <c r="AB2097" s="30">
        <v>0</v>
      </c>
      <c r="AC2097" s="30">
        <v>0</v>
      </c>
      <c r="AD2097" s="30">
        <v>0</v>
      </c>
      <c r="AE2097" s="89" t="s">
        <v>92</v>
      </c>
      <c r="AF2097" s="89"/>
      <c r="AG2097" s="89" t="s">
        <v>133</v>
      </c>
      <c r="AH2097" s="72">
        <v>42299</v>
      </c>
      <c r="AI2097" s="30">
        <v>5</v>
      </c>
      <c r="AJ2097" s="89" t="s">
        <v>11734</v>
      </c>
      <c r="AK2097" s="89" t="s">
        <v>68</v>
      </c>
      <c r="AL2097" s="91">
        <v>42305</v>
      </c>
      <c r="AM2097" s="91"/>
      <c r="AN2097" s="91"/>
      <c r="AO2097" s="91"/>
      <c r="AP2097" s="73" t="e">
        <f>MID(VLOOKUP(K2097,#REF!,2,FALSE),1,2)</f>
        <v>#REF!</v>
      </c>
      <c r="AQ2097" s="89">
        <f>DATE(2015,10,14)</f>
        <v>42291</v>
      </c>
      <c r="AR2097" s="82">
        <f t="shared" si="138"/>
        <v>14</v>
      </c>
      <c r="AS2097" s="83">
        <f t="shared" si="139"/>
        <v>10</v>
      </c>
      <c r="AT2097" s="84">
        <f t="shared" si="140"/>
        <v>2015</v>
      </c>
      <c r="AU2097" s="88">
        <f>DATE(2015,10,28)</f>
        <v>42305</v>
      </c>
      <c r="AV2097" s="88">
        <f>DATE(2015,10,22)</f>
        <v>42299</v>
      </c>
      <c r="AW2097" s="87">
        <f t="shared" si="142"/>
        <v>6</v>
      </c>
      <c r="AX2097" s="86"/>
      <c r="AY2097" s="83"/>
      <c r="AZ2097" s="84"/>
      <c r="BA2097" s="86"/>
      <c r="BB2097" s="86"/>
    </row>
    <row r="2098" spans="1:54" ht="36.75" customHeight="1">
      <c r="A2098" s="30"/>
      <c r="B2098" s="30" t="s">
        <v>55</v>
      </c>
      <c r="C2098" s="69" t="str">
        <f t="shared" si="141"/>
        <v>Closed</v>
      </c>
      <c r="D2098" s="27" t="s">
        <v>11735</v>
      </c>
      <c r="E2098" s="29" t="s">
        <v>11736</v>
      </c>
      <c r="F2098" s="30" t="s">
        <v>1572</v>
      </c>
      <c r="G2098" s="89">
        <f>DATE(2015,10,14)</f>
        <v>42291</v>
      </c>
      <c r="H2098" s="90">
        <v>1.2465277777777777</v>
      </c>
      <c r="I2098" s="30" t="s">
        <v>73</v>
      </c>
      <c r="J2098" s="89" t="s">
        <v>11737</v>
      </c>
      <c r="K2098" s="30" t="s">
        <v>1574</v>
      </c>
      <c r="L2098" s="30" t="s">
        <v>11738</v>
      </c>
      <c r="M2098" s="30" t="s">
        <v>63</v>
      </c>
      <c r="N2098" s="30" t="s">
        <v>142</v>
      </c>
      <c r="O2098" s="30" t="s">
        <v>64</v>
      </c>
      <c r="P2098" s="89" t="s">
        <v>78</v>
      </c>
      <c r="Q2098" s="89" t="s">
        <v>6093</v>
      </c>
      <c r="R2098" s="89" t="s">
        <v>6434</v>
      </c>
      <c r="S2098" s="30">
        <v>0</v>
      </c>
      <c r="T2098" s="233">
        <v>0</v>
      </c>
      <c r="U2098" s="30">
        <v>0</v>
      </c>
      <c r="V2098" s="233">
        <v>0</v>
      </c>
      <c r="W2098" s="30">
        <v>0</v>
      </c>
      <c r="X2098" s="30">
        <v>0</v>
      </c>
      <c r="Y2098" s="30">
        <v>0</v>
      </c>
      <c r="Z2098" s="233">
        <v>0</v>
      </c>
      <c r="AA2098" s="30">
        <v>0</v>
      </c>
      <c r="AB2098" s="30">
        <v>0</v>
      </c>
      <c r="AC2098" s="30">
        <v>0</v>
      </c>
      <c r="AD2098" s="30">
        <v>0</v>
      </c>
      <c r="AE2098" s="89" t="s">
        <v>394</v>
      </c>
      <c r="AF2098" s="89"/>
      <c r="AG2098" s="89" t="s">
        <v>133</v>
      </c>
      <c r="AH2098" s="72">
        <v>42291</v>
      </c>
      <c r="AI2098" s="30">
        <v>1</v>
      </c>
      <c r="AJ2098" s="89" t="s">
        <v>11739</v>
      </c>
      <c r="AK2098" s="89" t="s">
        <v>11740</v>
      </c>
      <c r="AL2098" s="91">
        <v>42295</v>
      </c>
      <c r="AM2098" s="91"/>
      <c r="AN2098" s="91"/>
      <c r="AO2098" s="91"/>
      <c r="AP2098" s="73" t="e">
        <f>MID(VLOOKUP(K2098,#REF!,2,FALSE),1,2)</f>
        <v>#REF!</v>
      </c>
      <c r="AQ2098" s="89">
        <f>DATE(2015,10,14)</f>
        <v>42291</v>
      </c>
      <c r="AR2098" s="82">
        <f t="shared" si="138"/>
        <v>14</v>
      </c>
      <c r="AS2098" s="83">
        <f t="shared" si="139"/>
        <v>10</v>
      </c>
      <c r="AT2098" s="84">
        <f t="shared" si="140"/>
        <v>2015</v>
      </c>
      <c r="AU2098" s="88">
        <f>DATE(2015,10,18)</f>
        <v>42295</v>
      </c>
      <c r="AV2098" s="88">
        <f>DATE(2015,10,14)</f>
        <v>42291</v>
      </c>
      <c r="AW2098" s="87">
        <f t="shared" si="142"/>
        <v>4</v>
      </c>
      <c r="AX2098" s="88">
        <f>DATE(2015,10,18)</f>
        <v>42295</v>
      </c>
      <c r="AY2098" s="83">
        <f>MONTH(AX2098)</f>
        <v>10</v>
      </c>
      <c r="AZ2098" s="84">
        <f>YEAR(AX2098)</f>
        <v>2015</v>
      </c>
      <c r="BA2098" s="88">
        <f>DATE(2015,10,14)</f>
        <v>42291</v>
      </c>
      <c r="BB2098" s="86"/>
    </row>
    <row r="2099" spans="1:54" ht="36.75" customHeight="1">
      <c r="A2099" s="30"/>
      <c r="B2099" s="30" t="s">
        <v>55</v>
      </c>
      <c r="C2099" s="69" t="str">
        <f t="shared" si="141"/>
        <v>Closed</v>
      </c>
      <c r="D2099" s="27" t="s">
        <v>11741</v>
      </c>
      <c r="E2099" s="29" t="s">
        <v>11742</v>
      </c>
      <c r="F2099" s="30" t="s">
        <v>1572</v>
      </c>
      <c r="G2099" s="89">
        <f>DATE(2015,10,15)</f>
        <v>42292</v>
      </c>
      <c r="H2099" s="90">
        <v>1.8333333333333335</v>
      </c>
      <c r="I2099" s="30" t="s">
        <v>73</v>
      </c>
      <c r="J2099" s="89" t="s">
        <v>11743</v>
      </c>
      <c r="K2099" s="30" t="s">
        <v>1574</v>
      </c>
      <c r="L2099" s="30" t="s">
        <v>11744</v>
      </c>
      <c r="M2099" s="30" t="s">
        <v>63</v>
      </c>
      <c r="N2099" s="30" t="s">
        <v>142</v>
      </c>
      <c r="O2099" s="30" t="s">
        <v>77</v>
      </c>
      <c r="P2099" s="89" t="s">
        <v>6941</v>
      </c>
      <c r="Q2099" s="89" t="s">
        <v>2413</v>
      </c>
      <c r="R2099" s="89" t="s">
        <v>6434</v>
      </c>
      <c r="S2099" s="30">
        <v>0</v>
      </c>
      <c r="T2099" s="233">
        <v>0</v>
      </c>
      <c r="U2099" s="30">
        <v>0</v>
      </c>
      <c r="V2099" s="233">
        <v>0</v>
      </c>
      <c r="W2099" s="30">
        <v>0</v>
      </c>
      <c r="X2099" s="30">
        <v>0</v>
      </c>
      <c r="Y2099" s="30">
        <v>0</v>
      </c>
      <c r="Z2099" s="233">
        <v>0</v>
      </c>
      <c r="AA2099" s="30">
        <v>0</v>
      </c>
      <c r="AB2099" s="30">
        <v>0</v>
      </c>
      <c r="AC2099" s="30">
        <v>0</v>
      </c>
      <c r="AD2099" s="30">
        <v>0</v>
      </c>
      <c r="AE2099" s="89" t="s">
        <v>92</v>
      </c>
      <c r="AF2099" s="89"/>
      <c r="AG2099" s="89" t="s">
        <v>133</v>
      </c>
      <c r="AH2099" s="72">
        <v>42293</v>
      </c>
      <c r="AI2099" s="30">
        <v>0</v>
      </c>
      <c r="AJ2099" s="89" t="s">
        <v>11745</v>
      </c>
      <c r="AK2099" s="89" t="s">
        <v>11746</v>
      </c>
      <c r="AL2099" s="91">
        <v>42296</v>
      </c>
      <c r="AM2099" s="91"/>
      <c r="AN2099" s="91"/>
      <c r="AO2099" s="91"/>
      <c r="AP2099" s="73" t="e">
        <f>MID(VLOOKUP(K2099,#REF!,2,FALSE),1,2)</f>
        <v>#REF!</v>
      </c>
      <c r="AQ2099" s="89">
        <f>DATE(2015,10,15)</f>
        <v>42292</v>
      </c>
      <c r="AR2099" s="82">
        <f t="shared" si="138"/>
        <v>15</v>
      </c>
      <c r="AS2099" s="83">
        <f t="shared" si="139"/>
        <v>10</v>
      </c>
      <c r="AT2099" s="84">
        <f t="shared" si="140"/>
        <v>2015</v>
      </c>
      <c r="AU2099" s="88">
        <f>DATE(2015,10,19)</f>
        <v>42296</v>
      </c>
      <c r="AV2099" s="88">
        <f>DATE(2015,10,16)</f>
        <v>42293</v>
      </c>
      <c r="AW2099" s="87">
        <f t="shared" si="142"/>
        <v>3</v>
      </c>
      <c r="AX2099" s="88">
        <f>DATE(2015,10,19)</f>
        <v>42296</v>
      </c>
      <c r="AY2099" s="83">
        <f>MONTH(AX2099)</f>
        <v>10</v>
      </c>
      <c r="AZ2099" s="84">
        <f>YEAR(AX2099)</f>
        <v>2015</v>
      </c>
      <c r="BA2099" s="88">
        <f>DATE(2015,10,15)</f>
        <v>42292</v>
      </c>
      <c r="BB2099" s="86"/>
    </row>
    <row r="2100" spans="1:54" ht="36.75" customHeight="1">
      <c r="A2100" s="30"/>
      <c r="B2100" s="30" t="s">
        <v>55</v>
      </c>
      <c r="C2100" s="69" t="str">
        <f t="shared" si="141"/>
        <v>Closed</v>
      </c>
      <c r="D2100" s="27" t="s">
        <v>11747</v>
      </c>
      <c r="E2100" s="29" t="s">
        <v>11748</v>
      </c>
      <c r="F2100" s="30" t="s">
        <v>115</v>
      </c>
      <c r="G2100" s="89">
        <f>DATE(2015,10,20)</f>
        <v>42297</v>
      </c>
      <c r="H2100" s="90">
        <v>0</v>
      </c>
      <c r="I2100" s="30" t="s">
        <v>156</v>
      </c>
      <c r="J2100" s="89" t="s">
        <v>11749</v>
      </c>
      <c r="K2100" s="30" t="s">
        <v>118</v>
      </c>
      <c r="L2100" s="30" t="s">
        <v>11750</v>
      </c>
      <c r="M2100" s="30" t="s">
        <v>63</v>
      </c>
      <c r="N2100" s="30" t="s">
        <v>142</v>
      </c>
      <c r="O2100" s="30" t="s">
        <v>64</v>
      </c>
      <c r="P2100" s="89" t="s">
        <v>6941</v>
      </c>
      <c r="Q2100" s="89" t="s">
        <v>118</v>
      </c>
      <c r="R2100" s="89" t="s">
        <v>118</v>
      </c>
      <c r="S2100" s="30">
        <v>0</v>
      </c>
      <c r="T2100" s="233">
        <v>0</v>
      </c>
      <c r="U2100" s="30">
        <v>0</v>
      </c>
      <c r="V2100" s="233">
        <v>0</v>
      </c>
      <c r="W2100" s="30">
        <v>0</v>
      </c>
      <c r="X2100" s="30">
        <v>0</v>
      </c>
      <c r="Y2100" s="30">
        <v>0</v>
      </c>
      <c r="Z2100" s="233">
        <v>0</v>
      </c>
      <c r="AA2100" s="30">
        <v>0</v>
      </c>
      <c r="AB2100" s="30">
        <v>0</v>
      </c>
      <c r="AC2100" s="30">
        <v>0</v>
      </c>
      <c r="AD2100" s="30">
        <v>0</v>
      </c>
      <c r="AE2100" s="89" t="s">
        <v>92</v>
      </c>
      <c r="AF2100" s="89"/>
      <c r="AG2100" s="89" t="s">
        <v>133</v>
      </c>
      <c r="AH2100" s="72">
        <v>42299</v>
      </c>
      <c r="AI2100" s="30">
        <v>2</v>
      </c>
      <c r="AJ2100" s="89" t="s">
        <v>11751</v>
      </c>
      <c r="AK2100" s="89" t="s">
        <v>68</v>
      </c>
      <c r="AL2100" s="91">
        <v>42305</v>
      </c>
      <c r="AM2100" s="91"/>
      <c r="AN2100" s="91"/>
      <c r="AO2100" s="91"/>
      <c r="AP2100" s="73" t="e">
        <f>MID(VLOOKUP(K2100,#REF!,2,FALSE),1,2)</f>
        <v>#REF!</v>
      </c>
      <c r="AQ2100" s="89">
        <f>DATE(2015,10,20)</f>
        <v>42297</v>
      </c>
      <c r="AR2100" s="82">
        <f t="shared" si="138"/>
        <v>20</v>
      </c>
      <c r="AS2100" s="83">
        <f t="shared" si="139"/>
        <v>10</v>
      </c>
      <c r="AT2100" s="84">
        <f t="shared" si="140"/>
        <v>2015</v>
      </c>
      <c r="AU2100" s="88">
        <f>DATE(2015,10,28)</f>
        <v>42305</v>
      </c>
      <c r="AV2100" s="88">
        <f>DATE(2015,10,22)</f>
        <v>42299</v>
      </c>
      <c r="AW2100" s="87">
        <f t="shared" si="142"/>
        <v>6</v>
      </c>
      <c r="AX2100" s="86"/>
      <c r="AY2100" s="83"/>
      <c r="AZ2100" s="84"/>
      <c r="BA2100" s="86"/>
      <c r="BB2100" s="86"/>
    </row>
    <row r="2101" spans="1:54" ht="36.75" customHeight="1">
      <c r="A2101" s="30"/>
      <c r="B2101" s="30" t="s">
        <v>55</v>
      </c>
      <c r="C2101" s="69" t="str">
        <f t="shared" si="141"/>
        <v>Closed</v>
      </c>
      <c r="D2101" s="27" t="s">
        <v>11752</v>
      </c>
      <c r="E2101" s="29" t="s">
        <v>11753</v>
      </c>
      <c r="F2101" s="30" t="s">
        <v>835</v>
      </c>
      <c r="G2101" s="89">
        <f>DATE(2015,10,21)</f>
        <v>42298</v>
      </c>
      <c r="H2101" s="90">
        <v>1.5881944444444445</v>
      </c>
      <c r="I2101" s="30" t="s">
        <v>5494</v>
      </c>
      <c r="J2101" s="89" t="s">
        <v>11754</v>
      </c>
      <c r="K2101" s="30" t="s">
        <v>837</v>
      </c>
      <c r="L2101" s="30" t="s">
        <v>11755</v>
      </c>
      <c r="M2101" s="30" t="s">
        <v>63</v>
      </c>
      <c r="N2101" s="30" t="s">
        <v>99</v>
      </c>
      <c r="O2101" s="30" t="s">
        <v>77</v>
      </c>
      <c r="P2101" s="89" t="s">
        <v>91</v>
      </c>
      <c r="Q2101" s="89" t="s">
        <v>4708</v>
      </c>
      <c r="R2101" s="89" t="s">
        <v>840</v>
      </c>
      <c r="S2101" s="30">
        <v>0</v>
      </c>
      <c r="T2101" s="233">
        <v>0</v>
      </c>
      <c r="U2101" s="30">
        <v>0</v>
      </c>
      <c r="V2101" s="233">
        <v>0</v>
      </c>
      <c r="W2101" s="30">
        <v>0</v>
      </c>
      <c r="X2101" s="30">
        <v>0</v>
      </c>
      <c r="Y2101" s="30">
        <v>0</v>
      </c>
      <c r="Z2101" s="233">
        <v>0</v>
      </c>
      <c r="AA2101" s="30">
        <v>0</v>
      </c>
      <c r="AB2101" s="30">
        <v>0</v>
      </c>
      <c r="AC2101" s="30">
        <v>0</v>
      </c>
      <c r="AD2101" s="30">
        <v>0</v>
      </c>
      <c r="AE2101" s="89" t="s">
        <v>92</v>
      </c>
      <c r="AF2101" s="89"/>
      <c r="AG2101" s="89" t="s">
        <v>133</v>
      </c>
      <c r="AH2101" s="72">
        <v>42298</v>
      </c>
      <c r="AI2101" s="30">
        <v>0</v>
      </c>
      <c r="AJ2101" s="89" t="s">
        <v>11756</v>
      </c>
      <c r="AK2101" s="89" t="s">
        <v>1233</v>
      </c>
      <c r="AL2101" s="91">
        <v>42303</v>
      </c>
      <c r="AM2101" s="91"/>
      <c r="AN2101" s="91"/>
      <c r="AO2101" s="91"/>
      <c r="AP2101" s="73" t="e">
        <f>MID(VLOOKUP(K2101,#REF!,2,FALSE),1,2)</f>
        <v>#REF!</v>
      </c>
      <c r="AQ2101" s="89">
        <f>DATE(2015,10,21)</f>
        <v>42298</v>
      </c>
      <c r="AR2101" s="82">
        <f t="shared" si="138"/>
        <v>21</v>
      </c>
      <c r="AS2101" s="83">
        <f t="shared" si="139"/>
        <v>10</v>
      </c>
      <c r="AT2101" s="84">
        <f t="shared" si="140"/>
        <v>2015</v>
      </c>
      <c r="AU2101" s="88">
        <f>DATE(2015,10,26)</f>
        <v>42303</v>
      </c>
      <c r="AV2101" s="88">
        <f>DATE(2015,10,21)</f>
        <v>42298</v>
      </c>
      <c r="AW2101" s="87">
        <f t="shared" si="142"/>
        <v>5</v>
      </c>
      <c r="AX2101" s="88">
        <f>DATE(2015,10,21)</f>
        <v>42298</v>
      </c>
      <c r="AY2101" s="83">
        <f>MONTH(AX2101)</f>
        <v>10</v>
      </c>
      <c r="AZ2101" s="84">
        <f>YEAR(AX2101)</f>
        <v>2015</v>
      </c>
      <c r="BA2101" s="88">
        <f>DATE(2015,10,21)</f>
        <v>42298</v>
      </c>
      <c r="BB2101" s="86"/>
    </row>
    <row r="2102" spans="1:54" ht="36.75" customHeight="1">
      <c r="A2102" s="30"/>
      <c r="B2102" s="30" t="s">
        <v>55</v>
      </c>
      <c r="C2102" s="69" t="str">
        <f t="shared" si="141"/>
        <v>Closed</v>
      </c>
      <c r="D2102" s="27" t="s">
        <v>11757</v>
      </c>
      <c r="E2102" s="29" t="s">
        <v>11758</v>
      </c>
      <c r="F2102" s="30" t="s">
        <v>638</v>
      </c>
      <c r="G2102" s="89">
        <f>DATE(2015,10,22)</f>
        <v>42299</v>
      </c>
      <c r="H2102" s="90">
        <v>1.2749999999999999</v>
      </c>
      <c r="I2102" s="30" t="s">
        <v>104</v>
      </c>
      <c r="J2102" s="89" t="s">
        <v>11759</v>
      </c>
      <c r="K2102" s="30" t="s">
        <v>640</v>
      </c>
      <c r="L2102" s="30" t="s">
        <v>7460</v>
      </c>
      <c r="M2102" s="30" t="s">
        <v>63</v>
      </c>
      <c r="N2102" s="30" t="s">
        <v>99</v>
      </c>
      <c r="O2102" s="30" t="s">
        <v>6875</v>
      </c>
      <c r="P2102" s="89" t="s">
        <v>78</v>
      </c>
      <c r="Q2102" s="89" t="s">
        <v>11760</v>
      </c>
      <c r="R2102" s="89" t="s">
        <v>643</v>
      </c>
      <c r="S2102" s="30">
        <v>0</v>
      </c>
      <c r="T2102" s="233">
        <v>0</v>
      </c>
      <c r="U2102" s="30">
        <v>0</v>
      </c>
      <c r="V2102" s="233">
        <v>0</v>
      </c>
      <c r="W2102" s="30">
        <v>0</v>
      </c>
      <c r="X2102" s="30">
        <v>0</v>
      </c>
      <c r="Y2102" s="30">
        <v>0</v>
      </c>
      <c r="Z2102" s="233">
        <v>0</v>
      </c>
      <c r="AA2102" s="30">
        <v>0</v>
      </c>
      <c r="AB2102" s="30">
        <v>0</v>
      </c>
      <c r="AC2102" s="30">
        <v>0</v>
      </c>
      <c r="AD2102" s="30">
        <v>0</v>
      </c>
      <c r="AE2102" s="89" t="s">
        <v>92</v>
      </c>
      <c r="AF2102" s="89"/>
      <c r="AG2102" s="89" t="s">
        <v>352</v>
      </c>
      <c r="AH2102" s="72">
        <v>42332</v>
      </c>
      <c r="AI2102" s="30">
        <v>3</v>
      </c>
      <c r="AJ2102" s="89" t="s">
        <v>11761</v>
      </c>
      <c r="AK2102" s="89" t="s">
        <v>68</v>
      </c>
      <c r="AL2102" s="91">
        <v>42335</v>
      </c>
      <c r="AM2102" s="91"/>
      <c r="AN2102" s="91"/>
      <c r="AO2102" s="91"/>
      <c r="AP2102" s="73" t="e">
        <f>MID(VLOOKUP(K2102,#REF!,2,FALSE),1,2)</f>
        <v>#REF!</v>
      </c>
      <c r="AQ2102" s="89">
        <f>DATE(2015,10,22)</f>
        <v>42299</v>
      </c>
      <c r="AR2102" s="82">
        <f t="shared" si="138"/>
        <v>22</v>
      </c>
      <c r="AS2102" s="83">
        <f t="shared" si="139"/>
        <v>10</v>
      </c>
      <c r="AT2102" s="84">
        <f t="shared" si="140"/>
        <v>2015</v>
      </c>
      <c r="AU2102" s="88">
        <f>DATE(2015,11,27)</f>
        <v>42335</v>
      </c>
      <c r="AV2102" s="88">
        <f>DATE(2015,11,24)</f>
        <v>42332</v>
      </c>
      <c r="AW2102" s="87">
        <f t="shared" si="142"/>
        <v>3</v>
      </c>
      <c r="AX2102" s="86"/>
      <c r="AY2102" s="83"/>
      <c r="AZ2102" s="84"/>
      <c r="BA2102" s="86"/>
      <c r="BB2102" s="86"/>
    </row>
    <row r="2103" spans="1:54" ht="36.75" customHeight="1">
      <c r="A2103" s="30"/>
      <c r="B2103" s="30" t="s">
        <v>55</v>
      </c>
      <c r="C2103" s="69" t="str">
        <f t="shared" si="141"/>
        <v>Closed</v>
      </c>
      <c r="D2103" s="27" t="s">
        <v>11762</v>
      </c>
      <c r="E2103" s="29" t="s">
        <v>11763</v>
      </c>
      <c r="F2103" s="30" t="s">
        <v>233</v>
      </c>
      <c r="G2103" s="89">
        <f>DATE(2015,10,22)</f>
        <v>42299</v>
      </c>
      <c r="H2103" s="90">
        <v>1.3541666666666667</v>
      </c>
      <c r="I2103" s="30" t="s">
        <v>198</v>
      </c>
      <c r="J2103" s="89" t="s">
        <v>11764</v>
      </c>
      <c r="K2103" s="30" t="s">
        <v>235</v>
      </c>
      <c r="L2103" s="30" t="s">
        <v>11765</v>
      </c>
      <c r="M2103" s="30" t="s">
        <v>255</v>
      </c>
      <c r="N2103" s="30" t="s">
        <v>99</v>
      </c>
      <c r="O2103" s="30" t="s">
        <v>77</v>
      </c>
      <c r="P2103" s="89" t="s">
        <v>6552</v>
      </c>
      <c r="Q2103" s="89" t="s">
        <v>273</v>
      </c>
      <c r="R2103" s="89" t="s">
        <v>235</v>
      </c>
      <c r="S2103" s="30">
        <v>0</v>
      </c>
      <c r="T2103" s="233">
        <v>0</v>
      </c>
      <c r="U2103" s="30">
        <v>0</v>
      </c>
      <c r="V2103" s="233">
        <v>0</v>
      </c>
      <c r="W2103" s="30">
        <v>0</v>
      </c>
      <c r="X2103" s="30">
        <v>0</v>
      </c>
      <c r="Y2103" s="30">
        <v>0</v>
      </c>
      <c r="Z2103" s="233">
        <v>0</v>
      </c>
      <c r="AA2103" s="30">
        <v>0</v>
      </c>
      <c r="AB2103" s="30">
        <v>0</v>
      </c>
      <c r="AC2103" s="30">
        <v>0</v>
      </c>
      <c r="AD2103" s="30">
        <v>0</v>
      </c>
      <c r="AE2103" s="89" t="s">
        <v>92</v>
      </c>
      <c r="AF2103" s="89"/>
      <c r="AG2103" s="89" t="s">
        <v>133</v>
      </c>
      <c r="AH2103" s="72">
        <v>42319</v>
      </c>
      <c r="AI2103" s="30">
        <v>1</v>
      </c>
      <c r="AJ2103" s="89" t="s">
        <v>11766</v>
      </c>
      <c r="AK2103" s="89" t="s">
        <v>11767</v>
      </c>
      <c r="AL2103" s="91">
        <v>42349</v>
      </c>
      <c r="AM2103" s="91"/>
      <c r="AN2103" s="91"/>
      <c r="AO2103" s="91"/>
      <c r="AP2103" s="73" t="e">
        <f>MID(VLOOKUP(K2103,#REF!,2,FALSE),1,2)</f>
        <v>#REF!</v>
      </c>
      <c r="AQ2103" s="89">
        <f>DATE(2015,10,22)</f>
        <v>42299</v>
      </c>
      <c r="AR2103" s="82">
        <f t="shared" si="138"/>
        <v>22</v>
      </c>
      <c r="AS2103" s="83">
        <f t="shared" si="139"/>
        <v>10</v>
      </c>
      <c r="AT2103" s="84">
        <f t="shared" si="140"/>
        <v>2015</v>
      </c>
      <c r="AU2103" s="88">
        <f>DATE(2015,12,11)</f>
        <v>42349</v>
      </c>
      <c r="AV2103" s="88">
        <f>DATE(2015,11,11)</f>
        <v>42319</v>
      </c>
      <c r="AW2103" s="87">
        <f t="shared" si="142"/>
        <v>30</v>
      </c>
      <c r="AX2103" s="88">
        <f>DATE(2015,12,11)</f>
        <v>42349</v>
      </c>
      <c r="AY2103" s="83">
        <f>MONTH(AX2103)</f>
        <v>12</v>
      </c>
      <c r="AZ2103" s="84">
        <f>YEAR(AX2103)</f>
        <v>2015</v>
      </c>
      <c r="BA2103" s="86"/>
      <c r="BB2103" s="86"/>
    </row>
    <row r="2104" spans="1:54" ht="36.75" customHeight="1">
      <c r="A2104" s="30"/>
      <c r="B2104" s="30" t="s">
        <v>55</v>
      </c>
      <c r="C2104" s="69" t="str">
        <f t="shared" si="141"/>
        <v>Closed</v>
      </c>
      <c r="D2104" s="27" t="s">
        <v>11768</v>
      </c>
      <c r="E2104" s="29" t="s">
        <v>11769</v>
      </c>
      <c r="F2104" s="30" t="s">
        <v>6455</v>
      </c>
      <c r="G2104" s="89">
        <f>DATE(2015,10,23)</f>
        <v>42300</v>
      </c>
      <c r="H2104" s="90">
        <v>1.1090277777777777</v>
      </c>
      <c r="I2104" s="30" t="s">
        <v>73</v>
      </c>
      <c r="J2104" s="89" t="s">
        <v>11770</v>
      </c>
      <c r="K2104" s="30" t="s">
        <v>584</v>
      </c>
      <c r="L2104" s="30" t="s">
        <v>11771</v>
      </c>
      <c r="M2104" s="30" t="s">
        <v>63</v>
      </c>
      <c r="N2104" s="30" t="s">
        <v>142</v>
      </c>
      <c r="O2104" s="30" t="s">
        <v>77</v>
      </c>
      <c r="P2104" s="89" t="s">
        <v>78</v>
      </c>
      <c r="Q2104" s="89" t="s">
        <v>11772</v>
      </c>
      <c r="R2104" s="89" t="s">
        <v>587</v>
      </c>
      <c r="S2104" s="30">
        <v>0</v>
      </c>
      <c r="T2104" s="233">
        <v>0</v>
      </c>
      <c r="U2104" s="30">
        <v>0</v>
      </c>
      <c r="V2104" s="233">
        <v>0</v>
      </c>
      <c r="W2104" s="30">
        <v>0</v>
      </c>
      <c r="X2104" s="30">
        <v>0</v>
      </c>
      <c r="Y2104" s="30">
        <v>0</v>
      </c>
      <c r="Z2104" s="233">
        <v>0</v>
      </c>
      <c r="AA2104" s="30">
        <v>0</v>
      </c>
      <c r="AB2104" s="30">
        <v>0</v>
      </c>
      <c r="AC2104" s="30">
        <v>0</v>
      </c>
      <c r="AD2104" s="30">
        <v>0</v>
      </c>
      <c r="AE2104" s="89" t="s">
        <v>394</v>
      </c>
      <c r="AF2104" s="89" t="s">
        <v>11773</v>
      </c>
      <c r="AG2104" s="89" t="s">
        <v>8859</v>
      </c>
      <c r="AH2104" s="72">
        <v>42307</v>
      </c>
      <c r="AI2104" s="30">
        <v>0</v>
      </c>
      <c r="AJ2104" s="89" t="s">
        <v>11774</v>
      </c>
      <c r="AK2104" s="89" t="s">
        <v>10569</v>
      </c>
      <c r="AL2104" s="91">
        <v>42310</v>
      </c>
      <c r="AM2104" s="91">
        <v>44978</v>
      </c>
      <c r="AN2104" s="91">
        <v>45111</v>
      </c>
      <c r="AO2104" s="91">
        <v>45111</v>
      </c>
      <c r="AP2104" s="73" t="e">
        <f>MID(VLOOKUP(K2104,#REF!,2,FALSE),1,2)</f>
        <v>#REF!</v>
      </c>
      <c r="AQ2104" s="89">
        <f>DATE(2015,10,23)</f>
        <v>42300</v>
      </c>
      <c r="AR2104" s="82">
        <f t="shared" ref="AR2104:AR2167" si="143">DAY(AQ2104)</f>
        <v>23</v>
      </c>
      <c r="AS2104" s="83">
        <f t="shared" ref="AS2104:AS2167" si="144">MONTH(AQ2104)</f>
        <v>10</v>
      </c>
      <c r="AT2104" s="84">
        <f t="shared" ref="AT2104:AT2167" si="145">YEAR(AQ2104)</f>
        <v>2015</v>
      </c>
      <c r="AU2104" s="88">
        <f>DATE(2015,11,2)</f>
        <v>42310</v>
      </c>
      <c r="AV2104" s="88">
        <f>DATE(2015,10,30)</f>
        <v>42307</v>
      </c>
      <c r="AW2104" s="87">
        <f t="shared" si="142"/>
        <v>3</v>
      </c>
      <c r="AX2104" s="86"/>
      <c r="AY2104" s="83"/>
      <c r="AZ2104" s="84"/>
      <c r="BA2104" s="86"/>
      <c r="BB2104" s="86"/>
    </row>
    <row r="2105" spans="1:54" ht="36.75" customHeight="1">
      <c r="A2105" s="30"/>
      <c r="B2105" s="30" t="s">
        <v>55</v>
      </c>
      <c r="C2105" s="69" t="str">
        <f t="shared" si="141"/>
        <v>Closed</v>
      </c>
      <c r="D2105" s="27" t="s">
        <v>11775</v>
      </c>
      <c r="E2105" s="29" t="s">
        <v>11776</v>
      </c>
      <c r="F2105" s="30" t="s">
        <v>1938</v>
      </c>
      <c r="G2105" s="89">
        <f>DATE(2015,10,23)</f>
        <v>42300</v>
      </c>
      <c r="H2105" s="90">
        <v>0</v>
      </c>
      <c r="I2105" s="30" t="s">
        <v>104</v>
      </c>
      <c r="J2105" s="89" t="s">
        <v>11777</v>
      </c>
      <c r="K2105" s="30" t="s">
        <v>1940</v>
      </c>
      <c r="L2105" s="30" t="s">
        <v>11778</v>
      </c>
      <c r="M2105" s="30" t="s">
        <v>63</v>
      </c>
      <c r="N2105" s="30" t="s">
        <v>99</v>
      </c>
      <c r="O2105" s="30" t="s">
        <v>64</v>
      </c>
      <c r="P2105" s="89" t="s">
        <v>165</v>
      </c>
      <c r="Q2105" s="89" t="s">
        <v>1942</v>
      </c>
      <c r="R2105" s="89" t="s">
        <v>1940</v>
      </c>
      <c r="S2105" s="30">
        <v>0</v>
      </c>
      <c r="T2105" s="233">
        <v>0</v>
      </c>
      <c r="U2105" s="30">
        <v>0</v>
      </c>
      <c r="V2105" s="233">
        <v>0</v>
      </c>
      <c r="W2105" s="30">
        <v>0</v>
      </c>
      <c r="X2105" s="30">
        <v>0</v>
      </c>
      <c r="Y2105" s="30">
        <v>0</v>
      </c>
      <c r="Z2105" s="233">
        <v>0</v>
      </c>
      <c r="AA2105" s="30">
        <v>0</v>
      </c>
      <c r="AB2105" s="30">
        <v>0</v>
      </c>
      <c r="AC2105" s="30">
        <v>0</v>
      </c>
      <c r="AD2105" s="30">
        <v>0</v>
      </c>
      <c r="AE2105" s="89" t="s">
        <v>92</v>
      </c>
      <c r="AF2105" s="89" t="s">
        <v>11779</v>
      </c>
      <c r="AG2105" s="89" t="s">
        <v>589</v>
      </c>
      <c r="AH2105" s="72">
        <v>42318</v>
      </c>
      <c r="AI2105" s="30">
        <v>1</v>
      </c>
      <c r="AJ2105" s="89" t="s">
        <v>11780</v>
      </c>
      <c r="AK2105" s="89" t="s">
        <v>11781</v>
      </c>
      <c r="AL2105" s="91">
        <v>42340</v>
      </c>
      <c r="AM2105" s="91"/>
      <c r="AN2105" s="89">
        <v>44545</v>
      </c>
      <c r="AO2105" s="89">
        <v>42663</v>
      </c>
      <c r="AP2105" s="73" t="e">
        <f>MID(VLOOKUP(K2105,#REF!,2,FALSE),1,2)</f>
        <v>#REF!</v>
      </c>
      <c r="AQ2105" s="89">
        <f>DATE(2015,10,23)</f>
        <v>42300</v>
      </c>
      <c r="AR2105" s="82">
        <f t="shared" si="143"/>
        <v>23</v>
      </c>
      <c r="AS2105" s="83">
        <f t="shared" si="144"/>
        <v>10</v>
      </c>
      <c r="AT2105" s="84">
        <f t="shared" si="145"/>
        <v>2015</v>
      </c>
      <c r="AU2105" s="88">
        <f>DATE(2015,12,2)</f>
        <v>42340</v>
      </c>
      <c r="AV2105" s="88">
        <f>DATE(2015,11,10)</f>
        <v>42318</v>
      </c>
      <c r="AW2105" s="87">
        <f t="shared" si="142"/>
        <v>22</v>
      </c>
      <c r="AX2105" s="86"/>
      <c r="AY2105" s="83"/>
      <c r="AZ2105" s="84"/>
      <c r="BA2105" s="86"/>
      <c r="BB2105" s="86"/>
    </row>
    <row r="2106" spans="1:54" ht="36.75" customHeight="1">
      <c r="A2106" s="30"/>
      <c r="B2106" s="30" t="s">
        <v>55</v>
      </c>
      <c r="C2106" s="69" t="str">
        <f t="shared" si="141"/>
        <v>Closed</v>
      </c>
      <c r="D2106" s="27" t="s">
        <v>11782</v>
      </c>
      <c r="E2106" s="29" t="s">
        <v>11783</v>
      </c>
      <c r="F2106" s="30" t="s">
        <v>582</v>
      </c>
      <c r="G2106" s="89">
        <f>DATE(2015,10,28)</f>
        <v>42305</v>
      </c>
      <c r="H2106" s="90">
        <v>1.2256944444444444</v>
      </c>
      <c r="I2106" s="30" t="s">
        <v>198</v>
      </c>
      <c r="J2106" s="89" t="s">
        <v>11784</v>
      </c>
      <c r="K2106" s="30" t="s">
        <v>584</v>
      </c>
      <c r="L2106" s="30" t="s">
        <v>11785</v>
      </c>
      <c r="M2106" s="30" t="s">
        <v>63</v>
      </c>
      <c r="N2106" s="30" t="s">
        <v>142</v>
      </c>
      <c r="O2106" s="30" t="s">
        <v>77</v>
      </c>
      <c r="P2106" s="89" t="s">
        <v>165</v>
      </c>
      <c r="Q2106" s="89" t="s">
        <v>11786</v>
      </c>
      <c r="R2106" s="89" t="s">
        <v>587</v>
      </c>
      <c r="S2106" s="30">
        <v>0</v>
      </c>
      <c r="T2106" s="233">
        <v>0</v>
      </c>
      <c r="U2106" s="30">
        <v>0</v>
      </c>
      <c r="V2106" s="233">
        <v>0</v>
      </c>
      <c r="W2106" s="30">
        <v>0</v>
      </c>
      <c r="X2106" s="30">
        <v>0</v>
      </c>
      <c r="Y2106" s="30">
        <v>0</v>
      </c>
      <c r="Z2106" s="233">
        <v>0</v>
      </c>
      <c r="AA2106" s="30">
        <v>0</v>
      </c>
      <c r="AB2106" s="30">
        <v>0</v>
      </c>
      <c r="AC2106" s="30">
        <v>0</v>
      </c>
      <c r="AD2106" s="30">
        <v>0</v>
      </c>
      <c r="AE2106" s="89" t="s">
        <v>92</v>
      </c>
      <c r="AF2106" s="89" t="s">
        <v>11787</v>
      </c>
      <c r="AG2106" s="89" t="s">
        <v>8859</v>
      </c>
      <c r="AH2106" s="72">
        <v>42307</v>
      </c>
      <c r="AI2106" s="30">
        <v>0</v>
      </c>
      <c r="AJ2106" s="89" t="s">
        <v>11788</v>
      </c>
      <c r="AK2106" s="89" t="s">
        <v>10569</v>
      </c>
      <c r="AL2106" s="91">
        <v>42310</v>
      </c>
      <c r="AM2106" s="91"/>
      <c r="AN2106" s="91">
        <v>44497</v>
      </c>
      <c r="AO2106" s="91">
        <v>44497</v>
      </c>
      <c r="AP2106" s="73" t="e">
        <f>MID(VLOOKUP(K2106,#REF!,2,FALSE),1,2)</f>
        <v>#REF!</v>
      </c>
      <c r="AQ2106" s="89">
        <f>DATE(2015,10,28)</f>
        <v>42305</v>
      </c>
      <c r="AR2106" s="82">
        <f t="shared" si="143"/>
        <v>28</v>
      </c>
      <c r="AS2106" s="83">
        <f t="shared" si="144"/>
        <v>10</v>
      </c>
      <c r="AT2106" s="84">
        <f t="shared" si="145"/>
        <v>2015</v>
      </c>
      <c r="AU2106" s="88">
        <f>DATE(2015,11,2)</f>
        <v>42310</v>
      </c>
      <c r="AV2106" s="88">
        <f>DATE(2015,10,30)</f>
        <v>42307</v>
      </c>
      <c r="AW2106" s="87">
        <f t="shared" si="142"/>
        <v>3</v>
      </c>
      <c r="AX2106" s="86"/>
      <c r="AY2106" s="83"/>
      <c r="AZ2106" s="84"/>
      <c r="BA2106" s="86"/>
      <c r="BB2106" s="86"/>
    </row>
    <row r="2107" spans="1:54" ht="36.75" customHeight="1">
      <c r="A2107" s="30"/>
      <c r="B2107" s="30" t="s">
        <v>55</v>
      </c>
      <c r="C2107" s="69" t="str">
        <f t="shared" si="141"/>
        <v>Closed</v>
      </c>
      <c r="D2107" s="27" t="s">
        <v>11789</v>
      </c>
      <c r="E2107" s="29" t="s">
        <v>11790</v>
      </c>
      <c r="F2107" s="30" t="s">
        <v>423</v>
      </c>
      <c r="G2107" s="89">
        <f>DATE(2015,10,30)</f>
        <v>42307</v>
      </c>
      <c r="H2107" s="90">
        <v>1.20625</v>
      </c>
      <c r="I2107" s="30" t="s">
        <v>198</v>
      </c>
      <c r="J2107" s="89" t="s">
        <v>11791</v>
      </c>
      <c r="K2107" s="30" t="s">
        <v>425</v>
      </c>
      <c r="L2107" s="30" t="s">
        <v>11792</v>
      </c>
      <c r="M2107" s="30" t="s">
        <v>63</v>
      </c>
      <c r="N2107" s="30" t="s">
        <v>142</v>
      </c>
      <c r="O2107" s="30" t="s">
        <v>77</v>
      </c>
      <c r="P2107" s="89" t="s">
        <v>78</v>
      </c>
      <c r="Q2107" s="89" t="s">
        <v>11793</v>
      </c>
      <c r="R2107" s="89" t="s">
        <v>3103</v>
      </c>
      <c r="S2107" s="30">
        <v>0</v>
      </c>
      <c r="T2107" s="233">
        <v>1</v>
      </c>
      <c r="U2107" s="30">
        <v>0</v>
      </c>
      <c r="V2107" s="233">
        <v>0</v>
      </c>
      <c r="W2107" s="30">
        <v>0</v>
      </c>
      <c r="X2107" s="30">
        <v>1</v>
      </c>
      <c r="Y2107" s="30">
        <v>0</v>
      </c>
      <c r="Z2107" s="233">
        <v>0</v>
      </c>
      <c r="AA2107" s="30">
        <v>0</v>
      </c>
      <c r="AB2107" s="30">
        <v>0</v>
      </c>
      <c r="AC2107" s="30">
        <v>0</v>
      </c>
      <c r="AD2107" s="30">
        <v>0</v>
      </c>
      <c r="AE2107" s="89" t="s">
        <v>394</v>
      </c>
      <c r="AF2107" s="89"/>
      <c r="AG2107" s="89" t="s">
        <v>133</v>
      </c>
      <c r="AH2107" s="72">
        <v>42307</v>
      </c>
      <c r="AI2107" s="30">
        <v>3</v>
      </c>
      <c r="AJ2107" s="89" t="s">
        <v>11794</v>
      </c>
      <c r="AK2107" s="89" t="s">
        <v>11795</v>
      </c>
      <c r="AL2107" s="91">
        <v>42311</v>
      </c>
      <c r="AM2107" s="91"/>
      <c r="AN2107" s="91"/>
      <c r="AO2107" s="91"/>
      <c r="AP2107" s="73" t="e">
        <f>MID(VLOOKUP(K2107,#REF!,2,FALSE),1,2)</f>
        <v>#REF!</v>
      </c>
      <c r="AQ2107" s="89">
        <f>DATE(2015,10,30)</f>
        <v>42307</v>
      </c>
      <c r="AR2107" s="82">
        <f t="shared" si="143"/>
        <v>30</v>
      </c>
      <c r="AS2107" s="83">
        <f t="shared" si="144"/>
        <v>10</v>
      </c>
      <c r="AT2107" s="84">
        <f t="shared" si="145"/>
        <v>2015</v>
      </c>
      <c r="AU2107" s="88">
        <f>DATE(2015,11,3)</f>
        <v>42311</v>
      </c>
      <c r="AV2107" s="88">
        <f>DATE(2015,10,30)</f>
        <v>42307</v>
      </c>
      <c r="AW2107" s="87">
        <f t="shared" si="142"/>
        <v>4</v>
      </c>
      <c r="AX2107" s="88">
        <f>DATE(2015,11,3)</f>
        <v>42311</v>
      </c>
      <c r="AY2107" s="83">
        <f>MONTH(AX2107)</f>
        <v>11</v>
      </c>
      <c r="AZ2107" s="84">
        <f>YEAR(AX2107)</f>
        <v>2015</v>
      </c>
      <c r="BA2107" s="86"/>
      <c r="BB2107" s="86"/>
    </row>
    <row r="2108" spans="1:54" ht="36.75" customHeight="1">
      <c r="A2108" s="30"/>
      <c r="B2108" s="30" t="s">
        <v>55</v>
      </c>
      <c r="C2108" s="69" t="str">
        <f t="shared" si="141"/>
        <v>Closed</v>
      </c>
      <c r="D2108" s="27" t="s">
        <v>11796</v>
      </c>
      <c r="E2108" s="29" t="s">
        <v>11797</v>
      </c>
      <c r="F2108" s="30" t="s">
        <v>1770</v>
      </c>
      <c r="G2108" s="89">
        <f>DATE(2015,11,1)</f>
        <v>42309</v>
      </c>
      <c r="H2108" s="90">
        <v>1.4506944444444445</v>
      </c>
      <c r="I2108" s="30" t="s">
        <v>104</v>
      </c>
      <c r="J2108" s="89" t="s">
        <v>11798</v>
      </c>
      <c r="K2108" s="30" t="s">
        <v>1772</v>
      </c>
      <c r="L2108" s="30" t="s">
        <v>11799</v>
      </c>
      <c r="M2108" s="30" t="s">
        <v>63</v>
      </c>
      <c r="N2108" s="30" t="s">
        <v>89</v>
      </c>
      <c r="O2108" s="30" t="s">
        <v>64</v>
      </c>
      <c r="P2108" s="89" t="s">
        <v>65</v>
      </c>
      <c r="Q2108" s="89" t="s">
        <v>4289</v>
      </c>
      <c r="R2108" s="89" t="s">
        <v>1775</v>
      </c>
      <c r="S2108" s="30">
        <v>0</v>
      </c>
      <c r="T2108" s="233">
        <v>0</v>
      </c>
      <c r="U2108" s="30">
        <v>0</v>
      </c>
      <c r="V2108" s="233">
        <v>0</v>
      </c>
      <c r="W2108" s="30">
        <v>0</v>
      </c>
      <c r="X2108" s="30">
        <v>0</v>
      </c>
      <c r="Y2108" s="30">
        <v>0</v>
      </c>
      <c r="Z2108" s="233">
        <v>0</v>
      </c>
      <c r="AA2108" s="30">
        <v>0</v>
      </c>
      <c r="AB2108" s="30">
        <v>0</v>
      </c>
      <c r="AC2108" s="30">
        <v>0</v>
      </c>
      <c r="AD2108" s="30">
        <v>0</v>
      </c>
      <c r="AE2108" s="89" t="s">
        <v>92</v>
      </c>
      <c r="AF2108" s="89"/>
      <c r="AG2108" s="89" t="s">
        <v>352</v>
      </c>
      <c r="AH2108" s="72">
        <v>42313</v>
      </c>
      <c r="AI2108" s="30">
        <v>4</v>
      </c>
      <c r="AJ2108" s="89" t="s">
        <v>11800</v>
      </c>
      <c r="AK2108" s="89" t="s">
        <v>11801</v>
      </c>
      <c r="AL2108" s="91">
        <v>43007</v>
      </c>
      <c r="AM2108" s="91"/>
      <c r="AN2108" s="91"/>
      <c r="AO2108" s="91"/>
      <c r="AP2108" s="73" t="e">
        <f>MID(VLOOKUP(K2108,#REF!,2,FALSE),1,2)</f>
        <v>#REF!</v>
      </c>
      <c r="AQ2108" s="89">
        <f>DATE(2015,11,1)</f>
        <v>42309</v>
      </c>
      <c r="AR2108" s="82">
        <f t="shared" si="143"/>
        <v>1</v>
      </c>
      <c r="AS2108" s="83">
        <f t="shared" si="144"/>
        <v>11</v>
      </c>
      <c r="AT2108" s="84">
        <f t="shared" si="145"/>
        <v>2015</v>
      </c>
      <c r="AU2108" s="88">
        <f>DATE(2017,9,29)</f>
        <v>43007</v>
      </c>
      <c r="AV2108" s="88">
        <f>DATE(2015,11,5)</f>
        <v>42313</v>
      </c>
      <c r="AW2108" s="87">
        <f t="shared" si="142"/>
        <v>694</v>
      </c>
      <c r="AX2108" s="86"/>
      <c r="AY2108" s="83"/>
      <c r="AZ2108" s="84"/>
      <c r="BA2108" s="86"/>
      <c r="BB2108" s="86"/>
    </row>
    <row r="2109" spans="1:54" ht="36.75" customHeight="1">
      <c r="A2109" s="30"/>
      <c r="B2109" s="30" t="s">
        <v>55</v>
      </c>
      <c r="C2109" s="69" t="str">
        <f t="shared" si="141"/>
        <v>Closed</v>
      </c>
      <c r="D2109" s="27" t="s">
        <v>11802</v>
      </c>
      <c r="E2109" s="29" t="s">
        <v>11803</v>
      </c>
      <c r="F2109" s="30" t="s">
        <v>835</v>
      </c>
      <c r="G2109" s="89">
        <f>DATE(2015,11,1)</f>
        <v>42309</v>
      </c>
      <c r="H2109" s="90">
        <v>1.9388888888888891</v>
      </c>
      <c r="I2109" s="30" t="s">
        <v>73</v>
      </c>
      <c r="J2109" s="89" t="s">
        <v>11804</v>
      </c>
      <c r="K2109" s="30" t="s">
        <v>837</v>
      </c>
      <c r="L2109" s="30" t="s">
        <v>11805</v>
      </c>
      <c r="M2109" s="30" t="s">
        <v>255</v>
      </c>
      <c r="N2109" s="30" t="s">
        <v>99</v>
      </c>
      <c r="O2109" s="30" t="s">
        <v>77</v>
      </c>
      <c r="P2109" s="89" t="s">
        <v>6552</v>
      </c>
      <c r="Q2109" s="89" t="s">
        <v>4210</v>
      </c>
      <c r="R2109" s="89" t="s">
        <v>4210</v>
      </c>
      <c r="S2109" s="30">
        <v>0</v>
      </c>
      <c r="T2109" s="233">
        <v>0</v>
      </c>
      <c r="U2109" s="30">
        <v>0</v>
      </c>
      <c r="V2109" s="233">
        <v>0</v>
      </c>
      <c r="W2109" s="30">
        <v>0</v>
      </c>
      <c r="X2109" s="30">
        <v>0</v>
      </c>
      <c r="Y2109" s="30">
        <v>0</v>
      </c>
      <c r="Z2109" s="233">
        <v>0</v>
      </c>
      <c r="AA2109" s="30">
        <v>0</v>
      </c>
      <c r="AB2109" s="30">
        <v>0</v>
      </c>
      <c r="AC2109" s="30">
        <v>0</v>
      </c>
      <c r="AD2109" s="30">
        <v>0</v>
      </c>
      <c r="AE2109" s="89" t="s">
        <v>92</v>
      </c>
      <c r="AF2109" s="89"/>
      <c r="AG2109" s="89" t="s">
        <v>133</v>
      </c>
      <c r="AH2109" s="72">
        <v>42309</v>
      </c>
      <c r="AI2109" s="30">
        <v>1</v>
      </c>
      <c r="AJ2109" s="89" t="s">
        <v>11806</v>
      </c>
      <c r="AK2109" s="89" t="s">
        <v>68</v>
      </c>
      <c r="AL2109" s="91">
        <v>42311</v>
      </c>
      <c r="AM2109" s="91"/>
      <c r="AN2109" s="91"/>
      <c r="AO2109" s="91"/>
      <c r="AP2109" s="73" t="e">
        <f>MID(VLOOKUP(K2109,#REF!,2,FALSE),1,2)</f>
        <v>#REF!</v>
      </c>
      <c r="AQ2109" s="89">
        <f>DATE(2015,11,1)</f>
        <v>42309</v>
      </c>
      <c r="AR2109" s="82">
        <f t="shared" si="143"/>
        <v>1</v>
      </c>
      <c r="AS2109" s="83">
        <f t="shared" si="144"/>
        <v>11</v>
      </c>
      <c r="AT2109" s="84">
        <f t="shared" si="145"/>
        <v>2015</v>
      </c>
      <c r="AU2109" s="88">
        <f>DATE(2015,11,3)</f>
        <v>42311</v>
      </c>
      <c r="AV2109" s="88">
        <f>DATE(2015,11,1)</f>
        <v>42309</v>
      </c>
      <c r="AW2109" s="87">
        <f t="shared" si="142"/>
        <v>2</v>
      </c>
      <c r="AX2109" s="88">
        <f>DATE(2015,11,1)</f>
        <v>42309</v>
      </c>
      <c r="AY2109" s="83">
        <f>MONTH(AX2109)</f>
        <v>11</v>
      </c>
      <c r="AZ2109" s="84">
        <f>YEAR(AX2109)</f>
        <v>2015</v>
      </c>
      <c r="BA2109" s="88">
        <f>DATE(2015,11,1)</f>
        <v>42309</v>
      </c>
      <c r="BB2109" s="86"/>
    </row>
    <row r="2110" spans="1:54" ht="36.75" customHeight="1">
      <c r="A2110" s="30"/>
      <c r="B2110" s="30" t="s">
        <v>55</v>
      </c>
      <c r="C2110" s="69" t="str">
        <f t="shared" si="141"/>
        <v>Closed</v>
      </c>
      <c r="D2110" s="27" t="s">
        <v>11807</v>
      </c>
      <c r="E2110" s="29" t="s">
        <v>11808</v>
      </c>
      <c r="F2110" s="30" t="s">
        <v>451</v>
      </c>
      <c r="G2110" s="89">
        <f>DATE(2015,11,2)</f>
        <v>42310</v>
      </c>
      <c r="H2110" s="90">
        <v>1.7569444444444446</v>
      </c>
      <c r="I2110" s="30" t="s">
        <v>116</v>
      </c>
      <c r="J2110" s="89" t="s">
        <v>11809</v>
      </c>
      <c r="K2110" s="30" t="s">
        <v>453</v>
      </c>
      <c r="L2110" s="30" t="s">
        <v>11810</v>
      </c>
      <c r="M2110" s="30" t="s">
        <v>63</v>
      </c>
      <c r="N2110" s="30" t="s">
        <v>99</v>
      </c>
      <c r="O2110" s="30" t="s">
        <v>77</v>
      </c>
      <c r="P2110" s="89" t="s">
        <v>165</v>
      </c>
      <c r="Q2110" s="89" t="s">
        <v>571</v>
      </c>
      <c r="R2110" s="89" t="s">
        <v>572</v>
      </c>
      <c r="S2110" s="30">
        <v>0</v>
      </c>
      <c r="T2110" s="233">
        <v>0</v>
      </c>
      <c r="U2110" s="30">
        <v>1</v>
      </c>
      <c r="V2110" s="233">
        <v>0</v>
      </c>
      <c r="W2110" s="30">
        <v>0</v>
      </c>
      <c r="X2110" s="30">
        <v>1</v>
      </c>
      <c r="Y2110" s="30">
        <v>0</v>
      </c>
      <c r="Z2110" s="233">
        <v>0</v>
      </c>
      <c r="AA2110" s="30">
        <v>0</v>
      </c>
      <c r="AB2110" s="30">
        <v>0</v>
      </c>
      <c r="AC2110" s="30">
        <v>0</v>
      </c>
      <c r="AD2110" s="30">
        <v>0</v>
      </c>
      <c r="AE2110" s="89" t="s">
        <v>92</v>
      </c>
      <c r="AF2110" s="89"/>
      <c r="AG2110" s="89" t="s">
        <v>82</v>
      </c>
      <c r="AH2110" s="72">
        <v>42310</v>
      </c>
      <c r="AI2110" s="30">
        <v>0</v>
      </c>
      <c r="AJ2110" s="89" t="s">
        <v>11811</v>
      </c>
      <c r="AK2110" s="89" t="s">
        <v>1233</v>
      </c>
      <c r="AL2110" s="91">
        <v>42830</v>
      </c>
      <c r="AM2110" s="91"/>
      <c r="AN2110" s="91"/>
      <c r="AO2110" s="91"/>
      <c r="AP2110" s="73" t="e">
        <f>MID(VLOOKUP(K2110,#REF!,2,FALSE),1,2)</f>
        <v>#REF!</v>
      </c>
      <c r="AQ2110" s="89">
        <f>DATE(2015,11,2)</f>
        <v>42310</v>
      </c>
      <c r="AR2110" s="82">
        <f t="shared" si="143"/>
        <v>2</v>
      </c>
      <c r="AS2110" s="83">
        <f t="shared" si="144"/>
        <v>11</v>
      </c>
      <c r="AT2110" s="84">
        <f t="shared" si="145"/>
        <v>2015</v>
      </c>
      <c r="AU2110" s="88">
        <f>DATE(2017,4,5)</f>
        <v>42830</v>
      </c>
      <c r="AV2110" s="88">
        <f>DATE(2015,11,2)</f>
        <v>42310</v>
      </c>
      <c r="AW2110" s="87">
        <f t="shared" si="142"/>
        <v>520</v>
      </c>
      <c r="AX2110" s="86"/>
      <c r="AY2110" s="83"/>
      <c r="AZ2110" s="84"/>
      <c r="BA2110" s="86"/>
      <c r="BB2110" s="86"/>
    </row>
    <row r="2111" spans="1:54" ht="36.75" customHeight="1">
      <c r="A2111" s="30"/>
      <c r="B2111" s="30" t="s">
        <v>55</v>
      </c>
      <c r="C2111" s="69" t="str">
        <f t="shared" si="141"/>
        <v>Closed</v>
      </c>
      <c r="D2111" s="27" t="s">
        <v>11812</v>
      </c>
      <c r="E2111" s="29" t="s">
        <v>11813</v>
      </c>
      <c r="F2111" s="30" t="s">
        <v>9789</v>
      </c>
      <c r="G2111" s="89">
        <f>DATE(2015,11,2)</f>
        <v>42310</v>
      </c>
      <c r="H2111" s="90">
        <v>1.3368055555555556</v>
      </c>
      <c r="I2111" s="30" t="s">
        <v>278</v>
      </c>
      <c r="J2111" s="210" t="s">
        <v>11814</v>
      </c>
      <c r="K2111" s="30" t="s">
        <v>9791</v>
      </c>
      <c r="L2111" s="30" t="s">
        <v>11815</v>
      </c>
      <c r="M2111" s="30" t="s">
        <v>63</v>
      </c>
      <c r="N2111" s="30" t="s">
        <v>142</v>
      </c>
      <c r="O2111" s="30" t="s">
        <v>64</v>
      </c>
      <c r="P2111" s="89" t="s">
        <v>6941</v>
      </c>
      <c r="Q2111" s="89" t="s">
        <v>9960</v>
      </c>
      <c r="R2111" s="89" t="s">
        <v>9794</v>
      </c>
      <c r="S2111" s="30">
        <v>0</v>
      </c>
      <c r="T2111" s="233">
        <v>0</v>
      </c>
      <c r="U2111" s="30">
        <v>0</v>
      </c>
      <c r="V2111" s="233">
        <v>0</v>
      </c>
      <c r="W2111" s="30">
        <v>0</v>
      </c>
      <c r="X2111" s="30">
        <v>0</v>
      </c>
      <c r="Y2111" s="30">
        <v>0</v>
      </c>
      <c r="Z2111" s="233">
        <v>1</v>
      </c>
      <c r="AA2111" s="30">
        <v>0</v>
      </c>
      <c r="AB2111" s="30">
        <v>0</v>
      </c>
      <c r="AC2111" s="30">
        <v>0</v>
      </c>
      <c r="AD2111" s="30">
        <v>1</v>
      </c>
      <c r="AE2111" s="89" t="s">
        <v>92</v>
      </c>
      <c r="AF2111" s="89"/>
      <c r="AG2111" s="89" t="s">
        <v>11030</v>
      </c>
      <c r="AH2111" s="72">
        <v>42313</v>
      </c>
      <c r="AI2111" s="30">
        <v>0</v>
      </c>
      <c r="AJ2111" s="89" t="s">
        <v>11816</v>
      </c>
      <c r="AK2111" s="89" t="s">
        <v>11817</v>
      </c>
      <c r="AL2111" s="91">
        <v>42314</v>
      </c>
      <c r="AM2111" s="91"/>
      <c r="AN2111" s="91"/>
      <c r="AO2111" s="91"/>
      <c r="AP2111" s="73" t="e">
        <f>MID(VLOOKUP(K2111,#REF!,2,FALSE),1,2)</f>
        <v>#REF!</v>
      </c>
      <c r="AQ2111" s="89">
        <f>DATE(2015,11,2)</f>
        <v>42310</v>
      </c>
      <c r="AR2111" s="82">
        <f t="shared" si="143"/>
        <v>2</v>
      </c>
      <c r="AS2111" s="83">
        <f t="shared" si="144"/>
        <v>11</v>
      </c>
      <c r="AT2111" s="84">
        <f t="shared" si="145"/>
        <v>2015</v>
      </c>
      <c r="AU2111" s="88">
        <f>DATE(2015,11,6)</f>
        <v>42314</v>
      </c>
      <c r="AV2111" s="88">
        <f>DATE(2015,11,5)</f>
        <v>42313</v>
      </c>
      <c r="AW2111" s="87">
        <f t="shared" si="142"/>
        <v>1</v>
      </c>
      <c r="AX2111" s="86"/>
      <c r="AY2111" s="83"/>
      <c r="AZ2111" s="84"/>
      <c r="BA2111" s="88">
        <f>DATE(2015,11,2)</f>
        <v>42310</v>
      </c>
      <c r="BB2111" s="86"/>
    </row>
    <row r="2112" spans="1:54" ht="36.75" customHeight="1">
      <c r="A2112" s="30"/>
      <c r="B2112" s="30" t="s">
        <v>55</v>
      </c>
      <c r="C2112" s="69" t="str">
        <f t="shared" si="141"/>
        <v>Closed</v>
      </c>
      <c r="D2112" s="27" t="s">
        <v>11818</v>
      </c>
      <c r="E2112" s="29" t="s">
        <v>11819</v>
      </c>
      <c r="F2112" s="30" t="s">
        <v>594</v>
      </c>
      <c r="G2112" s="89">
        <f>DATE(2015,11,2)</f>
        <v>42310</v>
      </c>
      <c r="H2112" s="90">
        <v>1.6041666666666665</v>
      </c>
      <c r="I2112" s="30" t="s">
        <v>73</v>
      </c>
      <c r="J2112" s="89" t="s">
        <v>11820</v>
      </c>
      <c r="K2112" s="30" t="s">
        <v>596</v>
      </c>
      <c r="L2112" s="30" t="s">
        <v>11821</v>
      </c>
      <c r="M2112" s="30" t="s">
        <v>63</v>
      </c>
      <c r="N2112" s="30" t="s">
        <v>142</v>
      </c>
      <c r="O2112" s="30" t="s">
        <v>64</v>
      </c>
      <c r="P2112" s="89" t="s">
        <v>78</v>
      </c>
      <c r="Q2112" s="89" t="s">
        <v>5121</v>
      </c>
      <c r="R2112" s="89" t="s">
        <v>599</v>
      </c>
      <c r="S2112" s="30">
        <v>0</v>
      </c>
      <c r="T2112" s="233">
        <v>0</v>
      </c>
      <c r="U2112" s="30">
        <v>0</v>
      </c>
      <c r="V2112" s="233">
        <v>0</v>
      </c>
      <c r="W2112" s="30">
        <v>0</v>
      </c>
      <c r="X2112" s="30">
        <v>0</v>
      </c>
      <c r="Y2112" s="30">
        <v>0</v>
      </c>
      <c r="Z2112" s="233">
        <v>0</v>
      </c>
      <c r="AA2112" s="30">
        <v>0</v>
      </c>
      <c r="AB2112" s="30">
        <v>0</v>
      </c>
      <c r="AC2112" s="30">
        <v>0</v>
      </c>
      <c r="AD2112" s="30">
        <v>0</v>
      </c>
      <c r="AE2112" s="89" t="s">
        <v>394</v>
      </c>
      <c r="AF2112" s="89"/>
      <c r="AG2112" s="89" t="s">
        <v>133</v>
      </c>
      <c r="AH2112" s="72">
        <v>42324</v>
      </c>
      <c r="AI2112" s="30">
        <v>5</v>
      </c>
      <c r="AJ2112" s="89" t="s">
        <v>11822</v>
      </c>
      <c r="AK2112" s="89" t="s">
        <v>11823</v>
      </c>
      <c r="AL2112" s="91">
        <v>42332</v>
      </c>
      <c r="AM2112" s="91"/>
      <c r="AN2112" s="91"/>
      <c r="AO2112" s="91"/>
      <c r="AP2112" s="73" t="e">
        <f>MID(VLOOKUP(K2112,#REF!,2,FALSE),1,2)</f>
        <v>#REF!</v>
      </c>
      <c r="AQ2112" s="89">
        <f>DATE(2015,11,2)</f>
        <v>42310</v>
      </c>
      <c r="AR2112" s="82">
        <f t="shared" si="143"/>
        <v>2</v>
      </c>
      <c r="AS2112" s="83">
        <f t="shared" si="144"/>
        <v>11</v>
      </c>
      <c r="AT2112" s="84">
        <f t="shared" si="145"/>
        <v>2015</v>
      </c>
      <c r="AU2112" s="88">
        <f>DATE(2015,11,24)</f>
        <v>42332</v>
      </c>
      <c r="AV2112" s="88">
        <f>DATE(2015,11,16)</f>
        <v>42324</v>
      </c>
      <c r="AW2112" s="87">
        <f t="shared" si="142"/>
        <v>8</v>
      </c>
      <c r="AX2112" s="86"/>
      <c r="AY2112" s="83"/>
      <c r="AZ2112" s="84"/>
      <c r="BA2112" s="88">
        <f>DATE(2015,11,24)</f>
        <v>42332</v>
      </c>
      <c r="BB2112" s="86"/>
    </row>
    <row r="2113" spans="1:54" ht="36.75" customHeight="1">
      <c r="A2113" s="30"/>
      <c r="B2113" s="30" t="s">
        <v>55</v>
      </c>
      <c r="C2113" s="69" t="str">
        <f t="shared" si="141"/>
        <v>Closed</v>
      </c>
      <c r="D2113" s="27" t="s">
        <v>11824</v>
      </c>
      <c r="E2113" s="29" t="s">
        <v>11825</v>
      </c>
      <c r="F2113" s="30" t="s">
        <v>423</v>
      </c>
      <c r="G2113" s="89">
        <f>DATE(2015,11,3)</f>
        <v>42311</v>
      </c>
      <c r="H2113" s="90">
        <v>1.7923611111111111</v>
      </c>
      <c r="I2113" s="30" t="s">
        <v>198</v>
      </c>
      <c r="J2113" s="89" t="s">
        <v>11826</v>
      </c>
      <c r="K2113" s="30" t="s">
        <v>425</v>
      </c>
      <c r="L2113" s="30" t="s">
        <v>10060</v>
      </c>
      <c r="M2113" s="30" t="s">
        <v>63</v>
      </c>
      <c r="N2113" s="30" t="s">
        <v>142</v>
      </c>
      <c r="O2113" s="30" t="s">
        <v>77</v>
      </c>
      <c r="P2113" s="89" t="s">
        <v>91</v>
      </c>
      <c r="Q2113" s="89" t="s">
        <v>2582</v>
      </c>
      <c r="R2113" s="89" t="s">
        <v>3103</v>
      </c>
      <c r="S2113" s="30">
        <v>0</v>
      </c>
      <c r="T2113" s="233">
        <v>0</v>
      </c>
      <c r="U2113" s="30">
        <v>0</v>
      </c>
      <c r="V2113" s="233">
        <v>0</v>
      </c>
      <c r="W2113" s="30">
        <v>0</v>
      </c>
      <c r="X2113" s="30">
        <v>0</v>
      </c>
      <c r="Y2113" s="30">
        <v>0</v>
      </c>
      <c r="Z2113" s="233">
        <v>0</v>
      </c>
      <c r="AA2113" s="30">
        <v>0</v>
      </c>
      <c r="AB2113" s="30">
        <v>0</v>
      </c>
      <c r="AC2113" s="30">
        <v>0</v>
      </c>
      <c r="AD2113" s="30">
        <v>0</v>
      </c>
      <c r="AE2113" s="89" t="s">
        <v>394</v>
      </c>
      <c r="AF2113" s="89"/>
      <c r="AG2113" s="89" t="s">
        <v>133</v>
      </c>
      <c r="AH2113" s="72">
        <v>42331</v>
      </c>
      <c r="AI2113" s="30">
        <v>0</v>
      </c>
      <c r="AJ2113" s="89" t="s">
        <v>11827</v>
      </c>
      <c r="AK2113" s="89" t="s">
        <v>11828</v>
      </c>
      <c r="AL2113" s="91">
        <v>42331</v>
      </c>
      <c r="AM2113" s="91"/>
      <c r="AN2113" s="91"/>
      <c r="AO2113" s="91"/>
      <c r="AP2113" s="73" t="e">
        <f>MID(VLOOKUP(K2113,#REF!,2,FALSE),1,2)</f>
        <v>#REF!</v>
      </c>
      <c r="AQ2113" s="89">
        <f>DATE(2015,11,3)</f>
        <v>42311</v>
      </c>
      <c r="AR2113" s="82">
        <f t="shared" si="143"/>
        <v>3</v>
      </c>
      <c r="AS2113" s="83">
        <f t="shared" si="144"/>
        <v>11</v>
      </c>
      <c r="AT2113" s="84">
        <f t="shared" si="145"/>
        <v>2015</v>
      </c>
      <c r="AU2113" s="88">
        <f>DATE(2015,11,23)</f>
        <v>42331</v>
      </c>
      <c r="AV2113" s="88">
        <f>DATE(2015,11,23)</f>
        <v>42331</v>
      </c>
      <c r="AW2113" s="87">
        <f t="shared" si="142"/>
        <v>0</v>
      </c>
      <c r="AX2113" s="86"/>
      <c r="AY2113" s="83"/>
      <c r="AZ2113" s="84"/>
      <c r="BA2113" s="86"/>
      <c r="BB2113" s="86"/>
    </row>
    <row r="2114" spans="1:54" ht="36.75" customHeight="1">
      <c r="A2114" s="30"/>
      <c r="B2114" s="30" t="s">
        <v>55</v>
      </c>
      <c r="C2114" s="69" t="str">
        <f t="shared" ref="C2114:C2177" si="146">IF(B2114="Notification","Open",IF(B2114="Interim Statement","In progress","Closed"))</f>
        <v>Closed</v>
      </c>
      <c r="D2114" s="27" t="s">
        <v>11829</v>
      </c>
      <c r="E2114" s="29" t="s">
        <v>11830</v>
      </c>
      <c r="F2114" s="30" t="s">
        <v>624</v>
      </c>
      <c r="G2114" s="89">
        <f>DATE(2015,11,3)</f>
        <v>42311</v>
      </c>
      <c r="H2114" s="90">
        <v>1.8361111111111112</v>
      </c>
      <c r="I2114" s="30" t="s">
        <v>116</v>
      </c>
      <c r="J2114" s="89" t="s">
        <v>9026</v>
      </c>
      <c r="K2114" s="30" t="s">
        <v>626</v>
      </c>
      <c r="L2114" s="30" t="s">
        <v>11831</v>
      </c>
      <c r="M2114" s="30" t="s">
        <v>63</v>
      </c>
      <c r="N2114" s="30" t="s">
        <v>99</v>
      </c>
      <c r="O2114" s="30" t="s">
        <v>64</v>
      </c>
      <c r="P2114" s="89" t="s">
        <v>462</v>
      </c>
      <c r="Q2114" s="89" t="s">
        <v>7181</v>
      </c>
      <c r="R2114" s="89" t="s">
        <v>629</v>
      </c>
      <c r="S2114" s="30">
        <v>0</v>
      </c>
      <c r="T2114" s="233">
        <v>1</v>
      </c>
      <c r="U2114" s="30">
        <v>0</v>
      </c>
      <c r="V2114" s="233">
        <v>0</v>
      </c>
      <c r="W2114" s="30">
        <v>0</v>
      </c>
      <c r="X2114" s="30">
        <v>1</v>
      </c>
      <c r="Y2114" s="30">
        <v>0</v>
      </c>
      <c r="Z2114" s="233">
        <v>0</v>
      </c>
      <c r="AA2114" s="30">
        <v>0</v>
      </c>
      <c r="AB2114" s="30">
        <v>0</v>
      </c>
      <c r="AC2114" s="30">
        <v>0</v>
      </c>
      <c r="AD2114" s="30">
        <v>0</v>
      </c>
      <c r="AE2114" s="89" t="s">
        <v>394</v>
      </c>
      <c r="AF2114" s="89"/>
      <c r="AG2114" s="89" t="s">
        <v>82</v>
      </c>
      <c r="AH2114" s="72">
        <v>42074</v>
      </c>
      <c r="AI2114" s="30">
        <v>8</v>
      </c>
      <c r="AJ2114" s="89" t="s">
        <v>11832</v>
      </c>
      <c r="AK2114" s="89" t="s">
        <v>68</v>
      </c>
      <c r="AL2114" s="91">
        <v>42401</v>
      </c>
      <c r="AM2114" s="91"/>
      <c r="AN2114" s="91"/>
      <c r="AO2114" s="91"/>
      <c r="AP2114" s="73" t="e">
        <f>MID(VLOOKUP(K2114,#REF!,2,FALSE),1,2)</f>
        <v>#REF!</v>
      </c>
      <c r="AQ2114" s="89">
        <f>DATE(2015,11,3)</f>
        <v>42311</v>
      </c>
      <c r="AR2114" s="82">
        <f t="shared" si="143"/>
        <v>3</v>
      </c>
      <c r="AS2114" s="83">
        <f t="shared" si="144"/>
        <v>11</v>
      </c>
      <c r="AT2114" s="84">
        <f t="shared" si="145"/>
        <v>2015</v>
      </c>
      <c r="AU2114" s="88">
        <f>DATE(2016,2,1)</f>
        <v>42401</v>
      </c>
      <c r="AV2114" s="88">
        <f>DATE(2015,11,3)</f>
        <v>42311</v>
      </c>
      <c r="AW2114" s="87">
        <f t="shared" si="142"/>
        <v>90</v>
      </c>
      <c r="AX2114" s="86"/>
      <c r="AY2114" s="83"/>
      <c r="AZ2114" s="84"/>
      <c r="BA2114" s="86"/>
      <c r="BB2114" s="86"/>
    </row>
    <row r="2115" spans="1:54" ht="36.75" customHeight="1">
      <c r="A2115" s="30"/>
      <c r="B2115" s="30" t="s">
        <v>55</v>
      </c>
      <c r="C2115" s="69" t="str">
        <f t="shared" si="146"/>
        <v>Closed</v>
      </c>
      <c r="D2115" s="27" t="s">
        <v>11833</v>
      </c>
      <c r="E2115" s="29" t="s">
        <v>11834</v>
      </c>
      <c r="F2115" s="30" t="s">
        <v>233</v>
      </c>
      <c r="G2115" s="89">
        <f>DATE(2015,11,3)</f>
        <v>42311</v>
      </c>
      <c r="H2115" s="90">
        <v>1.2611111111111111</v>
      </c>
      <c r="I2115" s="30" t="s">
        <v>104</v>
      </c>
      <c r="J2115" s="89" t="s">
        <v>11835</v>
      </c>
      <c r="K2115" s="30" t="s">
        <v>235</v>
      </c>
      <c r="L2115" s="30" t="s">
        <v>11836</v>
      </c>
      <c r="M2115" s="30" t="s">
        <v>63</v>
      </c>
      <c r="N2115" s="30" t="s">
        <v>89</v>
      </c>
      <c r="O2115" s="30" t="s">
        <v>64</v>
      </c>
      <c r="P2115" s="89" t="s">
        <v>78</v>
      </c>
      <c r="Q2115" s="89" t="s">
        <v>4042</v>
      </c>
      <c r="R2115" s="89" t="s">
        <v>235</v>
      </c>
      <c r="S2115" s="30">
        <v>0</v>
      </c>
      <c r="T2115" s="233">
        <v>0</v>
      </c>
      <c r="U2115" s="30">
        <v>0</v>
      </c>
      <c r="V2115" s="233">
        <v>0</v>
      </c>
      <c r="W2115" s="30">
        <v>0</v>
      </c>
      <c r="X2115" s="30">
        <v>0</v>
      </c>
      <c r="Y2115" s="30">
        <v>0</v>
      </c>
      <c r="Z2115" s="233">
        <v>0</v>
      </c>
      <c r="AA2115" s="30">
        <v>0</v>
      </c>
      <c r="AB2115" s="30">
        <v>0</v>
      </c>
      <c r="AC2115" s="30">
        <v>0</v>
      </c>
      <c r="AD2115" s="30">
        <v>0</v>
      </c>
      <c r="AE2115" s="89" t="s">
        <v>92</v>
      </c>
      <c r="AF2115" s="89"/>
      <c r="AG2115" s="89" t="s">
        <v>133</v>
      </c>
      <c r="AH2115" s="72">
        <v>42331</v>
      </c>
      <c r="AI2115" s="30">
        <v>3</v>
      </c>
      <c r="AJ2115" s="89" t="s">
        <v>11837</v>
      </c>
      <c r="AK2115" s="89" t="s">
        <v>11838</v>
      </c>
      <c r="AL2115" s="91">
        <v>42349</v>
      </c>
      <c r="AM2115" s="91"/>
      <c r="AN2115" s="91"/>
      <c r="AO2115" s="91"/>
      <c r="AP2115" s="73" t="e">
        <f>MID(VLOOKUP(K2115,#REF!,2,FALSE),1,2)</f>
        <v>#REF!</v>
      </c>
      <c r="AQ2115" s="89">
        <f>DATE(2015,11,3)</f>
        <v>42311</v>
      </c>
      <c r="AR2115" s="82">
        <f t="shared" si="143"/>
        <v>3</v>
      </c>
      <c r="AS2115" s="83">
        <f t="shared" si="144"/>
        <v>11</v>
      </c>
      <c r="AT2115" s="84">
        <f t="shared" si="145"/>
        <v>2015</v>
      </c>
      <c r="AU2115" s="88">
        <f>DATE(2015,12,11)</f>
        <v>42349</v>
      </c>
      <c r="AV2115" s="88">
        <f>DATE(2015,11,23)</f>
        <v>42331</v>
      </c>
      <c r="AW2115" s="87">
        <f t="shared" si="142"/>
        <v>18</v>
      </c>
      <c r="AX2115" s="88">
        <f>DATE(2015,12,11)</f>
        <v>42349</v>
      </c>
      <c r="AY2115" s="83">
        <f>MONTH(AX2115)</f>
        <v>12</v>
      </c>
      <c r="AZ2115" s="84">
        <f>YEAR(AX2115)</f>
        <v>2015</v>
      </c>
      <c r="BA2115" s="86"/>
      <c r="BB2115" s="86"/>
    </row>
    <row r="2116" spans="1:54" ht="36.75" customHeight="1">
      <c r="A2116" s="30"/>
      <c r="B2116" s="30" t="s">
        <v>55</v>
      </c>
      <c r="C2116" s="69" t="str">
        <f t="shared" si="146"/>
        <v>Closed</v>
      </c>
      <c r="D2116" s="27" t="s">
        <v>11839</v>
      </c>
      <c r="E2116" s="29" t="s">
        <v>11840</v>
      </c>
      <c r="F2116" s="30" t="s">
        <v>835</v>
      </c>
      <c r="G2116" s="89">
        <f>DATE(2015,11,4)</f>
        <v>42312</v>
      </c>
      <c r="H2116" s="90">
        <v>1.8145833333333332</v>
      </c>
      <c r="I2116" s="30" t="s">
        <v>125</v>
      </c>
      <c r="J2116" s="89" t="s">
        <v>11841</v>
      </c>
      <c r="K2116" s="30" t="s">
        <v>837</v>
      </c>
      <c r="L2116" s="30" t="s">
        <v>11842</v>
      </c>
      <c r="M2116" s="30" t="s">
        <v>63</v>
      </c>
      <c r="N2116" s="30" t="s">
        <v>142</v>
      </c>
      <c r="O2116" s="30" t="s">
        <v>64</v>
      </c>
      <c r="P2116" s="89" t="s">
        <v>78</v>
      </c>
      <c r="Q2116" s="89" t="s">
        <v>2162</v>
      </c>
      <c r="R2116" s="89" t="s">
        <v>840</v>
      </c>
      <c r="S2116" s="30">
        <v>0</v>
      </c>
      <c r="T2116" s="233">
        <v>0</v>
      </c>
      <c r="U2116" s="30">
        <v>0</v>
      </c>
      <c r="V2116" s="233">
        <v>0</v>
      </c>
      <c r="W2116" s="30">
        <v>0</v>
      </c>
      <c r="X2116" s="30">
        <v>0</v>
      </c>
      <c r="Y2116" s="30">
        <v>0</v>
      </c>
      <c r="Z2116" s="233">
        <v>0</v>
      </c>
      <c r="AA2116" s="30">
        <v>0</v>
      </c>
      <c r="AB2116" s="30">
        <v>0</v>
      </c>
      <c r="AC2116" s="30">
        <v>0</v>
      </c>
      <c r="AD2116" s="30">
        <v>0</v>
      </c>
      <c r="AE2116" s="89" t="s">
        <v>92</v>
      </c>
      <c r="AF2116" s="89"/>
      <c r="AG2116" s="89" t="s">
        <v>352</v>
      </c>
      <c r="AH2116" s="72">
        <v>42313</v>
      </c>
      <c r="AI2116" s="30">
        <v>0</v>
      </c>
      <c r="AJ2116" s="89" t="s">
        <v>11843</v>
      </c>
      <c r="AK2116" s="89" t="s">
        <v>68</v>
      </c>
      <c r="AL2116" s="91">
        <v>42314</v>
      </c>
      <c r="AM2116" s="91"/>
      <c r="AN2116" s="91"/>
      <c r="AO2116" s="91"/>
      <c r="AP2116" s="73" t="e">
        <f>MID(VLOOKUP(K2116,#REF!,2,FALSE),1,2)</f>
        <v>#REF!</v>
      </c>
      <c r="AQ2116" s="89">
        <f>DATE(2015,11,4)</f>
        <v>42312</v>
      </c>
      <c r="AR2116" s="82">
        <f t="shared" si="143"/>
        <v>4</v>
      </c>
      <c r="AS2116" s="83">
        <f t="shared" si="144"/>
        <v>11</v>
      </c>
      <c r="AT2116" s="84">
        <f t="shared" si="145"/>
        <v>2015</v>
      </c>
      <c r="AU2116" s="88">
        <f>DATE(2015,11,6)</f>
        <v>42314</v>
      </c>
      <c r="AV2116" s="88">
        <f>DATE(2015,11,5)</f>
        <v>42313</v>
      </c>
      <c r="AW2116" s="87">
        <f t="shared" si="142"/>
        <v>1</v>
      </c>
      <c r="AX2116" s="88">
        <f>DATE(2015,11,4)</f>
        <v>42312</v>
      </c>
      <c r="AY2116" s="83">
        <f>MONTH(AX2116)</f>
        <v>11</v>
      </c>
      <c r="AZ2116" s="84">
        <f>YEAR(AX2116)</f>
        <v>2015</v>
      </c>
      <c r="BA2116" s="88">
        <f>DATE(2015,11,6)</f>
        <v>42314</v>
      </c>
      <c r="BB2116" s="86"/>
    </row>
    <row r="2117" spans="1:54" ht="36.75" customHeight="1">
      <c r="A2117" s="30"/>
      <c r="B2117" s="30" t="s">
        <v>55</v>
      </c>
      <c r="C2117" s="69" t="str">
        <f t="shared" si="146"/>
        <v>Closed</v>
      </c>
      <c r="D2117" s="27" t="s">
        <v>11844</v>
      </c>
      <c r="E2117" s="29" t="s">
        <v>11845</v>
      </c>
      <c r="F2117" s="30" t="s">
        <v>582</v>
      </c>
      <c r="G2117" s="89">
        <f>DATE(2015,11,5)</f>
        <v>42313</v>
      </c>
      <c r="H2117" s="90">
        <v>1.9131944444444446</v>
      </c>
      <c r="I2117" s="30" t="s">
        <v>116</v>
      </c>
      <c r="J2117" s="89" t="s">
        <v>11846</v>
      </c>
      <c r="K2117" s="30" t="s">
        <v>584</v>
      </c>
      <c r="L2117" s="30" t="s">
        <v>11847</v>
      </c>
      <c r="M2117" s="30" t="s">
        <v>63</v>
      </c>
      <c r="N2117" s="30" t="s">
        <v>142</v>
      </c>
      <c r="O2117" s="30" t="s">
        <v>64</v>
      </c>
      <c r="P2117" s="89" t="s">
        <v>165</v>
      </c>
      <c r="Q2117" s="89" t="s">
        <v>4487</v>
      </c>
      <c r="R2117" s="89" t="s">
        <v>587</v>
      </c>
      <c r="S2117" s="30">
        <v>0</v>
      </c>
      <c r="T2117" s="233">
        <v>1</v>
      </c>
      <c r="U2117" s="30">
        <v>1</v>
      </c>
      <c r="V2117" s="233">
        <v>0</v>
      </c>
      <c r="W2117" s="30">
        <v>0</v>
      </c>
      <c r="X2117" s="30">
        <v>2</v>
      </c>
      <c r="Y2117" s="30">
        <v>4</v>
      </c>
      <c r="Z2117" s="233">
        <v>0</v>
      </c>
      <c r="AA2117" s="30">
        <v>0</v>
      </c>
      <c r="AB2117" s="30">
        <v>0</v>
      </c>
      <c r="AC2117" s="30">
        <v>0</v>
      </c>
      <c r="AD2117" s="30">
        <v>4</v>
      </c>
      <c r="AE2117" s="89" t="s">
        <v>145</v>
      </c>
      <c r="AF2117" s="89"/>
      <c r="AG2117" s="89" t="s">
        <v>82</v>
      </c>
      <c r="AH2117" s="72">
        <v>42314</v>
      </c>
      <c r="AI2117" s="30">
        <v>0</v>
      </c>
      <c r="AJ2117" s="89" t="s">
        <v>11848</v>
      </c>
      <c r="AK2117" s="89" t="s">
        <v>1233</v>
      </c>
      <c r="AL2117" s="91">
        <v>42321</v>
      </c>
      <c r="AM2117" s="91"/>
      <c r="AN2117" s="91"/>
      <c r="AO2117" s="91"/>
      <c r="AP2117" s="73" t="e">
        <f>MID(VLOOKUP(K2117,#REF!,2,FALSE),1,2)</f>
        <v>#REF!</v>
      </c>
      <c r="AQ2117" s="89">
        <f>DATE(2015,11,5)</f>
        <v>42313</v>
      </c>
      <c r="AR2117" s="82">
        <f t="shared" si="143"/>
        <v>5</v>
      </c>
      <c r="AS2117" s="83">
        <f t="shared" si="144"/>
        <v>11</v>
      </c>
      <c r="AT2117" s="84">
        <f t="shared" si="145"/>
        <v>2015</v>
      </c>
      <c r="AU2117" s="88">
        <f>DATE(2015,11,13)</f>
        <v>42321</v>
      </c>
      <c r="AV2117" s="88">
        <f>DATE(2015,11,6)</f>
        <v>42314</v>
      </c>
      <c r="AW2117" s="87">
        <f t="shared" ref="AW2117:AW2149" si="147">AU2117-AV2117</f>
        <v>7</v>
      </c>
      <c r="AX2117" s="86"/>
      <c r="AY2117" s="83"/>
      <c r="AZ2117" s="84"/>
      <c r="BA2117" s="86"/>
      <c r="BB2117" s="86"/>
    </row>
    <row r="2118" spans="1:54" ht="36.75" customHeight="1">
      <c r="A2118" s="30"/>
      <c r="B2118" s="30" t="s">
        <v>55</v>
      </c>
      <c r="C2118" s="69" t="str">
        <f t="shared" si="146"/>
        <v>Closed</v>
      </c>
      <c r="D2118" s="27" t="s">
        <v>11849</v>
      </c>
      <c r="E2118" s="29" t="s">
        <v>11850</v>
      </c>
      <c r="F2118" s="30" t="s">
        <v>582</v>
      </c>
      <c r="G2118" s="89">
        <f>DATE(2015,11,7)</f>
        <v>42315</v>
      </c>
      <c r="H2118" s="90">
        <v>1.7486111111111109</v>
      </c>
      <c r="I2118" s="30" t="s">
        <v>116</v>
      </c>
      <c r="J2118" s="89" t="s">
        <v>11851</v>
      </c>
      <c r="K2118" s="30" t="s">
        <v>584</v>
      </c>
      <c r="L2118" s="30" t="s">
        <v>11852</v>
      </c>
      <c r="M2118" s="30" t="s">
        <v>63</v>
      </c>
      <c r="N2118" s="30" t="s">
        <v>142</v>
      </c>
      <c r="O2118" s="30" t="s">
        <v>64</v>
      </c>
      <c r="P2118" s="89" t="s">
        <v>78</v>
      </c>
      <c r="Q2118" s="89" t="s">
        <v>586</v>
      </c>
      <c r="R2118" s="89" t="s">
        <v>587</v>
      </c>
      <c r="S2118" s="30">
        <v>0</v>
      </c>
      <c r="T2118" s="233">
        <v>0</v>
      </c>
      <c r="U2118" s="30">
        <v>0</v>
      </c>
      <c r="V2118" s="233">
        <v>0</v>
      </c>
      <c r="W2118" s="30">
        <v>0</v>
      </c>
      <c r="X2118" s="30">
        <v>0</v>
      </c>
      <c r="Y2118" s="30">
        <v>0</v>
      </c>
      <c r="Z2118" s="233">
        <v>0</v>
      </c>
      <c r="AA2118" s="30">
        <v>2</v>
      </c>
      <c r="AB2118" s="30">
        <v>0</v>
      </c>
      <c r="AC2118" s="30">
        <v>0</v>
      </c>
      <c r="AD2118" s="30">
        <v>2</v>
      </c>
      <c r="AE2118" s="89" t="s">
        <v>394</v>
      </c>
      <c r="AF2118" s="89" t="s">
        <v>11853</v>
      </c>
      <c r="AG2118" s="89" t="s">
        <v>8859</v>
      </c>
      <c r="AH2118" s="72">
        <v>42384</v>
      </c>
      <c r="AI2118" s="30">
        <v>0</v>
      </c>
      <c r="AJ2118" s="89" t="s">
        <v>11854</v>
      </c>
      <c r="AK2118" s="89" t="s">
        <v>10569</v>
      </c>
      <c r="AL2118" s="91">
        <v>42387</v>
      </c>
      <c r="AM2118" s="91"/>
      <c r="AN2118" s="91">
        <v>44587</v>
      </c>
      <c r="AO2118" s="91">
        <v>44587</v>
      </c>
      <c r="AP2118" s="73" t="e">
        <f>MID(VLOOKUP(K2118,#REF!,2,FALSE),1,2)</f>
        <v>#REF!</v>
      </c>
      <c r="AQ2118" s="89">
        <f>DATE(2015,11,7)</f>
        <v>42315</v>
      </c>
      <c r="AR2118" s="82">
        <f t="shared" si="143"/>
        <v>7</v>
      </c>
      <c r="AS2118" s="83">
        <f t="shared" si="144"/>
        <v>11</v>
      </c>
      <c r="AT2118" s="84">
        <f t="shared" si="145"/>
        <v>2015</v>
      </c>
      <c r="AU2118" s="88">
        <f>DATE(2016,11,18)</f>
        <v>42692</v>
      </c>
      <c r="AV2118" s="88">
        <f>DATE(2016,11,15)</f>
        <v>42689</v>
      </c>
      <c r="AW2118" s="87">
        <f t="shared" si="147"/>
        <v>3</v>
      </c>
      <c r="AX2118" s="86"/>
      <c r="AY2118" s="83"/>
      <c r="AZ2118" s="84"/>
      <c r="BA2118" s="86"/>
      <c r="BB2118" s="86"/>
    </row>
    <row r="2119" spans="1:54" ht="36.75" customHeight="1">
      <c r="A2119" s="30"/>
      <c r="B2119" s="30" t="s">
        <v>55</v>
      </c>
      <c r="C2119" s="69" t="str">
        <f t="shared" si="146"/>
        <v>Closed</v>
      </c>
      <c r="D2119" s="27" t="s">
        <v>11855</v>
      </c>
      <c r="E2119" s="29" t="s">
        <v>11856</v>
      </c>
      <c r="F2119" s="30" t="s">
        <v>233</v>
      </c>
      <c r="G2119" s="89">
        <f>DATE(2015,11,7)</f>
        <v>42315</v>
      </c>
      <c r="H2119" s="90">
        <v>1.3083333333333333</v>
      </c>
      <c r="I2119" s="30" t="s">
        <v>73</v>
      </c>
      <c r="J2119" s="89" t="s">
        <v>11857</v>
      </c>
      <c r="K2119" s="30" t="s">
        <v>235</v>
      </c>
      <c r="L2119" s="30" t="s">
        <v>11858</v>
      </c>
      <c r="M2119" s="30" t="s">
        <v>63</v>
      </c>
      <c r="N2119" s="30" t="s">
        <v>142</v>
      </c>
      <c r="O2119" s="30" t="s">
        <v>64</v>
      </c>
      <c r="P2119" s="89" t="s">
        <v>6941</v>
      </c>
      <c r="Q2119" s="89" t="s">
        <v>446</v>
      </c>
      <c r="R2119" s="89" t="s">
        <v>235</v>
      </c>
      <c r="S2119" s="30">
        <v>0</v>
      </c>
      <c r="T2119" s="233">
        <v>0</v>
      </c>
      <c r="U2119" s="30">
        <v>0</v>
      </c>
      <c r="V2119" s="233">
        <v>0</v>
      </c>
      <c r="W2119" s="30">
        <v>0</v>
      </c>
      <c r="X2119" s="30">
        <v>0</v>
      </c>
      <c r="Y2119" s="30">
        <v>0</v>
      </c>
      <c r="Z2119" s="233">
        <v>0</v>
      </c>
      <c r="AA2119" s="30">
        <v>0</v>
      </c>
      <c r="AB2119" s="30">
        <v>0</v>
      </c>
      <c r="AC2119" s="30">
        <v>0</v>
      </c>
      <c r="AD2119" s="30">
        <v>0</v>
      </c>
      <c r="AE2119" s="89" t="s">
        <v>92</v>
      </c>
      <c r="AF2119" s="89"/>
      <c r="AG2119" s="89" t="s">
        <v>133</v>
      </c>
      <c r="AH2119" s="72">
        <v>42317</v>
      </c>
      <c r="AI2119" s="30">
        <v>1</v>
      </c>
      <c r="AJ2119" s="89" t="s">
        <v>11859</v>
      </c>
      <c r="AK2119" s="89" t="s">
        <v>11860</v>
      </c>
      <c r="AL2119" s="91">
        <v>42349</v>
      </c>
      <c r="AM2119" s="91"/>
      <c r="AN2119" s="91"/>
      <c r="AO2119" s="91"/>
      <c r="AP2119" s="73" t="e">
        <f>MID(VLOOKUP(K2119,#REF!,2,FALSE),1,2)</f>
        <v>#REF!</v>
      </c>
      <c r="AQ2119" s="89">
        <f>DATE(2015,11,7)</f>
        <v>42315</v>
      </c>
      <c r="AR2119" s="82">
        <f t="shared" si="143"/>
        <v>7</v>
      </c>
      <c r="AS2119" s="83">
        <f t="shared" si="144"/>
        <v>11</v>
      </c>
      <c r="AT2119" s="84">
        <f t="shared" si="145"/>
        <v>2015</v>
      </c>
      <c r="AU2119" s="88">
        <f>DATE(2015,11,12)</f>
        <v>42320</v>
      </c>
      <c r="AV2119" s="88">
        <f>DATE(2015,11,11)</f>
        <v>42319</v>
      </c>
      <c r="AW2119" s="87">
        <f t="shared" si="147"/>
        <v>1</v>
      </c>
      <c r="AX2119" s="88">
        <f>DATE(2015,11,12)</f>
        <v>42320</v>
      </c>
      <c r="AY2119" s="83">
        <f>MONTH(AX2119)</f>
        <v>11</v>
      </c>
      <c r="AZ2119" s="84">
        <f>YEAR(AX2119)</f>
        <v>2015</v>
      </c>
      <c r="BA2119" s="86"/>
      <c r="BB2119" s="86"/>
    </row>
    <row r="2120" spans="1:54" ht="36.75" customHeight="1">
      <c r="A2120" s="30"/>
      <c r="B2120" s="30" t="s">
        <v>55</v>
      </c>
      <c r="C2120" s="69" t="str">
        <f t="shared" si="146"/>
        <v>Closed</v>
      </c>
      <c r="D2120" s="27" t="s">
        <v>11861</v>
      </c>
      <c r="E2120" s="29" t="s">
        <v>11862</v>
      </c>
      <c r="F2120" s="30" t="s">
        <v>423</v>
      </c>
      <c r="G2120" s="89">
        <f>DATE(2015,11,8)</f>
        <v>42316</v>
      </c>
      <c r="H2120" s="90">
        <v>1.9118055555555555</v>
      </c>
      <c r="I2120" s="30" t="s">
        <v>73</v>
      </c>
      <c r="J2120" s="89" t="s">
        <v>11863</v>
      </c>
      <c r="K2120" s="30" t="s">
        <v>425</v>
      </c>
      <c r="L2120" s="30" t="s">
        <v>11864</v>
      </c>
      <c r="M2120" s="30" t="s">
        <v>63</v>
      </c>
      <c r="N2120" s="30" t="s">
        <v>142</v>
      </c>
      <c r="O2120" s="30" t="s">
        <v>77</v>
      </c>
      <c r="P2120" s="89" t="s">
        <v>78</v>
      </c>
      <c r="Q2120" s="89" t="s">
        <v>11865</v>
      </c>
      <c r="R2120" s="89" t="s">
        <v>3103</v>
      </c>
      <c r="S2120" s="30">
        <v>0</v>
      </c>
      <c r="T2120" s="233">
        <v>0</v>
      </c>
      <c r="U2120" s="30">
        <v>0</v>
      </c>
      <c r="V2120" s="233">
        <v>0</v>
      </c>
      <c r="W2120" s="30">
        <v>0</v>
      </c>
      <c r="X2120" s="30">
        <v>0</v>
      </c>
      <c r="Y2120" s="30">
        <v>0</v>
      </c>
      <c r="Z2120" s="233">
        <v>0</v>
      </c>
      <c r="AA2120" s="30">
        <v>0</v>
      </c>
      <c r="AB2120" s="30">
        <v>0</v>
      </c>
      <c r="AC2120" s="30">
        <v>0</v>
      </c>
      <c r="AD2120" s="30">
        <v>0</v>
      </c>
      <c r="AE2120" s="89" t="s">
        <v>394</v>
      </c>
      <c r="AF2120" s="89"/>
      <c r="AG2120" s="89" t="s">
        <v>133</v>
      </c>
      <c r="AH2120" s="72">
        <v>42258</v>
      </c>
      <c r="AI2120" s="30">
        <v>2</v>
      </c>
      <c r="AJ2120" s="89" t="s">
        <v>11866</v>
      </c>
      <c r="AK2120" s="89" t="s">
        <v>11867</v>
      </c>
      <c r="AL2120" s="91">
        <v>42317</v>
      </c>
      <c r="AM2120" s="91"/>
      <c r="AN2120" s="91"/>
      <c r="AO2120" s="91"/>
      <c r="AP2120" s="73" t="e">
        <f>MID(VLOOKUP(K2120,#REF!,2,FALSE),1,2)</f>
        <v>#REF!</v>
      </c>
      <c r="AQ2120" s="89">
        <f>DATE(2015,11,8)</f>
        <v>42316</v>
      </c>
      <c r="AR2120" s="82">
        <f t="shared" si="143"/>
        <v>8</v>
      </c>
      <c r="AS2120" s="83">
        <f t="shared" si="144"/>
        <v>11</v>
      </c>
      <c r="AT2120" s="84">
        <f t="shared" si="145"/>
        <v>2015</v>
      </c>
      <c r="AU2120" s="88">
        <f>DATE(2015,11,9)</f>
        <v>42317</v>
      </c>
      <c r="AV2120" s="88">
        <f>DATE(2015,11,9)</f>
        <v>42317</v>
      </c>
      <c r="AW2120" s="87">
        <f t="shared" si="147"/>
        <v>0</v>
      </c>
      <c r="AX2120" s="86"/>
      <c r="AY2120" s="83"/>
      <c r="AZ2120" s="84"/>
      <c r="BA2120" s="86"/>
      <c r="BB2120" s="86"/>
    </row>
    <row r="2121" spans="1:54" ht="36.75" customHeight="1">
      <c r="A2121" s="30"/>
      <c r="B2121" s="30" t="s">
        <v>55</v>
      </c>
      <c r="C2121" s="69" t="str">
        <f t="shared" si="146"/>
        <v>Closed</v>
      </c>
      <c r="D2121" s="27" t="s">
        <v>11868</v>
      </c>
      <c r="E2121" s="29" t="s">
        <v>11869</v>
      </c>
      <c r="F2121" s="30" t="s">
        <v>835</v>
      </c>
      <c r="G2121" s="89">
        <f>DATE(2015,11,9)</f>
        <v>42317</v>
      </c>
      <c r="H2121" s="90">
        <v>1.6909722222222223</v>
      </c>
      <c r="I2121" s="30" t="s">
        <v>198</v>
      </c>
      <c r="J2121" s="89" t="s">
        <v>11870</v>
      </c>
      <c r="K2121" s="30" t="s">
        <v>837</v>
      </c>
      <c r="L2121" s="30" t="s">
        <v>11871</v>
      </c>
      <c r="M2121" s="30" t="s">
        <v>255</v>
      </c>
      <c r="N2121" s="30" t="s">
        <v>142</v>
      </c>
      <c r="O2121" s="30" t="s">
        <v>64</v>
      </c>
      <c r="P2121" s="89" t="s">
        <v>6552</v>
      </c>
      <c r="Q2121" s="89" t="s">
        <v>4210</v>
      </c>
      <c r="R2121" s="89" t="s">
        <v>4210</v>
      </c>
      <c r="S2121" s="30">
        <v>0</v>
      </c>
      <c r="T2121" s="233">
        <v>0</v>
      </c>
      <c r="U2121" s="30">
        <v>0</v>
      </c>
      <c r="V2121" s="233">
        <v>0</v>
      </c>
      <c r="W2121" s="30">
        <v>0</v>
      </c>
      <c r="X2121" s="30">
        <v>0</v>
      </c>
      <c r="Y2121" s="30">
        <v>0</v>
      </c>
      <c r="Z2121" s="233">
        <v>0</v>
      </c>
      <c r="AA2121" s="30">
        <v>0</v>
      </c>
      <c r="AB2121" s="30">
        <v>0</v>
      </c>
      <c r="AC2121" s="30">
        <v>0</v>
      </c>
      <c r="AD2121" s="30">
        <v>0</v>
      </c>
      <c r="AE2121" s="89" t="s">
        <v>92</v>
      </c>
      <c r="AF2121" s="89"/>
      <c r="AG2121" s="89" t="s">
        <v>367</v>
      </c>
      <c r="AH2121" s="72">
        <v>42318</v>
      </c>
      <c r="AI2121" s="30">
        <v>0</v>
      </c>
      <c r="AJ2121" s="89" t="s">
        <v>11872</v>
      </c>
      <c r="AK2121" s="89" t="s">
        <v>11873</v>
      </c>
      <c r="AL2121" s="91">
        <v>42318</v>
      </c>
      <c r="AM2121" s="91"/>
      <c r="AN2121" s="91"/>
      <c r="AO2121" s="91"/>
      <c r="AP2121" s="73" t="e">
        <f>MID(VLOOKUP(K2121,#REF!,2,FALSE),1,2)</f>
        <v>#REF!</v>
      </c>
      <c r="AQ2121" s="89">
        <f>DATE(2015,11,9)</f>
        <v>42317</v>
      </c>
      <c r="AR2121" s="82">
        <f t="shared" si="143"/>
        <v>9</v>
      </c>
      <c r="AS2121" s="83">
        <f t="shared" si="144"/>
        <v>11</v>
      </c>
      <c r="AT2121" s="84">
        <f t="shared" si="145"/>
        <v>2015</v>
      </c>
      <c r="AU2121" s="88">
        <f>DATE(2015,11,10)</f>
        <v>42318</v>
      </c>
      <c r="AV2121" s="88">
        <f>DATE(2015,11,10)</f>
        <v>42318</v>
      </c>
      <c r="AW2121" s="87">
        <f t="shared" si="147"/>
        <v>0</v>
      </c>
      <c r="AX2121" s="86"/>
      <c r="AY2121" s="83"/>
      <c r="AZ2121" s="84"/>
      <c r="BA2121" s="86"/>
      <c r="BB2121" s="86"/>
    </row>
    <row r="2122" spans="1:54" ht="36.75" customHeight="1">
      <c r="A2122" s="30"/>
      <c r="B2122" s="30" t="s">
        <v>55</v>
      </c>
      <c r="C2122" s="69" t="str">
        <f t="shared" si="146"/>
        <v>Closed</v>
      </c>
      <c r="D2122" s="27" t="s">
        <v>11874</v>
      </c>
      <c r="E2122" s="29" t="s">
        <v>11875</v>
      </c>
      <c r="F2122" s="30" t="s">
        <v>835</v>
      </c>
      <c r="G2122" s="89">
        <f>DATE(2015,11,10)</f>
        <v>42318</v>
      </c>
      <c r="H2122" s="90">
        <v>1.4569444444444444</v>
      </c>
      <c r="I2122" s="30" t="s">
        <v>198</v>
      </c>
      <c r="J2122" s="89" t="s">
        <v>11876</v>
      </c>
      <c r="K2122" s="30" t="s">
        <v>837</v>
      </c>
      <c r="L2122" s="30" t="s">
        <v>11877</v>
      </c>
      <c r="M2122" s="30" t="s">
        <v>255</v>
      </c>
      <c r="N2122" s="30" t="s">
        <v>142</v>
      </c>
      <c r="O2122" s="30" t="s">
        <v>86</v>
      </c>
      <c r="P2122" s="89" t="s">
        <v>6552</v>
      </c>
      <c r="Q2122" s="89" t="s">
        <v>11878</v>
      </c>
      <c r="R2122" s="89" t="s">
        <v>11878</v>
      </c>
      <c r="S2122" s="30">
        <v>0</v>
      </c>
      <c r="T2122" s="233">
        <v>0</v>
      </c>
      <c r="U2122" s="30">
        <v>0</v>
      </c>
      <c r="V2122" s="233">
        <v>0</v>
      </c>
      <c r="W2122" s="30">
        <v>0</v>
      </c>
      <c r="X2122" s="30">
        <v>0</v>
      </c>
      <c r="Y2122" s="30">
        <v>0</v>
      </c>
      <c r="Z2122" s="233">
        <v>0</v>
      </c>
      <c r="AA2122" s="30">
        <v>0</v>
      </c>
      <c r="AB2122" s="30">
        <v>0</v>
      </c>
      <c r="AC2122" s="30">
        <v>0</v>
      </c>
      <c r="AD2122" s="30">
        <v>0</v>
      </c>
      <c r="AE2122" s="89" t="s">
        <v>92</v>
      </c>
      <c r="AF2122" s="89"/>
      <c r="AG2122" s="89" t="s">
        <v>133</v>
      </c>
      <c r="AH2122" s="72">
        <v>42318</v>
      </c>
      <c r="AI2122" s="30">
        <v>1</v>
      </c>
      <c r="AJ2122" s="89" t="s">
        <v>11879</v>
      </c>
      <c r="AK2122" s="89" t="s">
        <v>68</v>
      </c>
      <c r="AL2122" s="91">
        <v>42324</v>
      </c>
      <c r="AM2122" s="91"/>
      <c r="AN2122" s="91"/>
      <c r="AO2122" s="91"/>
      <c r="AP2122" s="73" t="e">
        <f>MID(VLOOKUP(K2122,#REF!,2,FALSE),1,2)</f>
        <v>#REF!</v>
      </c>
      <c r="AQ2122" s="89">
        <f>DATE(2015,11,10)</f>
        <v>42318</v>
      </c>
      <c r="AR2122" s="82">
        <f t="shared" si="143"/>
        <v>10</v>
      </c>
      <c r="AS2122" s="83">
        <f t="shared" si="144"/>
        <v>11</v>
      </c>
      <c r="AT2122" s="84">
        <f t="shared" si="145"/>
        <v>2015</v>
      </c>
      <c r="AU2122" s="88">
        <f>DATE(2015,11,16)</f>
        <v>42324</v>
      </c>
      <c r="AV2122" s="88">
        <f>DATE(2015,11,10)</f>
        <v>42318</v>
      </c>
      <c r="AW2122" s="87">
        <f t="shared" si="147"/>
        <v>6</v>
      </c>
      <c r="AX2122" s="88">
        <f>DATE(2015,11,10)</f>
        <v>42318</v>
      </c>
      <c r="AY2122" s="83">
        <f>MONTH(AX2122)</f>
        <v>11</v>
      </c>
      <c r="AZ2122" s="84">
        <f>YEAR(AX2122)</f>
        <v>2015</v>
      </c>
      <c r="BA2122" s="88">
        <f>DATE(2015,11,10)</f>
        <v>42318</v>
      </c>
      <c r="BB2122" s="86"/>
    </row>
    <row r="2123" spans="1:54" ht="36.75" customHeight="1">
      <c r="A2123" s="30"/>
      <c r="B2123" s="30" t="s">
        <v>55</v>
      </c>
      <c r="C2123" s="69" t="str">
        <f t="shared" si="146"/>
        <v>Closed</v>
      </c>
      <c r="D2123" s="27" t="s">
        <v>11880</v>
      </c>
      <c r="E2123" s="29" t="s">
        <v>11881</v>
      </c>
      <c r="F2123" s="30" t="s">
        <v>6455</v>
      </c>
      <c r="G2123" s="89">
        <f>DATE(2015,11,11)</f>
        <v>42319</v>
      </c>
      <c r="H2123" s="90">
        <v>1.9861111111111112</v>
      </c>
      <c r="I2123" s="30" t="s">
        <v>73</v>
      </c>
      <c r="J2123" s="89" t="s">
        <v>11882</v>
      </c>
      <c r="K2123" s="30" t="s">
        <v>584</v>
      </c>
      <c r="L2123" s="30" t="s">
        <v>11883</v>
      </c>
      <c r="M2123" s="30" t="s">
        <v>63</v>
      </c>
      <c r="N2123" s="30" t="s">
        <v>99</v>
      </c>
      <c r="O2123" s="30" t="s">
        <v>64</v>
      </c>
      <c r="P2123" s="89" t="s">
        <v>78</v>
      </c>
      <c r="Q2123" s="89" t="s">
        <v>586</v>
      </c>
      <c r="R2123" s="89" t="s">
        <v>587</v>
      </c>
      <c r="S2123" s="30">
        <v>0</v>
      </c>
      <c r="T2123" s="233">
        <v>0</v>
      </c>
      <c r="U2123" s="30">
        <v>0</v>
      </c>
      <c r="V2123" s="233">
        <v>0</v>
      </c>
      <c r="W2123" s="30">
        <v>0</v>
      </c>
      <c r="X2123" s="30">
        <v>0</v>
      </c>
      <c r="Y2123" s="30">
        <v>0</v>
      </c>
      <c r="Z2123" s="233">
        <v>0</v>
      </c>
      <c r="AA2123" s="30">
        <v>0</v>
      </c>
      <c r="AB2123" s="30">
        <v>0</v>
      </c>
      <c r="AC2123" s="30">
        <v>0</v>
      </c>
      <c r="AD2123" s="30">
        <v>0</v>
      </c>
      <c r="AE2123" s="89" t="s">
        <v>394</v>
      </c>
      <c r="AF2123" s="89" t="s">
        <v>11884</v>
      </c>
      <c r="AG2123" s="89" t="s">
        <v>8859</v>
      </c>
      <c r="AH2123" s="72">
        <v>42321</v>
      </c>
      <c r="AI2123" s="30">
        <v>0</v>
      </c>
      <c r="AJ2123" s="89" t="s">
        <v>11885</v>
      </c>
      <c r="AK2123" s="89" t="s">
        <v>68</v>
      </c>
      <c r="AL2123" s="91">
        <v>42321</v>
      </c>
      <c r="AM2123" s="91"/>
      <c r="AN2123" s="91">
        <v>44861</v>
      </c>
      <c r="AO2123" s="91">
        <v>44847</v>
      </c>
      <c r="AP2123" s="73" t="e">
        <f>MID(VLOOKUP(K2123,#REF!,2,FALSE),1,2)</f>
        <v>#REF!</v>
      </c>
      <c r="AQ2123" s="89">
        <f>DATE(2015,11,11)</f>
        <v>42319</v>
      </c>
      <c r="AR2123" s="82">
        <f t="shared" si="143"/>
        <v>11</v>
      </c>
      <c r="AS2123" s="83">
        <f t="shared" si="144"/>
        <v>11</v>
      </c>
      <c r="AT2123" s="84">
        <f t="shared" si="145"/>
        <v>2015</v>
      </c>
      <c r="AU2123" s="88">
        <f>DATE(2015,11,13)</f>
        <v>42321</v>
      </c>
      <c r="AV2123" s="88">
        <f>DATE(2015,11,13)</f>
        <v>42321</v>
      </c>
      <c r="AW2123" s="87">
        <f t="shared" si="147"/>
        <v>0</v>
      </c>
      <c r="AX2123" s="86"/>
      <c r="AY2123" s="83"/>
      <c r="AZ2123" s="84"/>
      <c r="BA2123" s="86"/>
      <c r="BB2123" s="86"/>
    </row>
    <row r="2124" spans="1:54" ht="36.75" customHeight="1">
      <c r="A2124" s="30"/>
      <c r="B2124" s="30" t="s">
        <v>55</v>
      </c>
      <c r="C2124" s="69" t="str">
        <f t="shared" si="146"/>
        <v>Closed</v>
      </c>
      <c r="D2124" s="27" t="s">
        <v>11886</v>
      </c>
      <c r="E2124" s="29" t="s">
        <v>11887</v>
      </c>
      <c r="F2124" s="30" t="s">
        <v>115</v>
      </c>
      <c r="G2124" s="89">
        <f>DATE(2015,11,14)</f>
        <v>42322</v>
      </c>
      <c r="H2124" s="90">
        <v>1.6277777777777778</v>
      </c>
      <c r="I2124" s="30" t="s">
        <v>73</v>
      </c>
      <c r="J2124" s="89" t="s">
        <v>11888</v>
      </c>
      <c r="K2124" s="30" t="s">
        <v>118</v>
      </c>
      <c r="L2124" s="30" t="s">
        <v>11889</v>
      </c>
      <c r="M2124" s="30" t="s">
        <v>63</v>
      </c>
      <c r="N2124" s="30" t="s">
        <v>142</v>
      </c>
      <c r="O2124" s="30" t="s">
        <v>64</v>
      </c>
      <c r="P2124" s="89" t="s">
        <v>86</v>
      </c>
      <c r="Q2124" s="89" t="s">
        <v>118</v>
      </c>
      <c r="R2124" s="89" t="s">
        <v>118</v>
      </c>
      <c r="S2124" s="30">
        <v>2</v>
      </c>
      <c r="T2124" s="233">
        <v>9</v>
      </c>
      <c r="U2124" s="30">
        <v>0</v>
      </c>
      <c r="V2124" s="233">
        <v>0</v>
      </c>
      <c r="W2124" s="30">
        <v>0</v>
      </c>
      <c r="X2124" s="30">
        <v>11</v>
      </c>
      <c r="Y2124" s="30">
        <v>7</v>
      </c>
      <c r="Z2124" s="233">
        <v>14</v>
      </c>
      <c r="AA2124" s="30">
        <v>0</v>
      </c>
      <c r="AB2124" s="30">
        <v>0</v>
      </c>
      <c r="AC2124" s="30">
        <v>0</v>
      </c>
      <c r="AD2124" s="30">
        <v>21</v>
      </c>
      <c r="AE2124" s="89" t="s">
        <v>145</v>
      </c>
      <c r="AF2124" s="89"/>
      <c r="AG2124" s="89" t="s">
        <v>11890</v>
      </c>
      <c r="AH2124" s="72">
        <v>42324</v>
      </c>
      <c r="AI2124" s="30">
        <v>6</v>
      </c>
      <c r="AJ2124" s="89" t="s">
        <v>11891</v>
      </c>
      <c r="AK2124" s="89" t="s">
        <v>11892</v>
      </c>
      <c r="AL2124" s="91">
        <v>42325</v>
      </c>
      <c r="AM2124" s="91"/>
      <c r="AN2124" s="91"/>
      <c r="AO2124" s="91"/>
      <c r="AP2124" s="73" t="e">
        <f>MID(VLOOKUP(K2124,#REF!,2,FALSE),1,2)</f>
        <v>#REF!</v>
      </c>
      <c r="AQ2124" s="89">
        <f>DATE(2015,11,14)</f>
        <v>42322</v>
      </c>
      <c r="AR2124" s="82">
        <f t="shared" si="143"/>
        <v>14</v>
      </c>
      <c r="AS2124" s="83">
        <f t="shared" si="144"/>
        <v>11</v>
      </c>
      <c r="AT2124" s="84">
        <f t="shared" si="145"/>
        <v>2015</v>
      </c>
      <c r="AU2124" s="88">
        <f>DATE(2015,11,17)</f>
        <v>42325</v>
      </c>
      <c r="AV2124" s="88">
        <f>DATE(2015,11,16)</f>
        <v>42324</v>
      </c>
      <c r="AW2124" s="87">
        <f t="shared" si="147"/>
        <v>1</v>
      </c>
      <c r="AX2124" s="86"/>
      <c r="AY2124" s="83"/>
      <c r="AZ2124" s="84"/>
      <c r="BA2124" s="86"/>
      <c r="BB2124" s="86"/>
    </row>
    <row r="2125" spans="1:54" ht="36.75" customHeight="1">
      <c r="A2125" s="30"/>
      <c r="B2125" s="30" t="s">
        <v>55</v>
      </c>
      <c r="C2125" s="69" t="str">
        <f t="shared" si="146"/>
        <v>Closed</v>
      </c>
      <c r="D2125" s="27" t="s">
        <v>11893</v>
      </c>
      <c r="E2125" s="29" t="s">
        <v>11894</v>
      </c>
      <c r="F2125" s="30" t="s">
        <v>582</v>
      </c>
      <c r="G2125" s="89">
        <f>DATE(2015,11,16)</f>
        <v>42324</v>
      </c>
      <c r="H2125" s="90">
        <v>1.7097222222222221</v>
      </c>
      <c r="I2125" s="30" t="s">
        <v>198</v>
      </c>
      <c r="J2125" s="89" t="s">
        <v>11895</v>
      </c>
      <c r="K2125" s="30" t="s">
        <v>584</v>
      </c>
      <c r="L2125" s="30" t="s">
        <v>11896</v>
      </c>
      <c r="M2125" s="30" t="s">
        <v>63</v>
      </c>
      <c r="N2125" s="30" t="s">
        <v>142</v>
      </c>
      <c r="O2125" s="30" t="s">
        <v>77</v>
      </c>
      <c r="P2125" s="89" t="s">
        <v>165</v>
      </c>
      <c r="Q2125" s="89" t="s">
        <v>11897</v>
      </c>
      <c r="R2125" s="89" t="s">
        <v>587</v>
      </c>
      <c r="S2125" s="30">
        <v>0</v>
      </c>
      <c r="T2125" s="233">
        <v>0</v>
      </c>
      <c r="U2125" s="30">
        <v>0</v>
      </c>
      <c r="V2125" s="233">
        <v>0</v>
      </c>
      <c r="W2125" s="30">
        <v>0</v>
      </c>
      <c r="X2125" s="30">
        <v>0</v>
      </c>
      <c r="Y2125" s="30">
        <v>0</v>
      </c>
      <c r="Z2125" s="233">
        <v>0</v>
      </c>
      <c r="AA2125" s="30">
        <v>0</v>
      </c>
      <c r="AB2125" s="30">
        <v>0</v>
      </c>
      <c r="AC2125" s="30">
        <v>0</v>
      </c>
      <c r="AD2125" s="30">
        <v>0</v>
      </c>
      <c r="AE2125" s="89" t="s">
        <v>92</v>
      </c>
      <c r="AF2125" s="89"/>
      <c r="AG2125" s="89" t="s">
        <v>133</v>
      </c>
      <c r="AH2125" s="72">
        <v>42324</v>
      </c>
      <c r="AI2125" s="30">
        <v>0</v>
      </c>
      <c r="AJ2125" s="89" t="s">
        <v>11898</v>
      </c>
      <c r="AK2125" s="89" t="s">
        <v>1233</v>
      </c>
      <c r="AL2125" s="91">
        <v>42338</v>
      </c>
      <c r="AM2125" s="91"/>
      <c r="AN2125" s="91"/>
      <c r="AO2125" s="91"/>
      <c r="AP2125" s="73" t="e">
        <f>MID(VLOOKUP(K2125,#REF!,2,FALSE),1,2)</f>
        <v>#REF!</v>
      </c>
      <c r="AQ2125" s="89">
        <f>DATE(2015,11,16)</f>
        <v>42324</v>
      </c>
      <c r="AR2125" s="82">
        <f t="shared" si="143"/>
        <v>16</v>
      </c>
      <c r="AS2125" s="83">
        <f t="shared" si="144"/>
        <v>11</v>
      </c>
      <c r="AT2125" s="84">
        <f t="shared" si="145"/>
        <v>2015</v>
      </c>
      <c r="AU2125" s="88">
        <f>DATE(2015,11,30)</f>
        <v>42338</v>
      </c>
      <c r="AV2125" s="88">
        <f>DATE(2015,11,16)</f>
        <v>42324</v>
      </c>
      <c r="AW2125" s="87">
        <f t="shared" si="147"/>
        <v>14</v>
      </c>
      <c r="AX2125" s="86"/>
      <c r="AY2125" s="83"/>
      <c r="AZ2125" s="84"/>
      <c r="BA2125" s="86"/>
      <c r="BB2125" s="86"/>
    </row>
    <row r="2126" spans="1:54" ht="36.75" customHeight="1">
      <c r="A2126" s="30"/>
      <c r="B2126" s="30" t="s">
        <v>55</v>
      </c>
      <c r="C2126" s="69" t="str">
        <f t="shared" si="146"/>
        <v>Closed</v>
      </c>
      <c r="D2126" s="27" t="s">
        <v>11899</v>
      </c>
      <c r="E2126" s="29" t="s">
        <v>11900</v>
      </c>
      <c r="F2126" s="30" t="s">
        <v>582</v>
      </c>
      <c r="G2126" s="89">
        <f>DATE(2015,11,17)</f>
        <v>42325</v>
      </c>
      <c r="H2126" s="90">
        <v>1.9402777777777778</v>
      </c>
      <c r="I2126" s="30" t="s">
        <v>198</v>
      </c>
      <c r="J2126" s="89" t="s">
        <v>11901</v>
      </c>
      <c r="K2126" s="30" t="s">
        <v>584</v>
      </c>
      <c r="L2126" s="30" t="s">
        <v>11902</v>
      </c>
      <c r="M2126" s="30" t="s">
        <v>63</v>
      </c>
      <c r="N2126" s="30" t="s">
        <v>142</v>
      </c>
      <c r="O2126" s="30" t="s">
        <v>77</v>
      </c>
      <c r="P2126" s="89" t="s">
        <v>165</v>
      </c>
      <c r="Q2126" s="89" t="s">
        <v>11903</v>
      </c>
      <c r="R2126" s="89" t="s">
        <v>587</v>
      </c>
      <c r="S2126" s="30">
        <v>0</v>
      </c>
      <c r="T2126" s="233">
        <v>0</v>
      </c>
      <c r="U2126" s="30">
        <v>0</v>
      </c>
      <c r="V2126" s="233">
        <v>0</v>
      </c>
      <c r="W2126" s="30">
        <v>0</v>
      </c>
      <c r="X2126" s="30">
        <v>0</v>
      </c>
      <c r="Y2126" s="30">
        <v>0</v>
      </c>
      <c r="Z2126" s="233">
        <v>0</v>
      </c>
      <c r="AA2126" s="30">
        <v>0</v>
      </c>
      <c r="AB2126" s="30">
        <v>0</v>
      </c>
      <c r="AC2126" s="30">
        <v>0</v>
      </c>
      <c r="AD2126" s="30">
        <v>0</v>
      </c>
      <c r="AE2126" s="89" t="s">
        <v>92</v>
      </c>
      <c r="AF2126" s="89"/>
      <c r="AG2126" s="89" t="s">
        <v>133</v>
      </c>
      <c r="AH2126" s="72">
        <v>42325</v>
      </c>
      <c r="AI2126" s="30">
        <v>0</v>
      </c>
      <c r="AJ2126" s="89" t="s">
        <v>11904</v>
      </c>
      <c r="AK2126" s="89" t="s">
        <v>1233</v>
      </c>
      <c r="AL2126" s="91">
        <v>42338</v>
      </c>
      <c r="AM2126" s="91"/>
      <c r="AN2126" s="91"/>
      <c r="AO2126" s="91"/>
      <c r="AP2126" s="73" t="e">
        <f>MID(VLOOKUP(K2126,#REF!,2,FALSE),1,2)</f>
        <v>#REF!</v>
      </c>
      <c r="AQ2126" s="89">
        <f>DATE(2015,11,17)</f>
        <v>42325</v>
      </c>
      <c r="AR2126" s="82">
        <f t="shared" si="143"/>
        <v>17</v>
      </c>
      <c r="AS2126" s="83">
        <f t="shared" si="144"/>
        <v>11</v>
      </c>
      <c r="AT2126" s="84">
        <f t="shared" si="145"/>
        <v>2015</v>
      </c>
      <c r="AU2126" s="88">
        <f>DATE(2015,11,30)</f>
        <v>42338</v>
      </c>
      <c r="AV2126" s="88">
        <f>DATE(2015,11,17)</f>
        <v>42325</v>
      </c>
      <c r="AW2126" s="87">
        <f t="shared" si="147"/>
        <v>13</v>
      </c>
      <c r="AX2126" s="86"/>
      <c r="AY2126" s="83"/>
      <c r="AZ2126" s="84"/>
      <c r="BA2126" s="86"/>
      <c r="BB2126" s="86"/>
    </row>
    <row r="2127" spans="1:54" ht="36.75" customHeight="1">
      <c r="A2127" s="30"/>
      <c r="B2127" s="30" t="s">
        <v>55</v>
      </c>
      <c r="C2127" s="69" t="str">
        <f t="shared" si="146"/>
        <v>Closed</v>
      </c>
      <c r="D2127" s="27" t="s">
        <v>11905</v>
      </c>
      <c r="E2127" s="29" t="s">
        <v>11906</v>
      </c>
      <c r="F2127" s="30" t="s">
        <v>1572</v>
      </c>
      <c r="G2127" s="89">
        <f>DATE(2015,11,17)</f>
        <v>42325</v>
      </c>
      <c r="H2127" s="90">
        <v>0</v>
      </c>
      <c r="I2127" s="30" t="s">
        <v>86</v>
      </c>
      <c r="J2127" s="89" t="s">
        <v>11907</v>
      </c>
      <c r="K2127" s="30" t="s">
        <v>1574</v>
      </c>
      <c r="L2127" s="30" t="s">
        <v>11908</v>
      </c>
      <c r="M2127" s="30" t="s">
        <v>63</v>
      </c>
      <c r="N2127" s="30" t="s">
        <v>142</v>
      </c>
      <c r="O2127" s="30" t="s">
        <v>64</v>
      </c>
      <c r="P2127" s="89" t="s">
        <v>78</v>
      </c>
      <c r="Q2127" s="89" t="s">
        <v>2655</v>
      </c>
      <c r="R2127" s="89" t="s">
        <v>6434</v>
      </c>
      <c r="S2127" s="30">
        <v>0</v>
      </c>
      <c r="T2127" s="233">
        <v>0</v>
      </c>
      <c r="U2127" s="30">
        <v>0</v>
      </c>
      <c r="V2127" s="233">
        <v>0</v>
      </c>
      <c r="W2127" s="30">
        <v>0</v>
      </c>
      <c r="X2127" s="30">
        <v>0</v>
      </c>
      <c r="Y2127" s="30">
        <v>0</v>
      </c>
      <c r="Z2127" s="233">
        <v>0</v>
      </c>
      <c r="AA2127" s="30">
        <v>0</v>
      </c>
      <c r="AB2127" s="30">
        <v>0</v>
      </c>
      <c r="AC2127" s="30">
        <v>0</v>
      </c>
      <c r="AD2127" s="30">
        <v>0</v>
      </c>
      <c r="AE2127" s="89" t="s">
        <v>92</v>
      </c>
      <c r="AF2127" s="89"/>
      <c r="AG2127" s="89" t="s">
        <v>352</v>
      </c>
      <c r="AH2127" s="72">
        <v>42332</v>
      </c>
      <c r="AI2127" s="30">
        <v>2</v>
      </c>
      <c r="AJ2127" s="89" t="s">
        <v>11909</v>
      </c>
      <c r="AK2127" s="89" t="s">
        <v>11910</v>
      </c>
      <c r="AL2127" s="91">
        <v>42333</v>
      </c>
      <c r="AM2127" s="91"/>
      <c r="AN2127" s="91"/>
      <c r="AO2127" s="91"/>
      <c r="AP2127" s="73" t="e">
        <f>MID(VLOOKUP(K2127,#REF!,2,FALSE),1,2)</f>
        <v>#REF!</v>
      </c>
      <c r="AQ2127" s="89">
        <f>DATE(2015,11,19)</f>
        <v>42327</v>
      </c>
      <c r="AR2127" s="82">
        <f t="shared" si="143"/>
        <v>19</v>
      </c>
      <c r="AS2127" s="83">
        <f t="shared" si="144"/>
        <v>11</v>
      </c>
      <c r="AT2127" s="84">
        <f t="shared" si="145"/>
        <v>2015</v>
      </c>
      <c r="AU2127" s="88">
        <f>DATE(2015,11,25)</f>
        <v>42333</v>
      </c>
      <c r="AV2127" s="88">
        <f>DATE(2015,11,24)</f>
        <v>42332</v>
      </c>
      <c r="AW2127" s="87">
        <f t="shared" si="147"/>
        <v>1</v>
      </c>
      <c r="AX2127" s="88">
        <f>DATE(2015,11,25)</f>
        <v>42333</v>
      </c>
      <c r="AY2127" s="83">
        <f>MONTH(AX2127)</f>
        <v>11</v>
      </c>
      <c r="AZ2127" s="84">
        <f>YEAR(AX2127)</f>
        <v>2015</v>
      </c>
      <c r="BA2127" s="88">
        <f>DATE(2015,11,17)</f>
        <v>42325</v>
      </c>
      <c r="BB2127" s="86"/>
    </row>
    <row r="2128" spans="1:54" ht="36.75" customHeight="1">
      <c r="A2128" s="30"/>
      <c r="B2128" s="30" t="s">
        <v>55</v>
      </c>
      <c r="C2128" s="69" t="str">
        <f t="shared" si="146"/>
        <v>Closed</v>
      </c>
      <c r="D2128" s="27" t="s">
        <v>11911</v>
      </c>
      <c r="E2128" s="29" t="s">
        <v>11912</v>
      </c>
      <c r="F2128" s="30" t="s">
        <v>835</v>
      </c>
      <c r="G2128" s="89">
        <f>DATE(2015,11,19)</f>
        <v>42327</v>
      </c>
      <c r="H2128" s="90">
        <v>1.5444444444444443</v>
      </c>
      <c r="I2128" s="30" t="s">
        <v>73</v>
      </c>
      <c r="J2128" s="89" t="s">
        <v>11913</v>
      </c>
      <c r="K2128" s="30" t="s">
        <v>837</v>
      </c>
      <c r="L2128" s="30" t="s">
        <v>11914</v>
      </c>
      <c r="M2128" s="30" t="s">
        <v>63</v>
      </c>
      <c r="N2128" s="30" t="s">
        <v>142</v>
      </c>
      <c r="O2128" s="30" t="s">
        <v>90</v>
      </c>
      <c r="P2128" s="89" t="s">
        <v>78</v>
      </c>
      <c r="Q2128" s="89" t="s">
        <v>6581</v>
      </c>
      <c r="R2128" s="89" t="s">
        <v>840</v>
      </c>
      <c r="S2128" s="30">
        <v>0</v>
      </c>
      <c r="T2128" s="233">
        <v>0</v>
      </c>
      <c r="U2128" s="30">
        <v>0</v>
      </c>
      <c r="V2128" s="233">
        <v>0</v>
      </c>
      <c r="W2128" s="30">
        <v>0</v>
      </c>
      <c r="X2128" s="30">
        <v>0</v>
      </c>
      <c r="Y2128" s="30">
        <v>0</v>
      </c>
      <c r="Z2128" s="233">
        <v>0</v>
      </c>
      <c r="AA2128" s="30">
        <v>0</v>
      </c>
      <c r="AB2128" s="30">
        <v>0</v>
      </c>
      <c r="AC2128" s="30">
        <v>0</v>
      </c>
      <c r="AD2128" s="30">
        <v>0</v>
      </c>
      <c r="AE2128" s="89" t="s">
        <v>92</v>
      </c>
      <c r="AF2128" s="89"/>
      <c r="AG2128" s="89" t="s">
        <v>352</v>
      </c>
      <c r="AH2128" s="72">
        <v>42327</v>
      </c>
      <c r="AI2128" s="30">
        <v>1</v>
      </c>
      <c r="AJ2128" s="89" t="s">
        <v>11915</v>
      </c>
      <c r="AK2128" s="89" t="s">
        <v>68</v>
      </c>
      <c r="AL2128" s="91">
        <v>42328</v>
      </c>
      <c r="AM2128" s="91"/>
      <c r="AN2128" s="91"/>
      <c r="AO2128" s="91"/>
      <c r="AP2128" s="73" t="e">
        <f>MID(VLOOKUP(K2128,#REF!,2,FALSE),1,2)</f>
        <v>#REF!</v>
      </c>
      <c r="AQ2128" s="89">
        <f>DATE(2015,11,19)</f>
        <v>42327</v>
      </c>
      <c r="AR2128" s="82">
        <f t="shared" si="143"/>
        <v>19</v>
      </c>
      <c r="AS2128" s="83">
        <f t="shared" si="144"/>
        <v>11</v>
      </c>
      <c r="AT2128" s="84">
        <f t="shared" si="145"/>
        <v>2015</v>
      </c>
      <c r="AU2128" s="88">
        <f>DATE(2015,11,20)</f>
        <v>42328</v>
      </c>
      <c r="AV2128" s="88">
        <f>DATE(2015,11,19)</f>
        <v>42327</v>
      </c>
      <c r="AW2128" s="87">
        <f t="shared" si="147"/>
        <v>1</v>
      </c>
      <c r="AX2128" s="88">
        <f>DATE(2015,11,19)</f>
        <v>42327</v>
      </c>
      <c r="AY2128" s="83">
        <f>MONTH(AX2128)</f>
        <v>11</v>
      </c>
      <c r="AZ2128" s="84">
        <f>YEAR(AX2128)</f>
        <v>2015</v>
      </c>
      <c r="BA2128" s="88">
        <f>DATE(2015,11,19)</f>
        <v>42327</v>
      </c>
      <c r="BB2128" s="86"/>
    </row>
    <row r="2129" spans="1:54" ht="36.75" customHeight="1">
      <c r="A2129" s="30"/>
      <c r="B2129" s="30" t="s">
        <v>55</v>
      </c>
      <c r="C2129" s="69" t="str">
        <f t="shared" si="146"/>
        <v>Closed</v>
      </c>
      <c r="D2129" s="27" t="s">
        <v>11916</v>
      </c>
      <c r="E2129" s="29" t="s">
        <v>11917</v>
      </c>
      <c r="F2129" s="30" t="s">
        <v>1572</v>
      </c>
      <c r="G2129" s="89">
        <f>DATE(2015,11,19)</f>
        <v>42327</v>
      </c>
      <c r="H2129" s="90">
        <v>1.0694444444444444</v>
      </c>
      <c r="I2129" s="30" t="s">
        <v>73</v>
      </c>
      <c r="J2129" s="89" t="s">
        <v>11918</v>
      </c>
      <c r="K2129" s="30" t="s">
        <v>1574</v>
      </c>
      <c r="L2129" s="30" t="s">
        <v>11919</v>
      </c>
      <c r="M2129" s="30" t="s">
        <v>63</v>
      </c>
      <c r="N2129" s="30" t="s">
        <v>142</v>
      </c>
      <c r="O2129" s="30" t="s">
        <v>64</v>
      </c>
      <c r="P2129" s="89" t="s">
        <v>78</v>
      </c>
      <c r="Q2129" s="89" t="s">
        <v>1584</v>
      </c>
      <c r="R2129" s="89" t="s">
        <v>6434</v>
      </c>
      <c r="S2129" s="30">
        <v>0</v>
      </c>
      <c r="T2129" s="233">
        <v>0</v>
      </c>
      <c r="U2129" s="30">
        <v>0</v>
      </c>
      <c r="V2129" s="233">
        <v>0</v>
      </c>
      <c r="W2129" s="30">
        <v>0</v>
      </c>
      <c r="X2129" s="30">
        <v>0</v>
      </c>
      <c r="Y2129" s="30">
        <v>0</v>
      </c>
      <c r="Z2129" s="233">
        <v>0</v>
      </c>
      <c r="AA2129" s="30">
        <v>0</v>
      </c>
      <c r="AB2129" s="30">
        <v>0</v>
      </c>
      <c r="AC2129" s="30">
        <v>0</v>
      </c>
      <c r="AD2129" s="30">
        <v>0</v>
      </c>
      <c r="AE2129" s="89" t="s">
        <v>394</v>
      </c>
      <c r="AF2129" s="89"/>
      <c r="AG2129" s="89" t="s">
        <v>133</v>
      </c>
      <c r="AH2129" s="72">
        <v>42331</v>
      </c>
      <c r="AI2129" s="30">
        <v>0</v>
      </c>
      <c r="AJ2129" s="89" t="s">
        <v>11920</v>
      </c>
      <c r="AK2129" s="89" t="s">
        <v>11921</v>
      </c>
      <c r="AL2129" s="91">
        <v>42331</v>
      </c>
      <c r="AM2129" s="91"/>
      <c r="AN2129" s="91"/>
      <c r="AO2129" s="91"/>
      <c r="AP2129" s="73" t="e">
        <f>MID(VLOOKUP(K2129,#REF!,2,FALSE),1,2)</f>
        <v>#REF!</v>
      </c>
      <c r="AQ2129" s="89">
        <f>DATE(2015,11,19)</f>
        <v>42327</v>
      </c>
      <c r="AR2129" s="82">
        <f t="shared" si="143"/>
        <v>19</v>
      </c>
      <c r="AS2129" s="83">
        <f t="shared" si="144"/>
        <v>11</v>
      </c>
      <c r="AT2129" s="84">
        <f t="shared" si="145"/>
        <v>2015</v>
      </c>
      <c r="AU2129" s="88">
        <f>DATE(2015,11,23)</f>
        <v>42331</v>
      </c>
      <c r="AV2129" s="88">
        <f>DATE(2015,11,23)</f>
        <v>42331</v>
      </c>
      <c r="AW2129" s="87">
        <f t="shared" si="147"/>
        <v>0</v>
      </c>
      <c r="AX2129" s="88">
        <f>DATE(2015,11,24)</f>
        <v>42332</v>
      </c>
      <c r="AY2129" s="83">
        <f>MONTH(AX2129)</f>
        <v>11</v>
      </c>
      <c r="AZ2129" s="84">
        <f>YEAR(AX2129)</f>
        <v>2015</v>
      </c>
      <c r="BA2129" s="88">
        <f>DATE(2015,11,19)</f>
        <v>42327</v>
      </c>
      <c r="BB2129" s="86"/>
    </row>
    <row r="2130" spans="1:54" ht="36.75" customHeight="1">
      <c r="A2130" s="30"/>
      <c r="B2130" s="30" t="s">
        <v>55</v>
      </c>
      <c r="C2130" s="69" t="str">
        <f t="shared" si="146"/>
        <v>Closed</v>
      </c>
      <c r="D2130" s="27" t="s">
        <v>11922</v>
      </c>
      <c r="E2130" s="29" t="s">
        <v>11923</v>
      </c>
      <c r="F2130" s="30" t="s">
        <v>582</v>
      </c>
      <c r="G2130" s="89">
        <f>DATE(2015,11,20)</f>
        <v>42328</v>
      </c>
      <c r="H2130" s="90">
        <v>1.5722222222222222</v>
      </c>
      <c r="I2130" s="30" t="s">
        <v>198</v>
      </c>
      <c r="J2130" s="89" t="s">
        <v>11924</v>
      </c>
      <c r="K2130" s="30" t="s">
        <v>584</v>
      </c>
      <c r="L2130" s="30" t="s">
        <v>11925</v>
      </c>
      <c r="M2130" s="30" t="s">
        <v>63</v>
      </c>
      <c r="N2130" s="30" t="s">
        <v>142</v>
      </c>
      <c r="O2130" s="30" t="s">
        <v>77</v>
      </c>
      <c r="P2130" s="89" t="s">
        <v>78</v>
      </c>
      <c r="Q2130" s="89" t="s">
        <v>586</v>
      </c>
      <c r="R2130" s="89" t="s">
        <v>587</v>
      </c>
      <c r="S2130" s="30">
        <v>0</v>
      </c>
      <c r="T2130" s="233">
        <v>0</v>
      </c>
      <c r="U2130" s="30">
        <v>0</v>
      </c>
      <c r="V2130" s="233">
        <v>0</v>
      </c>
      <c r="W2130" s="30">
        <v>0</v>
      </c>
      <c r="X2130" s="30">
        <v>0</v>
      </c>
      <c r="Y2130" s="30">
        <v>0</v>
      </c>
      <c r="Z2130" s="233">
        <v>0</v>
      </c>
      <c r="AA2130" s="30">
        <v>0</v>
      </c>
      <c r="AB2130" s="30">
        <v>0</v>
      </c>
      <c r="AC2130" s="30">
        <v>0</v>
      </c>
      <c r="AD2130" s="30">
        <v>0</v>
      </c>
      <c r="AE2130" s="89" t="s">
        <v>92</v>
      </c>
      <c r="AF2130" s="89"/>
      <c r="AG2130" s="89" t="s">
        <v>133</v>
      </c>
      <c r="AH2130" s="72">
        <v>42328</v>
      </c>
      <c r="AI2130" s="30">
        <v>0</v>
      </c>
      <c r="AJ2130" s="89" t="s">
        <v>11926</v>
      </c>
      <c r="AK2130" s="89" t="s">
        <v>1233</v>
      </c>
      <c r="AL2130" s="91">
        <v>42338</v>
      </c>
      <c r="AM2130" s="91"/>
      <c r="AN2130" s="91"/>
      <c r="AO2130" s="91"/>
      <c r="AP2130" s="73" t="e">
        <f>MID(VLOOKUP(K2130,#REF!,2,FALSE),1,2)</f>
        <v>#REF!</v>
      </c>
      <c r="AQ2130" s="89">
        <f>DATE(2015,11,20)</f>
        <v>42328</v>
      </c>
      <c r="AR2130" s="82">
        <f t="shared" si="143"/>
        <v>20</v>
      </c>
      <c r="AS2130" s="83">
        <f t="shared" si="144"/>
        <v>11</v>
      </c>
      <c r="AT2130" s="84">
        <f t="shared" si="145"/>
        <v>2015</v>
      </c>
      <c r="AU2130" s="88">
        <f>DATE(2015,11,30)</f>
        <v>42338</v>
      </c>
      <c r="AV2130" s="88">
        <f>DATE(2015,11,20)</f>
        <v>42328</v>
      </c>
      <c r="AW2130" s="87">
        <f t="shared" si="147"/>
        <v>10</v>
      </c>
      <c r="AX2130" s="86"/>
      <c r="AY2130" s="83"/>
      <c r="AZ2130" s="84"/>
      <c r="BA2130" s="86"/>
      <c r="BB2130" s="86"/>
    </row>
    <row r="2131" spans="1:54" ht="36.75" customHeight="1">
      <c r="A2131" s="30"/>
      <c r="B2131" s="30" t="s">
        <v>55</v>
      </c>
      <c r="C2131" s="69" t="str">
        <f t="shared" si="146"/>
        <v>Closed</v>
      </c>
      <c r="D2131" s="27" t="s">
        <v>11927</v>
      </c>
      <c r="E2131" s="29" t="s">
        <v>11928</v>
      </c>
      <c r="F2131" s="30" t="s">
        <v>638</v>
      </c>
      <c r="G2131" s="89">
        <f>DATE(2015,11,20)</f>
        <v>42328</v>
      </c>
      <c r="H2131" s="90">
        <v>1.8493055555555555</v>
      </c>
      <c r="I2131" s="30" t="s">
        <v>73</v>
      </c>
      <c r="J2131" s="89" t="s">
        <v>11929</v>
      </c>
      <c r="K2131" s="30" t="s">
        <v>640</v>
      </c>
      <c r="L2131" s="30" t="s">
        <v>11930</v>
      </c>
      <c r="M2131" s="30" t="s">
        <v>63</v>
      </c>
      <c r="N2131" s="30" t="s">
        <v>99</v>
      </c>
      <c r="O2131" s="30" t="s">
        <v>64</v>
      </c>
      <c r="P2131" s="89" t="s">
        <v>78</v>
      </c>
      <c r="Q2131" s="89" t="s">
        <v>4904</v>
      </c>
      <c r="R2131" s="89" t="s">
        <v>643</v>
      </c>
      <c r="S2131" s="30">
        <v>0</v>
      </c>
      <c r="T2131" s="233">
        <v>0</v>
      </c>
      <c r="U2131" s="30">
        <v>0</v>
      </c>
      <c r="V2131" s="233">
        <v>0</v>
      </c>
      <c r="W2131" s="30">
        <v>0</v>
      </c>
      <c r="X2131" s="30">
        <v>0</v>
      </c>
      <c r="Y2131" s="30">
        <v>0</v>
      </c>
      <c r="Z2131" s="233">
        <v>0</v>
      </c>
      <c r="AA2131" s="30">
        <v>0</v>
      </c>
      <c r="AB2131" s="30">
        <v>0</v>
      </c>
      <c r="AC2131" s="30">
        <v>0</v>
      </c>
      <c r="AD2131" s="30">
        <v>0</v>
      </c>
      <c r="AE2131" s="89" t="s">
        <v>92</v>
      </c>
      <c r="AF2131" s="89"/>
      <c r="AG2131" s="89" t="s">
        <v>352</v>
      </c>
      <c r="AH2131" s="72">
        <v>42360</v>
      </c>
      <c r="AI2131" s="30">
        <v>2</v>
      </c>
      <c r="AJ2131" s="89" t="s">
        <v>11931</v>
      </c>
      <c r="AK2131" s="89" t="s">
        <v>68</v>
      </c>
      <c r="AL2131" s="91">
        <v>42367</v>
      </c>
      <c r="AM2131" s="91"/>
      <c r="AN2131" s="91"/>
      <c r="AO2131" s="91"/>
      <c r="AP2131" s="73" t="e">
        <f>MID(VLOOKUP(K2131,#REF!,2,FALSE),1,2)</f>
        <v>#REF!</v>
      </c>
      <c r="AQ2131" s="89">
        <f>DATE(2015,11,20)</f>
        <v>42328</v>
      </c>
      <c r="AR2131" s="82">
        <f t="shared" si="143"/>
        <v>20</v>
      </c>
      <c r="AS2131" s="83">
        <f t="shared" si="144"/>
        <v>11</v>
      </c>
      <c r="AT2131" s="84">
        <f t="shared" si="145"/>
        <v>2015</v>
      </c>
      <c r="AU2131" s="88">
        <f>DATE(2015,12,29)</f>
        <v>42367</v>
      </c>
      <c r="AV2131" s="88">
        <f>DATE(2015,12,22)</f>
        <v>42360</v>
      </c>
      <c r="AW2131" s="87">
        <f t="shared" si="147"/>
        <v>7</v>
      </c>
      <c r="AX2131" s="86"/>
      <c r="AY2131" s="83"/>
      <c r="AZ2131" s="84"/>
      <c r="BA2131" s="86"/>
      <c r="BB2131" s="86"/>
    </row>
    <row r="2132" spans="1:54" ht="36.75" customHeight="1">
      <c r="A2132" s="30"/>
      <c r="B2132" s="30" t="s">
        <v>55</v>
      </c>
      <c r="C2132" s="69" t="str">
        <f t="shared" si="146"/>
        <v>Closed</v>
      </c>
      <c r="D2132" s="27" t="s">
        <v>11932</v>
      </c>
      <c r="E2132" s="29" t="s">
        <v>11933</v>
      </c>
      <c r="F2132" s="30" t="s">
        <v>835</v>
      </c>
      <c r="G2132" s="89">
        <f>DATE(2015,11,24)</f>
        <v>42332</v>
      </c>
      <c r="H2132" s="90">
        <v>1.5694444444444444</v>
      </c>
      <c r="I2132" s="30" t="s">
        <v>2078</v>
      </c>
      <c r="J2132" s="89" t="s">
        <v>11934</v>
      </c>
      <c r="K2132" s="30" t="s">
        <v>837</v>
      </c>
      <c r="L2132" s="30" t="s">
        <v>11935</v>
      </c>
      <c r="M2132" s="30" t="s">
        <v>63</v>
      </c>
      <c r="N2132" s="30" t="s">
        <v>99</v>
      </c>
      <c r="O2132" s="30" t="s">
        <v>64</v>
      </c>
      <c r="P2132" s="89" t="s">
        <v>11936</v>
      </c>
      <c r="Q2132" s="89" t="s">
        <v>11937</v>
      </c>
      <c r="R2132" s="89" t="s">
        <v>840</v>
      </c>
      <c r="S2132" s="30">
        <v>0</v>
      </c>
      <c r="T2132" s="233">
        <v>0</v>
      </c>
      <c r="U2132" s="30">
        <v>0</v>
      </c>
      <c r="V2132" s="233">
        <v>0</v>
      </c>
      <c r="W2132" s="30">
        <v>0</v>
      </c>
      <c r="X2132" s="30">
        <v>0</v>
      </c>
      <c r="Y2132" s="30">
        <v>0</v>
      </c>
      <c r="Z2132" s="233">
        <v>0</v>
      </c>
      <c r="AA2132" s="30">
        <v>0</v>
      </c>
      <c r="AB2132" s="30">
        <v>0</v>
      </c>
      <c r="AC2132" s="30">
        <v>0</v>
      </c>
      <c r="AD2132" s="30">
        <v>0</v>
      </c>
      <c r="AE2132" s="89" t="s">
        <v>92</v>
      </c>
      <c r="AF2132" s="89"/>
      <c r="AG2132" s="89" t="s">
        <v>133</v>
      </c>
      <c r="AH2132" s="72">
        <v>42332</v>
      </c>
      <c r="AI2132" s="30">
        <v>0</v>
      </c>
      <c r="AJ2132" s="89" t="s">
        <v>8641</v>
      </c>
      <c r="AK2132" s="89" t="s">
        <v>68</v>
      </c>
      <c r="AL2132" s="91">
        <v>42338</v>
      </c>
      <c r="AM2132" s="91"/>
      <c r="AN2132" s="91"/>
      <c r="AO2132" s="91"/>
      <c r="AP2132" s="73" t="e">
        <f>MID(VLOOKUP(K2132,#REF!,2,FALSE),1,2)</f>
        <v>#REF!</v>
      </c>
      <c r="AQ2132" s="89">
        <f>DATE(2015,11,24)</f>
        <v>42332</v>
      </c>
      <c r="AR2132" s="82">
        <f t="shared" si="143"/>
        <v>24</v>
      </c>
      <c r="AS2132" s="83">
        <f t="shared" si="144"/>
        <v>11</v>
      </c>
      <c r="AT2132" s="84">
        <f t="shared" si="145"/>
        <v>2015</v>
      </c>
      <c r="AU2132" s="88">
        <f>DATE(2015,11,30)</f>
        <v>42338</v>
      </c>
      <c r="AV2132" s="88">
        <f>DATE(2015,11,24)</f>
        <v>42332</v>
      </c>
      <c r="AW2132" s="87">
        <f t="shared" si="147"/>
        <v>6</v>
      </c>
      <c r="AX2132" s="88">
        <f>DATE(2015,11,24)</f>
        <v>42332</v>
      </c>
      <c r="AY2132" s="83">
        <f>MONTH(AX2132)</f>
        <v>11</v>
      </c>
      <c r="AZ2132" s="84">
        <f>YEAR(AX2132)</f>
        <v>2015</v>
      </c>
      <c r="BA2132" s="88">
        <f>DATE(2015,11,24)</f>
        <v>42332</v>
      </c>
      <c r="BB2132" s="86"/>
    </row>
    <row r="2133" spans="1:54" ht="36.75" customHeight="1">
      <c r="A2133" s="30"/>
      <c r="B2133" s="30" t="s">
        <v>55</v>
      </c>
      <c r="C2133" s="69" t="str">
        <f t="shared" si="146"/>
        <v>Closed</v>
      </c>
      <c r="D2133" s="27" t="s">
        <v>11938</v>
      </c>
      <c r="E2133" s="29" t="s">
        <v>11939</v>
      </c>
      <c r="F2133" s="30" t="s">
        <v>1770</v>
      </c>
      <c r="G2133" s="89">
        <f>DATE(2015,11,25)</f>
        <v>42333</v>
      </c>
      <c r="H2133" s="90">
        <v>1.5590277777777777</v>
      </c>
      <c r="I2133" s="30" t="s">
        <v>116</v>
      </c>
      <c r="J2133" s="89" t="s">
        <v>11940</v>
      </c>
      <c r="K2133" s="30" t="s">
        <v>1772</v>
      </c>
      <c r="L2133" s="30" t="s">
        <v>11941</v>
      </c>
      <c r="M2133" s="30" t="s">
        <v>63</v>
      </c>
      <c r="N2133" s="30" t="s">
        <v>142</v>
      </c>
      <c r="O2133" s="30" t="s">
        <v>64</v>
      </c>
      <c r="P2133" s="89" t="s">
        <v>165</v>
      </c>
      <c r="Q2133" s="89" t="s">
        <v>4289</v>
      </c>
      <c r="R2133" s="89" t="s">
        <v>1775</v>
      </c>
      <c r="S2133" s="30">
        <v>0</v>
      </c>
      <c r="T2133" s="233">
        <v>0</v>
      </c>
      <c r="U2133" s="30">
        <v>1</v>
      </c>
      <c r="V2133" s="233">
        <v>0</v>
      </c>
      <c r="W2133" s="30">
        <v>0</v>
      </c>
      <c r="X2133" s="30">
        <v>1</v>
      </c>
      <c r="Y2133" s="30">
        <v>0</v>
      </c>
      <c r="Z2133" s="233">
        <v>0</v>
      </c>
      <c r="AA2133" s="30">
        <v>0</v>
      </c>
      <c r="AB2133" s="30">
        <v>0</v>
      </c>
      <c r="AC2133" s="30">
        <v>0</v>
      </c>
      <c r="AD2133" s="30">
        <v>0</v>
      </c>
      <c r="AE2133" s="89" t="s">
        <v>394</v>
      </c>
      <c r="AF2133" s="89"/>
      <c r="AG2133" s="89" t="s">
        <v>82</v>
      </c>
      <c r="AH2133" s="72">
        <v>42340</v>
      </c>
      <c r="AI2133" s="30">
        <v>0</v>
      </c>
      <c r="AJ2133" s="89" t="s">
        <v>11942</v>
      </c>
      <c r="AK2133" s="89" t="s">
        <v>11943</v>
      </c>
      <c r="AL2133" s="91">
        <v>42668</v>
      </c>
      <c r="AM2133" s="91"/>
      <c r="AN2133" s="91"/>
      <c r="AO2133" s="91"/>
      <c r="AP2133" s="73" t="e">
        <f>MID(VLOOKUP(K2133,#REF!,2,FALSE),1,2)</f>
        <v>#REF!</v>
      </c>
      <c r="AQ2133" s="89">
        <f>DATE(2015,11,25)</f>
        <v>42333</v>
      </c>
      <c r="AR2133" s="82">
        <f t="shared" si="143"/>
        <v>25</v>
      </c>
      <c r="AS2133" s="83">
        <f t="shared" si="144"/>
        <v>11</v>
      </c>
      <c r="AT2133" s="84">
        <f t="shared" si="145"/>
        <v>2015</v>
      </c>
      <c r="AU2133" s="88">
        <f>DATE(2016,10,25)</f>
        <v>42668</v>
      </c>
      <c r="AV2133" s="88">
        <f>DATE(2015,12,2)</f>
        <v>42340</v>
      </c>
      <c r="AW2133" s="87">
        <f t="shared" si="147"/>
        <v>328</v>
      </c>
      <c r="AX2133" s="86"/>
      <c r="AY2133" s="83"/>
      <c r="AZ2133" s="84"/>
      <c r="BA2133" s="88">
        <f>DATE(2015,12,2)</f>
        <v>42340</v>
      </c>
      <c r="BB2133" s="86"/>
    </row>
    <row r="2134" spans="1:54" ht="36.75" customHeight="1">
      <c r="A2134" s="30"/>
      <c r="B2134" s="30" t="s">
        <v>55</v>
      </c>
      <c r="C2134" s="69" t="str">
        <f t="shared" si="146"/>
        <v>Closed</v>
      </c>
      <c r="D2134" s="27" t="s">
        <v>11944</v>
      </c>
      <c r="E2134" s="29" t="s">
        <v>11945</v>
      </c>
      <c r="F2134" s="30" t="s">
        <v>451</v>
      </c>
      <c r="G2134" s="89">
        <f>DATE(2015,11,26)</f>
        <v>42334</v>
      </c>
      <c r="H2134" s="90">
        <v>1.0888888888888888</v>
      </c>
      <c r="I2134" s="30" t="s">
        <v>278</v>
      </c>
      <c r="J2134" s="89" t="s">
        <v>11946</v>
      </c>
      <c r="K2134" s="30" t="s">
        <v>453</v>
      </c>
      <c r="L2134" s="30" t="s">
        <v>11947</v>
      </c>
      <c r="M2134" s="30" t="s">
        <v>63</v>
      </c>
      <c r="N2134" s="30" t="s">
        <v>142</v>
      </c>
      <c r="O2134" s="30" t="s">
        <v>77</v>
      </c>
      <c r="P2134" s="89" t="s">
        <v>65</v>
      </c>
      <c r="Q2134" s="89" t="s">
        <v>571</v>
      </c>
      <c r="R2134" s="89" t="s">
        <v>572</v>
      </c>
      <c r="S2134" s="30">
        <v>0</v>
      </c>
      <c r="T2134" s="233">
        <v>0</v>
      </c>
      <c r="U2134" s="30">
        <v>0</v>
      </c>
      <c r="V2134" s="233">
        <v>1</v>
      </c>
      <c r="W2134" s="30">
        <v>0</v>
      </c>
      <c r="X2134" s="30">
        <v>1</v>
      </c>
      <c r="Y2134" s="30">
        <v>0</v>
      </c>
      <c r="Z2134" s="233">
        <v>0</v>
      </c>
      <c r="AA2134" s="30">
        <v>0</v>
      </c>
      <c r="AB2134" s="30">
        <v>0</v>
      </c>
      <c r="AC2134" s="30">
        <v>0</v>
      </c>
      <c r="AD2134" s="30">
        <v>0</v>
      </c>
      <c r="AE2134" s="89" t="s">
        <v>92</v>
      </c>
      <c r="AF2134" s="89"/>
      <c r="AG2134" s="89" t="s">
        <v>82</v>
      </c>
      <c r="AH2134" s="72">
        <v>42338</v>
      </c>
      <c r="AI2134" s="30">
        <v>0</v>
      </c>
      <c r="AJ2134" s="89" t="s">
        <v>11948</v>
      </c>
      <c r="AK2134" s="89" t="s">
        <v>68</v>
      </c>
      <c r="AL2134" s="91">
        <v>43356</v>
      </c>
      <c r="AM2134" s="91"/>
      <c r="AN2134" s="91"/>
      <c r="AO2134" s="91"/>
      <c r="AP2134" s="73" t="e">
        <f>MID(VLOOKUP(K2134,#REF!,2,FALSE),1,2)</f>
        <v>#REF!</v>
      </c>
      <c r="AQ2134" s="89">
        <f>DATE(2015,11,26)</f>
        <v>42334</v>
      </c>
      <c r="AR2134" s="82">
        <f t="shared" si="143"/>
        <v>26</v>
      </c>
      <c r="AS2134" s="83">
        <f t="shared" si="144"/>
        <v>11</v>
      </c>
      <c r="AT2134" s="84">
        <f t="shared" si="145"/>
        <v>2015</v>
      </c>
      <c r="AU2134" s="86"/>
      <c r="AV2134" s="86"/>
      <c r="AW2134" s="87">
        <f t="shared" si="147"/>
        <v>0</v>
      </c>
      <c r="AX2134" s="86"/>
      <c r="AY2134" s="83"/>
      <c r="AZ2134" s="84"/>
      <c r="BA2134" s="86"/>
      <c r="BB2134" s="86"/>
    </row>
    <row r="2135" spans="1:54" ht="36.75" customHeight="1">
      <c r="A2135" s="30"/>
      <c r="B2135" s="30" t="s">
        <v>55</v>
      </c>
      <c r="C2135" s="69" t="str">
        <f t="shared" si="146"/>
        <v>Closed</v>
      </c>
      <c r="D2135" s="27" t="s">
        <v>11949</v>
      </c>
      <c r="E2135" s="29" t="s">
        <v>11950</v>
      </c>
      <c r="F2135" s="30" t="s">
        <v>6455</v>
      </c>
      <c r="G2135" s="89">
        <f>DATE(2015,11,28)</f>
        <v>42336</v>
      </c>
      <c r="H2135" s="90">
        <v>1.0881944444444445</v>
      </c>
      <c r="I2135" s="30" t="s">
        <v>198</v>
      </c>
      <c r="J2135" s="89" t="s">
        <v>11951</v>
      </c>
      <c r="K2135" s="30" t="s">
        <v>584</v>
      </c>
      <c r="L2135" s="30" t="s">
        <v>11952</v>
      </c>
      <c r="M2135" s="30" t="s">
        <v>63</v>
      </c>
      <c r="N2135" s="30" t="s">
        <v>142</v>
      </c>
      <c r="O2135" s="30" t="s">
        <v>77</v>
      </c>
      <c r="P2135" s="89" t="s">
        <v>78</v>
      </c>
      <c r="Q2135" s="89" t="s">
        <v>11953</v>
      </c>
      <c r="R2135" s="89" t="s">
        <v>587</v>
      </c>
      <c r="S2135" s="30">
        <v>0</v>
      </c>
      <c r="T2135" s="233">
        <v>1</v>
      </c>
      <c r="U2135" s="30">
        <v>0</v>
      </c>
      <c r="V2135" s="233">
        <v>0</v>
      </c>
      <c r="W2135" s="30">
        <v>0</v>
      </c>
      <c r="X2135" s="30">
        <v>1</v>
      </c>
      <c r="Y2135" s="30">
        <v>0</v>
      </c>
      <c r="Z2135" s="233">
        <v>0</v>
      </c>
      <c r="AA2135" s="30">
        <v>0</v>
      </c>
      <c r="AB2135" s="30">
        <v>0</v>
      </c>
      <c r="AC2135" s="30">
        <v>0</v>
      </c>
      <c r="AD2135" s="30">
        <v>0</v>
      </c>
      <c r="AE2135" s="89" t="s">
        <v>92</v>
      </c>
      <c r="AF2135" s="89" t="s">
        <v>11954</v>
      </c>
      <c r="AG2135" s="89" t="s">
        <v>6459</v>
      </c>
      <c r="AH2135" s="72">
        <v>42336</v>
      </c>
      <c r="AI2135" s="30">
        <v>0</v>
      </c>
      <c r="AJ2135" s="89" t="s">
        <v>11955</v>
      </c>
      <c r="AK2135" s="89" t="s">
        <v>10569</v>
      </c>
      <c r="AL2135" s="91">
        <v>42338</v>
      </c>
      <c r="AM2135" s="91"/>
      <c r="AN2135" s="91">
        <v>44893</v>
      </c>
      <c r="AO2135" s="91">
        <v>44893</v>
      </c>
      <c r="AP2135" s="73" t="e">
        <f>MID(VLOOKUP(K2135,#REF!,2,FALSE),1,2)</f>
        <v>#REF!</v>
      </c>
      <c r="AQ2135" s="89">
        <f>DATE(2015,11,28)</f>
        <v>42336</v>
      </c>
      <c r="AR2135" s="82">
        <f t="shared" si="143"/>
        <v>28</v>
      </c>
      <c r="AS2135" s="83">
        <f t="shared" si="144"/>
        <v>11</v>
      </c>
      <c r="AT2135" s="84">
        <f t="shared" si="145"/>
        <v>2015</v>
      </c>
      <c r="AU2135" s="88">
        <f>DATE(2015,11,30)</f>
        <v>42338</v>
      </c>
      <c r="AV2135" s="88">
        <f>DATE(2015,11,28)</f>
        <v>42336</v>
      </c>
      <c r="AW2135" s="87">
        <f t="shared" si="147"/>
        <v>2</v>
      </c>
      <c r="AX2135" s="86"/>
      <c r="AY2135" s="83"/>
      <c r="AZ2135" s="84"/>
      <c r="BA2135" s="86"/>
      <c r="BB2135" s="86"/>
    </row>
    <row r="2136" spans="1:54" ht="36.75" customHeight="1">
      <c r="A2136" s="30"/>
      <c r="B2136" s="30" t="s">
        <v>55</v>
      </c>
      <c r="C2136" s="69" t="str">
        <f t="shared" si="146"/>
        <v>Closed</v>
      </c>
      <c r="D2136" s="27" t="s">
        <v>11956</v>
      </c>
      <c r="E2136" s="29" t="s">
        <v>11957</v>
      </c>
      <c r="F2136" s="30" t="s">
        <v>835</v>
      </c>
      <c r="G2136" s="89">
        <f>DATE(2015,11,28)</f>
        <v>42336</v>
      </c>
      <c r="H2136" s="90">
        <v>1.5729166666666665</v>
      </c>
      <c r="I2136" s="30" t="s">
        <v>73</v>
      </c>
      <c r="J2136" s="89" t="s">
        <v>11958</v>
      </c>
      <c r="K2136" s="30" t="s">
        <v>837</v>
      </c>
      <c r="L2136" s="30" t="s">
        <v>11959</v>
      </c>
      <c r="M2136" s="30" t="s">
        <v>9919</v>
      </c>
      <c r="N2136" s="30" t="s">
        <v>99</v>
      </c>
      <c r="O2136" s="30" t="s">
        <v>64</v>
      </c>
      <c r="P2136" s="89" t="s">
        <v>165</v>
      </c>
      <c r="Q2136" s="89" t="s">
        <v>2162</v>
      </c>
      <c r="R2136" s="89" t="s">
        <v>840</v>
      </c>
      <c r="S2136" s="30">
        <v>0</v>
      </c>
      <c r="T2136" s="233">
        <v>0</v>
      </c>
      <c r="U2136" s="30">
        <v>0</v>
      </c>
      <c r="V2136" s="233">
        <v>0</v>
      </c>
      <c r="W2136" s="30">
        <v>0</v>
      </c>
      <c r="X2136" s="30">
        <v>0</v>
      </c>
      <c r="Y2136" s="30">
        <v>0</v>
      </c>
      <c r="Z2136" s="233">
        <v>0</v>
      </c>
      <c r="AA2136" s="30">
        <v>0</v>
      </c>
      <c r="AB2136" s="30">
        <v>0</v>
      </c>
      <c r="AC2136" s="30">
        <v>0</v>
      </c>
      <c r="AD2136" s="30">
        <v>0</v>
      </c>
      <c r="AE2136" s="89" t="s">
        <v>92</v>
      </c>
      <c r="AF2136" s="89"/>
      <c r="AG2136" s="89" t="s">
        <v>352</v>
      </c>
      <c r="AH2136" s="72">
        <v>42336</v>
      </c>
      <c r="AI2136" s="30">
        <v>0</v>
      </c>
      <c r="AJ2136" s="89" t="s">
        <v>11960</v>
      </c>
      <c r="AK2136" s="89" t="s">
        <v>68</v>
      </c>
      <c r="AL2136" s="91">
        <v>42342</v>
      </c>
      <c r="AM2136" s="91"/>
      <c r="AN2136" s="91"/>
      <c r="AO2136" s="91"/>
      <c r="AP2136" s="73" t="e">
        <f>MID(VLOOKUP(K2136,#REF!,2,FALSE),1,2)</f>
        <v>#REF!</v>
      </c>
      <c r="AQ2136" s="89">
        <f>DATE(2015,11,28)</f>
        <v>42336</v>
      </c>
      <c r="AR2136" s="82">
        <f t="shared" si="143"/>
        <v>28</v>
      </c>
      <c r="AS2136" s="83">
        <f t="shared" si="144"/>
        <v>11</v>
      </c>
      <c r="AT2136" s="84">
        <f t="shared" si="145"/>
        <v>2015</v>
      </c>
      <c r="AU2136" s="88">
        <f>DATE(2015,12,4)</f>
        <v>42342</v>
      </c>
      <c r="AV2136" s="88">
        <f>DATE(2015,11,28)</f>
        <v>42336</v>
      </c>
      <c r="AW2136" s="87">
        <f t="shared" si="147"/>
        <v>6</v>
      </c>
      <c r="AX2136" s="88">
        <f>DATE(2015,11,28)</f>
        <v>42336</v>
      </c>
      <c r="AY2136" s="83">
        <f>MONTH(AX2136)</f>
        <v>11</v>
      </c>
      <c r="AZ2136" s="84">
        <f>YEAR(AX2136)</f>
        <v>2015</v>
      </c>
      <c r="BA2136" s="88">
        <f>DATE(2015,11,28)</f>
        <v>42336</v>
      </c>
      <c r="BB2136" s="86"/>
    </row>
    <row r="2137" spans="1:54" ht="36.75" customHeight="1">
      <c r="A2137" s="30"/>
      <c r="B2137" s="30" t="s">
        <v>55</v>
      </c>
      <c r="C2137" s="69" t="str">
        <f t="shared" si="146"/>
        <v>Closed</v>
      </c>
      <c r="D2137" s="27" t="s">
        <v>11961</v>
      </c>
      <c r="E2137" s="29" t="s">
        <v>11962</v>
      </c>
      <c r="F2137" s="30" t="s">
        <v>835</v>
      </c>
      <c r="G2137" s="89">
        <f>DATE(2015,11,30)</f>
        <v>42338</v>
      </c>
      <c r="H2137" s="90">
        <v>1.6263888888888889</v>
      </c>
      <c r="I2137" s="30" t="s">
        <v>116</v>
      </c>
      <c r="J2137" s="89" t="s">
        <v>11963</v>
      </c>
      <c r="K2137" s="30" t="s">
        <v>837</v>
      </c>
      <c r="L2137" s="30" t="s">
        <v>11964</v>
      </c>
      <c r="M2137" s="30" t="s">
        <v>63</v>
      </c>
      <c r="N2137" s="30" t="s">
        <v>99</v>
      </c>
      <c r="O2137" s="30" t="s">
        <v>64</v>
      </c>
      <c r="P2137" s="89" t="s">
        <v>165</v>
      </c>
      <c r="Q2137" s="89" t="s">
        <v>2797</v>
      </c>
      <c r="R2137" s="89" t="s">
        <v>2797</v>
      </c>
      <c r="S2137" s="30">
        <v>0</v>
      </c>
      <c r="T2137" s="233">
        <v>0</v>
      </c>
      <c r="U2137" s="30">
        <v>1</v>
      </c>
      <c r="V2137" s="233">
        <v>0</v>
      </c>
      <c r="W2137" s="30">
        <v>0</v>
      </c>
      <c r="X2137" s="30">
        <v>1</v>
      </c>
      <c r="Y2137" s="30">
        <v>0</v>
      </c>
      <c r="Z2137" s="233">
        <v>0</v>
      </c>
      <c r="AA2137" s="30">
        <v>0</v>
      </c>
      <c r="AB2137" s="30">
        <v>0</v>
      </c>
      <c r="AC2137" s="30">
        <v>0</v>
      </c>
      <c r="AD2137" s="30">
        <v>0</v>
      </c>
      <c r="AE2137" s="89" t="s">
        <v>92</v>
      </c>
      <c r="AF2137" s="89"/>
      <c r="AG2137" s="89" t="s">
        <v>352</v>
      </c>
      <c r="AH2137" s="72">
        <v>42339</v>
      </c>
      <c r="AI2137" s="30">
        <v>0</v>
      </c>
      <c r="AJ2137" s="89" t="s">
        <v>11713</v>
      </c>
      <c r="AK2137" s="89" t="s">
        <v>68</v>
      </c>
      <c r="AL2137" s="91">
        <v>42341</v>
      </c>
      <c r="AM2137" s="91"/>
      <c r="AN2137" s="91"/>
      <c r="AO2137" s="91"/>
      <c r="AP2137" s="73" t="e">
        <f>MID(VLOOKUP(K2137,#REF!,2,FALSE),1,2)</f>
        <v>#REF!</v>
      </c>
      <c r="AQ2137" s="89">
        <f>DATE(2015,11,30)</f>
        <v>42338</v>
      </c>
      <c r="AR2137" s="82">
        <f t="shared" si="143"/>
        <v>30</v>
      </c>
      <c r="AS2137" s="83">
        <f t="shared" si="144"/>
        <v>11</v>
      </c>
      <c r="AT2137" s="84">
        <f t="shared" si="145"/>
        <v>2015</v>
      </c>
      <c r="AU2137" s="88">
        <f>DATE(2015,12,3)</f>
        <v>42341</v>
      </c>
      <c r="AV2137" s="88">
        <f>DATE(2015,12,1)</f>
        <v>42339</v>
      </c>
      <c r="AW2137" s="87">
        <f t="shared" si="147"/>
        <v>2</v>
      </c>
      <c r="AX2137" s="86"/>
      <c r="AY2137" s="83"/>
      <c r="AZ2137" s="84"/>
      <c r="BA2137" s="86"/>
      <c r="BB2137" s="86"/>
    </row>
    <row r="2138" spans="1:54" ht="36.75" customHeight="1">
      <c r="A2138" s="30"/>
      <c r="B2138" s="30" t="s">
        <v>55</v>
      </c>
      <c r="C2138" s="69" t="str">
        <f t="shared" si="146"/>
        <v>Closed</v>
      </c>
      <c r="D2138" s="27" t="s">
        <v>11965</v>
      </c>
      <c r="E2138" s="29" t="s">
        <v>11966</v>
      </c>
      <c r="F2138" s="30" t="s">
        <v>197</v>
      </c>
      <c r="G2138" s="89">
        <f>DATE(2015,12,1)</f>
        <v>42339</v>
      </c>
      <c r="H2138" s="90">
        <v>1.3548611111111111</v>
      </c>
      <c r="I2138" s="30" t="s">
        <v>198</v>
      </c>
      <c r="J2138" s="89" t="s">
        <v>11967</v>
      </c>
      <c r="K2138" s="30" t="s">
        <v>200</v>
      </c>
      <c r="L2138" s="30" t="s">
        <v>11968</v>
      </c>
      <c r="M2138" s="30" t="s">
        <v>63</v>
      </c>
      <c r="N2138" s="30" t="s">
        <v>142</v>
      </c>
      <c r="O2138" s="30" t="s">
        <v>64</v>
      </c>
      <c r="P2138" s="89" t="s">
        <v>812</v>
      </c>
      <c r="Q2138" s="89" t="s">
        <v>11969</v>
      </c>
      <c r="R2138" s="89" t="s">
        <v>203</v>
      </c>
      <c r="S2138" s="30">
        <v>0</v>
      </c>
      <c r="T2138" s="233">
        <v>0</v>
      </c>
      <c r="U2138" s="30">
        <v>0</v>
      </c>
      <c r="V2138" s="233">
        <v>0</v>
      </c>
      <c r="W2138" s="30">
        <v>0</v>
      </c>
      <c r="X2138" s="30">
        <v>0</v>
      </c>
      <c r="Y2138" s="30">
        <v>0</v>
      </c>
      <c r="Z2138" s="233">
        <v>1</v>
      </c>
      <c r="AA2138" s="30">
        <v>0</v>
      </c>
      <c r="AB2138" s="30">
        <v>0</v>
      </c>
      <c r="AC2138" s="30">
        <v>0</v>
      </c>
      <c r="AD2138" s="30">
        <v>1</v>
      </c>
      <c r="AE2138" s="89" t="s">
        <v>145</v>
      </c>
      <c r="AF2138" s="89"/>
      <c r="AG2138" s="89" t="s">
        <v>82</v>
      </c>
      <c r="AH2138" s="72">
        <v>42340</v>
      </c>
      <c r="AI2138" s="30">
        <v>0</v>
      </c>
      <c r="AJ2138" s="89" t="s">
        <v>11970</v>
      </c>
      <c r="AK2138" s="89" t="s">
        <v>1233</v>
      </c>
      <c r="AL2138" s="91">
        <v>42431</v>
      </c>
      <c r="AM2138" s="91"/>
      <c r="AN2138" s="91"/>
      <c r="AO2138" s="91"/>
      <c r="AP2138" s="73" t="e">
        <f>MID(VLOOKUP(K2138,#REF!,2,FALSE),1,2)</f>
        <v>#REF!</v>
      </c>
      <c r="AQ2138" s="89">
        <f>DATE(2015,12,1)</f>
        <v>42339</v>
      </c>
      <c r="AR2138" s="82">
        <f t="shared" si="143"/>
        <v>1</v>
      </c>
      <c r="AS2138" s="83">
        <f t="shared" si="144"/>
        <v>12</v>
      </c>
      <c r="AT2138" s="84">
        <f t="shared" si="145"/>
        <v>2015</v>
      </c>
      <c r="AU2138" s="88">
        <f>DATE(2016,3,2)</f>
        <v>42431</v>
      </c>
      <c r="AV2138" s="88">
        <f>DATE(2015,2,12)</f>
        <v>42047</v>
      </c>
      <c r="AW2138" s="87">
        <f t="shared" si="147"/>
        <v>384</v>
      </c>
      <c r="AX2138" s="86"/>
      <c r="AY2138" s="83"/>
      <c r="AZ2138" s="84"/>
      <c r="BA2138" s="86"/>
      <c r="BB2138" s="86"/>
    </row>
    <row r="2139" spans="1:54" ht="36.75" customHeight="1">
      <c r="A2139" s="30"/>
      <c r="B2139" s="30" t="s">
        <v>55</v>
      </c>
      <c r="C2139" s="69" t="str">
        <f t="shared" si="146"/>
        <v>Closed</v>
      </c>
      <c r="D2139" s="27" t="s">
        <v>11971</v>
      </c>
      <c r="E2139" s="29" t="s">
        <v>11972</v>
      </c>
      <c r="F2139" s="30" t="s">
        <v>115</v>
      </c>
      <c r="G2139" s="89">
        <f>DATE(2015,12,1)</f>
        <v>42339</v>
      </c>
      <c r="H2139" s="90">
        <v>1.3368055555555556</v>
      </c>
      <c r="I2139" s="30" t="s">
        <v>73</v>
      </c>
      <c r="J2139" s="89" t="s">
        <v>11973</v>
      </c>
      <c r="K2139" s="30" t="s">
        <v>118</v>
      </c>
      <c r="L2139" s="30" t="s">
        <v>11974</v>
      </c>
      <c r="M2139" s="30" t="s">
        <v>63</v>
      </c>
      <c r="N2139" s="30" t="s">
        <v>142</v>
      </c>
      <c r="O2139" s="30" t="s">
        <v>77</v>
      </c>
      <c r="P2139" s="89" t="s">
        <v>6941</v>
      </c>
      <c r="Q2139" s="89" t="s">
        <v>118</v>
      </c>
      <c r="R2139" s="89" t="s">
        <v>121</v>
      </c>
      <c r="S2139" s="30">
        <v>0</v>
      </c>
      <c r="T2139" s="233">
        <v>0</v>
      </c>
      <c r="U2139" s="30">
        <v>0</v>
      </c>
      <c r="V2139" s="233">
        <v>0</v>
      </c>
      <c r="W2139" s="30">
        <v>0</v>
      </c>
      <c r="X2139" s="30">
        <v>0</v>
      </c>
      <c r="Y2139" s="30">
        <v>0</v>
      </c>
      <c r="Z2139" s="233">
        <v>0</v>
      </c>
      <c r="AA2139" s="30">
        <v>0</v>
      </c>
      <c r="AB2139" s="30">
        <v>0</v>
      </c>
      <c r="AC2139" s="30">
        <v>0</v>
      </c>
      <c r="AD2139" s="30">
        <v>0</v>
      </c>
      <c r="AE2139" s="89" t="s">
        <v>92</v>
      </c>
      <c r="AF2139" s="89"/>
      <c r="AG2139" s="89" t="s">
        <v>395</v>
      </c>
      <c r="AH2139" s="72">
        <v>42348</v>
      </c>
      <c r="AI2139" s="30">
        <v>2</v>
      </c>
      <c r="AJ2139" s="89" t="s">
        <v>11975</v>
      </c>
      <c r="AK2139" s="89" t="s">
        <v>11976</v>
      </c>
      <c r="AL2139" s="91">
        <v>42368</v>
      </c>
      <c r="AM2139" s="91"/>
      <c r="AN2139" s="91"/>
      <c r="AO2139" s="91"/>
      <c r="AP2139" s="73" t="e">
        <f>MID(VLOOKUP(K2139,#REF!,2,FALSE),1,2)</f>
        <v>#REF!</v>
      </c>
      <c r="AQ2139" s="89">
        <f>DATE(2015,12,1)</f>
        <v>42339</v>
      </c>
      <c r="AR2139" s="82">
        <f t="shared" si="143"/>
        <v>1</v>
      </c>
      <c r="AS2139" s="83">
        <f t="shared" si="144"/>
        <v>12</v>
      </c>
      <c r="AT2139" s="84">
        <f t="shared" si="145"/>
        <v>2015</v>
      </c>
      <c r="AU2139" s="88">
        <f>DATE(2015,12,30)</f>
        <v>42368</v>
      </c>
      <c r="AV2139" s="88">
        <f>DATE(2015,12,10)</f>
        <v>42348</v>
      </c>
      <c r="AW2139" s="87">
        <f t="shared" si="147"/>
        <v>20</v>
      </c>
      <c r="AX2139" s="88">
        <f>DATE(2015,12,10)</f>
        <v>42348</v>
      </c>
      <c r="AY2139" s="83">
        <f>MONTH(AX2139)</f>
        <v>12</v>
      </c>
      <c r="AZ2139" s="84">
        <f>YEAR(AX2139)</f>
        <v>2015</v>
      </c>
      <c r="BA2139" s="88">
        <f>DATE(2015,12,10)</f>
        <v>42348</v>
      </c>
      <c r="BB2139" s="86"/>
    </row>
    <row r="2140" spans="1:54" ht="36.75" customHeight="1">
      <c r="A2140" s="30"/>
      <c r="B2140" s="30" t="s">
        <v>55</v>
      </c>
      <c r="C2140" s="69" t="str">
        <f t="shared" si="146"/>
        <v>Closed</v>
      </c>
      <c r="D2140" s="27" t="s">
        <v>11977</v>
      </c>
      <c r="E2140" s="29" t="s">
        <v>11978</v>
      </c>
      <c r="F2140" s="30" t="s">
        <v>835</v>
      </c>
      <c r="G2140" s="89">
        <f>DATE(2015,12,1)</f>
        <v>42339</v>
      </c>
      <c r="H2140" s="90">
        <v>1.557638888888889</v>
      </c>
      <c r="I2140" s="30" t="s">
        <v>73</v>
      </c>
      <c r="J2140" s="89" t="s">
        <v>11979</v>
      </c>
      <c r="K2140" s="30" t="s">
        <v>837</v>
      </c>
      <c r="L2140" s="30" t="s">
        <v>11980</v>
      </c>
      <c r="M2140" s="30" t="s">
        <v>63</v>
      </c>
      <c r="N2140" s="30" t="s">
        <v>142</v>
      </c>
      <c r="O2140" s="30" t="s">
        <v>77</v>
      </c>
      <c r="P2140" s="89" t="s">
        <v>78</v>
      </c>
      <c r="Q2140" s="89" t="s">
        <v>4708</v>
      </c>
      <c r="R2140" s="89" t="s">
        <v>840</v>
      </c>
      <c r="S2140" s="30">
        <v>0</v>
      </c>
      <c r="T2140" s="233">
        <v>0</v>
      </c>
      <c r="U2140" s="30">
        <v>0</v>
      </c>
      <c r="V2140" s="233">
        <v>0</v>
      </c>
      <c r="W2140" s="30">
        <v>0</v>
      </c>
      <c r="X2140" s="30">
        <v>0</v>
      </c>
      <c r="Y2140" s="30">
        <v>0</v>
      </c>
      <c r="Z2140" s="233">
        <v>0</v>
      </c>
      <c r="AA2140" s="30">
        <v>0</v>
      </c>
      <c r="AB2140" s="30">
        <v>0</v>
      </c>
      <c r="AC2140" s="30">
        <v>0</v>
      </c>
      <c r="AD2140" s="30">
        <v>0</v>
      </c>
      <c r="AE2140" s="89" t="s">
        <v>92</v>
      </c>
      <c r="AF2140" s="89"/>
      <c r="AG2140" s="89" t="s">
        <v>352</v>
      </c>
      <c r="AH2140" s="72">
        <v>42347</v>
      </c>
      <c r="AI2140" s="30">
        <v>0</v>
      </c>
      <c r="AJ2140" s="89" t="s">
        <v>11981</v>
      </c>
      <c r="AK2140" s="89" t="s">
        <v>68</v>
      </c>
      <c r="AL2140" s="91">
        <v>42353</v>
      </c>
      <c r="AM2140" s="91"/>
      <c r="AN2140" s="91"/>
      <c r="AO2140" s="91"/>
      <c r="AP2140" s="73" t="e">
        <f>MID(VLOOKUP(K2140,#REF!,2,FALSE),1,2)</f>
        <v>#REF!</v>
      </c>
      <c r="AQ2140" s="89">
        <f>DATE(2015,12,1)</f>
        <v>42339</v>
      </c>
      <c r="AR2140" s="82">
        <f t="shared" si="143"/>
        <v>1</v>
      </c>
      <c r="AS2140" s="83">
        <f t="shared" si="144"/>
        <v>12</v>
      </c>
      <c r="AT2140" s="84">
        <f t="shared" si="145"/>
        <v>2015</v>
      </c>
      <c r="AU2140" s="88">
        <f>DATE(2015,12,15)</f>
        <v>42353</v>
      </c>
      <c r="AV2140" s="88">
        <f>DATE(2015,12,9)</f>
        <v>42347</v>
      </c>
      <c r="AW2140" s="87">
        <f t="shared" si="147"/>
        <v>6</v>
      </c>
      <c r="AX2140" s="88">
        <f>DATE(2015,12,9)</f>
        <v>42347</v>
      </c>
      <c r="AY2140" s="83">
        <f>MONTH(AX2140)</f>
        <v>12</v>
      </c>
      <c r="AZ2140" s="84">
        <f>YEAR(AX2140)</f>
        <v>2015</v>
      </c>
      <c r="BA2140" s="88">
        <f>DATE(2015,12,1)</f>
        <v>42339</v>
      </c>
      <c r="BB2140" s="86"/>
    </row>
    <row r="2141" spans="1:54" ht="36.75" customHeight="1">
      <c r="A2141" s="30"/>
      <c r="B2141" s="30" t="s">
        <v>55</v>
      </c>
      <c r="C2141" s="69" t="str">
        <f t="shared" si="146"/>
        <v>Closed</v>
      </c>
      <c r="D2141" s="27" t="s">
        <v>11982</v>
      </c>
      <c r="E2141" s="29" t="s">
        <v>11983</v>
      </c>
      <c r="F2141" s="30" t="s">
        <v>423</v>
      </c>
      <c r="G2141" s="89">
        <f>DATE(2015,12,4)</f>
        <v>42342</v>
      </c>
      <c r="H2141" s="90">
        <v>1.3666666666666667</v>
      </c>
      <c r="I2141" s="30" t="s">
        <v>116</v>
      </c>
      <c r="J2141" s="89" t="s">
        <v>11984</v>
      </c>
      <c r="K2141" s="30" t="s">
        <v>425</v>
      </c>
      <c r="L2141" s="30" t="s">
        <v>11985</v>
      </c>
      <c r="M2141" s="30" t="s">
        <v>63</v>
      </c>
      <c r="N2141" s="30" t="s">
        <v>99</v>
      </c>
      <c r="O2141" s="30" t="s">
        <v>64</v>
      </c>
      <c r="P2141" s="89" t="s">
        <v>165</v>
      </c>
      <c r="Q2141" s="89" t="s">
        <v>4551</v>
      </c>
      <c r="R2141" s="89" t="s">
        <v>3103</v>
      </c>
      <c r="S2141" s="30">
        <v>0</v>
      </c>
      <c r="T2141" s="233">
        <v>0</v>
      </c>
      <c r="U2141" s="30">
        <v>3</v>
      </c>
      <c r="V2141" s="233">
        <v>0</v>
      </c>
      <c r="W2141" s="30">
        <v>0</v>
      </c>
      <c r="X2141" s="30">
        <v>3</v>
      </c>
      <c r="Y2141" s="30">
        <v>0</v>
      </c>
      <c r="Z2141" s="233">
        <v>0</v>
      </c>
      <c r="AA2141" s="30">
        <v>1</v>
      </c>
      <c r="AB2141" s="30">
        <v>0</v>
      </c>
      <c r="AC2141" s="30">
        <v>0</v>
      </c>
      <c r="AD2141" s="30">
        <v>1</v>
      </c>
      <c r="AE2141" s="89" t="s">
        <v>92</v>
      </c>
      <c r="AF2141" s="89"/>
      <c r="AG2141" s="89" t="s">
        <v>133</v>
      </c>
      <c r="AH2141" s="72">
        <v>42354</v>
      </c>
      <c r="AI2141" s="30">
        <v>3</v>
      </c>
      <c r="AJ2141" s="89" t="s">
        <v>11986</v>
      </c>
      <c r="AK2141" s="89" t="s">
        <v>11987</v>
      </c>
      <c r="AL2141" s="91">
        <v>42355</v>
      </c>
      <c r="AM2141" s="91"/>
      <c r="AN2141" s="91"/>
      <c r="AO2141" s="91"/>
      <c r="AP2141" s="73" t="e">
        <f>MID(VLOOKUP(K2141,#REF!,2,FALSE),1,2)</f>
        <v>#REF!</v>
      </c>
      <c r="AQ2141" s="89">
        <f>DATE(2015,12,4)</f>
        <v>42342</v>
      </c>
      <c r="AR2141" s="82">
        <f t="shared" si="143"/>
        <v>4</v>
      </c>
      <c r="AS2141" s="83">
        <f t="shared" si="144"/>
        <v>12</v>
      </c>
      <c r="AT2141" s="84">
        <f t="shared" si="145"/>
        <v>2015</v>
      </c>
      <c r="AU2141" s="88">
        <f>DATE(2015,12,17)</f>
        <v>42355</v>
      </c>
      <c r="AV2141" s="88">
        <f>DATE(2015,12,16)</f>
        <v>42354</v>
      </c>
      <c r="AW2141" s="87">
        <f t="shared" si="147"/>
        <v>1</v>
      </c>
      <c r="AX2141" s="86"/>
      <c r="AY2141" s="83"/>
      <c r="AZ2141" s="84"/>
      <c r="BA2141" s="86"/>
      <c r="BB2141" s="86"/>
    </row>
    <row r="2142" spans="1:54" ht="36.75" customHeight="1">
      <c r="A2142" s="30"/>
      <c r="B2142" s="30" t="s">
        <v>55</v>
      </c>
      <c r="C2142" s="69" t="str">
        <f t="shared" si="146"/>
        <v>Closed</v>
      </c>
      <c r="D2142" s="27" t="s">
        <v>11988</v>
      </c>
      <c r="E2142" s="29" t="s">
        <v>11989</v>
      </c>
      <c r="F2142" s="30" t="s">
        <v>423</v>
      </c>
      <c r="G2142" s="89">
        <f>DATE(2015,12,11)</f>
        <v>42349</v>
      </c>
      <c r="H2142" s="90">
        <v>1.3180555555555555</v>
      </c>
      <c r="I2142" s="30" t="s">
        <v>116</v>
      </c>
      <c r="J2142" s="89" t="s">
        <v>11990</v>
      </c>
      <c r="K2142" s="30" t="s">
        <v>425</v>
      </c>
      <c r="L2142" s="30" t="s">
        <v>11991</v>
      </c>
      <c r="M2142" s="30" t="s">
        <v>63</v>
      </c>
      <c r="N2142" s="30" t="s">
        <v>99</v>
      </c>
      <c r="O2142" s="30" t="s">
        <v>64</v>
      </c>
      <c r="P2142" s="89" t="s">
        <v>165</v>
      </c>
      <c r="Q2142" s="89" t="s">
        <v>4551</v>
      </c>
      <c r="R2142" s="89" t="s">
        <v>3103</v>
      </c>
      <c r="S2142" s="30">
        <v>0</v>
      </c>
      <c r="T2142" s="233">
        <v>0</v>
      </c>
      <c r="U2142" s="30">
        <v>0</v>
      </c>
      <c r="V2142" s="233">
        <v>0</v>
      </c>
      <c r="W2142" s="30">
        <v>0</v>
      </c>
      <c r="X2142" s="30">
        <v>0</v>
      </c>
      <c r="Y2142" s="30">
        <v>0</v>
      </c>
      <c r="Z2142" s="233">
        <v>0</v>
      </c>
      <c r="AA2142" s="30">
        <v>0</v>
      </c>
      <c r="AB2142" s="30">
        <v>0</v>
      </c>
      <c r="AC2142" s="30">
        <v>0</v>
      </c>
      <c r="AD2142" s="30">
        <v>0</v>
      </c>
      <c r="AE2142" s="89" t="s">
        <v>92</v>
      </c>
      <c r="AF2142" s="89"/>
      <c r="AG2142" s="89" t="s">
        <v>874</v>
      </c>
      <c r="AH2142" s="72">
        <v>42354</v>
      </c>
      <c r="AI2142" s="30">
        <v>4</v>
      </c>
      <c r="AJ2142" s="89" t="s">
        <v>11992</v>
      </c>
      <c r="AK2142" s="89" t="s">
        <v>11993</v>
      </c>
      <c r="AL2142" s="91">
        <v>42356</v>
      </c>
      <c r="AM2142" s="91"/>
      <c r="AN2142" s="91"/>
      <c r="AO2142" s="91"/>
      <c r="AP2142" s="73" t="e">
        <f>MID(VLOOKUP(K2142,#REF!,2,FALSE),1,2)</f>
        <v>#REF!</v>
      </c>
      <c r="AQ2142" s="89">
        <f>DATE(2015,12,11)</f>
        <v>42349</v>
      </c>
      <c r="AR2142" s="82">
        <f t="shared" si="143"/>
        <v>11</v>
      </c>
      <c r="AS2142" s="83">
        <f t="shared" si="144"/>
        <v>12</v>
      </c>
      <c r="AT2142" s="84">
        <f t="shared" si="145"/>
        <v>2015</v>
      </c>
      <c r="AU2142" s="88">
        <f>DATE(2015,12,18)</f>
        <v>42356</v>
      </c>
      <c r="AV2142" s="88">
        <f>DATE(2015,12,16)</f>
        <v>42354</v>
      </c>
      <c r="AW2142" s="87">
        <f t="shared" si="147"/>
        <v>2</v>
      </c>
      <c r="AX2142" s="86"/>
      <c r="AY2142" s="83"/>
      <c r="AZ2142" s="84"/>
      <c r="BA2142" s="86"/>
      <c r="BB2142" s="86"/>
    </row>
    <row r="2143" spans="1:54" ht="36.75" customHeight="1">
      <c r="A2143" s="30"/>
      <c r="B2143" s="30" t="s">
        <v>55</v>
      </c>
      <c r="C2143" s="69" t="str">
        <f t="shared" si="146"/>
        <v>Closed</v>
      </c>
      <c r="D2143" s="27" t="s">
        <v>11994</v>
      </c>
      <c r="E2143" s="29" t="s">
        <v>11995</v>
      </c>
      <c r="F2143" s="30" t="s">
        <v>835</v>
      </c>
      <c r="G2143" s="89">
        <f>DATE(2015,12,19)</f>
        <v>42357</v>
      </c>
      <c r="H2143" s="90">
        <v>1.6736111111111112</v>
      </c>
      <c r="I2143" s="30" t="s">
        <v>104</v>
      </c>
      <c r="J2143" s="89" t="s">
        <v>11996</v>
      </c>
      <c r="K2143" s="30" t="s">
        <v>837</v>
      </c>
      <c r="L2143" s="30" t="s">
        <v>11997</v>
      </c>
      <c r="M2143" s="30" t="s">
        <v>63</v>
      </c>
      <c r="N2143" s="30" t="s">
        <v>99</v>
      </c>
      <c r="O2143" s="30" t="s">
        <v>77</v>
      </c>
      <c r="P2143" s="89" t="s">
        <v>78</v>
      </c>
      <c r="Q2143" s="89" t="s">
        <v>6280</v>
      </c>
      <c r="R2143" s="89" t="s">
        <v>840</v>
      </c>
      <c r="S2143" s="30">
        <v>0</v>
      </c>
      <c r="T2143" s="233">
        <v>0</v>
      </c>
      <c r="U2143" s="30">
        <v>0</v>
      </c>
      <c r="V2143" s="233">
        <v>0</v>
      </c>
      <c r="W2143" s="30">
        <v>0</v>
      </c>
      <c r="X2143" s="30">
        <v>0</v>
      </c>
      <c r="Y2143" s="30">
        <v>0</v>
      </c>
      <c r="Z2143" s="233">
        <v>0</v>
      </c>
      <c r="AA2143" s="30">
        <v>0</v>
      </c>
      <c r="AB2143" s="30">
        <v>0</v>
      </c>
      <c r="AC2143" s="30">
        <v>0</v>
      </c>
      <c r="AD2143" s="30">
        <v>0</v>
      </c>
      <c r="AE2143" s="89" t="s">
        <v>92</v>
      </c>
      <c r="AF2143" s="89"/>
      <c r="AG2143" s="89" t="s">
        <v>352</v>
      </c>
      <c r="AH2143" s="72">
        <v>42367</v>
      </c>
      <c r="AI2143" s="30">
        <v>0</v>
      </c>
      <c r="AJ2143" s="89" t="s">
        <v>11998</v>
      </c>
      <c r="AK2143" s="89" t="s">
        <v>68</v>
      </c>
      <c r="AL2143" s="91">
        <v>42373</v>
      </c>
      <c r="AM2143" s="91"/>
      <c r="AN2143" s="91"/>
      <c r="AO2143" s="91"/>
      <c r="AP2143" s="73" t="e">
        <f>MID(VLOOKUP(K2143,#REF!,2,FALSE),1,2)</f>
        <v>#REF!</v>
      </c>
      <c r="AQ2143" s="89">
        <f>DATE(2015,12,19)</f>
        <v>42357</v>
      </c>
      <c r="AR2143" s="82">
        <f t="shared" si="143"/>
        <v>19</v>
      </c>
      <c r="AS2143" s="83">
        <f t="shared" si="144"/>
        <v>12</v>
      </c>
      <c r="AT2143" s="84">
        <f t="shared" si="145"/>
        <v>2015</v>
      </c>
      <c r="AU2143" s="88">
        <f>DATE(2016,1,4)</f>
        <v>42373</v>
      </c>
      <c r="AV2143" s="88">
        <f>DATE(2015,12,29)</f>
        <v>42367</v>
      </c>
      <c r="AW2143" s="87">
        <f t="shared" si="147"/>
        <v>6</v>
      </c>
      <c r="AX2143" s="88">
        <f>DATE(2015,12,29)</f>
        <v>42367</v>
      </c>
      <c r="AY2143" s="83">
        <f>MONTH(AX2143)</f>
        <v>12</v>
      </c>
      <c r="AZ2143" s="84">
        <f>YEAR(AX2143)</f>
        <v>2015</v>
      </c>
      <c r="BA2143" s="88">
        <f>DATE(2015,12,29)</f>
        <v>42367</v>
      </c>
      <c r="BB2143" s="86"/>
    </row>
    <row r="2144" spans="1:54" ht="36.75" customHeight="1">
      <c r="A2144" s="30"/>
      <c r="B2144" s="30" t="s">
        <v>55</v>
      </c>
      <c r="C2144" s="69" t="str">
        <f t="shared" si="146"/>
        <v>Closed</v>
      </c>
      <c r="D2144" s="27" t="s">
        <v>11999</v>
      </c>
      <c r="E2144" s="29" t="s">
        <v>12000</v>
      </c>
      <c r="F2144" s="30" t="s">
        <v>1572</v>
      </c>
      <c r="G2144" s="89">
        <f>DATE(2015,12,27)</f>
        <v>42365</v>
      </c>
      <c r="H2144" s="90">
        <v>1.6006944444444444</v>
      </c>
      <c r="I2144" s="30" t="s">
        <v>86</v>
      </c>
      <c r="J2144" s="89" t="s">
        <v>12001</v>
      </c>
      <c r="K2144" s="30" t="s">
        <v>1574</v>
      </c>
      <c r="L2144" s="30" t="s">
        <v>12002</v>
      </c>
      <c r="M2144" s="30" t="s">
        <v>63</v>
      </c>
      <c r="N2144" s="30" t="s">
        <v>142</v>
      </c>
      <c r="O2144" s="30" t="s">
        <v>77</v>
      </c>
      <c r="P2144" s="89" t="s">
        <v>91</v>
      </c>
      <c r="Q2144" s="89" t="s">
        <v>2413</v>
      </c>
      <c r="R2144" s="89" t="s">
        <v>6434</v>
      </c>
      <c r="S2144" s="30">
        <v>0</v>
      </c>
      <c r="T2144" s="233">
        <v>0</v>
      </c>
      <c r="U2144" s="30">
        <v>0</v>
      </c>
      <c r="V2144" s="233">
        <v>0</v>
      </c>
      <c r="W2144" s="30">
        <v>0</v>
      </c>
      <c r="X2144" s="30">
        <v>0</v>
      </c>
      <c r="Y2144" s="30">
        <v>0</v>
      </c>
      <c r="Z2144" s="233">
        <v>0</v>
      </c>
      <c r="AA2144" s="30">
        <v>0</v>
      </c>
      <c r="AB2144" s="30">
        <v>0</v>
      </c>
      <c r="AC2144" s="30">
        <v>0</v>
      </c>
      <c r="AD2144" s="30">
        <v>0</v>
      </c>
      <c r="AE2144" s="89" t="s">
        <v>394</v>
      </c>
      <c r="AF2144" s="89"/>
      <c r="AG2144" s="89" t="s">
        <v>133</v>
      </c>
      <c r="AH2144" s="72">
        <v>42366</v>
      </c>
      <c r="AI2144" s="30">
        <v>0</v>
      </c>
      <c r="AJ2144" s="89" t="s">
        <v>12003</v>
      </c>
      <c r="AK2144" s="89" t="s">
        <v>12004</v>
      </c>
      <c r="AL2144" s="91">
        <v>42369</v>
      </c>
      <c r="AM2144" s="91"/>
      <c r="AN2144" s="91"/>
      <c r="AO2144" s="91"/>
      <c r="AP2144" s="73" t="e">
        <f>MID(VLOOKUP(K2144,#REF!,2,FALSE),1,2)</f>
        <v>#REF!</v>
      </c>
      <c r="AQ2144" s="89">
        <f>DATE(2015,12,27)</f>
        <v>42365</v>
      </c>
      <c r="AR2144" s="82">
        <f t="shared" si="143"/>
        <v>27</v>
      </c>
      <c r="AS2144" s="83">
        <f t="shared" si="144"/>
        <v>12</v>
      </c>
      <c r="AT2144" s="84">
        <f t="shared" si="145"/>
        <v>2015</v>
      </c>
      <c r="AU2144" s="88">
        <f>DATE(2015,12,31)</f>
        <v>42369</v>
      </c>
      <c r="AV2144" s="88">
        <f>DATE(2015,12,28)</f>
        <v>42366</v>
      </c>
      <c r="AW2144" s="87">
        <f t="shared" si="147"/>
        <v>3</v>
      </c>
      <c r="AX2144" s="88">
        <f>DATE(2015,12,31)</f>
        <v>42369</v>
      </c>
      <c r="AY2144" s="83">
        <f>MONTH(AX2144)</f>
        <v>12</v>
      </c>
      <c r="AZ2144" s="84">
        <f>YEAR(AX2144)</f>
        <v>2015</v>
      </c>
      <c r="BA2144" s="88">
        <f>DATE(2015,12,27)</f>
        <v>42365</v>
      </c>
      <c r="BB2144" s="86"/>
    </row>
    <row r="2145" spans="1:54" ht="36.75" customHeight="1">
      <c r="A2145" s="30"/>
      <c r="B2145" s="30" t="s">
        <v>55</v>
      </c>
      <c r="C2145" s="69" t="str">
        <f t="shared" si="146"/>
        <v>Closed</v>
      </c>
      <c r="D2145" s="27" t="s">
        <v>12005</v>
      </c>
      <c r="E2145" s="29" t="s">
        <v>12006</v>
      </c>
      <c r="F2145" s="30" t="s">
        <v>9789</v>
      </c>
      <c r="G2145" s="89">
        <f>DATE(2015,12,28)</f>
        <v>42366</v>
      </c>
      <c r="H2145" s="90">
        <v>1.5548611111111112</v>
      </c>
      <c r="I2145" s="30" t="s">
        <v>116</v>
      </c>
      <c r="J2145" s="210" t="s">
        <v>12007</v>
      </c>
      <c r="K2145" s="30" t="s">
        <v>9791</v>
      </c>
      <c r="L2145" s="30" t="s">
        <v>12008</v>
      </c>
      <c r="M2145" s="30" t="s">
        <v>63</v>
      </c>
      <c r="N2145" s="30" t="s">
        <v>99</v>
      </c>
      <c r="O2145" s="30" t="s">
        <v>64</v>
      </c>
      <c r="P2145" s="89" t="s">
        <v>165</v>
      </c>
      <c r="Q2145" s="89" t="s">
        <v>9960</v>
      </c>
      <c r="R2145" s="89" t="s">
        <v>9794</v>
      </c>
      <c r="S2145" s="30">
        <v>0</v>
      </c>
      <c r="T2145" s="233">
        <v>0</v>
      </c>
      <c r="U2145" s="30">
        <v>2</v>
      </c>
      <c r="V2145" s="233">
        <v>0</v>
      </c>
      <c r="W2145" s="30">
        <v>0</v>
      </c>
      <c r="X2145" s="30">
        <v>2</v>
      </c>
      <c r="Y2145" s="30">
        <v>0</v>
      </c>
      <c r="Z2145" s="233">
        <v>0</v>
      </c>
      <c r="AA2145" s="30">
        <v>4</v>
      </c>
      <c r="AB2145" s="30">
        <v>0</v>
      </c>
      <c r="AC2145" s="30">
        <v>0</v>
      </c>
      <c r="AD2145" s="30">
        <v>4</v>
      </c>
      <c r="AE2145" s="89" t="s">
        <v>92</v>
      </c>
      <c r="AF2145" s="89"/>
      <c r="AG2145" s="89" t="s">
        <v>82</v>
      </c>
      <c r="AH2145" s="72">
        <v>42367</v>
      </c>
      <c r="AI2145" s="30">
        <v>2</v>
      </c>
      <c r="AJ2145" s="89" t="s">
        <v>12009</v>
      </c>
      <c r="AK2145" s="89" t="s">
        <v>12010</v>
      </c>
      <c r="AL2145" s="91">
        <v>42367</v>
      </c>
      <c r="AM2145" s="91"/>
      <c r="AN2145" s="91"/>
      <c r="AO2145" s="91"/>
      <c r="AP2145" s="73" t="e">
        <f>MID(VLOOKUP(K2145,#REF!,2,FALSE),1,2)</f>
        <v>#REF!</v>
      </c>
      <c r="AQ2145" s="89">
        <f>DATE(2015,12,28)</f>
        <v>42366</v>
      </c>
      <c r="AR2145" s="82">
        <f t="shared" si="143"/>
        <v>28</v>
      </c>
      <c r="AS2145" s="83">
        <f t="shared" si="144"/>
        <v>12</v>
      </c>
      <c r="AT2145" s="84">
        <f t="shared" si="145"/>
        <v>2015</v>
      </c>
      <c r="AU2145" s="88">
        <f>DATE(2015,12,29)</f>
        <v>42367</v>
      </c>
      <c r="AV2145" s="88">
        <f>DATE(2015,12,29)</f>
        <v>42367</v>
      </c>
      <c r="AW2145" s="87">
        <f t="shared" si="147"/>
        <v>0</v>
      </c>
      <c r="AX2145" s="86"/>
      <c r="AY2145" s="83"/>
      <c r="AZ2145" s="84"/>
      <c r="BA2145" s="86"/>
      <c r="BB2145" s="86"/>
    </row>
    <row r="2146" spans="1:54" ht="36.75" customHeight="1">
      <c r="A2146" s="30"/>
      <c r="B2146" s="30" t="s">
        <v>55</v>
      </c>
      <c r="C2146" s="69" t="str">
        <f t="shared" si="146"/>
        <v>Closed</v>
      </c>
      <c r="D2146" s="27" t="s">
        <v>12011</v>
      </c>
      <c r="E2146" s="29" t="s">
        <v>12012</v>
      </c>
      <c r="F2146" s="30" t="s">
        <v>233</v>
      </c>
      <c r="G2146" s="89">
        <f>DATE(2015,12,31)</f>
        <v>42369</v>
      </c>
      <c r="H2146" s="90">
        <v>1.3159722222222223</v>
      </c>
      <c r="I2146" s="30" t="s">
        <v>5494</v>
      </c>
      <c r="J2146" s="89" t="s">
        <v>12013</v>
      </c>
      <c r="K2146" s="30" t="s">
        <v>235</v>
      </c>
      <c r="L2146" s="30" t="s">
        <v>12014</v>
      </c>
      <c r="M2146" s="30" t="s">
        <v>63</v>
      </c>
      <c r="N2146" s="30" t="s">
        <v>142</v>
      </c>
      <c r="O2146" s="30" t="s">
        <v>86</v>
      </c>
      <c r="P2146" s="89" t="s">
        <v>462</v>
      </c>
      <c r="Q2146" s="89" t="s">
        <v>1596</v>
      </c>
      <c r="R2146" s="89" t="s">
        <v>235</v>
      </c>
      <c r="S2146" s="30">
        <v>0</v>
      </c>
      <c r="T2146" s="233">
        <v>0</v>
      </c>
      <c r="U2146" s="30">
        <v>0</v>
      </c>
      <c r="V2146" s="233">
        <v>0</v>
      </c>
      <c r="W2146" s="30">
        <v>0</v>
      </c>
      <c r="X2146" s="30">
        <v>0</v>
      </c>
      <c r="Y2146" s="30">
        <v>0</v>
      </c>
      <c r="Z2146" s="233">
        <v>0</v>
      </c>
      <c r="AA2146" s="30">
        <v>0</v>
      </c>
      <c r="AB2146" s="30">
        <v>0</v>
      </c>
      <c r="AC2146" s="30">
        <v>0</v>
      </c>
      <c r="AD2146" s="30">
        <v>0</v>
      </c>
      <c r="AE2146" s="89" t="s">
        <v>92</v>
      </c>
      <c r="AF2146" s="89"/>
      <c r="AG2146" s="89" t="s">
        <v>133</v>
      </c>
      <c r="AH2146" s="72">
        <v>42387</v>
      </c>
      <c r="AI2146" s="30">
        <v>3</v>
      </c>
      <c r="AJ2146" s="89" t="s">
        <v>12015</v>
      </c>
      <c r="AK2146" s="89" t="s">
        <v>12016</v>
      </c>
      <c r="AL2146" s="91">
        <v>42397</v>
      </c>
      <c r="AM2146" s="91"/>
      <c r="AN2146" s="91"/>
      <c r="AO2146" s="91"/>
      <c r="AP2146" s="73" t="e">
        <f>MID(VLOOKUP(K2146,#REF!,2,FALSE),1,2)</f>
        <v>#REF!</v>
      </c>
      <c r="AQ2146" s="89">
        <f>DATE(2015,12,31)</f>
        <v>42369</v>
      </c>
      <c r="AR2146" s="82">
        <f t="shared" si="143"/>
        <v>31</v>
      </c>
      <c r="AS2146" s="83">
        <f t="shared" si="144"/>
        <v>12</v>
      </c>
      <c r="AT2146" s="84">
        <f t="shared" si="145"/>
        <v>2015</v>
      </c>
      <c r="AU2146" s="88">
        <f>DATE(2016,1,28)</f>
        <v>42397</v>
      </c>
      <c r="AV2146" s="88">
        <f>DATE(2016,1,18)</f>
        <v>42387</v>
      </c>
      <c r="AW2146" s="87">
        <f t="shared" si="147"/>
        <v>10</v>
      </c>
      <c r="AX2146" s="88">
        <f>DATE(2016,1,28)</f>
        <v>42397</v>
      </c>
      <c r="AY2146" s="83">
        <f>MONTH(AX2146)</f>
        <v>1</v>
      </c>
      <c r="AZ2146" s="84">
        <f>YEAR(AX2146)</f>
        <v>2016</v>
      </c>
      <c r="BA2146" s="86"/>
      <c r="BB2146" s="86"/>
    </row>
    <row r="2147" spans="1:54" ht="36.75" customHeight="1">
      <c r="A2147" s="30"/>
      <c r="B2147" s="30" t="s">
        <v>55</v>
      </c>
      <c r="C2147" s="69" t="str">
        <f t="shared" si="146"/>
        <v>Closed</v>
      </c>
      <c r="D2147" s="27" t="s">
        <v>12017</v>
      </c>
      <c r="E2147" s="29" t="s">
        <v>12018</v>
      </c>
      <c r="F2147" s="30" t="s">
        <v>233</v>
      </c>
      <c r="G2147" s="89">
        <f>DATE(2016,1,5)</f>
        <v>42374</v>
      </c>
      <c r="H2147" s="90">
        <v>1.3486111111111112</v>
      </c>
      <c r="I2147" s="30" t="s">
        <v>431</v>
      </c>
      <c r="J2147" s="89" t="s">
        <v>12019</v>
      </c>
      <c r="K2147" s="30" t="s">
        <v>235</v>
      </c>
      <c r="L2147" s="30" t="s">
        <v>12020</v>
      </c>
      <c r="M2147" s="30" t="s">
        <v>63</v>
      </c>
      <c r="N2147" s="30" t="s">
        <v>142</v>
      </c>
      <c r="O2147" s="30" t="s">
        <v>64</v>
      </c>
      <c r="P2147" s="89" t="s">
        <v>165</v>
      </c>
      <c r="Q2147" s="89" t="s">
        <v>10458</v>
      </c>
      <c r="R2147" s="89" t="s">
        <v>235</v>
      </c>
      <c r="S2147" s="30">
        <v>0</v>
      </c>
      <c r="T2147" s="233">
        <v>0</v>
      </c>
      <c r="U2147" s="30">
        <v>0</v>
      </c>
      <c r="V2147" s="233">
        <v>0</v>
      </c>
      <c r="W2147" s="30">
        <v>0</v>
      </c>
      <c r="X2147" s="30">
        <v>0</v>
      </c>
      <c r="Y2147" s="30">
        <v>0</v>
      </c>
      <c r="Z2147" s="233">
        <v>0</v>
      </c>
      <c r="AA2147" s="30">
        <v>0</v>
      </c>
      <c r="AB2147" s="30">
        <v>0</v>
      </c>
      <c r="AC2147" s="30">
        <v>0</v>
      </c>
      <c r="AD2147" s="30">
        <v>0</v>
      </c>
      <c r="AE2147" s="89" t="s">
        <v>92</v>
      </c>
      <c r="AF2147" s="89"/>
      <c r="AG2147" s="89" t="s">
        <v>133</v>
      </c>
      <c r="AH2147" s="72">
        <v>42380</v>
      </c>
      <c r="AI2147" s="30">
        <v>3</v>
      </c>
      <c r="AJ2147" s="89" t="s">
        <v>12021</v>
      </c>
      <c r="AK2147" s="89" t="s">
        <v>12022</v>
      </c>
      <c r="AL2147" s="91">
        <v>42397</v>
      </c>
      <c r="AM2147" s="91"/>
      <c r="AN2147" s="91"/>
      <c r="AO2147" s="91"/>
      <c r="AP2147" s="73" t="e">
        <f>MID(VLOOKUP(K2147,#REF!,2,FALSE),1,2)</f>
        <v>#REF!</v>
      </c>
      <c r="AQ2147" s="89">
        <f>DATE(2016,1,5)</f>
        <v>42374</v>
      </c>
      <c r="AR2147" s="82">
        <f t="shared" si="143"/>
        <v>5</v>
      </c>
      <c r="AS2147" s="83">
        <f t="shared" si="144"/>
        <v>1</v>
      </c>
      <c r="AT2147" s="84">
        <f t="shared" si="145"/>
        <v>2016</v>
      </c>
      <c r="AU2147" s="88">
        <f>DATE(2016,1,28)</f>
        <v>42397</v>
      </c>
      <c r="AV2147" s="88">
        <f>DATE(2016,1,11)</f>
        <v>42380</v>
      </c>
      <c r="AW2147" s="87">
        <f t="shared" si="147"/>
        <v>17</v>
      </c>
      <c r="AX2147" s="88">
        <f>DATE(2016,1,28)</f>
        <v>42397</v>
      </c>
      <c r="AY2147" s="83">
        <f>MONTH(AX2147)</f>
        <v>1</v>
      </c>
      <c r="AZ2147" s="84">
        <f>YEAR(AX2147)</f>
        <v>2016</v>
      </c>
      <c r="BA2147" s="86"/>
      <c r="BB2147" s="86"/>
    </row>
    <row r="2148" spans="1:54" ht="36.75" customHeight="1">
      <c r="A2148" s="30"/>
      <c r="B2148" s="30" t="s">
        <v>55</v>
      </c>
      <c r="C2148" s="69" t="str">
        <f t="shared" si="146"/>
        <v>Closed</v>
      </c>
      <c r="D2148" s="37" t="s">
        <v>12023</v>
      </c>
      <c r="E2148" s="29" t="s">
        <v>12024</v>
      </c>
      <c r="F2148" s="30" t="s">
        <v>6455</v>
      </c>
      <c r="G2148" s="89">
        <f>DATE(2016,1,6)</f>
        <v>42375</v>
      </c>
      <c r="H2148" s="90">
        <v>1.8333333333333335</v>
      </c>
      <c r="I2148" s="30" t="s">
        <v>125</v>
      </c>
      <c r="J2148" s="89" t="s">
        <v>12025</v>
      </c>
      <c r="K2148" s="30" t="s">
        <v>584</v>
      </c>
      <c r="L2148" s="30" t="s">
        <v>12026</v>
      </c>
      <c r="M2148" s="30" t="s">
        <v>63</v>
      </c>
      <c r="N2148" s="30" t="s">
        <v>142</v>
      </c>
      <c r="O2148" s="30" t="s">
        <v>64</v>
      </c>
      <c r="P2148" s="89" t="s">
        <v>165</v>
      </c>
      <c r="Q2148" s="89" t="s">
        <v>12027</v>
      </c>
      <c r="R2148" s="89" t="s">
        <v>587</v>
      </c>
      <c r="S2148" s="30">
        <v>0</v>
      </c>
      <c r="T2148" s="233">
        <v>0</v>
      </c>
      <c r="U2148" s="30">
        <v>0</v>
      </c>
      <c r="V2148" s="233">
        <v>0</v>
      </c>
      <c r="W2148" s="30">
        <v>0</v>
      </c>
      <c r="X2148" s="30">
        <v>0</v>
      </c>
      <c r="Y2148" s="30">
        <v>0</v>
      </c>
      <c r="Z2148" s="233">
        <v>0</v>
      </c>
      <c r="AA2148" s="30">
        <v>0</v>
      </c>
      <c r="AB2148" s="30">
        <v>0</v>
      </c>
      <c r="AC2148" s="30">
        <v>0</v>
      </c>
      <c r="AD2148" s="30">
        <v>0</v>
      </c>
      <c r="AE2148" s="89" t="s">
        <v>145</v>
      </c>
      <c r="AF2148" s="89"/>
      <c r="AG2148" s="89" t="s">
        <v>6459</v>
      </c>
      <c r="AH2148" s="72">
        <v>42377</v>
      </c>
      <c r="AI2148" s="30">
        <v>0</v>
      </c>
      <c r="AJ2148" s="89" t="s">
        <v>12028</v>
      </c>
      <c r="AK2148" s="89" t="s">
        <v>68</v>
      </c>
      <c r="AL2148" s="91">
        <v>42382</v>
      </c>
      <c r="AM2148" s="91">
        <v>44930</v>
      </c>
      <c r="AN2148" s="91">
        <v>45275</v>
      </c>
      <c r="AO2148" s="91">
        <v>45250</v>
      </c>
      <c r="AP2148" s="73" t="e">
        <f>MID(VLOOKUP(K2148,#REF!,2,FALSE),1,2)</f>
        <v>#REF!</v>
      </c>
      <c r="AQ2148" s="89">
        <f>DATE(2016,1,6)</f>
        <v>42375</v>
      </c>
      <c r="AR2148" s="82">
        <f t="shared" si="143"/>
        <v>6</v>
      </c>
      <c r="AS2148" s="83">
        <f t="shared" si="144"/>
        <v>1</v>
      </c>
      <c r="AT2148" s="84">
        <f t="shared" si="145"/>
        <v>2016</v>
      </c>
      <c r="AU2148" s="88">
        <f>DATE(2016,1,13)</f>
        <v>42382</v>
      </c>
      <c r="AV2148" s="88">
        <f>DATE(2016,1,8)</f>
        <v>42377</v>
      </c>
      <c r="AW2148" s="87">
        <f t="shared" si="147"/>
        <v>5</v>
      </c>
      <c r="AX2148" s="86"/>
      <c r="AY2148" s="83"/>
      <c r="AZ2148" s="84"/>
      <c r="BA2148" s="86"/>
      <c r="BB2148" s="86"/>
    </row>
    <row r="2149" spans="1:54" ht="36.75" customHeight="1">
      <c r="A2149" s="30"/>
      <c r="B2149" s="30" t="s">
        <v>55</v>
      </c>
      <c r="C2149" s="69" t="str">
        <f t="shared" si="146"/>
        <v>Closed</v>
      </c>
      <c r="D2149" s="27" t="s">
        <v>12029</v>
      </c>
      <c r="E2149" s="29" t="s">
        <v>12030</v>
      </c>
      <c r="F2149" s="30" t="s">
        <v>835</v>
      </c>
      <c r="G2149" s="89">
        <f>DATE(2016,1,6)</f>
        <v>42375</v>
      </c>
      <c r="H2149" s="90">
        <v>1.4555555555555555</v>
      </c>
      <c r="I2149" s="30" t="s">
        <v>278</v>
      </c>
      <c r="J2149" s="89" t="s">
        <v>12031</v>
      </c>
      <c r="K2149" s="30" t="s">
        <v>837</v>
      </c>
      <c r="L2149" s="30" t="s">
        <v>12032</v>
      </c>
      <c r="M2149" s="30" t="s">
        <v>63</v>
      </c>
      <c r="N2149" s="30" t="s">
        <v>142</v>
      </c>
      <c r="O2149" s="30" t="s">
        <v>77</v>
      </c>
      <c r="P2149" s="89" t="s">
        <v>65</v>
      </c>
      <c r="Q2149" s="89" t="s">
        <v>2162</v>
      </c>
      <c r="R2149" s="89" t="s">
        <v>840</v>
      </c>
      <c r="S2149" s="30">
        <v>0</v>
      </c>
      <c r="T2149" s="233">
        <v>0</v>
      </c>
      <c r="U2149" s="30">
        <v>0</v>
      </c>
      <c r="V2149" s="233">
        <v>0</v>
      </c>
      <c r="W2149" s="30">
        <v>0</v>
      </c>
      <c r="X2149" s="30">
        <v>0</v>
      </c>
      <c r="Y2149" s="30">
        <v>0</v>
      </c>
      <c r="Z2149" s="233">
        <v>0</v>
      </c>
      <c r="AA2149" s="30">
        <v>0</v>
      </c>
      <c r="AB2149" s="30">
        <v>0</v>
      </c>
      <c r="AC2149" s="30">
        <v>0</v>
      </c>
      <c r="AD2149" s="30">
        <v>0</v>
      </c>
      <c r="AE2149" s="89" t="s">
        <v>92</v>
      </c>
      <c r="AF2149" s="89"/>
      <c r="AG2149" s="89" t="s">
        <v>1507</v>
      </c>
      <c r="AH2149" s="72">
        <v>42375</v>
      </c>
      <c r="AI2149" s="30">
        <v>1</v>
      </c>
      <c r="AJ2149" s="89" t="s">
        <v>12033</v>
      </c>
      <c r="AK2149" s="89" t="s">
        <v>68</v>
      </c>
      <c r="AL2149" s="91">
        <v>42377</v>
      </c>
      <c r="AM2149" s="91"/>
      <c r="AN2149" s="91"/>
      <c r="AO2149" s="91"/>
      <c r="AP2149" s="73" t="e">
        <f>MID(VLOOKUP(K2149,#REF!,2,FALSE),1,2)</f>
        <v>#REF!</v>
      </c>
      <c r="AQ2149" s="89">
        <f>DATE(2016,1,6)</f>
        <v>42375</v>
      </c>
      <c r="AR2149" s="82">
        <f t="shared" si="143"/>
        <v>6</v>
      </c>
      <c r="AS2149" s="83">
        <f t="shared" si="144"/>
        <v>1</v>
      </c>
      <c r="AT2149" s="84">
        <f t="shared" si="145"/>
        <v>2016</v>
      </c>
      <c r="AU2149" s="88">
        <f>DATE(2016,1,8)</f>
        <v>42377</v>
      </c>
      <c r="AV2149" s="88">
        <f>DATE(2016,1,6)</f>
        <v>42375</v>
      </c>
      <c r="AW2149" s="87">
        <f t="shared" si="147"/>
        <v>2</v>
      </c>
      <c r="AX2149" s="88">
        <f>DATE(2016,1,6)</f>
        <v>42375</v>
      </c>
      <c r="AY2149" s="83">
        <f>MONTH(AX2149)</f>
        <v>1</v>
      </c>
      <c r="AZ2149" s="84">
        <f>YEAR(AX2149)</f>
        <v>2016</v>
      </c>
      <c r="BA2149" s="88">
        <f>DATE(2016,1,6)</f>
        <v>42375</v>
      </c>
      <c r="BB2149" s="86"/>
    </row>
    <row r="2150" spans="1:54" ht="36.75" customHeight="1">
      <c r="A2150" s="30"/>
      <c r="B2150" s="30" t="s">
        <v>55</v>
      </c>
      <c r="C2150" s="69" t="str">
        <f t="shared" si="146"/>
        <v>Closed</v>
      </c>
      <c r="D2150" s="27" t="s">
        <v>12034</v>
      </c>
      <c r="E2150" s="29" t="s">
        <v>12035</v>
      </c>
      <c r="F2150" s="30" t="s">
        <v>835</v>
      </c>
      <c r="G2150" s="89">
        <f>DATE(2016,1,8)</f>
        <v>42377</v>
      </c>
      <c r="H2150" s="90">
        <v>1.9652777777777777</v>
      </c>
      <c r="I2150" s="30" t="s">
        <v>73</v>
      </c>
      <c r="J2150" s="89" t="s">
        <v>12036</v>
      </c>
      <c r="K2150" s="30" t="s">
        <v>837</v>
      </c>
      <c r="L2150" s="30" t="s">
        <v>12037</v>
      </c>
      <c r="M2150" s="30" t="s">
        <v>63</v>
      </c>
      <c r="N2150" s="30" t="s">
        <v>142</v>
      </c>
      <c r="O2150" s="30" t="s">
        <v>77</v>
      </c>
      <c r="P2150" s="89" t="s">
        <v>78</v>
      </c>
      <c r="Q2150" s="89" t="s">
        <v>4708</v>
      </c>
      <c r="R2150" s="89" t="s">
        <v>840</v>
      </c>
      <c r="S2150" s="30">
        <v>0</v>
      </c>
      <c r="T2150" s="233">
        <v>0</v>
      </c>
      <c r="U2150" s="30">
        <v>0</v>
      </c>
      <c r="V2150" s="233">
        <v>0</v>
      </c>
      <c r="W2150" s="30">
        <v>0</v>
      </c>
      <c r="X2150" s="30">
        <v>0</v>
      </c>
      <c r="Y2150" s="30">
        <v>0</v>
      </c>
      <c r="Z2150" s="233">
        <v>0</v>
      </c>
      <c r="AA2150" s="30">
        <v>0</v>
      </c>
      <c r="AB2150" s="30">
        <v>0</v>
      </c>
      <c r="AC2150" s="30">
        <v>0</v>
      </c>
      <c r="AD2150" s="30">
        <v>0</v>
      </c>
      <c r="AE2150" s="89" t="s">
        <v>92</v>
      </c>
      <c r="AF2150" s="89"/>
      <c r="AG2150" s="89" t="s">
        <v>352</v>
      </c>
      <c r="AH2150" s="72">
        <v>42377</v>
      </c>
      <c r="AI2150" s="30">
        <v>0</v>
      </c>
      <c r="AJ2150" s="89" t="s">
        <v>12038</v>
      </c>
      <c r="AK2150" s="89" t="s">
        <v>12039</v>
      </c>
      <c r="AL2150" s="91">
        <v>42381</v>
      </c>
      <c r="AM2150" s="91"/>
      <c r="AN2150" s="91"/>
      <c r="AO2150" s="91"/>
      <c r="AP2150" s="73" t="e">
        <f>MID(VLOOKUP(K2150,#REF!,2,FALSE),1,2)</f>
        <v>#REF!</v>
      </c>
      <c r="AQ2150" s="89">
        <f>DATE(2016,1,8)</f>
        <v>42377</v>
      </c>
      <c r="AR2150" s="82">
        <f t="shared" si="143"/>
        <v>8</v>
      </c>
      <c r="AS2150" s="84">
        <f t="shared" si="144"/>
        <v>1</v>
      </c>
      <c r="AT2150" s="104">
        <f t="shared" si="145"/>
        <v>2016</v>
      </c>
      <c r="AU2150" s="86"/>
      <c r="AV2150" s="87"/>
      <c r="AW2150" s="86"/>
      <c r="AX2150" s="82"/>
      <c r="AY2150" s="84"/>
      <c r="AZ2150" s="104"/>
      <c r="BA2150" s="86"/>
      <c r="BB2150" s="86"/>
    </row>
    <row r="2151" spans="1:54" ht="36.75" customHeight="1">
      <c r="A2151" s="30"/>
      <c r="B2151" s="30" t="s">
        <v>55</v>
      </c>
      <c r="C2151" s="69" t="str">
        <f t="shared" si="146"/>
        <v>Closed</v>
      </c>
      <c r="D2151" s="27" t="s">
        <v>12040</v>
      </c>
      <c r="E2151" s="29" t="s">
        <v>12041</v>
      </c>
      <c r="F2151" s="30" t="s">
        <v>1572</v>
      </c>
      <c r="G2151" s="89">
        <f>DATE(2016,1,11)</f>
        <v>42380</v>
      </c>
      <c r="H2151" s="90">
        <v>1.8958333333333335</v>
      </c>
      <c r="I2151" s="30" t="s">
        <v>73</v>
      </c>
      <c r="J2151" s="89" t="s">
        <v>12042</v>
      </c>
      <c r="K2151" s="30" t="s">
        <v>1574</v>
      </c>
      <c r="L2151" s="30" t="s">
        <v>12043</v>
      </c>
      <c r="M2151" s="30" t="s">
        <v>63</v>
      </c>
      <c r="N2151" s="30" t="s">
        <v>142</v>
      </c>
      <c r="O2151" s="30" t="s">
        <v>77</v>
      </c>
      <c r="P2151" s="89" t="s">
        <v>78</v>
      </c>
      <c r="Q2151" s="89" t="s">
        <v>6024</v>
      </c>
      <c r="R2151" s="89" t="s">
        <v>6434</v>
      </c>
      <c r="S2151" s="30">
        <v>0</v>
      </c>
      <c r="T2151" s="233">
        <v>0</v>
      </c>
      <c r="U2151" s="30">
        <v>0</v>
      </c>
      <c r="V2151" s="233">
        <v>0</v>
      </c>
      <c r="W2151" s="30">
        <v>0</v>
      </c>
      <c r="X2151" s="30">
        <v>0</v>
      </c>
      <c r="Y2151" s="30">
        <v>0</v>
      </c>
      <c r="Z2151" s="233">
        <v>0</v>
      </c>
      <c r="AA2151" s="30">
        <v>0</v>
      </c>
      <c r="AB2151" s="30">
        <v>0</v>
      </c>
      <c r="AC2151" s="30">
        <v>0</v>
      </c>
      <c r="AD2151" s="30">
        <v>0</v>
      </c>
      <c r="AE2151" s="89" t="s">
        <v>92</v>
      </c>
      <c r="AF2151" s="89"/>
      <c r="AG2151" s="89" t="s">
        <v>352</v>
      </c>
      <c r="AH2151" s="72">
        <v>42382</v>
      </c>
      <c r="AI2151" s="30">
        <v>0</v>
      </c>
      <c r="AJ2151" s="89" t="s">
        <v>12044</v>
      </c>
      <c r="AK2151" s="89" t="s">
        <v>12045</v>
      </c>
      <c r="AL2151" s="91">
        <v>42388</v>
      </c>
      <c r="AM2151" s="91"/>
      <c r="AN2151" s="91"/>
      <c r="AO2151" s="91"/>
      <c r="AP2151" s="73" t="e">
        <f>MID(VLOOKUP(K2151,#REF!,2,FALSE),1,2)</f>
        <v>#REF!</v>
      </c>
      <c r="AQ2151" s="89">
        <f>DATE(2016,1,11)</f>
        <v>42380</v>
      </c>
      <c r="AR2151" s="82">
        <f t="shared" si="143"/>
        <v>11</v>
      </c>
      <c r="AS2151" s="83">
        <f t="shared" si="144"/>
        <v>1</v>
      </c>
      <c r="AT2151" s="84">
        <f t="shared" si="145"/>
        <v>2016</v>
      </c>
      <c r="AU2151" s="88">
        <f>DATE(2016,1,19)</f>
        <v>42388</v>
      </c>
      <c r="AV2151" s="88">
        <f>DATE(2016,1,13)</f>
        <v>42382</v>
      </c>
      <c r="AW2151" s="87">
        <f t="shared" ref="AW2151:AW2182" si="148">AU2151-AV2151</f>
        <v>6</v>
      </c>
      <c r="AX2151" s="88">
        <f>DATE(2016,1,19)</f>
        <v>42388</v>
      </c>
      <c r="AY2151" s="83">
        <f>MONTH(AX2151)</f>
        <v>1</v>
      </c>
      <c r="AZ2151" s="84">
        <f>YEAR(AX2151)</f>
        <v>2016</v>
      </c>
      <c r="BA2151" s="88">
        <f>DATE(2016,1,11)</f>
        <v>42380</v>
      </c>
      <c r="BB2151" s="86"/>
    </row>
    <row r="2152" spans="1:54" ht="36.75" customHeight="1">
      <c r="A2152" s="30"/>
      <c r="B2152" s="30" t="s">
        <v>55</v>
      </c>
      <c r="C2152" s="69" t="str">
        <f t="shared" si="146"/>
        <v>Closed</v>
      </c>
      <c r="D2152" s="27" t="s">
        <v>12046</v>
      </c>
      <c r="E2152" s="29" t="s">
        <v>12047</v>
      </c>
      <c r="F2152" s="30" t="s">
        <v>1770</v>
      </c>
      <c r="G2152" s="89">
        <f>DATE(2016,1,13)</f>
        <v>42382</v>
      </c>
      <c r="H2152" s="90">
        <v>1.870138888888889</v>
      </c>
      <c r="I2152" s="30" t="s">
        <v>198</v>
      </c>
      <c r="J2152" s="89" t="s">
        <v>12048</v>
      </c>
      <c r="K2152" s="30" t="s">
        <v>1772</v>
      </c>
      <c r="L2152" s="30" t="s">
        <v>12049</v>
      </c>
      <c r="M2152" s="30" t="s">
        <v>63</v>
      </c>
      <c r="N2152" s="30" t="s">
        <v>99</v>
      </c>
      <c r="O2152" s="30" t="s">
        <v>77</v>
      </c>
      <c r="P2152" s="89" t="s">
        <v>165</v>
      </c>
      <c r="Q2152" s="89" t="s">
        <v>4289</v>
      </c>
      <c r="R2152" s="89" t="s">
        <v>1775</v>
      </c>
      <c r="S2152" s="30">
        <v>0</v>
      </c>
      <c r="T2152" s="233">
        <v>0</v>
      </c>
      <c r="U2152" s="30">
        <v>0</v>
      </c>
      <c r="V2152" s="233">
        <v>0</v>
      </c>
      <c r="W2152" s="30">
        <v>0</v>
      </c>
      <c r="X2152" s="30">
        <v>0</v>
      </c>
      <c r="Y2152" s="30">
        <v>0</v>
      </c>
      <c r="Z2152" s="233">
        <v>0</v>
      </c>
      <c r="AA2152" s="30">
        <v>0</v>
      </c>
      <c r="AB2152" s="30">
        <v>0</v>
      </c>
      <c r="AC2152" s="30">
        <v>0</v>
      </c>
      <c r="AD2152" s="30">
        <v>0</v>
      </c>
      <c r="AE2152" s="89" t="s">
        <v>92</v>
      </c>
      <c r="AF2152" s="89"/>
      <c r="AG2152" s="89" t="s">
        <v>352</v>
      </c>
      <c r="AH2152" s="72">
        <v>42384</v>
      </c>
      <c r="AI2152" s="30">
        <v>2</v>
      </c>
      <c r="AJ2152" s="89" t="s">
        <v>12050</v>
      </c>
      <c r="AK2152" s="89" t="s">
        <v>12051</v>
      </c>
      <c r="AL2152" s="91">
        <v>42668</v>
      </c>
      <c r="AM2152" s="91"/>
      <c r="AN2152" s="91"/>
      <c r="AO2152" s="91"/>
      <c r="AP2152" s="73" t="e">
        <f>MID(VLOOKUP(K2152,#REF!,2,FALSE),1,2)</f>
        <v>#REF!</v>
      </c>
      <c r="AQ2152" s="89">
        <f>DATE(2016,1,13)</f>
        <v>42382</v>
      </c>
      <c r="AR2152" s="82">
        <f t="shared" si="143"/>
        <v>13</v>
      </c>
      <c r="AS2152" s="83">
        <f t="shared" si="144"/>
        <v>1</v>
      </c>
      <c r="AT2152" s="84">
        <f t="shared" si="145"/>
        <v>2016</v>
      </c>
      <c r="AU2152" s="88">
        <f>DATE(2016,10,25)</f>
        <v>42668</v>
      </c>
      <c r="AV2152" s="88">
        <f>DATE(2016,1,15)</f>
        <v>42384</v>
      </c>
      <c r="AW2152" s="87">
        <f t="shared" si="148"/>
        <v>284</v>
      </c>
      <c r="AX2152" s="88"/>
      <c r="AY2152" s="83"/>
      <c r="AZ2152" s="84"/>
      <c r="BA2152" s="86"/>
      <c r="BB2152" s="86"/>
    </row>
    <row r="2153" spans="1:54" ht="36.75" customHeight="1">
      <c r="A2153" s="30"/>
      <c r="B2153" s="30" t="s">
        <v>55</v>
      </c>
      <c r="C2153" s="69" t="str">
        <f t="shared" si="146"/>
        <v>Closed</v>
      </c>
      <c r="D2153" s="27" t="s">
        <v>12052</v>
      </c>
      <c r="E2153" s="29" t="s">
        <v>12053</v>
      </c>
      <c r="F2153" s="30" t="s">
        <v>115</v>
      </c>
      <c r="G2153" s="89">
        <f>DATE(2016,1,14)</f>
        <v>42383</v>
      </c>
      <c r="H2153" s="90">
        <v>1.1701388888888888</v>
      </c>
      <c r="I2153" s="30" t="s">
        <v>116</v>
      </c>
      <c r="J2153" s="89" t="s">
        <v>12054</v>
      </c>
      <c r="K2153" s="30" t="s">
        <v>118</v>
      </c>
      <c r="L2153" s="30" t="s">
        <v>12055</v>
      </c>
      <c r="M2153" s="30" t="s">
        <v>63</v>
      </c>
      <c r="N2153" s="30" t="s">
        <v>142</v>
      </c>
      <c r="O2153" s="30" t="s">
        <v>64</v>
      </c>
      <c r="P2153" s="89" t="s">
        <v>78</v>
      </c>
      <c r="Q2153" s="89" t="s">
        <v>120</v>
      </c>
      <c r="R2153" s="89" t="s">
        <v>121</v>
      </c>
      <c r="S2153" s="30">
        <v>0</v>
      </c>
      <c r="T2153" s="233">
        <v>0</v>
      </c>
      <c r="U2153" s="30">
        <v>0</v>
      </c>
      <c r="V2153" s="233">
        <v>0</v>
      </c>
      <c r="W2153" s="30">
        <v>0</v>
      </c>
      <c r="X2153" s="30">
        <v>0</v>
      </c>
      <c r="Y2153" s="30">
        <v>0</v>
      </c>
      <c r="Z2153" s="233">
        <v>1</v>
      </c>
      <c r="AA2153" s="30">
        <v>0</v>
      </c>
      <c r="AB2153" s="30">
        <v>0</v>
      </c>
      <c r="AC2153" s="30">
        <v>0</v>
      </c>
      <c r="AD2153" s="30">
        <v>1</v>
      </c>
      <c r="AE2153" s="89" t="s">
        <v>145</v>
      </c>
      <c r="AF2153" s="89"/>
      <c r="AG2153" s="89" t="s">
        <v>82</v>
      </c>
      <c r="AH2153" s="72">
        <v>42383</v>
      </c>
      <c r="AI2153" s="30">
        <v>0</v>
      </c>
      <c r="AJ2153" s="89" t="s">
        <v>12056</v>
      </c>
      <c r="AK2153" s="89" t="s">
        <v>12057</v>
      </c>
      <c r="AL2153" s="91">
        <v>42388</v>
      </c>
      <c r="AM2153" s="91"/>
      <c r="AN2153" s="91"/>
      <c r="AO2153" s="91"/>
      <c r="AP2153" s="73" t="e">
        <f>MID(VLOOKUP(K2153,#REF!,2,FALSE),1,2)</f>
        <v>#REF!</v>
      </c>
      <c r="AQ2153" s="89">
        <f>DATE(2016,1,14)</f>
        <v>42383</v>
      </c>
      <c r="AR2153" s="82">
        <f t="shared" si="143"/>
        <v>14</v>
      </c>
      <c r="AS2153" s="83">
        <f t="shared" si="144"/>
        <v>1</v>
      </c>
      <c r="AT2153" s="84">
        <f t="shared" si="145"/>
        <v>2016</v>
      </c>
      <c r="AU2153" s="88">
        <f>DATE(2016,1,19)</f>
        <v>42388</v>
      </c>
      <c r="AV2153" s="88">
        <f>DATE(2016,1,14)</f>
        <v>42383</v>
      </c>
      <c r="AW2153" s="87">
        <f t="shared" si="148"/>
        <v>5</v>
      </c>
      <c r="AX2153" s="88">
        <f>DATE(2016,1,19)</f>
        <v>42388</v>
      </c>
      <c r="AY2153" s="83">
        <f>MONTH(AX2153)</f>
        <v>1</v>
      </c>
      <c r="AZ2153" s="84">
        <f>YEAR(AX2153)</f>
        <v>2016</v>
      </c>
      <c r="BA2153" s="88">
        <f>DATE(2016,1,15)</f>
        <v>42384</v>
      </c>
      <c r="BB2153" s="86"/>
    </row>
    <row r="2154" spans="1:54" ht="36.75" customHeight="1">
      <c r="A2154" s="30"/>
      <c r="B2154" s="30" t="s">
        <v>55</v>
      </c>
      <c r="C2154" s="69" t="str">
        <f t="shared" si="146"/>
        <v>Closed</v>
      </c>
      <c r="D2154" s="27" t="s">
        <v>12058</v>
      </c>
      <c r="E2154" s="29" t="s">
        <v>12059</v>
      </c>
      <c r="F2154" s="30" t="s">
        <v>124</v>
      </c>
      <c r="G2154" s="89">
        <f>DATE(2016,1,18)</f>
        <v>42387</v>
      </c>
      <c r="H2154" s="90">
        <v>0</v>
      </c>
      <c r="I2154" s="30" t="s">
        <v>5494</v>
      </c>
      <c r="J2154" s="89" t="s">
        <v>12060</v>
      </c>
      <c r="K2154" s="30" t="s">
        <v>127</v>
      </c>
      <c r="L2154" s="30" t="s">
        <v>12061</v>
      </c>
      <c r="M2154" s="30" t="s">
        <v>63</v>
      </c>
      <c r="N2154" s="30" t="s">
        <v>99</v>
      </c>
      <c r="O2154" s="30" t="s">
        <v>64</v>
      </c>
      <c r="P2154" s="89" t="s">
        <v>301</v>
      </c>
      <c r="Q2154" s="89" t="s">
        <v>229</v>
      </c>
      <c r="R2154" s="89" t="s">
        <v>167</v>
      </c>
      <c r="S2154" s="30">
        <v>0</v>
      </c>
      <c r="T2154" s="233">
        <v>0</v>
      </c>
      <c r="U2154" s="30">
        <v>0</v>
      </c>
      <c r="V2154" s="233">
        <v>0</v>
      </c>
      <c r="W2154" s="30">
        <v>0</v>
      </c>
      <c r="X2154" s="30">
        <v>0</v>
      </c>
      <c r="Y2154" s="30">
        <v>0</v>
      </c>
      <c r="Z2154" s="233">
        <v>1</v>
      </c>
      <c r="AA2154" s="30">
        <v>0</v>
      </c>
      <c r="AB2154" s="30">
        <v>0</v>
      </c>
      <c r="AC2154" s="30">
        <v>0</v>
      </c>
      <c r="AD2154" s="30">
        <v>1</v>
      </c>
      <c r="AE2154" s="89" t="s">
        <v>394</v>
      </c>
      <c r="AF2154" s="89"/>
      <c r="AG2154" s="89" t="s">
        <v>589</v>
      </c>
      <c r="AH2154" s="72">
        <v>42387</v>
      </c>
      <c r="AI2154" s="30">
        <v>2</v>
      </c>
      <c r="AJ2154" s="89" t="s">
        <v>12062</v>
      </c>
      <c r="AK2154" s="89" t="s">
        <v>68</v>
      </c>
      <c r="AL2154" s="91">
        <v>43206</v>
      </c>
      <c r="AM2154" s="91"/>
      <c r="AN2154" s="91"/>
      <c r="AO2154" s="91"/>
      <c r="AP2154" s="73" t="e">
        <f>MID(VLOOKUP(K2154,#REF!,2,FALSE),1,2)</f>
        <v>#REF!</v>
      </c>
      <c r="AQ2154" s="89">
        <f>DATE(2016,1,18)</f>
        <v>42387</v>
      </c>
      <c r="AR2154" s="82">
        <f t="shared" si="143"/>
        <v>18</v>
      </c>
      <c r="AS2154" s="83">
        <f t="shared" si="144"/>
        <v>1</v>
      </c>
      <c r="AT2154" s="84">
        <f t="shared" si="145"/>
        <v>2016</v>
      </c>
      <c r="AU2154" s="88">
        <f>DATE(2016,4,16)</f>
        <v>42476</v>
      </c>
      <c r="AV2154" s="88">
        <f>DATE(2016,1,18)</f>
        <v>42387</v>
      </c>
      <c r="AW2154" s="87">
        <f t="shared" si="148"/>
        <v>89</v>
      </c>
      <c r="AX2154" s="86"/>
      <c r="AY2154" s="83"/>
      <c r="AZ2154" s="84"/>
      <c r="BA2154" s="86"/>
      <c r="BB2154" s="86"/>
    </row>
    <row r="2155" spans="1:54" ht="36.75" customHeight="1">
      <c r="A2155" s="30"/>
      <c r="B2155" s="30" t="s">
        <v>55</v>
      </c>
      <c r="C2155" s="69" t="str">
        <f t="shared" si="146"/>
        <v>Closed</v>
      </c>
      <c r="D2155" s="27" t="s">
        <v>12063</v>
      </c>
      <c r="E2155" s="29" t="s">
        <v>12064</v>
      </c>
      <c r="F2155" s="30" t="s">
        <v>9789</v>
      </c>
      <c r="G2155" s="89">
        <f>DATE(2016,1,20)</f>
        <v>42389</v>
      </c>
      <c r="H2155" s="90">
        <v>0</v>
      </c>
      <c r="I2155" s="30" t="s">
        <v>1040</v>
      </c>
      <c r="J2155" s="210" t="s">
        <v>12065</v>
      </c>
      <c r="K2155" s="30" t="s">
        <v>9791</v>
      </c>
      <c r="L2155" s="30" t="s">
        <v>12066</v>
      </c>
      <c r="M2155" s="30" t="s">
        <v>63</v>
      </c>
      <c r="N2155" s="30" t="s">
        <v>89</v>
      </c>
      <c r="O2155" s="30" t="s">
        <v>77</v>
      </c>
      <c r="P2155" s="89" t="s">
        <v>78</v>
      </c>
      <c r="Q2155" s="89" t="s">
        <v>10257</v>
      </c>
      <c r="R2155" s="89" t="s">
        <v>9794</v>
      </c>
      <c r="S2155" s="30">
        <v>0</v>
      </c>
      <c r="T2155" s="233">
        <v>0</v>
      </c>
      <c r="U2155" s="30">
        <v>0</v>
      </c>
      <c r="V2155" s="233">
        <v>0</v>
      </c>
      <c r="W2155" s="30">
        <v>0</v>
      </c>
      <c r="X2155" s="30">
        <v>0</v>
      </c>
      <c r="Y2155" s="30">
        <v>0</v>
      </c>
      <c r="Z2155" s="233">
        <v>0</v>
      </c>
      <c r="AA2155" s="30">
        <v>0</v>
      </c>
      <c r="AB2155" s="30">
        <v>0</v>
      </c>
      <c r="AC2155" s="30">
        <v>0</v>
      </c>
      <c r="AD2155" s="30">
        <v>0</v>
      </c>
      <c r="AE2155" s="89" t="s">
        <v>92</v>
      </c>
      <c r="AF2155" s="89"/>
      <c r="AG2155" s="89" t="s">
        <v>12067</v>
      </c>
      <c r="AH2155" s="72">
        <v>42410</v>
      </c>
      <c r="AI2155" s="30">
        <v>0</v>
      </c>
      <c r="AJ2155" s="89" t="s">
        <v>12068</v>
      </c>
      <c r="AK2155" s="89" t="s">
        <v>12069</v>
      </c>
      <c r="AL2155" s="91">
        <v>42415</v>
      </c>
      <c r="AM2155" s="91"/>
      <c r="AN2155" s="91"/>
      <c r="AO2155" s="91"/>
      <c r="AP2155" s="73" t="e">
        <f>MID(VLOOKUP(K2155,#REF!,2,FALSE),1,2)</f>
        <v>#REF!</v>
      </c>
      <c r="AQ2155" s="89">
        <f>DATE(2016,1,20)</f>
        <v>42389</v>
      </c>
      <c r="AR2155" s="82">
        <f t="shared" si="143"/>
        <v>20</v>
      </c>
      <c r="AS2155" s="83">
        <f t="shared" si="144"/>
        <v>1</v>
      </c>
      <c r="AT2155" s="84">
        <f t="shared" si="145"/>
        <v>2016</v>
      </c>
      <c r="AU2155" s="88">
        <f>DATE(2016,2,15)</f>
        <v>42415</v>
      </c>
      <c r="AV2155" s="88">
        <f>DATE(2016,2,10)</f>
        <v>42410</v>
      </c>
      <c r="AW2155" s="87">
        <f t="shared" si="148"/>
        <v>5</v>
      </c>
      <c r="AX2155" s="86"/>
      <c r="AY2155" s="83"/>
      <c r="AZ2155" s="84"/>
      <c r="BA2155" s="88">
        <f>DATE(2016,2,2)</f>
        <v>42402</v>
      </c>
      <c r="BB2155" s="86"/>
    </row>
    <row r="2156" spans="1:54" ht="36.75" customHeight="1">
      <c r="A2156" s="30"/>
      <c r="B2156" s="30" t="s">
        <v>55</v>
      </c>
      <c r="C2156" s="69" t="str">
        <f t="shared" si="146"/>
        <v>Closed</v>
      </c>
      <c r="D2156" s="27" t="s">
        <v>12070</v>
      </c>
      <c r="E2156" s="29" t="s">
        <v>12071</v>
      </c>
      <c r="F2156" s="30" t="s">
        <v>5427</v>
      </c>
      <c r="G2156" s="89">
        <f>DATE(2016,1,20)</f>
        <v>42389</v>
      </c>
      <c r="H2156" s="90">
        <v>1.3840277777777779</v>
      </c>
      <c r="I2156" s="30" t="s">
        <v>104</v>
      </c>
      <c r="J2156" s="89" t="s">
        <v>12072</v>
      </c>
      <c r="K2156" s="30" t="s">
        <v>596</v>
      </c>
      <c r="L2156" s="30" t="s">
        <v>12073</v>
      </c>
      <c r="M2156" s="30" t="s">
        <v>63</v>
      </c>
      <c r="N2156" s="30" t="s">
        <v>89</v>
      </c>
      <c r="O2156" s="30" t="s">
        <v>77</v>
      </c>
      <c r="P2156" s="89" t="s">
        <v>86</v>
      </c>
      <c r="Q2156" s="89" t="s">
        <v>12074</v>
      </c>
      <c r="R2156" s="89" t="s">
        <v>12074</v>
      </c>
      <c r="S2156" s="30">
        <v>0</v>
      </c>
      <c r="T2156" s="233">
        <v>0</v>
      </c>
      <c r="U2156" s="30">
        <v>0</v>
      </c>
      <c r="V2156" s="233">
        <v>0</v>
      </c>
      <c r="W2156" s="30">
        <v>0</v>
      </c>
      <c r="X2156" s="30">
        <v>0</v>
      </c>
      <c r="Y2156" s="30">
        <v>0</v>
      </c>
      <c r="Z2156" s="233">
        <v>0</v>
      </c>
      <c r="AA2156" s="30">
        <v>0</v>
      </c>
      <c r="AB2156" s="30">
        <v>0</v>
      </c>
      <c r="AC2156" s="30">
        <v>0</v>
      </c>
      <c r="AD2156" s="30">
        <v>0</v>
      </c>
      <c r="AE2156" s="89" t="s">
        <v>92</v>
      </c>
      <c r="AF2156" s="89"/>
      <c r="AG2156" s="89" t="s">
        <v>133</v>
      </c>
      <c r="AH2156" s="72">
        <v>42415</v>
      </c>
      <c r="AI2156" s="30">
        <v>8</v>
      </c>
      <c r="AJ2156" s="89" t="s">
        <v>12075</v>
      </c>
      <c r="AK2156" s="89" t="s">
        <v>12076</v>
      </c>
      <c r="AL2156" s="91">
        <v>42417</v>
      </c>
      <c r="AM2156" s="91"/>
      <c r="AN2156" s="91"/>
      <c r="AO2156" s="91"/>
      <c r="AP2156" s="73" t="e">
        <f>MID(VLOOKUP(K2156,#REF!,2,FALSE),1,2)</f>
        <v>#REF!</v>
      </c>
      <c r="AQ2156" s="89">
        <f>DATE(2016,1,20)</f>
        <v>42389</v>
      </c>
      <c r="AR2156" s="82">
        <f t="shared" si="143"/>
        <v>20</v>
      </c>
      <c r="AS2156" s="83">
        <f t="shared" si="144"/>
        <v>1</v>
      </c>
      <c r="AT2156" s="84">
        <f t="shared" si="145"/>
        <v>2016</v>
      </c>
      <c r="AU2156" s="88">
        <f>DATE(2016,2,17)</f>
        <v>42417</v>
      </c>
      <c r="AV2156" s="88">
        <f>DATE(2016,2,15)</f>
        <v>42415</v>
      </c>
      <c r="AW2156" s="87">
        <f t="shared" si="148"/>
        <v>2</v>
      </c>
      <c r="AX2156" s="88">
        <f>DATE(2016,2,15)</f>
        <v>42415</v>
      </c>
      <c r="AY2156" s="83">
        <f>MONTH(AX2156)</f>
        <v>2</v>
      </c>
      <c r="AZ2156" s="84">
        <f>YEAR(AX2156)</f>
        <v>2016</v>
      </c>
      <c r="BA2156" s="88">
        <f>DATE(2016,2,16)</f>
        <v>42416</v>
      </c>
      <c r="BB2156" s="86"/>
    </row>
    <row r="2157" spans="1:54" ht="36.75" customHeight="1">
      <c r="A2157" s="30"/>
      <c r="B2157" s="30" t="s">
        <v>55</v>
      </c>
      <c r="C2157" s="69" t="str">
        <f t="shared" si="146"/>
        <v>Closed</v>
      </c>
      <c r="D2157" s="27" t="s">
        <v>12077</v>
      </c>
      <c r="E2157" s="29" t="s">
        <v>12078</v>
      </c>
      <c r="F2157" s="30" t="s">
        <v>2601</v>
      </c>
      <c r="G2157" s="89">
        <f>DATE(2016,1,23)</f>
        <v>42392</v>
      </c>
      <c r="H2157" s="90">
        <v>1.0027777777777778</v>
      </c>
      <c r="I2157" s="30" t="s">
        <v>73</v>
      </c>
      <c r="J2157" s="89" t="s">
        <v>12079</v>
      </c>
      <c r="K2157" s="30" t="s">
        <v>2603</v>
      </c>
      <c r="L2157" s="30" t="s">
        <v>12080</v>
      </c>
      <c r="M2157" s="30" t="s">
        <v>63</v>
      </c>
      <c r="N2157" s="30" t="s">
        <v>89</v>
      </c>
      <c r="O2157" s="30" t="s">
        <v>77</v>
      </c>
      <c r="P2157" s="89" t="s">
        <v>78</v>
      </c>
      <c r="Q2157" s="89" t="s">
        <v>4813</v>
      </c>
      <c r="R2157" s="89" t="s">
        <v>2606</v>
      </c>
      <c r="S2157" s="30">
        <v>0</v>
      </c>
      <c r="T2157" s="233">
        <v>0</v>
      </c>
      <c r="U2157" s="30">
        <v>0</v>
      </c>
      <c r="V2157" s="233">
        <v>0</v>
      </c>
      <c r="W2157" s="30">
        <v>0</v>
      </c>
      <c r="X2157" s="30">
        <v>0</v>
      </c>
      <c r="Y2157" s="30">
        <v>0</v>
      </c>
      <c r="Z2157" s="233">
        <v>0</v>
      </c>
      <c r="AA2157" s="30">
        <v>0</v>
      </c>
      <c r="AB2157" s="30">
        <v>0</v>
      </c>
      <c r="AC2157" s="30">
        <v>0</v>
      </c>
      <c r="AD2157" s="30">
        <v>0</v>
      </c>
      <c r="AE2157" s="89" t="s">
        <v>394</v>
      </c>
      <c r="AF2157" s="89"/>
      <c r="AG2157" s="89" t="s">
        <v>133</v>
      </c>
      <c r="AH2157" s="72">
        <v>42392</v>
      </c>
      <c r="AI2157" s="30">
        <v>7</v>
      </c>
      <c r="AJ2157" s="89" t="s">
        <v>12081</v>
      </c>
      <c r="AK2157" s="89" t="s">
        <v>68</v>
      </c>
      <c r="AL2157" s="91">
        <v>42404</v>
      </c>
      <c r="AM2157" s="91"/>
      <c r="AN2157" s="91"/>
      <c r="AO2157" s="91"/>
      <c r="AP2157" s="73" t="e">
        <f>MID(VLOOKUP(K2157,#REF!,2,FALSE),1,2)</f>
        <v>#REF!</v>
      </c>
      <c r="AQ2157" s="89">
        <f>DATE(2016,1,23)</f>
        <v>42392</v>
      </c>
      <c r="AR2157" s="82">
        <f t="shared" si="143"/>
        <v>23</v>
      </c>
      <c r="AS2157" s="83">
        <f t="shared" si="144"/>
        <v>1</v>
      </c>
      <c r="AT2157" s="84">
        <f t="shared" si="145"/>
        <v>2016</v>
      </c>
      <c r="AU2157" s="88">
        <f>DATE(2016,2,4)</f>
        <v>42404</v>
      </c>
      <c r="AV2157" s="88">
        <f>DATE(2016,1,23)</f>
        <v>42392</v>
      </c>
      <c r="AW2157" s="87">
        <f t="shared" si="148"/>
        <v>12</v>
      </c>
      <c r="AX2157" s="88">
        <f>DATE(2016,1,16)</f>
        <v>42385</v>
      </c>
      <c r="AY2157" s="83">
        <f>MONTH(AX2157)</f>
        <v>1</v>
      </c>
      <c r="AZ2157" s="84">
        <f>YEAR(AX2157)</f>
        <v>2016</v>
      </c>
      <c r="BA2157" s="88">
        <f>DATE(2016,1,23)</f>
        <v>42392</v>
      </c>
      <c r="BB2157" s="86"/>
    </row>
    <row r="2158" spans="1:54" ht="36.75" customHeight="1">
      <c r="A2158" s="30"/>
      <c r="B2158" s="30" t="s">
        <v>55</v>
      </c>
      <c r="C2158" s="69" t="str">
        <f t="shared" si="146"/>
        <v>Closed</v>
      </c>
      <c r="D2158" s="27" t="s">
        <v>12082</v>
      </c>
      <c r="E2158" s="29" t="s">
        <v>12083</v>
      </c>
      <c r="F2158" s="30" t="s">
        <v>638</v>
      </c>
      <c r="G2158" s="89">
        <f>DATE(2016,1,23)</f>
        <v>42392</v>
      </c>
      <c r="H2158" s="90">
        <v>1.5118055555555556</v>
      </c>
      <c r="I2158" s="30" t="s">
        <v>73</v>
      </c>
      <c r="J2158" s="89" t="s">
        <v>12084</v>
      </c>
      <c r="K2158" s="30" t="s">
        <v>640</v>
      </c>
      <c r="L2158" s="30" t="s">
        <v>12085</v>
      </c>
      <c r="M2158" s="30" t="s">
        <v>63</v>
      </c>
      <c r="N2158" s="30" t="s">
        <v>99</v>
      </c>
      <c r="O2158" s="30" t="s">
        <v>77</v>
      </c>
      <c r="P2158" s="89" t="s">
        <v>78</v>
      </c>
      <c r="Q2158" s="89" t="s">
        <v>12086</v>
      </c>
      <c r="R2158" s="89" t="s">
        <v>643</v>
      </c>
      <c r="S2158" s="30">
        <v>0</v>
      </c>
      <c r="T2158" s="233">
        <v>0</v>
      </c>
      <c r="U2158" s="30">
        <v>0</v>
      </c>
      <c r="V2158" s="233">
        <v>0</v>
      </c>
      <c r="W2158" s="30">
        <v>0</v>
      </c>
      <c r="X2158" s="30">
        <v>0</v>
      </c>
      <c r="Y2158" s="30">
        <v>0</v>
      </c>
      <c r="Z2158" s="233">
        <v>0</v>
      </c>
      <c r="AA2158" s="30">
        <v>0</v>
      </c>
      <c r="AB2158" s="30">
        <v>0</v>
      </c>
      <c r="AC2158" s="30">
        <v>0</v>
      </c>
      <c r="AD2158" s="30">
        <v>0</v>
      </c>
      <c r="AE2158" s="89" t="s">
        <v>92</v>
      </c>
      <c r="AF2158" s="89"/>
      <c r="AG2158" s="89" t="s">
        <v>352</v>
      </c>
      <c r="AH2158" s="72">
        <v>42423</v>
      </c>
      <c r="AI2158" s="30">
        <v>2</v>
      </c>
      <c r="AJ2158" s="89" t="s">
        <v>12087</v>
      </c>
      <c r="AK2158" s="89" t="s">
        <v>12088</v>
      </c>
      <c r="AL2158" s="91">
        <v>42433</v>
      </c>
      <c r="AM2158" s="91"/>
      <c r="AN2158" s="91"/>
      <c r="AO2158" s="91"/>
      <c r="AP2158" s="73" t="e">
        <f>MID(VLOOKUP(K2158,#REF!,2,FALSE),1,2)</f>
        <v>#REF!</v>
      </c>
      <c r="AQ2158" s="89">
        <f>DATE(2016,1,23)</f>
        <v>42392</v>
      </c>
      <c r="AR2158" s="82">
        <f t="shared" si="143"/>
        <v>23</v>
      </c>
      <c r="AS2158" s="83">
        <f t="shared" si="144"/>
        <v>1</v>
      </c>
      <c r="AT2158" s="84">
        <f t="shared" si="145"/>
        <v>2016</v>
      </c>
      <c r="AU2158" s="88">
        <f>DATE(2016,3,4)</f>
        <v>42433</v>
      </c>
      <c r="AV2158" s="88">
        <f>DATE(2016,1,23)</f>
        <v>42392</v>
      </c>
      <c r="AW2158" s="87">
        <f t="shared" si="148"/>
        <v>41</v>
      </c>
      <c r="AX2158" s="86"/>
      <c r="AY2158" s="83"/>
      <c r="AZ2158" s="84"/>
      <c r="BA2158" s="86"/>
      <c r="BB2158" s="86"/>
    </row>
    <row r="2159" spans="1:54" ht="36.75" customHeight="1">
      <c r="A2159" s="30"/>
      <c r="B2159" s="30" t="s">
        <v>55</v>
      </c>
      <c r="C2159" s="69" t="str">
        <f t="shared" si="146"/>
        <v>Closed</v>
      </c>
      <c r="D2159" s="27" t="s">
        <v>12089</v>
      </c>
      <c r="E2159" s="29" t="s">
        <v>12090</v>
      </c>
      <c r="F2159" s="30" t="s">
        <v>1572</v>
      </c>
      <c r="G2159" s="89">
        <f>DATE(2016,1,23)</f>
        <v>42392</v>
      </c>
      <c r="H2159" s="90">
        <v>1.25</v>
      </c>
      <c r="I2159" s="30" t="s">
        <v>125</v>
      </c>
      <c r="J2159" s="89" t="s">
        <v>12091</v>
      </c>
      <c r="K2159" s="30" t="s">
        <v>1574</v>
      </c>
      <c r="L2159" s="30" t="s">
        <v>12092</v>
      </c>
      <c r="M2159" s="30" t="s">
        <v>63</v>
      </c>
      <c r="N2159" s="30" t="s">
        <v>99</v>
      </c>
      <c r="O2159" s="30" t="s">
        <v>77</v>
      </c>
      <c r="P2159" s="89" t="s">
        <v>6941</v>
      </c>
      <c r="Q2159" s="89" t="s">
        <v>2413</v>
      </c>
      <c r="R2159" s="89" t="s">
        <v>6434</v>
      </c>
      <c r="S2159" s="30">
        <v>0</v>
      </c>
      <c r="T2159" s="233">
        <v>0</v>
      </c>
      <c r="U2159" s="30">
        <v>0</v>
      </c>
      <c r="V2159" s="233">
        <v>0</v>
      </c>
      <c r="W2159" s="30">
        <v>0</v>
      </c>
      <c r="X2159" s="30">
        <v>0</v>
      </c>
      <c r="Y2159" s="30">
        <v>0</v>
      </c>
      <c r="Z2159" s="233">
        <v>0</v>
      </c>
      <c r="AA2159" s="30">
        <v>0</v>
      </c>
      <c r="AB2159" s="30">
        <v>0</v>
      </c>
      <c r="AC2159" s="30">
        <v>0</v>
      </c>
      <c r="AD2159" s="30">
        <v>0</v>
      </c>
      <c r="AE2159" s="89" t="s">
        <v>92</v>
      </c>
      <c r="AF2159" s="89"/>
      <c r="AG2159" s="89" t="s">
        <v>133</v>
      </c>
      <c r="AH2159" s="72">
        <v>42395</v>
      </c>
      <c r="AI2159" s="30">
        <v>0</v>
      </c>
      <c r="AJ2159" s="89" t="s">
        <v>12093</v>
      </c>
      <c r="AK2159" s="89" t="s">
        <v>12094</v>
      </c>
      <c r="AL2159" s="91">
        <v>42396</v>
      </c>
      <c r="AM2159" s="91"/>
      <c r="AN2159" s="91"/>
      <c r="AO2159" s="91"/>
      <c r="AP2159" s="73" t="e">
        <f>MID(VLOOKUP(K2159,#REF!,2,FALSE),1,2)</f>
        <v>#REF!</v>
      </c>
      <c r="AQ2159" s="89">
        <f>DATE(2016,1,23)</f>
        <v>42392</v>
      </c>
      <c r="AR2159" s="82">
        <f t="shared" si="143"/>
        <v>23</v>
      </c>
      <c r="AS2159" s="83">
        <f t="shared" si="144"/>
        <v>1</v>
      </c>
      <c r="AT2159" s="84">
        <f t="shared" si="145"/>
        <v>2016</v>
      </c>
      <c r="AU2159" s="88">
        <f>DATE(2016,1,27)</f>
        <v>42396</v>
      </c>
      <c r="AV2159" s="88">
        <f>DATE(2016,1,26)</f>
        <v>42395</v>
      </c>
      <c r="AW2159" s="87">
        <f t="shared" si="148"/>
        <v>1</v>
      </c>
      <c r="AX2159" s="88">
        <f>DATE(2016,1,29)</f>
        <v>42398</v>
      </c>
      <c r="AY2159" s="83">
        <f>MONTH(AX2159)</f>
        <v>1</v>
      </c>
      <c r="AZ2159" s="84">
        <f>YEAR(AX2159)</f>
        <v>2016</v>
      </c>
      <c r="BA2159" s="88">
        <f>DATE(2016,1,23)</f>
        <v>42392</v>
      </c>
      <c r="BB2159" s="86"/>
    </row>
    <row r="2160" spans="1:54" ht="36.75" customHeight="1">
      <c r="A2160" s="30"/>
      <c r="B2160" s="30" t="s">
        <v>55</v>
      </c>
      <c r="C2160" s="69" t="str">
        <f t="shared" si="146"/>
        <v>Closed</v>
      </c>
      <c r="D2160" s="27" t="s">
        <v>12095</v>
      </c>
      <c r="E2160" s="29" t="s">
        <v>12096</v>
      </c>
      <c r="F2160" s="30" t="s">
        <v>582</v>
      </c>
      <c r="G2160" s="89">
        <f>DATE(2016,1,25)</f>
        <v>42394</v>
      </c>
      <c r="H2160" s="90">
        <v>1.7534722222222223</v>
      </c>
      <c r="I2160" s="30" t="s">
        <v>116</v>
      </c>
      <c r="J2160" s="89" t="s">
        <v>12097</v>
      </c>
      <c r="K2160" s="30" t="s">
        <v>584</v>
      </c>
      <c r="L2160" s="30" t="s">
        <v>12098</v>
      </c>
      <c r="M2160" s="30" t="s">
        <v>63</v>
      </c>
      <c r="N2160" s="30" t="s">
        <v>142</v>
      </c>
      <c r="O2160" s="30" t="s">
        <v>77</v>
      </c>
      <c r="P2160" s="89" t="s">
        <v>165</v>
      </c>
      <c r="Q2160" s="89" t="s">
        <v>12099</v>
      </c>
      <c r="R2160" s="89" t="s">
        <v>587</v>
      </c>
      <c r="S2160" s="30">
        <v>0</v>
      </c>
      <c r="T2160" s="233">
        <v>0</v>
      </c>
      <c r="U2160" s="30">
        <v>0</v>
      </c>
      <c r="V2160" s="233">
        <v>0</v>
      </c>
      <c r="W2160" s="30">
        <v>0</v>
      </c>
      <c r="X2160" s="30">
        <v>0</v>
      </c>
      <c r="Y2160" s="30">
        <v>0</v>
      </c>
      <c r="Z2160" s="233">
        <v>0</v>
      </c>
      <c r="AA2160" s="30">
        <v>0</v>
      </c>
      <c r="AB2160" s="30">
        <v>0</v>
      </c>
      <c r="AC2160" s="30">
        <v>0</v>
      </c>
      <c r="AD2160" s="30">
        <v>0</v>
      </c>
      <c r="AE2160" s="89" t="s">
        <v>92</v>
      </c>
      <c r="AF2160" s="89"/>
      <c r="AG2160" s="89" t="s">
        <v>133</v>
      </c>
      <c r="AH2160" s="72">
        <v>42410</v>
      </c>
      <c r="AI2160" s="30">
        <v>0</v>
      </c>
      <c r="AJ2160" s="89" t="s">
        <v>12100</v>
      </c>
      <c r="AK2160" s="89" t="s">
        <v>1233</v>
      </c>
      <c r="AL2160" s="91">
        <v>42753</v>
      </c>
      <c r="AM2160" s="91"/>
      <c r="AN2160" s="91"/>
      <c r="AO2160" s="91"/>
      <c r="AP2160" s="73" t="e">
        <f>MID(VLOOKUP(K2160,#REF!,2,FALSE),1,2)</f>
        <v>#REF!</v>
      </c>
      <c r="AQ2160" s="89">
        <f>DATE(2016,1,25)</f>
        <v>42394</v>
      </c>
      <c r="AR2160" s="82">
        <f t="shared" si="143"/>
        <v>25</v>
      </c>
      <c r="AS2160" s="83">
        <f t="shared" si="144"/>
        <v>1</v>
      </c>
      <c r="AT2160" s="84">
        <f t="shared" si="145"/>
        <v>2016</v>
      </c>
      <c r="AU2160" s="88">
        <f>DATE(2016,1,18)</f>
        <v>42387</v>
      </c>
      <c r="AV2160" s="88">
        <f>DATE(2016,2,10)</f>
        <v>42410</v>
      </c>
      <c r="AW2160" s="87">
        <f t="shared" si="148"/>
        <v>-23</v>
      </c>
      <c r="AX2160" s="86"/>
      <c r="AY2160" s="83"/>
      <c r="AZ2160" s="84"/>
      <c r="BA2160" s="86"/>
      <c r="BB2160" s="86"/>
    </row>
    <row r="2161" spans="1:54" ht="36.75" customHeight="1">
      <c r="A2161" s="30"/>
      <c r="B2161" s="30" t="s">
        <v>55</v>
      </c>
      <c r="C2161" s="69" t="str">
        <f t="shared" si="146"/>
        <v>Closed</v>
      </c>
      <c r="D2161" s="27" t="s">
        <v>12101</v>
      </c>
      <c r="E2161" s="29" t="s">
        <v>12102</v>
      </c>
      <c r="F2161" s="30" t="s">
        <v>638</v>
      </c>
      <c r="G2161" s="89">
        <f>DATE(2016,1,25)</f>
        <v>42394</v>
      </c>
      <c r="H2161" s="90">
        <v>1.9777777777777779</v>
      </c>
      <c r="I2161" s="30" t="s">
        <v>104</v>
      </c>
      <c r="J2161" s="89" t="s">
        <v>12103</v>
      </c>
      <c r="K2161" s="30" t="s">
        <v>640</v>
      </c>
      <c r="L2161" s="30" t="s">
        <v>12104</v>
      </c>
      <c r="M2161" s="30" t="s">
        <v>63</v>
      </c>
      <c r="N2161" s="30" t="s">
        <v>99</v>
      </c>
      <c r="O2161" s="30" t="s">
        <v>77</v>
      </c>
      <c r="P2161" s="89" t="s">
        <v>301</v>
      </c>
      <c r="Q2161" s="89" t="s">
        <v>2016</v>
      </c>
      <c r="R2161" s="89" t="s">
        <v>643</v>
      </c>
      <c r="S2161" s="30">
        <v>0</v>
      </c>
      <c r="T2161" s="233">
        <v>0</v>
      </c>
      <c r="U2161" s="30">
        <v>0</v>
      </c>
      <c r="V2161" s="233">
        <v>0</v>
      </c>
      <c r="W2161" s="30">
        <v>0</v>
      </c>
      <c r="X2161" s="30">
        <v>0</v>
      </c>
      <c r="Y2161" s="30">
        <v>0</v>
      </c>
      <c r="Z2161" s="233">
        <v>0</v>
      </c>
      <c r="AA2161" s="30">
        <v>0</v>
      </c>
      <c r="AB2161" s="30">
        <v>0</v>
      </c>
      <c r="AC2161" s="30">
        <v>0</v>
      </c>
      <c r="AD2161" s="30">
        <v>0</v>
      </c>
      <c r="AE2161" s="89" t="s">
        <v>92</v>
      </c>
      <c r="AF2161" s="89"/>
      <c r="AG2161" s="89" t="s">
        <v>352</v>
      </c>
      <c r="AH2161" s="72">
        <v>42423</v>
      </c>
      <c r="AI2161" s="30">
        <v>0</v>
      </c>
      <c r="AJ2161" s="89" t="s">
        <v>12105</v>
      </c>
      <c r="AK2161" s="89" t="s">
        <v>68</v>
      </c>
      <c r="AL2161" s="91">
        <v>42430</v>
      </c>
      <c r="AM2161" s="91"/>
      <c r="AN2161" s="91"/>
      <c r="AO2161" s="91"/>
      <c r="AP2161" s="73" t="e">
        <f>MID(VLOOKUP(K2161,#REF!,2,FALSE),1,2)</f>
        <v>#REF!</v>
      </c>
      <c r="AQ2161" s="89">
        <f>DATE(2016,1,25)</f>
        <v>42394</v>
      </c>
      <c r="AR2161" s="82">
        <f t="shared" si="143"/>
        <v>25</v>
      </c>
      <c r="AS2161" s="83">
        <f t="shared" si="144"/>
        <v>1</v>
      </c>
      <c r="AT2161" s="84">
        <f t="shared" si="145"/>
        <v>2016</v>
      </c>
      <c r="AU2161" s="88">
        <f>DATE(2016,3,1)</f>
        <v>42430</v>
      </c>
      <c r="AV2161" s="88">
        <f>DATE(2016,2,23)</f>
        <v>42423</v>
      </c>
      <c r="AW2161" s="87">
        <f t="shared" si="148"/>
        <v>7</v>
      </c>
      <c r="AX2161" s="86"/>
      <c r="AY2161" s="83"/>
      <c r="AZ2161" s="84"/>
      <c r="BA2161" s="86"/>
      <c r="BB2161" s="86"/>
    </row>
    <row r="2162" spans="1:54" ht="36.75" customHeight="1">
      <c r="A2162" s="30"/>
      <c r="B2162" s="30" t="s">
        <v>55</v>
      </c>
      <c r="C2162" s="69" t="str">
        <f t="shared" si="146"/>
        <v>Closed</v>
      </c>
      <c r="D2162" s="27" t="s">
        <v>12106</v>
      </c>
      <c r="E2162" s="29" t="s">
        <v>12107</v>
      </c>
      <c r="F2162" s="30" t="s">
        <v>1572</v>
      </c>
      <c r="G2162" s="89">
        <f>DATE(2016,1,25)</f>
        <v>42394</v>
      </c>
      <c r="H2162" s="90">
        <v>1.3805555555555555</v>
      </c>
      <c r="I2162" s="30" t="s">
        <v>5494</v>
      </c>
      <c r="J2162" s="89" t="s">
        <v>12108</v>
      </c>
      <c r="K2162" s="30" t="s">
        <v>1574</v>
      </c>
      <c r="L2162" s="30" t="s">
        <v>12109</v>
      </c>
      <c r="M2162" s="30" t="s">
        <v>63</v>
      </c>
      <c r="N2162" s="30" t="s">
        <v>89</v>
      </c>
      <c r="O2162" s="30" t="s">
        <v>77</v>
      </c>
      <c r="P2162" s="89" t="s">
        <v>91</v>
      </c>
      <c r="Q2162" s="89" t="s">
        <v>2413</v>
      </c>
      <c r="R2162" s="89" t="s">
        <v>6434</v>
      </c>
      <c r="S2162" s="30">
        <v>0</v>
      </c>
      <c r="T2162" s="233">
        <v>0</v>
      </c>
      <c r="U2162" s="30">
        <v>0</v>
      </c>
      <c r="V2162" s="233">
        <v>0</v>
      </c>
      <c r="W2162" s="30">
        <v>0</v>
      </c>
      <c r="X2162" s="30">
        <v>0</v>
      </c>
      <c r="Y2162" s="30">
        <v>0</v>
      </c>
      <c r="Z2162" s="233">
        <v>0</v>
      </c>
      <c r="AA2162" s="30">
        <v>0</v>
      </c>
      <c r="AB2162" s="30">
        <v>0</v>
      </c>
      <c r="AC2162" s="30">
        <v>0</v>
      </c>
      <c r="AD2162" s="30">
        <v>0</v>
      </c>
      <c r="AE2162" s="89" t="s">
        <v>92</v>
      </c>
      <c r="AF2162" s="89"/>
      <c r="AG2162" s="89" t="s">
        <v>133</v>
      </c>
      <c r="AH2162" s="72">
        <v>42408</v>
      </c>
      <c r="AI2162" s="30">
        <v>0</v>
      </c>
      <c r="AJ2162" s="89" t="s">
        <v>12110</v>
      </c>
      <c r="AK2162" s="89" t="s">
        <v>12111</v>
      </c>
      <c r="AL2162" s="91">
        <v>42409</v>
      </c>
      <c r="AM2162" s="91"/>
      <c r="AN2162" s="91"/>
      <c r="AO2162" s="91"/>
      <c r="AP2162" s="73" t="e">
        <f>MID(VLOOKUP(K2162,#REF!,2,FALSE),1,2)</f>
        <v>#REF!</v>
      </c>
      <c r="AQ2162" s="89">
        <f>DATE(2016,1,25)</f>
        <v>42394</v>
      </c>
      <c r="AR2162" s="82">
        <f t="shared" si="143"/>
        <v>25</v>
      </c>
      <c r="AS2162" s="83">
        <f t="shared" si="144"/>
        <v>1</v>
      </c>
      <c r="AT2162" s="84">
        <f t="shared" si="145"/>
        <v>2016</v>
      </c>
      <c r="AU2162" s="88">
        <f>DATE(2016,2,9)</f>
        <v>42409</v>
      </c>
      <c r="AV2162" s="88">
        <f>DATE(2016,2,8)</f>
        <v>42408</v>
      </c>
      <c r="AW2162" s="87">
        <f t="shared" si="148"/>
        <v>1</v>
      </c>
      <c r="AX2162" s="88">
        <f>DATE(2016,2,9)</f>
        <v>42409</v>
      </c>
      <c r="AY2162" s="83">
        <f>MONTH(AX2162)</f>
        <v>2</v>
      </c>
      <c r="AZ2162" s="84">
        <f>YEAR(AX2162)</f>
        <v>2016</v>
      </c>
      <c r="BA2162" s="88">
        <f>DATE(2016,2,2)</f>
        <v>42402</v>
      </c>
      <c r="BB2162" s="86"/>
    </row>
    <row r="2163" spans="1:54" ht="36.75" customHeight="1">
      <c r="A2163" s="30"/>
      <c r="B2163" s="30" t="s">
        <v>55</v>
      </c>
      <c r="C2163" s="69" t="str">
        <f t="shared" si="146"/>
        <v>Closed</v>
      </c>
      <c r="D2163" s="27" t="s">
        <v>12112</v>
      </c>
      <c r="E2163" s="29" t="s">
        <v>12113</v>
      </c>
      <c r="F2163" s="30" t="s">
        <v>835</v>
      </c>
      <c r="G2163" s="89">
        <f>DATE(2016,2,2)</f>
        <v>42402</v>
      </c>
      <c r="H2163" s="90">
        <v>1.3465277777777778</v>
      </c>
      <c r="I2163" s="30" t="s">
        <v>104</v>
      </c>
      <c r="J2163" s="89" t="s">
        <v>12114</v>
      </c>
      <c r="K2163" s="30" t="s">
        <v>837</v>
      </c>
      <c r="L2163" s="30" t="s">
        <v>12115</v>
      </c>
      <c r="M2163" s="30" t="s">
        <v>255</v>
      </c>
      <c r="N2163" s="30" t="s">
        <v>142</v>
      </c>
      <c r="O2163" s="30" t="s">
        <v>77</v>
      </c>
      <c r="P2163" s="89" t="s">
        <v>6552</v>
      </c>
      <c r="Q2163" s="89" t="s">
        <v>4210</v>
      </c>
      <c r="R2163" s="89" t="s">
        <v>4210</v>
      </c>
      <c r="S2163" s="30">
        <v>0</v>
      </c>
      <c r="T2163" s="233">
        <v>0</v>
      </c>
      <c r="U2163" s="30">
        <v>0</v>
      </c>
      <c r="V2163" s="233">
        <v>0</v>
      </c>
      <c r="W2163" s="30">
        <v>0</v>
      </c>
      <c r="X2163" s="30">
        <v>0</v>
      </c>
      <c r="Y2163" s="30">
        <v>0</v>
      </c>
      <c r="Z2163" s="233">
        <v>0</v>
      </c>
      <c r="AA2163" s="30">
        <v>0</v>
      </c>
      <c r="AB2163" s="30">
        <v>0</v>
      </c>
      <c r="AC2163" s="30">
        <v>0</v>
      </c>
      <c r="AD2163" s="30">
        <v>0</v>
      </c>
      <c r="AE2163" s="89" t="s">
        <v>92</v>
      </c>
      <c r="AF2163" s="89"/>
      <c r="AG2163" s="89" t="s">
        <v>589</v>
      </c>
      <c r="AH2163" s="72">
        <v>42404</v>
      </c>
      <c r="AI2163" s="30">
        <v>0</v>
      </c>
      <c r="AJ2163" s="89" t="s">
        <v>12116</v>
      </c>
      <c r="AK2163" s="89" t="s">
        <v>1233</v>
      </c>
      <c r="AL2163" s="91">
        <v>42404</v>
      </c>
      <c r="AM2163" s="91"/>
      <c r="AN2163" s="91"/>
      <c r="AO2163" s="91"/>
      <c r="AP2163" s="73" t="e">
        <f>MID(VLOOKUP(K2163,#REF!,2,FALSE),1,2)</f>
        <v>#REF!</v>
      </c>
      <c r="AQ2163" s="89">
        <f>DATE(2016,2,2)</f>
        <v>42402</v>
      </c>
      <c r="AR2163" s="82">
        <f t="shared" si="143"/>
        <v>2</v>
      </c>
      <c r="AS2163" s="83">
        <f t="shared" si="144"/>
        <v>2</v>
      </c>
      <c r="AT2163" s="84">
        <f t="shared" si="145"/>
        <v>2016</v>
      </c>
      <c r="AU2163" s="88">
        <f>DATE(2016,2,4)</f>
        <v>42404</v>
      </c>
      <c r="AV2163" s="88">
        <f>DATE(2016,2,4)</f>
        <v>42404</v>
      </c>
      <c r="AW2163" s="87">
        <f t="shared" si="148"/>
        <v>0</v>
      </c>
      <c r="AX2163" s="88">
        <f>DATE(2016,2,4)</f>
        <v>42404</v>
      </c>
      <c r="AY2163" s="83">
        <f>MONTH(AX2163)</f>
        <v>2</v>
      </c>
      <c r="AZ2163" s="84">
        <f>YEAR(AX2163)</f>
        <v>2016</v>
      </c>
      <c r="BA2163" s="86"/>
      <c r="BB2163" s="86"/>
    </row>
    <row r="2164" spans="1:54" ht="36.75" customHeight="1">
      <c r="A2164" s="30"/>
      <c r="B2164" s="30" t="s">
        <v>55</v>
      </c>
      <c r="C2164" s="69" t="str">
        <f t="shared" si="146"/>
        <v>Closed</v>
      </c>
      <c r="D2164" s="27" t="s">
        <v>12117</v>
      </c>
      <c r="E2164" s="29" t="s">
        <v>12118</v>
      </c>
      <c r="F2164" s="30" t="s">
        <v>58</v>
      </c>
      <c r="G2164" s="89">
        <f>DATE(2016,2,3)</f>
        <v>42403</v>
      </c>
      <c r="H2164" s="90">
        <v>1.3395833333333333</v>
      </c>
      <c r="I2164" s="30" t="s">
        <v>278</v>
      </c>
      <c r="J2164" s="89" t="s">
        <v>12119</v>
      </c>
      <c r="K2164" s="30" t="s">
        <v>61</v>
      </c>
      <c r="L2164" s="30" t="s">
        <v>12120</v>
      </c>
      <c r="M2164" s="30" t="s">
        <v>63</v>
      </c>
      <c r="N2164" s="30" t="s">
        <v>99</v>
      </c>
      <c r="O2164" s="30" t="s">
        <v>77</v>
      </c>
      <c r="P2164" s="89" t="s">
        <v>6941</v>
      </c>
      <c r="Q2164" s="89" t="s">
        <v>10870</v>
      </c>
      <c r="R2164" s="89" t="s">
        <v>67</v>
      </c>
      <c r="S2164" s="30">
        <v>0</v>
      </c>
      <c r="T2164" s="233">
        <v>0</v>
      </c>
      <c r="U2164" s="30">
        <v>0</v>
      </c>
      <c r="V2164" s="233">
        <v>0</v>
      </c>
      <c r="W2164" s="30">
        <v>0</v>
      </c>
      <c r="X2164" s="30">
        <v>0</v>
      </c>
      <c r="Y2164" s="30">
        <v>0</v>
      </c>
      <c r="Z2164" s="233">
        <v>0</v>
      </c>
      <c r="AA2164" s="30">
        <v>0</v>
      </c>
      <c r="AB2164" s="30">
        <v>0</v>
      </c>
      <c r="AC2164" s="30">
        <v>1</v>
      </c>
      <c r="AD2164" s="30">
        <v>1</v>
      </c>
      <c r="AE2164" s="89" t="s">
        <v>92</v>
      </c>
      <c r="AF2164" s="89"/>
      <c r="AG2164" s="89" t="s">
        <v>352</v>
      </c>
      <c r="AH2164" s="72">
        <v>42403</v>
      </c>
      <c r="AI2164" s="30">
        <v>2</v>
      </c>
      <c r="AJ2164" s="89" t="s">
        <v>12121</v>
      </c>
      <c r="AK2164" s="89" t="s">
        <v>12122</v>
      </c>
      <c r="AL2164" s="91">
        <v>42426</v>
      </c>
      <c r="AM2164" s="91"/>
      <c r="AN2164" s="91"/>
      <c r="AO2164" s="91"/>
      <c r="AP2164" s="73" t="e">
        <f>MID(VLOOKUP(K2164,#REF!,2,FALSE),1,2)</f>
        <v>#REF!</v>
      </c>
      <c r="AQ2164" s="89">
        <f>DATE(2016,2,3)</f>
        <v>42403</v>
      </c>
      <c r="AR2164" s="82">
        <f t="shared" si="143"/>
        <v>3</v>
      </c>
      <c r="AS2164" s="83">
        <f t="shared" si="144"/>
        <v>2</v>
      </c>
      <c r="AT2164" s="84">
        <f t="shared" si="145"/>
        <v>2016</v>
      </c>
      <c r="AU2164" s="88">
        <f>DATE(2016,2,26)</f>
        <v>42426</v>
      </c>
      <c r="AV2164" s="88">
        <f>DATE(2016,2,3)</f>
        <v>42403</v>
      </c>
      <c r="AW2164" s="87">
        <f t="shared" si="148"/>
        <v>23</v>
      </c>
      <c r="AX2164" s="86"/>
      <c r="AY2164" s="83"/>
      <c r="AZ2164" s="84"/>
      <c r="BA2164" s="88">
        <f>DATE(2016,2,3)</f>
        <v>42403</v>
      </c>
      <c r="BB2164" s="86"/>
    </row>
    <row r="2165" spans="1:54" ht="36.75" customHeight="1">
      <c r="A2165" s="30"/>
      <c r="B2165" s="30" t="s">
        <v>55</v>
      </c>
      <c r="C2165" s="69" t="str">
        <f t="shared" si="146"/>
        <v>Closed</v>
      </c>
      <c r="D2165" s="27" t="s">
        <v>12123</v>
      </c>
      <c r="E2165" s="29" t="s">
        <v>12124</v>
      </c>
      <c r="F2165" s="30" t="s">
        <v>233</v>
      </c>
      <c r="G2165" s="89">
        <f>DATE(2016,2,4)</f>
        <v>42404</v>
      </c>
      <c r="H2165" s="90">
        <v>1.2965277777777777</v>
      </c>
      <c r="I2165" s="30" t="s">
        <v>156</v>
      </c>
      <c r="J2165" s="89" t="s">
        <v>12125</v>
      </c>
      <c r="K2165" s="30" t="s">
        <v>235</v>
      </c>
      <c r="L2165" s="30" t="s">
        <v>12126</v>
      </c>
      <c r="M2165" s="30" t="s">
        <v>63</v>
      </c>
      <c r="N2165" s="30" t="s">
        <v>142</v>
      </c>
      <c r="O2165" s="30" t="s">
        <v>64</v>
      </c>
      <c r="P2165" s="89" t="s">
        <v>165</v>
      </c>
      <c r="Q2165" s="89" t="s">
        <v>675</v>
      </c>
      <c r="R2165" s="89" t="s">
        <v>235</v>
      </c>
      <c r="S2165" s="30">
        <v>0</v>
      </c>
      <c r="T2165" s="233">
        <v>0</v>
      </c>
      <c r="U2165" s="30">
        <v>0</v>
      </c>
      <c r="V2165" s="233">
        <v>0</v>
      </c>
      <c r="W2165" s="30">
        <v>0</v>
      </c>
      <c r="X2165" s="30">
        <v>0</v>
      </c>
      <c r="Y2165" s="30">
        <v>0</v>
      </c>
      <c r="Z2165" s="233">
        <v>0</v>
      </c>
      <c r="AA2165" s="30">
        <v>0</v>
      </c>
      <c r="AB2165" s="30">
        <v>0</v>
      </c>
      <c r="AC2165" s="30">
        <v>0</v>
      </c>
      <c r="AD2165" s="30">
        <v>0</v>
      </c>
      <c r="AE2165" s="89" t="s">
        <v>92</v>
      </c>
      <c r="AF2165" s="89"/>
      <c r="AG2165" s="89" t="s">
        <v>133</v>
      </c>
      <c r="AH2165" s="72">
        <v>42408</v>
      </c>
      <c r="AI2165" s="30">
        <v>2</v>
      </c>
      <c r="AJ2165" s="89" t="s">
        <v>12127</v>
      </c>
      <c r="AK2165" s="89" t="s">
        <v>12128</v>
      </c>
      <c r="AL2165" s="91">
        <v>42437</v>
      </c>
      <c r="AM2165" s="91"/>
      <c r="AN2165" s="91"/>
      <c r="AO2165" s="91"/>
      <c r="AP2165" s="73" t="e">
        <f>MID(VLOOKUP(K2165,#REF!,2,FALSE),1,2)</f>
        <v>#REF!</v>
      </c>
      <c r="AQ2165" s="89">
        <f>DATE(2016,2,4)</f>
        <v>42404</v>
      </c>
      <c r="AR2165" s="82">
        <f t="shared" si="143"/>
        <v>4</v>
      </c>
      <c r="AS2165" s="83">
        <f t="shared" si="144"/>
        <v>2</v>
      </c>
      <c r="AT2165" s="84">
        <f t="shared" si="145"/>
        <v>2016</v>
      </c>
      <c r="AU2165" s="88">
        <f>DATE(2016,3,8)</f>
        <v>42437</v>
      </c>
      <c r="AV2165" s="88">
        <f>DATE(2016,2,8)</f>
        <v>42408</v>
      </c>
      <c r="AW2165" s="87">
        <f t="shared" si="148"/>
        <v>29</v>
      </c>
      <c r="AX2165" s="88">
        <f>DATE(2016,3,8)</f>
        <v>42437</v>
      </c>
      <c r="AY2165" s="83">
        <f>MONTH(AX2165)</f>
        <v>3</v>
      </c>
      <c r="AZ2165" s="84">
        <f>YEAR(AX2165)</f>
        <v>2016</v>
      </c>
      <c r="BA2165" s="86"/>
      <c r="BB2165" s="86"/>
    </row>
    <row r="2166" spans="1:54" ht="36.75" customHeight="1">
      <c r="A2166" s="30"/>
      <c r="B2166" s="30" t="s">
        <v>55</v>
      </c>
      <c r="C2166" s="69" t="str">
        <f t="shared" si="146"/>
        <v>Closed</v>
      </c>
      <c r="D2166" s="27" t="s">
        <v>12129</v>
      </c>
      <c r="E2166" s="29" t="s">
        <v>12130</v>
      </c>
      <c r="F2166" s="30" t="s">
        <v>1572</v>
      </c>
      <c r="G2166" s="89">
        <f>DATE(2016,2,6)</f>
        <v>42406</v>
      </c>
      <c r="H2166" s="90">
        <v>1.0368055555555555</v>
      </c>
      <c r="I2166" s="30" t="s">
        <v>73</v>
      </c>
      <c r="J2166" s="89" t="s">
        <v>12131</v>
      </c>
      <c r="K2166" s="30" t="s">
        <v>1574</v>
      </c>
      <c r="L2166" s="30" t="s">
        <v>12132</v>
      </c>
      <c r="M2166" s="30" t="s">
        <v>63</v>
      </c>
      <c r="N2166" s="30" t="s">
        <v>142</v>
      </c>
      <c r="O2166" s="30" t="s">
        <v>77</v>
      </c>
      <c r="P2166" s="89" t="s">
        <v>78</v>
      </c>
      <c r="Q2166" s="89" t="s">
        <v>2655</v>
      </c>
      <c r="R2166" s="89" t="s">
        <v>6434</v>
      </c>
      <c r="S2166" s="30">
        <v>0</v>
      </c>
      <c r="T2166" s="233">
        <v>0</v>
      </c>
      <c r="U2166" s="30">
        <v>0</v>
      </c>
      <c r="V2166" s="233">
        <v>0</v>
      </c>
      <c r="W2166" s="30">
        <v>0</v>
      </c>
      <c r="X2166" s="30">
        <v>0</v>
      </c>
      <c r="Y2166" s="30">
        <v>0</v>
      </c>
      <c r="Z2166" s="233">
        <v>0</v>
      </c>
      <c r="AA2166" s="30">
        <v>0</v>
      </c>
      <c r="AB2166" s="30">
        <v>0</v>
      </c>
      <c r="AC2166" s="30">
        <v>0</v>
      </c>
      <c r="AD2166" s="30">
        <v>0</v>
      </c>
      <c r="AE2166" s="89" t="s">
        <v>394</v>
      </c>
      <c r="AF2166" s="89"/>
      <c r="AG2166" s="89" t="s">
        <v>133</v>
      </c>
      <c r="AH2166" s="72">
        <v>42408</v>
      </c>
      <c r="AI2166" s="30">
        <v>0</v>
      </c>
      <c r="AJ2166" s="89" t="s">
        <v>12133</v>
      </c>
      <c r="AK2166" s="89" t="s">
        <v>12134</v>
      </c>
      <c r="AL2166" s="91">
        <v>42409</v>
      </c>
      <c r="AM2166" s="91"/>
      <c r="AN2166" s="91"/>
      <c r="AO2166" s="91"/>
      <c r="AP2166" s="73" t="e">
        <f>MID(VLOOKUP(K2166,#REF!,2,FALSE),1,2)</f>
        <v>#REF!</v>
      </c>
      <c r="AQ2166" s="89">
        <f>DATE(2016,2,8)</f>
        <v>42408</v>
      </c>
      <c r="AR2166" s="82">
        <f t="shared" si="143"/>
        <v>8</v>
      </c>
      <c r="AS2166" s="83">
        <f t="shared" si="144"/>
        <v>2</v>
      </c>
      <c r="AT2166" s="84">
        <f t="shared" si="145"/>
        <v>2016</v>
      </c>
      <c r="AU2166" s="88">
        <f>DATE(2016,2,9)</f>
        <v>42409</v>
      </c>
      <c r="AV2166" s="88">
        <f>DATE(2016,2,8)</f>
        <v>42408</v>
      </c>
      <c r="AW2166" s="87">
        <f t="shared" si="148"/>
        <v>1</v>
      </c>
      <c r="AX2166" s="88">
        <f>DATE(2016,2,8)</f>
        <v>42408</v>
      </c>
      <c r="AY2166" s="83">
        <f>MONTH(AX2166)</f>
        <v>2</v>
      </c>
      <c r="AZ2166" s="84">
        <f>YEAR(AX2166)</f>
        <v>2016</v>
      </c>
      <c r="BA2166" s="88">
        <f>DATE(2016,2,6)</f>
        <v>42406</v>
      </c>
      <c r="BB2166" s="105" t="s">
        <v>12135</v>
      </c>
    </row>
    <row r="2167" spans="1:54" ht="36.75" customHeight="1">
      <c r="A2167" s="30"/>
      <c r="B2167" s="30" t="s">
        <v>55</v>
      </c>
      <c r="C2167" s="69" t="str">
        <f t="shared" si="146"/>
        <v>Closed</v>
      </c>
      <c r="D2167" s="27" t="s">
        <v>12136</v>
      </c>
      <c r="E2167" s="29" t="s">
        <v>12137</v>
      </c>
      <c r="F2167" s="30" t="s">
        <v>1572</v>
      </c>
      <c r="G2167" s="89">
        <f>DATE(2016,2,8)</f>
        <v>42408</v>
      </c>
      <c r="H2167" s="90">
        <v>1.75</v>
      </c>
      <c r="I2167" s="30" t="s">
        <v>73</v>
      </c>
      <c r="J2167" s="89" t="s">
        <v>12138</v>
      </c>
      <c r="K2167" s="30" t="s">
        <v>1574</v>
      </c>
      <c r="L2167" s="30" t="s">
        <v>12139</v>
      </c>
      <c r="M2167" s="30" t="s">
        <v>63</v>
      </c>
      <c r="N2167" s="30" t="s">
        <v>99</v>
      </c>
      <c r="O2167" s="30" t="s">
        <v>64</v>
      </c>
      <c r="P2167" s="89" t="s">
        <v>6941</v>
      </c>
      <c r="Q2167" s="89" t="s">
        <v>5170</v>
      </c>
      <c r="R2167" s="89" t="s">
        <v>2561</v>
      </c>
      <c r="S2167" s="30">
        <v>0</v>
      </c>
      <c r="T2167" s="233">
        <v>0</v>
      </c>
      <c r="U2167" s="30">
        <v>0</v>
      </c>
      <c r="V2167" s="233">
        <v>0</v>
      </c>
      <c r="W2167" s="30">
        <v>0</v>
      </c>
      <c r="X2167" s="30">
        <v>0</v>
      </c>
      <c r="Y2167" s="30">
        <v>0</v>
      </c>
      <c r="Z2167" s="233">
        <v>0</v>
      </c>
      <c r="AA2167" s="30">
        <v>0</v>
      </c>
      <c r="AB2167" s="30">
        <v>0</v>
      </c>
      <c r="AC2167" s="30">
        <v>0</v>
      </c>
      <c r="AD2167" s="30">
        <v>0</v>
      </c>
      <c r="AE2167" s="89" t="s">
        <v>92</v>
      </c>
      <c r="AF2167" s="89"/>
      <c r="AG2167" s="89" t="s">
        <v>133</v>
      </c>
      <c r="AH2167" s="72">
        <v>42412</v>
      </c>
      <c r="AI2167" s="30">
        <v>0</v>
      </c>
      <c r="AJ2167" s="89" t="s">
        <v>12140</v>
      </c>
      <c r="AK2167" s="89" t="s">
        <v>12141</v>
      </c>
      <c r="AL2167" s="91">
        <v>42416</v>
      </c>
      <c r="AM2167" s="91"/>
      <c r="AN2167" s="91"/>
      <c r="AO2167" s="91"/>
      <c r="AP2167" s="73" t="e">
        <f>MID(VLOOKUP(K2167,#REF!,2,FALSE),1,2)</f>
        <v>#REF!</v>
      </c>
      <c r="AQ2167" s="89">
        <f>DATE(2016,2,8)</f>
        <v>42408</v>
      </c>
      <c r="AR2167" s="82">
        <f t="shared" si="143"/>
        <v>8</v>
      </c>
      <c r="AS2167" s="83">
        <f t="shared" si="144"/>
        <v>2</v>
      </c>
      <c r="AT2167" s="84">
        <f t="shared" si="145"/>
        <v>2016</v>
      </c>
      <c r="AU2167" s="88">
        <f>DATE(2016,2,16)</f>
        <v>42416</v>
      </c>
      <c r="AV2167" s="88">
        <f>DATE(2016,2,12)</f>
        <v>42412</v>
      </c>
      <c r="AW2167" s="87">
        <f t="shared" si="148"/>
        <v>4</v>
      </c>
      <c r="AX2167" s="88">
        <f>DATE(2016,2,16)</f>
        <v>42416</v>
      </c>
      <c r="AY2167" s="83">
        <f>MONTH(AX2167)</f>
        <v>2</v>
      </c>
      <c r="AZ2167" s="84">
        <f>YEAR(AX2167)</f>
        <v>2016</v>
      </c>
      <c r="BA2167" s="88">
        <f>DATE(2016,2,8)</f>
        <v>42408</v>
      </c>
      <c r="BB2167" s="106"/>
    </row>
    <row r="2168" spans="1:54" ht="36.75" customHeight="1">
      <c r="A2168" s="30"/>
      <c r="B2168" s="30" t="s">
        <v>55</v>
      </c>
      <c r="C2168" s="69" t="str">
        <f t="shared" si="146"/>
        <v>Closed</v>
      </c>
      <c r="D2168" s="27" t="s">
        <v>12142</v>
      </c>
      <c r="E2168" s="29" t="s">
        <v>12143</v>
      </c>
      <c r="F2168" s="30" t="s">
        <v>582</v>
      </c>
      <c r="G2168" s="89">
        <f>DATE(2016,2,9)</f>
        <v>42409</v>
      </c>
      <c r="H2168" s="90">
        <v>1.2847222222222223</v>
      </c>
      <c r="I2168" s="30" t="s">
        <v>198</v>
      </c>
      <c r="J2168" s="89" t="s">
        <v>12144</v>
      </c>
      <c r="K2168" s="30" t="s">
        <v>584</v>
      </c>
      <c r="L2168" s="30" t="s">
        <v>12145</v>
      </c>
      <c r="M2168" s="30" t="s">
        <v>63</v>
      </c>
      <c r="N2168" s="30" t="s">
        <v>99</v>
      </c>
      <c r="O2168" s="30" t="s">
        <v>64</v>
      </c>
      <c r="P2168" s="89" t="s">
        <v>165</v>
      </c>
      <c r="Q2168" s="89" t="s">
        <v>12146</v>
      </c>
      <c r="R2168" s="89" t="s">
        <v>587</v>
      </c>
      <c r="S2168" s="30">
        <v>7</v>
      </c>
      <c r="T2168" s="233">
        <v>4</v>
      </c>
      <c r="U2168" s="30">
        <v>0</v>
      </c>
      <c r="V2168" s="233">
        <v>0</v>
      </c>
      <c r="W2168" s="30">
        <v>0</v>
      </c>
      <c r="X2168" s="30">
        <v>11</v>
      </c>
      <c r="Y2168" s="30">
        <v>27</v>
      </c>
      <c r="Z2168" s="233">
        <v>0</v>
      </c>
      <c r="AA2168" s="30">
        <v>0</v>
      </c>
      <c r="AB2168" s="30">
        <v>0</v>
      </c>
      <c r="AC2168" s="30">
        <v>0</v>
      </c>
      <c r="AD2168" s="30">
        <v>27</v>
      </c>
      <c r="AE2168" s="89" t="s">
        <v>145</v>
      </c>
      <c r="AF2168" s="89"/>
      <c r="AG2168" s="89" t="s">
        <v>82</v>
      </c>
      <c r="AH2168" s="72">
        <v>42409</v>
      </c>
      <c r="AI2168" s="30">
        <v>0</v>
      </c>
      <c r="AJ2168" s="89" t="s">
        <v>12147</v>
      </c>
      <c r="AK2168" s="89" t="s">
        <v>1233</v>
      </c>
      <c r="AL2168" s="91">
        <v>42412</v>
      </c>
      <c r="AM2168" s="91"/>
      <c r="AN2168" s="91"/>
      <c r="AO2168" s="91"/>
      <c r="AP2168" s="73" t="e">
        <f>MID(VLOOKUP(K2168,#REF!,2,FALSE),1,2)</f>
        <v>#REF!</v>
      </c>
      <c r="AQ2168" s="89">
        <f>DATE(2016,2,9)</f>
        <v>42409</v>
      </c>
      <c r="AR2168" s="82">
        <f t="shared" ref="AR2168:AR2231" si="149">DAY(AQ2168)</f>
        <v>9</v>
      </c>
      <c r="AS2168" s="83">
        <f t="shared" ref="AS2168:AS2231" si="150">MONTH(AQ2168)</f>
        <v>2</v>
      </c>
      <c r="AT2168" s="84">
        <f t="shared" ref="AT2168:AT2231" si="151">YEAR(AQ2168)</f>
        <v>2016</v>
      </c>
      <c r="AU2168" s="88">
        <f>DATE(2016,2,12)</f>
        <v>42412</v>
      </c>
      <c r="AV2168" s="88">
        <f>DATE(2016,2,9)</f>
        <v>42409</v>
      </c>
      <c r="AW2168" s="87">
        <f t="shared" si="148"/>
        <v>3</v>
      </c>
      <c r="AX2168" s="86"/>
      <c r="AY2168" s="83"/>
      <c r="AZ2168" s="84"/>
      <c r="BA2168" s="86"/>
      <c r="BB2168" s="86"/>
    </row>
    <row r="2169" spans="1:54" ht="36.75" customHeight="1">
      <c r="A2169" s="30"/>
      <c r="B2169" s="30" t="s">
        <v>55</v>
      </c>
      <c r="C2169" s="69" t="str">
        <f t="shared" si="146"/>
        <v>Closed</v>
      </c>
      <c r="D2169" s="27" t="s">
        <v>12148</v>
      </c>
      <c r="E2169" s="29" t="s">
        <v>12149</v>
      </c>
      <c r="F2169" s="30" t="s">
        <v>835</v>
      </c>
      <c r="G2169" s="89">
        <f>DATE(2016,2,12)</f>
        <v>42412</v>
      </c>
      <c r="H2169" s="90">
        <v>1.5569444444444445</v>
      </c>
      <c r="I2169" s="30" t="s">
        <v>125</v>
      </c>
      <c r="J2169" s="89" t="s">
        <v>12150</v>
      </c>
      <c r="K2169" s="30" t="s">
        <v>837</v>
      </c>
      <c r="L2169" s="30" t="s">
        <v>12151</v>
      </c>
      <c r="M2169" s="30" t="s">
        <v>63</v>
      </c>
      <c r="N2169" s="30" t="s">
        <v>89</v>
      </c>
      <c r="O2169" s="30" t="s">
        <v>77</v>
      </c>
      <c r="P2169" s="89" t="s">
        <v>78</v>
      </c>
      <c r="Q2169" s="89" t="s">
        <v>4708</v>
      </c>
      <c r="R2169" s="89" t="s">
        <v>840</v>
      </c>
      <c r="S2169" s="30">
        <v>0</v>
      </c>
      <c r="T2169" s="233">
        <v>0</v>
      </c>
      <c r="U2169" s="30">
        <v>0</v>
      </c>
      <c r="V2169" s="233">
        <v>0</v>
      </c>
      <c r="W2169" s="30">
        <v>0</v>
      </c>
      <c r="X2169" s="30">
        <v>0</v>
      </c>
      <c r="Y2169" s="30">
        <v>0</v>
      </c>
      <c r="Z2169" s="233">
        <v>0</v>
      </c>
      <c r="AA2169" s="30">
        <v>0</v>
      </c>
      <c r="AB2169" s="30">
        <v>0</v>
      </c>
      <c r="AC2169" s="30">
        <v>0</v>
      </c>
      <c r="AD2169" s="30">
        <v>0</v>
      </c>
      <c r="AE2169" s="89" t="s">
        <v>92</v>
      </c>
      <c r="AF2169" s="89"/>
      <c r="AG2169" s="89" t="s">
        <v>133</v>
      </c>
      <c r="AH2169" s="72">
        <v>42412</v>
      </c>
      <c r="AI2169" s="30">
        <v>2</v>
      </c>
      <c r="AJ2169" s="89" t="s">
        <v>11332</v>
      </c>
      <c r="AK2169" s="89" t="s">
        <v>1233</v>
      </c>
      <c r="AL2169" s="91">
        <v>42417</v>
      </c>
      <c r="AM2169" s="91"/>
      <c r="AN2169" s="91"/>
      <c r="AO2169" s="91"/>
      <c r="AP2169" s="73" t="e">
        <f>MID(VLOOKUP(K2169,#REF!,2,FALSE),1,2)</f>
        <v>#REF!</v>
      </c>
      <c r="AQ2169" s="89">
        <f>DATE(2016,2,12)</f>
        <v>42412</v>
      </c>
      <c r="AR2169" s="82">
        <f t="shared" si="149"/>
        <v>12</v>
      </c>
      <c r="AS2169" s="83">
        <f t="shared" si="150"/>
        <v>2</v>
      </c>
      <c r="AT2169" s="84">
        <f t="shared" si="151"/>
        <v>2016</v>
      </c>
      <c r="AU2169" s="88">
        <f>DATE(2016,2,17)</f>
        <v>42417</v>
      </c>
      <c r="AV2169" s="88">
        <f>DATE(2016,2,12)</f>
        <v>42412</v>
      </c>
      <c r="AW2169" s="87">
        <f t="shared" si="148"/>
        <v>5</v>
      </c>
      <c r="AX2169" s="88"/>
      <c r="AY2169" s="83"/>
      <c r="AZ2169" s="84"/>
      <c r="BA2169" s="86"/>
      <c r="BB2169" s="86"/>
    </row>
    <row r="2170" spans="1:54" ht="36.75" customHeight="1">
      <c r="A2170" s="30"/>
      <c r="B2170" s="30" t="s">
        <v>55</v>
      </c>
      <c r="C2170" s="69" t="str">
        <f t="shared" si="146"/>
        <v>Closed</v>
      </c>
      <c r="D2170" s="27" t="s">
        <v>12152</v>
      </c>
      <c r="E2170" s="29" t="s">
        <v>12153</v>
      </c>
      <c r="F2170" s="30" t="s">
        <v>233</v>
      </c>
      <c r="G2170" s="89">
        <f>DATE(2016,2,14)</f>
        <v>42414</v>
      </c>
      <c r="H2170" s="90">
        <v>1.4340277777777777</v>
      </c>
      <c r="I2170" s="30" t="s">
        <v>156</v>
      </c>
      <c r="J2170" s="89" t="s">
        <v>12154</v>
      </c>
      <c r="K2170" s="30" t="s">
        <v>235</v>
      </c>
      <c r="L2170" s="30" t="s">
        <v>12155</v>
      </c>
      <c r="M2170" s="30" t="s">
        <v>63</v>
      </c>
      <c r="N2170" s="30" t="s">
        <v>89</v>
      </c>
      <c r="O2170" s="30" t="s">
        <v>64</v>
      </c>
      <c r="P2170" s="89" t="s">
        <v>165</v>
      </c>
      <c r="Q2170" s="89" t="s">
        <v>2538</v>
      </c>
      <c r="R2170" s="89" t="s">
        <v>235</v>
      </c>
      <c r="S2170" s="30">
        <v>0</v>
      </c>
      <c r="T2170" s="233">
        <v>0</v>
      </c>
      <c r="U2170" s="30">
        <v>0</v>
      </c>
      <c r="V2170" s="233">
        <v>0</v>
      </c>
      <c r="W2170" s="30">
        <v>0</v>
      </c>
      <c r="X2170" s="30">
        <v>0</v>
      </c>
      <c r="Y2170" s="30">
        <v>0</v>
      </c>
      <c r="Z2170" s="233">
        <v>1</v>
      </c>
      <c r="AA2170" s="30">
        <v>0</v>
      </c>
      <c r="AB2170" s="30">
        <v>0</v>
      </c>
      <c r="AC2170" s="30">
        <v>0</v>
      </c>
      <c r="AD2170" s="30">
        <v>1</v>
      </c>
      <c r="AE2170" s="89" t="s">
        <v>92</v>
      </c>
      <c r="AF2170" s="89"/>
      <c r="AG2170" s="89" t="s">
        <v>133</v>
      </c>
      <c r="AH2170" s="72">
        <v>42412</v>
      </c>
      <c r="AI2170" s="30">
        <v>4</v>
      </c>
      <c r="AJ2170" s="89" t="s">
        <v>12156</v>
      </c>
      <c r="AK2170" s="89" t="s">
        <v>12157</v>
      </c>
      <c r="AL2170" s="91">
        <v>42437</v>
      </c>
      <c r="AM2170" s="91"/>
      <c r="AN2170" s="91"/>
      <c r="AO2170" s="91"/>
      <c r="AP2170" s="73" t="e">
        <f>MID(VLOOKUP(K2170,#REF!,2,FALSE),1,2)</f>
        <v>#REF!</v>
      </c>
      <c r="AQ2170" s="89">
        <f>DATE(2016,2,14)</f>
        <v>42414</v>
      </c>
      <c r="AR2170" s="82">
        <f t="shared" si="149"/>
        <v>14</v>
      </c>
      <c r="AS2170" s="83">
        <f t="shared" si="150"/>
        <v>2</v>
      </c>
      <c r="AT2170" s="84">
        <f t="shared" si="151"/>
        <v>2016</v>
      </c>
      <c r="AU2170" s="88">
        <f>DATE(2016,3,8)</f>
        <v>42437</v>
      </c>
      <c r="AV2170" s="88">
        <f>DATE(2016,2,12)</f>
        <v>42412</v>
      </c>
      <c r="AW2170" s="87">
        <f t="shared" si="148"/>
        <v>25</v>
      </c>
      <c r="AX2170" s="88">
        <f>DATE(2016,3,8)</f>
        <v>42437</v>
      </c>
      <c r="AY2170" s="83">
        <f>MONTH(AX2170)</f>
        <v>3</v>
      </c>
      <c r="AZ2170" s="84">
        <f>YEAR(AX2170)</f>
        <v>2016</v>
      </c>
      <c r="BA2170" s="86"/>
      <c r="BB2170" s="86"/>
    </row>
    <row r="2171" spans="1:54" ht="36.75" customHeight="1">
      <c r="A2171" s="30"/>
      <c r="B2171" s="30" t="s">
        <v>55</v>
      </c>
      <c r="C2171" s="69" t="str">
        <f t="shared" si="146"/>
        <v>Closed</v>
      </c>
      <c r="D2171" s="27" t="s">
        <v>12158</v>
      </c>
      <c r="E2171" s="29" t="s">
        <v>12159</v>
      </c>
      <c r="F2171" s="30" t="s">
        <v>1770</v>
      </c>
      <c r="G2171" s="89">
        <f>DATE(2016,2,18)</f>
        <v>42418</v>
      </c>
      <c r="H2171" s="90">
        <v>1.8576388888888888</v>
      </c>
      <c r="I2171" s="30" t="s">
        <v>487</v>
      </c>
      <c r="J2171" s="89" t="s">
        <v>12160</v>
      </c>
      <c r="K2171" s="30" t="s">
        <v>1772</v>
      </c>
      <c r="L2171" s="30" t="s">
        <v>12161</v>
      </c>
      <c r="M2171" s="30" t="s">
        <v>63</v>
      </c>
      <c r="N2171" s="30" t="s">
        <v>89</v>
      </c>
      <c r="O2171" s="30" t="s">
        <v>64</v>
      </c>
      <c r="P2171" s="89" t="s">
        <v>165</v>
      </c>
      <c r="Q2171" s="89" t="s">
        <v>4289</v>
      </c>
      <c r="R2171" s="89" t="s">
        <v>1775</v>
      </c>
      <c r="S2171" s="30">
        <v>0</v>
      </c>
      <c r="T2171" s="233">
        <v>0</v>
      </c>
      <c r="U2171" s="30">
        <v>0</v>
      </c>
      <c r="V2171" s="233">
        <v>0</v>
      </c>
      <c r="W2171" s="30">
        <v>0</v>
      </c>
      <c r="X2171" s="30">
        <v>0</v>
      </c>
      <c r="Y2171" s="30">
        <v>0</v>
      </c>
      <c r="Z2171" s="233">
        <v>0</v>
      </c>
      <c r="AA2171" s="30">
        <v>0</v>
      </c>
      <c r="AB2171" s="30">
        <v>0</v>
      </c>
      <c r="AC2171" s="30">
        <v>0</v>
      </c>
      <c r="AD2171" s="30">
        <v>0</v>
      </c>
      <c r="AE2171" s="89" t="s">
        <v>92</v>
      </c>
      <c r="AF2171" s="89"/>
      <c r="AG2171" s="89" t="s">
        <v>352</v>
      </c>
      <c r="AH2171" s="72">
        <v>42424</v>
      </c>
      <c r="AI2171" s="30">
        <v>1</v>
      </c>
      <c r="AJ2171" s="89" t="s">
        <v>12162</v>
      </c>
      <c r="AK2171" s="89" t="s">
        <v>12163</v>
      </c>
      <c r="AL2171" s="91">
        <v>42668</v>
      </c>
      <c r="AM2171" s="91"/>
      <c r="AN2171" s="91"/>
      <c r="AO2171" s="91"/>
      <c r="AP2171" s="73" t="e">
        <f>MID(VLOOKUP(K2171,#REF!,2,FALSE),1,2)</f>
        <v>#REF!</v>
      </c>
      <c r="AQ2171" s="89">
        <f>DATE(2016,2,18)</f>
        <v>42418</v>
      </c>
      <c r="AR2171" s="82">
        <f t="shared" si="149"/>
        <v>18</v>
      </c>
      <c r="AS2171" s="83">
        <f t="shared" si="150"/>
        <v>2</v>
      </c>
      <c r="AT2171" s="84">
        <f t="shared" si="151"/>
        <v>2016</v>
      </c>
      <c r="AU2171" s="88">
        <f>DATE(2016,10,25)</f>
        <v>42668</v>
      </c>
      <c r="AV2171" s="88">
        <f>DATE(2016,2,24)</f>
        <v>42424</v>
      </c>
      <c r="AW2171" s="87">
        <f t="shared" si="148"/>
        <v>244</v>
      </c>
      <c r="AX2171" s="86"/>
      <c r="AY2171" s="83"/>
      <c r="AZ2171" s="84"/>
      <c r="BA2171" s="88">
        <f>DATE(2016,2,24)</f>
        <v>42424</v>
      </c>
      <c r="BB2171" s="86"/>
    </row>
    <row r="2172" spans="1:54" ht="36.75" customHeight="1">
      <c r="A2172" s="30"/>
      <c r="B2172" s="30" t="s">
        <v>55</v>
      </c>
      <c r="C2172" s="69" t="str">
        <f t="shared" si="146"/>
        <v>Closed</v>
      </c>
      <c r="D2172" s="27" t="s">
        <v>12164</v>
      </c>
      <c r="E2172" s="29" t="s">
        <v>12165</v>
      </c>
      <c r="F2172" s="30" t="s">
        <v>1572</v>
      </c>
      <c r="G2172" s="89">
        <f>DATE(2016,2,18)</f>
        <v>42418</v>
      </c>
      <c r="H2172" s="90">
        <v>1.5499999999999998</v>
      </c>
      <c r="I2172" s="30" t="s">
        <v>73</v>
      </c>
      <c r="J2172" s="89" t="s">
        <v>12166</v>
      </c>
      <c r="K2172" s="30" t="s">
        <v>1574</v>
      </c>
      <c r="L2172" s="30" t="s">
        <v>12167</v>
      </c>
      <c r="M2172" s="30" t="s">
        <v>63</v>
      </c>
      <c r="N2172" s="30" t="s">
        <v>99</v>
      </c>
      <c r="O2172" s="30" t="s">
        <v>77</v>
      </c>
      <c r="P2172" s="89" t="s">
        <v>6941</v>
      </c>
      <c r="Q2172" s="89" t="s">
        <v>2413</v>
      </c>
      <c r="R2172" s="89" t="s">
        <v>6434</v>
      </c>
      <c r="S2172" s="30">
        <v>0</v>
      </c>
      <c r="T2172" s="233">
        <v>0</v>
      </c>
      <c r="U2172" s="30">
        <v>0</v>
      </c>
      <c r="V2172" s="233">
        <v>0</v>
      </c>
      <c r="W2172" s="30">
        <v>0</v>
      </c>
      <c r="X2172" s="30">
        <v>0</v>
      </c>
      <c r="Y2172" s="30">
        <v>0</v>
      </c>
      <c r="Z2172" s="233">
        <v>0</v>
      </c>
      <c r="AA2172" s="30">
        <v>0</v>
      </c>
      <c r="AB2172" s="30">
        <v>0</v>
      </c>
      <c r="AC2172" s="30">
        <v>0</v>
      </c>
      <c r="AD2172" s="30">
        <v>0</v>
      </c>
      <c r="AE2172" s="89" t="s">
        <v>92</v>
      </c>
      <c r="AF2172" s="89"/>
      <c r="AG2172" s="89" t="s">
        <v>133</v>
      </c>
      <c r="AH2172" s="72">
        <v>42419</v>
      </c>
      <c r="AI2172" s="30">
        <v>1</v>
      </c>
      <c r="AJ2172" s="89" t="s">
        <v>12168</v>
      </c>
      <c r="AK2172" s="89" t="s">
        <v>12169</v>
      </c>
      <c r="AL2172" s="91">
        <v>42422</v>
      </c>
      <c r="AM2172" s="91"/>
      <c r="AN2172" s="91"/>
      <c r="AO2172" s="91"/>
      <c r="AP2172" s="73" t="e">
        <f>MID(VLOOKUP(K2172,#REF!,2,FALSE),1,2)</f>
        <v>#REF!</v>
      </c>
      <c r="AQ2172" s="89">
        <f>DATE(2016,2,18)</f>
        <v>42418</v>
      </c>
      <c r="AR2172" s="82">
        <f t="shared" si="149"/>
        <v>18</v>
      </c>
      <c r="AS2172" s="83">
        <f t="shared" si="150"/>
        <v>2</v>
      </c>
      <c r="AT2172" s="84">
        <f t="shared" si="151"/>
        <v>2016</v>
      </c>
      <c r="AU2172" s="88">
        <f>DATE(2016,2,22)</f>
        <v>42422</v>
      </c>
      <c r="AV2172" s="88">
        <f>DATE(2016,2,19)</f>
        <v>42419</v>
      </c>
      <c r="AW2172" s="87">
        <f t="shared" si="148"/>
        <v>3</v>
      </c>
      <c r="AX2172" s="88">
        <f>DATE(2016,2,22)</f>
        <v>42422</v>
      </c>
      <c r="AY2172" s="83">
        <f>MONTH(AX2172)</f>
        <v>2</v>
      </c>
      <c r="AZ2172" s="84">
        <f>YEAR(AX2172)</f>
        <v>2016</v>
      </c>
      <c r="BA2172" s="88">
        <f>DATE(2016,2,18)</f>
        <v>42418</v>
      </c>
      <c r="BB2172" s="86"/>
    </row>
    <row r="2173" spans="1:54" ht="36.75" customHeight="1">
      <c r="A2173" s="30"/>
      <c r="B2173" s="30" t="s">
        <v>55</v>
      </c>
      <c r="C2173" s="69" t="str">
        <f t="shared" si="146"/>
        <v>Closed</v>
      </c>
      <c r="D2173" s="27" t="s">
        <v>12170</v>
      </c>
      <c r="E2173" s="29" t="s">
        <v>12171</v>
      </c>
      <c r="F2173" s="30" t="s">
        <v>835</v>
      </c>
      <c r="G2173" s="89">
        <f>DATE(2016,2,21)</f>
        <v>42421</v>
      </c>
      <c r="H2173" s="90">
        <v>1.6319444444444444</v>
      </c>
      <c r="I2173" s="30" t="s">
        <v>73</v>
      </c>
      <c r="J2173" s="89" t="s">
        <v>12172</v>
      </c>
      <c r="K2173" s="30" t="s">
        <v>837</v>
      </c>
      <c r="L2173" s="30" t="s">
        <v>12173</v>
      </c>
      <c r="M2173" s="30" t="s">
        <v>63</v>
      </c>
      <c r="N2173" s="30" t="s">
        <v>99</v>
      </c>
      <c r="O2173" s="30" t="s">
        <v>77</v>
      </c>
      <c r="P2173" s="89" t="s">
        <v>78</v>
      </c>
      <c r="Q2173" s="89" t="s">
        <v>3777</v>
      </c>
      <c r="R2173" s="89" t="s">
        <v>2797</v>
      </c>
      <c r="S2173" s="30">
        <v>0</v>
      </c>
      <c r="T2173" s="233">
        <v>0</v>
      </c>
      <c r="U2173" s="30">
        <v>0</v>
      </c>
      <c r="V2173" s="233">
        <v>0</v>
      </c>
      <c r="W2173" s="30">
        <v>0</v>
      </c>
      <c r="X2173" s="30">
        <v>0</v>
      </c>
      <c r="Y2173" s="30">
        <v>0</v>
      </c>
      <c r="Z2173" s="233">
        <v>0</v>
      </c>
      <c r="AA2173" s="30">
        <v>0</v>
      </c>
      <c r="AB2173" s="30">
        <v>0</v>
      </c>
      <c r="AC2173" s="30">
        <v>0</v>
      </c>
      <c r="AD2173" s="30">
        <v>0</v>
      </c>
      <c r="AE2173" s="89" t="s">
        <v>92</v>
      </c>
      <c r="AF2173" s="89"/>
      <c r="AG2173" s="89" t="s">
        <v>133</v>
      </c>
      <c r="AH2173" s="72">
        <v>42421</v>
      </c>
      <c r="AI2173" s="30">
        <v>0</v>
      </c>
      <c r="AJ2173" s="89" t="s">
        <v>12174</v>
      </c>
      <c r="AK2173" s="89" t="s">
        <v>68</v>
      </c>
      <c r="AL2173" s="91">
        <v>42422</v>
      </c>
      <c r="AM2173" s="91"/>
      <c r="AN2173" s="91"/>
      <c r="AO2173" s="91"/>
      <c r="AP2173" s="73" t="e">
        <f>MID(VLOOKUP(K2173,#REF!,2,FALSE),1,2)</f>
        <v>#REF!</v>
      </c>
      <c r="AQ2173" s="89">
        <f>DATE(2016,2,21)</f>
        <v>42421</v>
      </c>
      <c r="AR2173" s="82">
        <f t="shared" si="149"/>
        <v>21</v>
      </c>
      <c r="AS2173" s="83">
        <f t="shared" si="150"/>
        <v>2</v>
      </c>
      <c r="AT2173" s="84">
        <f t="shared" si="151"/>
        <v>2016</v>
      </c>
      <c r="AU2173" s="88">
        <f>DATE(2016,2,22)</f>
        <v>42422</v>
      </c>
      <c r="AV2173" s="88">
        <f>DATE(2016,2,21)</f>
        <v>42421</v>
      </c>
      <c r="AW2173" s="87">
        <f t="shared" si="148"/>
        <v>1</v>
      </c>
      <c r="AX2173" s="88">
        <f>DATE(2016,2,21)</f>
        <v>42421</v>
      </c>
      <c r="AY2173" s="83">
        <f>MONTH(AX2173)</f>
        <v>2</v>
      </c>
      <c r="AZ2173" s="84">
        <f>YEAR(AX2173)</f>
        <v>2016</v>
      </c>
      <c r="BA2173" s="88">
        <f>DATE(2016,2,21)</f>
        <v>42421</v>
      </c>
      <c r="BB2173" s="86"/>
    </row>
    <row r="2174" spans="1:54" ht="36.75" customHeight="1">
      <c r="A2174" s="30"/>
      <c r="B2174" s="30" t="s">
        <v>55</v>
      </c>
      <c r="C2174" s="69" t="str">
        <f t="shared" si="146"/>
        <v>Closed</v>
      </c>
      <c r="D2174" s="27" t="s">
        <v>12175</v>
      </c>
      <c r="E2174" s="29" t="s">
        <v>12176</v>
      </c>
      <c r="F2174" s="30" t="s">
        <v>582</v>
      </c>
      <c r="G2174" s="89">
        <f>DATE(2016,2,23)</f>
        <v>42423</v>
      </c>
      <c r="H2174" s="90">
        <v>1.6555555555555554</v>
      </c>
      <c r="I2174" s="30" t="s">
        <v>2078</v>
      </c>
      <c r="J2174" s="89" t="s">
        <v>12177</v>
      </c>
      <c r="K2174" s="30" t="s">
        <v>584</v>
      </c>
      <c r="L2174" s="30" t="s">
        <v>12178</v>
      </c>
      <c r="M2174" s="30" t="s">
        <v>63</v>
      </c>
      <c r="N2174" s="30" t="s">
        <v>142</v>
      </c>
      <c r="O2174" s="30" t="s">
        <v>64</v>
      </c>
      <c r="P2174" s="89" t="s">
        <v>165</v>
      </c>
      <c r="Q2174" s="89" t="s">
        <v>4487</v>
      </c>
      <c r="R2174" s="89" t="s">
        <v>587</v>
      </c>
      <c r="S2174" s="30">
        <v>0</v>
      </c>
      <c r="T2174" s="233">
        <v>0</v>
      </c>
      <c r="U2174" s="30">
        <v>0</v>
      </c>
      <c r="V2174" s="233">
        <v>0</v>
      </c>
      <c r="W2174" s="30">
        <v>0</v>
      </c>
      <c r="X2174" s="30">
        <v>0</v>
      </c>
      <c r="Y2174" s="30">
        <v>0</v>
      </c>
      <c r="Z2174" s="233">
        <v>0</v>
      </c>
      <c r="AA2174" s="30">
        <v>0</v>
      </c>
      <c r="AB2174" s="30">
        <v>0</v>
      </c>
      <c r="AC2174" s="30">
        <v>0</v>
      </c>
      <c r="AD2174" s="30">
        <v>0</v>
      </c>
      <c r="AE2174" s="89" t="s">
        <v>92</v>
      </c>
      <c r="AF2174" s="89"/>
      <c r="AG2174" s="89" t="s">
        <v>133</v>
      </c>
      <c r="AH2174" s="72">
        <v>42488</v>
      </c>
      <c r="AI2174" s="30">
        <v>0</v>
      </c>
      <c r="AJ2174" s="89" t="s">
        <v>12179</v>
      </c>
      <c r="AK2174" s="89" t="s">
        <v>1233</v>
      </c>
      <c r="AL2174" s="91">
        <v>42488</v>
      </c>
      <c r="AM2174" s="91"/>
      <c r="AN2174" s="91"/>
      <c r="AO2174" s="91"/>
      <c r="AP2174" s="73" t="e">
        <f>MID(VLOOKUP(K2174,#REF!,2,FALSE),1,2)</f>
        <v>#REF!</v>
      </c>
      <c r="AQ2174" s="89">
        <f>DATE(2016,2,23)</f>
        <v>42423</v>
      </c>
      <c r="AR2174" s="82">
        <f t="shared" si="149"/>
        <v>23</v>
      </c>
      <c r="AS2174" s="83">
        <f t="shared" si="150"/>
        <v>2</v>
      </c>
      <c r="AT2174" s="84">
        <f t="shared" si="151"/>
        <v>2016</v>
      </c>
      <c r="AU2174" s="88">
        <f>DATE(2016,4,28)</f>
        <v>42488</v>
      </c>
      <c r="AV2174" s="88">
        <f>DATE(2016,4,28)</f>
        <v>42488</v>
      </c>
      <c r="AW2174" s="87">
        <f t="shared" si="148"/>
        <v>0</v>
      </c>
      <c r="AX2174" s="86"/>
      <c r="AY2174" s="83"/>
      <c r="AZ2174" s="84"/>
      <c r="BA2174" s="86"/>
      <c r="BB2174" s="86"/>
    </row>
    <row r="2175" spans="1:54" ht="36.75" customHeight="1">
      <c r="A2175" s="30"/>
      <c r="B2175" s="30" t="s">
        <v>55</v>
      </c>
      <c r="C2175" s="69" t="str">
        <f t="shared" si="146"/>
        <v>Closed</v>
      </c>
      <c r="D2175" s="27" t="s">
        <v>12180</v>
      </c>
      <c r="E2175" s="29" t="s">
        <v>12181</v>
      </c>
      <c r="F2175" s="30" t="s">
        <v>72</v>
      </c>
      <c r="G2175" s="89">
        <f>DATE(2016,2,23)</f>
        <v>42423</v>
      </c>
      <c r="H2175" s="90">
        <v>1.3666666666666667</v>
      </c>
      <c r="I2175" s="30" t="s">
        <v>116</v>
      </c>
      <c r="J2175" s="89" t="s">
        <v>12182</v>
      </c>
      <c r="K2175" s="30" t="s">
        <v>75</v>
      </c>
      <c r="L2175" s="30" t="s">
        <v>12183</v>
      </c>
      <c r="M2175" s="30" t="s">
        <v>63</v>
      </c>
      <c r="N2175" s="30" t="s">
        <v>99</v>
      </c>
      <c r="O2175" s="30" t="s">
        <v>64</v>
      </c>
      <c r="P2175" s="89" t="s">
        <v>6941</v>
      </c>
      <c r="Q2175" s="89" t="s">
        <v>12184</v>
      </c>
      <c r="R2175" s="89" t="s">
        <v>80</v>
      </c>
      <c r="S2175" s="30">
        <v>0</v>
      </c>
      <c r="T2175" s="233">
        <v>1</v>
      </c>
      <c r="U2175" s="30">
        <v>0</v>
      </c>
      <c r="V2175" s="233">
        <v>0</v>
      </c>
      <c r="W2175" s="30">
        <v>0</v>
      </c>
      <c r="X2175" s="30">
        <v>1</v>
      </c>
      <c r="Y2175" s="30">
        <v>0</v>
      </c>
      <c r="Z2175" s="233">
        <v>0</v>
      </c>
      <c r="AA2175" s="30">
        <v>0</v>
      </c>
      <c r="AB2175" s="30">
        <v>0</v>
      </c>
      <c r="AC2175" s="30">
        <v>0</v>
      </c>
      <c r="AD2175" s="30">
        <v>0</v>
      </c>
      <c r="AE2175" s="89" t="s">
        <v>394</v>
      </c>
      <c r="AF2175" s="89"/>
      <c r="AG2175" s="89" t="s">
        <v>82</v>
      </c>
      <c r="AH2175" s="72">
        <v>42423</v>
      </c>
      <c r="AI2175" s="30">
        <v>6</v>
      </c>
      <c r="AJ2175" s="89" t="s">
        <v>12185</v>
      </c>
      <c r="AK2175" s="89" t="s">
        <v>12186</v>
      </c>
      <c r="AL2175" s="91">
        <v>42429</v>
      </c>
      <c r="AM2175" s="91"/>
      <c r="AN2175" s="91"/>
      <c r="AO2175" s="91"/>
      <c r="AP2175" s="73" t="e">
        <f>MID(VLOOKUP(K2175,#REF!,2,FALSE),1,2)</f>
        <v>#REF!</v>
      </c>
      <c r="AQ2175" s="89">
        <f>DATE(2016,2,23)</f>
        <v>42423</v>
      </c>
      <c r="AR2175" s="82">
        <f t="shared" si="149"/>
        <v>23</v>
      </c>
      <c r="AS2175" s="83">
        <f t="shared" si="150"/>
        <v>2</v>
      </c>
      <c r="AT2175" s="84">
        <f t="shared" si="151"/>
        <v>2016</v>
      </c>
      <c r="AU2175" s="88">
        <f>DATE(2016,2,29)</f>
        <v>42429</v>
      </c>
      <c r="AV2175" s="88">
        <f>DATE(2016,2,23)</f>
        <v>42423</v>
      </c>
      <c r="AW2175" s="87">
        <f t="shared" si="148"/>
        <v>6</v>
      </c>
      <c r="AX2175" s="86"/>
      <c r="AY2175" s="83"/>
      <c r="AZ2175" s="84"/>
      <c r="BA2175" s="86"/>
      <c r="BB2175" s="86"/>
    </row>
    <row r="2176" spans="1:54" ht="36.75" customHeight="1">
      <c r="A2176" s="30"/>
      <c r="B2176" s="30" t="s">
        <v>55</v>
      </c>
      <c r="C2176" s="69" t="str">
        <f t="shared" si="146"/>
        <v>Closed</v>
      </c>
      <c r="D2176" s="27" t="s">
        <v>12187</v>
      </c>
      <c r="E2176" s="29" t="s">
        <v>12188</v>
      </c>
      <c r="F2176" s="30" t="s">
        <v>233</v>
      </c>
      <c r="G2176" s="89">
        <f>DATE(2016,2,23)</f>
        <v>42423</v>
      </c>
      <c r="H2176" s="90">
        <v>1.5173611111111112</v>
      </c>
      <c r="I2176" s="30" t="s">
        <v>116</v>
      </c>
      <c r="J2176" s="89" t="s">
        <v>12189</v>
      </c>
      <c r="K2176" s="30" t="s">
        <v>235</v>
      </c>
      <c r="L2176" s="30" t="s">
        <v>12190</v>
      </c>
      <c r="M2176" s="30" t="s">
        <v>63</v>
      </c>
      <c r="N2176" s="30" t="s">
        <v>99</v>
      </c>
      <c r="O2176" s="30" t="s">
        <v>64</v>
      </c>
      <c r="P2176" s="89" t="s">
        <v>65</v>
      </c>
      <c r="Q2176" s="89" t="s">
        <v>235</v>
      </c>
      <c r="R2176" s="89" t="s">
        <v>235</v>
      </c>
      <c r="S2176" s="30">
        <v>0</v>
      </c>
      <c r="T2176" s="233">
        <v>0</v>
      </c>
      <c r="U2176" s="30">
        <v>1</v>
      </c>
      <c r="V2176" s="233">
        <v>0</v>
      </c>
      <c r="W2176" s="30">
        <v>0</v>
      </c>
      <c r="X2176" s="30">
        <v>1</v>
      </c>
      <c r="Y2176" s="30">
        <v>0</v>
      </c>
      <c r="Z2176" s="233">
        <v>0</v>
      </c>
      <c r="AA2176" s="30">
        <v>0</v>
      </c>
      <c r="AB2176" s="30">
        <v>0</v>
      </c>
      <c r="AC2176" s="30">
        <v>0</v>
      </c>
      <c r="AD2176" s="30">
        <v>0</v>
      </c>
      <c r="AE2176" s="89" t="s">
        <v>92</v>
      </c>
      <c r="AF2176" s="89"/>
      <c r="AG2176" s="89" t="s">
        <v>82</v>
      </c>
      <c r="AH2176" s="72">
        <v>42429</v>
      </c>
      <c r="AI2176" s="30">
        <v>2</v>
      </c>
      <c r="AJ2176" s="89" t="s">
        <v>12191</v>
      </c>
      <c r="AK2176" s="89" t="s">
        <v>12192</v>
      </c>
      <c r="AL2176" s="91">
        <v>42459</v>
      </c>
      <c r="AM2176" s="91"/>
      <c r="AN2176" s="91"/>
      <c r="AO2176" s="91"/>
      <c r="AP2176" s="73" t="e">
        <f>MID(VLOOKUP(K2176,#REF!,2,FALSE),1,2)</f>
        <v>#REF!</v>
      </c>
      <c r="AQ2176" s="89">
        <f>DATE(2016,2,23)</f>
        <v>42423</v>
      </c>
      <c r="AR2176" s="82">
        <f t="shared" si="149"/>
        <v>23</v>
      </c>
      <c r="AS2176" s="83">
        <f t="shared" si="150"/>
        <v>2</v>
      </c>
      <c r="AT2176" s="84">
        <f t="shared" si="151"/>
        <v>2016</v>
      </c>
      <c r="AU2176" s="88">
        <f>DATE(2016,3,30)</f>
        <v>42459</v>
      </c>
      <c r="AV2176" s="88">
        <f>DATE(2016,2,29)</f>
        <v>42429</v>
      </c>
      <c r="AW2176" s="87">
        <f t="shared" si="148"/>
        <v>30</v>
      </c>
      <c r="AX2176" s="88">
        <f>DATE(2016,3,30)</f>
        <v>42459</v>
      </c>
      <c r="AY2176" s="83">
        <f>MONTH(AX2176)</f>
        <v>3</v>
      </c>
      <c r="AZ2176" s="84">
        <f>YEAR(AX2176)</f>
        <v>2016</v>
      </c>
      <c r="BA2176" s="86"/>
      <c r="BB2176" s="86"/>
    </row>
    <row r="2177" spans="1:54" ht="36.75" customHeight="1">
      <c r="A2177" s="30"/>
      <c r="B2177" s="30" t="s">
        <v>55</v>
      </c>
      <c r="C2177" s="69" t="str">
        <f t="shared" si="146"/>
        <v>Closed</v>
      </c>
      <c r="D2177" s="27" t="s">
        <v>12193</v>
      </c>
      <c r="E2177" s="29" t="s">
        <v>12194</v>
      </c>
      <c r="F2177" s="30" t="s">
        <v>582</v>
      </c>
      <c r="G2177" s="89">
        <f>DATE(2016,2,24)</f>
        <v>42424</v>
      </c>
      <c r="H2177" s="90">
        <v>1.6041666666666665</v>
      </c>
      <c r="I2177" s="30" t="s">
        <v>6775</v>
      </c>
      <c r="J2177" s="89" t="s">
        <v>12195</v>
      </c>
      <c r="K2177" s="30" t="s">
        <v>584</v>
      </c>
      <c r="L2177" s="30" t="s">
        <v>12196</v>
      </c>
      <c r="M2177" s="30" t="s">
        <v>63</v>
      </c>
      <c r="N2177" s="30" t="s">
        <v>99</v>
      </c>
      <c r="O2177" s="30" t="s">
        <v>77</v>
      </c>
      <c r="P2177" s="89" t="s">
        <v>165</v>
      </c>
      <c r="Q2177" s="89" t="s">
        <v>11111</v>
      </c>
      <c r="R2177" s="89" t="s">
        <v>587</v>
      </c>
      <c r="S2177" s="30">
        <v>0</v>
      </c>
      <c r="T2177" s="233">
        <v>0</v>
      </c>
      <c r="U2177" s="30">
        <v>0</v>
      </c>
      <c r="V2177" s="233">
        <v>0</v>
      </c>
      <c r="W2177" s="30">
        <v>0</v>
      </c>
      <c r="X2177" s="30">
        <v>0</v>
      </c>
      <c r="Y2177" s="30">
        <v>0</v>
      </c>
      <c r="Z2177" s="233">
        <v>0</v>
      </c>
      <c r="AA2177" s="30">
        <v>0</v>
      </c>
      <c r="AB2177" s="30">
        <v>0</v>
      </c>
      <c r="AC2177" s="30">
        <v>0</v>
      </c>
      <c r="AD2177" s="30">
        <v>0</v>
      </c>
      <c r="AE2177" s="89" t="s">
        <v>92</v>
      </c>
      <c r="AF2177" s="89"/>
      <c r="AG2177" s="89" t="s">
        <v>133</v>
      </c>
      <c r="AH2177" s="72">
        <v>42431</v>
      </c>
      <c r="AI2177" s="30">
        <v>0</v>
      </c>
      <c r="AJ2177" s="89" t="s">
        <v>12197</v>
      </c>
      <c r="AK2177" s="89" t="s">
        <v>1233</v>
      </c>
      <c r="AL2177" s="91">
        <v>42444</v>
      </c>
      <c r="AM2177" s="91"/>
      <c r="AN2177" s="91"/>
      <c r="AO2177" s="91"/>
      <c r="AP2177" s="73" t="e">
        <f>MID(VLOOKUP(K2177,#REF!,2,FALSE),1,2)</f>
        <v>#REF!</v>
      </c>
      <c r="AQ2177" s="89">
        <f>DATE(2016,2,24)</f>
        <v>42424</v>
      </c>
      <c r="AR2177" s="82">
        <f t="shared" si="149"/>
        <v>24</v>
      </c>
      <c r="AS2177" s="83">
        <f t="shared" si="150"/>
        <v>2</v>
      </c>
      <c r="AT2177" s="84">
        <f t="shared" si="151"/>
        <v>2016</v>
      </c>
      <c r="AU2177" s="88">
        <f>DATE(2016,3,15)</f>
        <v>42444</v>
      </c>
      <c r="AV2177" s="88">
        <f>DATE(2016,3,2)</f>
        <v>42431</v>
      </c>
      <c r="AW2177" s="87">
        <f t="shared" si="148"/>
        <v>13</v>
      </c>
      <c r="AX2177" s="86"/>
      <c r="AY2177" s="83"/>
      <c r="AZ2177" s="84"/>
      <c r="BA2177" s="86"/>
      <c r="BB2177" s="86"/>
    </row>
    <row r="2178" spans="1:54" ht="36.75" customHeight="1">
      <c r="A2178" s="30"/>
      <c r="B2178" s="30" t="s">
        <v>55</v>
      </c>
      <c r="C2178" s="69" t="str">
        <f t="shared" ref="C2178:C2241" si="152">IF(B2178="Notification","Open",IF(B2178="Interim Statement","In progress","Closed"))</f>
        <v>Closed</v>
      </c>
      <c r="D2178" s="27" t="s">
        <v>12198</v>
      </c>
      <c r="E2178" s="29" t="s">
        <v>12199</v>
      </c>
      <c r="F2178" s="30" t="s">
        <v>124</v>
      </c>
      <c r="G2178" s="89">
        <f>DATE(2016,2,26)</f>
        <v>42426</v>
      </c>
      <c r="H2178" s="90">
        <v>1.0534722222222221</v>
      </c>
      <c r="I2178" s="30" t="s">
        <v>487</v>
      </c>
      <c r="J2178" s="89" t="s">
        <v>12200</v>
      </c>
      <c r="K2178" s="30" t="s">
        <v>127</v>
      </c>
      <c r="L2178" s="30" t="s">
        <v>12201</v>
      </c>
      <c r="M2178" s="30" t="s">
        <v>129</v>
      </c>
      <c r="N2178" s="30" t="s">
        <v>142</v>
      </c>
      <c r="O2178" s="30" t="s">
        <v>64</v>
      </c>
      <c r="P2178" s="89" t="s">
        <v>301</v>
      </c>
      <c r="Q2178" s="89" t="s">
        <v>10119</v>
      </c>
      <c r="R2178" s="89" t="s">
        <v>131</v>
      </c>
      <c r="S2178" s="30">
        <v>0</v>
      </c>
      <c r="T2178" s="233">
        <v>0</v>
      </c>
      <c r="U2178" s="30">
        <v>0</v>
      </c>
      <c r="V2178" s="233">
        <v>0</v>
      </c>
      <c r="W2178" s="30">
        <v>0</v>
      </c>
      <c r="X2178" s="30">
        <v>0</v>
      </c>
      <c r="Y2178" s="30">
        <v>0</v>
      </c>
      <c r="Z2178" s="233">
        <v>0</v>
      </c>
      <c r="AA2178" s="30">
        <v>0</v>
      </c>
      <c r="AB2178" s="30">
        <v>0</v>
      </c>
      <c r="AC2178" s="30">
        <v>0</v>
      </c>
      <c r="AD2178" s="30">
        <v>0</v>
      </c>
      <c r="AE2178" s="89" t="s">
        <v>92</v>
      </c>
      <c r="AF2178" s="89"/>
      <c r="AG2178" s="89" t="s">
        <v>7495</v>
      </c>
      <c r="AH2178" s="72">
        <v>42436</v>
      </c>
      <c r="AI2178" s="30">
        <v>1</v>
      </c>
      <c r="AJ2178" s="89" t="s">
        <v>12202</v>
      </c>
      <c r="AK2178" s="89" t="s">
        <v>12203</v>
      </c>
      <c r="AL2178" s="91">
        <v>42438</v>
      </c>
      <c r="AM2178" s="91"/>
      <c r="AN2178" s="91"/>
      <c r="AO2178" s="91"/>
      <c r="AP2178" s="73" t="e">
        <f>MID(VLOOKUP(K2178,#REF!,2,FALSE),1,2)</f>
        <v>#REF!</v>
      </c>
      <c r="AQ2178" s="89">
        <f>DATE(2016,2,26)</f>
        <v>42426</v>
      </c>
      <c r="AR2178" s="82">
        <f t="shared" si="149"/>
        <v>26</v>
      </c>
      <c r="AS2178" s="83">
        <f t="shared" si="150"/>
        <v>2</v>
      </c>
      <c r="AT2178" s="84">
        <f t="shared" si="151"/>
        <v>2016</v>
      </c>
      <c r="AU2178" s="88">
        <f>DATE(2016,3,9)</f>
        <v>42438</v>
      </c>
      <c r="AV2178" s="88">
        <f>DATE(2016,3,7)</f>
        <v>42436</v>
      </c>
      <c r="AW2178" s="87">
        <f t="shared" si="148"/>
        <v>2</v>
      </c>
      <c r="AX2178" s="86"/>
      <c r="AY2178" s="83"/>
      <c r="AZ2178" s="84"/>
      <c r="BA2178" s="86"/>
      <c r="BB2178" s="86"/>
    </row>
    <row r="2179" spans="1:54" ht="36.75" customHeight="1">
      <c r="A2179" s="30"/>
      <c r="B2179" s="30" t="s">
        <v>55</v>
      </c>
      <c r="C2179" s="69" t="str">
        <f t="shared" si="152"/>
        <v>Closed</v>
      </c>
      <c r="D2179" s="27" t="s">
        <v>12204</v>
      </c>
      <c r="E2179" s="29" t="s">
        <v>12205</v>
      </c>
      <c r="F2179" s="30" t="s">
        <v>233</v>
      </c>
      <c r="G2179" s="89">
        <f>DATE(2016,3,2)</f>
        <v>42431</v>
      </c>
      <c r="H2179" s="90">
        <v>1.0638888888888889</v>
      </c>
      <c r="I2179" s="30" t="s">
        <v>73</v>
      </c>
      <c r="J2179" s="89" t="s">
        <v>12206</v>
      </c>
      <c r="K2179" s="30" t="s">
        <v>235</v>
      </c>
      <c r="L2179" s="30" t="s">
        <v>12207</v>
      </c>
      <c r="M2179" s="30" t="s">
        <v>129</v>
      </c>
      <c r="N2179" s="30" t="s">
        <v>99</v>
      </c>
      <c r="O2179" s="30" t="s">
        <v>64</v>
      </c>
      <c r="P2179" s="89" t="s">
        <v>129</v>
      </c>
      <c r="Q2179" s="89" t="s">
        <v>683</v>
      </c>
      <c r="R2179" s="89" t="s">
        <v>235</v>
      </c>
      <c r="S2179" s="30">
        <v>0</v>
      </c>
      <c r="T2179" s="233">
        <v>0</v>
      </c>
      <c r="U2179" s="30">
        <v>0</v>
      </c>
      <c r="V2179" s="233">
        <v>0</v>
      </c>
      <c r="W2179" s="30">
        <v>0</v>
      </c>
      <c r="X2179" s="30">
        <v>0</v>
      </c>
      <c r="Y2179" s="30">
        <v>0</v>
      </c>
      <c r="Z2179" s="233">
        <v>0</v>
      </c>
      <c r="AA2179" s="30">
        <v>0</v>
      </c>
      <c r="AB2179" s="30">
        <v>0</v>
      </c>
      <c r="AC2179" s="30">
        <v>0</v>
      </c>
      <c r="AD2179" s="30">
        <v>0</v>
      </c>
      <c r="AE2179" s="89" t="s">
        <v>92</v>
      </c>
      <c r="AF2179" s="89"/>
      <c r="AG2179" s="89" t="s">
        <v>133</v>
      </c>
      <c r="AH2179" s="72">
        <v>42436</v>
      </c>
      <c r="AI2179" s="30">
        <v>3</v>
      </c>
      <c r="AJ2179" s="89" t="s">
        <v>12208</v>
      </c>
      <c r="AK2179" s="89" t="s">
        <v>12209</v>
      </c>
      <c r="AL2179" s="91">
        <v>42459</v>
      </c>
      <c r="AM2179" s="91"/>
      <c r="AN2179" s="91"/>
      <c r="AO2179" s="91"/>
      <c r="AP2179" s="73" t="e">
        <f>MID(VLOOKUP(K2179,#REF!,2,FALSE),1,2)</f>
        <v>#REF!</v>
      </c>
      <c r="AQ2179" s="89">
        <f>DATE(2016,3,1)</f>
        <v>42430</v>
      </c>
      <c r="AR2179" s="82">
        <f t="shared" si="149"/>
        <v>1</v>
      </c>
      <c r="AS2179" s="83">
        <f t="shared" si="150"/>
        <v>3</v>
      </c>
      <c r="AT2179" s="84">
        <f t="shared" si="151"/>
        <v>2016</v>
      </c>
      <c r="AU2179" s="88">
        <f>DATE(2016,3,30)</f>
        <v>42459</v>
      </c>
      <c r="AV2179" s="88">
        <f>DATE(2016,3,7)</f>
        <v>42436</v>
      </c>
      <c r="AW2179" s="87">
        <f t="shared" si="148"/>
        <v>23</v>
      </c>
      <c r="AX2179" s="88">
        <f>DATE(2016,3,31)</f>
        <v>42460</v>
      </c>
      <c r="AY2179" s="83">
        <f t="shared" ref="AY2179:AY2184" si="153">MONTH(AX2179)</f>
        <v>3</v>
      </c>
      <c r="AZ2179" s="84">
        <f t="shared" ref="AZ2179:AZ2184" si="154">YEAR(AX2179)</f>
        <v>2016</v>
      </c>
      <c r="BA2179" s="86"/>
      <c r="BB2179" s="86"/>
    </row>
    <row r="2180" spans="1:54" ht="36.75" customHeight="1">
      <c r="A2180" s="30"/>
      <c r="B2180" s="30" t="s">
        <v>55</v>
      </c>
      <c r="C2180" s="69" t="str">
        <f t="shared" si="152"/>
        <v>Closed</v>
      </c>
      <c r="D2180" s="27" t="s">
        <v>12210</v>
      </c>
      <c r="E2180" s="29" t="s">
        <v>12211</v>
      </c>
      <c r="F2180" s="30" t="s">
        <v>835</v>
      </c>
      <c r="G2180" s="89">
        <f>DATE(2016,3,7)</f>
        <v>42436</v>
      </c>
      <c r="H2180" s="90">
        <v>1.3194444444444444</v>
      </c>
      <c r="I2180" s="30" t="s">
        <v>104</v>
      </c>
      <c r="J2180" s="89" t="s">
        <v>12212</v>
      </c>
      <c r="K2180" s="30" t="s">
        <v>837</v>
      </c>
      <c r="L2180" s="30" t="s">
        <v>12213</v>
      </c>
      <c r="M2180" s="30" t="s">
        <v>63</v>
      </c>
      <c r="N2180" s="30" t="s">
        <v>99</v>
      </c>
      <c r="O2180" s="30" t="s">
        <v>77</v>
      </c>
      <c r="P2180" s="89" t="s">
        <v>78</v>
      </c>
      <c r="Q2180" s="89" t="s">
        <v>11481</v>
      </c>
      <c r="R2180" s="89" t="s">
        <v>2797</v>
      </c>
      <c r="S2180" s="30">
        <v>0</v>
      </c>
      <c r="T2180" s="233">
        <v>0</v>
      </c>
      <c r="U2180" s="30">
        <v>0</v>
      </c>
      <c r="V2180" s="233">
        <v>0</v>
      </c>
      <c r="W2180" s="30">
        <v>0</v>
      </c>
      <c r="X2180" s="30">
        <v>0</v>
      </c>
      <c r="Y2180" s="30">
        <v>0</v>
      </c>
      <c r="Z2180" s="233">
        <v>0</v>
      </c>
      <c r="AA2180" s="30">
        <v>0</v>
      </c>
      <c r="AB2180" s="30">
        <v>0</v>
      </c>
      <c r="AC2180" s="30">
        <v>0</v>
      </c>
      <c r="AD2180" s="30">
        <v>0</v>
      </c>
      <c r="AE2180" s="89" t="s">
        <v>92</v>
      </c>
      <c r="AF2180" s="89"/>
      <c r="AG2180" s="89" t="s">
        <v>133</v>
      </c>
      <c r="AH2180" s="72">
        <v>42436</v>
      </c>
      <c r="AI2180" s="30">
        <v>0</v>
      </c>
      <c r="AJ2180" s="89" t="s">
        <v>12214</v>
      </c>
      <c r="AK2180" s="89" t="s">
        <v>1233</v>
      </c>
      <c r="AL2180" s="91">
        <v>42440</v>
      </c>
      <c r="AM2180" s="91"/>
      <c r="AN2180" s="91"/>
      <c r="AO2180" s="91"/>
      <c r="AP2180" s="73" t="e">
        <f>MID(VLOOKUP(K2180,#REF!,2,FALSE),1,2)</f>
        <v>#REF!</v>
      </c>
      <c r="AQ2180" s="89">
        <f>DATE(2016,3,7)</f>
        <v>42436</v>
      </c>
      <c r="AR2180" s="82">
        <f t="shared" si="149"/>
        <v>7</v>
      </c>
      <c r="AS2180" s="83">
        <f t="shared" si="150"/>
        <v>3</v>
      </c>
      <c r="AT2180" s="84">
        <f t="shared" si="151"/>
        <v>2016</v>
      </c>
      <c r="AU2180" s="88">
        <f>DATE(2016,3,11)</f>
        <v>42440</v>
      </c>
      <c r="AV2180" s="88">
        <f>DATE(2016,3,7)</f>
        <v>42436</v>
      </c>
      <c r="AW2180" s="87">
        <f t="shared" si="148"/>
        <v>4</v>
      </c>
      <c r="AX2180" s="88">
        <f>DATE(2016,3,7)</f>
        <v>42436</v>
      </c>
      <c r="AY2180" s="83">
        <f t="shared" si="153"/>
        <v>3</v>
      </c>
      <c r="AZ2180" s="84">
        <f t="shared" si="154"/>
        <v>2016</v>
      </c>
      <c r="BA2180" s="88">
        <f>DATE(2016,3,7)</f>
        <v>42436</v>
      </c>
      <c r="BB2180" s="86"/>
    </row>
    <row r="2181" spans="1:54" ht="36.75" customHeight="1">
      <c r="A2181" s="30"/>
      <c r="B2181" s="30" t="s">
        <v>55</v>
      </c>
      <c r="C2181" s="69" t="str">
        <f t="shared" si="152"/>
        <v>Closed</v>
      </c>
      <c r="D2181" s="27" t="s">
        <v>12215</v>
      </c>
      <c r="E2181" s="29" t="s">
        <v>12216</v>
      </c>
      <c r="F2181" s="30" t="s">
        <v>1572</v>
      </c>
      <c r="G2181" s="89">
        <f>DATE(2016,3,9)</f>
        <v>42438</v>
      </c>
      <c r="H2181" s="90">
        <v>1.3854166666666667</v>
      </c>
      <c r="I2181" s="30" t="s">
        <v>125</v>
      </c>
      <c r="J2181" s="89" t="s">
        <v>12217</v>
      </c>
      <c r="K2181" s="30" t="s">
        <v>1574</v>
      </c>
      <c r="L2181" s="30" t="s">
        <v>11149</v>
      </c>
      <c r="M2181" s="30" t="s">
        <v>63</v>
      </c>
      <c r="N2181" s="30" t="s">
        <v>142</v>
      </c>
      <c r="O2181" s="30" t="s">
        <v>77</v>
      </c>
      <c r="P2181" s="89" t="s">
        <v>78</v>
      </c>
      <c r="Q2181" s="89" t="s">
        <v>2655</v>
      </c>
      <c r="R2181" s="89" t="s">
        <v>6434</v>
      </c>
      <c r="S2181" s="30">
        <v>0</v>
      </c>
      <c r="T2181" s="233">
        <v>0</v>
      </c>
      <c r="U2181" s="30">
        <v>0</v>
      </c>
      <c r="V2181" s="233">
        <v>0</v>
      </c>
      <c r="W2181" s="30">
        <v>0</v>
      </c>
      <c r="X2181" s="30">
        <v>0</v>
      </c>
      <c r="Y2181" s="30">
        <v>0</v>
      </c>
      <c r="Z2181" s="233">
        <v>0</v>
      </c>
      <c r="AA2181" s="30">
        <v>0</v>
      </c>
      <c r="AB2181" s="30">
        <v>0</v>
      </c>
      <c r="AC2181" s="30">
        <v>0</v>
      </c>
      <c r="AD2181" s="30">
        <v>0</v>
      </c>
      <c r="AE2181" s="89" t="s">
        <v>92</v>
      </c>
      <c r="AF2181" s="89"/>
      <c r="AG2181" s="89" t="s">
        <v>133</v>
      </c>
      <c r="AH2181" s="72">
        <v>42443</v>
      </c>
      <c r="AI2181" s="30">
        <v>1</v>
      </c>
      <c r="AJ2181" s="89" t="s">
        <v>12218</v>
      </c>
      <c r="AK2181" s="89" t="s">
        <v>12219</v>
      </c>
      <c r="AL2181" s="91">
        <v>42444</v>
      </c>
      <c r="AM2181" s="91"/>
      <c r="AN2181" s="91"/>
      <c r="AO2181" s="91"/>
      <c r="AP2181" s="73" t="e">
        <f>MID(VLOOKUP(K2181,#REF!,2,FALSE),1,2)</f>
        <v>#REF!</v>
      </c>
      <c r="AQ2181" s="89">
        <f>DATE(2016,3,9)</f>
        <v>42438</v>
      </c>
      <c r="AR2181" s="82">
        <f t="shared" si="149"/>
        <v>9</v>
      </c>
      <c r="AS2181" s="83">
        <f t="shared" si="150"/>
        <v>3</v>
      </c>
      <c r="AT2181" s="84">
        <f t="shared" si="151"/>
        <v>2016</v>
      </c>
      <c r="AU2181" s="88">
        <f>DATE(2016,3,15)</f>
        <v>42444</v>
      </c>
      <c r="AV2181" s="88">
        <f>DATE(2016,3,14)</f>
        <v>42443</v>
      </c>
      <c r="AW2181" s="87">
        <f t="shared" si="148"/>
        <v>1</v>
      </c>
      <c r="AX2181" s="88">
        <f>DATE(2016,3,15)</f>
        <v>42444</v>
      </c>
      <c r="AY2181" s="83">
        <f t="shared" si="153"/>
        <v>3</v>
      </c>
      <c r="AZ2181" s="84">
        <f t="shared" si="154"/>
        <v>2016</v>
      </c>
      <c r="BA2181" s="88">
        <f>DATE(2016,3,9)</f>
        <v>42438</v>
      </c>
      <c r="BB2181" s="86"/>
    </row>
    <row r="2182" spans="1:54" ht="36.75" customHeight="1">
      <c r="A2182" s="30"/>
      <c r="B2182" s="30" t="s">
        <v>55</v>
      </c>
      <c r="C2182" s="69" t="str">
        <f t="shared" si="152"/>
        <v>Closed</v>
      </c>
      <c r="D2182" s="27" t="s">
        <v>12220</v>
      </c>
      <c r="E2182" s="29" t="s">
        <v>12221</v>
      </c>
      <c r="F2182" s="30" t="s">
        <v>1572</v>
      </c>
      <c r="G2182" s="89">
        <f>DATE(2016,3,10)</f>
        <v>42439</v>
      </c>
      <c r="H2182" s="90">
        <v>1.3854166666666667</v>
      </c>
      <c r="I2182" s="30" t="s">
        <v>73</v>
      </c>
      <c r="J2182" s="89" t="s">
        <v>12222</v>
      </c>
      <c r="K2182" s="30" t="s">
        <v>1574</v>
      </c>
      <c r="L2182" s="30" t="s">
        <v>12223</v>
      </c>
      <c r="M2182" s="30" t="s">
        <v>63</v>
      </c>
      <c r="N2182" s="30" t="s">
        <v>99</v>
      </c>
      <c r="O2182" s="30" t="s">
        <v>77</v>
      </c>
      <c r="P2182" s="89" t="s">
        <v>78</v>
      </c>
      <c r="Q2182" s="89" t="s">
        <v>2655</v>
      </c>
      <c r="R2182" s="89" t="s">
        <v>6434</v>
      </c>
      <c r="S2182" s="30">
        <v>0</v>
      </c>
      <c r="T2182" s="233">
        <v>0</v>
      </c>
      <c r="U2182" s="30">
        <v>0</v>
      </c>
      <c r="V2182" s="233">
        <v>0</v>
      </c>
      <c r="W2182" s="30">
        <v>0</v>
      </c>
      <c r="X2182" s="30">
        <v>0</v>
      </c>
      <c r="Y2182" s="30">
        <v>0</v>
      </c>
      <c r="Z2182" s="233">
        <v>0</v>
      </c>
      <c r="AA2182" s="30">
        <v>0</v>
      </c>
      <c r="AB2182" s="30">
        <v>0</v>
      </c>
      <c r="AC2182" s="30">
        <v>0</v>
      </c>
      <c r="AD2182" s="30">
        <v>0</v>
      </c>
      <c r="AE2182" s="89" t="s">
        <v>92</v>
      </c>
      <c r="AF2182" s="89"/>
      <c r="AG2182" s="89" t="s">
        <v>133</v>
      </c>
      <c r="AH2182" s="72">
        <v>42443</v>
      </c>
      <c r="AI2182" s="30">
        <v>0</v>
      </c>
      <c r="AJ2182" s="89" t="s">
        <v>12224</v>
      </c>
      <c r="AK2182" s="89" t="s">
        <v>12225</v>
      </c>
      <c r="AL2182" s="91">
        <v>42444</v>
      </c>
      <c r="AM2182" s="91"/>
      <c r="AN2182" s="91"/>
      <c r="AO2182" s="91"/>
      <c r="AP2182" s="73" t="e">
        <f>MID(VLOOKUP(K2182,#REF!,2,FALSE),1,2)</f>
        <v>#REF!</v>
      </c>
      <c r="AQ2182" s="89">
        <f>DATE(2016,3,10)</f>
        <v>42439</v>
      </c>
      <c r="AR2182" s="82">
        <f t="shared" si="149"/>
        <v>10</v>
      </c>
      <c r="AS2182" s="83">
        <f t="shared" si="150"/>
        <v>3</v>
      </c>
      <c r="AT2182" s="84">
        <f t="shared" si="151"/>
        <v>2016</v>
      </c>
      <c r="AU2182" s="88">
        <f>DATE(2016,3,15)</f>
        <v>42444</v>
      </c>
      <c r="AV2182" s="88">
        <f>DATE(2016,3,14)</f>
        <v>42443</v>
      </c>
      <c r="AW2182" s="87">
        <f t="shared" si="148"/>
        <v>1</v>
      </c>
      <c r="AX2182" s="88">
        <f>DATE(2016,3,15)</f>
        <v>42444</v>
      </c>
      <c r="AY2182" s="83">
        <f t="shared" si="153"/>
        <v>3</v>
      </c>
      <c r="AZ2182" s="84">
        <f t="shared" si="154"/>
        <v>2016</v>
      </c>
      <c r="BA2182" s="88">
        <f>DATE(2016,3,10)</f>
        <v>42439</v>
      </c>
      <c r="BB2182" s="86"/>
    </row>
    <row r="2183" spans="1:54" ht="36.75" customHeight="1">
      <c r="A2183" s="30"/>
      <c r="B2183" s="30" t="s">
        <v>55</v>
      </c>
      <c r="C2183" s="69" t="str">
        <f t="shared" si="152"/>
        <v>Closed</v>
      </c>
      <c r="D2183" s="27" t="s">
        <v>12226</v>
      </c>
      <c r="E2183" s="29" t="s">
        <v>12227</v>
      </c>
      <c r="F2183" s="30" t="s">
        <v>1572</v>
      </c>
      <c r="G2183" s="89">
        <f>DATE(2016,3,12)</f>
        <v>42441</v>
      </c>
      <c r="H2183" s="90">
        <v>1.8763888888888891</v>
      </c>
      <c r="I2183" s="30" t="s">
        <v>73</v>
      </c>
      <c r="J2183" s="89" t="s">
        <v>12228</v>
      </c>
      <c r="K2183" s="30" t="s">
        <v>1574</v>
      </c>
      <c r="L2183" s="30" t="s">
        <v>12229</v>
      </c>
      <c r="M2183" s="30" t="s">
        <v>63</v>
      </c>
      <c r="N2183" s="30" t="s">
        <v>99</v>
      </c>
      <c r="O2183" s="30" t="s">
        <v>77</v>
      </c>
      <c r="P2183" s="89" t="s">
        <v>78</v>
      </c>
      <c r="Q2183" s="89" t="s">
        <v>9461</v>
      </c>
      <c r="R2183" s="89" t="s">
        <v>6434</v>
      </c>
      <c r="S2183" s="30">
        <v>0</v>
      </c>
      <c r="T2183" s="233">
        <v>0</v>
      </c>
      <c r="U2183" s="30">
        <v>0</v>
      </c>
      <c r="V2183" s="233">
        <v>0</v>
      </c>
      <c r="W2183" s="30">
        <v>0</v>
      </c>
      <c r="X2183" s="30">
        <v>0</v>
      </c>
      <c r="Y2183" s="30">
        <v>0</v>
      </c>
      <c r="Z2183" s="233">
        <v>0</v>
      </c>
      <c r="AA2183" s="30">
        <v>0</v>
      </c>
      <c r="AB2183" s="30">
        <v>0</v>
      </c>
      <c r="AC2183" s="30">
        <v>0</v>
      </c>
      <c r="AD2183" s="30">
        <v>0</v>
      </c>
      <c r="AE2183" s="89" t="s">
        <v>394</v>
      </c>
      <c r="AF2183" s="89"/>
      <c r="AG2183" s="89" t="s">
        <v>133</v>
      </c>
      <c r="AH2183" s="72">
        <v>42443</v>
      </c>
      <c r="AI2183" s="30">
        <v>0</v>
      </c>
      <c r="AJ2183" s="89" t="s">
        <v>12230</v>
      </c>
      <c r="AK2183" s="89" t="s">
        <v>12231</v>
      </c>
      <c r="AL2183" s="91">
        <v>42444</v>
      </c>
      <c r="AM2183" s="91"/>
      <c r="AN2183" s="91"/>
      <c r="AO2183" s="91"/>
      <c r="AP2183" s="73" t="e">
        <f>MID(VLOOKUP(K2183,#REF!,2,FALSE),1,2)</f>
        <v>#REF!</v>
      </c>
      <c r="AQ2183" s="89">
        <f>DATE(2016,3,12)</f>
        <v>42441</v>
      </c>
      <c r="AR2183" s="82">
        <f t="shared" si="149"/>
        <v>12</v>
      </c>
      <c r="AS2183" s="83">
        <f t="shared" si="150"/>
        <v>3</v>
      </c>
      <c r="AT2183" s="84">
        <f t="shared" si="151"/>
        <v>2016</v>
      </c>
      <c r="AU2183" s="88">
        <f>DATE(2016,3,15)</f>
        <v>42444</v>
      </c>
      <c r="AV2183" s="88">
        <f>DATE(2016,3,14)</f>
        <v>42443</v>
      </c>
      <c r="AW2183" s="87">
        <f t="shared" ref="AW2183:AW2214" si="155">AU2183-AV2183</f>
        <v>1</v>
      </c>
      <c r="AX2183" s="88">
        <f>DATE(2016,3,15)</f>
        <v>42444</v>
      </c>
      <c r="AY2183" s="83">
        <f t="shared" si="153"/>
        <v>3</v>
      </c>
      <c r="AZ2183" s="84">
        <f t="shared" si="154"/>
        <v>2016</v>
      </c>
      <c r="BA2183" s="88">
        <f>DATE(2016,3,12)</f>
        <v>42441</v>
      </c>
      <c r="BB2183" s="86"/>
    </row>
    <row r="2184" spans="1:54" ht="36.75" customHeight="1">
      <c r="A2184" s="30"/>
      <c r="B2184" s="30" t="s">
        <v>55</v>
      </c>
      <c r="C2184" s="69" t="str">
        <f t="shared" si="152"/>
        <v>Closed</v>
      </c>
      <c r="D2184" s="27" t="s">
        <v>12232</v>
      </c>
      <c r="E2184" s="29" t="s">
        <v>12233</v>
      </c>
      <c r="F2184" s="30" t="s">
        <v>1572</v>
      </c>
      <c r="G2184" s="89">
        <f>DATE(2016,3,12)</f>
        <v>42441</v>
      </c>
      <c r="H2184" s="90">
        <v>1.25</v>
      </c>
      <c r="I2184" s="30" t="s">
        <v>5494</v>
      </c>
      <c r="J2184" s="89" t="s">
        <v>12234</v>
      </c>
      <c r="K2184" s="30" t="s">
        <v>1574</v>
      </c>
      <c r="L2184" s="30" t="s">
        <v>12235</v>
      </c>
      <c r="M2184" s="30" t="s">
        <v>63</v>
      </c>
      <c r="N2184" s="30" t="s">
        <v>142</v>
      </c>
      <c r="O2184" s="30" t="s">
        <v>64</v>
      </c>
      <c r="P2184" s="89" t="s">
        <v>6941</v>
      </c>
      <c r="Q2184" s="89" t="s">
        <v>2413</v>
      </c>
      <c r="R2184" s="89" t="s">
        <v>6434</v>
      </c>
      <c r="S2184" s="30">
        <v>0</v>
      </c>
      <c r="T2184" s="233">
        <v>0</v>
      </c>
      <c r="U2184" s="30">
        <v>0</v>
      </c>
      <c r="V2184" s="233">
        <v>0</v>
      </c>
      <c r="W2184" s="30">
        <v>0</v>
      </c>
      <c r="X2184" s="30">
        <v>0</v>
      </c>
      <c r="Y2184" s="30">
        <v>0</v>
      </c>
      <c r="Z2184" s="233">
        <v>0</v>
      </c>
      <c r="AA2184" s="30">
        <v>0</v>
      </c>
      <c r="AB2184" s="30">
        <v>0</v>
      </c>
      <c r="AC2184" s="30">
        <v>0</v>
      </c>
      <c r="AD2184" s="30">
        <v>0</v>
      </c>
      <c r="AE2184" s="89" t="s">
        <v>92</v>
      </c>
      <c r="AF2184" s="89"/>
      <c r="AG2184" s="89" t="s">
        <v>133</v>
      </c>
      <c r="AH2184" s="72">
        <v>42444</v>
      </c>
      <c r="AI2184" s="30">
        <v>0</v>
      </c>
      <c r="AJ2184" s="89" t="s">
        <v>12236</v>
      </c>
      <c r="AK2184" s="89" t="s">
        <v>12237</v>
      </c>
      <c r="AL2184" s="91">
        <v>42445</v>
      </c>
      <c r="AM2184" s="91"/>
      <c r="AN2184" s="91"/>
      <c r="AO2184" s="91"/>
      <c r="AP2184" s="73" t="e">
        <f>MID(VLOOKUP(K2184,#REF!,2,FALSE),1,2)</f>
        <v>#REF!</v>
      </c>
      <c r="AQ2184" s="89">
        <f>DATE(2016,3,12)</f>
        <v>42441</v>
      </c>
      <c r="AR2184" s="82">
        <f t="shared" si="149"/>
        <v>12</v>
      </c>
      <c r="AS2184" s="83">
        <f t="shared" si="150"/>
        <v>3</v>
      </c>
      <c r="AT2184" s="84">
        <f t="shared" si="151"/>
        <v>2016</v>
      </c>
      <c r="AU2184" s="88">
        <f>DATE(2016,3,16)</f>
        <v>42445</v>
      </c>
      <c r="AV2184" s="88">
        <f>DATE(2016,3,15)</f>
        <v>42444</v>
      </c>
      <c r="AW2184" s="87">
        <f t="shared" si="155"/>
        <v>1</v>
      </c>
      <c r="AX2184" s="88">
        <f>DATE(2016,3,16)</f>
        <v>42445</v>
      </c>
      <c r="AY2184" s="83">
        <f t="shared" si="153"/>
        <v>3</v>
      </c>
      <c r="AZ2184" s="84">
        <f t="shared" si="154"/>
        <v>2016</v>
      </c>
      <c r="BA2184" s="88">
        <f>DATE(2016,3,12)</f>
        <v>42441</v>
      </c>
      <c r="BB2184" s="86"/>
    </row>
    <row r="2185" spans="1:54" ht="36.75" customHeight="1">
      <c r="A2185" s="30"/>
      <c r="B2185" s="30" t="s">
        <v>55</v>
      </c>
      <c r="C2185" s="69" t="str">
        <f t="shared" si="152"/>
        <v>Closed</v>
      </c>
      <c r="D2185" s="27" t="s">
        <v>12238</v>
      </c>
      <c r="E2185" s="29" t="s">
        <v>12239</v>
      </c>
      <c r="F2185" s="30" t="s">
        <v>638</v>
      </c>
      <c r="G2185" s="89">
        <f>DATE(2016,3,15)</f>
        <v>42444</v>
      </c>
      <c r="H2185" s="90">
        <v>1.7215277777777778</v>
      </c>
      <c r="I2185" s="30" t="s">
        <v>156</v>
      </c>
      <c r="J2185" s="89" t="s">
        <v>12240</v>
      </c>
      <c r="K2185" s="30" t="s">
        <v>640</v>
      </c>
      <c r="L2185" s="30" t="s">
        <v>12241</v>
      </c>
      <c r="M2185" s="30" t="s">
        <v>63</v>
      </c>
      <c r="N2185" s="30" t="s">
        <v>99</v>
      </c>
      <c r="O2185" s="30" t="s">
        <v>64</v>
      </c>
      <c r="P2185" s="89" t="s">
        <v>65</v>
      </c>
      <c r="Q2185" s="89" t="s">
        <v>642</v>
      </c>
      <c r="R2185" s="89" t="s">
        <v>643</v>
      </c>
      <c r="S2185" s="30">
        <v>0</v>
      </c>
      <c r="T2185" s="233">
        <v>0</v>
      </c>
      <c r="U2185" s="30">
        <v>0</v>
      </c>
      <c r="V2185" s="233">
        <v>0</v>
      </c>
      <c r="W2185" s="30">
        <v>0</v>
      </c>
      <c r="X2185" s="30">
        <v>0</v>
      </c>
      <c r="Y2185" s="30">
        <v>0</v>
      </c>
      <c r="Z2185" s="233">
        <v>0</v>
      </c>
      <c r="AA2185" s="30">
        <v>0</v>
      </c>
      <c r="AB2185" s="30">
        <v>0</v>
      </c>
      <c r="AC2185" s="30">
        <v>0</v>
      </c>
      <c r="AD2185" s="30">
        <v>0</v>
      </c>
      <c r="AE2185" s="89" t="s">
        <v>92</v>
      </c>
      <c r="AF2185" s="89"/>
      <c r="AG2185" s="89" t="s">
        <v>133</v>
      </c>
      <c r="AH2185" s="72">
        <v>42460</v>
      </c>
      <c r="AI2185" s="30">
        <v>1</v>
      </c>
      <c r="AJ2185" s="89" t="s">
        <v>12242</v>
      </c>
      <c r="AK2185" s="89" t="s">
        <v>12243</v>
      </c>
      <c r="AL2185" s="91">
        <v>42464</v>
      </c>
      <c r="AM2185" s="91"/>
      <c r="AN2185" s="91"/>
      <c r="AO2185" s="91"/>
      <c r="AP2185" s="73" t="e">
        <f>MID(VLOOKUP(K2185,#REF!,2,FALSE),1,2)</f>
        <v>#REF!</v>
      </c>
      <c r="AQ2185" s="89">
        <f>DATE(2016,3,15)</f>
        <v>42444</v>
      </c>
      <c r="AR2185" s="82">
        <f t="shared" si="149"/>
        <v>15</v>
      </c>
      <c r="AS2185" s="83">
        <f t="shared" si="150"/>
        <v>3</v>
      </c>
      <c r="AT2185" s="84">
        <f t="shared" si="151"/>
        <v>2016</v>
      </c>
      <c r="AU2185" s="88">
        <f>DATE(2016,4,4)</f>
        <v>42464</v>
      </c>
      <c r="AV2185" s="88">
        <f>DATE(2016,3,31)</f>
        <v>42460</v>
      </c>
      <c r="AW2185" s="87">
        <f t="shared" si="155"/>
        <v>4</v>
      </c>
      <c r="AX2185" s="86"/>
      <c r="AY2185" s="83"/>
      <c r="AZ2185" s="84"/>
      <c r="BA2185" s="86"/>
      <c r="BB2185" s="86"/>
    </row>
    <row r="2186" spans="1:54" ht="36.75" customHeight="1">
      <c r="A2186" s="30"/>
      <c r="B2186" s="30" t="s">
        <v>55</v>
      </c>
      <c r="C2186" s="69" t="str">
        <f t="shared" si="152"/>
        <v>Closed</v>
      </c>
      <c r="D2186" s="27" t="s">
        <v>12244</v>
      </c>
      <c r="E2186" s="29" t="s">
        <v>12245</v>
      </c>
      <c r="F2186" s="30" t="s">
        <v>638</v>
      </c>
      <c r="G2186" s="89">
        <f>DATE(2016,3,16)</f>
        <v>42445</v>
      </c>
      <c r="H2186" s="90">
        <v>1.3590277777777777</v>
      </c>
      <c r="I2186" s="30" t="s">
        <v>104</v>
      </c>
      <c r="J2186" s="89" t="s">
        <v>12246</v>
      </c>
      <c r="K2186" s="30" t="s">
        <v>640</v>
      </c>
      <c r="L2186" s="30" t="s">
        <v>12247</v>
      </c>
      <c r="M2186" s="30" t="s">
        <v>63</v>
      </c>
      <c r="N2186" s="30" t="s">
        <v>142</v>
      </c>
      <c r="O2186" s="30" t="s">
        <v>6875</v>
      </c>
      <c r="P2186" s="89" t="s">
        <v>78</v>
      </c>
      <c r="Q2186" s="89" t="s">
        <v>12248</v>
      </c>
      <c r="R2186" s="89" t="s">
        <v>643</v>
      </c>
      <c r="S2186" s="30">
        <v>0</v>
      </c>
      <c r="T2186" s="233">
        <v>0</v>
      </c>
      <c r="U2186" s="30">
        <v>0</v>
      </c>
      <c r="V2186" s="233">
        <v>0</v>
      </c>
      <c r="W2186" s="30">
        <v>0</v>
      </c>
      <c r="X2186" s="30">
        <v>0</v>
      </c>
      <c r="Y2186" s="30">
        <v>0</v>
      </c>
      <c r="Z2186" s="233">
        <v>0</v>
      </c>
      <c r="AA2186" s="30">
        <v>0</v>
      </c>
      <c r="AB2186" s="30">
        <v>0</v>
      </c>
      <c r="AC2186" s="30">
        <v>0</v>
      </c>
      <c r="AD2186" s="30">
        <v>0</v>
      </c>
      <c r="AE2186" s="89" t="s">
        <v>92</v>
      </c>
      <c r="AF2186" s="89"/>
      <c r="AG2186" s="89" t="s">
        <v>352</v>
      </c>
      <c r="AH2186" s="72">
        <v>42460</v>
      </c>
      <c r="AI2186" s="30">
        <v>2</v>
      </c>
      <c r="AJ2186" s="89" t="s">
        <v>12249</v>
      </c>
      <c r="AK2186" s="89" t="s">
        <v>68</v>
      </c>
      <c r="AL2186" s="91">
        <v>42464</v>
      </c>
      <c r="AM2186" s="91"/>
      <c r="AN2186" s="91"/>
      <c r="AO2186" s="91"/>
      <c r="AP2186" s="73" t="e">
        <f>MID(VLOOKUP(K2186,#REF!,2,FALSE),1,2)</f>
        <v>#REF!</v>
      </c>
      <c r="AQ2186" s="89">
        <f>DATE(2016,3,16)</f>
        <v>42445</v>
      </c>
      <c r="AR2186" s="82">
        <f t="shared" si="149"/>
        <v>16</v>
      </c>
      <c r="AS2186" s="83">
        <f t="shared" si="150"/>
        <v>3</v>
      </c>
      <c r="AT2186" s="84">
        <f t="shared" si="151"/>
        <v>2016</v>
      </c>
      <c r="AU2186" s="88">
        <f>DATE(2016,4,4)</f>
        <v>42464</v>
      </c>
      <c r="AV2186" s="88">
        <f>DATE(2016,3,31)</f>
        <v>42460</v>
      </c>
      <c r="AW2186" s="87">
        <f t="shared" si="155"/>
        <v>4</v>
      </c>
      <c r="AX2186" s="86"/>
      <c r="AY2186" s="83"/>
      <c r="AZ2186" s="84"/>
      <c r="BA2186" s="86"/>
      <c r="BB2186" s="86"/>
    </row>
    <row r="2187" spans="1:54" ht="36.75" customHeight="1">
      <c r="A2187" s="30"/>
      <c r="B2187" s="30" t="s">
        <v>55</v>
      </c>
      <c r="C2187" s="69" t="str">
        <f t="shared" si="152"/>
        <v>Closed</v>
      </c>
      <c r="D2187" s="27" t="s">
        <v>12250</v>
      </c>
      <c r="E2187" s="29" t="s">
        <v>12251</v>
      </c>
      <c r="F2187" s="30" t="s">
        <v>582</v>
      </c>
      <c r="G2187" s="89">
        <f>DATE(2016,3,20)</f>
        <v>42449</v>
      </c>
      <c r="H2187" s="90">
        <v>1.3381944444444445</v>
      </c>
      <c r="I2187" s="30" t="s">
        <v>198</v>
      </c>
      <c r="J2187" s="89" t="s">
        <v>12252</v>
      </c>
      <c r="K2187" s="30" t="s">
        <v>584</v>
      </c>
      <c r="L2187" s="30" t="s">
        <v>12253</v>
      </c>
      <c r="M2187" s="30" t="s">
        <v>63</v>
      </c>
      <c r="N2187" s="30" t="s">
        <v>142</v>
      </c>
      <c r="O2187" s="30" t="s">
        <v>64</v>
      </c>
      <c r="P2187" s="89" t="s">
        <v>165</v>
      </c>
      <c r="Q2187" s="89" t="s">
        <v>12254</v>
      </c>
      <c r="R2187" s="89" t="s">
        <v>587</v>
      </c>
      <c r="S2187" s="30">
        <v>0</v>
      </c>
      <c r="T2187" s="233">
        <v>0</v>
      </c>
      <c r="U2187" s="30">
        <v>0</v>
      </c>
      <c r="V2187" s="233">
        <v>0</v>
      </c>
      <c r="W2187" s="30">
        <v>0</v>
      </c>
      <c r="X2187" s="30">
        <v>0</v>
      </c>
      <c r="Y2187" s="30">
        <v>0</v>
      </c>
      <c r="Z2187" s="233">
        <v>0</v>
      </c>
      <c r="AA2187" s="30">
        <v>0</v>
      </c>
      <c r="AB2187" s="30">
        <v>0</v>
      </c>
      <c r="AC2187" s="30">
        <v>0</v>
      </c>
      <c r="AD2187" s="30">
        <v>0</v>
      </c>
      <c r="AE2187" s="89" t="s">
        <v>92</v>
      </c>
      <c r="AF2187" s="89"/>
      <c r="AG2187" s="89" t="s">
        <v>133</v>
      </c>
      <c r="AH2187" s="72">
        <v>42451</v>
      </c>
      <c r="AI2187" s="30">
        <v>0</v>
      </c>
      <c r="AJ2187" s="89" t="s">
        <v>12255</v>
      </c>
      <c r="AK2187" s="89" t="s">
        <v>1233</v>
      </c>
      <c r="AL2187" s="91">
        <v>42452</v>
      </c>
      <c r="AM2187" s="91"/>
      <c r="AN2187" s="91"/>
      <c r="AO2187" s="91"/>
      <c r="AP2187" s="73" t="e">
        <f>MID(VLOOKUP(K2187,#REF!,2,FALSE),1,2)</f>
        <v>#REF!</v>
      </c>
      <c r="AQ2187" s="89">
        <f>DATE(2016,3,20)</f>
        <v>42449</v>
      </c>
      <c r="AR2187" s="82">
        <f t="shared" si="149"/>
        <v>20</v>
      </c>
      <c r="AS2187" s="83">
        <f t="shared" si="150"/>
        <v>3</v>
      </c>
      <c r="AT2187" s="84">
        <f t="shared" si="151"/>
        <v>2016</v>
      </c>
      <c r="AU2187" s="88">
        <f>DATE(2016,3,23)</f>
        <v>42452</v>
      </c>
      <c r="AV2187" s="88">
        <f>DATE(2016,3,22)</f>
        <v>42451</v>
      </c>
      <c r="AW2187" s="87">
        <f t="shared" si="155"/>
        <v>1</v>
      </c>
      <c r="AX2187" s="86"/>
      <c r="AY2187" s="83"/>
      <c r="AZ2187" s="84"/>
      <c r="BA2187" s="86"/>
      <c r="BB2187" s="86"/>
    </row>
    <row r="2188" spans="1:54" ht="36.75" customHeight="1">
      <c r="A2188" s="30"/>
      <c r="B2188" s="30" t="s">
        <v>55</v>
      </c>
      <c r="C2188" s="69" t="str">
        <f t="shared" si="152"/>
        <v>Closed</v>
      </c>
      <c r="D2188" s="27" t="s">
        <v>12256</v>
      </c>
      <c r="E2188" s="29" t="s">
        <v>12257</v>
      </c>
      <c r="F2188" s="30" t="s">
        <v>423</v>
      </c>
      <c r="G2188" s="89">
        <f>DATE(2016,3,21)</f>
        <v>42450</v>
      </c>
      <c r="H2188" s="90">
        <v>1.2972222222222223</v>
      </c>
      <c r="I2188" s="30" t="s">
        <v>116</v>
      </c>
      <c r="J2188" s="89" t="s">
        <v>12258</v>
      </c>
      <c r="K2188" s="30" t="s">
        <v>425</v>
      </c>
      <c r="L2188" s="30" t="s">
        <v>12259</v>
      </c>
      <c r="M2188" s="30" t="s">
        <v>63</v>
      </c>
      <c r="N2188" s="30" t="s">
        <v>142</v>
      </c>
      <c r="O2188" s="30" t="s">
        <v>64</v>
      </c>
      <c r="P2188" s="89" t="s">
        <v>91</v>
      </c>
      <c r="Q2188" s="89" t="s">
        <v>12260</v>
      </c>
      <c r="R2188" s="89" t="s">
        <v>3103</v>
      </c>
      <c r="S2188" s="30">
        <v>0</v>
      </c>
      <c r="T2188" s="233">
        <v>0</v>
      </c>
      <c r="U2188" s="30">
        <v>2</v>
      </c>
      <c r="V2188" s="233">
        <v>0</v>
      </c>
      <c r="W2188" s="30">
        <v>0</v>
      </c>
      <c r="X2188" s="30">
        <v>2</v>
      </c>
      <c r="Y2188" s="30">
        <v>0</v>
      </c>
      <c r="Z2188" s="233">
        <v>0</v>
      </c>
      <c r="AA2188" s="30">
        <v>0</v>
      </c>
      <c r="AB2188" s="30">
        <v>0</v>
      </c>
      <c r="AC2188" s="30">
        <v>0</v>
      </c>
      <c r="AD2188" s="30">
        <v>0</v>
      </c>
      <c r="AE2188" s="89" t="s">
        <v>92</v>
      </c>
      <c r="AF2188" s="89"/>
      <c r="AG2188" s="89" t="s">
        <v>133</v>
      </c>
      <c r="AH2188" s="72">
        <v>42450</v>
      </c>
      <c r="AI2188" s="30">
        <v>3</v>
      </c>
      <c r="AJ2188" s="89" t="s">
        <v>12261</v>
      </c>
      <c r="AK2188" s="89" t="s">
        <v>12262</v>
      </c>
      <c r="AL2188" s="91">
        <v>42451</v>
      </c>
      <c r="AM2188" s="91"/>
      <c r="AN2188" s="91"/>
      <c r="AO2188" s="91"/>
      <c r="AP2188" s="73" t="e">
        <f>MID(VLOOKUP(K2188,#REF!,2,FALSE),1,2)</f>
        <v>#REF!</v>
      </c>
      <c r="AQ2188" s="89">
        <f>DATE(2016,3,21)</f>
        <v>42450</v>
      </c>
      <c r="AR2188" s="82">
        <f t="shared" si="149"/>
        <v>21</v>
      </c>
      <c r="AS2188" s="83">
        <f t="shared" si="150"/>
        <v>3</v>
      </c>
      <c r="AT2188" s="84">
        <f t="shared" si="151"/>
        <v>2016</v>
      </c>
      <c r="AU2188" s="88">
        <f>DATE(2016,3,22)</f>
        <v>42451</v>
      </c>
      <c r="AV2188" s="88">
        <f>DATE(2016,3,21)</f>
        <v>42450</v>
      </c>
      <c r="AW2188" s="87">
        <f t="shared" si="155"/>
        <v>1</v>
      </c>
      <c r="AX2188" s="86"/>
      <c r="AY2188" s="83"/>
      <c r="AZ2188" s="84"/>
      <c r="BA2188" s="86"/>
      <c r="BB2188" s="86"/>
    </row>
    <row r="2189" spans="1:54" ht="36.75" customHeight="1">
      <c r="A2189" s="30"/>
      <c r="B2189" s="30" t="s">
        <v>55</v>
      </c>
      <c r="C2189" s="69" t="str">
        <f t="shared" si="152"/>
        <v>Closed</v>
      </c>
      <c r="D2189" s="27" t="s">
        <v>12263</v>
      </c>
      <c r="E2189" s="29" t="s">
        <v>12264</v>
      </c>
      <c r="F2189" s="30" t="s">
        <v>1572</v>
      </c>
      <c r="G2189" s="89">
        <f>DATE(2016,3,21)</f>
        <v>42450</v>
      </c>
      <c r="H2189" s="90">
        <v>1.4131944444444444</v>
      </c>
      <c r="I2189" s="30" t="s">
        <v>73</v>
      </c>
      <c r="J2189" s="89" t="s">
        <v>12265</v>
      </c>
      <c r="K2189" s="30" t="s">
        <v>1574</v>
      </c>
      <c r="L2189" s="30" t="s">
        <v>12266</v>
      </c>
      <c r="M2189" s="30" t="s">
        <v>63</v>
      </c>
      <c r="N2189" s="30" t="s">
        <v>142</v>
      </c>
      <c r="O2189" s="30" t="s">
        <v>77</v>
      </c>
      <c r="P2189" s="89" t="s">
        <v>6941</v>
      </c>
      <c r="Q2189" s="89" t="s">
        <v>2413</v>
      </c>
      <c r="R2189" s="89" t="s">
        <v>6434</v>
      </c>
      <c r="S2189" s="30">
        <v>0</v>
      </c>
      <c r="T2189" s="233">
        <v>0</v>
      </c>
      <c r="U2189" s="30">
        <v>0</v>
      </c>
      <c r="V2189" s="233">
        <v>0</v>
      </c>
      <c r="W2189" s="30">
        <v>0</v>
      </c>
      <c r="X2189" s="30">
        <v>0</v>
      </c>
      <c r="Y2189" s="30">
        <v>0</v>
      </c>
      <c r="Z2189" s="233">
        <v>0</v>
      </c>
      <c r="AA2189" s="30">
        <v>0</v>
      </c>
      <c r="AB2189" s="30">
        <v>0</v>
      </c>
      <c r="AC2189" s="30">
        <v>0</v>
      </c>
      <c r="AD2189" s="30">
        <v>0</v>
      </c>
      <c r="AE2189" s="89" t="s">
        <v>92</v>
      </c>
      <c r="AF2189" s="89"/>
      <c r="AG2189" s="89" t="s">
        <v>133</v>
      </c>
      <c r="AH2189" s="72">
        <v>42451</v>
      </c>
      <c r="AI2189" s="30">
        <v>0</v>
      </c>
      <c r="AJ2189" s="89" t="s">
        <v>12267</v>
      </c>
      <c r="AK2189" s="89" t="s">
        <v>12268</v>
      </c>
      <c r="AL2189" s="91">
        <v>42452</v>
      </c>
      <c r="AM2189" s="91"/>
      <c r="AN2189" s="91"/>
      <c r="AO2189" s="91"/>
      <c r="AP2189" s="73" t="e">
        <f>MID(VLOOKUP(K2189,#REF!,2,FALSE),1,2)</f>
        <v>#REF!</v>
      </c>
      <c r="AQ2189" s="89">
        <f>DATE(2016,3,21)</f>
        <v>42450</v>
      </c>
      <c r="AR2189" s="82">
        <f t="shared" si="149"/>
        <v>21</v>
      </c>
      <c r="AS2189" s="83">
        <f t="shared" si="150"/>
        <v>3</v>
      </c>
      <c r="AT2189" s="84">
        <f t="shared" si="151"/>
        <v>2016</v>
      </c>
      <c r="AU2189" s="88">
        <f>DATE(2016,3,23)</f>
        <v>42452</v>
      </c>
      <c r="AV2189" s="88">
        <f>DATE(2016,3,22)</f>
        <v>42451</v>
      </c>
      <c r="AW2189" s="87">
        <f t="shared" si="155"/>
        <v>1</v>
      </c>
      <c r="AX2189" s="88">
        <f>DATE(2016,3,23)</f>
        <v>42452</v>
      </c>
      <c r="AY2189" s="83">
        <f>MONTH(AX2189)</f>
        <v>3</v>
      </c>
      <c r="AZ2189" s="84">
        <f>YEAR(AX2189)</f>
        <v>2016</v>
      </c>
      <c r="BA2189" s="88">
        <f>DATE(2016,3,21)</f>
        <v>42450</v>
      </c>
      <c r="BB2189" s="86"/>
    </row>
    <row r="2190" spans="1:54" ht="36.75" customHeight="1">
      <c r="A2190" s="30"/>
      <c r="B2190" s="30" t="s">
        <v>55</v>
      </c>
      <c r="C2190" s="69" t="str">
        <f t="shared" si="152"/>
        <v>Closed</v>
      </c>
      <c r="D2190" s="27" t="s">
        <v>12269</v>
      </c>
      <c r="E2190" s="29" t="s">
        <v>12270</v>
      </c>
      <c r="F2190" s="30" t="s">
        <v>58</v>
      </c>
      <c r="G2190" s="89">
        <f>DATE(2016,3,22)</f>
        <v>42451</v>
      </c>
      <c r="H2190" s="90">
        <v>1.4951388888888888</v>
      </c>
      <c r="I2190" s="30" t="s">
        <v>156</v>
      </c>
      <c r="J2190" s="89" t="s">
        <v>12271</v>
      </c>
      <c r="K2190" s="30" t="s">
        <v>61</v>
      </c>
      <c r="L2190" s="30" t="s">
        <v>12272</v>
      </c>
      <c r="M2190" s="30" t="s">
        <v>63</v>
      </c>
      <c r="N2190" s="30" t="s">
        <v>142</v>
      </c>
      <c r="O2190" s="30" t="s">
        <v>64</v>
      </c>
      <c r="P2190" s="89" t="s">
        <v>78</v>
      </c>
      <c r="Q2190" s="89" t="s">
        <v>66</v>
      </c>
      <c r="R2190" s="89" t="s">
        <v>67</v>
      </c>
      <c r="S2190" s="30">
        <v>0</v>
      </c>
      <c r="T2190" s="233">
        <v>0</v>
      </c>
      <c r="U2190" s="30">
        <v>0</v>
      </c>
      <c r="V2190" s="233">
        <v>0</v>
      </c>
      <c r="W2190" s="30">
        <v>0</v>
      </c>
      <c r="X2190" s="30">
        <v>0</v>
      </c>
      <c r="Y2190" s="30">
        <v>0</v>
      </c>
      <c r="Z2190" s="233">
        <v>0</v>
      </c>
      <c r="AA2190" s="30">
        <v>0</v>
      </c>
      <c r="AB2190" s="30">
        <v>0</v>
      </c>
      <c r="AC2190" s="30">
        <v>0</v>
      </c>
      <c r="AD2190" s="30">
        <v>0</v>
      </c>
      <c r="AE2190" s="89" t="s">
        <v>394</v>
      </c>
      <c r="AF2190" s="89"/>
      <c r="AG2190" s="89" t="s">
        <v>133</v>
      </c>
      <c r="AH2190" s="72">
        <v>42453</v>
      </c>
      <c r="AI2190" s="30">
        <v>3</v>
      </c>
      <c r="AJ2190" s="89" t="s">
        <v>12273</v>
      </c>
      <c r="AK2190" s="89" t="s">
        <v>12274</v>
      </c>
      <c r="AL2190" s="91">
        <v>42471</v>
      </c>
      <c r="AM2190" s="91"/>
      <c r="AN2190" s="91"/>
      <c r="AO2190" s="91"/>
      <c r="AP2190" s="73" t="e">
        <f>MID(VLOOKUP(K2190,#REF!,2,FALSE),1,2)</f>
        <v>#REF!</v>
      </c>
      <c r="AQ2190" s="89">
        <f>DATE(2016,3,22)</f>
        <v>42451</v>
      </c>
      <c r="AR2190" s="82">
        <f t="shared" si="149"/>
        <v>22</v>
      </c>
      <c r="AS2190" s="83">
        <f t="shared" si="150"/>
        <v>3</v>
      </c>
      <c r="AT2190" s="84">
        <f t="shared" si="151"/>
        <v>2016</v>
      </c>
      <c r="AU2190" s="88">
        <f>DATE(2016,4,11)</f>
        <v>42471</v>
      </c>
      <c r="AV2190" s="88">
        <f>DATE(2016,3,24)</f>
        <v>42453</v>
      </c>
      <c r="AW2190" s="87">
        <f t="shared" si="155"/>
        <v>18</v>
      </c>
      <c r="AX2190" s="86"/>
      <c r="AY2190" s="83"/>
      <c r="AZ2190" s="84"/>
      <c r="BA2190" s="88">
        <f>DATE(2016,3,22)</f>
        <v>42451</v>
      </c>
      <c r="BB2190" s="86"/>
    </row>
    <row r="2191" spans="1:54" ht="36.75" customHeight="1">
      <c r="A2191" s="30"/>
      <c r="B2191" s="30" t="s">
        <v>55</v>
      </c>
      <c r="C2191" s="69" t="str">
        <f t="shared" si="152"/>
        <v>Closed</v>
      </c>
      <c r="D2191" s="27" t="s">
        <v>12275</v>
      </c>
      <c r="E2191" s="29" t="s">
        <v>12276</v>
      </c>
      <c r="F2191" s="30" t="s">
        <v>2336</v>
      </c>
      <c r="G2191" s="89">
        <f>DATE(2016,3,26)</f>
        <v>42455</v>
      </c>
      <c r="H2191" s="90">
        <v>1.3152777777777778</v>
      </c>
      <c r="I2191" s="30" t="s">
        <v>116</v>
      </c>
      <c r="J2191" s="89" t="s">
        <v>12277</v>
      </c>
      <c r="K2191" s="30" t="s">
        <v>2338</v>
      </c>
      <c r="L2191" s="30" t="s">
        <v>12278</v>
      </c>
      <c r="M2191" s="30" t="s">
        <v>63</v>
      </c>
      <c r="N2191" s="30" t="s">
        <v>142</v>
      </c>
      <c r="O2191" s="30" t="s">
        <v>77</v>
      </c>
      <c r="P2191" s="89" t="s">
        <v>6941</v>
      </c>
      <c r="Q2191" s="89" t="s">
        <v>2945</v>
      </c>
      <c r="R2191" s="89" t="s">
        <v>2341</v>
      </c>
      <c r="S2191" s="30">
        <v>0</v>
      </c>
      <c r="T2191" s="233">
        <v>0</v>
      </c>
      <c r="U2191" s="30">
        <v>2</v>
      </c>
      <c r="V2191" s="233">
        <v>0</v>
      </c>
      <c r="W2191" s="30">
        <v>0</v>
      </c>
      <c r="X2191" s="30">
        <v>2</v>
      </c>
      <c r="Y2191" s="30">
        <v>0</v>
      </c>
      <c r="Z2191" s="233">
        <v>0</v>
      </c>
      <c r="AA2191" s="30">
        <v>0</v>
      </c>
      <c r="AB2191" s="30">
        <v>0</v>
      </c>
      <c r="AC2191" s="30">
        <v>0</v>
      </c>
      <c r="AD2191" s="30">
        <v>0</v>
      </c>
      <c r="AE2191" s="89" t="s">
        <v>92</v>
      </c>
      <c r="AF2191" s="89"/>
      <c r="AG2191" s="89" t="s">
        <v>82</v>
      </c>
      <c r="AH2191" s="72">
        <v>42464</v>
      </c>
      <c r="AI2191" s="30">
        <v>3</v>
      </c>
      <c r="AJ2191" s="89" t="s">
        <v>12279</v>
      </c>
      <c r="AK2191" s="89" t="s">
        <v>12280</v>
      </c>
      <c r="AL2191" s="91">
        <v>42466</v>
      </c>
      <c r="AM2191" s="91"/>
      <c r="AN2191" s="91"/>
      <c r="AO2191" s="91"/>
      <c r="AP2191" s="73" t="e">
        <f>MID(VLOOKUP(K2191,#REF!,2,FALSE),1,2)</f>
        <v>#REF!</v>
      </c>
      <c r="AQ2191" s="89">
        <f>DATE(2016,3,26)</f>
        <v>42455</v>
      </c>
      <c r="AR2191" s="82">
        <f t="shared" si="149"/>
        <v>26</v>
      </c>
      <c r="AS2191" s="83">
        <f t="shared" si="150"/>
        <v>3</v>
      </c>
      <c r="AT2191" s="84">
        <f t="shared" si="151"/>
        <v>2016</v>
      </c>
      <c r="AU2191" s="88">
        <f>DATE(2016,4,6)</f>
        <v>42466</v>
      </c>
      <c r="AV2191" s="88">
        <f>DATE(2016,4,4)</f>
        <v>42464</v>
      </c>
      <c r="AW2191" s="87">
        <f t="shared" si="155"/>
        <v>2</v>
      </c>
      <c r="AX2191" s="88">
        <f>DATE(2016,4,6)</f>
        <v>42466</v>
      </c>
      <c r="AY2191" s="83">
        <f>MONTH(AX2191)</f>
        <v>4</v>
      </c>
      <c r="AZ2191" s="84">
        <f>YEAR(AX2191)</f>
        <v>2016</v>
      </c>
      <c r="BA2191" s="88">
        <f>DATE(2016,3,30)</f>
        <v>42459</v>
      </c>
      <c r="BB2191" s="86"/>
    </row>
    <row r="2192" spans="1:54" ht="36.75" customHeight="1">
      <c r="A2192" s="30"/>
      <c r="B2192" s="30" t="s">
        <v>55</v>
      </c>
      <c r="C2192" s="69" t="str">
        <f t="shared" si="152"/>
        <v>Closed</v>
      </c>
      <c r="D2192" s="27" t="s">
        <v>12281</v>
      </c>
      <c r="E2192" s="29" t="s">
        <v>12282</v>
      </c>
      <c r="F2192" s="30" t="s">
        <v>197</v>
      </c>
      <c r="G2192" s="89">
        <f>DATE(2016,3,28)</f>
        <v>42457</v>
      </c>
      <c r="H2192" s="90">
        <v>1.2298611111111111</v>
      </c>
      <c r="I2192" s="30" t="s">
        <v>73</v>
      </c>
      <c r="J2192" s="89" t="s">
        <v>12283</v>
      </c>
      <c r="K2192" s="30" t="s">
        <v>200</v>
      </c>
      <c r="L2192" s="30" t="s">
        <v>12284</v>
      </c>
      <c r="M2192" s="30" t="s">
        <v>63</v>
      </c>
      <c r="N2192" s="30" t="s">
        <v>142</v>
      </c>
      <c r="O2192" s="30" t="s">
        <v>77</v>
      </c>
      <c r="P2192" s="89" t="s">
        <v>6941</v>
      </c>
      <c r="Q2192" s="89" t="s">
        <v>202</v>
      </c>
      <c r="R2192" s="89" t="s">
        <v>203</v>
      </c>
      <c r="S2192" s="30">
        <v>0</v>
      </c>
      <c r="T2192" s="233">
        <v>0</v>
      </c>
      <c r="U2192" s="30">
        <v>0</v>
      </c>
      <c r="V2192" s="233">
        <v>0</v>
      </c>
      <c r="W2192" s="30">
        <v>0</v>
      </c>
      <c r="X2192" s="30">
        <v>0</v>
      </c>
      <c r="Y2192" s="30">
        <v>0</v>
      </c>
      <c r="Z2192" s="233">
        <v>0</v>
      </c>
      <c r="AA2192" s="30">
        <v>0</v>
      </c>
      <c r="AB2192" s="30">
        <v>0</v>
      </c>
      <c r="AC2192" s="30">
        <v>0</v>
      </c>
      <c r="AD2192" s="30">
        <v>0</v>
      </c>
      <c r="AE2192" s="89" t="s">
        <v>394</v>
      </c>
      <c r="AF2192" s="89"/>
      <c r="AG2192" s="89" t="s">
        <v>1507</v>
      </c>
      <c r="AH2192" s="72">
        <v>42458</v>
      </c>
      <c r="AI2192" s="30">
        <v>1</v>
      </c>
      <c r="AJ2192" s="89" t="s">
        <v>12285</v>
      </c>
      <c r="AK2192" s="89" t="s">
        <v>1233</v>
      </c>
      <c r="AL2192" s="91">
        <v>43055</v>
      </c>
      <c r="AM2192" s="91"/>
      <c r="AN2192" s="91"/>
      <c r="AO2192" s="91"/>
      <c r="AP2192" s="73" t="e">
        <f>MID(VLOOKUP(K2192,#REF!,2,FALSE),1,2)</f>
        <v>#REF!</v>
      </c>
      <c r="AQ2192" s="89">
        <f>DATE(2016,3,28)</f>
        <v>42457</v>
      </c>
      <c r="AR2192" s="82">
        <f t="shared" si="149"/>
        <v>28</v>
      </c>
      <c r="AS2192" s="83">
        <f t="shared" si="150"/>
        <v>3</v>
      </c>
      <c r="AT2192" s="84">
        <f t="shared" si="151"/>
        <v>2016</v>
      </c>
      <c r="AU2192" s="107">
        <f>DATE(2016,11,16)</f>
        <v>42690</v>
      </c>
      <c r="AV2192" s="88">
        <f>DATE(2016,3,29)</f>
        <v>42458</v>
      </c>
      <c r="AW2192" s="87">
        <f t="shared" si="155"/>
        <v>232</v>
      </c>
      <c r="AX2192" s="88">
        <f>DATE(2016,5,9)</f>
        <v>42499</v>
      </c>
      <c r="AY2192" s="83">
        <f>MONTH(AX2192)</f>
        <v>5</v>
      </c>
      <c r="AZ2192" s="84">
        <f>YEAR(AX2192)</f>
        <v>2016</v>
      </c>
      <c r="BA2192" s="86"/>
      <c r="BB2192" s="86"/>
    </row>
    <row r="2193" spans="1:54" ht="36.75" customHeight="1">
      <c r="A2193" s="30"/>
      <c r="B2193" s="30" t="s">
        <v>55</v>
      </c>
      <c r="C2193" s="69" t="str">
        <f t="shared" si="152"/>
        <v>Closed</v>
      </c>
      <c r="D2193" s="27" t="s">
        <v>12286</v>
      </c>
      <c r="E2193" s="29" t="s">
        <v>12287</v>
      </c>
      <c r="F2193" s="30" t="s">
        <v>124</v>
      </c>
      <c r="G2193" s="89">
        <f>DATE(2016,3,30)</f>
        <v>42459</v>
      </c>
      <c r="H2193" s="90">
        <v>0</v>
      </c>
      <c r="I2193" s="30" t="s">
        <v>116</v>
      </c>
      <c r="J2193" s="89" t="s">
        <v>12288</v>
      </c>
      <c r="K2193" s="30" t="s">
        <v>127</v>
      </c>
      <c r="L2193" s="30" t="s">
        <v>12289</v>
      </c>
      <c r="M2193" s="30" t="s">
        <v>63</v>
      </c>
      <c r="N2193" s="30" t="s">
        <v>99</v>
      </c>
      <c r="O2193" s="30" t="s">
        <v>77</v>
      </c>
      <c r="P2193" s="89" t="s">
        <v>65</v>
      </c>
      <c r="Q2193" s="89" t="s">
        <v>229</v>
      </c>
      <c r="R2193" s="89" t="s">
        <v>167</v>
      </c>
      <c r="S2193" s="30">
        <v>0</v>
      </c>
      <c r="T2193" s="233">
        <v>0</v>
      </c>
      <c r="U2193" s="30">
        <v>1</v>
      </c>
      <c r="V2193" s="233">
        <v>0</v>
      </c>
      <c r="W2193" s="30">
        <v>0</v>
      </c>
      <c r="X2193" s="30">
        <v>1</v>
      </c>
      <c r="Y2193" s="30">
        <v>0</v>
      </c>
      <c r="Z2193" s="233">
        <v>0</v>
      </c>
      <c r="AA2193" s="30">
        <v>0</v>
      </c>
      <c r="AB2193" s="30">
        <v>0</v>
      </c>
      <c r="AC2193" s="30">
        <v>0</v>
      </c>
      <c r="AD2193" s="30">
        <v>0</v>
      </c>
      <c r="AE2193" s="89" t="s">
        <v>92</v>
      </c>
      <c r="AF2193" s="89"/>
      <c r="AG2193" s="89" t="s">
        <v>82</v>
      </c>
      <c r="AH2193" s="72">
        <v>42461</v>
      </c>
      <c r="AI2193" s="30">
        <v>2</v>
      </c>
      <c r="AJ2193" s="89" t="s">
        <v>12290</v>
      </c>
      <c r="AK2193" s="89" t="s">
        <v>1233</v>
      </c>
      <c r="AL2193" s="91">
        <v>42473</v>
      </c>
      <c r="AM2193" s="91"/>
      <c r="AN2193" s="91"/>
      <c r="AO2193" s="91"/>
      <c r="AP2193" s="73" t="e">
        <f>MID(VLOOKUP(K2193,#REF!,2,FALSE),1,2)</f>
        <v>#REF!</v>
      </c>
      <c r="AQ2193" s="89">
        <f>DATE(2016,3,30)</f>
        <v>42459</v>
      </c>
      <c r="AR2193" s="82">
        <f t="shared" si="149"/>
        <v>30</v>
      </c>
      <c r="AS2193" s="83">
        <f t="shared" si="150"/>
        <v>3</v>
      </c>
      <c r="AT2193" s="84">
        <f t="shared" si="151"/>
        <v>2016</v>
      </c>
      <c r="AU2193" s="88">
        <f>DATE(2016,4,13)</f>
        <v>42473</v>
      </c>
      <c r="AV2193" s="88">
        <f>DATE(2016,4,1)</f>
        <v>42461</v>
      </c>
      <c r="AW2193" s="87">
        <f t="shared" si="155"/>
        <v>12</v>
      </c>
      <c r="AX2193" s="86"/>
      <c r="AY2193" s="83"/>
      <c r="AZ2193" s="84"/>
      <c r="BA2193" s="86"/>
      <c r="BB2193" s="86"/>
    </row>
    <row r="2194" spans="1:54" ht="36.75" customHeight="1">
      <c r="A2194" s="30"/>
      <c r="B2194" s="30" t="s">
        <v>55</v>
      </c>
      <c r="C2194" s="69" t="str">
        <f t="shared" si="152"/>
        <v>Closed</v>
      </c>
      <c r="D2194" s="27" t="s">
        <v>12291</v>
      </c>
      <c r="E2194" s="29" t="s">
        <v>12292</v>
      </c>
      <c r="F2194" s="30" t="s">
        <v>835</v>
      </c>
      <c r="G2194" s="89">
        <f>DATE(2016,3,31)</f>
        <v>42460</v>
      </c>
      <c r="H2194" s="90">
        <v>1.6027777777777779</v>
      </c>
      <c r="I2194" s="30" t="s">
        <v>73</v>
      </c>
      <c r="J2194" s="89" t="s">
        <v>12293</v>
      </c>
      <c r="K2194" s="30" t="s">
        <v>837</v>
      </c>
      <c r="L2194" s="30" t="s">
        <v>12294</v>
      </c>
      <c r="M2194" s="30" t="s">
        <v>255</v>
      </c>
      <c r="N2194" s="30" t="s">
        <v>142</v>
      </c>
      <c r="O2194" s="30" t="s">
        <v>64</v>
      </c>
      <c r="P2194" s="89" t="s">
        <v>6552</v>
      </c>
      <c r="Q2194" s="89" t="s">
        <v>4210</v>
      </c>
      <c r="R2194" s="89" t="s">
        <v>4210</v>
      </c>
      <c r="S2194" s="30">
        <v>0</v>
      </c>
      <c r="T2194" s="233">
        <v>0</v>
      </c>
      <c r="U2194" s="30">
        <v>0</v>
      </c>
      <c r="V2194" s="233">
        <v>0</v>
      </c>
      <c r="W2194" s="30">
        <v>0</v>
      </c>
      <c r="X2194" s="30">
        <v>0</v>
      </c>
      <c r="Y2194" s="30">
        <v>0</v>
      </c>
      <c r="Z2194" s="233">
        <v>0</v>
      </c>
      <c r="AA2194" s="30">
        <v>0</v>
      </c>
      <c r="AB2194" s="30">
        <v>0</v>
      </c>
      <c r="AC2194" s="30">
        <v>0</v>
      </c>
      <c r="AD2194" s="30">
        <v>0</v>
      </c>
      <c r="AE2194" s="89" t="s">
        <v>92</v>
      </c>
      <c r="AF2194" s="89"/>
      <c r="AG2194" s="89" t="s">
        <v>352</v>
      </c>
      <c r="AH2194" s="72">
        <v>42464</v>
      </c>
      <c r="AI2194" s="30">
        <v>0</v>
      </c>
      <c r="AJ2194" s="89" t="s">
        <v>12295</v>
      </c>
      <c r="AK2194" s="89" t="s">
        <v>68</v>
      </c>
      <c r="AL2194" s="91">
        <v>42482</v>
      </c>
      <c r="AM2194" s="91"/>
      <c r="AN2194" s="91"/>
      <c r="AO2194" s="91"/>
      <c r="AP2194" s="73" t="e">
        <f>MID(VLOOKUP(K2194,#REF!,2,FALSE),1,2)</f>
        <v>#REF!</v>
      </c>
      <c r="AQ2194" s="89">
        <f>DATE(2016,3,31)</f>
        <v>42460</v>
      </c>
      <c r="AR2194" s="82">
        <f t="shared" si="149"/>
        <v>31</v>
      </c>
      <c r="AS2194" s="83">
        <f t="shared" si="150"/>
        <v>3</v>
      </c>
      <c r="AT2194" s="84">
        <f t="shared" si="151"/>
        <v>2016</v>
      </c>
      <c r="AU2194" s="88">
        <f>DATE(2016,4,22)</f>
        <v>42482</v>
      </c>
      <c r="AV2194" s="88">
        <f>DATE(2016,4,4)</f>
        <v>42464</v>
      </c>
      <c r="AW2194" s="87">
        <f t="shared" si="155"/>
        <v>18</v>
      </c>
      <c r="AX2194" s="86"/>
      <c r="AY2194" s="83"/>
      <c r="AZ2194" s="84"/>
      <c r="BA2194" s="86"/>
      <c r="BB2194" s="86"/>
    </row>
    <row r="2195" spans="1:54" ht="36.75" customHeight="1">
      <c r="A2195" s="30"/>
      <c r="B2195" s="30" t="s">
        <v>55</v>
      </c>
      <c r="C2195" s="69" t="str">
        <f t="shared" si="152"/>
        <v>Closed</v>
      </c>
      <c r="D2195" s="27" t="s">
        <v>12296</v>
      </c>
      <c r="E2195" s="29" t="s">
        <v>12297</v>
      </c>
      <c r="F2195" s="30" t="s">
        <v>233</v>
      </c>
      <c r="G2195" s="89">
        <f>DATE(2016,4,3)</f>
        <v>42463</v>
      </c>
      <c r="H2195" s="90">
        <v>1.6493055555555556</v>
      </c>
      <c r="I2195" s="30" t="s">
        <v>198</v>
      </c>
      <c r="J2195" s="89" t="s">
        <v>12298</v>
      </c>
      <c r="K2195" s="30" t="s">
        <v>235</v>
      </c>
      <c r="L2195" s="30" t="s">
        <v>12299</v>
      </c>
      <c r="M2195" s="30" t="s">
        <v>63</v>
      </c>
      <c r="N2195" s="30" t="s">
        <v>89</v>
      </c>
      <c r="O2195" s="30" t="s">
        <v>77</v>
      </c>
      <c r="P2195" s="89" t="s">
        <v>6941</v>
      </c>
      <c r="Q2195" s="89" t="s">
        <v>1428</v>
      </c>
      <c r="R2195" s="89" t="s">
        <v>235</v>
      </c>
      <c r="S2195" s="30">
        <v>0</v>
      </c>
      <c r="T2195" s="233">
        <v>0</v>
      </c>
      <c r="U2195" s="30">
        <v>0</v>
      </c>
      <c r="V2195" s="233">
        <v>0</v>
      </c>
      <c r="W2195" s="30">
        <v>0</v>
      </c>
      <c r="X2195" s="30">
        <v>0</v>
      </c>
      <c r="Y2195" s="30">
        <v>2</v>
      </c>
      <c r="Z2195" s="233">
        <v>1</v>
      </c>
      <c r="AA2195" s="30">
        <v>0</v>
      </c>
      <c r="AB2195" s="30">
        <v>0</v>
      </c>
      <c r="AC2195" s="30">
        <v>0</v>
      </c>
      <c r="AD2195" s="30">
        <v>3</v>
      </c>
      <c r="AE2195" s="89" t="s">
        <v>92</v>
      </c>
      <c r="AF2195" s="89"/>
      <c r="AG2195" s="89" t="s">
        <v>133</v>
      </c>
      <c r="AH2195" s="72">
        <v>42471</v>
      </c>
      <c r="AI2195" s="30">
        <v>3</v>
      </c>
      <c r="AJ2195" s="89" t="s">
        <v>12300</v>
      </c>
      <c r="AK2195" s="89" t="s">
        <v>12301</v>
      </c>
      <c r="AL2195" s="91">
        <v>42482</v>
      </c>
      <c r="AM2195" s="91"/>
      <c r="AN2195" s="91"/>
      <c r="AO2195" s="91"/>
      <c r="AP2195" s="73" t="e">
        <f>MID(VLOOKUP(K2195,#REF!,2,FALSE),1,2)</f>
        <v>#REF!</v>
      </c>
      <c r="AQ2195" s="89">
        <f>DATE(2016,4,3)</f>
        <v>42463</v>
      </c>
      <c r="AR2195" s="82">
        <f t="shared" si="149"/>
        <v>3</v>
      </c>
      <c r="AS2195" s="83">
        <f t="shared" si="150"/>
        <v>4</v>
      </c>
      <c r="AT2195" s="84">
        <f t="shared" si="151"/>
        <v>2016</v>
      </c>
      <c r="AU2195" s="88">
        <f>DATE(2016,4,22)</f>
        <v>42482</v>
      </c>
      <c r="AV2195" s="88">
        <f>DATE(2016,4,11)</f>
        <v>42471</v>
      </c>
      <c r="AW2195" s="87">
        <f t="shared" si="155"/>
        <v>11</v>
      </c>
      <c r="AX2195" s="88">
        <f>DATE(2016,4,22)</f>
        <v>42482</v>
      </c>
      <c r="AY2195" s="83">
        <f>MONTH(AX2195)</f>
        <v>4</v>
      </c>
      <c r="AZ2195" s="84">
        <f>YEAR(AX2195)</f>
        <v>2016</v>
      </c>
      <c r="BA2195" s="86"/>
      <c r="BB2195" s="86"/>
    </row>
    <row r="2196" spans="1:54" ht="36.75" customHeight="1">
      <c r="A2196" s="30"/>
      <c r="B2196" s="30" t="s">
        <v>55</v>
      </c>
      <c r="C2196" s="69" t="str">
        <f t="shared" si="152"/>
        <v>Closed</v>
      </c>
      <c r="D2196" s="27" t="s">
        <v>12302</v>
      </c>
      <c r="E2196" s="29" t="s">
        <v>12303</v>
      </c>
      <c r="F2196" s="30" t="s">
        <v>233</v>
      </c>
      <c r="G2196" s="89">
        <f>DATE(2016,4,7)</f>
        <v>42467</v>
      </c>
      <c r="H2196" s="90">
        <v>1.4520833333333334</v>
      </c>
      <c r="I2196" s="30" t="s">
        <v>278</v>
      </c>
      <c r="J2196" s="89" t="s">
        <v>12304</v>
      </c>
      <c r="K2196" s="30" t="s">
        <v>235</v>
      </c>
      <c r="L2196" s="30" t="s">
        <v>12305</v>
      </c>
      <c r="M2196" s="30" t="s">
        <v>63</v>
      </c>
      <c r="N2196" s="30" t="s">
        <v>142</v>
      </c>
      <c r="O2196" s="30" t="s">
        <v>77</v>
      </c>
      <c r="P2196" s="89" t="s">
        <v>78</v>
      </c>
      <c r="Q2196" s="89" t="s">
        <v>235</v>
      </c>
      <c r="R2196" s="89" t="s">
        <v>235</v>
      </c>
      <c r="S2196" s="30">
        <v>0</v>
      </c>
      <c r="T2196" s="233">
        <v>0</v>
      </c>
      <c r="U2196" s="30">
        <v>0</v>
      </c>
      <c r="V2196" s="233">
        <v>0</v>
      </c>
      <c r="W2196" s="30">
        <v>0</v>
      </c>
      <c r="X2196" s="30">
        <v>0</v>
      </c>
      <c r="Y2196" s="30">
        <v>0</v>
      </c>
      <c r="Z2196" s="233">
        <v>0</v>
      </c>
      <c r="AA2196" s="30">
        <v>0</v>
      </c>
      <c r="AB2196" s="30">
        <v>0</v>
      </c>
      <c r="AC2196" s="30">
        <v>0</v>
      </c>
      <c r="AD2196" s="30">
        <v>0</v>
      </c>
      <c r="AE2196" s="89" t="s">
        <v>92</v>
      </c>
      <c r="AF2196" s="89"/>
      <c r="AG2196" s="89" t="s">
        <v>133</v>
      </c>
      <c r="AH2196" s="72">
        <v>42508</v>
      </c>
      <c r="AI2196" s="30">
        <v>5</v>
      </c>
      <c r="AJ2196" s="89" t="s">
        <v>12306</v>
      </c>
      <c r="AK2196" s="89" t="s">
        <v>12307</v>
      </c>
      <c r="AL2196" s="91">
        <v>42549</v>
      </c>
      <c r="AM2196" s="91"/>
      <c r="AN2196" s="91"/>
      <c r="AO2196" s="91"/>
      <c r="AP2196" s="73" t="e">
        <f>MID(VLOOKUP(K2196,#REF!,2,FALSE),1,2)</f>
        <v>#REF!</v>
      </c>
      <c r="AQ2196" s="89">
        <f>DATE(2016,4,7)</f>
        <v>42467</v>
      </c>
      <c r="AR2196" s="82">
        <f t="shared" si="149"/>
        <v>7</v>
      </c>
      <c r="AS2196" s="83">
        <f t="shared" si="150"/>
        <v>4</v>
      </c>
      <c r="AT2196" s="84">
        <f t="shared" si="151"/>
        <v>2016</v>
      </c>
      <c r="AU2196" s="88">
        <f>DATE(2016,6,28)</f>
        <v>42549</v>
      </c>
      <c r="AV2196" s="88">
        <f>DATE(2016,5,18)</f>
        <v>42508</v>
      </c>
      <c r="AW2196" s="87">
        <f t="shared" si="155"/>
        <v>41</v>
      </c>
      <c r="AX2196" s="88">
        <f>DATE(2016,6,28)</f>
        <v>42549</v>
      </c>
      <c r="AY2196" s="83">
        <f>MONTH(AX2196)</f>
        <v>6</v>
      </c>
      <c r="AZ2196" s="84">
        <f>YEAR(AX2196)</f>
        <v>2016</v>
      </c>
      <c r="BA2196" s="86"/>
      <c r="BB2196" s="86"/>
    </row>
    <row r="2197" spans="1:54" ht="36.75" customHeight="1">
      <c r="A2197" s="30"/>
      <c r="B2197" s="30" t="s">
        <v>55</v>
      </c>
      <c r="C2197" s="69" t="str">
        <f t="shared" si="152"/>
        <v>Closed</v>
      </c>
      <c r="D2197" s="27" t="s">
        <v>12308</v>
      </c>
      <c r="E2197" s="29" t="s">
        <v>12309</v>
      </c>
      <c r="F2197" s="30" t="s">
        <v>233</v>
      </c>
      <c r="G2197" s="89">
        <f>DATE(2016,4,10)</f>
        <v>42470</v>
      </c>
      <c r="H2197" s="90">
        <v>1.5208333333333335</v>
      </c>
      <c r="I2197" s="30" t="s">
        <v>116</v>
      </c>
      <c r="J2197" s="89" t="s">
        <v>12310</v>
      </c>
      <c r="K2197" s="30" t="s">
        <v>235</v>
      </c>
      <c r="L2197" s="30" t="s">
        <v>12311</v>
      </c>
      <c r="M2197" s="30" t="s">
        <v>63</v>
      </c>
      <c r="N2197" s="30" t="s">
        <v>142</v>
      </c>
      <c r="O2197" s="30" t="s">
        <v>86</v>
      </c>
      <c r="P2197" s="89" t="s">
        <v>6941</v>
      </c>
      <c r="Q2197" s="89" t="s">
        <v>718</v>
      </c>
      <c r="R2197" s="89" t="s">
        <v>235</v>
      </c>
      <c r="S2197" s="30">
        <v>0</v>
      </c>
      <c r="T2197" s="233">
        <v>0</v>
      </c>
      <c r="U2197" s="30">
        <v>0</v>
      </c>
      <c r="V2197" s="233">
        <v>0</v>
      </c>
      <c r="W2197" s="30">
        <v>0</v>
      </c>
      <c r="X2197" s="30">
        <v>0</v>
      </c>
      <c r="Y2197" s="30">
        <v>0</v>
      </c>
      <c r="Z2197" s="233">
        <v>0</v>
      </c>
      <c r="AA2197" s="30">
        <v>1</v>
      </c>
      <c r="AB2197" s="30">
        <v>0</v>
      </c>
      <c r="AC2197" s="30">
        <v>0</v>
      </c>
      <c r="AD2197" s="30">
        <v>1</v>
      </c>
      <c r="AE2197" s="89" t="s">
        <v>92</v>
      </c>
      <c r="AF2197" s="89"/>
      <c r="AG2197" s="89" t="s">
        <v>133</v>
      </c>
      <c r="AH2197" s="72">
        <v>42478</v>
      </c>
      <c r="AI2197" s="30">
        <v>3</v>
      </c>
      <c r="AJ2197" s="89" t="s">
        <v>12312</v>
      </c>
      <c r="AK2197" s="89" t="s">
        <v>12313</v>
      </c>
      <c r="AL2197" s="91">
        <v>42482</v>
      </c>
      <c r="AM2197" s="91"/>
      <c r="AN2197" s="91"/>
      <c r="AO2197" s="91"/>
      <c r="AP2197" s="73" t="e">
        <f>MID(VLOOKUP(K2197,#REF!,2,FALSE),1,2)</f>
        <v>#REF!</v>
      </c>
      <c r="AQ2197" s="89">
        <f>DATE(2016,4,10)</f>
        <v>42470</v>
      </c>
      <c r="AR2197" s="82">
        <f t="shared" si="149"/>
        <v>10</v>
      </c>
      <c r="AS2197" s="83">
        <f t="shared" si="150"/>
        <v>4</v>
      </c>
      <c r="AT2197" s="84">
        <f t="shared" si="151"/>
        <v>2016</v>
      </c>
      <c r="AU2197" s="88">
        <f>DATE(2016,4,22)</f>
        <v>42482</v>
      </c>
      <c r="AV2197" s="88">
        <f>DATE(2016,4,18)</f>
        <v>42478</v>
      </c>
      <c r="AW2197" s="87">
        <f t="shared" si="155"/>
        <v>4</v>
      </c>
      <c r="AX2197" s="88">
        <f>DATE(2016,4,22)</f>
        <v>42482</v>
      </c>
      <c r="AY2197" s="83">
        <f>MONTH(AX2197)</f>
        <v>4</v>
      </c>
      <c r="AZ2197" s="84">
        <f>YEAR(AX2197)</f>
        <v>2016</v>
      </c>
      <c r="BA2197" s="86"/>
      <c r="BB2197" s="86"/>
    </row>
    <row r="2198" spans="1:54" ht="36.75" customHeight="1">
      <c r="A2198" s="30"/>
      <c r="B2198" s="30" t="s">
        <v>55</v>
      </c>
      <c r="C2198" s="69" t="str">
        <f t="shared" si="152"/>
        <v>Closed</v>
      </c>
      <c r="D2198" s="27" t="s">
        <v>12314</v>
      </c>
      <c r="E2198" s="29" t="s">
        <v>12315</v>
      </c>
      <c r="F2198" s="30" t="s">
        <v>2601</v>
      </c>
      <c r="G2198" s="89">
        <f>DATE(2016,4,13)</f>
        <v>42473</v>
      </c>
      <c r="H2198" s="90">
        <v>1.9631944444444445</v>
      </c>
      <c r="I2198" s="30" t="s">
        <v>125</v>
      </c>
      <c r="J2198" s="89" t="s">
        <v>12316</v>
      </c>
      <c r="K2198" s="30" t="s">
        <v>2603</v>
      </c>
      <c r="L2198" s="30" t="s">
        <v>12317</v>
      </c>
      <c r="M2198" s="30" t="s">
        <v>63</v>
      </c>
      <c r="N2198" s="30" t="s">
        <v>142</v>
      </c>
      <c r="O2198" s="30" t="s">
        <v>64</v>
      </c>
      <c r="P2198" s="89" t="s">
        <v>165</v>
      </c>
      <c r="Q2198" s="89" t="s">
        <v>6342</v>
      </c>
      <c r="R2198" s="89" t="s">
        <v>2606</v>
      </c>
      <c r="S2198" s="30">
        <v>0</v>
      </c>
      <c r="T2198" s="233">
        <v>0</v>
      </c>
      <c r="U2198" s="30">
        <v>0</v>
      </c>
      <c r="V2198" s="233">
        <v>0</v>
      </c>
      <c r="W2198" s="30">
        <v>0</v>
      </c>
      <c r="X2198" s="30">
        <v>0</v>
      </c>
      <c r="Y2198" s="30">
        <v>0</v>
      </c>
      <c r="Z2198" s="233">
        <v>0</v>
      </c>
      <c r="AA2198" s="30">
        <v>0</v>
      </c>
      <c r="AB2198" s="30">
        <v>0</v>
      </c>
      <c r="AC2198" s="30">
        <v>0</v>
      </c>
      <c r="AD2198" s="30">
        <v>0</v>
      </c>
      <c r="AE2198" s="89" t="s">
        <v>394</v>
      </c>
      <c r="AF2198" s="89"/>
      <c r="AG2198" s="89" t="s">
        <v>12318</v>
      </c>
      <c r="AH2198" s="72">
        <v>42479</v>
      </c>
      <c r="AI2198" s="30">
        <v>8</v>
      </c>
      <c r="AJ2198" s="89" t="s">
        <v>12319</v>
      </c>
      <c r="AK2198" s="89" t="s">
        <v>12320</v>
      </c>
      <c r="AL2198" s="91">
        <v>42486</v>
      </c>
      <c r="AM2198" s="91"/>
      <c r="AN2198" s="91"/>
      <c r="AO2198" s="91"/>
      <c r="AP2198" s="73" t="e">
        <f>MID(VLOOKUP(K2198,#REF!,2,FALSE),1,2)</f>
        <v>#REF!</v>
      </c>
      <c r="AQ2198" s="89">
        <f>DATE(2016,4,13)</f>
        <v>42473</v>
      </c>
      <c r="AR2198" s="82">
        <f t="shared" si="149"/>
        <v>13</v>
      </c>
      <c r="AS2198" s="83">
        <f t="shared" si="150"/>
        <v>4</v>
      </c>
      <c r="AT2198" s="84">
        <f t="shared" si="151"/>
        <v>2016</v>
      </c>
      <c r="AU2198" s="88">
        <f>DATE(2016,4,26)</f>
        <v>42486</v>
      </c>
      <c r="AV2198" s="88">
        <f>DATE(2016,4,19)</f>
        <v>42479</v>
      </c>
      <c r="AW2198" s="87">
        <f t="shared" si="155"/>
        <v>7</v>
      </c>
      <c r="AX2198" s="88">
        <f>DATE(2016,4,19)</f>
        <v>42479</v>
      </c>
      <c r="AY2198" s="83">
        <f>MONTH(AX2198)</f>
        <v>4</v>
      </c>
      <c r="AZ2198" s="84">
        <f>YEAR(AX2198)</f>
        <v>2016</v>
      </c>
      <c r="BA2198" s="88">
        <f>DATE(2016,4,13)</f>
        <v>42473</v>
      </c>
      <c r="BB2198" s="86"/>
    </row>
    <row r="2199" spans="1:54" ht="36.75" customHeight="1">
      <c r="A2199" s="30"/>
      <c r="B2199" s="30" t="s">
        <v>55</v>
      </c>
      <c r="C2199" s="69" t="str">
        <f t="shared" si="152"/>
        <v>Closed</v>
      </c>
      <c r="D2199" s="27" t="s">
        <v>12321</v>
      </c>
      <c r="E2199" s="29" t="s">
        <v>12322</v>
      </c>
      <c r="F2199" s="30" t="s">
        <v>423</v>
      </c>
      <c r="G2199" s="89">
        <f>DATE(2016,4,13)</f>
        <v>42473</v>
      </c>
      <c r="H2199" s="90">
        <v>1.7243055555555555</v>
      </c>
      <c r="I2199" s="30" t="s">
        <v>104</v>
      </c>
      <c r="J2199" s="89" t="s">
        <v>12323</v>
      </c>
      <c r="K2199" s="30" t="s">
        <v>425</v>
      </c>
      <c r="L2199" s="30" t="s">
        <v>12324</v>
      </c>
      <c r="M2199" s="30" t="s">
        <v>63</v>
      </c>
      <c r="N2199" s="30" t="s">
        <v>142</v>
      </c>
      <c r="O2199" s="30" t="s">
        <v>77</v>
      </c>
      <c r="P2199" s="89" t="s">
        <v>381</v>
      </c>
      <c r="Q2199" s="89" t="s">
        <v>12325</v>
      </c>
      <c r="R2199" s="89" t="s">
        <v>3103</v>
      </c>
      <c r="S2199" s="30">
        <v>0</v>
      </c>
      <c r="T2199" s="233">
        <v>0</v>
      </c>
      <c r="U2199" s="30">
        <v>0</v>
      </c>
      <c r="V2199" s="233">
        <v>0</v>
      </c>
      <c r="W2199" s="30">
        <v>0</v>
      </c>
      <c r="X2199" s="30">
        <v>0</v>
      </c>
      <c r="Y2199" s="30">
        <v>0</v>
      </c>
      <c r="Z2199" s="233">
        <v>0</v>
      </c>
      <c r="AA2199" s="30">
        <v>0</v>
      </c>
      <c r="AB2199" s="30">
        <v>0</v>
      </c>
      <c r="AC2199" s="30">
        <v>0</v>
      </c>
      <c r="AD2199" s="30">
        <v>0</v>
      </c>
      <c r="AE2199" s="89" t="s">
        <v>92</v>
      </c>
      <c r="AF2199" s="89"/>
      <c r="AG2199" s="89" t="s">
        <v>352</v>
      </c>
      <c r="AH2199" s="72">
        <v>42697</v>
      </c>
      <c r="AI2199" s="30">
        <v>1</v>
      </c>
      <c r="AJ2199" s="89" t="s">
        <v>12326</v>
      </c>
      <c r="AK2199" s="89" t="s">
        <v>12327</v>
      </c>
      <c r="AL2199" s="91">
        <v>42698</v>
      </c>
      <c r="AM2199" s="91"/>
      <c r="AN2199" s="91"/>
      <c r="AO2199" s="91"/>
      <c r="AP2199" s="73" t="e">
        <f>MID(VLOOKUP(K2199,#REF!,2,FALSE),1,2)</f>
        <v>#REF!</v>
      </c>
      <c r="AQ2199" s="89">
        <f>DATE(2016,4,13)</f>
        <v>42473</v>
      </c>
      <c r="AR2199" s="82">
        <f t="shared" si="149"/>
        <v>13</v>
      </c>
      <c r="AS2199" s="83">
        <f t="shared" si="150"/>
        <v>4</v>
      </c>
      <c r="AT2199" s="84">
        <f t="shared" si="151"/>
        <v>2016</v>
      </c>
      <c r="AU2199" s="88">
        <f>DATE(2016,11,24)</f>
        <v>42698</v>
      </c>
      <c r="AV2199" s="88">
        <f>DATE(2016,11,23)</f>
        <v>42697</v>
      </c>
      <c r="AW2199" s="87">
        <f t="shared" si="155"/>
        <v>1</v>
      </c>
      <c r="AX2199" s="86"/>
      <c r="AY2199" s="83"/>
      <c r="AZ2199" s="84"/>
      <c r="BA2199" s="86"/>
      <c r="BB2199" s="86"/>
    </row>
    <row r="2200" spans="1:54" ht="36.75" customHeight="1">
      <c r="A2200" s="30"/>
      <c r="B2200" s="30" t="s">
        <v>55</v>
      </c>
      <c r="C2200" s="69" t="str">
        <f t="shared" si="152"/>
        <v>Closed</v>
      </c>
      <c r="D2200" s="27" t="s">
        <v>12328</v>
      </c>
      <c r="E2200" s="29" t="s">
        <v>12329</v>
      </c>
      <c r="F2200" s="30" t="s">
        <v>1572</v>
      </c>
      <c r="G2200" s="89">
        <f>DATE(2016,4,15)</f>
        <v>42475</v>
      </c>
      <c r="H2200" s="90">
        <v>1.2145833333333333</v>
      </c>
      <c r="I2200" s="30" t="s">
        <v>73</v>
      </c>
      <c r="J2200" s="89" t="s">
        <v>12330</v>
      </c>
      <c r="K2200" s="30" t="s">
        <v>1574</v>
      </c>
      <c r="L2200" s="30" t="s">
        <v>12331</v>
      </c>
      <c r="M2200" s="30" t="s">
        <v>63</v>
      </c>
      <c r="N2200" s="30" t="s">
        <v>142</v>
      </c>
      <c r="O2200" s="30" t="s">
        <v>77</v>
      </c>
      <c r="P2200" s="89" t="s">
        <v>78</v>
      </c>
      <c r="Q2200" s="89" t="s">
        <v>2655</v>
      </c>
      <c r="R2200" s="89" t="s">
        <v>6434</v>
      </c>
      <c r="S2200" s="30">
        <v>0</v>
      </c>
      <c r="T2200" s="233">
        <v>0</v>
      </c>
      <c r="U2200" s="30">
        <v>0</v>
      </c>
      <c r="V2200" s="233">
        <v>0</v>
      </c>
      <c r="W2200" s="30">
        <v>0</v>
      </c>
      <c r="X2200" s="30">
        <v>0</v>
      </c>
      <c r="Y2200" s="30">
        <v>0</v>
      </c>
      <c r="Z2200" s="233">
        <v>0</v>
      </c>
      <c r="AA2200" s="30">
        <v>0</v>
      </c>
      <c r="AB2200" s="30">
        <v>0</v>
      </c>
      <c r="AC2200" s="30">
        <v>0</v>
      </c>
      <c r="AD2200" s="30">
        <v>0</v>
      </c>
      <c r="AE2200" s="89" t="s">
        <v>92</v>
      </c>
      <c r="AF2200" s="89"/>
      <c r="AG2200" s="89" t="s">
        <v>133</v>
      </c>
      <c r="AH2200" s="72">
        <v>42478</v>
      </c>
      <c r="AI2200" s="30">
        <v>1</v>
      </c>
      <c r="AJ2200" s="89" t="s">
        <v>12332</v>
      </c>
      <c r="AK2200" s="89" t="s">
        <v>12333</v>
      </c>
      <c r="AL2200" s="91">
        <v>42479</v>
      </c>
      <c r="AM2200" s="91"/>
      <c r="AN2200" s="91"/>
      <c r="AO2200" s="91"/>
      <c r="AP2200" s="73" t="e">
        <f>MID(VLOOKUP(K2200,#REF!,2,FALSE),1,2)</f>
        <v>#REF!</v>
      </c>
      <c r="AQ2200" s="89">
        <f>DATE(2016,4,18)</f>
        <v>42478</v>
      </c>
      <c r="AR2200" s="82">
        <f t="shared" si="149"/>
        <v>18</v>
      </c>
      <c r="AS2200" s="83">
        <f t="shared" si="150"/>
        <v>4</v>
      </c>
      <c r="AT2200" s="84">
        <f t="shared" si="151"/>
        <v>2016</v>
      </c>
      <c r="AU2200" s="88">
        <f>DATE(2016,4,19)</f>
        <v>42479</v>
      </c>
      <c r="AV2200" s="88">
        <f>DATE(2016,4,18)</f>
        <v>42478</v>
      </c>
      <c r="AW2200" s="87">
        <f t="shared" si="155"/>
        <v>1</v>
      </c>
      <c r="AX2200" s="88">
        <f>DATE(2016,4,19)</f>
        <v>42479</v>
      </c>
      <c r="AY2200" s="83">
        <f>MONTH(AX2200)</f>
        <v>4</v>
      </c>
      <c r="AZ2200" s="84">
        <f>YEAR(AX2200)</f>
        <v>2016</v>
      </c>
      <c r="BA2200" s="88">
        <f>DATE(2016,4,15)</f>
        <v>42475</v>
      </c>
      <c r="BB2200" s="86"/>
    </row>
    <row r="2201" spans="1:54" ht="36.75" customHeight="1">
      <c r="A2201" s="30"/>
      <c r="B2201" s="30" t="s">
        <v>55</v>
      </c>
      <c r="C2201" s="69" t="str">
        <f t="shared" si="152"/>
        <v>Closed</v>
      </c>
      <c r="D2201" s="27" t="s">
        <v>12334</v>
      </c>
      <c r="E2201" s="29" t="s">
        <v>12335</v>
      </c>
      <c r="F2201" s="30" t="s">
        <v>638</v>
      </c>
      <c r="G2201" s="89">
        <f>DATE(2016,4,17)</f>
        <v>42477</v>
      </c>
      <c r="H2201" s="90">
        <v>1.8972222222222221</v>
      </c>
      <c r="I2201" s="30" t="s">
        <v>198</v>
      </c>
      <c r="J2201" s="89" t="s">
        <v>12336</v>
      </c>
      <c r="K2201" s="30" t="s">
        <v>640</v>
      </c>
      <c r="L2201" s="30" t="s">
        <v>12337</v>
      </c>
      <c r="M2201" s="30" t="s">
        <v>63</v>
      </c>
      <c r="N2201" s="30" t="s">
        <v>142</v>
      </c>
      <c r="O2201" s="30" t="s">
        <v>77</v>
      </c>
      <c r="P2201" s="89" t="s">
        <v>10688</v>
      </c>
      <c r="Q2201" s="89" t="s">
        <v>5846</v>
      </c>
      <c r="R2201" s="89" t="s">
        <v>643</v>
      </c>
      <c r="S2201" s="30">
        <v>0</v>
      </c>
      <c r="T2201" s="233">
        <v>0</v>
      </c>
      <c r="U2201" s="30">
        <v>0</v>
      </c>
      <c r="V2201" s="233">
        <v>0</v>
      </c>
      <c r="W2201" s="30">
        <v>0</v>
      </c>
      <c r="X2201" s="30">
        <v>0</v>
      </c>
      <c r="Y2201" s="30">
        <v>0</v>
      </c>
      <c r="Z2201" s="233">
        <v>0</v>
      </c>
      <c r="AA2201" s="30">
        <v>0</v>
      </c>
      <c r="AB2201" s="30">
        <v>0</v>
      </c>
      <c r="AC2201" s="30">
        <v>0</v>
      </c>
      <c r="AD2201" s="30">
        <v>0</v>
      </c>
      <c r="AE2201" s="89" t="s">
        <v>92</v>
      </c>
      <c r="AF2201" s="89"/>
      <c r="AG2201" s="89" t="s">
        <v>352</v>
      </c>
      <c r="AH2201" s="72">
        <v>42486</v>
      </c>
      <c r="AI2201" s="30">
        <v>4</v>
      </c>
      <c r="AJ2201" s="89" t="s">
        <v>12338</v>
      </c>
      <c r="AK2201" s="89" t="s">
        <v>12339</v>
      </c>
      <c r="AL2201" s="91">
        <v>42493</v>
      </c>
      <c r="AM2201" s="91"/>
      <c r="AN2201" s="91"/>
      <c r="AO2201" s="91"/>
      <c r="AP2201" s="73" t="e">
        <f>MID(VLOOKUP(K2201,#REF!,2,FALSE),1,2)</f>
        <v>#REF!</v>
      </c>
      <c r="AQ2201" s="89">
        <f>DATE(2016,4,17)</f>
        <v>42477</v>
      </c>
      <c r="AR2201" s="82">
        <f t="shared" si="149"/>
        <v>17</v>
      </c>
      <c r="AS2201" s="83">
        <f t="shared" si="150"/>
        <v>4</v>
      </c>
      <c r="AT2201" s="84">
        <f t="shared" si="151"/>
        <v>2016</v>
      </c>
      <c r="AU2201" s="88">
        <f>DATE(2016,5,3)</f>
        <v>42493</v>
      </c>
      <c r="AV2201" s="88">
        <f>DATE(2016,4,26)</f>
        <v>42486</v>
      </c>
      <c r="AW2201" s="87">
        <f t="shared" si="155"/>
        <v>7</v>
      </c>
      <c r="AX2201" s="86"/>
      <c r="AY2201" s="83"/>
      <c r="AZ2201" s="84"/>
      <c r="BA2201" s="86"/>
      <c r="BB2201" s="86"/>
    </row>
    <row r="2202" spans="1:54" ht="36.75" customHeight="1">
      <c r="A2202" s="30"/>
      <c r="B2202" s="30" t="s">
        <v>55</v>
      </c>
      <c r="C2202" s="69" t="str">
        <f t="shared" si="152"/>
        <v>Closed</v>
      </c>
      <c r="D2202" s="27" t="s">
        <v>12340</v>
      </c>
      <c r="E2202" s="29" t="s">
        <v>12341</v>
      </c>
      <c r="F2202" s="30" t="s">
        <v>423</v>
      </c>
      <c r="G2202" s="89">
        <f>DATE(2016,4,19)</f>
        <v>42479</v>
      </c>
      <c r="H2202" s="90">
        <v>1.3798611111111112</v>
      </c>
      <c r="I2202" s="30" t="s">
        <v>278</v>
      </c>
      <c r="J2202" s="89" t="s">
        <v>12342</v>
      </c>
      <c r="K2202" s="30" t="s">
        <v>425</v>
      </c>
      <c r="L2202" s="30" t="s">
        <v>12343</v>
      </c>
      <c r="M2202" s="30" t="s">
        <v>63</v>
      </c>
      <c r="N2202" s="30" t="s">
        <v>99</v>
      </c>
      <c r="O2202" s="30" t="s">
        <v>6875</v>
      </c>
      <c r="P2202" s="89" t="s">
        <v>91</v>
      </c>
      <c r="Q2202" s="89" t="s">
        <v>7583</v>
      </c>
      <c r="R2202" s="89" t="s">
        <v>427</v>
      </c>
      <c r="S2202" s="30">
        <v>0</v>
      </c>
      <c r="T2202" s="233">
        <v>1</v>
      </c>
      <c r="U2202" s="30">
        <v>0</v>
      </c>
      <c r="V2202" s="233">
        <v>0</v>
      </c>
      <c r="W2202" s="30">
        <v>0</v>
      </c>
      <c r="X2202" s="30">
        <v>1</v>
      </c>
      <c r="Y2202" s="30">
        <v>0</v>
      </c>
      <c r="Z2202" s="233">
        <v>0</v>
      </c>
      <c r="AA2202" s="30">
        <v>0</v>
      </c>
      <c r="AB2202" s="30">
        <v>0</v>
      </c>
      <c r="AC2202" s="30">
        <v>0</v>
      </c>
      <c r="AD2202" s="30">
        <v>0</v>
      </c>
      <c r="AE2202" s="89" t="s">
        <v>92</v>
      </c>
      <c r="AF2202" s="89"/>
      <c r="AG2202" s="89" t="s">
        <v>133</v>
      </c>
      <c r="AH2202" s="72">
        <v>42485</v>
      </c>
      <c r="AI2202" s="30">
        <v>4</v>
      </c>
      <c r="AJ2202" s="89" t="s">
        <v>12344</v>
      </c>
      <c r="AK2202" s="89" t="s">
        <v>12345</v>
      </c>
      <c r="AL2202" s="91">
        <v>42486</v>
      </c>
      <c r="AM2202" s="91"/>
      <c r="AN2202" s="91"/>
      <c r="AO2202" s="91"/>
      <c r="AP2202" s="73" t="e">
        <f>MID(VLOOKUP(K2202,#REF!,2,FALSE),1,2)</f>
        <v>#REF!</v>
      </c>
      <c r="AQ2202" s="89">
        <f>DATE(2016,4,19)</f>
        <v>42479</v>
      </c>
      <c r="AR2202" s="82">
        <f t="shared" si="149"/>
        <v>19</v>
      </c>
      <c r="AS2202" s="83">
        <f t="shared" si="150"/>
        <v>4</v>
      </c>
      <c r="AT2202" s="84">
        <f t="shared" si="151"/>
        <v>2016</v>
      </c>
      <c r="AU2202" s="88">
        <f>DATE(2016,4,26)</f>
        <v>42486</v>
      </c>
      <c r="AV2202" s="88">
        <f>DATE(2016,4,25)</f>
        <v>42485</v>
      </c>
      <c r="AW2202" s="87">
        <f t="shared" si="155"/>
        <v>1</v>
      </c>
      <c r="AX2202" s="86"/>
      <c r="AY2202" s="83"/>
      <c r="AZ2202" s="84"/>
      <c r="BA2202" s="86"/>
      <c r="BB2202" s="86"/>
    </row>
    <row r="2203" spans="1:54" ht="36.75" customHeight="1">
      <c r="A2203" s="30"/>
      <c r="B2203" s="30" t="s">
        <v>55</v>
      </c>
      <c r="C2203" s="69" t="str">
        <f t="shared" si="152"/>
        <v>Closed</v>
      </c>
      <c r="D2203" s="27" t="s">
        <v>12346</v>
      </c>
      <c r="E2203" s="29" t="s">
        <v>12347</v>
      </c>
      <c r="F2203" s="30" t="s">
        <v>1572</v>
      </c>
      <c r="G2203" s="89">
        <f>DATE(2016,4,22)</f>
        <v>42482</v>
      </c>
      <c r="H2203" s="90">
        <v>1.0972222222222223</v>
      </c>
      <c r="I2203" s="30" t="s">
        <v>73</v>
      </c>
      <c r="J2203" s="89" t="s">
        <v>12348</v>
      </c>
      <c r="K2203" s="30" t="s">
        <v>1574</v>
      </c>
      <c r="L2203" s="30" t="s">
        <v>12349</v>
      </c>
      <c r="M2203" s="30" t="s">
        <v>63</v>
      </c>
      <c r="N2203" s="30" t="s">
        <v>142</v>
      </c>
      <c r="O2203" s="30" t="s">
        <v>77</v>
      </c>
      <c r="P2203" s="89" t="s">
        <v>78</v>
      </c>
      <c r="Q2203" s="89" t="s">
        <v>2655</v>
      </c>
      <c r="R2203" s="89" t="s">
        <v>6434</v>
      </c>
      <c r="S2203" s="30">
        <v>0</v>
      </c>
      <c r="T2203" s="233">
        <v>0</v>
      </c>
      <c r="U2203" s="30">
        <v>0</v>
      </c>
      <c r="V2203" s="233">
        <v>0</v>
      </c>
      <c r="W2203" s="30">
        <v>0</v>
      </c>
      <c r="X2203" s="30">
        <v>0</v>
      </c>
      <c r="Y2203" s="30">
        <v>0</v>
      </c>
      <c r="Z2203" s="233">
        <v>0</v>
      </c>
      <c r="AA2203" s="30">
        <v>0</v>
      </c>
      <c r="AB2203" s="30">
        <v>0</v>
      </c>
      <c r="AC2203" s="30">
        <v>0</v>
      </c>
      <c r="AD2203" s="30">
        <v>0</v>
      </c>
      <c r="AE2203" s="89" t="s">
        <v>92</v>
      </c>
      <c r="AF2203" s="89"/>
      <c r="AG2203" s="89" t="s">
        <v>133</v>
      </c>
      <c r="AH2203" s="72">
        <v>42485</v>
      </c>
      <c r="AI2203" s="30">
        <v>0</v>
      </c>
      <c r="AJ2203" s="89" t="s">
        <v>12350</v>
      </c>
      <c r="AK2203" s="89" t="s">
        <v>12351</v>
      </c>
      <c r="AL2203" s="91">
        <v>42487</v>
      </c>
      <c r="AM2203" s="91"/>
      <c r="AN2203" s="91"/>
      <c r="AO2203" s="91"/>
      <c r="AP2203" s="73" t="e">
        <f>MID(VLOOKUP(K2203,#REF!,2,FALSE),1,2)</f>
        <v>#REF!</v>
      </c>
      <c r="AQ2203" s="89">
        <f>DATE(2016,4,22)</f>
        <v>42482</v>
      </c>
      <c r="AR2203" s="82">
        <f t="shared" si="149"/>
        <v>22</v>
      </c>
      <c r="AS2203" s="83">
        <f t="shared" si="150"/>
        <v>4</v>
      </c>
      <c r="AT2203" s="84">
        <f t="shared" si="151"/>
        <v>2016</v>
      </c>
      <c r="AU2203" s="88">
        <f>DATE(2016,4,27)</f>
        <v>42487</v>
      </c>
      <c r="AV2203" s="88">
        <f>DATE(2016,4,25)</f>
        <v>42485</v>
      </c>
      <c r="AW2203" s="87">
        <f t="shared" si="155"/>
        <v>2</v>
      </c>
      <c r="AX2203" s="88">
        <f>DATE(2016,4,27)</f>
        <v>42487</v>
      </c>
      <c r="AY2203" s="83">
        <f>MONTH(AX2203)</f>
        <v>4</v>
      </c>
      <c r="AZ2203" s="84">
        <f>YEAR(AX2203)</f>
        <v>2016</v>
      </c>
      <c r="BA2203" s="88">
        <f>DATE(2016,4,22)</f>
        <v>42482</v>
      </c>
      <c r="BB2203" s="86"/>
    </row>
    <row r="2204" spans="1:54" ht="36.75" customHeight="1">
      <c r="A2204" s="30"/>
      <c r="B2204" s="30" t="s">
        <v>55</v>
      </c>
      <c r="C2204" s="69" t="str">
        <f t="shared" si="152"/>
        <v>Closed</v>
      </c>
      <c r="D2204" s="27" t="s">
        <v>12352</v>
      </c>
      <c r="E2204" s="29" t="s">
        <v>12353</v>
      </c>
      <c r="F2204" s="30" t="s">
        <v>1572</v>
      </c>
      <c r="G2204" s="89">
        <f>DATE(2016,4,26)</f>
        <v>42486</v>
      </c>
      <c r="H2204" s="90">
        <v>1.4618055555555556</v>
      </c>
      <c r="I2204" s="30" t="s">
        <v>73</v>
      </c>
      <c r="J2204" s="89" t="s">
        <v>12354</v>
      </c>
      <c r="K2204" s="30" t="s">
        <v>1574</v>
      </c>
      <c r="L2204" s="30" t="s">
        <v>12355</v>
      </c>
      <c r="M2204" s="30" t="s">
        <v>63</v>
      </c>
      <c r="N2204" s="30" t="s">
        <v>142</v>
      </c>
      <c r="O2204" s="30" t="s">
        <v>77</v>
      </c>
      <c r="P2204" s="89" t="s">
        <v>78</v>
      </c>
      <c r="Q2204" s="89" t="s">
        <v>9461</v>
      </c>
      <c r="R2204" s="89" t="s">
        <v>6434</v>
      </c>
      <c r="S2204" s="30">
        <v>0</v>
      </c>
      <c r="T2204" s="233">
        <v>0</v>
      </c>
      <c r="U2204" s="30">
        <v>0</v>
      </c>
      <c r="V2204" s="233">
        <v>0</v>
      </c>
      <c r="W2204" s="30">
        <v>0</v>
      </c>
      <c r="X2204" s="30">
        <v>0</v>
      </c>
      <c r="Y2204" s="30">
        <v>0</v>
      </c>
      <c r="Z2204" s="233">
        <v>0</v>
      </c>
      <c r="AA2204" s="30">
        <v>0</v>
      </c>
      <c r="AB2204" s="30">
        <v>0</v>
      </c>
      <c r="AC2204" s="30">
        <v>0</v>
      </c>
      <c r="AD2204" s="30">
        <v>0</v>
      </c>
      <c r="AE2204" s="89" t="s">
        <v>394</v>
      </c>
      <c r="AF2204" s="89"/>
      <c r="AG2204" s="89" t="s">
        <v>133</v>
      </c>
      <c r="AH2204" s="72">
        <v>42487</v>
      </c>
      <c r="AI2204" s="30">
        <v>0</v>
      </c>
      <c r="AJ2204" s="89" t="s">
        <v>12356</v>
      </c>
      <c r="AK2204" s="89" t="s">
        <v>12357</v>
      </c>
      <c r="AL2204" s="91">
        <v>42487</v>
      </c>
      <c r="AM2204" s="91"/>
      <c r="AN2204" s="91"/>
      <c r="AO2204" s="91"/>
      <c r="AP2204" s="73" t="e">
        <f>MID(VLOOKUP(K2204,#REF!,2,FALSE),1,2)</f>
        <v>#REF!</v>
      </c>
      <c r="AQ2204" s="89">
        <f>DATE(2016,4,26)</f>
        <v>42486</v>
      </c>
      <c r="AR2204" s="82">
        <f t="shared" si="149"/>
        <v>26</v>
      </c>
      <c r="AS2204" s="83">
        <f t="shared" si="150"/>
        <v>4</v>
      </c>
      <c r="AT2204" s="84">
        <f t="shared" si="151"/>
        <v>2016</v>
      </c>
      <c r="AU2204" s="88">
        <f>DATE(2016,4,27)</f>
        <v>42487</v>
      </c>
      <c r="AV2204" s="88">
        <f>DATE(2016,4,27)</f>
        <v>42487</v>
      </c>
      <c r="AW2204" s="87">
        <f t="shared" si="155"/>
        <v>0</v>
      </c>
      <c r="AX2204" s="88">
        <f>DATE(2016,4,28)</f>
        <v>42488</v>
      </c>
      <c r="AY2204" s="83">
        <f>MONTH(AX2204)</f>
        <v>4</v>
      </c>
      <c r="AZ2204" s="84">
        <f>YEAR(AX2204)</f>
        <v>2016</v>
      </c>
      <c r="BA2204" s="88">
        <f>DATE(2016,4,26)</f>
        <v>42486</v>
      </c>
      <c r="BB2204" s="86"/>
    </row>
    <row r="2205" spans="1:54" ht="36.75" customHeight="1">
      <c r="A2205" s="30"/>
      <c r="B2205" s="30" t="s">
        <v>55</v>
      </c>
      <c r="C2205" s="69" t="str">
        <f t="shared" si="152"/>
        <v>Closed</v>
      </c>
      <c r="D2205" s="27" t="s">
        <v>12358</v>
      </c>
      <c r="E2205" s="29" t="s">
        <v>12359</v>
      </c>
      <c r="F2205" s="30" t="s">
        <v>124</v>
      </c>
      <c r="G2205" s="89">
        <f>DATE(2016,4,29)</f>
        <v>42489</v>
      </c>
      <c r="H2205" s="90">
        <v>1.1527777777777777</v>
      </c>
      <c r="I2205" s="30" t="s">
        <v>198</v>
      </c>
      <c r="J2205" s="89" t="s">
        <v>12360</v>
      </c>
      <c r="K2205" s="30" t="s">
        <v>127</v>
      </c>
      <c r="L2205" s="30" t="s">
        <v>12361</v>
      </c>
      <c r="M2205" s="30" t="s">
        <v>63</v>
      </c>
      <c r="N2205" s="30" t="s">
        <v>89</v>
      </c>
      <c r="O2205" s="30" t="s">
        <v>90</v>
      </c>
      <c r="P2205" s="89" t="s">
        <v>12362</v>
      </c>
      <c r="Q2205" s="89" t="s">
        <v>143</v>
      </c>
      <c r="R2205" s="89" t="s">
        <v>167</v>
      </c>
      <c r="S2205" s="30">
        <v>0</v>
      </c>
      <c r="T2205" s="233">
        <v>0</v>
      </c>
      <c r="U2205" s="30">
        <v>0</v>
      </c>
      <c r="V2205" s="233">
        <v>0</v>
      </c>
      <c r="W2205" s="30">
        <v>0</v>
      </c>
      <c r="X2205" s="30">
        <v>0</v>
      </c>
      <c r="Y2205" s="30">
        <v>0</v>
      </c>
      <c r="Z2205" s="233">
        <v>0</v>
      </c>
      <c r="AA2205" s="30">
        <v>0</v>
      </c>
      <c r="AB2205" s="30">
        <v>0</v>
      </c>
      <c r="AC2205" s="30">
        <v>0</v>
      </c>
      <c r="AD2205" s="30">
        <v>0</v>
      </c>
      <c r="AE2205" s="89" t="s">
        <v>394</v>
      </c>
      <c r="AF2205" s="89"/>
      <c r="AG2205" s="89" t="s">
        <v>133</v>
      </c>
      <c r="AH2205" s="72">
        <v>42494</v>
      </c>
      <c r="AI2205" s="30">
        <v>1</v>
      </c>
      <c r="AJ2205" s="89" t="s">
        <v>12363</v>
      </c>
      <c r="AK2205" s="89" t="s">
        <v>12364</v>
      </c>
      <c r="AL2205" s="91">
        <v>42494</v>
      </c>
      <c r="AM2205" s="91"/>
      <c r="AN2205" s="91"/>
      <c r="AO2205" s="91"/>
      <c r="AP2205" s="73" t="e">
        <f>MID(VLOOKUP(K2205,#REF!,2,FALSE),1,2)</f>
        <v>#REF!</v>
      </c>
      <c r="AQ2205" s="89">
        <f>DATE(2016,4,29)</f>
        <v>42489</v>
      </c>
      <c r="AR2205" s="82">
        <f t="shared" si="149"/>
        <v>29</v>
      </c>
      <c r="AS2205" s="83">
        <f t="shared" si="150"/>
        <v>4</v>
      </c>
      <c r="AT2205" s="84">
        <f t="shared" si="151"/>
        <v>2016</v>
      </c>
      <c r="AU2205" s="88">
        <f>DATE(2016,5,4)</f>
        <v>42494</v>
      </c>
      <c r="AV2205" s="88">
        <f>DATE(2016,5,4)</f>
        <v>42494</v>
      </c>
      <c r="AW2205" s="87">
        <f t="shared" si="155"/>
        <v>0</v>
      </c>
      <c r="AX2205" s="86"/>
      <c r="AY2205" s="83"/>
      <c r="AZ2205" s="84"/>
      <c r="BA2205" s="86"/>
      <c r="BB2205" s="86"/>
    </row>
    <row r="2206" spans="1:54" ht="36.75" customHeight="1">
      <c r="A2206" s="30"/>
      <c r="B2206" s="30" t="s">
        <v>55</v>
      </c>
      <c r="C2206" s="69" t="str">
        <f t="shared" si="152"/>
        <v>Closed</v>
      </c>
      <c r="D2206" s="27" t="s">
        <v>12365</v>
      </c>
      <c r="E2206" s="29" t="s">
        <v>12366</v>
      </c>
      <c r="F2206" s="30" t="s">
        <v>1572</v>
      </c>
      <c r="G2206" s="89">
        <f>DATE(2016,5,3)</f>
        <v>42493</v>
      </c>
      <c r="H2206" s="90">
        <v>1.7430555555555554</v>
      </c>
      <c r="I2206" s="30" t="s">
        <v>73</v>
      </c>
      <c r="J2206" s="89" t="s">
        <v>12367</v>
      </c>
      <c r="K2206" s="30" t="s">
        <v>1574</v>
      </c>
      <c r="L2206" s="30" t="s">
        <v>12368</v>
      </c>
      <c r="M2206" s="30" t="s">
        <v>63</v>
      </c>
      <c r="N2206" s="30" t="s">
        <v>99</v>
      </c>
      <c r="O2206" s="30" t="s">
        <v>64</v>
      </c>
      <c r="P2206" s="89" t="s">
        <v>78</v>
      </c>
      <c r="Q2206" s="89" t="s">
        <v>2655</v>
      </c>
      <c r="R2206" s="89" t="s">
        <v>6434</v>
      </c>
      <c r="S2206" s="30">
        <v>0</v>
      </c>
      <c r="T2206" s="233">
        <v>0</v>
      </c>
      <c r="U2206" s="30">
        <v>0</v>
      </c>
      <c r="V2206" s="233">
        <v>0</v>
      </c>
      <c r="W2206" s="30">
        <v>0</v>
      </c>
      <c r="X2206" s="30">
        <v>0</v>
      </c>
      <c r="Y2206" s="30">
        <v>0</v>
      </c>
      <c r="Z2206" s="233">
        <v>0</v>
      </c>
      <c r="AA2206" s="30">
        <v>0</v>
      </c>
      <c r="AB2206" s="30">
        <v>0</v>
      </c>
      <c r="AC2206" s="30">
        <v>0</v>
      </c>
      <c r="AD2206" s="30">
        <v>0</v>
      </c>
      <c r="AE2206" s="89" t="s">
        <v>92</v>
      </c>
      <c r="AF2206" s="89"/>
      <c r="AG2206" s="89" t="s">
        <v>133</v>
      </c>
      <c r="AH2206" s="72">
        <v>42495</v>
      </c>
      <c r="AI2206" s="30">
        <v>0</v>
      </c>
      <c r="AJ2206" s="89" t="s">
        <v>12369</v>
      </c>
      <c r="AK2206" s="89" t="s">
        <v>12370</v>
      </c>
      <c r="AL2206" s="91">
        <v>42499</v>
      </c>
      <c r="AM2206" s="91"/>
      <c r="AN2206" s="91"/>
      <c r="AO2206" s="91"/>
      <c r="AP2206" s="73" t="e">
        <f>MID(VLOOKUP(K2206,#REF!,2,FALSE),1,2)</f>
        <v>#REF!</v>
      </c>
      <c r="AQ2206" s="89">
        <f>DATE(2016,5,3)</f>
        <v>42493</v>
      </c>
      <c r="AR2206" s="82">
        <f t="shared" si="149"/>
        <v>3</v>
      </c>
      <c r="AS2206" s="83">
        <f t="shared" si="150"/>
        <v>5</v>
      </c>
      <c r="AT2206" s="84">
        <f t="shared" si="151"/>
        <v>2016</v>
      </c>
      <c r="AU2206" s="88">
        <f>DATE(2016,5,9)</f>
        <v>42499</v>
      </c>
      <c r="AV2206" s="88">
        <f>DATE(2016,5,5)</f>
        <v>42495</v>
      </c>
      <c r="AW2206" s="87">
        <f t="shared" si="155"/>
        <v>4</v>
      </c>
      <c r="AX2206" s="88">
        <f>DATE(2016,5,9)</f>
        <v>42499</v>
      </c>
      <c r="AY2206" s="83">
        <f>MONTH(AX2206)</f>
        <v>5</v>
      </c>
      <c r="AZ2206" s="84">
        <f>YEAR(AX2206)</f>
        <v>2016</v>
      </c>
      <c r="BA2206" s="88">
        <f>DATE(2016,5,3)</f>
        <v>42493</v>
      </c>
      <c r="BB2206" s="86"/>
    </row>
    <row r="2207" spans="1:54" ht="36.75" customHeight="1">
      <c r="A2207" s="30"/>
      <c r="B2207" s="30" t="s">
        <v>55</v>
      </c>
      <c r="C2207" s="69" t="str">
        <f t="shared" si="152"/>
        <v>Closed</v>
      </c>
      <c r="D2207" s="27" t="s">
        <v>12371</v>
      </c>
      <c r="E2207" s="29" t="s">
        <v>12372</v>
      </c>
      <c r="F2207" s="30" t="s">
        <v>835</v>
      </c>
      <c r="G2207" s="89">
        <f>DATE(2016,5,5)</f>
        <v>42495</v>
      </c>
      <c r="H2207" s="90">
        <v>1.6979166666666665</v>
      </c>
      <c r="I2207" s="30" t="s">
        <v>116</v>
      </c>
      <c r="J2207" s="89" t="s">
        <v>12373</v>
      </c>
      <c r="K2207" s="30" t="s">
        <v>837</v>
      </c>
      <c r="L2207" s="30" t="s">
        <v>12374</v>
      </c>
      <c r="M2207" s="30" t="s">
        <v>63</v>
      </c>
      <c r="N2207" s="30" t="s">
        <v>99</v>
      </c>
      <c r="O2207" s="30" t="s">
        <v>77</v>
      </c>
      <c r="P2207" s="89" t="s">
        <v>165</v>
      </c>
      <c r="Q2207" s="89" t="s">
        <v>2162</v>
      </c>
      <c r="R2207" s="89" t="s">
        <v>840</v>
      </c>
      <c r="S2207" s="30">
        <v>0</v>
      </c>
      <c r="T2207" s="233">
        <v>0</v>
      </c>
      <c r="U2207" s="30">
        <v>1</v>
      </c>
      <c r="V2207" s="233">
        <v>0</v>
      </c>
      <c r="W2207" s="30">
        <v>0</v>
      </c>
      <c r="X2207" s="30">
        <v>1</v>
      </c>
      <c r="Y2207" s="30">
        <v>0</v>
      </c>
      <c r="Z2207" s="233">
        <v>0</v>
      </c>
      <c r="AA2207" s="30">
        <v>0</v>
      </c>
      <c r="AB2207" s="30">
        <v>0</v>
      </c>
      <c r="AC2207" s="30">
        <v>0</v>
      </c>
      <c r="AD2207" s="30">
        <v>0</v>
      </c>
      <c r="AE2207" s="89" t="s">
        <v>92</v>
      </c>
      <c r="AF2207" s="89"/>
      <c r="AG2207" s="89" t="s">
        <v>352</v>
      </c>
      <c r="AH2207" s="72">
        <v>42496</v>
      </c>
      <c r="AI2207" s="30">
        <v>1</v>
      </c>
      <c r="AJ2207" s="89" t="s">
        <v>12375</v>
      </c>
      <c r="AK2207" s="89" t="s">
        <v>68</v>
      </c>
      <c r="AL2207" s="91">
        <v>42499</v>
      </c>
      <c r="AM2207" s="91"/>
      <c r="AN2207" s="91"/>
      <c r="AO2207" s="91"/>
      <c r="AP2207" s="73" t="e">
        <f>MID(VLOOKUP(K2207,#REF!,2,FALSE),1,2)</f>
        <v>#REF!</v>
      </c>
      <c r="AQ2207" s="89">
        <f>DATE(2016,5,5)</f>
        <v>42495</v>
      </c>
      <c r="AR2207" s="82">
        <f t="shared" si="149"/>
        <v>5</v>
      </c>
      <c r="AS2207" s="83">
        <f t="shared" si="150"/>
        <v>5</v>
      </c>
      <c r="AT2207" s="84">
        <f t="shared" si="151"/>
        <v>2016</v>
      </c>
      <c r="AU2207" s="88">
        <f>DATE(2016,5,9)</f>
        <v>42499</v>
      </c>
      <c r="AV2207" s="88">
        <f>DATE(2016,5,6)</f>
        <v>42496</v>
      </c>
      <c r="AW2207" s="87">
        <f t="shared" si="155"/>
        <v>3</v>
      </c>
      <c r="AX2207" s="88">
        <f>DATE(2016,5,6)</f>
        <v>42496</v>
      </c>
      <c r="AY2207" s="83">
        <f>MONTH(AX2207)</f>
        <v>5</v>
      </c>
      <c r="AZ2207" s="84">
        <f>YEAR(AX2207)</f>
        <v>2016</v>
      </c>
      <c r="BA2207" s="88">
        <f>DATE(2016,5,9)</f>
        <v>42499</v>
      </c>
      <c r="BB2207" s="86"/>
    </row>
    <row r="2208" spans="1:54" ht="36.75" customHeight="1">
      <c r="A2208" s="30"/>
      <c r="B2208" s="30" t="s">
        <v>55</v>
      </c>
      <c r="C2208" s="69" t="str">
        <f t="shared" si="152"/>
        <v>Closed</v>
      </c>
      <c r="D2208" s="27" t="s">
        <v>12376</v>
      </c>
      <c r="E2208" s="29" t="s">
        <v>12377</v>
      </c>
      <c r="F2208" s="30" t="s">
        <v>9789</v>
      </c>
      <c r="G2208" s="89">
        <f>DATE(2016,5,8)</f>
        <v>42498</v>
      </c>
      <c r="H2208" s="90">
        <v>1.7083333333333335</v>
      </c>
      <c r="I2208" s="30" t="s">
        <v>73</v>
      </c>
      <c r="J2208" s="210" t="s">
        <v>12378</v>
      </c>
      <c r="K2208" s="30" t="s">
        <v>9791</v>
      </c>
      <c r="L2208" s="30" t="s">
        <v>12379</v>
      </c>
      <c r="M2208" s="30" t="s">
        <v>63</v>
      </c>
      <c r="N2208" s="30" t="s">
        <v>89</v>
      </c>
      <c r="O2208" s="30" t="s">
        <v>90</v>
      </c>
      <c r="P2208" s="89"/>
      <c r="Q2208" s="89" t="s">
        <v>10257</v>
      </c>
      <c r="R2208" s="89" t="s">
        <v>12380</v>
      </c>
      <c r="S2208" s="30">
        <v>0</v>
      </c>
      <c r="T2208" s="233">
        <v>0</v>
      </c>
      <c r="U2208" s="30">
        <v>0</v>
      </c>
      <c r="V2208" s="233">
        <v>0</v>
      </c>
      <c r="W2208" s="30">
        <v>0</v>
      </c>
      <c r="X2208" s="30">
        <v>0</v>
      </c>
      <c r="Y2208" s="30">
        <v>0</v>
      </c>
      <c r="Z2208" s="233">
        <v>0</v>
      </c>
      <c r="AA2208" s="30">
        <v>0</v>
      </c>
      <c r="AB2208" s="30">
        <v>0</v>
      </c>
      <c r="AC2208" s="30">
        <v>0</v>
      </c>
      <c r="AD2208" s="30">
        <v>0</v>
      </c>
      <c r="AE2208" s="89" t="s">
        <v>92</v>
      </c>
      <c r="AF2208" s="89"/>
      <c r="AG2208" s="89" t="s">
        <v>12381</v>
      </c>
      <c r="AH2208" s="72">
        <v>42499</v>
      </c>
      <c r="AI2208" s="30">
        <v>0</v>
      </c>
      <c r="AJ2208" s="89" t="s">
        <v>12382</v>
      </c>
      <c r="AK2208" s="89" t="s">
        <v>12383</v>
      </c>
      <c r="AL2208" s="91">
        <v>42506</v>
      </c>
      <c r="AM2208" s="91"/>
      <c r="AN2208" s="91"/>
      <c r="AO2208" s="91"/>
      <c r="AP2208" s="73" t="e">
        <f>MID(VLOOKUP(K2208,#REF!,2,FALSE),1,2)</f>
        <v>#REF!</v>
      </c>
      <c r="AQ2208" s="89">
        <f>DATE(2016,5,8)</f>
        <v>42498</v>
      </c>
      <c r="AR2208" s="82">
        <f t="shared" si="149"/>
        <v>8</v>
      </c>
      <c r="AS2208" s="83">
        <f t="shared" si="150"/>
        <v>5</v>
      </c>
      <c r="AT2208" s="84">
        <f t="shared" si="151"/>
        <v>2016</v>
      </c>
      <c r="AU2208" s="88">
        <f>DATE(2016,5,16)</f>
        <v>42506</v>
      </c>
      <c r="AV2208" s="88">
        <f>DATE(2016,5,9)</f>
        <v>42499</v>
      </c>
      <c r="AW2208" s="87">
        <f t="shared" si="155"/>
        <v>7</v>
      </c>
      <c r="AX2208" s="88">
        <f>DATE(2016,5,9)</f>
        <v>42499</v>
      </c>
      <c r="AY2208" s="83">
        <f>MONTH(AX2208)</f>
        <v>5</v>
      </c>
      <c r="AZ2208" s="84">
        <f>YEAR(AX2208)</f>
        <v>2016</v>
      </c>
      <c r="BA2208" s="88">
        <f>DATE(2016,5,12)</f>
        <v>42502</v>
      </c>
      <c r="BB2208" s="86"/>
    </row>
    <row r="2209" spans="1:54" ht="36.75" customHeight="1">
      <c r="A2209" s="30"/>
      <c r="B2209" s="30" t="s">
        <v>55</v>
      </c>
      <c r="C2209" s="69" t="str">
        <f t="shared" si="152"/>
        <v>Closed</v>
      </c>
      <c r="D2209" s="27" t="s">
        <v>12384</v>
      </c>
      <c r="E2209" s="29" t="s">
        <v>12385</v>
      </c>
      <c r="F2209" s="30" t="s">
        <v>124</v>
      </c>
      <c r="G2209" s="89">
        <f>DATE(2016,5,8)</f>
        <v>42498</v>
      </c>
      <c r="H2209" s="90">
        <v>1.1458333333333333</v>
      </c>
      <c r="I2209" s="30" t="s">
        <v>10375</v>
      </c>
      <c r="J2209" s="89" t="s">
        <v>12386</v>
      </c>
      <c r="K2209" s="30" t="s">
        <v>127</v>
      </c>
      <c r="L2209" s="30" t="s">
        <v>12387</v>
      </c>
      <c r="M2209" s="30" t="s">
        <v>63</v>
      </c>
      <c r="N2209" s="30" t="s">
        <v>99</v>
      </c>
      <c r="O2209" s="30" t="s">
        <v>64</v>
      </c>
      <c r="P2209" s="89" t="s">
        <v>301</v>
      </c>
      <c r="Q2209" s="89" t="s">
        <v>6242</v>
      </c>
      <c r="R2209" s="89" t="s">
        <v>167</v>
      </c>
      <c r="S2209" s="30">
        <v>0</v>
      </c>
      <c r="T2209" s="233">
        <v>0</v>
      </c>
      <c r="U2209" s="30">
        <v>0</v>
      </c>
      <c r="V2209" s="233">
        <v>1</v>
      </c>
      <c r="W2209" s="30">
        <v>0</v>
      </c>
      <c r="X2209" s="30">
        <v>1</v>
      </c>
      <c r="Y2209" s="30">
        <v>0</v>
      </c>
      <c r="Z2209" s="233">
        <v>0</v>
      </c>
      <c r="AA2209" s="30">
        <v>0</v>
      </c>
      <c r="AB2209" s="30">
        <v>0</v>
      </c>
      <c r="AC2209" s="30">
        <v>0</v>
      </c>
      <c r="AD2209" s="30">
        <v>0</v>
      </c>
      <c r="AE2209" s="89" t="s">
        <v>92</v>
      </c>
      <c r="AF2209" s="89"/>
      <c r="AG2209" s="89" t="s">
        <v>82</v>
      </c>
      <c r="AH2209" s="72">
        <v>42502</v>
      </c>
      <c r="AI2209" s="30">
        <v>1</v>
      </c>
      <c r="AJ2209" s="89" t="s">
        <v>12388</v>
      </c>
      <c r="AK2209" s="89" t="s">
        <v>68</v>
      </c>
      <c r="AL2209" s="91">
        <v>42503</v>
      </c>
      <c r="AM2209" s="91"/>
      <c r="AN2209" s="91"/>
      <c r="AO2209" s="91"/>
      <c r="AP2209" s="73" t="e">
        <f>MID(VLOOKUP(K2209,#REF!,2,FALSE),1,2)</f>
        <v>#REF!</v>
      </c>
      <c r="AQ2209" s="89">
        <f>DATE(2016,5,8)</f>
        <v>42498</v>
      </c>
      <c r="AR2209" s="82">
        <f t="shared" si="149"/>
        <v>8</v>
      </c>
      <c r="AS2209" s="83">
        <f t="shared" si="150"/>
        <v>5</v>
      </c>
      <c r="AT2209" s="84">
        <f t="shared" si="151"/>
        <v>2016</v>
      </c>
      <c r="AU2209" s="88">
        <f>DATE(2016,5,13)</f>
        <v>42503</v>
      </c>
      <c r="AV2209" s="88">
        <f>DATE(2016,5,12)</f>
        <v>42502</v>
      </c>
      <c r="AW2209" s="87">
        <f t="shared" si="155"/>
        <v>1</v>
      </c>
      <c r="AX2209" s="86"/>
      <c r="AY2209" s="83"/>
      <c r="AZ2209" s="84"/>
      <c r="BA2209" s="86"/>
      <c r="BB2209" s="86"/>
    </row>
    <row r="2210" spans="1:54" ht="36.75" customHeight="1">
      <c r="A2210" s="30"/>
      <c r="B2210" s="30" t="s">
        <v>55</v>
      </c>
      <c r="C2210" s="69" t="str">
        <f t="shared" si="152"/>
        <v>Closed</v>
      </c>
      <c r="D2210" s="27" t="s">
        <v>12389</v>
      </c>
      <c r="E2210" s="29" t="s">
        <v>12390</v>
      </c>
      <c r="F2210" s="30" t="s">
        <v>1572</v>
      </c>
      <c r="G2210" s="89">
        <f>DATE(2016,5,8)</f>
        <v>42498</v>
      </c>
      <c r="H2210" s="90">
        <v>1.9500000000000002</v>
      </c>
      <c r="I2210" s="30" t="s">
        <v>125</v>
      </c>
      <c r="J2210" s="89" t="s">
        <v>12391</v>
      </c>
      <c r="K2210" s="30" t="s">
        <v>1574</v>
      </c>
      <c r="L2210" s="30" t="s">
        <v>12392</v>
      </c>
      <c r="M2210" s="30" t="s">
        <v>63</v>
      </c>
      <c r="N2210" s="30" t="s">
        <v>142</v>
      </c>
      <c r="O2210" s="30" t="s">
        <v>64</v>
      </c>
      <c r="P2210" s="89" t="s">
        <v>78</v>
      </c>
      <c r="Q2210" s="89" t="s">
        <v>1584</v>
      </c>
      <c r="R2210" s="89" t="s">
        <v>6434</v>
      </c>
      <c r="S2210" s="30">
        <v>0</v>
      </c>
      <c r="T2210" s="233">
        <v>0</v>
      </c>
      <c r="U2210" s="30">
        <v>0</v>
      </c>
      <c r="V2210" s="233">
        <v>0</v>
      </c>
      <c r="W2210" s="30">
        <v>0</v>
      </c>
      <c r="X2210" s="30">
        <v>0</v>
      </c>
      <c r="Y2210" s="30">
        <v>0</v>
      </c>
      <c r="Z2210" s="233">
        <v>0</v>
      </c>
      <c r="AA2210" s="30">
        <v>0</v>
      </c>
      <c r="AB2210" s="30">
        <v>0</v>
      </c>
      <c r="AC2210" s="30">
        <v>0</v>
      </c>
      <c r="AD2210" s="30">
        <v>0</v>
      </c>
      <c r="AE2210" s="89" t="s">
        <v>394</v>
      </c>
      <c r="AF2210" s="89"/>
      <c r="AG2210" s="89" t="s">
        <v>133</v>
      </c>
      <c r="AH2210" s="72">
        <v>42500</v>
      </c>
      <c r="AI2210" s="30">
        <v>0</v>
      </c>
      <c r="AJ2210" s="89" t="s">
        <v>12393</v>
      </c>
      <c r="AK2210" s="89" t="s">
        <v>12394</v>
      </c>
      <c r="AL2210" s="91">
        <v>42503</v>
      </c>
      <c r="AM2210" s="91"/>
      <c r="AN2210" s="91"/>
      <c r="AO2210" s="91"/>
      <c r="AP2210" s="73" t="e">
        <f>MID(VLOOKUP(K2210,#REF!,2,FALSE),1,2)</f>
        <v>#REF!</v>
      </c>
      <c r="AQ2210" s="89">
        <f>DATE(2016,5,8)</f>
        <v>42498</v>
      </c>
      <c r="AR2210" s="82">
        <f t="shared" si="149"/>
        <v>8</v>
      </c>
      <c r="AS2210" s="83">
        <f t="shared" si="150"/>
        <v>5</v>
      </c>
      <c r="AT2210" s="84">
        <f t="shared" si="151"/>
        <v>2016</v>
      </c>
      <c r="AU2210" s="88">
        <f>DATE(2016,5,13)</f>
        <v>42503</v>
      </c>
      <c r="AV2210" s="88">
        <f>DATE(2016,5,10)</f>
        <v>42500</v>
      </c>
      <c r="AW2210" s="87">
        <f t="shared" si="155"/>
        <v>3</v>
      </c>
      <c r="AX2210" s="88">
        <f>DATE(2016,5,13)</f>
        <v>42503</v>
      </c>
      <c r="AY2210" s="83">
        <f>MONTH(AX2210)</f>
        <v>5</v>
      </c>
      <c r="AZ2210" s="84">
        <f>YEAR(AX2210)</f>
        <v>2016</v>
      </c>
      <c r="BA2210" s="88">
        <f>DATE(2016,5,8)</f>
        <v>42498</v>
      </c>
      <c r="BB2210" s="86"/>
    </row>
    <row r="2211" spans="1:54" ht="36.75" customHeight="1">
      <c r="A2211" s="30"/>
      <c r="B2211" s="30" t="s">
        <v>55</v>
      </c>
      <c r="C2211" s="69" t="str">
        <f t="shared" si="152"/>
        <v>Closed</v>
      </c>
      <c r="D2211" s="27" t="s">
        <v>12395</v>
      </c>
      <c r="E2211" s="29" t="s">
        <v>12396</v>
      </c>
      <c r="F2211" s="30" t="s">
        <v>9789</v>
      </c>
      <c r="G2211" s="89">
        <f>DATE(2016,5,12)</f>
        <v>42502</v>
      </c>
      <c r="H2211" s="90">
        <v>1.8791666666666669</v>
      </c>
      <c r="I2211" s="30" t="s">
        <v>9419</v>
      </c>
      <c r="J2211" s="210" t="s">
        <v>12397</v>
      </c>
      <c r="K2211" s="30" t="s">
        <v>9791</v>
      </c>
      <c r="L2211" s="30" t="s">
        <v>12398</v>
      </c>
      <c r="M2211" s="30" t="s">
        <v>63</v>
      </c>
      <c r="N2211" s="30" t="s">
        <v>99</v>
      </c>
      <c r="O2211" s="30" t="s">
        <v>77</v>
      </c>
      <c r="P2211" s="89" t="s">
        <v>165</v>
      </c>
      <c r="Q2211" s="89" t="s">
        <v>9960</v>
      </c>
      <c r="R2211" s="89" t="s">
        <v>9794</v>
      </c>
      <c r="S2211" s="30">
        <v>0</v>
      </c>
      <c r="T2211" s="233">
        <v>0</v>
      </c>
      <c r="U2211" s="30">
        <v>0</v>
      </c>
      <c r="V2211" s="233">
        <v>0</v>
      </c>
      <c r="W2211" s="30">
        <v>0</v>
      </c>
      <c r="X2211" s="30">
        <v>0</v>
      </c>
      <c r="Y2211" s="30">
        <v>0</v>
      </c>
      <c r="Z2211" s="233">
        <v>0</v>
      </c>
      <c r="AA2211" s="30">
        <v>0</v>
      </c>
      <c r="AB2211" s="30">
        <v>0</v>
      </c>
      <c r="AC2211" s="30">
        <v>0</v>
      </c>
      <c r="AD2211" s="30">
        <v>0</v>
      </c>
      <c r="AE2211" s="89" t="s">
        <v>92</v>
      </c>
      <c r="AF2211" s="89"/>
      <c r="AG2211" s="89" t="s">
        <v>133</v>
      </c>
      <c r="AH2211" s="72">
        <v>42503</v>
      </c>
      <c r="AI2211" s="30">
        <v>1</v>
      </c>
      <c r="AJ2211" s="89" t="s">
        <v>12399</v>
      </c>
      <c r="AK2211" s="89" t="s">
        <v>12400</v>
      </c>
      <c r="AL2211" s="91">
        <v>42517</v>
      </c>
      <c r="AM2211" s="91"/>
      <c r="AN2211" s="91"/>
      <c r="AO2211" s="91"/>
      <c r="AP2211" s="73" t="e">
        <f>MID(VLOOKUP(K2211,#REF!,2,FALSE),1,2)</f>
        <v>#REF!</v>
      </c>
      <c r="AQ2211" s="89">
        <f>DATE(2016,5,12)</f>
        <v>42502</v>
      </c>
      <c r="AR2211" s="82">
        <f t="shared" si="149"/>
        <v>12</v>
      </c>
      <c r="AS2211" s="83">
        <f t="shared" si="150"/>
        <v>5</v>
      </c>
      <c r="AT2211" s="84">
        <f t="shared" si="151"/>
        <v>2016</v>
      </c>
      <c r="AU2211" s="88">
        <f>DATE(2016,5,27)</f>
        <v>42517</v>
      </c>
      <c r="AV2211" s="88">
        <f>DATE(2016,5,13)</f>
        <v>42503</v>
      </c>
      <c r="AW2211" s="87">
        <f t="shared" si="155"/>
        <v>14</v>
      </c>
      <c r="AX2211" s="88">
        <f>DATE(2016,5,23)</f>
        <v>42513</v>
      </c>
      <c r="AY2211" s="83">
        <f>MONTH(AX2211)</f>
        <v>5</v>
      </c>
      <c r="AZ2211" s="84">
        <f>YEAR(AX2211)</f>
        <v>2016</v>
      </c>
      <c r="BA2211" s="88">
        <f>DATE(2016,5,23)</f>
        <v>42513</v>
      </c>
      <c r="BB2211" s="86"/>
    </row>
    <row r="2212" spans="1:54" ht="36.75" customHeight="1">
      <c r="A2212" s="30"/>
      <c r="B2212" s="30" t="s">
        <v>55</v>
      </c>
      <c r="C2212" s="69" t="str">
        <f t="shared" si="152"/>
        <v>Closed</v>
      </c>
      <c r="D2212" s="27" t="s">
        <v>12401</v>
      </c>
      <c r="E2212" s="29" t="s">
        <v>12402</v>
      </c>
      <c r="F2212" s="30" t="s">
        <v>835</v>
      </c>
      <c r="G2212" s="89">
        <f>DATE(2016,5,16)</f>
        <v>42506</v>
      </c>
      <c r="H2212" s="90">
        <v>1.5013888888888889</v>
      </c>
      <c r="I2212" s="30" t="s">
        <v>116</v>
      </c>
      <c r="J2212" s="89" t="s">
        <v>12403</v>
      </c>
      <c r="K2212" s="30" t="s">
        <v>837</v>
      </c>
      <c r="L2212" s="30" t="s">
        <v>12404</v>
      </c>
      <c r="M2212" s="30" t="s">
        <v>63</v>
      </c>
      <c r="N2212" s="30" t="s">
        <v>99</v>
      </c>
      <c r="O2212" s="30" t="s">
        <v>64</v>
      </c>
      <c r="P2212" s="89" t="s">
        <v>6902</v>
      </c>
      <c r="Q2212" s="89" t="s">
        <v>2162</v>
      </c>
      <c r="R2212" s="89" t="s">
        <v>840</v>
      </c>
      <c r="S2212" s="30">
        <v>0</v>
      </c>
      <c r="T2212" s="233">
        <v>0</v>
      </c>
      <c r="U2212" s="30">
        <v>0</v>
      </c>
      <c r="V2212" s="233">
        <v>0</v>
      </c>
      <c r="W2212" s="30">
        <v>0</v>
      </c>
      <c r="X2212" s="30">
        <v>0</v>
      </c>
      <c r="Y2212" s="30">
        <v>0</v>
      </c>
      <c r="Z2212" s="233">
        <v>0</v>
      </c>
      <c r="AA2212" s="30">
        <v>1</v>
      </c>
      <c r="AB2212" s="30">
        <v>0</v>
      </c>
      <c r="AC2212" s="30">
        <v>0</v>
      </c>
      <c r="AD2212" s="30">
        <v>1</v>
      </c>
      <c r="AE2212" s="89" t="s">
        <v>92</v>
      </c>
      <c r="AF2212" s="89"/>
      <c r="AG2212" s="89" t="s">
        <v>352</v>
      </c>
      <c r="AH2212" s="72">
        <v>42538</v>
      </c>
      <c r="AI2212" s="30">
        <v>1</v>
      </c>
      <c r="AJ2212" s="89" t="s">
        <v>12405</v>
      </c>
      <c r="AK2212" s="89" t="s">
        <v>12406</v>
      </c>
      <c r="AL2212" s="91">
        <v>42544</v>
      </c>
      <c r="AM2212" s="91"/>
      <c r="AN2212" s="91"/>
      <c r="AO2212" s="91"/>
      <c r="AP2212" s="73" t="e">
        <f>MID(VLOOKUP(K2212,#REF!,2,FALSE),1,2)</f>
        <v>#REF!</v>
      </c>
      <c r="AQ2212" s="89">
        <f>DATE(2016,5,16)</f>
        <v>42506</v>
      </c>
      <c r="AR2212" s="82">
        <f t="shared" si="149"/>
        <v>16</v>
      </c>
      <c r="AS2212" s="83">
        <f t="shared" si="150"/>
        <v>5</v>
      </c>
      <c r="AT2212" s="84">
        <f t="shared" si="151"/>
        <v>2016</v>
      </c>
      <c r="AU2212" s="88">
        <f>DATE(2016,6,23)</f>
        <v>42544</v>
      </c>
      <c r="AV2212" s="88">
        <f>DATE(2016,6,17)</f>
        <v>42538</v>
      </c>
      <c r="AW2212" s="87">
        <f t="shared" si="155"/>
        <v>6</v>
      </c>
      <c r="AX2212" s="88">
        <f>DATE(2016,6,17)</f>
        <v>42538</v>
      </c>
      <c r="AY2212" s="83">
        <f>MONTH(AX2212)</f>
        <v>6</v>
      </c>
      <c r="AZ2212" s="84">
        <f>YEAR(AX2212)</f>
        <v>2016</v>
      </c>
      <c r="BA2212" s="88">
        <f>DATE(2016,5,16)</f>
        <v>42506</v>
      </c>
      <c r="BB2212" s="86"/>
    </row>
    <row r="2213" spans="1:54" ht="36.75" customHeight="1">
      <c r="A2213" s="30"/>
      <c r="B2213" s="30" t="s">
        <v>55</v>
      </c>
      <c r="C2213" s="69" t="str">
        <f t="shared" si="152"/>
        <v>Closed</v>
      </c>
      <c r="D2213" s="27" t="s">
        <v>12407</v>
      </c>
      <c r="E2213" s="29" t="s">
        <v>12408</v>
      </c>
      <c r="F2213" s="30" t="s">
        <v>6455</v>
      </c>
      <c r="G2213" s="89">
        <f>DATE(2016,5,19)</f>
        <v>42509</v>
      </c>
      <c r="H2213" s="90">
        <v>1.6416666666666666</v>
      </c>
      <c r="I2213" s="30" t="s">
        <v>156</v>
      </c>
      <c r="J2213" s="89" t="s">
        <v>12409</v>
      </c>
      <c r="K2213" s="30" t="s">
        <v>584</v>
      </c>
      <c r="L2213" s="30" t="s">
        <v>12410</v>
      </c>
      <c r="M2213" s="30" t="s">
        <v>63</v>
      </c>
      <c r="N2213" s="30" t="s">
        <v>142</v>
      </c>
      <c r="O2213" s="30" t="s">
        <v>64</v>
      </c>
      <c r="P2213" s="89" t="s">
        <v>462</v>
      </c>
      <c r="Q2213" s="89" t="s">
        <v>4830</v>
      </c>
      <c r="R2213" s="89" t="s">
        <v>587</v>
      </c>
      <c r="S2213" s="30">
        <v>0</v>
      </c>
      <c r="T2213" s="233">
        <v>0</v>
      </c>
      <c r="U2213" s="30">
        <v>0</v>
      </c>
      <c r="V2213" s="233">
        <v>0</v>
      </c>
      <c r="W2213" s="30">
        <v>0</v>
      </c>
      <c r="X2213" s="30">
        <v>0</v>
      </c>
      <c r="Y2213" s="30">
        <v>0</v>
      </c>
      <c r="Z2213" s="233">
        <v>0</v>
      </c>
      <c r="AA2213" s="30">
        <v>0</v>
      </c>
      <c r="AB2213" s="30">
        <v>0</v>
      </c>
      <c r="AC2213" s="30">
        <v>0</v>
      </c>
      <c r="AD2213" s="30">
        <v>0</v>
      </c>
      <c r="AE2213" s="89" t="s">
        <v>394</v>
      </c>
      <c r="AF2213" s="89" t="s">
        <v>12411</v>
      </c>
      <c r="AG2213" s="89" t="s">
        <v>8859</v>
      </c>
      <c r="AH2213" s="72">
        <v>42517</v>
      </c>
      <c r="AI2213" s="30">
        <v>0</v>
      </c>
      <c r="AJ2213" s="89" t="s">
        <v>12412</v>
      </c>
      <c r="AK2213" s="89" t="s">
        <v>68</v>
      </c>
      <c r="AL2213" s="91">
        <v>42521</v>
      </c>
      <c r="AM2213" s="91"/>
      <c r="AN2213" s="91">
        <v>44979</v>
      </c>
      <c r="AO2213" s="91">
        <v>44978</v>
      </c>
      <c r="AP2213" s="73" t="e">
        <f>MID(VLOOKUP(K2213,#REF!,2,FALSE),1,2)</f>
        <v>#REF!</v>
      </c>
      <c r="AQ2213" s="89">
        <f>DATE(2016,5,19)</f>
        <v>42509</v>
      </c>
      <c r="AR2213" s="82">
        <f t="shared" si="149"/>
        <v>19</v>
      </c>
      <c r="AS2213" s="83">
        <f t="shared" si="150"/>
        <v>5</v>
      </c>
      <c r="AT2213" s="84">
        <f t="shared" si="151"/>
        <v>2016</v>
      </c>
      <c r="AU2213" s="88">
        <f>DATE(2016,5,31)</f>
        <v>42521</v>
      </c>
      <c r="AV2213" s="88">
        <f>DATE(2016,5,27)</f>
        <v>42517</v>
      </c>
      <c r="AW2213" s="87">
        <f t="shared" si="155"/>
        <v>4</v>
      </c>
      <c r="AX2213" s="86"/>
      <c r="AY2213" s="83"/>
      <c r="AZ2213" s="84"/>
      <c r="BA2213" s="86"/>
      <c r="BB2213" s="86"/>
    </row>
    <row r="2214" spans="1:54" ht="36.75" customHeight="1">
      <c r="A2214" s="30"/>
      <c r="B2214" s="30" t="s">
        <v>55</v>
      </c>
      <c r="C2214" s="69" t="str">
        <f t="shared" si="152"/>
        <v>Closed</v>
      </c>
      <c r="D2214" s="27" t="s">
        <v>12413</v>
      </c>
      <c r="E2214" s="29" t="s">
        <v>12414</v>
      </c>
      <c r="F2214" s="30" t="s">
        <v>1572</v>
      </c>
      <c r="G2214" s="89">
        <f>DATE(2016,5,21)</f>
        <v>42511</v>
      </c>
      <c r="H2214" s="90">
        <v>1.2569444444444444</v>
      </c>
      <c r="I2214" s="30" t="s">
        <v>73</v>
      </c>
      <c r="J2214" s="89" t="s">
        <v>12415</v>
      </c>
      <c r="K2214" s="30" t="s">
        <v>1574</v>
      </c>
      <c r="L2214" s="30" t="s">
        <v>12416</v>
      </c>
      <c r="M2214" s="30" t="s">
        <v>63</v>
      </c>
      <c r="N2214" s="30" t="s">
        <v>99</v>
      </c>
      <c r="O2214" s="30" t="s">
        <v>77</v>
      </c>
      <c r="P2214" s="89" t="s">
        <v>78</v>
      </c>
      <c r="Q2214" s="89" t="s">
        <v>2655</v>
      </c>
      <c r="R2214" s="89" t="s">
        <v>6434</v>
      </c>
      <c r="S2214" s="30">
        <v>0</v>
      </c>
      <c r="T2214" s="233">
        <v>0</v>
      </c>
      <c r="U2214" s="30">
        <v>0</v>
      </c>
      <c r="V2214" s="233">
        <v>0</v>
      </c>
      <c r="W2214" s="30">
        <v>0</v>
      </c>
      <c r="X2214" s="30">
        <v>0</v>
      </c>
      <c r="Y2214" s="30">
        <v>0</v>
      </c>
      <c r="Z2214" s="233">
        <v>0</v>
      </c>
      <c r="AA2214" s="30">
        <v>0</v>
      </c>
      <c r="AB2214" s="30">
        <v>0</v>
      </c>
      <c r="AC2214" s="30">
        <v>0</v>
      </c>
      <c r="AD2214" s="30">
        <v>0</v>
      </c>
      <c r="AE2214" s="89" t="s">
        <v>92</v>
      </c>
      <c r="AF2214" s="89"/>
      <c r="AG2214" s="89" t="s">
        <v>133</v>
      </c>
      <c r="AH2214" s="72">
        <v>42513</v>
      </c>
      <c r="AI2214" s="30">
        <v>0</v>
      </c>
      <c r="AJ2214" s="89" t="s">
        <v>12417</v>
      </c>
      <c r="AK2214" s="89" t="s">
        <v>12418</v>
      </c>
      <c r="AL2214" s="91">
        <v>42515</v>
      </c>
      <c r="AM2214" s="91"/>
      <c r="AN2214" s="91"/>
      <c r="AO2214" s="91"/>
      <c r="AP2214" s="73" t="e">
        <f>MID(VLOOKUP(K2214,#REF!,2,FALSE),1,2)</f>
        <v>#REF!</v>
      </c>
      <c r="AQ2214" s="89">
        <f>DATE(2016,5,21)</f>
        <v>42511</v>
      </c>
      <c r="AR2214" s="82">
        <f t="shared" si="149"/>
        <v>21</v>
      </c>
      <c r="AS2214" s="83">
        <f t="shared" si="150"/>
        <v>5</v>
      </c>
      <c r="AT2214" s="84">
        <f t="shared" si="151"/>
        <v>2016</v>
      </c>
      <c r="AU2214" s="88">
        <f>DATE(2016,5,25)</f>
        <v>42515</v>
      </c>
      <c r="AV2214" s="88">
        <f>DATE(2016,5,23)</f>
        <v>42513</v>
      </c>
      <c r="AW2214" s="87">
        <f t="shared" si="155"/>
        <v>2</v>
      </c>
      <c r="AX2214" s="88">
        <f>DATE(2016,5,25)</f>
        <v>42515</v>
      </c>
      <c r="AY2214" s="83">
        <f>MONTH(AX2214)</f>
        <v>5</v>
      </c>
      <c r="AZ2214" s="84">
        <f>YEAR(AX2214)</f>
        <v>2016</v>
      </c>
      <c r="BA2214" s="88">
        <f>DATE(2016,5,21)</f>
        <v>42511</v>
      </c>
      <c r="BB2214" s="86"/>
    </row>
    <row r="2215" spans="1:54" ht="36.75" customHeight="1">
      <c r="A2215" s="30"/>
      <c r="B2215" s="30" t="s">
        <v>55</v>
      </c>
      <c r="C2215" s="69" t="str">
        <f t="shared" si="152"/>
        <v>Closed</v>
      </c>
      <c r="D2215" s="27" t="s">
        <v>12419</v>
      </c>
      <c r="E2215" s="29" t="s">
        <v>12420</v>
      </c>
      <c r="F2215" s="30" t="s">
        <v>835</v>
      </c>
      <c r="G2215" s="89">
        <f>DATE(2016,5,22)</f>
        <v>42512</v>
      </c>
      <c r="H2215" s="90">
        <v>1.6722222222222221</v>
      </c>
      <c r="I2215" s="30" t="s">
        <v>73</v>
      </c>
      <c r="J2215" s="89" t="s">
        <v>12421</v>
      </c>
      <c r="K2215" s="30" t="s">
        <v>837</v>
      </c>
      <c r="L2215" s="30" t="s">
        <v>12422</v>
      </c>
      <c r="M2215" s="30" t="s">
        <v>255</v>
      </c>
      <c r="N2215" s="30" t="s">
        <v>99</v>
      </c>
      <c r="O2215" s="30" t="s">
        <v>77</v>
      </c>
      <c r="P2215" s="89" t="s">
        <v>6552</v>
      </c>
      <c r="Q2215" s="89" t="s">
        <v>4210</v>
      </c>
      <c r="R2215" s="89" t="s">
        <v>4210</v>
      </c>
      <c r="S2215" s="30">
        <v>0</v>
      </c>
      <c r="T2215" s="233">
        <v>0</v>
      </c>
      <c r="U2215" s="30">
        <v>0</v>
      </c>
      <c r="V2215" s="233">
        <v>0</v>
      </c>
      <c r="W2215" s="30">
        <v>0</v>
      </c>
      <c r="X2215" s="30">
        <v>0</v>
      </c>
      <c r="Y2215" s="30">
        <v>0</v>
      </c>
      <c r="Z2215" s="233">
        <v>0</v>
      </c>
      <c r="AA2215" s="30">
        <v>0</v>
      </c>
      <c r="AB2215" s="30">
        <v>0</v>
      </c>
      <c r="AC2215" s="30">
        <v>0</v>
      </c>
      <c r="AD2215" s="30">
        <v>0</v>
      </c>
      <c r="AE2215" s="89" t="s">
        <v>92</v>
      </c>
      <c r="AF2215" s="89"/>
      <c r="AG2215" s="89" t="s">
        <v>133</v>
      </c>
      <c r="AH2215" s="72">
        <v>42512</v>
      </c>
      <c r="AI2215" s="30">
        <v>0</v>
      </c>
      <c r="AJ2215" s="89" t="s">
        <v>12423</v>
      </c>
      <c r="AK2215" s="89" t="s">
        <v>68</v>
      </c>
      <c r="AL2215" s="91">
        <v>42514</v>
      </c>
      <c r="AM2215" s="91"/>
      <c r="AN2215" s="91"/>
      <c r="AO2215" s="91"/>
      <c r="AP2215" s="73" t="e">
        <f>MID(VLOOKUP(K2215,#REF!,2,FALSE),1,2)</f>
        <v>#REF!</v>
      </c>
      <c r="AQ2215" s="89">
        <f>DATE(2016,5,22)</f>
        <v>42512</v>
      </c>
      <c r="AR2215" s="82">
        <f t="shared" si="149"/>
        <v>22</v>
      </c>
      <c r="AS2215" s="83">
        <f t="shared" si="150"/>
        <v>5</v>
      </c>
      <c r="AT2215" s="84">
        <f t="shared" si="151"/>
        <v>2016</v>
      </c>
      <c r="AU2215" s="88">
        <f>DATE(2016,5,24)</f>
        <v>42514</v>
      </c>
      <c r="AV2215" s="88">
        <f>DATE(2016,5,22)</f>
        <v>42512</v>
      </c>
      <c r="AW2215" s="87">
        <f t="shared" ref="AW2215:AW2237" si="156">AU2215-AV2215</f>
        <v>2</v>
      </c>
      <c r="AX2215" s="88">
        <f>DATE(2016,5,22)</f>
        <v>42512</v>
      </c>
      <c r="AY2215" s="83">
        <f>MONTH(AX2215)</f>
        <v>5</v>
      </c>
      <c r="AZ2215" s="84">
        <f>YEAR(AX2215)</f>
        <v>2016</v>
      </c>
      <c r="BA2215" s="88">
        <f>DATE(2016,5,22)</f>
        <v>42512</v>
      </c>
      <c r="BB2215" s="86"/>
    </row>
    <row r="2216" spans="1:54" ht="36.75" customHeight="1">
      <c r="A2216" s="30"/>
      <c r="B2216" s="30" t="s">
        <v>55</v>
      </c>
      <c r="C2216" s="69" t="str">
        <f t="shared" si="152"/>
        <v>Closed</v>
      </c>
      <c r="D2216" s="27" t="s">
        <v>12424</v>
      </c>
      <c r="E2216" s="29" t="s">
        <v>12425</v>
      </c>
      <c r="F2216" s="30" t="s">
        <v>451</v>
      </c>
      <c r="G2216" s="89">
        <f>DATE(2016,5,23)</f>
        <v>42513</v>
      </c>
      <c r="H2216" s="90">
        <v>1.7166666666666668</v>
      </c>
      <c r="I2216" s="30" t="s">
        <v>116</v>
      </c>
      <c r="J2216" s="89" t="s">
        <v>12426</v>
      </c>
      <c r="K2216" s="30" t="s">
        <v>453</v>
      </c>
      <c r="L2216" s="30" t="s">
        <v>12427</v>
      </c>
      <c r="M2216" s="30" t="s">
        <v>63</v>
      </c>
      <c r="N2216" s="30" t="s">
        <v>99</v>
      </c>
      <c r="O2216" s="30" t="s">
        <v>77</v>
      </c>
      <c r="P2216" s="89" t="s">
        <v>165</v>
      </c>
      <c r="Q2216" s="89" t="s">
        <v>571</v>
      </c>
      <c r="R2216" s="89" t="s">
        <v>572</v>
      </c>
      <c r="S2216" s="30">
        <v>0</v>
      </c>
      <c r="T2216" s="233">
        <v>0</v>
      </c>
      <c r="U2216" s="30">
        <v>1</v>
      </c>
      <c r="V2216" s="233">
        <v>0</v>
      </c>
      <c r="W2216" s="30">
        <v>0</v>
      </c>
      <c r="X2216" s="30">
        <v>1</v>
      </c>
      <c r="Y2216" s="30">
        <v>0</v>
      </c>
      <c r="Z2216" s="233">
        <v>0</v>
      </c>
      <c r="AA2216" s="30">
        <v>0</v>
      </c>
      <c r="AB2216" s="30">
        <v>0</v>
      </c>
      <c r="AC2216" s="30">
        <v>0</v>
      </c>
      <c r="AD2216" s="30">
        <v>0</v>
      </c>
      <c r="AE2216" s="89" t="s">
        <v>92</v>
      </c>
      <c r="AF2216" s="89"/>
      <c r="AG2216" s="89" t="s">
        <v>82</v>
      </c>
      <c r="AH2216" s="72">
        <v>42513</v>
      </c>
      <c r="AI2216" s="30">
        <v>3</v>
      </c>
      <c r="AJ2216" s="89" t="s">
        <v>12428</v>
      </c>
      <c r="AK2216" s="89" t="s">
        <v>12429</v>
      </c>
      <c r="AL2216" s="91">
        <v>42831</v>
      </c>
      <c r="AM2216" s="91"/>
      <c r="AN2216" s="91"/>
      <c r="AO2216" s="91"/>
      <c r="AP2216" s="73" t="e">
        <f>MID(VLOOKUP(K2216,#REF!,2,FALSE),1,2)</f>
        <v>#REF!</v>
      </c>
      <c r="AQ2216" s="89">
        <f>DATE(2016,5,23)</f>
        <v>42513</v>
      </c>
      <c r="AR2216" s="82">
        <f t="shared" si="149"/>
        <v>23</v>
      </c>
      <c r="AS2216" s="83">
        <f t="shared" si="150"/>
        <v>5</v>
      </c>
      <c r="AT2216" s="84">
        <f t="shared" si="151"/>
        <v>2016</v>
      </c>
      <c r="AU2216" s="88">
        <f>DATE(2017,4,6)</f>
        <v>42831</v>
      </c>
      <c r="AV2216" s="88">
        <f>DATE(2016,5,23)</f>
        <v>42513</v>
      </c>
      <c r="AW2216" s="87">
        <f t="shared" si="156"/>
        <v>318</v>
      </c>
      <c r="AX2216" s="86"/>
      <c r="AY2216" s="83"/>
      <c r="AZ2216" s="84"/>
      <c r="BA2216" s="86"/>
      <c r="BB2216" s="86"/>
    </row>
    <row r="2217" spans="1:54" ht="36.75" customHeight="1">
      <c r="A2217" s="30"/>
      <c r="B2217" s="30" t="s">
        <v>55</v>
      </c>
      <c r="C2217" s="69" t="str">
        <f t="shared" si="152"/>
        <v>Closed</v>
      </c>
      <c r="D2217" s="27" t="s">
        <v>12430</v>
      </c>
      <c r="E2217" s="29" t="s">
        <v>12431</v>
      </c>
      <c r="F2217" s="30" t="s">
        <v>1572</v>
      </c>
      <c r="G2217" s="89">
        <f>DATE(2016,5,25)</f>
        <v>42515</v>
      </c>
      <c r="H2217" s="90">
        <v>1.6979166666666665</v>
      </c>
      <c r="I2217" s="30" t="s">
        <v>73</v>
      </c>
      <c r="J2217" s="89" t="s">
        <v>12432</v>
      </c>
      <c r="K2217" s="30" t="s">
        <v>1574</v>
      </c>
      <c r="L2217" s="30" t="s">
        <v>12433</v>
      </c>
      <c r="M2217" s="30" t="s">
        <v>63</v>
      </c>
      <c r="N2217" s="30" t="s">
        <v>99</v>
      </c>
      <c r="O2217" s="30" t="s">
        <v>64</v>
      </c>
      <c r="P2217" s="89" t="s">
        <v>78</v>
      </c>
      <c r="Q2217" s="89" t="s">
        <v>9461</v>
      </c>
      <c r="R2217" s="89" t="s">
        <v>6434</v>
      </c>
      <c r="S2217" s="30">
        <v>0</v>
      </c>
      <c r="T2217" s="233">
        <v>0</v>
      </c>
      <c r="U2217" s="30">
        <v>0</v>
      </c>
      <c r="V2217" s="233">
        <v>0</v>
      </c>
      <c r="W2217" s="30">
        <v>0</v>
      </c>
      <c r="X2217" s="30">
        <v>0</v>
      </c>
      <c r="Y2217" s="30">
        <v>0</v>
      </c>
      <c r="Z2217" s="233">
        <v>0</v>
      </c>
      <c r="AA2217" s="30">
        <v>0</v>
      </c>
      <c r="AB2217" s="30">
        <v>0</v>
      </c>
      <c r="AC2217" s="30">
        <v>0</v>
      </c>
      <c r="AD2217" s="30">
        <v>0</v>
      </c>
      <c r="AE2217" s="89" t="s">
        <v>394</v>
      </c>
      <c r="AF2217" s="89"/>
      <c r="AG2217" s="89" t="s">
        <v>133</v>
      </c>
      <c r="AH2217" s="72">
        <v>42516</v>
      </c>
      <c r="AI2217" s="30">
        <v>0</v>
      </c>
      <c r="AJ2217" s="89" t="s">
        <v>12434</v>
      </c>
      <c r="AK2217" s="89" t="s">
        <v>12435</v>
      </c>
      <c r="AL2217" s="91">
        <v>42520</v>
      </c>
      <c r="AM2217" s="91"/>
      <c r="AN2217" s="91"/>
      <c r="AO2217" s="91"/>
      <c r="AP2217" s="73" t="e">
        <f>MID(VLOOKUP(K2217,#REF!,2,FALSE),1,2)</f>
        <v>#REF!</v>
      </c>
      <c r="AQ2217" s="89">
        <f>DATE(2016,5,25)</f>
        <v>42515</v>
      </c>
      <c r="AR2217" s="82">
        <f t="shared" si="149"/>
        <v>25</v>
      </c>
      <c r="AS2217" s="83">
        <f t="shared" si="150"/>
        <v>5</v>
      </c>
      <c r="AT2217" s="84">
        <f t="shared" si="151"/>
        <v>2016</v>
      </c>
      <c r="AU2217" s="88">
        <f>DATE(2016,5,30)</f>
        <v>42520</v>
      </c>
      <c r="AV2217" s="88">
        <f>DATE(2016,5,26)</f>
        <v>42516</v>
      </c>
      <c r="AW2217" s="87">
        <f t="shared" si="156"/>
        <v>4</v>
      </c>
      <c r="AX2217" s="88">
        <f>DATE(2016,5,30)</f>
        <v>42520</v>
      </c>
      <c r="AY2217" s="83">
        <f>MONTH(AX2217)</f>
        <v>5</v>
      </c>
      <c r="AZ2217" s="84">
        <f>YEAR(AX2217)</f>
        <v>2016</v>
      </c>
      <c r="BA2217" s="88">
        <f>DATE(2016,5,25)</f>
        <v>42515</v>
      </c>
      <c r="BB2217" s="86"/>
    </row>
    <row r="2218" spans="1:54" ht="36.75" customHeight="1">
      <c r="A2218" s="30"/>
      <c r="B2218" s="30" t="s">
        <v>55</v>
      </c>
      <c r="C2218" s="69" t="str">
        <f t="shared" si="152"/>
        <v>Closed</v>
      </c>
      <c r="D2218" s="27" t="s">
        <v>12436</v>
      </c>
      <c r="E2218" s="29" t="s">
        <v>12437</v>
      </c>
      <c r="F2218" s="30" t="s">
        <v>138</v>
      </c>
      <c r="G2218" s="89">
        <f>DATE(2016,5,25)</f>
        <v>42515</v>
      </c>
      <c r="H2218" s="90">
        <v>1.0173611111111112</v>
      </c>
      <c r="I2218" s="30" t="s">
        <v>278</v>
      </c>
      <c r="J2218" s="89" t="s">
        <v>12438</v>
      </c>
      <c r="K2218" s="30" t="s">
        <v>140</v>
      </c>
      <c r="L2218" s="30" t="s">
        <v>12439</v>
      </c>
      <c r="M2218" s="30" t="s">
        <v>63</v>
      </c>
      <c r="N2218" s="30" t="s">
        <v>89</v>
      </c>
      <c r="O2218" s="30" t="s">
        <v>77</v>
      </c>
      <c r="P2218" s="89" t="s">
        <v>6941</v>
      </c>
      <c r="Q2218" s="89" t="s">
        <v>2034</v>
      </c>
      <c r="R2218" s="89" t="s">
        <v>4934</v>
      </c>
      <c r="S2218" s="30">
        <v>0</v>
      </c>
      <c r="T2218" s="233">
        <v>0</v>
      </c>
      <c r="U2218" s="30">
        <v>0</v>
      </c>
      <c r="V2218" s="233">
        <v>0</v>
      </c>
      <c r="W2218" s="30">
        <v>0</v>
      </c>
      <c r="X2218" s="30">
        <v>0</v>
      </c>
      <c r="Y2218" s="30">
        <v>0</v>
      </c>
      <c r="Z2218" s="233">
        <v>1</v>
      </c>
      <c r="AA2218" s="30">
        <v>0</v>
      </c>
      <c r="AB2218" s="30">
        <v>0</v>
      </c>
      <c r="AC2218" s="30">
        <v>0</v>
      </c>
      <c r="AD2218" s="30">
        <v>1</v>
      </c>
      <c r="AE2218" s="89" t="s">
        <v>92</v>
      </c>
      <c r="AF2218" s="89"/>
      <c r="AG2218" s="89" t="s">
        <v>82</v>
      </c>
      <c r="AH2218" s="72">
        <v>42517</v>
      </c>
      <c r="AI2218" s="30">
        <v>0</v>
      </c>
      <c r="AJ2218" s="89" t="s">
        <v>12440</v>
      </c>
      <c r="AK2218" s="89" t="s">
        <v>12441</v>
      </c>
      <c r="AL2218" s="91">
        <v>42556</v>
      </c>
      <c r="AM2218" s="91"/>
      <c r="AN2218" s="91"/>
      <c r="AO2218" s="91"/>
      <c r="AP2218" s="73" t="e">
        <f>MID(VLOOKUP(K2218,#REF!,2,FALSE),1,2)</f>
        <v>#REF!</v>
      </c>
      <c r="AQ2218" s="89">
        <f>DATE(2016,5,25)</f>
        <v>42515</v>
      </c>
      <c r="AR2218" s="82">
        <f t="shared" si="149"/>
        <v>25</v>
      </c>
      <c r="AS2218" s="83">
        <f t="shared" si="150"/>
        <v>5</v>
      </c>
      <c r="AT2218" s="84">
        <f t="shared" si="151"/>
        <v>2016</v>
      </c>
      <c r="AU2218" s="88">
        <f>DATE(2016,7,5)</f>
        <v>42556</v>
      </c>
      <c r="AV2218" s="88">
        <f>DATE(2016,5,27)</f>
        <v>42517</v>
      </c>
      <c r="AW2218" s="87">
        <f t="shared" si="156"/>
        <v>39</v>
      </c>
      <c r="AX2218" s="88">
        <f>DATE(2016,5,30)</f>
        <v>42520</v>
      </c>
      <c r="AY2218" s="83">
        <f>MONTH(AX2218)</f>
        <v>5</v>
      </c>
      <c r="AZ2218" s="84">
        <f>YEAR(AX2218)</f>
        <v>2016</v>
      </c>
      <c r="BA2218" s="88">
        <f>DATE(2016,5,30)</f>
        <v>42520</v>
      </c>
      <c r="BB2218" s="86"/>
    </row>
    <row r="2219" spans="1:54" ht="36.75" customHeight="1">
      <c r="A2219" s="30"/>
      <c r="B2219" s="30" t="s">
        <v>55</v>
      </c>
      <c r="C2219" s="69" t="str">
        <f t="shared" si="152"/>
        <v>Closed</v>
      </c>
      <c r="D2219" s="27" t="s">
        <v>12442</v>
      </c>
      <c r="E2219" s="29" t="s">
        <v>12443</v>
      </c>
      <c r="F2219" s="30" t="s">
        <v>423</v>
      </c>
      <c r="G2219" s="89">
        <f>DATE(2016,5,26)</f>
        <v>42516</v>
      </c>
      <c r="H2219" s="90">
        <v>1.2743055555555556</v>
      </c>
      <c r="I2219" s="30" t="s">
        <v>73</v>
      </c>
      <c r="J2219" s="89" t="s">
        <v>12444</v>
      </c>
      <c r="K2219" s="30" t="s">
        <v>425</v>
      </c>
      <c r="L2219" s="30" t="s">
        <v>12445</v>
      </c>
      <c r="M2219" s="30" t="s">
        <v>63</v>
      </c>
      <c r="N2219" s="30" t="s">
        <v>99</v>
      </c>
      <c r="O2219" s="30" t="s">
        <v>64</v>
      </c>
      <c r="P2219" s="89" t="s">
        <v>78</v>
      </c>
      <c r="Q2219" s="89" t="s">
        <v>2582</v>
      </c>
      <c r="R2219" s="89" t="s">
        <v>3103</v>
      </c>
      <c r="S2219" s="30">
        <v>0</v>
      </c>
      <c r="T2219" s="233">
        <v>0</v>
      </c>
      <c r="U2219" s="30">
        <v>0</v>
      </c>
      <c r="V2219" s="233">
        <v>0</v>
      </c>
      <c r="W2219" s="30">
        <v>0</v>
      </c>
      <c r="X2219" s="30">
        <v>0</v>
      </c>
      <c r="Y2219" s="30">
        <v>0</v>
      </c>
      <c r="Z2219" s="233">
        <v>0</v>
      </c>
      <c r="AA2219" s="30">
        <v>0</v>
      </c>
      <c r="AB2219" s="30">
        <v>0</v>
      </c>
      <c r="AC2219" s="30">
        <v>0</v>
      </c>
      <c r="AD2219" s="30">
        <v>0</v>
      </c>
      <c r="AE2219" s="89" t="s">
        <v>394</v>
      </c>
      <c r="AF2219" s="89"/>
      <c r="AG2219" s="89" t="s">
        <v>82</v>
      </c>
      <c r="AH2219" s="72">
        <v>42516</v>
      </c>
      <c r="AI2219" s="30">
        <v>1</v>
      </c>
      <c r="AJ2219" s="89" t="s">
        <v>12446</v>
      </c>
      <c r="AK2219" s="89" t="s">
        <v>12447</v>
      </c>
      <c r="AL2219" s="91">
        <v>42520</v>
      </c>
      <c r="AM2219" s="91"/>
      <c r="AN2219" s="91"/>
      <c r="AO2219" s="91"/>
      <c r="AP2219" s="73" t="e">
        <f>MID(VLOOKUP(K2219,#REF!,2,FALSE),1,2)</f>
        <v>#REF!</v>
      </c>
      <c r="AQ2219" s="89">
        <f>DATE(2016,5,26)</f>
        <v>42516</v>
      </c>
      <c r="AR2219" s="82">
        <f t="shared" si="149"/>
        <v>26</v>
      </c>
      <c r="AS2219" s="83">
        <f t="shared" si="150"/>
        <v>5</v>
      </c>
      <c r="AT2219" s="84">
        <f t="shared" si="151"/>
        <v>2016</v>
      </c>
      <c r="AU2219" s="88">
        <f>DATE(2016,5,30)</f>
        <v>42520</v>
      </c>
      <c r="AV2219" s="88">
        <f>DATE(2016,5,26)</f>
        <v>42516</v>
      </c>
      <c r="AW2219" s="87">
        <f t="shared" si="156"/>
        <v>4</v>
      </c>
      <c r="AX2219" s="86"/>
      <c r="AY2219" s="83"/>
      <c r="AZ2219" s="84"/>
      <c r="BA2219" s="86"/>
      <c r="BB2219" s="86"/>
    </row>
    <row r="2220" spans="1:54" ht="36.75" customHeight="1">
      <c r="A2220" s="30"/>
      <c r="B2220" s="30" t="s">
        <v>55</v>
      </c>
      <c r="C2220" s="69" t="str">
        <f t="shared" si="152"/>
        <v>Closed</v>
      </c>
      <c r="D2220" s="27" t="s">
        <v>12448</v>
      </c>
      <c r="E2220" s="29" t="s">
        <v>12449</v>
      </c>
      <c r="F2220" s="30" t="s">
        <v>423</v>
      </c>
      <c r="G2220" s="89">
        <f>DATE(2016,5,27)</f>
        <v>42517</v>
      </c>
      <c r="H2220" s="90">
        <v>1.4638888888888888</v>
      </c>
      <c r="I2220" s="30" t="s">
        <v>73</v>
      </c>
      <c r="J2220" s="89" t="s">
        <v>12450</v>
      </c>
      <c r="K2220" s="30" t="s">
        <v>425</v>
      </c>
      <c r="L2220" s="30" t="s">
        <v>12451</v>
      </c>
      <c r="M2220" s="30" t="s">
        <v>63</v>
      </c>
      <c r="N2220" s="30" t="s">
        <v>142</v>
      </c>
      <c r="O2220" s="30" t="s">
        <v>77</v>
      </c>
      <c r="P2220" s="89" t="s">
        <v>65</v>
      </c>
      <c r="Q2220" s="89" t="s">
        <v>4551</v>
      </c>
      <c r="R2220" s="89" t="s">
        <v>3103</v>
      </c>
      <c r="S2220" s="30">
        <v>0</v>
      </c>
      <c r="T2220" s="233">
        <v>0</v>
      </c>
      <c r="U2220" s="30">
        <v>0</v>
      </c>
      <c r="V2220" s="233">
        <v>0</v>
      </c>
      <c r="W2220" s="30">
        <v>0</v>
      </c>
      <c r="X2220" s="30">
        <v>0</v>
      </c>
      <c r="Y2220" s="30">
        <v>0</v>
      </c>
      <c r="Z2220" s="233">
        <v>0</v>
      </c>
      <c r="AA2220" s="30">
        <v>0</v>
      </c>
      <c r="AB2220" s="30">
        <v>0</v>
      </c>
      <c r="AC2220" s="30">
        <v>0</v>
      </c>
      <c r="AD2220" s="30">
        <v>0</v>
      </c>
      <c r="AE2220" s="89" t="s">
        <v>92</v>
      </c>
      <c r="AF2220" s="89"/>
      <c r="AG2220" s="89" t="s">
        <v>352</v>
      </c>
      <c r="AH2220" s="72">
        <v>42566</v>
      </c>
      <c r="AI2220" s="30">
        <v>1</v>
      </c>
      <c r="AJ2220" s="89" t="s">
        <v>12452</v>
      </c>
      <c r="AK2220" s="89" t="s">
        <v>12453</v>
      </c>
      <c r="AL2220" s="91">
        <v>42521</v>
      </c>
      <c r="AM2220" s="91"/>
      <c r="AN2220" s="91"/>
      <c r="AO2220" s="91"/>
      <c r="AP2220" s="73" t="e">
        <f>MID(VLOOKUP(K2220,#REF!,2,FALSE),1,2)</f>
        <v>#REF!</v>
      </c>
      <c r="AQ2220" s="89">
        <f>DATE(2016,5,27)</f>
        <v>42517</v>
      </c>
      <c r="AR2220" s="82">
        <f t="shared" si="149"/>
        <v>27</v>
      </c>
      <c r="AS2220" s="83">
        <f t="shared" si="150"/>
        <v>5</v>
      </c>
      <c r="AT2220" s="84">
        <f t="shared" si="151"/>
        <v>2016</v>
      </c>
      <c r="AU2220" s="88">
        <f>DATE(2016,5,31)</f>
        <v>42521</v>
      </c>
      <c r="AV2220" s="88">
        <f>DATE(2016,7,15)</f>
        <v>42566</v>
      </c>
      <c r="AW2220" s="87">
        <f t="shared" si="156"/>
        <v>-45</v>
      </c>
      <c r="AX2220" s="86"/>
      <c r="AY2220" s="83"/>
      <c r="AZ2220" s="84"/>
      <c r="BA2220" s="86"/>
      <c r="BB2220" s="86"/>
    </row>
    <row r="2221" spans="1:54" ht="36.75" customHeight="1">
      <c r="A2221" s="30"/>
      <c r="B2221" s="30" t="s">
        <v>55</v>
      </c>
      <c r="C2221" s="69" t="str">
        <f t="shared" si="152"/>
        <v>Closed</v>
      </c>
      <c r="D2221" s="27" t="s">
        <v>12454</v>
      </c>
      <c r="E2221" s="29" t="s">
        <v>12455</v>
      </c>
      <c r="F2221" s="30" t="s">
        <v>638</v>
      </c>
      <c r="G2221" s="89">
        <f>DATE(2016,5,28)</f>
        <v>42518</v>
      </c>
      <c r="H2221" s="90">
        <v>1.4104166666666667</v>
      </c>
      <c r="I2221" s="30" t="s">
        <v>104</v>
      </c>
      <c r="J2221" s="89" t="s">
        <v>12456</v>
      </c>
      <c r="K2221" s="30" t="s">
        <v>640</v>
      </c>
      <c r="L2221" s="30" t="s">
        <v>12457</v>
      </c>
      <c r="M2221" s="30" t="s">
        <v>63</v>
      </c>
      <c r="N2221" s="30" t="s">
        <v>142</v>
      </c>
      <c r="O2221" s="30" t="s">
        <v>77</v>
      </c>
      <c r="P2221" s="89" t="s">
        <v>165</v>
      </c>
      <c r="Q2221" s="89" t="s">
        <v>642</v>
      </c>
      <c r="R2221" s="89" t="s">
        <v>643</v>
      </c>
      <c r="S2221" s="30">
        <v>0</v>
      </c>
      <c r="T2221" s="233">
        <v>0</v>
      </c>
      <c r="U2221" s="30">
        <v>0</v>
      </c>
      <c r="V2221" s="233">
        <v>0</v>
      </c>
      <c r="W2221" s="30">
        <v>0</v>
      </c>
      <c r="X2221" s="30">
        <v>0</v>
      </c>
      <c r="Y2221" s="30">
        <v>0</v>
      </c>
      <c r="Z2221" s="233">
        <v>0</v>
      </c>
      <c r="AA2221" s="30">
        <v>0</v>
      </c>
      <c r="AB2221" s="30">
        <v>0</v>
      </c>
      <c r="AC2221" s="30">
        <v>0</v>
      </c>
      <c r="AD2221" s="30">
        <v>0</v>
      </c>
      <c r="AE2221" s="89" t="s">
        <v>92</v>
      </c>
      <c r="AF2221" s="89"/>
      <c r="AG2221" s="89" t="s">
        <v>352</v>
      </c>
      <c r="AH2221" s="72">
        <v>42549</v>
      </c>
      <c r="AI2221" s="30">
        <v>1</v>
      </c>
      <c r="AJ2221" s="89" t="s">
        <v>12458</v>
      </c>
      <c r="AK2221" s="89" t="s">
        <v>12459</v>
      </c>
      <c r="AL2221" s="91">
        <v>42555</v>
      </c>
      <c r="AM2221" s="91"/>
      <c r="AN2221" s="91"/>
      <c r="AO2221" s="91"/>
      <c r="AP2221" s="73" t="e">
        <f>MID(VLOOKUP(K2221,#REF!,2,FALSE),1,2)</f>
        <v>#REF!</v>
      </c>
      <c r="AQ2221" s="89">
        <f>DATE(2016,5,28)</f>
        <v>42518</v>
      </c>
      <c r="AR2221" s="82">
        <f t="shared" si="149"/>
        <v>28</v>
      </c>
      <c r="AS2221" s="83">
        <f t="shared" si="150"/>
        <v>5</v>
      </c>
      <c r="AT2221" s="84">
        <f t="shared" si="151"/>
        <v>2016</v>
      </c>
      <c r="AU2221" s="88">
        <f>DATE(2016,7,7)</f>
        <v>42558</v>
      </c>
      <c r="AV2221" s="88">
        <f>DATE(2016,6,29)</f>
        <v>42550</v>
      </c>
      <c r="AW2221" s="87">
        <f t="shared" si="156"/>
        <v>8</v>
      </c>
      <c r="AX2221" s="86"/>
      <c r="AY2221" s="83"/>
      <c r="AZ2221" s="84"/>
      <c r="BA2221" s="86"/>
      <c r="BB2221" s="86"/>
    </row>
    <row r="2222" spans="1:54" ht="36.75" customHeight="1">
      <c r="A2222" s="30"/>
      <c r="B2222" s="30" t="s">
        <v>55</v>
      </c>
      <c r="C2222" s="69" t="str">
        <f t="shared" si="152"/>
        <v>Closed</v>
      </c>
      <c r="D2222" s="27" t="s">
        <v>12460</v>
      </c>
      <c r="E2222" s="29" t="s">
        <v>12461</v>
      </c>
      <c r="F2222" s="30" t="s">
        <v>1572</v>
      </c>
      <c r="G2222" s="89">
        <f>DATE(2016,5,28)</f>
        <v>42518</v>
      </c>
      <c r="H2222" s="90">
        <v>1.6944444444444446</v>
      </c>
      <c r="I2222" s="30" t="s">
        <v>73</v>
      </c>
      <c r="J2222" s="89" t="s">
        <v>12462</v>
      </c>
      <c r="K2222" s="30" t="s">
        <v>1574</v>
      </c>
      <c r="L2222" s="30" t="s">
        <v>12463</v>
      </c>
      <c r="M2222" s="30" t="s">
        <v>63</v>
      </c>
      <c r="N2222" s="30" t="s">
        <v>99</v>
      </c>
      <c r="O2222" s="30" t="s">
        <v>64</v>
      </c>
      <c r="P2222" s="89" t="s">
        <v>78</v>
      </c>
      <c r="Q2222" s="89" t="s">
        <v>2655</v>
      </c>
      <c r="R2222" s="89" t="s">
        <v>6434</v>
      </c>
      <c r="S2222" s="30">
        <v>0</v>
      </c>
      <c r="T2222" s="233">
        <v>0</v>
      </c>
      <c r="U2222" s="30">
        <v>0</v>
      </c>
      <c r="V2222" s="233">
        <v>0</v>
      </c>
      <c r="W2222" s="30">
        <v>0</v>
      </c>
      <c r="X2222" s="30">
        <v>0</v>
      </c>
      <c r="Y2222" s="30">
        <v>0</v>
      </c>
      <c r="Z2222" s="233">
        <v>0</v>
      </c>
      <c r="AA2222" s="30">
        <v>0</v>
      </c>
      <c r="AB2222" s="30">
        <v>0</v>
      </c>
      <c r="AC2222" s="30">
        <v>0</v>
      </c>
      <c r="AD2222" s="30">
        <v>0</v>
      </c>
      <c r="AE2222" s="89" t="s">
        <v>92</v>
      </c>
      <c r="AF2222" s="89"/>
      <c r="AG2222" s="89" t="s">
        <v>133</v>
      </c>
      <c r="AH2222" s="72">
        <v>42520</v>
      </c>
      <c r="AI2222" s="30">
        <v>0</v>
      </c>
      <c r="AJ2222" s="89" t="s">
        <v>12464</v>
      </c>
      <c r="AK2222" s="89" t="s">
        <v>12465</v>
      </c>
      <c r="AL2222" s="91">
        <v>42521</v>
      </c>
      <c r="AM2222" s="91"/>
      <c r="AN2222" s="91"/>
      <c r="AO2222" s="91"/>
      <c r="AP2222" s="73" t="e">
        <f>MID(VLOOKUP(K2222,#REF!,2,FALSE),1,2)</f>
        <v>#REF!</v>
      </c>
      <c r="AQ2222" s="89">
        <f>DATE(2016,5,28)</f>
        <v>42518</v>
      </c>
      <c r="AR2222" s="82">
        <f t="shared" si="149"/>
        <v>28</v>
      </c>
      <c r="AS2222" s="83">
        <f t="shared" si="150"/>
        <v>5</v>
      </c>
      <c r="AT2222" s="84">
        <f t="shared" si="151"/>
        <v>2016</v>
      </c>
      <c r="AU2222" s="88">
        <f>DATE(2016,5,31)</f>
        <v>42521</v>
      </c>
      <c r="AV2222" s="88">
        <f>DATE(2016,5,30)</f>
        <v>42520</v>
      </c>
      <c r="AW2222" s="87">
        <f t="shared" si="156"/>
        <v>1</v>
      </c>
      <c r="AX2222" s="88">
        <f>DATE(2016,5,31)</f>
        <v>42521</v>
      </c>
      <c r="AY2222" s="83">
        <f>MONTH(AX2222)</f>
        <v>5</v>
      </c>
      <c r="AZ2222" s="84">
        <f>YEAR(AX2222)</f>
        <v>2016</v>
      </c>
      <c r="BA2222" s="88">
        <f>DATE(2016,5,28)</f>
        <v>42518</v>
      </c>
      <c r="BB2222" s="86"/>
    </row>
    <row r="2223" spans="1:54" ht="36.75" customHeight="1">
      <c r="A2223" s="30"/>
      <c r="B2223" s="30" t="s">
        <v>55</v>
      </c>
      <c r="C2223" s="69" t="str">
        <f t="shared" si="152"/>
        <v>Closed</v>
      </c>
      <c r="D2223" s="27" t="s">
        <v>12466</v>
      </c>
      <c r="E2223" s="29" t="s">
        <v>12467</v>
      </c>
      <c r="F2223" s="30" t="s">
        <v>124</v>
      </c>
      <c r="G2223" s="89">
        <f>DATE(2016,5,31)</f>
        <v>42521</v>
      </c>
      <c r="H2223" s="90">
        <v>0</v>
      </c>
      <c r="I2223" s="30" t="s">
        <v>73</v>
      </c>
      <c r="J2223" s="89" t="s">
        <v>12468</v>
      </c>
      <c r="K2223" s="30" t="s">
        <v>127</v>
      </c>
      <c r="L2223" s="30" t="s">
        <v>12469</v>
      </c>
      <c r="M2223" s="30" t="s">
        <v>63</v>
      </c>
      <c r="N2223" s="30" t="s">
        <v>99</v>
      </c>
      <c r="O2223" s="30" t="s">
        <v>64</v>
      </c>
      <c r="P2223" s="89" t="s">
        <v>78</v>
      </c>
      <c r="Q2223" s="89" t="s">
        <v>143</v>
      </c>
      <c r="R2223" s="89" t="s">
        <v>167</v>
      </c>
      <c r="S2223" s="30">
        <v>0</v>
      </c>
      <c r="T2223" s="233">
        <v>0</v>
      </c>
      <c r="U2223" s="30">
        <v>0</v>
      </c>
      <c r="V2223" s="233">
        <v>0</v>
      </c>
      <c r="W2223" s="30">
        <v>0</v>
      </c>
      <c r="X2223" s="30">
        <v>0</v>
      </c>
      <c r="Y2223" s="30">
        <v>0</v>
      </c>
      <c r="Z2223" s="233">
        <v>0</v>
      </c>
      <c r="AA2223" s="30">
        <v>0</v>
      </c>
      <c r="AB2223" s="30">
        <v>0</v>
      </c>
      <c r="AC2223" s="30">
        <v>0</v>
      </c>
      <c r="AD2223" s="30">
        <v>0</v>
      </c>
      <c r="AE2223" s="89" t="s">
        <v>394</v>
      </c>
      <c r="AF2223" s="89"/>
      <c r="AG2223" s="89" t="s">
        <v>82</v>
      </c>
      <c r="AH2223" s="72">
        <v>42522</v>
      </c>
      <c r="AI2223" s="30">
        <v>2</v>
      </c>
      <c r="AJ2223" s="89" t="s">
        <v>12470</v>
      </c>
      <c r="AK2223" s="89" t="s">
        <v>68</v>
      </c>
      <c r="AL2223" s="91">
        <v>42531</v>
      </c>
      <c r="AM2223" s="91"/>
      <c r="AN2223" s="91"/>
      <c r="AO2223" s="91"/>
      <c r="AP2223" s="73" t="e">
        <f>MID(VLOOKUP(K2223,#REF!,2,FALSE),1,2)</f>
        <v>#REF!</v>
      </c>
      <c r="AQ2223" s="89">
        <f>DATE(2016,5,31)</f>
        <v>42521</v>
      </c>
      <c r="AR2223" s="82">
        <f t="shared" si="149"/>
        <v>31</v>
      </c>
      <c r="AS2223" s="83">
        <f t="shared" si="150"/>
        <v>5</v>
      </c>
      <c r="AT2223" s="84">
        <f t="shared" si="151"/>
        <v>2016</v>
      </c>
      <c r="AU2223" s="88">
        <f>DATE(2016,6,10)</f>
        <v>42531</v>
      </c>
      <c r="AV2223" s="88">
        <f>DATE(2016,6,1)</f>
        <v>42522</v>
      </c>
      <c r="AW2223" s="87">
        <f t="shared" si="156"/>
        <v>9</v>
      </c>
      <c r="AX2223" s="86"/>
      <c r="AY2223" s="83"/>
      <c r="AZ2223" s="84"/>
      <c r="BA2223" s="86"/>
      <c r="BB2223" s="86"/>
    </row>
    <row r="2224" spans="1:54" ht="36.75" customHeight="1">
      <c r="A2224" s="30" t="s">
        <v>12471</v>
      </c>
      <c r="B2224" s="30" t="s">
        <v>55</v>
      </c>
      <c r="C2224" s="69" t="str">
        <f t="shared" si="152"/>
        <v>Closed</v>
      </c>
      <c r="D2224" s="36" t="s">
        <v>12472</v>
      </c>
      <c r="E2224" s="29" t="s">
        <v>12473</v>
      </c>
      <c r="F2224" s="30" t="s">
        <v>12474</v>
      </c>
      <c r="G2224" s="89">
        <f>DATE(2016,5,31)</f>
        <v>42521</v>
      </c>
      <c r="H2224" s="103">
        <v>1.3326388888888889</v>
      </c>
      <c r="I2224" s="30" t="s">
        <v>156</v>
      </c>
      <c r="J2224" s="29" t="s">
        <v>12475</v>
      </c>
      <c r="K2224" s="30" t="s">
        <v>200</v>
      </c>
      <c r="L2224" s="30" t="s">
        <v>12476</v>
      </c>
      <c r="M2224" s="30" t="s">
        <v>63</v>
      </c>
      <c r="N2224" s="30" t="s">
        <v>89</v>
      </c>
      <c r="O2224" s="30" t="s">
        <v>77</v>
      </c>
      <c r="P2224" s="29" t="s">
        <v>12477</v>
      </c>
      <c r="Q2224" s="29" t="s">
        <v>12478</v>
      </c>
      <c r="R2224" s="29" t="s">
        <v>203</v>
      </c>
      <c r="S2224" s="30">
        <v>0</v>
      </c>
      <c r="T2224" s="29">
        <v>0</v>
      </c>
      <c r="U2224" s="30">
        <v>0</v>
      </c>
      <c r="V2224" s="29">
        <v>0</v>
      </c>
      <c r="W2224" s="30">
        <v>0</v>
      </c>
      <c r="X2224" s="30">
        <v>0</v>
      </c>
      <c r="Y2224" s="30">
        <v>0</v>
      </c>
      <c r="Z2224" s="29">
        <v>0</v>
      </c>
      <c r="AA2224" s="30">
        <v>0</v>
      </c>
      <c r="AB2224" s="30">
        <v>0</v>
      </c>
      <c r="AC2224" s="30">
        <v>0</v>
      </c>
      <c r="AD2224" s="30">
        <v>0</v>
      </c>
      <c r="AE2224" s="29" t="s">
        <v>92</v>
      </c>
      <c r="AF2224" s="29" t="s">
        <v>12479</v>
      </c>
      <c r="AG2224" s="29" t="s">
        <v>12480</v>
      </c>
      <c r="AH2224" s="72">
        <v>42523</v>
      </c>
      <c r="AI2224" s="30"/>
      <c r="AJ2224" s="29" t="s">
        <v>12481</v>
      </c>
      <c r="AK2224" s="29"/>
      <c r="AL2224" s="108">
        <v>44762</v>
      </c>
      <c r="AM2224" s="109"/>
      <c r="AN2224" s="110">
        <v>44762</v>
      </c>
      <c r="AO2224" s="110">
        <v>42668</v>
      </c>
      <c r="AP2224" s="73" t="e">
        <f>MID(VLOOKUP(K2224,#REF!,2,FALSE),1,2)</f>
        <v>#REF!</v>
      </c>
      <c r="AQ2224" s="89">
        <f>DATE(2016,6,2)</f>
        <v>42523</v>
      </c>
      <c r="AR2224" s="82">
        <f t="shared" si="149"/>
        <v>2</v>
      </c>
      <c r="AS2224" s="83">
        <f t="shared" si="150"/>
        <v>6</v>
      </c>
      <c r="AT2224" s="84">
        <f t="shared" si="151"/>
        <v>2016</v>
      </c>
      <c r="AU2224" s="88">
        <f>DATE(2016,6,29)</f>
        <v>42550</v>
      </c>
      <c r="AV2224" s="88">
        <f>DATE(2016,6,6)</f>
        <v>42527</v>
      </c>
      <c r="AW2224" s="87">
        <f t="shared" si="156"/>
        <v>23</v>
      </c>
      <c r="AX2224" s="86"/>
      <c r="AY2224" s="83"/>
      <c r="AZ2224" s="84"/>
      <c r="BA2224" s="88">
        <f>DATE(2016,6,6)</f>
        <v>42527</v>
      </c>
      <c r="BB2224" s="86"/>
    </row>
    <row r="2225" spans="1:54" ht="36.75" customHeight="1">
      <c r="A2225" s="30"/>
      <c r="B2225" s="30" t="s">
        <v>55</v>
      </c>
      <c r="C2225" s="69" t="str">
        <f t="shared" si="152"/>
        <v>Closed</v>
      </c>
      <c r="D2225" s="27" t="s">
        <v>12482</v>
      </c>
      <c r="E2225" s="29" t="s">
        <v>12483</v>
      </c>
      <c r="F2225" s="30" t="s">
        <v>835</v>
      </c>
      <c r="G2225" s="89">
        <f>DATE(2016,6,2)</f>
        <v>42523</v>
      </c>
      <c r="H2225" s="90">
        <v>1.6722222222222221</v>
      </c>
      <c r="I2225" s="30" t="s">
        <v>116</v>
      </c>
      <c r="J2225" s="89" t="s">
        <v>12484</v>
      </c>
      <c r="K2225" s="30" t="s">
        <v>837</v>
      </c>
      <c r="L2225" s="30" t="s">
        <v>12485</v>
      </c>
      <c r="M2225" s="30" t="s">
        <v>63</v>
      </c>
      <c r="N2225" s="30" t="s">
        <v>99</v>
      </c>
      <c r="O2225" s="30" t="s">
        <v>64</v>
      </c>
      <c r="P2225" s="89" t="s">
        <v>6941</v>
      </c>
      <c r="Q2225" s="89" t="s">
        <v>2162</v>
      </c>
      <c r="R2225" s="89" t="s">
        <v>840</v>
      </c>
      <c r="S2225" s="30">
        <v>0</v>
      </c>
      <c r="T2225" s="233">
        <v>0</v>
      </c>
      <c r="U2225" s="30">
        <v>1</v>
      </c>
      <c r="V2225" s="233">
        <v>0</v>
      </c>
      <c r="W2225" s="30">
        <v>0</v>
      </c>
      <c r="X2225" s="30">
        <v>1</v>
      </c>
      <c r="Y2225" s="30">
        <v>0</v>
      </c>
      <c r="Z2225" s="233">
        <v>0</v>
      </c>
      <c r="AA2225" s="30">
        <v>0</v>
      </c>
      <c r="AB2225" s="30">
        <v>0</v>
      </c>
      <c r="AC2225" s="30">
        <v>0</v>
      </c>
      <c r="AD2225" s="30">
        <v>0</v>
      </c>
      <c r="AE2225" s="89" t="s">
        <v>92</v>
      </c>
      <c r="AF2225" s="89"/>
      <c r="AG2225" s="89" t="s">
        <v>1507</v>
      </c>
      <c r="AH2225" s="72">
        <v>42527</v>
      </c>
      <c r="AI2225" s="30">
        <v>1</v>
      </c>
      <c r="AJ2225" s="89" t="s">
        <v>12486</v>
      </c>
      <c r="AK2225" s="89" t="s">
        <v>1233</v>
      </c>
      <c r="AL2225" s="91">
        <v>42550</v>
      </c>
      <c r="AM2225" s="91"/>
      <c r="AN2225" s="91"/>
      <c r="AO2225" s="91"/>
      <c r="AP2225" s="73" t="e">
        <f>MID(VLOOKUP(K2225,#REF!,2,FALSE),1,2)</f>
        <v>#REF!</v>
      </c>
      <c r="AQ2225" s="89">
        <f>DATE(2016,6,5)</f>
        <v>42526</v>
      </c>
      <c r="AR2225" s="82">
        <f t="shared" si="149"/>
        <v>5</v>
      </c>
      <c r="AS2225" s="83">
        <f t="shared" si="150"/>
        <v>6</v>
      </c>
      <c r="AT2225" s="84">
        <f t="shared" si="151"/>
        <v>2016</v>
      </c>
      <c r="AU2225" s="88">
        <f>DATE(2016,6,10)</f>
        <v>42531</v>
      </c>
      <c r="AV2225" s="88">
        <f>DATE(2016,6,5)</f>
        <v>42526</v>
      </c>
      <c r="AW2225" s="87">
        <f t="shared" si="156"/>
        <v>5</v>
      </c>
      <c r="AX2225" s="88">
        <f>DATE(2016,6,10)</f>
        <v>42531</v>
      </c>
      <c r="AY2225" s="83">
        <f>MONTH(AX2225)</f>
        <v>6</v>
      </c>
      <c r="AZ2225" s="84">
        <f>YEAR(AX2225)</f>
        <v>2016</v>
      </c>
      <c r="BA2225" s="88">
        <f>DATE(2016,6,6)</f>
        <v>42527</v>
      </c>
      <c r="BB2225" s="86"/>
    </row>
    <row r="2226" spans="1:54" ht="36.75" customHeight="1">
      <c r="A2226" s="30"/>
      <c r="B2226" s="30" t="s">
        <v>55</v>
      </c>
      <c r="C2226" s="69" t="str">
        <f t="shared" si="152"/>
        <v>Closed</v>
      </c>
      <c r="D2226" s="27" t="s">
        <v>12487</v>
      </c>
      <c r="E2226" s="29" t="s">
        <v>12488</v>
      </c>
      <c r="F2226" s="30" t="s">
        <v>1770</v>
      </c>
      <c r="G2226" s="89">
        <f>DATE(2016,6,5)</f>
        <v>42526</v>
      </c>
      <c r="H2226" s="90">
        <v>1.9618055555555554</v>
      </c>
      <c r="I2226" s="30" t="s">
        <v>198</v>
      </c>
      <c r="J2226" s="89" t="s">
        <v>12489</v>
      </c>
      <c r="K2226" s="30" t="s">
        <v>1772</v>
      </c>
      <c r="L2226" s="30" t="s">
        <v>3026</v>
      </c>
      <c r="M2226" s="30" t="s">
        <v>63</v>
      </c>
      <c r="N2226" s="30" t="s">
        <v>142</v>
      </c>
      <c r="O2226" s="30" t="s">
        <v>64</v>
      </c>
      <c r="P2226" s="89" t="s">
        <v>216</v>
      </c>
      <c r="Q2226" s="89" t="s">
        <v>12490</v>
      </c>
      <c r="R2226" s="89" t="s">
        <v>1775</v>
      </c>
      <c r="S2226" s="30">
        <v>2</v>
      </c>
      <c r="T2226" s="233">
        <v>1</v>
      </c>
      <c r="U2226" s="30">
        <v>0</v>
      </c>
      <c r="V2226" s="233">
        <v>0</v>
      </c>
      <c r="W2226" s="30">
        <v>0</v>
      </c>
      <c r="X2226" s="30">
        <v>3</v>
      </c>
      <c r="Y2226" s="30">
        <v>10</v>
      </c>
      <c r="Z2226" s="233">
        <v>0</v>
      </c>
      <c r="AA2226" s="30">
        <v>0</v>
      </c>
      <c r="AB2226" s="30">
        <v>0</v>
      </c>
      <c r="AC2226" s="30">
        <v>0</v>
      </c>
      <c r="AD2226" s="30">
        <v>10</v>
      </c>
      <c r="AE2226" s="89" t="s">
        <v>92</v>
      </c>
      <c r="AF2226" s="89"/>
      <c r="AG2226" s="89" t="s">
        <v>82</v>
      </c>
      <c r="AH2226" s="72">
        <v>42526</v>
      </c>
      <c r="AI2226" s="30">
        <v>2</v>
      </c>
      <c r="AJ2226" s="89" t="s">
        <v>12491</v>
      </c>
      <c r="AK2226" s="89" t="s">
        <v>12492</v>
      </c>
      <c r="AL2226" s="91">
        <v>42531</v>
      </c>
      <c r="AM2226" s="91"/>
      <c r="AN2226" s="91"/>
      <c r="AO2226" s="91"/>
      <c r="AP2226" s="73" t="e">
        <f>MID(VLOOKUP(K2226,#REF!,2,FALSE),1,2)</f>
        <v>#REF!</v>
      </c>
      <c r="AQ2226" s="89">
        <f>DATE(2016,6,7)</f>
        <v>42528</v>
      </c>
      <c r="AR2226" s="82">
        <f t="shared" si="149"/>
        <v>7</v>
      </c>
      <c r="AS2226" s="83">
        <f t="shared" si="150"/>
        <v>6</v>
      </c>
      <c r="AT2226" s="84">
        <f t="shared" si="151"/>
        <v>2016</v>
      </c>
      <c r="AU2226" s="88">
        <f>DATE(2016,7,5)</f>
        <v>42556</v>
      </c>
      <c r="AV2226" s="88">
        <f>DATE(2016,6,13)</f>
        <v>42534</v>
      </c>
      <c r="AW2226" s="87">
        <f t="shared" si="156"/>
        <v>22</v>
      </c>
      <c r="AX2226" s="86"/>
      <c r="AY2226" s="83"/>
      <c r="AZ2226" s="84"/>
      <c r="BA2226" s="88">
        <f>DATE(2016,6,14)</f>
        <v>42535</v>
      </c>
      <c r="BB2226" s="86"/>
    </row>
    <row r="2227" spans="1:54" ht="36.75" customHeight="1">
      <c r="A2227" s="30"/>
      <c r="B2227" s="30" t="s">
        <v>55</v>
      </c>
      <c r="C2227" s="69" t="str">
        <f t="shared" si="152"/>
        <v>Closed</v>
      </c>
      <c r="D2227" s="27" t="s">
        <v>12493</v>
      </c>
      <c r="E2227" s="29" t="s">
        <v>12494</v>
      </c>
      <c r="F2227" s="30" t="s">
        <v>138</v>
      </c>
      <c r="G2227" s="89">
        <f>DATE(2016,6,7)</f>
        <v>42528</v>
      </c>
      <c r="H2227" s="90">
        <v>1.9416666666666669</v>
      </c>
      <c r="I2227" s="30" t="s">
        <v>2264</v>
      </c>
      <c r="J2227" s="89" t="s">
        <v>12495</v>
      </c>
      <c r="K2227" s="30" t="s">
        <v>140</v>
      </c>
      <c r="L2227" s="30" t="s">
        <v>12496</v>
      </c>
      <c r="M2227" s="30" t="s">
        <v>63</v>
      </c>
      <c r="N2227" s="30" t="s">
        <v>89</v>
      </c>
      <c r="O2227" s="30" t="s">
        <v>77</v>
      </c>
      <c r="P2227" s="89" t="s">
        <v>12497</v>
      </c>
      <c r="Q2227" s="89" t="s">
        <v>2034</v>
      </c>
      <c r="R2227" s="89" t="s">
        <v>4934</v>
      </c>
      <c r="S2227" s="30">
        <v>0</v>
      </c>
      <c r="T2227" s="233">
        <v>0</v>
      </c>
      <c r="U2227" s="30">
        <v>0</v>
      </c>
      <c r="V2227" s="233">
        <v>0</v>
      </c>
      <c r="W2227" s="30">
        <v>0</v>
      </c>
      <c r="X2227" s="30">
        <v>0</v>
      </c>
      <c r="Y2227" s="30">
        <v>0</v>
      </c>
      <c r="Z2227" s="233">
        <v>0</v>
      </c>
      <c r="AA2227" s="30">
        <v>0</v>
      </c>
      <c r="AB2227" s="30">
        <v>0</v>
      </c>
      <c r="AC2227" s="30">
        <v>0</v>
      </c>
      <c r="AD2227" s="30">
        <v>0</v>
      </c>
      <c r="AE2227" s="89" t="s">
        <v>92</v>
      </c>
      <c r="AF2227" s="89"/>
      <c r="AG2227" s="89" t="s">
        <v>82</v>
      </c>
      <c r="AH2227" s="72">
        <v>42534</v>
      </c>
      <c r="AI2227" s="30">
        <v>0</v>
      </c>
      <c r="AJ2227" s="89" t="s">
        <v>12498</v>
      </c>
      <c r="AK2227" s="89" t="s">
        <v>12499</v>
      </c>
      <c r="AL2227" s="91">
        <v>42556</v>
      </c>
      <c r="AM2227" s="91"/>
      <c r="AN2227" s="91"/>
      <c r="AO2227" s="91"/>
      <c r="AP2227" s="73" t="e">
        <f>MID(VLOOKUP(K2227,#REF!,2,FALSE),1,2)</f>
        <v>#REF!</v>
      </c>
      <c r="AQ2227" s="89">
        <f>DATE(2016,6,7)</f>
        <v>42528</v>
      </c>
      <c r="AR2227" s="82">
        <f t="shared" si="149"/>
        <v>7</v>
      </c>
      <c r="AS2227" s="83">
        <f t="shared" si="150"/>
        <v>6</v>
      </c>
      <c r="AT2227" s="84">
        <f t="shared" si="151"/>
        <v>2016</v>
      </c>
      <c r="AU2227" s="88">
        <f>DATE(2016,7,29)</f>
        <v>42580</v>
      </c>
      <c r="AV2227" s="88">
        <f>DATE(2016,6,7)</f>
        <v>42528</v>
      </c>
      <c r="AW2227" s="87">
        <f t="shared" si="156"/>
        <v>52</v>
      </c>
      <c r="AX2227" s="88">
        <f>DATE(2016,7,29)</f>
        <v>42580</v>
      </c>
      <c r="AY2227" s="83">
        <f t="shared" ref="AY2227:AY2233" si="157">MONTH(AX2227)</f>
        <v>7</v>
      </c>
      <c r="AZ2227" s="84">
        <f t="shared" ref="AZ2227:AZ2233" si="158">YEAR(AX2227)</f>
        <v>2016</v>
      </c>
      <c r="BA2227" s="86"/>
      <c r="BB2227" s="86"/>
    </row>
    <row r="2228" spans="1:54" ht="36.75" customHeight="1">
      <c r="A2228" s="30"/>
      <c r="B2228" s="30" t="s">
        <v>55</v>
      </c>
      <c r="C2228" s="69" t="str">
        <f t="shared" si="152"/>
        <v>Closed</v>
      </c>
      <c r="D2228" s="27" t="s">
        <v>12500</v>
      </c>
      <c r="E2228" s="29" t="s">
        <v>12501</v>
      </c>
      <c r="F2228" s="30" t="s">
        <v>233</v>
      </c>
      <c r="G2228" s="89">
        <f>DATE(2016,6,7)</f>
        <v>42528</v>
      </c>
      <c r="H2228" s="90">
        <v>1.7395833333333335</v>
      </c>
      <c r="I2228" s="30" t="s">
        <v>86</v>
      </c>
      <c r="J2228" s="89" t="s">
        <v>12502</v>
      </c>
      <c r="K2228" s="30" t="s">
        <v>235</v>
      </c>
      <c r="L2228" s="30" t="s">
        <v>12503</v>
      </c>
      <c r="M2228" s="30" t="s">
        <v>63</v>
      </c>
      <c r="N2228" s="30" t="s">
        <v>99</v>
      </c>
      <c r="O2228" s="30" t="s">
        <v>64</v>
      </c>
      <c r="P2228" s="89" t="s">
        <v>6941</v>
      </c>
      <c r="Q2228" s="89" t="s">
        <v>235</v>
      </c>
      <c r="R2228" s="89" t="s">
        <v>235</v>
      </c>
      <c r="S2228" s="30">
        <v>0</v>
      </c>
      <c r="T2228" s="233">
        <v>0</v>
      </c>
      <c r="U2228" s="30">
        <v>0</v>
      </c>
      <c r="V2228" s="233">
        <v>0</v>
      </c>
      <c r="W2228" s="30">
        <v>0</v>
      </c>
      <c r="X2228" s="30">
        <v>0</v>
      </c>
      <c r="Y2228" s="30">
        <v>0</v>
      </c>
      <c r="Z2228" s="233">
        <v>0</v>
      </c>
      <c r="AA2228" s="30">
        <v>0</v>
      </c>
      <c r="AB2228" s="30">
        <v>0</v>
      </c>
      <c r="AC2228" s="30">
        <v>0</v>
      </c>
      <c r="AD2228" s="30">
        <v>0</v>
      </c>
      <c r="AE2228" s="89" t="s">
        <v>92</v>
      </c>
      <c r="AF2228" s="89"/>
      <c r="AG2228" s="89" t="s">
        <v>133</v>
      </c>
      <c r="AH2228" s="72">
        <v>42557</v>
      </c>
      <c r="AI2228" s="30">
        <v>3</v>
      </c>
      <c r="AJ2228" s="89" t="s">
        <v>12504</v>
      </c>
      <c r="AK2228" s="89" t="s">
        <v>12505</v>
      </c>
      <c r="AL2228" s="91">
        <v>42580</v>
      </c>
      <c r="AM2228" s="91"/>
      <c r="AN2228" s="91"/>
      <c r="AO2228" s="91"/>
      <c r="AP2228" s="73" t="e">
        <f>MID(VLOOKUP(K2228,#REF!,2,FALSE),1,2)</f>
        <v>#REF!</v>
      </c>
      <c r="AQ2228" s="89">
        <f>DATE(2016,6,8)</f>
        <v>42529</v>
      </c>
      <c r="AR2228" s="82">
        <f t="shared" si="149"/>
        <v>8</v>
      </c>
      <c r="AS2228" s="83">
        <f t="shared" si="150"/>
        <v>6</v>
      </c>
      <c r="AT2228" s="84">
        <f t="shared" si="151"/>
        <v>2016</v>
      </c>
      <c r="AU2228" s="88">
        <f>DATE(2016,6,10)</f>
        <v>42531</v>
      </c>
      <c r="AV2228" s="88">
        <f>DATE(2016,7,11)</f>
        <v>42562</v>
      </c>
      <c r="AW2228" s="87">
        <f t="shared" si="156"/>
        <v>-31</v>
      </c>
      <c r="AX2228" s="88">
        <f>DATE(2016,7,11)</f>
        <v>42562</v>
      </c>
      <c r="AY2228" s="83">
        <f t="shared" si="157"/>
        <v>7</v>
      </c>
      <c r="AZ2228" s="84">
        <f t="shared" si="158"/>
        <v>2016</v>
      </c>
      <c r="BA2228" s="88">
        <f>DATE(2016,7,11)</f>
        <v>42562</v>
      </c>
      <c r="BB2228" s="86"/>
    </row>
    <row r="2229" spans="1:54" ht="36.75" customHeight="1">
      <c r="A2229" s="30"/>
      <c r="B2229" s="30" t="s">
        <v>55</v>
      </c>
      <c r="C2229" s="69" t="str">
        <f t="shared" si="152"/>
        <v>Closed</v>
      </c>
      <c r="D2229" s="27" t="s">
        <v>12506</v>
      </c>
      <c r="E2229" s="29" t="s">
        <v>12507</v>
      </c>
      <c r="F2229" s="30" t="s">
        <v>9789</v>
      </c>
      <c r="G2229" s="89">
        <f>DATE(2016,6,8)</f>
        <v>42529</v>
      </c>
      <c r="H2229" s="90">
        <v>1.3680555555555556</v>
      </c>
      <c r="I2229" s="30" t="s">
        <v>73</v>
      </c>
      <c r="J2229" s="210" t="s">
        <v>12508</v>
      </c>
      <c r="K2229" s="30" t="s">
        <v>9791</v>
      </c>
      <c r="L2229" s="30" t="s">
        <v>12509</v>
      </c>
      <c r="M2229" s="30" t="s">
        <v>63</v>
      </c>
      <c r="N2229" s="30" t="s">
        <v>99</v>
      </c>
      <c r="O2229" s="30" t="s">
        <v>64</v>
      </c>
      <c r="P2229" s="89"/>
      <c r="Q2229" s="89" t="s">
        <v>9838</v>
      </c>
      <c r="R2229" s="89" t="s">
        <v>12380</v>
      </c>
      <c r="S2229" s="30">
        <v>0</v>
      </c>
      <c r="T2229" s="233">
        <v>0</v>
      </c>
      <c r="U2229" s="30">
        <v>0</v>
      </c>
      <c r="V2229" s="233">
        <v>0</v>
      </c>
      <c r="W2229" s="30">
        <v>0</v>
      </c>
      <c r="X2229" s="30">
        <v>0</v>
      </c>
      <c r="Y2229" s="30">
        <v>0</v>
      </c>
      <c r="Z2229" s="233">
        <v>2</v>
      </c>
      <c r="AA2229" s="30">
        <v>0</v>
      </c>
      <c r="AB2229" s="30">
        <v>0</v>
      </c>
      <c r="AC2229" s="30">
        <v>0</v>
      </c>
      <c r="AD2229" s="30">
        <v>2</v>
      </c>
      <c r="AE2229" s="89" t="s">
        <v>92</v>
      </c>
      <c r="AF2229" s="89"/>
      <c r="AG2229" s="89" t="s">
        <v>352</v>
      </c>
      <c r="AH2229" s="72">
        <v>42562</v>
      </c>
      <c r="AI2229" s="30">
        <v>0</v>
      </c>
      <c r="AJ2229" s="89" t="s">
        <v>12510</v>
      </c>
      <c r="AK2229" s="89" t="s">
        <v>12511</v>
      </c>
      <c r="AL2229" s="91">
        <v>42531</v>
      </c>
      <c r="AM2229" s="91"/>
      <c r="AN2229" s="91"/>
      <c r="AO2229" s="91"/>
      <c r="AP2229" s="73" t="e">
        <f>MID(VLOOKUP(K2229,#REF!,2,FALSE),1,2)</f>
        <v>#REF!</v>
      </c>
      <c r="AQ2229" s="89">
        <f>DATE(2016,6,14)</f>
        <v>42535</v>
      </c>
      <c r="AR2229" s="82">
        <f t="shared" si="149"/>
        <v>14</v>
      </c>
      <c r="AS2229" s="83">
        <f t="shared" si="150"/>
        <v>6</v>
      </c>
      <c r="AT2229" s="84">
        <f t="shared" si="151"/>
        <v>2016</v>
      </c>
      <c r="AU2229" s="88">
        <f>DATE(2016,6,20)</f>
        <v>42541</v>
      </c>
      <c r="AV2229" s="88">
        <f>DATE(2016,6,15)</f>
        <v>42536</v>
      </c>
      <c r="AW2229" s="87">
        <f t="shared" si="156"/>
        <v>5</v>
      </c>
      <c r="AX2229" s="88">
        <f>DATE(2016,6,20)</f>
        <v>42541</v>
      </c>
      <c r="AY2229" s="83">
        <f t="shared" si="157"/>
        <v>6</v>
      </c>
      <c r="AZ2229" s="84">
        <f t="shared" si="158"/>
        <v>2016</v>
      </c>
      <c r="BA2229" s="88">
        <f>DATE(2016,6,14)</f>
        <v>42535</v>
      </c>
      <c r="BB2229" s="86"/>
    </row>
    <row r="2230" spans="1:54" ht="36.75" customHeight="1">
      <c r="A2230" s="30"/>
      <c r="B2230" s="30" t="s">
        <v>55</v>
      </c>
      <c r="C2230" s="69" t="str">
        <f t="shared" si="152"/>
        <v>Closed</v>
      </c>
      <c r="D2230" s="27" t="s">
        <v>12512</v>
      </c>
      <c r="E2230" s="29" t="s">
        <v>12513</v>
      </c>
      <c r="F2230" s="30" t="s">
        <v>1572</v>
      </c>
      <c r="G2230" s="89">
        <f>DATE(2016,6,14)</f>
        <v>42535</v>
      </c>
      <c r="H2230" s="90">
        <v>1.6979166666666665</v>
      </c>
      <c r="I2230" s="30" t="s">
        <v>125</v>
      </c>
      <c r="J2230" s="89" t="s">
        <v>12514</v>
      </c>
      <c r="K2230" s="30" t="s">
        <v>1574</v>
      </c>
      <c r="L2230" s="30" t="s">
        <v>12515</v>
      </c>
      <c r="M2230" s="30" t="s">
        <v>63</v>
      </c>
      <c r="N2230" s="30" t="s">
        <v>142</v>
      </c>
      <c r="O2230" s="30" t="s">
        <v>64</v>
      </c>
      <c r="P2230" s="89" t="s">
        <v>6941</v>
      </c>
      <c r="Q2230" s="89" t="s">
        <v>2413</v>
      </c>
      <c r="R2230" s="89" t="s">
        <v>6434</v>
      </c>
      <c r="S2230" s="30">
        <v>0</v>
      </c>
      <c r="T2230" s="233">
        <v>0</v>
      </c>
      <c r="U2230" s="30">
        <v>0</v>
      </c>
      <c r="V2230" s="233">
        <v>0</v>
      </c>
      <c r="W2230" s="30">
        <v>0</v>
      </c>
      <c r="X2230" s="30">
        <v>0</v>
      </c>
      <c r="Y2230" s="30">
        <v>0</v>
      </c>
      <c r="Z2230" s="233">
        <v>0</v>
      </c>
      <c r="AA2230" s="30">
        <v>0</v>
      </c>
      <c r="AB2230" s="30">
        <v>0</v>
      </c>
      <c r="AC2230" s="30">
        <v>0</v>
      </c>
      <c r="AD2230" s="30">
        <v>0</v>
      </c>
      <c r="AE2230" s="89" t="s">
        <v>394</v>
      </c>
      <c r="AF2230" s="89"/>
      <c r="AG2230" s="89" t="s">
        <v>133</v>
      </c>
      <c r="AH2230" s="72">
        <v>42536</v>
      </c>
      <c r="AI2230" s="30">
        <v>1</v>
      </c>
      <c r="AJ2230" s="89" t="s">
        <v>12516</v>
      </c>
      <c r="AK2230" s="89" t="s">
        <v>12517</v>
      </c>
      <c r="AL2230" s="91">
        <v>42541</v>
      </c>
      <c r="AM2230" s="91"/>
      <c r="AN2230" s="91"/>
      <c r="AO2230" s="91"/>
      <c r="AP2230" s="73" t="e">
        <f>MID(VLOOKUP(K2230,#REF!,2,FALSE),1,2)</f>
        <v>#REF!</v>
      </c>
      <c r="AQ2230" s="89">
        <f>DATE(2016,7,14)</f>
        <v>42565</v>
      </c>
      <c r="AR2230" s="82">
        <f t="shared" si="149"/>
        <v>14</v>
      </c>
      <c r="AS2230" s="83">
        <f t="shared" si="150"/>
        <v>7</v>
      </c>
      <c r="AT2230" s="84">
        <f t="shared" si="151"/>
        <v>2016</v>
      </c>
      <c r="AU2230" s="88">
        <f>DATE(2016,7,29)</f>
        <v>42580</v>
      </c>
      <c r="AV2230" s="88">
        <f>DATE(2016,7,4)</f>
        <v>42555</v>
      </c>
      <c r="AW2230" s="87">
        <f t="shared" si="156"/>
        <v>25</v>
      </c>
      <c r="AX2230" s="88">
        <f>DATE(2016,7,29)</f>
        <v>42580</v>
      </c>
      <c r="AY2230" s="83">
        <f t="shared" si="157"/>
        <v>7</v>
      </c>
      <c r="AZ2230" s="84">
        <f t="shared" si="158"/>
        <v>2016</v>
      </c>
      <c r="BA2230" s="86"/>
      <c r="BB2230" s="86"/>
    </row>
    <row r="2231" spans="1:54" ht="36.75" customHeight="1">
      <c r="A2231" s="30"/>
      <c r="B2231" s="30" t="s">
        <v>55</v>
      </c>
      <c r="C2231" s="69" t="str">
        <f t="shared" si="152"/>
        <v>Closed</v>
      </c>
      <c r="D2231" s="27" t="s">
        <v>12518</v>
      </c>
      <c r="E2231" s="29" t="s">
        <v>12519</v>
      </c>
      <c r="F2231" s="30" t="s">
        <v>233</v>
      </c>
      <c r="G2231" s="89">
        <f>DATE(2016,6,14)</f>
        <v>42535</v>
      </c>
      <c r="H2231" s="90">
        <v>1.5590277777777777</v>
      </c>
      <c r="I2231" s="30" t="s">
        <v>2418</v>
      </c>
      <c r="J2231" s="89" t="s">
        <v>12520</v>
      </c>
      <c r="K2231" s="30" t="s">
        <v>235</v>
      </c>
      <c r="L2231" s="30" t="s">
        <v>12521</v>
      </c>
      <c r="M2231" s="30" t="s">
        <v>63</v>
      </c>
      <c r="N2231" s="30" t="s">
        <v>99</v>
      </c>
      <c r="O2231" s="30" t="s">
        <v>64</v>
      </c>
      <c r="P2231" s="89" t="s">
        <v>165</v>
      </c>
      <c r="Q2231" s="89" t="s">
        <v>235</v>
      </c>
      <c r="R2231" s="89" t="s">
        <v>235</v>
      </c>
      <c r="S2231" s="30">
        <v>0</v>
      </c>
      <c r="T2231" s="233">
        <v>0</v>
      </c>
      <c r="U2231" s="30">
        <v>0</v>
      </c>
      <c r="V2231" s="233">
        <v>0</v>
      </c>
      <c r="W2231" s="30">
        <v>0</v>
      </c>
      <c r="X2231" s="30">
        <v>0</v>
      </c>
      <c r="Y2231" s="30">
        <v>0</v>
      </c>
      <c r="Z2231" s="233">
        <v>0</v>
      </c>
      <c r="AA2231" s="30">
        <v>0</v>
      </c>
      <c r="AB2231" s="30">
        <v>0</v>
      </c>
      <c r="AC2231" s="30">
        <v>0</v>
      </c>
      <c r="AD2231" s="30">
        <v>0</v>
      </c>
      <c r="AE2231" s="89" t="s">
        <v>92</v>
      </c>
      <c r="AF2231" s="89"/>
      <c r="AG2231" s="89" t="s">
        <v>133</v>
      </c>
      <c r="AH2231" s="72">
        <v>42555</v>
      </c>
      <c r="AI2231" s="30">
        <v>4</v>
      </c>
      <c r="AJ2231" s="89" t="s">
        <v>12522</v>
      </c>
      <c r="AK2231" s="89" t="s">
        <v>12523</v>
      </c>
      <c r="AL2231" s="91">
        <v>42580</v>
      </c>
      <c r="AM2231" s="91"/>
      <c r="AN2231" s="91"/>
      <c r="AO2231" s="91"/>
      <c r="AP2231" s="73" t="e">
        <f>MID(VLOOKUP(K2231,#REF!,2,FALSE),1,2)</f>
        <v>#REF!</v>
      </c>
      <c r="AQ2231" s="89">
        <f>DATE(2016,6,16)</f>
        <v>42537</v>
      </c>
      <c r="AR2231" s="82">
        <f t="shared" si="149"/>
        <v>16</v>
      </c>
      <c r="AS2231" s="83">
        <f t="shared" si="150"/>
        <v>6</v>
      </c>
      <c r="AT2231" s="84">
        <f t="shared" si="151"/>
        <v>2016</v>
      </c>
      <c r="AU2231" s="88">
        <f>DATE(2016,6,23)</f>
        <v>42544</v>
      </c>
      <c r="AV2231" s="88">
        <f>DATE(2016,6,16)</f>
        <v>42537</v>
      </c>
      <c r="AW2231" s="87">
        <f t="shared" si="156"/>
        <v>7</v>
      </c>
      <c r="AX2231" s="88">
        <f>DATE(2016,6,16)</f>
        <v>42537</v>
      </c>
      <c r="AY2231" s="83">
        <f t="shared" si="157"/>
        <v>6</v>
      </c>
      <c r="AZ2231" s="84">
        <f t="shared" si="158"/>
        <v>2016</v>
      </c>
      <c r="BA2231" s="88">
        <f>DATE(2016,6,16)</f>
        <v>42537</v>
      </c>
      <c r="BB2231" s="86"/>
    </row>
    <row r="2232" spans="1:54" ht="36.75" customHeight="1">
      <c r="A2232" s="30"/>
      <c r="B2232" s="30" t="s">
        <v>55</v>
      </c>
      <c r="C2232" s="69" t="str">
        <f t="shared" si="152"/>
        <v>Closed</v>
      </c>
      <c r="D2232" s="27" t="s">
        <v>12524</v>
      </c>
      <c r="E2232" s="29" t="s">
        <v>12525</v>
      </c>
      <c r="F2232" s="30" t="s">
        <v>2601</v>
      </c>
      <c r="G2232" s="89">
        <f>DATE(2016,6,16)</f>
        <v>42537</v>
      </c>
      <c r="H2232" s="90">
        <v>1.5111111111111111</v>
      </c>
      <c r="I2232" s="30" t="s">
        <v>125</v>
      </c>
      <c r="J2232" s="89" t="s">
        <v>12526</v>
      </c>
      <c r="K2232" s="30" t="s">
        <v>2603</v>
      </c>
      <c r="L2232" s="30" t="s">
        <v>12527</v>
      </c>
      <c r="M2232" s="30" t="s">
        <v>63</v>
      </c>
      <c r="N2232" s="30" t="s">
        <v>89</v>
      </c>
      <c r="O2232" s="30" t="s">
        <v>77</v>
      </c>
      <c r="P2232" s="89" t="s">
        <v>462</v>
      </c>
      <c r="Q2232" s="89" t="s">
        <v>6342</v>
      </c>
      <c r="R2232" s="89" t="s">
        <v>2606</v>
      </c>
      <c r="S2232" s="30">
        <v>0</v>
      </c>
      <c r="T2232" s="233">
        <v>0</v>
      </c>
      <c r="U2232" s="30">
        <v>0</v>
      </c>
      <c r="V2232" s="233">
        <v>0</v>
      </c>
      <c r="W2232" s="30">
        <v>0</v>
      </c>
      <c r="X2232" s="30">
        <v>0</v>
      </c>
      <c r="Y2232" s="30">
        <v>0</v>
      </c>
      <c r="Z2232" s="233">
        <v>0</v>
      </c>
      <c r="AA2232" s="30">
        <v>0</v>
      </c>
      <c r="AB2232" s="30">
        <v>0</v>
      </c>
      <c r="AC2232" s="30">
        <v>0</v>
      </c>
      <c r="AD2232" s="30">
        <v>0</v>
      </c>
      <c r="AE2232" s="89" t="s">
        <v>92</v>
      </c>
      <c r="AF2232" s="89"/>
      <c r="AG2232" s="89" t="s">
        <v>352</v>
      </c>
      <c r="AH2232" s="72">
        <v>42537</v>
      </c>
      <c r="AI2232" s="30">
        <v>5</v>
      </c>
      <c r="AJ2232" s="89" t="s">
        <v>12528</v>
      </c>
      <c r="AK2232" s="89" t="s">
        <v>12529</v>
      </c>
      <c r="AL2232" s="91">
        <v>42544</v>
      </c>
      <c r="AM2232" s="91"/>
      <c r="AN2232" s="91"/>
      <c r="AO2232" s="91"/>
      <c r="AP2232" s="73" t="e">
        <f>MID(VLOOKUP(K2232,#REF!,2,FALSE),1,2)</f>
        <v>#REF!</v>
      </c>
      <c r="AQ2232" s="89">
        <f>DATE(2016,6,22)</f>
        <v>42543</v>
      </c>
      <c r="AR2232" s="82">
        <f t="shared" ref="AR2232:AR2295" si="159">DAY(AQ2232)</f>
        <v>22</v>
      </c>
      <c r="AS2232" s="83">
        <f t="shared" ref="AS2232:AS2296" si="160">MONTH(AQ2232)</f>
        <v>6</v>
      </c>
      <c r="AT2232" s="84">
        <f t="shared" ref="AT2232:AT2296" si="161">YEAR(AQ2232)</f>
        <v>2016</v>
      </c>
      <c r="AU2232" s="88">
        <f>DATE(2016,6,23)</f>
        <v>42544</v>
      </c>
      <c r="AV2232" s="88">
        <f>DATE(2016,6,23)</f>
        <v>42544</v>
      </c>
      <c r="AW2232" s="87">
        <f t="shared" si="156"/>
        <v>0</v>
      </c>
      <c r="AX2232" s="88">
        <f>DATE(2016,6,23)</f>
        <v>42544</v>
      </c>
      <c r="AY2232" s="83">
        <f t="shared" si="157"/>
        <v>6</v>
      </c>
      <c r="AZ2232" s="84">
        <f t="shared" si="158"/>
        <v>2016</v>
      </c>
      <c r="BA2232" s="88">
        <f>DATE(2016,6,22)</f>
        <v>42543</v>
      </c>
      <c r="BB2232" s="86"/>
    </row>
    <row r="2233" spans="1:54" ht="36.75" customHeight="1">
      <c r="A2233" s="30"/>
      <c r="B2233" s="30" t="s">
        <v>55</v>
      </c>
      <c r="C2233" s="69" t="str">
        <f t="shared" si="152"/>
        <v>Closed</v>
      </c>
      <c r="D2233" s="27" t="s">
        <v>12530</v>
      </c>
      <c r="E2233" s="29" t="s">
        <v>12531</v>
      </c>
      <c r="F2233" s="30" t="s">
        <v>1572</v>
      </c>
      <c r="G2233" s="89">
        <f>DATE(2016,6,22)</f>
        <v>42543</v>
      </c>
      <c r="H2233" s="90">
        <v>1.7416666666666667</v>
      </c>
      <c r="I2233" s="30" t="s">
        <v>73</v>
      </c>
      <c r="J2233" s="89" t="s">
        <v>12532</v>
      </c>
      <c r="K2233" s="30" t="s">
        <v>1574</v>
      </c>
      <c r="L2233" s="30" t="s">
        <v>12533</v>
      </c>
      <c r="M2233" s="30" t="s">
        <v>63</v>
      </c>
      <c r="N2233" s="30" t="s">
        <v>99</v>
      </c>
      <c r="O2233" s="30" t="s">
        <v>64</v>
      </c>
      <c r="P2233" s="89" t="s">
        <v>78</v>
      </c>
      <c r="Q2233" s="89" t="s">
        <v>2655</v>
      </c>
      <c r="R2233" s="89" t="s">
        <v>6434</v>
      </c>
      <c r="S2233" s="30">
        <v>0</v>
      </c>
      <c r="T2233" s="233">
        <v>0</v>
      </c>
      <c r="U2233" s="30">
        <v>0</v>
      </c>
      <c r="V2233" s="233">
        <v>0</v>
      </c>
      <c r="W2233" s="30">
        <v>0</v>
      </c>
      <c r="X2233" s="30">
        <v>0</v>
      </c>
      <c r="Y2233" s="30">
        <v>0</v>
      </c>
      <c r="Z2233" s="233">
        <v>0</v>
      </c>
      <c r="AA2233" s="30">
        <v>0</v>
      </c>
      <c r="AB2233" s="30">
        <v>0</v>
      </c>
      <c r="AC2233" s="30">
        <v>0</v>
      </c>
      <c r="AD2233" s="30">
        <v>0</v>
      </c>
      <c r="AE2233" s="89" t="s">
        <v>92</v>
      </c>
      <c r="AF2233" s="89"/>
      <c r="AG2233" s="89" t="s">
        <v>133</v>
      </c>
      <c r="AH2233" s="72">
        <v>42544</v>
      </c>
      <c r="AI2233" s="30">
        <v>0</v>
      </c>
      <c r="AJ2233" s="89" t="s">
        <v>12534</v>
      </c>
      <c r="AK2233" s="89" t="s">
        <v>12535</v>
      </c>
      <c r="AL2233" s="91">
        <v>42544</v>
      </c>
      <c r="AM2233" s="91"/>
      <c r="AN2233" s="91"/>
      <c r="AO2233" s="91"/>
      <c r="AP2233" s="73" t="e">
        <f>MID(VLOOKUP(K2233,#REF!,2,FALSE),1,2)</f>
        <v>#REF!</v>
      </c>
      <c r="AQ2233" s="89">
        <f>DATE(2016,6,24)</f>
        <v>42545</v>
      </c>
      <c r="AR2233" s="82">
        <f t="shared" si="159"/>
        <v>24</v>
      </c>
      <c r="AS2233" s="83">
        <f t="shared" si="160"/>
        <v>6</v>
      </c>
      <c r="AT2233" s="84">
        <f t="shared" si="161"/>
        <v>2016</v>
      </c>
      <c r="AU2233" s="88">
        <f>DATE(2016,8,2)</f>
        <v>42584</v>
      </c>
      <c r="AV2233" s="88">
        <f>DATE(2016,7,25)</f>
        <v>42576</v>
      </c>
      <c r="AW2233" s="87">
        <f t="shared" si="156"/>
        <v>8</v>
      </c>
      <c r="AX2233" s="88">
        <f>DATE(2016,8,2)</f>
        <v>42584</v>
      </c>
      <c r="AY2233" s="83">
        <f t="shared" si="157"/>
        <v>8</v>
      </c>
      <c r="AZ2233" s="84">
        <f t="shared" si="158"/>
        <v>2016</v>
      </c>
      <c r="BA2233" s="86"/>
      <c r="BB2233" s="86"/>
    </row>
    <row r="2234" spans="1:54" ht="36.75" customHeight="1">
      <c r="A2234" s="30"/>
      <c r="B2234" s="30" t="s">
        <v>55</v>
      </c>
      <c r="C2234" s="69" t="str">
        <f t="shared" si="152"/>
        <v>Closed</v>
      </c>
      <c r="D2234" s="27" t="s">
        <v>12536</v>
      </c>
      <c r="E2234" s="29" t="s">
        <v>12537</v>
      </c>
      <c r="F2234" s="30" t="s">
        <v>233</v>
      </c>
      <c r="G2234" s="89">
        <f>DATE(2016,6,24)</f>
        <v>42545</v>
      </c>
      <c r="H2234" s="90">
        <v>1.5180555555555557</v>
      </c>
      <c r="I2234" s="30" t="s">
        <v>278</v>
      </c>
      <c r="J2234" s="89" t="s">
        <v>12538</v>
      </c>
      <c r="K2234" s="30" t="s">
        <v>235</v>
      </c>
      <c r="L2234" s="30" t="s">
        <v>12539</v>
      </c>
      <c r="M2234" s="30" t="s">
        <v>63</v>
      </c>
      <c r="N2234" s="30" t="s">
        <v>142</v>
      </c>
      <c r="O2234" s="30" t="s">
        <v>64</v>
      </c>
      <c r="P2234" s="89" t="s">
        <v>462</v>
      </c>
      <c r="Q2234" s="89" t="s">
        <v>351</v>
      </c>
      <c r="R2234" s="89" t="s">
        <v>235</v>
      </c>
      <c r="S2234" s="30">
        <v>0</v>
      </c>
      <c r="T2234" s="233">
        <v>0</v>
      </c>
      <c r="U2234" s="30">
        <v>0</v>
      </c>
      <c r="V2234" s="233">
        <v>0</v>
      </c>
      <c r="W2234" s="30">
        <v>0</v>
      </c>
      <c r="X2234" s="30">
        <v>0</v>
      </c>
      <c r="Y2234" s="30">
        <v>0</v>
      </c>
      <c r="Z2234" s="233">
        <v>0</v>
      </c>
      <c r="AA2234" s="30">
        <v>0</v>
      </c>
      <c r="AB2234" s="30">
        <v>0</v>
      </c>
      <c r="AC2234" s="30">
        <v>0</v>
      </c>
      <c r="AD2234" s="30">
        <v>0</v>
      </c>
      <c r="AE2234" s="89" t="s">
        <v>92</v>
      </c>
      <c r="AF2234" s="89"/>
      <c r="AG2234" s="89" t="s">
        <v>133</v>
      </c>
      <c r="AH2234" s="72">
        <v>42576</v>
      </c>
      <c r="AI2234" s="30">
        <v>3</v>
      </c>
      <c r="AJ2234" s="89" t="s">
        <v>12540</v>
      </c>
      <c r="AK2234" s="89" t="s">
        <v>12541</v>
      </c>
      <c r="AL2234" s="91">
        <v>42584</v>
      </c>
      <c r="AM2234" s="91"/>
      <c r="AN2234" s="91"/>
      <c r="AO2234" s="91"/>
      <c r="AP2234" s="73" t="e">
        <f>MID(VLOOKUP(K2234,#REF!,2,FALSE),1,2)</f>
        <v>#REF!</v>
      </c>
      <c r="AQ2234" s="89">
        <f>DATE(2016,6,25)</f>
        <v>42546</v>
      </c>
      <c r="AR2234" s="82">
        <f t="shared" si="159"/>
        <v>25</v>
      </c>
      <c r="AS2234" s="83">
        <f t="shared" si="160"/>
        <v>6</v>
      </c>
      <c r="AT2234" s="84">
        <f t="shared" si="161"/>
        <v>2016</v>
      </c>
      <c r="AU2234" s="88">
        <f>DATE(2016,7,18)</f>
        <v>42569</v>
      </c>
      <c r="AV2234" s="88">
        <f>DATE(2016,7,18)</f>
        <v>42569</v>
      </c>
      <c r="AW2234" s="87">
        <f t="shared" si="156"/>
        <v>0</v>
      </c>
      <c r="AX2234" s="86"/>
      <c r="AY2234" s="83"/>
      <c r="AZ2234" s="84"/>
      <c r="BA2234" s="86"/>
      <c r="BB2234" s="86"/>
    </row>
    <row r="2235" spans="1:54" ht="36.75" customHeight="1">
      <c r="A2235" s="30"/>
      <c r="B2235" s="30" t="s">
        <v>55</v>
      </c>
      <c r="C2235" s="69" t="str">
        <f t="shared" si="152"/>
        <v>Closed</v>
      </c>
      <c r="D2235" s="27" t="s">
        <v>12542</v>
      </c>
      <c r="E2235" s="29" t="s">
        <v>12543</v>
      </c>
      <c r="F2235" s="30" t="s">
        <v>423</v>
      </c>
      <c r="G2235" s="89">
        <f>DATE(2016,6,25)</f>
        <v>42546</v>
      </c>
      <c r="H2235" s="90">
        <v>1.2569444444444444</v>
      </c>
      <c r="I2235" s="30" t="s">
        <v>198</v>
      </c>
      <c r="J2235" s="89" t="s">
        <v>12544</v>
      </c>
      <c r="K2235" s="30" t="s">
        <v>425</v>
      </c>
      <c r="L2235" s="30" t="s">
        <v>12545</v>
      </c>
      <c r="M2235" s="30" t="s">
        <v>63</v>
      </c>
      <c r="N2235" s="30" t="s">
        <v>142</v>
      </c>
      <c r="O2235" s="30" t="s">
        <v>77</v>
      </c>
      <c r="P2235" s="89" t="s">
        <v>91</v>
      </c>
      <c r="Q2235" s="89" t="s">
        <v>4551</v>
      </c>
      <c r="R2235" s="89" t="s">
        <v>3103</v>
      </c>
      <c r="S2235" s="30">
        <v>0</v>
      </c>
      <c r="T2235" s="233">
        <v>0</v>
      </c>
      <c r="U2235" s="30">
        <v>0</v>
      </c>
      <c r="V2235" s="233">
        <v>0</v>
      </c>
      <c r="W2235" s="30">
        <v>0</v>
      </c>
      <c r="X2235" s="30">
        <v>0</v>
      </c>
      <c r="Y2235" s="30">
        <v>0</v>
      </c>
      <c r="Z2235" s="233">
        <v>0</v>
      </c>
      <c r="AA2235" s="30">
        <v>0</v>
      </c>
      <c r="AB2235" s="30">
        <v>0</v>
      </c>
      <c r="AC2235" s="30">
        <v>0</v>
      </c>
      <c r="AD2235" s="30">
        <v>0</v>
      </c>
      <c r="AE2235" s="89" t="s">
        <v>394</v>
      </c>
      <c r="AF2235" s="89"/>
      <c r="AG2235" s="89" t="s">
        <v>133</v>
      </c>
      <c r="AH2235" s="72">
        <v>42569</v>
      </c>
      <c r="AI2235" s="30">
        <v>0</v>
      </c>
      <c r="AJ2235" s="89" t="s">
        <v>12546</v>
      </c>
      <c r="AK2235" s="89" t="s">
        <v>12547</v>
      </c>
      <c r="AL2235" s="91">
        <v>42569</v>
      </c>
      <c r="AM2235" s="91"/>
      <c r="AN2235" s="91"/>
      <c r="AO2235" s="91"/>
      <c r="AP2235" s="73" t="e">
        <f>MID(VLOOKUP(K2235,#REF!,2,FALSE),1,2)</f>
        <v>#REF!</v>
      </c>
      <c r="AQ2235" s="89">
        <f>DATE(2016,6,25)</f>
        <v>42546</v>
      </c>
      <c r="AR2235" s="82">
        <f t="shared" si="159"/>
        <v>25</v>
      </c>
      <c r="AS2235" s="83">
        <f t="shared" si="160"/>
        <v>6</v>
      </c>
      <c r="AT2235" s="84">
        <f t="shared" si="161"/>
        <v>2016</v>
      </c>
      <c r="AU2235" s="88">
        <f>DATE(2016,6,28)</f>
        <v>42549</v>
      </c>
      <c r="AV2235" s="88">
        <f>DATE(2016,6,25)</f>
        <v>42546</v>
      </c>
      <c r="AW2235" s="87">
        <f t="shared" si="156"/>
        <v>3</v>
      </c>
      <c r="AX2235" s="88">
        <f>DATE(2016,6,25)</f>
        <v>42546</v>
      </c>
      <c r="AY2235" s="83">
        <f>MONTH(AX2235)</f>
        <v>6</v>
      </c>
      <c r="AZ2235" s="84">
        <f>YEAR(AX2235)</f>
        <v>2016</v>
      </c>
      <c r="BA2235" s="88">
        <f>DATE(2016,6,25)</f>
        <v>42546</v>
      </c>
      <c r="BB2235" s="86"/>
    </row>
    <row r="2236" spans="1:54" ht="36.75" customHeight="1">
      <c r="A2236" s="30"/>
      <c r="B2236" s="30" t="s">
        <v>55</v>
      </c>
      <c r="C2236" s="69" t="str">
        <f t="shared" si="152"/>
        <v>Closed</v>
      </c>
      <c r="D2236" s="27" t="s">
        <v>12548</v>
      </c>
      <c r="E2236" s="29" t="s">
        <v>12549</v>
      </c>
      <c r="F2236" s="30" t="s">
        <v>835</v>
      </c>
      <c r="G2236" s="89">
        <f>DATE(2016,6,25)</f>
        <v>42546</v>
      </c>
      <c r="H2236" s="90">
        <v>1.9569444444444444</v>
      </c>
      <c r="I2236" s="30" t="s">
        <v>198</v>
      </c>
      <c r="J2236" s="89" t="s">
        <v>12550</v>
      </c>
      <c r="K2236" s="30" t="s">
        <v>837</v>
      </c>
      <c r="L2236" s="30" t="s">
        <v>9361</v>
      </c>
      <c r="M2236" s="30" t="s">
        <v>63</v>
      </c>
      <c r="N2236" s="30" t="s">
        <v>142</v>
      </c>
      <c r="O2236" s="30" t="s">
        <v>77</v>
      </c>
      <c r="P2236" s="89" t="s">
        <v>3096</v>
      </c>
      <c r="Q2236" s="89" t="s">
        <v>2162</v>
      </c>
      <c r="R2236" s="89" t="s">
        <v>840</v>
      </c>
      <c r="S2236" s="30">
        <v>0</v>
      </c>
      <c r="T2236" s="233">
        <v>0</v>
      </c>
      <c r="U2236" s="30">
        <v>0</v>
      </c>
      <c r="V2236" s="233">
        <v>0</v>
      </c>
      <c r="W2236" s="30">
        <v>0</v>
      </c>
      <c r="X2236" s="30">
        <v>0</v>
      </c>
      <c r="Y2236" s="30">
        <v>0</v>
      </c>
      <c r="Z2236" s="233">
        <v>0</v>
      </c>
      <c r="AA2236" s="30">
        <v>0</v>
      </c>
      <c r="AB2236" s="30">
        <v>0</v>
      </c>
      <c r="AC2236" s="30">
        <v>0</v>
      </c>
      <c r="AD2236" s="30">
        <v>0</v>
      </c>
      <c r="AE2236" s="89" t="s">
        <v>394</v>
      </c>
      <c r="AF2236" s="89"/>
      <c r="AG2236" s="89" t="s">
        <v>133</v>
      </c>
      <c r="AH2236" s="72">
        <v>42546</v>
      </c>
      <c r="AI2236" s="30">
        <v>3</v>
      </c>
      <c r="AJ2236" s="89" t="s">
        <v>12551</v>
      </c>
      <c r="AK2236" s="89" t="s">
        <v>68</v>
      </c>
      <c r="AL2236" s="91">
        <v>42549</v>
      </c>
      <c r="AM2236" s="91"/>
      <c r="AN2236" s="91"/>
      <c r="AO2236" s="91"/>
      <c r="AP2236" s="73" t="e">
        <f>MID(VLOOKUP(K2236,#REF!,2,FALSE),1,2)</f>
        <v>#REF!</v>
      </c>
      <c r="AQ2236" s="89">
        <f>DATE(2016,6,27)</f>
        <v>42548</v>
      </c>
      <c r="AR2236" s="82">
        <f t="shared" si="159"/>
        <v>27</v>
      </c>
      <c r="AS2236" s="83">
        <f t="shared" si="160"/>
        <v>6</v>
      </c>
      <c r="AT2236" s="84">
        <f t="shared" si="161"/>
        <v>2016</v>
      </c>
      <c r="AU2236" s="88">
        <f>DATE(2016,6,8)</f>
        <v>42529</v>
      </c>
      <c r="AV2236" s="88">
        <f>DATE(2016,6,28)</f>
        <v>42549</v>
      </c>
      <c r="AW2236" s="87">
        <f t="shared" si="156"/>
        <v>-20</v>
      </c>
      <c r="AX2236" s="86"/>
      <c r="AY2236" s="83"/>
      <c r="AZ2236" s="84"/>
      <c r="BA2236" s="86"/>
      <c r="BB2236" s="86"/>
    </row>
    <row r="2237" spans="1:54" ht="36.75" customHeight="1">
      <c r="A2237" s="30"/>
      <c r="B2237" s="30" t="s">
        <v>55</v>
      </c>
      <c r="C2237" s="69" t="str">
        <f t="shared" si="152"/>
        <v>Closed</v>
      </c>
      <c r="D2237" s="27" t="s">
        <v>12552</v>
      </c>
      <c r="E2237" s="29" t="s">
        <v>12553</v>
      </c>
      <c r="F2237" s="30" t="s">
        <v>835</v>
      </c>
      <c r="G2237" s="89">
        <f>DATE(2016,6,27)</f>
        <v>42548</v>
      </c>
      <c r="H2237" s="90">
        <v>1.4347222222222222</v>
      </c>
      <c r="I2237" s="30" t="s">
        <v>116</v>
      </c>
      <c r="J2237" s="89" t="s">
        <v>12554</v>
      </c>
      <c r="K2237" s="30" t="s">
        <v>837</v>
      </c>
      <c r="L2237" s="30" t="s">
        <v>12555</v>
      </c>
      <c r="M2237" s="30" t="s">
        <v>63</v>
      </c>
      <c r="N2237" s="30" t="s">
        <v>99</v>
      </c>
      <c r="O2237" s="30" t="s">
        <v>64</v>
      </c>
      <c r="P2237" s="89" t="s">
        <v>6902</v>
      </c>
      <c r="Q2237" s="89" t="s">
        <v>4210</v>
      </c>
      <c r="R2237" s="89" t="s">
        <v>4210</v>
      </c>
      <c r="S2237" s="30">
        <v>0</v>
      </c>
      <c r="T2237" s="233">
        <v>0</v>
      </c>
      <c r="U2237" s="30">
        <v>0</v>
      </c>
      <c r="V2237" s="233">
        <v>0</v>
      </c>
      <c r="W2237" s="30">
        <v>0</v>
      </c>
      <c r="X2237" s="30">
        <v>0</v>
      </c>
      <c r="Y2237" s="30">
        <v>0</v>
      </c>
      <c r="Z2237" s="233">
        <v>0</v>
      </c>
      <c r="AA2237" s="30">
        <v>0</v>
      </c>
      <c r="AB2237" s="30">
        <v>0</v>
      </c>
      <c r="AC2237" s="30">
        <v>0</v>
      </c>
      <c r="AD2237" s="30">
        <v>0</v>
      </c>
      <c r="AE2237" s="89" t="s">
        <v>92</v>
      </c>
      <c r="AF2237" s="89"/>
      <c r="AG2237" s="89" t="s">
        <v>352</v>
      </c>
      <c r="AH2237" s="72">
        <v>42549</v>
      </c>
      <c r="AI2237" s="30">
        <v>2</v>
      </c>
      <c r="AJ2237" s="89" t="s">
        <v>12556</v>
      </c>
      <c r="AK2237" s="89" t="s">
        <v>12557</v>
      </c>
      <c r="AL2237" s="91">
        <v>42894</v>
      </c>
      <c r="AM2237" s="91"/>
      <c r="AN2237" s="91"/>
      <c r="AO2237" s="91"/>
      <c r="AP2237" s="73" t="e">
        <f>MID(VLOOKUP(K2237,#REF!,2,FALSE),1,2)</f>
        <v>#REF!</v>
      </c>
      <c r="AQ2237" s="89">
        <f>DATE(2016,7,3)</f>
        <v>42554</v>
      </c>
      <c r="AR2237" s="82">
        <f t="shared" si="159"/>
        <v>3</v>
      </c>
      <c r="AS2237" s="83">
        <f t="shared" si="160"/>
        <v>7</v>
      </c>
      <c r="AT2237" s="84">
        <f t="shared" si="161"/>
        <v>2016</v>
      </c>
      <c r="AU2237" s="88">
        <f>DATE(2016,8,8)</f>
        <v>42590</v>
      </c>
      <c r="AV2237" s="88">
        <f>DATE(2016,7,25)</f>
        <v>42576</v>
      </c>
      <c r="AW2237" s="87">
        <f t="shared" si="156"/>
        <v>14</v>
      </c>
      <c r="AX2237" s="86"/>
      <c r="AY2237" s="83"/>
      <c r="AZ2237" s="84"/>
      <c r="BA2237" s="88">
        <f>DATE(2016,8,3)</f>
        <v>42585</v>
      </c>
      <c r="BB2237" s="86"/>
    </row>
    <row r="2238" spans="1:54" ht="36.75" customHeight="1">
      <c r="A2238" s="30"/>
      <c r="B2238" s="30" t="s">
        <v>2124</v>
      </c>
      <c r="C2238" s="69" t="str">
        <f t="shared" si="152"/>
        <v>Open</v>
      </c>
      <c r="D2238" s="27" t="s">
        <v>12558</v>
      </c>
      <c r="E2238" s="29" t="s">
        <v>12559</v>
      </c>
      <c r="F2238" s="30" t="s">
        <v>594</v>
      </c>
      <c r="G2238" s="89">
        <f>DATE(2016,7,3)</f>
        <v>42554</v>
      </c>
      <c r="H2238" s="90">
        <v>1.7611111111111111</v>
      </c>
      <c r="I2238" s="30" t="s">
        <v>73</v>
      </c>
      <c r="J2238" s="89" t="s">
        <v>12560</v>
      </c>
      <c r="K2238" s="30" t="s">
        <v>596</v>
      </c>
      <c r="L2238" s="30" t="s">
        <v>12561</v>
      </c>
      <c r="M2238" s="30" t="s">
        <v>63</v>
      </c>
      <c r="N2238" s="30" t="s">
        <v>99</v>
      </c>
      <c r="O2238" s="30" t="s">
        <v>64</v>
      </c>
      <c r="P2238" s="89" t="s">
        <v>165</v>
      </c>
      <c r="Q2238" s="89" t="s">
        <v>10529</v>
      </c>
      <c r="R2238" s="89" t="s">
        <v>12074</v>
      </c>
      <c r="S2238" s="30">
        <v>0</v>
      </c>
      <c r="T2238" s="233">
        <v>0</v>
      </c>
      <c r="U2238" s="30">
        <v>0</v>
      </c>
      <c r="V2238" s="233">
        <v>0</v>
      </c>
      <c r="W2238" s="30">
        <v>0</v>
      </c>
      <c r="X2238" s="30">
        <v>0</v>
      </c>
      <c r="Y2238" s="30">
        <v>0</v>
      </c>
      <c r="Z2238" s="233">
        <v>0</v>
      </c>
      <c r="AA2238" s="30">
        <v>0</v>
      </c>
      <c r="AB2238" s="30">
        <v>0</v>
      </c>
      <c r="AC2238" s="30">
        <v>0</v>
      </c>
      <c r="AD2238" s="30">
        <v>0</v>
      </c>
      <c r="AE2238" s="89" t="s">
        <v>92</v>
      </c>
      <c r="AF2238" s="89"/>
      <c r="AG2238" s="89" t="s">
        <v>589</v>
      </c>
      <c r="AH2238" s="72">
        <v>42576</v>
      </c>
      <c r="AI2238" s="30">
        <v>0</v>
      </c>
      <c r="AJ2238" s="89" t="s">
        <v>68</v>
      </c>
      <c r="AK2238" s="89" t="s">
        <v>68</v>
      </c>
      <c r="AL2238" s="91">
        <v>42590</v>
      </c>
      <c r="AM2238" s="91"/>
      <c r="AN2238" s="91"/>
      <c r="AO2238" s="91"/>
      <c r="AP2238" s="73" t="e">
        <f>MID(VLOOKUP(K2238,#REF!,2,FALSE),1,2)</f>
        <v>#REF!</v>
      </c>
      <c r="AQ2238" s="89">
        <f>DATE(2016,7,5)</f>
        <v>42556</v>
      </c>
      <c r="AR2238" s="82">
        <f t="shared" si="159"/>
        <v>5</v>
      </c>
      <c r="AS2238" s="84">
        <f t="shared" si="160"/>
        <v>7</v>
      </c>
      <c r="AT2238" s="104">
        <f t="shared" si="161"/>
        <v>2016</v>
      </c>
      <c r="AU2238" s="86"/>
      <c r="AV2238" s="87"/>
      <c r="AW2238" s="86"/>
      <c r="AX2238" s="82"/>
      <c r="AY2238" s="84"/>
      <c r="AZ2238" s="104"/>
      <c r="BA2238" s="86"/>
      <c r="BB2238" s="86"/>
    </row>
    <row r="2239" spans="1:54" ht="36.75" customHeight="1">
      <c r="A2239" s="30"/>
      <c r="B2239" s="30" t="s">
        <v>55</v>
      </c>
      <c r="C2239" s="69" t="str">
        <f t="shared" si="152"/>
        <v>Closed</v>
      </c>
      <c r="D2239" s="27" t="s">
        <v>12562</v>
      </c>
      <c r="E2239" s="29" t="s">
        <v>12563</v>
      </c>
      <c r="F2239" s="30" t="s">
        <v>197</v>
      </c>
      <c r="G2239" s="89">
        <f>DATE(2016,7,5)</f>
        <v>42556</v>
      </c>
      <c r="H2239" s="90">
        <v>1.2409722222222221</v>
      </c>
      <c r="I2239" s="30" t="s">
        <v>9026</v>
      </c>
      <c r="J2239" s="89" t="s">
        <v>12564</v>
      </c>
      <c r="K2239" s="30" t="s">
        <v>200</v>
      </c>
      <c r="L2239" s="30" t="s">
        <v>12565</v>
      </c>
      <c r="M2239" s="30" t="s">
        <v>63</v>
      </c>
      <c r="N2239" s="30" t="s">
        <v>99</v>
      </c>
      <c r="O2239" s="30" t="s">
        <v>64</v>
      </c>
      <c r="P2239" s="89" t="s">
        <v>165</v>
      </c>
      <c r="Q2239" s="89" t="s">
        <v>202</v>
      </c>
      <c r="R2239" s="89" t="s">
        <v>203</v>
      </c>
      <c r="S2239" s="30">
        <v>0</v>
      </c>
      <c r="T2239" s="233">
        <v>0</v>
      </c>
      <c r="U2239" s="30">
        <v>0</v>
      </c>
      <c r="V2239" s="233">
        <v>0</v>
      </c>
      <c r="W2239" s="30">
        <v>0</v>
      </c>
      <c r="X2239" s="30">
        <v>0</v>
      </c>
      <c r="Y2239" s="30">
        <v>0</v>
      </c>
      <c r="Z2239" s="233">
        <v>0</v>
      </c>
      <c r="AA2239" s="30">
        <v>1</v>
      </c>
      <c r="AB2239" s="30">
        <v>0</v>
      </c>
      <c r="AC2239" s="30">
        <v>0</v>
      </c>
      <c r="AD2239" s="30">
        <v>1</v>
      </c>
      <c r="AE2239" s="89" t="s">
        <v>394</v>
      </c>
      <c r="AF2239" s="89"/>
      <c r="AG2239" s="89" t="s">
        <v>589</v>
      </c>
      <c r="AH2239" s="72">
        <v>42583</v>
      </c>
      <c r="AI2239" s="30">
        <v>0</v>
      </c>
      <c r="AJ2239" s="89" t="s">
        <v>12566</v>
      </c>
      <c r="AK2239" s="89" t="s">
        <v>1233</v>
      </c>
      <c r="AL2239" s="91">
        <v>43910</v>
      </c>
      <c r="AM2239" s="91"/>
      <c r="AN2239" s="91"/>
      <c r="AO2239" s="91"/>
      <c r="AP2239" s="73" t="e">
        <f>MID(VLOOKUP(K2239,#REF!,2,FALSE),1,2)</f>
        <v>#REF!</v>
      </c>
      <c r="AQ2239" s="89">
        <f>DATE(2016,7,8)</f>
        <v>42559</v>
      </c>
      <c r="AR2239" s="82">
        <f t="shared" si="159"/>
        <v>8</v>
      </c>
      <c r="AS2239" s="83">
        <f t="shared" si="160"/>
        <v>7</v>
      </c>
      <c r="AT2239" s="84">
        <f t="shared" si="161"/>
        <v>2016</v>
      </c>
      <c r="AU2239" s="88">
        <f>DATE(2016,7,22)</f>
        <v>42573</v>
      </c>
      <c r="AV2239" s="88">
        <f>DATE(2016,7,14)</f>
        <v>42565</v>
      </c>
      <c r="AW2239" s="87">
        <f t="shared" ref="AW2239:AW2270" si="162">AU2239-AV2239</f>
        <v>8</v>
      </c>
      <c r="AX2239" s="88">
        <f>DATE(2016,7,20)</f>
        <v>42571</v>
      </c>
      <c r="AY2239" s="83">
        <f>MONTH(AX2239)</f>
        <v>7</v>
      </c>
      <c r="AZ2239" s="84">
        <f>YEAR(AX2239)</f>
        <v>2016</v>
      </c>
      <c r="BA2239" s="88">
        <f>DATE(2016,7,8)</f>
        <v>42559</v>
      </c>
      <c r="BB2239" s="86"/>
    </row>
    <row r="2240" spans="1:54" ht="36.75" customHeight="1">
      <c r="A2240" s="30"/>
      <c r="B2240" s="30" t="s">
        <v>55</v>
      </c>
      <c r="C2240" s="69" t="str">
        <f t="shared" si="152"/>
        <v>Closed</v>
      </c>
      <c r="D2240" s="27" t="s">
        <v>12567</v>
      </c>
      <c r="E2240" s="29" t="s">
        <v>12568</v>
      </c>
      <c r="F2240" s="30" t="s">
        <v>2601</v>
      </c>
      <c r="G2240" s="89">
        <f>DATE(2016,7,8)</f>
        <v>42559</v>
      </c>
      <c r="H2240" s="90">
        <v>1.5034722222222223</v>
      </c>
      <c r="I2240" s="30" t="s">
        <v>125</v>
      </c>
      <c r="J2240" s="89" t="s">
        <v>12569</v>
      </c>
      <c r="K2240" s="30" t="s">
        <v>2603</v>
      </c>
      <c r="L2240" s="30" t="s">
        <v>12570</v>
      </c>
      <c r="M2240" s="30" t="s">
        <v>63</v>
      </c>
      <c r="N2240" s="30" t="s">
        <v>99</v>
      </c>
      <c r="O2240" s="30" t="s">
        <v>64</v>
      </c>
      <c r="P2240" s="89" t="s">
        <v>462</v>
      </c>
      <c r="Q2240" s="89" t="s">
        <v>6342</v>
      </c>
      <c r="R2240" s="89" t="s">
        <v>2606</v>
      </c>
      <c r="S2240" s="30">
        <v>0</v>
      </c>
      <c r="T2240" s="233">
        <v>0</v>
      </c>
      <c r="U2240" s="30">
        <v>0</v>
      </c>
      <c r="V2240" s="233">
        <v>0</v>
      </c>
      <c r="W2240" s="30">
        <v>0</v>
      </c>
      <c r="X2240" s="30">
        <v>0</v>
      </c>
      <c r="Y2240" s="30">
        <v>0</v>
      </c>
      <c r="Z2240" s="233">
        <v>0</v>
      </c>
      <c r="AA2240" s="30">
        <v>0</v>
      </c>
      <c r="AB2240" s="30">
        <v>0</v>
      </c>
      <c r="AC2240" s="30">
        <v>0</v>
      </c>
      <c r="AD2240" s="30">
        <v>0</v>
      </c>
      <c r="AE2240" s="89" t="s">
        <v>394</v>
      </c>
      <c r="AF2240" s="89"/>
      <c r="AG2240" s="89" t="s">
        <v>12318</v>
      </c>
      <c r="AH2240" s="72">
        <v>42565</v>
      </c>
      <c r="AI2240" s="30">
        <v>5</v>
      </c>
      <c r="AJ2240" s="89" t="s">
        <v>12571</v>
      </c>
      <c r="AK2240" s="89" t="s">
        <v>12572</v>
      </c>
      <c r="AL2240" s="91">
        <v>42573</v>
      </c>
      <c r="AM2240" s="91"/>
      <c r="AN2240" s="91"/>
      <c r="AO2240" s="91"/>
      <c r="AP2240" s="73" t="e">
        <f>MID(VLOOKUP(K2240,#REF!,2,FALSE),1,2)</f>
        <v>#REF!</v>
      </c>
      <c r="AQ2240" s="89">
        <f>DATE(2016,7,8)</f>
        <v>42559</v>
      </c>
      <c r="AR2240" s="82">
        <f t="shared" si="159"/>
        <v>8</v>
      </c>
      <c r="AS2240" s="83">
        <f t="shared" si="160"/>
        <v>7</v>
      </c>
      <c r="AT2240" s="84">
        <f t="shared" si="161"/>
        <v>2016</v>
      </c>
      <c r="AU2240" s="88">
        <f>DATE(2016,7,15)</f>
        <v>42566</v>
      </c>
      <c r="AV2240" s="88">
        <f>DATE(2016,7,13)</f>
        <v>42564</v>
      </c>
      <c r="AW2240" s="87">
        <f t="shared" si="162"/>
        <v>2</v>
      </c>
      <c r="AX2240" s="88">
        <f>DATE(2016,7,9)</f>
        <v>42560</v>
      </c>
      <c r="AY2240" s="83">
        <f>MONTH(AX2240)</f>
        <v>7</v>
      </c>
      <c r="AZ2240" s="84">
        <f>YEAR(AX2240)</f>
        <v>2016</v>
      </c>
      <c r="BA2240" s="88">
        <f>DATE(2016,7,13)</f>
        <v>42564</v>
      </c>
      <c r="BB2240" s="86"/>
    </row>
    <row r="2241" spans="1:54" ht="36.75" customHeight="1">
      <c r="A2241" s="30"/>
      <c r="B2241" s="30" t="s">
        <v>55</v>
      </c>
      <c r="C2241" s="69" t="str">
        <f t="shared" si="152"/>
        <v>Closed</v>
      </c>
      <c r="D2241" s="27" t="s">
        <v>12573</v>
      </c>
      <c r="E2241" s="29" t="s">
        <v>12574</v>
      </c>
      <c r="F2241" s="30" t="s">
        <v>58</v>
      </c>
      <c r="G2241" s="89">
        <f>DATE(2016,7,8)</f>
        <v>42559</v>
      </c>
      <c r="H2241" s="90">
        <v>1.8958333333333335</v>
      </c>
      <c r="I2241" s="30" t="s">
        <v>156</v>
      </c>
      <c r="J2241" s="89" t="s">
        <v>12575</v>
      </c>
      <c r="K2241" s="30" t="s">
        <v>61</v>
      </c>
      <c r="L2241" s="30" t="s">
        <v>12576</v>
      </c>
      <c r="M2241" s="30" t="s">
        <v>63</v>
      </c>
      <c r="N2241" s="30" t="s">
        <v>89</v>
      </c>
      <c r="O2241" s="30" t="s">
        <v>90</v>
      </c>
      <c r="P2241" s="89" t="s">
        <v>91</v>
      </c>
      <c r="Q2241" s="89" t="s">
        <v>10870</v>
      </c>
      <c r="R2241" s="89" t="s">
        <v>61</v>
      </c>
      <c r="S2241" s="30">
        <v>0</v>
      </c>
      <c r="T2241" s="233">
        <v>0</v>
      </c>
      <c r="U2241" s="30">
        <v>0</v>
      </c>
      <c r="V2241" s="233">
        <v>0</v>
      </c>
      <c r="W2241" s="30">
        <v>0</v>
      </c>
      <c r="X2241" s="30">
        <v>0</v>
      </c>
      <c r="Y2241" s="30">
        <v>0</v>
      </c>
      <c r="Z2241" s="233">
        <v>0</v>
      </c>
      <c r="AA2241" s="30">
        <v>0</v>
      </c>
      <c r="AB2241" s="30">
        <v>0</v>
      </c>
      <c r="AC2241" s="30">
        <v>0</v>
      </c>
      <c r="AD2241" s="30">
        <v>0</v>
      </c>
      <c r="AE2241" s="89" t="s">
        <v>92</v>
      </c>
      <c r="AF2241" s="89"/>
      <c r="AG2241" s="89" t="s">
        <v>352</v>
      </c>
      <c r="AH2241" s="72">
        <v>42564</v>
      </c>
      <c r="AI2241" s="30">
        <v>4</v>
      </c>
      <c r="AJ2241" s="89" t="s">
        <v>12577</v>
      </c>
      <c r="AK2241" s="89" t="s">
        <v>12578</v>
      </c>
      <c r="AL2241" s="91">
        <v>42566</v>
      </c>
      <c r="AM2241" s="91"/>
      <c r="AN2241" s="91"/>
      <c r="AO2241" s="91"/>
      <c r="AP2241" s="73" t="e">
        <f>MID(VLOOKUP(K2241,#REF!,2,FALSE),1,2)</f>
        <v>#REF!</v>
      </c>
      <c r="AQ2241" s="89">
        <f>DATE(2016,7,10)</f>
        <v>42561</v>
      </c>
      <c r="AR2241" s="82">
        <f t="shared" si="159"/>
        <v>10</v>
      </c>
      <c r="AS2241" s="83">
        <f t="shared" si="160"/>
        <v>7</v>
      </c>
      <c r="AT2241" s="84">
        <f t="shared" si="161"/>
        <v>2016</v>
      </c>
      <c r="AU2241" s="88">
        <f>DATE(2016,7,11)</f>
        <v>42562</v>
      </c>
      <c r="AV2241" s="88">
        <f>DATE(2016,7,10)</f>
        <v>42561</v>
      </c>
      <c r="AW2241" s="87">
        <f t="shared" si="162"/>
        <v>1</v>
      </c>
      <c r="AX2241" s="86"/>
      <c r="AY2241" s="83"/>
      <c r="AZ2241" s="84"/>
      <c r="BA2241" s="86"/>
      <c r="BB2241" s="86"/>
    </row>
    <row r="2242" spans="1:54" ht="36.75" customHeight="1">
      <c r="A2242" s="30"/>
      <c r="B2242" s="30" t="s">
        <v>55</v>
      </c>
      <c r="C2242" s="69" t="str">
        <f t="shared" ref="C2242:C2305" si="163">IF(B2242="Notification","Open",IF(B2242="Interim Statement","In progress","Closed"))</f>
        <v>Closed</v>
      </c>
      <c r="D2242" s="27" t="s">
        <v>12579</v>
      </c>
      <c r="E2242" s="29" t="s">
        <v>12580</v>
      </c>
      <c r="F2242" s="30" t="s">
        <v>423</v>
      </c>
      <c r="G2242" s="89">
        <f>DATE(2016,7,10)</f>
        <v>42561</v>
      </c>
      <c r="H2242" s="90">
        <v>1.2902777777777779</v>
      </c>
      <c r="I2242" s="30" t="s">
        <v>198</v>
      </c>
      <c r="J2242" s="89" t="s">
        <v>12581</v>
      </c>
      <c r="K2242" s="30" t="s">
        <v>425</v>
      </c>
      <c r="L2242" s="30" t="s">
        <v>12582</v>
      </c>
      <c r="M2242" s="30" t="s">
        <v>63</v>
      </c>
      <c r="N2242" s="30" t="s">
        <v>99</v>
      </c>
      <c r="O2242" s="30" t="s">
        <v>77</v>
      </c>
      <c r="P2242" s="89" t="s">
        <v>165</v>
      </c>
      <c r="Q2242" s="89" t="s">
        <v>12583</v>
      </c>
      <c r="R2242" s="89" t="s">
        <v>12584</v>
      </c>
      <c r="S2242" s="30">
        <v>0</v>
      </c>
      <c r="T2242" s="233">
        <v>0</v>
      </c>
      <c r="U2242" s="30">
        <v>0</v>
      </c>
      <c r="V2242" s="233">
        <v>0</v>
      </c>
      <c r="W2242" s="30">
        <v>0</v>
      </c>
      <c r="X2242" s="30">
        <v>0</v>
      </c>
      <c r="Y2242" s="30">
        <v>0</v>
      </c>
      <c r="Z2242" s="233">
        <v>0</v>
      </c>
      <c r="AA2242" s="30">
        <v>0</v>
      </c>
      <c r="AB2242" s="30">
        <v>0</v>
      </c>
      <c r="AC2242" s="30">
        <v>0</v>
      </c>
      <c r="AD2242" s="30">
        <v>0</v>
      </c>
      <c r="AE2242" s="89" t="s">
        <v>92</v>
      </c>
      <c r="AF2242" s="89"/>
      <c r="AG2242" s="89" t="s">
        <v>82</v>
      </c>
      <c r="AH2242" s="72">
        <v>42561</v>
      </c>
      <c r="AI2242" s="30">
        <v>4</v>
      </c>
      <c r="AJ2242" s="89" t="s">
        <v>12585</v>
      </c>
      <c r="AK2242" s="89" t="s">
        <v>12586</v>
      </c>
      <c r="AL2242" s="91">
        <v>42562</v>
      </c>
      <c r="AM2242" s="91"/>
      <c r="AN2242" s="91"/>
      <c r="AO2242" s="91"/>
      <c r="AP2242" s="73" t="e">
        <f>MID(VLOOKUP(K2242,#REF!,2,FALSE),1,2)</f>
        <v>#REF!</v>
      </c>
      <c r="AQ2242" s="89">
        <f>DATE(2016,7,10)</f>
        <v>42561</v>
      </c>
      <c r="AR2242" s="82">
        <f t="shared" si="159"/>
        <v>10</v>
      </c>
      <c r="AS2242" s="83">
        <f t="shared" si="160"/>
        <v>7</v>
      </c>
      <c r="AT2242" s="84">
        <f t="shared" si="161"/>
        <v>2016</v>
      </c>
      <c r="AU2242" s="88">
        <f>DATE(2016,7,15)</f>
        <v>42566</v>
      </c>
      <c r="AV2242" s="88">
        <f>DATE(2016,7,11)</f>
        <v>42562</v>
      </c>
      <c r="AW2242" s="87">
        <f t="shared" si="162"/>
        <v>4</v>
      </c>
      <c r="AX2242" s="88">
        <f>DATE(2016,7,15)</f>
        <v>42566</v>
      </c>
      <c r="AY2242" s="83">
        <f>MONTH(AX2242)</f>
        <v>7</v>
      </c>
      <c r="AZ2242" s="84">
        <f>YEAR(AX2242)</f>
        <v>2016</v>
      </c>
      <c r="BA2242" s="88">
        <f>DATE(2016,7,10)</f>
        <v>42561</v>
      </c>
      <c r="BB2242" s="86"/>
    </row>
    <row r="2243" spans="1:54" ht="36.75" customHeight="1">
      <c r="A2243" s="30"/>
      <c r="B2243" s="30" t="s">
        <v>55</v>
      </c>
      <c r="C2243" s="69" t="str">
        <f t="shared" si="163"/>
        <v>Closed</v>
      </c>
      <c r="D2243" s="27" t="s">
        <v>12587</v>
      </c>
      <c r="E2243" s="29" t="s">
        <v>12588</v>
      </c>
      <c r="F2243" s="30" t="s">
        <v>1572</v>
      </c>
      <c r="G2243" s="89">
        <f>DATE(2016,7,10)</f>
        <v>42561</v>
      </c>
      <c r="H2243" s="90">
        <v>1.4861111111111112</v>
      </c>
      <c r="I2243" s="30" t="s">
        <v>73</v>
      </c>
      <c r="J2243" s="89" t="s">
        <v>12589</v>
      </c>
      <c r="K2243" s="30" t="s">
        <v>1574</v>
      </c>
      <c r="L2243" s="30" t="s">
        <v>7944</v>
      </c>
      <c r="M2243" s="30" t="s">
        <v>63</v>
      </c>
      <c r="N2243" s="30" t="s">
        <v>142</v>
      </c>
      <c r="O2243" s="30" t="s">
        <v>77</v>
      </c>
      <c r="P2243" s="89" t="s">
        <v>78</v>
      </c>
      <c r="Q2243" s="89" t="s">
        <v>2655</v>
      </c>
      <c r="R2243" s="89" t="s">
        <v>6434</v>
      </c>
      <c r="S2243" s="30">
        <v>0</v>
      </c>
      <c r="T2243" s="233">
        <v>0</v>
      </c>
      <c r="U2243" s="30">
        <v>0</v>
      </c>
      <c r="V2243" s="233">
        <v>0</v>
      </c>
      <c r="W2243" s="30">
        <v>0</v>
      </c>
      <c r="X2243" s="30">
        <v>0</v>
      </c>
      <c r="Y2243" s="30">
        <v>0</v>
      </c>
      <c r="Z2243" s="233">
        <v>0</v>
      </c>
      <c r="AA2243" s="30">
        <v>0</v>
      </c>
      <c r="AB2243" s="30">
        <v>0</v>
      </c>
      <c r="AC2243" s="30">
        <v>0</v>
      </c>
      <c r="AD2243" s="30">
        <v>0</v>
      </c>
      <c r="AE2243" s="89" t="s">
        <v>92</v>
      </c>
      <c r="AF2243" s="89"/>
      <c r="AG2243" s="89" t="s">
        <v>133</v>
      </c>
      <c r="AH2243" s="72">
        <v>42562</v>
      </c>
      <c r="AI2243" s="30">
        <v>0</v>
      </c>
      <c r="AJ2243" s="89" t="s">
        <v>12590</v>
      </c>
      <c r="AK2243" s="89" t="s">
        <v>12591</v>
      </c>
      <c r="AL2243" s="91">
        <v>42566</v>
      </c>
      <c r="AM2243" s="91"/>
      <c r="AN2243" s="91"/>
      <c r="AO2243" s="91"/>
      <c r="AP2243" s="73" t="e">
        <f>MID(VLOOKUP(K2243,#REF!,2,FALSE),1,2)</f>
        <v>#REF!</v>
      </c>
      <c r="AQ2243" s="89">
        <f>DATE(2016,7,12)</f>
        <v>42563</v>
      </c>
      <c r="AR2243" s="82">
        <f t="shared" si="159"/>
        <v>12</v>
      </c>
      <c r="AS2243" s="83">
        <f t="shared" si="160"/>
        <v>7</v>
      </c>
      <c r="AT2243" s="84">
        <f t="shared" si="161"/>
        <v>2016</v>
      </c>
      <c r="AU2243" s="88">
        <f>DATE(2016,7,25)</f>
        <v>42576</v>
      </c>
      <c r="AV2243" s="88">
        <f>DATE(2016,7,12)</f>
        <v>42563</v>
      </c>
      <c r="AW2243" s="87">
        <f t="shared" si="162"/>
        <v>13</v>
      </c>
      <c r="AX2243" s="88">
        <f>DATE(2016,7,25)</f>
        <v>42576</v>
      </c>
      <c r="AY2243" s="83">
        <f>MONTH(AX2243)</f>
        <v>7</v>
      </c>
      <c r="AZ2243" s="84">
        <f>YEAR(AX2243)</f>
        <v>2016</v>
      </c>
      <c r="BA2243" s="88">
        <f>DATE(2016,7,14)</f>
        <v>42565</v>
      </c>
      <c r="BB2243" s="86"/>
    </row>
    <row r="2244" spans="1:54" ht="36.75" customHeight="1">
      <c r="A2244" s="30"/>
      <c r="B2244" s="30" t="s">
        <v>55</v>
      </c>
      <c r="C2244" s="69" t="str">
        <f t="shared" si="163"/>
        <v>Closed</v>
      </c>
      <c r="D2244" s="27" t="s">
        <v>12592</v>
      </c>
      <c r="E2244" s="29" t="s">
        <v>12593</v>
      </c>
      <c r="F2244" s="30" t="s">
        <v>377</v>
      </c>
      <c r="G2244" s="89">
        <f>DATE(2016,7,12)</f>
        <v>42563</v>
      </c>
      <c r="H2244" s="90">
        <v>1.4618055555555556</v>
      </c>
      <c r="I2244" s="30" t="s">
        <v>198</v>
      </c>
      <c r="J2244" s="89" t="s">
        <v>12594</v>
      </c>
      <c r="K2244" s="30" t="s">
        <v>379</v>
      </c>
      <c r="L2244" s="30" t="s">
        <v>12595</v>
      </c>
      <c r="M2244" s="30" t="s">
        <v>63</v>
      </c>
      <c r="N2244" s="30" t="s">
        <v>99</v>
      </c>
      <c r="O2244" s="30" t="s">
        <v>64</v>
      </c>
      <c r="P2244" s="89" t="s">
        <v>165</v>
      </c>
      <c r="Q2244" s="89" t="s">
        <v>12596</v>
      </c>
      <c r="R2244" s="89" t="s">
        <v>12597</v>
      </c>
      <c r="S2244" s="30">
        <v>19</v>
      </c>
      <c r="T2244" s="233">
        <v>3</v>
      </c>
      <c r="U2244" s="30">
        <v>0</v>
      </c>
      <c r="V2244" s="233">
        <v>0</v>
      </c>
      <c r="W2244" s="30">
        <v>1</v>
      </c>
      <c r="X2244" s="30">
        <v>23</v>
      </c>
      <c r="Y2244" s="30">
        <v>50</v>
      </c>
      <c r="Z2244" s="233">
        <v>0</v>
      </c>
      <c r="AA2244" s="30">
        <v>0</v>
      </c>
      <c r="AB2244" s="30">
        <v>0</v>
      </c>
      <c r="AC2244" s="30">
        <v>0</v>
      </c>
      <c r="AD2244" s="30">
        <v>50</v>
      </c>
      <c r="AE2244" s="89" t="s">
        <v>145</v>
      </c>
      <c r="AF2244" s="89"/>
      <c r="AG2244" s="89" t="s">
        <v>82</v>
      </c>
      <c r="AH2244" s="72">
        <v>42563</v>
      </c>
      <c r="AI2244" s="30">
        <v>7</v>
      </c>
      <c r="AJ2244" s="89" t="s">
        <v>12598</v>
      </c>
      <c r="AK2244" s="89" t="s">
        <v>12599</v>
      </c>
      <c r="AL2244" s="91">
        <v>42576</v>
      </c>
      <c r="AM2244" s="91"/>
      <c r="AN2244" s="91"/>
      <c r="AO2244" s="91"/>
      <c r="AP2244" s="73" t="e">
        <f>MID(VLOOKUP(K2244,#REF!,2,FALSE),1,2)</f>
        <v>#REF!</v>
      </c>
      <c r="AQ2244" s="89">
        <f>DATE(2016,7,15)</f>
        <v>42566</v>
      </c>
      <c r="AR2244" s="82">
        <f t="shared" si="159"/>
        <v>15</v>
      </c>
      <c r="AS2244" s="83">
        <f t="shared" si="160"/>
        <v>7</v>
      </c>
      <c r="AT2244" s="84">
        <f t="shared" si="161"/>
        <v>2016</v>
      </c>
      <c r="AU2244" s="88">
        <f>DATE(2016,7,19)</f>
        <v>42570</v>
      </c>
      <c r="AV2244" s="88">
        <f>DATE(2016,7,18)</f>
        <v>42569</v>
      </c>
      <c r="AW2244" s="87">
        <f t="shared" si="162"/>
        <v>1</v>
      </c>
      <c r="AX2244" s="88">
        <f>DATE(2016,7,18)</f>
        <v>42569</v>
      </c>
      <c r="AY2244" s="83">
        <f>MONTH(AX2244)</f>
        <v>7</v>
      </c>
      <c r="AZ2244" s="84">
        <f>YEAR(AX2244)</f>
        <v>2016</v>
      </c>
      <c r="BA2244" s="88">
        <f>DATE(2016,7,19)</f>
        <v>42570</v>
      </c>
      <c r="BB2244" s="86"/>
    </row>
    <row r="2245" spans="1:54" ht="36.75" customHeight="1">
      <c r="A2245" s="30"/>
      <c r="B2245" s="30" t="s">
        <v>2124</v>
      </c>
      <c r="C2245" s="69" t="str">
        <f t="shared" si="163"/>
        <v>Open</v>
      </c>
      <c r="D2245" s="27" t="s">
        <v>12600</v>
      </c>
      <c r="E2245" s="29" t="s">
        <v>12601</v>
      </c>
      <c r="F2245" s="30" t="s">
        <v>594</v>
      </c>
      <c r="G2245" s="89">
        <f>DATE(2016,7,15)</f>
        <v>42566</v>
      </c>
      <c r="H2245" s="90">
        <v>1.6659722222222222</v>
      </c>
      <c r="I2245" s="30" t="s">
        <v>73</v>
      </c>
      <c r="J2245" s="89" t="s">
        <v>12602</v>
      </c>
      <c r="K2245" s="30" t="s">
        <v>596</v>
      </c>
      <c r="L2245" s="30" t="s">
        <v>12603</v>
      </c>
      <c r="M2245" s="30" t="s">
        <v>63</v>
      </c>
      <c r="N2245" s="30" t="s">
        <v>99</v>
      </c>
      <c r="O2245" s="30" t="s">
        <v>64</v>
      </c>
      <c r="P2245" s="89" t="s">
        <v>78</v>
      </c>
      <c r="Q2245" s="89" t="s">
        <v>5121</v>
      </c>
      <c r="R2245" s="89" t="s">
        <v>12074</v>
      </c>
      <c r="S2245" s="30">
        <v>0</v>
      </c>
      <c r="T2245" s="233">
        <v>0</v>
      </c>
      <c r="U2245" s="30">
        <v>0</v>
      </c>
      <c r="V2245" s="233">
        <v>0</v>
      </c>
      <c r="W2245" s="30">
        <v>0</v>
      </c>
      <c r="X2245" s="30">
        <v>0</v>
      </c>
      <c r="Y2245" s="30">
        <v>0</v>
      </c>
      <c r="Z2245" s="233">
        <v>0</v>
      </c>
      <c r="AA2245" s="30">
        <v>0</v>
      </c>
      <c r="AB2245" s="30">
        <v>0</v>
      </c>
      <c r="AC2245" s="30">
        <v>0</v>
      </c>
      <c r="AD2245" s="30">
        <v>0</v>
      </c>
      <c r="AE2245" s="89" t="s">
        <v>394</v>
      </c>
      <c r="AF2245" s="89"/>
      <c r="AG2245" s="89" t="s">
        <v>589</v>
      </c>
      <c r="AH2245" s="72">
        <v>42569</v>
      </c>
      <c r="AI2245" s="30">
        <v>0</v>
      </c>
      <c r="AJ2245" s="89" t="s">
        <v>68</v>
      </c>
      <c r="AK2245" s="89" t="s">
        <v>68</v>
      </c>
      <c r="AL2245" s="91">
        <v>42570</v>
      </c>
      <c r="AM2245" s="91"/>
      <c r="AN2245" s="91"/>
      <c r="AO2245" s="91"/>
      <c r="AP2245" s="73" t="e">
        <f>MID(VLOOKUP(K2245,#REF!,2,FALSE),1,2)</f>
        <v>#REF!</v>
      </c>
      <c r="AQ2245" s="89">
        <f>DATE(2016,7,16)</f>
        <v>42567</v>
      </c>
      <c r="AR2245" s="82">
        <f t="shared" si="159"/>
        <v>16</v>
      </c>
      <c r="AS2245" s="83">
        <f t="shared" si="160"/>
        <v>7</v>
      </c>
      <c r="AT2245" s="84">
        <f t="shared" si="161"/>
        <v>2016</v>
      </c>
      <c r="AU2245" s="88">
        <f>DATE(2016,7,19)</f>
        <v>42570</v>
      </c>
      <c r="AV2245" s="88">
        <f>DATE(2016,7,19)</f>
        <v>42570</v>
      </c>
      <c r="AW2245" s="87">
        <f t="shared" si="162"/>
        <v>0</v>
      </c>
      <c r="AX2245" s="88">
        <f>DATE(2016,7,19)</f>
        <v>42570</v>
      </c>
      <c r="AY2245" s="83">
        <f>MONTH(AX2245)</f>
        <v>7</v>
      </c>
      <c r="AZ2245" s="84">
        <f>YEAR(AX2245)</f>
        <v>2016</v>
      </c>
      <c r="BA2245" s="88">
        <f>DATE(2016,7,19)</f>
        <v>42570</v>
      </c>
      <c r="BB2245" s="86"/>
    </row>
    <row r="2246" spans="1:54" ht="36.75" customHeight="1">
      <c r="A2246" s="30"/>
      <c r="B2246" s="30" t="s">
        <v>55</v>
      </c>
      <c r="C2246" s="69" t="str">
        <f t="shared" si="163"/>
        <v>Closed</v>
      </c>
      <c r="D2246" s="27" t="s">
        <v>12604</v>
      </c>
      <c r="E2246" s="29" t="s">
        <v>12605</v>
      </c>
      <c r="F2246" s="30" t="s">
        <v>9789</v>
      </c>
      <c r="G2246" s="89">
        <f>DATE(2016,7,16)</f>
        <v>42567</v>
      </c>
      <c r="H2246" s="90">
        <v>1.23125</v>
      </c>
      <c r="I2246" s="30" t="s">
        <v>73</v>
      </c>
      <c r="J2246" s="210" t="s">
        <v>12606</v>
      </c>
      <c r="K2246" s="30" t="s">
        <v>9791</v>
      </c>
      <c r="L2246" s="30" t="s">
        <v>12607</v>
      </c>
      <c r="M2246" s="30" t="s">
        <v>63</v>
      </c>
      <c r="N2246" s="30" t="s">
        <v>99</v>
      </c>
      <c r="O2246" s="30" t="s">
        <v>64</v>
      </c>
      <c r="P2246" s="89" t="s">
        <v>78</v>
      </c>
      <c r="Q2246" s="89" t="s">
        <v>10257</v>
      </c>
      <c r="R2246" s="89" t="s">
        <v>9794</v>
      </c>
      <c r="S2246" s="30">
        <v>0</v>
      </c>
      <c r="T2246" s="233">
        <v>0</v>
      </c>
      <c r="U2246" s="30">
        <v>0</v>
      </c>
      <c r="V2246" s="233">
        <v>0</v>
      </c>
      <c r="W2246" s="30">
        <v>0</v>
      </c>
      <c r="X2246" s="30">
        <v>0</v>
      </c>
      <c r="Y2246" s="30">
        <v>0</v>
      </c>
      <c r="Z2246" s="233">
        <v>0</v>
      </c>
      <c r="AA2246" s="30">
        <v>0</v>
      </c>
      <c r="AB2246" s="30">
        <v>0</v>
      </c>
      <c r="AC2246" s="30">
        <v>0</v>
      </c>
      <c r="AD2246" s="30">
        <v>0</v>
      </c>
      <c r="AE2246" s="89" t="s">
        <v>92</v>
      </c>
      <c r="AF2246" s="89"/>
      <c r="AG2246" s="89" t="s">
        <v>12608</v>
      </c>
      <c r="AH2246" s="72">
        <v>42570</v>
      </c>
      <c r="AI2246" s="30">
        <v>1</v>
      </c>
      <c r="AJ2246" s="89" t="s">
        <v>12609</v>
      </c>
      <c r="AK2246" s="89" t="s">
        <v>12610</v>
      </c>
      <c r="AL2246" s="91">
        <v>42570</v>
      </c>
      <c r="AM2246" s="91"/>
      <c r="AN2246" s="91"/>
      <c r="AO2246" s="91"/>
      <c r="AP2246" s="73" t="e">
        <f>MID(VLOOKUP(K2246,#REF!,2,FALSE),1,2)</f>
        <v>#REF!</v>
      </c>
      <c r="AQ2246" s="89">
        <f>DATE(2016,7,18)</f>
        <v>42569</v>
      </c>
      <c r="AR2246" s="82">
        <f t="shared" si="159"/>
        <v>18</v>
      </c>
      <c r="AS2246" s="83">
        <f t="shared" si="160"/>
        <v>7</v>
      </c>
      <c r="AT2246" s="84">
        <f t="shared" si="161"/>
        <v>2016</v>
      </c>
      <c r="AU2246" s="88">
        <f>DATE(2016,10,19)</f>
        <v>42662</v>
      </c>
      <c r="AV2246" s="88">
        <f>DATE(2016,9,27)</f>
        <v>42640</v>
      </c>
      <c r="AW2246" s="87">
        <f t="shared" si="162"/>
        <v>22</v>
      </c>
      <c r="AX2246" s="86"/>
      <c r="AY2246" s="83"/>
      <c r="AZ2246" s="84"/>
      <c r="BA2246" s="86"/>
      <c r="BB2246" s="86"/>
    </row>
    <row r="2247" spans="1:54" ht="36.75" customHeight="1">
      <c r="A2247" s="30"/>
      <c r="B2247" s="30" t="s">
        <v>55</v>
      </c>
      <c r="C2247" s="69" t="str">
        <f t="shared" si="163"/>
        <v>Closed</v>
      </c>
      <c r="D2247" s="27" t="s">
        <v>12611</v>
      </c>
      <c r="E2247" s="29" t="s">
        <v>12612</v>
      </c>
      <c r="F2247" s="30" t="s">
        <v>638</v>
      </c>
      <c r="G2247" s="89">
        <f>DATE(2016,7,18)</f>
        <v>42569</v>
      </c>
      <c r="H2247" s="90">
        <v>1.3493055555555555</v>
      </c>
      <c r="I2247" s="30" t="s">
        <v>104</v>
      </c>
      <c r="J2247" s="89" t="s">
        <v>12613</v>
      </c>
      <c r="K2247" s="30" t="s">
        <v>640</v>
      </c>
      <c r="L2247" s="30" t="s">
        <v>12614</v>
      </c>
      <c r="M2247" s="30" t="s">
        <v>63</v>
      </c>
      <c r="N2247" s="30" t="s">
        <v>99</v>
      </c>
      <c r="O2247" s="30" t="s">
        <v>86</v>
      </c>
      <c r="P2247" s="89" t="s">
        <v>91</v>
      </c>
      <c r="Q2247" s="89" t="s">
        <v>642</v>
      </c>
      <c r="R2247" s="89" t="s">
        <v>643</v>
      </c>
      <c r="S2247" s="30">
        <v>0</v>
      </c>
      <c r="T2247" s="233">
        <v>0</v>
      </c>
      <c r="U2247" s="30">
        <v>0</v>
      </c>
      <c r="V2247" s="233">
        <v>0</v>
      </c>
      <c r="W2247" s="30">
        <v>0</v>
      </c>
      <c r="X2247" s="30">
        <v>0</v>
      </c>
      <c r="Y2247" s="30">
        <v>0</v>
      </c>
      <c r="Z2247" s="233">
        <v>0</v>
      </c>
      <c r="AA2247" s="30">
        <v>0</v>
      </c>
      <c r="AB2247" s="30">
        <v>0</v>
      </c>
      <c r="AC2247" s="30">
        <v>0</v>
      </c>
      <c r="AD2247" s="30">
        <v>0</v>
      </c>
      <c r="AE2247" s="89" t="s">
        <v>92</v>
      </c>
      <c r="AF2247" s="89"/>
      <c r="AG2247" s="89" t="s">
        <v>352</v>
      </c>
      <c r="AH2247" s="72">
        <v>42640</v>
      </c>
      <c r="AI2247" s="30">
        <v>2</v>
      </c>
      <c r="AJ2247" s="89" t="s">
        <v>12615</v>
      </c>
      <c r="AK2247" s="89" t="s">
        <v>68</v>
      </c>
      <c r="AL2247" s="91">
        <v>42662</v>
      </c>
      <c r="AM2247" s="91"/>
      <c r="AN2247" s="91"/>
      <c r="AO2247" s="91"/>
      <c r="AP2247" s="73" t="e">
        <f>MID(VLOOKUP(K2247,#REF!,2,FALSE),1,2)</f>
        <v>#REF!</v>
      </c>
      <c r="AQ2247" s="89">
        <f>DATE(2016,7,22)</f>
        <v>42573</v>
      </c>
      <c r="AR2247" s="82">
        <f t="shared" si="159"/>
        <v>22</v>
      </c>
      <c r="AS2247" s="83">
        <f t="shared" si="160"/>
        <v>7</v>
      </c>
      <c r="AT2247" s="84">
        <f t="shared" si="161"/>
        <v>2016</v>
      </c>
      <c r="AU2247" s="88">
        <f>DATE(2016,7,26)</f>
        <v>42577</v>
      </c>
      <c r="AV2247" s="88">
        <f>DATE(2016,7,26)</f>
        <v>42577</v>
      </c>
      <c r="AW2247" s="87">
        <f t="shared" si="162"/>
        <v>0</v>
      </c>
      <c r="AX2247" s="86"/>
      <c r="AY2247" s="83"/>
      <c r="AZ2247" s="84"/>
      <c r="BA2247" s="86"/>
      <c r="BB2247" s="86"/>
    </row>
    <row r="2248" spans="1:54" ht="36.75" customHeight="1">
      <c r="A2248" s="30"/>
      <c r="B2248" s="30" t="s">
        <v>55</v>
      </c>
      <c r="C2248" s="69" t="str">
        <f t="shared" si="163"/>
        <v>Closed</v>
      </c>
      <c r="D2248" s="27" t="s">
        <v>12616</v>
      </c>
      <c r="E2248" s="29" t="s">
        <v>12617</v>
      </c>
      <c r="F2248" s="30" t="s">
        <v>582</v>
      </c>
      <c r="G2248" s="89">
        <f>DATE(2016,7,22)</f>
        <v>42573</v>
      </c>
      <c r="H2248" s="90">
        <v>1.3256944444444445</v>
      </c>
      <c r="I2248" s="30" t="s">
        <v>198</v>
      </c>
      <c r="J2248" s="89" t="s">
        <v>12618</v>
      </c>
      <c r="K2248" s="30" t="s">
        <v>584</v>
      </c>
      <c r="L2248" s="30" t="s">
        <v>12619</v>
      </c>
      <c r="M2248" s="30" t="s">
        <v>63</v>
      </c>
      <c r="N2248" s="30" t="s">
        <v>142</v>
      </c>
      <c r="O2248" s="30" t="s">
        <v>77</v>
      </c>
      <c r="P2248" s="89" t="s">
        <v>165</v>
      </c>
      <c r="Q2248" s="89" t="s">
        <v>10962</v>
      </c>
      <c r="R2248" s="89" t="s">
        <v>587</v>
      </c>
      <c r="S2248" s="30">
        <v>0</v>
      </c>
      <c r="T2248" s="233">
        <v>0</v>
      </c>
      <c r="U2248" s="30">
        <v>0</v>
      </c>
      <c r="V2248" s="233">
        <v>0</v>
      </c>
      <c r="W2248" s="30">
        <v>0</v>
      </c>
      <c r="X2248" s="30">
        <v>0</v>
      </c>
      <c r="Y2248" s="30">
        <v>0</v>
      </c>
      <c r="Z2248" s="233">
        <v>0</v>
      </c>
      <c r="AA2248" s="30">
        <v>0</v>
      </c>
      <c r="AB2248" s="30">
        <v>0</v>
      </c>
      <c r="AC2248" s="30">
        <v>0</v>
      </c>
      <c r="AD2248" s="30">
        <v>0</v>
      </c>
      <c r="AE2248" s="89" t="s">
        <v>394</v>
      </c>
      <c r="AF2248" s="89"/>
      <c r="AG2248" s="89" t="s">
        <v>133</v>
      </c>
      <c r="AH2248" s="72">
        <v>42577</v>
      </c>
      <c r="AI2248" s="30">
        <v>0</v>
      </c>
      <c r="AJ2248" s="89" t="s">
        <v>12620</v>
      </c>
      <c r="AK2248" s="89" t="s">
        <v>1233</v>
      </c>
      <c r="AL2248" s="91">
        <v>42577</v>
      </c>
      <c r="AM2248" s="91"/>
      <c r="AN2248" s="91"/>
      <c r="AO2248" s="91"/>
      <c r="AP2248" s="73" t="e">
        <f>MID(VLOOKUP(K2248,#REF!,2,FALSE),1,2)</f>
        <v>#REF!</v>
      </c>
      <c r="AQ2248" s="89">
        <f>DATE(2016,7,24)</f>
        <v>42575</v>
      </c>
      <c r="AR2248" s="82">
        <f t="shared" si="159"/>
        <v>24</v>
      </c>
      <c r="AS2248" s="83">
        <f t="shared" si="160"/>
        <v>7</v>
      </c>
      <c r="AT2248" s="84">
        <f t="shared" si="161"/>
        <v>2016</v>
      </c>
      <c r="AU2248" s="88">
        <f>DATE(2016,7,27)</f>
        <v>42578</v>
      </c>
      <c r="AV2248" s="88">
        <f>DATE(2016,7,26)</f>
        <v>42577</v>
      </c>
      <c r="AW2248" s="87">
        <f t="shared" si="162"/>
        <v>1</v>
      </c>
      <c r="AX2248" s="86"/>
      <c r="AY2248" s="83"/>
      <c r="AZ2248" s="84"/>
      <c r="BA2248" s="86"/>
      <c r="BB2248" s="86"/>
    </row>
    <row r="2249" spans="1:54" ht="36.75" customHeight="1">
      <c r="A2249" s="30"/>
      <c r="B2249" s="30" t="s">
        <v>55</v>
      </c>
      <c r="C2249" s="69" t="str">
        <f t="shared" si="163"/>
        <v>Closed</v>
      </c>
      <c r="D2249" s="27" t="s">
        <v>12621</v>
      </c>
      <c r="E2249" s="29" t="s">
        <v>12622</v>
      </c>
      <c r="F2249" s="30" t="s">
        <v>423</v>
      </c>
      <c r="G2249" s="89">
        <f>DATE(2016,7,24)</f>
        <v>42575</v>
      </c>
      <c r="H2249" s="90">
        <v>1.692361111111111</v>
      </c>
      <c r="I2249" s="30" t="s">
        <v>278</v>
      </c>
      <c r="J2249" s="89" t="s">
        <v>12623</v>
      </c>
      <c r="K2249" s="30" t="s">
        <v>425</v>
      </c>
      <c r="L2249" s="30" t="s">
        <v>12624</v>
      </c>
      <c r="M2249" s="30" t="s">
        <v>63</v>
      </c>
      <c r="N2249" s="30" t="s">
        <v>142</v>
      </c>
      <c r="O2249" s="30" t="s">
        <v>64</v>
      </c>
      <c r="P2249" s="89" t="s">
        <v>65</v>
      </c>
      <c r="Q2249" s="89" t="s">
        <v>4551</v>
      </c>
      <c r="R2249" s="89" t="s">
        <v>3103</v>
      </c>
      <c r="S2249" s="30">
        <v>1</v>
      </c>
      <c r="T2249" s="233">
        <v>0</v>
      </c>
      <c r="U2249" s="30">
        <v>0</v>
      </c>
      <c r="V2249" s="233">
        <v>0</v>
      </c>
      <c r="W2249" s="30">
        <v>0</v>
      </c>
      <c r="X2249" s="30">
        <v>1</v>
      </c>
      <c r="Y2249" s="30">
        <v>0</v>
      </c>
      <c r="Z2249" s="233">
        <v>0</v>
      </c>
      <c r="AA2249" s="30">
        <v>0</v>
      </c>
      <c r="AB2249" s="30">
        <v>0</v>
      </c>
      <c r="AC2249" s="30">
        <v>0</v>
      </c>
      <c r="AD2249" s="30">
        <v>0</v>
      </c>
      <c r="AE2249" s="89" t="s">
        <v>92</v>
      </c>
      <c r="AF2249" s="89"/>
      <c r="AG2249" s="89" t="s">
        <v>133</v>
      </c>
      <c r="AH2249" s="72">
        <v>42577</v>
      </c>
      <c r="AI2249" s="30">
        <v>2</v>
      </c>
      <c r="AJ2249" s="89" t="s">
        <v>12625</v>
      </c>
      <c r="AK2249" s="89" t="s">
        <v>12626</v>
      </c>
      <c r="AL2249" s="91">
        <v>42578</v>
      </c>
      <c r="AM2249" s="91"/>
      <c r="AN2249" s="91"/>
      <c r="AO2249" s="91"/>
      <c r="AP2249" s="73" t="e">
        <f>MID(VLOOKUP(K2249,#REF!,2,FALSE),1,2)</f>
        <v>#REF!</v>
      </c>
      <c r="AQ2249" s="89">
        <f>DATE(2016,7,25)</f>
        <v>42576</v>
      </c>
      <c r="AR2249" s="82">
        <f t="shared" si="159"/>
        <v>25</v>
      </c>
      <c r="AS2249" s="83">
        <f t="shared" si="160"/>
        <v>7</v>
      </c>
      <c r="AT2249" s="84">
        <f t="shared" si="161"/>
        <v>2016</v>
      </c>
      <c r="AU2249" s="88">
        <f>DATE(2016,7,28)</f>
        <v>42579</v>
      </c>
      <c r="AV2249" s="88">
        <f>DATE(2016,7,26)</f>
        <v>42577</v>
      </c>
      <c r="AW2249" s="87">
        <f t="shared" si="162"/>
        <v>2</v>
      </c>
      <c r="AX2249" s="86"/>
      <c r="AY2249" s="83"/>
      <c r="AZ2249" s="84"/>
      <c r="BA2249" s="86"/>
      <c r="BB2249" s="86"/>
    </row>
    <row r="2250" spans="1:54" ht="36.75" customHeight="1">
      <c r="A2250" s="30"/>
      <c r="B2250" s="30" t="s">
        <v>55</v>
      </c>
      <c r="C2250" s="69" t="str">
        <f t="shared" si="163"/>
        <v>Closed</v>
      </c>
      <c r="D2250" s="27" t="s">
        <v>12627</v>
      </c>
      <c r="E2250" s="29" t="s">
        <v>12628</v>
      </c>
      <c r="F2250" s="30" t="s">
        <v>835</v>
      </c>
      <c r="G2250" s="89">
        <f>DATE(2016,7,25)</f>
        <v>42576</v>
      </c>
      <c r="H2250" s="90">
        <v>1.5166666666666666</v>
      </c>
      <c r="I2250" s="30" t="s">
        <v>116</v>
      </c>
      <c r="J2250" s="89" t="s">
        <v>12629</v>
      </c>
      <c r="K2250" s="30" t="s">
        <v>837</v>
      </c>
      <c r="L2250" s="30" t="s">
        <v>12630</v>
      </c>
      <c r="M2250" s="30" t="s">
        <v>63</v>
      </c>
      <c r="N2250" s="30" t="s">
        <v>99</v>
      </c>
      <c r="O2250" s="30" t="s">
        <v>64</v>
      </c>
      <c r="P2250" s="89" t="s">
        <v>65</v>
      </c>
      <c r="Q2250" s="89" t="s">
        <v>2162</v>
      </c>
      <c r="R2250" s="89" t="s">
        <v>840</v>
      </c>
      <c r="S2250" s="30">
        <v>0</v>
      </c>
      <c r="T2250" s="233">
        <v>0</v>
      </c>
      <c r="U2250" s="30">
        <v>1</v>
      </c>
      <c r="V2250" s="233">
        <v>0</v>
      </c>
      <c r="W2250" s="30">
        <v>0</v>
      </c>
      <c r="X2250" s="30">
        <v>1</v>
      </c>
      <c r="Y2250" s="30">
        <v>0</v>
      </c>
      <c r="Z2250" s="233">
        <v>0</v>
      </c>
      <c r="AA2250" s="30">
        <v>0</v>
      </c>
      <c r="AB2250" s="30">
        <v>0</v>
      </c>
      <c r="AC2250" s="30">
        <v>0</v>
      </c>
      <c r="AD2250" s="30">
        <v>0</v>
      </c>
      <c r="AE2250" s="89" t="s">
        <v>92</v>
      </c>
      <c r="AF2250" s="89"/>
      <c r="AG2250" s="89" t="s">
        <v>352</v>
      </c>
      <c r="AH2250" s="72">
        <v>42577</v>
      </c>
      <c r="AI2250" s="30">
        <v>1</v>
      </c>
      <c r="AJ2250" s="89" t="s">
        <v>12631</v>
      </c>
      <c r="AK2250" s="89" t="s">
        <v>1233</v>
      </c>
      <c r="AL2250" s="91">
        <v>42579</v>
      </c>
      <c r="AM2250" s="91"/>
      <c r="AN2250" s="91"/>
      <c r="AO2250" s="91"/>
      <c r="AP2250" s="73" t="e">
        <f>MID(VLOOKUP(K2250,#REF!,2,FALSE),1,2)</f>
        <v>#REF!</v>
      </c>
      <c r="AQ2250" s="89">
        <f>DATE(2016,7,27)</f>
        <v>42578</v>
      </c>
      <c r="AR2250" s="82">
        <f t="shared" si="159"/>
        <v>27</v>
      </c>
      <c r="AS2250" s="83">
        <f t="shared" si="160"/>
        <v>7</v>
      </c>
      <c r="AT2250" s="84">
        <f t="shared" si="161"/>
        <v>2016</v>
      </c>
      <c r="AU2250" s="88">
        <f>DATE(2016,9,6)</f>
        <v>42619</v>
      </c>
      <c r="AV2250" s="88">
        <f>DATE(2016,7,28)</f>
        <v>42579</v>
      </c>
      <c r="AW2250" s="87">
        <f t="shared" si="162"/>
        <v>40</v>
      </c>
      <c r="AX2250" s="86"/>
      <c r="AY2250" s="83"/>
      <c r="AZ2250" s="84"/>
      <c r="BA2250" s="88">
        <f>DATE(2016,7,27)</f>
        <v>42578</v>
      </c>
      <c r="BB2250" s="86"/>
    </row>
    <row r="2251" spans="1:54" ht="36.75" customHeight="1">
      <c r="A2251" s="30"/>
      <c r="B2251" s="30" t="s">
        <v>55</v>
      </c>
      <c r="C2251" s="69" t="str">
        <f t="shared" si="163"/>
        <v>Closed</v>
      </c>
      <c r="D2251" s="27" t="s">
        <v>12632</v>
      </c>
      <c r="E2251" s="29" t="s">
        <v>12633</v>
      </c>
      <c r="F2251" s="30" t="s">
        <v>58</v>
      </c>
      <c r="G2251" s="89">
        <f>DATE(2016,7,27)</f>
        <v>42578</v>
      </c>
      <c r="H2251" s="90">
        <v>1.0833333333333333</v>
      </c>
      <c r="I2251" s="30" t="s">
        <v>198</v>
      </c>
      <c r="J2251" s="89" t="s">
        <v>12634</v>
      </c>
      <c r="K2251" s="30" t="s">
        <v>61</v>
      </c>
      <c r="L2251" s="30" t="s">
        <v>12635</v>
      </c>
      <c r="M2251" s="30" t="s">
        <v>129</v>
      </c>
      <c r="N2251" s="30" t="s">
        <v>89</v>
      </c>
      <c r="O2251" s="30" t="s">
        <v>77</v>
      </c>
      <c r="P2251" s="89" t="s">
        <v>129</v>
      </c>
      <c r="Q2251" s="89" t="s">
        <v>12636</v>
      </c>
      <c r="R2251" s="89" t="s">
        <v>2962</v>
      </c>
      <c r="S2251" s="30">
        <v>0</v>
      </c>
      <c r="T2251" s="233">
        <v>0</v>
      </c>
      <c r="U2251" s="30">
        <v>0</v>
      </c>
      <c r="V2251" s="233">
        <v>0</v>
      </c>
      <c r="W2251" s="30">
        <v>0</v>
      </c>
      <c r="X2251" s="30">
        <v>0</v>
      </c>
      <c r="Y2251" s="30">
        <v>0</v>
      </c>
      <c r="Z2251" s="233">
        <v>0</v>
      </c>
      <c r="AA2251" s="30">
        <v>0</v>
      </c>
      <c r="AB2251" s="30">
        <v>0</v>
      </c>
      <c r="AC2251" s="30">
        <v>0</v>
      </c>
      <c r="AD2251" s="30">
        <v>0</v>
      </c>
      <c r="AE2251" s="89" t="s">
        <v>394</v>
      </c>
      <c r="AF2251" s="89"/>
      <c r="AG2251" s="89" t="s">
        <v>367</v>
      </c>
      <c r="AH2251" s="72">
        <v>42579</v>
      </c>
      <c r="AI2251" s="30">
        <v>4</v>
      </c>
      <c r="AJ2251" s="89" t="s">
        <v>12637</v>
      </c>
      <c r="AK2251" s="89" t="s">
        <v>12638</v>
      </c>
      <c r="AL2251" s="91">
        <v>42619</v>
      </c>
      <c r="AM2251" s="91"/>
      <c r="AN2251" s="91"/>
      <c r="AO2251" s="91"/>
      <c r="AP2251" s="73" t="e">
        <f>MID(VLOOKUP(K2251,#REF!,2,FALSE),1,2)</f>
        <v>#REF!</v>
      </c>
      <c r="AQ2251" s="89">
        <f>DATE(2016,8,1)</f>
        <v>42583</v>
      </c>
      <c r="AR2251" s="82">
        <f t="shared" si="159"/>
        <v>1</v>
      </c>
      <c r="AS2251" s="83">
        <f t="shared" si="160"/>
        <v>8</v>
      </c>
      <c r="AT2251" s="84">
        <f t="shared" si="161"/>
        <v>2016</v>
      </c>
      <c r="AU2251" s="88">
        <f>DATE(2016,8,30)</f>
        <v>42612</v>
      </c>
      <c r="AV2251" s="88">
        <f>DATE(2016,8,15)</f>
        <v>42597</v>
      </c>
      <c r="AW2251" s="87">
        <f t="shared" si="162"/>
        <v>15</v>
      </c>
      <c r="AX2251" s="88">
        <f>DATE(2016,8,30)</f>
        <v>42612</v>
      </c>
      <c r="AY2251" s="83">
        <f>MONTH(AX2251)</f>
        <v>8</v>
      </c>
      <c r="AZ2251" s="84">
        <f>YEAR(AX2251)</f>
        <v>2016</v>
      </c>
      <c r="BA2251" s="86"/>
      <c r="BB2251" s="86"/>
    </row>
    <row r="2252" spans="1:54" ht="36.75" customHeight="1">
      <c r="A2252" s="30"/>
      <c r="B2252" s="30" t="s">
        <v>55</v>
      </c>
      <c r="C2252" s="69" t="str">
        <f t="shared" si="163"/>
        <v>Closed</v>
      </c>
      <c r="D2252" s="27" t="s">
        <v>12639</v>
      </c>
      <c r="E2252" s="29" t="s">
        <v>12640</v>
      </c>
      <c r="F2252" s="30" t="s">
        <v>233</v>
      </c>
      <c r="G2252" s="89">
        <f>DATE(2016,8,1)</f>
        <v>42583</v>
      </c>
      <c r="H2252" s="90">
        <v>1.9972222222222222</v>
      </c>
      <c r="I2252" s="30" t="s">
        <v>5494</v>
      </c>
      <c r="J2252" s="89" t="s">
        <v>12641</v>
      </c>
      <c r="K2252" s="30" t="s">
        <v>235</v>
      </c>
      <c r="L2252" s="30" t="s">
        <v>12642</v>
      </c>
      <c r="M2252" s="30" t="s">
        <v>63</v>
      </c>
      <c r="N2252" s="30" t="s">
        <v>142</v>
      </c>
      <c r="O2252" s="30" t="s">
        <v>86</v>
      </c>
      <c r="P2252" s="89" t="s">
        <v>86</v>
      </c>
      <c r="Q2252" s="89" t="s">
        <v>718</v>
      </c>
      <c r="R2252" s="89" t="s">
        <v>235</v>
      </c>
      <c r="S2252" s="30">
        <v>0</v>
      </c>
      <c r="T2252" s="233">
        <v>0</v>
      </c>
      <c r="U2252" s="30">
        <v>0</v>
      </c>
      <c r="V2252" s="233">
        <v>0</v>
      </c>
      <c r="W2252" s="30">
        <v>0</v>
      </c>
      <c r="X2252" s="30">
        <v>0</v>
      </c>
      <c r="Y2252" s="30">
        <v>0</v>
      </c>
      <c r="Z2252" s="233">
        <v>0</v>
      </c>
      <c r="AA2252" s="30">
        <v>0</v>
      </c>
      <c r="AB2252" s="30">
        <v>0</v>
      </c>
      <c r="AC2252" s="30">
        <v>0</v>
      </c>
      <c r="AD2252" s="30">
        <v>0</v>
      </c>
      <c r="AE2252" s="89" t="s">
        <v>394</v>
      </c>
      <c r="AF2252" s="89"/>
      <c r="AG2252" s="89" t="s">
        <v>133</v>
      </c>
      <c r="AH2252" s="72">
        <v>42597</v>
      </c>
      <c r="AI2252" s="30">
        <v>3</v>
      </c>
      <c r="AJ2252" s="89" t="s">
        <v>12643</v>
      </c>
      <c r="AK2252" s="89" t="s">
        <v>12644</v>
      </c>
      <c r="AL2252" s="91">
        <v>42612</v>
      </c>
      <c r="AM2252" s="91"/>
      <c r="AN2252" s="91"/>
      <c r="AO2252" s="91"/>
      <c r="AP2252" s="73" t="e">
        <f>MID(VLOOKUP(K2252,#REF!,2,FALSE),1,2)</f>
        <v>#REF!</v>
      </c>
      <c r="AQ2252" s="89">
        <f>DATE(2016,8,2)</f>
        <v>42584</v>
      </c>
      <c r="AR2252" s="82">
        <f t="shared" si="159"/>
        <v>2</v>
      </c>
      <c r="AS2252" s="83">
        <f t="shared" si="160"/>
        <v>8</v>
      </c>
      <c r="AT2252" s="84">
        <f t="shared" si="161"/>
        <v>2016</v>
      </c>
      <c r="AU2252" s="88">
        <f>DATE(2016,8,3)</f>
        <v>42585</v>
      </c>
      <c r="AV2252" s="88">
        <f>DATE(2016,8,2)</f>
        <v>42584</v>
      </c>
      <c r="AW2252" s="87">
        <f t="shared" si="162"/>
        <v>1</v>
      </c>
      <c r="AX2252" s="88">
        <f>DATE(2016,8,3)</f>
        <v>42585</v>
      </c>
      <c r="AY2252" s="83">
        <f>MONTH(AX2252)</f>
        <v>8</v>
      </c>
      <c r="AZ2252" s="84">
        <f>YEAR(AX2252)</f>
        <v>2016</v>
      </c>
      <c r="BA2252" s="88">
        <f>DATE(2016,8,2)</f>
        <v>42584</v>
      </c>
      <c r="BB2252" s="86"/>
    </row>
    <row r="2253" spans="1:54" ht="36.75" customHeight="1">
      <c r="A2253" s="30"/>
      <c r="B2253" s="30" t="s">
        <v>55</v>
      </c>
      <c r="C2253" s="69" t="str">
        <f t="shared" si="163"/>
        <v>Closed</v>
      </c>
      <c r="D2253" s="27" t="s">
        <v>12645</v>
      </c>
      <c r="E2253" s="29" t="s">
        <v>12646</v>
      </c>
      <c r="F2253" s="30" t="s">
        <v>1572</v>
      </c>
      <c r="G2253" s="89">
        <f>DATE(2016,8,2)</f>
        <v>42584</v>
      </c>
      <c r="H2253" s="90">
        <v>1.2847222222222223</v>
      </c>
      <c r="I2253" s="30" t="s">
        <v>73</v>
      </c>
      <c r="J2253" s="89" t="s">
        <v>12647</v>
      </c>
      <c r="K2253" s="30" t="s">
        <v>1574</v>
      </c>
      <c r="L2253" s="30" t="s">
        <v>12648</v>
      </c>
      <c r="M2253" s="30" t="s">
        <v>63</v>
      </c>
      <c r="N2253" s="30" t="s">
        <v>99</v>
      </c>
      <c r="O2253" s="30" t="s">
        <v>77</v>
      </c>
      <c r="P2253" s="89" t="s">
        <v>78</v>
      </c>
      <c r="Q2253" s="89" t="s">
        <v>2655</v>
      </c>
      <c r="R2253" s="89" t="s">
        <v>6434</v>
      </c>
      <c r="S2253" s="30">
        <v>0</v>
      </c>
      <c r="T2253" s="233">
        <v>0</v>
      </c>
      <c r="U2253" s="30">
        <v>0</v>
      </c>
      <c r="V2253" s="233">
        <v>0</v>
      </c>
      <c r="W2253" s="30">
        <v>0</v>
      </c>
      <c r="X2253" s="30">
        <v>0</v>
      </c>
      <c r="Y2253" s="30">
        <v>0</v>
      </c>
      <c r="Z2253" s="233">
        <v>0</v>
      </c>
      <c r="AA2253" s="30">
        <v>0</v>
      </c>
      <c r="AB2253" s="30">
        <v>0</v>
      </c>
      <c r="AC2253" s="30">
        <v>0</v>
      </c>
      <c r="AD2253" s="30">
        <v>0</v>
      </c>
      <c r="AE2253" s="89" t="s">
        <v>92</v>
      </c>
      <c r="AF2253" s="89"/>
      <c r="AG2253" s="89" t="s">
        <v>133</v>
      </c>
      <c r="AH2253" s="72">
        <v>42584</v>
      </c>
      <c r="AI2253" s="30">
        <v>0</v>
      </c>
      <c r="AJ2253" s="89" t="s">
        <v>12649</v>
      </c>
      <c r="AK2253" s="89" t="s">
        <v>12650</v>
      </c>
      <c r="AL2253" s="91">
        <v>42585</v>
      </c>
      <c r="AM2253" s="91"/>
      <c r="AN2253" s="91"/>
      <c r="AO2253" s="91"/>
      <c r="AP2253" s="73" t="e">
        <f>MID(VLOOKUP(K2253,#REF!,2,FALSE),1,2)</f>
        <v>#REF!</v>
      </c>
      <c r="AQ2253" s="89">
        <f>DATE(2016,8,5)</f>
        <v>42587</v>
      </c>
      <c r="AR2253" s="82">
        <f t="shared" si="159"/>
        <v>5</v>
      </c>
      <c r="AS2253" s="83">
        <f t="shared" si="160"/>
        <v>8</v>
      </c>
      <c r="AT2253" s="84">
        <f t="shared" si="161"/>
        <v>2016</v>
      </c>
      <c r="AU2253" s="88">
        <f>DATE(2016,8,8)</f>
        <v>42590</v>
      </c>
      <c r="AV2253" s="88">
        <f>DATE(2016,8,8)</f>
        <v>42590</v>
      </c>
      <c r="AW2253" s="87">
        <f t="shared" si="162"/>
        <v>0</v>
      </c>
      <c r="AX2253" s="88">
        <f>DATE(2016,8,8)</f>
        <v>42590</v>
      </c>
      <c r="AY2253" s="83">
        <f>MONTH(AX2253)</f>
        <v>8</v>
      </c>
      <c r="AZ2253" s="84">
        <f>YEAR(AX2253)</f>
        <v>2016</v>
      </c>
      <c r="BA2253" s="88">
        <f>DATE(2016,8,5)</f>
        <v>42587</v>
      </c>
      <c r="BB2253" s="86"/>
    </row>
    <row r="2254" spans="1:54" ht="36.75" customHeight="1">
      <c r="A2254" s="30"/>
      <c r="B2254" s="30" t="s">
        <v>55</v>
      </c>
      <c r="C2254" s="69" t="str">
        <f t="shared" si="163"/>
        <v>Closed</v>
      </c>
      <c r="D2254" s="27" t="s">
        <v>12651</v>
      </c>
      <c r="E2254" s="29" t="s">
        <v>12652</v>
      </c>
      <c r="F2254" s="30" t="s">
        <v>1572</v>
      </c>
      <c r="G2254" s="89">
        <f>DATE(2016,8,5)</f>
        <v>42587</v>
      </c>
      <c r="H2254" s="90">
        <v>1.723611111111111</v>
      </c>
      <c r="I2254" s="30" t="s">
        <v>125</v>
      </c>
      <c r="J2254" s="89" t="s">
        <v>12653</v>
      </c>
      <c r="K2254" s="30" t="s">
        <v>1574</v>
      </c>
      <c r="L2254" s="30" t="s">
        <v>12654</v>
      </c>
      <c r="M2254" s="30" t="s">
        <v>63</v>
      </c>
      <c r="N2254" s="30" t="s">
        <v>142</v>
      </c>
      <c r="O2254" s="30" t="s">
        <v>64</v>
      </c>
      <c r="P2254" s="89" t="s">
        <v>6941</v>
      </c>
      <c r="Q2254" s="89" t="s">
        <v>2413</v>
      </c>
      <c r="R2254" s="89" t="s">
        <v>6434</v>
      </c>
      <c r="S2254" s="30">
        <v>0</v>
      </c>
      <c r="T2254" s="233">
        <v>0</v>
      </c>
      <c r="U2254" s="30">
        <v>0</v>
      </c>
      <c r="V2254" s="233">
        <v>0</v>
      </c>
      <c r="W2254" s="30">
        <v>0</v>
      </c>
      <c r="X2254" s="30">
        <v>0</v>
      </c>
      <c r="Y2254" s="30">
        <v>0</v>
      </c>
      <c r="Z2254" s="233">
        <v>0</v>
      </c>
      <c r="AA2254" s="30">
        <v>0</v>
      </c>
      <c r="AB2254" s="30">
        <v>0</v>
      </c>
      <c r="AC2254" s="30">
        <v>0</v>
      </c>
      <c r="AD2254" s="30">
        <v>0</v>
      </c>
      <c r="AE2254" s="89" t="s">
        <v>394</v>
      </c>
      <c r="AF2254" s="89"/>
      <c r="AG2254" s="89" t="s">
        <v>133</v>
      </c>
      <c r="AH2254" s="72">
        <v>42590</v>
      </c>
      <c r="AI2254" s="30">
        <v>6</v>
      </c>
      <c r="AJ2254" s="89" t="s">
        <v>12655</v>
      </c>
      <c r="AK2254" s="89" t="s">
        <v>12656</v>
      </c>
      <c r="AL2254" s="91">
        <v>42590</v>
      </c>
      <c r="AM2254" s="91"/>
      <c r="AN2254" s="91"/>
      <c r="AO2254" s="91"/>
      <c r="AP2254" s="73" t="e">
        <f>MID(VLOOKUP(K2254,#REF!,2,FALSE),1,2)</f>
        <v>#REF!</v>
      </c>
      <c r="AQ2254" s="89">
        <f>DATE(2016,8,7)</f>
        <v>42589</v>
      </c>
      <c r="AR2254" s="82">
        <f t="shared" si="159"/>
        <v>7</v>
      </c>
      <c r="AS2254" s="83">
        <f t="shared" si="160"/>
        <v>8</v>
      </c>
      <c r="AT2254" s="84">
        <f t="shared" si="161"/>
        <v>2016</v>
      </c>
      <c r="AU2254" s="88">
        <f>DATE(2016,10,27)</f>
        <v>42670</v>
      </c>
      <c r="AV2254" s="88">
        <f>DATE(2016,8,15)</f>
        <v>42597</v>
      </c>
      <c r="AW2254" s="87">
        <f t="shared" si="162"/>
        <v>73</v>
      </c>
      <c r="AX2254" s="88">
        <f>DATE(2016,10,27)</f>
        <v>42670</v>
      </c>
      <c r="AY2254" s="83">
        <f>MONTH(AX2254)</f>
        <v>10</v>
      </c>
      <c r="AZ2254" s="84">
        <f>YEAR(AX2254)</f>
        <v>2016</v>
      </c>
      <c r="BA2254" s="86"/>
      <c r="BB2254" s="86"/>
    </row>
    <row r="2255" spans="1:54" ht="36.75" customHeight="1">
      <c r="A2255" s="30"/>
      <c r="B2255" s="30" t="s">
        <v>55</v>
      </c>
      <c r="C2255" s="69" t="str">
        <f t="shared" si="163"/>
        <v>Closed</v>
      </c>
      <c r="D2255" s="27" t="s">
        <v>12657</v>
      </c>
      <c r="E2255" s="29" t="s">
        <v>12658</v>
      </c>
      <c r="F2255" s="30" t="s">
        <v>233</v>
      </c>
      <c r="G2255" s="89">
        <f>DATE(2016,8,7)</f>
        <v>42589</v>
      </c>
      <c r="H2255" s="90">
        <v>1.7256944444444446</v>
      </c>
      <c r="I2255" s="30" t="s">
        <v>278</v>
      </c>
      <c r="J2255" s="89" t="s">
        <v>12659</v>
      </c>
      <c r="K2255" s="30" t="s">
        <v>235</v>
      </c>
      <c r="L2255" s="30" t="s">
        <v>12660</v>
      </c>
      <c r="M2255" s="30" t="s">
        <v>63</v>
      </c>
      <c r="N2255" s="30" t="s">
        <v>89</v>
      </c>
      <c r="O2255" s="30" t="s">
        <v>64</v>
      </c>
      <c r="P2255" s="89" t="s">
        <v>462</v>
      </c>
      <c r="Q2255" s="89" t="s">
        <v>469</v>
      </c>
      <c r="R2255" s="89" t="s">
        <v>235</v>
      </c>
      <c r="S2255" s="30">
        <v>1</v>
      </c>
      <c r="T2255" s="233">
        <v>0</v>
      </c>
      <c r="U2255" s="30">
        <v>0</v>
      </c>
      <c r="V2255" s="233">
        <v>0</v>
      </c>
      <c r="W2255" s="30">
        <v>0</v>
      </c>
      <c r="X2255" s="30">
        <v>1</v>
      </c>
      <c r="Y2255" s="30">
        <v>0</v>
      </c>
      <c r="Z2255" s="233">
        <v>0</v>
      </c>
      <c r="AA2255" s="30">
        <v>0</v>
      </c>
      <c r="AB2255" s="30">
        <v>0</v>
      </c>
      <c r="AC2255" s="30">
        <v>0</v>
      </c>
      <c r="AD2255" s="30">
        <v>0</v>
      </c>
      <c r="AE2255" s="89" t="s">
        <v>92</v>
      </c>
      <c r="AF2255" s="89"/>
      <c r="AG2255" s="89" t="s">
        <v>82</v>
      </c>
      <c r="AH2255" s="72">
        <v>42597</v>
      </c>
      <c r="AI2255" s="30">
        <v>2</v>
      </c>
      <c r="AJ2255" s="89" t="s">
        <v>12661</v>
      </c>
      <c r="AK2255" s="89" t="s">
        <v>12662</v>
      </c>
      <c r="AL2255" s="91">
        <v>42670</v>
      </c>
      <c r="AM2255" s="91"/>
      <c r="AN2255" s="91"/>
      <c r="AO2255" s="91"/>
      <c r="AP2255" s="73" t="e">
        <f>MID(VLOOKUP(K2255,#REF!,2,FALSE),1,2)</f>
        <v>#REF!</v>
      </c>
      <c r="AQ2255" s="89">
        <f>DATE(2016,8,13)</f>
        <v>42595</v>
      </c>
      <c r="AR2255" s="82">
        <f t="shared" si="159"/>
        <v>13</v>
      </c>
      <c r="AS2255" s="83">
        <f t="shared" si="160"/>
        <v>8</v>
      </c>
      <c r="AT2255" s="84">
        <f t="shared" si="161"/>
        <v>2016</v>
      </c>
      <c r="AU2255" s="88">
        <f>DATE(2016,9,6)</f>
        <v>42619</v>
      </c>
      <c r="AV2255" s="88">
        <f>DATE(2016,8,22)</f>
        <v>42604</v>
      </c>
      <c r="AW2255" s="87">
        <f t="shared" si="162"/>
        <v>15</v>
      </c>
      <c r="AX2255" s="86"/>
      <c r="AY2255" s="83"/>
      <c r="AZ2255" s="84"/>
      <c r="BA2255" s="88">
        <f>DATE(2016,9,13)</f>
        <v>42626</v>
      </c>
      <c r="BB2255" s="86"/>
    </row>
    <row r="2256" spans="1:54" ht="36.75" customHeight="1">
      <c r="A2256" s="30"/>
      <c r="B2256" s="30" t="s">
        <v>55</v>
      </c>
      <c r="C2256" s="69" t="str">
        <f t="shared" si="163"/>
        <v>Closed</v>
      </c>
      <c r="D2256" s="27" t="s">
        <v>12663</v>
      </c>
      <c r="E2256" s="29" t="s">
        <v>12664</v>
      </c>
      <c r="F2256" s="30" t="s">
        <v>58</v>
      </c>
      <c r="G2256" s="89">
        <f>DATE(2016,8,13)</f>
        <v>42595</v>
      </c>
      <c r="H2256" s="90">
        <v>1.7006944444444443</v>
      </c>
      <c r="I2256" s="30" t="s">
        <v>156</v>
      </c>
      <c r="J2256" s="89" t="s">
        <v>12665</v>
      </c>
      <c r="K2256" s="30" t="s">
        <v>61</v>
      </c>
      <c r="L2256" s="30" t="s">
        <v>12666</v>
      </c>
      <c r="M2256" s="30" t="s">
        <v>63</v>
      </c>
      <c r="N2256" s="30" t="s">
        <v>89</v>
      </c>
      <c r="O2256" s="30" t="s">
        <v>90</v>
      </c>
      <c r="P2256" s="89" t="s">
        <v>78</v>
      </c>
      <c r="Q2256" s="89" t="s">
        <v>10870</v>
      </c>
      <c r="R2256" s="89" t="s">
        <v>67</v>
      </c>
      <c r="S2256" s="30">
        <v>0</v>
      </c>
      <c r="T2256" s="233">
        <v>0</v>
      </c>
      <c r="U2256" s="30">
        <v>0</v>
      </c>
      <c r="V2256" s="233">
        <v>0</v>
      </c>
      <c r="W2256" s="30">
        <v>0</v>
      </c>
      <c r="X2256" s="30">
        <v>0</v>
      </c>
      <c r="Y2256" s="30">
        <v>0</v>
      </c>
      <c r="Z2256" s="233">
        <v>0</v>
      </c>
      <c r="AA2256" s="30">
        <v>0</v>
      </c>
      <c r="AB2256" s="30">
        <v>0</v>
      </c>
      <c r="AC2256" s="30">
        <v>0</v>
      </c>
      <c r="AD2256" s="30">
        <v>0</v>
      </c>
      <c r="AE2256" s="89" t="s">
        <v>394</v>
      </c>
      <c r="AF2256" s="89"/>
      <c r="AG2256" s="89" t="s">
        <v>82</v>
      </c>
      <c r="AH2256" s="72">
        <v>42604</v>
      </c>
      <c r="AI2256" s="30">
        <v>3</v>
      </c>
      <c r="AJ2256" s="89" t="s">
        <v>12667</v>
      </c>
      <c r="AK2256" s="89" t="s">
        <v>12668</v>
      </c>
      <c r="AL2256" s="91">
        <v>42619</v>
      </c>
      <c r="AM2256" s="91"/>
      <c r="AN2256" s="91"/>
      <c r="AO2256" s="91"/>
      <c r="AP2256" s="73" t="e">
        <f>MID(VLOOKUP(K2256,#REF!,2,FALSE),1,2)</f>
        <v>#REF!</v>
      </c>
      <c r="AQ2256" s="89">
        <f>DATE(2016,8,14)</f>
        <v>42596</v>
      </c>
      <c r="AR2256" s="82">
        <f t="shared" si="159"/>
        <v>14</v>
      </c>
      <c r="AS2256" s="83">
        <f t="shared" si="160"/>
        <v>8</v>
      </c>
      <c r="AT2256" s="84">
        <f t="shared" si="161"/>
        <v>2016</v>
      </c>
      <c r="AU2256" s="88">
        <f>DATE(2016,8,16)</f>
        <v>42598</v>
      </c>
      <c r="AV2256" s="88">
        <f>DATE(2016,8,15)</f>
        <v>42597</v>
      </c>
      <c r="AW2256" s="87">
        <f t="shared" si="162"/>
        <v>1</v>
      </c>
      <c r="AX2256" s="86"/>
      <c r="AY2256" s="83"/>
      <c r="AZ2256" s="84"/>
      <c r="BA2256" s="86"/>
      <c r="BB2256" s="86"/>
    </row>
    <row r="2257" spans="1:54" ht="36.75" customHeight="1">
      <c r="A2257" s="30"/>
      <c r="B2257" s="30" t="s">
        <v>55</v>
      </c>
      <c r="C2257" s="69" t="str">
        <f t="shared" si="163"/>
        <v>Closed</v>
      </c>
      <c r="D2257" s="27" t="s">
        <v>12669</v>
      </c>
      <c r="E2257" s="29" t="s">
        <v>12670</v>
      </c>
      <c r="F2257" s="30" t="s">
        <v>835</v>
      </c>
      <c r="G2257" s="89">
        <f>DATE(2016,8,14)</f>
        <v>42596</v>
      </c>
      <c r="H2257" s="90">
        <v>1.7166666666666668</v>
      </c>
      <c r="I2257" s="30" t="s">
        <v>73</v>
      </c>
      <c r="J2257" s="89" t="s">
        <v>12671</v>
      </c>
      <c r="K2257" s="30" t="s">
        <v>837</v>
      </c>
      <c r="L2257" s="30" t="s">
        <v>12672</v>
      </c>
      <c r="M2257" s="30" t="s">
        <v>63</v>
      </c>
      <c r="N2257" s="30" t="s">
        <v>99</v>
      </c>
      <c r="O2257" s="30" t="s">
        <v>77</v>
      </c>
      <c r="P2257" s="89" t="s">
        <v>165</v>
      </c>
      <c r="Q2257" s="89" t="s">
        <v>2162</v>
      </c>
      <c r="R2257" s="89" t="s">
        <v>840</v>
      </c>
      <c r="S2257" s="30">
        <v>0</v>
      </c>
      <c r="T2257" s="233">
        <v>0</v>
      </c>
      <c r="U2257" s="30">
        <v>0</v>
      </c>
      <c r="V2257" s="233">
        <v>0</v>
      </c>
      <c r="W2257" s="30">
        <v>0</v>
      </c>
      <c r="X2257" s="30">
        <v>0</v>
      </c>
      <c r="Y2257" s="30">
        <v>0</v>
      </c>
      <c r="Z2257" s="233">
        <v>0</v>
      </c>
      <c r="AA2257" s="30">
        <v>0</v>
      </c>
      <c r="AB2257" s="30">
        <v>0</v>
      </c>
      <c r="AC2257" s="30">
        <v>0</v>
      </c>
      <c r="AD2257" s="30">
        <v>0</v>
      </c>
      <c r="AE2257" s="89" t="s">
        <v>92</v>
      </c>
      <c r="AF2257" s="89"/>
      <c r="AG2257" s="89" t="s">
        <v>133</v>
      </c>
      <c r="AH2257" s="72">
        <v>42597</v>
      </c>
      <c r="AI2257" s="30">
        <v>3</v>
      </c>
      <c r="AJ2257" s="89" t="s">
        <v>12673</v>
      </c>
      <c r="AK2257" s="89" t="s">
        <v>1233</v>
      </c>
      <c r="AL2257" s="91">
        <v>42598</v>
      </c>
      <c r="AM2257" s="91"/>
      <c r="AN2257" s="91"/>
      <c r="AO2257" s="91"/>
      <c r="AP2257" s="73" t="e">
        <f>MID(VLOOKUP(K2257,#REF!,2,FALSE),1,2)</f>
        <v>#REF!</v>
      </c>
      <c r="AQ2257" s="89">
        <f>DATE(2016,8,15)</f>
        <v>42597</v>
      </c>
      <c r="AR2257" s="82">
        <f t="shared" si="159"/>
        <v>15</v>
      </c>
      <c r="AS2257" s="83">
        <f t="shared" si="160"/>
        <v>8</v>
      </c>
      <c r="AT2257" s="84">
        <f t="shared" si="161"/>
        <v>2016</v>
      </c>
      <c r="AU2257" s="88">
        <f>DATE(2016,9,12)</f>
        <v>42625</v>
      </c>
      <c r="AV2257" s="88">
        <f>DATE(2016,8,22)</f>
        <v>42604</v>
      </c>
      <c r="AW2257" s="87">
        <f t="shared" si="162"/>
        <v>21</v>
      </c>
      <c r="AX2257" s="88">
        <f>DATE(2016,9,12)</f>
        <v>42625</v>
      </c>
      <c r="AY2257" s="83">
        <f>MONTH(AX2257)</f>
        <v>9</v>
      </c>
      <c r="AZ2257" s="84">
        <f>YEAR(AX2257)</f>
        <v>2016</v>
      </c>
      <c r="BA2257" s="86"/>
      <c r="BB2257" s="86"/>
    </row>
    <row r="2258" spans="1:54" ht="36.75" customHeight="1">
      <c r="A2258" s="30"/>
      <c r="B2258" s="30" t="s">
        <v>55</v>
      </c>
      <c r="C2258" s="69" t="str">
        <f t="shared" si="163"/>
        <v>Closed</v>
      </c>
      <c r="D2258" s="27" t="s">
        <v>12674</v>
      </c>
      <c r="E2258" s="29" t="s">
        <v>12675</v>
      </c>
      <c r="F2258" s="30" t="s">
        <v>233</v>
      </c>
      <c r="G2258" s="89">
        <f>DATE(2016,8,15)</f>
        <v>42597</v>
      </c>
      <c r="H2258" s="90">
        <v>1.9791666666666665</v>
      </c>
      <c r="I2258" s="30" t="s">
        <v>278</v>
      </c>
      <c r="J2258" s="89" t="s">
        <v>12676</v>
      </c>
      <c r="K2258" s="30" t="s">
        <v>235</v>
      </c>
      <c r="L2258" s="30" t="s">
        <v>12677</v>
      </c>
      <c r="M2258" s="30" t="s">
        <v>255</v>
      </c>
      <c r="N2258" s="30" t="s">
        <v>142</v>
      </c>
      <c r="O2258" s="30" t="s">
        <v>64</v>
      </c>
      <c r="P2258" s="89" t="s">
        <v>6552</v>
      </c>
      <c r="Q2258" s="89" t="s">
        <v>718</v>
      </c>
      <c r="R2258" s="89" t="s">
        <v>235</v>
      </c>
      <c r="S2258" s="30">
        <v>0</v>
      </c>
      <c r="T2258" s="233">
        <v>0</v>
      </c>
      <c r="U2258" s="30">
        <v>0</v>
      </c>
      <c r="V2258" s="233">
        <v>1</v>
      </c>
      <c r="W2258" s="30">
        <v>0</v>
      </c>
      <c r="X2258" s="30">
        <v>1</v>
      </c>
      <c r="Y2258" s="30">
        <v>0</v>
      </c>
      <c r="Z2258" s="233">
        <v>0</v>
      </c>
      <c r="AA2258" s="30">
        <v>0</v>
      </c>
      <c r="AB2258" s="30">
        <v>0</v>
      </c>
      <c r="AC2258" s="30">
        <v>0</v>
      </c>
      <c r="AD2258" s="30">
        <v>0</v>
      </c>
      <c r="AE2258" s="89" t="s">
        <v>92</v>
      </c>
      <c r="AF2258" s="89"/>
      <c r="AG2258" s="89" t="s">
        <v>133</v>
      </c>
      <c r="AH2258" s="72">
        <v>42604</v>
      </c>
      <c r="AI2258" s="30">
        <v>1</v>
      </c>
      <c r="AJ2258" s="89" t="s">
        <v>12678</v>
      </c>
      <c r="AK2258" s="89" t="s">
        <v>12679</v>
      </c>
      <c r="AL2258" s="91">
        <v>42625</v>
      </c>
      <c r="AM2258" s="91"/>
      <c r="AN2258" s="91"/>
      <c r="AO2258" s="91"/>
      <c r="AP2258" s="73" t="e">
        <f>MID(VLOOKUP(K2258,#REF!,2,FALSE),1,2)</f>
        <v>#REF!</v>
      </c>
      <c r="AQ2258" s="89">
        <f>DATE(2016,8,17)</f>
        <v>42599</v>
      </c>
      <c r="AR2258" s="82">
        <f t="shared" si="159"/>
        <v>17</v>
      </c>
      <c r="AS2258" s="83">
        <f t="shared" si="160"/>
        <v>8</v>
      </c>
      <c r="AT2258" s="84">
        <f t="shared" si="161"/>
        <v>2016</v>
      </c>
      <c r="AU2258" s="88">
        <f>DATE(2016,8,25)</f>
        <v>42607</v>
      </c>
      <c r="AV2258" s="88">
        <f>DATE(2016,8,19)</f>
        <v>42601</v>
      </c>
      <c r="AW2258" s="87">
        <f t="shared" si="162"/>
        <v>6</v>
      </c>
      <c r="AX2258" s="88">
        <f>DATE(2016,8,19)</f>
        <v>42601</v>
      </c>
      <c r="AY2258" s="83">
        <f>MONTH(AX2258)</f>
        <v>8</v>
      </c>
      <c r="AZ2258" s="84">
        <f>YEAR(AX2258)</f>
        <v>2016</v>
      </c>
      <c r="BA2258" s="88">
        <f>DATE(2016,8,19)</f>
        <v>42601</v>
      </c>
      <c r="BB2258" s="86"/>
    </row>
    <row r="2259" spans="1:54" ht="36.75" customHeight="1">
      <c r="A2259" s="30"/>
      <c r="B2259" s="30" t="s">
        <v>55</v>
      </c>
      <c r="C2259" s="69" t="str">
        <f t="shared" si="163"/>
        <v>Closed</v>
      </c>
      <c r="D2259" s="27" t="s">
        <v>12680</v>
      </c>
      <c r="E2259" s="29" t="s">
        <v>12681</v>
      </c>
      <c r="F2259" s="30" t="s">
        <v>115</v>
      </c>
      <c r="G2259" s="89">
        <f>DATE(2016,8,17)</f>
        <v>42599</v>
      </c>
      <c r="H2259" s="90">
        <v>1.6409722222222221</v>
      </c>
      <c r="I2259" s="30" t="s">
        <v>156</v>
      </c>
      <c r="J2259" s="89" t="s">
        <v>12682</v>
      </c>
      <c r="K2259" s="30" t="s">
        <v>118</v>
      </c>
      <c r="L2259" s="30" t="s">
        <v>12683</v>
      </c>
      <c r="M2259" s="30" t="s">
        <v>63</v>
      </c>
      <c r="N2259" s="30" t="s">
        <v>142</v>
      </c>
      <c r="O2259" s="30" t="s">
        <v>64</v>
      </c>
      <c r="P2259" s="89" t="s">
        <v>165</v>
      </c>
      <c r="Q2259" s="89" t="s">
        <v>120</v>
      </c>
      <c r="R2259" s="89" t="s">
        <v>121</v>
      </c>
      <c r="S2259" s="30">
        <v>0</v>
      </c>
      <c r="T2259" s="233">
        <v>0</v>
      </c>
      <c r="U2259" s="30">
        <v>0</v>
      </c>
      <c r="V2259" s="233">
        <v>0</v>
      </c>
      <c r="W2259" s="30">
        <v>0</v>
      </c>
      <c r="X2259" s="30">
        <v>0</v>
      </c>
      <c r="Y2259" s="30">
        <v>1</v>
      </c>
      <c r="Z2259" s="233">
        <v>0</v>
      </c>
      <c r="AA2259" s="30">
        <v>0</v>
      </c>
      <c r="AB2259" s="30">
        <v>0</v>
      </c>
      <c r="AC2259" s="30">
        <v>0</v>
      </c>
      <c r="AD2259" s="30">
        <v>1</v>
      </c>
      <c r="AE2259" s="89" t="s">
        <v>394</v>
      </c>
      <c r="AF2259" s="89"/>
      <c r="AG2259" s="89" t="s">
        <v>133</v>
      </c>
      <c r="AH2259" s="72">
        <v>42601</v>
      </c>
      <c r="AI2259" s="30">
        <v>0</v>
      </c>
      <c r="AJ2259" s="89" t="s">
        <v>12684</v>
      </c>
      <c r="AK2259" s="89" t="s">
        <v>68</v>
      </c>
      <c r="AL2259" s="91">
        <v>42607</v>
      </c>
      <c r="AM2259" s="91"/>
      <c r="AN2259" s="91"/>
      <c r="AO2259" s="91"/>
      <c r="AP2259" s="73" t="e">
        <f>MID(VLOOKUP(K2259,#REF!,2,FALSE),1,2)</f>
        <v>#REF!</v>
      </c>
      <c r="AQ2259" s="89">
        <f>DATE(2016,8,23)</f>
        <v>42605</v>
      </c>
      <c r="AR2259" s="82">
        <f t="shared" si="159"/>
        <v>23</v>
      </c>
      <c r="AS2259" s="83">
        <f t="shared" si="160"/>
        <v>8</v>
      </c>
      <c r="AT2259" s="84">
        <f t="shared" si="161"/>
        <v>2016</v>
      </c>
      <c r="AU2259" s="88">
        <f>DATE(2016,8,24)</f>
        <v>42606</v>
      </c>
      <c r="AV2259" s="88">
        <f>DATE(2016,8,23)</f>
        <v>42605</v>
      </c>
      <c r="AW2259" s="87">
        <f t="shared" si="162"/>
        <v>1</v>
      </c>
      <c r="AX2259" s="86"/>
      <c r="AY2259" s="83"/>
      <c r="AZ2259" s="84"/>
      <c r="BA2259" s="86"/>
      <c r="BB2259" s="86"/>
    </row>
    <row r="2260" spans="1:54" ht="36.75" customHeight="1">
      <c r="A2260" s="30"/>
      <c r="B2260" s="30" t="s">
        <v>55</v>
      </c>
      <c r="C2260" s="69" t="str">
        <f t="shared" si="163"/>
        <v>Closed</v>
      </c>
      <c r="D2260" s="27" t="s">
        <v>12685</v>
      </c>
      <c r="E2260" s="29" t="s">
        <v>12686</v>
      </c>
      <c r="F2260" s="30" t="s">
        <v>835</v>
      </c>
      <c r="G2260" s="89">
        <f>DATE(2016,8,23)</f>
        <v>42605</v>
      </c>
      <c r="H2260" s="90">
        <v>1.3888888888888888</v>
      </c>
      <c r="I2260" s="30" t="s">
        <v>2264</v>
      </c>
      <c r="J2260" s="89" t="s">
        <v>12687</v>
      </c>
      <c r="K2260" s="30" t="s">
        <v>837</v>
      </c>
      <c r="L2260" s="30" t="s">
        <v>12688</v>
      </c>
      <c r="M2260" s="30" t="s">
        <v>63</v>
      </c>
      <c r="N2260" s="30" t="s">
        <v>142</v>
      </c>
      <c r="O2260" s="30" t="s">
        <v>77</v>
      </c>
      <c r="P2260" s="89" t="s">
        <v>2551</v>
      </c>
      <c r="Q2260" s="89" t="s">
        <v>12689</v>
      </c>
      <c r="R2260" s="89" t="s">
        <v>840</v>
      </c>
      <c r="S2260" s="30">
        <v>0</v>
      </c>
      <c r="T2260" s="233">
        <v>0</v>
      </c>
      <c r="U2260" s="30">
        <v>0</v>
      </c>
      <c r="V2260" s="233">
        <v>0</v>
      </c>
      <c r="W2260" s="30">
        <v>0</v>
      </c>
      <c r="X2260" s="30">
        <v>0</v>
      </c>
      <c r="Y2260" s="30">
        <v>0</v>
      </c>
      <c r="Z2260" s="233">
        <v>0</v>
      </c>
      <c r="AA2260" s="30">
        <v>0</v>
      </c>
      <c r="AB2260" s="30">
        <v>0</v>
      </c>
      <c r="AC2260" s="30">
        <v>0</v>
      </c>
      <c r="AD2260" s="30">
        <v>0</v>
      </c>
      <c r="AE2260" s="89" t="s">
        <v>92</v>
      </c>
      <c r="AF2260" s="89"/>
      <c r="AG2260" s="89" t="s">
        <v>352</v>
      </c>
      <c r="AH2260" s="72">
        <v>42605</v>
      </c>
      <c r="AI2260" s="30">
        <v>0</v>
      </c>
      <c r="AJ2260" s="89" t="s">
        <v>12690</v>
      </c>
      <c r="AK2260" s="89" t="s">
        <v>1233</v>
      </c>
      <c r="AL2260" s="91">
        <v>42606</v>
      </c>
      <c r="AM2260" s="91"/>
      <c r="AN2260" s="91"/>
      <c r="AO2260" s="91"/>
      <c r="AP2260" s="73" t="e">
        <f>MID(VLOOKUP(K2260,#REF!,2,FALSE),1,2)</f>
        <v>#REF!</v>
      </c>
      <c r="AQ2260" s="89">
        <f>DATE(2016,8,26)</f>
        <v>42608</v>
      </c>
      <c r="AR2260" s="82">
        <f t="shared" si="159"/>
        <v>26</v>
      </c>
      <c r="AS2260" s="83">
        <f t="shared" si="160"/>
        <v>8</v>
      </c>
      <c r="AT2260" s="84">
        <f t="shared" si="161"/>
        <v>2016</v>
      </c>
      <c r="AU2260" s="88">
        <f>DATE(2018,9,13)</f>
        <v>43356</v>
      </c>
      <c r="AV2260" s="88">
        <f>DATE(2016,9,5)</f>
        <v>42618</v>
      </c>
      <c r="AW2260" s="87">
        <f t="shared" si="162"/>
        <v>738</v>
      </c>
      <c r="AX2260" s="86"/>
      <c r="AY2260" s="83"/>
      <c r="AZ2260" s="84"/>
      <c r="BA2260" s="86"/>
      <c r="BB2260" s="86"/>
    </row>
    <row r="2261" spans="1:54" ht="36.75" customHeight="1">
      <c r="A2261" s="30"/>
      <c r="B2261" s="30" t="s">
        <v>55</v>
      </c>
      <c r="C2261" s="69" t="str">
        <f t="shared" si="163"/>
        <v>Closed</v>
      </c>
      <c r="D2261" s="27" t="s">
        <v>12691</v>
      </c>
      <c r="E2261" s="29" t="s">
        <v>12692</v>
      </c>
      <c r="F2261" s="30" t="s">
        <v>451</v>
      </c>
      <c r="G2261" s="89">
        <f>DATE(2016,8,26)</f>
        <v>42608</v>
      </c>
      <c r="H2261" s="90">
        <v>0</v>
      </c>
      <c r="I2261" s="30" t="s">
        <v>278</v>
      </c>
      <c r="J2261" s="89" t="s">
        <v>12693</v>
      </c>
      <c r="K2261" s="30" t="s">
        <v>453</v>
      </c>
      <c r="L2261" s="30" t="s">
        <v>12694</v>
      </c>
      <c r="M2261" s="30" t="s">
        <v>63</v>
      </c>
      <c r="N2261" s="30" t="s">
        <v>142</v>
      </c>
      <c r="O2261" s="30" t="s">
        <v>77</v>
      </c>
      <c r="P2261" s="89" t="s">
        <v>6902</v>
      </c>
      <c r="Q2261" s="89" t="s">
        <v>12695</v>
      </c>
      <c r="R2261" s="89" t="s">
        <v>572</v>
      </c>
      <c r="S2261" s="30">
        <v>1</v>
      </c>
      <c r="T2261" s="233">
        <v>0</v>
      </c>
      <c r="U2261" s="30">
        <v>0</v>
      </c>
      <c r="V2261" s="233">
        <v>0</v>
      </c>
      <c r="W2261" s="30">
        <v>0</v>
      </c>
      <c r="X2261" s="30">
        <v>1</v>
      </c>
      <c r="Y2261" s="30">
        <v>0</v>
      </c>
      <c r="Z2261" s="233">
        <v>0</v>
      </c>
      <c r="AA2261" s="30">
        <v>0</v>
      </c>
      <c r="AB2261" s="30">
        <v>0</v>
      </c>
      <c r="AC2261" s="30">
        <v>0</v>
      </c>
      <c r="AD2261" s="30">
        <v>0</v>
      </c>
      <c r="AE2261" s="89" t="s">
        <v>92</v>
      </c>
      <c r="AF2261" s="89"/>
      <c r="AG2261" s="89" t="s">
        <v>82</v>
      </c>
      <c r="AH2261" s="72">
        <v>42618</v>
      </c>
      <c r="AI2261" s="30">
        <v>0</v>
      </c>
      <c r="AJ2261" s="89" t="s">
        <v>12696</v>
      </c>
      <c r="AK2261" s="89" t="s">
        <v>68</v>
      </c>
      <c r="AL2261" s="91">
        <v>43356</v>
      </c>
      <c r="AM2261" s="91"/>
      <c r="AN2261" s="91"/>
      <c r="AO2261" s="91"/>
      <c r="AP2261" s="73" t="e">
        <f>MID(VLOOKUP(K2261,#REF!,2,FALSE),1,2)</f>
        <v>#REF!</v>
      </c>
      <c r="AQ2261" s="89">
        <f>DATE(2016,8,26)</f>
        <v>42608</v>
      </c>
      <c r="AR2261" s="82">
        <f t="shared" si="159"/>
        <v>26</v>
      </c>
      <c r="AS2261" s="83">
        <f t="shared" si="160"/>
        <v>8</v>
      </c>
      <c r="AT2261" s="84">
        <f t="shared" si="161"/>
        <v>2016</v>
      </c>
      <c r="AU2261" s="88">
        <f>DATE(2016,9,2)</f>
        <v>42615</v>
      </c>
      <c r="AV2261" s="88">
        <f>DATE(2016,8,29)</f>
        <v>42611</v>
      </c>
      <c r="AW2261" s="87">
        <f t="shared" si="162"/>
        <v>4</v>
      </c>
      <c r="AX2261" s="88">
        <f>DATE(2016,9,2)</f>
        <v>42615</v>
      </c>
      <c r="AY2261" s="83">
        <f>MONTH(AX2261)</f>
        <v>9</v>
      </c>
      <c r="AZ2261" s="84">
        <f>YEAR(AX2261)</f>
        <v>2016</v>
      </c>
      <c r="BA2261" s="88">
        <f>DATE(2016,8,26)</f>
        <v>42608</v>
      </c>
      <c r="BB2261" s="86"/>
    </row>
    <row r="2262" spans="1:54" ht="36.75" customHeight="1">
      <c r="A2262" s="30"/>
      <c r="B2262" s="30" t="s">
        <v>55</v>
      </c>
      <c r="C2262" s="69" t="str">
        <f t="shared" si="163"/>
        <v>Closed</v>
      </c>
      <c r="D2262" s="27" t="s">
        <v>12697</v>
      </c>
      <c r="E2262" s="29" t="s">
        <v>12698</v>
      </c>
      <c r="F2262" s="30" t="s">
        <v>1572</v>
      </c>
      <c r="G2262" s="89">
        <f>DATE(2016,8,26)</f>
        <v>42608</v>
      </c>
      <c r="H2262" s="90">
        <v>1.65625</v>
      </c>
      <c r="I2262" s="30" t="s">
        <v>125</v>
      </c>
      <c r="J2262" s="89" t="s">
        <v>12699</v>
      </c>
      <c r="K2262" s="30" t="s">
        <v>1574</v>
      </c>
      <c r="L2262" s="30" t="s">
        <v>12700</v>
      </c>
      <c r="M2262" s="30" t="s">
        <v>63</v>
      </c>
      <c r="N2262" s="30" t="s">
        <v>99</v>
      </c>
      <c r="O2262" s="30" t="s">
        <v>64</v>
      </c>
      <c r="P2262" s="89" t="s">
        <v>78</v>
      </c>
      <c r="Q2262" s="89" t="s">
        <v>2655</v>
      </c>
      <c r="R2262" s="89" t="s">
        <v>6434</v>
      </c>
      <c r="S2262" s="30">
        <v>0</v>
      </c>
      <c r="T2262" s="233">
        <v>0</v>
      </c>
      <c r="U2262" s="30">
        <v>0</v>
      </c>
      <c r="V2262" s="233">
        <v>0</v>
      </c>
      <c r="W2262" s="30">
        <v>0</v>
      </c>
      <c r="X2262" s="30">
        <v>0</v>
      </c>
      <c r="Y2262" s="30">
        <v>0</v>
      </c>
      <c r="Z2262" s="233">
        <v>0</v>
      </c>
      <c r="AA2262" s="30">
        <v>0</v>
      </c>
      <c r="AB2262" s="30">
        <v>0</v>
      </c>
      <c r="AC2262" s="30">
        <v>0</v>
      </c>
      <c r="AD2262" s="30">
        <v>0</v>
      </c>
      <c r="AE2262" s="89" t="s">
        <v>92</v>
      </c>
      <c r="AF2262" s="89"/>
      <c r="AG2262" s="89" t="s">
        <v>133</v>
      </c>
      <c r="AH2262" s="72">
        <v>42611</v>
      </c>
      <c r="AI2262" s="30">
        <v>1</v>
      </c>
      <c r="AJ2262" s="89" t="s">
        <v>12701</v>
      </c>
      <c r="AK2262" s="89" t="s">
        <v>12702</v>
      </c>
      <c r="AL2262" s="91">
        <v>42615</v>
      </c>
      <c r="AM2262" s="91"/>
      <c r="AN2262" s="91"/>
      <c r="AO2262" s="91"/>
      <c r="AP2262" s="73" t="e">
        <f>MID(VLOOKUP(K2262,#REF!,2,FALSE),1,2)</f>
        <v>#REF!</v>
      </c>
      <c r="AQ2262" s="89">
        <f>DATE(2016,8,28)</f>
        <v>42610</v>
      </c>
      <c r="AR2262" s="82">
        <f t="shared" si="159"/>
        <v>28</v>
      </c>
      <c r="AS2262" s="83">
        <f t="shared" si="160"/>
        <v>8</v>
      </c>
      <c r="AT2262" s="84">
        <f t="shared" si="161"/>
        <v>2016</v>
      </c>
      <c r="AU2262" s="88">
        <f>DATE(2016,8,31)</f>
        <v>42613</v>
      </c>
      <c r="AV2262" s="88">
        <f>DATE(2016,8,29)</f>
        <v>42611</v>
      </c>
      <c r="AW2262" s="87">
        <f t="shared" si="162"/>
        <v>2</v>
      </c>
      <c r="AX2262" s="88">
        <f>DATE(2016,8,29)</f>
        <v>42611</v>
      </c>
      <c r="AY2262" s="83">
        <f>MONTH(AX2262)</f>
        <v>8</v>
      </c>
      <c r="AZ2262" s="84">
        <f>YEAR(AX2262)</f>
        <v>2016</v>
      </c>
      <c r="BA2262" s="88">
        <f>DATE(2016,8,28)</f>
        <v>42610</v>
      </c>
      <c r="BB2262" s="86"/>
    </row>
    <row r="2263" spans="1:54" ht="36.75" customHeight="1">
      <c r="A2263" s="30"/>
      <c r="B2263" s="30" t="s">
        <v>55</v>
      </c>
      <c r="C2263" s="69" t="str">
        <f t="shared" si="163"/>
        <v>Closed</v>
      </c>
      <c r="D2263" s="27" t="s">
        <v>12703</v>
      </c>
      <c r="E2263" s="29" t="s">
        <v>12704</v>
      </c>
      <c r="F2263" s="30" t="s">
        <v>2601</v>
      </c>
      <c r="G2263" s="89">
        <f>DATE(2016,8,28)</f>
        <v>42610</v>
      </c>
      <c r="H2263" s="90">
        <v>1.6749999999999998</v>
      </c>
      <c r="I2263" s="30" t="s">
        <v>73</v>
      </c>
      <c r="J2263" s="89" t="s">
        <v>12705</v>
      </c>
      <c r="K2263" s="30" t="s">
        <v>2603</v>
      </c>
      <c r="L2263" s="30" t="s">
        <v>12706</v>
      </c>
      <c r="M2263" s="30" t="s">
        <v>63</v>
      </c>
      <c r="N2263" s="30" t="s">
        <v>99</v>
      </c>
      <c r="O2263" s="30" t="s">
        <v>64</v>
      </c>
      <c r="P2263" s="89" t="s">
        <v>78</v>
      </c>
      <c r="Q2263" s="89" t="s">
        <v>4813</v>
      </c>
      <c r="R2263" s="89" t="s">
        <v>2606</v>
      </c>
      <c r="S2263" s="30">
        <v>0</v>
      </c>
      <c r="T2263" s="233">
        <v>0</v>
      </c>
      <c r="U2263" s="30">
        <v>0</v>
      </c>
      <c r="V2263" s="233">
        <v>0</v>
      </c>
      <c r="W2263" s="30">
        <v>0</v>
      </c>
      <c r="X2263" s="30">
        <v>0</v>
      </c>
      <c r="Y2263" s="30">
        <v>0</v>
      </c>
      <c r="Z2263" s="233">
        <v>0</v>
      </c>
      <c r="AA2263" s="30">
        <v>0</v>
      </c>
      <c r="AB2263" s="30">
        <v>0</v>
      </c>
      <c r="AC2263" s="30">
        <v>0</v>
      </c>
      <c r="AD2263" s="30">
        <v>0</v>
      </c>
      <c r="AE2263" s="89" t="s">
        <v>394</v>
      </c>
      <c r="AF2263" s="89"/>
      <c r="AG2263" s="89" t="s">
        <v>133</v>
      </c>
      <c r="AH2263" s="72">
        <v>42611</v>
      </c>
      <c r="AI2263" s="30">
        <v>2</v>
      </c>
      <c r="AJ2263" s="89" t="s">
        <v>12707</v>
      </c>
      <c r="AK2263" s="89" t="s">
        <v>12708</v>
      </c>
      <c r="AL2263" s="91">
        <v>42613</v>
      </c>
      <c r="AM2263" s="91"/>
      <c r="AN2263" s="91"/>
      <c r="AO2263" s="91"/>
      <c r="AP2263" s="73" t="e">
        <f>MID(VLOOKUP(K2263,#REF!,2,FALSE),1,2)</f>
        <v>#REF!</v>
      </c>
      <c r="AQ2263" s="89">
        <f>DATE(2016,8,30)</f>
        <v>42612</v>
      </c>
      <c r="AR2263" s="82">
        <f t="shared" si="159"/>
        <v>30</v>
      </c>
      <c r="AS2263" s="83">
        <f t="shared" si="160"/>
        <v>8</v>
      </c>
      <c r="AT2263" s="84">
        <f t="shared" si="161"/>
        <v>2016</v>
      </c>
      <c r="AU2263" s="88">
        <f>DATE(2016,8,31)</f>
        <v>42613</v>
      </c>
      <c r="AV2263" s="88">
        <f>DATE(2016,8,30)</f>
        <v>42612</v>
      </c>
      <c r="AW2263" s="87">
        <f t="shared" si="162"/>
        <v>1</v>
      </c>
      <c r="AX2263" s="86"/>
      <c r="AY2263" s="83"/>
      <c r="AZ2263" s="84"/>
      <c r="BA2263" s="86"/>
      <c r="BB2263" s="86"/>
    </row>
    <row r="2264" spans="1:54" ht="36.75" customHeight="1">
      <c r="A2264" s="30"/>
      <c r="B2264" s="30" t="s">
        <v>55</v>
      </c>
      <c r="C2264" s="69" t="str">
        <f t="shared" si="163"/>
        <v>Closed</v>
      </c>
      <c r="D2264" s="27" t="s">
        <v>12709</v>
      </c>
      <c r="E2264" s="29" t="s">
        <v>12710</v>
      </c>
      <c r="F2264" s="30" t="s">
        <v>423</v>
      </c>
      <c r="G2264" s="89">
        <f>DATE(2016,8,30)</f>
        <v>42612</v>
      </c>
      <c r="H2264" s="90">
        <v>1.307638888888889</v>
      </c>
      <c r="I2264" s="30" t="s">
        <v>198</v>
      </c>
      <c r="J2264" s="89" t="s">
        <v>12711</v>
      </c>
      <c r="K2264" s="30" t="s">
        <v>425</v>
      </c>
      <c r="L2264" s="30" t="s">
        <v>12712</v>
      </c>
      <c r="M2264" s="30" t="s">
        <v>63</v>
      </c>
      <c r="N2264" s="30" t="s">
        <v>99</v>
      </c>
      <c r="O2264" s="30" t="s">
        <v>64</v>
      </c>
      <c r="P2264" s="89" t="s">
        <v>165</v>
      </c>
      <c r="Q2264" s="89" t="s">
        <v>12713</v>
      </c>
      <c r="R2264" s="89" t="s">
        <v>12713</v>
      </c>
      <c r="S2264" s="30">
        <v>0</v>
      </c>
      <c r="T2264" s="233">
        <v>0</v>
      </c>
      <c r="U2264" s="30">
        <v>0</v>
      </c>
      <c r="V2264" s="233">
        <v>0</v>
      </c>
      <c r="W2264" s="30">
        <v>0</v>
      </c>
      <c r="X2264" s="30">
        <v>0</v>
      </c>
      <c r="Y2264" s="30">
        <v>0</v>
      </c>
      <c r="Z2264" s="233">
        <v>0</v>
      </c>
      <c r="AA2264" s="30">
        <v>0</v>
      </c>
      <c r="AB2264" s="30">
        <v>0</v>
      </c>
      <c r="AC2264" s="30">
        <v>0</v>
      </c>
      <c r="AD2264" s="30">
        <v>0</v>
      </c>
      <c r="AE2264" s="89" t="s">
        <v>394</v>
      </c>
      <c r="AF2264" s="89"/>
      <c r="AG2264" s="89" t="s">
        <v>82</v>
      </c>
      <c r="AH2264" s="72">
        <v>42612</v>
      </c>
      <c r="AI2264" s="30">
        <v>1</v>
      </c>
      <c r="AJ2264" s="89" t="s">
        <v>12714</v>
      </c>
      <c r="AK2264" s="89" t="s">
        <v>12715</v>
      </c>
      <c r="AL2264" s="91">
        <v>42613</v>
      </c>
      <c r="AM2264" s="91"/>
      <c r="AN2264" s="91"/>
      <c r="AO2264" s="91"/>
      <c r="AP2264" s="73" t="e">
        <f>MID(VLOOKUP(K2264,#REF!,2,FALSE),1,2)</f>
        <v>#REF!</v>
      </c>
      <c r="AQ2264" s="89">
        <f>DATE(2016,8,30)</f>
        <v>42612</v>
      </c>
      <c r="AR2264" s="82">
        <f t="shared" si="159"/>
        <v>30</v>
      </c>
      <c r="AS2264" s="83">
        <f t="shared" si="160"/>
        <v>8</v>
      </c>
      <c r="AT2264" s="84">
        <f t="shared" si="161"/>
        <v>2016</v>
      </c>
      <c r="AU2264" s="88">
        <f>DATE(2016,8,31)</f>
        <v>42613</v>
      </c>
      <c r="AV2264" s="88">
        <f>DATE(2016,8,30)</f>
        <v>42612</v>
      </c>
      <c r="AW2264" s="87">
        <f t="shared" si="162"/>
        <v>1</v>
      </c>
      <c r="AX2264" s="86"/>
      <c r="AY2264" s="83"/>
      <c r="AZ2264" s="84"/>
      <c r="BA2264" s="86"/>
      <c r="BB2264" s="86"/>
    </row>
    <row r="2265" spans="1:54" ht="36.75" customHeight="1">
      <c r="A2265" s="30"/>
      <c r="B2265" s="30" t="s">
        <v>55</v>
      </c>
      <c r="C2265" s="69" t="str">
        <f t="shared" si="163"/>
        <v>Closed</v>
      </c>
      <c r="D2265" s="27" t="s">
        <v>12716</v>
      </c>
      <c r="E2265" s="29" t="s">
        <v>12717</v>
      </c>
      <c r="F2265" s="30" t="s">
        <v>423</v>
      </c>
      <c r="G2265" s="89">
        <f>DATE(2016,8,30)</f>
        <v>42612</v>
      </c>
      <c r="H2265" s="90">
        <v>1.3055555555555556</v>
      </c>
      <c r="I2265" s="30" t="s">
        <v>73</v>
      </c>
      <c r="J2265" s="89" t="s">
        <v>12718</v>
      </c>
      <c r="K2265" s="30" t="s">
        <v>425</v>
      </c>
      <c r="L2265" s="30" t="s">
        <v>12719</v>
      </c>
      <c r="M2265" s="30" t="s">
        <v>63</v>
      </c>
      <c r="N2265" s="30" t="s">
        <v>142</v>
      </c>
      <c r="O2265" s="30" t="s">
        <v>77</v>
      </c>
      <c r="P2265" s="89" t="s">
        <v>78</v>
      </c>
      <c r="Q2265" s="89" t="s">
        <v>2582</v>
      </c>
      <c r="R2265" s="89" t="s">
        <v>3103</v>
      </c>
      <c r="S2265" s="30">
        <v>0</v>
      </c>
      <c r="T2265" s="233">
        <v>0</v>
      </c>
      <c r="U2265" s="30">
        <v>0</v>
      </c>
      <c r="V2265" s="233">
        <v>0</v>
      </c>
      <c r="W2265" s="30">
        <v>0</v>
      </c>
      <c r="X2265" s="30">
        <v>0</v>
      </c>
      <c r="Y2265" s="30">
        <v>0</v>
      </c>
      <c r="Z2265" s="233">
        <v>0</v>
      </c>
      <c r="AA2265" s="30">
        <v>0</v>
      </c>
      <c r="AB2265" s="30">
        <v>0</v>
      </c>
      <c r="AC2265" s="30">
        <v>0</v>
      </c>
      <c r="AD2265" s="30">
        <v>0</v>
      </c>
      <c r="AE2265" s="89" t="s">
        <v>92</v>
      </c>
      <c r="AF2265" s="89"/>
      <c r="AG2265" s="89" t="s">
        <v>352</v>
      </c>
      <c r="AH2265" s="72">
        <v>42612</v>
      </c>
      <c r="AI2265" s="30">
        <v>1</v>
      </c>
      <c r="AJ2265" s="89" t="s">
        <v>12720</v>
      </c>
      <c r="AK2265" s="89" t="s">
        <v>12721</v>
      </c>
      <c r="AL2265" s="91">
        <v>42613</v>
      </c>
      <c r="AM2265" s="91"/>
      <c r="AN2265" s="91"/>
      <c r="AO2265" s="91"/>
      <c r="AP2265" s="73" t="e">
        <f>MID(VLOOKUP(K2265,#REF!,2,FALSE),1,2)</f>
        <v>#REF!</v>
      </c>
      <c r="AQ2265" s="89">
        <f>DATE(2016,8,30)</f>
        <v>42612</v>
      </c>
      <c r="AR2265" s="82">
        <f t="shared" si="159"/>
        <v>30</v>
      </c>
      <c r="AS2265" s="83">
        <f t="shared" si="160"/>
        <v>8</v>
      </c>
      <c r="AT2265" s="84">
        <f t="shared" si="161"/>
        <v>2016</v>
      </c>
      <c r="AU2265" s="88">
        <f>DATE(2016,9,29)</f>
        <v>42642</v>
      </c>
      <c r="AV2265" s="88">
        <f>DATE(2016,8,30)</f>
        <v>42612</v>
      </c>
      <c r="AW2265" s="87">
        <f t="shared" si="162"/>
        <v>30</v>
      </c>
      <c r="AX2265" s="88">
        <f>DATE(2016,8,30)</f>
        <v>42612</v>
      </c>
      <c r="AY2265" s="83">
        <f t="shared" ref="AY2265:AY2271" si="164">MONTH(AX2265)</f>
        <v>8</v>
      </c>
      <c r="AZ2265" s="84">
        <f t="shared" ref="AZ2265:AZ2271" si="165">YEAR(AX2265)</f>
        <v>2016</v>
      </c>
      <c r="BA2265" s="88">
        <f>DATE(2016,8,30)</f>
        <v>42612</v>
      </c>
      <c r="BB2265" s="86"/>
    </row>
    <row r="2266" spans="1:54" ht="36.75" customHeight="1">
      <c r="A2266" s="30"/>
      <c r="B2266" s="30" t="s">
        <v>55</v>
      </c>
      <c r="C2266" s="69" t="str">
        <f t="shared" si="163"/>
        <v>Closed</v>
      </c>
      <c r="D2266" s="27" t="s">
        <v>12722</v>
      </c>
      <c r="E2266" s="29" t="s">
        <v>12723</v>
      </c>
      <c r="F2266" s="30" t="s">
        <v>835</v>
      </c>
      <c r="G2266" s="89">
        <f>DATE(2016,8,30)</f>
        <v>42612</v>
      </c>
      <c r="H2266" s="90">
        <v>1.7444444444444445</v>
      </c>
      <c r="I2266" s="30" t="s">
        <v>73</v>
      </c>
      <c r="J2266" s="89" t="s">
        <v>12724</v>
      </c>
      <c r="K2266" s="30" t="s">
        <v>837</v>
      </c>
      <c r="L2266" s="30" t="s">
        <v>12725</v>
      </c>
      <c r="M2266" s="30" t="s">
        <v>255</v>
      </c>
      <c r="N2266" s="30" t="s">
        <v>142</v>
      </c>
      <c r="O2266" s="30" t="s">
        <v>77</v>
      </c>
      <c r="P2266" s="89" t="s">
        <v>6552</v>
      </c>
      <c r="Q2266" s="89" t="s">
        <v>4210</v>
      </c>
      <c r="R2266" s="89" t="s">
        <v>4210</v>
      </c>
      <c r="S2266" s="30">
        <v>0</v>
      </c>
      <c r="T2266" s="233">
        <v>0</v>
      </c>
      <c r="U2266" s="30">
        <v>0</v>
      </c>
      <c r="V2266" s="233">
        <v>0</v>
      </c>
      <c r="W2266" s="30">
        <v>0</v>
      </c>
      <c r="X2266" s="30">
        <v>0</v>
      </c>
      <c r="Y2266" s="30">
        <v>0</v>
      </c>
      <c r="Z2266" s="233">
        <v>0</v>
      </c>
      <c r="AA2266" s="30">
        <v>0</v>
      </c>
      <c r="AB2266" s="30">
        <v>0</v>
      </c>
      <c r="AC2266" s="30">
        <v>0</v>
      </c>
      <c r="AD2266" s="30">
        <v>0</v>
      </c>
      <c r="AE2266" s="89" t="s">
        <v>92</v>
      </c>
      <c r="AF2266" s="89"/>
      <c r="AG2266" s="89" t="s">
        <v>133</v>
      </c>
      <c r="AH2266" s="72">
        <v>42612</v>
      </c>
      <c r="AI2266" s="30">
        <v>0</v>
      </c>
      <c r="AJ2266" s="89" t="s">
        <v>11879</v>
      </c>
      <c r="AK2266" s="89" t="s">
        <v>68</v>
      </c>
      <c r="AL2266" s="91">
        <v>42642</v>
      </c>
      <c r="AM2266" s="91"/>
      <c r="AN2266" s="91"/>
      <c r="AO2266" s="91"/>
      <c r="AP2266" s="73" t="e">
        <f>MID(VLOOKUP(K2266,#REF!,2,FALSE),1,2)</f>
        <v>#REF!</v>
      </c>
      <c r="AQ2266" s="89">
        <f>DATE(2016,9,2)</f>
        <v>42615</v>
      </c>
      <c r="AR2266" s="82">
        <f t="shared" si="159"/>
        <v>2</v>
      </c>
      <c r="AS2266" s="83">
        <f t="shared" si="160"/>
        <v>9</v>
      </c>
      <c r="AT2266" s="84">
        <f t="shared" si="161"/>
        <v>2016</v>
      </c>
      <c r="AU2266" s="88">
        <f>DATE(2016,9,23)</f>
        <v>42636</v>
      </c>
      <c r="AV2266" s="88">
        <f>DATE(2016,9,9)</f>
        <v>42622</v>
      </c>
      <c r="AW2266" s="87">
        <f t="shared" si="162"/>
        <v>14</v>
      </c>
      <c r="AX2266" s="88">
        <f>DATE(2016,9,14)</f>
        <v>42627</v>
      </c>
      <c r="AY2266" s="83">
        <f t="shared" si="164"/>
        <v>9</v>
      </c>
      <c r="AZ2266" s="84">
        <f t="shared" si="165"/>
        <v>2016</v>
      </c>
      <c r="BA2266" s="88">
        <f>DATE(2016,9,13)</f>
        <v>42626</v>
      </c>
      <c r="BB2266" s="86"/>
    </row>
    <row r="2267" spans="1:54" ht="36.75" customHeight="1">
      <c r="A2267" s="30"/>
      <c r="B2267" s="30" t="s">
        <v>55</v>
      </c>
      <c r="C2267" s="69" t="str">
        <f t="shared" si="163"/>
        <v>Closed</v>
      </c>
      <c r="D2267" s="27" t="s">
        <v>12726</v>
      </c>
      <c r="E2267" s="29" t="s">
        <v>12727</v>
      </c>
      <c r="F2267" s="30" t="s">
        <v>124</v>
      </c>
      <c r="G2267" s="89">
        <f>DATE(2016,9,2)</f>
        <v>42615</v>
      </c>
      <c r="H2267" s="90">
        <v>0</v>
      </c>
      <c r="I2267" s="30" t="s">
        <v>73</v>
      </c>
      <c r="J2267" s="89" t="s">
        <v>12728</v>
      </c>
      <c r="K2267" s="30" t="s">
        <v>127</v>
      </c>
      <c r="L2267" s="30" t="s">
        <v>12729</v>
      </c>
      <c r="M2267" s="30" t="s">
        <v>129</v>
      </c>
      <c r="N2267" s="30" t="s">
        <v>142</v>
      </c>
      <c r="O2267" s="30" t="s">
        <v>77</v>
      </c>
      <c r="P2267" s="89" t="s">
        <v>129</v>
      </c>
      <c r="Q2267" s="89" t="s">
        <v>10119</v>
      </c>
      <c r="R2267" s="89" t="s">
        <v>131</v>
      </c>
      <c r="S2267" s="30">
        <v>0</v>
      </c>
      <c r="T2267" s="233">
        <v>0</v>
      </c>
      <c r="U2267" s="30">
        <v>0</v>
      </c>
      <c r="V2267" s="233">
        <v>0</v>
      </c>
      <c r="W2267" s="30">
        <v>0</v>
      </c>
      <c r="X2267" s="30">
        <v>0</v>
      </c>
      <c r="Y2267" s="30">
        <v>0</v>
      </c>
      <c r="Z2267" s="233">
        <v>0</v>
      </c>
      <c r="AA2267" s="30">
        <v>0</v>
      </c>
      <c r="AB2267" s="30">
        <v>0</v>
      </c>
      <c r="AC2267" s="30">
        <v>0</v>
      </c>
      <c r="AD2267" s="30">
        <v>0</v>
      </c>
      <c r="AE2267" s="89" t="s">
        <v>92</v>
      </c>
      <c r="AF2267" s="89"/>
      <c r="AG2267" s="89" t="s">
        <v>69</v>
      </c>
      <c r="AH2267" s="72">
        <v>42622</v>
      </c>
      <c r="AI2267" s="30">
        <v>0</v>
      </c>
      <c r="AJ2267" s="89" t="s">
        <v>12730</v>
      </c>
      <c r="AK2267" s="89" t="s">
        <v>12731</v>
      </c>
      <c r="AL2267" s="91">
        <v>42636</v>
      </c>
      <c r="AM2267" s="91"/>
      <c r="AN2267" s="91"/>
      <c r="AO2267" s="91"/>
      <c r="AP2267" s="73" t="e">
        <f>MID(VLOOKUP(K2267,#REF!,2,FALSE),1,2)</f>
        <v>#REF!</v>
      </c>
      <c r="AQ2267" s="89">
        <f>DATE(2016,9,2)</f>
        <v>42615</v>
      </c>
      <c r="AR2267" s="82">
        <f t="shared" si="159"/>
        <v>2</v>
      </c>
      <c r="AS2267" s="83">
        <f t="shared" si="160"/>
        <v>9</v>
      </c>
      <c r="AT2267" s="84">
        <f t="shared" si="161"/>
        <v>2016</v>
      </c>
      <c r="AU2267" s="88">
        <f>DATE(2016,9,5)</f>
        <v>42618</v>
      </c>
      <c r="AV2267" s="88">
        <f>DATE(2016,9,5)</f>
        <v>42618</v>
      </c>
      <c r="AW2267" s="87">
        <f t="shared" si="162"/>
        <v>0</v>
      </c>
      <c r="AX2267" s="88">
        <f>DATE(2016,9,5)</f>
        <v>42618</v>
      </c>
      <c r="AY2267" s="83">
        <f t="shared" si="164"/>
        <v>9</v>
      </c>
      <c r="AZ2267" s="84">
        <f t="shared" si="165"/>
        <v>2016</v>
      </c>
      <c r="BA2267" s="88">
        <f>DATE(2016,9,2)</f>
        <v>42615</v>
      </c>
      <c r="BB2267" s="86"/>
    </row>
    <row r="2268" spans="1:54" ht="36.75" customHeight="1">
      <c r="A2268" s="30"/>
      <c r="B2268" s="30" t="s">
        <v>55</v>
      </c>
      <c r="C2268" s="69" t="str">
        <f t="shared" si="163"/>
        <v>Closed</v>
      </c>
      <c r="D2268" s="27" t="s">
        <v>12732</v>
      </c>
      <c r="E2268" s="29" t="s">
        <v>12733</v>
      </c>
      <c r="F2268" s="30" t="s">
        <v>1572</v>
      </c>
      <c r="G2268" s="89">
        <f>DATE(2016,9,2)</f>
        <v>42615</v>
      </c>
      <c r="H2268" s="90">
        <v>1.3902777777777777</v>
      </c>
      <c r="I2268" s="30" t="s">
        <v>73</v>
      </c>
      <c r="J2268" s="89" t="s">
        <v>12734</v>
      </c>
      <c r="K2268" s="30" t="s">
        <v>1574</v>
      </c>
      <c r="L2268" s="30" t="s">
        <v>12735</v>
      </c>
      <c r="M2268" s="30" t="s">
        <v>63</v>
      </c>
      <c r="N2268" s="30" t="s">
        <v>142</v>
      </c>
      <c r="O2268" s="30" t="s">
        <v>77</v>
      </c>
      <c r="P2268" s="89" t="s">
        <v>78</v>
      </c>
      <c r="Q2268" s="89" t="s">
        <v>2655</v>
      </c>
      <c r="R2268" s="89" t="s">
        <v>6434</v>
      </c>
      <c r="S2268" s="30">
        <v>0</v>
      </c>
      <c r="T2268" s="233">
        <v>0</v>
      </c>
      <c r="U2268" s="30">
        <v>0</v>
      </c>
      <c r="V2268" s="233">
        <v>0</v>
      </c>
      <c r="W2268" s="30">
        <v>0</v>
      </c>
      <c r="X2268" s="30">
        <v>0</v>
      </c>
      <c r="Y2268" s="30">
        <v>0</v>
      </c>
      <c r="Z2268" s="233">
        <v>0</v>
      </c>
      <c r="AA2268" s="30">
        <v>0</v>
      </c>
      <c r="AB2268" s="30">
        <v>0</v>
      </c>
      <c r="AC2268" s="30">
        <v>0</v>
      </c>
      <c r="AD2268" s="30">
        <v>0</v>
      </c>
      <c r="AE2268" s="89" t="s">
        <v>92</v>
      </c>
      <c r="AF2268" s="89"/>
      <c r="AG2268" s="89" t="s">
        <v>133</v>
      </c>
      <c r="AH2268" s="72">
        <v>42618</v>
      </c>
      <c r="AI2268" s="30">
        <v>0</v>
      </c>
      <c r="AJ2268" s="89" t="s">
        <v>12736</v>
      </c>
      <c r="AK2268" s="89" t="s">
        <v>12737</v>
      </c>
      <c r="AL2268" s="91">
        <v>42618</v>
      </c>
      <c r="AM2268" s="91"/>
      <c r="AN2268" s="91"/>
      <c r="AO2268" s="91"/>
      <c r="AP2268" s="73" t="e">
        <f>MID(VLOOKUP(K2268,#REF!,2,FALSE),1,2)</f>
        <v>#REF!</v>
      </c>
      <c r="AQ2268" s="89">
        <f>DATE(2016,9,3)</f>
        <v>42616</v>
      </c>
      <c r="AR2268" s="82">
        <f t="shared" si="159"/>
        <v>3</v>
      </c>
      <c r="AS2268" s="83">
        <f t="shared" si="160"/>
        <v>9</v>
      </c>
      <c r="AT2268" s="84">
        <f t="shared" si="161"/>
        <v>2016</v>
      </c>
      <c r="AU2268" s="88">
        <f>DATE(2016,9,9)</f>
        <v>42622</v>
      </c>
      <c r="AV2268" s="88">
        <f>DATE(2016,9,5)</f>
        <v>42618</v>
      </c>
      <c r="AW2268" s="87">
        <f t="shared" si="162"/>
        <v>4</v>
      </c>
      <c r="AX2268" s="88">
        <f>DATE(2016,9,5)</f>
        <v>42618</v>
      </c>
      <c r="AY2268" s="83">
        <f t="shared" si="164"/>
        <v>9</v>
      </c>
      <c r="AZ2268" s="84">
        <f t="shared" si="165"/>
        <v>2016</v>
      </c>
      <c r="BA2268" s="88">
        <f>DATE(2016,9,3)</f>
        <v>42616</v>
      </c>
      <c r="BB2268" s="86"/>
    </row>
    <row r="2269" spans="1:54" ht="36.75" customHeight="1">
      <c r="A2269" s="30"/>
      <c r="B2269" s="30" t="s">
        <v>55</v>
      </c>
      <c r="C2269" s="69" t="str">
        <f t="shared" si="163"/>
        <v>Closed</v>
      </c>
      <c r="D2269" s="27" t="s">
        <v>12738</v>
      </c>
      <c r="E2269" s="29" t="s">
        <v>12739</v>
      </c>
      <c r="F2269" s="30" t="s">
        <v>2601</v>
      </c>
      <c r="G2269" s="89">
        <f>DATE(2016,9,3)</f>
        <v>42616</v>
      </c>
      <c r="H2269" s="90">
        <v>1.2708333333333333</v>
      </c>
      <c r="I2269" s="30" t="s">
        <v>73</v>
      </c>
      <c r="J2269" s="89" t="s">
        <v>12740</v>
      </c>
      <c r="K2269" s="30" t="s">
        <v>2603</v>
      </c>
      <c r="L2269" s="30" t="s">
        <v>12741</v>
      </c>
      <c r="M2269" s="30" t="s">
        <v>63</v>
      </c>
      <c r="N2269" s="30" t="s">
        <v>99</v>
      </c>
      <c r="O2269" s="30" t="s">
        <v>64</v>
      </c>
      <c r="P2269" s="89" t="s">
        <v>78</v>
      </c>
      <c r="Q2269" s="89" t="s">
        <v>4813</v>
      </c>
      <c r="R2269" s="89" t="s">
        <v>2606</v>
      </c>
      <c r="S2269" s="30">
        <v>0</v>
      </c>
      <c r="T2269" s="233">
        <v>0</v>
      </c>
      <c r="U2269" s="30">
        <v>0</v>
      </c>
      <c r="V2269" s="233">
        <v>0</v>
      </c>
      <c r="W2269" s="30">
        <v>0</v>
      </c>
      <c r="X2269" s="30">
        <v>0</v>
      </c>
      <c r="Y2269" s="30">
        <v>0</v>
      </c>
      <c r="Z2269" s="233">
        <v>0</v>
      </c>
      <c r="AA2269" s="30">
        <v>0</v>
      </c>
      <c r="AB2269" s="30">
        <v>0</v>
      </c>
      <c r="AC2269" s="30">
        <v>0</v>
      </c>
      <c r="AD2269" s="30">
        <v>0</v>
      </c>
      <c r="AE2269" s="89" t="s">
        <v>394</v>
      </c>
      <c r="AF2269" s="89"/>
      <c r="AG2269" s="89" t="s">
        <v>133</v>
      </c>
      <c r="AH2269" s="72">
        <v>42618</v>
      </c>
      <c r="AI2269" s="30">
        <v>4</v>
      </c>
      <c r="AJ2269" s="89" t="s">
        <v>12742</v>
      </c>
      <c r="AK2269" s="89" t="s">
        <v>68</v>
      </c>
      <c r="AL2269" s="91">
        <v>42622</v>
      </c>
      <c r="AM2269" s="91"/>
      <c r="AN2269" s="91"/>
      <c r="AO2269" s="91"/>
      <c r="AP2269" s="73" t="e">
        <f>MID(VLOOKUP(K2269,#REF!,2,FALSE),1,2)</f>
        <v>#REF!</v>
      </c>
      <c r="AQ2269" s="89">
        <f>DATE(2016,9,3)</f>
        <v>42616</v>
      </c>
      <c r="AR2269" s="82">
        <f t="shared" si="159"/>
        <v>3</v>
      </c>
      <c r="AS2269" s="83">
        <f t="shared" si="160"/>
        <v>9</v>
      </c>
      <c r="AT2269" s="84">
        <f t="shared" si="161"/>
        <v>2016</v>
      </c>
      <c r="AU2269" s="88">
        <f>DATE(2016,9,8)</f>
        <v>42621</v>
      </c>
      <c r="AV2269" s="88">
        <f>DATE(2016,9,5)</f>
        <v>42618</v>
      </c>
      <c r="AW2269" s="87">
        <f t="shared" si="162"/>
        <v>3</v>
      </c>
      <c r="AX2269" s="88">
        <f>DATE(2016,9,5)</f>
        <v>42618</v>
      </c>
      <c r="AY2269" s="83">
        <f t="shared" si="164"/>
        <v>9</v>
      </c>
      <c r="AZ2269" s="84">
        <f t="shared" si="165"/>
        <v>2016</v>
      </c>
      <c r="BA2269" s="88">
        <f>DATE(2016,9,5)</f>
        <v>42618</v>
      </c>
      <c r="BB2269" s="86"/>
    </row>
    <row r="2270" spans="1:54" ht="36.75" customHeight="1">
      <c r="A2270" s="30"/>
      <c r="B2270" s="30" t="s">
        <v>55</v>
      </c>
      <c r="C2270" s="69" t="str">
        <f t="shared" si="163"/>
        <v>Closed</v>
      </c>
      <c r="D2270" s="27" t="s">
        <v>12743</v>
      </c>
      <c r="E2270" s="29" t="s">
        <v>12744</v>
      </c>
      <c r="F2270" s="30" t="s">
        <v>835</v>
      </c>
      <c r="G2270" s="89">
        <f>DATE(2016,9,3)</f>
        <v>42616</v>
      </c>
      <c r="H2270" s="90">
        <v>1.3993055555555556</v>
      </c>
      <c r="I2270" s="30" t="s">
        <v>278</v>
      </c>
      <c r="J2270" s="89" t="s">
        <v>12745</v>
      </c>
      <c r="K2270" s="30" t="s">
        <v>837</v>
      </c>
      <c r="L2270" s="30" t="s">
        <v>12746</v>
      </c>
      <c r="M2270" s="30" t="s">
        <v>63</v>
      </c>
      <c r="N2270" s="30" t="s">
        <v>89</v>
      </c>
      <c r="O2270" s="30" t="s">
        <v>77</v>
      </c>
      <c r="P2270" s="89" t="s">
        <v>165</v>
      </c>
      <c r="Q2270" s="89" t="s">
        <v>2162</v>
      </c>
      <c r="R2270" s="89" t="s">
        <v>840</v>
      </c>
      <c r="S2270" s="30">
        <v>0</v>
      </c>
      <c r="T2270" s="233">
        <v>0</v>
      </c>
      <c r="U2270" s="30">
        <v>0</v>
      </c>
      <c r="V2270" s="233">
        <v>0</v>
      </c>
      <c r="W2270" s="30">
        <v>0</v>
      </c>
      <c r="X2270" s="30">
        <v>0</v>
      </c>
      <c r="Y2270" s="30">
        <v>0</v>
      </c>
      <c r="Z2270" s="233">
        <v>0</v>
      </c>
      <c r="AA2270" s="30">
        <v>0</v>
      </c>
      <c r="AB2270" s="30">
        <v>0</v>
      </c>
      <c r="AC2270" s="30">
        <v>0</v>
      </c>
      <c r="AD2270" s="30">
        <v>0</v>
      </c>
      <c r="AE2270" s="89" t="s">
        <v>92</v>
      </c>
      <c r="AF2270" s="89"/>
      <c r="AG2270" s="89" t="s">
        <v>352</v>
      </c>
      <c r="AH2270" s="72">
        <v>42618</v>
      </c>
      <c r="AI2270" s="30">
        <v>1</v>
      </c>
      <c r="AJ2270" s="89" t="s">
        <v>12747</v>
      </c>
      <c r="AK2270" s="89" t="s">
        <v>1233</v>
      </c>
      <c r="AL2270" s="91">
        <v>42621</v>
      </c>
      <c r="AM2270" s="91"/>
      <c r="AN2270" s="91"/>
      <c r="AO2270" s="91"/>
      <c r="AP2270" s="73" t="e">
        <f>MID(VLOOKUP(K2270,#REF!,2,FALSE),1,2)</f>
        <v>#REF!</v>
      </c>
      <c r="AQ2270" s="89">
        <f>DATE(2016,9,5)</f>
        <v>42618</v>
      </c>
      <c r="AR2270" s="82">
        <f t="shared" si="159"/>
        <v>5</v>
      </c>
      <c r="AS2270" s="83">
        <f t="shared" si="160"/>
        <v>9</v>
      </c>
      <c r="AT2270" s="84">
        <f t="shared" si="161"/>
        <v>2016</v>
      </c>
      <c r="AU2270" s="88">
        <f>DATE(2016,9,8)</f>
        <v>42621</v>
      </c>
      <c r="AV2270" s="88">
        <f>DATE(2016,9,6)</f>
        <v>42619</v>
      </c>
      <c r="AW2270" s="87">
        <f t="shared" si="162"/>
        <v>2</v>
      </c>
      <c r="AX2270" s="88">
        <f>DATE(2016,9,8)</f>
        <v>42621</v>
      </c>
      <c r="AY2270" s="83">
        <f t="shared" si="164"/>
        <v>9</v>
      </c>
      <c r="AZ2270" s="84">
        <f t="shared" si="165"/>
        <v>2016</v>
      </c>
      <c r="BA2270" s="88">
        <f>DATE(2016,9,8)</f>
        <v>42621</v>
      </c>
      <c r="BB2270" s="86"/>
    </row>
    <row r="2271" spans="1:54" ht="36.75" customHeight="1">
      <c r="A2271" s="30"/>
      <c r="B2271" s="30" t="s">
        <v>55</v>
      </c>
      <c r="C2271" s="69" t="str">
        <f t="shared" si="163"/>
        <v>Closed</v>
      </c>
      <c r="D2271" s="27" t="s">
        <v>12748</v>
      </c>
      <c r="E2271" s="29" t="s">
        <v>12749</v>
      </c>
      <c r="F2271" s="30" t="s">
        <v>9789</v>
      </c>
      <c r="G2271" s="89">
        <f>DATE(2016,9,5)</f>
        <v>42618</v>
      </c>
      <c r="H2271" s="90">
        <v>1.3534722222222222</v>
      </c>
      <c r="I2271" s="30" t="s">
        <v>198</v>
      </c>
      <c r="J2271" s="210" t="s">
        <v>12750</v>
      </c>
      <c r="K2271" s="30" t="s">
        <v>9791</v>
      </c>
      <c r="L2271" s="30" t="s">
        <v>12751</v>
      </c>
      <c r="M2271" s="30" t="s">
        <v>63</v>
      </c>
      <c r="N2271" s="30" t="s">
        <v>99</v>
      </c>
      <c r="O2271" s="30" t="s">
        <v>86</v>
      </c>
      <c r="P2271" s="89" t="s">
        <v>301</v>
      </c>
      <c r="Q2271" s="89" t="s">
        <v>9838</v>
      </c>
      <c r="R2271" s="89" t="s">
        <v>9794</v>
      </c>
      <c r="S2271" s="30">
        <v>0</v>
      </c>
      <c r="T2271" s="233">
        <v>0</v>
      </c>
      <c r="U2271" s="30">
        <v>0</v>
      </c>
      <c r="V2271" s="233">
        <v>0</v>
      </c>
      <c r="W2271" s="30">
        <v>0</v>
      </c>
      <c r="X2271" s="30">
        <v>0</v>
      </c>
      <c r="Y2271" s="30">
        <v>0</v>
      </c>
      <c r="Z2271" s="233">
        <v>0</v>
      </c>
      <c r="AA2271" s="30">
        <v>0</v>
      </c>
      <c r="AB2271" s="30">
        <v>0</v>
      </c>
      <c r="AC2271" s="30">
        <v>0</v>
      </c>
      <c r="AD2271" s="30">
        <v>0</v>
      </c>
      <c r="AE2271" s="89" t="s">
        <v>92</v>
      </c>
      <c r="AF2271" s="89"/>
      <c r="AG2271" s="89" t="s">
        <v>11030</v>
      </c>
      <c r="AH2271" s="72">
        <v>42619</v>
      </c>
      <c r="AI2271" s="30">
        <v>1</v>
      </c>
      <c r="AJ2271" s="89" t="s">
        <v>12752</v>
      </c>
      <c r="AK2271" s="89" t="s">
        <v>12753</v>
      </c>
      <c r="AL2271" s="91">
        <v>42621</v>
      </c>
      <c r="AM2271" s="91"/>
      <c r="AN2271" s="91"/>
      <c r="AO2271" s="91"/>
      <c r="AP2271" s="73" t="e">
        <f>MID(VLOOKUP(K2271,#REF!,2,FALSE),1,2)</f>
        <v>#REF!</v>
      </c>
      <c r="AQ2271" s="89">
        <f>DATE(2016,9,8)</f>
        <v>42621</v>
      </c>
      <c r="AR2271" s="82">
        <f t="shared" si="159"/>
        <v>8</v>
      </c>
      <c r="AS2271" s="83">
        <f t="shared" si="160"/>
        <v>9</v>
      </c>
      <c r="AT2271" s="84">
        <f t="shared" si="161"/>
        <v>2016</v>
      </c>
      <c r="AU2271" s="88">
        <f>DATE(2016,11,25)</f>
        <v>42699</v>
      </c>
      <c r="AV2271" s="88">
        <f>DATE(2016,9,8)</f>
        <v>42621</v>
      </c>
      <c r="AW2271" s="87">
        <f t="shared" ref="AW2271:AW2296" si="166">AU2271-AV2271</f>
        <v>78</v>
      </c>
      <c r="AX2271" s="88">
        <f>DATE(2016,9,8)</f>
        <v>42621</v>
      </c>
      <c r="AY2271" s="83">
        <f t="shared" si="164"/>
        <v>9</v>
      </c>
      <c r="AZ2271" s="84">
        <f t="shared" si="165"/>
        <v>2016</v>
      </c>
      <c r="BA2271" s="88">
        <f>DATE(2016,6,8)</f>
        <v>42529</v>
      </c>
      <c r="BB2271" s="86"/>
    </row>
    <row r="2272" spans="1:54" ht="36.75" customHeight="1">
      <c r="A2272" s="30"/>
      <c r="B2272" s="30" t="s">
        <v>55</v>
      </c>
      <c r="C2272" s="69" t="str">
        <f t="shared" si="163"/>
        <v>Closed</v>
      </c>
      <c r="D2272" s="27" t="s">
        <v>12754</v>
      </c>
      <c r="E2272" s="29" t="s">
        <v>12755</v>
      </c>
      <c r="F2272" s="30" t="s">
        <v>835</v>
      </c>
      <c r="G2272" s="89">
        <f>DATE(2016,9,8)</f>
        <v>42621</v>
      </c>
      <c r="H2272" s="90">
        <v>1.3875</v>
      </c>
      <c r="I2272" s="30" t="s">
        <v>73</v>
      </c>
      <c r="J2272" s="89" t="s">
        <v>12756</v>
      </c>
      <c r="K2272" s="30" t="s">
        <v>837</v>
      </c>
      <c r="L2272" s="30" t="s">
        <v>12757</v>
      </c>
      <c r="M2272" s="30" t="s">
        <v>255</v>
      </c>
      <c r="N2272" s="30" t="s">
        <v>99</v>
      </c>
      <c r="O2272" s="30" t="s">
        <v>77</v>
      </c>
      <c r="P2272" s="89" t="s">
        <v>6552</v>
      </c>
      <c r="Q2272" s="89" t="s">
        <v>4210</v>
      </c>
      <c r="R2272" s="89" t="s">
        <v>4210</v>
      </c>
      <c r="S2272" s="30">
        <v>0</v>
      </c>
      <c r="T2272" s="233">
        <v>0</v>
      </c>
      <c r="U2272" s="30">
        <v>0</v>
      </c>
      <c r="V2272" s="233">
        <v>0</v>
      </c>
      <c r="W2272" s="30">
        <v>0</v>
      </c>
      <c r="X2272" s="30">
        <v>0</v>
      </c>
      <c r="Y2272" s="30">
        <v>0</v>
      </c>
      <c r="Z2272" s="233">
        <v>0</v>
      </c>
      <c r="AA2272" s="30">
        <v>0</v>
      </c>
      <c r="AB2272" s="30">
        <v>0</v>
      </c>
      <c r="AC2272" s="30">
        <v>0</v>
      </c>
      <c r="AD2272" s="30">
        <v>0</v>
      </c>
      <c r="AE2272" s="89" t="s">
        <v>92</v>
      </c>
      <c r="AF2272" s="89"/>
      <c r="AG2272" s="89" t="s">
        <v>133</v>
      </c>
      <c r="AH2272" s="72">
        <v>42621</v>
      </c>
      <c r="AI2272" s="30">
        <v>0</v>
      </c>
      <c r="AJ2272" s="89" t="s">
        <v>12758</v>
      </c>
      <c r="AK2272" s="89" t="s">
        <v>68</v>
      </c>
      <c r="AL2272" s="91">
        <v>42699</v>
      </c>
      <c r="AM2272" s="91"/>
      <c r="AN2272" s="91"/>
      <c r="AO2272" s="91"/>
      <c r="AP2272" s="73" t="e">
        <f>MID(VLOOKUP(K2272,#REF!,2,FALSE),1,2)</f>
        <v>#REF!</v>
      </c>
      <c r="AQ2272" s="89">
        <f>DATE(2016,9,9)</f>
        <v>42622</v>
      </c>
      <c r="AR2272" s="82">
        <f t="shared" si="159"/>
        <v>9</v>
      </c>
      <c r="AS2272" s="83">
        <f t="shared" si="160"/>
        <v>9</v>
      </c>
      <c r="AT2272" s="84">
        <f t="shared" si="161"/>
        <v>2016</v>
      </c>
      <c r="AU2272" s="88">
        <f>DATE(2016,9,14)</f>
        <v>42627</v>
      </c>
      <c r="AV2272" s="88">
        <f>DATE(2016,9,9)</f>
        <v>42622</v>
      </c>
      <c r="AW2272" s="87">
        <f t="shared" si="166"/>
        <v>5</v>
      </c>
      <c r="AX2272" s="86"/>
      <c r="AY2272" s="83"/>
      <c r="AZ2272" s="84"/>
      <c r="BA2272" s="86"/>
      <c r="BB2272" s="86"/>
    </row>
    <row r="2273" spans="1:54" ht="36.75" customHeight="1">
      <c r="A2273" s="30"/>
      <c r="B2273" s="30" t="s">
        <v>55</v>
      </c>
      <c r="C2273" s="69" t="str">
        <f t="shared" si="163"/>
        <v>Closed</v>
      </c>
      <c r="D2273" s="27" t="s">
        <v>12759</v>
      </c>
      <c r="E2273" s="29" t="s">
        <v>12760</v>
      </c>
      <c r="F2273" s="30" t="s">
        <v>638</v>
      </c>
      <c r="G2273" s="89">
        <f>DATE(2016,9,9)</f>
        <v>42622</v>
      </c>
      <c r="H2273" s="90">
        <v>1.3923611111111112</v>
      </c>
      <c r="I2273" s="30" t="s">
        <v>73</v>
      </c>
      <c r="J2273" s="89" t="s">
        <v>12761</v>
      </c>
      <c r="K2273" s="30" t="s">
        <v>640</v>
      </c>
      <c r="L2273" s="30" t="s">
        <v>12762</v>
      </c>
      <c r="M2273" s="30" t="s">
        <v>63</v>
      </c>
      <c r="N2273" s="30" t="s">
        <v>99</v>
      </c>
      <c r="O2273" s="30" t="s">
        <v>77</v>
      </c>
      <c r="P2273" s="89" t="s">
        <v>165</v>
      </c>
      <c r="Q2273" s="89" t="s">
        <v>1185</v>
      </c>
      <c r="R2273" s="89" t="s">
        <v>643</v>
      </c>
      <c r="S2273" s="30">
        <v>2</v>
      </c>
      <c r="T2273" s="233">
        <v>2</v>
      </c>
      <c r="U2273" s="30">
        <v>0</v>
      </c>
      <c r="V2273" s="233">
        <v>0</v>
      </c>
      <c r="W2273" s="30">
        <v>0</v>
      </c>
      <c r="X2273" s="30">
        <v>4</v>
      </c>
      <c r="Y2273" s="30">
        <v>13</v>
      </c>
      <c r="Z2273" s="233">
        <v>0</v>
      </c>
      <c r="AA2273" s="30">
        <v>0</v>
      </c>
      <c r="AB2273" s="30">
        <v>0</v>
      </c>
      <c r="AC2273" s="30">
        <v>0</v>
      </c>
      <c r="AD2273" s="30">
        <v>13</v>
      </c>
      <c r="AE2273" s="89" t="s">
        <v>92</v>
      </c>
      <c r="AF2273" s="89"/>
      <c r="AG2273" s="89" t="s">
        <v>82</v>
      </c>
      <c r="AH2273" s="72">
        <v>42622</v>
      </c>
      <c r="AI2273" s="30">
        <v>6</v>
      </c>
      <c r="AJ2273" s="89" t="s">
        <v>12763</v>
      </c>
      <c r="AK2273" s="89" t="s">
        <v>12764</v>
      </c>
      <c r="AL2273" s="91">
        <v>42627</v>
      </c>
      <c r="AM2273" s="91"/>
      <c r="AN2273" s="91"/>
      <c r="AO2273" s="91"/>
      <c r="AP2273" s="73" t="e">
        <f>MID(VLOOKUP(K2273,#REF!,2,FALSE),1,2)</f>
        <v>#REF!</v>
      </c>
      <c r="AQ2273" s="89">
        <f>DATE(2016,9,13)</f>
        <v>42626</v>
      </c>
      <c r="AR2273" s="82">
        <f t="shared" si="159"/>
        <v>13</v>
      </c>
      <c r="AS2273" s="83">
        <f t="shared" si="160"/>
        <v>9</v>
      </c>
      <c r="AT2273" s="84">
        <f t="shared" si="161"/>
        <v>2016</v>
      </c>
      <c r="AU2273" s="88">
        <f>DATE(2016,9,14)</f>
        <v>42627</v>
      </c>
      <c r="AV2273" s="88">
        <f>DATE(2016,9,13)</f>
        <v>42626</v>
      </c>
      <c r="AW2273" s="87">
        <f t="shared" si="166"/>
        <v>1</v>
      </c>
      <c r="AX2273" s="86"/>
      <c r="AY2273" s="83"/>
      <c r="AZ2273" s="84"/>
      <c r="BA2273" s="86"/>
      <c r="BB2273" s="86"/>
    </row>
    <row r="2274" spans="1:54" ht="36.75" customHeight="1">
      <c r="A2274" s="30"/>
      <c r="B2274" s="30" t="s">
        <v>55</v>
      </c>
      <c r="C2274" s="69" t="str">
        <f t="shared" si="163"/>
        <v>Closed</v>
      </c>
      <c r="D2274" s="27" t="s">
        <v>12765</v>
      </c>
      <c r="E2274" s="29" t="s">
        <v>12766</v>
      </c>
      <c r="F2274" s="30" t="s">
        <v>423</v>
      </c>
      <c r="G2274" s="89">
        <f>DATE(2016,9,13)</f>
        <v>42626</v>
      </c>
      <c r="H2274" s="90">
        <v>1.5506944444444444</v>
      </c>
      <c r="I2274" s="30" t="s">
        <v>116</v>
      </c>
      <c r="J2274" s="89" t="s">
        <v>12767</v>
      </c>
      <c r="K2274" s="30" t="s">
        <v>425</v>
      </c>
      <c r="L2274" s="30" t="s">
        <v>12768</v>
      </c>
      <c r="M2274" s="30" t="s">
        <v>63</v>
      </c>
      <c r="N2274" s="30" t="s">
        <v>99</v>
      </c>
      <c r="O2274" s="30" t="s">
        <v>64</v>
      </c>
      <c r="P2274" s="89" t="s">
        <v>165</v>
      </c>
      <c r="Q2274" s="89" t="s">
        <v>4551</v>
      </c>
      <c r="R2274" s="89" t="s">
        <v>3103</v>
      </c>
      <c r="S2274" s="30">
        <v>0</v>
      </c>
      <c r="T2274" s="233">
        <v>0</v>
      </c>
      <c r="U2274" s="30">
        <v>1</v>
      </c>
      <c r="V2274" s="233">
        <v>0</v>
      </c>
      <c r="W2274" s="30">
        <v>0</v>
      </c>
      <c r="X2274" s="30">
        <v>1</v>
      </c>
      <c r="Y2274" s="30">
        <v>0</v>
      </c>
      <c r="Z2274" s="233">
        <v>0</v>
      </c>
      <c r="AA2274" s="30">
        <v>0</v>
      </c>
      <c r="AB2274" s="30">
        <v>0</v>
      </c>
      <c r="AC2274" s="30">
        <v>0</v>
      </c>
      <c r="AD2274" s="30">
        <v>0</v>
      </c>
      <c r="AE2274" s="89" t="s">
        <v>394</v>
      </c>
      <c r="AF2274" s="89"/>
      <c r="AG2274" s="89" t="s">
        <v>589</v>
      </c>
      <c r="AH2274" s="72">
        <v>42626</v>
      </c>
      <c r="AI2274" s="30">
        <v>3</v>
      </c>
      <c r="AJ2274" s="89" t="s">
        <v>12769</v>
      </c>
      <c r="AK2274" s="89" t="s">
        <v>12770</v>
      </c>
      <c r="AL2274" s="91">
        <v>42627</v>
      </c>
      <c r="AM2274" s="91"/>
      <c r="AN2274" s="91"/>
      <c r="AO2274" s="91"/>
      <c r="AP2274" s="73" t="e">
        <f>MID(VLOOKUP(K2274,#REF!,2,FALSE),1,2)</f>
        <v>#REF!</v>
      </c>
      <c r="AQ2274" s="89">
        <f>DATE(2016,9,14)</f>
        <v>42627</v>
      </c>
      <c r="AR2274" s="82">
        <f t="shared" si="159"/>
        <v>14</v>
      </c>
      <c r="AS2274" s="83">
        <f t="shared" si="160"/>
        <v>9</v>
      </c>
      <c r="AT2274" s="84">
        <f t="shared" si="161"/>
        <v>2016</v>
      </c>
      <c r="AU2274" s="88">
        <f>DATE(2016,9,26)</f>
        <v>42639</v>
      </c>
      <c r="AV2274" s="88">
        <f>DATE(2016,9,15)</f>
        <v>42628</v>
      </c>
      <c r="AW2274" s="87">
        <f t="shared" si="166"/>
        <v>11</v>
      </c>
      <c r="AX2274" s="88">
        <f>DATE(2016,9,20)</f>
        <v>42633</v>
      </c>
      <c r="AY2274" s="83">
        <f>MONTH(AX2274)</f>
        <v>9</v>
      </c>
      <c r="AZ2274" s="84">
        <f>YEAR(AX2274)</f>
        <v>2016</v>
      </c>
      <c r="BA2274" s="88">
        <f>DATE(2016,9,14)</f>
        <v>42627</v>
      </c>
      <c r="BB2274" s="86"/>
    </row>
    <row r="2275" spans="1:54" ht="36.75" customHeight="1">
      <c r="A2275" s="30"/>
      <c r="B2275" s="30" t="s">
        <v>55</v>
      </c>
      <c r="C2275" s="69" t="str">
        <f t="shared" si="163"/>
        <v>Closed</v>
      </c>
      <c r="D2275" s="27" t="s">
        <v>12771</v>
      </c>
      <c r="E2275" s="29" t="s">
        <v>12772</v>
      </c>
      <c r="F2275" s="30" t="s">
        <v>2601</v>
      </c>
      <c r="G2275" s="89">
        <f>DATE(2016,9,14)</f>
        <v>42627</v>
      </c>
      <c r="H2275" s="90">
        <v>1.625</v>
      </c>
      <c r="I2275" s="30" t="s">
        <v>125</v>
      </c>
      <c r="J2275" s="89" t="s">
        <v>12773</v>
      </c>
      <c r="K2275" s="30" t="s">
        <v>2603</v>
      </c>
      <c r="L2275" s="30" t="s">
        <v>12774</v>
      </c>
      <c r="M2275" s="30" t="s">
        <v>63</v>
      </c>
      <c r="N2275" s="30" t="s">
        <v>142</v>
      </c>
      <c r="O2275" s="30" t="s">
        <v>64</v>
      </c>
      <c r="P2275" s="89" t="s">
        <v>165</v>
      </c>
      <c r="Q2275" s="89" t="s">
        <v>6342</v>
      </c>
      <c r="R2275" s="89" t="s">
        <v>2606</v>
      </c>
      <c r="S2275" s="30">
        <v>0</v>
      </c>
      <c r="T2275" s="233">
        <v>0</v>
      </c>
      <c r="U2275" s="30">
        <v>0</v>
      </c>
      <c r="V2275" s="233">
        <v>0</v>
      </c>
      <c r="W2275" s="30">
        <v>0</v>
      </c>
      <c r="X2275" s="30">
        <v>0</v>
      </c>
      <c r="Y2275" s="30">
        <v>0</v>
      </c>
      <c r="Z2275" s="233">
        <v>0</v>
      </c>
      <c r="AA2275" s="30">
        <v>0</v>
      </c>
      <c r="AB2275" s="30">
        <v>0</v>
      </c>
      <c r="AC2275" s="30">
        <v>0</v>
      </c>
      <c r="AD2275" s="30">
        <v>0</v>
      </c>
      <c r="AE2275" s="89" t="s">
        <v>92</v>
      </c>
      <c r="AF2275" s="89"/>
      <c r="AG2275" s="89" t="s">
        <v>133</v>
      </c>
      <c r="AH2275" s="72">
        <v>42628</v>
      </c>
      <c r="AI2275" s="30">
        <v>2</v>
      </c>
      <c r="AJ2275" s="89" t="s">
        <v>12775</v>
      </c>
      <c r="AK2275" s="89" t="s">
        <v>12776</v>
      </c>
      <c r="AL2275" s="91">
        <v>42639</v>
      </c>
      <c r="AM2275" s="91"/>
      <c r="AN2275" s="91"/>
      <c r="AO2275" s="91"/>
      <c r="AP2275" s="73" t="e">
        <f>MID(VLOOKUP(K2275,#REF!,2,FALSE),1,2)</f>
        <v>#REF!</v>
      </c>
      <c r="AQ2275" s="89">
        <f>DATE(2016,9,16)</f>
        <v>42629</v>
      </c>
      <c r="AR2275" s="82">
        <f t="shared" si="159"/>
        <v>16</v>
      </c>
      <c r="AS2275" s="83">
        <f t="shared" si="160"/>
        <v>9</v>
      </c>
      <c r="AT2275" s="84">
        <f t="shared" si="161"/>
        <v>2016</v>
      </c>
      <c r="AU2275" s="88">
        <f>DATE(2016,10,11)</f>
        <v>42654</v>
      </c>
      <c r="AV2275" s="88">
        <f>DATE(2016,9,19)</f>
        <v>42632</v>
      </c>
      <c r="AW2275" s="87">
        <f t="shared" si="166"/>
        <v>22</v>
      </c>
      <c r="AX2275" s="88">
        <f>DATE(2016,10,11)</f>
        <v>42654</v>
      </c>
      <c r="AY2275" s="83">
        <f>MONTH(AX2275)</f>
        <v>10</v>
      </c>
      <c r="AZ2275" s="84">
        <f>YEAR(AX2275)</f>
        <v>2016</v>
      </c>
      <c r="BA2275" s="86"/>
      <c r="BB2275" s="86"/>
    </row>
    <row r="2276" spans="1:54" ht="36.75" customHeight="1">
      <c r="A2276" s="30"/>
      <c r="B2276" s="30" t="s">
        <v>55</v>
      </c>
      <c r="C2276" s="69" t="str">
        <f t="shared" si="163"/>
        <v>Closed</v>
      </c>
      <c r="D2276" s="27" t="s">
        <v>12777</v>
      </c>
      <c r="E2276" s="29" t="s">
        <v>12778</v>
      </c>
      <c r="F2276" s="30" t="s">
        <v>233</v>
      </c>
      <c r="G2276" s="89">
        <f>DATE(2016,9,16)</f>
        <v>42629</v>
      </c>
      <c r="H2276" s="90">
        <v>1.2923611111111111</v>
      </c>
      <c r="I2276" s="30" t="s">
        <v>9419</v>
      </c>
      <c r="J2276" s="89" t="s">
        <v>12779</v>
      </c>
      <c r="K2276" s="30" t="s">
        <v>235</v>
      </c>
      <c r="L2276" s="30" t="s">
        <v>12780</v>
      </c>
      <c r="M2276" s="30" t="s">
        <v>63</v>
      </c>
      <c r="N2276" s="30" t="s">
        <v>142</v>
      </c>
      <c r="O2276" s="30" t="s">
        <v>64</v>
      </c>
      <c r="P2276" s="89" t="s">
        <v>6902</v>
      </c>
      <c r="Q2276" s="89" t="s">
        <v>10458</v>
      </c>
      <c r="R2276" s="89" t="s">
        <v>235</v>
      </c>
      <c r="S2276" s="30">
        <v>0</v>
      </c>
      <c r="T2276" s="233">
        <v>0</v>
      </c>
      <c r="U2276" s="30">
        <v>0</v>
      </c>
      <c r="V2276" s="233">
        <v>0</v>
      </c>
      <c r="W2276" s="30">
        <v>0</v>
      </c>
      <c r="X2276" s="30">
        <v>0</v>
      </c>
      <c r="Y2276" s="30">
        <v>0</v>
      </c>
      <c r="Z2276" s="233">
        <v>0</v>
      </c>
      <c r="AA2276" s="30">
        <v>0</v>
      </c>
      <c r="AB2276" s="30">
        <v>0</v>
      </c>
      <c r="AC2276" s="30">
        <v>0</v>
      </c>
      <c r="AD2276" s="30">
        <v>0</v>
      </c>
      <c r="AE2276" s="89" t="s">
        <v>394</v>
      </c>
      <c r="AF2276" s="89"/>
      <c r="AG2276" s="89" t="s">
        <v>133</v>
      </c>
      <c r="AH2276" s="72">
        <v>42632</v>
      </c>
      <c r="AI2276" s="30">
        <v>6</v>
      </c>
      <c r="AJ2276" s="89" t="s">
        <v>12781</v>
      </c>
      <c r="AK2276" s="89" t="s">
        <v>12782</v>
      </c>
      <c r="AL2276" s="91">
        <v>42654</v>
      </c>
      <c r="AM2276" s="91"/>
      <c r="AN2276" s="91"/>
      <c r="AO2276" s="91"/>
      <c r="AP2276" s="73" t="e">
        <f>MID(VLOOKUP(K2276,#REF!,2,FALSE),1,2)</f>
        <v>#REF!</v>
      </c>
      <c r="AQ2276" s="89">
        <f>DATE(2016,9,17)</f>
        <v>42630</v>
      </c>
      <c r="AR2276" s="82">
        <f t="shared" si="159"/>
        <v>17</v>
      </c>
      <c r="AS2276" s="83">
        <f t="shared" si="160"/>
        <v>9</v>
      </c>
      <c r="AT2276" s="84">
        <f t="shared" si="161"/>
        <v>2016</v>
      </c>
      <c r="AU2276" s="88">
        <f>DATE(2016,10,21)</f>
        <v>42664</v>
      </c>
      <c r="AV2276" s="88">
        <f>DATE(2016,9,17)</f>
        <v>42630</v>
      </c>
      <c r="AW2276" s="87">
        <f t="shared" si="166"/>
        <v>34</v>
      </c>
      <c r="AX2276" s="86"/>
      <c r="AY2276" s="83"/>
      <c r="AZ2276" s="84"/>
      <c r="BA2276" s="86"/>
      <c r="BB2276" s="86"/>
    </row>
    <row r="2277" spans="1:54" ht="36.75" customHeight="1">
      <c r="A2277" s="30"/>
      <c r="B2277" s="30" t="s">
        <v>55</v>
      </c>
      <c r="C2277" s="69" t="str">
        <f t="shared" si="163"/>
        <v>Closed</v>
      </c>
      <c r="D2277" s="27" t="s">
        <v>12783</v>
      </c>
      <c r="E2277" s="29" t="s">
        <v>12784</v>
      </c>
      <c r="F2277" s="30" t="s">
        <v>835</v>
      </c>
      <c r="G2277" s="89">
        <f>DATE(2016,9,17)</f>
        <v>42630</v>
      </c>
      <c r="H2277" s="90">
        <v>1.3812500000000001</v>
      </c>
      <c r="I2277" s="30" t="s">
        <v>487</v>
      </c>
      <c r="J2277" s="89" t="s">
        <v>12785</v>
      </c>
      <c r="K2277" s="30" t="s">
        <v>837</v>
      </c>
      <c r="L2277" s="30" t="s">
        <v>12786</v>
      </c>
      <c r="M2277" s="30" t="s">
        <v>63</v>
      </c>
      <c r="N2277" s="30" t="s">
        <v>89</v>
      </c>
      <c r="O2277" s="30" t="s">
        <v>77</v>
      </c>
      <c r="P2277" s="89" t="s">
        <v>86</v>
      </c>
      <c r="Q2277" s="89" t="s">
        <v>12787</v>
      </c>
      <c r="R2277" s="89" t="s">
        <v>840</v>
      </c>
      <c r="S2277" s="30">
        <v>0</v>
      </c>
      <c r="T2277" s="233">
        <v>0</v>
      </c>
      <c r="U2277" s="30">
        <v>0</v>
      </c>
      <c r="V2277" s="233">
        <v>0</v>
      </c>
      <c r="W2277" s="30">
        <v>0</v>
      </c>
      <c r="X2277" s="30">
        <v>0</v>
      </c>
      <c r="Y2277" s="30">
        <v>0</v>
      </c>
      <c r="Z2277" s="233">
        <v>0</v>
      </c>
      <c r="AA2277" s="30">
        <v>0</v>
      </c>
      <c r="AB2277" s="30">
        <v>0</v>
      </c>
      <c r="AC2277" s="30">
        <v>0</v>
      </c>
      <c r="AD2277" s="30">
        <v>0</v>
      </c>
      <c r="AE2277" s="89" t="s">
        <v>92</v>
      </c>
      <c r="AF2277" s="89"/>
      <c r="AG2277" s="89" t="s">
        <v>352</v>
      </c>
      <c r="AH2277" s="72">
        <v>42630</v>
      </c>
      <c r="AI2277" s="30">
        <v>0</v>
      </c>
      <c r="AJ2277" s="89" t="s">
        <v>12788</v>
      </c>
      <c r="AK2277" s="89" t="s">
        <v>1233</v>
      </c>
      <c r="AL2277" s="91">
        <v>42664</v>
      </c>
      <c r="AM2277" s="91"/>
      <c r="AN2277" s="91"/>
      <c r="AO2277" s="91"/>
      <c r="AP2277" s="73" t="e">
        <f>MID(VLOOKUP(K2277,#REF!,2,FALSE),1,2)</f>
        <v>#REF!</v>
      </c>
      <c r="AQ2277" s="89">
        <f>DATE(2016,9,21)</f>
        <v>42634</v>
      </c>
      <c r="AR2277" s="82">
        <f t="shared" si="159"/>
        <v>21</v>
      </c>
      <c r="AS2277" s="83">
        <f t="shared" si="160"/>
        <v>9</v>
      </c>
      <c r="AT2277" s="84">
        <f t="shared" si="161"/>
        <v>2016</v>
      </c>
      <c r="AU2277" s="88">
        <f>DATE(2016,10,17)</f>
        <v>42660</v>
      </c>
      <c r="AV2277" s="88">
        <f>DATE(2016,9,22)</f>
        <v>42635</v>
      </c>
      <c r="AW2277" s="87">
        <f t="shared" si="166"/>
        <v>25</v>
      </c>
      <c r="AX2277" s="88">
        <f>DATE(2016,10,23)</f>
        <v>42666</v>
      </c>
      <c r="AY2277" s="83">
        <f>MONTH(AX2277)</f>
        <v>10</v>
      </c>
      <c r="AZ2277" s="84">
        <f>YEAR(AX2277)</f>
        <v>2016</v>
      </c>
      <c r="BA2277" s="88">
        <f>DATE(2016,10,23)</f>
        <v>42666</v>
      </c>
      <c r="BB2277" s="86"/>
    </row>
    <row r="2278" spans="1:54" ht="36.75" customHeight="1">
      <c r="A2278" s="30"/>
      <c r="B2278" s="30" t="s">
        <v>55</v>
      </c>
      <c r="C2278" s="69" t="str">
        <f t="shared" si="163"/>
        <v>Closed</v>
      </c>
      <c r="D2278" s="27" t="s">
        <v>12789</v>
      </c>
      <c r="E2278" s="29" t="s">
        <v>12790</v>
      </c>
      <c r="F2278" s="30" t="s">
        <v>138</v>
      </c>
      <c r="G2278" s="89">
        <f>DATE(2016,9,21)</f>
        <v>42634</v>
      </c>
      <c r="H2278" s="90">
        <v>1.7270833333333333</v>
      </c>
      <c r="I2278" s="30" t="s">
        <v>198</v>
      </c>
      <c r="J2278" s="89" t="s">
        <v>12791</v>
      </c>
      <c r="K2278" s="30" t="s">
        <v>140</v>
      </c>
      <c r="L2278" s="30" t="s">
        <v>12792</v>
      </c>
      <c r="M2278" s="30" t="s">
        <v>63</v>
      </c>
      <c r="N2278" s="30" t="s">
        <v>99</v>
      </c>
      <c r="O2278" s="30" t="s">
        <v>64</v>
      </c>
      <c r="P2278" s="89" t="s">
        <v>78</v>
      </c>
      <c r="Q2278" s="89" t="s">
        <v>143</v>
      </c>
      <c r="R2278" s="89" t="s">
        <v>4934</v>
      </c>
      <c r="S2278" s="30">
        <v>0</v>
      </c>
      <c r="T2278" s="233">
        <v>0</v>
      </c>
      <c r="U2278" s="30">
        <v>0</v>
      </c>
      <c r="V2278" s="233">
        <v>0</v>
      </c>
      <c r="W2278" s="30">
        <v>0</v>
      </c>
      <c r="X2278" s="30">
        <v>0</v>
      </c>
      <c r="Y2278" s="30">
        <v>0</v>
      </c>
      <c r="Z2278" s="233">
        <v>0</v>
      </c>
      <c r="AA2278" s="30">
        <v>0</v>
      </c>
      <c r="AB2278" s="30">
        <v>0</v>
      </c>
      <c r="AC2278" s="30">
        <v>0</v>
      </c>
      <c r="AD2278" s="30">
        <v>0</v>
      </c>
      <c r="AE2278" s="89" t="s">
        <v>92</v>
      </c>
      <c r="AF2278" s="89"/>
      <c r="AG2278" s="89" t="s">
        <v>82</v>
      </c>
      <c r="AH2278" s="72">
        <v>42635</v>
      </c>
      <c r="AI2278" s="30">
        <v>3</v>
      </c>
      <c r="AJ2278" s="89" t="s">
        <v>12793</v>
      </c>
      <c r="AK2278" s="89" t="s">
        <v>12794</v>
      </c>
      <c r="AL2278" s="91">
        <v>42660</v>
      </c>
      <c r="AM2278" s="91"/>
      <c r="AN2278" s="91"/>
      <c r="AO2278" s="91"/>
      <c r="AP2278" s="73" t="e">
        <f>MID(VLOOKUP(K2278,#REF!,2,FALSE),1,2)</f>
        <v>#REF!</v>
      </c>
      <c r="AQ2278" s="89">
        <f>DATE(2016,9,23)</f>
        <v>42636</v>
      </c>
      <c r="AR2278" s="82">
        <f t="shared" si="159"/>
        <v>23</v>
      </c>
      <c r="AS2278" s="83">
        <f t="shared" si="160"/>
        <v>9</v>
      </c>
      <c r="AT2278" s="84">
        <f t="shared" si="161"/>
        <v>2016</v>
      </c>
      <c r="AU2278" s="88">
        <f>DATE(2016,9,27)</f>
        <v>42640</v>
      </c>
      <c r="AV2278" s="88">
        <f>DATE(2016,9,26)</f>
        <v>42639</v>
      </c>
      <c r="AW2278" s="87">
        <f t="shared" si="166"/>
        <v>1</v>
      </c>
      <c r="AX2278" s="88">
        <f>DATE(2017,9,19)</f>
        <v>42997</v>
      </c>
      <c r="AY2278" s="83">
        <f>MONTH(AX2278)</f>
        <v>9</v>
      </c>
      <c r="AZ2278" s="84">
        <f>YEAR(AX2278)</f>
        <v>2017</v>
      </c>
      <c r="BA2278" s="86"/>
      <c r="BB2278" s="86"/>
    </row>
    <row r="2279" spans="1:54" ht="36.75" customHeight="1">
      <c r="A2279" s="30"/>
      <c r="B2279" s="30" t="s">
        <v>55</v>
      </c>
      <c r="C2279" s="69" t="str">
        <f t="shared" si="163"/>
        <v>Closed</v>
      </c>
      <c r="D2279" s="27" t="s">
        <v>12795</v>
      </c>
      <c r="E2279" s="29" t="s">
        <v>12796</v>
      </c>
      <c r="F2279" s="30" t="s">
        <v>197</v>
      </c>
      <c r="G2279" s="89">
        <f>DATE(2016,9,23)</f>
        <v>42636</v>
      </c>
      <c r="H2279" s="90">
        <v>1.5527777777777778</v>
      </c>
      <c r="I2279" s="30" t="s">
        <v>156</v>
      </c>
      <c r="J2279" s="89" t="s">
        <v>12797</v>
      </c>
      <c r="K2279" s="30" t="s">
        <v>200</v>
      </c>
      <c r="L2279" s="30" t="s">
        <v>12798</v>
      </c>
      <c r="M2279" s="30" t="s">
        <v>63</v>
      </c>
      <c r="N2279" s="30" t="s">
        <v>142</v>
      </c>
      <c r="O2279" s="30" t="s">
        <v>64</v>
      </c>
      <c r="P2279" s="89" t="s">
        <v>462</v>
      </c>
      <c r="Q2279" s="89" t="s">
        <v>202</v>
      </c>
      <c r="R2279" s="89" t="s">
        <v>203</v>
      </c>
      <c r="S2279" s="30">
        <v>0</v>
      </c>
      <c r="T2279" s="233">
        <v>0</v>
      </c>
      <c r="U2279" s="30">
        <v>0</v>
      </c>
      <c r="V2279" s="233">
        <v>0</v>
      </c>
      <c r="W2279" s="30">
        <v>0</v>
      </c>
      <c r="X2279" s="30">
        <v>0</v>
      </c>
      <c r="Y2279" s="30">
        <v>0</v>
      </c>
      <c r="Z2279" s="233">
        <v>0</v>
      </c>
      <c r="AA2279" s="30">
        <v>0</v>
      </c>
      <c r="AB2279" s="30">
        <v>0</v>
      </c>
      <c r="AC2279" s="30">
        <v>0</v>
      </c>
      <c r="AD2279" s="30">
        <v>0</v>
      </c>
      <c r="AE2279" s="89" t="s">
        <v>92</v>
      </c>
      <c r="AF2279" s="89"/>
      <c r="AG2279" s="89" t="s">
        <v>133</v>
      </c>
      <c r="AH2279" s="72">
        <v>42639</v>
      </c>
      <c r="AI2279" s="30">
        <v>5</v>
      </c>
      <c r="AJ2279" s="89" t="s">
        <v>12799</v>
      </c>
      <c r="AK2279" s="89" t="s">
        <v>1233</v>
      </c>
      <c r="AL2279" s="91">
        <v>42640</v>
      </c>
      <c r="AM2279" s="91"/>
      <c r="AN2279" s="91"/>
      <c r="AO2279" s="91"/>
      <c r="AP2279" s="73" t="e">
        <f>MID(VLOOKUP(K2279,#REF!,2,FALSE),1,2)</f>
        <v>#REF!</v>
      </c>
      <c r="AQ2279" s="89">
        <f>DATE(2016,9,30)</f>
        <v>42643</v>
      </c>
      <c r="AR2279" s="82">
        <f t="shared" si="159"/>
        <v>30</v>
      </c>
      <c r="AS2279" s="83">
        <f t="shared" si="160"/>
        <v>9</v>
      </c>
      <c r="AT2279" s="84">
        <f t="shared" si="161"/>
        <v>2016</v>
      </c>
      <c r="AU2279" s="88">
        <f>DATE(2016,11,4)</f>
        <v>42678</v>
      </c>
      <c r="AV2279" s="88">
        <f>DATE(2016,10,25)</f>
        <v>42668</v>
      </c>
      <c r="AW2279" s="87">
        <f t="shared" si="166"/>
        <v>10</v>
      </c>
      <c r="AX2279" s="86"/>
      <c r="AY2279" s="83"/>
      <c r="AZ2279" s="84"/>
      <c r="BA2279" s="86"/>
      <c r="BB2279" s="86"/>
    </row>
    <row r="2280" spans="1:54" ht="36.75" customHeight="1">
      <c r="A2280" s="30"/>
      <c r="B2280" s="30" t="s">
        <v>55</v>
      </c>
      <c r="C2280" s="69" t="str">
        <f t="shared" si="163"/>
        <v>Closed</v>
      </c>
      <c r="D2280" s="27" t="s">
        <v>12800</v>
      </c>
      <c r="E2280" s="29" t="s">
        <v>12801</v>
      </c>
      <c r="F2280" s="30" t="s">
        <v>638</v>
      </c>
      <c r="G2280" s="89">
        <f>DATE(2016,9,30)</f>
        <v>42643</v>
      </c>
      <c r="H2280" s="90">
        <v>1.9006944444444445</v>
      </c>
      <c r="I2280" s="30" t="s">
        <v>73</v>
      </c>
      <c r="J2280" s="89" t="s">
        <v>12802</v>
      </c>
      <c r="K2280" s="30" t="s">
        <v>640</v>
      </c>
      <c r="L2280" s="30" t="s">
        <v>12803</v>
      </c>
      <c r="M2280" s="30" t="s">
        <v>63</v>
      </c>
      <c r="N2280" s="30" t="s">
        <v>99</v>
      </c>
      <c r="O2280" s="30" t="s">
        <v>64</v>
      </c>
      <c r="P2280" s="89" t="s">
        <v>65</v>
      </c>
      <c r="Q2280" s="89" t="s">
        <v>1185</v>
      </c>
      <c r="R2280" s="89" t="s">
        <v>643</v>
      </c>
      <c r="S2280" s="30">
        <v>0</v>
      </c>
      <c r="T2280" s="233">
        <v>0</v>
      </c>
      <c r="U2280" s="30">
        <v>0</v>
      </c>
      <c r="V2280" s="233">
        <v>0</v>
      </c>
      <c r="W2280" s="30">
        <v>0</v>
      </c>
      <c r="X2280" s="30">
        <v>0</v>
      </c>
      <c r="Y2280" s="30">
        <v>0</v>
      </c>
      <c r="Z2280" s="233">
        <v>0</v>
      </c>
      <c r="AA2280" s="30">
        <v>0</v>
      </c>
      <c r="AB2280" s="30">
        <v>0</v>
      </c>
      <c r="AC2280" s="30">
        <v>0</v>
      </c>
      <c r="AD2280" s="30">
        <v>0</v>
      </c>
      <c r="AE2280" s="89" t="s">
        <v>92</v>
      </c>
      <c r="AF2280" s="89"/>
      <c r="AG2280" s="89" t="s">
        <v>589</v>
      </c>
      <c r="AH2280" s="72">
        <v>42668</v>
      </c>
      <c r="AI2280" s="30">
        <v>2</v>
      </c>
      <c r="AJ2280" s="89" t="s">
        <v>12804</v>
      </c>
      <c r="AK2280" s="89" t="s">
        <v>12805</v>
      </c>
      <c r="AL2280" s="91">
        <v>42678</v>
      </c>
      <c r="AM2280" s="91"/>
      <c r="AN2280" s="91"/>
      <c r="AO2280" s="91"/>
      <c r="AP2280" s="73" t="e">
        <f>MID(VLOOKUP(K2280,#REF!,2,FALSE),1,2)</f>
        <v>#REF!</v>
      </c>
      <c r="AQ2280" s="89">
        <f>DATE(2016,9,30)</f>
        <v>42643</v>
      </c>
      <c r="AR2280" s="82">
        <f t="shared" si="159"/>
        <v>30</v>
      </c>
      <c r="AS2280" s="83">
        <f t="shared" si="160"/>
        <v>9</v>
      </c>
      <c r="AT2280" s="84">
        <f t="shared" si="161"/>
        <v>2016</v>
      </c>
      <c r="AU2280" s="88">
        <f>DATE(2016,10,18)</f>
        <v>42661</v>
      </c>
      <c r="AV2280" s="88">
        <f>DATE(2016,10,6)</f>
        <v>42649</v>
      </c>
      <c r="AW2280" s="87">
        <f t="shared" si="166"/>
        <v>12</v>
      </c>
      <c r="AX2280" s="88">
        <f>DATE(2016,10,7)</f>
        <v>42650</v>
      </c>
      <c r="AY2280" s="83">
        <f>MONTH(AX2280)</f>
        <v>10</v>
      </c>
      <c r="AZ2280" s="84">
        <f>YEAR(AX2280)</f>
        <v>2016</v>
      </c>
      <c r="BA2280" s="88">
        <f>DATE(2016,10,17)</f>
        <v>42660</v>
      </c>
      <c r="BB2280" s="86"/>
    </row>
    <row r="2281" spans="1:54" ht="36.75" customHeight="1">
      <c r="A2281" s="30"/>
      <c r="B2281" s="30" t="s">
        <v>55</v>
      </c>
      <c r="C2281" s="69" t="str">
        <f t="shared" si="163"/>
        <v>Closed</v>
      </c>
      <c r="D2281" s="27" t="s">
        <v>12806</v>
      </c>
      <c r="E2281" s="29" t="s">
        <v>12807</v>
      </c>
      <c r="F2281" s="30" t="s">
        <v>138</v>
      </c>
      <c r="G2281" s="89">
        <f>DATE(2016,9,30)</f>
        <v>42643</v>
      </c>
      <c r="H2281" s="90">
        <v>1.3465277777777778</v>
      </c>
      <c r="I2281" s="30" t="s">
        <v>198</v>
      </c>
      <c r="J2281" s="89" t="s">
        <v>12808</v>
      </c>
      <c r="K2281" s="30" t="s">
        <v>140</v>
      </c>
      <c r="L2281" s="30" t="s">
        <v>12809</v>
      </c>
      <c r="M2281" s="30" t="s">
        <v>63</v>
      </c>
      <c r="N2281" s="30" t="s">
        <v>99</v>
      </c>
      <c r="O2281" s="30" t="s">
        <v>64</v>
      </c>
      <c r="P2281" s="89" t="s">
        <v>5599</v>
      </c>
      <c r="Q2281" s="89" t="s">
        <v>12810</v>
      </c>
      <c r="R2281" s="89" t="s">
        <v>4934</v>
      </c>
      <c r="S2281" s="30">
        <v>0</v>
      </c>
      <c r="T2281" s="233">
        <v>0</v>
      </c>
      <c r="U2281" s="30">
        <v>0</v>
      </c>
      <c r="V2281" s="233">
        <v>0</v>
      </c>
      <c r="W2281" s="30">
        <v>0</v>
      </c>
      <c r="X2281" s="30">
        <v>0</v>
      </c>
      <c r="Y2281" s="30">
        <v>0</v>
      </c>
      <c r="Z2281" s="233">
        <v>1</v>
      </c>
      <c r="AA2281" s="30">
        <v>0</v>
      </c>
      <c r="AB2281" s="30">
        <v>0</v>
      </c>
      <c r="AC2281" s="30">
        <v>0</v>
      </c>
      <c r="AD2281" s="30">
        <v>1</v>
      </c>
      <c r="AE2281" s="89" t="s">
        <v>145</v>
      </c>
      <c r="AF2281" s="89"/>
      <c r="AG2281" s="89" t="s">
        <v>82</v>
      </c>
      <c r="AH2281" s="72">
        <v>42649</v>
      </c>
      <c r="AI2281" s="30">
        <v>1</v>
      </c>
      <c r="AJ2281" s="89" t="s">
        <v>12811</v>
      </c>
      <c r="AK2281" s="89" t="s">
        <v>12812</v>
      </c>
      <c r="AL2281" s="91">
        <v>42661</v>
      </c>
      <c r="AM2281" s="91"/>
      <c r="AN2281" s="91"/>
      <c r="AO2281" s="91"/>
      <c r="AP2281" s="73" t="e">
        <f>MID(VLOOKUP(K2281,#REF!,2,FALSE),1,2)</f>
        <v>#REF!</v>
      </c>
      <c r="AQ2281" s="89">
        <f>DATE(2016,10,2)</f>
        <v>42645</v>
      </c>
      <c r="AR2281" s="82">
        <f t="shared" si="159"/>
        <v>2</v>
      </c>
      <c r="AS2281" s="83">
        <f t="shared" si="160"/>
        <v>10</v>
      </c>
      <c r="AT2281" s="84">
        <f t="shared" si="161"/>
        <v>2016</v>
      </c>
      <c r="AU2281" s="88">
        <f>DATE(2016,10,9)</f>
        <v>42652</v>
      </c>
      <c r="AV2281" s="88">
        <f>DATE(2016,10,3)</f>
        <v>42646</v>
      </c>
      <c r="AW2281" s="87">
        <f t="shared" si="166"/>
        <v>6</v>
      </c>
      <c r="AX2281" s="88">
        <f>DATE(2016,10,9)</f>
        <v>42652</v>
      </c>
      <c r="AY2281" s="83">
        <f>MONTH(AX2281)</f>
        <v>10</v>
      </c>
      <c r="AZ2281" s="84">
        <f>YEAR(AX2281)</f>
        <v>2016</v>
      </c>
      <c r="BA2281" s="88">
        <f>DATE(2016,10,2)</f>
        <v>42645</v>
      </c>
      <c r="BB2281" s="86"/>
    </row>
    <row r="2282" spans="1:54" ht="36.75" customHeight="1">
      <c r="A2282" s="30"/>
      <c r="B2282" s="30" t="s">
        <v>55</v>
      </c>
      <c r="C2282" s="69" t="str">
        <f t="shared" si="163"/>
        <v>Closed</v>
      </c>
      <c r="D2282" s="27" t="s">
        <v>12813</v>
      </c>
      <c r="E2282" s="29" t="s">
        <v>12814</v>
      </c>
      <c r="F2282" s="30" t="s">
        <v>1572</v>
      </c>
      <c r="G2282" s="89">
        <f>DATE(2016,10,2)</f>
        <v>42645</v>
      </c>
      <c r="H2282" s="90">
        <v>1.1145833333333333</v>
      </c>
      <c r="I2282" s="30" t="s">
        <v>73</v>
      </c>
      <c r="J2282" s="89" t="s">
        <v>12815</v>
      </c>
      <c r="K2282" s="30" t="s">
        <v>1574</v>
      </c>
      <c r="L2282" s="30" t="s">
        <v>12816</v>
      </c>
      <c r="M2282" s="30" t="s">
        <v>63</v>
      </c>
      <c r="N2282" s="30" t="s">
        <v>99</v>
      </c>
      <c r="O2282" s="30" t="s">
        <v>64</v>
      </c>
      <c r="P2282" s="89" t="s">
        <v>6941</v>
      </c>
      <c r="Q2282" s="89" t="s">
        <v>2413</v>
      </c>
      <c r="R2282" s="89" t="s">
        <v>6434</v>
      </c>
      <c r="S2282" s="30">
        <v>0</v>
      </c>
      <c r="T2282" s="233">
        <v>0</v>
      </c>
      <c r="U2282" s="30">
        <v>0</v>
      </c>
      <c r="V2282" s="233">
        <v>0</v>
      </c>
      <c r="W2282" s="30">
        <v>0</v>
      </c>
      <c r="X2282" s="30">
        <v>0</v>
      </c>
      <c r="Y2282" s="30">
        <v>0</v>
      </c>
      <c r="Z2282" s="233">
        <v>0</v>
      </c>
      <c r="AA2282" s="30">
        <v>0</v>
      </c>
      <c r="AB2282" s="30">
        <v>0</v>
      </c>
      <c r="AC2282" s="30">
        <v>0</v>
      </c>
      <c r="AD2282" s="30">
        <v>0</v>
      </c>
      <c r="AE2282" s="89" t="s">
        <v>92</v>
      </c>
      <c r="AF2282" s="89"/>
      <c r="AG2282" s="89" t="s">
        <v>133</v>
      </c>
      <c r="AH2282" s="72">
        <v>42646</v>
      </c>
      <c r="AI2282" s="30">
        <v>1</v>
      </c>
      <c r="AJ2282" s="89" t="s">
        <v>12817</v>
      </c>
      <c r="AK2282" s="89" t="s">
        <v>12818</v>
      </c>
      <c r="AL2282" s="91">
        <v>42652</v>
      </c>
      <c r="AM2282" s="91"/>
      <c r="AN2282" s="91"/>
      <c r="AO2282" s="91"/>
      <c r="AP2282" s="73" t="e">
        <f>MID(VLOOKUP(K2282,#REF!,2,FALSE),1,2)</f>
        <v>#REF!</v>
      </c>
      <c r="AQ2282" s="89">
        <f>DATE(2016,10,3)</f>
        <v>42646</v>
      </c>
      <c r="AR2282" s="82">
        <f t="shared" si="159"/>
        <v>3</v>
      </c>
      <c r="AS2282" s="83">
        <f t="shared" si="160"/>
        <v>10</v>
      </c>
      <c r="AT2282" s="84">
        <f t="shared" si="161"/>
        <v>2016</v>
      </c>
      <c r="AU2282" s="88">
        <f>DATE(2016,10,24)</f>
        <v>42667</v>
      </c>
      <c r="AV2282" s="88">
        <f>DATE(2016,10,13)</f>
        <v>42656</v>
      </c>
      <c r="AW2282" s="87">
        <f t="shared" si="166"/>
        <v>11</v>
      </c>
      <c r="AX2282" s="88">
        <f>DATE(2016,10,20)</f>
        <v>42663</v>
      </c>
      <c r="AY2282" s="83">
        <f>MONTH(AX2282)</f>
        <v>10</v>
      </c>
      <c r="AZ2282" s="84">
        <f>YEAR(AX2282)</f>
        <v>2016</v>
      </c>
      <c r="BA2282" s="88">
        <f>DATE(2016,10,20)</f>
        <v>42663</v>
      </c>
      <c r="BB2282" s="86"/>
    </row>
    <row r="2283" spans="1:54" ht="36.75" customHeight="1">
      <c r="A2283" s="30"/>
      <c r="B2283" s="30" t="s">
        <v>55</v>
      </c>
      <c r="C2283" s="69" t="str">
        <f t="shared" si="163"/>
        <v>Closed</v>
      </c>
      <c r="D2283" s="27" t="s">
        <v>12819</v>
      </c>
      <c r="E2283" s="29" t="s">
        <v>12820</v>
      </c>
      <c r="F2283" s="30" t="s">
        <v>124</v>
      </c>
      <c r="G2283" s="89">
        <f>DATE(2016,10,3)</f>
        <v>42646</v>
      </c>
      <c r="H2283" s="90">
        <v>1.9131944444444446</v>
      </c>
      <c r="I2283" s="30" t="s">
        <v>73</v>
      </c>
      <c r="J2283" s="89" t="s">
        <v>12821</v>
      </c>
      <c r="K2283" s="30" t="s">
        <v>127</v>
      </c>
      <c r="L2283" s="30" t="s">
        <v>12822</v>
      </c>
      <c r="M2283" s="30" t="s">
        <v>63</v>
      </c>
      <c r="N2283" s="30" t="s">
        <v>99</v>
      </c>
      <c r="O2283" s="30" t="s">
        <v>64</v>
      </c>
      <c r="P2283" s="89" t="s">
        <v>165</v>
      </c>
      <c r="Q2283" s="89" t="s">
        <v>229</v>
      </c>
      <c r="R2283" s="89" t="s">
        <v>167</v>
      </c>
      <c r="S2283" s="30">
        <v>0</v>
      </c>
      <c r="T2283" s="233">
        <v>0</v>
      </c>
      <c r="U2283" s="30">
        <v>0</v>
      </c>
      <c r="V2283" s="233">
        <v>0</v>
      </c>
      <c r="W2283" s="30">
        <v>0</v>
      </c>
      <c r="X2283" s="30">
        <v>0</v>
      </c>
      <c r="Y2283" s="30">
        <v>0</v>
      </c>
      <c r="Z2283" s="233">
        <v>0</v>
      </c>
      <c r="AA2283" s="30">
        <v>0</v>
      </c>
      <c r="AB2283" s="30">
        <v>0</v>
      </c>
      <c r="AC2283" s="30">
        <v>0</v>
      </c>
      <c r="AD2283" s="30">
        <v>0</v>
      </c>
      <c r="AE2283" s="89" t="s">
        <v>394</v>
      </c>
      <c r="AF2283" s="89"/>
      <c r="AG2283" s="89" t="s">
        <v>82</v>
      </c>
      <c r="AH2283" s="72">
        <v>42656</v>
      </c>
      <c r="AI2283" s="30">
        <v>1</v>
      </c>
      <c r="AJ2283" s="89" t="s">
        <v>12823</v>
      </c>
      <c r="AK2283" s="89" t="s">
        <v>68</v>
      </c>
      <c r="AL2283" s="91">
        <v>42667</v>
      </c>
      <c r="AM2283" s="91"/>
      <c r="AN2283" s="91"/>
      <c r="AO2283" s="91"/>
      <c r="AP2283" s="73" t="e">
        <f>MID(VLOOKUP(K2283,#REF!,2,FALSE),1,2)</f>
        <v>#REF!</v>
      </c>
      <c r="AQ2283" s="89">
        <f>DATE(2016,10,5)</f>
        <v>42648</v>
      </c>
      <c r="AR2283" s="82">
        <f t="shared" si="159"/>
        <v>5</v>
      </c>
      <c r="AS2283" s="83">
        <f t="shared" si="160"/>
        <v>10</v>
      </c>
      <c r="AT2283" s="84">
        <f t="shared" si="161"/>
        <v>2016</v>
      </c>
      <c r="AU2283" s="88">
        <f>DATE(2016,11,21)</f>
        <v>42695</v>
      </c>
      <c r="AV2283" s="88">
        <f>DATE(2016,11,11)</f>
        <v>42685</v>
      </c>
      <c r="AW2283" s="87">
        <f t="shared" si="166"/>
        <v>10</v>
      </c>
      <c r="AX2283" s="88">
        <f>DATE(2016,11,11)</f>
        <v>42685</v>
      </c>
      <c r="AY2283" s="83">
        <f>MONTH(AX2283)</f>
        <v>11</v>
      </c>
      <c r="AZ2283" s="84">
        <f>YEAR(AX2283)</f>
        <v>2016</v>
      </c>
      <c r="BA2283" s="88">
        <f>DATE(2016,11,11)</f>
        <v>42685</v>
      </c>
      <c r="BB2283" s="86"/>
    </row>
    <row r="2284" spans="1:54" ht="36.75" customHeight="1">
      <c r="A2284" s="30"/>
      <c r="B2284" s="30" t="s">
        <v>55</v>
      </c>
      <c r="C2284" s="69" t="str">
        <f t="shared" si="163"/>
        <v>Closed</v>
      </c>
      <c r="D2284" s="27" t="s">
        <v>12824</v>
      </c>
      <c r="E2284" s="29" t="s">
        <v>12825</v>
      </c>
      <c r="F2284" s="30" t="s">
        <v>9789</v>
      </c>
      <c r="G2284" s="89">
        <f>DATE(2016,10,5)</f>
        <v>42648</v>
      </c>
      <c r="H2284" s="90">
        <v>1.9805555555555556</v>
      </c>
      <c r="I2284" s="30" t="s">
        <v>2418</v>
      </c>
      <c r="J2284" s="210" t="s">
        <v>12826</v>
      </c>
      <c r="K2284" s="30" t="s">
        <v>9791</v>
      </c>
      <c r="L2284" s="30" t="s">
        <v>12827</v>
      </c>
      <c r="M2284" s="30" t="s">
        <v>63</v>
      </c>
      <c r="N2284" s="30" t="s">
        <v>99</v>
      </c>
      <c r="O2284" s="30" t="s">
        <v>64</v>
      </c>
      <c r="P2284" s="89" t="s">
        <v>78</v>
      </c>
      <c r="Q2284" s="89" t="s">
        <v>12828</v>
      </c>
      <c r="R2284" s="89" t="s">
        <v>9794</v>
      </c>
      <c r="S2284" s="30">
        <v>0</v>
      </c>
      <c r="T2284" s="233">
        <v>0</v>
      </c>
      <c r="U2284" s="30">
        <v>0</v>
      </c>
      <c r="V2284" s="233">
        <v>0</v>
      </c>
      <c r="W2284" s="30">
        <v>0</v>
      </c>
      <c r="X2284" s="30">
        <v>0</v>
      </c>
      <c r="Y2284" s="30">
        <v>0</v>
      </c>
      <c r="Z2284" s="233">
        <v>0</v>
      </c>
      <c r="AA2284" s="30">
        <v>0</v>
      </c>
      <c r="AB2284" s="30">
        <v>0</v>
      </c>
      <c r="AC2284" s="30">
        <v>0</v>
      </c>
      <c r="AD2284" s="30">
        <v>0</v>
      </c>
      <c r="AE2284" s="89" t="s">
        <v>92</v>
      </c>
      <c r="AF2284" s="89"/>
      <c r="AG2284" s="89" t="s">
        <v>133</v>
      </c>
      <c r="AH2284" s="72">
        <v>42685</v>
      </c>
      <c r="AI2284" s="30">
        <v>4</v>
      </c>
      <c r="AJ2284" s="89" t="s">
        <v>12829</v>
      </c>
      <c r="AK2284" s="89" t="s">
        <v>12830</v>
      </c>
      <c r="AL2284" s="91">
        <v>42695</v>
      </c>
      <c r="AM2284" s="91"/>
      <c r="AN2284" s="91"/>
      <c r="AO2284" s="91"/>
      <c r="AP2284" s="73" t="e">
        <f>MID(VLOOKUP(K2284,#REF!,2,FALSE),1,2)</f>
        <v>#REF!</v>
      </c>
      <c r="AQ2284" s="89">
        <f>DATE(2016,10,5)</f>
        <v>42648</v>
      </c>
      <c r="AR2284" s="82">
        <f t="shared" si="159"/>
        <v>5</v>
      </c>
      <c r="AS2284" s="83">
        <f t="shared" si="160"/>
        <v>10</v>
      </c>
      <c r="AT2284" s="84">
        <f t="shared" si="161"/>
        <v>2016</v>
      </c>
      <c r="AU2284" s="88">
        <f>DATE(2016,10,6)</f>
        <v>42649</v>
      </c>
      <c r="AV2284" s="88">
        <f>DATE(2016,10,6)</f>
        <v>42649</v>
      </c>
      <c r="AW2284" s="87">
        <f t="shared" si="166"/>
        <v>0</v>
      </c>
      <c r="AX2284" s="86"/>
      <c r="AY2284" s="83"/>
      <c r="AZ2284" s="84"/>
      <c r="BA2284" s="86"/>
      <c r="BB2284" s="86"/>
    </row>
    <row r="2285" spans="1:54" ht="36.75" customHeight="1">
      <c r="A2285" s="30"/>
      <c r="B2285" s="30" t="s">
        <v>55</v>
      </c>
      <c r="C2285" s="69" t="str">
        <f t="shared" si="163"/>
        <v>Closed</v>
      </c>
      <c r="D2285" s="27" t="s">
        <v>12831</v>
      </c>
      <c r="E2285" s="29" t="s">
        <v>12832</v>
      </c>
      <c r="F2285" s="30" t="s">
        <v>835</v>
      </c>
      <c r="G2285" s="89">
        <f>DATE(2016,10,5)</f>
        <v>42648</v>
      </c>
      <c r="H2285" s="90">
        <v>0</v>
      </c>
      <c r="I2285" s="30" t="s">
        <v>156</v>
      </c>
      <c r="J2285" s="89" t="s">
        <v>12833</v>
      </c>
      <c r="K2285" s="30" t="s">
        <v>837</v>
      </c>
      <c r="L2285" s="30" t="s">
        <v>12834</v>
      </c>
      <c r="M2285" s="30" t="s">
        <v>63</v>
      </c>
      <c r="N2285" s="30" t="s">
        <v>99</v>
      </c>
      <c r="O2285" s="30" t="s">
        <v>90</v>
      </c>
      <c r="P2285" s="89" t="s">
        <v>165</v>
      </c>
      <c r="Q2285" s="89" t="s">
        <v>2162</v>
      </c>
      <c r="R2285" s="89" t="s">
        <v>840</v>
      </c>
      <c r="S2285" s="30">
        <v>0</v>
      </c>
      <c r="T2285" s="233">
        <v>0</v>
      </c>
      <c r="U2285" s="30">
        <v>0</v>
      </c>
      <c r="V2285" s="233">
        <v>0</v>
      </c>
      <c r="W2285" s="30">
        <v>0</v>
      </c>
      <c r="X2285" s="30">
        <v>0</v>
      </c>
      <c r="Y2285" s="30">
        <v>0</v>
      </c>
      <c r="Z2285" s="233">
        <v>0</v>
      </c>
      <c r="AA2285" s="30">
        <v>0</v>
      </c>
      <c r="AB2285" s="30">
        <v>0</v>
      </c>
      <c r="AC2285" s="30">
        <v>0</v>
      </c>
      <c r="AD2285" s="30">
        <v>0</v>
      </c>
      <c r="AE2285" s="89" t="s">
        <v>92</v>
      </c>
      <c r="AF2285" s="89"/>
      <c r="AG2285" s="89" t="s">
        <v>352</v>
      </c>
      <c r="AH2285" s="72">
        <v>42649</v>
      </c>
      <c r="AI2285" s="30">
        <v>0</v>
      </c>
      <c r="AJ2285" s="89" t="s">
        <v>12835</v>
      </c>
      <c r="AK2285" s="89" t="s">
        <v>12836</v>
      </c>
      <c r="AL2285" s="91">
        <v>42649</v>
      </c>
      <c r="AM2285" s="91"/>
      <c r="AN2285" s="91"/>
      <c r="AO2285" s="91"/>
      <c r="AP2285" s="73" t="e">
        <f>MID(VLOOKUP(K2285,#REF!,2,FALSE),1,2)</f>
        <v>#REF!</v>
      </c>
      <c r="AQ2285" s="89">
        <f>DATE(2016,10,5)</f>
        <v>42648</v>
      </c>
      <c r="AR2285" s="82">
        <f t="shared" si="159"/>
        <v>5</v>
      </c>
      <c r="AS2285" s="83">
        <f t="shared" si="160"/>
        <v>10</v>
      </c>
      <c r="AT2285" s="84">
        <f t="shared" si="161"/>
        <v>2016</v>
      </c>
      <c r="AU2285" s="88">
        <f>DATE(2016,10,27)</f>
        <v>42670</v>
      </c>
      <c r="AV2285" s="88">
        <f>DATE(2016,10,10)</f>
        <v>42653</v>
      </c>
      <c r="AW2285" s="87">
        <f t="shared" si="166"/>
        <v>17</v>
      </c>
      <c r="AX2285" s="88">
        <f>DATE(2016,10,27)</f>
        <v>42670</v>
      </c>
      <c r="AY2285" s="83">
        <f>MONTH(AX2285)</f>
        <v>10</v>
      </c>
      <c r="AZ2285" s="84">
        <f>YEAR(AX2285)</f>
        <v>2016</v>
      </c>
      <c r="BA2285" s="86"/>
      <c r="BB2285" s="86"/>
    </row>
    <row r="2286" spans="1:54" ht="36.75" customHeight="1">
      <c r="A2286" s="30"/>
      <c r="B2286" s="30" t="s">
        <v>55</v>
      </c>
      <c r="C2286" s="69" t="str">
        <f t="shared" si="163"/>
        <v>Closed</v>
      </c>
      <c r="D2286" s="27" t="s">
        <v>12837</v>
      </c>
      <c r="E2286" s="29" t="s">
        <v>12838</v>
      </c>
      <c r="F2286" s="30" t="s">
        <v>233</v>
      </c>
      <c r="G2286" s="89">
        <f>DATE(2016,10,5)</f>
        <v>42648</v>
      </c>
      <c r="H2286" s="90">
        <v>1.6805555555555554</v>
      </c>
      <c r="I2286" s="30" t="s">
        <v>116</v>
      </c>
      <c r="J2286" s="89" t="s">
        <v>12839</v>
      </c>
      <c r="K2286" s="30" t="s">
        <v>235</v>
      </c>
      <c r="L2286" s="30" t="s">
        <v>12840</v>
      </c>
      <c r="M2286" s="30" t="s">
        <v>63</v>
      </c>
      <c r="N2286" s="30" t="s">
        <v>142</v>
      </c>
      <c r="O2286" s="30" t="s">
        <v>77</v>
      </c>
      <c r="P2286" s="89" t="s">
        <v>165</v>
      </c>
      <c r="Q2286" s="89" t="s">
        <v>351</v>
      </c>
      <c r="R2286" s="89" t="s">
        <v>235</v>
      </c>
      <c r="S2286" s="30">
        <v>0</v>
      </c>
      <c r="T2286" s="233">
        <v>0</v>
      </c>
      <c r="U2286" s="30">
        <v>1</v>
      </c>
      <c r="V2286" s="233">
        <v>0</v>
      </c>
      <c r="W2286" s="30">
        <v>0</v>
      </c>
      <c r="X2286" s="30">
        <v>1</v>
      </c>
      <c r="Y2286" s="30">
        <v>0</v>
      </c>
      <c r="Z2286" s="233">
        <v>0</v>
      </c>
      <c r="AA2286" s="30">
        <v>0</v>
      </c>
      <c r="AB2286" s="30">
        <v>0</v>
      </c>
      <c r="AC2286" s="30">
        <v>0</v>
      </c>
      <c r="AD2286" s="30">
        <v>0</v>
      </c>
      <c r="AE2286" s="89" t="s">
        <v>92</v>
      </c>
      <c r="AF2286" s="89"/>
      <c r="AG2286" s="89" t="s">
        <v>82</v>
      </c>
      <c r="AH2286" s="72">
        <v>42653</v>
      </c>
      <c r="AI2286" s="30">
        <v>1</v>
      </c>
      <c r="AJ2286" s="89" t="s">
        <v>12841</v>
      </c>
      <c r="AK2286" s="89" t="s">
        <v>12842</v>
      </c>
      <c r="AL2286" s="91">
        <v>42670</v>
      </c>
      <c r="AM2286" s="91"/>
      <c r="AN2286" s="91"/>
      <c r="AO2286" s="91"/>
      <c r="AP2286" s="73" t="e">
        <f>MID(VLOOKUP(K2286,#REF!,2,FALSE),1,2)</f>
        <v>#REF!</v>
      </c>
      <c r="AQ2286" s="89">
        <f>DATE(2016,10,7)</f>
        <v>42650</v>
      </c>
      <c r="AR2286" s="82">
        <f t="shared" si="159"/>
        <v>7</v>
      </c>
      <c r="AS2286" s="83">
        <f t="shared" si="160"/>
        <v>10</v>
      </c>
      <c r="AT2286" s="84">
        <f t="shared" si="161"/>
        <v>2016</v>
      </c>
      <c r="AU2286" s="88">
        <f>DATE(2017,6,9)</f>
        <v>42895</v>
      </c>
      <c r="AV2286" s="88">
        <f>DATE(2016,10,7)</f>
        <v>42650</v>
      </c>
      <c r="AW2286" s="87">
        <f t="shared" si="166"/>
        <v>245</v>
      </c>
      <c r="AX2286" s="86"/>
      <c r="AY2286" s="83"/>
      <c r="AZ2286" s="84"/>
      <c r="BA2286" s="86"/>
      <c r="BB2286" s="86"/>
    </row>
    <row r="2287" spans="1:54" ht="36.75" customHeight="1">
      <c r="A2287" s="30"/>
      <c r="B2287" s="30" t="s">
        <v>55</v>
      </c>
      <c r="C2287" s="69" t="str">
        <f t="shared" si="163"/>
        <v>Closed</v>
      </c>
      <c r="D2287" s="27" t="s">
        <v>12843</v>
      </c>
      <c r="E2287" s="29" t="s">
        <v>12844</v>
      </c>
      <c r="F2287" s="30" t="s">
        <v>835</v>
      </c>
      <c r="G2287" s="89">
        <f>DATE(2016,10,7)</f>
        <v>42650</v>
      </c>
      <c r="H2287" s="90">
        <v>1.5555555555555556</v>
      </c>
      <c r="I2287" s="30" t="s">
        <v>278</v>
      </c>
      <c r="J2287" s="89" t="s">
        <v>12845</v>
      </c>
      <c r="K2287" s="30" t="s">
        <v>837</v>
      </c>
      <c r="L2287" s="30" t="s">
        <v>12846</v>
      </c>
      <c r="M2287" s="30" t="s">
        <v>63</v>
      </c>
      <c r="N2287" s="30" t="s">
        <v>89</v>
      </c>
      <c r="O2287" s="30" t="s">
        <v>77</v>
      </c>
      <c r="P2287" s="89" t="s">
        <v>91</v>
      </c>
      <c r="Q2287" s="89" t="s">
        <v>2797</v>
      </c>
      <c r="R2287" s="89" t="s">
        <v>2797</v>
      </c>
      <c r="S2287" s="30">
        <v>2</v>
      </c>
      <c r="T2287" s="233">
        <v>0</v>
      </c>
      <c r="U2287" s="30">
        <v>0</v>
      </c>
      <c r="V2287" s="233">
        <v>0</v>
      </c>
      <c r="W2287" s="30">
        <v>0</v>
      </c>
      <c r="X2287" s="30">
        <v>2</v>
      </c>
      <c r="Y2287" s="30">
        <v>0</v>
      </c>
      <c r="Z2287" s="233">
        <v>0</v>
      </c>
      <c r="AA2287" s="30">
        <v>0</v>
      </c>
      <c r="AB2287" s="30">
        <v>0</v>
      </c>
      <c r="AC2287" s="30">
        <v>0</v>
      </c>
      <c r="AD2287" s="30">
        <v>0</v>
      </c>
      <c r="AE2287" s="89" t="s">
        <v>92</v>
      </c>
      <c r="AF2287" s="89"/>
      <c r="AG2287" s="89" t="s">
        <v>133</v>
      </c>
      <c r="AH2287" s="72">
        <v>42650</v>
      </c>
      <c r="AI2287" s="30">
        <v>0</v>
      </c>
      <c r="AJ2287" s="89" t="s">
        <v>12847</v>
      </c>
      <c r="AK2287" s="89" t="s">
        <v>12848</v>
      </c>
      <c r="AL2287" s="91">
        <v>42895</v>
      </c>
      <c r="AM2287" s="91"/>
      <c r="AN2287" s="91"/>
      <c r="AO2287" s="91"/>
      <c r="AP2287" s="73" t="e">
        <f>MID(VLOOKUP(K2287,#REF!,2,FALSE),1,2)</f>
        <v>#REF!</v>
      </c>
      <c r="AQ2287" s="89">
        <f>DATE(2016,10,10)</f>
        <v>42653</v>
      </c>
      <c r="AR2287" s="82">
        <f t="shared" si="159"/>
        <v>10</v>
      </c>
      <c r="AS2287" s="83">
        <f t="shared" si="160"/>
        <v>10</v>
      </c>
      <c r="AT2287" s="84">
        <f t="shared" si="161"/>
        <v>2016</v>
      </c>
      <c r="AU2287" s="88">
        <f>DATE(2016,10,27)</f>
        <v>42670</v>
      </c>
      <c r="AV2287" s="88">
        <f>DATE(2016,10,17)</f>
        <v>42660</v>
      </c>
      <c r="AW2287" s="87">
        <f t="shared" si="166"/>
        <v>10</v>
      </c>
      <c r="AX2287" s="86"/>
      <c r="AY2287" s="83"/>
      <c r="AZ2287" s="84"/>
      <c r="BA2287" s="86"/>
      <c r="BB2287" s="86"/>
    </row>
    <row r="2288" spans="1:54" ht="36.75" customHeight="1">
      <c r="A2288" s="30"/>
      <c r="B2288" s="30" t="s">
        <v>55</v>
      </c>
      <c r="C2288" s="69" t="str">
        <f t="shared" si="163"/>
        <v>Closed</v>
      </c>
      <c r="D2288" s="27" t="s">
        <v>12849</v>
      </c>
      <c r="E2288" s="29" t="s">
        <v>12850</v>
      </c>
      <c r="F2288" s="30" t="s">
        <v>124</v>
      </c>
      <c r="G2288" s="89">
        <f>DATE(2016,10,10)</f>
        <v>42653</v>
      </c>
      <c r="H2288" s="90">
        <v>0</v>
      </c>
      <c r="I2288" s="30" t="s">
        <v>5494</v>
      </c>
      <c r="J2288" s="89" t="s">
        <v>12851</v>
      </c>
      <c r="K2288" s="30" t="s">
        <v>127</v>
      </c>
      <c r="L2288" s="30" t="s">
        <v>12852</v>
      </c>
      <c r="M2288" s="30" t="s">
        <v>129</v>
      </c>
      <c r="N2288" s="30" t="s">
        <v>142</v>
      </c>
      <c r="O2288" s="30" t="s">
        <v>77</v>
      </c>
      <c r="P2288" s="89" t="s">
        <v>129</v>
      </c>
      <c r="Q2288" s="89" t="s">
        <v>10119</v>
      </c>
      <c r="R2288" s="89" t="s">
        <v>131</v>
      </c>
      <c r="S2288" s="30">
        <v>0</v>
      </c>
      <c r="T2288" s="233">
        <v>0</v>
      </c>
      <c r="U2288" s="30">
        <v>0</v>
      </c>
      <c r="V2288" s="233">
        <v>0</v>
      </c>
      <c r="W2288" s="30">
        <v>0</v>
      </c>
      <c r="X2288" s="30">
        <v>0</v>
      </c>
      <c r="Y2288" s="30">
        <v>1</v>
      </c>
      <c r="Z2288" s="233">
        <v>0</v>
      </c>
      <c r="AA2288" s="30">
        <v>0</v>
      </c>
      <c r="AB2288" s="30">
        <v>0</v>
      </c>
      <c r="AC2288" s="30">
        <v>0</v>
      </c>
      <c r="AD2288" s="30">
        <v>1</v>
      </c>
      <c r="AE2288" s="89" t="s">
        <v>92</v>
      </c>
      <c r="AF2288" s="89"/>
      <c r="AG2288" s="89" t="s">
        <v>82</v>
      </c>
      <c r="AH2288" s="72">
        <v>42660</v>
      </c>
      <c r="AI2288" s="30">
        <v>1</v>
      </c>
      <c r="AJ2288" s="89" t="s">
        <v>12853</v>
      </c>
      <c r="AK2288" s="89" t="s">
        <v>68</v>
      </c>
      <c r="AL2288" s="91">
        <v>42670</v>
      </c>
      <c r="AM2288" s="91"/>
      <c r="AN2288" s="91"/>
      <c r="AO2288" s="91"/>
      <c r="AP2288" s="73" t="e">
        <f>MID(VLOOKUP(K2288,#REF!,2,FALSE),1,2)</f>
        <v>#REF!</v>
      </c>
      <c r="AQ2288" s="89">
        <f>DATE(2016,10,10)</f>
        <v>42653</v>
      </c>
      <c r="AR2288" s="82">
        <f t="shared" si="159"/>
        <v>10</v>
      </c>
      <c r="AS2288" s="83">
        <f t="shared" si="160"/>
        <v>10</v>
      </c>
      <c r="AT2288" s="84">
        <f t="shared" si="161"/>
        <v>2016</v>
      </c>
      <c r="AU2288" s="88">
        <f>DATE(2016,10,14)</f>
        <v>42657</v>
      </c>
      <c r="AV2288" s="88">
        <f>DATE(2016,10,12)</f>
        <v>42655</v>
      </c>
      <c r="AW2288" s="87">
        <f t="shared" si="166"/>
        <v>2</v>
      </c>
      <c r="AX2288" s="88">
        <f>DATE(2016,10,14)</f>
        <v>42657</v>
      </c>
      <c r="AY2288" s="83">
        <f>MONTH(AX2288)</f>
        <v>10</v>
      </c>
      <c r="AZ2288" s="84">
        <f>YEAR(AX2288)</f>
        <v>2016</v>
      </c>
      <c r="BA2288" s="88">
        <f>DATE(2016,10,10)</f>
        <v>42653</v>
      </c>
      <c r="BB2288" s="86"/>
    </row>
    <row r="2289" spans="1:54" ht="36.75" customHeight="1">
      <c r="A2289" s="30"/>
      <c r="B2289" s="30" t="s">
        <v>55</v>
      </c>
      <c r="C2289" s="69" t="str">
        <f t="shared" si="163"/>
        <v>Closed</v>
      </c>
      <c r="D2289" s="27" t="s">
        <v>12854</v>
      </c>
      <c r="E2289" s="29" t="s">
        <v>12855</v>
      </c>
      <c r="F2289" s="30" t="s">
        <v>594</v>
      </c>
      <c r="G2289" s="89">
        <f>DATE(2016,10,10)</f>
        <v>42653</v>
      </c>
      <c r="H2289" s="90">
        <v>1.2520833333333332</v>
      </c>
      <c r="I2289" s="30" t="s">
        <v>125</v>
      </c>
      <c r="J2289" s="89" t="s">
        <v>12856</v>
      </c>
      <c r="K2289" s="30" t="s">
        <v>596</v>
      </c>
      <c r="L2289" s="30" t="s">
        <v>12857</v>
      </c>
      <c r="M2289" s="30" t="s">
        <v>63</v>
      </c>
      <c r="N2289" s="30" t="s">
        <v>99</v>
      </c>
      <c r="O2289" s="30" t="s">
        <v>77</v>
      </c>
      <c r="P2289" s="89" t="s">
        <v>165</v>
      </c>
      <c r="Q2289" s="89" t="s">
        <v>10529</v>
      </c>
      <c r="R2289" s="89" t="s">
        <v>12074</v>
      </c>
      <c r="S2289" s="30">
        <v>0</v>
      </c>
      <c r="T2289" s="233">
        <v>0</v>
      </c>
      <c r="U2289" s="30">
        <v>0</v>
      </c>
      <c r="V2289" s="233">
        <v>0</v>
      </c>
      <c r="W2289" s="30">
        <v>0</v>
      </c>
      <c r="X2289" s="30">
        <v>0</v>
      </c>
      <c r="Y2289" s="30">
        <v>0</v>
      </c>
      <c r="Z2289" s="233">
        <v>0</v>
      </c>
      <c r="AA2289" s="30">
        <v>0</v>
      </c>
      <c r="AB2289" s="30">
        <v>0</v>
      </c>
      <c r="AC2289" s="30">
        <v>0</v>
      </c>
      <c r="AD2289" s="30">
        <v>0</v>
      </c>
      <c r="AE2289" s="89" t="s">
        <v>92</v>
      </c>
      <c r="AF2289" s="89"/>
      <c r="AG2289" s="89" t="s">
        <v>133</v>
      </c>
      <c r="AH2289" s="72">
        <v>42714</v>
      </c>
      <c r="AI2289" s="30">
        <v>2</v>
      </c>
      <c r="AJ2289" s="89" t="s">
        <v>12858</v>
      </c>
      <c r="AK2289" s="89" t="s">
        <v>12859</v>
      </c>
      <c r="AL2289" s="91">
        <v>42657</v>
      </c>
      <c r="AM2289" s="91"/>
      <c r="AN2289" s="91"/>
      <c r="AO2289" s="91"/>
      <c r="AP2289" s="73" t="e">
        <f>MID(VLOOKUP(K2289,#REF!,2,FALSE),1,2)</f>
        <v>#REF!</v>
      </c>
      <c r="AQ2289" s="89">
        <f>DATE(2016,10,11)</f>
        <v>42654</v>
      </c>
      <c r="AR2289" s="82">
        <f t="shared" si="159"/>
        <v>11</v>
      </c>
      <c r="AS2289" s="83">
        <f t="shared" si="160"/>
        <v>10</v>
      </c>
      <c r="AT2289" s="84">
        <f t="shared" si="161"/>
        <v>2016</v>
      </c>
      <c r="AU2289" s="88">
        <f>DATE(2016,11,10)</f>
        <v>42684</v>
      </c>
      <c r="AV2289" s="88">
        <f>DATE(2016,10,21)</f>
        <v>42664</v>
      </c>
      <c r="AW2289" s="87">
        <f t="shared" si="166"/>
        <v>20</v>
      </c>
      <c r="AX2289" s="88">
        <f>DATE(2016,10,24)</f>
        <v>42667</v>
      </c>
      <c r="AY2289" s="83">
        <f>MONTH(AX2289)</f>
        <v>10</v>
      </c>
      <c r="AZ2289" s="84">
        <f>YEAR(AX2289)</f>
        <v>2016</v>
      </c>
      <c r="BA2289" s="88">
        <f>DATE(2016,10,24)</f>
        <v>42667</v>
      </c>
      <c r="BB2289" s="86"/>
    </row>
    <row r="2290" spans="1:54" ht="36.75" customHeight="1">
      <c r="A2290" s="30"/>
      <c r="B2290" s="30" t="s">
        <v>55</v>
      </c>
      <c r="C2290" s="69" t="str">
        <f t="shared" si="163"/>
        <v>Closed</v>
      </c>
      <c r="D2290" s="27" t="s">
        <v>12860</v>
      </c>
      <c r="E2290" s="29" t="s">
        <v>12861</v>
      </c>
      <c r="F2290" s="30" t="s">
        <v>138</v>
      </c>
      <c r="G2290" s="89">
        <f>DATE(2016,10,11)</f>
        <v>42654</v>
      </c>
      <c r="H2290" s="90">
        <v>1.7062499999999998</v>
      </c>
      <c r="I2290" s="30" t="s">
        <v>2264</v>
      </c>
      <c r="J2290" s="89" t="s">
        <v>12862</v>
      </c>
      <c r="K2290" s="30" t="s">
        <v>140</v>
      </c>
      <c r="L2290" s="30" t="s">
        <v>12863</v>
      </c>
      <c r="M2290" s="30" t="s">
        <v>63</v>
      </c>
      <c r="N2290" s="30" t="s">
        <v>142</v>
      </c>
      <c r="O2290" s="30" t="s">
        <v>77</v>
      </c>
      <c r="P2290" s="89" t="s">
        <v>78</v>
      </c>
      <c r="Q2290" s="89" t="s">
        <v>6131</v>
      </c>
      <c r="R2290" s="89" t="s">
        <v>4934</v>
      </c>
      <c r="S2290" s="30">
        <v>0</v>
      </c>
      <c r="T2290" s="233">
        <v>0</v>
      </c>
      <c r="U2290" s="30">
        <v>0</v>
      </c>
      <c r="V2290" s="233">
        <v>0</v>
      </c>
      <c r="W2290" s="30">
        <v>0</v>
      </c>
      <c r="X2290" s="30">
        <v>0</v>
      </c>
      <c r="Y2290" s="30">
        <v>0</v>
      </c>
      <c r="Z2290" s="233">
        <v>0</v>
      </c>
      <c r="AA2290" s="30">
        <v>0</v>
      </c>
      <c r="AB2290" s="30">
        <v>0</v>
      </c>
      <c r="AC2290" s="30">
        <v>0</v>
      </c>
      <c r="AD2290" s="30">
        <v>0</v>
      </c>
      <c r="AE2290" s="89" t="s">
        <v>92</v>
      </c>
      <c r="AF2290" s="89"/>
      <c r="AG2290" s="89" t="s">
        <v>82</v>
      </c>
      <c r="AH2290" s="72">
        <v>42664</v>
      </c>
      <c r="AI2290" s="30">
        <v>2</v>
      </c>
      <c r="AJ2290" s="89" t="s">
        <v>12864</v>
      </c>
      <c r="AK2290" s="89" t="s">
        <v>12865</v>
      </c>
      <c r="AL2290" s="91">
        <v>42684</v>
      </c>
      <c r="AM2290" s="91"/>
      <c r="AN2290" s="91"/>
      <c r="AO2290" s="91"/>
      <c r="AP2290" s="73" t="e">
        <f>MID(VLOOKUP(K2290,#REF!,2,FALSE),1,2)</f>
        <v>#REF!</v>
      </c>
      <c r="AQ2290" s="89">
        <f>DATE(2016,10,15)</f>
        <v>42658</v>
      </c>
      <c r="AR2290" s="82">
        <f t="shared" si="159"/>
        <v>15</v>
      </c>
      <c r="AS2290" s="83">
        <f t="shared" si="160"/>
        <v>10</v>
      </c>
      <c r="AT2290" s="84">
        <f t="shared" si="161"/>
        <v>2016</v>
      </c>
      <c r="AU2290" s="88">
        <f>DATE(2017,9,29)</f>
        <v>43007</v>
      </c>
      <c r="AV2290" s="88">
        <f>DATE(2016,10,17)</f>
        <v>42660</v>
      </c>
      <c r="AW2290" s="87">
        <f t="shared" si="166"/>
        <v>347</v>
      </c>
      <c r="AX2290" s="86"/>
      <c r="AY2290" s="83"/>
      <c r="AZ2290" s="84"/>
      <c r="BA2290" s="86"/>
      <c r="BB2290" s="86"/>
    </row>
    <row r="2291" spans="1:54" ht="36.75" customHeight="1">
      <c r="A2291" s="30"/>
      <c r="B2291" s="30" t="s">
        <v>55</v>
      </c>
      <c r="C2291" s="69" t="str">
        <f t="shared" si="163"/>
        <v>Closed</v>
      </c>
      <c r="D2291" s="27" t="s">
        <v>12866</v>
      </c>
      <c r="E2291" s="29" t="s">
        <v>12867</v>
      </c>
      <c r="F2291" s="30" t="s">
        <v>1770</v>
      </c>
      <c r="G2291" s="89">
        <f>DATE(2016,10,15)</f>
        <v>42658</v>
      </c>
      <c r="H2291" s="90">
        <v>0</v>
      </c>
      <c r="I2291" s="30" t="s">
        <v>156</v>
      </c>
      <c r="J2291" s="89" t="s">
        <v>12868</v>
      </c>
      <c r="K2291" s="30" t="s">
        <v>1772</v>
      </c>
      <c r="L2291" s="30" t="s">
        <v>7393</v>
      </c>
      <c r="M2291" s="30" t="s">
        <v>63</v>
      </c>
      <c r="N2291" s="30" t="s">
        <v>142</v>
      </c>
      <c r="O2291" s="30" t="s">
        <v>64</v>
      </c>
      <c r="P2291" s="89" t="s">
        <v>165</v>
      </c>
      <c r="Q2291" s="89" t="s">
        <v>4289</v>
      </c>
      <c r="R2291" s="89" t="s">
        <v>1775</v>
      </c>
      <c r="S2291" s="30">
        <v>0</v>
      </c>
      <c r="T2291" s="233">
        <v>0</v>
      </c>
      <c r="U2291" s="30">
        <v>0</v>
      </c>
      <c r="V2291" s="233">
        <v>0</v>
      </c>
      <c r="W2291" s="30">
        <v>0</v>
      </c>
      <c r="X2291" s="30">
        <v>0</v>
      </c>
      <c r="Y2291" s="30">
        <v>0</v>
      </c>
      <c r="Z2291" s="233">
        <v>0</v>
      </c>
      <c r="AA2291" s="30">
        <v>0</v>
      </c>
      <c r="AB2291" s="30">
        <v>0</v>
      </c>
      <c r="AC2291" s="30">
        <v>1</v>
      </c>
      <c r="AD2291" s="30">
        <v>1</v>
      </c>
      <c r="AE2291" s="89" t="s">
        <v>92</v>
      </c>
      <c r="AF2291" s="89"/>
      <c r="AG2291" s="89" t="s">
        <v>133</v>
      </c>
      <c r="AH2291" s="72">
        <v>42660</v>
      </c>
      <c r="AI2291" s="30">
        <v>7</v>
      </c>
      <c r="AJ2291" s="89" t="s">
        <v>12869</v>
      </c>
      <c r="AK2291" s="89" t="s">
        <v>12870</v>
      </c>
      <c r="AL2291" s="91">
        <v>43007</v>
      </c>
      <c r="AM2291" s="91"/>
      <c r="AN2291" s="91"/>
      <c r="AO2291" s="91"/>
      <c r="AP2291" s="73" t="e">
        <f>MID(VLOOKUP(K2291,#REF!,2,FALSE),1,2)</f>
        <v>#REF!</v>
      </c>
      <c r="AQ2291" s="89">
        <f>DATE(2016,10,17)</f>
        <v>42660</v>
      </c>
      <c r="AR2291" s="82">
        <f t="shared" si="159"/>
        <v>17</v>
      </c>
      <c r="AS2291" s="83">
        <f t="shared" si="160"/>
        <v>10</v>
      </c>
      <c r="AT2291" s="84">
        <f t="shared" si="161"/>
        <v>2016</v>
      </c>
      <c r="AU2291" s="88">
        <f>DATE(2016,10,31)</f>
        <v>42674</v>
      </c>
      <c r="AV2291" s="88">
        <f>DATE(2016,10,27)</f>
        <v>42670</v>
      </c>
      <c r="AW2291" s="87">
        <f t="shared" si="166"/>
        <v>4</v>
      </c>
      <c r="AX2291" s="86"/>
      <c r="AY2291" s="83"/>
      <c r="AZ2291" s="84"/>
      <c r="BA2291" s="88">
        <f>DATE(2016,10,17)</f>
        <v>42660</v>
      </c>
      <c r="BB2291" s="86"/>
    </row>
    <row r="2292" spans="1:54" ht="36.75" customHeight="1">
      <c r="A2292" s="30"/>
      <c r="B2292" s="30" t="s">
        <v>55</v>
      </c>
      <c r="C2292" s="69" t="str">
        <f t="shared" si="163"/>
        <v>Closed</v>
      </c>
      <c r="D2292" s="27" t="s">
        <v>12871</v>
      </c>
      <c r="E2292" s="29" t="s">
        <v>12872</v>
      </c>
      <c r="F2292" s="30" t="s">
        <v>9789</v>
      </c>
      <c r="G2292" s="89">
        <f>DATE(2016,10,17)</f>
        <v>42660</v>
      </c>
      <c r="H2292" s="90">
        <v>1.3451388888888889</v>
      </c>
      <c r="I2292" s="30" t="s">
        <v>116</v>
      </c>
      <c r="J2292" s="210" t="s">
        <v>12873</v>
      </c>
      <c r="K2292" s="30" t="s">
        <v>9791</v>
      </c>
      <c r="L2292" s="30" t="s">
        <v>12874</v>
      </c>
      <c r="M2292" s="30" t="s">
        <v>63</v>
      </c>
      <c r="N2292" s="30" t="s">
        <v>99</v>
      </c>
      <c r="O2292" s="30" t="s">
        <v>77</v>
      </c>
      <c r="P2292" s="89" t="s">
        <v>301</v>
      </c>
      <c r="Q2292" s="89" t="s">
        <v>9838</v>
      </c>
      <c r="R2292" s="89" t="s">
        <v>9794</v>
      </c>
      <c r="S2292" s="30">
        <v>0</v>
      </c>
      <c r="T2292" s="233">
        <v>0</v>
      </c>
      <c r="U2292" s="30">
        <v>0</v>
      </c>
      <c r="V2292" s="233">
        <v>0</v>
      </c>
      <c r="W2292" s="30">
        <v>0</v>
      </c>
      <c r="X2292" s="30">
        <v>0</v>
      </c>
      <c r="Y2292" s="30">
        <v>0</v>
      </c>
      <c r="Z2292" s="233">
        <v>0</v>
      </c>
      <c r="AA2292" s="30">
        <v>1</v>
      </c>
      <c r="AB2292" s="30">
        <v>0</v>
      </c>
      <c r="AC2292" s="30">
        <v>0</v>
      </c>
      <c r="AD2292" s="30">
        <v>1</v>
      </c>
      <c r="AE2292" s="89" t="s">
        <v>92</v>
      </c>
      <c r="AF2292" s="89"/>
      <c r="AG2292" s="89" t="s">
        <v>133</v>
      </c>
      <c r="AH2292" s="72">
        <v>42670</v>
      </c>
      <c r="AI2292" s="30">
        <v>2</v>
      </c>
      <c r="AJ2292" s="89" t="s">
        <v>12875</v>
      </c>
      <c r="AK2292" s="89" t="s">
        <v>12876</v>
      </c>
      <c r="AL2292" s="91">
        <v>42674</v>
      </c>
      <c r="AM2292" s="91"/>
      <c r="AN2292" s="91"/>
      <c r="AO2292" s="91"/>
      <c r="AP2292" s="73" t="e">
        <f>MID(VLOOKUP(K2292,#REF!,2,FALSE),1,2)</f>
        <v>#REF!</v>
      </c>
      <c r="AQ2292" s="89">
        <f>DATE(2016,10,18)</f>
        <v>42661</v>
      </c>
      <c r="AR2292" s="82">
        <f t="shared" si="159"/>
        <v>18</v>
      </c>
      <c r="AS2292" s="83">
        <f t="shared" si="160"/>
        <v>10</v>
      </c>
      <c r="AT2292" s="84">
        <f t="shared" si="161"/>
        <v>2016</v>
      </c>
      <c r="AU2292" s="88">
        <f>DATE(2016,10,31)</f>
        <v>42674</v>
      </c>
      <c r="AV2292" s="88">
        <f>DATE(2016,10,31)</f>
        <v>42674</v>
      </c>
      <c r="AW2292" s="87">
        <f t="shared" si="166"/>
        <v>0</v>
      </c>
      <c r="AX2292" s="88">
        <f>DATE(2016,11,24)</f>
        <v>42698</v>
      </c>
      <c r="AY2292" s="83">
        <f>MONTH(AX2292)</f>
        <v>11</v>
      </c>
      <c r="AZ2292" s="84">
        <f>YEAR(AX2292)</f>
        <v>2016</v>
      </c>
      <c r="BA2292" s="88">
        <f>DATE(2016,10,18)</f>
        <v>42661</v>
      </c>
      <c r="BB2292" s="86"/>
    </row>
    <row r="2293" spans="1:54" ht="36.75" customHeight="1">
      <c r="A2293" s="30"/>
      <c r="B2293" s="30" t="s">
        <v>55</v>
      </c>
      <c r="C2293" s="69" t="str">
        <f t="shared" si="163"/>
        <v>Closed</v>
      </c>
      <c r="D2293" s="27" t="s">
        <v>12877</v>
      </c>
      <c r="E2293" s="29" t="s">
        <v>12878</v>
      </c>
      <c r="F2293" s="30" t="s">
        <v>12879</v>
      </c>
      <c r="G2293" s="89">
        <f>DATE(2016,10,18)</f>
        <v>42661</v>
      </c>
      <c r="H2293" s="90">
        <v>1.4166666666666667</v>
      </c>
      <c r="I2293" s="30" t="s">
        <v>278</v>
      </c>
      <c r="J2293" s="89" t="s">
        <v>12880</v>
      </c>
      <c r="K2293" s="30" t="s">
        <v>12881</v>
      </c>
      <c r="L2293" s="30" t="s">
        <v>12882</v>
      </c>
      <c r="M2293" s="30" t="s">
        <v>63</v>
      </c>
      <c r="N2293" s="30" t="s">
        <v>99</v>
      </c>
      <c r="O2293" s="30" t="s">
        <v>6875</v>
      </c>
      <c r="P2293" s="89" t="s">
        <v>91</v>
      </c>
      <c r="Q2293" s="89" t="s">
        <v>12883</v>
      </c>
      <c r="R2293" s="89" t="s">
        <v>12884</v>
      </c>
      <c r="S2293" s="30">
        <v>0</v>
      </c>
      <c r="T2293" s="233">
        <v>0</v>
      </c>
      <c r="U2293" s="30">
        <v>0</v>
      </c>
      <c r="V2293" s="233">
        <v>0</v>
      </c>
      <c r="W2293" s="30">
        <v>0</v>
      </c>
      <c r="X2293" s="30">
        <v>0</v>
      </c>
      <c r="Y2293" s="30">
        <v>0</v>
      </c>
      <c r="Z2293" s="233">
        <v>1</v>
      </c>
      <c r="AA2293" s="30">
        <v>0</v>
      </c>
      <c r="AB2293" s="30">
        <v>0</v>
      </c>
      <c r="AC2293" s="30">
        <v>0</v>
      </c>
      <c r="AD2293" s="30">
        <v>1</v>
      </c>
      <c r="AE2293" s="89" t="s">
        <v>92</v>
      </c>
      <c r="AF2293" s="89"/>
      <c r="AG2293" s="89" t="s">
        <v>133</v>
      </c>
      <c r="AH2293" s="72">
        <v>42674</v>
      </c>
      <c r="AI2293" s="30">
        <v>0</v>
      </c>
      <c r="AJ2293" s="89" t="s">
        <v>12885</v>
      </c>
      <c r="AK2293" s="89" t="s">
        <v>1233</v>
      </c>
      <c r="AL2293" s="91">
        <v>42674</v>
      </c>
      <c r="AM2293" s="91"/>
      <c r="AN2293" s="91"/>
      <c r="AO2293" s="91"/>
      <c r="AP2293" s="73" t="e">
        <f>MID(VLOOKUP(K2293,#REF!,2,FALSE),1,2)</f>
        <v>#REF!</v>
      </c>
      <c r="AQ2293" s="89">
        <f>DATE(2016,10,19)</f>
        <v>42662</v>
      </c>
      <c r="AR2293" s="82">
        <f t="shared" si="159"/>
        <v>19</v>
      </c>
      <c r="AS2293" s="83">
        <f t="shared" si="160"/>
        <v>10</v>
      </c>
      <c r="AT2293" s="84">
        <f t="shared" si="161"/>
        <v>2016</v>
      </c>
      <c r="AU2293" s="88">
        <f>DATE(2016,12,20)</f>
        <v>42724</v>
      </c>
      <c r="AV2293" s="88">
        <f>DATE(2016,12,1)</f>
        <v>42705</v>
      </c>
      <c r="AW2293" s="87">
        <f t="shared" si="166"/>
        <v>19</v>
      </c>
      <c r="AX2293" s="88">
        <f>DATE(2017,10,17)</f>
        <v>43025</v>
      </c>
      <c r="AY2293" s="83">
        <f>MONTH(AX2293)</f>
        <v>10</v>
      </c>
      <c r="AZ2293" s="84">
        <f>YEAR(AX2293)</f>
        <v>2017</v>
      </c>
      <c r="BA2293" s="86"/>
      <c r="BB2293" s="86"/>
    </row>
    <row r="2294" spans="1:54" ht="36.75" customHeight="1">
      <c r="A2294" s="30"/>
      <c r="B2294" s="30" t="s">
        <v>55</v>
      </c>
      <c r="C2294" s="69" t="str">
        <f t="shared" si="163"/>
        <v>Closed</v>
      </c>
      <c r="D2294" s="27" t="s">
        <v>12886</v>
      </c>
      <c r="E2294" s="29" t="s">
        <v>12887</v>
      </c>
      <c r="F2294" s="30" t="s">
        <v>197</v>
      </c>
      <c r="G2294" s="89">
        <f>DATE(2016,10,19)</f>
        <v>42662</v>
      </c>
      <c r="H2294" s="90">
        <v>0</v>
      </c>
      <c r="I2294" s="30" t="s">
        <v>198</v>
      </c>
      <c r="J2294" s="89" t="s">
        <v>12888</v>
      </c>
      <c r="K2294" s="30" t="s">
        <v>200</v>
      </c>
      <c r="L2294" s="30" t="s">
        <v>12889</v>
      </c>
      <c r="M2294" s="30" t="s">
        <v>63</v>
      </c>
      <c r="N2294" s="30" t="s">
        <v>99</v>
      </c>
      <c r="O2294" s="30" t="s">
        <v>64</v>
      </c>
      <c r="P2294" s="89" t="s">
        <v>8025</v>
      </c>
      <c r="Q2294" s="89" t="s">
        <v>7099</v>
      </c>
      <c r="R2294" s="89" t="s">
        <v>203</v>
      </c>
      <c r="S2294" s="30">
        <v>0</v>
      </c>
      <c r="T2294" s="233">
        <v>0</v>
      </c>
      <c r="U2294" s="30">
        <v>0</v>
      </c>
      <c r="V2294" s="233">
        <v>0</v>
      </c>
      <c r="W2294" s="30">
        <v>0</v>
      </c>
      <c r="X2294" s="30">
        <v>0</v>
      </c>
      <c r="Y2294" s="30">
        <v>4</v>
      </c>
      <c r="Z2294" s="233">
        <v>1</v>
      </c>
      <c r="AA2294" s="30">
        <v>0</v>
      </c>
      <c r="AB2294" s="30">
        <v>0</v>
      </c>
      <c r="AC2294" s="30">
        <v>0</v>
      </c>
      <c r="AD2294" s="30">
        <v>5</v>
      </c>
      <c r="AE2294" s="89" t="s">
        <v>394</v>
      </c>
      <c r="AF2294" s="89"/>
      <c r="AG2294" s="89" t="s">
        <v>133</v>
      </c>
      <c r="AH2294" s="72">
        <v>42705</v>
      </c>
      <c r="AI2294" s="30">
        <v>2</v>
      </c>
      <c r="AJ2294" s="89" t="s">
        <v>12890</v>
      </c>
      <c r="AK2294" s="89" t="s">
        <v>68</v>
      </c>
      <c r="AL2294" s="91">
        <v>42724</v>
      </c>
      <c r="AM2294" s="91"/>
      <c r="AN2294" s="91"/>
      <c r="AO2294" s="91"/>
      <c r="AP2294" s="73" t="e">
        <f>MID(VLOOKUP(K2294,#REF!,2,FALSE),1,2)</f>
        <v>#REF!</v>
      </c>
      <c r="AQ2294" s="89">
        <f>DATE(2016,10,19)</f>
        <v>42662</v>
      </c>
      <c r="AR2294" s="82">
        <f t="shared" si="159"/>
        <v>19</v>
      </c>
      <c r="AS2294" s="83">
        <f t="shared" si="160"/>
        <v>10</v>
      </c>
      <c r="AT2294" s="84">
        <f t="shared" si="161"/>
        <v>2016</v>
      </c>
      <c r="AU2294" s="88">
        <f>DATE(2016,10,21)</f>
        <v>42664</v>
      </c>
      <c r="AV2294" s="88">
        <f>DATE(2016,10,21)</f>
        <v>42664</v>
      </c>
      <c r="AW2294" s="87">
        <f t="shared" si="166"/>
        <v>0</v>
      </c>
      <c r="AX2294" s="88">
        <f>DATE(2016,10,21)</f>
        <v>42664</v>
      </c>
      <c r="AY2294" s="83">
        <f>MONTH(AX2294)</f>
        <v>10</v>
      </c>
      <c r="AZ2294" s="84">
        <f>YEAR(AX2294)</f>
        <v>2016</v>
      </c>
      <c r="BA2294" s="88">
        <f>DATE(2016,10,19)</f>
        <v>42662</v>
      </c>
      <c r="BB2294" s="86"/>
    </row>
    <row r="2295" spans="1:54" ht="36.75" customHeight="1">
      <c r="A2295" s="30"/>
      <c r="B2295" s="30" t="s">
        <v>55</v>
      </c>
      <c r="C2295" s="69" t="str">
        <f t="shared" si="163"/>
        <v>Closed</v>
      </c>
      <c r="D2295" s="27" t="s">
        <v>12891</v>
      </c>
      <c r="E2295" s="29" t="s">
        <v>12892</v>
      </c>
      <c r="F2295" s="30" t="s">
        <v>1572</v>
      </c>
      <c r="G2295" s="89">
        <f>DATE(2016,10,19)</f>
        <v>42662</v>
      </c>
      <c r="H2295" s="90">
        <v>1.9340277777777777</v>
      </c>
      <c r="I2295" s="30" t="s">
        <v>73</v>
      </c>
      <c r="J2295" s="89" t="s">
        <v>12893</v>
      </c>
      <c r="K2295" s="30" t="s">
        <v>1574</v>
      </c>
      <c r="L2295" s="30" t="s">
        <v>12894</v>
      </c>
      <c r="M2295" s="30" t="s">
        <v>63</v>
      </c>
      <c r="N2295" s="30" t="s">
        <v>99</v>
      </c>
      <c r="O2295" s="30" t="s">
        <v>77</v>
      </c>
      <c r="P2295" s="89" t="s">
        <v>78</v>
      </c>
      <c r="Q2295" s="89" t="s">
        <v>6093</v>
      </c>
      <c r="R2295" s="89" t="s">
        <v>6434</v>
      </c>
      <c r="S2295" s="30">
        <v>0</v>
      </c>
      <c r="T2295" s="233">
        <v>0</v>
      </c>
      <c r="U2295" s="30">
        <v>0</v>
      </c>
      <c r="V2295" s="233">
        <v>0</v>
      </c>
      <c r="W2295" s="30">
        <v>0</v>
      </c>
      <c r="X2295" s="30">
        <v>0</v>
      </c>
      <c r="Y2295" s="30">
        <v>0</v>
      </c>
      <c r="Z2295" s="233">
        <v>0</v>
      </c>
      <c r="AA2295" s="30">
        <v>0</v>
      </c>
      <c r="AB2295" s="30">
        <v>0</v>
      </c>
      <c r="AC2295" s="30">
        <v>0</v>
      </c>
      <c r="AD2295" s="30">
        <v>0</v>
      </c>
      <c r="AE2295" s="89" t="s">
        <v>92</v>
      </c>
      <c r="AF2295" s="89"/>
      <c r="AG2295" s="89" t="s">
        <v>133</v>
      </c>
      <c r="AH2295" s="72">
        <v>42664</v>
      </c>
      <c r="AI2295" s="30">
        <v>1</v>
      </c>
      <c r="AJ2295" s="89" t="s">
        <v>12895</v>
      </c>
      <c r="AK2295" s="89" t="s">
        <v>12896</v>
      </c>
      <c r="AL2295" s="91">
        <v>42664</v>
      </c>
      <c r="AM2295" s="91"/>
      <c r="AN2295" s="91"/>
      <c r="AO2295" s="91"/>
      <c r="AP2295" s="73" t="e">
        <f>MID(VLOOKUP(K2295,#REF!,2,FALSE),1,2)</f>
        <v>#REF!</v>
      </c>
      <c r="AQ2295" s="89">
        <f>DATE(2016,10,20)</f>
        <v>42663</v>
      </c>
      <c r="AR2295" s="82">
        <f t="shared" si="159"/>
        <v>20</v>
      </c>
      <c r="AS2295" s="83">
        <f t="shared" si="160"/>
        <v>10</v>
      </c>
      <c r="AT2295" s="84">
        <f t="shared" si="161"/>
        <v>2016</v>
      </c>
      <c r="AU2295" s="88">
        <f>DATE(2018,4,17)</f>
        <v>43207</v>
      </c>
      <c r="AV2295" s="88">
        <f>DATE(2016,10,20)</f>
        <v>42663</v>
      </c>
      <c r="AW2295" s="87">
        <f t="shared" si="166"/>
        <v>544</v>
      </c>
      <c r="AX2295" s="86"/>
      <c r="AY2295" s="83"/>
      <c r="AZ2295" s="84"/>
      <c r="BA2295" s="86"/>
      <c r="BB2295" s="86"/>
    </row>
    <row r="2296" spans="1:54" ht="36.75" customHeight="1">
      <c r="A2296" s="30"/>
      <c r="B2296" s="30" t="s">
        <v>55</v>
      </c>
      <c r="C2296" s="69" t="str">
        <f t="shared" si="163"/>
        <v>Closed</v>
      </c>
      <c r="D2296" s="27" t="s">
        <v>12897</v>
      </c>
      <c r="E2296" s="29" t="s">
        <v>12898</v>
      </c>
      <c r="F2296" s="30" t="s">
        <v>451</v>
      </c>
      <c r="G2296" s="89">
        <f>DATE(2016,10,20)</f>
        <v>42663</v>
      </c>
      <c r="H2296" s="90">
        <v>1.3770833333333334</v>
      </c>
      <c r="I2296" s="30" t="s">
        <v>125</v>
      </c>
      <c r="J2296" s="89" t="s">
        <v>12899</v>
      </c>
      <c r="K2296" s="30" t="s">
        <v>453</v>
      </c>
      <c r="L2296" s="30" t="s">
        <v>12900</v>
      </c>
      <c r="M2296" s="30" t="s">
        <v>63</v>
      </c>
      <c r="N2296" s="30" t="s">
        <v>142</v>
      </c>
      <c r="O2296" s="30" t="s">
        <v>77</v>
      </c>
      <c r="P2296" s="89" t="s">
        <v>65</v>
      </c>
      <c r="Q2296" s="89" t="s">
        <v>571</v>
      </c>
      <c r="R2296" s="89" t="s">
        <v>572</v>
      </c>
      <c r="S2296" s="30">
        <v>0</v>
      </c>
      <c r="T2296" s="233">
        <v>0</v>
      </c>
      <c r="U2296" s="30">
        <v>0</v>
      </c>
      <c r="V2296" s="233">
        <v>0</v>
      </c>
      <c r="W2296" s="30">
        <v>0</v>
      </c>
      <c r="X2296" s="30">
        <v>0</v>
      </c>
      <c r="Y2296" s="30">
        <v>0</v>
      </c>
      <c r="Z2296" s="233">
        <v>0</v>
      </c>
      <c r="AA2296" s="30">
        <v>0</v>
      </c>
      <c r="AB2296" s="30">
        <v>0</v>
      </c>
      <c r="AC2296" s="30">
        <v>0</v>
      </c>
      <c r="AD2296" s="30">
        <v>0</v>
      </c>
      <c r="AE2296" s="89" t="s">
        <v>145</v>
      </c>
      <c r="AF2296" s="89"/>
      <c r="AG2296" s="89" t="s">
        <v>82</v>
      </c>
      <c r="AH2296" s="72">
        <v>42663</v>
      </c>
      <c r="AI2296" s="30">
        <v>0</v>
      </c>
      <c r="AJ2296" s="89" t="s">
        <v>12901</v>
      </c>
      <c r="AK2296" s="89" t="s">
        <v>68</v>
      </c>
      <c r="AL2296" s="91">
        <v>43207</v>
      </c>
      <c r="AM2296" s="91"/>
      <c r="AN2296" s="91"/>
      <c r="AO2296" s="91"/>
      <c r="AP2296" s="73" t="e">
        <f>MID(VLOOKUP(K2296,#REF!,2,FALSE),1,2)</f>
        <v>#REF!</v>
      </c>
      <c r="AQ2296" s="89">
        <f>DATE(2016,10,21)</f>
        <v>42664</v>
      </c>
      <c r="AR2296" s="82">
        <f t="shared" ref="AR2296" si="167">DAY(AQ2296)</f>
        <v>21</v>
      </c>
      <c r="AS2296" s="83">
        <f t="shared" si="160"/>
        <v>10</v>
      </c>
      <c r="AT2296" s="84">
        <f t="shared" si="161"/>
        <v>2016</v>
      </c>
      <c r="AU2296" s="88">
        <f>DATE(2016,11,4)</f>
        <v>42678</v>
      </c>
      <c r="AV2296" s="88">
        <f>DATE(2016,11,2)</f>
        <v>42676</v>
      </c>
      <c r="AW2296" s="87">
        <f t="shared" si="166"/>
        <v>2</v>
      </c>
      <c r="AX2296" s="86"/>
      <c r="AY2296" s="83"/>
      <c r="AZ2296" s="84"/>
      <c r="BA2296" s="86"/>
      <c r="BB2296" s="86"/>
    </row>
    <row r="2297" spans="1:54" ht="36.75" customHeight="1">
      <c r="A2297" s="30"/>
      <c r="B2297" s="30" t="s">
        <v>55</v>
      </c>
      <c r="C2297" s="69" t="str">
        <f t="shared" si="163"/>
        <v>Closed</v>
      </c>
      <c r="D2297" s="27" t="s">
        <v>12902</v>
      </c>
      <c r="E2297" s="29" t="s">
        <v>12903</v>
      </c>
      <c r="F2297" s="30" t="s">
        <v>6455</v>
      </c>
      <c r="G2297" s="89">
        <f>DATE(2016,10,21)</f>
        <v>42664</v>
      </c>
      <c r="H2297" s="90">
        <v>1.3854166666666667</v>
      </c>
      <c r="I2297" s="30" t="s">
        <v>116</v>
      </c>
      <c r="J2297" s="89" t="s">
        <v>12904</v>
      </c>
      <c r="K2297" s="30" t="s">
        <v>584</v>
      </c>
      <c r="L2297" s="30" t="s">
        <v>12905</v>
      </c>
      <c r="M2297" s="30" t="s">
        <v>63</v>
      </c>
      <c r="N2297" s="30" t="s">
        <v>142</v>
      </c>
      <c r="O2297" s="30" t="s">
        <v>64</v>
      </c>
      <c r="P2297" s="89" t="s">
        <v>165</v>
      </c>
      <c r="Q2297" s="89" t="s">
        <v>10962</v>
      </c>
      <c r="R2297" s="89" t="s">
        <v>587</v>
      </c>
      <c r="S2297" s="30">
        <v>0</v>
      </c>
      <c r="T2297" s="233">
        <v>0</v>
      </c>
      <c r="U2297" s="30">
        <v>1</v>
      </c>
      <c r="V2297" s="233">
        <v>0</v>
      </c>
      <c r="W2297" s="30">
        <v>0</v>
      </c>
      <c r="X2297" s="30">
        <v>1</v>
      </c>
      <c r="Y2297" s="30">
        <v>0</v>
      </c>
      <c r="Z2297" s="233">
        <v>0</v>
      </c>
      <c r="AA2297" s="30">
        <v>0</v>
      </c>
      <c r="AB2297" s="30">
        <v>0</v>
      </c>
      <c r="AC2297" s="30">
        <v>0</v>
      </c>
      <c r="AD2297" s="30">
        <v>0</v>
      </c>
      <c r="AE2297" s="89" t="s">
        <v>394</v>
      </c>
      <c r="AF2297" s="89" t="s">
        <v>12906</v>
      </c>
      <c r="AG2297" s="89" t="s">
        <v>6459</v>
      </c>
      <c r="AH2297" s="72">
        <v>42676</v>
      </c>
      <c r="AI2297" s="30">
        <v>0</v>
      </c>
      <c r="AJ2297" s="89" t="s">
        <v>12907</v>
      </c>
      <c r="AK2297" s="89" t="s">
        <v>10569</v>
      </c>
      <c r="AL2297" s="91">
        <v>42678</v>
      </c>
      <c r="AM2297" s="91">
        <v>44978</v>
      </c>
      <c r="AN2297" s="91">
        <v>45113</v>
      </c>
      <c r="AO2297" s="91">
        <v>45113</v>
      </c>
      <c r="AP2297" s="111"/>
      <c r="AQ2297" s="112"/>
      <c r="AR2297" s="113"/>
      <c r="AS2297" s="114"/>
      <c r="AT2297" s="115"/>
      <c r="AU2297" s="86"/>
      <c r="AV2297" s="86"/>
      <c r="AW2297" s="86"/>
      <c r="AX2297" s="106"/>
      <c r="AY2297" s="116"/>
      <c r="AZ2297" s="116"/>
      <c r="BA2297" s="106"/>
      <c r="BB2297" s="106"/>
    </row>
    <row r="2298" spans="1:54" ht="36.75" customHeight="1">
      <c r="A2298" s="30" t="s">
        <v>12471</v>
      </c>
      <c r="B2298" s="30" t="s">
        <v>55</v>
      </c>
      <c r="C2298" s="69" t="str">
        <f t="shared" si="163"/>
        <v>Closed</v>
      </c>
      <c r="D2298" s="36" t="s">
        <v>12908</v>
      </c>
      <c r="E2298" s="28" t="s">
        <v>12909</v>
      </c>
      <c r="F2298" s="5" t="s">
        <v>12910</v>
      </c>
      <c r="G2298" s="89">
        <f>DATE(2016,10,26)</f>
        <v>42669</v>
      </c>
      <c r="H2298" s="103">
        <v>4.9999999999999996E-2</v>
      </c>
      <c r="I2298" s="5" t="s">
        <v>73</v>
      </c>
      <c r="J2298" s="28"/>
      <c r="K2298" s="5" t="s">
        <v>453</v>
      </c>
      <c r="L2298" s="5" t="s">
        <v>12911</v>
      </c>
      <c r="M2298" s="5"/>
      <c r="N2298" s="5"/>
      <c r="O2298" s="5" t="s">
        <v>77</v>
      </c>
      <c r="P2298" s="28" t="s">
        <v>86</v>
      </c>
      <c r="Q2298" s="28" t="s">
        <v>12912</v>
      </c>
      <c r="R2298" s="28" t="s">
        <v>12913</v>
      </c>
      <c r="S2298" s="5">
        <v>0</v>
      </c>
      <c r="T2298" s="28">
        <v>0</v>
      </c>
      <c r="U2298" s="5">
        <v>0</v>
      </c>
      <c r="V2298" s="28">
        <v>0</v>
      </c>
      <c r="W2298" s="5">
        <v>0</v>
      </c>
      <c r="X2298" s="5">
        <v>0</v>
      </c>
      <c r="Y2298" s="5">
        <v>0</v>
      </c>
      <c r="Z2298" s="28">
        <v>0</v>
      </c>
      <c r="AA2298" s="5">
        <v>0</v>
      </c>
      <c r="AB2298" s="5">
        <v>0</v>
      </c>
      <c r="AC2298" s="5">
        <v>0</v>
      </c>
      <c r="AD2298" s="5">
        <v>0</v>
      </c>
      <c r="AE2298" s="28"/>
      <c r="AF2298" s="28"/>
      <c r="AG2298" s="28"/>
      <c r="AH2298" s="72" t="s">
        <v>68</v>
      </c>
      <c r="AI2298" s="5">
        <v>1</v>
      </c>
      <c r="AJ2298" s="28"/>
      <c r="AK2298" s="28"/>
      <c r="AL2298" s="117">
        <v>44480</v>
      </c>
      <c r="AM2298" s="118"/>
      <c r="AN2298" s="119"/>
      <c r="AO2298" s="119"/>
      <c r="AP2298" s="73" t="e">
        <f>MID(VLOOKUP(K2298,#REF!,2,FALSE),1,2)</f>
        <v>#REF!</v>
      </c>
      <c r="AQ2298" s="89">
        <f>DATE(2016,10,27)</f>
        <v>42670</v>
      </c>
      <c r="AR2298" s="82">
        <f t="shared" ref="AR2298:AR2329" si="168">DAY(AQ2298)</f>
        <v>27</v>
      </c>
      <c r="AS2298" s="83">
        <f t="shared" ref="AS2298:AS2329" si="169">MONTH(AQ2298)</f>
        <v>10</v>
      </c>
      <c r="AT2298" s="84">
        <f t="shared" ref="AT2298:AT2329" si="170">YEAR(AQ2298)</f>
        <v>2016</v>
      </c>
      <c r="AU2298" s="88">
        <f>DATE(2016,11,8)</f>
        <v>42682</v>
      </c>
      <c r="AV2298" s="88">
        <f>DATE(2016,11,3)</f>
        <v>42677</v>
      </c>
      <c r="AW2298" s="87">
        <f t="shared" ref="AW2298:AW2317" si="171">AU2298-AV2298</f>
        <v>5</v>
      </c>
      <c r="AX2298" s="88">
        <f>DATE(2016,11,4)</f>
        <v>42678</v>
      </c>
      <c r="AY2298" s="83">
        <f>MONTH(AX2298)</f>
        <v>11</v>
      </c>
      <c r="AZ2298" s="84">
        <f>YEAR(AX2298)</f>
        <v>2016</v>
      </c>
      <c r="BA2298" s="88">
        <f>DATE(2016,11,3)</f>
        <v>42677</v>
      </c>
      <c r="BB2298" s="86"/>
    </row>
    <row r="2299" spans="1:54" ht="36.75" customHeight="1">
      <c r="A2299" s="30"/>
      <c r="B2299" s="30" t="s">
        <v>55</v>
      </c>
      <c r="C2299" s="69" t="str">
        <f t="shared" si="163"/>
        <v>Closed</v>
      </c>
      <c r="D2299" s="27" t="s">
        <v>12914</v>
      </c>
      <c r="E2299" s="29" t="s">
        <v>12915</v>
      </c>
      <c r="F2299" s="30" t="s">
        <v>124</v>
      </c>
      <c r="G2299" s="89">
        <f>DATE(2016,10,27)</f>
        <v>42670</v>
      </c>
      <c r="H2299" s="90">
        <v>1.65625</v>
      </c>
      <c r="I2299" s="30" t="s">
        <v>73</v>
      </c>
      <c r="J2299" s="89" t="s">
        <v>12916</v>
      </c>
      <c r="K2299" s="30" t="s">
        <v>127</v>
      </c>
      <c r="L2299" s="30" t="s">
        <v>12917</v>
      </c>
      <c r="M2299" s="30" t="s">
        <v>63</v>
      </c>
      <c r="N2299" s="30" t="s">
        <v>99</v>
      </c>
      <c r="O2299" s="30" t="s">
        <v>64</v>
      </c>
      <c r="P2299" s="89" t="s">
        <v>301</v>
      </c>
      <c r="Q2299" s="89" t="s">
        <v>6242</v>
      </c>
      <c r="R2299" s="89" t="s">
        <v>167</v>
      </c>
      <c r="S2299" s="30">
        <v>0</v>
      </c>
      <c r="T2299" s="233">
        <v>0</v>
      </c>
      <c r="U2299" s="30">
        <v>0</v>
      </c>
      <c r="V2299" s="233">
        <v>0</v>
      </c>
      <c r="W2299" s="30">
        <v>0</v>
      </c>
      <c r="X2299" s="30">
        <v>0</v>
      </c>
      <c r="Y2299" s="30">
        <v>0</v>
      </c>
      <c r="Z2299" s="233">
        <v>0</v>
      </c>
      <c r="AA2299" s="30">
        <v>0</v>
      </c>
      <c r="AB2299" s="30">
        <v>0</v>
      </c>
      <c r="AC2299" s="30">
        <v>0</v>
      </c>
      <c r="AD2299" s="30">
        <v>0</v>
      </c>
      <c r="AE2299" s="89" t="s">
        <v>394</v>
      </c>
      <c r="AF2299" s="89"/>
      <c r="AG2299" s="89" t="s">
        <v>82</v>
      </c>
      <c r="AH2299" s="72">
        <v>42677</v>
      </c>
      <c r="AI2299" s="30">
        <v>1</v>
      </c>
      <c r="AJ2299" s="89" t="s">
        <v>12918</v>
      </c>
      <c r="AK2299" s="89" t="s">
        <v>12919</v>
      </c>
      <c r="AL2299" s="91">
        <v>42682</v>
      </c>
      <c r="AM2299" s="91"/>
      <c r="AN2299" s="91"/>
      <c r="AO2299" s="91"/>
      <c r="AP2299" s="73" t="e">
        <f>MID(VLOOKUP(K2299,#REF!,2,FALSE),1,2)</f>
        <v>#REF!</v>
      </c>
      <c r="AQ2299" s="89">
        <f>DATE(2016,10,28)</f>
        <v>42671</v>
      </c>
      <c r="AR2299" s="82">
        <f t="shared" si="168"/>
        <v>28</v>
      </c>
      <c r="AS2299" s="83">
        <f t="shared" si="169"/>
        <v>10</v>
      </c>
      <c r="AT2299" s="84">
        <f t="shared" si="170"/>
        <v>2016</v>
      </c>
      <c r="AU2299" s="88">
        <f>DATE(2016,11,4)</f>
        <v>42678</v>
      </c>
      <c r="AV2299" s="88">
        <f>DATE(2016,11,2)</f>
        <v>42676</v>
      </c>
      <c r="AW2299" s="87">
        <f t="shared" si="171"/>
        <v>2</v>
      </c>
      <c r="AX2299" s="86"/>
      <c r="AY2299" s="83"/>
      <c r="AZ2299" s="84"/>
      <c r="BA2299" s="86"/>
      <c r="BB2299" s="86"/>
    </row>
    <row r="2300" spans="1:54" ht="36.75" customHeight="1">
      <c r="A2300" s="30"/>
      <c r="B2300" s="30" t="s">
        <v>55</v>
      </c>
      <c r="C2300" s="69" t="str">
        <f t="shared" si="163"/>
        <v>Closed</v>
      </c>
      <c r="D2300" s="27" t="s">
        <v>12920</v>
      </c>
      <c r="E2300" s="29" t="s">
        <v>12921</v>
      </c>
      <c r="F2300" s="30" t="s">
        <v>582</v>
      </c>
      <c r="G2300" s="89">
        <f>DATE(2016,10,28)</f>
        <v>42671</v>
      </c>
      <c r="H2300" s="90">
        <v>1.2513888888888889</v>
      </c>
      <c r="I2300" s="30" t="s">
        <v>198</v>
      </c>
      <c r="J2300" s="89" t="s">
        <v>12922</v>
      </c>
      <c r="K2300" s="30" t="s">
        <v>584</v>
      </c>
      <c r="L2300" s="30" t="s">
        <v>12923</v>
      </c>
      <c r="M2300" s="30" t="s">
        <v>63</v>
      </c>
      <c r="N2300" s="30" t="s">
        <v>89</v>
      </c>
      <c r="O2300" s="30" t="s">
        <v>77</v>
      </c>
      <c r="P2300" s="89" t="s">
        <v>78</v>
      </c>
      <c r="Q2300" s="89" t="s">
        <v>586</v>
      </c>
      <c r="R2300" s="89" t="s">
        <v>587</v>
      </c>
      <c r="S2300" s="30">
        <v>0</v>
      </c>
      <c r="T2300" s="233">
        <v>0</v>
      </c>
      <c r="U2300" s="30">
        <v>0</v>
      </c>
      <c r="V2300" s="233">
        <v>0</v>
      </c>
      <c r="W2300" s="30">
        <v>0</v>
      </c>
      <c r="X2300" s="30">
        <v>0</v>
      </c>
      <c r="Y2300" s="30">
        <v>0</v>
      </c>
      <c r="Z2300" s="233">
        <v>0</v>
      </c>
      <c r="AA2300" s="30">
        <v>0</v>
      </c>
      <c r="AB2300" s="30">
        <v>0</v>
      </c>
      <c r="AC2300" s="30">
        <v>0</v>
      </c>
      <c r="AD2300" s="30">
        <v>0</v>
      </c>
      <c r="AE2300" s="89" t="s">
        <v>394</v>
      </c>
      <c r="AF2300" s="89"/>
      <c r="AG2300" s="89" t="s">
        <v>133</v>
      </c>
      <c r="AH2300" s="72">
        <v>42676</v>
      </c>
      <c r="AI2300" s="30">
        <v>0</v>
      </c>
      <c r="AJ2300" s="89" t="s">
        <v>12924</v>
      </c>
      <c r="AK2300" s="89" t="s">
        <v>1233</v>
      </c>
      <c r="AL2300" s="91">
        <v>42678</v>
      </c>
      <c r="AM2300" s="91"/>
      <c r="AN2300" s="91"/>
      <c r="AO2300" s="91"/>
      <c r="AP2300" s="73" t="e">
        <f>MID(VLOOKUP(K2300,#REF!,2,FALSE),1,2)</f>
        <v>#REF!</v>
      </c>
      <c r="AQ2300" s="89">
        <f>DATE(2016,11,3)</f>
        <v>42677</v>
      </c>
      <c r="AR2300" s="82">
        <f t="shared" si="168"/>
        <v>3</v>
      </c>
      <c r="AS2300" s="83">
        <f t="shared" si="169"/>
        <v>11</v>
      </c>
      <c r="AT2300" s="84">
        <f t="shared" si="170"/>
        <v>2016</v>
      </c>
      <c r="AU2300" s="88">
        <f>DATE(2017,10,3)</f>
        <v>43011</v>
      </c>
      <c r="AV2300" s="88">
        <f>DATE(2016,11,3)</f>
        <v>42677</v>
      </c>
      <c r="AW2300" s="87">
        <f t="shared" si="171"/>
        <v>334</v>
      </c>
      <c r="AX2300" s="88">
        <f>DATE(2016,11,3)</f>
        <v>42677</v>
      </c>
      <c r="AY2300" s="83">
        <f>MONTH(AX2300)</f>
        <v>11</v>
      </c>
      <c r="AZ2300" s="84">
        <f>YEAR(AX2300)</f>
        <v>2016</v>
      </c>
      <c r="BA2300" s="88">
        <f>DATE(2016,11,3)</f>
        <v>42677</v>
      </c>
      <c r="BB2300" s="86"/>
    </row>
    <row r="2301" spans="1:54" ht="36.75" customHeight="1">
      <c r="A2301" s="30"/>
      <c r="B2301" s="30" t="s">
        <v>55</v>
      </c>
      <c r="C2301" s="69" t="str">
        <f t="shared" si="163"/>
        <v>Closed</v>
      </c>
      <c r="D2301" s="27" t="s">
        <v>12925</v>
      </c>
      <c r="E2301" s="29" t="s">
        <v>12926</v>
      </c>
      <c r="F2301" s="30" t="s">
        <v>835</v>
      </c>
      <c r="G2301" s="89">
        <f>DATE(2016,11,3)</f>
        <v>42677</v>
      </c>
      <c r="H2301" s="90">
        <v>1.9791666666666665</v>
      </c>
      <c r="I2301" s="30" t="s">
        <v>73</v>
      </c>
      <c r="J2301" s="89" t="s">
        <v>12927</v>
      </c>
      <c r="K2301" s="30" t="s">
        <v>837</v>
      </c>
      <c r="L2301" s="30" t="s">
        <v>12928</v>
      </c>
      <c r="M2301" s="30" t="s">
        <v>63</v>
      </c>
      <c r="N2301" s="30" t="s">
        <v>99</v>
      </c>
      <c r="O2301" s="30" t="s">
        <v>77</v>
      </c>
      <c r="P2301" s="89" t="s">
        <v>78</v>
      </c>
      <c r="Q2301" s="89" t="s">
        <v>12929</v>
      </c>
      <c r="R2301" s="89" t="s">
        <v>840</v>
      </c>
      <c r="S2301" s="30">
        <v>0</v>
      </c>
      <c r="T2301" s="233">
        <v>0</v>
      </c>
      <c r="U2301" s="30">
        <v>0</v>
      </c>
      <c r="V2301" s="233">
        <v>0</v>
      </c>
      <c r="W2301" s="30">
        <v>0</v>
      </c>
      <c r="X2301" s="30">
        <v>0</v>
      </c>
      <c r="Y2301" s="30">
        <v>0</v>
      </c>
      <c r="Z2301" s="233">
        <v>0</v>
      </c>
      <c r="AA2301" s="30">
        <v>0</v>
      </c>
      <c r="AB2301" s="30">
        <v>0</v>
      </c>
      <c r="AC2301" s="30">
        <v>0</v>
      </c>
      <c r="AD2301" s="30">
        <v>0</v>
      </c>
      <c r="AE2301" s="89" t="s">
        <v>92</v>
      </c>
      <c r="AF2301" s="89"/>
      <c r="AG2301" s="89" t="s">
        <v>352</v>
      </c>
      <c r="AH2301" s="72">
        <v>42677</v>
      </c>
      <c r="AI2301" s="30">
        <v>0</v>
      </c>
      <c r="AJ2301" s="89" t="s">
        <v>12930</v>
      </c>
      <c r="AK2301" s="89" t="s">
        <v>68</v>
      </c>
      <c r="AL2301" s="91">
        <v>43011</v>
      </c>
      <c r="AM2301" s="91"/>
      <c r="AN2301" s="91"/>
      <c r="AO2301" s="91"/>
      <c r="AP2301" s="73" t="e">
        <f>MID(VLOOKUP(K2301,#REF!,2,FALSE),1,2)</f>
        <v>#REF!</v>
      </c>
      <c r="AQ2301" s="89">
        <f>DATE(2016,11,4)</f>
        <v>42678</v>
      </c>
      <c r="AR2301" s="82">
        <f t="shared" si="168"/>
        <v>4</v>
      </c>
      <c r="AS2301" s="83">
        <f t="shared" si="169"/>
        <v>11</v>
      </c>
      <c r="AT2301" s="84">
        <f t="shared" si="170"/>
        <v>2016</v>
      </c>
      <c r="AU2301" s="88">
        <f>DATE(2016,12,2)</f>
        <v>42706</v>
      </c>
      <c r="AV2301" s="88">
        <f>DATE(2016,11,29)</f>
        <v>42703</v>
      </c>
      <c r="AW2301" s="87">
        <f t="shared" si="171"/>
        <v>3</v>
      </c>
      <c r="AX2301" s="86"/>
      <c r="AY2301" s="83"/>
      <c r="AZ2301" s="84"/>
      <c r="BA2301" s="86"/>
      <c r="BB2301" s="86"/>
    </row>
    <row r="2302" spans="1:54" ht="36.75" customHeight="1">
      <c r="A2302" s="30"/>
      <c r="B2302" s="30" t="s">
        <v>55</v>
      </c>
      <c r="C2302" s="69" t="str">
        <f t="shared" si="163"/>
        <v>Closed</v>
      </c>
      <c r="D2302" s="27" t="s">
        <v>12931</v>
      </c>
      <c r="E2302" s="29" t="s">
        <v>12932</v>
      </c>
      <c r="F2302" s="30" t="s">
        <v>638</v>
      </c>
      <c r="G2302" s="89">
        <f>DATE(2016,11,4)</f>
        <v>42678</v>
      </c>
      <c r="H2302" s="90">
        <v>1.9027777777777777</v>
      </c>
      <c r="I2302" s="30" t="s">
        <v>198</v>
      </c>
      <c r="J2302" s="89" t="s">
        <v>12933</v>
      </c>
      <c r="K2302" s="30" t="s">
        <v>640</v>
      </c>
      <c r="L2302" s="30" t="s">
        <v>12934</v>
      </c>
      <c r="M2302" s="30" t="s">
        <v>63</v>
      </c>
      <c r="N2302" s="30" t="s">
        <v>142</v>
      </c>
      <c r="O2302" s="30" t="s">
        <v>77</v>
      </c>
      <c r="P2302" s="89" t="s">
        <v>6902</v>
      </c>
      <c r="Q2302" s="89" t="s">
        <v>642</v>
      </c>
      <c r="R2302" s="89" t="s">
        <v>643</v>
      </c>
      <c r="S2302" s="30">
        <v>0</v>
      </c>
      <c r="T2302" s="233">
        <v>0</v>
      </c>
      <c r="U2302" s="30">
        <v>0</v>
      </c>
      <c r="V2302" s="233">
        <v>0</v>
      </c>
      <c r="W2302" s="30">
        <v>0</v>
      </c>
      <c r="X2302" s="30">
        <v>0</v>
      </c>
      <c r="Y2302" s="30">
        <v>0</v>
      </c>
      <c r="Z2302" s="233">
        <v>0</v>
      </c>
      <c r="AA2302" s="30">
        <v>0</v>
      </c>
      <c r="AB2302" s="30">
        <v>0</v>
      </c>
      <c r="AC2302" s="30">
        <v>0</v>
      </c>
      <c r="AD2302" s="30">
        <v>0</v>
      </c>
      <c r="AE2302" s="89" t="s">
        <v>92</v>
      </c>
      <c r="AF2302" s="89"/>
      <c r="AG2302" s="89" t="s">
        <v>133</v>
      </c>
      <c r="AH2302" s="72">
        <v>42703</v>
      </c>
      <c r="AI2302" s="30">
        <v>4</v>
      </c>
      <c r="AJ2302" s="89" t="s">
        <v>12935</v>
      </c>
      <c r="AK2302" s="89" t="s">
        <v>12936</v>
      </c>
      <c r="AL2302" s="91">
        <v>42706</v>
      </c>
      <c r="AM2302" s="91"/>
      <c r="AN2302" s="91"/>
      <c r="AO2302" s="91"/>
      <c r="AP2302" s="73" t="e">
        <f>MID(VLOOKUP(K2302,#REF!,2,FALSE),1,2)</f>
        <v>#REF!</v>
      </c>
      <c r="AQ2302" s="89">
        <f>DATE(2016,11,4)</f>
        <v>42678</v>
      </c>
      <c r="AR2302" s="82">
        <f t="shared" si="168"/>
        <v>4</v>
      </c>
      <c r="AS2302" s="83">
        <f t="shared" si="169"/>
        <v>11</v>
      </c>
      <c r="AT2302" s="84">
        <f t="shared" si="170"/>
        <v>2016</v>
      </c>
      <c r="AU2302" s="88">
        <f>DATE(2016,12,30)</f>
        <v>42734</v>
      </c>
      <c r="AV2302" s="88">
        <f>DATE(2016,12,20)</f>
        <v>42724</v>
      </c>
      <c r="AW2302" s="87">
        <f t="shared" si="171"/>
        <v>10</v>
      </c>
      <c r="AX2302" s="86"/>
      <c r="AY2302" s="83"/>
      <c r="AZ2302" s="84"/>
      <c r="BA2302" s="86"/>
      <c r="BB2302" s="86"/>
    </row>
    <row r="2303" spans="1:54" ht="36.75" customHeight="1">
      <c r="A2303" s="30"/>
      <c r="B2303" s="30" t="s">
        <v>55</v>
      </c>
      <c r="C2303" s="69" t="str">
        <f t="shared" si="163"/>
        <v>Closed</v>
      </c>
      <c r="D2303" s="27" t="s">
        <v>12937</v>
      </c>
      <c r="E2303" s="29" t="s">
        <v>12938</v>
      </c>
      <c r="F2303" s="30" t="s">
        <v>638</v>
      </c>
      <c r="G2303" s="89">
        <f>DATE(2016,11,4)</f>
        <v>42678</v>
      </c>
      <c r="H2303" s="90">
        <v>1.8736111111111109</v>
      </c>
      <c r="I2303" s="30" t="s">
        <v>125</v>
      </c>
      <c r="J2303" s="89" t="s">
        <v>12939</v>
      </c>
      <c r="K2303" s="30" t="s">
        <v>640</v>
      </c>
      <c r="L2303" s="30" t="s">
        <v>12940</v>
      </c>
      <c r="M2303" s="30" t="s">
        <v>63</v>
      </c>
      <c r="N2303" s="30" t="s">
        <v>99</v>
      </c>
      <c r="O2303" s="30" t="s">
        <v>77</v>
      </c>
      <c r="P2303" s="89" t="s">
        <v>6902</v>
      </c>
      <c r="Q2303" s="89" t="s">
        <v>642</v>
      </c>
      <c r="R2303" s="89" t="s">
        <v>643</v>
      </c>
      <c r="S2303" s="30">
        <v>0</v>
      </c>
      <c r="T2303" s="233">
        <v>0</v>
      </c>
      <c r="U2303" s="30">
        <v>0</v>
      </c>
      <c r="V2303" s="233">
        <v>0</v>
      </c>
      <c r="W2303" s="30">
        <v>0</v>
      </c>
      <c r="X2303" s="30">
        <v>0</v>
      </c>
      <c r="Y2303" s="30">
        <v>0</v>
      </c>
      <c r="Z2303" s="233">
        <v>0</v>
      </c>
      <c r="AA2303" s="30">
        <v>0</v>
      </c>
      <c r="AB2303" s="30">
        <v>0</v>
      </c>
      <c r="AC2303" s="30">
        <v>0</v>
      </c>
      <c r="AD2303" s="30">
        <v>0</v>
      </c>
      <c r="AE2303" s="89" t="s">
        <v>92</v>
      </c>
      <c r="AF2303" s="89"/>
      <c r="AG2303" s="89" t="s">
        <v>133</v>
      </c>
      <c r="AH2303" s="72">
        <v>42724</v>
      </c>
      <c r="AI2303" s="30">
        <v>2</v>
      </c>
      <c r="AJ2303" s="89" t="s">
        <v>12941</v>
      </c>
      <c r="AK2303" s="89" t="s">
        <v>68</v>
      </c>
      <c r="AL2303" s="91">
        <v>42734</v>
      </c>
      <c r="AM2303" s="91"/>
      <c r="AN2303" s="91"/>
      <c r="AO2303" s="91"/>
      <c r="AP2303" s="73" t="e">
        <f>MID(VLOOKUP(K2303,#REF!,2,FALSE),1,2)</f>
        <v>#REF!</v>
      </c>
      <c r="AQ2303" s="89">
        <f>DATE(2016,11,8)</f>
        <v>42682</v>
      </c>
      <c r="AR2303" s="82">
        <f t="shared" si="168"/>
        <v>8</v>
      </c>
      <c r="AS2303" s="83">
        <f t="shared" si="169"/>
        <v>11</v>
      </c>
      <c r="AT2303" s="84">
        <f t="shared" si="170"/>
        <v>2016</v>
      </c>
      <c r="AU2303" s="88">
        <f>DATE(2017,1,6)</f>
        <v>42741</v>
      </c>
      <c r="AV2303" s="88">
        <f>DATE(2016,12,1)</f>
        <v>42705</v>
      </c>
      <c r="AW2303" s="87">
        <f t="shared" si="171"/>
        <v>36</v>
      </c>
      <c r="AX2303" s="86"/>
      <c r="AY2303" s="83"/>
      <c r="AZ2303" s="84"/>
      <c r="BA2303" s="86"/>
      <c r="BB2303" s="86"/>
    </row>
    <row r="2304" spans="1:54" ht="36.75" customHeight="1">
      <c r="A2304" s="30"/>
      <c r="B2304" s="30" t="s">
        <v>55</v>
      </c>
      <c r="C2304" s="69" t="str">
        <f t="shared" si="163"/>
        <v>Closed</v>
      </c>
      <c r="D2304" s="27" t="s">
        <v>12942</v>
      </c>
      <c r="E2304" s="29" t="s">
        <v>12943</v>
      </c>
      <c r="F2304" s="30" t="s">
        <v>6455</v>
      </c>
      <c r="G2304" s="89">
        <f>DATE(2016,11,8)</f>
        <v>42682</v>
      </c>
      <c r="H2304" s="90">
        <v>1.5625</v>
      </c>
      <c r="I2304" s="30" t="s">
        <v>73</v>
      </c>
      <c r="J2304" s="89" t="s">
        <v>12944</v>
      </c>
      <c r="K2304" s="30" t="s">
        <v>584</v>
      </c>
      <c r="L2304" s="30" t="s">
        <v>12945</v>
      </c>
      <c r="M2304" s="30" t="s">
        <v>63</v>
      </c>
      <c r="N2304" s="30" t="s">
        <v>99</v>
      </c>
      <c r="O2304" s="30" t="s">
        <v>77</v>
      </c>
      <c r="P2304" s="89" t="s">
        <v>165</v>
      </c>
      <c r="Q2304" s="89" t="s">
        <v>12946</v>
      </c>
      <c r="R2304" s="89" t="s">
        <v>587</v>
      </c>
      <c r="S2304" s="30">
        <v>0</v>
      </c>
      <c r="T2304" s="233">
        <v>0</v>
      </c>
      <c r="U2304" s="30">
        <v>0</v>
      </c>
      <c r="V2304" s="233">
        <v>0</v>
      </c>
      <c r="W2304" s="30">
        <v>0</v>
      </c>
      <c r="X2304" s="30">
        <v>0</v>
      </c>
      <c r="Y2304" s="30">
        <v>0</v>
      </c>
      <c r="Z2304" s="233">
        <v>0</v>
      </c>
      <c r="AA2304" s="30">
        <v>0</v>
      </c>
      <c r="AB2304" s="30">
        <v>0</v>
      </c>
      <c r="AC2304" s="30">
        <v>0</v>
      </c>
      <c r="AD2304" s="30">
        <v>0</v>
      </c>
      <c r="AE2304" s="89" t="s">
        <v>394</v>
      </c>
      <c r="AF2304" s="89" t="s">
        <v>12947</v>
      </c>
      <c r="AG2304" s="89" t="s">
        <v>8859</v>
      </c>
      <c r="AH2304" s="72">
        <v>42705</v>
      </c>
      <c r="AI2304" s="30">
        <v>0</v>
      </c>
      <c r="AJ2304" s="89" t="s">
        <v>12948</v>
      </c>
      <c r="AK2304" s="89" t="s">
        <v>10569</v>
      </c>
      <c r="AL2304" s="91">
        <v>42741</v>
      </c>
      <c r="AM2304" s="91"/>
      <c r="AN2304" s="91">
        <v>44887</v>
      </c>
      <c r="AO2304" s="91">
        <v>44873</v>
      </c>
      <c r="AP2304" s="73" t="e">
        <f>MID(VLOOKUP(K2304,#REF!,2,FALSE),1,2)</f>
        <v>#REF!</v>
      </c>
      <c r="AQ2304" s="89">
        <f>DATE(2016,11,8)</f>
        <v>42682</v>
      </c>
      <c r="AR2304" s="82">
        <f t="shared" si="168"/>
        <v>8</v>
      </c>
      <c r="AS2304" s="83">
        <f t="shared" si="169"/>
        <v>11</v>
      </c>
      <c r="AT2304" s="84">
        <f t="shared" si="170"/>
        <v>2016</v>
      </c>
      <c r="AU2304" s="88">
        <f>DATE(2016,11,22)</f>
        <v>42696</v>
      </c>
      <c r="AV2304" s="88">
        <f>DATE(2016,11,10)</f>
        <v>42684</v>
      </c>
      <c r="AW2304" s="87">
        <f t="shared" si="171"/>
        <v>12</v>
      </c>
      <c r="AX2304" s="88">
        <f>DATE(2016,11,22)</f>
        <v>42696</v>
      </c>
      <c r="AY2304" s="83">
        <f>MONTH(AX2304)</f>
        <v>11</v>
      </c>
      <c r="AZ2304" s="84">
        <f>YEAR(AX2304)</f>
        <v>2016</v>
      </c>
      <c r="BA2304" s="88">
        <f>DATE(2016,11,10)</f>
        <v>42684</v>
      </c>
      <c r="BB2304" s="86"/>
    </row>
    <row r="2305" spans="1:54" ht="36.75" customHeight="1">
      <c r="A2305" s="30"/>
      <c r="B2305" s="30" t="s">
        <v>55</v>
      </c>
      <c r="C2305" s="69" t="str">
        <f t="shared" si="163"/>
        <v>Closed</v>
      </c>
      <c r="D2305" s="27" t="s">
        <v>12949</v>
      </c>
      <c r="E2305" s="29" t="s">
        <v>12950</v>
      </c>
      <c r="F2305" s="30" t="s">
        <v>2336</v>
      </c>
      <c r="G2305" s="89">
        <f>DATE(2016,11,8)</f>
        <v>42682</v>
      </c>
      <c r="H2305" s="90">
        <v>1.2854166666666667</v>
      </c>
      <c r="I2305" s="30" t="s">
        <v>116</v>
      </c>
      <c r="J2305" s="89" t="s">
        <v>12951</v>
      </c>
      <c r="K2305" s="30" t="s">
        <v>2338</v>
      </c>
      <c r="L2305" s="30" t="s">
        <v>12952</v>
      </c>
      <c r="M2305" s="30" t="s">
        <v>63</v>
      </c>
      <c r="N2305" s="30" t="s">
        <v>89</v>
      </c>
      <c r="O2305" s="30" t="s">
        <v>64</v>
      </c>
      <c r="P2305" s="89" t="s">
        <v>6941</v>
      </c>
      <c r="Q2305" s="89" t="s">
        <v>2945</v>
      </c>
      <c r="R2305" s="89" t="s">
        <v>2341</v>
      </c>
      <c r="S2305" s="30">
        <v>0</v>
      </c>
      <c r="T2305" s="233">
        <v>0</v>
      </c>
      <c r="U2305" s="30">
        <v>1</v>
      </c>
      <c r="V2305" s="233">
        <v>0</v>
      </c>
      <c r="W2305" s="30">
        <v>0</v>
      </c>
      <c r="X2305" s="30">
        <v>1</v>
      </c>
      <c r="Y2305" s="30">
        <v>0</v>
      </c>
      <c r="Z2305" s="233">
        <v>0</v>
      </c>
      <c r="AA2305" s="30">
        <v>0</v>
      </c>
      <c r="AB2305" s="30">
        <v>0</v>
      </c>
      <c r="AC2305" s="30">
        <v>0</v>
      </c>
      <c r="AD2305" s="30">
        <v>0</v>
      </c>
      <c r="AE2305" s="89" t="s">
        <v>92</v>
      </c>
      <c r="AF2305" s="89"/>
      <c r="AG2305" s="89" t="s">
        <v>82</v>
      </c>
      <c r="AH2305" s="72">
        <v>42684</v>
      </c>
      <c r="AI2305" s="30">
        <v>11</v>
      </c>
      <c r="AJ2305" s="89" t="s">
        <v>12953</v>
      </c>
      <c r="AK2305" s="89" t="s">
        <v>12954</v>
      </c>
      <c r="AL2305" s="91">
        <v>42696</v>
      </c>
      <c r="AM2305" s="91"/>
      <c r="AN2305" s="91"/>
      <c r="AO2305" s="91"/>
      <c r="AP2305" s="73" t="e">
        <f>MID(VLOOKUP(K2305,#REF!,2,FALSE),1,2)</f>
        <v>#REF!</v>
      </c>
      <c r="AQ2305" s="89">
        <f>DATE(2016,11,8)</f>
        <v>42682</v>
      </c>
      <c r="AR2305" s="82">
        <f t="shared" si="168"/>
        <v>8</v>
      </c>
      <c r="AS2305" s="83">
        <f t="shared" si="169"/>
        <v>11</v>
      </c>
      <c r="AT2305" s="84">
        <f t="shared" si="170"/>
        <v>2016</v>
      </c>
      <c r="AU2305" s="88">
        <f>DATE(2016,12,16)</f>
        <v>42720</v>
      </c>
      <c r="AV2305" s="88">
        <f>DATE(2016,12,5)</f>
        <v>42709</v>
      </c>
      <c r="AW2305" s="87">
        <f t="shared" si="171"/>
        <v>11</v>
      </c>
      <c r="AX2305" s="88">
        <f>DATE(2016,12,16)</f>
        <v>42720</v>
      </c>
      <c r="AY2305" s="83">
        <f>MONTH(AX2305)</f>
        <v>12</v>
      </c>
      <c r="AZ2305" s="84">
        <f>YEAR(AX2305)</f>
        <v>2016</v>
      </c>
      <c r="BA2305" s="88">
        <f>DATE(2016,11,8)</f>
        <v>42682</v>
      </c>
      <c r="BB2305" s="86"/>
    </row>
    <row r="2306" spans="1:54" ht="36.75" customHeight="1">
      <c r="A2306" s="30"/>
      <c r="B2306" s="30" t="s">
        <v>55</v>
      </c>
      <c r="C2306" s="69" t="str">
        <f t="shared" ref="C2306:C2369" si="172">IF(B2306="Notification","Open",IF(B2306="Interim Statement","In progress","Closed"))</f>
        <v>Closed</v>
      </c>
      <c r="D2306" s="27" t="s">
        <v>12955</v>
      </c>
      <c r="E2306" s="29" t="s">
        <v>12956</v>
      </c>
      <c r="F2306" s="30" t="s">
        <v>5427</v>
      </c>
      <c r="G2306" s="89">
        <f>DATE(2016,11,8)</f>
        <v>42682</v>
      </c>
      <c r="H2306" s="90">
        <v>1.7437499999999999</v>
      </c>
      <c r="I2306" s="30" t="s">
        <v>116</v>
      </c>
      <c r="J2306" s="89" t="s">
        <v>12957</v>
      </c>
      <c r="K2306" s="30" t="s">
        <v>596</v>
      </c>
      <c r="L2306" s="30" t="s">
        <v>12958</v>
      </c>
      <c r="M2306" s="30" t="s">
        <v>63</v>
      </c>
      <c r="N2306" s="30" t="s">
        <v>142</v>
      </c>
      <c r="O2306" s="30" t="s">
        <v>64</v>
      </c>
      <c r="P2306" s="89" t="s">
        <v>165</v>
      </c>
      <c r="Q2306" s="89" t="s">
        <v>10529</v>
      </c>
      <c r="R2306" s="89" t="s">
        <v>12074</v>
      </c>
      <c r="S2306" s="30">
        <v>0</v>
      </c>
      <c r="T2306" s="233">
        <v>0</v>
      </c>
      <c r="U2306" s="30">
        <v>1</v>
      </c>
      <c r="V2306" s="233">
        <v>0</v>
      </c>
      <c r="W2306" s="30">
        <v>0</v>
      </c>
      <c r="X2306" s="30">
        <v>1</v>
      </c>
      <c r="Y2306" s="30">
        <v>0</v>
      </c>
      <c r="Z2306" s="233">
        <v>0</v>
      </c>
      <c r="AA2306" s="30">
        <v>0</v>
      </c>
      <c r="AB2306" s="30">
        <v>0</v>
      </c>
      <c r="AC2306" s="30">
        <v>0</v>
      </c>
      <c r="AD2306" s="30">
        <v>0</v>
      </c>
      <c r="AE2306" s="89" t="s">
        <v>394</v>
      </c>
      <c r="AF2306" s="89"/>
      <c r="AG2306" s="89" t="s">
        <v>133</v>
      </c>
      <c r="AH2306" s="72">
        <v>42502</v>
      </c>
      <c r="AI2306" s="30">
        <v>8</v>
      </c>
      <c r="AJ2306" s="89" t="s">
        <v>12959</v>
      </c>
      <c r="AK2306" s="89" t="s">
        <v>12960</v>
      </c>
      <c r="AL2306" s="91">
        <v>42720</v>
      </c>
      <c r="AM2306" s="91"/>
      <c r="AN2306" s="91"/>
      <c r="AO2306" s="91"/>
      <c r="AP2306" s="73" t="e">
        <f>MID(VLOOKUP(K2306,#REF!,2,FALSE),1,2)</f>
        <v>#REF!</v>
      </c>
      <c r="AQ2306" s="89">
        <f>DATE(2016,11,9)</f>
        <v>42683</v>
      </c>
      <c r="AR2306" s="82">
        <f t="shared" si="168"/>
        <v>9</v>
      </c>
      <c r="AS2306" s="83">
        <f t="shared" si="169"/>
        <v>11</v>
      </c>
      <c r="AT2306" s="84">
        <f t="shared" si="170"/>
        <v>2016</v>
      </c>
      <c r="AU2306" s="88">
        <f>DATE(2017,3,2)</f>
        <v>42796</v>
      </c>
      <c r="AV2306" s="88">
        <f>DATE(2017,3,3)</f>
        <v>42797</v>
      </c>
      <c r="AW2306" s="87">
        <f t="shared" si="171"/>
        <v>-1</v>
      </c>
      <c r="AX2306" s="86"/>
      <c r="AY2306" s="83"/>
      <c r="AZ2306" s="84"/>
      <c r="BA2306" s="86"/>
      <c r="BB2306" s="86"/>
    </row>
    <row r="2307" spans="1:54" ht="36.75" customHeight="1">
      <c r="A2307" s="30"/>
      <c r="B2307" s="30" t="s">
        <v>55</v>
      </c>
      <c r="C2307" s="69" t="str">
        <f t="shared" si="172"/>
        <v>Closed</v>
      </c>
      <c r="D2307" s="27" t="s">
        <v>12961</v>
      </c>
      <c r="E2307" s="29" t="s">
        <v>12962</v>
      </c>
      <c r="F2307" s="30" t="s">
        <v>835</v>
      </c>
      <c r="G2307" s="89">
        <f>DATE(2016,11,9)</f>
        <v>42683</v>
      </c>
      <c r="H2307" s="90">
        <v>1.7555555555555555</v>
      </c>
      <c r="I2307" s="30" t="s">
        <v>9026</v>
      </c>
      <c r="J2307" s="89" t="s">
        <v>12963</v>
      </c>
      <c r="K2307" s="30" t="s">
        <v>837</v>
      </c>
      <c r="L2307" s="30" t="s">
        <v>12964</v>
      </c>
      <c r="M2307" s="30" t="s">
        <v>63</v>
      </c>
      <c r="N2307" s="30" t="s">
        <v>142</v>
      </c>
      <c r="O2307" s="30" t="s">
        <v>64</v>
      </c>
      <c r="P2307" s="89" t="s">
        <v>6941</v>
      </c>
      <c r="Q2307" s="89" t="s">
        <v>2162</v>
      </c>
      <c r="R2307" s="89" t="s">
        <v>840</v>
      </c>
      <c r="S2307" s="30">
        <v>0</v>
      </c>
      <c r="T2307" s="233">
        <v>0</v>
      </c>
      <c r="U2307" s="30">
        <v>0</v>
      </c>
      <c r="V2307" s="233">
        <v>0</v>
      </c>
      <c r="W2307" s="30">
        <v>0</v>
      </c>
      <c r="X2307" s="30">
        <v>0</v>
      </c>
      <c r="Y2307" s="30">
        <v>0</v>
      </c>
      <c r="Z2307" s="233">
        <v>0</v>
      </c>
      <c r="AA2307" s="30">
        <v>0</v>
      </c>
      <c r="AB2307" s="30">
        <v>0</v>
      </c>
      <c r="AC2307" s="30">
        <v>0</v>
      </c>
      <c r="AD2307" s="30">
        <v>0</v>
      </c>
      <c r="AE2307" s="89" t="s">
        <v>92</v>
      </c>
      <c r="AF2307" s="89"/>
      <c r="AG2307" s="89" t="s">
        <v>352</v>
      </c>
      <c r="AH2307" s="72">
        <v>42797</v>
      </c>
      <c r="AI2307" s="30">
        <v>1</v>
      </c>
      <c r="AJ2307" s="89" t="s">
        <v>12965</v>
      </c>
      <c r="AK2307" s="89" t="s">
        <v>1233</v>
      </c>
      <c r="AL2307" s="91">
        <v>42796</v>
      </c>
      <c r="AM2307" s="91"/>
      <c r="AN2307" s="91"/>
      <c r="AO2307" s="91"/>
      <c r="AP2307" s="73" t="e">
        <f>MID(VLOOKUP(K2307,#REF!,2,FALSE),1,2)</f>
        <v>#REF!</v>
      </c>
      <c r="AQ2307" s="89">
        <f>DATE(2016,11,9)</f>
        <v>42683</v>
      </c>
      <c r="AR2307" s="82">
        <f t="shared" si="168"/>
        <v>9</v>
      </c>
      <c r="AS2307" s="83">
        <f t="shared" si="169"/>
        <v>11</v>
      </c>
      <c r="AT2307" s="84">
        <f t="shared" si="170"/>
        <v>2016</v>
      </c>
      <c r="AU2307" s="88">
        <f>DATE(2017,10,10)</f>
        <v>43018</v>
      </c>
      <c r="AV2307" s="88">
        <f>DATE(2017,10,10)</f>
        <v>43018</v>
      </c>
      <c r="AW2307" s="87">
        <f t="shared" si="171"/>
        <v>0</v>
      </c>
      <c r="AX2307" s="88"/>
      <c r="AY2307" s="83"/>
      <c r="AZ2307" s="84"/>
      <c r="BA2307" s="88">
        <f>DATE(2017,10,10)</f>
        <v>43018</v>
      </c>
      <c r="BB2307" s="86"/>
    </row>
    <row r="2308" spans="1:54" ht="36.75" customHeight="1">
      <c r="A2308" s="30"/>
      <c r="B2308" s="30" t="s">
        <v>55</v>
      </c>
      <c r="C2308" s="69" t="str">
        <f t="shared" si="172"/>
        <v>Closed</v>
      </c>
      <c r="D2308" s="27" t="s">
        <v>12966</v>
      </c>
      <c r="E2308" s="29" t="s">
        <v>12967</v>
      </c>
      <c r="F2308" s="30" t="s">
        <v>835</v>
      </c>
      <c r="G2308" s="89">
        <f>DATE(2016,11,9)</f>
        <v>42683</v>
      </c>
      <c r="H2308" s="90">
        <v>1.7520833333333332</v>
      </c>
      <c r="I2308" s="30" t="s">
        <v>116</v>
      </c>
      <c r="J2308" s="89" t="s">
        <v>12968</v>
      </c>
      <c r="K2308" s="30" t="s">
        <v>837</v>
      </c>
      <c r="L2308" s="30" t="s">
        <v>12969</v>
      </c>
      <c r="M2308" s="30" t="s">
        <v>63</v>
      </c>
      <c r="N2308" s="30" t="s">
        <v>142</v>
      </c>
      <c r="O2308" s="30" t="s">
        <v>64</v>
      </c>
      <c r="P2308" s="89" t="s">
        <v>65</v>
      </c>
      <c r="Q2308" s="89" t="s">
        <v>2162</v>
      </c>
      <c r="R2308" s="89" t="s">
        <v>840</v>
      </c>
      <c r="S2308" s="30">
        <v>0</v>
      </c>
      <c r="T2308" s="233">
        <v>0</v>
      </c>
      <c r="U2308" s="30">
        <v>0</v>
      </c>
      <c r="V2308" s="233">
        <v>0</v>
      </c>
      <c r="W2308" s="30">
        <v>0</v>
      </c>
      <c r="X2308" s="30">
        <v>0</v>
      </c>
      <c r="Y2308" s="30">
        <v>0</v>
      </c>
      <c r="Z2308" s="233">
        <v>0</v>
      </c>
      <c r="AA2308" s="30">
        <v>0</v>
      </c>
      <c r="AB2308" s="30">
        <v>0</v>
      </c>
      <c r="AC2308" s="30">
        <v>0</v>
      </c>
      <c r="AD2308" s="30">
        <v>0</v>
      </c>
      <c r="AE2308" s="89" t="s">
        <v>92</v>
      </c>
      <c r="AF2308" s="89"/>
      <c r="AG2308" s="89" t="s">
        <v>352</v>
      </c>
      <c r="AH2308" s="72">
        <v>43018</v>
      </c>
      <c r="AI2308" s="30">
        <v>1</v>
      </c>
      <c r="AJ2308" s="89" t="s">
        <v>12965</v>
      </c>
      <c r="AK2308" s="89" t="s">
        <v>12970</v>
      </c>
      <c r="AL2308" s="91">
        <v>43018</v>
      </c>
      <c r="AM2308" s="91"/>
      <c r="AN2308" s="91"/>
      <c r="AO2308" s="91"/>
      <c r="AP2308" s="73" t="e">
        <f>MID(VLOOKUP(K2308,#REF!,2,FALSE),1,2)</f>
        <v>#REF!</v>
      </c>
      <c r="AQ2308" s="89">
        <f>DATE(2016,11,9)</f>
        <v>42683</v>
      </c>
      <c r="AR2308" s="82">
        <f t="shared" si="168"/>
        <v>9</v>
      </c>
      <c r="AS2308" s="83">
        <f t="shared" si="169"/>
        <v>11</v>
      </c>
      <c r="AT2308" s="84">
        <f t="shared" si="170"/>
        <v>2016</v>
      </c>
      <c r="AU2308" s="88">
        <f>DATE(2016,11,15)</f>
        <v>42689</v>
      </c>
      <c r="AV2308" s="88">
        <f>DATE(2016,11,9)</f>
        <v>42683</v>
      </c>
      <c r="AW2308" s="87">
        <f t="shared" si="171"/>
        <v>6</v>
      </c>
      <c r="AX2308" s="88">
        <f>DATE(2016,11,15)</f>
        <v>42689</v>
      </c>
      <c r="AY2308" s="83">
        <f>MONTH(AX2308)</f>
        <v>11</v>
      </c>
      <c r="AZ2308" s="84">
        <f>YEAR(AX2308)</f>
        <v>2016</v>
      </c>
      <c r="BA2308" s="88">
        <f>DATE(2016,11,9)</f>
        <v>42683</v>
      </c>
      <c r="BB2308" s="86"/>
    </row>
    <row r="2309" spans="1:54" ht="36.75" customHeight="1">
      <c r="A2309" s="30"/>
      <c r="B2309" s="30" t="s">
        <v>55</v>
      </c>
      <c r="C2309" s="69" t="str">
        <f t="shared" si="172"/>
        <v>Closed</v>
      </c>
      <c r="D2309" s="27" t="s">
        <v>12971</v>
      </c>
      <c r="E2309" s="29" t="s">
        <v>12972</v>
      </c>
      <c r="F2309" s="30" t="s">
        <v>233</v>
      </c>
      <c r="G2309" s="89">
        <f>DATE(2016,11,9)</f>
        <v>42683</v>
      </c>
      <c r="H2309" s="90">
        <v>1.2569444444444444</v>
      </c>
      <c r="I2309" s="30" t="s">
        <v>73</v>
      </c>
      <c r="J2309" s="89" t="s">
        <v>12973</v>
      </c>
      <c r="K2309" s="30" t="s">
        <v>235</v>
      </c>
      <c r="L2309" s="30" t="s">
        <v>12974</v>
      </c>
      <c r="M2309" s="30" t="s">
        <v>255</v>
      </c>
      <c r="N2309" s="30" t="s">
        <v>142</v>
      </c>
      <c r="O2309" s="30" t="s">
        <v>64</v>
      </c>
      <c r="P2309" s="89" t="s">
        <v>6552</v>
      </c>
      <c r="Q2309" s="89" t="s">
        <v>1894</v>
      </c>
      <c r="R2309" s="89" t="s">
        <v>235</v>
      </c>
      <c r="S2309" s="30">
        <v>7</v>
      </c>
      <c r="T2309" s="233">
        <v>0</v>
      </c>
      <c r="U2309" s="30">
        <v>0</v>
      </c>
      <c r="V2309" s="233">
        <v>0</v>
      </c>
      <c r="W2309" s="30">
        <v>0</v>
      </c>
      <c r="X2309" s="30">
        <v>7</v>
      </c>
      <c r="Y2309" s="30">
        <v>8</v>
      </c>
      <c r="Z2309" s="233">
        <v>0</v>
      </c>
      <c r="AA2309" s="30">
        <v>0</v>
      </c>
      <c r="AB2309" s="30">
        <v>0</v>
      </c>
      <c r="AC2309" s="30">
        <v>0</v>
      </c>
      <c r="AD2309" s="30">
        <v>8</v>
      </c>
      <c r="AE2309" s="89" t="s">
        <v>394</v>
      </c>
      <c r="AF2309" s="89"/>
      <c r="AG2309" s="89" t="s">
        <v>82</v>
      </c>
      <c r="AH2309" s="72">
        <v>42683</v>
      </c>
      <c r="AI2309" s="30">
        <v>15</v>
      </c>
      <c r="AJ2309" s="89" t="s">
        <v>12975</v>
      </c>
      <c r="AK2309" s="89" t="s">
        <v>12976</v>
      </c>
      <c r="AL2309" s="91">
        <v>42689</v>
      </c>
      <c r="AM2309" s="91"/>
      <c r="AN2309" s="91"/>
      <c r="AO2309" s="91"/>
      <c r="AP2309" s="73" t="e">
        <f>MID(VLOOKUP(K2309,#REF!,2,FALSE),1,2)</f>
        <v>#REF!</v>
      </c>
      <c r="AQ2309" s="89">
        <f>DATE(2016,11,15)</f>
        <v>42689</v>
      </c>
      <c r="AR2309" s="82">
        <f t="shared" si="168"/>
        <v>15</v>
      </c>
      <c r="AS2309" s="83">
        <f t="shared" si="169"/>
        <v>11</v>
      </c>
      <c r="AT2309" s="84">
        <f t="shared" si="170"/>
        <v>2016</v>
      </c>
      <c r="AU2309" s="88">
        <f>DATE(2018,4,18)</f>
        <v>43208</v>
      </c>
      <c r="AV2309" s="88">
        <f>DATE(2016,11,28)</f>
        <v>42702</v>
      </c>
      <c r="AW2309" s="87">
        <f t="shared" si="171"/>
        <v>506</v>
      </c>
      <c r="AX2309" s="86"/>
      <c r="AY2309" s="83"/>
      <c r="AZ2309" s="84"/>
      <c r="BA2309" s="86"/>
      <c r="BB2309" s="86"/>
    </row>
    <row r="2310" spans="1:54" ht="36.75" customHeight="1">
      <c r="A2310" s="30"/>
      <c r="B2310" s="30" t="s">
        <v>55</v>
      </c>
      <c r="C2310" s="69" t="str">
        <f t="shared" si="172"/>
        <v>Closed</v>
      </c>
      <c r="D2310" s="27" t="s">
        <v>12977</v>
      </c>
      <c r="E2310" s="29" t="s">
        <v>12978</v>
      </c>
      <c r="F2310" s="30" t="s">
        <v>451</v>
      </c>
      <c r="G2310" s="89">
        <f>DATE(2016,11,15)</f>
        <v>42689</v>
      </c>
      <c r="H2310" s="90">
        <v>1.6104166666666666</v>
      </c>
      <c r="I2310" s="30" t="s">
        <v>116</v>
      </c>
      <c r="J2310" s="89" t="s">
        <v>12979</v>
      </c>
      <c r="K2310" s="30" t="s">
        <v>453</v>
      </c>
      <c r="L2310" s="30" t="s">
        <v>12980</v>
      </c>
      <c r="M2310" s="30" t="s">
        <v>63</v>
      </c>
      <c r="N2310" s="30" t="s">
        <v>99</v>
      </c>
      <c r="O2310" s="30" t="s">
        <v>77</v>
      </c>
      <c r="P2310" s="89" t="s">
        <v>65</v>
      </c>
      <c r="Q2310" s="89" t="s">
        <v>571</v>
      </c>
      <c r="R2310" s="89" t="s">
        <v>572</v>
      </c>
      <c r="S2310" s="30">
        <v>0</v>
      </c>
      <c r="T2310" s="233">
        <v>0</v>
      </c>
      <c r="U2310" s="30">
        <v>1</v>
      </c>
      <c r="V2310" s="233">
        <v>0</v>
      </c>
      <c r="W2310" s="30">
        <v>0</v>
      </c>
      <c r="X2310" s="30">
        <v>1</v>
      </c>
      <c r="Y2310" s="30">
        <v>0</v>
      </c>
      <c r="Z2310" s="233">
        <v>0</v>
      </c>
      <c r="AA2310" s="30">
        <v>0</v>
      </c>
      <c r="AB2310" s="30">
        <v>0</v>
      </c>
      <c r="AC2310" s="30">
        <v>0</v>
      </c>
      <c r="AD2310" s="30">
        <v>0</v>
      </c>
      <c r="AE2310" s="89" t="s">
        <v>92</v>
      </c>
      <c r="AF2310" s="89"/>
      <c r="AG2310" s="89" t="s">
        <v>82</v>
      </c>
      <c r="AH2310" s="72">
        <v>42702</v>
      </c>
      <c r="AI2310" s="30">
        <v>0</v>
      </c>
      <c r="AJ2310" s="89" t="s">
        <v>12981</v>
      </c>
      <c r="AK2310" s="89" t="s">
        <v>68</v>
      </c>
      <c r="AL2310" s="91">
        <v>43208</v>
      </c>
      <c r="AM2310" s="91"/>
      <c r="AN2310" s="91"/>
      <c r="AO2310" s="91"/>
      <c r="AP2310" s="73" t="e">
        <f>MID(VLOOKUP(K2310,#REF!,2,FALSE),1,2)</f>
        <v>#REF!</v>
      </c>
      <c r="AQ2310" s="89">
        <f>DATE(2016,11,17)</f>
        <v>42691</v>
      </c>
      <c r="AR2310" s="82">
        <f t="shared" si="168"/>
        <v>17</v>
      </c>
      <c r="AS2310" s="83">
        <f t="shared" si="169"/>
        <v>11</v>
      </c>
      <c r="AT2310" s="84">
        <f t="shared" si="170"/>
        <v>2016</v>
      </c>
      <c r="AU2310" s="88">
        <f>DATE(2016,11,23)</f>
        <v>42697</v>
      </c>
      <c r="AV2310" s="88">
        <f>DATE(2016,11,18)</f>
        <v>42692</v>
      </c>
      <c r="AW2310" s="87">
        <f t="shared" si="171"/>
        <v>5</v>
      </c>
      <c r="AX2310" s="86"/>
      <c r="AY2310" s="83"/>
      <c r="AZ2310" s="84"/>
      <c r="BA2310" s="88">
        <f>DATE(2016,11,17)</f>
        <v>42691</v>
      </c>
      <c r="BB2310" s="86"/>
    </row>
    <row r="2311" spans="1:54" ht="36.75" customHeight="1">
      <c r="A2311" s="30"/>
      <c r="B2311" s="30" t="s">
        <v>55</v>
      </c>
      <c r="C2311" s="69" t="str">
        <f t="shared" si="172"/>
        <v>Closed</v>
      </c>
      <c r="D2311" s="27" t="s">
        <v>12982</v>
      </c>
      <c r="E2311" s="29" t="s">
        <v>12983</v>
      </c>
      <c r="F2311" s="30" t="s">
        <v>1572</v>
      </c>
      <c r="G2311" s="89">
        <f>DATE(2016,11,17)</f>
        <v>42691</v>
      </c>
      <c r="H2311" s="90">
        <v>1.5590277777777777</v>
      </c>
      <c r="I2311" s="30" t="s">
        <v>73</v>
      </c>
      <c r="J2311" s="89" t="s">
        <v>12984</v>
      </c>
      <c r="K2311" s="30" t="s">
        <v>1574</v>
      </c>
      <c r="L2311" s="30" t="s">
        <v>12985</v>
      </c>
      <c r="M2311" s="30" t="s">
        <v>63</v>
      </c>
      <c r="N2311" s="30" t="s">
        <v>99</v>
      </c>
      <c r="O2311" s="30" t="s">
        <v>77</v>
      </c>
      <c r="P2311" s="89" t="s">
        <v>78</v>
      </c>
      <c r="Q2311" s="89" t="s">
        <v>2655</v>
      </c>
      <c r="R2311" s="89" t="s">
        <v>6434</v>
      </c>
      <c r="S2311" s="30">
        <v>0</v>
      </c>
      <c r="T2311" s="233">
        <v>0</v>
      </c>
      <c r="U2311" s="30">
        <v>0</v>
      </c>
      <c r="V2311" s="233">
        <v>0</v>
      </c>
      <c r="W2311" s="30">
        <v>0</v>
      </c>
      <c r="X2311" s="30">
        <v>0</v>
      </c>
      <c r="Y2311" s="30">
        <v>0</v>
      </c>
      <c r="Z2311" s="233">
        <v>0</v>
      </c>
      <c r="AA2311" s="30">
        <v>0</v>
      </c>
      <c r="AB2311" s="30">
        <v>0</v>
      </c>
      <c r="AC2311" s="30">
        <v>0</v>
      </c>
      <c r="AD2311" s="30">
        <v>0</v>
      </c>
      <c r="AE2311" s="89" t="s">
        <v>92</v>
      </c>
      <c r="AF2311" s="89"/>
      <c r="AG2311" s="89" t="s">
        <v>133</v>
      </c>
      <c r="AH2311" s="72">
        <v>42692</v>
      </c>
      <c r="AI2311" s="30">
        <v>2</v>
      </c>
      <c r="AJ2311" s="89" t="s">
        <v>12986</v>
      </c>
      <c r="AK2311" s="89" t="s">
        <v>12987</v>
      </c>
      <c r="AL2311" s="91">
        <v>42697</v>
      </c>
      <c r="AM2311" s="91"/>
      <c r="AN2311" s="91"/>
      <c r="AO2311" s="91"/>
      <c r="AP2311" s="73" t="e">
        <f>MID(VLOOKUP(K2311,#REF!,2,FALSE),1,2)</f>
        <v>#REF!</v>
      </c>
      <c r="AQ2311" s="89">
        <f>DATE(2016,11,18)</f>
        <v>42692</v>
      </c>
      <c r="AR2311" s="82">
        <f t="shared" si="168"/>
        <v>18</v>
      </c>
      <c r="AS2311" s="83">
        <f t="shared" si="169"/>
        <v>11</v>
      </c>
      <c r="AT2311" s="84">
        <f t="shared" si="170"/>
        <v>2016</v>
      </c>
      <c r="AU2311" s="88">
        <f>DATE(2016,12,19)</f>
        <v>42723</v>
      </c>
      <c r="AV2311" s="88">
        <f>DATE(2016,12,12)</f>
        <v>42716</v>
      </c>
      <c r="AW2311" s="87">
        <f t="shared" si="171"/>
        <v>7</v>
      </c>
      <c r="AX2311" s="88">
        <f>DATE(2016,12,12)</f>
        <v>42716</v>
      </c>
      <c r="AY2311" s="83">
        <f>MONTH(AX2311)</f>
        <v>12</v>
      </c>
      <c r="AZ2311" s="84">
        <f>YEAR(AX2311)</f>
        <v>2016</v>
      </c>
      <c r="BA2311" s="88">
        <f>DATE(2016,11,18)</f>
        <v>42692</v>
      </c>
      <c r="BB2311" s="86"/>
    </row>
    <row r="2312" spans="1:54" ht="36.75" customHeight="1">
      <c r="A2312" s="30"/>
      <c r="B2312" s="30" t="s">
        <v>55</v>
      </c>
      <c r="C2312" s="69" t="str">
        <f t="shared" si="172"/>
        <v>Closed</v>
      </c>
      <c r="D2312" s="27" t="s">
        <v>12988</v>
      </c>
      <c r="E2312" s="29" t="s">
        <v>12989</v>
      </c>
      <c r="F2312" s="30" t="s">
        <v>835</v>
      </c>
      <c r="G2312" s="89">
        <f>DATE(2016,11,18)</f>
        <v>42692</v>
      </c>
      <c r="H2312" s="90">
        <v>1.5111111111111111</v>
      </c>
      <c r="I2312" s="30" t="s">
        <v>73</v>
      </c>
      <c r="J2312" s="89" t="s">
        <v>12990</v>
      </c>
      <c r="K2312" s="30" t="s">
        <v>837</v>
      </c>
      <c r="L2312" s="30" t="s">
        <v>12991</v>
      </c>
      <c r="M2312" s="30" t="s">
        <v>255</v>
      </c>
      <c r="N2312" s="30" t="s">
        <v>142</v>
      </c>
      <c r="O2312" s="30" t="s">
        <v>64</v>
      </c>
      <c r="P2312" s="89" t="s">
        <v>6552</v>
      </c>
      <c r="Q2312" s="89" t="s">
        <v>4210</v>
      </c>
      <c r="R2312" s="89" t="s">
        <v>4210</v>
      </c>
      <c r="S2312" s="30">
        <v>0</v>
      </c>
      <c r="T2312" s="233">
        <v>0</v>
      </c>
      <c r="U2312" s="30">
        <v>0</v>
      </c>
      <c r="V2312" s="233">
        <v>0</v>
      </c>
      <c r="W2312" s="30">
        <v>0</v>
      </c>
      <c r="X2312" s="30">
        <v>0</v>
      </c>
      <c r="Y2312" s="30">
        <v>0</v>
      </c>
      <c r="Z2312" s="233">
        <v>0</v>
      </c>
      <c r="AA2312" s="30">
        <v>0</v>
      </c>
      <c r="AB2312" s="30">
        <v>0</v>
      </c>
      <c r="AC2312" s="30">
        <v>0</v>
      </c>
      <c r="AD2312" s="30">
        <v>0</v>
      </c>
      <c r="AE2312" s="89" t="s">
        <v>92</v>
      </c>
      <c r="AF2312" s="89"/>
      <c r="AG2312" s="89" t="s">
        <v>367</v>
      </c>
      <c r="AH2312" s="72">
        <v>42716</v>
      </c>
      <c r="AI2312" s="30">
        <v>0</v>
      </c>
      <c r="AJ2312" s="89" t="s">
        <v>12992</v>
      </c>
      <c r="AK2312" s="89" t="s">
        <v>12993</v>
      </c>
      <c r="AL2312" s="91">
        <v>42723</v>
      </c>
      <c r="AM2312" s="91"/>
      <c r="AN2312" s="91"/>
      <c r="AO2312" s="91"/>
      <c r="AP2312" s="73" t="e">
        <f>MID(VLOOKUP(K2312,#REF!,2,FALSE),1,2)</f>
        <v>#REF!</v>
      </c>
      <c r="AQ2312" s="89">
        <f>DATE(2016,11,24)</f>
        <v>42698</v>
      </c>
      <c r="AR2312" s="82">
        <f t="shared" si="168"/>
        <v>24</v>
      </c>
      <c r="AS2312" s="83">
        <f t="shared" si="169"/>
        <v>11</v>
      </c>
      <c r="AT2312" s="84">
        <f t="shared" si="170"/>
        <v>2016</v>
      </c>
      <c r="AU2312" s="88">
        <f>DATE(2016,11,28)</f>
        <v>42702</v>
      </c>
      <c r="AV2312" s="88">
        <f>DATE(2016,11,24)</f>
        <v>42698</v>
      </c>
      <c r="AW2312" s="87">
        <f t="shared" si="171"/>
        <v>4</v>
      </c>
      <c r="AX2312" s="88">
        <f>DATE(2016,11,23)</f>
        <v>42697</v>
      </c>
      <c r="AY2312" s="83">
        <f>MONTH(AX2312)</f>
        <v>11</v>
      </c>
      <c r="AZ2312" s="84">
        <f>YEAR(AX2312)</f>
        <v>2016</v>
      </c>
      <c r="BA2312" s="88">
        <f>DATE(2016,11,23)</f>
        <v>42697</v>
      </c>
      <c r="BB2312" s="86"/>
    </row>
    <row r="2313" spans="1:54" ht="36.75" customHeight="1">
      <c r="A2313" s="30"/>
      <c r="B2313" s="30" t="s">
        <v>55</v>
      </c>
      <c r="C2313" s="69" t="str">
        <f t="shared" si="172"/>
        <v>Closed</v>
      </c>
      <c r="D2313" s="27" t="s">
        <v>12994</v>
      </c>
      <c r="E2313" s="29" t="s">
        <v>12995</v>
      </c>
      <c r="F2313" s="30" t="s">
        <v>1572</v>
      </c>
      <c r="G2313" s="89">
        <f>DATE(2016,11,24)</f>
        <v>42698</v>
      </c>
      <c r="H2313" s="90">
        <v>1.0694444444444444</v>
      </c>
      <c r="I2313" s="30" t="s">
        <v>86</v>
      </c>
      <c r="J2313" s="89" t="s">
        <v>12996</v>
      </c>
      <c r="K2313" s="30" t="s">
        <v>1574</v>
      </c>
      <c r="L2313" s="30" t="s">
        <v>12002</v>
      </c>
      <c r="M2313" s="30" t="s">
        <v>63</v>
      </c>
      <c r="N2313" s="30" t="s">
        <v>142</v>
      </c>
      <c r="O2313" s="30" t="s">
        <v>77</v>
      </c>
      <c r="P2313" s="89" t="s">
        <v>91</v>
      </c>
      <c r="Q2313" s="89" t="s">
        <v>1584</v>
      </c>
      <c r="R2313" s="89" t="s">
        <v>6434</v>
      </c>
      <c r="S2313" s="30">
        <v>0</v>
      </c>
      <c r="T2313" s="233">
        <v>0</v>
      </c>
      <c r="U2313" s="30">
        <v>0</v>
      </c>
      <c r="V2313" s="233">
        <v>0</v>
      </c>
      <c r="W2313" s="30">
        <v>0</v>
      </c>
      <c r="X2313" s="30">
        <v>0</v>
      </c>
      <c r="Y2313" s="30">
        <v>0</v>
      </c>
      <c r="Z2313" s="233">
        <v>0</v>
      </c>
      <c r="AA2313" s="30">
        <v>0</v>
      </c>
      <c r="AB2313" s="30">
        <v>0</v>
      </c>
      <c r="AC2313" s="30">
        <v>0</v>
      </c>
      <c r="AD2313" s="30">
        <v>0</v>
      </c>
      <c r="AE2313" s="89" t="s">
        <v>92</v>
      </c>
      <c r="AF2313" s="89"/>
      <c r="AG2313" s="89" t="s">
        <v>133</v>
      </c>
      <c r="AH2313" s="72">
        <v>42698</v>
      </c>
      <c r="AI2313" s="30">
        <v>0</v>
      </c>
      <c r="AJ2313" s="89" t="s">
        <v>12997</v>
      </c>
      <c r="AK2313" s="89" t="s">
        <v>12998</v>
      </c>
      <c r="AL2313" s="91">
        <v>42702</v>
      </c>
      <c r="AM2313" s="91"/>
      <c r="AN2313" s="91"/>
      <c r="AO2313" s="91"/>
      <c r="AP2313" s="73" t="e">
        <f>MID(VLOOKUP(K2313,#REF!,2,FALSE),1,2)</f>
        <v>#REF!</v>
      </c>
      <c r="AQ2313" s="89">
        <f>DATE(2016,11,26)</f>
        <v>42700</v>
      </c>
      <c r="AR2313" s="82">
        <f t="shared" si="168"/>
        <v>26</v>
      </c>
      <c r="AS2313" s="83">
        <f t="shared" si="169"/>
        <v>11</v>
      </c>
      <c r="AT2313" s="84">
        <f t="shared" si="170"/>
        <v>2016</v>
      </c>
      <c r="AU2313" s="88">
        <f>DATE(2017,3,7)</f>
        <v>42801</v>
      </c>
      <c r="AV2313" s="88">
        <f>DATE(2016,11,26)</f>
        <v>42700</v>
      </c>
      <c r="AW2313" s="87">
        <f t="shared" si="171"/>
        <v>101</v>
      </c>
      <c r="AX2313" s="86"/>
      <c r="AY2313" s="83"/>
      <c r="AZ2313" s="84"/>
      <c r="BA2313" s="86"/>
      <c r="BB2313" s="86"/>
    </row>
    <row r="2314" spans="1:54" ht="36.75" customHeight="1">
      <c r="A2314" s="30"/>
      <c r="B2314" s="30" t="s">
        <v>55</v>
      </c>
      <c r="C2314" s="69" t="str">
        <f t="shared" si="172"/>
        <v>Closed</v>
      </c>
      <c r="D2314" s="27" t="s">
        <v>12999</v>
      </c>
      <c r="E2314" s="29" t="s">
        <v>13000</v>
      </c>
      <c r="F2314" s="30" t="s">
        <v>624</v>
      </c>
      <c r="G2314" s="89">
        <f>DATE(2016,11,26)</f>
        <v>42700</v>
      </c>
      <c r="H2314" s="90">
        <v>0</v>
      </c>
      <c r="I2314" s="30" t="s">
        <v>73</v>
      </c>
      <c r="J2314" s="89" t="s">
        <v>73</v>
      </c>
      <c r="K2314" s="30" t="s">
        <v>626</v>
      </c>
      <c r="L2314" s="30" t="s">
        <v>7811</v>
      </c>
      <c r="M2314" s="30" t="s">
        <v>63</v>
      </c>
      <c r="N2314" s="30" t="s">
        <v>89</v>
      </c>
      <c r="O2314" s="30" t="s">
        <v>77</v>
      </c>
      <c r="P2314" s="89" t="s">
        <v>165</v>
      </c>
      <c r="Q2314" s="89" t="s">
        <v>7181</v>
      </c>
      <c r="R2314" s="89" t="s">
        <v>629</v>
      </c>
      <c r="S2314" s="30">
        <v>0</v>
      </c>
      <c r="T2314" s="233">
        <v>0</v>
      </c>
      <c r="U2314" s="30">
        <v>0</v>
      </c>
      <c r="V2314" s="233">
        <v>0</v>
      </c>
      <c r="W2314" s="30">
        <v>0</v>
      </c>
      <c r="X2314" s="30">
        <v>0</v>
      </c>
      <c r="Y2314" s="30">
        <v>0</v>
      </c>
      <c r="Z2314" s="233">
        <v>0</v>
      </c>
      <c r="AA2314" s="30">
        <v>0</v>
      </c>
      <c r="AB2314" s="30">
        <v>0</v>
      </c>
      <c r="AC2314" s="30">
        <v>0</v>
      </c>
      <c r="AD2314" s="30">
        <v>0</v>
      </c>
      <c r="AE2314" s="89" t="s">
        <v>92</v>
      </c>
      <c r="AF2314" s="89"/>
      <c r="AG2314" s="89" t="s">
        <v>352</v>
      </c>
      <c r="AH2314" s="72">
        <v>42700</v>
      </c>
      <c r="AI2314" s="30">
        <v>3</v>
      </c>
      <c r="AJ2314" s="89" t="s">
        <v>13001</v>
      </c>
      <c r="AK2314" s="89" t="s">
        <v>68</v>
      </c>
      <c r="AL2314" s="91">
        <v>42801</v>
      </c>
      <c r="AM2314" s="91"/>
      <c r="AN2314" s="91"/>
      <c r="AO2314" s="91"/>
      <c r="AP2314" s="73" t="e">
        <f>MID(VLOOKUP(K2314,#REF!,2,FALSE),1,2)</f>
        <v>#REF!</v>
      </c>
      <c r="AQ2314" s="89">
        <f>DATE(2016,11,28)</f>
        <v>42702</v>
      </c>
      <c r="AR2314" s="82">
        <f t="shared" si="168"/>
        <v>28</v>
      </c>
      <c r="AS2314" s="83">
        <f t="shared" si="169"/>
        <v>11</v>
      </c>
      <c r="AT2314" s="84">
        <f t="shared" si="170"/>
        <v>2016</v>
      </c>
      <c r="AU2314" s="88">
        <f>DATE(2017,5,19)</f>
        <v>42874</v>
      </c>
      <c r="AV2314" s="88">
        <f>DATE(2016,11,28)</f>
        <v>42702</v>
      </c>
      <c r="AW2314" s="87">
        <f t="shared" si="171"/>
        <v>172</v>
      </c>
      <c r="AX2314" s="86"/>
      <c r="AY2314" s="83"/>
      <c r="AZ2314" s="84"/>
      <c r="BA2314" s="86"/>
      <c r="BB2314" s="86"/>
    </row>
    <row r="2315" spans="1:54" ht="36.75" customHeight="1">
      <c r="A2315" s="30"/>
      <c r="B2315" s="30" t="s">
        <v>55</v>
      </c>
      <c r="C2315" s="69" t="str">
        <f t="shared" si="172"/>
        <v>Closed</v>
      </c>
      <c r="D2315" s="27" t="s">
        <v>13002</v>
      </c>
      <c r="E2315" s="29" t="s">
        <v>13003</v>
      </c>
      <c r="F2315" s="30" t="s">
        <v>835</v>
      </c>
      <c r="G2315" s="89">
        <f>DATE(2016,11,28)</f>
        <v>42702</v>
      </c>
      <c r="H2315" s="90">
        <v>1.3854166666666667</v>
      </c>
      <c r="I2315" s="30" t="s">
        <v>116</v>
      </c>
      <c r="J2315" s="89" t="s">
        <v>13004</v>
      </c>
      <c r="K2315" s="30" t="s">
        <v>837</v>
      </c>
      <c r="L2315" s="30" t="s">
        <v>13005</v>
      </c>
      <c r="M2315" s="30" t="s">
        <v>63</v>
      </c>
      <c r="N2315" s="30" t="s">
        <v>99</v>
      </c>
      <c r="O2315" s="30" t="s">
        <v>64</v>
      </c>
      <c r="P2315" s="89" t="s">
        <v>78</v>
      </c>
      <c r="Q2315" s="89" t="s">
        <v>3777</v>
      </c>
      <c r="R2315" s="89" t="s">
        <v>840</v>
      </c>
      <c r="S2315" s="30">
        <v>0</v>
      </c>
      <c r="T2315" s="233">
        <v>1</v>
      </c>
      <c r="U2315" s="30">
        <v>0</v>
      </c>
      <c r="V2315" s="233">
        <v>0</v>
      </c>
      <c r="W2315" s="30">
        <v>0</v>
      </c>
      <c r="X2315" s="30">
        <v>1</v>
      </c>
      <c r="Y2315" s="30">
        <v>0</v>
      </c>
      <c r="Z2315" s="233">
        <v>0</v>
      </c>
      <c r="AA2315" s="30">
        <v>0</v>
      </c>
      <c r="AB2315" s="30">
        <v>0</v>
      </c>
      <c r="AC2315" s="30">
        <v>0</v>
      </c>
      <c r="AD2315" s="30">
        <v>0</v>
      </c>
      <c r="AE2315" s="89" t="s">
        <v>92</v>
      </c>
      <c r="AF2315" s="89"/>
      <c r="AG2315" s="89" t="s">
        <v>352</v>
      </c>
      <c r="AH2315" s="72">
        <v>42702</v>
      </c>
      <c r="AI2315" s="30">
        <v>0</v>
      </c>
      <c r="AJ2315" s="89" t="s">
        <v>13006</v>
      </c>
      <c r="AK2315" s="89" t="s">
        <v>1233</v>
      </c>
      <c r="AL2315" s="91">
        <v>42874</v>
      </c>
      <c r="AM2315" s="91"/>
      <c r="AN2315" s="91"/>
      <c r="AO2315" s="91"/>
      <c r="AP2315" s="73" t="e">
        <f>MID(VLOOKUP(K2315,#REF!,2,FALSE),1,2)</f>
        <v>#REF!</v>
      </c>
      <c r="AQ2315" s="89">
        <f>DATE(2016,11,29)</f>
        <v>42703</v>
      </c>
      <c r="AR2315" s="82">
        <f t="shared" si="168"/>
        <v>29</v>
      </c>
      <c r="AS2315" s="83">
        <f t="shared" si="169"/>
        <v>11</v>
      </c>
      <c r="AT2315" s="84">
        <f t="shared" si="170"/>
        <v>2016</v>
      </c>
      <c r="AU2315" s="88">
        <f>DATE(2017,11,16)</f>
        <v>43055</v>
      </c>
      <c r="AV2315" s="88">
        <f>DATE(2016,12,9)</f>
        <v>42713</v>
      </c>
      <c r="AW2315" s="87">
        <f t="shared" si="171"/>
        <v>342</v>
      </c>
      <c r="AX2315" s="86"/>
      <c r="AY2315" s="83"/>
      <c r="AZ2315" s="84"/>
      <c r="BA2315" s="86"/>
      <c r="BB2315" s="86"/>
    </row>
    <row r="2316" spans="1:54" ht="36.75" customHeight="1">
      <c r="A2316" s="30"/>
      <c r="B2316" s="30" t="s">
        <v>55</v>
      </c>
      <c r="C2316" s="69" t="str">
        <f t="shared" si="172"/>
        <v>Closed</v>
      </c>
      <c r="D2316" s="27" t="s">
        <v>13007</v>
      </c>
      <c r="E2316" s="29" t="s">
        <v>13008</v>
      </c>
      <c r="F2316" s="30" t="s">
        <v>197</v>
      </c>
      <c r="G2316" s="89">
        <f>DATE(2016,11,29)</f>
        <v>42703</v>
      </c>
      <c r="H2316" s="90">
        <v>1.7868055555555555</v>
      </c>
      <c r="I2316" s="30" t="s">
        <v>198</v>
      </c>
      <c r="J2316" s="89" t="s">
        <v>13009</v>
      </c>
      <c r="K2316" s="30" t="s">
        <v>200</v>
      </c>
      <c r="L2316" s="30" t="s">
        <v>13010</v>
      </c>
      <c r="M2316" s="30" t="s">
        <v>63</v>
      </c>
      <c r="N2316" s="30" t="s">
        <v>89</v>
      </c>
      <c r="O2316" s="30" t="s">
        <v>64</v>
      </c>
      <c r="P2316" s="89" t="s">
        <v>8025</v>
      </c>
      <c r="Q2316" s="89" t="s">
        <v>13011</v>
      </c>
      <c r="R2316" s="89" t="s">
        <v>203</v>
      </c>
      <c r="S2316" s="30">
        <v>0</v>
      </c>
      <c r="T2316" s="233">
        <v>0</v>
      </c>
      <c r="U2316" s="30">
        <v>0</v>
      </c>
      <c r="V2316" s="233">
        <v>0</v>
      </c>
      <c r="W2316" s="30">
        <v>0</v>
      </c>
      <c r="X2316" s="30">
        <v>0</v>
      </c>
      <c r="Y2316" s="30">
        <v>2</v>
      </c>
      <c r="Z2316" s="233">
        <v>0</v>
      </c>
      <c r="AA2316" s="30">
        <v>0</v>
      </c>
      <c r="AB2316" s="30">
        <v>0</v>
      </c>
      <c r="AC2316" s="30">
        <v>0</v>
      </c>
      <c r="AD2316" s="30">
        <v>2</v>
      </c>
      <c r="AE2316" s="89" t="s">
        <v>92</v>
      </c>
      <c r="AF2316" s="89"/>
      <c r="AG2316" s="89" t="s">
        <v>352</v>
      </c>
      <c r="AH2316" s="72">
        <v>42713</v>
      </c>
      <c r="AI2316" s="30">
        <v>2</v>
      </c>
      <c r="AJ2316" s="89" t="s">
        <v>13012</v>
      </c>
      <c r="AK2316" s="89" t="s">
        <v>1233</v>
      </c>
      <c r="AL2316" s="91">
        <v>43055</v>
      </c>
      <c r="AM2316" s="91"/>
      <c r="AN2316" s="91"/>
      <c r="AO2316" s="91"/>
      <c r="AP2316" s="73" t="e">
        <f>MID(VLOOKUP(K2316,#REF!,2,FALSE),1,2)</f>
        <v>#REF!</v>
      </c>
      <c r="AQ2316" s="89">
        <f>DATE(2016,11,29)</f>
        <v>42703</v>
      </c>
      <c r="AR2316" s="82">
        <f t="shared" si="168"/>
        <v>29</v>
      </c>
      <c r="AS2316" s="83">
        <f t="shared" si="169"/>
        <v>11</v>
      </c>
      <c r="AT2316" s="84">
        <f t="shared" si="170"/>
        <v>2016</v>
      </c>
      <c r="AU2316" s="88">
        <f>DATE(2016,12,10)</f>
        <v>42714</v>
      </c>
      <c r="AV2316" s="88">
        <f>DATE(2016,12,5)</f>
        <v>42709</v>
      </c>
      <c r="AW2316" s="87">
        <f t="shared" si="171"/>
        <v>5</v>
      </c>
      <c r="AX2316" s="88">
        <f>DATE(2016,12,9)</f>
        <v>42713</v>
      </c>
      <c r="AY2316" s="83">
        <f>MONTH(AX2316)</f>
        <v>12</v>
      </c>
      <c r="AZ2316" s="84">
        <f>YEAR(AX2316)</f>
        <v>2016</v>
      </c>
      <c r="BA2316" s="88">
        <f>DATE(2016,11,29)</f>
        <v>42703</v>
      </c>
      <c r="BB2316" s="86"/>
    </row>
    <row r="2317" spans="1:54" ht="36.75" customHeight="1">
      <c r="A2317" s="30"/>
      <c r="B2317" s="30" t="s">
        <v>55</v>
      </c>
      <c r="C2317" s="69" t="str">
        <f t="shared" si="172"/>
        <v>Closed</v>
      </c>
      <c r="D2317" s="27" t="s">
        <v>13013</v>
      </c>
      <c r="E2317" s="29" t="s">
        <v>13014</v>
      </c>
      <c r="F2317" s="30" t="s">
        <v>1572</v>
      </c>
      <c r="G2317" s="89">
        <f>DATE(2016,11,29)</f>
        <v>42703</v>
      </c>
      <c r="H2317" s="90">
        <v>1.5694444444444444</v>
      </c>
      <c r="I2317" s="30" t="s">
        <v>5494</v>
      </c>
      <c r="J2317" s="89" t="s">
        <v>13015</v>
      </c>
      <c r="K2317" s="30" t="s">
        <v>1574</v>
      </c>
      <c r="L2317" s="30" t="s">
        <v>13016</v>
      </c>
      <c r="M2317" s="30" t="s">
        <v>63</v>
      </c>
      <c r="N2317" s="30" t="s">
        <v>99</v>
      </c>
      <c r="O2317" s="30" t="s">
        <v>77</v>
      </c>
      <c r="P2317" s="89" t="s">
        <v>91</v>
      </c>
      <c r="Q2317" s="89" t="s">
        <v>2655</v>
      </c>
      <c r="R2317" s="89" t="s">
        <v>6434</v>
      </c>
      <c r="S2317" s="30">
        <v>0</v>
      </c>
      <c r="T2317" s="233">
        <v>2</v>
      </c>
      <c r="U2317" s="30">
        <v>0</v>
      </c>
      <c r="V2317" s="233">
        <v>0</v>
      </c>
      <c r="W2317" s="30">
        <v>0</v>
      </c>
      <c r="X2317" s="30">
        <v>2</v>
      </c>
      <c r="Y2317" s="30">
        <v>0</v>
      </c>
      <c r="Z2317" s="233">
        <v>0</v>
      </c>
      <c r="AA2317" s="30">
        <v>0</v>
      </c>
      <c r="AB2317" s="30">
        <v>0</v>
      </c>
      <c r="AC2317" s="30">
        <v>0</v>
      </c>
      <c r="AD2317" s="30">
        <v>0</v>
      </c>
      <c r="AE2317" s="89" t="s">
        <v>394</v>
      </c>
      <c r="AF2317" s="89"/>
      <c r="AG2317" s="89" t="s">
        <v>82</v>
      </c>
      <c r="AH2317" s="72">
        <v>42709</v>
      </c>
      <c r="AI2317" s="30">
        <v>4</v>
      </c>
      <c r="AJ2317" s="89" t="s">
        <v>13017</v>
      </c>
      <c r="AK2317" s="89" t="s">
        <v>13018</v>
      </c>
      <c r="AL2317" s="91">
        <v>42714</v>
      </c>
      <c r="AM2317" s="91"/>
      <c r="AN2317" s="91"/>
      <c r="AO2317" s="91"/>
      <c r="AP2317" s="73" t="e">
        <f>MID(VLOOKUP(K2317,#REF!,2,FALSE),1,2)</f>
        <v>#REF!</v>
      </c>
      <c r="AQ2317" s="89">
        <f>DATE(2016,11,29)</f>
        <v>42703</v>
      </c>
      <c r="AR2317" s="82">
        <f t="shared" si="168"/>
        <v>29</v>
      </c>
      <c r="AS2317" s="83">
        <f t="shared" si="169"/>
        <v>11</v>
      </c>
      <c r="AT2317" s="84">
        <f t="shared" si="170"/>
        <v>2016</v>
      </c>
      <c r="AU2317" s="88">
        <f>DATE(2016,12,10)</f>
        <v>42714</v>
      </c>
      <c r="AV2317" s="88">
        <f>DATE(2016,12,5)</f>
        <v>42709</v>
      </c>
      <c r="AW2317" s="87">
        <f t="shared" si="171"/>
        <v>5</v>
      </c>
      <c r="AX2317" s="88">
        <f>DATE(2016,12,10)</f>
        <v>42714</v>
      </c>
      <c r="AY2317" s="83">
        <f>MONTH(AX2317)</f>
        <v>12</v>
      </c>
      <c r="AZ2317" s="84">
        <f>YEAR(AX2317)</f>
        <v>2016</v>
      </c>
      <c r="BA2317" s="88">
        <f>DATE(2016,11,29)</f>
        <v>42703</v>
      </c>
      <c r="BB2317" s="86"/>
    </row>
    <row r="2318" spans="1:54" ht="36.75" customHeight="1">
      <c r="A2318" s="30"/>
      <c r="B2318" s="30" t="s">
        <v>55</v>
      </c>
      <c r="C2318" s="69" t="str">
        <f t="shared" si="172"/>
        <v>Closed</v>
      </c>
      <c r="D2318" s="27" t="s">
        <v>13019</v>
      </c>
      <c r="E2318" s="29" t="s">
        <v>13020</v>
      </c>
      <c r="F2318" s="30" t="s">
        <v>1572</v>
      </c>
      <c r="G2318" s="89">
        <f>DATE(2016,11,29)</f>
        <v>42703</v>
      </c>
      <c r="H2318" s="90">
        <v>1.7430555555555554</v>
      </c>
      <c r="I2318" s="30" t="s">
        <v>125</v>
      </c>
      <c r="J2318" s="89" t="s">
        <v>13021</v>
      </c>
      <c r="K2318" s="30" t="s">
        <v>1574</v>
      </c>
      <c r="L2318" s="30" t="s">
        <v>13022</v>
      </c>
      <c r="M2318" s="30" t="s">
        <v>63</v>
      </c>
      <c r="N2318" s="30" t="s">
        <v>99</v>
      </c>
      <c r="O2318" s="30" t="s">
        <v>77</v>
      </c>
      <c r="P2318" s="89" t="s">
        <v>6941</v>
      </c>
      <c r="Q2318" s="89" t="s">
        <v>2413</v>
      </c>
      <c r="R2318" s="89" t="s">
        <v>6434</v>
      </c>
      <c r="S2318" s="30">
        <v>0</v>
      </c>
      <c r="T2318" s="233">
        <v>0</v>
      </c>
      <c r="U2318" s="30">
        <v>0</v>
      </c>
      <c r="V2318" s="233">
        <v>0</v>
      </c>
      <c r="W2318" s="30">
        <v>0</v>
      </c>
      <c r="X2318" s="30">
        <v>0</v>
      </c>
      <c r="Y2318" s="30">
        <v>0</v>
      </c>
      <c r="Z2318" s="233">
        <v>1</v>
      </c>
      <c r="AA2318" s="30">
        <v>0</v>
      </c>
      <c r="AB2318" s="30">
        <v>0</v>
      </c>
      <c r="AC2318" s="30">
        <v>0</v>
      </c>
      <c r="AD2318" s="30">
        <v>1</v>
      </c>
      <c r="AE2318" s="89" t="s">
        <v>92</v>
      </c>
      <c r="AF2318" s="89"/>
      <c r="AG2318" s="89" t="s">
        <v>133</v>
      </c>
      <c r="AH2318" s="72">
        <v>42709</v>
      </c>
      <c r="AI2318" s="30">
        <v>1</v>
      </c>
      <c r="AJ2318" s="89" t="s">
        <v>13023</v>
      </c>
      <c r="AK2318" s="89" t="s">
        <v>13024</v>
      </c>
      <c r="AL2318" s="91">
        <v>42714</v>
      </c>
      <c r="AM2318" s="91"/>
      <c r="AN2318" s="91"/>
      <c r="AO2318" s="91"/>
      <c r="AP2318" s="73" t="e">
        <f>MID(VLOOKUP(K2318,#REF!,2,FALSE),1,2)</f>
        <v>#REF!</v>
      </c>
      <c r="AQ2318" s="89">
        <f>DATE(2016,12,2)</f>
        <v>42706</v>
      </c>
      <c r="AR2318" s="82">
        <f t="shared" si="168"/>
        <v>2</v>
      </c>
      <c r="AS2318" s="83">
        <f t="shared" si="169"/>
        <v>12</v>
      </c>
      <c r="AT2318" s="84">
        <f t="shared" si="170"/>
        <v>2016</v>
      </c>
      <c r="AU2318" s="88">
        <f>DATE(2017,6,30)</f>
        <v>42916</v>
      </c>
      <c r="AV2318" s="88">
        <f>DATE(2017,6,26)</f>
        <v>42912</v>
      </c>
      <c r="AW2318" s="87">
        <f>AU2317-AV2317</f>
        <v>5</v>
      </c>
      <c r="AX2318" s="88">
        <f>DATE(2017,6,30)</f>
        <v>42916</v>
      </c>
      <c r="AY2318" s="83">
        <f>MONTH(AX2318)</f>
        <v>6</v>
      </c>
      <c r="AZ2318" s="84">
        <f>YEAR(AX2318)</f>
        <v>2017</v>
      </c>
      <c r="BA2318" s="88">
        <f>DATE(2017,6,26)</f>
        <v>42912</v>
      </c>
      <c r="BB2318" s="86"/>
    </row>
    <row r="2319" spans="1:54" ht="36.75" customHeight="1">
      <c r="A2319" s="30"/>
      <c r="B2319" s="30" t="s">
        <v>55</v>
      </c>
      <c r="C2319" s="69" t="str">
        <f t="shared" si="172"/>
        <v>Closed</v>
      </c>
      <c r="D2319" s="27" t="s">
        <v>13025</v>
      </c>
      <c r="E2319" s="29" t="s">
        <v>13026</v>
      </c>
      <c r="F2319" s="30" t="s">
        <v>2336</v>
      </c>
      <c r="G2319" s="89">
        <f>DATE(2016,12,2)</f>
        <v>42706</v>
      </c>
      <c r="H2319" s="90">
        <v>1.1743055555555555</v>
      </c>
      <c r="I2319" s="30" t="s">
        <v>198</v>
      </c>
      <c r="J2319" s="89" t="s">
        <v>13027</v>
      </c>
      <c r="K2319" s="30" t="s">
        <v>2338</v>
      </c>
      <c r="L2319" s="30" t="s">
        <v>13028</v>
      </c>
      <c r="M2319" s="30" t="s">
        <v>63</v>
      </c>
      <c r="N2319" s="30" t="s">
        <v>142</v>
      </c>
      <c r="O2319" s="30" t="s">
        <v>64</v>
      </c>
      <c r="P2319" s="89" t="s">
        <v>78</v>
      </c>
      <c r="Q2319" s="89" t="s">
        <v>13029</v>
      </c>
      <c r="R2319" s="89" t="s">
        <v>2341</v>
      </c>
      <c r="S2319" s="30">
        <v>0</v>
      </c>
      <c r="T2319" s="233">
        <v>0</v>
      </c>
      <c r="U2319" s="30">
        <v>0</v>
      </c>
      <c r="V2319" s="233">
        <v>0</v>
      </c>
      <c r="W2319" s="30">
        <v>0</v>
      </c>
      <c r="X2319" s="30">
        <v>0</v>
      </c>
      <c r="Y2319" s="30">
        <v>0</v>
      </c>
      <c r="Z2319" s="233">
        <v>0</v>
      </c>
      <c r="AA2319" s="30">
        <v>0</v>
      </c>
      <c r="AB2319" s="30">
        <v>0</v>
      </c>
      <c r="AC2319" s="30">
        <v>0</v>
      </c>
      <c r="AD2319" s="30">
        <v>0</v>
      </c>
      <c r="AE2319" s="89" t="s">
        <v>394</v>
      </c>
      <c r="AF2319" s="89"/>
      <c r="AG2319" s="89" t="s">
        <v>589</v>
      </c>
      <c r="AH2319" s="72">
        <v>42912</v>
      </c>
      <c r="AI2319" s="30">
        <v>5</v>
      </c>
      <c r="AJ2319" s="89" t="s">
        <v>13030</v>
      </c>
      <c r="AK2319" s="89" t="s">
        <v>13031</v>
      </c>
      <c r="AL2319" s="91">
        <v>42916</v>
      </c>
      <c r="AM2319" s="91"/>
      <c r="AN2319" s="91"/>
      <c r="AO2319" s="91"/>
      <c r="AP2319" s="73" t="e">
        <f>MID(VLOOKUP(K2319,#REF!,2,FALSE),1,2)</f>
        <v>#REF!</v>
      </c>
      <c r="AQ2319" s="89">
        <f>DATE(2016,12,2)</f>
        <v>42706</v>
      </c>
      <c r="AR2319" s="82">
        <f t="shared" si="168"/>
        <v>2</v>
      </c>
      <c r="AS2319" s="83">
        <f t="shared" si="169"/>
        <v>12</v>
      </c>
      <c r="AT2319" s="84">
        <f t="shared" si="170"/>
        <v>2016</v>
      </c>
      <c r="AU2319" s="88">
        <f>DATE(2017,1,3)</f>
        <v>42738</v>
      </c>
      <c r="AV2319" s="88">
        <f>DATE(2016,12,2)</f>
        <v>42706</v>
      </c>
      <c r="AW2319" s="87">
        <f t="shared" ref="AW2319:AW2361" si="173">AU2319-AV2319</f>
        <v>32</v>
      </c>
      <c r="AX2319" s="86"/>
      <c r="AY2319" s="83"/>
      <c r="AZ2319" s="84"/>
      <c r="BA2319" s="86"/>
      <c r="BB2319" s="86"/>
    </row>
    <row r="2320" spans="1:54" ht="36.75" customHeight="1">
      <c r="A2320" s="30"/>
      <c r="B2320" s="30" t="s">
        <v>55</v>
      </c>
      <c r="C2320" s="69" t="str">
        <f t="shared" si="172"/>
        <v>Closed</v>
      </c>
      <c r="D2320" s="27" t="s">
        <v>13032</v>
      </c>
      <c r="E2320" s="29" t="s">
        <v>13033</v>
      </c>
      <c r="F2320" s="30" t="s">
        <v>624</v>
      </c>
      <c r="G2320" s="89">
        <f>DATE(2016,12,2)</f>
        <v>42706</v>
      </c>
      <c r="H2320" s="90">
        <v>0</v>
      </c>
      <c r="I2320" s="30" t="s">
        <v>156</v>
      </c>
      <c r="J2320" s="89" t="s">
        <v>156</v>
      </c>
      <c r="K2320" s="30" t="s">
        <v>626</v>
      </c>
      <c r="L2320" s="30" t="s">
        <v>13034</v>
      </c>
      <c r="M2320" s="30" t="s">
        <v>63</v>
      </c>
      <c r="N2320" s="30" t="s">
        <v>142</v>
      </c>
      <c r="O2320" s="30" t="s">
        <v>64</v>
      </c>
      <c r="P2320" s="89" t="s">
        <v>65</v>
      </c>
      <c r="Q2320" s="89" t="s">
        <v>7181</v>
      </c>
      <c r="R2320" s="89" t="s">
        <v>629</v>
      </c>
      <c r="S2320" s="30">
        <v>0</v>
      </c>
      <c r="T2320" s="233">
        <v>0</v>
      </c>
      <c r="U2320" s="30">
        <v>0</v>
      </c>
      <c r="V2320" s="233">
        <v>0</v>
      </c>
      <c r="W2320" s="30">
        <v>0</v>
      </c>
      <c r="X2320" s="30">
        <v>0</v>
      </c>
      <c r="Y2320" s="30">
        <v>0</v>
      </c>
      <c r="Z2320" s="233">
        <v>0</v>
      </c>
      <c r="AA2320" s="30">
        <v>0</v>
      </c>
      <c r="AB2320" s="30">
        <v>0</v>
      </c>
      <c r="AC2320" s="30">
        <v>0</v>
      </c>
      <c r="AD2320" s="30">
        <v>0</v>
      </c>
      <c r="AE2320" s="89" t="s">
        <v>92</v>
      </c>
      <c r="AF2320" s="89"/>
      <c r="AG2320" s="89" t="s">
        <v>395</v>
      </c>
      <c r="AH2320" s="72">
        <v>42412</v>
      </c>
      <c r="AI2320" s="30">
        <v>1</v>
      </c>
      <c r="AJ2320" s="89" t="s">
        <v>13035</v>
      </c>
      <c r="AK2320" s="89" t="s">
        <v>68</v>
      </c>
      <c r="AL2320" s="91">
        <v>42795</v>
      </c>
      <c r="AM2320" s="91"/>
      <c r="AN2320" s="91"/>
      <c r="AO2320" s="91"/>
      <c r="AP2320" s="73" t="e">
        <f>MID(VLOOKUP(K2320,#REF!,2,FALSE),1,2)</f>
        <v>#REF!</v>
      </c>
      <c r="AQ2320" s="89">
        <f>DATE(2016,12,5)</f>
        <v>42709</v>
      </c>
      <c r="AR2320" s="82">
        <f t="shared" si="168"/>
        <v>5</v>
      </c>
      <c r="AS2320" s="83">
        <f t="shared" si="169"/>
        <v>12</v>
      </c>
      <c r="AT2320" s="84">
        <f t="shared" si="170"/>
        <v>2016</v>
      </c>
      <c r="AU2320" s="88">
        <f>DATE(2017,10,3)</f>
        <v>43011</v>
      </c>
      <c r="AV2320" s="88">
        <f>DATE(2017,12,5)</f>
        <v>43074</v>
      </c>
      <c r="AW2320" s="87">
        <f t="shared" si="173"/>
        <v>-63</v>
      </c>
      <c r="AX2320" s="88">
        <f>DATE(2017,12,5)</f>
        <v>43074</v>
      </c>
      <c r="AY2320" s="83">
        <f>MONTH(AX2320)</f>
        <v>12</v>
      </c>
      <c r="AZ2320" s="84">
        <f>YEAR(AX2320)</f>
        <v>2017</v>
      </c>
      <c r="BA2320" s="88">
        <f>DATE(2017,12,5)</f>
        <v>43074</v>
      </c>
      <c r="BB2320" s="86"/>
    </row>
    <row r="2321" spans="1:55" ht="36.75" customHeight="1">
      <c r="A2321" s="30"/>
      <c r="B2321" s="30" t="s">
        <v>55</v>
      </c>
      <c r="C2321" s="69" t="str">
        <f t="shared" si="172"/>
        <v>Closed</v>
      </c>
      <c r="D2321" s="27" t="s">
        <v>13036</v>
      </c>
      <c r="E2321" s="29" t="s">
        <v>13037</v>
      </c>
      <c r="F2321" s="30" t="s">
        <v>835</v>
      </c>
      <c r="G2321" s="89">
        <f>DATE(2016,12,5)</f>
        <v>42709</v>
      </c>
      <c r="H2321" s="90">
        <v>1.2854166666666667</v>
      </c>
      <c r="I2321" s="30" t="s">
        <v>198</v>
      </c>
      <c r="J2321" s="89" t="s">
        <v>13038</v>
      </c>
      <c r="K2321" s="30" t="s">
        <v>837</v>
      </c>
      <c r="L2321" s="30" t="s">
        <v>13039</v>
      </c>
      <c r="M2321" s="30" t="s">
        <v>129</v>
      </c>
      <c r="N2321" s="30" t="s">
        <v>142</v>
      </c>
      <c r="O2321" s="30" t="s">
        <v>77</v>
      </c>
      <c r="P2321" s="89" t="s">
        <v>129</v>
      </c>
      <c r="Q2321" s="89" t="s">
        <v>4210</v>
      </c>
      <c r="R2321" s="89" t="s">
        <v>4210</v>
      </c>
      <c r="S2321" s="30">
        <v>0</v>
      </c>
      <c r="T2321" s="233">
        <v>0</v>
      </c>
      <c r="U2321" s="30">
        <v>0</v>
      </c>
      <c r="V2321" s="233">
        <v>0</v>
      </c>
      <c r="W2321" s="30">
        <v>0</v>
      </c>
      <c r="X2321" s="30">
        <v>0</v>
      </c>
      <c r="Y2321" s="30">
        <v>2</v>
      </c>
      <c r="Z2321" s="233">
        <v>0</v>
      </c>
      <c r="AA2321" s="30">
        <v>0</v>
      </c>
      <c r="AB2321" s="30">
        <v>0</v>
      </c>
      <c r="AC2321" s="30">
        <v>0</v>
      </c>
      <c r="AD2321" s="30">
        <v>2</v>
      </c>
      <c r="AE2321" s="89" t="s">
        <v>394</v>
      </c>
      <c r="AF2321" s="89"/>
      <c r="AG2321" s="89" t="s">
        <v>133</v>
      </c>
      <c r="AH2321" s="72">
        <v>42709</v>
      </c>
      <c r="AI2321" s="30">
        <v>3</v>
      </c>
      <c r="AJ2321" s="89" t="s">
        <v>13040</v>
      </c>
      <c r="AK2321" s="89" t="s">
        <v>68</v>
      </c>
      <c r="AL2321" s="91">
        <v>43011</v>
      </c>
      <c r="AM2321" s="91"/>
      <c r="AN2321" s="91"/>
      <c r="AO2321" s="91"/>
      <c r="AP2321" s="73" t="e">
        <f>MID(VLOOKUP(K2321,#REF!,2,FALSE),1,2)</f>
        <v>#REF!</v>
      </c>
      <c r="AQ2321" s="89">
        <f>DATE(2016,12,6)</f>
        <v>42710</v>
      </c>
      <c r="AR2321" s="82">
        <f t="shared" si="168"/>
        <v>6</v>
      </c>
      <c r="AS2321" s="83">
        <f t="shared" si="169"/>
        <v>12</v>
      </c>
      <c r="AT2321" s="84">
        <f t="shared" si="170"/>
        <v>2016</v>
      </c>
      <c r="AU2321" s="88">
        <f>DATE(2017,1,23)</f>
        <v>42758</v>
      </c>
      <c r="AV2321" s="88">
        <f>DATE(2017,1,12)</f>
        <v>42747</v>
      </c>
      <c r="AW2321" s="87">
        <f t="shared" si="173"/>
        <v>11</v>
      </c>
      <c r="AX2321" s="88">
        <f>DATE(2017,1,23)</f>
        <v>42758</v>
      </c>
      <c r="AY2321" s="83">
        <f>MONTH(AX2321)</f>
        <v>1</v>
      </c>
      <c r="AZ2321" s="84">
        <f>YEAR(AX2321)</f>
        <v>2017</v>
      </c>
      <c r="BA2321" s="88">
        <f>DATE(2016,12,6)</f>
        <v>42710</v>
      </c>
      <c r="BB2321" s="86"/>
    </row>
    <row r="2322" spans="1:55" ht="36.75" customHeight="1">
      <c r="A2322" s="30"/>
      <c r="B2322" s="30" t="s">
        <v>2124</v>
      </c>
      <c r="C2322" s="69" t="str">
        <f t="shared" si="172"/>
        <v>Open</v>
      </c>
      <c r="D2322" s="27" t="s">
        <v>13041</v>
      </c>
      <c r="E2322" s="29" t="s">
        <v>13042</v>
      </c>
      <c r="F2322" s="30" t="s">
        <v>594</v>
      </c>
      <c r="G2322" s="89">
        <f>DATE(2016,12,6)</f>
        <v>42710</v>
      </c>
      <c r="H2322" s="90">
        <v>1.0034722222222223</v>
      </c>
      <c r="I2322" s="30" t="s">
        <v>2078</v>
      </c>
      <c r="J2322" s="89" t="s">
        <v>13043</v>
      </c>
      <c r="K2322" s="30" t="s">
        <v>596</v>
      </c>
      <c r="L2322" s="30" t="s">
        <v>13044</v>
      </c>
      <c r="M2322" s="30" t="s">
        <v>63</v>
      </c>
      <c r="N2322" s="30" t="s">
        <v>142</v>
      </c>
      <c r="O2322" s="30" t="s">
        <v>64</v>
      </c>
      <c r="P2322" s="89" t="s">
        <v>301</v>
      </c>
      <c r="Q2322" s="89" t="s">
        <v>12074</v>
      </c>
      <c r="R2322" s="89" t="s">
        <v>12074</v>
      </c>
      <c r="S2322" s="30">
        <v>0</v>
      </c>
      <c r="T2322" s="233">
        <v>0</v>
      </c>
      <c r="U2322" s="30">
        <v>0</v>
      </c>
      <c r="V2322" s="233">
        <v>0</v>
      </c>
      <c r="W2322" s="30">
        <v>0</v>
      </c>
      <c r="X2322" s="30">
        <v>0</v>
      </c>
      <c r="Y2322" s="30">
        <v>0</v>
      </c>
      <c r="Z2322" s="233">
        <v>0</v>
      </c>
      <c r="AA2322" s="30">
        <v>0</v>
      </c>
      <c r="AB2322" s="30">
        <v>0</v>
      </c>
      <c r="AC2322" s="30">
        <v>0</v>
      </c>
      <c r="AD2322" s="30">
        <v>0</v>
      </c>
      <c r="AE2322" s="89" t="s">
        <v>92</v>
      </c>
      <c r="AF2322" s="89"/>
      <c r="AG2322" s="89" t="s">
        <v>133</v>
      </c>
      <c r="AH2322" s="72">
        <v>43070</v>
      </c>
      <c r="AI2322" s="30">
        <v>0</v>
      </c>
      <c r="AJ2322" s="89" t="s">
        <v>68</v>
      </c>
      <c r="AK2322" s="89" t="s">
        <v>68</v>
      </c>
      <c r="AL2322" s="91">
        <v>42758</v>
      </c>
      <c r="AM2322" s="91"/>
      <c r="AN2322" s="91"/>
      <c r="AO2322" s="91"/>
      <c r="AP2322" s="73" t="e">
        <f>MID(VLOOKUP(K2322,#REF!,2,FALSE),1,2)</f>
        <v>#REF!</v>
      </c>
      <c r="AQ2322" s="89">
        <f>DATE(2016,12,10)</f>
        <v>42714</v>
      </c>
      <c r="AR2322" s="82">
        <f t="shared" si="168"/>
        <v>10</v>
      </c>
      <c r="AS2322" s="83">
        <f t="shared" si="169"/>
        <v>12</v>
      </c>
      <c r="AT2322" s="84">
        <f t="shared" si="170"/>
        <v>2016</v>
      </c>
      <c r="AU2322" s="88">
        <f>DATE(2016,12,13)</f>
        <v>42717</v>
      </c>
      <c r="AV2322" s="88">
        <f>DATE(2016,12,10)</f>
        <v>42714</v>
      </c>
      <c r="AW2322" s="87">
        <f t="shared" si="173"/>
        <v>3</v>
      </c>
      <c r="AX2322" s="88">
        <f>DATE(2016,12,12)</f>
        <v>42716</v>
      </c>
      <c r="AY2322" s="83">
        <f>MONTH(AX2322)</f>
        <v>12</v>
      </c>
      <c r="AZ2322" s="84">
        <f>YEAR(AX2322)</f>
        <v>2016</v>
      </c>
      <c r="BA2322" s="88">
        <f>DATE(2016,12,10)</f>
        <v>42714</v>
      </c>
      <c r="BB2322" s="86"/>
    </row>
    <row r="2323" spans="1:55" ht="36.75" customHeight="1">
      <c r="A2323" s="30"/>
      <c r="B2323" s="30" t="s">
        <v>55</v>
      </c>
      <c r="C2323" s="69" t="str">
        <f t="shared" si="172"/>
        <v>Closed</v>
      </c>
      <c r="D2323" s="27" t="s">
        <v>13045</v>
      </c>
      <c r="E2323" s="29" t="s">
        <v>13046</v>
      </c>
      <c r="F2323" s="30" t="s">
        <v>2601</v>
      </c>
      <c r="G2323" s="89">
        <f>DATE(2016,12,10)</f>
        <v>42714</v>
      </c>
      <c r="H2323" s="90">
        <v>1.2340277777777777</v>
      </c>
      <c r="I2323" s="30" t="s">
        <v>73</v>
      </c>
      <c r="J2323" s="89" t="s">
        <v>13047</v>
      </c>
      <c r="K2323" s="30" t="s">
        <v>2603</v>
      </c>
      <c r="L2323" s="30" t="s">
        <v>13048</v>
      </c>
      <c r="M2323" s="30" t="s">
        <v>63</v>
      </c>
      <c r="N2323" s="30" t="s">
        <v>89</v>
      </c>
      <c r="O2323" s="30" t="s">
        <v>77</v>
      </c>
      <c r="P2323" s="89" t="s">
        <v>78</v>
      </c>
      <c r="Q2323" s="89" t="s">
        <v>13049</v>
      </c>
      <c r="R2323" s="89" t="s">
        <v>2606</v>
      </c>
      <c r="S2323" s="30">
        <v>0</v>
      </c>
      <c r="T2323" s="233">
        <v>0</v>
      </c>
      <c r="U2323" s="30">
        <v>0</v>
      </c>
      <c r="V2323" s="233">
        <v>0</v>
      </c>
      <c r="W2323" s="30">
        <v>7</v>
      </c>
      <c r="X2323" s="30">
        <v>7</v>
      </c>
      <c r="Y2323" s="30">
        <v>0</v>
      </c>
      <c r="Z2323" s="233">
        <v>0</v>
      </c>
      <c r="AA2323" s="30">
        <v>0</v>
      </c>
      <c r="AB2323" s="30">
        <v>0</v>
      </c>
      <c r="AC2323" s="30">
        <v>4</v>
      </c>
      <c r="AD2323" s="30">
        <v>4</v>
      </c>
      <c r="AE2323" s="89" t="s">
        <v>394</v>
      </c>
      <c r="AF2323" s="89"/>
      <c r="AG2323" s="89" t="s">
        <v>82</v>
      </c>
      <c r="AH2323" s="72">
        <v>42714</v>
      </c>
      <c r="AI2323" s="30">
        <v>16</v>
      </c>
      <c r="AJ2323" s="89" t="s">
        <v>13050</v>
      </c>
      <c r="AK2323" s="89" t="s">
        <v>13051</v>
      </c>
      <c r="AL2323" s="91">
        <v>42717</v>
      </c>
      <c r="AM2323" s="91"/>
      <c r="AN2323" s="91"/>
      <c r="AO2323" s="91"/>
      <c r="AP2323" s="73" t="e">
        <f>MID(VLOOKUP(K2323,#REF!,2,FALSE),1,2)</f>
        <v>#REF!</v>
      </c>
      <c r="AQ2323" s="89">
        <f>DATE(2016,12,12)</f>
        <v>42716</v>
      </c>
      <c r="AR2323" s="82">
        <f t="shared" si="168"/>
        <v>12</v>
      </c>
      <c r="AS2323" s="83">
        <f t="shared" si="169"/>
        <v>12</v>
      </c>
      <c r="AT2323" s="84">
        <f t="shared" si="170"/>
        <v>2016</v>
      </c>
      <c r="AU2323" s="88">
        <f>DATE(2018,4,17)</f>
        <v>43207</v>
      </c>
      <c r="AV2323" s="88">
        <f>DATE(2016,12,12)</f>
        <v>42716</v>
      </c>
      <c r="AW2323" s="87">
        <f t="shared" si="173"/>
        <v>491</v>
      </c>
      <c r="AX2323" s="86"/>
      <c r="AY2323" s="83"/>
      <c r="AZ2323" s="84"/>
      <c r="BA2323" s="86"/>
      <c r="BB2323" s="86"/>
    </row>
    <row r="2324" spans="1:55" ht="36.75" customHeight="1">
      <c r="A2324" s="30"/>
      <c r="B2324" s="30" t="s">
        <v>55</v>
      </c>
      <c r="C2324" s="69" t="str">
        <f t="shared" si="172"/>
        <v>Closed</v>
      </c>
      <c r="D2324" s="27" t="s">
        <v>13052</v>
      </c>
      <c r="E2324" s="29" t="s">
        <v>13053</v>
      </c>
      <c r="F2324" s="30" t="s">
        <v>451</v>
      </c>
      <c r="G2324" s="89">
        <f>DATE(2016,12,12)</f>
        <v>42716</v>
      </c>
      <c r="H2324" s="90">
        <v>0</v>
      </c>
      <c r="I2324" s="30" t="s">
        <v>278</v>
      </c>
      <c r="J2324" s="89" t="s">
        <v>13054</v>
      </c>
      <c r="K2324" s="30" t="s">
        <v>453</v>
      </c>
      <c r="L2324" s="30" t="s">
        <v>13055</v>
      </c>
      <c r="M2324" s="30" t="s">
        <v>63</v>
      </c>
      <c r="N2324" s="30" t="s">
        <v>99</v>
      </c>
      <c r="O2324" s="30" t="s">
        <v>90</v>
      </c>
      <c r="P2324" s="89" t="s">
        <v>91</v>
      </c>
      <c r="Q2324" s="89" t="s">
        <v>10984</v>
      </c>
      <c r="R2324" s="89" t="s">
        <v>572</v>
      </c>
      <c r="S2324" s="30">
        <v>0</v>
      </c>
      <c r="T2324" s="233">
        <v>1</v>
      </c>
      <c r="U2324" s="30">
        <v>0</v>
      </c>
      <c r="V2324" s="233">
        <v>0</v>
      </c>
      <c r="W2324" s="30">
        <v>0</v>
      </c>
      <c r="X2324" s="30">
        <v>1</v>
      </c>
      <c r="Y2324" s="30">
        <v>0</v>
      </c>
      <c r="Z2324" s="233">
        <v>0</v>
      </c>
      <c r="AA2324" s="30">
        <v>0</v>
      </c>
      <c r="AB2324" s="30">
        <v>0</v>
      </c>
      <c r="AC2324" s="30">
        <v>0</v>
      </c>
      <c r="AD2324" s="30">
        <v>0</v>
      </c>
      <c r="AE2324" s="89" t="s">
        <v>394</v>
      </c>
      <c r="AF2324" s="89"/>
      <c r="AG2324" s="89" t="s">
        <v>82</v>
      </c>
      <c r="AH2324" s="72">
        <v>42716</v>
      </c>
      <c r="AI2324" s="30">
        <v>3</v>
      </c>
      <c r="AJ2324" s="89" t="s">
        <v>13056</v>
      </c>
      <c r="AK2324" s="89" t="s">
        <v>68</v>
      </c>
      <c r="AL2324" s="91">
        <v>43207</v>
      </c>
      <c r="AM2324" s="91"/>
      <c r="AN2324" s="91"/>
      <c r="AO2324" s="91"/>
      <c r="AP2324" s="73" t="e">
        <f>MID(VLOOKUP(K2324,#REF!,2,FALSE),1,2)</f>
        <v>#REF!</v>
      </c>
      <c r="AQ2324" s="89">
        <f>DATE(2016,12,13)</f>
        <v>42717</v>
      </c>
      <c r="AR2324" s="82">
        <f t="shared" si="168"/>
        <v>13</v>
      </c>
      <c r="AS2324" s="83">
        <f t="shared" si="169"/>
        <v>12</v>
      </c>
      <c r="AT2324" s="84">
        <f t="shared" si="170"/>
        <v>2016</v>
      </c>
      <c r="AU2324" s="88">
        <f>DATE(2016,12,28)</f>
        <v>42732</v>
      </c>
      <c r="AV2324" s="88">
        <f>DATE(2016,12,15)</f>
        <v>42719</v>
      </c>
      <c r="AW2324" s="87">
        <f t="shared" si="173"/>
        <v>13</v>
      </c>
      <c r="AX2324" s="86"/>
      <c r="AY2324" s="83"/>
      <c r="AZ2324" s="84"/>
      <c r="BA2324" s="86"/>
      <c r="BB2324" s="86"/>
    </row>
    <row r="2325" spans="1:55" ht="36.75" customHeight="1">
      <c r="A2325" s="30"/>
      <c r="B2325" s="30" t="s">
        <v>55</v>
      </c>
      <c r="C2325" s="69" t="str">
        <f t="shared" si="172"/>
        <v>Closed</v>
      </c>
      <c r="D2325" s="27" t="s">
        <v>13057</v>
      </c>
      <c r="E2325" s="29" t="s">
        <v>13058</v>
      </c>
      <c r="F2325" s="30" t="s">
        <v>115</v>
      </c>
      <c r="G2325" s="89">
        <f>DATE(2016,12,13)</f>
        <v>42717</v>
      </c>
      <c r="H2325" s="90">
        <v>0</v>
      </c>
      <c r="I2325" s="30" t="s">
        <v>9419</v>
      </c>
      <c r="J2325" s="89" t="s">
        <v>13059</v>
      </c>
      <c r="K2325" s="30" t="s">
        <v>118</v>
      </c>
      <c r="L2325" s="30" t="s">
        <v>13060</v>
      </c>
      <c r="M2325" s="30" t="s">
        <v>63</v>
      </c>
      <c r="N2325" s="30" t="s">
        <v>142</v>
      </c>
      <c r="O2325" s="30" t="s">
        <v>64</v>
      </c>
      <c r="P2325" s="89" t="s">
        <v>78</v>
      </c>
      <c r="Q2325" s="89" t="s">
        <v>120</v>
      </c>
      <c r="R2325" s="89" t="s">
        <v>121</v>
      </c>
      <c r="S2325" s="30">
        <v>0</v>
      </c>
      <c r="T2325" s="233">
        <v>0</v>
      </c>
      <c r="U2325" s="30">
        <v>0</v>
      </c>
      <c r="V2325" s="233">
        <v>0</v>
      </c>
      <c r="W2325" s="30">
        <v>0</v>
      </c>
      <c r="X2325" s="30">
        <v>0</v>
      </c>
      <c r="Y2325" s="30">
        <v>0</v>
      </c>
      <c r="Z2325" s="233">
        <v>0</v>
      </c>
      <c r="AA2325" s="30">
        <v>0</v>
      </c>
      <c r="AB2325" s="30">
        <v>0</v>
      </c>
      <c r="AC2325" s="30">
        <v>0</v>
      </c>
      <c r="AD2325" s="30">
        <v>0</v>
      </c>
      <c r="AE2325" s="89" t="s">
        <v>92</v>
      </c>
      <c r="AF2325" s="89"/>
      <c r="AG2325" s="89" t="s">
        <v>352</v>
      </c>
      <c r="AH2325" s="72">
        <v>42719</v>
      </c>
      <c r="AI2325" s="30">
        <v>3</v>
      </c>
      <c r="AJ2325" s="89" t="s">
        <v>13061</v>
      </c>
      <c r="AK2325" s="89" t="s">
        <v>13062</v>
      </c>
      <c r="AL2325" s="91">
        <v>42732</v>
      </c>
      <c r="AM2325" s="91"/>
      <c r="AN2325" s="91"/>
      <c r="AO2325" s="91"/>
      <c r="AP2325" s="73" t="e">
        <f>MID(VLOOKUP(K2325,#REF!,2,FALSE),1,2)</f>
        <v>#REF!</v>
      </c>
      <c r="AQ2325" s="89">
        <f>DATE(2016,12,15)</f>
        <v>42719</v>
      </c>
      <c r="AR2325" s="82">
        <f t="shared" si="168"/>
        <v>15</v>
      </c>
      <c r="AS2325" s="83">
        <f t="shared" si="169"/>
        <v>12</v>
      </c>
      <c r="AT2325" s="84">
        <f t="shared" si="170"/>
        <v>2016</v>
      </c>
      <c r="AU2325" s="88">
        <f>DATE(2017,1,2)</f>
        <v>42737</v>
      </c>
      <c r="AV2325" s="88">
        <f>DATE(2016,12,27)</f>
        <v>42731</v>
      </c>
      <c r="AW2325" s="87">
        <f t="shared" si="173"/>
        <v>6</v>
      </c>
      <c r="AX2325" s="86"/>
      <c r="AY2325" s="83"/>
      <c r="AZ2325" s="84"/>
      <c r="BA2325" s="86"/>
      <c r="BB2325" s="86"/>
    </row>
    <row r="2326" spans="1:55" ht="36.75" customHeight="1">
      <c r="A2326" s="30"/>
      <c r="B2326" s="30" t="s">
        <v>55</v>
      </c>
      <c r="C2326" s="69" t="str">
        <f t="shared" si="172"/>
        <v>Closed</v>
      </c>
      <c r="D2326" s="27" t="s">
        <v>13063</v>
      </c>
      <c r="E2326" s="29" t="s">
        <v>13064</v>
      </c>
      <c r="F2326" s="30" t="s">
        <v>423</v>
      </c>
      <c r="G2326" s="89">
        <f>DATE(2016,12,15)</f>
        <v>42719</v>
      </c>
      <c r="H2326" s="90">
        <v>1.973611111111111</v>
      </c>
      <c r="I2326" s="30" t="s">
        <v>73</v>
      </c>
      <c r="J2326" s="89" t="s">
        <v>13065</v>
      </c>
      <c r="K2326" s="30" t="s">
        <v>425</v>
      </c>
      <c r="L2326" s="30" t="s">
        <v>13066</v>
      </c>
      <c r="M2326" s="30" t="s">
        <v>63</v>
      </c>
      <c r="N2326" s="30" t="s">
        <v>99</v>
      </c>
      <c r="O2326" s="30" t="s">
        <v>77</v>
      </c>
      <c r="P2326" s="89" t="s">
        <v>78</v>
      </c>
      <c r="Q2326" s="89" t="s">
        <v>2582</v>
      </c>
      <c r="R2326" s="89" t="s">
        <v>3103</v>
      </c>
      <c r="S2326" s="30">
        <v>0</v>
      </c>
      <c r="T2326" s="233">
        <v>0</v>
      </c>
      <c r="U2326" s="30">
        <v>0</v>
      </c>
      <c r="V2326" s="233">
        <v>0</v>
      </c>
      <c r="W2326" s="30">
        <v>0</v>
      </c>
      <c r="X2326" s="30">
        <v>0</v>
      </c>
      <c r="Y2326" s="30">
        <v>0</v>
      </c>
      <c r="Z2326" s="233">
        <v>0</v>
      </c>
      <c r="AA2326" s="30">
        <v>0</v>
      </c>
      <c r="AB2326" s="30">
        <v>0</v>
      </c>
      <c r="AC2326" s="30">
        <v>0</v>
      </c>
      <c r="AD2326" s="30">
        <v>0</v>
      </c>
      <c r="AE2326" s="89" t="s">
        <v>394</v>
      </c>
      <c r="AF2326" s="89"/>
      <c r="AG2326" s="89" t="s">
        <v>133</v>
      </c>
      <c r="AH2326" s="72">
        <v>42731</v>
      </c>
      <c r="AI2326" s="30">
        <v>1</v>
      </c>
      <c r="AJ2326" s="89" t="s">
        <v>13067</v>
      </c>
      <c r="AK2326" s="89" t="s">
        <v>13068</v>
      </c>
      <c r="AL2326" s="91">
        <v>42737</v>
      </c>
      <c r="AM2326" s="91"/>
      <c r="AN2326" s="91"/>
      <c r="AO2326" s="91"/>
      <c r="AP2326" s="73" t="e">
        <f>MID(VLOOKUP(K2326,#REF!,2,FALSE),1,2)</f>
        <v>#REF!</v>
      </c>
      <c r="AQ2326" s="89">
        <f>DATE(2016,12,18)</f>
        <v>42722</v>
      </c>
      <c r="AR2326" s="82">
        <f t="shared" si="168"/>
        <v>18</v>
      </c>
      <c r="AS2326" s="83">
        <f t="shared" si="169"/>
        <v>12</v>
      </c>
      <c r="AT2326" s="84">
        <f t="shared" si="170"/>
        <v>2016</v>
      </c>
      <c r="AU2326" s="88">
        <f>DATE(2017,1,6)</f>
        <v>42741</v>
      </c>
      <c r="AV2326" s="88">
        <f>DATE(2016,12,28)</f>
        <v>42732</v>
      </c>
      <c r="AW2326" s="87">
        <f t="shared" si="173"/>
        <v>9</v>
      </c>
      <c r="AX2326" s="86"/>
      <c r="AY2326" s="83"/>
      <c r="AZ2326" s="84"/>
      <c r="BA2326" s="86"/>
      <c r="BB2326" s="86"/>
    </row>
    <row r="2327" spans="1:55" ht="36.75" customHeight="1">
      <c r="A2327" s="30"/>
      <c r="B2327" s="30" t="s">
        <v>55</v>
      </c>
      <c r="C2327" s="69" t="str">
        <f t="shared" si="172"/>
        <v>Closed</v>
      </c>
      <c r="D2327" s="27" t="s">
        <v>13069</v>
      </c>
      <c r="E2327" s="29" t="s">
        <v>13070</v>
      </c>
      <c r="F2327" s="30" t="s">
        <v>582</v>
      </c>
      <c r="G2327" s="89">
        <f>DATE(2016,12,18)</f>
        <v>42722</v>
      </c>
      <c r="H2327" s="90">
        <v>1.5854166666666667</v>
      </c>
      <c r="I2327" s="30" t="s">
        <v>198</v>
      </c>
      <c r="J2327" s="89" t="s">
        <v>13071</v>
      </c>
      <c r="K2327" s="30" t="s">
        <v>584</v>
      </c>
      <c r="L2327" s="30" t="s">
        <v>13072</v>
      </c>
      <c r="M2327" s="30" t="s">
        <v>63</v>
      </c>
      <c r="N2327" s="30" t="s">
        <v>142</v>
      </c>
      <c r="O2327" s="30" t="s">
        <v>77</v>
      </c>
      <c r="P2327" s="89" t="s">
        <v>78</v>
      </c>
      <c r="Q2327" s="89" t="s">
        <v>11099</v>
      </c>
      <c r="R2327" s="89" t="s">
        <v>587</v>
      </c>
      <c r="S2327" s="30">
        <v>0</v>
      </c>
      <c r="T2327" s="233">
        <v>0</v>
      </c>
      <c r="U2327" s="30">
        <v>0</v>
      </c>
      <c r="V2327" s="233">
        <v>0</v>
      </c>
      <c r="W2327" s="30">
        <v>0</v>
      </c>
      <c r="X2327" s="30">
        <v>0</v>
      </c>
      <c r="Y2327" s="30">
        <v>0</v>
      </c>
      <c r="Z2327" s="233">
        <v>0</v>
      </c>
      <c r="AA2327" s="30">
        <v>0</v>
      </c>
      <c r="AB2327" s="30">
        <v>0</v>
      </c>
      <c r="AC2327" s="30">
        <v>0</v>
      </c>
      <c r="AD2327" s="30">
        <v>0</v>
      </c>
      <c r="AE2327" s="89" t="s">
        <v>92</v>
      </c>
      <c r="AF2327" s="89"/>
      <c r="AG2327" s="89" t="s">
        <v>133</v>
      </c>
      <c r="AH2327" s="72">
        <v>42732</v>
      </c>
      <c r="AI2327" s="30">
        <v>0</v>
      </c>
      <c r="AJ2327" s="89" t="s">
        <v>13073</v>
      </c>
      <c r="AK2327" s="89" t="s">
        <v>1233</v>
      </c>
      <c r="AL2327" s="91">
        <v>42741</v>
      </c>
      <c r="AM2327" s="91"/>
      <c r="AN2327" s="91"/>
      <c r="AO2327" s="91"/>
      <c r="AP2327" s="73" t="e">
        <f>MID(VLOOKUP(K2327,#REF!,2,FALSE),1,2)</f>
        <v>#REF!</v>
      </c>
      <c r="AQ2327" s="89">
        <f>DATE(2016,12,22)</f>
        <v>42726</v>
      </c>
      <c r="AR2327" s="82">
        <f t="shared" si="168"/>
        <v>22</v>
      </c>
      <c r="AS2327" s="83">
        <f t="shared" si="169"/>
        <v>12</v>
      </c>
      <c r="AT2327" s="84">
        <f t="shared" si="170"/>
        <v>2016</v>
      </c>
      <c r="AU2327" s="88">
        <f>DATE(2017,1,11)</f>
        <v>42746</v>
      </c>
      <c r="AV2327" s="88">
        <f>DATE(2017,1,3)</f>
        <v>42738</v>
      </c>
      <c r="AW2327" s="87">
        <f t="shared" si="173"/>
        <v>8</v>
      </c>
      <c r="AX2327" s="88">
        <f>DATE(2017,1,11)</f>
        <v>42746</v>
      </c>
      <c r="AY2327" s="83">
        <f t="shared" ref="AY2327:AY2333" si="174">MONTH(AX2327)</f>
        <v>1</v>
      </c>
      <c r="AZ2327" s="84">
        <f t="shared" ref="AZ2327:AZ2333" si="175">YEAR(AX2327)</f>
        <v>2017</v>
      </c>
      <c r="BA2327" s="86"/>
      <c r="BB2327" s="86"/>
    </row>
    <row r="2328" spans="1:55" ht="36.75" customHeight="1">
      <c r="A2328" s="30"/>
      <c r="B2328" s="30" t="s">
        <v>55</v>
      </c>
      <c r="C2328" s="69" t="str">
        <f t="shared" si="172"/>
        <v>Closed</v>
      </c>
      <c r="D2328" s="27" t="s">
        <v>13074</v>
      </c>
      <c r="E2328" s="29" t="s">
        <v>13075</v>
      </c>
      <c r="F2328" s="30" t="s">
        <v>233</v>
      </c>
      <c r="G2328" s="89">
        <f>DATE(2016,12,22)</f>
        <v>42726</v>
      </c>
      <c r="H2328" s="90">
        <v>1.4180555555555556</v>
      </c>
      <c r="I2328" s="30" t="s">
        <v>278</v>
      </c>
      <c r="J2328" s="89" t="s">
        <v>13076</v>
      </c>
      <c r="K2328" s="30" t="s">
        <v>235</v>
      </c>
      <c r="L2328" s="30" t="s">
        <v>13077</v>
      </c>
      <c r="M2328" s="30" t="s">
        <v>255</v>
      </c>
      <c r="N2328" s="30" t="s">
        <v>142</v>
      </c>
      <c r="O2328" s="30" t="s">
        <v>86</v>
      </c>
      <c r="P2328" s="89" t="s">
        <v>6552</v>
      </c>
      <c r="Q2328" s="89" t="s">
        <v>273</v>
      </c>
      <c r="R2328" s="89" t="s">
        <v>235</v>
      </c>
      <c r="S2328" s="30">
        <v>0</v>
      </c>
      <c r="T2328" s="233">
        <v>0</v>
      </c>
      <c r="U2328" s="30">
        <v>1</v>
      </c>
      <c r="V2328" s="233">
        <v>0</v>
      </c>
      <c r="W2328" s="30">
        <v>0</v>
      </c>
      <c r="X2328" s="30">
        <v>1</v>
      </c>
      <c r="Y2328" s="30">
        <v>0</v>
      </c>
      <c r="Z2328" s="233">
        <v>0</v>
      </c>
      <c r="AA2328" s="30">
        <v>0</v>
      </c>
      <c r="AB2328" s="30">
        <v>0</v>
      </c>
      <c r="AC2328" s="30">
        <v>0</v>
      </c>
      <c r="AD2328" s="30">
        <v>0</v>
      </c>
      <c r="AE2328" s="89" t="s">
        <v>92</v>
      </c>
      <c r="AF2328" s="89"/>
      <c r="AG2328" s="89" t="s">
        <v>82</v>
      </c>
      <c r="AH2328" s="72">
        <v>42738</v>
      </c>
      <c r="AI2328" s="30">
        <v>2</v>
      </c>
      <c r="AJ2328" s="89" t="s">
        <v>13078</v>
      </c>
      <c r="AK2328" s="89" t="s">
        <v>13079</v>
      </c>
      <c r="AL2328" s="91">
        <v>42746</v>
      </c>
      <c r="AM2328" s="91"/>
      <c r="AN2328" s="91"/>
      <c r="AO2328" s="91"/>
      <c r="AP2328" s="73" t="e">
        <f>MID(VLOOKUP(K2328,#REF!,2,FALSE),1,2)</f>
        <v>#REF!</v>
      </c>
      <c r="AQ2328" s="89">
        <f>DATE(2016,12,26)</f>
        <v>42730</v>
      </c>
      <c r="AR2328" s="82">
        <f t="shared" si="168"/>
        <v>26</v>
      </c>
      <c r="AS2328" s="83">
        <f t="shared" si="169"/>
        <v>12</v>
      </c>
      <c r="AT2328" s="84">
        <f t="shared" si="170"/>
        <v>2016</v>
      </c>
      <c r="AU2328" s="88">
        <f>DATE(2017,1,10)</f>
        <v>42745</v>
      </c>
      <c r="AV2328" s="88">
        <f>DATE(2016,12,27)</f>
        <v>42731</v>
      </c>
      <c r="AW2328" s="87">
        <f t="shared" si="173"/>
        <v>14</v>
      </c>
      <c r="AX2328" s="88">
        <f>DATE(2017,11,9)</f>
        <v>43048</v>
      </c>
      <c r="AY2328" s="83">
        <f t="shared" si="174"/>
        <v>11</v>
      </c>
      <c r="AZ2328" s="84">
        <f t="shared" si="175"/>
        <v>2017</v>
      </c>
      <c r="BA2328" s="86"/>
      <c r="BB2328" s="86"/>
    </row>
    <row r="2329" spans="1:55" ht="36.75" customHeight="1">
      <c r="A2329" s="30"/>
      <c r="B2329" s="30" t="s">
        <v>55</v>
      </c>
      <c r="C2329" s="69" t="str">
        <f t="shared" si="172"/>
        <v>Closed</v>
      </c>
      <c r="D2329" s="27" t="s">
        <v>13080</v>
      </c>
      <c r="E2329" s="29" t="s">
        <v>13081</v>
      </c>
      <c r="F2329" s="30" t="s">
        <v>197</v>
      </c>
      <c r="G2329" s="89">
        <f>DATE(2016,12,26)</f>
        <v>42730</v>
      </c>
      <c r="H2329" s="90">
        <v>0</v>
      </c>
      <c r="I2329" s="30" t="s">
        <v>73</v>
      </c>
      <c r="J2329" s="89" t="s">
        <v>13082</v>
      </c>
      <c r="K2329" s="30" t="s">
        <v>200</v>
      </c>
      <c r="L2329" s="30" t="s">
        <v>13083</v>
      </c>
      <c r="M2329" s="30" t="s">
        <v>63</v>
      </c>
      <c r="N2329" s="30" t="s">
        <v>89</v>
      </c>
      <c r="O2329" s="30" t="s">
        <v>77</v>
      </c>
      <c r="P2329" s="89" t="s">
        <v>78</v>
      </c>
      <c r="Q2329" s="89" t="s">
        <v>1716</v>
      </c>
      <c r="R2329" s="89" t="s">
        <v>203</v>
      </c>
      <c r="S2329" s="30">
        <v>0</v>
      </c>
      <c r="T2329" s="233">
        <v>0</v>
      </c>
      <c r="U2329" s="30">
        <v>0</v>
      </c>
      <c r="V2329" s="233">
        <v>0</v>
      </c>
      <c r="W2329" s="30">
        <v>0</v>
      </c>
      <c r="X2329" s="30">
        <v>0</v>
      </c>
      <c r="Y2329" s="30">
        <v>0</v>
      </c>
      <c r="Z2329" s="233">
        <v>0</v>
      </c>
      <c r="AA2329" s="30">
        <v>0</v>
      </c>
      <c r="AB2329" s="30">
        <v>0</v>
      </c>
      <c r="AC2329" s="30">
        <v>0</v>
      </c>
      <c r="AD2329" s="30">
        <v>0</v>
      </c>
      <c r="AE2329" s="89" t="s">
        <v>145</v>
      </c>
      <c r="AF2329" s="89"/>
      <c r="AG2329" s="89" t="s">
        <v>82</v>
      </c>
      <c r="AH2329" s="72">
        <v>42731</v>
      </c>
      <c r="AI2329" s="30">
        <v>2</v>
      </c>
      <c r="AJ2329" s="89" t="s">
        <v>13084</v>
      </c>
      <c r="AK2329" s="89" t="s">
        <v>1233</v>
      </c>
      <c r="AL2329" s="91">
        <v>42745</v>
      </c>
      <c r="AM2329" s="91"/>
      <c r="AN2329" s="91"/>
      <c r="AO2329" s="91"/>
      <c r="AP2329" s="73" t="e">
        <f>MID(VLOOKUP(K2329,#REF!,2,FALSE),1,2)</f>
        <v>#REF!</v>
      </c>
      <c r="AQ2329" s="89">
        <f>DATE(2016,12,26)</f>
        <v>42730</v>
      </c>
      <c r="AR2329" s="82">
        <f t="shared" si="168"/>
        <v>26</v>
      </c>
      <c r="AS2329" s="83">
        <f t="shared" si="169"/>
        <v>12</v>
      </c>
      <c r="AT2329" s="84">
        <f t="shared" si="170"/>
        <v>2016</v>
      </c>
      <c r="AU2329" s="88">
        <f>DATE(2017,1,10)</f>
        <v>42745</v>
      </c>
      <c r="AV2329" s="88">
        <f>DATE(2016,12,29)</f>
        <v>42733</v>
      </c>
      <c r="AW2329" s="87">
        <f t="shared" si="173"/>
        <v>12</v>
      </c>
      <c r="AX2329" s="88">
        <f>DATE(2016,12,29)</f>
        <v>42733</v>
      </c>
      <c r="AY2329" s="82">
        <f t="shared" si="174"/>
        <v>12</v>
      </c>
      <c r="AZ2329" s="120">
        <f t="shared" si="175"/>
        <v>2016</v>
      </c>
      <c r="BA2329" s="88">
        <f>DATE(2016,12,29)</f>
        <v>42733</v>
      </c>
      <c r="BB2329" s="86"/>
    </row>
    <row r="2330" spans="1:55" ht="36.75" customHeight="1">
      <c r="A2330" s="30"/>
      <c r="B2330" s="30" t="s">
        <v>55</v>
      </c>
      <c r="C2330" s="69" t="str">
        <f t="shared" si="172"/>
        <v>Closed</v>
      </c>
      <c r="D2330" s="27" t="s">
        <v>13085</v>
      </c>
      <c r="E2330" s="29" t="s">
        <v>13086</v>
      </c>
      <c r="F2330" s="30" t="s">
        <v>115</v>
      </c>
      <c r="G2330" s="89">
        <f>DATE(2016,12,26)</f>
        <v>42730</v>
      </c>
      <c r="H2330" s="90">
        <v>1.6736111111111112</v>
      </c>
      <c r="I2330" s="30" t="s">
        <v>6775</v>
      </c>
      <c r="J2330" s="89" t="s">
        <v>13087</v>
      </c>
      <c r="K2330" s="30" t="s">
        <v>118</v>
      </c>
      <c r="L2330" s="30" t="s">
        <v>13088</v>
      </c>
      <c r="M2330" s="30" t="s">
        <v>63</v>
      </c>
      <c r="N2330" s="30" t="s">
        <v>89</v>
      </c>
      <c r="O2330" s="30" t="s">
        <v>64</v>
      </c>
      <c r="P2330" s="89" t="s">
        <v>6941</v>
      </c>
      <c r="Q2330" s="89" t="s">
        <v>120</v>
      </c>
      <c r="R2330" s="89" t="s">
        <v>121</v>
      </c>
      <c r="S2330" s="30">
        <v>0</v>
      </c>
      <c r="T2330" s="233">
        <v>0</v>
      </c>
      <c r="U2330" s="30">
        <v>0</v>
      </c>
      <c r="V2330" s="233">
        <v>0</v>
      </c>
      <c r="W2330" s="30">
        <v>0</v>
      </c>
      <c r="X2330" s="30">
        <v>0</v>
      </c>
      <c r="Y2330" s="30">
        <v>0</v>
      </c>
      <c r="Z2330" s="233">
        <v>0</v>
      </c>
      <c r="AA2330" s="30">
        <v>0</v>
      </c>
      <c r="AB2330" s="30">
        <v>0</v>
      </c>
      <c r="AC2330" s="30">
        <v>0</v>
      </c>
      <c r="AD2330" s="30">
        <v>0</v>
      </c>
      <c r="AE2330" s="89" t="s">
        <v>92</v>
      </c>
      <c r="AF2330" s="89"/>
      <c r="AG2330" s="89" t="s">
        <v>589</v>
      </c>
      <c r="AH2330" s="72">
        <v>42733</v>
      </c>
      <c r="AI2330" s="30">
        <v>2</v>
      </c>
      <c r="AJ2330" s="89" t="s">
        <v>13089</v>
      </c>
      <c r="AK2330" s="89" t="s">
        <v>13090</v>
      </c>
      <c r="AL2330" s="91">
        <v>42745</v>
      </c>
      <c r="AM2330" s="91"/>
      <c r="AN2330" s="91"/>
      <c r="AO2330" s="91"/>
      <c r="AP2330" s="73" t="e">
        <f>MID(VLOOKUP(K2330,#REF!,2,FALSE),1,2)</f>
        <v>#REF!</v>
      </c>
      <c r="AQ2330" s="89">
        <f>DATE(2016,12,29)</f>
        <v>42733</v>
      </c>
      <c r="AR2330" s="82">
        <f t="shared" ref="AR2330:AR2361" si="176">DAY(AQ2330)</f>
        <v>29</v>
      </c>
      <c r="AS2330" s="83">
        <f t="shared" ref="AS2330:AS2361" si="177">MONTH(AQ2330)</f>
        <v>12</v>
      </c>
      <c r="AT2330" s="84">
        <f t="shared" ref="AT2330:AT2361" si="178">YEAR(AQ2330)</f>
        <v>2016</v>
      </c>
      <c r="AU2330" s="88">
        <f>DATE(2017,2,9)</f>
        <v>42775</v>
      </c>
      <c r="AV2330" s="88">
        <f>DATE(2017,1,23)</f>
        <v>42758</v>
      </c>
      <c r="AW2330" s="87">
        <f t="shared" si="173"/>
        <v>17</v>
      </c>
      <c r="AX2330" s="88">
        <f>DATE(2017,2,9)</f>
        <v>42775</v>
      </c>
      <c r="AY2330" s="83">
        <f t="shared" si="174"/>
        <v>2</v>
      </c>
      <c r="AZ2330" s="84">
        <f t="shared" si="175"/>
        <v>2017</v>
      </c>
      <c r="BA2330" s="86"/>
      <c r="BB2330" s="86"/>
    </row>
    <row r="2331" spans="1:55" ht="36.75" customHeight="1">
      <c r="A2331" s="30"/>
      <c r="B2331" s="30" t="s">
        <v>55</v>
      </c>
      <c r="C2331" s="69" t="str">
        <f t="shared" si="172"/>
        <v>Closed</v>
      </c>
      <c r="D2331" s="27" t="s">
        <v>13091</v>
      </c>
      <c r="E2331" s="29" t="s">
        <v>13092</v>
      </c>
      <c r="F2331" s="30" t="s">
        <v>233</v>
      </c>
      <c r="G2331" s="89">
        <f>DATE(2016,12,29)</f>
        <v>42733</v>
      </c>
      <c r="H2331" s="90">
        <v>1.3652777777777778</v>
      </c>
      <c r="I2331" s="30" t="s">
        <v>2078</v>
      </c>
      <c r="J2331" s="89" t="s">
        <v>13093</v>
      </c>
      <c r="K2331" s="30" t="s">
        <v>235</v>
      </c>
      <c r="L2331" s="30" t="s">
        <v>13094</v>
      </c>
      <c r="M2331" s="30" t="s">
        <v>63</v>
      </c>
      <c r="N2331" s="30" t="s">
        <v>89</v>
      </c>
      <c r="O2331" s="30" t="s">
        <v>86</v>
      </c>
      <c r="P2331" s="89" t="s">
        <v>165</v>
      </c>
      <c r="Q2331" s="89" t="s">
        <v>2174</v>
      </c>
      <c r="R2331" s="89" t="s">
        <v>235</v>
      </c>
      <c r="S2331" s="30">
        <v>0</v>
      </c>
      <c r="T2331" s="233">
        <v>0</v>
      </c>
      <c r="U2331" s="30">
        <v>0</v>
      </c>
      <c r="V2331" s="233">
        <v>0</v>
      </c>
      <c r="W2331" s="30">
        <v>0</v>
      </c>
      <c r="X2331" s="30">
        <v>0</v>
      </c>
      <c r="Y2331" s="30">
        <v>0</v>
      </c>
      <c r="Z2331" s="233">
        <v>0</v>
      </c>
      <c r="AA2331" s="30">
        <v>0</v>
      </c>
      <c r="AB2331" s="30">
        <v>0</v>
      </c>
      <c r="AC2331" s="30">
        <v>0</v>
      </c>
      <c r="AD2331" s="30">
        <v>0</v>
      </c>
      <c r="AE2331" s="89" t="s">
        <v>92</v>
      </c>
      <c r="AF2331" s="89"/>
      <c r="AG2331" s="89" t="s">
        <v>133</v>
      </c>
      <c r="AH2331" s="72">
        <v>42758</v>
      </c>
      <c r="AI2331" s="30">
        <v>3</v>
      </c>
      <c r="AJ2331" s="89" t="s">
        <v>13095</v>
      </c>
      <c r="AK2331" s="89" t="s">
        <v>13096</v>
      </c>
      <c r="AL2331" s="91">
        <v>42775</v>
      </c>
      <c r="AM2331" s="91"/>
      <c r="AN2331" s="91"/>
      <c r="AO2331" s="91"/>
      <c r="AP2331" s="73" t="e">
        <f>MID(VLOOKUP(K2331,#REF!,2,FALSE),1,2)</f>
        <v>#REF!</v>
      </c>
      <c r="AQ2331" s="89">
        <f>DATE(2016,12,30)</f>
        <v>42734</v>
      </c>
      <c r="AR2331" s="82">
        <f t="shared" si="176"/>
        <v>30</v>
      </c>
      <c r="AS2331" s="83">
        <f t="shared" si="177"/>
        <v>12</v>
      </c>
      <c r="AT2331" s="84">
        <f t="shared" si="178"/>
        <v>2016</v>
      </c>
      <c r="AU2331" s="88">
        <f>DATE(2017,1,4)</f>
        <v>42739</v>
      </c>
      <c r="AV2331" s="88">
        <f>DATE(2017,1,3)</f>
        <v>42738</v>
      </c>
      <c r="AW2331" s="87">
        <f t="shared" si="173"/>
        <v>1</v>
      </c>
      <c r="AX2331" s="88">
        <f>DATE(2017,1,5)</f>
        <v>42740</v>
      </c>
      <c r="AY2331" s="82">
        <f t="shared" si="174"/>
        <v>1</v>
      </c>
      <c r="AZ2331" s="120">
        <f t="shared" si="175"/>
        <v>2017</v>
      </c>
      <c r="BA2331" s="88">
        <f>DATE(2016,12,30)</f>
        <v>42734</v>
      </c>
      <c r="BB2331" s="86"/>
    </row>
    <row r="2332" spans="1:55" ht="36.75" customHeight="1">
      <c r="A2332" s="30"/>
      <c r="B2332" s="30" t="s">
        <v>55</v>
      </c>
      <c r="C2332" s="69" t="str">
        <f t="shared" si="172"/>
        <v>Closed</v>
      </c>
      <c r="D2332" s="27" t="s">
        <v>13097</v>
      </c>
      <c r="E2332" s="29" t="s">
        <v>13098</v>
      </c>
      <c r="F2332" s="30" t="s">
        <v>1572</v>
      </c>
      <c r="G2332" s="89">
        <f>DATE(2016,12,30)</f>
        <v>42734</v>
      </c>
      <c r="H2332" s="90">
        <v>1.2326388888888888</v>
      </c>
      <c r="I2332" s="30" t="s">
        <v>73</v>
      </c>
      <c r="J2332" s="89" t="s">
        <v>13099</v>
      </c>
      <c r="K2332" s="30" t="s">
        <v>1574</v>
      </c>
      <c r="L2332" s="30" t="s">
        <v>13100</v>
      </c>
      <c r="M2332" s="30" t="s">
        <v>63</v>
      </c>
      <c r="N2332" s="30" t="s">
        <v>99</v>
      </c>
      <c r="O2332" s="30" t="s">
        <v>64</v>
      </c>
      <c r="P2332" s="89" t="s">
        <v>6941</v>
      </c>
      <c r="Q2332" s="89" t="s">
        <v>2413</v>
      </c>
      <c r="R2332" s="89" t="s">
        <v>6434</v>
      </c>
      <c r="S2332" s="30">
        <v>0</v>
      </c>
      <c r="T2332" s="233">
        <v>0</v>
      </c>
      <c r="U2332" s="30">
        <v>0</v>
      </c>
      <c r="V2332" s="233">
        <v>0</v>
      </c>
      <c r="W2332" s="30">
        <v>0</v>
      </c>
      <c r="X2332" s="30">
        <v>0</v>
      </c>
      <c r="Y2332" s="30">
        <v>0</v>
      </c>
      <c r="Z2332" s="233">
        <v>0</v>
      </c>
      <c r="AA2332" s="30">
        <v>0</v>
      </c>
      <c r="AB2332" s="30">
        <v>0</v>
      </c>
      <c r="AC2332" s="30">
        <v>0</v>
      </c>
      <c r="AD2332" s="30">
        <v>0</v>
      </c>
      <c r="AE2332" s="89" t="s">
        <v>92</v>
      </c>
      <c r="AF2332" s="89"/>
      <c r="AG2332" s="89" t="s">
        <v>133</v>
      </c>
      <c r="AH2332" s="72">
        <v>42738</v>
      </c>
      <c r="AI2332" s="30">
        <v>0</v>
      </c>
      <c r="AJ2332" s="89" t="s">
        <v>13101</v>
      </c>
      <c r="AK2332" s="89" t="s">
        <v>13102</v>
      </c>
      <c r="AL2332" s="91">
        <v>42739</v>
      </c>
      <c r="AM2332" s="91"/>
      <c r="AN2332" s="91"/>
      <c r="AO2332" s="91"/>
      <c r="AP2332" s="73" t="e">
        <f>MID(VLOOKUP(K2332,#REF!,2,FALSE),1,2)</f>
        <v>#REF!</v>
      </c>
      <c r="AQ2332" s="89">
        <f>DATE(2016,12,31)</f>
        <v>42735</v>
      </c>
      <c r="AR2332" s="82">
        <f t="shared" si="176"/>
        <v>31</v>
      </c>
      <c r="AS2332" s="83">
        <f t="shared" si="177"/>
        <v>12</v>
      </c>
      <c r="AT2332" s="84">
        <f t="shared" si="178"/>
        <v>2016</v>
      </c>
      <c r="AU2332" s="88">
        <f>DATE(2017,1,5)</f>
        <v>42740</v>
      </c>
      <c r="AV2332" s="88">
        <f>DATE(2017,1,3)</f>
        <v>42738</v>
      </c>
      <c r="AW2332" s="87">
        <f t="shared" si="173"/>
        <v>2</v>
      </c>
      <c r="AX2332" s="88">
        <f>DATE(2017,1,5)</f>
        <v>42740</v>
      </c>
      <c r="AY2332" s="83">
        <f t="shared" si="174"/>
        <v>1</v>
      </c>
      <c r="AZ2332" s="84">
        <f t="shared" si="175"/>
        <v>2017</v>
      </c>
      <c r="BA2332" s="88">
        <f>DATE(2016,12,31)</f>
        <v>42735</v>
      </c>
      <c r="BB2332" s="86"/>
    </row>
    <row r="2333" spans="1:55" ht="36.75" customHeight="1">
      <c r="A2333" s="30"/>
      <c r="B2333" s="30" t="s">
        <v>55</v>
      </c>
      <c r="C2333" s="69" t="str">
        <f t="shared" si="172"/>
        <v>Closed</v>
      </c>
      <c r="D2333" s="27" t="s">
        <v>13103</v>
      </c>
      <c r="E2333" s="29" t="s">
        <v>13104</v>
      </c>
      <c r="F2333" s="30" t="s">
        <v>1572</v>
      </c>
      <c r="G2333" s="89">
        <f>DATE(2016,12,31)</f>
        <v>42735</v>
      </c>
      <c r="H2333" s="90">
        <v>1.2395833333333333</v>
      </c>
      <c r="I2333" s="30" t="s">
        <v>73</v>
      </c>
      <c r="J2333" s="89" t="s">
        <v>13105</v>
      </c>
      <c r="K2333" s="30" t="s">
        <v>1574</v>
      </c>
      <c r="L2333" s="30" t="s">
        <v>13106</v>
      </c>
      <c r="M2333" s="30" t="s">
        <v>63</v>
      </c>
      <c r="N2333" s="30" t="s">
        <v>99</v>
      </c>
      <c r="O2333" s="30" t="s">
        <v>64</v>
      </c>
      <c r="P2333" s="89" t="s">
        <v>6941</v>
      </c>
      <c r="Q2333" s="89" t="s">
        <v>2413</v>
      </c>
      <c r="R2333" s="89" t="s">
        <v>6434</v>
      </c>
      <c r="S2333" s="30">
        <v>0</v>
      </c>
      <c r="T2333" s="233">
        <v>0</v>
      </c>
      <c r="U2333" s="30">
        <v>0</v>
      </c>
      <c r="V2333" s="233">
        <v>0</v>
      </c>
      <c r="W2333" s="30">
        <v>0</v>
      </c>
      <c r="X2333" s="30">
        <v>0</v>
      </c>
      <c r="Y2333" s="30">
        <v>0</v>
      </c>
      <c r="Z2333" s="233">
        <v>0</v>
      </c>
      <c r="AA2333" s="30">
        <v>0</v>
      </c>
      <c r="AB2333" s="30">
        <v>0</v>
      </c>
      <c r="AC2333" s="30">
        <v>0</v>
      </c>
      <c r="AD2333" s="30">
        <v>0</v>
      </c>
      <c r="AE2333" s="89" t="s">
        <v>92</v>
      </c>
      <c r="AF2333" s="89"/>
      <c r="AG2333" s="89" t="s">
        <v>133</v>
      </c>
      <c r="AH2333" s="72">
        <v>42738</v>
      </c>
      <c r="AI2333" s="30">
        <v>2</v>
      </c>
      <c r="AJ2333" s="89" t="s">
        <v>13107</v>
      </c>
      <c r="AK2333" s="89" t="s">
        <v>13108</v>
      </c>
      <c r="AL2333" s="91">
        <v>42740</v>
      </c>
      <c r="AM2333" s="91"/>
      <c r="AN2333" s="91"/>
      <c r="AO2333" s="91"/>
      <c r="AP2333" s="73" t="e">
        <f>MID(VLOOKUP(K2333,#REF!,2,FALSE),1,2)</f>
        <v>#REF!</v>
      </c>
      <c r="AQ2333" s="89">
        <f>DATE(2017,1,1)</f>
        <v>42736</v>
      </c>
      <c r="AR2333" s="82">
        <f t="shared" si="176"/>
        <v>1</v>
      </c>
      <c r="AS2333" s="83">
        <f t="shared" si="177"/>
        <v>1</v>
      </c>
      <c r="AT2333" s="84">
        <f t="shared" si="178"/>
        <v>2017</v>
      </c>
      <c r="AU2333" s="88">
        <f>DATE(2017,1,5)</f>
        <v>42740</v>
      </c>
      <c r="AV2333" s="88">
        <f>DATE(2017,1,3)</f>
        <v>42738</v>
      </c>
      <c r="AW2333" s="87">
        <f t="shared" si="173"/>
        <v>2</v>
      </c>
      <c r="AX2333" s="88">
        <f>DATE(2017,1,5)</f>
        <v>42740</v>
      </c>
      <c r="AY2333" s="82">
        <f t="shared" si="174"/>
        <v>1</v>
      </c>
      <c r="AZ2333" s="120">
        <f t="shared" si="175"/>
        <v>2017</v>
      </c>
      <c r="BA2333" s="88">
        <f>DATE(2017,1,1)</f>
        <v>42736</v>
      </c>
      <c r="BB2333" s="86"/>
    </row>
    <row r="2334" spans="1:55" ht="36.75" customHeight="1">
      <c r="A2334" s="30"/>
      <c r="B2334" s="30" t="s">
        <v>55</v>
      </c>
      <c r="C2334" s="69" t="str">
        <f t="shared" si="172"/>
        <v>Closed</v>
      </c>
      <c r="D2334" s="27" t="s">
        <v>13109</v>
      </c>
      <c r="E2334" s="29" t="s">
        <v>13110</v>
      </c>
      <c r="F2334" s="30" t="s">
        <v>1572</v>
      </c>
      <c r="G2334" s="89">
        <f>DATE(2017,1,1)</f>
        <v>42736</v>
      </c>
      <c r="H2334" s="90">
        <v>1.1215277777777777</v>
      </c>
      <c r="I2334" s="30" t="s">
        <v>73</v>
      </c>
      <c r="J2334" s="89" t="s">
        <v>13111</v>
      </c>
      <c r="K2334" s="30" t="s">
        <v>1574</v>
      </c>
      <c r="L2334" s="30" t="s">
        <v>13112</v>
      </c>
      <c r="M2334" s="30" t="s">
        <v>63</v>
      </c>
      <c r="N2334" s="30" t="s">
        <v>142</v>
      </c>
      <c r="O2334" s="30" t="s">
        <v>77</v>
      </c>
      <c r="P2334" s="89" t="s">
        <v>78</v>
      </c>
      <c r="Q2334" s="89" t="s">
        <v>2437</v>
      </c>
      <c r="R2334" s="89" t="s">
        <v>6434</v>
      </c>
      <c r="S2334" s="30">
        <v>0</v>
      </c>
      <c r="T2334" s="233">
        <v>0</v>
      </c>
      <c r="U2334" s="30">
        <v>0</v>
      </c>
      <c r="V2334" s="233">
        <v>0</v>
      </c>
      <c r="W2334" s="30">
        <v>0</v>
      </c>
      <c r="X2334" s="30">
        <v>0</v>
      </c>
      <c r="Y2334" s="30">
        <v>0</v>
      </c>
      <c r="Z2334" s="233">
        <v>0</v>
      </c>
      <c r="AA2334" s="30">
        <v>0</v>
      </c>
      <c r="AB2334" s="30">
        <v>0</v>
      </c>
      <c r="AC2334" s="30">
        <v>0</v>
      </c>
      <c r="AD2334" s="30">
        <v>0</v>
      </c>
      <c r="AE2334" s="89" t="s">
        <v>92</v>
      </c>
      <c r="AF2334" s="89"/>
      <c r="AG2334" s="89" t="s">
        <v>133</v>
      </c>
      <c r="AH2334" s="72">
        <v>42738</v>
      </c>
      <c r="AI2334" s="30">
        <v>1</v>
      </c>
      <c r="AJ2334" s="89" t="s">
        <v>13113</v>
      </c>
      <c r="AK2334" s="89" t="s">
        <v>13114</v>
      </c>
      <c r="AL2334" s="91">
        <v>42740</v>
      </c>
      <c r="AM2334" s="91"/>
      <c r="AN2334" s="91"/>
      <c r="AO2334" s="91"/>
      <c r="AP2334" s="73" t="e">
        <f>MID(VLOOKUP(K2334,#REF!,2,FALSE),1,2)</f>
        <v>#REF!</v>
      </c>
      <c r="AQ2334" s="89">
        <f>DATE(2017,1,2)</f>
        <v>42737</v>
      </c>
      <c r="AR2334" s="82">
        <f t="shared" si="176"/>
        <v>2</v>
      </c>
      <c r="AS2334" s="83">
        <f t="shared" si="177"/>
        <v>1</v>
      </c>
      <c r="AT2334" s="84">
        <f t="shared" si="178"/>
        <v>2017</v>
      </c>
      <c r="AU2334" s="88">
        <f>DATE(2017,1,4)</f>
        <v>42739</v>
      </c>
      <c r="AV2334" s="88">
        <f>DATE(2017,1,2)</f>
        <v>42737</v>
      </c>
      <c r="AW2334" s="87">
        <f t="shared" si="173"/>
        <v>2</v>
      </c>
      <c r="AX2334" s="88"/>
      <c r="AY2334" s="82"/>
      <c r="AZ2334" s="120"/>
      <c r="BA2334" s="86"/>
      <c r="BB2334" s="86" t="s">
        <v>13115</v>
      </c>
    </row>
    <row r="2335" spans="1:55" ht="36.75" customHeight="1">
      <c r="A2335" s="30"/>
      <c r="B2335" s="30" t="s">
        <v>55</v>
      </c>
      <c r="C2335" s="69" t="str">
        <f t="shared" si="172"/>
        <v>Closed</v>
      </c>
      <c r="D2335" s="27" t="s">
        <v>13116</v>
      </c>
      <c r="E2335" s="29" t="s">
        <v>13117</v>
      </c>
      <c r="F2335" s="30" t="s">
        <v>835</v>
      </c>
      <c r="G2335" s="89">
        <f>DATE(2017,1,2)</f>
        <v>42737</v>
      </c>
      <c r="H2335" s="90">
        <v>1.7881944444444446</v>
      </c>
      <c r="I2335" s="30" t="s">
        <v>198</v>
      </c>
      <c r="J2335" s="89" t="s">
        <v>13118</v>
      </c>
      <c r="K2335" s="30" t="s">
        <v>837</v>
      </c>
      <c r="L2335" s="30" t="s">
        <v>13119</v>
      </c>
      <c r="M2335" s="30" t="s">
        <v>63</v>
      </c>
      <c r="N2335" s="30" t="s">
        <v>142</v>
      </c>
      <c r="O2335" s="30" t="s">
        <v>64</v>
      </c>
      <c r="P2335" s="89" t="s">
        <v>1216</v>
      </c>
      <c r="Q2335" s="89" t="s">
        <v>2162</v>
      </c>
      <c r="R2335" s="89" t="s">
        <v>840</v>
      </c>
      <c r="S2335" s="30">
        <v>0</v>
      </c>
      <c r="T2335" s="233">
        <v>0</v>
      </c>
      <c r="U2335" s="30">
        <v>0</v>
      </c>
      <c r="V2335" s="233">
        <v>0</v>
      </c>
      <c r="W2335" s="30">
        <v>0</v>
      </c>
      <c r="X2335" s="30">
        <v>0</v>
      </c>
      <c r="Y2335" s="30">
        <v>0</v>
      </c>
      <c r="Z2335" s="233">
        <v>2</v>
      </c>
      <c r="AA2335" s="30">
        <v>0</v>
      </c>
      <c r="AB2335" s="30">
        <v>0</v>
      </c>
      <c r="AC2335" s="30">
        <v>0</v>
      </c>
      <c r="AD2335" s="30">
        <v>2</v>
      </c>
      <c r="AE2335" s="89" t="s">
        <v>92</v>
      </c>
      <c r="AF2335" s="89"/>
      <c r="AG2335" s="89" t="s">
        <v>352</v>
      </c>
      <c r="AH2335" s="72">
        <v>42737</v>
      </c>
      <c r="AI2335" s="30">
        <v>0</v>
      </c>
      <c r="AJ2335" s="89" t="s">
        <v>13120</v>
      </c>
      <c r="AK2335" s="89" t="s">
        <v>13121</v>
      </c>
      <c r="AL2335" s="91">
        <v>42739</v>
      </c>
      <c r="AM2335" s="91"/>
      <c r="AN2335" s="91">
        <v>45012</v>
      </c>
      <c r="AO2335" s="91">
        <v>43340</v>
      </c>
      <c r="AP2335" s="73" t="e">
        <f>MID(VLOOKUP(K2335,#REF!,2,FALSE),1,2)</f>
        <v>#REF!</v>
      </c>
      <c r="AQ2335" s="89">
        <f>DATE(2017,1,6)</f>
        <v>42741</v>
      </c>
      <c r="AR2335" s="82">
        <f t="shared" si="176"/>
        <v>6</v>
      </c>
      <c r="AS2335" s="83">
        <f t="shared" si="177"/>
        <v>1</v>
      </c>
      <c r="AT2335" s="84">
        <f t="shared" si="178"/>
        <v>2017</v>
      </c>
      <c r="AU2335" s="88">
        <f>DATE(2017,1,18)</f>
        <v>42753</v>
      </c>
      <c r="AV2335" s="88">
        <f>DATE(2017,1,11)</f>
        <v>42746</v>
      </c>
      <c r="AW2335" s="87">
        <f t="shared" si="173"/>
        <v>7</v>
      </c>
      <c r="AX2335" s="86"/>
      <c r="AY2335" s="83"/>
      <c r="AZ2335" s="84"/>
      <c r="BA2335" s="86"/>
      <c r="BB2335" s="86" t="s">
        <v>13115</v>
      </c>
      <c r="BC2335" s="121" t="s">
        <v>13122</v>
      </c>
    </row>
    <row r="2336" spans="1:55" ht="36.75" customHeight="1">
      <c r="A2336" s="30"/>
      <c r="B2336" s="30" t="s">
        <v>55</v>
      </c>
      <c r="C2336" s="69" t="str">
        <f t="shared" si="172"/>
        <v>Closed</v>
      </c>
      <c r="D2336" s="27" t="s">
        <v>13123</v>
      </c>
      <c r="E2336" s="29" t="s">
        <v>13124</v>
      </c>
      <c r="F2336" s="30" t="s">
        <v>6455</v>
      </c>
      <c r="G2336" s="89">
        <f>DATE(2017,1,6)</f>
        <v>42741</v>
      </c>
      <c r="H2336" s="90">
        <v>1.2763888888888888</v>
      </c>
      <c r="I2336" s="30" t="s">
        <v>73</v>
      </c>
      <c r="J2336" s="89" t="s">
        <v>13125</v>
      </c>
      <c r="K2336" s="30" t="s">
        <v>584</v>
      </c>
      <c r="L2336" s="30" t="s">
        <v>13126</v>
      </c>
      <c r="M2336" s="30" t="s">
        <v>63</v>
      </c>
      <c r="N2336" s="30" t="s">
        <v>99</v>
      </c>
      <c r="O2336" s="30" t="s">
        <v>77</v>
      </c>
      <c r="P2336" s="89" t="s">
        <v>165</v>
      </c>
      <c r="Q2336" s="89" t="s">
        <v>13127</v>
      </c>
      <c r="R2336" s="89" t="s">
        <v>13128</v>
      </c>
      <c r="S2336" s="30">
        <v>0</v>
      </c>
      <c r="T2336" s="233">
        <v>0</v>
      </c>
      <c r="U2336" s="30">
        <v>0</v>
      </c>
      <c r="V2336" s="233">
        <v>0</v>
      </c>
      <c r="W2336" s="30">
        <v>0</v>
      </c>
      <c r="X2336" s="30">
        <v>0</v>
      </c>
      <c r="Y2336" s="30">
        <v>0</v>
      </c>
      <c r="Z2336" s="233">
        <v>0</v>
      </c>
      <c r="AA2336" s="30">
        <v>0</v>
      </c>
      <c r="AB2336" s="30">
        <v>0</v>
      </c>
      <c r="AC2336" s="30">
        <v>0</v>
      </c>
      <c r="AD2336" s="30">
        <v>0</v>
      </c>
      <c r="AE2336" s="89" t="s">
        <v>92</v>
      </c>
      <c r="AF2336" s="89" t="s">
        <v>13129</v>
      </c>
      <c r="AG2336" s="89" t="s">
        <v>8859</v>
      </c>
      <c r="AH2336" s="72">
        <v>42746</v>
      </c>
      <c r="AI2336" s="30">
        <v>0</v>
      </c>
      <c r="AJ2336" s="89" t="s">
        <v>13130</v>
      </c>
      <c r="AK2336" s="89" t="s">
        <v>13131</v>
      </c>
      <c r="AL2336" s="91">
        <v>42753</v>
      </c>
      <c r="AM2336" s="91"/>
      <c r="AN2336" s="91">
        <v>44887</v>
      </c>
      <c r="AO2336" s="91">
        <v>44873</v>
      </c>
      <c r="AP2336" s="73" t="e">
        <f>MID(VLOOKUP(K2336,#REF!,2,FALSE),1,2)</f>
        <v>#REF!</v>
      </c>
      <c r="AQ2336" s="89">
        <f>DATE(2017,1,6)</f>
        <v>42741</v>
      </c>
      <c r="AR2336" s="82">
        <f t="shared" si="176"/>
        <v>6</v>
      </c>
      <c r="AS2336" s="83">
        <f t="shared" si="177"/>
        <v>1</v>
      </c>
      <c r="AT2336" s="84">
        <f t="shared" si="178"/>
        <v>2017</v>
      </c>
      <c r="AU2336" s="88">
        <f>DATE(2017,2,2)</f>
        <v>42768</v>
      </c>
      <c r="AV2336" s="88">
        <f>DATE(2017,1,31)</f>
        <v>42766</v>
      </c>
      <c r="AW2336" s="87">
        <f t="shared" si="173"/>
        <v>2</v>
      </c>
      <c r="AX2336" s="106" t="s">
        <v>879</v>
      </c>
      <c r="AY2336" s="122" t="s">
        <v>879</v>
      </c>
      <c r="AZ2336" s="122" t="s">
        <v>879</v>
      </c>
      <c r="BA2336" s="106" t="s">
        <v>879</v>
      </c>
      <c r="BB2336" s="106"/>
    </row>
    <row r="2337" spans="1:54" ht="36.75" customHeight="1">
      <c r="A2337" s="30"/>
      <c r="B2337" s="30" t="s">
        <v>55</v>
      </c>
      <c r="C2337" s="69" t="str">
        <f t="shared" si="172"/>
        <v>Closed</v>
      </c>
      <c r="D2337" s="27" t="s">
        <v>13132</v>
      </c>
      <c r="E2337" s="29" t="s">
        <v>13133</v>
      </c>
      <c r="F2337" s="30" t="s">
        <v>638</v>
      </c>
      <c r="G2337" s="89">
        <f>DATE(2017,1,6)</f>
        <v>42741</v>
      </c>
      <c r="H2337" s="90">
        <v>1.8812500000000001</v>
      </c>
      <c r="I2337" s="30" t="s">
        <v>73</v>
      </c>
      <c r="J2337" s="89" t="s">
        <v>13134</v>
      </c>
      <c r="K2337" s="30" t="s">
        <v>640</v>
      </c>
      <c r="L2337" s="30" t="s">
        <v>13135</v>
      </c>
      <c r="M2337" s="30" t="s">
        <v>63</v>
      </c>
      <c r="N2337" s="30" t="s">
        <v>142</v>
      </c>
      <c r="O2337" s="30" t="s">
        <v>64</v>
      </c>
      <c r="P2337" s="89" t="s">
        <v>65</v>
      </c>
      <c r="Q2337" s="89" t="s">
        <v>642</v>
      </c>
      <c r="R2337" s="89" t="s">
        <v>643</v>
      </c>
      <c r="S2337" s="30">
        <v>0</v>
      </c>
      <c r="T2337" s="233">
        <v>0</v>
      </c>
      <c r="U2337" s="30">
        <v>0</v>
      </c>
      <c r="V2337" s="233">
        <v>0</v>
      </c>
      <c r="W2337" s="30">
        <v>0</v>
      </c>
      <c r="X2337" s="30">
        <v>0</v>
      </c>
      <c r="Y2337" s="30">
        <v>0</v>
      </c>
      <c r="Z2337" s="233">
        <v>0</v>
      </c>
      <c r="AA2337" s="30">
        <v>0</v>
      </c>
      <c r="AB2337" s="30">
        <v>0</v>
      </c>
      <c r="AC2337" s="30">
        <v>0</v>
      </c>
      <c r="AD2337" s="30">
        <v>0</v>
      </c>
      <c r="AE2337" s="89" t="s">
        <v>92</v>
      </c>
      <c r="AF2337" s="89"/>
      <c r="AG2337" s="89" t="s">
        <v>589</v>
      </c>
      <c r="AH2337" s="72">
        <v>42766</v>
      </c>
      <c r="AI2337" s="30">
        <v>4</v>
      </c>
      <c r="AJ2337" s="89" t="s">
        <v>13136</v>
      </c>
      <c r="AK2337" s="89" t="s">
        <v>13137</v>
      </c>
      <c r="AL2337" s="91">
        <v>42768</v>
      </c>
      <c r="AM2337" s="91"/>
      <c r="AN2337" s="91"/>
      <c r="AO2337" s="91"/>
      <c r="AP2337" s="73" t="e">
        <f>MID(VLOOKUP(K2337,#REF!,2,FALSE),1,2)</f>
        <v>#REF!</v>
      </c>
      <c r="AQ2337" s="89">
        <f>DATE(2017,1,6)</f>
        <v>42741</v>
      </c>
      <c r="AR2337" s="82">
        <f t="shared" si="176"/>
        <v>6</v>
      </c>
      <c r="AS2337" s="83">
        <f t="shared" si="177"/>
        <v>1</v>
      </c>
      <c r="AT2337" s="84">
        <f t="shared" si="178"/>
        <v>2017</v>
      </c>
      <c r="AU2337" s="88">
        <f>DATE(2017,10,31)</f>
        <v>43039</v>
      </c>
      <c r="AV2337" s="88">
        <f>DATE(2017,7,11)</f>
        <v>42927</v>
      </c>
      <c r="AW2337" s="87">
        <f t="shared" si="173"/>
        <v>112</v>
      </c>
      <c r="AX2337" s="88">
        <f>DATE(2017,10,31)</f>
        <v>43039</v>
      </c>
      <c r="AY2337" s="83">
        <f>MONTH(AX2337)</f>
        <v>10</v>
      </c>
      <c r="AZ2337" s="84">
        <f>YEAR(AX2337)</f>
        <v>2017</v>
      </c>
      <c r="BA2337" s="88">
        <f>DATE(2017,1,6)</f>
        <v>42741</v>
      </c>
      <c r="BB2337" s="86"/>
    </row>
    <row r="2338" spans="1:54" ht="36.75" customHeight="1">
      <c r="A2338" s="30"/>
      <c r="B2338" s="30" t="s">
        <v>2124</v>
      </c>
      <c r="C2338" s="69" t="str">
        <f t="shared" si="172"/>
        <v>Open</v>
      </c>
      <c r="D2338" s="27" t="s">
        <v>13138</v>
      </c>
      <c r="E2338" s="29" t="s">
        <v>13139</v>
      </c>
      <c r="F2338" s="30" t="s">
        <v>5427</v>
      </c>
      <c r="G2338" s="89">
        <f>DATE(2017,1,6)</f>
        <v>42741</v>
      </c>
      <c r="H2338" s="90">
        <v>1.6854166666666668</v>
      </c>
      <c r="I2338" s="30" t="s">
        <v>73</v>
      </c>
      <c r="J2338" s="89" t="s">
        <v>13140</v>
      </c>
      <c r="K2338" s="30" t="s">
        <v>596</v>
      </c>
      <c r="L2338" s="30" t="s">
        <v>13141</v>
      </c>
      <c r="M2338" s="30" t="s">
        <v>63</v>
      </c>
      <c r="N2338" s="30" t="s">
        <v>99</v>
      </c>
      <c r="O2338" s="30" t="s">
        <v>77</v>
      </c>
      <c r="P2338" s="89" t="s">
        <v>78</v>
      </c>
      <c r="Q2338" s="89" t="s">
        <v>13142</v>
      </c>
      <c r="R2338" s="89" t="s">
        <v>12074</v>
      </c>
      <c r="S2338" s="30">
        <v>0</v>
      </c>
      <c r="T2338" s="233">
        <v>0</v>
      </c>
      <c r="U2338" s="30">
        <v>0</v>
      </c>
      <c r="V2338" s="233">
        <v>0</v>
      </c>
      <c r="W2338" s="30">
        <v>0</v>
      </c>
      <c r="X2338" s="30">
        <v>0</v>
      </c>
      <c r="Y2338" s="30">
        <v>0</v>
      </c>
      <c r="Z2338" s="233">
        <v>0</v>
      </c>
      <c r="AA2338" s="30">
        <v>0</v>
      </c>
      <c r="AB2338" s="30">
        <v>0</v>
      </c>
      <c r="AC2338" s="30">
        <v>0</v>
      </c>
      <c r="AD2338" s="30">
        <v>0</v>
      </c>
      <c r="AE2338" s="89" t="s">
        <v>92</v>
      </c>
      <c r="AF2338" s="89"/>
      <c r="AG2338" s="89" t="s">
        <v>133</v>
      </c>
      <c r="AH2338" s="72">
        <v>43046</v>
      </c>
      <c r="AI2338" s="30">
        <v>0</v>
      </c>
      <c r="AJ2338" s="89" t="s">
        <v>68</v>
      </c>
      <c r="AK2338" s="89" t="s">
        <v>68</v>
      </c>
      <c r="AL2338" s="91">
        <v>43039</v>
      </c>
      <c r="AM2338" s="91"/>
      <c r="AN2338" s="91"/>
      <c r="AO2338" s="91"/>
      <c r="AP2338" s="73" t="e">
        <f>MID(VLOOKUP(K2338,#REF!,2,FALSE),1,2)</f>
        <v>#REF!</v>
      </c>
      <c r="AQ2338" s="89">
        <f>DATE(2017,1,7)</f>
        <v>42742</v>
      </c>
      <c r="AR2338" s="82">
        <f t="shared" si="176"/>
        <v>7</v>
      </c>
      <c r="AS2338" s="83">
        <f t="shared" si="177"/>
        <v>1</v>
      </c>
      <c r="AT2338" s="84">
        <f t="shared" si="178"/>
        <v>2017</v>
      </c>
      <c r="AU2338" s="88">
        <f>DATE(2017,3,1)</f>
        <v>42795</v>
      </c>
      <c r="AV2338" s="88">
        <f>DATE(2017,1,7)</f>
        <v>42742</v>
      </c>
      <c r="AW2338" s="87">
        <f t="shared" si="173"/>
        <v>53</v>
      </c>
      <c r="AX2338" s="106" t="s">
        <v>879</v>
      </c>
      <c r="AY2338" s="123" t="s">
        <v>879</v>
      </c>
      <c r="AZ2338" s="123" t="s">
        <v>879</v>
      </c>
      <c r="BA2338" s="106" t="s">
        <v>879</v>
      </c>
      <c r="BB2338" s="106"/>
    </row>
    <row r="2339" spans="1:54" ht="36.75" customHeight="1">
      <c r="A2339" s="30"/>
      <c r="B2339" s="30" t="s">
        <v>55</v>
      </c>
      <c r="C2339" s="69" t="str">
        <f t="shared" si="172"/>
        <v>Closed</v>
      </c>
      <c r="D2339" s="27" t="s">
        <v>13143</v>
      </c>
      <c r="E2339" s="29" t="s">
        <v>13144</v>
      </c>
      <c r="F2339" s="30" t="s">
        <v>624</v>
      </c>
      <c r="G2339" s="89">
        <f>DATE(2017,1,7)</f>
        <v>42742</v>
      </c>
      <c r="H2339" s="90">
        <v>0</v>
      </c>
      <c r="I2339" s="30" t="s">
        <v>116</v>
      </c>
      <c r="J2339" s="89" t="s">
        <v>116</v>
      </c>
      <c r="K2339" s="30" t="s">
        <v>626</v>
      </c>
      <c r="L2339" s="30" t="s">
        <v>13145</v>
      </c>
      <c r="M2339" s="30" t="s">
        <v>63</v>
      </c>
      <c r="N2339" s="30" t="s">
        <v>89</v>
      </c>
      <c r="O2339" s="30" t="s">
        <v>77</v>
      </c>
      <c r="P2339" s="89" t="s">
        <v>165</v>
      </c>
      <c r="Q2339" s="89" t="s">
        <v>7181</v>
      </c>
      <c r="R2339" s="89" t="s">
        <v>629</v>
      </c>
      <c r="S2339" s="30">
        <v>0</v>
      </c>
      <c r="T2339" s="233">
        <v>0</v>
      </c>
      <c r="U2339" s="30">
        <v>0</v>
      </c>
      <c r="V2339" s="233">
        <v>0</v>
      </c>
      <c r="W2339" s="30">
        <v>0</v>
      </c>
      <c r="X2339" s="30">
        <v>0</v>
      </c>
      <c r="Y2339" s="30">
        <v>0</v>
      </c>
      <c r="Z2339" s="233">
        <v>0</v>
      </c>
      <c r="AA2339" s="30">
        <v>1</v>
      </c>
      <c r="AB2339" s="30">
        <v>0</v>
      </c>
      <c r="AC2339" s="30">
        <v>0</v>
      </c>
      <c r="AD2339" s="30">
        <v>1</v>
      </c>
      <c r="AE2339" s="89" t="s">
        <v>92</v>
      </c>
      <c r="AF2339" s="89"/>
      <c r="AG2339" s="89" t="s">
        <v>352</v>
      </c>
      <c r="AH2339" s="72">
        <v>42917</v>
      </c>
      <c r="AI2339" s="30">
        <v>4</v>
      </c>
      <c r="AJ2339" s="89" t="s">
        <v>13146</v>
      </c>
      <c r="AK2339" s="89" t="s">
        <v>68</v>
      </c>
      <c r="AL2339" s="91">
        <v>42795</v>
      </c>
      <c r="AM2339" s="91"/>
      <c r="AN2339" s="91"/>
      <c r="AO2339" s="91"/>
      <c r="AP2339" s="73" t="e">
        <f>MID(VLOOKUP(K2339,#REF!,2,FALSE),1,2)</f>
        <v>#REF!</v>
      </c>
      <c r="AQ2339" s="89">
        <f>DATE(2017,1,8)</f>
        <v>42743</v>
      </c>
      <c r="AR2339" s="82">
        <f t="shared" si="176"/>
        <v>8</v>
      </c>
      <c r="AS2339" s="83">
        <f t="shared" si="177"/>
        <v>1</v>
      </c>
      <c r="AT2339" s="84">
        <f t="shared" si="178"/>
        <v>2017</v>
      </c>
      <c r="AU2339" s="88">
        <f>DATE(2017,1,20)</f>
        <v>42755</v>
      </c>
      <c r="AV2339" s="88">
        <f>DATE(2017,1,16)</f>
        <v>42751</v>
      </c>
      <c r="AW2339" s="87">
        <f t="shared" si="173"/>
        <v>4</v>
      </c>
      <c r="AX2339" s="88">
        <f>DATE(2017,5,10)</f>
        <v>42865</v>
      </c>
      <c r="AY2339" s="83">
        <f>MONTH(AX2339)</f>
        <v>5</v>
      </c>
      <c r="AZ2339" s="84">
        <f>YEAR(AX2339)</f>
        <v>2017</v>
      </c>
      <c r="BA2339" s="86"/>
      <c r="BB2339" s="86"/>
    </row>
    <row r="2340" spans="1:54" ht="36.75" customHeight="1">
      <c r="A2340" s="30"/>
      <c r="B2340" s="30" t="s">
        <v>55</v>
      </c>
      <c r="C2340" s="69" t="str">
        <f t="shared" si="172"/>
        <v>Closed</v>
      </c>
      <c r="D2340" s="27" t="s">
        <v>13147</v>
      </c>
      <c r="E2340" s="29" t="s">
        <v>13148</v>
      </c>
      <c r="F2340" s="30" t="s">
        <v>197</v>
      </c>
      <c r="G2340" s="89">
        <f>DATE(2017,1,8)</f>
        <v>42743</v>
      </c>
      <c r="H2340" s="90">
        <v>1.3645833333333333</v>
      </c>
      <c r="I2340" s="30" t="s">
        <v>116</v>
      </c>
      <c r="J2340" s="89" t="s">
        <v>13149</v>
      </c>
      <c r="K2340" s="30" t="s">
        <v>200</v>
      </c>
      <c r="L2340" s="30" t="s">
        <v>13150</v>
      </c>
      <c r="M2340" s="30" t="s">
        <v>63</v>
      </c>
      <c r="N2340" s="30" t="s">
        <v>99</v>
      </c>
      <c r="O2340" s="30" t="s">
        <v>64</v>
      </c>
      <c r="P2340" s="89" t="s">
        <v>165</v>
      </c>
      <c r="Q2340" s="89" t="s">
        <v>202</v>
      </c>
      <c r="R2340" s="89" t="s">
        <v>203</v>
      </c>
      <c r="S2340" s="30">
        <v>0</v>
      </c>
      <c r="T2340" s="233">
        <v>0</v>
      </c>
      <c r="U2340" s="30">
        <v>0</v>
      </c>
      <c r="V2340" s="233">
        <v>0</v>
      </c>
      <c r="W2340" s="30">
        <v>0</v>
      </c>
      <c r="X2340" s="30">
        <v>0</v>
      </c>
      <c r="Y2340" s="30">
        <v>0</v>
      </c>
      <c r="Z2340" s="233">
        <v>0</v>
      </c>
      <c r="AA2340" s="30">
        <v>1</v>
      </c>
      <c r="AB2340" s="30">
        <v>0</v>
      </c>
      <c r="AC2340" s="30">
        <v>0</v>
      </c>
      <c r="AD2340" s="30">
        <v>1</v>
      </c>
      <c r="AE2340" s="89" t="s">
        <v>92</v>
      </c>
      <c r="AF2340" s="89"/>
      <c r="AG2340" s="89" t="s">
        <v>352</v>
      </c>
      <c r="AH2340" s="72">
        <v>42751</v>
      </c>
      <c r="AI2340" s="30">
        <v>0</v>
      </c>
      <c r="AJ2340" s="89" t="s">
        <v>13151</v>
      </c>
      <c r="AK2340" s="89" t="s">
        <v>1233</v>
      </c>
      <c r="AL2340" s="91">
        <v>42755</v>
      </c>
      <c r="AM2340" s="91"/>
      <c r="AN2340" s="91"/>
      <c r="AO2340" s="91"/>
      <c r="AP2340" s="73" t="e">
        <f>MID(VLOOKUP(K2340,#REF!,2,FALSE),1,2)</f>
        <v>#REF!</v>
      </c>
      <c r="AQ2340" s="89">
        <f>DATE(2017,1,10)</f>
        <v>42745</v>
      </c>
      <c r="AR2340" s="82">
        <f t="shared" si="176"/>
        <v>10</v>
      </c>
      <c r="AS2340" s="83">
        <f t="shared" si="177"/>
        <v>1</v>
      </c>
      <c r="AT2340" s="84">
        <f t="shared" si="178"/>
        <v>2017</v>
      </c>
      <c r="AU2340" s="88">
        <f>DATE(2017,1,12)</f>
        <v>42747</v>
      </c>
      <c r="AV2340" s="88">
        <f>DATE(2017,1,10)</f>
        <v>42745</v>
      </c>
      <c r="AW2340" s="87">
        <f t="shared" si="173"/>
        <v>2</v>
      </c>
      <c r="AX2340" s="106" t="s">
        <v>879</v>
      </c>
      <c r="AY2340" s="123" t="s">
        <v>879</v>
      </c>
      <c r="AZ2340" s="123" t="s">
        <v>879</v>
      </c>
      <c r="BA2340" s="106" t="s">
        <v>879</v>
      </c>
      <c r="BB2340" s="106"/>
    </row>
    <row r="2341" spans="1:54" ht="36.75" customHeight="1">
      <c r="A2341" s="30"/>
      <c r="B2341" s="30" t="s">
        <v>55</v>
      </c>
      <c r="C2341" s="69" t="str">
        <f t="shared" si="172"/>
        <v>Closed</v>
      </c>
      <c r="D2341" s="27" t="s">
        <v>13152</v>
      </c>
      <c r="E2341" s="29" t="s">
        <v>13153</v>
      </c>
      <c r="F2341" s="30" t="s">
        <v>835</v>
      </c>
      <c r="G2341" s="89">
        <f>DATE(2017,1,10)</f>
        <v>42745</v>
      </c>
      <c r="H2341" s="90">
        <v>1.1979166666666667</v>
      </c>
      <c r="I2341" s="30" t="s">
        <v>73</v>
      </c>
      <c r="J2341" s="89" t="s">
        <v>13154</v>
      </c>
      <c r="K2341" s="30" t="s">
        <v>837</v>
      </c>
      <c r="L2341" s="30" t="s">
        <v>13155</v>
      </c>
      <c r="M2341" s="30" t="s">
        <v>63</v>
      </c>
      <c r="N2341" s="30" t="s">
        <v>142</v>
      </c>
      <c r="O2341" s="30" t="s">
        <v>77</v>
      </c>
      <c r="P2341" s="89" t="s">
        <v>78</v>
      </c>
      <c r="Q2341" s="89" t="s">
        <v>13156</v>
      </c>
      <c r="R2341" s="89" t="s">
        <v>840</v>
      </c>
      <c r="S2341" s="30">
        <v>0</v>
      </c>
      <c r="T2341" s="233">
        <v>0</v>
      </c>
      <c r="U2341" s="30">
        <v>0</v>
      </c>
      <c r="V2341" s="233">
        <v>0</v>
      </c>
      <c r="W2341" s="30">
        <v>0</v>
      </c>
      <c r="X2341" s="30">
        <v>0</v>
      </c>
      <c r="Y2341" s="30">
        <v>0</v>
      </c>
      <c r="Z2341" s="233">
        <v>0</v>
      </c>
      <c r="AA2341" s="30">
        <v>0</v>
      </c>
      <c r="AB2341" s="30">
        <v>0</v>
      </c>
      <c r="AC2341" s="30">
        <v>0</v>
      </c>
      <c r="AD2341" s="30">
        <v>0</v>
      </c>
      <c r="AE2341" s="89" t="s">
        <v>92</v>
      </c>
      <c r="AF2341" s="89"/>
      <c r="AG2341" s="89" t="s">
        <v>133</v>
      </c>
      <c r="AH2341" s="72">
        <v>42745</v>
      </c>
      <c r="AI2341" s="30">
        <v>1</v>
      </c>
      <c r="AJ2341" s="89" t="s">
        <v>13157</v>
      </c>
      <c r="AK2341" s="89" t="s">
        <v>68</v>
      </c>
      <c r="AL2341" s="91">
        <v>42747</v>
      </c>
      <c r="AM2341" s="91"/>
      <c r="AN2341" s="91"/>
      <c r="AO2341" s="91"/>
      <c r="AP2341" s="73" t="e">
        <f>MID(VLOOKUP(K2341,#REF!,2,FALSE),1,2)</f>
        <v>#REF!</v>
      </c>
      <c r="AQ2341" s="89">
        <f>DATE(2017,1,11)</f>
        <v>42746</v>
      </c>
      <c r="AR2341" s="82">
        <f t="shared" si="176"/>
        <v>11</v>
      </c>
      <c r="AS2341" s="83">
        <f t="shared" si="177"/>
        <v>1</v>
      </c>
      <c r="AT2341" s="84">
        <f t="shared" si="178"/>
        <v>2017</v>
      </c>
      <c r="AU2341" s="88">
        <f>DATE(2017,2,10)</f>
        <v>42776</v>
      </c>
      <c r="AV2341" s="88">
        <f>DATE(2017,2,7)</f>
        <v>42773</v>
      </c>
      <c r="AW2341" s="87">
        <f t="shared" si="173"/>
        <v>3</v>
      </c>
      <c r="AX2341" s="106" t="s">
        <v>879</v>
      </c>
      <c r="AY2341" s="123" t="s">
        <v>879</v>
      </c>
      <c r="AZ2341" s="123" t="s">
        <v>879</v>
      </c>
      <c r="BA2341" s="106" t="s">
        <v>879</v>
      </c>
      <c r="BB2341" s="106"/>
    </row>
    <row r="2342" spans="1:54" ht="36.75" customHeight="1">
      <c r="A2342" s="30"/>
      <c r="B2342" s="30" t="s">
        <v>55</v>
      </c>
      <c r="C2342" s="69" t="str">
        <f t="shared" si="172"/>
        <v>Closed</v>
      </c>
      <c r="D2342" s="27" t="s">
        <v>13158</v>
      </c>
      <c r="E2342" s="29" t="s">
        <v>13159</v>
      </c>
      <c r="F2342" s="30" t="s">
        <v>9789</v>
      </c>
      <c r="G2342" s="89">
        <f>DATE(2017,1,11)</f>
        <v>42746</v>
      </c>
      <c r="H2342" s="90">
        <v>1.8472222222222223</v>
      </c>
      <c r="I2342" s="30" t="s">
        <v>5494</v>
      </c>
      <c r="J2342" s="210" t="s">
        <v>13160</v>
      </c>
      <c r="K2342" s="30" t="s">
        <v>9791</v>
      </c>
      <c r="L2342" s="30" t="s">
        <v>13161</v>
      </c>
      <c r="M2342" s="30" t="s">
        <v>63</v>
      </c>
      <c r="N2342" s="30" t="s">
        <v>142</v>
      </c>
      <c r="O2342" s="30" t="s">
        <v>77</v>
      </c>
      <c r="P2342" s="89" t="s">
        <v>165</v>
      </c>
      <c r="Q2342" s="89" t="s">
        <v>9960</v>
      </c>
      <c r="R2342" s="89" t="s">
        <v>9794</v>
      </c>
      <c r="S2342" s="30">
        <v>0</v>
      </c>
      <c r="T2342" s="233">
        <v>0</v>
      </c>
      <c r="U2342" s="30">
        <v>0</v>
      </c>
      <c r="V2342" s="233">
        <v>0</v>
      </c>
      <c r="W2342" s="30">
        <v>0</v>
      </c>
      <c r="X2342" s="30">
        <v>0</v>
      </c>
      <c r="Y2342" s="30">
        <v>0</v>
      </c>
      <c r="Z2342" s="233">
        <v>0</v>
      </c>
      <c r="AA2342" s="30">
        <v>0</v>
      </c>
      <c r="AB2342" s="30">
        <v>0</v>
      </c>
      <c r="AC2342" s="30">
        <v>0</v>
      </c>
      <c r="AD2342" s="30">
        <v>0</v>
      </c>
      <c r="AE2342" s="89" t="s">
        <v>92</v>
      </c>
      <c r="AF2342" s="89"/>
      <c r="AG2342" s="89" t="s">
        <v>133</v>
      </c>
      <c r="AH2342" s="72">
        <v>42773</v>
      </c>
      <c r="AI2342" s="30">
        <v>0</v>
      </c>
      <c r="AJ2342" s="89" t="s">
        <v>13162</v>
      </c>
      <c r="AK2342" s="89" t="s">
        <v>13163</v>
      </c>
      <c r="AL2342" s="91">
        <v>42776</v>
      </c>
      <c r="AM2342" s="91"/>
      <c r="AN2342" s="91"/>
      <c r="AO2342" s="91"/>
      <c r="AP2342" s="73" t="e">
        <f>MID(VLOOKUP(K2342,#REF!,2,FALSE),1,2)</f>
        <v>#REF!</v>
      </c>
      <c r="AQ2342" s="89">
        <f>DATE(2017,1,12)</f>
        <v>42747</v>
      </c>
      <c r="AR2342" s="82">
        <f t="shared" si="176"/>
        <v>12</v>
      </c>
      <c r="AS2342" s="83">
        <f t="shared" si="177"/>
        <v>1</v>
      </c>
      <c r="AT2342" s="84">
        <f t="shared" si="178"/>
        <v>2017</v>
      </c>
      <c r="AU2342" s="88">
        <f>DATE(2017,1,23)</f>
        <v>42758</v>
      </c>
      <c r="AV2342" s="88">
        <f>DATE(2017,1,17)</f>
        <v>42752</v>
      </c>
      <c r="AW2342" s="87">
        <f t="shared" si="173"/>
        <v>6</v>
      </c>
      <c r="AX2342" s="86"/>
      <c r="AY2342" s="83"/>
      <c r="AZ2342" s="84"/>
      <c r="BA2342" s="86"/>
      <c r="BB2342" s="86" t="s">
        <v>13164</v>
      </c>
    </row>
    <row r="2343" spans="1:54" ht="36.75" customHeight="1">
      <c r="A2343" s="98" t="s">
        <v>4910</v>
      </c>
      <c r="B2343" s="30" t="s">
        <v>55</v>
      </c>
      <c r="C2343" s="69" t="str">
        <f t="shared" si="172"/>
        <v>Closed</v>
      </c>
      <c r="D2343" s="27" t="s">
        <v>13165</v>
      </c>
      <c r="E2343" s="29" t="s">
        <v>13166</v>
      </c>
      <c r="F2343" s="30" t="s">
        <v>197</v>
      </c>
      <c r="G2343" s="89">
        <f>DATE(2017,1,12)</f>
        <v>42747</v>
      </c>
      <c r="H2343" s="90">
        <v>1.3423611111111111</v>
      </c>
      <c r="I2343" s="30" t="s">
        <v>278</v>
      </c>
      <c r="J2343" s="89" t="s">
        <v>13167</v>
      </c>
      <c r="K2343" s="30" t="s">
        <v>200</v>
      </c>
      <c r="L2343" s="30" t="s">
        <v>13168</v>
      </c>
      <c r="M2343" s="30" t="s">
        <v>63</v>
      </c>
      <c r="N2343" s="30" t="s">
        <v>89</v>
      </c>
      <c r="O2343" s="30" t="s">
        <v>86</v>
      </c>
      <c r="P2343" s="89" t="s">
        <v>165</v>
      </c>
      <c r="Q2343" s="89" t="s">
        <v>202</v>
      </c>
      <c r="R2343" s="89" t="s">
        <v>203</v>
      </c>
      <c r="S2343" s="30">
        <v>0</v>
      </c>
      <c r="T2343" s="233">
        <v>0</v>
      </c>
      <c r="U2343" s="30">
        <v>0</v>
      </c>
      <c r="V2343" s="233">
        <v>0</v>
      </c>
      <c r="W2343" s="30">
        <v>0</v>
      </c>
      <c r="X2343" s="30">
        <v>0</v>
      </c>
      <c r="Y2343" s="30">
        <v>0</v>
      </c>
      <c r="Z2343" s="233">
        <v>0</v>
      </c>
      <c r="AA2343" s="30">
        <v>0</v>
      </c>
      <c r="AB2343" s="30">
        <v>0</v>
      </c>
      <c r="AC2343" s="30">
        <v>1</v>
      </c>
      <c r="AD2343" s="30">
        <v>1</v>
      </c>
      <c r="AE2343" s="89" t="s">
        <v>92</v>
      </c>
      <c r="AF2343" s="89"/>
      <c r="AG2343" s="89" t="s">
        <v>133</v>
      </c>
      <c r="AH2343" s="72">
        <v>42752</v>
      </c>
      <c r="AI2343" s="30">
        <v>2</v>
      </c>
      <c r="AJ2343" s="89" t="s">
        <v>68</v>
      </c>
      <c r="AK2343" s="89" t="s">
        <v>68</v>
      </c>
      <c r="AL2343" s="91">
        <v>42758</v>
      </c>
      <c r="AM2343" s="91"/>
      <c r="AN2343" s="91"/>
      <c r="AO2343" s="91"/>
      <c r="AP2343" s="73" t="e">
        <f>MID(VLOOKUP(K2343,#REF!,2,FALSE),1,2)</f>
        <v>#REF!</v>
      </c>
      <c r="AQ2343" s="89">
        <f>DATE(2017,1,15)</f>
        <v>42750</v>
      </c>
      <c r="AR2343" s="82">
        <f t="shared" si="176"/>
        <v>15</v>
      </c>
      <c r="AS2343" s="83">
        <f t="shared" si="177"/>
        <v>1</v>
      </c>
      <c r="AT2343" s="84">
        <f t="shared" si="178"/>
        <v>2017</v>
      </c>
      <c r="AU2343" s="88">
        <f>DATE(2017,3,7)</f>
        <v>42801</v>
      </c>
      <c r="AV2343" s="88">
        <f>DATE(2017,2,28)</f>
        <v>42794</v>
      </c>
      <c r="AW2343" s="87">
        <f t="shared" si="173"/>
        <v>7</v>
      </c>
      <c r="AX2343" s="86"/>
      <c r="AY2343" s="82"/>
      <c r="AZ2343" s="120"/>
      <c r="BA2343" s="86"/>
      <c r="BB2343" s="86" t="s">
        <v>13115</v>
      </c>
    </row>
    <row r="2344" spans="1:54" ht="36.75" customHeight="1">
      <c r="A2344" s="30"/>
      <c r="B2344" s="30" t="s">
        <v>55</v>
      </c>
      <c r="C2344" s="69" t="str">
        <f t="shared" si="172"/>
        <v>Closed</v>
      </c>
      <c r="D2344" s="27" t="s">
        <v>13169</v>
      </c>
      <c r="E2344" s="29" t="s">
        <v>13170</v>
      </c>
      <c r="F2344" s="30" t="s">
        <v>638</v>
      </c>
      <c r="G2344" s="89">
        <f>DATE(2017,1,15)</f>
        <v>42750</v>
      </c>
      <c r="H2344" s="90">
        <v>1.5291666666666668</v>
      </c>
      <c r="I2344" s="30" t="s">
        <v>5494</v>
      </c>
      <c r="J2344" s="89" t="s">
        <v>13171</v>
      </c>
      <c r="K2344" s="30" t="s">
        <v>640</v>
      </c>
      <c r="L2344" s="30" t="s">
        <v>13172</v>
      </c>
      <c r="M2344" s="30" t="s">
        <v>63</v>
      </c>
      <c r="N2344" s="30" t="s">
        <v>99</v>
      </c>
      <c r="O2344" s="30" t="s">
        <v>77</v>
      </c>
      <c r="P2344" s="89" t="s">
        <v>165</v>
      </c>
      <c r="Q2344" s="89" t="s">
        <v>642</v>
      </c>
      <c r="R2344" s="89" t="s">
        <v>643</v>
      </c>
      <c r="S2344" s="30">
        <v>0</v>
      </c>
      <c r="T2344" s="233">
        <v>0</v>
      </c>
      <c r="U2344" s="30">
        <v>0</v>
      </c>
      <c r="V2344" s="233">
        <v>0</v>
      </c>
      <c r="W2344" s="30">
        <v>0</v>
      </c>
      <c r="X2344" s="30">
        <v>0</v>
      </c>
      <c r="Y2344" s="30">
        <v>0</v>
      </c>
      <c r="Z2344" s="233">
        <v>0</v>
      </c>
      <c r="AA2344" s="30">
        <v>0</v>
      </c>
      <c r="AB2344" s="30">
        <v>0</v>
      </c>
      <c r="AC2344" s="30">
        <v>0</v>
      </c>
      <c r="AD2344" s="30">
        <v>0</v>
      </c>
      <c r="AE2344" s="89" t="s">
        <v>92</v>
      </c>
      <c r="AF2344" s="89"/>
      <c r="AG2344" s="89" t="s">
        <v>589</v>
      </c>
      <c r="AH2344" s="72">
        <v>42794</v>
      </c>
      <c r="AI2344" s="30">
        <v>2</v>
      </c>
      <c r="AJ2344" s="89" t="s">
        <v>13173</v>
      </c>
      <c r="AK2344" s="89" t="s">
        <v>13174</v>
      </c>
      <c r="AL2344" s="91">
        <v>42801</v>
      </c>
      <c r="AM2344" s="91"/>
      <c r="AN2344" s="91"/>
      <c r="AO2344" s="91"/>
      <c r="AP2344" s="73" t="e">
        <f>MID(VLOOKUP(K2344,#REF!,2,FALSE),1,2)</f>
        <v>#REF!</v>
      </c>
      <c r="AQ2344" s="89">
        <f>DATE(2017,1,15)</f>
        <v>42750</v>
      </c>
      <c r="AR2344" s="82">
        <f t="shared" si="176"/>
        <v>15</v>
      </c>
      <c r="AS2344" s="83">
        <f t="shared" si="177"/>
        <v>1</v>
      </c>
      <c r="AT2344" s="84">
        <f t="shared" si="178"/>
        <v>2017</v>
      </c>
      <c r="AU2344" s="88">
        <f>DATE(2017,3,27)</f>
        <v>42821</v>
      </c>
      <c r="AV2344" s="88">
        <f>DATE(2017,2,27)</f>
        <v>42793</v>
      </c>
      <c r="AW2344" s="87">
        <f t="shared" si="173"/>
        <v>28</v>
      </c>
      <c r="AX2344" s="88">
        <f>DATE(2017,3,27)</f>
        <v>42821</v>
      </c>
      <c r="AY2344" s="82">
        <f>MONTH(AX2344)</f>
        <v>3</v>
      </c>
      <c r="AZ2344" s="120">
        <f>YEAR(AX2344)</f>
        <v>2017</v>
      </c>
      <c r="BA2344" s="88">
        <f>DATE(2017,1,15)</f>
        <v>42750</v>
      </c>
      <c r="BB2344" s="86"/>
    </row>
    <row r="2345" spans="1:54" ht="36.75" customHeight="1">
      <c r="A2345" s="30"/>
      <c r="B2345" s="30" t="s">
        <v>55</v>
      </c>
      <c r="C2345" s="69" t="str">
        <f t="shared" si="172"/>
        <v>Closed</v>
      </c>
      <c r="D2345" s="27" t="s">
        <v>13175</v>
      </c>
      <c r="E2345" s="29" t="s">
        <v>13176</v>
      </c>
      <c r="F2345" s="30" t="s">
        <v>594</v>
      </c>
      <c r="G2345" s="89">
        <f>DATE(2017,1,15)</f>
        <v>42750</v>
      </c>
      <c r="H2345" s="90">
        <v>1.4847222222222223</v>
      </c>
      <c r="I2345" s="30" t="s">
        <v>73</v>
      </c>
      <c r="J2345" s="89" t="s">
        <v>13177</v>
      </c>
      <c r="K2345" s="30" t="s">
        <v>596</v>
      </c>
      <c r="L2345" s="30" t="s">
        <v>13178</v>
      </c>
      <c r="M2345" s="30" t="s">
        <v>63</v>
      </c>
      <c r="N2345" s="30" t="s">
        <v>99</v>
      </c>
      <c r="O2345" s="30" t="s">
        <v>77</v>
      </c>
      <c r="P2345" s="89" t="s">
        <v>65</v>
      </c>
      <c r="Q2345" s="89" t="s">
        <v>10529</v>
      </c>
      <c r="R2345" s="89" t="s">
        <v>12074</v>
      </c>
      <c r="S2345" s="30">
        <v>0</v>
      </c>
      <c r="T2345" s="233">
        <v>0</v>
      </c>
      <c r="U2345" s="30">
        <v>0</v>
      </c>
      <c r="V2345" s="233">
        <v>0</v>
      </c>
      <c r="W2345" s="30">
        <v>0</v>
      </c>
      <c r="X2345" s="30">
        <v>0</v>
      </c>
      <c r="Y2345" s="30">
        <v>0</v>
      </c>
      <c r="Z2345" s="233">
        <v>0</v>
      </c>
      <c r="AA2345" s="30">
        <v>0</v>
      </c>
      <c r="AB2345" s="30">
        <v>0</v>
      </c>
      <c r="AC2345" s="30">
        <v>0</v>
      </c>
      <c r="AD2345" s="30">
        <v>0</v>
      </c>
      <c r="AE2345" s="89" t="s">
        <v>92</v>
      </c>
      <c r="AF2345" s="89"/>
      <c r="AG2345" s="89" t="s">
        <v>133</v>
      </c>
      <c r="AH2345" s="72">
        <v>42793</v>
      </c>
      <c r="AI2345" s="30">
        <v>4</v>
      </c>
      <c r="AJ2345" s="89" t="s">
        <v>13179</v>
      </c>
      <c r="AK2345" s="89" t="s">
        <v>13180</v>
      </c>
      <c r="AL2345" s="91">
        <v>42821</v>
      </c>
      <c r="AM2345" s="91"/>
      <c r="AN2345" s="91"/>
      <c r="AO2345" s="91"/>
      <c r="AP2345" s="73" t="e">
        <f>MID(VLOOKUP(K2345,#REF!,2,FALSE),1,2)</f>
        <v>#REF!</v>
      </c>
      <c r="AQ2345" s="89">
        <f>DATE(2017,1,18)</f>
        <v>42753</v>
      </c>
      <c r="AR2345" s="82">
        <f t="shared" si="176"/>
        <v>18</v>
      </c>
      <c r="AS2345" s="83">
        <f t="shared" si="177"/>
        <v>1</v>
      </c>
      <c r="AT2345" s="84">
        <f t="shared" si="178"/>
        <v>2017</v>
      </c>
      <c r="AU2345" s="88">
        <f>DATE(2018,4,17)</f>
        <v>43207</v>
      </c>
      <c r="AV2345" s="88">
        <f>DATE(2017,1,18)</f>
        <v>42753</v>
      </c>
      <c r="AW2345" s="87">
        <f t="shared" si="173"/>
        <v>454</v>
      </c>
      <c r="AX2345" s="106" t="s">
        <v>879</v>
      </c>
      <c r="AY2345" s="123" t="s">
        <v>879</v>
      </c>
      <c r="AZ2345" s="123" t="s">
        <v>879</v>
      </c>
      <c r="BA2345" s="106" t="s">
        <v>879</v>
      </c>
      <c r="BB2345" s="106"/>
    </row>
    <row r="2346" spans="1:54" ht="36.75" customHeight="1">
      <c r="A2346" s="30"/>
      <c r="B2346" s="30" t="s">
        <v>55</v>
      </c>
      <c r="C2346" s="69" t="str">
        <f t="shared" si="172"/>
        <v>Closed</v>
      </c>
      <c r="D2346" s="27" t="s">
        <v>13181</v>
      </c>
      <c r="E2346" s="29" t="s">
        <v>13182</v>
      </c>
      <c r="F2346" s="30" t="s">
        <v>451</v>
      </c>
      <c r="G2346" s="89">
        <f>DATE(2017,1,18)</f>
        <v>42753</v>
      </c>
      <c r="H2346" s="90">
        <v>0</v>
      </c>
      <c r="I2346" s="30" t="s">
        <v>278</v>
      </c>
      <c r="J2346" s="89" t="s">
        <v>13183</v>
      </c>
      <c r="K2346" s="30" t="s">
        <v>453</v>
      </c>
      <c r="L2346" s="30" t="s">
        <v>13184</v>
      </c>
      <c r="M2346" s="30" t="s">
        <v>129</v>
      </c>
      <c r="N2346" s="30" t="s">
        <v>142</v>
      </c>
      <c r="O2346" s="30" t="s">
        <v>77</v>
      </c>
      <c r="P2346" s="89" t="s">
        <v>6902</v>
      </c>
      <c r="Q2346" s="89" t="s">
        <v>12695</v>
      </c>
      <c r="R2346" s="89" t="s">
        <v>572</v>
      </c>
      <c r="S2346" s="30">
        <v>1</v>
      </c>
      <c r="T2346" s="233">
        <v>0</v>
      </c>
      <c r="U2346" s="30">
        <v>0</v>
      </c>
      <c r="V2346" s="233">
        <v>0</v>
      </c>
      <c r="W2346" s="30">
        <v>0</v>
      </c>
      <c r="X2346" s="30">
        <v>1</v>
      </c>
      <c r="Y2346" s="30">
        <v>0</v>
      </c>
      <c r="Z2346" s="233">
        <v>0</v>
      </c>
      <c r="AA2346" s="30">
        <v>0</v>
      </c>
      <c r="AB2346" s="30">
        <v>0</v>
      </c>
      <c r="AC2346" s="30">
        <v>0</v>
      </c>
      <c r="AD2346" s="30">
        <v>0</v>
      </c>
      <c r="AE2346" s="89" t="s">
        <v>92</v>
      </c>
      <c r="AF2346" s="89"/>
      <c r="AG2346" s="89" t="s">
        <v>82</v>
      </c>
      <c r="AH2346" s="72">
        <v>42753</v>
      </c>
      <c r="AI2346" s="30">
        <v>0</v>
      </c>
      <c r="AJ2346" s="89" t="s">
        <v>13185</v>
      </c>
      <c r="AK2346" s="89" t="s">
        <v>68</v>
      </c>
      <c r="AL2346" s="91">
        <v>43207</v>
      </c>
      <c r="AM2346" s="91"/>
      <c r="AN2346" s="91"/>
      <c r="AO2346" s="91"/>
      <c r="AP2346" s="73" t="e">
        <f>MID(VLOOKUP(K2346,#REF!,2,FALSE),1,2)</f>
        <v>#REF!</v>
      </c>
      <c r="AQ2346" s="89">
        <f>DATE(2017,1,21)</f>
        <v>42756</v>
      </c>
      <c r="AR2346" s="82">
        <f t="shared" si="176"/>
        <v>21</v>
      </c>
      <c r="AS2346" s="83">
        <f t="shared" si="177"/>
        <v>1</v>
      </c>
      <c r="AT2346" s="84">
        <f t="shared" si="178"/>
        <v>2017</v>
      </c>
      <c r="AU2346" s="88">
        <f>DATE(2017,1,15)</f>
        <v>42750</v>
      </c>
      <c r="AV2346" s="88">
        <f>DATE(2017,1,23)</f>
        <v>42758</v>
      </c>
      <c r="AW2346" s="87">
        <f t="shared" si="173"/>
        <v>-8</v>
      </c>
      <c r="AX2346" s="86"/>
      <c r="AY2346" s="82"/>
      <c r="AZ2346" s="120"/>
      <c r="BA2346" s="86"/>
      <c r="BB2346" s="86" t="s">
        <v>13115</v>
      </c>
    </row>
    <row r="2347" spans="1:54" ht="36.75" customHeight="1">
      <c r="A2347" s="30"/>
      <c r="B2347" s="30" t="s">
        <v>55</v>
      </c>
      <c r="C2347" s="69" t="str">
        <f t="shared" si="172"/>
        <v>Closed</v>
      </c>
      <c r="D2347" s="27" t="s">
        <v>13186</v>
      </c>
      <c r="E2347" s="29" t="s">
        <v>13187</v>
      </c>
      <c r="F2347" s="30" t="s">
        <v>197</v>
      </c>
      <c r="G2347" s="89">
        <f>DATE(2017,1,21)</f>
        <v>42756</v>
      </c>
      <c r="H2347" s="90">
        <v>0</v>
      </c>
      <c r="I2347" s="30" t="s">
        <v>116</v>
      </c>
      <c r="J2347" s="89" t="s">
        <v>13188</v>
      </c>
      <c r="K2347" s="30" t="s">
        <v>200</v>
      </c>
      <c r="L2347" s="30" t="s">
        <v>13189</v>
      </c>
      <c r="M2347" s="30" t="s">
        <v>63</v>
      </c>
      <c r="N2347" s="30" t="s">
        <v>99</v>
      </c>
      <c r="O2347" s="30" t="s">
        <v>64</v>
      </c>
      <c r="P2347" s="89" t="s">
        <v>165</v>
      </c>
      <c r="Q2347" s="89" t="s">
        <v>13190</v>
      </c>
      <c r="R2347" s="89" t="s">
        <v>203</v>
      </c>
      <c r="S2347" s="30">
        <v>0</v>
      </c>
      <c r="T2347" s="233">
        <v>0</v>
      </c>
      <c r="U2347" s="30">
        <v>0</v>
      </c>
      <c r="V2347" s="233">
        <v>0</v>
      </c>
      <c r="W2347" s="30">
        <v>0</v>
      </c>
      <c r="X2347" s="30">
        <v>0</v>
      </c>
      <c r="Y2347" s="30">
        <v>0</v>
      </c>
      <c r="Z2347" s="233">
        <v>0</v>
      </c>
      <c r="AA2347" s="30">
        <v>1</v>
      </c>
      <c r="AB2347" s="30">
        <v>0</v>
      </c>
      <c r="AC2347" s="30">
        <v>0</v>
      </c>
      <c r="AD2347" s="30">
        <v>1</v>
      </c>
      <c r="AE2347" s="89" t="s">
        <v>92</v>
      </c>
      <c r="AF2347" s="89"/>
      <c r="AG2347" s="89" t="s">
        <v>133</v>
      </c>
      <c r="AH2347" s="72">
        <v>42758</v>
      </c>
      <c r="AI2347" s="30">
        <v>0</v>
      </c>
      <c r="AJ2347" s="89" t="s">
        <v>13191</v>
      </c>
      <c r="AK2347" s="89" t="s">
        <v>1233</v>
      </c>
      <c r="AL2347" s="91">
        <v>43115</v>
      </c>
      <c r="AM2347" s="91"/>
      <c r="AN2347" s="91"/>
      <c r="AO2347" s="91"/>
      <c r="AP2347" s="73" t="e">
        <f>MID(VLOOKUP(K2347,#REF!,2,FALSE),1,2)</f>
        <v>#REF!</v>
      </c>
      <c r="AQ2347" s="89">
        <f>DATE(2017,1,23)</f>
        <v>42758</v>
      </c>
      <c r="AR2347" s="82">
        <f t="shared" si="176"/>
        <v>23</v>
      </c>
      <c r="AS2347" s="83">
        <f t="shared" si="177"/>
        <v>1</v>
      </c>
      <c r="AT2347" s="84">
        <f t="shared" si="178"/>
        <v>2017</v>
      </c>
      <c r="AU2347" s="88">
        <f>DATE(2017,1,23)</f>
        <v>42758</v>
      </c>
      <c r="AV2347" s="88">
        <f>DATE(2017,1,23)</f>
        <v>42758</v>
      </c>
      <c r="AW2347" s="87">
        <f t="shared" si="173"/>
        <v>0</v>
      </c>
      <c r="AX2347" s="106" t="s">
        <v>879</v>
      </c>
      <c r="AY2347" s="123" t="s">
        <v>879</v>
      </c>
      <c r="AZ2347" s="123" t="s">
        <v>879</v>
      </c>
      <c r="BA2347" s="106" t="s">
        <v>879</v>
      </c>
      <c r="BB2347" s="106"/>
    </row>
    <row r="2348" spans="1:54" ht="36.75" customHeight="1">
      <c r="A2348" s="30"/>
      <c r="B2348" s="30" t="s">
        <v>55</v>
      </c>
      <c r="C2348" s="69" t="str">
        <f t="shared" si="172"/>
        <v>Closed</v>
      </c>
      <c r="D2348" s="27" t="s">
        <v>13192</v>
      </c>
      <c r="E2348" s="29" t="s">
        <v>13193</v>
      </c>
      <c r="F2348" s="30" t="s">
        <v>423</v>
      </c>
      <c r="G2348" s="89">
        <f>DATE(2017,1,23)</f>
        <v>42758</v>
      </c>
      <c r="H2348" s="90">
        <v>1.23125</v>
      </c>
      <c r="I2348" s="30" t="s">
        <v>116</v>
      </c>
      <c r="J2348" s="89" t="s">
        <v>13194</v>
      </c>
      <c r="K2348" s="30" t="s">
        <v>425</v>
      </c>
      <c r="L2348" s="30" t="s">
        <v>13195</v>
      </c>
      <c r="M2348" s="30" t="s">
        <v>63</v>
      </c>
      <c r="N2348" s="30" t="s">
        <v>99</v>
      </c>
      <c r="O2348" s="30" t="s">
        <v>64</v>
      </c>
      <c r="P2348" s="89" t="s">
        <v>165</v>
      </c>
      <c r="Q2348" s="89" t="s">
        <v>4551</v>
      </c>
      <c r="R2348" s="89" t="s">
        <v>3103</v>
      </c>
      <c r="S2348" s="30">
        <v>0</v>
      </c>
      <c r="T2348" s="233">
        <v>0</v>
      </c>
      <c r="U2348" s="30">
        <v>3</v>
      </c>
      <c r="V2348" s="233">
        <v>0</v>
      </c>
      <c r="W2348" s="30">
        <v>0</v>
      </c>
      <c r="X2348" s="30">
        <v>3</v>
      </c>
      <c r="Y2348" s="30">
        <v>0</v>
      </c>
      <c r="Z2348" s="233">
        <v>0</v>
      </c>
      <c r="AA2348" s="30">
        <v>0</v>
      </c>
      <c r="AB2348" s="30">
        <v>0</v>
      </c>
      <c r="AC2348" s="30">
        <v>0</v>
      </c>
      <c r="AD2348" s="30">
        <v>0</v>
      </c>
      <c r="AE2348" s="89" t="s">
        <v>92</v>
      </c>
      <c r="AF2348" s="89"/>
      <c r="AG2348" s="89" t="s">
        <v>874</v>
      </c>
      <c r="AH2348" s="72">
        <v>42758</v>
      </c>
      <c r="AI2348" s="30">
        <v>1</v>
      </c>
      <c r="AJ2348" s="89" t="s">
        <v>12769</v>
      </c>
      <c r="AK2348" s="89" t="s">
        <v>13196</v>
      </c>
      <c r="AL2348" s="91">
        <v>42758</v>
      </c>
      <c r="AM2348" s="91"/>
      <c r="AN2348" s="91"/>
      <c r="AO2348" s="91"/>
      <c r="AP2348" s="73" t="e">
        <f>MID(VLOOKUP(K2348,#REF!,2,FALSE),1,2)</f>
        <v>#REF!</v>
      </c>
      <c r="AQ2348" s="89">
        <f>DATE(2017,1,24)</f>
        <v>42759</v>
      </c>
      <c r="AR2348" s="82">
        <f t="shared" si="176"/>
        <v>24</v>
      </c>
      <c r="AS2348" s="83">
        <f t="shared" si="177"/>
        <v>1</v>
      </c>
      <c r="AT2348" s="84">
        <f t="shared" si="178"/>
        <v>2017</v>
      </c>
      <c r="AU2348" s="88">
        <f>DATE(2017,2,8)</f>
        <v>42774</v>
      </c>
      <c r="AV2348" s="88">
        <f>DATE(2017,2,7)</f>
        <v>42773</v>
      </c>
      <c r="AW2348" s="87">
        <f t="shared" si="173"/>
        <v>1</v>
      </c>
      <c r="AX2348" s="106" t="s">
        <v>879</v>
      </c>
      <c r="AY2348" s="122" t="s">
        <v>879</v>
      </c>
      <c r="AZ2348" s="122" t="s">
        <v>879</v>
      </c>
      <c r="BA2348" s="106" t="s">
        <v>879</v>
      </c>
      <c r="BB2348" s="106"/>
    </row>
    <row r="2349" spans="1:54" ht="36.75" customHeight="1">
      <c r="A2349" s="30"/>
      <c r="B2349" s="30" t="s">
        <v>55</v>
      </c>
      <c r="C2349" s="69" t="str">
        <f t="shared" si="172"/>
        <v>Closed</v>
      </c>
      <c r="D2349" s="27" t="s">
        <v>13197</v>
      </c>
      <c r="E2349" s="29" t="s">
        <v>13198</v>
      </c>
      <c r="F2349" s="30" t="s">
        <v>423</v>
      </c>
      <c r="G2349" s="89">
        <f>DATE(2017,1,24)</f>
        <v>42759</v>
      </c>
      <c r="H2349" s="90">
        <v>1.7368055555555557</v>
      </c>
      <c r="I2349" s="30" t="s">
        <v>73</v>
      </c>
      <c r="J2349" s="89" t="s">
        <v>13199</v>
      </c>
      <c r="K2349" s="30" t="s">
        <v>425</v>
      </c>
      <c r="L2349" s="30" t="s">
        <v>13200</v>
      </c>
      <c r="M2349" s="30" t="s">
        <v>63</v>
      </c>
      <c r="N2349" s="30" t="s">
        <v>99</v>
      </c>
      <c r="O2349" s="30" t="s">
        <v>77</v>
      </c>
      <c r="P2349" s="89" t="s">
        <v>165</v>
      </c>
      <c r="Q2349" s="89" t="s">
        <v>4551</v>
      </c>
      <c r="R2349" s="89" t="s">
        <v>3103</v>
      </c>
      <c r="S2349" s="30">
        <v>0</v>
      </c>
      <c r="T2349" s="233">
        <v>0</v>
      </c>
      <c r="U2349" s="30">
        <v>0</v>
      </c>
      <c r="V2349" s="233">
        <v>0</v>
      </c>
      <c r="W2349" s="30">
        <v>0</v>
      </c>
      <c r="X2349" s="30">
        <v>0</v>
      </c>
      <c r="Y2349" s="30">
        <v>0</v>
      </c>
      <c r="Z2349" s="233">
        <v>0</v>
      </c>
      <c r="AA2349" s="30">
        <v>0</v>
      </c>
      <c r="AB2349" s="30">
        <v>0</v>
      </c>
      <c r="AC2349" s="30">
        <v>0</v>
      </c>
      <c r="AD2349" s="30">
        <v>0</v>
      </c>
      <c r="AE2349" s="89" t="s">
        <v>92</v>
      </c>
      <c r="AF2349" s="89"/>
      <c r="AG2349" s="89" t="s">
        <v>13201</v>
      </c>
      <c r="AH2349" s="72">
        <v>42918</v>
      </c>
      <c r="AI2349" s="30">
        <v>1</v>
      </c>
      <c r="AJ2349" s="89" t="s">
        <v>13202</v>
      </c>
      <c r="AK2349" s="89" t="s">
        <v>13203</v>
      </c>
      <c r="AL2349" s="91">
        <v>42774</v>
      </c>
      <c r="AM2349" s="91"/>
      <c r="AN2349" s="91"/>
      <c r="AO2349" s="91"/>
      <c r="AP2349" s="73" t="e">
        <f>MID(VLOOKUP(K2349,#REF!,2,FALSE),1,2)</f>
        <v>#REF!</v>
      </c>
      <c r="AQ2349" s="89">
        <f>DATE(2017,1,24)</f>
        <v>42759</v>
      </c>
      <c r="AR2349" s="82">
        <f t="shared" si="176"/>
        <v>24</v>
      </c>
      <c r="AS2349" s="83">
        <f t="shared" si="177"/>
        <v>1</v>
      </c>
      <c r="AT2349" s="84">
        <f t="shared" si="178"/>
        <v>2017</v>
      </c>
      <c r="AU2349" s="88">
        <f>DATE(2017,2,9)</f>
        <v>42775</v>
      </c>
      <c r="AV2349" s="88">
        <f>DATE(2017,1,30)</f>
        <v>42765</v>
      </c>
      <c r="AW2349" s="87">
        <f t="shared" si="173"/>
        <v>10</v>
      </c>
      <c r="AX2349" s="88">
        <f>DATE(2017,2,9)</f>
        <v>42775</v>
      </c>
      <c r="AY2349" s="83">
        <f>MONTH(AX2349)</f>
        <v>2</v>
      </c>
      <c r="AZ2349" s="84">
        <f>YEAR(AX2349)</f>
        <v>2017</v>
      </c>
      <c r="BA2349" s="86"/>
      <c r="BB2349" s="86"/>
    </row>
    <row r="2350" spans="1:54" ht="36.75" customHeight="1">
      <c r="A2350" s="30"/>
      <c r="B2350" s="30" t="s">
        <v>55</v>
      </c>
      <c r="C2350" s="69" t="str">
        <f t="shared" si="172"/>
        <v>Closed</v>
      </c>
      <c r="D2350" s="27" t="s">
        <v>13204</v>
      </c>
      <c r="E2350" s="29" t="s">
        <v>13205</v>
      </c>
      <c r="F2350" s="30" t="s">
        <v>233</v>
      </c>
      <c r="G2350" s="89">
        <f>DATE(2017,1,24)</f>
        <v>42759</v>
      </c>
      <c r="H2350" s="90">
        <v>1.2326388888888888</v>
      </c>
      <c r="I2350" s="30" t="s">
        <v>73</v>
      </c>
      <c r="J2350" s="89" t="s">
        <v>13206</v>
      </c>
      <c r="K2350" s="30" t="s">
        <v>235</v>
      </c>
      <c r="L2350" s="30" t="s">
        <v>13207</v>
      </c>
      <c r="M2350" s="30" t="s">
        <v>63</v>
      </c>
      <c r="N2350" s="30" t="s">
        <v>142</v>
      </c>
      <c r="O2350" s="30" t="s">
        <v>64</v>
      </c>
      <c r="P2350" s="89" t="s">
        <v>78</v>
      </c>
      <c r="Q2350" s="89" t="s">
        <v>7308</v>
      </c>
      <c r="R2350" s="89" t="s">
        <v>235</v>
      </c>
      <c r="S2350" s="30">
        <v>0</v>
      </c>
      <c r="T2350" s="233">
        <v>0</v>
      </c>
      <c r="U2350" s="30">
        <v>0</v>
      </c>
      <c r="V2350" s="233">
        <v>0</v>
      </c>
      <c r="W2350" s="30">
        <v>0</v>
      </c>
      <c r="X2350" s="30">
        <v>0</v>
      </c>
      <c r="Y2350" s="30">
        <v>0</v>
      </c>
      <c r="Z2350" s="233">
        <v>0</v>
      </c>
      <c r="AA2350" s="30">
        <v>0</v>
      </c>
      <c r="AB2350" s="30">
        <v>0</v>
      </c>
      <c r="AC2350" s="30">
        <v>0</v>
      </c>
      <c r="AD2350" s="30">
        <v>0</v>
      </c>
      <c r="AE2350" s="89" t="s">
        <v>394</v>
      </c>
      <c r="AF2350" s="89"/>
      <c r="AG2350" s="89" t="s">
        <v>133</v>
      </c>
      <c r="AH2350" s="72">
        <v>42765</v>
      </c>
      <c r="AI2350" s="30">
        <v>5</v>
      </c>
      <c r="AJ2350" s="89" t="s">
        <v>13208</v>
      </c>
      <c r="AK2350" s="89" t="s">
        <v>13209</v>
      </c>
      <c r="AL2350" s="91">
        <v>42775</v>
      </c>
      <c r="AM2350" s="91"/>
      <c r="AN2350" s="91"/>
      <c r="AO2350" s="91"/>
      <c r="AP2350" s="73" t="e">
        <f>MID(VLOOKUP(K2350,#REF!,2,FALSE),1,2)</f>
        <v>#REF!</v>
      </c>
      <c r="AQ2350" s="89">
        <f>DATE(2017,1,26)</f>
        <v>42761</v>
      </c>
      <c r="AR2350" s="82">
        <f t="shared" si="176"/>
        <v>26</v>
      </c>
      <c r="AS2350" s="83">
        <f t="shared" si="177"/>
        <v>1</v>
      </c>
      <c r="AT2350" s="84">
        <f t="shared" si="178"/>
        <v>2017</v>
      </c>
      <c r="AU2350" s="88">
        <f>DATE(2017,1,30)</f>
        <v>42765</v>
      </c>
      <c r="AV2350" s="88">
        <f>DATE(2017,1,26)</f>
        <v>42761</v>
      </c>
      <c r="AW2350" s="87">
        <f t="shared" si="173"/>
        <v>4</v>
      </c>
      <c r="AX2350" s="106" t="s">
        <v>879</v>
      </c>
      <c r="AY2350" s="122" t="s">
        <v>879</v>
      </c>
      <c r="AZ2350" s="122" t="s">
        <v>879</v>
      </c>
      <c r="BA2350" s="106" t="s">
        <v>879</v>
      </c>
      <c r="BB2350" s="106"/>
    </row>
    <row r="2351" spans="1:54" ht="36.75" customHeight="1">
      <c r="A2351" s="30"/>
      <c r="B2351" s="30" t="s">
        <v>55</v>
      </c>
      <c r="C2351" s="69" t="str">
        <f t="shared" si="172"/>
        <v>Closed</v>
      </c>
      <c r="D2351" s="27" t="s">
        <v>13210</v>
      </c>
      <c r="E2351" s="29" t="s">
        <v>13211</v>
      </c>
      <c r="F2351" s="30" t="s">
        <v>835</v>
      </c>
      <c r="G2351" s="89">
        <f>DATE(2017,1,26)</f>
        <v>42761</v>
      </c>
      <c r="H2351" s="90">
        <v>1.3722222222222222</v>
      </c>
      <c r="I2351" s="30" t="s">
        <v>104</v>
      </c>
      <c r="J2351" s="89" t="s">
        <v>13212</v>
      </c>
      <c r="K2351" s="30" t="s">
        <v>837</v>
      </c>
      <c r="L2351" s="30" t="s">
        <v>13213</v>
      </c>
      <c r="M2351" s="30" t="s">
        <v>63</v>
      </c>
      <c r="N2351" s="30" t="s">
        <v>99</v>
      </c>
      <c r="O2351" s="30" t="s">
        <v>77</v>
      </c>
      <c r="P2351" s="89" t="s">
        <v>5324</v>
      </c>
      <c r="Q2351" s="89" t="s">
        <v>2162</v>
      </c>
      <c r="R2351" s="89" t="s">
        <v>840</v>
      </c>
      <c r="S2351" s="30">
        <v>0</v>
      </c>
      <c r="T2351" s="233">
        <v>0</v>
      </c>
      <c r="U2351" s="30">
        <v>0</v>
      </c>
      <c r="V2351" s="233">
        <v>0</v>
      </c>
      <c r="W2351" s="30">
        <v>0</v>
      </c>
      <c r="X2351" s="30">
        <v>0</v>
      </c>
      <c r="Y2351" s="30">
        <v>0</v>
      </c>
      <c r="Z2351" s="233">
        <v>0</v>
      </c>
      <c r="AA2351" s="30">
        <v>0</v>
      </c>
      <c r="AB2351" s="30">
        <v>0</v>
      </c>
      <c r="AC2351" s="30">
        <v>0</v>
      </c>
      <c r="AD2351" s="30">
        <v>0</v>
      </c>
      <c r="AE2351" s="89" t="s">
        <v>92</v>
      </c>
      <c r="AF2351" s="89"/>
      <c r="AG2351" s="89" t="s">
        <v>133</v>
      </c>
      <c r="AH2351" s="72">
        <v>42761</v>
      </c>
      <c r="AI2351" s="30">
        <v>0</v>
      </c>
      <c r="AJ2351" s="89" t="s">
        <v>13214</v>
      </c>
      <c r="AK2351" s="89" t="s">
        <v>1233</v>
      </c>
      <c r="AL2351" s="91">
        <v>42765</v>
      </c>
      <c r="AM2351" s="91"/>
      <c r="AN2351" s="91"/>
      <c r="AO2351" s="91"/>
      <c r="AP2351" s="73" t="e">
        <f>MID(VLOOKUP(K2351,#REF!,2,FALSE),1,2)</f>
        <v>#REF!</v>
      </c>
      <c r="AQ2351" s="89">
        <f>DATE(2017,1,30)</f>
        <v>42765</v>
      </c>
      <c r="AR2351" s="82">
        <f t="shared" si="176"/>
        <v>30</v>
      </c>
      <c r="AS2351" s="83">
        <f t="shared" si="177"/>
        <v>1</v>
      </c>
      <c r="AT2351" s="84">
        <f t="shared" si="178"/>
        <v>2017</v>
      </c>
      <c r="AU2351" s="88">
        <f>DATE(2017,2,3)</f>
        <v>42769</v>
      </c>
      <c r="AV2351" s="88">
        <f>DATE(2017,2,3)</f>
        <v>42769</v>
      </c>
      <c r="AW2351" s="87">
        <f t="shared" si="173"/>
        <v>0</v>
      </c>
      <c r="AX2351" s="106" t="s">
        <v>879</v>
      </c>
      <c r="AY2351" s="122" t="s">
        <v>879</v>
      </c>
      <c r="AZ2351" s="122" t="s">
        <v>879</v>
      </c>
      <c r="BA2351" s="106" t="s">
        <v>879</v>
      </c>
      <c r="BB2351" s="106"/>
    </row>
    <row r="2352" spans="1:54" ht="36.75" customHeight="1">
      <c r="A2352" s="30"/>
      <c r="B2352" s="30" t="s">
        <v>55</v>
      </c>
      <c r="C2352" s="69" t="str">
        <f t="shared" si="172"/>
        <v>Closed</v>
      </c>
      <c r="D2352" s="27" t="s">
        <v>13215</v>
      </c>
      <c r="E2352" s="29" t="s">
        <v>13216</v>
      </c>
      <c r="F2352" s="30" t="s">
        <v>423</v>
      </c>
      <c r="G2352" s="89">
        <f>DATE(2017,1,30)</f>
        <v>42765</v>
      </c>
      <c r="H2352" s="90">
        <v>1.5645833333333332</v>
      </c>
      <c r="I2352" s="30" t="s">
        <v>116</v>
      </c>
      <c r="J2352" s="89" t="s">
        <v>13217</v>
      </c>
      <c r="K2352" s="30" t="s">
        <v>425</v>
      </c>
      <c r="L2352" s="30" t="s">
        <v>13218</v>
      </c>
      <c r="M2352" s="30" t="s">
        <v>63</v>
      </c>
      <c r="N2352" s="30" t="s">
        <v>142</v>
      </c>
      <c r="O2352" s="30" t="s">
        <v>64</v>
      </c>
      <c r="P2352" s="89" t="s">
        <v>65</v>
      </c>
      <c r="Q2352" s="89" t="s">
        <v>13219</v>
      </c>
      <c r="R2352" s="89" t="s">
        <v>3103</v>
      </c>
      <c r="S2352" s="30">
        <v>0</v>
      </c>
      <c r="T2352" s="233">
        <v>0</v>
      </c>
      <c r="U2352" s="30">
        <v>0</v>
      </c>
      <c r="V2352" s="233">
        <v>0</v>
      </c>
      <c r="W2352" s="30">
        <v>0</v>
      </c>
      <c r="X2352" s="30">
        <v>0</v>
      </c>
      <c r="Y2352" s="30">
        <v>0</v>
      </c>
      <c r="Z2352" s="233">
        <v>0</v>
      </c>
      <c r="AA2352" s="30">
        <v>0</v>
      </c>
      <c r="AB2352" s="30">
        <v>0</v>
      </c>
      <c r="AC2352" s="30">
        <v>0</v>
      </c>
      <c r="AD2352" s="30">
        <v>0</v>
      </c>
      <c r="AE2352" s="89" t="s">
        <v>92</v>
      </c>
      <c r="AF2352" s="89"/>
      <c r="AG2352" s="89" t="s">
        <v>874</v>
      </c>
      <c r="AH2352" s="72">
        <v>42796</v>
      </c>
      <c r="AI2352" s="30">
        <v>3</v>
      </c>
      <c r="AJ2352" s="89" t="s">
        <v>13220</v>
      </c>
      <c r="AK2352" s="89" t="s">
        <v>13221</v>
      </c>
      <c r="AL2352" s="91">
        <v>42769</v>
      </c>
      <c r="AM2352" s="91"/>
      <c r="AN2352" s="91"/>
      <c r="AO2352" s="91"/>
      <c r="AP2352" s="73" t="e">
        <f>MID(VLOOKUP(K2352,#REF!,2,FALSE),1,2)</f>
        <v>#REF!</v>
      </c>
      <c r="AQ2352" s="89">
        <f>DATE(2017,1,30)</f>
        <v>42765</v>
      </c>
      <c r="AR2352" s="82">
        <f t="shared" si="176"/>
        <v>30</v>
      </c>
      <c r="AS2352" s="83">
        <f t="shared" si="177"/>
        <v>1</v>
      </c>
      <c r="AT2352" s="84">
        <f t="shared" si="178"/>
        <v>2017</v>
      </c>
      <c r="AU2352" s="88">
        <f>DATE(2017,2,8)</f>
        <v>42774</v>
      </c>
      <c r="AV2352" s="88">
        <f>DATE(2017,2,7)</f>
        <v>42773</v>
      </c>
      <c r="AW2352" s="87">
        <f t="shared" si="173"/>
        <v>1</v>
      </c>
      <c r="AX2352" s="106" t="s">
        <v>879</v>
      </c>
      <c r="AY2352" s="122" t="s">
        <v>879</v>
      </c>
      <c r="AZ2352" s="122" t="s">
        <v>879</v>
      </c>
      <c r="BA2352" s="106" t="s">
        <v>879</v>
      </c>
      <c r="BB2352" s="106"/>
    </row>
    <row r="2353" spans="1:54" ht="36.75" customHeight="1">
      <c r="A2353" s="30"/>
      <c r="B2353" s="30" t="s">
        <v>55</v>
      </c>
      <c r="C2353" s="69" t="str">
        <f t="shared" si="172"/>
        <v>Closed</v>
      </c>
      <c r="D2353" s="27" t="s">
        <v>13222</v>
      </c>
      <c r="E2353" s="29" t="s">
        <v>13223</v>
      </c>
      <c r="F2353" s="30" t="s">
        <v>423</v>
      </c>
      <c r="G2353" s="89">
        <f>DATE(2017,1,30)</f>
        <v>42765</v>
      </c>
      <c r="H2353" s="90">
        <v>1.2673611111111112</v>
      </c>
      <c r="I2353" s="30" t="s">
        <v>116</v>
      </c>
      <c r="J2353" s="89" t="s">
        <v>13224</v>
      </c>
      <c r="K2353" s="30" t="s">
        <v>425</v>
      </c>
      <c r="L2353" s="30" t="s">
        <v>13225</v>
      </c>
      <c r="M2353" s="30" t="s">
        <v>63</v>
      </c>
      <c r="N2353" s="30" t="s">
        <v>99</v>
      </c>
      <c r="O2353" s="30" t="s">
        <v>64</v>
      </c>
      <c r="P2353" s="89" t="s">
        <v>165</v>
      </c>
      <c r="Q2353" s="89" t="s">
        <v>4551</v>
      </c>
      <c r="R2353" s="89" t="s">
        <v>3103</v>
      </c>
      <c r="S2353" s="30">
        <v>0</v>
      </c>
      <c r="T2353" s="233">
        <v>0</v>
      </c>
      <c r="U2353" s="30">
        <v>1</v>
      </c>
      <c r="V2353" s="233">
        <v>0</v>
      </c>
      <c r="W2353" s="30">
        <v>0</v>
      </c>
      <c r="X2353" s="30">
        <v>1</v>
      </c>
      <c r="Y2353" s="30">
        <v>0</v>
      </c>
      <c r="Z2353" s="233">
        <v>0</v>
      </c>
      <c r="AA2353" s="30">
        <v>0</v>
      </c>
      <c r="AB2353" s="30">
        <v>0</v>
      </c>
      <c r="AC2353" s="30">
        <v>0</v>
      </c>
      <c r="AD2353" s="30">
        <v>0</v>
      </c>
      <c r="AE2353" s="89" t="s">
        <v>92</v>
      </c>
      <c r="AF2353" s="89"/>
      <c r="AG2353" s="89" t="s">
        <v>874</v>
      </c>
      <c r="AH2353" s="72">
        <v>42918</v>
      </c>
      <c r="AI2353" s="30">
        <v>1</v>
      </c>
      <c r="AJ2353" s="89" t="s">
        <v>13226</v>
      </c>
      <c r="AK2353" s="89" t="s">
        <v>13227</v>
      </c>
      <c r="AL2353" s="91">
        <v>42774</v>
      </c>
      <c r="AM2353" s="91"/>
      <c r="AN2353" s="91"/>
      <c r="AO2353" s="91"/>
      <c r="AP2353" s="73" t="e">
        <f>MID(VLOOKUP(K2353,#REF!,2,FALSE),1,2)</f>
        <v>#REF!</v>
      </c>
      <c r="AQ2353" s="89">
        <f>DATE(2017,1,31)</f>
        <v>42766</v>
      </c>
      <c r="AR2353" s="82">
        <f t="shared" si="176"/>
        <v>31</v>
      </c>
      <c r="AS2353" s="83">
        <f t="shared" si="177"/>
        <v>1</v>
      </c>
      <c r="AT2353" s="84">
        <f t="shared" si="178"/>
        <v>2017</v>
      </c>
      <c r="AU2353" s="88">
        <f>DATE(2017,2,9)</f>
        <v>42775</v>
      </c>
      <c r="AV2353" s="88">
        <f>DATE(2017,2,3)</f>
        <v>42769</v>
      </c>
      <c r="AW2353" s="87">
        <f t="shared" si="173"/>
        <v>6</v>
      </c>
      <c r="AX2353" s="106" t="s">
        <v>879</v>
      </c>
      <c r="AY2353" s="122" t="s">
        <v>879</v>
      </c>
      <c r="AZ2353" s="122" t="s">
        <v>879</v>
      </c>
      <c r="BA2353" s="106" t="s">
        <v>879</v>
      </c>
      <c r="BB2353" s="106"/>
    </row>
    <row r="2354" spans="1:54" ht="36.75" customHeight="1">
      <c r="A2354" s="30"/>
      <c r="B2354" s="30" t="s">
        <v>55</v>
      </c>
      <c r="C2354" s="69" t="str">
        <f t="shared" si="172"/>
        <v>Closed</v>
      </c>
      <c r="D2354" s="27" t="s">
        <v>13228</v>
      </c>
      <c r="E2354" s="29" t="s">
        <v>13229</v>
      </c>
      <c r="F2354" s="30" t="s">
        <v>1938</v>
      </c>
      <c r="G2354" s="89">
        <f>DATE(2017,1,31)</f>
        <v>42766</v>
      </c>
      <c r="H2354" s="90">
        <v>0</v>
      </c>
      <c r="I2354" s="30" t="s">
        <v>2418</v>
      </c>
      <c r="J2354" s="89" t="s">
        <v>13230</v>
      </c>
      <c r="K2354" s="30" t="s">
        <v>1940</v>
      </c>
      <c r="L2354" s="30" t="s">
        <v>13231</v>
      </c>
      <c r="M2354" s="30" t="s">
        <v>63</v>
      </c>
      <c r="N2354" s="30" t="s">
        <v>99</v>
      </c>
      <c r="O2354" s="30" t="s">
        <v>64</v>
      </c>
      <c r="P2354" s="89" t="s">
        <v>6941</v>
      </c>
      <c r="Q2354" s="89" t="s">
        <v>1940</v>
      </c>
      <c r="R2354" s="89" t="s">
        <v>1940</v>
      </c>
      <c r="S2354" s="30">
        <v>0</v>
      </c>
      <c r="T2354" s="233">
        <v>0</v>
      </c>
      <c r="U2354" s="30">
        <v>0</v>
      </c>
      <c r="V2354" s="233">
        <v>0</v>
      </c>
      <c r="W2354" s="30">
        <v>0</v>
      </c>
      <c r="X2354" s="30">
        <v>0</v>
      </c>
      <c r="Y2354" s="30">
        <v>0</v>
      </c>
      <c r="Z2354" s="233">
        <v>0</v>
      </c>
      <c r="AA2354" s="30">
        <v>0</v>
      </c>
      <c r="AB2354" s="30">
        <v>0</v>
      </c>
      <c r="AC2354" s="30">
        <v>0</v>
      </c>
      <c r="AD2354" s="30">
        <v>0</v>
      </c>
      <c r="AE2354" s="89" t="s">
        <v>92</v>
      </c>
      <c r="AF2354" s="89"/>
      <c r="AG2354" s="89" t="s">
        <v>133</v>
      </c>
      <c r="AH2354" s="72">
        <v>42769</v>
      </c>
      <c r="AI2354" s="30">
        <v>5</v>
      </c>
      <c r="AJ2354" s="89" t="s">
        <v>13232</v>
      </c>
      <c r="AK2354" s="89" t="s">
        <v>13233</v>
      </c>
      <c r="AL2354" s="91">
        <v>42775</v>
      </c>
      <c r="AM2354" s="91"/>
      <c r="AN2354" s="91"/>
      <c r="AO2354" s="91"/>
      <c r="AP2354" s="73" t="e">
        <f>MID(VLOOKUP(K2354,#REF!,2,FALSE),1,2)</f>
        <v>#REF!</v>
      </c>
      <c r="AQ2354" s="89">
        <f>DATE(2017,2,1)</f>
        <v>42767</v>
      </c>
      <c r="AR2354" s="82">
        <f t="shared" si="176"/>
        <v>1</v>
      </c>
      <c r="AS2354" s="83">
        <f t="shared" si="177"/>
        <v>2</v>
      </c>
      <c r="AT2354" s="84">
        <f t="shared" si="178"/>
        <v>2017</v>
      </c>
      <c r="AU2354" s="88">
        <f>DATE(2017,2,9)</f>
        <v>42775</v>
      </c>
      <c r="AV2354" s="88">
        <f>DATE(2017,2,2)</f>
        <v>42768</v>
      </c>
      <c r="AW2354" s="87">
        <f t="shared" si="173"/>
        <v>7</v>
      </c>
      <c r="AX2354" s="106" t="s">
        <v>879</v>
      </c>
      <c r="AY2354" s="122" t="s">
        <v>879</v>
      </c>
      <c r="AZ2354" s="122" t="s">
        <v>879</v>
      </c>
      <c r="BA2354" s="106" t="s">
        <v>879</v>
      </c>
      <c r="BB2354" s="106"/>
    </row>
    <row r="2355" spans="1:54" ht="36.75" customHeight="1">
      <c r="A2355" s="30"/>
      <c r="B2355" s="30" t="s">
        <v>55</v>
      </c>
      <c r="C2355" s="69" t="str">
        <f t="shared" si="172"/>
        <v>Closed</v>
      </c>
      <c r="D2355" s="27" t="s">
        <v>13234</v>
      </c>
      <c r="E2355" s="29" t="s">
        <v>13235</v>
      </c>
      <c r="F2355" s="30" t="s">
        <v>582</v>
      </c>
      <c r="G2355" s="89">
        <f>DATE(2017,2,1)</f>
        <v>42767</v>
      </c>
      <c r="H2355" s="90">
        <v>1.9541666666666666</v>
      </c>
      <c r="I2355" s="30" t="s">
        <v>2078</v>
      </c>
      <c r="J2355" s="89" t="s">
        <v>13236</v>
      </c>
      <c r="K2355" s="30" t="s">
        <v>584</v>
      </c>
      <c r="L2355" s="30" t="s">
        <v>13237</v>
      </c>
      <c r="M2355" s="30" t="s">
        <v>63</v>
      </c>
      <c r="N2355" s="30" t="s">
        <v>142</v>
      </c>
      <c r="O2355" s="30" t="s">
        <v>77</v>
      </c>
      <c r="P2355" s="89" t="s">
        <v>65</v>
      </c>
      <c r="Q2355" s="89" t="s">
        <v>2021</v>
      </c>
      <c r="R2355" s="89" t="s">
        <v>587</v>
      </c>
      <c r="S2355" s="30">
        <v>0</v>
      </c>
      <c r="T2355" s="233">
        <v>0</v>
      </c>
      <c r="U2355" s="30">
        <v>0</v>
      </c>
      <c r="V2355" s="233">
        <v>0</v>
      </c>
      <c r="W2355" s="30">
        <v>0</v>
      </c>
      <c r="X2355" s="30">
        <v>0</v>
      </c>
      <c r="Y2355" s="30">
        <v>0</v>
      </c>
      <c r="Z2355" s="233">
        <v>0</v>
      </c>
      <c r="AA2355" s="30">
        <v>0</v>
      </c>
      <c r="AB2355" s="30">
        <v>0</v>
      </c>
      <c r="AC2355" s="30">
        <v>0</v>
      </c>
      <c r="AD2355" s="30">
        <v>0</v>
      </c>
      <c r="AE2355" s="89" t="s">
        <v>92</v>
      </c>
      <c r="AF2355" s="89"/>
      <c r="AG2355" s="89" t="s">
        <v>133</v>
      </c>
      <c r="AH2355" s="72">
        <v>42768</v>
      </c>
      <c r="AI2355" s="30">
        <v>0</v>
      </c>
      <c r="AJ2355" s="89" t="s">
        <v>13238</v>
      </c>
      <c r="AK2355" s="89" t="s">
        <v>1233</v>
      </c>
      <c r="AL2355" s="91">
        <v>42775</v>
      </c>
      <c r="AM2355" s="91"/>
      <c r="AN2355" s="91"/>
      <c r="AO2355" s="91"/>
      <c r="AP2355" s="73" t="e">
        <f>MID(VLOOKUP(K2355,#REF!,2,FALSE),1,2)</f>
        <v>#REF!</v>
      </c>
      <c r="AQ2355" s="89">
        <f>DATE(2017,2,2)</f>
        <v>42768</v>
      </c>
      <c r="AR2355" s="82">
        <f t="shared" si="176"/>
        <v>2</v>
      </c>
      <c r="AS2355" s="83">
        <f t="shared" si="177"/>
        <v>2</v>
      </c>
      <c r="AT2355" s="84">
        <f t="shared" si="178"/>
        <v>2017</v>
      </c>
      <c r="AU2355" s="88">
        <f>DATE(2017,2,6)</f>
        <v>42772</v>
      </c>
      <c r="AV2355" s="88">
        <f>DATE(2017,2,3)</f>
        <v>42769</v>
      </c>
      <c r="AW2355" s="87">
        <f t="shared" si="173"/>
        <v>3</v>
      </c>
      <c r="AX2355" s="86"/>
      <c r="AY2355" s="82"/>
      <c r="AZ2355" s="120"/>
      <c r="BA2355" s="86"/>
      <c r="BB2355" s="86" t="s">
        <v>13115</v>
      </c>
    </row>
    <row r="2356" spans="1:54" ht="36.75" customHeight="1">
      <c r="A2356" s="30"/>
      <c r="B2356" s="30" t="s">
        <v>55</v>
      </c>
      <c r="C2356" s="69" t="str">
        <f t="shared" si="172"/>
        <v>Closed</v>
      </c>
      <c r="D2356" s="27" t="s">
        <v>13239</v>
      </c>
      <c r="E2356" s="29" t="s">
        <v>13240</v>
      </c>
      <c r="F2356" s="30" t="s">
        <v>124</v>
      </c>
      <c r="G2356" s="89">
        <f>DATE(2017,2,2)</f>
        <v>42768</v>
      </c>
      <c r="H2356" s="90">
        <v>1.6770833333333335</v>
      </c>
      <c r="I2356" s="30" t="s">
        <v>278</v>
      </c>
      <c r="J2356" s="89" t="s">
        <v>13241</v>
      </c>
      <c r="K2356" s="30" t="s">
        <v>127</v>
      </c>
      <c r="L2356" s="30" t="s">
        <v>13242</v>
      </c>
      <c r="M2356" s="30" t="s">
        <v>129</v>
      </c>
      <c r="N2356" s="30" t="s">
        <v>142</v>
      </c>
      <c r="O2356" s="30" t="s">
        <v>77</v>
      </c>
      <c r="P2356" s="89" t="s">
        <v>129</v>
      </c>
      <c r="Q2356" s="89" t="s">
        <v>130</v>
      </c>
      <c r="R2356" s="89" t="s">
        <v>131</v>
      </c>
      <c r="S2356" s="30">
        <v>1</v>
      </c>
      <c r="T2356" s="233">
        <v>0</v>
      </c>
      <c r="U2356" s="30">
        <v>0</v>
      </c>
      <c r="V2356" s="233">
        <v>0</v>
      </c>
      <c r="W2356" s="30">
        <v>0</v>
      </c>
      <c r="X2356" s="30">
        <v>1</v>
      </c>
      <c r="Y2356" s="30">
        <v>0</v>
      </c>
      <c r="Z2356" s="233">
        <v>0</v>
      </c>
      <c r="AA2356" s="30">
        <v>0</v>
      </c>
      <c r="AB2356" s="30">
        <v>0</v>
      </c>
      <c r="AC2356" s="30">
        <v>0</v>
      </c>
      <c r="AD2356" s="30">
        <v>0</v>
      </c>
      <c r="AE2356" s="89" t="s">
        <v>92</v>
      </c>
      <c r="AF2356" s="89"/>
      <c r="AG2356" s="89" t="s">
        <v>367</v>
      </c>
      <c r="AH2356" s="72">
        <v>42769</v>
      </c>
      <c r="AI2356" s="30">
        <v>3</v>
      </c>
      <c r="AJ2356" s="89" t="s">
        <v>13243</v>
      </c>
      <c r="AK2356" s="89" t="s">
        <v>68</v>
      </c>
      <c r="AL2356" s="91">
        <v>42772</v>
      </c>
      <c r="AM2356" s="91"/>
      <c r="AN2356" s="91"/>
      <c r="AO2356" s="91"/>
      <c r="AP2356" s="73" t="e">
        <f>MID(VLOOKUP(K2356,#REF!,2,FALSE),1,2)</f>
        <v>#REF!</v>
      </c>
      <c r="AQ2356" s="89">
        <f>DATE(2017,2,5)</f>
        <v>42771</v>
      </c>
      <c r="AR2356" s="82">
        <f t="shared" si="176"/>
        <v>5</v>
      </c>
      <c r="AS2356" s="83">
        <f t="shared" si="177"/>
        <v>2</v>
      </c>
      <c r="AT2356" s="84">
        <f t="shared" si="178"/>
        <v>2017</v>
      </c>
      <c r="AU2356" s="88">
        <f>DATE(2017,10,4)</f>
        <v>43012</v>
      </c>
      <c r="AV2356" s="88">
        <f>DATE(2017,2,6)</f>
        <v>42772</v>
      </c>
      <c r="AW2356" s="87">
        <f t="shared" si="173"/>
        <v>240</v>
      </c>
      <c r="AX2356" s="88">
        <f>DATE(2017,2,6)</f>
        <v>42772</v>
      </c>
      <c r="AY2356" s="83">
        <f>MONTH(AX2356)</f>
        <v>2</v>
      </c>
      <c r="AZ2356" s="84">
        <f>YEAR(AX2356)</f>
        <v>2017</v>
      </c>
      <c r="BA2356" s="88">
        <f>DATE(2017,2,6)</f>
        <v>42772</v>
      </c>
      <c r="BB2356" s="86"/>
    </row>
    <row r="2357" spans="1:54" ht="36.75" customHeight="1">
      <c r="A2357" s="30"/>
      <c r="B2357" s="30" t="s">
        <v>55</v>
      </c>
      <c r="C2357" s="69" t="str">
        <f t="shared" si="172"/>
        <v>Closed</v>
      </c>
      <c r="D2357" s="27" t="s">
        <v>13244</v>
      </c>
      <c r="E2357" s="29" t="s">
        <v>13245</v>
      </c>
      <c r="F2357" s="30" t="s">
        <v>835</v>
      </c>
      <c r="G2357" s="89">
        <f>DATE(2017,2,5)</f>
        <v>42771</v>
      </c>
      <c r="H2357" s="90">
        <v>1.7013888888888888</v>
      </c>
      <c r="I2357" s="30" t="s">
        <v>116</v>
      </c>
      <c r="J2357" s="89" t="s">
        <v>13246</v>
      </c>
      <c r="K2357" s="30" t="s">
        <v>837</v>
      </c>
      <c r="L2357" s="30" t="s">
        <v>13247</v>
      </c>
      <c r="M2357" s="30" t="s">
        <v>63</v>
      </c>
      <c r="N2357" s="30" t="s">
        <v>99</v>
      </c>
      <c r="O2357" s="30" t="s">
        <v>64</v>
      </c>
      <c r="P2357" s="89" t="s">
        <v>165</v>
      </c>
      <c r="Q2357" s="89" t="s">
        <v>2162</v>
      </c>
      <c r="R2357" s="89" t="s">
        <v>840</v>
      </c>
      <c r="S2357" s="30">
        <v>0</v>
      </c>
      <c r="T2357" s="233">
        <v>0</v>
      </c>
      <c r="U2357" s="30">
        <v>1</v>
      </c>
      <c r="V2357" s="233">
        <v>0</v>
      </c>
      <c r="W2357" s="30">
        <v>0</v>
      </c>
      <c r="X2357" s="30">
        <v>1</v>
      </c>
      <c r="Y2357" s="30">
        <v>0</v>
      </c>
      <c r="Z2357" s="233">
        <v>0</v>
      </c>
      <c r="AA2357" s="30">
        <v>1</v>
      </c>
      <c r="AB2357" s="30">
        <v>0</v>
      </c>
      <c r="AC2357" s="30">
        <v>0</v>
      </c>
      <c r="AD2357" s="30">
        <v>1</v>
      </c>
      <c r="AE2357" s="89" t="s">
        <v>92</v>
      </c>
      <c r="AF2357" s="89"/>
      <c r="AG2357" s="89" t="s">
        <v>352</v>
      </c>
      <c r="AH2357" s="72">
        <v>42772</v>
      </c>
      <c r="AI2357" s="30">
        <v>0</v>
      </c>
      <c r="AJ2357" s="89" t="s">
        <v>13248</v>
      </c>
      <c r="AK2357" s="89" t="s">
        <v>13249</v>
      </c>
      <c r="AL2357" s="91">
        <v>43012</v>
      </c>
      <c r="AM2357" s="91"/>
      <c r="AN2357" s="91"/>
      <c r="AO2357" s="91"/>
      <c r="AP2357" s="73" t="e">
        <f>MID(VLOOKUP(K2357,#REF!,2,FALSE),1,2)</f>
        <v>#REF!</v>
      </c>
      <c r="AQ2357" s="89">
        <f>DATE(2017,2,6)</f>
        <v>42772</v>
      </c>
      <c r="AR2357" s="82">
        <f t="shared" si="176"/>
        <v>6</v>
      </c>
      <c r="AS2357" s="83">
        <f t="shared" si="177"/>
        <v>2</v>
      </c>
      <c r="AT2357" s="84">
        <f t="shared" si="178"/>
        <v>2017</v>
      </c>
      <c r="AU2357" s="88">
        <f>DATE(2017,6,1)</f>
        <v>42887</v>
      </c>
      <c r="AV2357" s="88">
        <f>DATE(2017,5,30)</f>
        <v>42885</v>
      </c>
      <c r="AW2357" s="87">
        <f t="shared" si="173"/>
        <v>2</v>
      </c>
      <c r="AX2357" s="86"/>
      <c r="AY2357" s="83"/>
      <c r="AZ2357" s="84"/>
      <c r="BA2357" s="86"/>
      <c r="BB2357" s="86" t="s">
        <v>13115</v>
      </c>
    </row>
    <row r="2358" spans="1:54" ht="36.75" customHeight="1">
      <c r="A2358" s="30"/>
      <c r="B2358" s="30" t="s">
        <v>55</v>
      </c>
      <c r="C2358" s="69" t="str">
        <f t="shared" si="172"/>
        <v>Closed</v>
      </c>
      <c r="D2358" s="27" t="s">
        <v>13250</v>
      </c>
      <c r="E2358" s="29" t="s">
        <v>13251</v>
      </c>
      <c r="F2358" s="30" t="s">
        <v>6455</v>
      </c>
      <c r="G2358" s="89">
        <f>DATE(2017,2,6)</f>
        <v>42772</v>
      </c>
      <c r="H2358" s="90">
        <v>1.8854166666666665</v>
      </c>
      <c r="I2358" s="30" t="s">
        <v>73</v>
      </c>
      <c r="J2358" s="89" t="s">
        <v>13252</v>
      </c>
      <c r="K2358" s="30" t="s">
        <v>584</v>
      </c>
      <c r="L2358" s="30" t="s">
        <v>13253</v>
      </c>
      <c r="M2358" s="30" t="s">
        <v>63</v>
      </c>
      <c r="N2358" s="30" t="s">
        <v>142</v>
      </c>
      <c r="O2358" s="30" t="s">
        <v>77</v>
      </c>
      <c r="P2358" s="89" t="s">
        <v>78</v>
      </c>
      <c r="Q2358" s="89" t="s">
        <v>4780</v>
      </c>
      <c r="R2358" s="89" t="s">
        <v>13254</v>
      </c>
      <c r="S2358" s="30">
        <v>0</v>
      </c>
      <c r="T2358" s="233">
        <v>0</v>
      </c>
      <c r="U2358" s="30">
        <v>0</v>
      </c>
      <c r="V2358" s="233">
        <v>0</v>
      </c>
      <c r="W2358" s="30">
        <v>0</v>
      </c>
      <c r="X2358" s="30">
        <v>0</v>
      </c>
      <c r="Y2358" s="30">
        <v>0</v>
      </c>
      <c r="Z2358" s="233">
        <v>0</v>
      </c>
      <c r="AA2358" s="30">
        <v>0</v>
      </c>
      <c r="AB2358" s="30">
        <v>0</v>
      </c>
      <c r="AC2358" s="30">
        <v>0</v>
      </c>
      <c r="AD2358" s="30">
        <v>0</v>
      </c>
      <c r="AE2358" s="89" t="s">
        <v>92</v>
      </c>
      <c r="AF2358" s="89" t="s">
        <v>13255</v>
      </c>
      <c r="AG2358" s="89" t="s">
        <v>8859</v>
      </c>
      <c r="AH2358" s="72">
        <v>42885</v>
      </c>
      <c r="AI2358" s="30">
        <v>0</v>
      </c>
      <c r="AJ2358" s="89" t="s">
        <v>13256</v>
      </c>
      <c r="AK2358" s="89" t="s">
        <v>10569</v>
      </c>
      <c r="AL2358" s="91">
        <v>42887</v>
      </c>
      <c r="AM2358" s="91">
        <v>44593</v>
      </c>
      <c r="AN2358" s="91">
        <v>44643</v>
      </c>
      <c r="AO2358" s="91">
        <v>44623</v>
      </c>
      <c r="AP2358" s="73" t="e">
        <f>MID(VLOOKUP(K2358,#REF!,2,FALSE),1,2)</f>
        <v>#REF!</v>
      </c>
      <c r="AQ2358" s="89">
        <f>DATE(2017,2,6)</f>
        <v>42772</v>
      </c>
      <c r="AR2358" s="82">
        <f t="shared" si="176"/>
        <v>6</v>
      </c>
      <c r="AS2358" s="83">
        <f t="shared" si="177"/>
        <v>2</v>
      </c>
      <c r="AT2358" s="84">
        <f t="shared" si="178"/>
        <v>2017</v>
      </c>
      <c r="AU2358" s="88">
        <f>DATE(2017,3,9)</f>
        <v>42803</v>
      </c>
      <c r="AV2358" s="88">
        <f>DATE(2017,2,20)</f>
        <v>42786</v>
      </c>
      <c r="AW2358" s="87">
        <f t="shared" si="173"/>
        <v>17</v>
      </c>
      <c r="AX2358" s="88">
        <f>DATE(2017,3,9)</f>
        <v>42803</v>
      </c>
      <c r="AY2358" s="83">
        <f>MONTH(AX2358)</f>
        <v>3</v>
      </c>
      <c r="AZ2358" s="84">
        <f>YEAR(AX2358)</f>
        <v>2017</v>
      </c>
      <c r="BA2358" s="86"/>
      <c r="BB2358" s="86"/>
    </row>
    <row r="2359" spans="1:54" ht="36.75" customHeight="1">
      <c r="A2359" s="30"/>
      <c r="B2359" s="30" t="s">
        <v>55</v>
      </c>
      <c r="C2359" s="69" t="str">
        <f t="shared" si="172"/>
        <v>Closed</v>
      </c>
      <c r="D2359" s="27" t="s">
        <v>13257</v>
      </c>
      <c r="E2359" s="29" t="s">
        <v>13258</v>
      </c>
      <c r="F2359" s="30" t="s">
        <v>233</v>
      </c>
      <c r="G2359" s="89">
        <f>DATE(2017,2,6)</f>
        <v>42772</v>
      </c>
      <c r="H2359" s="90">
        <v>1.8958333333333335</v>
      </c>
      <c r="I2359" s="30" t="s">
        <v>278</v>
      </c>
      <c r="J2359" s="89" t="s">
        <v>13259</v>
      </c>
      <c r="K2359" s="30" t="s">
        <v>235</v>
      </c>
      <c r="L2359" s="30" t="s">
        <v>13260</v>
      </c>
      <c r="M2359" s="30" t="s">
        <v>129</v>
      </c>
      <c r="N2359" s="30" t="s">
        <v>99</v>
      </c>
      <c r="O2359" s="30" t="s">
        <v>77</v>
      </c>
      <c r="P2359" s="89" t="s">
        <v>129</v>
      </c>
      <c r="Q2359" s="89" t="s">
        <v>2697</v>
      </c>
      <c r="R2359" s="89" t="s">
        <v>235</v>
      </c>
      <c r="S2359" s="30">
        <v>0</v>
      </c>
      <c r="T2359" s="233">
        <v>0</v>
      </c>
      <c r="U2359" s="30">
        <v>0</v>
      </c>
      <c r="V2359" s="233">
        <v>0</v>
      </c>
      <c r="W2359" s="30">
        <v>0</v>
      </c>
      <c r="X2359" s="30">
        <v>0</v>
      </c>
      <c r="Y2359" s="30">
        <v>0</v>
      </c>
      <c r="Z2359" s="233">
        <v>0</v>
      </c>
      <c r="AA2359" s="30">
        <v>0</v>
      </c>
      <c r="AB2359" s="30">
        <v>0</v>
      </c>
      <c r="AC2359" s="30">
        <v>0</v>
      </c>
      <c r="AD2359" s="30">
        <v>0</v>
      </c>
      <c r="AE2359" s="89" t="s">
        <v>92</v>
      </c>
      <c r="AF2359" s="89"/>
      <c r="AG2359" s="89" t="s">
        <v>133</v>
      </c>
      <c r="AH2359" s="72">
        <v>42786</v>
      </c>
      <c r="AI2359" s="30">
        <v>3</v>
      </c>
      <c r="AJ2359" s="89" t="s">
        <v>13261</v>
      </c>
      <c r="AK2359" s="89" t="s">
        <v>13262</v>
      </c>
      <c r="AL2359" s="91">
        <v>42803</v>
      </c>
      <c r="AM2359" s="91"/>
      <c r="AN2359" s="91"/>
      <c r="AO2359" s="91"/>
      <c r="AP2359" s="73" t="e">
        <f>MID(VLOOKUP(K2359,#REF!,2,FALSE),1,2)</f>
        <v>#REF!</v>
      </c>
      <c r="AQ2359" s="89">
        <f>DATE(2017,2,7)</f>
        <v>42773</v>
      </c>
      <c r="AR2359" s="82">
        <f t="shared" si="176"/>
        <v>7</v>
      </c>
      <c r="AS2359" s="83">
        <f t="shared" si="177"/>
        <v>2</v>
      </c>
      <c r="AT2359" s="84">
        <f t="shared" si="178"/>
        <v>2017</v>
      </c>
      <c r="AU2359" s="88">
        <f>DATE(2017,2,13)</f>
        <v>42779</v>
      </c>
      <c r="AV2359" s="88">
        <f>DATE(2017,2,9)</f>
        <v>42775</v>
      </c>
      <c r="AW2359" s="87">
        <f t="shared" si="173"/>
        <v>4</v>
      </c>
      <c r="AX2359" s="88">
        <f>DATE(2017,2,13)</f>
        <v>42779</v>
      </c>
      <c r="AY2359" s="83">
        <f>MONTH(AX2359)</f>
        <v>2</v>
      </c>
      <c r="AZ2359" s="84">
        <f>YEAR(AX2359)</f>
        <v>2017</v>
      </c>
      <c r="BA2359" s="88">
        <f>DATE(2017,2,7)</f>
        <v>42773</v>
      </c>
      <c r="BB2359" s="86"/>
    </row>
    <row r="2360" spans="1:54" ht="36.75" customHeight="1">
      <c r="A2360" s="30"/>
      <c r="B2360" s="30" t="s">
        <v>55</v>
      </c>
      <c r="C2360" s="69" t="str">
        <f t="shared" si="172"/>
        <v>Closed</v>
      </c>
      <c r="D2360" s="27" t="s">
        <v>13263</v>
      </c>
      <c r="E2360" s="29" t="s">
        <v>13264</v>
      </c>
      <c r="F2360" s="30" t="s">
        <v>1572</v>
      </c>
      <c r="G2360" s="89">
        <f>DATE(2017,2,7)</f>
        <v>42773</v>
      </c>
      <c r="H2360" s="90">
        <v>1.6736111111111112</v>
      </c>
      <c r="I2360" s="30" t="s">
        <v>73</v>
      </c>
      <c r="J2360" s="89" t="s">
        <v>13265</v>
      </c>
      <c r="K2360" s="30" t="s">
        <v>1574</v>
      </c>
      <c r="L2360" s="30" t="s">
        <v>13266</v>
      </c>
      <c r="M2360" s="30" t="s">
        <v>63</v>
      </c>
      <c r="N2360" s="30" t="s">
        <v>99</v>
      </c>
      <c r="O2360" s="30" t="s">
        <v>64</v>
      </c>
      <c r="P2360" s="89" t="s">
        <v>6941</v>
      </c>
      <c r="Q2360" s="89" t="s">
        <v>5170</v>
      </c>
      <c r="R2360" s="89" t="s">
        <v>2561</v>
      </c>
      <c r="S2360" s="30">
        <v>0</v>
      </c>
      <c r="T2360" s="233">
        <v>0</v>
      </c>
      <c r="U2360" s="30">
        <v>0</v>
      </c>
      <c r="V2360" s="233">
        <v>0</v>
      </c>
      <c r="W2360" s="30">
        <v>0</v>
      </c>
      <c r="X2360" s="30">
        <v>0</v>
      </c>
      <c r="Y2360" s="30">
        <v>0</v>
      </c>
      <c r="Z2360" s="233">
        <v>0</v>
      </c>
      <c r="AA2360" s="30">
        <v>0</v>
      </c>
      <c r="AB2360" s="30">
        <v>0</v>
      </c>
      <c r="AC2360" s="30">
        <v>0</v>
      </c>
      <c r="AD2360" s="30">
        <v>0</v>
      </c>
      <c r="AE2360" s="89" t="s">
        <v>92</v>
      </c>
      <c r="AF2360" s="89"/>
      <c r="AG2360" s="89" t="s">
        <v>133</v>
      </c>
      <c r="AH2360" s="72">
        <v>42775</v>
      </c>
      <c r="AI2360" s="30">
        <v>1</v>
      </c>
      <c r="AJ2360" s="89" t="s">
        <v>13267</v>
      </c>
      <c r="AK2360" s="89" t="s">
        <v>13268</v>
      </c>
      <c r="AL2360" s="91">
        <v>42779</v>
      </c>
      <c r="AM2360" s="91"/>
      <c r="AN2360" s="91"/>
      <c r="AO2360" s="91"/>
      <c r="AP2360" s="73" t="e">
        <f>MID(VLOOKUP(K2360,#REF!,2,FALSE),1,2)</f>
        <v>#REF!</v>
      </c>
      <c r="AQ2360" s="89">
        <f>DATE(2017,2,9)</f>
        <v>42775</v>
      </c>
      <c r="AR2360" s="82">
        <f t="shared" si="176"/>
        <v>9</v>
      </c>
      <c r="AS2360" s="83">
        <f t="shared" si="177"/>
        <v>2</v>
      </c>
      <c r="AT2360" s="84">
        <f t="shared" si="178"/>
        <v>2017</v>
      </c>
      <c r="AU2360" s="88">
        <f>DATE(2017,2,15)</f>
        <v>42781</v>
      </c>
      <c r="AV2360" s="88">
        <f>DATE(2017,2,10)</f>
        <v>42776</v>
      </c>
      <c r="AW2360" s="87">
        <f t="shared" si="173"/>
        <v>5</v>
      </c>
      <c r="AX2360" s="88">
        <f>DATE(2017,2,10)</f>
        <v>42776</v>
      </c>
      <c r="AY2360" s="83">
        <f>MONTH(AX2360)</f>
        <v>2</v>
      </c>
      <c r="AZ2360" s="84">
        <f>YEAR(AX2360)</f>
        <v>2017</v>
      </c>
      <c r="BA2360" s="88">
        <f>DATE(2017,2,9)</f>
        <v>42775</v>
      </c>
      <c r="BB2360" s="86"/>
    </row>
    <row r="2361" spans="1:54" ht="36.75" customHeight="1">
      <c r="A2361" s="30"/>
      <c r="B2361" s="30" t="s">
        <v>55</v>
      </c>
      <c r="C2361" s="69" t="str">
        <f t="shared" si="172"/>
        <v>Closed</v>
      </c>
      <c r="D2361" s="27" t="s">
        <v>13269</v>
      </c>
      <c r="E2361" s="29" t="s">
        <v>13270</v>
      </c>
      <c r="F2361" s="30" t="s">
        <v>2601</v>
      </c>
      <c r="G2361" s="89">
        <f>DATE(2017,2,9)</f>
        <v>42775</v>
      </c>
      <c r="H2361" s="90">
        <v>1.0263888888888888</v>
      </c>
      <c r="I2361" s="30" t="s">
        <v>73</v>
      </c>
      <c r="J2361" s="89" t="s">
        <v>13271</v>
      </c>
      <c r="K2361" s="30" t="s">
        <v>2603</v>
      </c>
      <c r="L2361" s="30" t="s">
        <v>13272</v>
      </c>
      <c r="M2361" s="30" t="s">
        <v>63</v>
      </c>
      <c r="N2361" s="30" t="s">
        <v>142</v>
      </c>
      <c r="O2361" s="30" t="s">
        <v>64</v>
      </c>
      <c r="P2361" s="89" t="s">
        <v>78</v>
      </c>
      <c r="Q2361" s="89" t="s">
        <v>13273</v>
      </c>
      <c r="R2361" s="89" t="s">
        <v>2606</v>
      </c>
      <c r="S2361" s="30">
        <v>0</v>
      </c>
      <c r="T2361" s="233">
        <v>0</v>
      </c>
      <c r="U2361" s="30">
        <v>0</v>
      </c>
      <c r="V2361" s="233">
        <v>0</v>
      </c>
      <c r="W2361" s="30">
        <v>0</v>
      </c>
      <c r="X2361" s="30">
        <v>0</v>
      </c>
      <c r="Y2361" s="30">
        <v>0</v>
      </c>
      <c r="Z2361" s="233">
        <v>0</v>
      </c>
      <c r="AA2361" s="30">
        <v>0</v>
      </c>
      <c r="AB2361" s="30">
        <v>0</v>
      </c>
      <c r="AC2361" s="30">
        <v>0</v>
      </c>
      <c r="AD2361" s="30">
        <v>0</v>
      </c>
      <c r="AE2361" s="89" t="s">
        <v>92</v>
      </c>
      <c r="AF2361" s="89"/>
      <c r="AG2361" s="89" t="s">
        <v>133</v>
      </c>
      <c r="AH2361" s="72">
        <v>42776</v>
      </c>
      <c r="AI2361" s="30">
        <v>3</v>
      </c>
      <c r="AJ2361" s="89" t="s">
        <v>13274</v>
      </c>
      <c r="AK2361" s="89" t="s">
        <v>13275</v>
      </c>
      <c r="AL2361" s="91">
        <v>42781</v>
      </c>
      <c r="AM2361" s="91"/>
      <c r="AN2361" s="91"/>
      <c r="AO2361" s="91"/>
      <c r="AP2361" s="73" t="e">
        <f>MID(VLOOKUP(K2361,#REF!,2,FALSE),1,2)</f>
        <v>#REF!</v>
      </c>
      <c r="AQ2361" s="89">
        <f>DATE(2017,2,9)</f>
        <v>42775</v>
      </c>
      <c r="AR2361" s="82">
        <f t="shared" si="176"/>
        <v>9</v>
      </c>
      <c r="AS2361" s="83">
        <f t="shared" si="177"/>
        <v>2</v>
      </c>
      <c r="AT2361" s="84">
        <f t="shared" si="178"/>
        <v>2017</v>
      </c>
      <c r="AU2361" s="88">
        <f>DATE(2017,6,14)</f>
        <v>42900</v>
      </c>
      <c r="AV2361" s="88">
        <f>DATE(2017,6,7)</f>
        <v>42893</v>
      </c>
      <c r="AW2361" s="87">
        <f t="shared" si="173"/>
        <v>7</v>
      </c>
      <c r="AX2361" s="88">
        <f>DATE(2017,6,7)</f>
        <v>42893</v>
      </c>
      <c r="AY2361" s="82">
        <f>MONTH(AX2361)</f>
        <v>6</v>
      </c>
      <c r="AZ2361" s="120">
        <f>YEAR(AX2361)</f>
        <v>2017</v>
      </c>
      <c r="BA2361" s="88">
        <f>DATE(2017,6,7)</f>
        <v>42893</v>
      </c>
      <c r="BB2361" s="86"/>
    </row>
    <row r="2362" spans="1:54" ht="36.75" customHeight="1">
      <c r="A2362" s="30"/>
      <c r="B2362" s="30" t="s">
        <v>55</v>
      </c>
      <c r="C2362" s="69" t="str">
        <f t="shared" si="172"/>
        <v>Closed</v>
      </c>
      <c r="D2362" s="27" t="s">
        <v>13276</v>
      </c>
      <c r="E2362" s="29" t="s">
        <v>13277</v>
      </c>
      <c r="F2362" s="30" t="s">
        <v>2547</v>
      </c>
      <c r="G2362" s="89">
        <f>DATE(2017,2,9)</f>
        <v>42775</v>
      </c>
      <c r="H2362" s="90">
        <v>1.9701388888888891</v>
      </c>
      <c r="I2362" s="30" t="s">
        <v>125</v>
      </c>
      <c r="J2362" s="89" t="s">
        <v>13278</v>
      </c>
      <c r="K2362" s="30" t="s">
        <v>2549</v>
      </c>
      <c r="L2362" s="30" t="s">
        <v>13279</v>
      </c>
      <c r="M2362" s="30" t="s">
        <v>63</v>
      </c>
      <c r="N2362" s="30" t="s">
        <v>89</v>
      </c>
      <c r="O2362" s="30" t="s">
        <v>77</v>
      </c>
      <c r="P2362" s="89" t="s">
        <v>78</v>
      </c>
      <c r="Q2362" s="89" t="s">
        <v>3504</v>
      </c>
      <c r="R2362" s="89" t="s">
        <v>10304</v>
      </c>
      <c r="S2362" s="30">
        <v>0</v>
      </c>
      <c r="T2362" s="233">
        <v>0</v>
      </c>
      <c r="U2362" s="30">
        <v>0</v>
      </c>
      <c r="V2362" s="233">
        <v>0</v>
      </c>
      <c r="W2362" s="30">
        <v>0</v>
      </c>
      <c r="X2362" s="30">
        <v>0</v>
      </c>
      <c r="Y2362" s="30">
        <v>0</v>
      </c>
      <c r="Z2362" s="233">
        <v>0</v>
      </c>
      <c r="AA2362" s="30">
        <v>0</v>
      </c>
      <c r="AB2362" s="30">
        <v>0</v>
      </c>
      <c r="AC2362" s="30">
        <v>0</v>
      </c>
      <c r="AD2362" s="30">
        <v>0</v>
      </c>
      <c r="AE2362" s="89" t="s">
        <v>92</v>
      </c>
      <c r="AF2362" s="89"/>
      <c r="AG2362" s="89" t="s">
        <v>395</v>
      </c>
      <c r="AH2362" s="72">
        <v>42893</v>
      </c>
      <c r="AI2362" s="30">
        <v>3</v>
      </c>
      <c r="AJ2362" s="89" t="s">
        <v>13280</v>
      </c>
      <c r="AK2362" s="89" t="s">
        <v>13281</v>
      </c>
      <c r="AL2362" s="91">
        <v>42900</v>
      </c>
      <c r="AM2362" s="91"/>
      <c r="AN2362" s="91"/>
      <c r="AO2362" s="91"/>
      <c r="AP2362" s="111"/>
      <c r="AQ2362" s="112"/>
      <c r="AR2362" s="113"/>
      <c r="AS2362" s="114"/>
      <c r="AT2362" s="115"/>
      <c r="AU2362" s="86"/>
      <c r="AV2362" s="86"/>
      <c r="AW2362" s="86"/>
      <c r="AX2362" s="106"/>
      <c r="AY2362" s="116"/>
      <c r="AZ2362" s="116"/>
      <c r="BA2362" s="106"/>
      <c r="BB2362" s="106"/>
    </row>
    <row r="2363" spans="1:54" ht="36.75" customHeight="1">
      <c r="A2363" s="30" t="s">
        <v>12471</v>
      </c>
      <c r="B2363" s="30" t="s">
        <v>55</v>
      </c>
      <c r="C2363" s="69" t="str">
        <f t="shared" si="172"/>
        <v>Closed</v>
      </c>
      <c r="D2363" s="36" t="s">
        <v>13282</v>
      </c>
      <c r="E2363" s="28" t="s">
        <v>13283</v>
      </c>
      <c r="F2363" s="5" t="s">
        <v>12910</v>
      </c>
      <c r="G2363" s="89">
        <f>DATE(2017,2,10)</f>
        <v>42776</v>
      </c>
      <c r="H2363" s="103">
        <v>0.40972222222222227</v>
      </c>
      <c r="I2363" s="5" t="s">
        <v>73</v>
      </c>
      <c r="J2363" s="28" t="s">
        <v>13284</v>
      </c>
      <c r="K2363" s="5" t="s">
        <v>453</v>
      </c>
      <c r="L2363" s="5" t="s">
        <v>13285</v>
      </c>
      <c r="M2363" s="5"/>
      <c r="N2363" s="5"/>
      <c r="O2363" s="5" t="s">
        <v>77</v>
      </c>
      <c r="P2363" s="28" t="s">
        <v>165</v>
      </c>
      <c r="Q2363" s="28" t="s">
        <v>13286</v>
      </c>
      <c r="R2363" s="28" t="s">
        <v>13287</v>
      </c>
      <c r="S2363" s="5">
        <v>0</v>
      </c>
      <c r="T2363" s="28">
        <v>0</v>
      </c>
      <c r="U2363" s="5">
        <v>0</v>
      </c>
      <c r="V2363" s="28">
        <v>0</v>
      </c>
      <c r="W2363" s="5">
        <v>0</v>
      </c>
      <c r="X2363" s="5">
        <v>0</v>
      </c>
      <c r="Y2363" s="5">
        <v>0</v>
      </c>
      <c r="Z2363" s="28">
        <v>0</v>
      </c>
      <c r="AA2363" s="5">
        <v>0</v>
      </c>
      <c r="AB2363" s="5">
        <v>0</v>
      </c>
      <c r="AC2363" s="5">
        <v>0</v>
      </c>
      <c r="AD2363" s="5">
        <v>0</v>
      </c>
      <c r="AE2363" s="28"/>
      <c r="AF2363" s="28" t="s">
        <v>13288</v>
      </c>
      <c r="AG2363" s="28"/>
      <c r="AH2363" s="72" t="s">
        <v>68</v>
      </c>
      <c r="AI2363" s="5">
        <v>2</v>
      </c>
      <c r="AJ2363" s="28"/>
      <c r="AK2363" s="28"/>
      <c r="AL2363" s="117">
        <v>44480</v>
      </c>
      <c r="AM2363" s="118"/>
      <c r="AN2363" s="119"/>
      <c r="AO2363" s="119"/>
      <c r="AP2363" s="73" t="e">
        <f>MID(VLOOKUP(K2363,#REF!,2,FALSE),1,2)</f>
        <v>#REF!</v>
      </c>
      <c r="AQ2363" s="89">
        <f>DATE(2017,2,13)</f>
        <v>42779</v>
      </c>
      <c r="AR2363" s="82">
        <f t="shared" ref="AR2363:AR2394" si="179">DAY(AQ2363)</f>
        <v>13</v>
      </c>
      <c r="AS2363" s="83">
        <f t="shared" ref="AS2363:AS2394" si="180">MONTH(AQ2363)</f>
        <v>2</v>
      </c>
      <c r="AT2363" s="84">
        <f t="shared" ref="AT2363:AT2394" si="181">YEAR(AQ2363)</f>
        <v>2017</v>
      </c>
      <c r="AU2363" s="88">
        <f>DATE(2017,3,7)</f>
        <v>42801</v>
      </c>
      <c r="AV2363" s="88">
        <f>DATE(2017,2,28)</f>
        <v>42794</v>
      </c>
      <c r="AW2363" s="87">
        <f>AU2363-AV2363</f>
        <v>7</v>
      </c>
      <c r="AX2363" s="106" t="s">
        <v>879</v>
      </c>
      <c r="AY2363" s="122" t="s">
        <v>879</v>
      </c>
      <c r="AZ2363" s="122" t="s">
        <v>879</v>
      </c>
      <c r="BA2363" s="106" t="s">
        <v>879</v>
      </c>
      <c r="BB2363" s="106"/>
    </row>
    <row r="2364" spans="1:54" ht="36.75" customHeight="1">
      <c r="A2364" s="30"/>
      <c r="B2364" s="30" t="s">
        <v>55</v>
      </c>
      <c r="C2364" s="69" t="str">
        <f t="shared" si="172"/>
        <v>Closed</v>
      </c>
      <c r="D2364" s="27" t="s">
        <v>13289</v>
      </c>
      <c r="E2364" s="29" t="s">
        <v>13290</v>
      </c>
      <c r="F2364" s="30" t="s">
        <v>638</v>
      </c>
      <c r="G2364" s="89">
        <f>DATE(2017,2,13)</f>
        <v>42779</v>
      </c>
      <c r="H2364" s="90">
        <v>1.9909722222222221</v>
      </c>
      <c r="I2364" s="30" t="s">
        <v>116</v>
      </c>
      <c r="J2364" s="89" t="s">
        <v>13291</v>
      </c>
      <c r="K2364" s="30" t="s">
        <v>640</v>
      </c>
      <c r="L2364" s="30" t="s">
        <v>13292</v>
      </c>
      <c r="M2364" s="30" t="s">
        <v>63</v>
      </c>
      <c r="N2364" s="30" t="s">
        <v>99</v>
      </c>
      <c r="O2364" s="30" t="s">
        <v>64</v>
      </c>
      <c r="P2364" s="89" t="s">
        <v>165</v>
      </c>
      <c r="Q2364" s="89" t="s">
        <v>642</v>
      </c>
      <c r="R2364" s="89" t="s">
        <v>643</v>
      </c>
      <c r="S2364" s="30">
        <v>0</v>
      </c>
      <c r="T2364" s="233">
        <v>0</v>
      </c>
      <c r="U2364" s="30">
        <v>1</v>
      </c>
      <c r="V2364" s="233">
        <v>0</v>
      </c>
      <c r="W2364" s="30">
        <v>0</v>
      </c>
      <c r="X2364" s="30">
        <v>1</v>
      </c>
      <c r="Y2364" s="30">
        <v>0</v>
      </c>
      <c r="Z2364" s="233">
        <v>0</v>
      </c>
      <c r="AA2364" s="30">
        <v>0</v>
      </c>
      <c r="AB2364" s="30">
        <v>0</v>
      </c>
      <c r="AC2364" s="30">
        <v>0</v>
      </c>
      <c r="AD2364" s="30">
        <v>0</v>
      </c>
      <c r="AE2364" s="89" t="s">
        <v>92</v>
      </c>
      <c r="AF2364" s="89"/>
      <c r="AG2364" s="89" t="s">
        <v>352</v>
      </c>
      <c r="AH2364" s="72">
        <v>42794</v>
      </c>
      <c r="AI2364" s="30">
        <v>2</v>
      </c>
      <c r="AJ2364" s="89" t="s">
        <v>13293</v>
      </c>
      <c r="AK2364" s="89" t="s">
        <v>13294</v>
      </c>
      <c r="AL2364" s="91">
        <v>42801</v>
      </c>
      <c r="AM2364" s="91"/>
      <c r="AN2364" s="91"/>
      <c r="AO2364" s="91"/>
      <c r="AP2364" s="73" t="e">
        <f>MID(VLOOKUP(K2364,#REF!,2,FALSE),1,2)</f>
        <v>#REF!</v>
      </c>
      <c r="AQ2364" s="89">
        <f>DATE(2017,2,14)</f>
        <v>42780</v>
      </c>
      <c r="AR2364" s="82">
        <f t="shared" si="179"/>
        <v>14</v>
      </c>
      <c r="AS2364" s="83">
        <f t="shared" si="180"/>
        <v>2</v>
      </c>
      <c r="AT2364" s="84">
        <f t="shared" si="181"/>
        <v>2017</v>
      </c>
      <c r="AU2364" s="88">
        <f>DATE(2017,2,16)</f>
        <v>42782</v>
      </c>
      <c r="AV2364" s="88">
        <f>DATE(2017,2,16)</f>
        <v>42782</v>
      </c>
      <c r="AW2364" s="87">
        <f>AU2363-AV2363</f>
        <v>7</v>
      </c>
      <c r="AX2364" s="86"/>
      <c r="AY2364" s="83"/>
      <c r="AZ2364" s="84"/>
      <c r="BA2364" s="86"/>
      <c r="BB2364" s="86" t="s">
        <v>13115</v>
      </c>
    </row>
    <row r="2365" spans="1:54" ht="36.75" customHeight="1">
      <c r="A2365" s="30"/>
      <c r="B2365" s="30" t="s">
        <v>55</v>
      </c>
      <c r="C2365" s="69" t="str">
        <f t="shared" si="172"/>
        <v>Closed</v>
      </c>
      <c r="D2365" s="27" t="s">
        <v>13295</v>
      </c>
      <c r="E2365" s="29" t="s">
        <v>13296</v>
      </c>
      <c r="F2365" s="30" t="s">
        <v>835</v>
      </c>
      <c r="G2365" s="89">
        <f>DATE(2017,2,14)</f>
        <v>42780</v>
      </c>
      <c r="H2365" s="90">
        <v>1.7895833333333333</v>
      </c>
      <c r="I2365" s="30" t="s">
        <v>73</v>
      </c>
      <c r="J2365" s="89" t="s">
        <v>13297</v>
      </c>
      <c r="K2365" s="30" t="s">
        <v>837</v>
      </c>
      <c r="L2365" s="30" t="s">
        <v>13298</v>
      </c>
      <c r="M2365" s="30" t="s">
        <v>63</v>
      </c>
      <c r="N2365" s="30" t="s">
        <v>142</v>
      </c>
      <c r="O2365" s="30" t="s">
        <v>77</v>
      </c>
      <c r="P2365" s="89" t="s">
        <v>78</v>
      </c>
      <c r="Q2365" s="89" t="s">
        <v>4708</v>
      </c>
      <c r="R2365" s="89" t="s">
        <v>840</v>
      </c>
      <c r="S2365" s="30">
        <v>0</v>
      </c>
      <c r="T2365" s="233">
        <v>0</v>
      </c>
      <c r="U2365" s="30">
        <v>0</v>
      </c>
      <c r="V2365" s="233">
        <v>0</v>
      </c>
      <c r="W2365" s="30">
        <v>0</v>
      </c>
      <c r="X2365" s="30">
        <v>0</v>
      </c>
      <c r="Y2365" s="30">
        <v>0</v>
      </c>
      <c r="Z2365" s="233">
        <v>0</v>
      </c>
      <c r="AA2365" s="30">
        <v>0</v>
      </c>
      <c r="AB2365" s="30">
        <v>0</v>
      </c>
      <c r="AC2365" s="30">
        <v>0</v>
      </c>
      <c r="AD2365" s="30">
        <v>0</v>
      </c>
      <c r="AE2365" s="89" t="s">
        <v>92</v>
      </c>
      <c r="AF2365" s="89"/>
      <c r="AG2365" s="89" t="s">
        <v>352</v>
      </c>
      <c r="AH2365" s="72">
        <v>42782</v>
      </c>
      <c r="AI2365" s="30">
        <v>1</v>
      </c>
      <c r="AJ2365" s="89" t="s">
        <v>13299</v>
      </c>
      <c r="AK2365" s="89" t="s">
        <v>1233</v>
      </c>
      <c r="AL2365" s="91">
        <v>42782</v>
      </c>
      <c r="AM2365" s="91"/>
      <c r="AN2365" s="91"/>
      <c r="AO2365" s="91"/>
      <c r="AP2365" s="73" t="e">
        <f>MID(VLOOKUP(K2365,#REF!,2,FALSE),1,2)</f>
        <v>#REF!</v>
      </c>
      <c r="AQ2365" s="89">
        <f>DATE(2017,2,14)</f>
        <v>42780</v>
      </c>
      <c r="AR2365" s="82">
        <f t="shared" si="179"/>
        <v>14</v>
      </c>
      <c r="AS2365" s="83">
        <f t="shared" si="180"/>
        <v>2</v>
      </c>
      <c r="AT2365" s="84">
        <f t="shared" si="181"/>
        <v>2017</v>
      </c>
      <c r="AU2365" s="88">
        <f>DATE(2017,2,17)</f>
        <v>42783</v>
      </c>
      <c r="AV2365" s="88">
        <f>DATE(2017,2,14)</f>
        <v>42780</v>
      </c>
      <c r="AW2365" s="87">
        <f t="shared" ref="AW2365:AW2396" si="182">AU2365-AV2365</f>
        <v>3</v>
      </c>
      <c r="AX2365" s="88">
        <f>DATE(2017,2,17)</f>
        <v>42783</v>
      </c>
      <c r="AY2365" s="82">
        <f>MONTH(AX2365)</f>
        <v>2</v>
      </c>
      <c r="AZ2365" s="120">
        <f>YEAR(AX2365)</f>
        <v>2017</v>
      </c>
      <c r="BA2365" s="88">
        <f>DATE(2017,2,14)</f>
        <v>42780</v>
      </c>
      <c r="BB2365" s="86"/>
    </row>
    <row r="2366" spans="1:54" ht="36.75" customHeight="1">
      <c r="A2366" s="30"/>
      <c r="B2366" s="30" t="s">
        <v>55</v>
      </c>
      <c r="C2366" s="69" t="str">
        <f t="shared" si="172"/>
        <v>Closed</v>
      </c>
      <c r="D2366" s="27" t="s">
        <v>13300</v>
      </c>
      <c r="E2366" s="29" t="s">
        <v>13301</v>
      </c>
      <c r="F2366" s="30" t="s">
        <v>8781</v>
      </c>
      <c r="G2366" s="89">
        <f>DATE(2017,2,14)</f>
        <v>42780</v>
      </c>
      <c r="H2366" s="90">
        <v>1.3645833333333333</v>
      </c>
      <c r="I2366" s="30" t="s">
        <v>198</v>
      </c>
      <c r="J2366" s="89" t="s">
        <v>13302</v>
      </c>
      <c r="K2366" s="30" t="s">
        <v>8783</v>
      </c>
      <c r="L2366" s="30" t="s">
        <v>13303</v>
      </c>
      <c r="M2366" s="30" t="s">
        <v>63</v>
      </c>
      <c r="N2366" s="30" t="s">
        <v>89</v>
      </c>
      <c r="O2366" s="30" t="s">
        <v>64</v>
      </c>
      <c r="P2366" s="89" t="s">
        <v>8025</v>
      </c>
      <c r="Q2366" s="89" t="s">
        <v>8783</v>
      </c>
      <c r="R2366" s="89" t="s">
        <v>8783</v>
      </c>
      <c r="S2366" s="30">
        <v>0</v>
      </c>
      <c r="T2366" s="233">
        <v>1</v>
      </c>
      <c r="U2366" s="30">
        <v>0</v>
      </c>
      <c r="V2366" s="233">
        <v>0</v>
      </c>
      <c r="W2366" s="30">
        <v>0</v>
      </c>
      <c r="X2366" s="30">
        <v>1</v>
      </c>
      <c r="Y2366" s="30">
        <v>0</v>
      </c>
      <c r="Z2366" s="233">
        <v>1</v>
      </c>
      <c r="AA2366" s="30">
        <v>0</v>
      </c>
      <c r="AB2366" s="30">
        <v>0</v>
      </c>
      <c r="AC2366" s="30">
        <v>0</v>
      </c>
      <c r="AD2366" s="30">
        <v>1</v>
      </c>
      <c r="AE2366" s="89" t="s">
        <v>145</v>
      </c>
      <c r="AF2366" s="89"/>
      <c r="AG2366" s="89" t="s">
        <v>82</v>
      </c>
      <c r="AH2366" s="72">
        <v>42780</v>
      </c>
      <c r="AI2366" s="30">
        <v>11</v>
      </c>
      <c r="AJ2366" s="89" t="s">
        <v>13304</v>
      </c>
      <c r="AK2366" s="89" t="s">
        <v>13305</v>
      </c>
      <c r="AL2366" s="91">
        <v>42783</v>
      </c>
      <c r="AM2366" s="91"/>
      <c r="AN2366" s="91"/>
      <c r="AO2366" s="91"/>
      <c r="AP2366" s="73" t="e">
        <f>MID(VLOOKUP(K2366,#REF!,2,FALSE),1,2)</f>
        <v>#REF!</v>
      </c>
      <c r="AQ2366" s="89">
        <f>DATE(2017,2,15)</f>
        <v>42781</v>
      </c>
      <c r="AR2366" s="82">
        <f t="shared" si="179"/>
        <v>15</v>
      </c>
      <c r="AS2366" s="83">
        <f t="shared" si="180"/>
        <v>2</v>
      </c>
      <c r="AT2366" s="84">
        <f t="shared" si="181"/>
        <v>2017</v>
      </c>
      <c r="AU2366" s="88">
        <f>DATE(2017,2,17)</f>
        <v>42783</v>
      </c>
      <c r="AV2366" s="88">
        <f>DATE(2017,2,17)</f>
        <v>42783</v>
      </c>
      <c r="AW2366" s="87">
        <f t="shared" si="182"/>
        <v>0</v>
      </c>
      <c r="AX2366" s="88">
        <f>DATE(2017,2,19)</f>
        <v>42785</v>
      </c>
      <c r="AY2366" s="83">
        <f>MONTH(AX2366)</f>
        <v>2</v>
      </c>
      <c r="AZ2366" s="84">
        <f>YEAR(AX2366)</f>
        <v>2017</v>
      </c>
      <c r="BA2366" s="88">
        <f>DATE(2017,2,15)</f>
        <v>42781</v>
      </c>
      <c r="BB2366" s="86"/>
    </row>
    <row r="2367" spans="1:54" ht="36.75" customHeight="1">
      <c r="A2367" s="30"/>
      <c r="B2367" s="30" t="s">
        <v>55</v>
      </c>
      <c r="C2367" s="69" t="str">
        <f t="shared" si="172"/>
        <v>Closed</v>
      </c>
      <c r="D2367" s="27" t="s">
        <v>13306</v>
      </c>
      <c r="E2367" s="29" t="s">
        <v>13307</v>
      </c>
      <c r="F2367" s="30" t="s">
        <v>1572</v>
      </c>
      <c r="G2367" s="89">
        <f>DATE(2017,2,15)</f>
        <v>42781</v>
      </c>
      <c r="H2367" s="90">
        <v>1.2680555555555555</v>
      </c>
      <c r="I2367" s="30" t="s">
        <v>73</v>
      </c>
      <c r="J2367" s="89" t="s">
        <v>13308</v>
      </c>
      <c r="K2367" s="30" t="s">
        <v>1574</v>
      </c>
      <c r="L2367" s="30" t="s">
        <v>13309</v>
      </c>
      <c r="M2367" s="30" t="s">
        <v>63</v>
      </c>
      <c r="N2367" s="30" t="s">
        <v>99</v>
      </c>
      <c r="O2367" s="30" t="s">
        <v>64</v>
      </c>
      <c r="P2367" s="89" t="s">
        <v>78</v>
      </c>
      <c r="Q2367" s="89" t="s">
        <v>9075</v>
      </c>
      <c r="R2367" s="89" t="s">
        <v>6434</v>
      </c>
      <c r="S2367" s="30">
        <v>0</v>
      </c>
      <c r="T2367" s="233">
        <v>0</v>
      </c>
      <c r="U2367" s="30">
        <v>0</v>
      </c>
      <c r="V2367" s="233">
        <v>0</v>
      </c>
      <c r="W2367" s="30">
        <v>0</v>
      </c>
      <c r="X2367" s="30">
        <v>0</v>
      </c>
      <c r="Y2367" s="30">
        <v>0</v>
      </c>
      <c r="Z2367" s="233">
        <v>0</v>
      </c>
      <c r="AA2367" s="30">
        <v>0</v>
      </c>
      <c r="AB2367" s="30">
        <v>0</v>
      </c>
      <c r="AC2367" s="30">
        <v>0</v>
      </c>
      <c r="AD2367" s="30">
        <v>0</v>
      </c>
      <c r="AE2367" s="89" t="s">
        <v>92</v>
      </c>
      <c r="AF2367" s="89"/>
      <c r="AG2367" s="89" t="s">
        <v>133</v>
      </c>
      <c r="AH2367" s="72">
        <v>42783</v>
      </c>
      <c r="AI2367" s="30">
        <v>2</v>
      </c>
      <c r="AJ2367" s="89" t="s">
        <v>13310</v>
      </c>
      <c r="AK2367" s="89" t="s">
        <v>13311</v>
      </c>
      <c r="AL2367" s="91">
        <v>42783</v>
      </c>
      <c r="AM2367" s="91"/>
      <c r="AN2367" s="91"/>
      <c r="AO2367" s="91"/>
      <c r="AP2367" s="73" t="e">
        <f>MID(VLOOKUP(K2367,#REF!,2,FALSE),1,2)</f>
        <v>#REF!</v>
      </c>
      <c r="AQ2367" s="89">
        <f>DATE(2017,2,17)</f>
        <v>42783</v>
      </c>
      <c r="AR2367" s="82">
        <f t="shared" si="179"/>
        <v>17</v>
      </c>
      <c r="AS2367" s="83">
        <f t="shared" si="180"/>
        <v>2</v>
      </c>
      <c r="AT2367" s="84">
        <f t="shared" si="181"/>
        <v>2017</v>
      </c>
      <c r="AU2367" s="88">
        <f>DATE(2017,3,17)</f>
        <v>42811</v>
      </c>
      <c r="AV2367" s="88">
        <f>DATE(2017,3,10)</f>
        <v>42804</v>
      </c>
      <c r="AW2367" s="87">
        <f t="shared" si="182"/>
        <v>7</v>
      </c>
      <c r="AX2367" s="86"/>
      <c r="AY2367" s="83"/>
      <c r="AZ2367" s="84"/>
      <c r="BA2367" s="86"/>
      <c r="BB2367" s="86" t="s">
        <v>13115</v>
      </c>
    </row>
    <row r="2368" spans="1:54" ht="36.75" customHeight="1">
      <c r="A2368" s="30"/>
      <c r="B2368" s="30" t="s">
        <v>55</v>
      </c>
      <c r="C2368" s="69" t="str">
        <f t="shared" si="172"/>
        <v>Closed</v>
      </c>
      <c r="D2368" s="27" t="s">
        <v>13312</v>
      </c>
      <c r="E2368" s="29" t="s">
        <v>13313</v>
      </c>
      <c r="F2368" s="30" t="s">
        <v>582</v>
      </c>
      <c r="G2368" s="89">
        <f>DATE(2017,2,17)</f>
        <v>42783</v>
      </c>
      <c r="H2368" s="90">
        <v>1.0770833333333334</v>
      </c>
      <c r="I2368" s="30" t="s">
        <v>156</v>
      </c>
      <c r="J2368" s="89" t="s">
        <v>13314</v>
      </c>
      <c r="K2368" s="30" t="s">
        <v>584</v>
      </c>
      <c r="L2368" s="30" t="s">
        <v>13315</v>
      </c>
      <c r="M2368" s="30" t="s">
        <v>63</v>
      </c>
      <c r="N2368" s="30" t="s">
        <v>89</v>
      </c>
      <c r="O2368" s="30" t="s">
        <v>77</v>
      </c>
      <c r="P2368" s="89" t="s">
        <v>65</v>
      </c>
      <c r="Q2368" s="89" t="s">
        <v>4830</v>
      </c>
      <c r="R2368" s="89" t="s">
        <v>587</v>
      </c>
      <c r="S2368" s="30">
        <v>0</v>
      </c>
      <c r="T2368" s="233">
        <v>0</v>
      </c>
      <c r="U2368" s="30">
        <v>0</v>
      </c>
      <c r="V2368" s="233">
        <v>0</v>
      </c>
      <c r="W2368" s="30">
        <v>0</v>
      </c>
      <c r="X2368" s="30">
        <v>0</v>
      </c>
      <c r="Y2368" s="30">
        <v>0</v>
      </c>
      <c r="Z2368" s="233">
        <v>0</v>
      </c>
      <c r="AA2368" s="30">
        <v>0</v>
      </c>
      <c r="AB2368" s="30">
        <v>0</v>
      </c>
      <c r="AC2368" s="30">
        <v>0</v>
      </c>
      <c r="AD2368" s="30">
        <v>0</v>
      </c>
      <c r="AE2368" s="89" t="s">
        <v>394</v>
      </c>
      <c r="AF2368" s="89"/>
      <c r="AG2368" s="89" t="s">
        <v>133</v>
      </c>
      <c r="AH2368" s="72">
        <v>42804</v>
      </c>
      <c r="AI2368" s="30">
        <v>0</v>
      </c>
      <c r="AJ2368" s="89" t="s">
        <v>13316</v>
      </c>
      <c r="AK2368" s="89" t="s">
        <v>1233</v>
      </c>
      <c r="AL2368" s="91">
        <v>42811</v>
      </c>
      <c r="AM2368" s="91"/>
      <c r="AN2368" s="91"/>
      <c r="AO2368" s="91"/>
      <c r="AP2368" s="73" t="e">
        <f>MID(VLOOKUP(K2368,#REF!,2,FALSE),1,2)</f>
        <v>#REF!</v>
      </c>
      <c r="AQ2368" s="89">
        <f>DATE(2017,2,18)</f>
        <v>42784</v>
      </c>
      <c r="AR2368" s="82">
        <f t="shared" si="179"/>
        <v>18</v>
      </c>
      <c r="AS2368" s="83">
        <f t="shared" si="180"/>
        <v>2</v>
      </c>
      <c r="AT2368" s="84">
        <f t="shared" si="181"/>
        <v>2017</v>
      </c>
      <c r="AU2368" s="88">
        <f>DATE(2017,3,6)</f>
        <v>42800</v>
      </c>
      <c r="AV2368" s="88">
        <f>DATE(2017,2,18)</f>
        <v>42784</v>
      </c>
      <c r="AW2368" s="87">
        <f t="shared" si="182"/>
        <v>16</v>
      </c>
      <c r="AX2368" s="88">
        <f>DATE(2017,2,18)</f>
        <v>42784</v>
      </c>
      <c r="AY2368" s="82">
        <f>MONTH(AX2368)</f>
        <v>2</v>
      </c>
      <c r="AZ2368" s="120">
        <f>YEAR(AX2368)</f>
        <v>2017</v>
      </c>
      <c r="BA2368" s="88">
        <f>DATE(2017,2,18)</f>
        <v>42784</v>
      </c>
      <c r="BB2368" s="86" t="s">
        <v>13317</v>
      </c>
    </row>
    <row r="2369" spans="1:54" ht="36.75" customHeight="1">
      <c r="A2369" s="30"/>
      <c r="B2369" s="30" t="s">
        <v>55</v>
      </c>
      <c r="C2369" s="69" t="str">
        <f t="shared" si="172"/>
        <v>Closed</v>
      </c>
      <c r="D2369" s="27" t="s">
        <v>13318</v>
      </c>
      <c r="E2369" s="29" t="s">
        <v>13319</v>
      </c>
      <c r="F2369" s="30" t="s">
        <v>1770</v>
      </c>
      <c r="G2369" s="89">
        <f>DATE(2017,2,18)</f>
        <v>42784</v>
      </c>
      <c r="H2369" s="90">
        <v>1.5506944444444444</v>
      </c>
      <c r="I2369" s="30" t="s">
        <v>73</v>
      </c>
      <c r="J2369" s="89" t="s">
        <v>13320</v>
      </c>
      <c r="K2369" s="30" t="s">
        <v>1772</v>
      </c>
      <c r="L2369" s="30" t="s">
        <v>13321</v>
      </c>
      <c r="M2369" s="30" t="s">
        <v>63</v>
      </c>
      <c r="N2369" s="30" t="s">
        <v>89</v>
      </c>
      <c r="O2369" s="30" t="s">
        <v>64</v>
      </c>
      <c r="P2369" s="89" t="s">
        <v>65</v>
      </c>
      <c r="Q2369" s="89" t="s">
        <v>4289</v>
      </c>
      <c r="R2369" s="89" t="s">
        <v>1775</v>
      </c>
      <c r="S2369" s="30">
        <v>1</v>
      </c>
      <c r="T2369" s="233">
        <v>0</v>
      </c>
      <c r="U2369" s="30">
        <v>0</v>
      </c>
      <c r="V2369" s="233">
        <v>0</v>
      </c>
      <c r="W2369" s="30">
        <v>0</v>
      </c>
      <c r="X2369" s="30">
        <v>1</v>
      </c>
      <c r="Y2369" s="30">
        <v>3</v>
      </c>
      <c r="Z2369" s="233">
        <v>0</v>
      </c>
      <c r="AA2369" s="30">
        <v>0</v>
      </c>
      <c r="AB2369" s="30">
        <v>0</v>
      </c>
      <c r="AC2369" s="30">
        <v>0</v>
      </c>
      <c r="AD2369" s="30">
        <v>3</v>
      </c>
      <c r="AE2369" s="89" t="s">
        <v>394</v>
      </c>
      <c r="AF2369" s="89"/>
      <c r="AG2369" s="89" t="s">
        <v>82</v>
      </c>
      <c r="AH2369" s="72">
        <v>42784</v>
      </c>
      <c r="AI2369" s="30">
        <v>2</v>
      </c>
      <c r="AJ2369" s="89" t="s">
        <v>13322</v>
      </c>
      <c r="AK2369" s="89" t="s">
        <v>13323</v>
      </c>
      <c r="AL2369" s="91">
        <v>42800</v>
      </c>
      <c r="AM2369" s="91"/>
      <c r="AN2369" s="91"/>
      <c r="AO2369" s="91"/>
      <c r="AP2369" s="73" t="e">
        <f>MID(VLOOKUP(K2369,#REF!,2,FALSE),1,2)</f>
        <v>#REF!</v>
      </c>
      <c r="AQ2369" s="89">
        <f>DATE(2017,2,19)</f>
        <v>42785</v>
      </c>
      <c r="AR2369" s="82">
        <f t="shared" si="179"/>
        <v>19</v>
      </c>
      <c r="AS2369" s="83">
        <f t="shared" si="180"/>
        <v>2</v>
      </c>
      <c r="AT2369" s="84">
        <f t="shared" si="181"/>
        <v>2017</v>
      </c>
      <c r="AU2369" s="88">
        <f>DATE(2017,2,23)</f>
        <v>42789</v>
      </c>
      <c r="AV2369" s="88">
        <f>DATE(2017,2,22)</f>
        <v>42788</v>
      </c>
      <c r="AW2369" s="87">
        <f t="shared" si="182"/>
        <v>1</v>
      </c>
      <c r="AX2369" s="106" t="s">
        <v>879</v>
      </c>
      <c r="AY2369" s="122" t="s">
        <v>879</v>
      </c>
      <c r="AZ2369" s="122" t="s">
        <v>879</v>
      </c>
      <c r="BA2369" s="88">
        <f>DATE(2017,2,23)</f>
        <v>42789</v>
      </c>
      <c r="BB2369" s="106"/>
    </row>
    <row r="2370" spans="1:54" ht="36.75" customHeight="1">
      <c r="A2370" s="30"/>
      <c r="B2370" s="30" t="s">
        <v>55</v>
      </c>
      <c r="C2370" s="69" t="str">
        <f t="shared" ref="C2370:C2433" si="183">IF(B2370="Notification","Open",IF(B2370="Interim Statement","In progress","Closed"))</f>
        <v>Closed</v>
      </c>
      <c r="D2370" s="27" t="s">
        <v>13324</v>
      </c>
      <c r="E2370" s="29" t="s">
        <v>13325</v>
      </c>
      <c r="F2370" s="30" t="s">
        <v>9789</v>
      </c>
      <c r="G2370" s="89">
        <f>DATE(2017,2,19)</f>
        <v>42785</v>
      </c>
      <c r="H2370" s="90">
        <v>1.8423611111111109</v>
      </c>
      <c r="I2370" s="30" t="s">
        <v>73</v>
      </c>
      <c r="J2370" s="210" t="s">
        <v>13326</v>
      </c>
      <c r="K2370" s="30" t="s">
        <v>9791</v>
      </c>
      <c r="L2370" s="30" t="s">
        <v>13327</v>
      </c>
      <c r="M2370" s="30" t="s">
        <v>63</v>
      </c>
      <c r="N2370" s="30" t="s">
        <v>89</v>
      </c>
      <c r="O2370" s="30" t="s">
        <v>90</v>
      </c>
      <c r="P2370" s="89" t="s">
        <v>91</v>
      </c>
      <c r="Q2370" s="89" t="s">
        <v>10257</v>
      </c>
      <c r="R2370" s="89" t="s">
        <v>9794</v>
      </c>
      <c r="S2370" s="30">
        <v>0</v>
      </c>
      <c r="T2370" s="233">
        <v>0</v>
      </c>
      <c r="U2370" s="30">
        <v>0</v>
      </c>
      <c r="V2370" s="233">
        <v>0</v>
      </c>
      <c r="W2370" s="30">
        <v>0</v>
      </c>
      <c r="X2370" s="30">
        <v>0</v>
      </c>
      <c r="Y2370" s="30">
        <v>0</v>
      </c>
      <c r="Z2370" s="233">
        <v>0</v>
      </c>
      <c r="AA2370" s="30">
        <v>0</v>
      </c>
      <c r="AB2370" s="30">
        <v>0</v>
      </c>
      <c r="AC2370" s="30">
        <v>0</v>
      </c>
      <c r="AD2370" s="30">
        <v>0</v>
      </c>
      <c r="AE2370" s="89" t="s">
        <v>92</v>
      </c>
      <c r="AF2370" s="89"/>
      <c r="AG2370" s="89" t="s">
        <v>133</v>
      </c>
      <c r="AH2370" s="72">
        <v>42788</v>
      </c>
      <c r="AI2370" s="30">
        <v>0</v>
      </c>
      <c r="AJ2370" s="89" t="s">
        <v>13328</v>
      </c>
      <c r="AK2370" s="89" t="s">
        <v>13329</v>
      </c>
      <c r="AL2370" s="91">
        <v>42789</v>
      </c>
      <c r="AM2370" s="91"/>
      <c r="AN2370" s="91"/>
      <c r="AO2370" s="91"/>
      <c r="AP2370" s="73" t="e">
        <f>MID(VLOOKUP(K2370,#REF!,2,FALSE),1,2)</f>
        <v>#REF!</v>
      </c>
      <c r="AQ2370" s="89">
        <f>DATE(2017,2,28)</f>
        <v>42794</v>
      </c>
      <c r="AR2370" s="82">
        <f t="shared" si="179"/>
        <v>28</v>
      </c>
      <c r="AS2370" s="83">
        <f t="shared" si="180"/>
        <v>2</v>
      </c>
      <c r="AT2370" s="84">
        <f t="shared" si="181"/>
        <v>2017</v>
      </c>
      <c r="AU2370" s="88">
        <f>DATE(2017,3,7)</f>
        <v>42801</v>
      </c>
      <c r="AV2370" s="88">
        <f>DATE(2017,3,7)</f>
        <v>42801</v>
      </c>
      <c r="AW2370" s="87">
        <f t="shared" si="182"/>
        <v>0</v>
      </c>
      <c r="AX2370" s="88">
        <f>DATE(2017,2,28)</f>
        <v>42794</v>
      </c>
      <c r="AY2370" s="83">
        <f>MONTH(AX2370)</f>
        <v>2</v>
      </c>
      <c r="AZ2370" s="84">
        <f>YEAR(AX2370)</f>
        <v>2017</v>
      </c>
      <c r="BA2370" s="88">
        <f>DATE(2017,2,28)</f>
        <v>42794</v>
      </c>
      <c r="BB2370" s="86"/>
    </row>
    <row r="2371" spans="1:54" ht="36.75" customHeight="1">
      <c r="A2371" s="30"/>
      <c r="B2371" s="30" t="s">
        <v>55</v>
      </c>
      <c r="C2371" s="69" t="str">
        <f t="shared" si="183"/>
        <v>Closed</v>
      </c>
      <c r="D2371" s="27" t="s">
        <v>13330</v>
      </c>
      <c r="E2371" s="29" t="s">
        <v>13331</v>
      </c>
      <c r="F2371" s="30" t="s">
        <v>1572</v>
      </c>
      <c r="G2371" s="89">
        <f>DATE(2017,2,28)</f>
        <v>42794</v>
      </c>
      <c r="H2371" s="90">
        <v>1.6493055555555556</v>
      </c>
      <c r="I2371" s="30" t="s">
        <v>73</v>
      </c>
      <c r="J2371" s="89" t="s">
        <v>13332</v>
      </c>
      <c r="K2371" s="30" t="s">
        <v>1574</v>
      </c>
      <c r="L2371" s="30" t="s">
        <v>13333</v>
      </c>
      <c r="M2371" s="30" t="s">
        <v>63</v>
      </c>
      <c r="N2371" s="30" t="s">
        <v>99</v>
      </c>
      <c r="O2371" s="30" t="s">
        <v>64</v>
      </c>
      <c r="P2371" s="89" t="s">
        <v>6941</v>
      </c>
      <c r="Q2371" s="89" t="s">
        <v>2413</v>
      </c>
      <c r="R2371" s="89" t="s">
        <v>6434</v>
      </c>
      <c r="S2371" s="30">
        <v>0</v>
      </c>
      <c r="T2371" s="233">
        <v>0</v>
      </c>
      <c r="U2371" s="30">
        <v>0</v>
      </c>
      <c r="V2371" s="233">
        <v>0</v>
      </c>
      <c r="W2371" s="30">
        <v>0</v>
      </c>
      <c r="X2371" s="30">
        <v>0</v>
      </c>
      <c r="Y2371" s="30">
        <v>0</v>
      </c>
      <c r="Z2371" s="233">
        <v>0</v>
      </c>
      <c r="AA2371" s="30">
        <v>0</v>
      </c>
      <c r="AB2371" s="30">
        <v>0</v>
      </c>
      <c r="AC2371" s="30">
        <v>0</v>
      </c>
      <c r="AD2371" s="30">
        <v>0</v>
      </c>
      <c r="AE2371" s="89" t="s">
        <v>92</v>
      </c>
      <c r="AF2371" s="89"/>
      <c r="AG2371" s="89" t="s">
        <v>133</v>
      </c>
      <c r="AH2371" s="72">
        <v>42801</v>
      </c>
      <c r="AI2371" s="30">
        <v>0</v>
      </c>
      <c r="AJ2371" s="89" t="s">
        <v>13334</v>
      </c>
      <c r="AK2371" s="89" t="s">
        <v>13335</v>
      </c>
      <c r="AL2371" s="91">
        <v>42801</v>
      </c>
      <c r="AM2371" s="91"/>
      <c r="AN2371" s="91"/>
      <c r="AO2371" s="91"/>
      <c r="AP2371" s="73" t="e">
        <f>MID(VLOOKUP(K2371,#REF!,2,FALSE),1,2)</f>
        <v>#REF!</v>
      </c>
      <c r="AQ2371" s="89">
        <f>DATE(2017,2,28)</f>
        <v>42794</v>
      </c>
      <c r="AR2371" s="82">
        <f t="shared" si="179"/>
        <v>28</v>
      </c>
      <c r="AS2371" s="83">
        <f t="shared" si="180"/>
        <v>2</v>
      </c>
      <c r="AT2371" s="84">
        <f t="shared" si="181"/>
        <v>2017</v>
      </c>
      <c r="AU2371" s="88">
        <f>DATE(2017,3,15)</f>
        <v>42809</v>
      </c>
      <c r="AV2371" s="88">
        <f>DATE(2017,3,6)</f>
        <v>42800</v>
      </c>
      <c r="AW2371" s="87">
        <f t="shared" si="182"/>
        <v>9</v>
      </c>
      <c r="AX2371" s="88">
        <f>DATE(2017,3,15)</f>
        <v>42809</v>
      </c>
      <c r="AY2371" s="83">
        <f>MONTH(AX2371)</f>
        <v>3</v>
      </c>
      <c r="AZ2371" s="84">
        <f>YEAR(AX2371)</f>
        <v>2017</v>
      </c>
      <c r="BA2371" s="86"/>
      <c r="BB2371" s="86" t="s">
        <v>13336</v>
      </c>
    </row>
    <row r="2372" spans="1:54" ht="36.75" customHeight="1">
      <c r="A2372" s="30"/>
      <c r="B2372" s="30" t="s">
        <v>55</v>
      </c>
      <c r="C2372" s="69" t="str">
        <f t="shared" si="183"/>
        <v>Closed</v>
      </c>
      <c r="D2372" s="27" t="s">
        <v>13337</v>
      </c>
      <c r="E2372" s="29" t="s">
        <v>13338</v>
      </c>
      <c r="F2372" s="30" t="s">
        <v>233</v>
      </c>
      <c r="G2372" s="89">
        <f>DATE(2017,2,28)</f>
        <v>42794</v>
      </c>
      <c r="H2372" s="90">
        <v>1.7347222222222221</v>
      </c>
      <c r="I2372" s="30" t="s">
        <v>86</v>
      </c>
      <c r="J2372" s="89" t="s">
        <v>13339</v>
      </c>
      <c r="K2372" s="30" t="s">
        <v>235</v>
      </c>
      <c r="L2372" s="30" t="s">
        <v>13340</v>
      </c>
      <c r="M2372" s="30" t="s">
        <v>63</v>
      </c>
      <c r="N2372" s="30" t="s">
        <v>89</v>
      </c>
      <c r="O2372" s="30" t="s">
        <v>64</v>
      </c>
      <c r="P2372" s="89" t="s">
        <v>165</v>
      </c>
      <c r="Q2372" s="89" t="s">
        <v>3352</v>
      </c>
      <c r="R2372" s="89" t="s">
        <v>235</v>
      </c>
      <c r="S2372" s="30">
        <v>0</v>
      </c>
      <c r="T2372" s="233">
        <v>0</v>
      </c>
      <c r="U2372" s="30">
        <v>0</v>
      </c>
      <c r="V2372" s="233">
        <v>0</v>
      </c>
      <c r="W2372" s="30">
        <v>0</v>
      </c>
      <c r="X2372" s="30">
        <v>0</v>
      </c>
      <c r="Y2372" s="30">
        <v>0</v>
      </c>
      <c r="Z2372" s="233">
        <v>0</v>
      </c>
      <c r="AA2372" s="30">
        <v>0</v>
      </c>
      <c r="AB2372" s="30">
        <v>0</v>
      </c>
      <c r="AC2372" s="30">
        <v>0</v>
      </c>
      <c r="AD2372" s="30">
        <v>0</v>
      </c>
      <c r="AE2372" s="89" t="s">
        <v>145</v>
      </c>
      <c r="AF2372" s="89"/>
      <c r="AG2372" s="89" t="s">
        <v>133</v>
      </c>
      <c r="AH2372" s="72">
        <v>42800</v>
      </c>
      <c r="AI2372" s="30">
        <v>2</v>
      </c>
      <c r="AJ2372" s="89" t="s">
        <v>13341</v>
      </c>
      <c r="AK2372" s="89" t="s">
        <v>13342</v>
      </c>
      <c r="AL2372" s="91">
        <v>42809</v>
      </c>
      <c r="AM2372" s="91"/>
      <c r="AN2372" s="91"/>
      <c r="AO2372" s="91"/>
      <c r="AP2372" s="73" t="e">
        <f>MID(VLOOKUP(K2372,#REF!,2,FALSE),1,2)</f>
        <v>#REF!</v>
      </c>
      <c r="AQ2372" s="89">
        <f>DATE(2017,2,27)</f>
        <v>42793</v>
      </c>
      <c r="AR2372" s="82">
        <f t="shared" si="179"/>
        <v>27</v>
      </c>
      <c r="AS2372" s="83">
        <f t="shared" si="180"/>
        <v>2</v>
      </c>
      <c r="AT2372" s="84">
        <f t="shared" si="181"/>
        <v>2017</v>
      </c>
      <c r="AU2372" s="88">
        <f>DATE(2017,4,4)</f>
        <v>42829</v>
      </c>
      <c r="AV2372" s="88">
        <f>DATE(2017,3,20)</f>
        <v>42814</v>
      </c>
      <c r="AW2372" s="87">
        <f t="shared" si="182"/>
        <v>15</v>
      </c>
      <c r="AX2372" s="88">
        <f>DATE(2017,4,4)</f>
        <v>42829</v>
      </c>
      <c r="AY2372" s="83">
        <f>MONTH(AX2372)</f>
        <v>4</v>
      </c>
      <c r="AZ2372" s="84">
        <f>YEAR(AX2372)</f>
        <v>2017</v>
      </c>
      <c r="BA2372" s="86"/>
      <c r="BB2372" s="86" t="s">
        <v>13343</v>
      </c>
    </row>
    <row r="2373" spans="1:54" ht="36.75" customHeight="1">
      <c r="A2373" s="30"/>
      <c r="B2373" s="30" t="s">
        <v>55</v>
      </c>
      <c r="C2373" s="69" t="str">
        <f t="shared" si="183"/>
        <v>Closed</v>
      </c>
      <c r="D2373" s="27" t="s">
        <v>13344</v>
      </c>
      <c r="E2373" s="29" t="s">
        <v>13345</v>
      </c>
      <c r="F2373" s="30" t="s">
        <v>233</v>
      </c>
      <c r="G2373" s="89">
        <f>DATE(2017,2,28)</f>
        <v>42794</v>
      </c>
      <c r="H2373" s="90">
        <v>1.0513888888888889</v>
      </c>
      <c r="I2373" s="30" t="s">
        <v>278</v>
      </c>
      <c r="J2373" s="89" t="s">
        <v>13346</v>
      </c>
      <c r="K2373" s="30" t="s">
        <v>235</v>
      </c>
      <c r="L2373" s="30" t="s">
        <v>13347</v>
      </c>
      <c r="M2373" s="30" t="s">
        <v>63</v>
      </c>
      <c r="N2373" s="30" t="s">
        <v>89</v>
      </c>
      <c r="O2373" s="30" t="s">
        <v>64</v>
      </c>
      <c r="P2373" s="89" t="s">
        <v>65</v>
      </c>
      <c r="Q2373" s="89" t="s">
        <v>7117</v>
      </c>
      <c r="R2373" s="89" t="s">
        <v>235</v>
      </c>
      <c r="S2373" s="30">
        <v>0</v>
      </c>
      <c r="T2373" s="233">
        <v>0</v>
      </c>
      <c r="U2373" s="30">
        <v>0</v>
      </c>
      <c r="V2373" s="233">
        <v>0</v>
      </c>
      <c r="W2373" s="30">
        <v>0</v>
      </c>
      <c r="X2373" s="30">
        <v>0</v>
      </c>
      <c r="Y2373" s="30">
        <v>0</v>
      </c>
      <c r="Z2373" s="233">
        <v>0</v>
      </c>
      <c r="AA2373" s="30">
        <v>0</v>
      </c>
      <c r="AB2373" s="30">
        <v>0</v>
      </c>
      <c r="AC2373" s="30">
        <v>0</v>
      </c>
      <c r="AD2373" s="30">
        <v>0</v>
      </c>
      <c r="AE2373" s="89" t="s">
        <v>92</v>
      </c>
      <c r="AF2373" s="89"/>
      <c r="AG2373" s="89" t="s">
        <v>133</v>
      </c>
      <c r="AH2373" s="72">
        <v>42814</v>
      </c>
      <c r="AI2373" s="30">
        <v>3</v>
      </c>
      <c r="AJ2373" s="89" t="s">
        <v>13348</v>
      </c>
      <c r="AK2373" s="89" t="s">
        <v>13349</v>
      </c>
      <c r="AL2373" s="91">
        <v>42829</v>
      </c>
      <c r="AM2373" s="91"/>
      <c r="AN2373" s="91"/>
      <c r="AO2373" s="91"/>
      <c r="AP2373" s="73" t="e">
        <f>MID(VLOOKUP(K2373,#REF!,2,FALSE),1,2)</f>
        <v>#REF!</v>
      </c>
      <c r="AQ2373" s="89">
        <f>DATE(2017,3,1)</f>
        <v>42795</v>
      </c>
      <c r="AR2373" s="82">
        <f t="shared" si="179"/>
        <v>1</v>
      </c>
      <c r="AS2373" s="83">
        <f t="shared" si="180"/>
        <v>3</v>
      </c>
      <c r="AT2373" s="84">
        <f t="shared" si="181"/>
        <v>2017</v>
      </c>
      <c r="AU2373" s="88">
        <f>DATE(2017,3,6)</f>
        <v>42800</v>
      </c>
      <c r="AV2373" s="88">
        <f>DATE(2017,3,2)</f>
        <v>42796</v>
      </c>
      <c r="AW2373" s="87">
        <f t="shared" si="182"/>
        <v>4</v>
      </c>
      <c r="AX2373" s="106" t="s">
        <v>879</v>
      </c>
      <c r="AY2373" s="123" t="s">
        <v>879</v>
      </c>
      <c r="AZ2373" s="123" t="s">
        <v>879</v>
      </c>
      <c r="BA2373" s="106" t="s">
        <v>879</v>
      </c>
      <c r="BB2373" s="106"/>
    </row>
    <row r="2374" spans="1:54" ht="36.75" customHeight="1">
      <c r="A2374" s="30"/>
      <c r="B2374" s="30" t="s">
        <v>55</v>
      </c>
      <c r="C2374" s="69" t="str">
        <f t="shared" si="183"/>
        <v>Closed</v>
      </c>
      <c r="D2374" s="27" t="s">
        <v>13350</v>
      </c>
      <c r="E2374" s="29" t="s">
        <v>13351</v>
      </c>
      <c r="F2374" s="30" t="s">
        <v>423</v>
      </c>
      <c r="G2374" s="89">
        <f>DATE(2017,3,1)</f>
        <v>42795</v>
      </c>
      <c r="H2374" s="90">
        <v>1.8729166666666668</v>
      </c>
      <c r="I2374" s="30" t="s">
        <v>198</v>
      </c>
      <c r="J2374" s="89" t="s">
        <v>13352</v>
      </c>
      <c r="K2374" s="30" t="s">
        <v>425</v>
      </c>
      <c r="L2374" s="30" t="s">
        <v>13353</v>
      </c>
      <c r="M2374" s="30" t="s">
        <v>63</v>
      </c>
      <c r="N2374" s="30" t="s">
        <v>142</v>
      </c>
      <c r="O2374" s="30" t="s">
        <v>77</v>
      </c>
      <c r="P2374" s="89" t="s">
        <v>12362</v>
      </c>
      <c r="Q2374" s="89" t="s">
        <v>10689</v>
      </c>
      <c r="R2374" s="89" t="s">
        <v>3103</v>
      </c>
      <c r="S2374" s="30">
        <v>0</v>
      </c>
      <c r="T2374" s="233">
        <v>0</v>
      </c>
      <c r="U2374" s="30">
        <v>0</v>
      </c>
      <c r="V2374" s="233">
        <v>0</v>
      </c>
      <c r="W2374" s="30">
        <v>0</v>
      </c>
      <c r="X2374" s="30">
        <v>0</v>
      </c>
      <c r="Y2374" s="30">
        <v>0</v>
      </c>
      <c r="Z2374" s="233">
        <v>0</v>
      </c>
      <c r="AA2374" s="30">
        <v>0</v>
      </c>
      <c r="AB2374" s="30">
        <v>0</v>
      </c>
      <c r="AC2374" s="30">
        <v>0</v>
      </c>
      <c r="AD2374" s="30">
        <v>0</v>
      </c>
      <c r="AE2374" s="89" t="s">
        <v>92</v>
      </c>
      <c r="AF2374" s="89"/>
      <c r="AG2374" s="89" t="s">
        <v>133</v>
      </c>
      <c r="AH2374" s="72">
        <v>42769</v>
      </c>
      <c r="AI2374" s="30">
        <v>0</v>
      </c>
      <c r="AJ2374" s="89" t="s">
        <v>13354</v>
      </c>
      <c r="AK2374" s="89" t="s">
        <v>13355</v>
      </c>
      <c r="AL2374" s="91">
        <v>42800</v>
      </c>
      <c r="AM2374" s="91"/>
      <c r="AN2374" s="91"/>
      <c r="AO2374" s="91"/>
      <c r="AP2374" s="73" t="e">
        <f>MID(VLOOKUP(K2374,#REF!,2,FALSE),1,2)</f>
        <v>#REF!</v>
      </c>
      <c r="AQ2374" s="89">
        <f>DATE(2017,3,2)</f>
        <v>42796</v>
      </c>
      <c r="AR2374" s="82">
        <f t="shared" si="179"/>
        <v>2</v>
      </c>
      <c r="AS2374" s="83">
        <f t="shared" si="180"/>
        <v>3</v>
      </c>
      <c r="AT2374" s="84">
        <f t="shared" si="181"/>
        <v>2017</v>
      </c>
      <c r="AU2374" s="88">
        <f>DATE(2017,3,13)</f>
        <v>42807</v>
      </c>
      <c r="AV2374" s="88">
        <f>DATE(2017,3,8)</f>
        <v>42802</v>
      </c>
      <c r="AW2374" s="87">
        <f t="shared" si="182"/>
        <v>5</v>
      </c>
      <c r="AX2374" s="88">
        <f>DATE(2017,3,13)</f>
        <v>42807</v>
      </c>
      <c r="AY2374" s="83">
        <f>MONTH(AX2374)</f>
        <v>3</v>
      </c>
      <c r="AZ2374" s="84">
        <f>YEAR(AX2374)</f>
        <v>2017</v>
      </c>
      <c r="BA2374" s="88">
        <f>DATE(2017,3,2)</f>
        <v>42796</v>
      </c>
      <c r="BB2374" s="86"/>
    </row>
    <row r="2375" spans="1:54" ht="36.75" customHeight="1">
      <c r="A2375" s="30"/>
      <c r="B2375" s="30" t="s">
        <v>55</v>
      </c>
      <c r="C2375" s="69" t="str">
        <f t="shared" si="183"/>
        <v>Closed</v>
      </c>
      <c r="D2375" s="27" t="s">
        <v>13356</v>
      </c>
      <c r="E2375" s="29" t="s">
        <v>13357</v>
      </c>
      <c r="F2375" s="30" t="s">
        <v>377</v>
      </c>
      <c r="G2375" s="89">
        <f>DATE(2017,3,2)</f>
        <v>42796</v>
      </c>
      <c r="H2375" s="90">
        <v>1.3590277777777777</v>
      </c>
      <c r="I2375" s="30" t="s">
        <v>198</v>
      </c>
      <c r="J2375" s="89" t="s">
        <v>13358</v>
      </c>
      <c r="K2375" s="30" t="s">
        <v>379</v>
      </c>
      <c r="L2375" s="30" t="s">
        <v>13359</v>
      </c>
      <c r="M2375" s="30" t="s">
        <v>63</v>
      </c>
      <c r="N2375" s="30" t="s">
        <v>142</v>
      </c>
      <c r="O2375" s="30" t="s">
        <v>64</v>
      </c>
      <c r="P2375" s="89" t="s">
        <v>12362</v>
      </c>
      <c r="Q2375" s="89" t="s">
        <v>13360</v>
      </c>
      <c r="R2375" s="89" t="s">
        <v>382</v>
      </c>
      <c r="S2375" s="30">
        <v>0</v>
      </c>
      <c r="T2375" s="233">
        <v>0</v>
      </c>
      <c r="U2375" s="30">
        <v>0</v>
      </c>
      <c r="V2375" s="233">
        <v>0</v>
      </c>
      <c r="W2375" s="30">
        <v>0</v>
      </c>
      <c r="X2375" s="30">
        <v>0</v>
      </c>
      <c r="Y2375" s="30">
        <v>0</v>
      </c>
      <c r="Z2375" s="233">
        <v>0</v>
      </c>
      <c r="AA2375" s="30">
        <v>0</v>
      </c>
      <c r="AB2375" s="30">
        <v>0</v>
      </c>
      <c r="AC2375" s="30">
        <v>0</v>
      </c>
      <c r="AD2375" s="30">
        <v>0</v>
      </c>
      <c r="AE2375" s="89" t="s">
        <v>394</v>
      </c>
      <c r="AF2375" s="89"/>
      <c r="AG2375" s="89" t="s">
        <v>133</v>
      </c>
      <c r="AH2375" s="72">
        <v>42802</v>
      </c>
      <c r="AI2375" s="30">
        <v>4</v>
      </c>
      <c r="AJ2375" s="89" t="s">
        <v>13361</v>
      </c>
      <c r="AK2375" s="89" t="s">
        <v>13362</v>
      </c>
      <c r="AL2375" s="91">
        <v>42807</v>
      </c>
      <c r="AM2375" s="91"/>
      <c r="AN2375" s="91"/>
      <c r="AO2375" s="91"/>
      <c r="AP2375" s="73" t="e">
        <f>MID(VLOOKUP(K2375,#REF!,2,FALSE),1,2)</f>
        <v>#REF!</v>
      </c>
      <c r="AQ2375" s="89">
        <f>DATE(2017,3,4)</f>
        <v>42798</v>
      </c>
      <c r="AR2375" s="82">
        <f t="shared" si="179"/>
        <v>4</v>
      </c>
      <c r="AS2375" s="83">
        <f t="shared" si="180"/>
        <v>3</v>
      </c>
      <c r="AT2375" s="84">
        <f t="shared" si="181"/>
        <v>2017</v>
      </c>
      <c r="AU2375" s="88">
        <f>DATE(2017,3,7)</f>
        <v>42801</v>
      </c>
      <c r="AV2375" s="88">
        <f>DATE(2017,3,4)</f>
        <v>42798</v>
      </c>
      <c r="AW2375" s="87">
        <f t="shared" si="182"/>
        <v>3</v>
      </c>
      <c r="AX2375" s="88">
        <f>DATE(2017,3,4)</f>
        <v>42798</v>
      </c>
      <c r="AY2375" s="83">
        <f>MONTH(AX2375)</f>
        <v>3</v>
      </c>
      <c r="AZ2375" s="84">
        <f>YEAR(AX2375)</f>
        <v>2017</v>
      </c>
      <c r="BA2375" s="88">
        <f>DATE(2017,3,4)</f>
        <v>42798</v>
      </c>
      <c r="BB2375" s="86"/>
    </row>
    <row r="2376" spans="1:54" ht="36.75" customHeight="1">
      <c r="A2376" s="30"/>
      <c r="B2376" s="30" t="s">
        <v>55</v>
      </c>
      <c r="C2376" s="69" t="str">
        <f t="shared" si="183"/>
        <v>Closed</v>
      </c>
      <c r="D2376" s="27" t="s">
        <v>13363</v>
      </c>
      <c r="E2376" s="29" t="s">
        <v>13364</v>
      </c>
      <c r="F2376" s="30" t="s">
        <v>1572</v>
      </c>
      <c r="G2376" s="89">
        <f>DATE(2017,3,4)</f>
        <v>42798</v>
      </c>
      <c r="H2376" s="90">
        <v>1.5833333333333335</v>
      </c>
      <c r="I2376" s="30" t="s">
        <v>73</v>
      </c>
      <c r="J2376" s="89" t="s">
        <v>13365</v>
      </c>
      <c r="K2376" s="30" t="s">
        <v>1574</v>
      </c>
      <c r="L2376" s="30" t="s">
        <v>13366</v>
      </c>
      <c r="M2376" s="30" t="s">
        <v>63</v>
      </c>
      <c r="N2376" s="30" t="s">
        <v>142</v>
      </c>
      <c r="O2376" s="30" t="s">
        <v>77</v>
      </c>
      <c r="P2376" s="89" t="s">
        <v>78</v>
      </c>
      <c r="Q2376" s="89" t="s">
        <v>7932</v>
      </c>
      <c r="R2376" s="89" t="s">
        <v>6434</v>
      </c>
      <c r="S2376" s="30">
        <v>0</v>
      </c>
      <c r="T2376" s="233">
        <v>0</v>
      </c>
      <c r="U2376" s="30">
        <v>0</v>
      </c>
      <c r="V2376" s="233">
        <v>0</v>
      </c>
      <c r="W2376" s="30">
        <v>0</v>
      </c>
      <c r="X2376" s="30">
        <v>0</v>
      </c>
      <c r="Y2376" s="30">
        <v>0</v>
      </c>
      <c r="Z2376" s="233">
        <v>0</v>
      </c>
      <c r="AA2376" s="30">
        <v>0</v>
      </c>
      <c r="AB2376" s="30">
        <v>0</v>
      </c>
      <c r="AC2376" s="30">
        <v>0</v>
      </c>
      <c r="AD2376" s="30">
        <v>0</v>
      </c>
      <c r="AE2376" s="89" t="s">
        <v>92</v>
      </c>
      <c r="AF2376" s="89"/>
      <c r="AG2376" s="89" t="s">
        <v>133</v>
      </c>
      <c r="AH2376" s="72">
        <v>42801</v>
      </c>
      <c r="AI2376" s="30">
        <v>0</v>
      </c>
      <c r="AJ2376" s="89" t="s">
        <v>13367</v>
      </c>
      <c r="AK2376" s="89" t="s">
        <v>13368</v>
      </c>
      <c r="AL2376" s="91">
        <v>42801</v>
      </c>
      <c r="AM2376" s="91"/>
      <c r="AN2376" s="91"/>
      <c r="AO2376" s="91"/>
      <c r="AP2376" s="73" t="e">
        <f>MID(VLOOKUP(K2376,#REF!,2,FALSE),1,2)</f>
        <v>#REF!</v>
      </c>
      <c r="AQ2376" s="89">
        <f>DATE(2017,3,8)</f>
        <v>42802</v>
      </c>
      <c r="AR2376" s="82">
        <f t="shared" si="179"/>
        <v>8</v>
      </c>
      <c r="AS2376" s="83">
        <f t="shared" si="180"/>
        <v>3</v>
      </c>
      <c r="AT2376" s="84">
        <f t="shared" si="181"/>
        <v>2017</v>
      </c>
      <c r="AU2376" s="88">
        <f>DATE(2017,5,17)</f>
        <v>42872</v>
      </c>
      <c r="AV2376" s="88">
        <f>DATE(2017,3,8)</f>
        <v>42802</v>
      </c>
      <c r="AW2376" s="87">
        <f t="shared" si="182"/>
        <v>70</v>
      </c>
      <c r="AX2376" s="106" t="s">
        <v>879</v>
      </c>
      <c r="AY2376" s="122" t="s">
        <v>879</v>
      </c>
      <c r="AZ2376" s="122" t="s">
        <v>879</v>
      </c>
      <c r="BA2376" s="106" t="s">
        <v>879</v>
      </c>
      <c r="BB2376" s="106"/>
    </row>
    <row r="2377" spans="1:54" ht="36.75" customHeight="1">
      <c r="A2377" s="30"/>
      <c r="B2377" s="30" t="s">
        <v>55</v>
      </c>
      <c r="C2377" s="69" t="str">
        <f t="shared" si="183"/>
        <v>Closed</v>
      </c>
      <c r="D2377" s="27" t="s">
        <v>13369</v>
      </c>
      <c r="E2377" s="29" t="s">
        <v>13370</v>
      </c>
      <c r="F2377" s="30" t="s">
        <v>624</v>
      </c>
      <c r="G2377" s="89">
        <f>DATE(2017,3,8)</f>
        <v>42802</v>
      </c>
      <c r="H2377" s="90">
        <v>0</v>
      </c>
      <c r="I2377" s="30" t="s">
        <v>104</v>
      </c>
      <c r="J2377" s="89" t="s">
        <v>4610</v>
      </c>
      <c r="K2377" s="30" t="s">
        <v>626</v>
      </c>
      <c r="L2377" s="30" t="s">
        <v>13371</v>
      </c>
      <c r="M2377" s="30" t="s">
        <v>63</v>
      </c>
      <c r="N2377" s="30" t="s">
        <v>89</v>
      </c>
      <c r="O2377" s="30" t="s">
        <v>77</v>
      </c>
      <c r="P2377" s="89" t="s">
        <v>381</v>
      </c>
      <c r="Q2377" s="89" t="s">
        <v>11678</v>
      </c>
      <c r="R2377" s="89" t="s">
        <v>629</v>
      </c>
      <c r="S2377" s="30">
        <v>0</v>
      </c>
      <c r="T2377" s="233">
        <v>0</v>
      </c>
      <c r="U2377" s="30">
        <v>0</v>
      </c>
      <c r="V2377" s="233">
        <v>0</v>
      </c>
      <c r="W2377" s="30">
        <v>0</v>
      </c>
      <c r="X2377" s="30">
        <v>0</v>
      </c>
      <c r="Y2377" s="30">
        <v>0</v>
      </c>
      <c r="Z2377" s="233">
        <v>0</v>
      </c>
      <c r="AA2377" s="30">
        <v>0</v>
      </c>
      <c r="AB2377" s="30">
        <v>0</v>
      </c>
      <c r="AC2377" s="30">
        <v>0</v>
      </c>
      <c r="AD2377" s="30">
        <v>0</v>
      </c>
      <c r="AE2377" s="89" t="s">
        <v>92</v>
      </c>
      <c r="AF2377" s="89"/>
      <c r="AG2377" s="89" t="s">
        <v>352</v>
      </c>
      <c r="AH2377" s="72">
        <v>42950</v>
      </c>
      <c r="AI2377" s="30">
        <v>1</v>
      </c>
      <c r="AJ2377" s="89" t="s">
        <v>13372</v>
      </c>
      <c r="AK2377" s="89" t="s">
        <v>68</v>
      </c>
      <c r="AL2377" s="91">
        <v>42872</v>
      </c>
      <c r="AM2377" s="91"/>
      <c r="AN2377" s="91"/>
      <c r="AO2377" s="91"/>
      <c r="AP2377" s="73" t="e">
        <f>MID(VLOOKUP(K2377,#REF!,2,FALSE),1,2)</f>
        <v>#REF!</v>
      </c>
      <c r="AQ2377" s="89">
        <f>DATE(2017,3,9)</f>
        <v>42803</v>
      </c>
      <c r="AR2377" s="82">
        <f t="shared" si="179"/>
        <v>9</v>
      </c>
      <c r="AS2377" s="83">
        <f t="shared" si="180"/>
        <v>3</v>
      </c>
      <c r="AT2377" s="84">
        <f t="shared" si="181"/>
        <v>2017</v>
      </c>
      <c r="AU2377" s="88">
        <f>DATE(2017,1,22)</f>
        <v>42757</v>
      </c>
      <c r="AV2377" s="88">
        <f>DATE(2017,3,10)</f>
        <v>42804</v>
      </c>
      <c r="AW2377" s="87">
        <f t="shared" si="182"/>
        <v>-47</v>
      </c>
      <c r="AX2377" s="86"/>
      <c r="AY2377" s="83"/>
      <c r="AZ2377" s="84"/>
      <c r="BA2377" s="86"/>
      <c r="BB2377" s="86" t="s">
        <v>13115</v>
      </c>
    </row>
    <row r="2378" spans="1:54" ht="36.75" customHeight="1">
      <c r="A2378" s="30"/>
      <c r="B2378" s="30" t="s">
        <v>55</v>
      </c>
      <c r="C2378" s="69" t="str">
        <f t="shared" si="183"/>
        <v>Closed</v>
      </c>
      <c r="D2378" s="27" t="s">
        <v>13373</v>
      </c>
      <c r="E2378" s="29" t="s">
        <v>13374</v>
      </c>
      <c r="F2378" s="30" t="s">
        <v>197</v>
      </c>
      <c r="G2378" s="89">
        <f>DATE(2017,3,9)</f>
        <v>42803</v>
      </c>
      <c r="H2378" s="90">
        <v>1.21875</v>
      </c>
      <c r="I2378" s="30" t="s">
        <v>487</v>
      </c>
      <c r="J2378" s="89" t="s">
        <v>13375</v>
      </c>
      <c r="K2378" s="30" t="s">
        <v>200</v>
      </c>
      <c r="L2378" s="30" t="s">
        <v>13376</v>
      </c>
      <c r="M2378" s="30" t="s">
        <v>63</v>
      </c>
      <c r="N2378" s="30" t="s">
        <v>142</v>
      </c>
      <c r="O2378" s="30" t="s">
        <v>77</v>
      </c>
      <c r="P2378" s="89" t="s">
        <v>86</v>
      </c>
      <c r="Q2378" s="89" t="s">
        <v>1716</v>
      </c>
      <c r="R2378" s="89" t="s">
        <v>203</v>
      </c>
      <c r="S2378" s="30">
        <v>0</v>
      </c>
      <c r="T2378" s="233">
        <v>0</v>
      </c>
      <c r="U2378" s="30">
        <v>0</v>
      </c>
      <c r="V2378" s="233">
        <v>0</v>
      </c>
      <c r="W2378" s="30">
        <v>0</v>
      </c>
      <c r="X2378" s="30">
        <v>0</v>
      </c>
      <c r="Y2378" s="30">
        <v>0</v>
      </c>
      <c r="Z2378" s="233">
        <v>0</v>
      </c>
      <c r="AA2378" s="30">
        <v>0</v>
      </c>
      <c r="AB2378" s="30">
        <v>0</v>
      </c>
      <c r="AC2378" s="30">
        <v>0</v>
      </c>
      <c r="AD2378" s="30">
        <v>0</v>
      </c>
      <c r="AE2378" s="89" t="s">
        <v>92</v>
      </c>
      <c r="AF2378" s="89"/>
      <c r="AG2378" s="89" t="s">
        <v>352</v>
      </c>
      <c r="AH2378" s="72">
        <v>42804</v>
      </c>
      <c r="AI2378" s="30">
        <v>1</v>
      </c>
      <c r="AJ2378" s="89" t="s">
        <v>13377</v>
      </c>
      <c r="AK2378" s="89" t="s">
        <v>1233</v>
      </c>
      <c r="AL2378" s="91">
        <v>43122</v>
      </c>
      <c r="AM2378" s="91"/>
      <c r="AN2378" s="91"/>
      <c r="AO2378" s="91"/>
      <c r="AP2378" s="73" t="e">
        <f>MID(VLOOKUP(K2378,#REF!,2,FALSE),1,2)</f>
        <v>#REF!</v>
      </c>
      <c r="AQ2378" s="89">
        <f>DATE(2017,3,10)</f>
        <v>42804</v>
      </c>
      <c r="AR2378" s="82">
        <f t="shared" si="179"/>
        <v>10</v>
      </c>
      <c r="AS2378" s="83">
        <f t="shared" si="180"/>
        <v>3</v>
      </c>
      <c r="AT2378" s="84">
        <f t="shared" si="181"/>
        <v>2017</v>
      </c>
      <c r="AU2378" s="88">
        <f>DATE(2017,3,27)</f>
        <v>42821</v>
      </c>
      <c r="AV2378" s="88">
        <f>DATE(2017,3,13)</f>
        <v>42807</v>
      </c>
      <c r="AW2378" s="87">
        <f t="shared" si="182"/>
        <v>14</v>
      </c>
      <c r="AX2378" s="88">
        <f>DATE(2017,3,13)</f>
        <v>42807</v>
      </c>
      <c r="AY2378" s="83">
        <f>MONTH(AX2378)</f>
        <v>3</v>
      </c>
      <c r="AZ2378" s="84">
        <f>YEAR(AX2378)</f>
        <v>2017</v>
      </c>
      <c r="BA2378" s="88">
        <f>DATE(2017,3,13)</f>
        <v>42807</v>
      </c>
      <c r="BB2378" s="86"/>
    </row>
    <row r="2379" spans="1:54" ht="36.75" customHeight="1">
      <c r="A2379" s="30"/>
      <c r="B2379" s="30" t="s">
        <v>55</v>
      </c>
      <c r="C2379" s="69" t="str">
        <f t="shared" si="183"/>
        <v>Closed</v>
      </c>
      <c r="D2379" s="27" t="s">
        <v>13378</v>
      </c>
      <c r="E2379" s="29" t="s">
        <v>13379</v>
      </c>
      <c r="F2379" s="30" t="s">
        <v>9789</v>
      </c>
      <c r="G2379" s="89">
        <f>DATE(2017,3,10)</f>
        <v>42804</v>
      </c>
      <c r="H2379" s="90">
        <v>1.9986111111111109</v>
      </c>
      <c r="I2379" s="30" t="s">
        <v>73</v>
      </c>
      <c r="J2379" s="210" t="s">
        <v>13380</v>
      </c>
      <c r="K2379" s="30" t="s">
        <v>9791</v>
      </c>
      <c r="L2379" s="30" t="s">
        <v>13381</v>
      </c>
      <c r="M2379" s="30" t="s">
        <v>63</v>
      </c>
      <c r="N2379" s="30" t="s">
        <v>99</v>
      </c>
      <c r="O2379" s="30" t="s">
        <v>64</v>
      </c>
      <c r="P2379" s="89" t="s">
        <v>78</v>
      </c>
      <c r="Q2379" s="89" t="s">
        <v>10257</v>
      </c>
      <c r="R2379" s="89" t="s">
        <v>9794</v>
      </c>
      <c r="S2379" s="30">
        <v>0</v>
      </c>
      <c r="T2379" s="233">
        <v>0</v>
      </c>
      <c r="U2379" s="30">
        <v>0</v>
      </c>
      <c r="V2379" s="233">
        <v>0</v>
      </c>
      <c r="W2379" s="30">
        <v>0</v>
      </c>
      <c r="X2379" s="30">
        <v>0</v>
      </c>
      <c r="Y2379" s="30">
        <v>0</v>
      </c>
      <c r="Z2379" s="233">
        <v>0</v>
      </c>
      <c r="AA2379" s="30">
        <v>0</v>
      </c>
      <c r="AB2379" s="30">
        <v>0</v>
      </c>
      <c r="AC2379" s="30">
        <v>0</v>
      </c>
      <c r="AD2379" s="30">
        <v>0</v>
      </c>
      <c r="AE2379" s="89" t="s">
        <v>394</v>
      </c>
      <c r="AF2379" s="89"/>
      <c r="AG2379" s="89" t="s">
        <v>133</v>
      </c>
      <c r="AH2379" s="72">
        <v>42807</v>
      </c>
      <c r="AI2379" s="30">
        <v>0</v>
      </c>
      <c r="AJ2379" s="89" t="s">
        <v>13382</v>
      </c>
      <c r="AK2379" s="89" t="s">
        <v>13383</v>
      </c>
      <c r="AL2379" s="91">
        <v>42821</v>
      </c>
      <c r="AM2379" s="91"/>
      <c r="AN2379" s="91"/>
      <c r="AO2379" s="91"/>
      <c r="AP2379" s="73" t="e">
        <f>MID(VLOOKUP(K2379,#REF!,2,FALSE),1,2)</f>
        <v>#REF!</v>
      </c>
      <c r="AQ2379" s="89">
        <f>DATE(2017,3,11)</f>
        <v>42805</v>
      </c>
      <c r="AR2379" s="82">
        <f t="shared" si="179"/>
        <v>11</v>
      </c>
      <c r="AS2379" s="83">
        <f t="shared" si="180"/>
        <v>3</v>
      </c>
      <c r="AT2379" s="84">
        <f t="shared" si="181"/>
        <v>2017</v>
      </c>
      <c r="AU2379" s="88">
        <f>DATE(2017,3,15)</f>
        <v>42809</v>
      </c>
      <c r="AV2379" s="88">
        <f>DATE(2017,3,14)</f>
        <v>42808</v>
      </c>
      <c r="AW2379" s="87">
        <f t="shared" si="182"/>
        <v>1</v>
      </c>
      <c r="AX2379" s="86"/>
      <c r="AY2379" s="83"/>
      <c r="AZ2379" s="84"/>
      <c r="BA2379" s="86"/>
      <c r="BB2379" s="86" t="s">
        <v>13115</v>
      </c>
    </row>
    <row r="2380" spans="1:54" ht="36.75" customHeight="1">
      <c r="A2380" s="30"/>
      <c r="B2380" s="30" t="s">
        <v>55</v>
      </c>
      <c r="C2380" s="69" t="str">
        <f t="shared" si="183"/>
        <v>Closed</v>
      </c>
      <c r="D2380" s="27" t="s">
        <v>13384</v>
      </c>
      <c r="E2380" s="29" t="s">
        <v>13385</v>
      </c>
      <c r="F2380" s="30" t="s">
        <v>124</v>
      </c>
      <c r="G2380" s="89">
        <f>DATE(2017,3,11)</f>
        <v>42805</v>
      </c>
      <c r="H2380" s="90">
        <v>1.2291666666666667</v>
      </c>
      <c r="I2380" s="30" t="s">
        <v>156</v>
      </c>
      <c r="J2380" s="89" t="s">
        <v>13386</v>
      </c>
      <c r="K2380" s="30" t="s">
        <v>127</v>
      </c>
      <c r="L2380" s="30" t="s">
        <v>13387</v>
      </c>
      <c r="M2380" s="30" t="s">
        <v>63</v>
      </c>
      <c r="N2380" s="30" t="s">
        <v>99</v>
      </c>
      <c r="O2380" s="30" t="s">
        <v>64</v>
      </c>
      <c r="P2380" s="89" t="s">
        <v>165</v>
      </c>
      <c r="Q2380" s="89" t="s">
        <v>229</v>
      </c>
      <c r="R2380" s="89" t="s">
        <v>167</v>
      </c>
      <c r="S2380" s="30">
        <v>0</v>
      </c>
      <c r="T2380" s="233">
        <v>0</v>
      </c>
      <c r="U2380" s="30">
        <v>0</v>
      </c>
      <c r="V2380" s="233">
        <v>0</v>
      </c>
      <c r="W2380" s="30">
        <v>0</v>
      </c>
      <c r="X2380" s="30">
        <v>0</v>
      </c>
      <c r="Y2380" s="30">
        <v>0</v>
      </c>
      <c r="Z2380" s="233">
        <v>0</v>
      </c>
      <c r="AA2380" s="30">
        <v>0</v>
      </c>
      <c r="AB2380" s="30">
        <v>0</v>
      </c>
      <c r="AC2380" s="30">
        <v>0</v>
      </c>
      <c r="AD2380" s="30">
        <v>0</v>
      </c>
      <c r="AE2380" s="89" t="s">
        <v>92</v>
      </c>
      <c r="AF2380" s="89"/>
      <c r="AG2380" s="89" t="s">
        <v>133</v>
      </c>
      <c r="AH2380" s="72">
        <v>42808</v>
      </c>
      <c r="AI2380" s="30">
        <v>1</v>
      </c>
      <c r="AJ2380" s="89" t="s">
        <v>13388</v>
      </c>
      <c r="AK2380" s="89" t="s">
        <v>1233</v>
      </c>
      <c r="AL2380" s="91">
        <v>42809</v>
      </c>
      <c r="AM2380" s="91"/>
      <c r="AN2380" s="91"/>
      <c r="AO2380" s="91"/>
      <c r="AP2380" s="73" t="e">
        <f>MID(VLOOKUP(K2380,#REF!,2,FALSE),1,2)</f>
        <v>#REF!</v>
      </c>
      <c r="AQ2380" s="89">
        <f>DATE(2017,3,12)</f>
        <v>42806</v>
      </c>
      <c r="AR2380" s="82">
        <f t="shared" si="179"/>
        <v>12</v>
      </c>
      <c r="AS2380" s="83">
        <f t="shared" si="180"/>
        <v>3</v>
      </c>
      <c r="AT2380" s="84">
        <f t="shared" si="181"/>
        <v>2017</v>
      </c>
      <c r="AU2380" s="88">
        <f>DATE(2017,3,15)</f>
        <v>42809</v>
      </c>
      <c r="AV2380" s="88">
        <f>DATE(2017,3,13)</f>
        <v>42807</v>
      </c>
      <c r="AW2380" s="87">
        <f t="shared" si="182"/>
        <v>2</v>
      </c>
      <c r="AX2380" s="88">
        <f>DATE(2017,3,15)</f>
        <v>42809</v>
      </c>
      <c r="AY2380" s="83">
        <f>MONTH(AX2380)</f>
        <v>3</v>
      </c>
      <c r="AZ2380" s="84">
        <f>YEAR(AX2380)</f>
        <v>2017</v>
      </c>
      <c r="BA2380" s="88">
        <f>DATE(2017,3,13)</f>
        <v>42807</v>
      </c>
      <c r="BB2380" s="86"/>
    </row>
    <row r="2381" spans="1:54" ht="36.75" customHeight="1">
      <c r="A2381" s="30"/>
      <c r="B2381" s="30" t="s">
        <v>55</v>
      </c>
      <c r="C2381" s="69" t="str">
        <f t="shared" si="183"/>
        <v>Closed</v>
      </c>
      <c r="D2381" s="27" t="s">
        <v>13389</v>
      </c>
      <c r="E2381" s="29" t="s">
        <v>13390</v>
      </c>
      <c r="F2381" s="30" t="s">
        <v>1749</v>
      </c>
      <c r="G2381" s="89">
        <f>DATE(2017,3,12)</f>
        <v>42806</v>
      </c>
      <c r="H2381" s="90">
        <v>1.7284722222222224</v>
      </c>
      <c r="I2381" s="30" t="s">
        <v>116</v>
      </c>
      <c r="J2381" s="89" t="s">
        <v>13391</v>
      </c>
      <c r="K2381" s="30" t="s">
        <v>1751</v>
      </c>
      <c r="L2381" s="30" t="s">
        <v>13392</v>
      </c>
      <c r="M2381" s="30" t="s">
        <v>63</v>
      </c>
      <c r="N2381" s="30" t="s">
        <v>99</v>
      </c>
      <c r="O2381" s="30" t="s">
        <v>64</v>
      </c>
      <c r="P2381" s="89" t="s">
        <v>6941</v>
      </c>
      <c r="Q2381" s="89" t="s">
        <v>13393</v>
      </c>
      <c r="R2381" s="89" t="s">
        <v>1982</v>
      </c>
      <c r="S2381" s="30">
        <v>0</v>
      </c>
      <c r="T2381" s="233">
        <v>0</v>
      </c>
      <c r="U2381" s="30">
        <v>2</v>
      </c>
      <c r="V2381" s="233">
        <v>0</v>
      </c>
      <c r="W2381" s="30">
        <v>0</v>
      </c>
      <c r="X2381" s="30">
        <v>2</v>
      </c>
      <c r="Y2381" s="30">
        <v>0</v>
      </c>
      <c r="Z2381" s="233">
        <v>0</v>
      </c>
      <c r="AA2381" s="30">
        <v>0</v>
      </c>
      <c r="AB2381" s="30">
        <v>0</v>
      </c>
      <c r="AC2381" s="30">
        <v>0</v>
      </c>
      <c r="AD2381" s="30">
        <v>0</v>
      </c>
      <c r="AE2381" s="89" t="s">
        <v>92</v>
      </c>
      <c r="AF2381" s="89"/>
      <c r="AG2381" s="89" t="s">
        <v>248</v>
      </c>
      <c r="AH2381" s="72">
        <v>42807</v>
      </c>
      <c r="AI2381" s="30">
        <v>2</v>
      </c>
      <c r="AJ2381" s="89" t="s">
        <v>13394</v>
      </c>
      <c r="AK2381" s="89" t="s">
        <v>13395</v>
      </c>
      <c r="AL2381" s="91">
        <v>42809</v>
      </c>
      <c r="AM2381" s="91"/>
      <c r="AN2381" s="91"/>
      <c r="AO2381" s="91"/>
      <c r="AP2381" s="73" t="e">
        <f>MID(VLOOKUP(K2381,#REF!,2,FALSE),1,2)</f>
        <v>#REF!</v>
      </c>
      <c r="AQ2381" s="89">
        <f>DATE(2017,3,13)</f>
        <v>42807</v>
      </c>
      <c r="AR2381" s="82">
        <f t="shared" si="179"/>
        <v>13</v>
      </c>
      <c r="AS2381" s="83">
        <f t="shared" si="180"/>
        <v>3</v>
      </c>
      <c r="AT2381" s="84">
        <f t="shared" si="181"/>
        <v>2017</v>
      </c>
      <c r="AU2381" s="88">
        <f>DATE(2017,3,20)</f>
        <v>42814</v>
      </c>
      <c r="AV2381" s="88">
        <f>DATE(2017,3,17)</f>
        <v>42811</v>
      </c>
      <c r="AW2381" s="87">
        <f t="shared" si="182"/>
        <v>3</v>
      </c>
      <c r="AX2381" s="106" t="s">
        <v>879</v>
      </c>
      <c r="AY2381" s="122" t="s">
        <v>879</v>
      </c>
      <c r="AZ2381" s="122" t="s">
        <v>879</v>
      </c>
      <c r="BA2381" s="106" t="s">
        <v>879</v>
      </c>
      <c r="BB2381" s="106"/>
    </row>
    <row r="2382" spans="1:54" ht="36.75" customHeight="1">
      <c r="A2382" s="30"/>
      <c r="B2382" s="30" t="s">
        <v>55</v>
      </c>
      <c r="C2382" s="69" t="str">
        <f t="shared" si="183"/>
        <v>Closed</v>
      </c>
      <c r="D2382" s="27" t="s">
        <v>13396</v>
      </c>
      <c r="E2382" s="29" t="s">
        <v>13397</v>
      </c>
      <c r="F2382" s="30" t="s">
        <v>582</v>
      </c>
      <c r="G2382" s="89">
        <f>DATE(2017,3,13)</f>
        <v>42807</v>
      </c>
      <c r="H2382" s="90">
        <v>1.4111111111111112</v>
      </c>
      <c r="I2382" s="30" t="s">
        <v>278</v>
      </c>
      <c r="J2382" s="89" t="s">
        <v>13398</v>
      </c>
      <c r="K2382" s="30" t="s">
        <v>584</v>
      </c>
      <c r="L2382" s="30" t="s">
        <v>13399</v>
      </c>
      <c r="M2382" s="30" t="s">
        <v>63</v>
      </c>
      <c r="N2382" s="30" t="s">
        <v>142</v>
      </c>
      <c r="O2382" s="30" t="s">
        <v>77</v>
      </c>
      <c r="P2382" s="89" t="s">
        <v>165</v>
      </c>
      <c r="Q2382" s="89" t="s">
        <v>13400</v>
      </c>
      <c r="R2382" s="89" t="s">
        <v>587</v>
      </c>
      <c r="S2382" s="30">
        <v>0</v>
      </c>
      <c r="T2382" s="233">
        <v>1</v>
      </c>
      <c r="U2382" s="30">
        <v>0</v>
      </c>
      <c r="V2382" s="233">
        <v>0</v>
      </c>
      <c r="W2382" s="30">
        <v>0</v>
      </c>
      <c r="X2382" s="30">
        <v>1</v>
      </c>
      <c r="Y2382" s="30">
        <v>0</v>
      </c>
      <c r="Z2382" s="233">
        <v>0</v>
      </c>
      <c r="AA2382" s="30">
        <v>0</v>
      </c>
      <c r="AB2382" s="30">
        <v>0</v>
      </c>
      <c r="AC2382" s="30">
        <v>0</v>
      </c>
      <c r="AD2382" s="30">
        <v>0</v>
      </c>
      <c r="AE2382" s="89" t="s">
        <v>92</v>
      </c>
      <c r="AF2382" s="89"/>
      <c r="AG2382" s="89" t="s">
        <v>82</v>
      </c>
      <c r="AH2382" s="72">
        <v>42811</v>
      </c>
      <c r="AI2382" s="30">
        <v>0</v>
      </c>
      <c r="AJ2382" s="89" t="s">
        <v>13401</v>
      </c>
      <c r="AK2382" s="89" t="s">
        <v>1233</v>
      </c>
      <c r="AL2382" s="91">
        <v>42814</v>
      </c>
      <c r="AM2382" s="91"/>
      <c r="AN2382" s="91"/>
      <c r="AO2382" s="91"/>
      <c r="AP2382" s="73" t="e">
        <f>MID(VLOOKUP(K2382,#REF!,2,FALSE),1,2)</f>
        <v>#REF!</v>
      </c>
      <c r="AQ2382" s="89">
        <f>DATE(2017,3,13)</f>
        <v>42807</v>
      </c>
      <c r="AR2382" s="82">
        <f t="shared" si="179"/>
        <v>13</v>
      </c>
      <c r="AS2382" s="83">
        <f t="shared" si="180"/>
        <v>3</v>
      </c>
      <c r="AT2382" s="84">
        <f t="shared" si="181"/>
        <v>2017</v>
      </c>
      <c r="AU2382" s="88">
        <f>DATE(2017,3,17)</f>
        <v>42811</v>
      </c>
      <c r="AV2382" s="88">
        <f>DATE(2017,3,15)</f>
        <v>42809</v>
      </c>
      <c r="AW2382" s="87">
        <f t="shared" si="182"/>
        <v>2</v>
      </c>
      <c r="AX2382" s="86"/>
      <c r="AY2382" s="83"/>
      <c r="AZ2382" s="84"/>
      <c r="BA2382" s="86"/>
      <c r="BB2382" s="86"/>
    </row>
    <row r="2383" spans="1:54" ht="36.75" customHeight="1">
      <c r="A2383" s="30"/>
      <c r="B2383" s="30" t="s">
        <v>55</v>
      </c>
      <c r="C2383" s="69" t="str">
        <f t="shared" si="183"/>
        <v>Closed</v>
      </c>
      <c r="D2383" s="27" t="s">
        <v>13402</v>
      </c>
      <c r="E2383" s="29" t="s">
        <v>13403</v>
      </c>
      <c r="F2383" s="30" t="s">
        <v>115</v>
      </c>
      <c r="G2383" s="89">
        <f>DATE(2017,3,13)</f>
        <v>42807</v>
      </c>
      <c r="H2383" s="90">
        <v>1.1701388888888888</v>
      </c>
      <c r="I2383" s="30" t="s">
        <v>73</v>
      </c>
      <c r="J2383" s="89" t="s">
        <v>13404</v>
      </c>
      <c r="K2383" s="30" t="s">
        <v>118</v>
      </c>
      <c r="L2383" s="30" t="s">
        <v>13405</v>
      </c>
      <c r="M2383" s="30" t="s">
        <v>63</v>
      </c>
      <c r="N2383" s="30" t="s">
        <v>89</v>
      </c>
      <c r="O2383" s="30" t="s">
        <v>90</v>
      </c>
      <c r="P2383" s="89" t="s">
        <v>78</v>
      </c>
      <c r="Q2383" s="89" t="s">
        <v>120</v>
      </c>
      <c r="R2383" s="89" t="s">
        <v>121</v>
      </c>
      <c r="S2383" s="30">
        <v>0</v>
      </c>
      <c r="T2383" s="233">
        <v>0</v>
      </c>
      <c r="U2383" s="30">
        <v>0</v>
      </c>
      <c r="V2383" s="233">
        <v>0</v>
      </c>
      <c r="W2383" s="30">
        <v>0</v>
      </c>
      <c r="X2383" s="30">
        <v>0</v>
      </c>
      <c r="Y2383" s="30">
        <v>0</v>
      </c>
      <c r="Z2383" s="233">
        <v>0</v>
      </c>
      <c r="AA2383" s="30">
        <v>0</v>
      </c>
      <c r="AB2383" s="30">
        <v>0</v>
      </c>
      <c r="AC2383" s="30">
        <v>0</v>
      </c>
      <c r="AD2383" s="30">
        <v>0</v>
      </c>
      <c r="AE2383" s="89" t="s">
        <v>145</v>
      </c>
      <c r="AF2383" s="89"/>
      <c r="AG2383" s="89" t="s">
        <v>82</v>
      </c>
      <c r="AH2383" s="72">
        <v>42809</v>
      </c>
      <c r="AI2383" s="30">
        <v>2</v>
      </c>
      <c r="AJ2383" s="89" t="s">
        <v>13406</v>
      </c>
      <c r="AK2383" s="89" t="s">
        <v>13407</v>
      </c>
      <c r="AL2383" s="91">
        <v>42811</v>
      </c>
      <c r="AM2383" s="91"/>
      <c r="AN2383" s="91"/>
      <c r="AO2383" s="91"/>
      <c r="AP2383" s="73" t="e">
        <f>MID(VLOOKUP(K2383,#REF!,2,FALSE),1,2)</f>
        <v>#REF!</v>
      </c>
      <c r="AQ2383" s="89">
        <f>DATE(2017,3,15)</f>
        <v>42809</v>
      </c>
      <c r="AR2383" s="82">
        <f t="shared" si="179"/>
        <v>15</v>
      </c>
      <c r="AS2383" s="83">
        <f t="shared" si="180"/>
        <v>3</v>
      </c>
      <c r="AT2383" s="84">
        <f t="shared" si="181"/>
        <v>2017</v>
      </c>
      <c r="AU2383" s="88">
        <f>DATE(2017,3,17)</f>
        <v>42811</v>
      </c>
      <c r="AV2383" s="88">
        <f>DATE(2017,3,16)</f>
        <v>42810</v>
      </c>
      <c r="AW2383" s="87">
        <f t="shared" si="182"/>
        <v>1</v>
      </c>
      <c r="AX2383" s="88">
        <f>DATE(2017,3,15)</f>
        <v>42809</v>
      </c>
      <c r="AY2383" s="83">
        <f>MONTH(AX2383)</f>
        <v>3</v>
      </c>
      <c r="AZ2383" s="84">
        <f>YEAR(AX2383)</f>
        <v>2017</v>
      </c>
      <c r="BA2383" s="88">
        <f>DATE(2017,3,15)</f>
        <v>42809</v>
      </c>
      <c r="BB2383" s="86"/>
    </row>
    <row r="2384" spans="1:54" ht="36.75" customHeight="1">
      <c r="A2384" s="30"/>
      <c r="B2384" s="30" t="s">
        <v>55</v>
      </c>
      <c r="C2384" s="69" t="str">
        <f t="shared" si="183"/>
        <v>Closed</v>
      </c>
      <c r="D2384" s="27" t="s">
        <v>13408</v>
      </c>
      <c r="E2384" s="29" t="s">
        <v>13409</v>
      </c>
      <c r="F2384" s="30" t="s">
        <v>1572</v>
      </c>
      <c r="G2384" s="89">
        <f>DATE(2017,3,15)</f>
        <v>42809</v>
      </c>
      <c r="H2384" s="90">
        <v>1.3993055555555556</v>
      </c>
      <c r="I2384" s="30" t="s">
        <v>73</v>
      </c>
      <c r="J2384" s="89" t="s">
        <v>13410</v>
      </c>
      <c r="K2384" s="30" t="s">
        <v>1574</v>
      </c>
      <c r="L2384" s="30" t="s">
        <v>13411</v>
      </c>
      <c r="M2384" s="30" t="s">
        <v>63</v>
      </c>
      <c r="N2384" s="30" t="s">
        <v>99</v>
      </c>
      <c r="O2384" s="30" t="s">
        <v>64</v>
      </c>
      <c r="P2384" s="89" t="s">
        <v>6941</v>
      </c>
      <c r="Q2384" s="89" t="s">
        <v>13412</v>
      </c>
      <c r="R2384" s="89" t="s">
        <v>6434</v>
      </c>
      <c r="S2384" s="30">
        <v>0</v>
      </c>
      <c r="T2384" s="233">
        <v>0</v>
      </c>
      <c r="U2384" s="30">
        <v>0</v>
      </c>
      <c r="V2384" s="233">
        <v>0</v>
      </c>
      <c r="W2384" s="30">
        <v>0</v>
      </c>
      <c r="X2384" s="30">
        <v>0</v>
      </c>
      <c r="Y2384" s="30">
        <v>0</v>
      </c>
      <c r="Z2384" s="233">
        <v>0</v>
      </c>
      <c r="AA2384" s="30">
        <v>0</v>
      </c>
      <c r="AB2384" s="30">
        <v>0</v>
      </c>
      <c r="AC2384" s="30">
        <v>0</v>
      </c>
      <c r="AD2384" s="30">
        <v>0</v>
      </c>
      <c r="AE2384" s="89" t="s">
        <v>92</v>
      </c>
      <c r="AF2384" s="89"/>
      <c r="AG2384" s="89" t="s">
        <v>133</v>
      </c>
      <c r="AH2384" s="72">
        <v>42810</v>
      </c>
      <c r="AI2384" s="30">
        <v>1</v>
      </c>
      <c r="AJ2384" s="89" t="s">
        <v>13413</v>
      </c>
      <c r="AK2384" s="89" t="s">
        <v>13414</v>
      </c>
      <c r="AL2384" s="91">
        <v>42811</v>
      </c>
      <c r="AM2384" s="91"/>
      <c r="AN2384" s="91"/>
      <c r="AO2384" s="91"/>
      <c r="AP2384" s="73" t="e">
        <f>MID(VLOOKUP(K2384,#REF!,2,FALSE),1,2)</f>
        <v>#REF!</v>
      </c>
      <c r="AQ2384" s="89">
        <f>DATE(2017,3,17)</f>
        <v>42811</v>
      </c>
      <c r="AR2384" s="82">
        <f t="shared" si="179"/>
        <v>17</v>
      </c>
      <c r="AS2384" s="83">
        <f t="shared" si="180"/>
        <v>3</v>
      </c>
      <c r="AT2384" s="84">
        <f t="shared" si="181"/>
        <v>2017</v>
      </c>
      <c r="AU2384" s="88">
        <f>DATE(2017,11,16)</f>
        <v>43055</v>
      </c>
      <c r="AV2384" s="88">
        <f>DATE(2017,6,30)</f>
        <v>42916</v>
      </c>
      <c r="AW2384" s="87">
        <f t="shared" si="182"/>
        <v>139</v>
      </c>
      <c r="AX2384" s="86"/>
      <c r="AY2384" s="83"/>
      <c r="AZ2384" s="84"/>
      <c r="BA2384" s="86"/>
      <c r="BB2384" s="86" t="s">
        <v>13115</v>
      </c>
    </row>
    <row r="2385" spans="1:54" ht="36.75" customHeight="1">
      <c r="A2385" s="30"/>
      <c r="B2385" s="30" t="s">
        <v>55</v>
      </c>
      <c r="C2385" s="69" t="str">
        <f t="shared" si="183"/>
        <v>Closed</v>
      </c>
      <c r="D2385" s="27" t="s">
        <v>13415</v>
      </c>
      <c r="E2385" s="29" t="s">
        <v>13416</v>
      </c>
      <c r="F2385" s="30" t="s">
        <v>197</v>
      </c>
      <c r="G2385" s="89">
        <f>DATE(2017,3,17)</f>
        <v>42811</v>
      </c>
      <c r="H2385" s="90">
        <v>1.3680555555555556</v>
      </c>
      <c r="I2385" s="30" t="s">
        <v>5494</v>
      </c>
      <c r="J2385" s="89" t="s">
        <v>13417</v>
      </c>
      <c r="K2385" s="30" t="s">
        <v>200</v>
      </c>
      <c r="L2385" s="30" t="s">
        <v>13418</v>
      </c>
      <c r="M2385" s="30" t="s">
        <v>63</v>
      </c>
      <c r="N2385" s="30" t="s">
        <v>142</v>
      </c>
      <c r="O2385" s="30" t="s">
        <v>64</v>
      </c>
      <c r="P2385" s="89" t="s">
        <v>165</v>
      </c>
      <c r="Q2385" s="89" t="s">
        <v>202</v>
      </c>
      <c r="R2385" s="89" t="s">
        <v>203</v>
      </c>
      <c r="S2385" s="30">
        <v>0</v>
      </c>
      <c r="T2385" s="233">
        <v>0</v>
      </c>
      <c r="U2385" s="30">
        <v>0</v>
      </c>
      <c r="V2385" s="233">
        <v>0</v>
      </c>
      <c r="W2385" s="30">
        <v>0</v>
      </c>
      <c r="X2385" s="30">
        <v>0</v>
      </c>
      <c r="Y2385" s="30">
        <v>0</v>
      </c>
      <c r="Z2385" s="233">
        <v>0</v>
      </c>
      <c r="AA2385" s="30">
        <v>0</v>
      </c>
      <c r="AB2385" s="30">
        <v>0</v>
      </c>
      <c r="AC2385" s="30">
        <v>0</v>
      </c>
      <c r="AD2385" s="30">
        <v>0</v>
      </c>
      <c r="AE2385" s="89" t="s">
        <v>92</v>
      </c>
      <c r="AF2385" s="89"/>
      <c r="AG2385" s="89" t="s">
        <v>395</v>
      </c>
      <c r="AH2385" s="72">
        <v>42916</v>
      </c>
      <c r="AI2385" s="30">
        <v>0</v>
      </c>
      <c r="AJ2385" s="89" t="s">
        <v>13419</v>
      </c>
      <c r="AK2385" s="89" t="s">
        <v>1233</v>
      </c>
      <c r="AL2385" s="91">
        <v>43055</v>
      </c>
      <c r="AM2385" s="91"/>
      <c r="AN2385" s="91"/>
      <c r="AO2385" s="91"/>
      <c r="AP2385" s="73" t="e">
        <f>MID(VLOOKUP(K2385,#REF!,2,FALSE),1,2)</f>
        <v>#REF!</v>
      </c>
      <c r="AQ2385" s="89">
        <f>DATE(2017,3,17)</f>
        <v>42811</v>
      </c>
      <c r="AR2385" s="82">
        <f t="shared" si="179"/>
        <v>17</v>
      </c>
      <c r="AS2385" s="83">
        <f t="shared" si="180"/>
        <v>3</v>
      </c>
      <c r="AT2385" s="84">
        <f t="shared" si="181"/>
        <v>2017</v>
      </c>
      <c r="AU2385" s="88">
        <f>DATE(2017,4,5)</f>
        <v>42830</v>
      </c>
      <c r="AV2385" s="88">
        <f>DATE(2017,3,31)</f>
        <v>42825</v>
      </c>
      <c r="AW2385" s="87">
        <f t="shared" si="182"/>
        <v>5</v>
      </c>
      <c r="AX2385" s="86"/>
      <c r="AY2385" s="83"/>
      <c r="AZ2385" s="84"/>
      <c r="BA2385" s="86"/>
      <c r="BB2385" s="86" t="s">
        <v>13115</v>
      </c>
    </row>
    <row r="2386" spans="1:54" ht="36.75" customHeight="1">
      <c r="A2386" s="30"/>
      <c r="B2386" s="30" t="s">
        <v>55</v>
      </c>
      <c r="C2386" s="69" t="str">
        <f t="shared" si="183"/>
        <v>Closed</v>
      </c>
      <c r="D2386" s="27" t="s">
        <v>13420</v>
      </c>
      <c r="E2386" s="29" t="s">
        <v>13421</v>
      </c>
      <c r="F2386" s="30" t="s">
        <v>423</v>
      </c>
      <c r="G2386" s="89">
        <f>DATE(2017,3,17)</f>
        <v>42811</v>
      </c>
      <c r="H2386" s="90">
        <v>1.78125</v>
      </c>
      <c r="I2386" s="30" t="s">
        <v>116</v>
      </c>
      <c r="J2386" s="89" t="s">
        <v>13422</v>
      </c>
      <c r="K2386" s="30" t="s">
        <v>425</v>
      </c>
      <c r="L2386" s="30" t="s">
        <v>13423</v>
      </c>
      <c r="M2386" s="30" t="s">
        <v>63</v>
      </c>
      <c r="N2386" s="30" t="s">
        <v>99</v>
      </c>
      <c r="O2386" s="30" t="s">
        <v>64</v>
      </c>
      <c r="P2386" s="89" t="s">
        <v>165</v>
      </c>
      <c r="Q2386" s="89" t="s">
        <v>4551</v>
      </c>
      <c r="R2386" s="89" t="s">
        <v>3103</v>
      </c>
      <c r="S2386" s="30">
        <v>0</v>
      </c>
      <c r="T2386" s="233">
        <v>0</v>
      </c>
      <c r="U2386" s="30">
        <v>0</v>
      </c>
      <c r="V2386" s="233">
        <v>0</v>
      </c>
      <c r="W2386" s="30">
        <v>0</v>
      </c>
      <c r="X2386" s="30">
        <v>0</v>
      </c>
      <c r="Y2386" s="30">
        <v>0</v>
      </c>
      <c r="Z2386" s="233">
        <v>0</v>
      </c>
      <c r="AA2386" s="30">
        <v>0</v>
      </c>
      <c r="AB2386" s="30">
        <v>0</v>
      </c>
      <c r="AC2386" s="30">
        <v>0</v>
      </c>
      <c r="AD2386" s="30">
        <v>0</v>
      </c>
      <c r="AE2386" s="89" t="s">
        <v>92</v>
      </c>
      <c r="AF2386" s="89"/>
      <c r="AG2386" s="89" t="s">
        <v>352</v>
      </c>
      <c r="AH2386" s="72">
        <v>42825</v>
      </c>
      <c r="AI2386" s="30">
        <v>1</v>
      </c>
      <c r="AJ2386" s="89" t="s">
        <v>13424</v>
      </c>
      <c r="AK2386" s="89" t="s">
        <v>13425</v>
      </c>
      <c r="AL2386" s="91">
        <v>42830</v>
      </c>
      <c r="AM2386" s="91"/>
      <c r="AN2386" s="91"/>
      <c r="AO2386" s="91"/>
      <c r="AP2386" s="73" t="e">
        <f>MID(VLOOKUP(K2386,#REF!,2,FALSE),1,2)</f>
        <v>#REF!</v>
      </c>
      <c r="AQ2386" s="89">
        <f>DATE(2017,3,20)</f>
        <v>42814</v>
      </c>
      <c r="AR2386" s="82">
        <f t="shared" si="179"/>
        <v>20</v>
      </c>
      <c r="AS2386" s="83">
        <f t="shared" si="180"/>
        <v>3</v>
      </c>
      <c r="AT2386" s="84">
        <f t="shared" si="181"/>
        <v>2017</v>
      </c>
      <c r="AU2386" s="88">
        <f>DATE(2017,3,29)</f>
        <v>42823</v>
      </c>
      <c r="AV2386" s="88">
        <f>DATE(2017,3,29)</f>
        <v>42823</v>
      </c>
      <c r="AW2386" s="87">
        <f t="shared" si="182"/>
        <v>0</v>
      </c>
      <c r="AX2386" s="86"/>
      <c r="AY2386" s="83"/>
      <c r="AZ2386" s="84"/>
      <c r="BA2386" s="86"/>
      <c r="BB2386" s="86" t="s">
        <v>13115</v>
      </c>
    </row>
    <row r="2387" spans="1:54" ht="36.75" customHeight="1">
      <c r="A2387" s="30"/>
      <c r="B2387" s="30" t="s">
        <v>55</v>
      </c>
      <c r="C2387" s="69" t="str">
        <f t="shared" si="183"/>
        <v>Closed</v>
      </c>
      <c r="D2387" s="27" t="s">
        <v>13426</v>
      </c>
      <c r="E2387" s="29" t="s">
        <v>13427</v>
      </c>
      <c r="F2387" s="30" t="s">
        <v>197</v>
      </c>
      <c r="G2387" s="89">
        <f>DATE(2017,3,20)</f>
        <v>42814</v>
      </c>
      <c r="H2387" s="90">
        <v>1.8201388888888888</v>
      </c>
      <c r="I2387" s="30" t="s">
        <v>198</v>
      </c>
      <c r="J2387" s="89" t="s">
        <v>13428</v>
      </c>
      <c r="K2387" s="30" t="s">
        <v>200</v>
      </c>
      <c r="L2387" s="30" t="s">
        <v>13429</v>
      </c>
      <c r="M2387" s="30" t="s">
        <v>63</v>
      </c>
      <c r="N2387" s="30" t="s">
        <v>89</v>
      </c>
      <c r="O2387" s="30" t="s">
        <v>64</v>
      </c>
      <c r="P2387" s="89" t="s">
        <v>10154</v>
      </c>
      <c r="Q2387" s="89" t="s">
        <v>13430</v>
      </c>
      <c r="R2387" s="89" t="s">
        <v>203</v>
      </c>
      <c r="S2387" s="30">
        <v>0</v>
      </c>
      <c r="T2387" s="233">
        <v>0</v>
      </c>
      <c r="U2387" s="30">
        <v>0</v>
      </c>
      <c r="V2387" s="233">
        <v>0</v>
      </c>
      <c r="W2387" s="30">
        <v>0</v>
      </c>
      <c r="X2387" s="30">
        <v>0</v>
      </c>
      <c r="Y2387" s="30">
        <v>0</v>
      </c>
      <c r="Z2387" s="233">
        <v>0</v>
      </c>
      <c r="AA2387" s="30">
        <v>0</v>
      </c>
      <c r="AB2387" s="30">
        <v>0</v>
      </c>
      <c r="AC2387" s="30">
        <v>0</v>
      </c>
      <c r="AD2387" s="30">
        <v>0</v>
      </c>
      <c r="AE2387" s="89" t="s">
        <v>394</v>
      </c>
      <c r="AF2387" s="89"/>
      <c r="AG2387" s="89" t="s">
        <v>133</v>
      </c>
      <c r="AH2387" s="72">
        <v>42823</v>
      </c>
      <c r="AI2387" s="30">
        <v>2</v>
      </c>
      <c r="AJ2387" s="89" t="s">
        <v>68</v>
      </c>
      <c r="AK2387" s="89" t="s">
        <v>68</v>
      </c>
      <c r="AL2387" s="91">
        <v>42823</v>
      </c>
      <c r="AM2387" s="91"/>
      <c r="AN2387" s="91"/>
      <c r="AO2387" s="91"/>
      <c r="AP2387" s="73" t="e">
        <f>MID(VLOOKUP(K2387,#REF!,2,FALSE),1,2)</f>
        <v>#REF!</v>
      </c>
      <c r="AQ2387" s="89">
        <f>DATE(2017,3,20)</f>
        <v>42814</v>
      </c>
      <c r="AR2387" s="82">
        <f t="shared" si="179"/>
        <v>20</v>
      </c>
      <c r="AS2387" s="83">
        <f t="shared" si="180"/>
        <v>3</v>
      </c>
      <c r="AT2387" s="84">
        <f t="shared" si="181"/>
        <v>2017</v>
      </c>
      <c r="AU2387" s="88">
        <f>DATE(2017,4,4)</f>
        <v>42829</v>
      </c>
      <c r="AV2387" s="88">
        <f>DATE(2017,3,27)</f>
        <v>42821</v>
      </c>
      <c r="AW2387" s="87">
        <f t="shared" si="182"/>
        <v>8</v>
      </c>
      <c r="AX2387" s="88">
        <f>DATE(2017,4,4)</f>
        <v>42829</v>
      </c>
      <c r="AY2387" s="82">
        <f>MONTH(AX2387)</f>
        <v>4</v>
      </c>
      <c r="AZ2387" s="120">
        <f>YEAR(AX2387)</f>
        <v>2017</v>
      </c>
      <c r="BA2387" s="86"/>
      <c r="BB2387" s="86"/>
    </row>
    <row r="2388" spans="1:54" ht="36.75" customHeight="1">
      <c r="A2388" s="30"/>
      <c r="B2388" s="30" t="s">
        <v>55</v>
      </c>
      <c r="C2388" s="69" t="str">
        <f t="shared" si="183"/>
        <v>Closed</v>
      </c>
      <c r="D2388" s="27" t="s">
        <v>13431</v>
      </c>
      <c r="E2388" s="29" t="s">
        <v>13432</v>
      </c>
      <c r="F2388" s="30" t="s">
        <v>233</v>
      </c>
      <c r="G2388" s="89">
        <f>DATE(2017,3,20)</f>
        <v>42814</v>
      </c>
      <c r="H2388" s="90">
        <v>1.7291666666666665</v>
      </c>
      <c r="I2388" s="30" t="s">
        <v>73</v>
      </c>
      <c r="J2388" s="89" t="s">
        <v>13433</v>
      </c>
      <c r="K2388" s="30" t="s">
        <v>235</v>
      </c>
      <c r="L2388" s="30" t="s">
        <v>13434</v>
      </c>
      <c r="M2388" s="30" t="s">
        <v>63</v>
      </c>
      <c r="N2388" s="30" t="s">
        <v>142</v>
      </c>
      <c r="O2388" s="30" t="s">
        <v>64</v>
      </c>
      <c r="P2388" s="89" t="s">
        <v>78</v>
      </c>
      <c r="Q2388" s="89" t="s">
        <v>4042</v>
      </c>
      <c r="R2388" s="89" t="s">
        <v>235</v>
      </c>
      <c r="S2388" s="30">
        <v>0</v>
      </c>
      <c r="T2388" s="233">
        <v>0</v>
      </c>
      <c r="U2388" s="30">
        <v>0</v>
      </c>
      <c r="V2388" s="233">
        <v>0</v>
      </c>
      <c r="W2388" s="30">
        <v>0</v>
      </c>
      <c r="X2388" s="30">
        <v>0</v>
      </c>
      <c r="Y2388" s="30">
        <v>0</v>
      </c>
      <c r="Z2388" s="233">
        <v>0</v>
      </c>
      <c r="AA2388" s="30">
        <v>0</v>
      </c>
      <c r="AB2388" s="30">
        <v>0</v>
      </c>
      <c r="AC2388" s="30">
        <v>0</v>
      </c>
      <c r="AD2388" s="30">
        <v>0</v>
      </c>
      <c r="AE2388" s="89" t="s">
        <v>145</v>
      </c>
      <c r="AF2388" s="89"/>
      <c r="AG2388" s="89" t="s">
        <v>133</v>
      </c>
      <c r="AH2388" s="72">
        <v>42821</v>
      </c>
      <c r="AI2388" s="30">
        <v>4</v>
      </c>
      <c r="AJ2388" s="89" t="s">
        <v>13435</v>
      </c>
      <c r="AK2388" s="89" t="s">
        <v>13436</v>
      </c>
      <c r="AL2388" s="91">
        <v>42829</v>
      </c>
      <c r="AM2388" s="91"/>
      <c r="AN2388" s="91"/>
      <c r="AO2388" s="91"/>
      <c r="AP2388" s="73" t="e">
        <f>MID(VLOOKUP(K2388,#REF!,2,FALSE),1,2)</f>
        <v>#REF!</v>
      </c>
      <c r="AQ2388" s="89">
        <f>DATE(2017,3,22)</f>
        <v>42816</v>
      </c>
      <c r="AR2388" s="82">
        <f t="shared" si="179"/>
        <v>22</v>
      </c>
      <c r="AS2388" s="83">
        <f t="shared" si="180"/>
        <v>3</v>
      </c>
      <c r="AT2388" s="84">
        <f t="shared" si="181"/>
        <v>2017</v>
      </c>
      <c r="AU2388" s="88">
        <f>DATE(2017,4,4)</f>
        <v>42829</v>
      </c>
      <c r="AV2388" s="88">
        <f>DATE(2017,3,22)</f>
        <v>42816</v>
      </c>
      <c r="AW2388" s="87">
        <f t="shared" si="182"/>
        <v>13</v>
      </c>
      <c r="AX2388" s="88">
        <f>DATE(2017,4,4)</f>
        <v>42829</v>
      </c>
      <c r="AY2388" s="82">
        <f>MONTH(AX2388)</f>
        <v>4</v>
      </c>
      <c r="AZ2388" s="120">
        <f>YEAR(AX2388)</f>
        <v>2017</v>
      </c>
      <c r="BA2388" s="88">
        <f>DATE(2017,3,31)</f>
        <v>42825</v>
      </c>
      <c r="BB2388" s="86"/>
    </row>
    <row r="2389" spans="1:54" ht="36.75" customHeight="1">
      <c r="A2389" s="30"/>
      <c r="B2389" s="30" t="s">
        <v>55</v>
      </c>
      <c r="C2389" s="69" t="str">
        <f t="shared" si="183"/>
        <v>Closed</v>
      </c>
      <c r="D2389" s="27" t="s">
        <v>13437</v>
      </c>
      <c r="E2389" s="29" t="s">
        <v>13438</v>
      </c>
      <c r="F2389" s="30" t="s">
        <v>13439</v>
      </c>
      <c r="G2389" s="89">
        <f>DATE(2017,3,22)</f>
        <v>42816</v>
      </c>
      <c r="H2389" s="90">
        <v>1.5812499999999998</v>
      </c>
      <c r="I2389" s="30" t="s">
        <v>73</v>
      </c>
      <c r="J2389" s="89" t="s">
        <v>13440</v>
      </c>
      <c r="K2389" s="30" t="s">
        <v>13441</v>
      </c>
      <c r="L2389" s="30" t="s">
        <v>13442</v>
      </c>
      <c r="M2389" s="30" t="s">
        <v>63</v>
      </c>
      <c r="N2389" s="30" t="s">
        <v>89</v>
      </c>
      <c r="O2389" s="30" t="s">
        <v>77</v>
      </c>
      <c r="P2389" s="89" t="s">
        <v>6941</v>
      </c>
      <c r="Q2389" s="89" t="s">
        <v>13443</v>
      </c>
      <c r="R2389" s="89" t="s">
        <v>13444</v>
      </c>
      <c r="S2389" s="30">
        <v>0</v>
      </c>
      <c r="T2389" s="233">
        <v>0</v>
      </c>
      <c r="U2389" s="30">
        <v>0</v>
      </c>
      <c r="V2389" s="233">
        <v>0</v>
      </c>
      <c r="W2389" s="30">
        <v>0</v>
      </c>
      <c r="X2389" s="30">
        <v>0</v>
      </c>
      <c r="Y2389" s="30">
        <v>0</v>
      </c>
      <c r="Z2389" s="233">
        <v>0</v>
      </c>
      <c r="AA2389" s="30">
        <v>0</v>
      </c>
      <c r="AB2389" s="30">
        <v>0</v>
      </c>
      <c r="AC2389" s="30">
        <v>0</v>
      </c>
      <c r="AD2389" s="30">
        <v>0</v>
      </c>
      <c r="AE2389" s="89" t="s">
        <v>145</v>
      </c>
      <c r="AF2389" s="89"/>
      <c r="AG2389" s="89" t="s">
        <v>589</v>
      </c>
      <c r="AH2389" s="72">
        <v>42816</v>
      </c>
      <c r="AI2389" s="30">
        <v>0</v>
      </c>
      <c r="AJ2389" s="89" t="s">
        <v>13445</v>
      </c>
      <c r="AK2389" s="89" t="s">
        <v>68</v>
      </c>
      <c r="AL2389" s="91">
        <v>42829</v>
      </c>
      <c r="AM2389" s="91"/>
      <c r="AN2389" s="91"/>
      <c r="AO2389" s="91"/>
      <c r="AP2389" s="73" t="e">
        <f>MID(VLOOKUP(K2389,#REF!,2,FALSE),1,2)</f>
        <v>#REF!</v>
      </c>
      <c r="AQ2389" s="89">
        <f>DATE(2017,3,22)</f>
        <v>42816</v>
      </c>
      <c r="AR2389" s="82">
        <f t="shared" si="179"/>
        <v>22</v>
      </c>
      <c r="AS2389" s="83">
        <f t="shared" si="180"/>
        <v>3</v>
      </c>
      <c r="AT2389" s="84">
        <f t="shared" si="181"/>
        <v>2017</v>
      </c>
      <c r="AU2389" s="88">
        <f>DATE(2017,4,7)</f>
        <v>42832</v>
      </c>
      <c r="AV2389" s="88">
        <f>DATE(2017,3,24)</f>
        <v>42818</v>
      </c>
      <c r="AW2389" s="87">
        <f t="shared" si="182"/>
        <v>14</v>
      </c>
      <c r="AX2389" s="86"/>
      <c r="AY2389" s="83"/>
      <c r="AZ2389" s="84"/>
      <c r="BA2389" s="86"/>
      <c r="BB2389" s="86" t="s">
        <v>13115</v>
      </c>
    </row>
    <row r="2390" spans="1:54" ht="36.75" customHeight="1">
      <c r="A2390" s="30"/>
      <c r="B2390" s="30" t="s">
        <v>55</v>
      </c>
      <c r="C2390" s="69" t="str">
        <f t="shared" si="183"/>
        <v>Closed</v>
      </c>
      <c r="D2390" s="27" t="s">
        <v>13446</v>
      </c>
      <c r="E2390" s="29" t="s">
        <v>13447</v>
      </c>
      <c r="F2390" s="30" t="s">
        <v>6455</v>
      </c>
      <c r="G2390" s="89">
        <f>DATE(2017,3,22)</f>
        <v>42816</v>
      </c>
      <c r="H2390" s="90">
        <v>0.3743055555555555</v>
      </c>
      <c r="I2390" s="30" t="s">
        <v>73</v>
      </c>
      <c r="J2390" s="89" t="s">
        <v>13448</v>
      </c>
      <c r="K2390" s="30" t="s">
        <v>584</v>
      </c>
      <c r="L2390" s="30" t="s">
        <v>13449</v>
      </c>
      <c r="M2390" s="30" t="s">
        <v>63</v>
      </c>
      <c r="N2390" s="30" t="s">
        <v>99</v>
      </c>
      <c r="O2390" s="30" t="s">
        <v>77</v>
      </c>
      <c r="P2390" s="89" t="s">
        <v>78</v>
      </c>
      <c r="Q2390" s="89" t="s">
        <v>13450</v>
      </c>
      <c r="R2390" s="89" t="s">
        <v>587</v>
      </c>
      <c r="S2390" s="30">
        <v>0</v>
      </c>
      <c r="T2390" s="233">
        <v>0</v>
      </c>
      <c r="U2390" s="30">
        <v>0</v>
      </c>
      <c r="V2390" s="233">
        <v>0</v>
      </c>
      <c r="W2390" s="30">
        <v>0</v>
      </c>
      <c r="X2390" s="30">
        <v>0</v>
      </c>
      <c r="Y2390" s="30">
        <v>0</v>
      </c>
      <c r="Z2390" s="233">
        <v>0</v>
      </c>
      <c r="AA2390" s="30">
        <v>0</v>
      </c>
      <c r="AB2390" s="30">
        <v>0</v>
      </c>
      <c r="AC2390" s="30">
        <v>0</v>
      </c>
      <c r="AD2390" s="30">
        <v>0</v>
      </c>
      <c r="AE2390" s="89" t="s">
        <v>394</v>
      </c>
      <c r="AF2390" s="89" t="s">
        <v>13451</v>
      </c>
      <c r="AG2390" s="89" t="s">
        <v>8859</v>
      </c>
      <c r="AH2390" s="72">
        <v>42817</v>
      </c>
      <c r="AI2390" s="30">
        <v>0</v>
      </c>
      <c r="AJ2390" s="89" t="s">
        <v>13452</v>
      </c>
      <c r="AK2390" s="89" t="s">
        <v>68</v>
      </c>
      <c r="AL2390" s="91">
        <v>42832</v>
      </c>
      <c r="AM2390" s="91"/>
      <c r="AN2390" s="91">
        <v>44959</v>
      </c>
      <c r="AO2390" s="91">
        <v>44958</v>
      </c>
      <c r="AP2390" s="73" t="e">
        <f>MID(VLOOKUP(K2390,#REF!,2,FALSE),1,2)</f>
        <v>#REF!</v>
      </c>
      <c r="AQ2390" s="89">
        <f>DATE(2017,3,23)</f>
        <v>42817</v>
      </c>
      <c r="AR2390" s="82">
        <f t="shared" si="179"/>
        <v>23</v>
      </c>
      <c r="AS2390" s="83">
        <f t="shared" si="180"/>
        <v>3</v>
      </c>
      <c r="AT2390" s="84">
        <f t="shared" si="181"/>
        <v>2017</v>
      </c>
      <c r="AU2390" s="88">
        <f>DATE(2017,5,8)</f>
        <v>42863</v>
      </c>
      <c r="AV2390" s="88">
        <f>DATE(2017,5,3)</f>
        <v>42858</v>
      </c>
      <c r="AW2390" s="87">
        <f t="shared" si="182"/>
        <v>5</v>
      </c>
      <c r="AX2390" s="86"/>
      <c r="AY2390" s="82"/>
      <c r="AZ2390" s="120"/>
      <c r="BA2390" s="86"/>
      <c r="BB2390" s="86" t="s">
        <v>13115</v>
      </c>
    </row>
    <row r="2391" spans="1:54" ht="36.75" customHeight="1">
      <c r="A2391" s="30"/>
      <c r="B2391" s="30" t="s">
        <v>55</v>
      </c>
      <c r="C2391" s="69" t="str">
        <f t="shared" si="183"/>
        <v>Closed</v>
      </c>
      <c r="D2391" s="27" t="s">
        <v>13453</v>
      </c>
      <c r="E2391" s="29" t="s">
        <v>13454</v>
      </c>
      <c r="F2391" s="30" t="s">
        <v>638</v>
      </c>
      <c r="G2391" s="89">
        <f>DATE(2017,3,23)</f>
        <v>42817</v>
      </c>
      <c r="H2391" s="90">
        <v>1.45625</v>
      </c>
      <c r="I2391" s="30" t="s">
        <v>104</v>
      </c>
      <c r="J2391" s="89" t="s">
        <v>13455</v>
      </c>
      <c r="K2391" s="30" t="s">
        <v>640</v>
      </c>
      <c r="L2391" s="30" t="s">
        <v>13456</v>
      </c>
      <c r="M2391" s="30" t="s">
        <v>63</v>
      </c>
      <c r="N2391" s="30" t="s">
        <v>89</v>
      </c>
      <c r="O2391" s="30" t="s">
        <v>77</v>
      </c>
      <c r="P2391" s="89" t="s">
        <v>6902</v>
      </c>
      <c r="Q2391" s="89" t="s">
        <v>642</v>
      </c>
      <c r="R2391" s="89" t="s">
        <v>643</v>
      </c>
      <c r="S2391" s="30">
        <v>0</v>
      </c>
      <c r="T2391" s="233">
        <v>0</v>
      </c>
      <c r="U2391" s="30">
        <v>0</v>
      </c>
      <c r="V2391" s="233">
        <v>0</v>
      </c>
      <c r="W2391" s="30">
        <v>0</v>
      </c>
      <c r="X2391" s="30">
        <v>0</v>
      </c>
      <c r="Y2391" s="30">
        <v>0</v>
      </c>
      <c r="Z2391" s="233">
        <v>0</v>
      </c>
      <c r="AA2391" s="30">
        <v>0</v>
      </c>
      <c r="AB2391" s="30">
        <v>0</v>
      </c>
      <c r="AC2391" s="30">
        <v>0</v>
      </c>
      <c r="AD2391" s="30">
        <v>0</v>
      </c>
      <c r="AE2391" s="89" t="s">
        <v>92</v>
      </c>
      <c r="AF2391" s="89"/>
      <c r="AG2391" s="89" t="s">
        <v>133</v>
      </c>
      <c r="AH2391" s="72">
        <v>42858</v>
      </c>
      <c r="AI2391" s="30">
        <v>3</v>
      </c>
      <c r="AJ2391" s="89" t="s">
        <v>13457</v>
      </c>
      <c r="AK2391" s="89" t="s">
        <v>13458</v>
      </c>
      <c r="AL2391" s="91">
        <v>42863</v>
      </c>
      <c r="AM2391" s="91"/>
      <c r="AN2391" s="91"/>
      <c r="AO2391" s="91"/>
      <c r="AP2391" s="73" t="e">
        <f>MID(VLOOKUP(K2391,#REF!,2,FALSE),1,2)</f>
        <v>#REF!</v>
      </c>
      <c r="AQ2391" s="89">
        <f>DATE(2017,3,27)</f>
        <v>42821</v>
      </c>
      <c r="AR2391" s="82">
        <f t="shared" si="179"/>
        <v>27</v>
      </c>
      <c r="AS2391" s="83">
        <f t="shared" si="180"/>
        <v>3</v>
      </c>
      <c r="AT2391" s="84">
        <f t="shared" si="181"/>
        <v>2017</v>
      </c>
      <c r="AU2391" s="88">
        <f>DATE(2017,4,3)</f>
        <v>42828</v>
      </c>
      <c r="AV2391" s="88">
        <f>DATE(2017,3,27)</f>
        <v>42821</v>
      </c>
      <c r="AW2391" s="87">
        <f t="shared" si="182"/>
        <v>7</v>
      </c>
      <c r="AX2391" s="88">
        <f>DATE(2017,3,28)</f>
        <v>42822</v>
      </c>
      <c r="AY2391" s="83">
        <f>MONTH(AX2391)</f>
        <v>3</v>
      </c>
      <c r="AZ2391" s="84">
        <f>YEAR(AX2391)</f>
        <v>2017</v>
      </c>
      <c r="BA2391" s="88">
        <f>DATE(2017,3,28)</f>
        <v>42822</v>
      </c>
      <c r="BB2391" s="86"/>
    </row>
    <row r="2392" spans="1:54" ht="36.75" customHeight="1">
      <c r="A2392" s="30"/>
      <c r="B2392" s="30" t="s">
        <v>55</v>
      </c>
      <c r="C2392" s="69" t="str">
        <f t="shared" si="183"/>
        <v>Closed</v>
      </c>
      <c r="D2392" s="27" t="s">
        <v>13459</v>
      </c>
      <c r="E2392" s="29" t="s">
        <v>13460</v>
      </c>
      <c r="F2392" s="30" t="s">
        <v>9789</v>
      </c>
      <c r="G2392" s="89">
        <f>DATE(2017,3,27)</f>
        <v>42821</v>
      </c>
      <c r="H2392" s="90">
        <v>1.2534722222222223</v>
      </c>
      <c r="I2392" s="30" t="s">
        <v>73</v>
      </c>
      <c r="J2392" s="210" t="s">
        <v>13461</v>
      </c>
      <c r="K2392" s="30" t="s">
        <v>9791</v>
      </c>
      <c r="L2392" s="30" t="s">
        <v>13462</v>
      </c>
      <c r="M2392" s="30" t="s">
        <v>63</v>
      </c>
      <c r="N2392" s="30" t="s">
        <v>89</v>
      </c>
      <c r="O2392" s="30" t="s">
        <v>90</v>
      </c>
      <c r="P2392" s="89" t="s">
        <v>91</v>
      </c>
      <c r="Q2392" s="89" t="s">
        <v>13463</v>
      </c>
      <c r="R2392" s="89" t="s">
        <v>9794</v>
      </c>
      <c r="S2392" s="30">
        <v>0</v>
      </c>
      <c r="T2392" s="233">
        <v>0</v>
      </c>
      <c r="U2392" s="30">
        <v>0</v>
      </c>
      <c r="V2392" s="233">
        <v>0</v>
      </c>
      <c r="W2392" s="30">
        <v>0</v>
      </c>
      <c r="X2392" s="30">
        <v>0</v>
      </c>
      <c r="Y2392" s="30">
        <v>0</v>
      </c>
      <c r="Z2392" s="233">
        <v>0</v>
      </c>
      <c r="AA2392" s="30">
        <v>0</v>
      </c>
      <c r="AB2392" s="30">
        <v>0</v>
      </c>
      <c r="AC2392" s="30">
        <v>0</v>
      </c>
      <c r="AD2392" s="30">
        <v>0</v>
      </c>
      <c r="AE2392" s="89" t="s">
        <v>394</v>
      </c>
      <c r="AF2392" s="89"/>
      <c r="AG2392" s="89" t="s">
        <v>133</v>
      </c>
      <c r="AH2392" s="72">
        <v>42821</v>
      </c>
      <c r="AI2392" s="30">
        <v>2</v>
      </c>
      <c r="AJ2392" s="89" t="s">
        <v>13464</v>
      </c>
      <c r="AK2392" s="89" t="s">
        <v>13465</v>
      </c>
      <c r="AL2392" s="91">
        <v>42828</v>
      </c>
      <c r="AM2392" s="91"/>
      <c r="AN2392" s="91"/>
      <c r="AO2392" s="91"/>
      <c r="AP2392" s="73" t="e">
        <f>MID(VLOOKUP(K2392,#REF!,2,FALSE),1,2)</f>
        <v>#REF!</v>
      </c>
      <c r="AQ2392" s="89">
        <f>DATE(2017,3,28)</f>
        <v>42822</v>
      </c>
      <c r="AR2392" s="82">
        <f t="shared" si="179"/>
        <v>28</v>
      </c>
      <c r="AS2392" s="83">
        <f t="shared" si="180"/>
        <v>3</v>
      </c>
      <c r="AT2392" s="84">
        <f t="shared" si="181"/>
        <v>2017</v>
      </c>
      <c r="AU2392" s="88">
        <f>DATE(2017,3,29)</f>
        <v>42823</v>
      </c>
      <c r="AV2392" s="88">
        <f>DATE(2017,3,28)</f>
        <v>42822</v>
      </c>
      <c r="AW2392" s="87">
        <f t="shared" si="182"/>
        <v>1</v>
      </c>
      <c r="AX2392" s="88">
        <f>DATE(2017,3,28)</f>
        <v>42822</v>
      </c>
      <c r="AY2392" s="83">
        <f>MONTH(AX2392)</f>
        <v>3</v>
      </c>
      <c r="AZ2392" s="84">
        <f>YEAR(AX2392)</f>
        <v>2017</v>
      </c>
      <c r="BA2392" s="88">
        <f>DATE(2017,3,28)</f>
        <v>42822</v>
      </c>
      <c r="BB2392" s="86"/>
    </row>
    <row r="2393" spans="1:54" ht="36.75" customHeight="1">
      <c r="A2393" s="30"/>
      <c r="B2393" s="30" t="s">
        <v>55</v>
      </c>
      <c r="C2393" s="69" t="str">
        <f t="shared" si="183"/>
        <v>Closed</v>
      </c>
      <c r="D2393" s="27" t="s">
        <v>13466</v>
      </c>
      <c r="E2393" s="29" t="s">
        <v>13467</v>
      </c>
      <c r="F2393" s="30" t="s">
        <v>835</v>
      </c>
      <c r="G2393" s="89">
        <f>DATE(2017,3,28)</f>
        <v>42822</v>
      </c>
      <c r="H2393" s="90">
        <v>1.3888888888888888</v>
      </c>
      <c r="I2393" s="30" t="s">
        <v>156</v>
      </c>
      <c r="J2393" s="89" t="s">
        <v>13468</v>
      </c>
      <c r="K2393" s="30" t="s">
        <v>837</v>
      </c>
      <c r="L2393" s="30" t="s">
        <v>13469</v>
      </c>
      <c r="M2393" s="30" t="s">
        <v>63</v>
      </c>
      <c r="N2393" s="30" t="s">
        <v>142</v>
      </c>
      <c r="O2393" s="30" t="s">
        <v>77</v>
      </c>
      <c r="P2393" s="89" t="s">
        <v>78</v>
      </c>
      <c r="Q2393" s="89" t="s">
        <v>839</v>
      </c>
      <c r="R2393" s="89" t="s">
        <v>840</v>
      </c>
      <c r="S2393" s="30">
        <v>0</v>
      </c>
      <c r="T2393" s="233">
        <v>0</v>
      </c>
      <c r="U2393" s="30">
        <v>0</v>
      </c>
      <c r="V2393" s="233">
        <v>0</v>
      </c>
      <c r="W2393" s="30">
        <v>0</v>
      </c>
      <c r="X2393" s="30">
        <v>0</v>
      </c>
      <c r="Y2393" s="30">
        <v>0</v>
      </c>
      <c r="Z2393" s="233">
        <v>0</v>
      </c>
      <c r="AA2393" s="30">
        <v>0</v>
      </c>
      <c r="AB2393" s="30">
        <v>0</v>
      </c>
      <c r="AC2393" s="30">
        <v>0</v>
      </c>
      <c r="AD2393" s="30">
        <v>0</v>
      </c>
      <c r="AE2393" s="89" t="s">
        <v>92</v>
      </c>
      <c r="AF2393" s="89"/>
      <c r="AG2393" s="89" t="s">
        <v>133</v>
      </c>
      <c r="AH2393" s="72">
        <v>42822</v>
      </c>
      <c r="AI2393" s="30">
        <v>0</v>
      </c>
      <c r="AJ2393" s="89" t="s">
        <v>13470</v>
      </c>
      <c r="AK2393" s="89" t="s">
        <v>1233</v>
      </c>
      <c r="AL2393" s="91">
        <v>42823</v>
      </c>
      <c r="AM2393" s="91"/>
      <c r="AN2393" s="91"/>
      <c r="AO2393" s="91"/>
      <c r="AP2393" s="73" t="e">
        <f>MID(VLOOKUP(K2393,#REF!,2,FALSE),1,2)</f>
        <v>#REF!</v>
      </c>
      <c r="AQ2393" s="89">
        <f>DATE(2017,3,28)</f>
        <v>42822</v>
      </c>
      <c r="AR2393" s="82">
        <f t="shared" si="179"/>
        <v>28</v>
      </c>
      <c r="AS2393" s="83">
        <f t="shared" si="180"/>
        <v>3</v>
      </c>
      <c r="AT2393" s="84">
        <f t="shared" si="181"/>
        <v>2017</v>
      </c>
      <c r="AU2393" s="88">
        <f>DATE(2017,3,10)</f>
        <v>42804</v>
      </c>
      <c r="AV2393" s="88">
        <f>DATE(2017,3,28)</f>
        <v>42822</v>
      </c>
      <c r="AW2393" s="87">
        <f t="shared" si="182"/>
        <v>-18</v>
      </c>
      <c r="AX2393" s="88">
        <f>DATE(2017,3,28)</f>
        <v>42822</v>
      </c>
      <c r="AY2393" s="83">
        <f>MONTH(AX2393)</f>
        <v>3</v>
      </c>
      <c r="AZ2393" s="84">
        <f>YEAR(AX2393)</f>
        <v>2017</v>
      </c>
      <c r="BA2393" s="88">
        <f>DATE(2017,3,28)</f>
        <v>42822</v>
      </c>
      <c r="BB2393" s="86"/>
    </row>
    <row r="2394" spans="1:54" ht="36.75" customHeight="1">
      <c r="A2394" s="30"/>
      <c r="B2394" s="30" t="s">
        <v>55</v>
      </c>
      <c r="C2394" s="69" t="str">
        <f t="shared" si="183"/>
        <v>Closed</v>
      </c>
      <c r="D2394" s="27" t="s">
        <v>13471</v>
      </c>
      <c r="E2394" s="29" t="s">
        <v>13472</v>
      </c>
      <c r="F2394" s="30" t="s">
        <v>835</v>
      </c>
      <c r="G2394" s="89">
        <f>DATE(2017,3,28)</f>
        <v>42822</v>
      </c>
      <c r="H2394" s="90">
        <v>1.3729166666666666</v>
      </c>
      <c r="I2394" s="30" t="s">
        <v>73</v>
      </c>
      <c r="J2394" s="89" t="s">
        <v>13473</v>
      </c>
      <c r="K2394" s="30" t="s">
        <v>837</v>
      </c>
      <c r="L2394" s="30" t="s">
        <v>13474</v>
      </c>
      <c r="M2394" s="30" t="s">
        <v>255</v>
      </c>
      <c r="N2394" s="30" t="s">
        <v>142</v>
      </c>
      <c r="O2394" s="30" t="s">
        <v>77</v>
      </c>
      <c r="P2394" s="89" t="s">
        <v>6552</v>
      </c>
      <c r="Q2394" s="89" t="s">
        <v>4210</v>
      </c>
      <c r="R2394" s="89" t="s">
        <v>4210</v>
      </c>
      <c r="S2394" s="30">
        <v>0</v>
      </c>
      <c r="T2394" s="233">
        <v>0</v>
      </c>
      <c r="U2394" s="30">
        <v>0</v>
      </c>
      <c r="V2394" s="233">
        <v>0</v>
      </c>
      <c r="W2394" s="30">
        <v>0</v>
      </c>
      <c r="X2394" s="30">
        <v>0</v>
      </c>
      <c r="Y2394" s="30">
        <v>0</v>
      </c>
      <c r="Z2394" s="233">
        <v>0</v>
      </c>
      <c r="AA2394" s="30">
        <v>0</v>
      </c>
      <c r="AB2394" s="30">
        <v>0</v>
      </c>
      <c r="AC2394" s="30">
        <v>0</v>
      </c>
      <c r="AD2394" s="30">
        <v>0</v>
      </c>
      <c r="AE2394" s="89" t="s">
        <v>92</v>
      </c>
      <c r="AF2394" s="89"/>
      <c r="AG2394" s="89" t="s">
        <v>133</v>
      </c>
      <c r="AH2394" s="72">
        <v>42822</v>
      </c>
      <c r="AI2394" s="30">
        <v>0</v>
      </c>
      <c r="AJ2394" s="89" t="s">
        <v>11071</v>
      </c>
      <c r="AK2394" s="89" t="s">
        <v>68</v>
      </c>
      <c r="AL2394" s="91">
        <v>43011</v>
      </c>
      <c r="AM2394" s="91"/>
      <c r="AN2394" s="91"/>
      <c r="AO2394" s="91"/>
      <c r="AP2394" s="73" t="e">
        <f>MID(VLOOKUP(K2394,#REF!,2,FALSE),1,2)</f>
        <v>#REF!</v>
      </c>
      <c r="AQ2394" s="89">
        <f>DATE(2017,3,28)</f>
        <v>42822</v>
      </c>
      <c r="AR2394" s="82">
        <f t="shared" si="179"/>
        <v>28</v>
      </c>
      <c r="AS2394" s="83">
        <f t="shared" si="180"/>
        <v>3</v>
      </c>
      <c r="AT2394" s="84">
        <f t="shared" si="181"/>
        <v>2017</v>
      </c>
      <c r="AU2394" s="88">
        <f>DATE(2017,4,2)</f>
        <v>42827</v>
      </c>
      <c r="AV2394" s="88">
        <f>DATE(2017,3,31)</f>
        <v>42825</v>
      </c>
      <c r="AW2394" s="87">
        <f t="shared" si="182"/>
        <v>2</v>
      </c>
      <c r="AX2394" s="88">
        <f>DATE(2017,4,2)</f>
        <v>42827</v>
      </c>
      <c r="AY2394" s="83">
        <f>MONTH(AX2394)</f>
        <v>4</v>
      </c>
      <c r="AZ2394" s="84">
        <f>YEAR(AX2394)</f>
        <v>2017</v>
      </c>
      <c r="BA2394" s="88">
        <f>DATE(2017,3,29)</f>
        <v>42823</v>
      </c>
      <c r="BB2394" s="86"/>
    </row>
    <row r="2395" spans="1:54" ht="36.75" customHeight="1">
      <c r="A2395" s="30"/>
      <c r="B2395" s="30" t="s">
        <v>55</v>
      </c>
      <c r="C2395" s="69" t="str">
        <f t="shared" si="183"/>
        <v>Closed</v>
      </c>
      <c r="D2395" s="27" t="s">
        <v>13475</v>
      </c>
      <c r="E2395" s="29" t="s">
        <v>13476</v>
      </c>
      <c r="F2395" s="30" t="s">
        <v>1572</v>
      </c>
      <c r="G2395" s="89">
        <f>DATE(2017,3,28)</f>
        <v>42822</v>
      </c>
      <c r="H2395" s="90">
        <v>1.8784722222222223</v>
      </c>
      <c r="I2395" s="30" t="s">
        <v>73</v>
      </c>
      <c r="J2395" s="89" t="s">
        <v>13477</v>
      </c>
      <c r="K2395" s="30" t="s">
        <v>1574</v>
      </c>
      <c r="L2395" s="30" t="s">
        <v>13478</v>
      </c>
      <c r="M2395" s="30" t="s">
        <v>63</v>
      </c>
      <c r="N2395" s="30" t="s">
        <v>142</v>
      </c>
      <c r="O2395" s="30" t="s">
        <v>77</v>
      </c>
      <c r="P2395" s="89" t="s">
        <v>78</v>
      </c>
      <c r="Q2395" s="89" t="s">
        <v>9461</v>
      </c>
      <c r="R2395" s="89" t="s">
        <v>6434</v>
      </c>
      <c r="S2395" s="30">
        <v>0</v>
      </c>
      <c r="T2395" s="233">
        <v>0</v>
      </c>
      <c r="U2395" s="30">
        <v>0</v>
      </c>
      <c r="V2395" s="233">
        <v>0</v>
      </c>
      <c r="W2395" s="30">
        <v>0</v>
      </c>
      <c r="X2395" s="30">
        <v>0</v>
      </c>
      <c r="Y2395" s="30">
        <v>0</v>
      </c>
      <c r="Z2395" s="233">
        <v>0</v>
      </c>
      <c r="AA2395" s="30">
        <v>0</v>
      </c>
      <c r="AB2395" s="30">
        <v>0</v>
      </c>
      <c r="AC2395" s="30">
        <v>0</v>
      </c>
      <c r="AD2395" s="30">
        <v>0</v>
      </c>
      <c r="AE2395" s="89" t="s">
        <v>92</v>
      </c>
      <c r="AF2395" s="89"/>
      <c r="AG2395" s="89" t="s">
        <v>133</v>
      </c>
      <c r="AH2395" s="72">
        <v>42825</v>
      </c>
      <c r="AI2395" s="30">
        <v>2</v>
      </c>
      <c r="AJ2395" s="89" t="s">
        <v>13479</v>
      </c>
      <c r="AK2395" s="89" t="s">
        <v>13480</v>
      </c>
      <c r="AL2395" s="91">
        <v>42827</v>
      </c>
      <c r="AM2395" s="91"/>
      <c r="AN2395" s="91"/>
      <c r="AO2395" s="91"/>
      <c r="AP2395" s="73" t="e">
        <f>MID(VLOOKUP(K2395,#REF!,2,FALSE),1,2)</f>
        <v>#REF!</v>
      </c>
      <c r="AQ2395" s="89">
        <f>DATE(2017,3,31)</f>
        <v>42825</v>
      </c>
      <c r="AR2395" s="82">
        <f t="shared" ref="AR2395:AR2426" si="184">DAY(AQ2395)</f>
        <v>31</v>
      </c>
      <c r="AS2395" s="83">
        <f t="shared" ref="AS2395:AS2426" si="185">MONTH(AQ2395)</f>
        <v>3</v>
      </c>
      <c r="AT2395" s="84">
        <f t="shared" ref="AT2395:AT2426" si="186">YEAR(AQ2395)</f>
        <v>2017</v>
      </c>
      <c r="AU2395" s="88">
        <f>DATE(2017,4,4)</f>
        <v>42829</v>
      </c>
      <c r="AV2395" s="88">
        <f>DATE(2017,4,4)</f>
        <v>42829</v>
      </c>
      <c r="AW2395" s="87">
        <f t="shared" si="182"/>
        <v>0</v>
      </c>
      <c r="AX2395" s="106" t="s">
        <v>879</v>
      </c>
      <c r="AY2395" s="122" t="s">
        <v>879</v>
      </c>
      <c r="AZ2395" s="122" t="s">
        <v>879</v>
      </c>
      <c r="BA2395" s="106" t="s">
        <v>879</v>
      </c>
      <c r="BB2395" s="106"/>
    </row>
    <row r="2396" spans="1:54" ht="36.75" customHeight="1">
      <c r="A2396" s="30"/>
      <c r="B2396" s="30" t="s">
        <v>55</v>
      </c>
      <c r="C2396" s="69" t="str">
        <f t="shared" si="183"/>
        <v>Closed</v>
      </c>
      <c r="D2396" s="27" t="s">
        <v>13481</v>
      </c>
      <c r="E2396" s="29" t="s">
        <v>13482</v>
      </c>
      <c r="F2396" s="30" t="s">
        <v>423</v>
      </c>
      <c r="G2396" s="89">
        <f>DATE(2017,3,31)</f>
        <v>42825</v>
      </c>
      <c r="H2396" s="90">
        <v>1.6375000000000002</v>
      </c>
      <c r="I2396" s="30" t="s">
        <v>59</v>
      </c>
      <c r="J2396" s="89" t="s">
        <v>13483</v>
      </c>
      <c r="K2396" s="30" t="s">
        <v>425</v>
      </c>
      <c r="L2396" s="30" t="s">
        <v>13484</v>
      </c>
      <c r="M2396" s="30" t="s">
        <v>63</v>
      </c>
      <c r="N2396" s="30" t="s">
        <v>99</v>
      </c>
      <c r="O2396" s="30" t="s">
        <v>77</v>
      </c>
      <c r="P2396" s="89" t="s">
        <v>78</v>
      </c>
      <c r="Q2396" s="89" t="s">
        <v>2582</v>
      </c>
      <c r="R2396" s="89" t="s">
        <v>3103</v>
      </c>
      <c r="S2396" s="30">
        <v>0</v>
      </c>
      <c r="T2396" s="233">
        <v>0</v>
      </c>
      <c r="U2396" s="30">
        <v>0</v>
      </c>
      <c r="V2396" s="233">
        <v>0</v>
      </c>
      <c r="W2396" s="30">
        <v>0</v>
      </c>
      <c r="X2396" s="30">
        <v>0</v>
      </c>
      <c r="Y2396" s="30">
        <v>0</v>
      </c>
      <c r="Z2396" s="233">
        <v>0</v>
      </c>
      <c r="AA2396" s="30">
        <v>0</v>
      </c>
      <c r="AB2396" s="30">
        <v>0</v>
      </c>
      <c r="AC2396" s="30">
        <v>0</v>
      </c>
      <c r="AD2396" s="30">
        <v>0</v>
      </c>
      <c r="AE2396" s="89" t="s">
        <v>92</v>
      </c>
      <c r="AF2396" s="89"/>
      <c r="AG2396" s="89" t="s">
        <v>352</v>
      </c>
      <c r="AH2396" s="72">
        <v>42829</v>
      </c>
      <c r="AI2396" s="30">
        <v>1</v>
      </c>
      <c r="AJ2396" s="89" t="s">
        <v>13485</v>
      </c>
      <c r="AK2396" s="89" t="s">
        <v>13486</v>
      </c>
      <c r="AL2396" s="91">
        <v>42829</v>
      </c>
      <c r="AM2396" s="91"/>
      <c r="AN2396" s="91"/>
      <c r="AO2396" s="91"/>
      <c r="AP2396" s="73" t="e">
        <f>MID(VLOOKUP(K2396,#REF!,2,FALSE),1,2)</f>
        <v>#REF!</v>
      </c>
      <c r="AQ2396" s="89">
        <f>DATE(2017,3,31)</f>
        <v>42825</v>
      </c>
      <c r="AR2396" s="82">
        <f t="shared" si="184"/>
        <v>31</v>
      </c>
      <c r="AS2396" s="83">
        <f t="shared" si="185"/>
        <v>3</v>
      </c>
      <c r="AT2396" s="84">
        <f t="shared" si="186"/>
        <v>2017</v>
      </c>
      <c r="AU2396" s="88">
        <f>DATE(2017,4,5)</f>
        <v>42830</v>
      </c>
      <c r="AV2396" s="88">
        <f>DATE(2017,4,5)</f>
        <v>42830</v>
      </c>
      <c r="AW2396" s="87">
        <f t="shared" si="182"/>
        <v>0</v>
      </c>
      <c r="AX2396" s="106" t="s">
        <v>879</v>
      </c>
      <c r="AY2396" s="122" t="s">
        <v>879</v>
      </c>
      <c r="AZ2396" s="122" t="s">
        <v>879</v>
      </c>
      <c r="BA2396" s="106" t="s">
        <v>879</v>
      </c>
      <c r="BB2396" s="106"/>
    </row>
    <row r="2397" spans="1:54" ht="36.75" customHeight="1">
      <c r="A2397" s="30"/>
      <c r="B2397" s="30" t="s">
        <v>55</v>
      </c>
      <c r="C2397" s="69" t="str">
        <f t="shared" si="183"/>
        <v>Closed</v>
      </c>
      <c r="D2397" s="27" t="s">
        <v>13487</v>
      </c>
      <c r="E2397" s="29" t="s">
        <v>13488</v>
      </c>
      <c r="F2397" s="30" t="s">
        <v>423</v>
      </c>
      <c r="G2397" s="89">
        <f>DATE(2017,3,31)</f>
        <v>42825</v>
      </c>
      <c r="H2397" s="90">
        <v>1.7340277777777779</v>
      </c>
      <c r="I2397" s="30" t="s">
        <v>156</v>
      </c>
      <c r="J2397" s="89" t="s">
        <v>13489</v>
      </c>
      <c r="K2397" s="30" t="s">
        <v>425</v>
      </c>
      <c r="L2397" s="30" t="s">
        <v>13490</v>
      </c>
      <c r="M2397" s="30" t="s">
        <v>63</v>
      </c>
      <c r="N2397" s="30" t="s">
        <v>142</v>
      </c>
      <c r="O2397" s="30" t="s">
        <v>64</v>
      </c>
      <c r="P2397" s="89" t="s">
        <v>165</v>
      </c>
      <c r="Q2397" s="89" t="s">
        <v>4551</v>
      </c>
      <c r="R2397" s="89" t="s">
        <v>3103</v>
      </c>
      <c r="S2397" s="30">
        <v>0</v>
      </c>
      <c r="T2397" s="233">
        <v>0</v>
      </c>
      <c r="U2397" s="30">
        <v>0</v>
      </c>
      <c r="V2397" s="233">
        <v>0</v>
      </c>
      <c r="W2397" s="30">
        <v>0</v>
      </c>
      <c r="X2397" s="30">
        <v>0</v>
      </c>
      <c r="Y2397" s="30">
        <v>0</v>
      </c>
      <c r="Z2397" s="233">
        <v>0</v>
      </c>
      <c r="AA2397" s="30">
        <v>0</v>
      </c>
      <c r="AB2397" s="30">
        <v>0</v>
      </c>
      <c r="AC2397" s="30">
        <v>0</v>
      </c>
      <c r="AD2397" s="30">
        <v>0</v>
      </c>
      <c r="AE2397" s="89" t="s">
        <v>92</v>
      </c>
      <c r="AF2397" s="89"/>
      <c r="AG2397" s="89" t="s">
        <v>352</v>
      </c>
      <c r="AH2397" s="72">
        <v>42859</v>
      </c>
      <c r="AI2397" s="30">
        <v>2</v>
      </c>
      <c r="AJ2397" s="89" t="s">
        <v>13491</v>
      </c>
      <c r="AK2397" s="89" t="s">
        <v>13492</v>
      </c>
      <c r="AL2397" s="91">
        <v>42830</v>
      </c>
      <c r="AM2397" s="91"/>
      <c r="AN2397" s="91"/>
      <c r="AO2397" s="91"/>
      <c r="AP2397" s="73" t="e">
        <f>MID(VLOOKUP(K2397,#REF!,2,FALSE),1,2)</f>
        <v>#REF!</v>
      </c>
      <c r="AQ2397" s="89">
        <f>DATE(2017,4,1)</f>
        <v>42826</v>
      </c>
      <c r="AR2397" s="82">
        <f t="shared" si="184"/>
        <v>1</v>
      </c>
      <c r="AS2397" s="83">
        <f t="shared" si="185"/>
        <v>4</v>
      </c>
      <c r="AT2397" s="84">
        <f t="shared" si="186"/>
        <v>2017</v>
      </c>
      <c r="AU2397" s="88">
        <f>DATE(2017,4,9)</f>
        <v>42834</v>
      </c>
      <c r="AV2397" s="88">
        <f>DATE(2017,4,7)</f>
        <v>42832</v>
      </c>
      <c r="AW2397" s="87">
        <f t="shared" ref="AW2397:AW2427" si="187">AU2397-AV2397</f>
        <v>2</v>
      </c>
      <c r="AX2397" s="88">
        <f>DATE(2017,4,9)</f>
        <v>42834</v>
      </c>
      <c r="AY2397" s="83">
        <f>MONTH(AX2397)</f>
        <v>4</v>
      </c>
      <c r="AZ2397" s="84">
        <f>YEAR(AX2397)</f>
        <v>2017</v>
      </c>
      <c r="BA2397" s="88">
        <f>DATE(2017,4,1)</f>
        <v>42826</v>
      </c>
      <c r="BB2397" s="86"/>
    </row>
    <row r="2398" spans="1:54" ht="36.75" customHeight="1">
      <c r="A2398" s="30"/>
      <c r="B2398" s="30" t="s">
        <v>55</v>
      </c>
      <c r="C2398" s="69" t="str">
        <f t="shared" si="183"/>
        <v>Closed</v>
      </c>
      <c r="D2398" s="27" t="s">
        <v>13493</v>
      </c>
      <c r="E2398" s="29" t="s">
        <v>13494</v>
      </c>
      <c r="F2398" s="30" t="s">
        <v>594</v>
      </c>
      <c r="G2398" s="89">
        <f>DATE(2017,4,1)</f>
        <v>42826</v>
      </c>
      <c r="H2398" s="90">
        <v>1.754861111111111</v>
      </c>
      <c r="I2398" s="30" t="s">
        <v>73</v>
      </c>
      <c r="J2398" s="89" t="s">
        <v>13495</v>
      </c>
      <c r="K2398" s="30" t="s">
        <v>596</v>
      </c>
      <c r="L2398" s="30" t="s">
        <v>13496</v>
      </c>
      <c r="M2398" s="30" t="s">
        <v>63</v>
      </c>
      <c r="N2398" s="30" t="s">
        <v>142</v>
      </c>
      <c r="O2398" s="30" t="s">
        <v>64</v>
      </c>
      <c r="P2398" s="89" t="s">
        <v>78</v>
      </c>
      <c r="Q2398" s="89" t="s">
        <v>13497</v>
      </c>
      <c r="R2398" s="89" t="s">
        <v>12074</v>
      </c>
      <c r="S2398" s="30">
        <v>0</v>
      </c>
      <c r="T2398" s="233">
        <v>0</v>
      </c>
      <c r="U2398" s="30">
        <v>0</v>
      </c>
      <c r="V2398" s="233">
        <v>0</v>
      </c>
      <c r="W2398" s="30">
        <v>0</v>
      </c>
      <c r="X2398" s="30">
        <v>0</v>
      </c>
      <c r="Y2398" s="30">
        <v>0</v>
      </c>
      <c r="Z2398" s="233">
        <v>0</v>
      </c>
      <c r="AA2398" s="30">
        <v>0</v>
      </c>
      <c r="AB2398" s="30">
        <v>0</v>
      </c>
      <c r="AC2398" s="30">
        <v>0</v>
      </c>
      <c r="AD2398" s="30">
        <v>0</v>
      </c>
      <c r="AE2398" s="89" t="s">
        <v>394</v>
      </c>
      <c r="AF2398" s="89"/>
      <c r="AG2398" s="89" t="s">
        <v>82</v>
      </c>
      <c r="AH2398" s="72">
        <v>42920</v>
      </c>
      <c r="AI2398" s="30">
        <v>7</v>
      </c>
      <c r="AJ2398" s="89" t="s">
        <v>13498</v>
      </c>
      <c r="AK2398" s="89" t="s">
        <v>13499</v>
      </c>
      <c r="AL2398" s="91">
        <v>42834</v>
      </c>
      <c r="AM2398" s="91"/>
      <c r="AN2398" s="91"/>
      <c r="AO2398" s="91"/>
      <c r="AP2398" s="73" t="e">
        <f>MID(VLOOKUP(K2398,#REF!,2,FALSE),1,2)</f>
        <v>#REF!</v>
      </c>
      <c r="AQ2398" s="89">
        <f>DATE(2017,4,4)</f>
        <v>42829</v>
      </c>
      <c r="AR2398" s="82">
        <f t="shared" si="184"/>
        <v>4</v>
      </c>
      <c r="AS2398" s="83">
        <f t="shared" si="185"/>
        <v>4</v>
      </c>
      <c r="AT2398" s="84">
        <f t="shared" si="186"/>
        <v>2017</v>
      </c>
      <c r="AU2398" s="88">
        <f>DATE(2017,4,6)</f>
        <v>42831</v>
      </c>
      <c r="AV2398" s="88">
        <f>DATE(2017,4,4)</f>
        <v>42829</v>
      </c>
      <c r="AW2398" s="87">
        <f t="shared" si="187"/>
        <v>2</v>
      </c>
      <c r="AX2398" s="106" t="s">
        <v>879</v>
      </c>
      <c r="AY2398" s="122" t="s">
        <v>879</v>
      </c>
      <c r="AZ2398" s="122" t="s">
        <v>879</v>
      </c>
      <c r="BA2398" s="106" t="s">
        <v>879</v>
      </c>
      <c r="BB2398" s="106"/>
    </row>
    <row r="2399" spans="1:54" ht="36.75" customHeight="1">
      <c r="A2399" s="30"/>
      <c r="B2399" s="30" t="s">
        <v>55</v>
      </c>
      <c r="C2399" s="69" t="str">
        <f t="shared" si="183"/>
        <v>Closed</v>
      </c>
      <c r="D2399" s="27" t="s">
        <v>13500</v>
      </c>
      <c r="E2399" s="29" t="s">
        <v>13501</v>
      </c>
      <c r="F2399" s="30" t="s">
        <v>423</v>
      </c>
      <c r="G2399" s="89">
        <f>DATE(2017,4,4)</f>
        <v>42829</v>
      </c>
      <c r="H2399" s="90">
        <v>1.9368055555555554</v>
      </c>
      <c r="I2399" s="30" t="s">
        <v>198</v>
      </c>
      <c r="J2399" s="89" t="s">
        <v>13502</v>
      </c>
      <c r="K2399" s="30" t="s">
        <v>425</v>
      </c>
      <c r="L2399" s="30" t="s">
        <v>13503</v>
      </c>
      <c r="M2399" s="30" t="s">
        <v>63</v>
      </c>
      <c r="N2399" s="30" t="s">
        <v>142</v>
      </c>
      <c r="O2399" s="30" t="s">
        <v>77</v>
      </c>
      <c r="P2399" s="89" t="s">
        <v>91</v>
      </c>
      <c r="Q2399" s="89" t="s">
        <v>13504</v>
      </c>
      <c r="R2399" s="89" t="s">
        <v>3103</v>
      </c>
      <c r="S2399" s="30">
        <v>0</v>
      </c>
      <c r="T2399" s="233">
        <v>0</v>
      </c>
      <c r="U2399" s="30">
        <v>0</v>
      </c>
      <c r="V2399" s="233">
        <v>0</v>
      </c>
      <c r="W2399" s="30">
        <v>0</v>
      </c>
      <c r="X2399" s="30">
        <v>0</v>
      </c>
      <c r="Y2399" s="30">
        <v>0</v>
      </c>
      <c r="Z2399" s="233">
        <v>0</v>
      </c>
      <c r="AA2399" s="30">
        <v>0</v>
      </c>
      <c r="AB2399" s="30">
        <v>0</v>
      </c>
      <c r="AC2399" s="30">
        <v>0</v>
      </c>
      <c r="AD2399" s="30">
        <v>0</v>
      </c>
      <c r="AE2399" s="89" t="s">
        <v>394</v>
      </c>
      <c r="AF2399" s="89"/>
      <c r="AG2399" s="89" t="s">
        <v>133</v>
      </c>
      <c r="AH2399" s="72">
        <v>42829</v>
      </c>
      <c r="AI2399" s="30">
        <v>0</v>
      </c>
      <c r="AJ2399" s="89" t="s">
        <v>13505</v>
      </c>
      <c r="AK2399" s="89" t="s">
        <v>13506</v>
      </c>
      <c r="AL2399" s="91">
        <v>42831</v>
      </c>
      <c r="AM2399" s="91"/>
      <c r="AN2399" s="91"/>
      <c r="AO2399" s="91"/>
      <c r="AP2399" s="73" t="e">
        <f>MID(VLOOKUP(K2399,#REF!,2,FALSE),1,2)</f>
        <v>#REF!</v>
      </c>
      <c r="AQ2399" s="89">
        <f>DATE(2017,4,4)</f>
        <v>42829</v>
      </c>
      <c r="AR2399" s="82">
        <f t="shared" si="184"/>
        <v>4</v>
      </c>
      <c r="AS2399" s="83">
        <f t="shared" si="185"/>
        <v>4</v>
      </c>
      <c r="AT2399" s="84">
        <f t="shared" si="186"/>
        <v>2017</v>
      </c>
      <c r="AU2399" s="88">
        <f>DATE(2017,4,11)</f>
        <v>42836</v>
      </c>
      <c r="AV2399" s="88">
        <f>DATE(2017,4,6)</f>
        <v>42831</v>
      </c>
      <c r="AW2399" s="87">
        <f t="shared" si="187"/>
        <v>5</v>
      </c>
      <c r="AX2399" s="88">
        <f>DATE(2017,5,9)</f>
        <v>42864</v>
      </c>
      <c r="AY2399" s="83">
        <f>MONTH(AX2399)</f>
        <v>5</v>
      </c>
      <c r="AZ2399" s="84">
        <f>YEAR(AX2399)</f>
        <v>2017</v>
      </c>
      <c r="BA2399" s="88">
        <f>DATE(2017,4,4)</f>
        <v>42829</v>
      </c>
      <c r="BB2399" s="86"/>
    </row>
    <row r="2400" spans="1:54" ht="36.75" customHeight="1">
      <c r="A2400" s="30"/>
      <c r="B2400" s="30" t="s">
        <v>55</v>
      </c>
      <c r="C2400" s="69" t="str">
        <f t="shared" si="183"/>
        <v>Closed</v>
      </c>
      <c r="D2400" s="27" t="s">
        <v>13507</v>
      </c>
      <c r="E2400" s="29" t="s">
        <v>13508</v>
      </c>
      <c r="F2400" s="30" t="s">
        <v>9789</v>
      </c>
      <c r="G2400" s="89">
        <f>DATE(2017,4,4)</f>
        <v>42829</v>
      </c>
      <c r="H2400" s="90">
        <v>1.7041666666666666</v>
      </c>
      <c r="I2400" s="30" t="s">
        <v>5494</v>
      </c>
      <c r="J2400" s="210" t="s">
        <v>13509</v>
      </c>
      <c r="K2400" s="30" t="s">
        <v>9791</v>
      </c>
      <c r="L2400" s="30" t="s">
        <v>13510</v>
      </c>
      <c r="M2400" s="30" t="s">
        <v>63</v>
      </c>
      <c r="N2400" s="30" t="s">
        <v>89</v>
      </c>
      <c r="O2400" s="30" t="s">
        <v>77</v>
      </c>
      <c r="P2400" s="89" t="s">
        <v>6941</v>
      </c>
      <c r="Q2400" s="89" t="s">
        <v>9960</v>
      </c>
      <c r="R2400" s="89" t="s">
        <v>9794</v>
      </c>
      <c r="S2400" s="30">
        <v>0</v>
      </c>
      <c r="T2400" s="233">
        <v>0</v>
      </c>
      <c r="U2400" s="30">
        <v>0</v>
      </c>
      <c r="V2400" s="233">
        <v>0</v>
      </c>
      <c r="W2400" s="30">
        <v>0</v>
      </c>
      <c r="X2400" s="30">
        <v>0</v>
      </c>
      <c r="Y2400" s="30">
        <v>1</v>
      </c>
      <c r="Z2400" s="233">
        <v>0</v>
      </c>
      <c r="AA2400" s="30">
        <v>0</v>
      </c>
      <c r="AB2400" s="30">
        <v>0</v>
      </c>
      <c r="AC2400" s="30">
        <v>0</v>
      </c>
      <c r="AD2400" s="30">
        <v>1</v>
      </c>
      <c r="AE2400" s="89" t="s">
        <v>92</v>
      </c>
      <c r="AF2400" s="89"/>
      <c r="AG2400" s="89" t="s">
        <v>133</v>
      </c>
      <c r="AH2400" s="72">
        <v>42831</v>
      </c>
      <c r="AI2400" s="30">
        <v>1</v>
      </c>
      <c r="AJ2400" s="89" t="s">
        <v>13511</v>
      </c>
      <c r="AK2400" s="89" t="s">
        <v>13512</v>
      </c>
      <c r="AL2400" s="91">
        <v>42836</v>
      </c>
      <c r="AM2400" s="91"/>
      <c r="AN2400" s="91"/>
      <c r="AO2400" s="91"/>
      <c r="AP2400" s="73" t="e">
        <f>MID(VLOOKUP(K2400,#REF!,2,FALSE),1,2)</f>
        <v>#REF!</v>
      </c>
      <c r="AQ2400" s="89">
        <f>DATE(2017,4,4)</f>
        <v>42829</v>
      </c>
      <c r="AR2400" s="82">
        <f t="shared" si="184"/>
        <v>4</v>
      </c>
      <c r="AS2400" s="83">
        <f t="shared" si="185"/>
        <v>4</v>
      </c>
      <c r="AT2400" s="84">
        <f t="shared" si="186"/>
        <v>2017</v>
      </c>
      <c r="AU2400" s="88">
        <f>DATE(2017,4,7)</f>
        <v>42832</v>
      </c>
      <c r="AV2400" s="88">
        <f>DATE(2017,4,6)</f>
        <v>42831</v>
      </c>
      <c r="AW2400" s="87">
        <f t="shared" si="187"/>
        <v>1</v>
      </c>
      <c r="AX2400" s="88">
        <f>DATE(2017,4,7)</f>
        <v>42832</v>
      </c>
      <c r="AY2400" s="83">
        <f>MONTH(AX2400)</f>
        <v>4</v>
      </c>
      <c r="AZ2400" s="84">
        <f>YEAR(AX2400)</f>
        <v>2017</v>
      </c>
      <c r="BA2400" s="88">
        <f>DATE(2017,4,6)</f>
        <v>42831</v>
      </c>
      <c r="BB2400" s="86"/>
    </row>
    <row r="2401" spans="1:54" ht="36.75" customHeight="1">
      <c r="A2401" s="30"/>
      <c r="B2401" s="30" t="s">
        <v>55</v>
      </c>
      <c r="C2401" s="69" t="str">
        <f t="shared" si="183"/>
        <v>Closed</v>
      </c>
      <c r="D2401" s="27" t="s">
        <v>13513</v>
      </c>
      <c r="E2401" s="29" t="s">
        <v>13514</v>
      </c>
      <c r="F2401" s="30" t="s">
        <v>2336</v>
      </c>
      <c r="G2401" s="89">
        <f>DATE(2017,4,4)</f>
        <v>42829</v>
      </c>
      <c r="H2401" s="90">
        <v>1.7319444444444443</v>
      </c>
      <c r="I2401" s="30" t="s">
        <v>116</v>
      </c>
      <c r="J2401" s="89" t="s">
        <v>13515</v>
      </c>
      <c r="K2401" s="30" t="s">
        <v>2338</v>
      </c>
      <c r="L2401" s="30" t="s">
        <v>13516</v>
      </c>
      <c r="M2401" s="30" t="s">
        <v>63</v>
      </c>
      <c r="N2401" s="30" t="s">
        <v>89</v>
      </c>
      <c r="O2401" s="30" t="s">
        <v>64</v>
      </c>
      <c r="P2401" s="89" t="s">
        <v>6941</v>
      </c>
      <c r="Q2401" s="89" t="s">
        <v>13517</v>
      </c>
      <c r="R2401" s="89" t="s">
        <v>2341</v>
      </c>
      <c r="S2401" s="30">
        <v>0</v>
      </c>
      <c r="T2401" s="233">
        <v>0</v>
      </c>
      <c r="U2401" s="30">
        <v>1</v>
      </c>
      <c r="V2401" s="233">
        <v>0</v>
      </c>
      <c r="W2401" s="30">
        <v>0</v>
      </c>
      <c r="X2401" s="30">
        <v>1</v>
      </c>
      <c r="Y2401" s="30">
        <v>0</v>
      </c>
      <c r="Z2401" s="233">
        <v>0</v>
      </c>
      <c r="AA2401" s="30">
        <v>1</v>
      </c>
      <c r="AB2401" s="30">
        <v>0</v>
      </c>
      <c r="AC2401" s="30">
        <v>0</v>
      </c>
      <c r="AD2401" s="30">
        <v>1</v>
      </c>
      <c r="AE2401" s="89" t="s">
        <v>92</v>
      </c>
      <c r="AF2401" s="89"/>
      <c r="AG2401" s="89" t="s">
        <v>82</v>
      </c>
      <c r="AH2401" s="72">
        <v>42831</v>
      </c>
      <c r="AI2401" s="30">
        <v>6</v>
      </c>
      <c r="AJ2401" s="89" t="s">
        <v>13518</v>
      </c>
      <c r="AK2401" s="89" t="s">
        <v>13519</v>
      </c>
      <c r="AL2401" s="91">
        <v>42832</v>
      </c>
      <c r="AM2401" s="91"/>
      <c r="AN2401" s="91"/>
      <c r="AO2401" s="91"/>
      <c r="AP2401" s="73" t="e">
        <f>MID(VLOOKUP(K2401,#REF!,2,FALSE),1,2)</f>
        <v>#REF!</v>
      </c>
      <c r="AQ2401" s="89">
        <f>DATE(2017,4,5)</f>
        <v>42830</v>
      </c>
      <c r="AR2401" s="82">
        <f t="shared" si="184"/>
        <v>5</v>
      </c>
      <c r="AS2401" s="83">
        <f t="shared" si="185"/>
        <v>4</v>
      </c>
      <c r="AT2401" s="84">
        <f t="shared" si="186"/>
        <v>2017</v>
      </c>
      <c r="AU2401" s="88">
        <f>DATE(2017,4,6)</f>
        <v>42831</v>
      </c>
      <c r="AV2401" s="88">
        <f>DATE(2017,4,5)</f>
        <v>42830</v>
      </c>
      <c r="AW2401" s="87">
        <f t="shared" si="187"/>
        <v>1</v>
      </c>
      <c r="AX2401" s="106"/>
      <c r="AY2401" s="83"/>
      <c r="AZ2401" s="84"/>
      <c r="BA2401" s="106"/>
      <c r="BB2401" s="106"/>
    </row>
    <row r="2402" spans="1:54" ht="36.75" customHeight="1">
      <c r="A2402" s="30"/>
      <c r="B2402" s="30" t="s">
        <v>55</v>
      </c>
      <c r="C2402" s="69" t="str">
        <f t="shared" si="183"/>
        <v>Closed</v>
      </c>
      <c r="D2402" s="27" t="s">
        <v>13520</v>
      </c>
      <c r="E2402" s="29" t="s">
        <v>13521</v>
      </c>
      <c r="F2402" s="30" t="s">
        <v>423</v>
      </c>
      <c r="G2402" s="89">
        <f>DATE(2017,4,5)</f>
        <v>42830</v>
      </c>
      <c r="H2402" s="90">
        <v>1.5479166666666666</v>
      </c>
      <c r="I2402" s="30" t="s">
        <v>73</v>
      </c>
      <c r="J2402" s="89" t="s">
        <v>13522</v>
      </c>
      <c r="K2402" s="30" t="s">
        <v>425</v>
      </c>
      <c r="L2402" s="30" t="s">
        <v>12545</v>
      </c>
      <c r="M2402" s="30" t="s">
        <v>63</v>
      </c>
      <c r="N2402" s="30" t="s">
        <v>142</v>
      </c>
      <c r="O2402" s="30" t="s">
        <v>77</v>
      </c>
      <c r="P2402" s="89" t="s">
        <v>91</v>
      </c>
      <c r="Q2402" s="89" t="s">
        <v>4551</v>
      </c>
      <c r="R2402" s="89" t="s">
        <v>3103</v>
      </c>
      <c r="S2402" s="30">
        <v>0</v>
      </c>
      <c r="T2402" s="233">
        <v>0</v>
      </c>
      <c r="U2402" s="30">
        <v>0</v>
      </c>
      <c r="V2402" s="233">
        <v>0</v>
      </c>
      <c r="W2402" s="30">
        <v>0</v>
      </c>
      <c r="X2402" s="30">
        <v>0</v>
      </c>
      <c r="Y2402" s="30">
        <v>0</v>
      </c>
      <c r="Z2402" s="233">
        <v>0</v>
      </c>
      <c r="AA2402" s="30">
        <v>0</v>
      </c>
      <c r="AB2402" s="30">
        <v>0</v>
      </c>
      <c r="AC2402" s="30">
        <v>0</v>
      </c>
      <c r="AD2402" s="30">
        <v>0</v>
      </c>
      <c r="AE2402" s="89" t="s">
        <v>92</v>
      </c>
      <c r="AF2402" s="89"/>
      <c r="AG2402" s="89" t="s">
        <v>133</v>
      </c>
      <c r="AH2402" s="72">
        <v>42859</v>
      </c>
      <c r="AI2402" s="30">
        <v>0</v>
      </c>
      <c r="AJ2402" s="89" t="s">
        <v>13523</v>
      </c>
      <c r="AK2402" s="89" t="s">
        <v>13524</v>
      </c>
      <c r="AL2402" s="91">
        <v>42831</v>
      </c>
      <c r="AM2402" s="91"/>
      <c r="AN2402" s="91"/>
      <c r="AO2402" s="91"/>
      <c r="AP2402" s="73" t="e">
        <f>MID(VLOOKUP(K2402,#REF!,2,FALSE),1,2)</f>
        <v>#REF!</v>
      </c>
      <c r="AQ2402" s="89">
        <f>DATE(2017,4,5)</f>
        <v>42830</v>
      </c>
      <c r="AR2402" s="82">
        <f t="shared" si="184"/>
        <v>5</v>
      </c>
      <c r="AS2402" s="83">
        <f t="shared" si="185"/>
        <v>4</v>
      </c>
      <c r="AT2402" s="84">
        <f t="shared" si="186"/>
        <v>2017</v>
      </c>
      <c r="AU2402" s="88">
        <f>DATE(2017,4,6)</f>
        <v>42831</v>
      </c>
      <c r="AV2402" s="88">
        <f>DATE(2017,4,6)</f>
        <v>42831</v>
      </c>
      <c r="AW2402" s="87">
        <f t="shared" si="187"/>
        <v>0</v>
      </c>
      <c r="AX2402" s="106"/>
      <c r="AY2402" s="83"/>
      <c r="AZ2402" s="84"/>
      <c r="BA2402" s="106"/>
      <c r="BB2402" s="106"/>
    </row>
    <row r="2403" spans="1:54" ht="36.75" customHeight="1">
      <c r="A2403" s="30"/>
      <c r="B2403" s="30" t="s">
        <v>55</v>
      </c>
      <c r="C2403" s="69" t="str">
        <f t="shared" si="183"/>
        <v>Closed</v>
      </c>
      <c r="D2403" s="27" t="s">
        <v>13525</v>
      </c>
      <c r="E2403" s="29" t="s">
        <v>13526</v>
      </c>
      <c r="F2403" s="30" t="s">
        <v>423</v>
      </c>
      <c r="G2403" s="89">
        <f>DATE(2017,4,5)</f>
        <v>42830</v>
      </c>
      <c r="H2403" s="90">
        <v>1.6402777777777779</v>
      </c>
      <c r="I2403" s="30" t="s">
        <v>104</v>
      </c>
      <c r="J2403" s="89" t="s">
        <v>13527</v>
      </c>
      <c r="K2403" s="30" t="s">
        <v>425</v>
      </c>
      <c r="L2403" s="30" t="s">
        <v>13528</v>
      </c>
      <c r="M2403" s="30" t="s">
        <v>63</v>
      </c>
      <c r="N2403" s="30" t="s">
        <v>142</v>
      </c>
      <c r="O2403" s="30" t="s">
        <v>77</v>
      </c>
      <c r="P2403" s="89" t="s">
        <v>216</v>
      </c>
      <c r="Q2403" s="89" t="s">
        <v>13529</v>
      </c>
      <c r="R2403" s="89" t="s">
        <v>3103</v>
      </c>
      <c r="S2403" s="30">
        <v>0</v>
      </c>
      <c r="T2403" s="233">
        <v>0</v>
      </c>
      <c r="U2403" s="30">
        <v>0</v>
      </c>
      <c r="V2403" s="233">
        <v>0</v>
      </c>
      <c r="W2403" s="30">
        <v>0</v>
      </c>
      <c r="X2403" s="30">
        <v>0</v>
      </c>
      <c r="Y2403" s="30">
        <v>0</v>
      </c>
      <c r="Z2403" s="233">
        <v>0</v>
      </c>
      <c r="AA2403" s="30">
        <v>0</v>
      </c>
      <c r="AB2403" s="30">
        <v>0</v>
      </c>
      <c r="AC2403" s="30">
        <v>0</v>
      </c>
      <c r="AD2403" s="30">
        <v>0</v>
      </c>
      <c r="AE2403" s="89" t="s">
        <v>92</v>
      </c>
      <c r="AF2403" s="89"/>
      <c r="AG2403" s="89" t="s">
        <v>352</v>
      </c>
      <c r="AH2403" s="72">
        <v>42890</v>
      </c>
      <c r="AI2403" s="30">
        <v>1</v>
      </c>
      <c r="AJ2403" s="89" t="s">
        <v>13530</v>
      </c>
      <c r="AK2403" s="89" t="s">
        <v>13531</v>
      </c>
      <c r="AL2403" s="91">
        <v>42831</v>
      </c>
      <c r="AM2403" s="91"/>
      <c r="AN2403" s="91"/>
      <c r="AO2403" s="91"/>
      <c r="AP2403" s="73" t="e">
        <f>MID(VLOOKUP(K2403,#REF!,2,FALSE),1,2)</f>
        <v>#REF!</v>
      </c>
      <c r="AQ2403" s="89">
        <f>DATE(2017,4,6)</f>
        <v>42831</v>
      </c>
      <c r="AR2403" s="82">
        <f t="shared" si="184"/>
        <v>6</v>
      </c>
      <c r="AS2403" s="83">
        <f t="shared" si="185"/>
        <v>4</v>
      </c>
      <c r="AT2403" s="84">
        <f t="shared" si="186"/>
        <v>2017</v>
      </c>
      <c r="AU2403" s="88">
        <f>DATE(2017,4,20)</f>
        <v>42845</v>
      </c>
      <c r="AV2403" s="88">
        <f>DATE(2017,4,13)</f>
        <v>42838</v>
      </c>
      <c r="AW2403" s="87">
        <f t="shared" si="187"/>
        <v>7</v>
      </c>
      <c r="AX2403" s="86"/>
      <c r="AY2403" s="83"/>
      <c r="AZ2403" s="84"/>
      <c r="BA2403" s="86"/>
      <c r="BB2403" s="86" t="s">
        <v>13115</v>
      </c>
    </row>
    <row r="2404" spans="1:54" ht="36.75" customHeight="1">
      <c r="A2404" s="30"/>
      <c r="B2404" s="30" t="s">
        <v>55</v>
      </c>
      <c r="C2404" s="69" t="str">
        <f t="shared" si="183"/>
        <v>Closed</v>
      </c>
      <c r="D2404" s="27" t="s">
        <v>13532</v>
      </c>
      <c r="E2404" s="29" t="s">
        <v>13533</v>
      </c>
      <c r="F2404" s="30" t="s">
        <v>6455</v>
      </c>
      <c r="G2404" s="89">
        <f>DATE(2017,4,6)</f>
        <v>42831</v>
      </c>
      <c r="H2404" s="90">
        <v>1.6145833333333335</v>
      </c>
      <c r="I2404" s="30" t="s">
        <v>5494</v>
      </c>
      <c r="J2404" s="89" t="s">
        <v>13534</v>
      </c>
      <c r="K2404" s="30" t="s">
        <v>584</v>
      </c>
      <c r="L2404" s="30" t="s">
        <v>13535</v>
      </c>
      <c r="M2404" s="30" t="s">
        <v>63</v>
      </c>
      <c r="N2404" s="30" t="s">
        <v>142</v>
      </c>
      <c r="O2404" s="30" t="s">
        <v>77</v>
      </c>
      <c r="P2404" s="89" t="s">
        <v>165</v>
      </c>
      <c r="Q2404" s="89" t="s">
        <v>3903</v>
      </c>
      <c r="R2404" s="89" t="s">
        <v>587</v>
      </c>
      <c r="S2404" s="30">
        <v>0</v>
      </c>
      <c r="T2404" s="233">
        <v>0</v>
      </c>
      <c r="U2404" s="30">
        <v>0</v>
      </c>
      <c r="V2404" s="233">
        <v>0</v>
      </c>
      <c r="W2404" s="30">
        <v>0</v>
      </c>
      <c r="X2404" s="30">
        <v>0</v>
      </c>
      <c r="Y2404" s="30">
        <v>0</v>
      </c>
      <c r="Z2404" s="233">
        <v>0</v>
      </c>
      <c r="AA2404" s="30">
        <v>0</v>
      </c>
      <c r="AB2404" s="30">
        <v>0</v>
      </c>
      <c r="AC2404" s="30">
        <v>0</v>
      </c>
      <c r="AD2404" s="30">
        <v>0</v>
      </c>
      <c r="AE2404" s="89" t="s">
        <v>394</v>
      </c>
      <c r="AF2404" s="89" t="s">
        <v>13536</v>
      </c>
      <c r="AG2404" s="89" t="s">
        <v>13537</v>
      </c>
      <c r="AH2404" s="72">
        <v>42838</v>
      </c>
      <c r="AI2404" s="30">
        <v>0</v>
      </c>
      <c r="AJ2404" s="89" t="s">
        <v>13538</v>
      </c>
      <c r="AK2404" s="89" t="s">
        <v>10569</v>
      </c>
      <c r="AL2404" s="91">
        <v>42845</v>
      </c>
      <c r="AM2404" s="91">
        <v>44650</v>
      </c>
      <c r="AN2404" s="91">
        <v>44981</v>
      </c>
      <c r="AO2404" s="91">
        <v>44978</v>
      </c>
      <c r="AP2404" s="73" t="e">
        <f>MID(VLOOKUP(K2404,#REF!,2,FALSE),1,2)</f>
        <v>#REF!</v>
      </c>
      <c r="AQ2404" s="89">
        <f>DATE(2017,4,7)</f>
        <v>42832</v>
      </c>
      <c r="AR2404" s="82">
        <f t="shared" si="184"/>
        <v>7</v>
      </c>
      <c r="AS2404" s="83">
        <f t="shared" si="185"/>
        <v>4</v>
      </c>
      <c r="AT2404" s="84">
        <f t="shared" si="186"/>
        <v>2017</v>
      </c>
      <c r="AU2404" s="88">
        <f>DATE(2017,4,13)</f>
        <v>42838</v>
      </c>
      <c r="AV2404" s="88">
        <f>DATE(2017,4,12)</f>
        <v>42837</v>
      </c>
      <c r="AW2404" s="87">
        <f t="shared" si="187"/>
        <v>1</v>
      </c>
      <c r="AX2404" s="88">
        <f>DATE(2017,4,13)</f>
        <v>42838</v>
      </c>
      <c r="AY2404" s="83">
        <f>MONTH(AX2404)</f>
        <v>4</v>
      </c>
      <c r="AZ2404" s="84">
        <f>YEAR(AX2404)</f>
        <v>2017</v>
      </c>
      <c r="BA2404" s="88">
        <f>DATE(2017,4,12)</f>
        <v>42837</v>
      </c>
      <c r="BB2404" s="86"/>
    </row>
    <row r="2405" spans="1:54" ht="36.75" customHeight="1">
      <c r="A2405" s="30"/>
      <c r="B2405" s="30" t="s">
        <v>55</v>
      </c>
      <c r="C2405" s="69" t="str">
        <f t="shared" si="183"/>
        <v>Closed</v>
      </c>
      <c r="D2405" s="27" t="s">
        <v>13539</v>
      </c>
      <c r="E2405" s="29" t="s">
        <v>13540</v>
      </c>
      <c r="F2405" s="30" t="s">
        <v>2336</v>
      </c>
      <c r="G2405" s="89">
        <f>DATE(2017,4,7)</f>
        <v>42832</v>
      </c>
      <c r="H2405" s="90">
        <v>1.6333333333333333</v>
      </c>
      <c r="I2405" s="30" t="s">
        <v>116</v>
      </c>
      <c r="J2405" s="89" t="s">
        <v>13541</v>
      </c>
      <c r="K2405" s="30" t="s">
        <v>2338</v>
      </c>
      <c r="L2405" s="30" t="s">
        <v>13542</v>
      </c>
      <c r="M2405" s="30" t="s">
        <v>63</v>
      </c>
      <c r="N2405" s="30" t="s">
        <v>99</v>
      </c>
      <c r="O2405" s="30" t="s">
        <v>64</v>
      </c>
      <c r="P2405" s="89" t="s">
        <v>65</v>
      </c>
      <c r="Q2405" s="89" t="s">
        <v>2945</v>
      </c>
      <c r="R2405" s="89" t="s">
        <v>2341</v>
      </c>
      <c r="S2405" s="30">
        <v>0</v>
      </c>
      <c r="T2405" s="233">
        <v>0</v>
      </c>
      <c r="U2405" s="30">
        <v>0</v>
      </c>
      <c r="V2405" s="233">
        <v>0</v>
      </c>
      <c r="W2405" s="30">
        <v>0</v>
      </c>
      <c r="X2405" s="30">
        <v>0</v>
      </c>
      <c r="Y2405" s="30">
        <v>3</v>
      </c>
      <c r="Z2405" s="233">
        <v>0</v>
      </c>
      <c r="AA2405" s="30">
        <v>0</v>
      </c>
      <c r="AB2405" s="30">
        <v>0</v>
      </c>
      <c r="AC2405" s="30">
        <v>0</v>
      </c>
      <c r="AD2405" s="30">
        <v>3</v>
      </c>
      <c r="AE2405" s="89" t="s">
        <v>145</v>
      </c>
      <c r="AF2405" s="89"/>
      <c r="AG2405" s="89" t="s">
        <v>82</v>
      </c>
      <c r="AH2405" s="72">
        <v>42837</v>
      </c>
      <c r="AI2405" s="30">
        <v>19</v>
      </c>
      <c r="AJ2405" s="89" t="s">
        <v>13543</v>
      </c>
      <c r="AK2405" s="89" t="s">
        <v>13544</v>
      </c>
      <c r="AL2405" s="91">
        <v>42838</v>
      </c>
      <c r="AM2405" s="91"/>
      <c r="AN2405" s="91"/>
      <c r="AO2405" s="91"/>
      <c r="AP2405" s="73" t="e">
        <f>MID(VLOOKUP(K2405,#REF!,2,FALSE),1,2)</f>
        <v>#REF!</v>
      </c>
      <c r="AQ2405" s="89">
        <f>DATE(2017,4,8)</f>
        <v>42833</v>
      </c>
      <c r="AR2405" s="82">
        <f t="shared" si="184"/>
        <v>8</v>
      </c>
      <c r="AS2405" s="83">
        <f t="shared" si="185"/>
        <v>4</v>
      </c>
      <c r="AT2405" s="84">
        <f t="shared" si="186"/>
        <v>2017</v>
      </c>
      <c r="AU2405" s="88">
        <f>DATE(2017,4,10)</f>
        <v>42835</v>
      </c>
      <c r="AV2405" s="88">
        <f>DATE(2017,4,10)</f>
        <v>42835</v>
      </c>
      <c r="AW2405" s="87">
        <f t="shared" si="187"/>
        <v>0</v>
      </c>
      <c r="AX2405" s="88">
        <f>DATE(2017,4,10)</f>
        <v>42835</v>
      </c>
      <c r="AY2405" s="83">
        <f>MONTH(AX2405)</f>
        <v>4</v>
      </c>
      <c r="AZ2405" s="84">
        <f>YEAR(AX2405)</f>
        <v>2017</v>
      </c>
      <c r="BA2405" s="88">
        <f>DATE(2017,4,8)</f>
        <v>42833</v>
      </c>
      <c r="BB2405" s="86"/>
    </row>
    <row r="2406" spans="1:54" ht="36.75" customHeight="1">
      <c r="A2406" s="30"/>
      <c r="B2406" s="30" t="s">
        <v>55</v>
      </c>
      <c r="C2406" s="69" t="str">
        <f t="shared" si="183"/>
        <v>Closed</v>
      </c>
      <c r="D2406" s="27" t="s">
        <v>13545</v>
      </c>
      <c r="E2406" s="29" t="s">
        <v>13546</v>
      </c>
      <c r="F2406" s="30" t="s">
        <v>1572</v>
      </c>
      <c r="G2406" s="89">
        <f>DATE(2017,4,8)</f>
        <v>42833</v>
      </c>
      <c r="H2406" s="90">
        <v>1.5868055555555556</v>
      </c>
      <c r="I2406" s="30" t="s">
        <v>73</v>
      </c>
      <c r="J2406" s="89" t="s">
        <v>13547</v>
      </c>
      <c r="K2406" s="30" t="s">
        <v>1574</v>
      </c>
      <c r="L2406" s="30" t="s">
        <v>13548</v>
      </c>
      <c r="M2406" s="30" t="s">
        <v>63</v>
      </c>
      <c r="N2406" s="30" t="s">
        <v>142</v>
      </c>
      <c r="O2406" s="30" t="s">
        <v>64</v>
      </c>
      <c r="P2406" s="89" t="s">
        <v>78</v>
      </c>
      <c r="Q2406" s="89" t="s">
        <v>9075</v>
      </c>
      <c r="R2406" s="89" t="s">
        <v>6434</v>
      </c>
      <c r="S2406" s="30">
        <v>0</v>
      </c>
      <c r="T2406" s="233">
        <v>2</v>
      </c>
      <c r="U2406" s="30">
        <v>0</v>
      </c>
      <c r="V2406" s="233">
        <v>0</v>
      </c>
      <c r="W2406" s="30">
        <v>0</v>
      </c>
      <c r="X2406" s="30">
        <v>2</v>
      </c>
      <c r="Y2406" s="30">
        <v>0</v>
      </c>
      <c r="Z2406" s="233">
        <v>0</v>
      </c>
      <c r="AA2406" s="30">
        <v>0</v>
      </c>
      <c r="AB2406" s="30">
        <v>0</v>
      </c>
      <c r="AC2406" s="30">
        <v>0</v>
      </c>
      <c r="AD2406" s="30">
        <v>0</v>
      </c>
      <c r="AE2406" s="89" t="s">
        <v>394</v>
      </c>
      <c r="AF2406" s="89"/>
      <c r="AG2406" s="89" t="s">
        <v>82</v>
      </c>
      <c r="AH2406" s="72">
        <v>42835</v>
      </c>
      <c r="AI2406" s="30">
        <v>1</v>
      </c>
      <c r="AJ2406" s="89" t="s">
        <v>13549</v>
      </c>
      <c r="AK2406" s="89" t="s">
        <v>13550</v>
      </c>
      <c r="AL2406" s="91">
        <v>42835</v>
      </c>
      <c r="AM2406" s="91"/>
      <c r="AN2406" s="91"/>
      <c r="AO2406" s="91"/>
      <c r="AP2406" s="73" t="e">
        <f>MID(VLOOKUP(K2406,#REF!,2,FALSE),1,2)</f>
        <v>#REF!</v>
      </c>
      <c r="AQ2406" s="89">
        <f>DATE(2017,4,9)</f>
        <v>42834</v>
      </c>
      <c r="AR2406" s="82">
        <f t="shared" si="184"/>
        <v>9</v>
      </c>
      <c r="AS2406" s="83">
        <f t="shared" si="185"/>
        <v>4</v>
      </c>
      <c r="AT2406" s="84">
        <f t="shared" si="186"/>
        <v>2017</v>
      </c>
      <c r="AU2406" s="88">
        <f>DATE(2017,4,10)</f>
        <v>42835</v>
      </c>
      <c r="AV2406" s="88">
        <f>DATE(2017,4,9)</f>
        <v>42834</v>
      </c>
      <c r="AW2406" s="87">
        <f t="shared" si="187"/>
        <v>1</v>
      </c>
      <c r="AX2406" s="106"/>
      <c r="AY2406" s="83"/>
      <c r="AZ2406" s="84"/>
      <c r="BA2406" s="106"/>
      <c r="BB2406" s="106"/>
    </row>
    <row r="2407" spans="1:54" ht="36.75" customHeight="1">
      <c r="A2407" s="30"/>
      <c r="B2407" s="30" t="s">
        <v>55</v>
      </c>
      <c r="C2407" s="69" t="str">
        <f t="shared" si="183"/>
        <v>Closed</v>
      </c>
      <c r="D2407" s="27" t="s">
        <v>13551</v>
      </c>
      <c r="E2407" s="29" t="s">
        <v>13552</v>
      </c>
      <c r="F2407" s="30" t="s">
        <v>423</v>
      </c>
      <c r="G2407" s="89">
        <f>DATE(2017,4,9)</f>
        <v>42834</v>
      </c>
      <c r="H2407" s="90">
        <v>1.0541666666666667</v>
      </c>
      <c r="I2407" s="30" t="s">
        <v>198</v>
      </c>
      <c r="J2407" s="89" t="s">
        <v>13553</v>
      </c>
      <c r="K2407" s="30" t="s">
        <v>425</v>
      </c>
      <c r="L2407" s="30" t="s">
        <v>13554</v>
      </c>
      <c r="M2407" s="30" t="s">
        <v>63</v>
      </c>
      <c r="N2407" s="30" t="s">
        <v>142</v>
      </c>
      <c r="O2407" s="30" t="s">
        <v>64</v>
      </c>
      <c r="P2407" s="89" t="s">
        <v>3430</v>
      </c>
      <c r="Q2407" s="89" t="s">
        <v>2582</v>
      </c>
      <c r="R2407" s="89" t="s">
        <v>3103</v>
      </c>
      <c r="S2407" s="30">
        <v>0</v>
      </c>
      <c r="T2407" s="233">
        <v>0</v>
      </c>
      <c r="U2407" s="30">
        <v>0</v>
      </c>
      <c r="V2407" s="233">
        <v>0</v>
      </c>
      <c r="W2407" s="30">
        <v>0</v>
      </c>
      <c r="X2407" s="30">
        <v>0</v>
      </c>
      <c r="Y2407" s="30">
        <v>0</v>
      </c>
      <c r="Z2407" s="233">
        <v>0</v>
      </c>
      <c r="AA2407" s="30">
        <v>0</v>
      </c>
      <c r="AB2407" s="30">
        <v>0</v>
      </c>
      <c r="AC2407" s="30">
        <v>0</v>
      </c>
      <c r="AD2407" s="30">
        <v>0</v>
      </c>
      <c r="AE2407" s="89" t="s">
        <v>92</v>
      </c>
      <c r="AF2407" s="89"/>
      <c r="AG2407" s="89" t="s">
        <v>133</v>
      </c>
      <c r="AH2407" s="72">
        <v>42982</v>
      </c>
      <c r="AI2407" s="30">
        <v>0</v>
      </c>
      <c r="AJ2407" s="89" t="s">
        <v>13555</v>
      </c>
      <c r="AK2407" s="89" t="s">
        <v>13556</v>
      </c>
      <c r="AL2407" s="91">
        <v>42835</v>
      </c>
      <c r="AM2407" s="91"/>
      <c r="AN2407" s="91"/>
      <c r="AO2407" s="91"/>
      <c r="AP2407" s="73" t="e">
        <f>MID(VLOOKUP(K2407,#REF!,2,FALSE),1,2)</f>
        <v>#REF!</v>
      </c>
      <c r="AQ2407" s="89">
        <f>DATE(2017,4,14)</f>
        <v>42839</v>
      </c>
      <c r="AR2407" s="82">
        <f t="shared" si="184"/>
        <v>14</v>
      </c>
      <c r="AS2407" s="83">
        <f t="shared" si="185"/>
        <v>4</v>
      </c>
      <c r="AT2407" s="84">
        <f t="shared" si="186"/>
        <v>2017</v>
      </c>
      <c r="AU2407" s="88">
        <f>DATE(2017,4,21)</f>
        <v>42846</v>
      </c>
      <c r="AV2407" s="88">
        <f>DATE(2017,4,19)</f>
        <v>42844</v>
      </c>
      <c r="AW2407" s="87">
        <f t="shared" si="187"/>
        <v>2</v>
      </c>
      <c r="AX2407" s="88">
        <f>DATE(2017,4,21)</f>
        <v>42846</v>
      </c>
      <c r="AY2407" s="83">
        <f>MONTH(AX2407)</f>
        <v>4</v>
      </c>
      <c r="AZ2407" s="84">
        <f>YEAR(AX2407)</f>
        <v>2017</v>
      </c>
      <c r="BA2407" s="88">
        <f>DATE(2017,4,20)</f>
        <v>42845</v>
      </c>
      <c r="BB2407" s="86"/>
    </row>
    <row r="2408" spans="1:54" ht="36.75" customHeight="1">
      <c r="A2408" s="30"/>
      <c r="B2408" s="30" t="s">
        <v>55</v>
      </c>
      <c r="C2408" s="69" t="str">
        <f t="shared" si="183"/>
        <v>Closed</v>
      </c>
      <c r="D2408" s="27" t="s">
        <v>13557</v>
      </c>
      <c r="E2408" s="29" t="s">
        <v>13558</v>
      </c>
      <c r="F2408" s="30" t="s">
        <v>124</v>
      </c>
      <c r="G2408" s="89">
        <f>DATE(2017,4,14)</f>
        <v>42839</v>
      </c>
      <c r="H2408" s="90">
        <v>1.1701388888888888</v>
      </c>
      <c r="I2408" s="30" t="s">
        <v>73</v>
      </c>
      <c r="J2408" s="89" t="s">
        <v>13559</v>
      </c>
      <c r="K2408" s="30" t="s">
        <v>127</v>
      </c>
      <c r="L2408" s="30" t="s">
        <v>13560</v>
      </c>
      <c r="M2408" s="30" t="s">
        <v>63</v>
      </c>
      <c r="N2408" s="30" t="s">
        <v>89</v>
      </c>
      <c r="O2408" s="30" t="s">
        <v>77</v>
      </c>
      <c r="P2408" s="89" t="s">
        <v>78</v>
      </c>
      <c r="Q2408" s="89" t="s">
        <v>143</v>
      </c>
      <c r="R2408" s="89" t="s">
        <v>167</v>
      </c>
      <c r="S2408" s="30">
        <v>0</v>
      </c>
      <c r="T2408" s="233">
        <v>0</v>
      </c>
      <c r="U2408" s="30">
        <v>0</v>
      </c>
      <c r="V2408" s="233">
        <v>0</v>
      </c>
      <c r="W2408" s="30">
        <v>0</v>
      </c>
      <c r="X2408" s="30">
        <v>0</v>
      </c>
      <c r="Y2408" s="30">
        <v>0</v>
      </c>
      <c r="Z2408" s="233">
        <v>0</v>
      </c>
      <c r="AA2408" s="30">
        <v>0</v>
      </c>
      <c r="AB2408" s="30">
        <v>0</v>
      </c>
      <c r="AC2408" s="30">
        <v>0</v>
      </c>
      <c r="AD2408" s="30">
        <v>0</v>
      </c>
      <c r="AE2408" s="89" t="s">
        <v>394</v>
      </c>
      <c r="AF2408" s="89"/>
      <c r="AG2408" s="89" t="s">
        <v>82</v>
      </c>
      <c r="AH2408" s="72">
        <v>42844</v>
      </c>
      <c r="AI2408" s="30">
        <v>1</v>
      </c>
      <c r="AJ2408" s="89" t="s">
        <v>13561</v>
      </c>
      <c r="AK2408" s="89" t="s">
        <v>68</v>
      </c>
      <c r="AL2408" s="91">
        <v>42846</v>
      </c>
      <c r="AM2408" s="91"/>
      <c r="AN2408" s="91"/>
      <c r="AO2408" s="91"/>
      <c r="AP2408" s="73" t="e">
        <f>MID(VLOOKUP(K2408,#REF!,2,FALSE),1,2)</f>
        <v>#REF!</v>
      </c>
      <c r="AQ2408" s="89">
        <f>DATE(2017,4,15)</f>
        <v>42840</v>
      </c>
      <c r="AR2408" s="82">
        <f t="shared" si="184"/>
        <v>15</v>
      </c>
      <c r="AS2408" s="83">
        <f t="shared" si="185"/>
        <v>4</v>
      </c>
      <c r="AT2408" s="84">
        <f t="shared" si="186"/>
        <v>2017</v>
      </c>
      <c r="AU2408" s="88">
        <f>DATE(2017,4,27)</f>
        <v>42852</v>
      </c>
      <c r="AV2408" s="88">
        <f>DATE(2017,4,15)</f>
        <v>42840</v>
      </c>
      <c r="AW2408" s="87">
        <f t="shared" si="187"/>
        <v>12</v>
      </c>
      <c r="AX2408" s="86"/>
      <c r="AY2408" s="83"/>
      <c r="AZ2408" s="84"/>
      <c r="BA2408" s="86"/>
      <c r="BB2408" s="86" t="s">
        <v>13115</v>
      </c>
    </row>
    <row r="2409" spans="1:54" ht="36.75" customHeight="1">
      <c r="A2409" s="30"/>
      <c r="B2409" s="30" t="s">
        <v>55</v>
      </c>
      <c r="C2409" s="69" t="str">
        <f t="shared" si="183"/>
        <v>Closed</v>
      </c>
      <c r="D2409" s="27" t="s">
        <v>13562</v>
      </c>
      <c r="E2409" s="29" t="s">
        <v>13563</v>
      </c>
      <c r="F2409" s="30" t="s">
        <v>197</v>
      </c>
      <c r="G2409" s="89">
        <f>DATE(2017,4,15)</f>
        <v>42840</v>
      </c>
      <c r="H2409" s="90">
        <v>0</v>
      </c>
      <c r="I2409" s="30" t="s">
        <v>198</v>
      </c>
      <c r="J2409" s="89" t="s">
        <v>13564</v>
      </c>
      <c r="K2409" s="30" t="s">
        <v>200</v>
      </c>
      <c r="L2409" s="30" t="s">
        <v>13565</v>
      </c>
      <c r="M2409" s="30" t="s">
        <v>63</v>
      </c>
      <c r="N2409" s="30" t="s">
        <v>89</v>
      </c>
      <c r="O2409" s="30" t="s">
        <v>77</v>
      </c>
      <c r="P2409" s="89" t="s">
        <v>4442</v>
      </c>
      <c r="Q2409" s="89" t="s">
        <v>202</v>
      </c>
      <c r="R2409" s="89" t="s">
        <v>203</v>
      </c>
      <c r="S2409" s="30">
        <v>0</v>
      </c>
      <c r="T2409" s="233">
        <v>0</v>
      </c>
      <c r="U2409" s="30">
        <v>0</v>
      </c>
      <c r="V2409" s="233">
        <v>0</v>
      </c>
      <c r="W2409" s="30">
        <v>0</v>
      </c>
      <c r="X2409" s="30">
        <v>0</v>
      </c>
      <c r="Y2409" s="30">
        <v>0</v>
      </c>
      <c r="Z2409" s="233">
        <v>0</v>
      </c>
      <c r="AA2409" s="30">
        <v>0</v>
      </c>
      <c r="AB2409" s="30">
        <v>0</v>
      </c>
      <c r="AC2409" s="30">
        <v>0</v>
      </c>
      <c r="AD2409" s="30">
        <v>0</v>
      </c>
      <c r="AE2409" s="89" t="s">
        <v>145</v>
      </c>
      <c r="AF2409" s="89"/>
      <c r="AG2409" s="89" t="s">
        <v>82</v>
      </c>
      <c r="AH2409" s="72">
        <v>42840</v>
      </c>
      <c r="AI2409" s="30">
        <v>5</v>
      </c>
      <c r="AJ2409" s="89" t="s">
        <v>13566</v>
      </c>
      <c r="AK2409" s="89" t="s">
        <v>1233</v>
      </c>
      <c r="AL2409" s="91">
        <v>42852</v>
      </c>
      <c r="AM2409" s="91"/>
      <c r="AN2409" s="91"/>
      <c r="AO2409" s="91"/>
      <c r="AP2409" s="73" t="e">
        <f>MID(VLOOKUP(K2409,#REF!,2,FALSE),1,2)</f>
        <v>#REF!</v>
      </c>
      <c r="AQ2409" s="89">
        <f>DATE(2017,4,15)</f>
        <v>42840</v>
      </c>
      <c r="AR2409" s="82">
        <f t="shared" si="184"/>
        <v>15</v>
      </c>
      <c r="AS2409" s="83">
        <f t="shared" si="185"/>
        <v>4</v>
      </c>
      <c r="AT2409" s="84">
        <f t="shared" si="186"/>
        <v>2017</v>
      </c>
      <c r="AU2409" s="88">
        <f>DATE(2017,4,23)</f>
        <v>42848</v>
      </c>
      <c r="AV2409" s="88">
        <f>DATE(2017,4,20)</f>
        <v>42845</v>
      </c>
      <c r="AW2409" s="87">
        <f t="shared" si="187"/>
        <v>3</v>
      </c>
      <c r="AX2409" s="88">
        <f>DATE(2017,4,24)</f>
        <v>42849</v>
      </c>
      <c r="AY2409" s="83">
        <f>MONTH(AX2409)</f>
        <v>4</v>
      </c>
      <c r="AZ2409" s="84">
        <f>YEAR(AX2409)</f>
        <v>2017</v>
      </c>
      <c r="BA2409" s="88">
        <f>DATE(2017,4,15)</f>
        <v>42840</v>
      </c>
      <c r="BB2409" s="86"/>
    </row>
    <row r="2410" spans="1:54" ht="36.75" customHeight="1">
      <c r="A2410" s="30"/>
      <c r="B2410" s="30" t="s">
        <v>55</v>
      </c>
      <c r="C2410" s="69" t="str">
        <f t="shared" si="183"/>
        <v>Closed</v>
      </c>
      <c r="D2410" s="27" t="s">
        <v>13567</v>
      </c>
      <c r="E2410" s="29" t="s">
        <v>13568</v>
      </c>
      <c r="F2410" s="30" t="s">
        <v>1572</v>
      </c>
      <c r="G2410" s="89">
        <f>DATE(2017,4,15)</f>
        <v>42840</v>
      </c>
      <c r="H2410" s="90">
        <v>1.4736111111111112</v>
      </c>
      <c r="I2410" s="30" t="s">
        <v>73</v>
      </c>
      <c r="J2410" s="89" t="s">
        <v>13569</v>
      </c>
      <c r="K2410" s="30" t="s">
        <v>1574</v>
      </c>
      <c r="L2410" s="30" t="s">
        <v>13570</v>
      </c>
      <c r="M2410" s="30" t="s">
        <v>63</v>
      </c>
      <c r="N2410" s="30" t="s">
        <v>142</v>
      </c>
      <c r="O2410" s="30" t="s">
        <v>64</v>
      </c>
      <c r="P2410" s="89" t="s">
        <v>301</v>
      </c>
      <c r="Q2410" s="89" t="s">
        <v>6434</v>
      </c>
      <c r="R2410" s="89" t="s">
        <v>6434</v>
      </c>
      <c r="S2410" s="30">
        <v>0</v>
      </c>
      <c r="T2410" s="233">
        <v>0</v>
      </c>
      <c r="U2410" s="30">
        <v>0</v>
      </c>
      <c r="V2410" s="233">
        <v>0</v>
      </c>
      <c r="W2410" s="30">
        <v>0</v>
      </c>
      <c r="X2410" s="30">
        <v>0</v>
      </c>
      <c r="Y2410" s="30">
        <v>0</v>
      </c>
      <c r="Z2410" s="233">
        <v>0</v>
      </c>
      <c r="AA2410" s="30">
        <v>0</v>
      </c>
      <c r="AB2410" s="30">
        <v>0</v>
      </c>
      <c r="AC2410" s="30">
        <v>0</v>
      </c>
      <c r="AD2410" s="30">
        <v>0</v>
      </c>
      <c r="AE2410" s="89" t="s">
        <v>92</v>
      </c>
      <c r="AF2410" s="89"/>
      <c r="AG2410" s="89" t="s">
        <v>133</v>
      </c>
      <c r="AH2410" s="72">
        <v>42845</v>
      </c>
      <c r="AI2410" s="30">
        <v>4</v>
      </c>
      <c r="AJ2410" s="89" t="s">
        <v>13571</v>
      </c>
      <c r="AK2410" s="89" t="s">
        <v>13572</v>
      </c>
      <c r="AL2410" s="91">
        <v>42848</v>
      </c>
      <c r="AM2410" s="91"/>
      <c r="AN2410" s="91"/>
      <c r="AO2410" s="91"/>
      <c r="AP2410" s="73" t="e">
        <f>MID(VLOOKUP(K2410,#REF!,2,FALSE),1,2)</f>
        <v>#REF!</v>
      </c>
      <c r="AQ2410" s="89">
        <f>DATE(2017,4,18)</f>
        <v>42843</v>
      </c>
      <c r="AR2410" s="82">
        <f t="shared" si="184"/>
        <v>18</v>
      </c>
      <c r="AS2410" s="83">
        <f t="shared" si="185"/>
        <v>4</v>
      </c>
      <c r="AT2410" s="84">
        <f t="shared" si="186"/>
        <v>2017</v>
      </c>
      <c r="AU2410" s="88">
        <f>DATE(2017,11,15)</f>
        <v>43054</v>
      </c>
      <c r="AV2410" s="88">
        <f>DATE(2017,5,10)</f>
        <v>42865</v>
      </c>
      <c r="AW2410" s="87">
        <f t="shared" si="187"/>
        <v>189</v>
      </c>
      <c r="AX2410" s="86"/>
      <c r="AY2410" s="83"/>
      <c r="AZ2410" s="84"/>
      <c r="BA2410" s="86"/>
      <c r="BB2410" s="86" t="s">
        <v>13115</v>
      </c>
    </row>
    <row r="2411" spans="1:54" ht="36.75" customHeight="1">
      <c r="A2411" s="30"/>
      <c r="B2411" s="30" t="s">
        <v>55</v>
      </c>
      <c r="C2411" s="69" t="str">
        <f t="shared" si="183"/>
        <v>Closed</v>
      </c>
      <c r="D2411" s="27" t="s">
        <v>13573</v>
      </c>
      <c r="E2411" s="29" t="s">
        <v>13574</v>
      </c>
      <c r="F2411" s="30" t="s">
        <v>12474</v>
      </c>
      <c r="G2411" s="89">
        <f>DATE(2017,4,18)</f>
        <v>42843</v>
      </c>
      <c r="H2411" s="90">
        <v>1.6104166666666666</v>
      </c>
      <c r="I2411" s="30" t="s">
        <v>73</v>
      </c>
      <c r="J2411" s="89" t="s">
        <v>13575</v>
      </c>
      <c r="K2411" s="30" t="s">
        <v>200</v>
      </c>
      <c r="L2411" s="30" t="s">
        <v>13576</v>
      </c>
      <c r="M2411" s="30" t="s">
        <v>63</v>
      </c>
      <c r="N2411" s="30" t="s">
        <v>89</v>
      </c>
      <c r="O2411" s="30" t="s">
        <v>90</v>
      </c>
      <c r="P2411" s="89" t="s">
        <v>91</v>
      </c>
      <c r="Q2411" s="89" t="s">
        <v>13577</v>
      </c>
      <c r="R2411" s="89" t="s">
        <v>13578</v>
      </c>
      <c r="S2411" s="30">
        <v>0</v>
      </c>
      <c r="T2411" s="233">
        <v>0</v>
      </c>
      <c r="U2411" s="30">
        <v>0</v>
      </c>
      <c r="V2411" s="233">
        <v>0</v>
      </c>
      <c r="W2411" s="30">
        <v>0</v>
      </c>
      <c r="X2411" s="30">
        <v>0</v>
      </c>
      <c r="Y2411" s="30">
        <v>0</v>
      </c>
      <c r="Z2411" s="233">
        <v>0</v>
      </c>
      <c r="AA2411" s="30">
        <v>0</v>
      </c>
      <c r="AB2411" s="30">
        <v>0</v>
      </c>
      <c r="AC2411" s="30">
        <v>0</v>
      </c>
      <c r="AD2411" s="30">
        <v>0</v>
      </c>
      <c r="AE2411" s="89" t="s">
        <v>394</v>
      </c>
      <c r="AF2411" s="89" t="s">
        <v>13579</v>
      </c>
      <c r="AG2411" s="89" t="s">
        <v>8859</v>
      </c>
      <c r="AH2411" s="72">
        <v>42865</v>
      </c>
      <c r="AI2411" s="30">
        <v>0</v>
      </c>
      <c r="AJ2411" s="89" t="s">
        <v>13580</v>
      </c>
      <c r="AK2411" s="89" t="s">
        <v>13581</v>
      </c>
      <c r="AL2411" s="91">
        <v>43054</v>
      </c>
      <c r="AM2411" s="91"/>
      <c r="AN2411" s="91">
        <v>44550</v>
      </c>
      <c r="AO2411" s="91">
        <v>44547</v>
      </c>
      <c r="AP2411" s="73" t="e">
        <f>MID(VLOOKUP(K2411,#REF!,2,FALSE),1,2)</f>
        <v>#REF!</v>
      </c>
      <c r="AQ2411" s="89">
        <f>DATE(2017,4,20)</f>
        <v>42845</v>
      </c>
      <c r="AR2411" s="82">
        <f t="shared" si="184"/>
        <v>20</v>
      </c>
      <c r="AS2411" s="83">
        <f t="shared" si="185"/>
        <v>4</v>
      </c>
      <c r="AT2411" s="84">
        <f t="shared" si="186"/>
        <v>2017</v>
      </c>
      <c r="AU2411" s="88">
        <f>DATE(2017,11,15)</f>
        <v>43054</v>
      </c>
      <c r="AV2411" s="88">
        <f>DATE(2017,6,14)</f>
        <v>42900</v>
      </c>
      <c r="AW2411" s="87">
        <f t="shared" si="187"/>
        <v>154</v>
      </c>
      <c r="AX2411" s="86"/>
      <c r="AY2411" s="83"/>
      <c r="AZ2411" s="84"/>
      <c r="BA2411" s="86"/>
      <c r="BB2411" s="86" t="s">
        <v>13115</v>
      </c>
    </row>
    <row r="2412" spans="1:54" ht="36.75" customHeight="1">
      <c r="A2412" s="30"/>
      <c r="B2412" s="30" t="s">
        <v>55</v>
      </c>
      <c r="C2412" s="69" t="str">
        <f t="shared" si="183"/>
        <v>Closed</v>
      </c>
      <c r="D2412" s="27" t="s">
        <v>13582</v>
      </c>
      <c r="E2412" s="29" t="s">
        <v>13583</v>
      </c>
      <c r="F2412" s="30" t="s">
        <v>197</v>
      </c>
      <c r="G2412" s="89">
        <f>DATE(2017,4,20)</f>
        <v>42845</v>
      </c>
      <c r="H2412" s="90">
        <v>1.5638888888888889</v>
      </c>
      <c r="I2412" s="30" t="s">
        <v>116</v>
      </c>
      <c r="J2412" s="89" t="s">
        <v>13584</v>
      </c>
      <c r="K2412" s="30" t="s">
        <v>200</v>
      </c>
      <c r="L2412" s="30" t="s">
        <v>13585</v>
      </c>
      <c r="M2412" s="30" t="s">
        <v>63</v>
      </c>
      <c r="N2412" s="30" t="s">
        <v>99</v>
      </c>
      <c r="O2412" s="30" t="s">
        <v>64</v>
      </c>
      <c r="P2412" s="89" t="s">
        <v>165</v>
      </c>
      <c r="Q2412" s="89" t="s">
        <v>202</v>
      </c>
      <c r="R2412" s="89" t="s">
        <v>203</v>
      </c>
      <c r="S2412" s="30">
        <v>0</v>
      </c>
      <c r="T2412" s="233">
        <v>0</v>
      </c>
      <c r="U2412" s="30">
        <v>1</v>
      </c>
      <c r="V2412" s="233">
        <v>0</v>
      </c>
      <c r="W2412" s="30">
        <v>0</v>
      </c>
      <c r="X2412" s="30">
        <v>1</v>
      </c>
      <c r="Y2412" s="30">
        <v>0</v>
      </c>
      <c r="Z2412" s="233">
        <v>0</v>
      </c>
      <c r="AA2412" s="30">
        <v>0</v>
      </c>
      <c r="AB2412" s="30">
        <v>0</v>
      </c>
      <c r="AC2412" s="30">
        <v>0</v>
      </c>
      <c r="AD2412" s="30">
        <v>0</v>
      </c>
      <c r="AE2412" s="89" t="s">
        <v>92</v>
      </c>
      <c r="AF2412" s="89"/>
      <c r="AG2412" s="89" t="s">
        <v>589</v>
      </c>
      <c r="AH2412" s="72">
        <v>42900</v>
      </c>
      <c r="AI2412" s="30">
        <v>3</v>
      </c>
      <c r="AJ2412" s="89" t="s">
        <v>13586</v>
      </c>
      <c r="AK2412" s="89" t="s">
        <v>1233</v>
      </c>
      <c r="AL2412" s="91">
        <v>43054</v>
      </c>
      <c r="AM2412" s="91"/>
      <c r="AN2412" s="91"/>
      <c r="AO2412" s="91"/>
      <c r="AP2412" s="73" t="e">
        <f>MID(VLOOKUP(K2412,#REF!,2,FALSE),1,2)</f>
        <v>#REF!</v>
      </c>
      <c r="AQ2412" s="89">
        <f>DATE(2017,4,24)</f>
        <v>42849</v>
      </c>
      <c r="AR2412" s="82">
        <f t="shared" si="184"/>
        <v>24</v>
      </c>
      <c r="AS2412" s="83">
        <f t="shared" si="185"/>
        <v>4</v>
      </c>
      <c r="AT2412" s="84">
        <f t="shared" si="186"/>
        <v>2017</v>
      </c>
      <c r="AU2412" s="88">
        <f>DATE(2017,5,5)</f>
        <v>42860</v>
      </c>
      <c r="AV2412" s="88">
        <f>DATE(2017,4,26)</f>
        <v>42851</v>
      </c>
      <c r="AW2412" s="87">
        <f t="shared" si="187"/>
        <v>9</v>
      </c>
      <c r="AX2412" s="88">
        <f>DATE(2017,5,5)</f>
        <v>42860</v>
      </c>
      <c r="AY2412" s="83">
        <f>MONTH(AX2412)</f>
        <v>5</v>
      </c>
      <c r="AZ2412" s="84">
        <f>YEAR(AX2412)</f>
        <v>2017</v>
      </c>
      <c r="BA2412" s="88">
        <f>DATE(2017,4,24)</f>
        <v>42849</v>
      </c>
      <c r="BB2412" s="86"/>
    </row>
    <row r="2413" spans="1:54" ht="36.75" customHeight="1">
      <c r="A2413" s="30"/>
      <c r="B2413" s="30" t="s">
        <v>55</v>
      </c>
      <c r="C2413" s="69" t="str">
        <f t="shared" si="183"/>
        <v>Closed</v>
      </c>
      <c r="D2413" s="27" t="s">
        <v>13587</v>
      </c>
      <c r="E2413" s="29" t="s">
        <v>13588</v>
      </c>
      <c r="F2413" s="30" t="s">
        <v>1572</v>
      </c>
      <c r="G2413" s="89">
        <f>DATE(2017,4,24)</f>
        <v>42849</v>
      </c>
      <c r="H2413" s="90">
        <v>1.5833333333333335</v>
      </c>
      <c r="I2413" s="30" t="s">
        <v>73</v>
      </c>
      <c r="J2413" s="89" t="s">
        <v>13589</v>
      </c>
      <c r="K2413" s="30" t="s">
        <v>1574</v>
      </c>
      <c r="L2413" s="30" t="s">
        <v>13590</v>
      </c>
      <c r="M2413" s="30" t="s">
        <v>63</v>
      </c>
      <c r="N2413" s="30" t="s">
        <v>142</v>
      </c>
      <c r="O2413" s="30" t="s">
        <v>64</v>
      </c>
      <c r="P2413" s="89" t="s">
        <v>78</v>
      </c>
      <c r="Q2413" s="89" t="s">
        <v>9075</v>
      </c>
      <c r="R2413" s="89" t="s">
        <v>6434</v>
      </c>
      <c r="S2413" s="30">
        <v>0</v>
      </c>
      <c r="T2413" s="233">
        <v>0</v>
      </c>
      <c r="U2413" s="30">
        <v>0</v>
      </c>
      <c r="V2413" s="233">
        <v>0</v>
      </c>
      <c r="W2413" s="30">
        <v>0</v>
      </c>
      <c r="X2413" s="30">
        <v>0</v>
      </c>
      <c r="Y2413" s="30">
        <v>0</v>
      </c>
      <c r="Z2413" s="233">
        <v>0</v>
      </c>
      <c r="AA2413" s="30">
        <v>0</v>
      </c>
      <c r="AB2413" s="30">
        <v>0</v>
      </c>
      <c r="AC2413" s="30">
        <v>0</v>
      </c>
      <c r="AD2413" s="30">
        <v>0</v>
      </c>
      <c r="AE2413" s="89" t="s">
        <v>92</v>
      </c>
      <c r="AF2413" s="89"/>
      <c r="AG2413" s="89" t="s">
        <v>133</v>
      </c>
      <c r="AH2413" s="72">
        <v>42851</v>
      </c>
      <c r="AI2413" s="30">
        <v>0</v>
      </c>
      <c r="AJ2413" s="89" t="s">
        <v>13591</v>
      </c>
      <c r="AK2413" s="89" t="s">
        <v>13592</v>
      </c>
      <c r="AL2413" s="91">
        <v>42860</v>
      </c>
      <c r="AM2413" s="91"/>
      <c r="AN2413" s="91"/>
      <c r="AO2413" s="91"/>
      <c r="AP2413" s="73" t="e">
        <f>MID(VLOOKUP(K2413,#REF!,2,FALSE),1,2)</f>
        <v>#REF!</v>
      </c>
      <c r="AQ2413" s="89">
        <f>DATE(2017,4,25)</f>
        <v>42850</v>
      </c>
      <c r="AR2413" s="82">
        <f t="shared" si="184"/>
        <v>25</v>
      </c>
      <c r="AS2413" s="83">
        <f t="shared" si="185"/>
        <v>4</v>
      </c>
      <c r="AT2413" s="84">
        <f t="shared" si="186"/>
        <v>2017</v>
      </c>
      <c r="AU2413" s="88">
        <f>DATE(2017,4,28)</f>
        <v>42853</v>
      </c>
      <c r="AV2413" s="88">
        <f>DATE(2017,4,26)</f>
        <v>42851</v>
      </c>
      <c r="AW2413" s="87">
        <f t="shared" si="187"/>
        <v>2</v>
      </c>
      <c r="AX2413" s="88">
        <f>DATE(2017,4,28)</f>
        <v>42853</v>
      </c>
      <c r="AY2413" s="83">
        <f>MONTH(AX2413)</f>
        <v>4</v>
      </c>
      <c r="AZ2413" s="84">
        <f>YEAR(AX2413)</f>
        <v>2017</v>
      </c>
      <c r="BA2413" s="88">
        <f>DATE(2017,4,26)</f>
        <v>42851</v>
      </c>
      <c r="BB2413" s="86"/>
    </row>
    <row r="2414" spans="1:54" ht="36.75" customHeight="1">
      <c r="A2414" s="30"/>
      <c r="B2414" s="30" t="s">
        <v>55</v>
      </c>
      <c r="C2414" s="69" t="str">
        <f t="shared" si="183"/>
        <v>Closed</v>
      </c>
      <c r="D2414" s="27" t="s">
        <v>13593</v>
      </c>
      <c r="E2414" s="29" t="s">
        <v>13594</v>
      </c>
      <c r="F2414" s="30" t="s">
        <v>377</v>
      </c>
      <c r="G2414" s="89">
        <f>DATE(2017,4,25)</f>
        <v>42850</v>
      </c>
      <c r="H2414" s="90">
        <v>1.9888888888888889</v>
      </c>
      <c r="I2414" s="30" t="s">
        <v>5494</v>
      </c>
      <c r="J2414" s="89" t="s">
        <v>13595</v>
      </c>
      <c r="K2414" s="30" t="s">
        <v>379</v>
      </c>
      <c r="L2414" s="30" t="s">
        <v>13596</v>
      </c>
      <c r="M2414" s="30" t="s">
        <v>63</v>
      </c>
      <c r="N2414" s="30" t="s">
        <v>142</v>
      </c>
      <c r="O2414" s="30" t="s">
        <v>64</v>
      </c>
      <c r="P2414" s="89" t="s">
        <v>301</v>
      </c>
      <c r="Q2414" s="89" t="s">
        <v>382</v>
      </c>
      <c r="R2414" s="89" t="s">
        <v>382</v>
      </c>
      <c r="S2414" s="30">
        <v>0</v>
      </c>
      <c r="T2414" s="233">
        <v>2</v>
      </c>
      <c r="U2414" s="30">
        <v>0</v>
      </c>
      <c r="V2414" s="233">
        <v>0</v>
      </c>
      <c r="W2414" s="30">
        <v>0</v>
      </c>
      <c r="X2414" s="30">
        <v>2</v>
      </c>
      <c r="Y2414" s="30">
        <v>0</v>
      </c>
      <c r="Z2414" s="233">
        <v>0</v>
      </c>
      <c r="AA2414" s="30">
        <v>0</v>
      </c>
      <c r="AB2414" s="30">
        <v>0</v>
      </c>
      <c r="AC2414" s="30">
        <v>0</v>
      </c>
      <c r="AD2414" s="30">
        <v>0</v>
      </c>
      <c r="AE2414" s="89" t="s">
        <v>145</v>
      </c>
      <c r="AF2414" s="89"/>
      <c r="AG2414" s="89" t="s">
        <v>352</v>
      </c>
      <c r="AH2414" s="72">
        <v>42851</v>
      </c>
      <c r="AI2414" s="30">
        <v>4</v>
      </c>
      <c r="AJ2414" s="89" t="s">
        <v>13597</v>
      </c>
      <c r="AK2414" s="89" t="s">
        <v>68</v>
      </c>
      <c r="AL2414" s="91">
        <v>42853</v>
      </c>
      <c r="AM2414" s="91"/>
      <c r="AN2414" s="91"/>
      <c r="AO2414" s="91"/>
      <c r="AP2414" s="73" t="e">
        <f>MID(VLOOKUP(K2414,#REF!,2,FALSE),1,2)</f>
        <v>#REF!</v>
      </c>
      <c r="AQ2414" s="89">
        <f>DATE(2017,4,28)</f>
        <v>42853</v>
      </c>
      <c r="AR2414" s="82">
        <f t="shared" si="184"/>
        <v>28</v>
      </c>
      <c r="AS2414" s="83">
        <f t="shared" si="185"/>
        <v>4</v>
      </c>
      <c r="AT2414" s="84">
        <f t="shared" si="186"/>
        <v>2017</v>
      </c>
      <c r="AU2414" s="88">
        <f>DATE(2017,5,11)</f>
        <v>42866</v>
      </c>
      <c r="AV2414" s="88">
        <f>DATE(2017,4,28)</f>
        <v>42853</v>
      </c>
      <c r="AW2414" s="87">
        <f t="shared" si="187"/>
        <v>13</v>
      </c>
      <c r="AX2414" s="88">
        <f>DATE(2017,5,5)</f>
        <v>42860</v>
      </c>
      <c r="AY2414" s="83">
        <f>MONTH(AX2414)</f>
        <v>5</v>
      </c>
      <c r="AZ2414" s="84">
        <f>YEAR(AX2414)</f>
        <v>2017</v>
      </c>
      <c r="BA2414" s="88">
        <f>DATE(2017,5,5)</f>
        <v>42860</v>
      </c>
      <c r="BB2414" s="86"/>
    </row>
    <row r="2415" spans="1:54" ht="36.75" customHeight="1">
      <c r="A2415" s="30"/>
      <c r="B2415" s="30" t="s">
        <v>55</v>
      </c>
      <c r="C2415" s="69" t="str">
        <f t="shared" si="183"/>
        <v>Closed</v>
      </c>
      <c r="D2415" s="27" t="s">
        <v>13598</v>
      </c>
      <c r="E2415" s="29" t="s">
        <v>13599</v>
      </c>
      <c r="F2415" s="30" t="s">
        <v>9789</v>
      </c>
      <c r="G2415" s="89">
        <f>DATE(2017,4,28)</f>
        <v>42853</v>
      </c>
      <c r="H2415" s="90">
        <v>1.6701388888888888</v>
      </c>
      <c r="I2415" s="30" t="s">
        <v>156</v>
      </c>
      <c r="J2415" s="210" t="s">
        <v>13600</v>
      </c>
      <c r="K2415" s="30" t="s">
        <v>9791</v>
      </c>
      <c r="L2415" s="30" t="s">
        <v>11815</v>
      </c>
      <c r="M2415" s="30" t="s">
        <v>63</v>
      </c>
      <c r="N2415" s="30" t="s">
        <v>89</v>
      </c>
      <c r="O2415" s="30" t="s">
        <v>77</v>
      </c>
      <c r="P2415" s="89" t="s">
        <v>6902</v>
      </c>
      <c r="Q2415" s="89" t="s">
        <v>9960</v>
      </c>
      <c r="R2415" s="89" t="s">
        <v>9794</v>
      </c>
      <c r="S2415" s="30">
        <v>0</v>
      </c>
      <c r="T2415" s="233">
        <v>0</v>
      </c>
      <c r="U2415" s="30">
        <v>0</v>
      </c>
      <c r="V2415" s="233">
        <v>0</v>
      </c>
      <c r="W2415" s="30">
        <v>0</v>
      </c>
      <c r="X2415" s="30">
        <v>0</v>
      </c>
      <c r="Y2415" s="30">
        <v>0</v>
      </c>
      <c r="Z2415" s="233">
        <v>0</v>
      </c>
      <c r="AA2415" s="30">
        <v>0</v>
      </c>
      <c r="AB2415" s="30">
        <v>0</v>
      </c>
      <c r="AC2415" s="30">
        <v>0</v>
      </c>
      <c r="AD2415" s="30">
        <v>0</v>
      </c>
      <c r="AE2415" s="89" t="s">
        <v>394</v>
      </c>
      <c r="AF2415" s="89"/>
      <c r="AG2415" s="89" t="s">
        <v>133</v>
      </c>
      <c r="AH2415" s="72">
        <v>42853</v>
      </c>
      <c r="AI2415" s="30">
        <v>0</v>
      </c>
      <c r="AJ2415" s="89" t="s">
        <v>13601</v>
      </c>
      <c r="AK2415" s="89" t="s">
        <v>1233</v>
      </c>
      <c r="AL2415" s="91">
        <v>42866</v>
      </c>
      <c r="AM2415" s="91"/>
      <c r="AN2415" s="91"/>
      <c r="AO2415" s="91"/>
      <c r="AP2415" s="73" t="e">
        <f>MID(VLOOKUP(K2415,#REF!,2,FALSE),1,2)</f>
        <v>#REF!</v>
      </c>
      <c r="AQ2415" s="89">
        <f>DATE(2017,5,1)</f>
        <v>42856</v>
      </c>
      <c r="AR2415" s="82">
        <f t="shared" si="184"/>
        <v>1</v>
      </c>
      <c r="AS2415" s="83">
        <f t="shared" si="185"/>
        <v>5</v>
      </c>
      <c r="AT2415" s="84">
        <f t="shared" si="186"/>
        <v>2017</v>
      </c>
      <c r="AU2415" s="88">
        <f>DATE(2017,5,5)</f>
        <v>42860</v>
      </c>
      <c r="AV2415" s="88">
        <f>DATE(2017,5,1)</f>
        <v>42856</v>
      </c>
      <c r="AW2415" s="87">
        <f t="shared" si="187"/>
        <v>4</v>
      </c>
      <c r="AX2415" s="86"/>
      <c r="AY2415" s="83"/>
      <c r="AZ2415" s="84"/>
      <c r="BA2415" s="86"/>
      <c r="BB2415" s="86"/>
    </row>
    <row r="2416" spans="1:54" ht="36.75" customHeight="1">
      <c r="A2416" s="30"/>
      <c r="B2416" s="30" t="s">
        <v>55</v>
      </c>
      <c r="C2416" s="69" t="str">
        <f t="shared" si="183"/>
        <v>Closed</v>
      </c>
      <c r="D2416" s="27" t="s">
        <v>13602</v>
      </c>
      <c r="E2416" s="29" t="s">
        <v>13603</v>
      </c>
      <c r="F2416" s="30" t="s">
        <v>582</v>
      </c>
      <c r="G2416" s="89">
        <f>DATE(2017,5,1)</f>
        <v>42856</v>
      </c>
      <c r="H2416" s="90">
        <v>1.7819444444444446</v>
      </c>
      <c r="I2416" s="30" t="s">
        <v>73</v>
      </c>
      <c r="J2416" s="89" t="s">
        <v>13604</v>
      </c>
      <c r="K2416" s="30" t="s">
        <v>584</v>
      </c>
      <c r="L2416" s="30" t="s">
        <v>13605</v>
      </c>
      <c r="M2416" s="30" t="s">
        <v>63</v>
      </c>
      <c r="N2416" s="30" t="s">
        <v>142</v>
      </c>
      <c r="O2416" s="30" t="s">
        <v>77</v>
      </c>
      <c r="P2416" s="89" t="s">
        <v>462</v>
      </c>
      <c r="Q2416" s="89" t="s">
        <v>2021</v>
      </c>
      <c r="R2416" s="89" t="s">
        <v>587</v>
      </c>
      <c r="S2416" s="30">
        <v>0</v>
      </c>
      <c r="T2416" s="233">
        <v>0</v>
      </c>
      <c r="U2416" s="30">
        <v>0</v>
      </c>
      <c r="V2416" s="233">
        <v>0</v>
      </c>
      <c r="W2416" s="30">
        <v>0</v>
      </c>
      <c r="X2416" s="30">
        <v>0</v>
      </c>
      <c r="Y2416" s="30">
        <v>0</v>
      </c>
      <c r="Z2416" s="233">
        <v>0</v>
      </c>
      <c r="AA2416" s="30">
        <v>0</v>
      </c>
      <c r="AB2416" s="30">
        <v>0</v>
      </c>
      <c r="AC2416" s="30">
        <v>0</v>
      </c>
      <c r="AD2416" s="30">
        <v>0</v>
      </c>
      <c r="AE2416" s="89" t="s">
        <v>145</v>
      </c>
      <c r="AF2416" s="89"/>
      <c r="AG2416" s="89" t="s">
        <v>589</v>
      </c>
      <c r="AH2416" s="72">
        <v>42856</v>
      </c>
      <c r="AI2416" s="30">
        <v>0</v>
      </c>
      <c r="AJ2416" s="89" t="s">
        <v>13606</v>
      </c>
      <c r="AK2416" s="89" t="s">
        <v>1233</v>
      </c>
      <c r="AL2416" s="91">
        <v>42860</v>
      </c>
      <c r="AM2416" s="91"/>
      <c r="AN2416" s="91"/>
      <c r="AO2416" s="91"/>
      <c r="AP2416" s="73" t="e">
        <f>MID(VLOOKUP(K2416,#REF!,2,FALSE),1,2)</f>
        <v>#REF!</v>
      </c>
      <c r="AQ2416" s="89">
        <f>DATE(2017,5,4)</f>
        <v>42859</v>
      </c>
      <c r="AR2416" s="82">
        <f t="shared" si="184"/>
        <v>4</v>
      </c>
      <c r="AS2416" s="83">
        <f t="shared" si="185"/>
        <v>5</v>
      </c>
      <c r="AT2416" s="84">
        <f t="shared" si="186"/>
        <v>2017</v>
      </c>
      <c r="AU2416" s="88">
        <f>DATE(2017,5,5)</f>
        <v>42860</v>
      </c>
      <c r="AV2416" s="88">
        <f>DATE(2017,5,4)</f>
        <v>42859</v>
      </c>
      <c r="AW2416" s="87">
        <f t="shared" si="187"/>
        <v>1</v>
      </c>
      <c r="AX2416" s="88">
        <f>DATE(2017,5,4)</f>
        <v>42859</v>
      </c>
      <c r="AY2416" s="83">
        <f>MONTH(AX2416)</f>
        <v>5</v>
      </c>
      <c r="AZ2416" s="84">
        <f>YEAR(AX2416)</f>
        <v>2017</v>
      </c>
      <c r="BA2416" s="88">
        <f>DATE(2017,5,4)</f>
        <v>42859</v>
      </c>
      <c r="BB2416" s="86"/>
    </row>
    <row r="2417" spans="1:54" ht="36.75" customHeight="1">
      <c r="A2417" s="30"/>
      <c r="B2417" s="30" t="s">
        <v>55</v>
      </c>
      <c r="C2417" s="69" t="str">
        <f t="shared" si="183"/>
        <v>Closed</v>
      </c>
      <c r="D2417" s="27" t="s">
        <v>13607</v>
      </c>
      <c r="E2417" s="29" t="s">
        <v>13608</v>
      </c>
      <c r="F2417" s="30" t="s">
        <v>2601</v>
      </c>
      <c r="G2417" s="89">
        <f>DATE(2017,5,4)</f>
        <v>42859</v>
      </c>
      <c r="H2417" s="90">
        <v>1.2986111111111112</v>
      </c>
      <c r="I2417" s="30" t="s">
        <v>73</v>
      </c>
      <c r="J2417" s="89" t="s">
        <v>13609</v>
      </c>
      <c r="K2417" s="30" t="s">
        <v>2603</v>
      </c>
      <c r="L2417" s="30" t="s">
        <v>13610</v>
      </c>
      <c r="M2417" s="30" t="s">
        <v>63</v>
      </c>
      <c r="N2417" s="30" t="s">
        <v>99</v>
      </c>
      <c r="O2417" s="30" t="s">
        <v>64</v>
      </c>
      <c r="P2417" s="89" t="s">
        <v>78</v>
      </c>
      <c r="Q2417" s="89" t="s">
        <v>13611</v>
      </c>
      <c r="R2417" s="89" t="s">
        <v>2606</v>
      </c>
      <c r="S2417" s="30">
        <v>0</v>
      </c>
      <c r="T2417" s="233">
        <v>0</v>
      </c>
      <c r="U2417" s="30">
        <v>0</v>
      </c>
      <c r="V2417" s="233">
        <v>0</v>
      </c>
      <c r="W2417" s="30">
        <v>0</v>
      </c>
      <c r="X2417" s="30">
        <v>0</v>
      </c>
      <c r="Y2417" s="30">
        <v>0</v>
      </c>
      <c r="Z2417" s="233">
        <v>0</v>
      </c>
      <c r="AA2417" s="30">
        <v>0</v>
      </c>
      <c r="AB2417" s="30">
        <v>0</v>
      </c>
      <c r="AC2417" s="30">
        <v>0</v>
      </c>
      <c r="AD2417" s="30">
        <v>0</v>
      </c>
      <c r="AE2417" s="89" t="s">
        <v>92</v>
      </c>
      <c r="AF2417" s="89"/>
      <c r="AG2417" s="89" t="s">
        <v>352</v>
      </c>
      <c r="AH2417" s="72">
        <v>42859</v>
      </c>
      <c r="AI2417" s="30">
        <v>3</v>
      </c>
      <c r="AJ2417" s="89" t="s">
        <v>13612</v>
      </c>
      <c r="AK2417" s="89" t="s">
        <v>68</v>
      </c>
      <c r="AL2417" s="91">
        <v>42860</v>
      </c>
      <c r="AM2417" s="89"/>
      <c r="AN2417" s="89"/>
      <c r="AO2417" s="89"/>
      <c r="AP2417" s="73" t="e">
        <f>MID(VLOOKUP(K2417,#REF!,2,FALSE),1,2)</f>
        <v>#REF!</v>
      </c>
      <c r="AQ2417" s="89">
        <f>DATE(2017,5,5)</f>
        <v>42860</v>
      </c>
      <c r="AR2417" s="82">
        <f t="shared" si="184"/>
        <v>5</v>
      </c>
      <c r="AS2417" s="83">
        <f t="shared" si="185"/>
        <v>5</v>
      </c>
      <c r="AT2417" s="84">
        <f t="shared" si="186"/>
        <v>2017</v>
      </c>
      <c r="AU2417" s="88">
        <f>DATE(2017,5,29)</f>
        <v>42884</v>
      </c>
      <c r="AV2417" s="88">
        <f>DATE(2017,5,15)</f>
        <v>42870</v>
      </c>
      <c r="AW2417" s="87">
        <f t="shared" si="187"/>
        <v>14</v>
      </c>
      <c r="AX2417" s="86"/>
      <c r="AY2417" s="83"/>
      <c r="AZ2417" s="84"/>
      <c r="BA2417" s="86"/>
      <c r="BB2417" s="86" t="s">
        <v>13115</v>
      </c>
    </row>
    <row r="2418" spans="1:54" ht="36.75" customHeight="1">
      <c r="A2418" s="30"/>
      <c r="B2418" s="30" t="s">
        <v>55</v>
      </c>
      <c r="C2418" s="69" t="str">
        <f t="shared" si="183"/>
        <v>Closed</v>
      </c>
      <c r="D2418" s="27" t="s">
        <v>13613</v>
      </c>
      <c r="E2418" s="29" t="s">
        <v>13614</v>
      </c>
      <c r="F2418" s="30" t="s">
        <v>6455</v>
      </c>
      <c r="G2418" s="89">
        <f>DATE(2017,5,5)</f>
        <v>42860</v>
      </c>
      <c r="H2418" s="90">
        <v>1.8576388888888888</v>
      </c>
      <c r="I2418" s="30" t="s">
        <v>73</v>
      </c>
      <c r="J2418" s="89" t="s">
        <v>13615</v>
      </c>
      <c r="K2418" s="30" t="s">
        <v>584</v>
      </c>
      <c r="L2418" s="30" t="s">
        <v>13616</v>
      </c>
      <c r="M2418" s="30" t="s">
        <v>63</v>
      </c>
      <c r="N2418" s="30" t="s">
        <v>142</v>
      </c>
      <c r="O2418" s="30" t="s">
        <v>64</v>
      </c>
      <c r="P2418" s="89" t="s">
        <v>78</v>
      </c>
      <c r="Q2418" s="89" t="s">
        <v>13617</v>
      </c>
      <c r="R2418" s="89" t="s">
        <v>9852</v>
      </c>
      <c r="S2418" s="30">
        <v>0</v>
      </c>
      <c r="T2418" s="233">
        <v>0</v>
      </c>
      <c r="U2418" s="30">
        <v>0</v>
      </c>
      <c r="V2418" s="233">
        <v>0</v>
      </c>
      <c r="W2418" s="30">
        <v>0</v>
      </c>
      <c r="X2418" s="30">
        <v>0</v>
      </c>
      <c r="Y2418" s="30">
        <v>0</v>
      </c>
      <c r="Z2418" s="233">
        <v>0</v>
      </c>
      <c r="AA2418" s="30">
        <v>0</v>
      </c>
      <c r="AB2418" s="30">
        <v>0</v>
      </c>
      <c r="AC2418" s="30">
        <v>0</v>
      </c>
      <c r="AD2418" s="30">
        <v>0</v>
      </c>
      <c r="AE2418" s="89" t="s">
        <v>394</v>
      </c>
      <c r="AF2418" s="89" t="s">
        <v>13618</v>
      </c>
      <c r="AG2418" s="89" t="s">
        <v>8859</v>
      </c>
      <c r="AH2418" s="72">
        <v>42870</v>
      </c>
      <c r="AI2418" s="30">
        <v>0</v>
      </c>
      <c r="AJ2418" s="89" t="s">
        <v>13619</v>
      </c>
      <c r="AK2418" s="89" t="s">
        <v>68</v>
      </c>
      <c r="AL2418" s="91">
        <v>42884</v>
      </c>
      <c r="AM2418" s="91">
        <v>44687</v>
      </c>
      <c r="AN2418" s="91">
        <v>44833</v>
      </c>
      <c r="AO2418" s="91">
        <v>44781</v>
      </c>
      <c r="AP2418" s="73" t="e">
        <f>MID(VLOOKUP(K2418,#REF!,2,FALSE),1,2)</f>
        <v>#REF!</v>
      </c>
      <c r="AQ2418" s="89">
        <f>DATE(2017,5,8)</f>
        <v>42863</v>
      </c>
      <c r="AR2418" s="82">
        <f t="shared" si="184"/>
        <v>8</v>
      </c>
      <c r="AS2418" s="83">
        <f t="shared" si="185"/>
        <v>5</v>
      </c>
      <c r="AT2418" s="84">
        <f t="shared" si="186"/>
        <v>2017</v>
      </c>
      <c r="AU2418" s="88">
        <f>DATE(2017,5,9)</f>
        <v>42864</v>
      </c>
      <c r="AV2418" s="88">
        <f>DATE(2017,5,8)</f>
        <v>42863</v>
      </c>
      <c r="AW2418" s="87">
        <f t="shared" si="187"/>
        <v>1</v>
      </c>
      <c r="AX2418" s="106"/>
      <c r="AY2418" s="83"/>
      <c r="AZ2418" s="84"/>
      <c r="BA2418" s="106"/>
      <c r="BB2418" s="106"/>
    </row>
    <row r="2419" spans="1:54" ht="36.75" customHeight="1">
      <c r="A2419" s="30"/>
      <c r="B2419" s="30" t="s">
        <v>55</v>
      </c>
      <c r="C2419" s="69" t="str">
        <f t="shared" si="183"/>
        <v>Closed</v>
      </c>
      <c r="D2419" s="27" t="s">
        <v>13620</v>
      </c>
      <c r="E2419" s="29" t="s">
        <v>13621</v>
      </c>
      <c r="F2419" s="30" t="s">
        <v>423</v>
      </c>
      <c r="G2419" s="89">
        <f>DATE(2017,5,8)</f>
        <v>42863</v>
      </c>
      <c r="H2419" s="90">
        <v>1.0618055555555554</v>
      </c>
      <c r="I2419" s="30" t="s">
        <v>278</v>
      </c>
      <c r="J2419" s="89" t="s">
        <v>13622</v>
      </c>
      <c r="K2419" s="30" t="s">
        <v>425</v>
      </c>
      <c r="L2419" s="30" t="s">
        <v>13623</v>
      </c>
      <c r="M2419" s="30" t="s">
        <v>63</v>
      </c>
      <c r="N2419" s="30" t="s">
        <v>89</v>
      </c>
      <c r="O2419" s="30" t="s">
        <v>6875</v>
      </c>
      <c r="P2419" s="89" t="s">
        <v>91</v>
      </c>
      <c r="Q2419" s="89" t="s">
        <v>13624</v>
      </c>
      <c r="R2419" s="89" t="s">
        <v>13624</v>
      </c>
      <c r="S2419" s="30">
        <v>0</v>
      </c>
      <c r="T2419" s="233">
        <v>0</v>
      </c>
      <c r="U2419" s="30">
        <v>0</v>
      </c>
      <c r="V2419" s="233">
        <v>0</v>
      </c>
      <c r="W2419" s="30">
        <v>0</v>
      </c>
      <c r="X2419" s="30">
        <v>0</v>
      </c>
      <c r="Y2419" s="30">
        <v>0</v>
      </c>
      <c r="Z2419" s="233">
        <v>1</v>
      </c>
      <c r="AA2419" s="30">
        <v>0</v>
      </c>
      <c r="AB2419" s="30">
        <v>0</v>
      </c>
      <c r="AC2419" s="30">
        <v>0</v>
      </c>
      <c r="AD2419" s="30">
        <v>1</v>
      </c>
      <c r="AE2419" s="89" t="s">
        <v>92</v>
      </c>
      <c r="AF2419" s="89"/>
      <c r="AG2419" s="89" t="s">
        <v>133</v>
      </c>
      <c r="AH2419" s="72">
        <v>42952</v>
      </c>
      <c r="AI2419" s="30">
        <v>0</v>
      </c>
      <c r="AJ2419" s="89" t="s">
        <v>13625</v>
      </c>
      <c r="AK2419" s="89" t="s">
        <v>13626</v>
      </c>
      <c r="AL2419" s="91">
        <v>42864</v>
      </c>
      <c r="AM2419" s="91"/>
      <c r="AN2419" s="91"/>
      <c r="AO2419" s="91"/>
      <c r="AP2419" s="73" t="e">
        <f>MID(VLOOKUP(K2419,#REF!,2,FALSE),1,2)</f>
        <v>#REF!</v>
      </c>
      <c r="AQ2419" s="89">
        <f>DATE(2017,5,12)</f>
        <v>42867</v>
      </c>
      <c r="AR2419" s="82">
        <f t="shared" si="184"/>
        <v>12</v>
      </c>
      <c r="AS2419" s="83">
        <f t="shared" si="185"/>
        <v>5</v>
      </c>
      <c r="AT2419" s="84">
        <f t="shared" si="186"/>
        <v>2017</v>
      </c>
      <c r="AU2419" s="88">
        <f>DATE(2017,6,5)</f>
        <v>42891</v>
      </c>
      <c r="AV2419" s="88">
        <f>DATE(2017,5,30)</f>
        <v>42885</v>
      </c>
      <c r="AW2419" s="87">
        <f t="shared" si="187"/>
        <v>6</v>
      </c>
      <c r="AX2419" s="86"/>
      <c r="AY2419" s="83"/>
      <c r="AZ2419" s="84"/>
      <c r="BA2419" s="86"/>
      <c r="BB2419" s="86"/>
    </row>
    <row r="2420" spans="1:54" ht="36.75" customHeight="1">
      <c r="A2420" s="30"/>
      <c r="B2420" s="30" t="s">
        <v>55</v>
      </c>
      <c r="C2420" s="69" t="str">
        <f t="shared" si="183"/>
        <v>Closed</v>
      </c>
      <c r="D2420" s="27" t="s">
        <v>13627</v>
      </c>
      <c r="E2420" s="29" t="s">
        <v>13628</v>
      </c>
      <c r="F2420" s="30" t="s">
        <v>638</v>
      </c>
      <c r="G2420" s="89">
        <f>DATE(2017,5,12)</f>
        <v>42867</v>
      </c>
      <c r="H2420" s="90">
        <v>1.4548611111111112</v>
      </c>
      <c r="I2420" s="30" t="s">
        <v>73</v>
      </c>
      <c r="J2420" s="89" t="s">
        <v>13629</v>
      </c>
      <c r="K2420" s="30" t="s">
        <v>640</v>
      </c>
      <c r="L2420" s="30" t="s">
        <v>13630</v>
      </c>
      <c r="M2420" s="30" t="s">
        <v>63</v>
      </c>
      <c r="N2420" s="30" t="s">
        <v>142</v>
      </c>
      <c r="O2420" s="30" t="s">
        <v>86</v>
      </c>
      <c r="P2420" s="89" t="s">
        <v>462</v>
      </c>
      <c r="Q2420" s="89" t="s">
        <v>642</v>
      </c>
      <c r="R2420" s="89" t="s">
        <v>643</v>
      </c>
      <c r="S2420" s="30">
        <v>0</v>
      </c>
      <c r="T2420" s="233">
        <v>0</v>
      </c>
      <c r="U2420" s="30">
        <v>0</v>
      </c>
      <c r="V2420" s="233">
        <v>0</v>
      </c>
      <c r="W2420" s="30">
        <v>0</v>
      </c>
      <c r="X2420" s="30">
        <v>0</v>
      </c>
      <c r="Y2420" s="30">
        <v>0</v>
      </c>
      <c r="Z2420" s="233">
        <v>0</v>
      </c>
      <c r="AA2420" s="30">
        <v>0</v>
      </c>
      <c r="AB2420" s="30">
        <v>0</v>
      </c>
      <c r="AC2420" s="30">
        <v>0</v>
      </c>
      <c r="AD2420" s="30">
        <v>0</v>
      </c>
      <c r="AE2420" s="89" t="s">
        <v>92</v>
      </c>
      <c r="AF2420" s="89"/>
      <c r="AG2420" s="89" t="s">
        <v>589</v>
      </c>
      <c r="AH2420" s="72">
        <v>42885</v>
      </c>
      <c r="AI2420" s="30">
        <v>3</v>
      </c>
      <c r="AJ2420" s="89" t="s">
        <v>13631</v>
      </c>
      <c r="AK2420" s="89" t="s">
        <v>13632</v>
      </c>
      <c r="AL2420" s="91">
        <v>42891</v>
      </c>
      <c r="AM2420" s="91"/>
      <c r="AN2420" s="91"/>
      <c r="AO2420" s="91"/>
      <c r="AP2420" s="73" t="e">
        <f>MID(VLOOKUP(K2420,#REF!,2,FALSE),1,2)</f>
        <v>#REF!</v>
      </c>
      <c r="AQ2420" s="89">
        <f>DATE(2017,5,13)</f>
        <v>42868</v>
      </c>
      <c r="AR2420" s="82">
        <f t="shared" si="184"/>
        <v>13</v>
      </c>
      <c r="AS2420" s="83">
        <f t="shared" si="185"/>
        <v>5</v>
      </c>
      <c r="AT2420" s="84">
        <f t="shared" si="186"/>
        <v>2017</v>
      </c>
      <c r="AU2420" s="88">
        <f>DATE(2017,6,19)</f>
        <v>42905</v>
      </c>
      <c r="AV2420" s="88">
        <f>DATE(2017,5,13)</f>
        <v>42868</v>
      </c>
      <c r="AW2420" s="87">
        <f t="shared" si="187"/>
        <v>37</v>
      </c>
      <c r="AX2420" s="86"/>
      <c r="AY2420" s="83"/>
      <c r="AZ2420" s="84"/>
      <c r="BA2420" s="86"/>
      <c r="BB2420" s="86" t="s">
        <v>13115</v>
      </c>
    </row>
    <row r="2421" spans="1:54" ht="36.75" customHeight="1">
      <c r="A2421" s="30"/>
      <c r="B2421" s="30" t="s">
        <v>2124</v>
      </c>
      <c r="C2421" s="69" t="str">
        <f t="shared" si="183"/>
        <v>Open</v>
      </c>
      <c r="D2421" s="27" t="s">
        <v>13633</v>
      </c>
      <c r="E2421" s="29" t="s">
        <v>13634</v>
      </c>
      <c r="F2421" s="30" t="s">
        <v>5683</v>
      </c>
      <c r="G2421" s="89">
        <f>DATE(2017,5,13)</f>
        <v>42868</v>
      </c>
      <c r="H2421" s="90">
        <v>1.9027777777777777</v>
      </c>
      <c r="I2421" s="30" t="s">
        <v>73</v>
      </c>
      <c r="J2421" s="89" t="s">
        <v>13635</v>
      </c>
      <c r="K2421" s="30" t="s">
        <v>5685</v>
      </c>
      <c r="L2421" s="30" t="s">
        <v>13636</v>
      </c>
      <c r="M2421" s="30" t="s">
        <v>63</v>
      </c>
      <c r="N2421" s="30" t="s">
        <v>142</v>
      </c>
      <c r="O2421" s="30" t="s">
        <v>77</v>
      </c>
      <c r="P2421" s="89" t="s">
        <v>462</v>
      </c>
      <c r="Q2421" s="89" t="s">
        <v>5687</v>
      </c>
      <c r="R2421" s="89" t="s">
        <v>5688</v>
      </c>
      <c r="S2421" s="30">
        <v>1</v>
      </c>
      <c r="T2421" s="233">
        <v>2</v>
      </c>
      <c r="U2421" s="30">
        <v>0</v>
      </c>
      <c r="V2421" s="233">
        <v>0</v>
      </c>
      <c r="W2421" s="30">
        <v>0</v>
      </c>
      <c r="X2421" s="30">
        <v>3</v>
      </c>
      <c r="Y2421" s="30">
        <v>0</v>
      </c>
      <c r="Z2421" s="233">
        <v>1</v>
      </c>
      <c r="AA2421" s="30">
        <v>0</v>
      </c>
      <c r="AB2421" s="30">
        <v>0</v>
      </c>
      <c r="AC2421" s="30">
        <v>0</v>
      </c>
      <c r="AD2421" s="30">
        <v>1</v>
      </c>
      <c r="AE2421" s="89" t="s">
        <v>394</v>
      </c>
      <c r="AF2421" s="89"/>
      <c r="AG2421" s="89" t="s">
        <v>82</v>
      </c>
      <c r="AH2421" s="72">
        <v>42868</v>
      </c>
      <c r="AI2421" s="30">
        <v>0</v>
      </c>
      <c r="AJ2421" s="89" t="s">
        <v>68</v>
      </c>
      <c r="AK2421" s="89" t="s">
        <v>68</v>
      </c>
      <c r="AL2421" s="91">
        <v>42905</v>
      </c>
      <c r="AM2421" s="91"/>
      <c r="AN2421" s="91"/>
      <c r="AO2421" s="91"/>
      <c r="AP2421" s="73" t="e">
        <f>MID(VLOOKUP(K2421,#REF!,2,FALSE),1,2)</f>
        <v>#REF!</v>
      </c>
      <c r="AQ2421" s="89">
        <f>DATE(2017,5,15)</f>
        <v>42870</v>
      </c>
      <c r="AR2421" s="82">
        <f t="shared" si="184"/>
        <v>15</v>
      </c>
      <c r="AS2421" s="83">
        <f t="shared" si="185"/>
        <v>5</v>
      </c>
      <c r="AT2421" s="84">
        <f t="shared" si="186"/>
        <v>2017</v>
      </c>
      <c r="AU2421" s="88">
        <f>DATE(2017,5,31)</f>
        <v>42886</v>
      </c>
      <c r="AV2421" s="88">
        <f>DATE(2017,5,29)</f>
        <v>42884</v>
      </c>
      <c r="AW2421" s="87">
        <f t="shared" si="187"/>
        <v>2</v>
      </c>
      <c r="AX2421" s="86"/>
      <c r="AY2421" s="83"/>
      <c r="AZ2421" s="84"/>
      <c r="BA2421" s="86"/>
      <c r="BB2421" s="86" t="s">
        <v>13115</v>
      </c>
    </row>
    <row r="2422" spans="1:54" ht="36.75" customHeight="1">
      <c r="A2422" s="30"/>
      <c r="B2422" s="30" t="s">
        <v>55</v>
      </c>
      <c r="C2422" s="69" t="str">
        <f t="shared" si="183"/>
        <v>Closed</v>
      </c>
      <c r="D2422" s="27" t="s">
        <v>13637</v>
      </c>
      <c r="E2422" s="29" t="s">
        <v>13638</v>
      </c>
      <c r="F2422" s="30" t="s">
        <v>582</v>
      </c>
      <c r="G2422" s="89">
        <f>DATE(2017,5,15)</f>
        <v>42870</v>
      </c>
      <c r="H2422" s="90">
        <v>1.4486111111111111</v>
      </c>
      <c r="I2422" s="30" t="s">
        <v>116</v>
      </c>
      <c r="J2422" s="89" t="s">
        <v>13639</v>
      </c>
      <c r="K2422" s="30" t="s">
        <v>584</v>
      </c>
      <c r="L2422" s="30" t="s">
        <v>13640</v>
      </c>
      <c r="M2422" s="30" t="s">
        <v>63</v>
      </c>
      <c r="N2422" s="30" t="s">
        <v>142</v>
      </c>
      <c r="O2422" s="30" t="s">
        <v>64</v>
      </c>
      <c r="P2422" s="89" t="s">
        <v>165</v>
      </c>
      <c r="Q2422" s="89" t="s">
        <v>4487</v>
      </c>
      <c r="R2422" s="89" t="s">
        <v>587</v>
      </c>
      <c r="S2422" s="30">
        <v>0</v>
      </c>
      <c r="T2422" s="233">
        <v>0</v>
      </c>
      <c r="U2422" s="30">
        <v>1</v>
      </c>
      <c r="V2422" s="233">
        <v>0</v>
      </c>
      <c r="W2422" s="30">
        <v>0</v>
      </c>
      <c r="X2422" s="30">
        <v>1</v>
      </c>
      <c r="Y2422" s="30">
        <v>0</v>
      </c>
      <c r="Z2422" s="233">
        <v>0</v>
      </c>
      <c r="AA2422" s="30">
        <v>0</v>
      </c>
      <c r="AB2422" s="30">
        <v>0</v>
      </c>
      <c r="AC2422" s="30">
        <v>0</v>
      </c>
      <c r="AD2422" s="30">
        <v>0</v>
      </c>
      <c r="AE2422" s="89" t="s">
        <v>394</v>
      </c>
      <c r="AF2422" s="89"/>
      <c r="AG2422" s="89" t="s">
        <v>82</v>
      </c>
      <c r="AH2422" s="72">
        <v>42884</v>
      </c>
      <c r="AI2422" s="30">
        <v>0</v>
      </c>
      <c r="AJ2422" s="89" t="s">
        <v>13641</v>
      </c>
      <c r="AK2422" s="89" t="s">
        <v>1233</v>
      </c>
      <c r="AL2422" s="91">
        <v>42886</v>
      </c>
      <c r="AM2422" s="91"/>
      <c r="AN2422" s="91"/>
      <c r="AO2422" s="91"/>
      <c r="AP2422" s="73" t="e">
        <f>MID(VLOOKUP(K2422,#REF!,2,FALSE),1,2)</f>
        <v>#REF!</v>
      </c>
      <c r="AQ2422" s="89">
        <f>DATE(2017,5,16)</f>
        <v>42871</v>
      </c>
      <c r="AR2422" s="82">
        <f t="shared" si="184"/>
        <v>16</v>
      </c>
      <c r="AS2422" s="83">
        <f t="shared" si="185"/>
        <v>5</v>
      </c>
      <c r="AT2422" s="84">
        <f t="shared" si="186"/>
        <v>2017</v>
      </c>
      <c r="AU2422" s="88">
        <f>DATE(2017,6,21)</f>
        <v>42907</v>
      </c>
      <c r="AV2422" s="88">
        <f>DATE(2017,6,20)</f>
        <v>42906</v>
      </c>
      <c r="AW2422" s="87">
        <f t="shared" si="187"/>
        <v>1</v>
      </c>
      <c r="AX2422" s="88">
        <f>DATE(2017,6,21)</f>
        <v>42907</v>
      </c>
      <c r="AY2422" s="83">
        <f>MONTH(AX2422)</f>
        <v>6</v>
      </c>
      <c r="AZ2422" s="84">
        <f>YEAR(AX2422)</f>
        <v>2017</v>
      </c>
      <c r="BA2422" s="88">
        <f>DATE(2017,6,20)</f>
        <v>42906</v>
      </c>
      <c r="BB2422" s="86"/>
    </row>
    <row r="2423" spans="1:54" ht="36.75" customHeight="1">
      <c r="A2423" s="30"/>
      <c r="B2423" s="30" t="s">
        <v>55</v>
      </c>
      <c r="C2423" s="69" t="str">
        <f t="shared" si="183"/>
        <v>Closed</v>
      </c>
      <c r="D2423" s="27" t="s">
        <v>13642</v>
      </c>
      <c r="E2423" s="29" t="s">
        <v>13643</v>
      </c>
      <c r="F2423" s="30" t="s">
        <v>2336</v>
      </c>
      <c r="G2423" s="89">
        <f>DATE(2017,5,16)</f>
        <v>42871</v>
      </c>
      <c r="H2423" s="90">
        <v>1.8395833333333331</v>
      </c>
      <c r="I2423" s="30" t="s">
        <v>59</v>
      </c>
      <c r="J2423" s="89" t="s">
        <v>13644</v>
      </c>
      <c r="K2423" s="30" t="s">
        <v>2338</v>
      </c>
      <c r="L2423" s="30" t="s">
        <v>13645</v>
      </c>
      <c r="M2423" s="30" t="s">
        <v>63</v>
      </c>
      <c r="N2423" s="30" t="s">
        <v>142</v>
      </c>
      <c r="O2423" s="30" t="s">
        <v>77</v>
      </c>
      <c r="P2423" s="89" t="s">
        <v>78</v>
      </c>
      <c r="Q2423" s="89" t="s">
        <v>2975</v>
      </c>
      <c r="R2423" s="89" t="s">
        <v>2341</v>
      </c>
      <c r="S2423" s="30">
        <v>0</v>
      </c>
      <c r="T2423" s="233">
        <v>0</v>
      </c>
      <c r="U2423" s="30">
        <v>0</v>
      </c>
      <c r="V2423" s="233">
        <v>0</v>
      </c>
      <c r="W2423" s="30">
        <v>0</v>
      </c>
      <c r="X2423" s="30">
        <v>0</v>
      </c>
      <c r="Y2423" s="30">
        <v>0</v>
      </c>
      <c r="Z2423" s="233">
        <v>0</v>
      </c>
      <c r="AA2423" s="30">
        <v>0</v>
      </c>
      <c r="AB2423" s="30">
        <v>0</v>
      </c>
      <c r="AC2423" s="30">
        <v>0</v>
      </c>
      <c r="AD2423" s="30">
        <v>0</v>
      </c>
      <c r="AE2423" s="89" t="s">
        <v>92</v>
      </c>
      <c r="AF2423" s="89"/>
      <c r="AG2423" s="89" t="s">
        <v>1683</v>
      </c>
      <c r="AH2423" s="72">
        <v>42906</v>
      </c>
      <c r="AI2423" s="30">
        <v>9</v>
      </c>
      <c r="AJ2423" s="89" t="s">
        <v>13646</v>
      </c>
      <c r="AK2423" s="89" t="s">
        <v>13647</v>
      </c>
      <c r="AL2423" s="91">
        <v>42907</v>
      </c>
      <c r="AM2423" s="91"/>
      <c r="AN2423" s="91"/>
      <c r="AO2423" s="91"/>
      <c r="AP2423" s="73" t="e">
        <f>MID(VLOOKUP(K2423,#REF!,2,FALSE),1,2)</f>
        <v>#REF!</v>
      </c>
      <c r="AQ2423" s="89">
        <f>DATE(2017,5,19)</f>
        <v>42874</v>
      </c>
      <c r="AR2423" s="82">
        <f t="shared" si="184"/>
        <v>19</v>
      </c>
      <c r="AS2423" s="83">
        <f t="shared" si="185"/>
        <v>5</v>
      </c>
      <c r="AT2423" s="84">
        <f t="shared" si="186"/>
        <v>2017</v>
      </c>
      <c r="AU2423" s="88">
        <f>DATE(2017,5,24)</f>
        <v>42879</v>
      </c>
      <c r="AV2423" s="88">
        <f>DATE(2017,5,19)</f>
        <v>42874</v>
      </c>
      <c r="AW2423" s="87">
        <f t="shared" si="187"/>
        <v>5</v>
      </c>
      <c r="AX2423" s="88">
        <f>DATE(2017,5,24)</f>
        <v>42879</v>
      </c>
      <c r="AY2423" s="83">
        <f>MONTH(AX2423)</f>
        <v>5</v>
      </c>
      <c r="AZ2423" s="84">
        <f>YEAR(AX2423)</f>
        <v>2017</v>
      </c>
      <c r="BA2423" s="88">
        <f>DATE(2017,5,23)</f>
        <v>42878</v>
      </c>
      <c r="BB2423" s="86" t="s">
        <v>13317</v>
      </c>
    </row>
    <row r="2424" spans="1:54" ht="36.75" customHeight="1">
      <c r="A2424" s="30"/>
      <c r="B2424" s="30" t="s">
        <v>55</v>
      </c>
      <c r="C2424" s="69" t="str">
        <f t="shared" si="183"/>
        <v>Closed</v>
      </c>
      <c r="D2424" s="27" t="s">
        <v>13648</v>
      </c>
      <c r="E2424" s="29" t="s">
        <v>13649</v>
      </c>
      <c r="F2424" s="30" t="s">
        <v>1770</v>
      </c>
      <c r="G2424" s="89">
        <f>DATE(2017,5,19)</f>
        <v>42874</v>
      </c>
      <c r="H2424" s="90">
        <v>1.1354166666666667</v>
      </c>
      <c r="I2424" s="30" t="s">
        <v>73</v>
      </c>
      <c r="J2424" s="89" t="s">
        <v>13650</v>
      </c>
      <c r="K2424" s="30" t="s">
        <v>1772</v>
      </c>
      <c r="L2424" s="30" t="s">
        <v>13651</v>
      </c>
      <c r="M2424" s="30" t="s">
        <v>63</v>
      </c>
      <c r="N2424" s="30" t="s">
        <v>142</v>
      </c>
      <c r="O2424" s="30" t="s">
        <v>64</v>
      </c>
      <c r="P2424" s="89" t="s">
        <v>78</v>
      </c>
      <c r="Q2424" s="89" t="s">
        <v>6501</v>
      </c>
      <c r="R2424" s="89" t="s">
        <v>1775</v>
      </c>
      <c r="S2424" s="30">
        <v>0</v>
      </c>
      <c r="T2424" s="233">
        <v>0</v>
      </c>
      <c r="U2424" s="30">
        <v>0</v>
      </c>
      <c r="V2424" s="233">
        <v>0</v>
      </c>
      <c r="W2424" s="30">
        <v>0</v>
      </c>
      <c r="X2424" s="30">
        <v>0</v>
      </c>
      <c r="Y2424" s="30">
        <v>0</v>
      </c>
      <c r="Z2424" s="233">
        <v>0</v>
      </c>
      <c r="AA2424" s="30">
        <v>0</v>
      </c>
      <c r="AB2424" s="30">
        <v>0</v>
      </c>
      <c r="AC2424" s="30">
        <v>0</v>
      </c>
      <c r="AD2424" s="30">
        <v>0</v>
      </c>
      <c r="AE2424" s="89" t="s">
        <v>145</v>
      </c>
      <c r="AF2424" s="89"/>
      <c r="AG2424" s="89" t="s">
        <v>82</v>
      </c>
      <c r="AH2424" s="72">
        <v>42874</v>
      </c>
      <c r="AI2424" s="30">
        <v>0</v>
      </c>
      <c r="AJ2424" s="89" t="s">
        <v>13652</v>
      </c>
      <c r="AK2424" s="89" t="s">
        <v>13653</v>
      </c>
      <c r="AL2424" s="91">
        <v>42879</v>
      </c>
      <c r="AM2424" s="91"/>
      <c r="AN2424" s="91"/>
      <c r="AO2424" s="91"/>
      <c r="AP2424" s="73" t="e">
        <f>MID(VLOOKUP(K2424,#REF!,2,FALSE),1,2)</f>
        <v>#REF!</v>
      </c>
      <c r="AQ2424" s="89">
        <f>DATE(2017,5,19)</f>
        <v>42874</v>
      </c>
      <c r="AR2424" s="82">
        <f t="shared" si="184"/>
        <v>19</v>
      </c>
      <c r="AS2424" s="83">
        <f t="shared" si="185"/>
        <v>5</v>
      </c>
      <c r="AT2424" s="84">
        <f t="shared" si="186"/>
        <v>2017</v>
      </c>
      <c r="AU2424" s="88">
        <f>DATE(2017,6,19)</f>
        <v>42905</v>
      </c>
      <c r="AV2424" s="88">
        <f>DATE(2017,6,9)</f>
        <v>42895</v>
      </c>
      <c r="AW2424" s="87">
        <f t="shared" si="187"/>
        <v>10</v>
      </c>
      <c r="AX2424" s="86"/>
      <c r="AY2424" s="83"/>
      <c r="AZ2424" s="84"/>
      <c r="BA2424" s="86"/>
      <c r="BB2424" s="86" t="s">
        <v>13115</v>
      </c>
    </row>
    <row r="2425" spans="1:54" ht="36.75" customHeight="1">
      <c r="A2425" s="30"/>
      <c r="B2425" s="30" t="s">
        <v>55</v>
      </c>
      <c r="C2425" s="69" t="str">
        <f t="shared" si="183"/>
        <v>Closed</v>
      </c>
      <c r="D2425" s="27" t="s">
        <v>13654</v>
      </c>
      <c r="E2425" s="29" t="s">
        <v>13655</v>
      </c>
      <c r="F2425" s="30" t="s">
        <v>582</v>
      </c>
      <c r="G2425" s="89">
        <f>DATE(2017,5,19)</f>
        <v>42874</v>
      </c>
      <c r="H2425" s="90">
        <v>1.8118055555555554</v>
      </c>
      <c r="I2425" s="30" t="s">
        <v>156</v>
      </c>
      <c r="J2425" s="89" t="s">
        <v>13656</v>
      </c>
      <c r="K2425" s="30" t="s">
        <v>584</v>
      </c>
      <c r="L2425" s="30" t="s">
        <v>13657</v>
      </c>
      <c r="M2425" s="30" t="s">
        <v>63</v>
      </c>
      <c r="N2425" s="30" t="s">
        <v>142</v>
      </c>
      <c r="O2425" s="30" t="s">
        <v>64</v>
      </c>
      <c r="P2425" s="89" t="s">
        <v>165</v>
      </c>
      <c r="Q2425" s="89" t="s">
        <v>4487</v>
      </c>
      <c r="R2425" s="89" t="s">
        <v>587</v>
      </c>
      <c r="S2425" s="30">
        <v>0</v>
      </c>
      <c r="T2425" s="233">
        <v>0</v>
      </c>
      <c r="U2425" s="30">
        <v>0</v>
      </c>
      <c r="V2425" s="233">
        <v>0</v>
      </c>
      <c r="W2425" s="30">
        <v>0</v>
      </c>
      <c r="X2425" s="30">
        <v>0</v>
      </c>
      <c r="Y2425" s="30">
        <v>0</v>
      </c>
      <c r="Z2425" s="233">
        <v>0</v>
      </c>
      <c r="AA2425" s="30">
        <v>0</v>
      </c>
      <c r="AB2425" s="30">
        <v>0</v>
      </c>
      <c r="AC2425" s="30">
        <v>0</v>
      </c>
      <c r="AD2425" s="30">
        <v>0</v>
      </c>
      <c r="AE2425" s="89" t="s">
        <v>394</v>
      </c>
      <c r="AF2425" s="89" t="s">
        <v>13658</v>
      </c>
      <c r="AG2425" s="89" t="s">
        <v>8859</v>
      </c>
      <c r="AH2425" s="72">
        <v>42895</v>
      </c>
      <c r="AI2425" s="30">
        <v>0</v>
      </c>
      <c r="AJ2425" s="89" t="s">
        <v>13659</v>
      </c>
      <c r="AK2425" s="89" t="s">
        <v>68</v>
      </c>
      <c r="AL2425" s="91">
        <v>42905</v>
      </c>
      <c r="AM2425" s="91"/>
      <c r="AN2425" s="91"/>
      <c r="AO2425" s="91"/>
      <c r="AP2425" s="73" t="e">
        <f>MID(VLOOKUP(K2425,#REF!,2,FALSE),1,2)</f>
        <v>#REF!</v>
      </c>
      <c r="AQ2425" s="89">
        <f>DATE(2017,5,20)</f>
        <v>42875</v>
      </c>
      <c r="AR2425" s="82">
        <f t="shared" si="184"/>
        <v>20</v>
      </c>
      <c r="AS2425" s="83">
        <f t="shared" si="185"/>
        <v>5</v>
      </c>
      <c r="AT2425" s="84">
        <f t="shared" si="186"/>
        <v>2017</v>
      </c>
      <c r="AU2425" s="88">
        <f>DATE(2017,5,23)</f>
        <v>42878</v>
      </c>
      <c r="AV2425" s="88">
        <f>DATE(2017,5,23)</f>
        <v>42878</v>
      </c>
      <c r="AW2425" s="87">
        <f t="shared" si="187"/>
        <v>0</v>
      </c>
      <c r="AX2425" s="88">
        <f>DATE(2017,5,25)</f>
        <v>42880</v>
      </c>
      <c r="AY2425" s="83">
        <f>MONTH(AX2425)</f>
        <v>5</v>
      </c>
      <c r="AZ2425" s="84">
        <f>YEAR(AX2425)</f>
        <v>2017</v>
      </c>
      <c r="BA2425" s="88">
        <f>DATE(2017,5,20)</f>
        <v>42875</v>
      </c>
      <c r="BB2425" s="86"/>
    </row>
    <row r="2426" spans="1:54" ht="36.75" customHeight="1">
      <c r="A2426" s="30"/>
      <c r="B2426" s="30" t="s">
        <v>55</v>
      </c>
      <c r="C2426" s="69" t="str">
        <f t="shared" si="183"/>
        <v>Closed</v>
      </c>
      <c r="D2426" s="27" t="s">
        <v>13660</v>
      </c>
      <c r="E2426" s="29" t="s">
        <v>13661</v>
      </c>
      <c r="F2426" s="30" t="s">
        <v>1572</v>
      </c>
      <c r="G2426" s="89">
        <f>DATE(2017,5,20)</f>
        <v>42875</v>
      </c>
      <c r="H2426" s="90">
        <v>1.7048611111111112</v>
      </c>
      <c r="I2426" s="30" t="s">
        <v>73</v>
      </c>
      <c r="J2426" s="89" t="s">
        <v>13662</v>
      </c>
      <c r="K2426" s="30" t="s">
        <v>1574</v>
      </c>
      <c r="L2426" s="30" t="s">
        <v>13663</v>
      </c>
      <c r="M2426" s="30" t="s">
        <v>63</v>
      </c>
      <c r="N2426" s="30" t="s">
        <v>142</v>
      </c>
      <c r="O2426" s="30" t="s">
        <v>77</v>
      </c>
      <c r="P2426" s="89" t="s">
        <v>78</v>
      </c>
      <c r="Q2426" s="89" t="s">
        <v>2655</v>
      </c>
      <c r="R2426" s="89" t="s">
        <v>6434</v>
      </c>
      <c r="S2426" s="30">
        <v>0</v>
      </c>
      <c r="T2426" s="233">
        <v>0</v>
      </c>
      <c r="U2426" s="30">
        <v>0</v>
      </c>
      <c r="V2426" s="233">
        <v>0</v>
      </c>
      <c r="W2426" s="30">
        <v>0</v>
      </c>
      <c r="X2426" s="30">
        <v>0</v>
      </c>
      <c r="Y2426" s="30">
        <v>0</v>
      </c>
      <c r="Z2426" s="233">
        <v>0</v>
      </c>
      <c r="AA2426" s="30">
        <v>0</v>
      </c>
      <c r="AB2426" s="30">
        <v>0</v>
      </c>
      <c r="AC2426" s="30">
        <v>0</v>
      </c>
      <c r="AD2426" s="30">
        <v>0</v>
      </c>
      <c r="AE2426" s="89" t="s">
        <v>92</v>
      </c>
      <c r="AF2426" s="89"/>
      <c r="AG2426" s="89" t="s">
        <v>133</v>
      </c>
      <c r="AH2426" s="72">
        <v>42878</v>
      </c>
      <c r="AI2426" s="30">
        <v>2</v>
      </c>
      <c r="AJ2426" s="89" t="s">
        <v>13664</v>
      </c>
      <c r="AK2426" s="89" t="s">
        <v>13665</v>
      </c>
      <c r="AL2426" s="91">
        <v>42878</v>
      </c>
      <c r="AM2426" s="91"/>
      <c r="AN2426" s="91"/>
      <c r="AO2426" s="91"/>
      <c r="AP2426" s="73" t="e">
        <f>MID(VLOOKUP(K2426,#REF!,2,FALSE),1,2)</f>
        <v>#REF!</v>
      </c>
      <c r="AQ2426" s="89">
        <f>DATE(2017,5,23)</f>
        <v>42878</v>
      </c>
      <c r="AR2426" s="82">
        <f t="shared" si="184"/>
        <v>23</v>
      </c>
      <c r="AS2426" s="83">
        <f t="shared" si="185"/>
        <v>5</v>
      </c>
      <c r="AT2426" s="84">
        <f t="shared" si="186"/>
        <v>2017</v>
      </c>
      <c r="AU2426" s="88">
        <f>DATE(2017,5,24)</f>
        <v>42879</v>
      </c>
      <c r="AV2426" s="88">
        <f>DATE(2017,5,23)</f>
        <v>42878</v>
      </c>
      <c r="AW2426" s="87">
        <f t="shared" si="187"/>
        <v>1</v>
      </c>
      <c r="AX2426" s="106"/>
      <c r="AY2426" s="83"/>
      <c r="AZ2426" s="84"/>
      <c r="BA2426" s="106"/>
      <c r="BB2426" s="106"/>
    </row>
    <row r="2427" spans="1:54" ht="36.75" customHeight="1">
      <c r="A2427" s="30"/>
      <c r="B2427" s="30" t="s">
        <v>55</v>
      </c>
      <c r="C2427" s="69" t="str">
        <f t="shared" si="183"/>
        <v>Closed</v>
      </c>
      <c r="D2427" s="27" t="s">
        <v>13666</v>
      </c>
      <c r="E2427" s="29" t="s">
        <v>13667</v>
      </c>
      <c r="F2427" s="30" t="s">
        <v>423</v>
      </c>
      <c r="G2427" s="89">
        <f>DATE(2017,5,23)</f>
        <v>42878</v>
      </c>
      <c r="H2427" s="90">
        <v>1.1034722222222222</v>
      </c>
      <c r="I2427" s="30" t="s">
        <v>73</v>
      </c>
      <c r="J2427" s="89" t="s">
        <v>13668</v>
      </c>
      <c r="K2427" s="30" t="s">
        <v>425</v>
      </c>
      <c r="L2427" s="30" t="s">
        <v>13669</v>
      </c>
      <c r="M2427" s="30" t="s">
        <v>63</v>
      </c>
      <c r="N2427" s="30" t="s">
        <v>99</v>
      </c>
      <c r="O2427" s="30" t="s">
        <v>6875</v>
      </c>
      <c r="P2427" s="89" t="s">
        <v>91</v>
      </c>
      <c r="Q2427" s="89" t="s">
        <v>5199</v>
      </c>
      <c r="R2427" s="89" t="s">
        <v>5200</v>
      </c>
      <c r="S2427" s="30">
        <v>0</v>
      </c>
      <c r="T2427" s="233">
        <v>0</v>
      </c>
      <c r="U2427" s="30">
        <v>0</v>
      </c>
      <c r="V2427" s="233">
        <v>0</v>
      </c>
      <c r="W2427" s="30">
        <v>0</v>
      </c>
      <c r="X2427" s="30">
        <v>0</v>
      </c>
      <c r="Y2427" s="30">
        <v>0</v>
      </c>
      <c r="Z2427" s="233">
        <v>0</v>
      </c>
      <c r="AA2427" s="30">
        <v>0</v>
      </c>
      <c r="AB2427" s="30">
        <v>0</v>
      </c>
      <c r="AC2427" s="30">
        <v>0</v>
      </c>
      <c r="AD2427" s="30">
        <v>0</v>
      </c>
      <c r="AE2427" s="89" t="s">
        <v>92</v>
      </c>
      <c r="AF2427" s="89"/>
      <c r="AG2427" s="89" t="s">
        <v>133</v>
      </c>
      <c r="AH2427" s="72">
        <v>42878</v>
      </c>
      <c r="AI2427" s="30">
        <v>1</v>
      </c>
      <c r="AJ2427" s="89" t="s">
        <v>13670</v>
      </c>
      <c r="AK2427" s="89" t="s">
        <v>13671</v>
      </c>
      <c r="AL2427" s="91">
        <v>42879</v>
      </c>
      <c r="AM2427" s="91"/>
      <c r="AN2427" s="91"/>
      <c r="AO2427" s="91"/>
      <c r="AP2427" s="73" t="e">
        <f>MID(VLOOKUP(K2427,#REF!,2,FALSE),1,2)</f>
        <v>#REF!</v>
      </c>
      <c r="AQ2427" s="89">
        <f>DATE(2017,5,23)</f>
        <v>42878</v>
      </c>
      <c r="AR2427" s="82">
        <f t="shared" ref="AR2427:AR2458" si="188">DAY(AQ2427)</f>
        <v>23</v>
      </c>
      <c r="AS2427" s="83">
        <f t="shared" ref="AS2427:AS2458" si="189">MONTH(AQ2427)</f>
        <v>5</v>
      </c>
      <c r="AT2427" s="84">
        <f t="shared" ref="AT2427:AT2458" si="190">YEAR(AQ2427)</f>
        <v>2017</v>
      </c>
      <c r="AU2427" s="88">
        <f>DATE(2017,6,29)</f>
        <v>42915</v>
      </c>
      <c r="AV2427" s="88">
        <f>DATE(2017,6,27)</f>
        <v>42913</v>
      </c>
      <c r="AW2427" s="87">
        <f t="shared" si="187"/>
        <v>2</v>
      </c>
      <c r="AX2427" s="86"/>
      <c r="AY2427" s="83"/>
      <c r="AZ2427" s="84"/>
      <c r="BA2427" s="86"/>
      <c r="BB2427" s="86"/>
    </row>
    <row r="2428" spans="1:54" ht="36.75" customHeight="1">
      <c r="A2428" s="30"/>
      <c r="B2428" s="30" t="s">
        <v>55</v>
      </c>
      <c r="C2428" s="69" t="str">
        <f t="shared" si="183"/>
        <v>Closed</v>
      </c>
      <c r="D2428" s="27" t="s">
        <v>13672</v>
      </c>
      <c r="E2428" s="29" t="s">
        <v>13673</v>
      </c>
      <c r="F2428" s="30" t="s">
        <v>638</v>
      </c>
      <c r="G2428" s="89">
        <f>DATE(2017,5,23)</f>
        <v>42878</v>
      </c>
      <c r="H2428" s="90">
        <v>1.5194444444444444</v>
      </c>
      <c r="I2428" s="30" t="s">
        <v>73</v>
      </c>
      <c r="J2428" s="89" t="s">
        <v>13674</v>
      </c>
      <c r="K2428" s="30" t="s">
        <v>640</v>
      </c>
      <c r="L2428" s="30" t="s">
        <v>13675</v>
      </c>
      <c r="M2428" s="30" t="s">
        <v>63</v>
      </c>
      <c r="N2428" s="30" t="s">
        <v>99</v>
      </c>
      <c r="O2428" s="30" t="s">
        <v>64</v>
      </c>
      <c r="P2428" s="89" t="s">
        <v>78</v>
      </c>
      <c r="Q2428" s="89" t="s">
        <v>640</v>
      </c>
      <c r="R2428" s="89" t="s">
        <v>643</v>
      </c>
      <c r="S2428" s="30">
        <v>0</v>
      </c>
      <c r="T2428" s="233">
        <v>0</v>
      </c>
      <c r="U2428" s="30">
        <v>0</v>
      </c>
      <c r="V2428" s="233">
        <v>0</v>
      </c>
      <c r="W2428" s="30">
        <v>0</v>
      </c>
      <c r="X2428" s="30">
        <v>0</v>
      </c>
      <c r="Y2428" s="30">
        <v>0</v>
      </c>
      <c r="Z2428" s="233">
        <v>0</v>
      </c>
      <c r="AA2428" s="30">
        <v>0</v>
      </c>
      <c r="AB2428" s="30">
        <v>0</v>
      </c>
      <c r="AC2428" s="30">
        <v>0</v>
      </c>
      <c r="AD2428" s="30">
        <v>0</v>
      </c>
      <c r="AE2428" s="89" t="s">
        <v>92</v>
      </c>
      <c r="AF2428" s="89"/>
      <c r="AG2428" s="89" t="s">
        <v>589</v>
      </c>
      <c r="AH2428" s="72">
        <v>42913</v>
      </c>
      <c r="AI2428" s="30">
        <v>2</v>
      </c>
      <c r="AJ2428" s="89" t="s">
        <v>13676</v>
      </c>
      <c r="AK2428" s="89" t="s">
        <v>13677</v>
      </c>
      <c r="AL2428" s="91">
        <v>42915</v>
      </c>
      <c r="AM2428" s="91"/>
      <c r="AN2428" s="91"/>
      <c r="AO2428" s="91"/>
      <c r="AP2428" s="73" t="e">
        <f>MID(VLOOKUP(K2428,#REF!,2,FALSE),1,2)</f>
        <v>#REF!</v>
      </c>
      <c r="AQ2428" s="89">
        <f>DATE(2017,5,27)</f>
        <v>42882</v>
      </c>
      <c r="AR2428" s="82">
        <f t="shared" si="188"/>
        <v>27</v>
      </c>
      <c r="AS2428" s="83">
        <f t="shared" si="189"/>
        <v>5</v>
      </c>
      <c r="AT2428" s="84">
        <f t="shared" si="190"/>
        <v>2017</v>
      </c>
      <c r="AU2428" s="86"/>
      <c r="AV2428" s="86"/>
      <c r="AW2428" s="87"/>
      <c r="AX2428" s="86"/>
      <c r="AY2428" s="83"/>
      <c r="AZ2428" s="84"/>
      <c r="BA2428" s="86"/>
      <c r="BB2428" s="86"/>
    </row>
    <row r="2429" spans="1:54" ht="36.75" customHeight="1">
      <c r="A2429" s="30"/>
      <c r="B2429" s="30" t="s">
        <v>55</v>
      </c>
      <c r="C2429" s="69" t="str">
        <f t="shared" si="183"/>
        <v>Closed</v>
      </c>
      <c r="D2429" s="27" t="s">
        <v>13678</v>
      </c>
      <c r="E2429" s="29" t="s">
        <v>13679</v>
      </c>
      <c r="F2429" s="30" t="s">
        <v>835</v>
      </c>
      <c r="G2429" s="89">
        <f>DATE(2017,5,27)</f>
        <v>42882</v>
      </c>
      <c r="H2429" s="90">
        <v>1.8368055555555554</v>
      </c>
      <c r="I2429" s="30" t="s">
        <v>73</v>
      </c>
      <c r="J2429" s="89" t="s">
        <v>13680</v>
      </c>
      <c r="K2429" s="30" t="s">
        <v>837</v>
      </c>
      <c r="L2429" s="30" t="s">
        <v>13681</v>
      </c>
      <c r="M2429" s="30" t="s">
        <v>63</v>
      </c>
      <c r="N2429" s="30" t="s">
        <v>142</v>
      </c>
      <c r="O2429" s="30" t="s">
        <v>77</v>
      </c>
      <c r="P2429" s="89" t="s">
        <v>78</v>
      </c>
      <c r="Q2429" s="89" t="s">
        <v>3777</v>
      </c>
      <c r="R2429" s="89" t="s">
        <v>840</v>
      </c>
      <c r="S2429" s="30">
        <v>0</v>
      </c>
      <c r="T2429" s="233">
        <v>0</v>
      </c>
      <c r="U2429" s="30">
        <v>0</v>
      </c>
      <c r="V2429" s="233">
        <v>0</v>
      </c>
      <c r="W2429" s="30">
        <v>0</v>
      </c>
      <c r="X2429" s="30">
        <v>0</v>
      </c>
      <c r="Y2429" s="30">
        <v>0</v>
      </c>
      <c r="Z2429" s="233">
        <v>0</v>
      </c>
      <c r="AA2429" s="30">
        <v>0</v>
      </c>
      <c r="AB2429" s="30">
        <v>0</v>
      </c>
      <c r="AC2429" s="30">
        <v>0</v>
      </c>
      <c r="AD2429" s="30">
        <v>0</v>
      </c>
      <c r="AE2429" s="89" t="s">
        <v>394</v>
      </c>
      <c r="AF2429" s="89"/>
      <c r="AG2429" s="89" t="s">
        <v>133</v>
      </c>
      <c r="AH2429" s="72">
        <v>42885</v>
      </c>
      <c r="AI2429" s="30">
        <v>1</v>
      </c>
      <c r="AJ2429" s="89" t="s">
        <v>13682</v>
      </c>
      <c r="AK2429" s="89" t="s">
        <v>68</v>
      </c>
      <c r="AL2429" s="91">
        <v>42885</v>
      </c>
      <c r="AM2429" s="91"/>
      <c r="AN2429" s="91"/>
      <c r="AO2429" s="91"/>
      <c r="AP2429" s="73" t="e">
        <f>MID(VLOOKUP(K2429,#REF!,2,FALSE),1,2)</f>
        <v>#REF!</v>
      </c>
      <c r="AQ2429" s="89">
        <f>DATE(2017,5,28)</f>
        <v>42883</v>
      </c>
      <c r="AR2429" s="82">
        <f t="shared" si="188"/>
        <v>28</v>
      </c>
      <c r="AS2429" s="83">
        <f t="shared" si="189"/>
        <v>5</v>
      </c>
      <c r="AT2429" s="84">
        <f t="shared" si="190"/>
        <v>2017</v>
      </c>
      <c r="AU2429" s="88">
        <f>DATE(2017,5,30)</f>
        <v>42885</v>
      </c>
      <c r="AV2429" s="88">
        <f>DATE(2017,5,29)</f>
        <v>42884</v>
      </c>
      <c r="AW2429" s="87">
        <f t="shared" ref="AW2429:AW2450" si="191">AU2429-AV2429</f>
        <v>1</v>
      </c>
      <c r="AX2429" s="88">
        <f>DATE(2017,5,30)</f>
        <v>42885</v>
      </c>
      <c r="AY2429" s="83">
        <f>MONTH(AX2429)</f>
        <v>5</v>
      </c>
      <c r="AZ2429" s="84">
        <f>YEAR(AX2429)</f>
        <v>2017</v>
      </c>
      <c r="BA2429" s="88">
        <f>DATE(2017,5,28)</f>
        <v>42883</v>
      </c>
      <c r="BB2429" s="86"/>
    </row>
    <row r="2430" spans="1:54" ht="36.75" customHeight="1">
      <c r="A2430" s="30"/>
      <c r="B2430" s="30" t="s">
        <v>55</v>
      </c>
      <c r="C2430" s="69" t="str">
        <f t="shared" si="183"/>
        <v>Closed</v>
      </c>
      <c r="D2430" s="27" t="s">
        <v>13683</v>
      </c>
      <c r="E2430" s="29" t="s">
        <v>13684</v>
      </c>
      <c r="F2430" s="30" t="s">
        <v>1572</v>
      </c>
      <c r="G2430" s="89">
        <f>DATE(2017,5,28)</f>
        <v>42883</v>
      </c>
      <c r="H2430" s="90">
        <v>1.2083333333333333</v>
      </c>
      <c r="I2430" s="30" t="s">
        <v>125</v>
      </c>
      <c r="J2430" s="89" t="s">
        <v>13685</v>
      </c>
      <c r="K2430" s="30" t="s">
        <v>1574</v>
      </c>
      <c r="L2430" s="30" t="s">
        <v>13686</v>
      </c>
      <c r="M2430" s="30" t="s">
        <v>63</v>
      </c>
      <c r="N2430" s="30" t="s">
        <v>99</v>
      </c>
      <c r="O2430" s="30" t="s">
        <v>64</v>
      </c>
      <c r="P2430" s="89" t="s">
        <v>78</v>
      </c>
      <c r="Q2430" s="89" t="s">
        <v>6093</v>
      </c>
      <c r="R2430" s="89" t="s">
        <v>1574</v>
      </c>
      <c r="S2430" s="30">
        <v>0</v>
      </c>
      <c r="T2430" s="233">
        <v>0</v>
      </c>
      <c r="U2430" s="30">
        <v>0</v>
      </c>
      <c r="V2430" s="233">
        <v>0</v>
      </c>
      <c r="W2430" s="30">
        <v>0</v>
      </c>
      <c r="X2430" s="30">
        <v>0</v>
      </c>
      <c r="Y2430" s="30">
        <v>0</v>
      </c>
      <c r="Z2430" s="233">
        <v>0</v>
      </c>
      <c r="AA2430" s="30">
        <v>0</v>
      </c>
      <c r="AB2430" s="30">
        <v>0</v>
      </c>
      <c r="AC2430" s="30">
        <v>0</v>
      </c>
      <c r="AD2430" s="30">
        <v>0</v>
      </c>
      <c r="AE2430" s="89" t="s">
        <v>92</v>
      </c>
      <c r="AF2430" s="89"/>
      <c r="AG2430" s="89" t="s">
        <v>133</v>
      </c>
      <c r="AH2430" s="72">
        <v>42884</v>
      </c>
      <c r="AI2430" s="30">
        <v>2</v>
      </c>
      <c r="AJ2430" s="89" t="s">
        <v>13687</v>
      </c>
      <c r="AK2430" s="89" t="s">
        <v>13688</v>
      </c>
      <c r="AL2430" s="91">
        <v>42885</v>
      </c>
      <c r="AM2430" s="91"/>
      <c r="AN2430" s="91"/>
      <c r="AO2430" s="91"/>
      <c r="AP2430" s="73" t="e">
        <f>MID(VLOOKUP(K2430,#REF!,2,FALSE),1,2)</f>
        <v>#REF!</v>
      </c>
      <c r="AQ2430" s="89">
        <f>DATE(2017,5,28)</f>
        <v>42883</v>
      </c>
      <c r="AR2430" s="82">
        <f t="shared" si="188"/>
        <v>28</v>
      </c>
      <c r="AS2430" s="83">
        <f t="shared" si="189"/>
        <v>5</v>
      </c>
      <c r="AT2430" s="84">
        <f t="shared" si="190"/>
        <v>2017</v>
      </c>
      <c r="AU2430" s="88">
        <f>DATE(2017,6,29)</f>
        <v>42915</v>
      </c>
      <c r="AV2430" s="88">
        <f>DATE(2017,6,12)</f>
        <v>42898</v>
      </c>
      <c r="AW2430" s="87">
        <f t="shared" si="191"/>
        <v>17</v>
      </c>
      <c r="AX2430" s="88">
        <f>DATE(2017,6,29)</f>
        <v>42915</v>
      </c>
      <c r="AY2430" s="83">
        <f>MONTH(AX2430)</f>
        <v>6</v>
      </c>
      <c r="AZ2430" s="84">
        <f>YEAR(AX2430)</f>
        <v>2017</v>
      </c>
      <c r="BA2430" s="88"/>
      <c r="BB2430" s="86"/>
    </row>
    <row r="2431" spans="1:54" ht="36.75" customHeight="1">
      <c r="A2431" s="30"/>
      <c r="B2431" s="30" t="s">
        <v>55</v>
      </c>
      <c r="C2431" s="69" t="str">
        <f t="shared" si="183"/>
        <v>Closed</v>
      </c>
      <c r="D2431" s="27" t="s">
        <v>13689</v>
      </c>
      <c r="E2431" s="29" t="s">
        <v>13690</v>
      </c>
      <c r="F2431" s="30" t="s">
        <v>233</v>
      </c>
      <c r="G2431" s="89">
        <f>DATE(2017,5,28)</f>
        <v>42883</v>
      </c>
      <c r="H2431" s="90">
        <v>1.3402777777777777</v>
      </c>
      <c r="I2431" s="30" t="s">
        <v>487</v>
      </c>
      <c r="J2431" s="89" t="s">
        <v>13691</v>
      </c>
      <c r="K2431" s="30" t="s">
        <v>235</v>
      </c>
      <c r="L2431" s="30" t="s">
        <v>13692</v>
      </c>
      <c r="M2431" s="30" t="s">
        <v>63</v>
      </c>
      <c r="N2431" s="30" t="s">
        <v>142</v>
      </c>
      <c r="O2431" s="30" t="s">
        <v>64</v>
      </c>
      <c r="P2431" s="89" t="s">
        <v>86</v>
      </c>
      <c r="Q2431" s="89" t="s">
        <v>718</v>
      </c>
      <c r="R2431" s="89" t="s">
        <v>235</v>
      </c>
      <c r="S2431" s="30">
        <v>0</v>
      </c>
      <c r="T2431" s="233">
        <v>0</v>
      </c>
      <c r="U2431" s="30">
        <v>0</v>
      </c>
      <c r="V2431" s="233">
        <v>0</v>
      </c>
      <c r="W2431" s="30">
        <v>0</v>
      </c>
      <c r="X2431" s="30">
        <v>0</v>
      </c>
      <c r="Y2431" s="30">
        <v>0</v>
      </c>
      <c r="Z2431" s="233">
        <v>0</v>
      </c>
      <c r="AA2431" s="30">
        <v>0</v>
      </c>
      <c r="AB2431" s="30">
        <v>0</v>
      </c>
      <c r="AC2431" s="30">
        <v>0</v>
      </c>
      <c r="AD2431" s="30">
        <v>0</v>
      </c>
      <c r="AE2431" s="89" t="s">
        <v>92</v>
      </c>
      <c r="AF2431" s="89"/>
      <c r="AG2431" s="89" t="s">
        <v>133</v>
      </c>
      <c r="AH2431" s="72">
        <v>42898</v>
      </c>
      <c r="AI2431" s="30">
        <v>3</v>
      </c>
      <c r="AJ2431" s="89" t="s">
        <v>13693</v>
      </c>
      <c r="AK2431" s="89" t="s">
        <v>13694</v>
      </c>
      <c r="AL2431" s="91">
        <v>42915</v>
      </c>
      <c r="AM2431" s="91"/>
      <c r="AN2431" s="91"/>
      <c r="AO2431" s="91"/>
      <c r="AP2431" s="73" t="e">
        <f>MID(VLOOKUP(K2431,#REF!,2,FALSE),1,2)</f>
        <v>#REF!</v>
      </c>
      <c r="AQ2431" s="89">
        <f>DATE(2017,5,31)</f>
        <v>42886</v>
      </c>
      <c r="AR2431" s="82">
        <f t="shared" si="188"/>
        <v>31</v>
      </c>
      <c r="AS2431" s="83">
        <f t="shared" si="189"/>
        <v>5</v>
      </c>
      <c r="AT2431" s="84">
        <f t="shared" si="190"/>
        <v>2017</v>
      </c>
      <c r="AU2431" s="88">
        <f>DATE(2017,11,16)</f>
        <v>43055</v>
      </c>
      <c r="AV2431" s="88">
        <f>DATE(2017,7,7)</f>
        <v>42923</v>
      </c>
      <c r="AW2431" s="87">
        <f t="shared" si="191"/>
        <v>132</v>
      </c>
      <c r="AX2431" s="86"/>
      <c r="AY2431" s="83"/>
      <c r="AZ2431" s="84"/>
      <c r="BA2431" s="86"/>
      <c r="BB2431" s="86" t="s">
        <v>13115</v>
      </c>
    </row>
    <row r="2432" spans="1:54" ht="36.75" customHeight="1">
      <c r="A2432" s="30"/>
      <c r="B2432" s="30" t="s">
        <v>55</v>
      </c>
      <c r="C2432" s="69" t="str">
        <f t="shared" si="183"/>
        <v>Closed</v>
      </c>
      <c r="D2432" s="27" t="s">
        <v>13695</v>
      </c>
      <c r="E2432" s="29" t="s">
        <v>13696</v>
      </c>
      <c r="F2432" s="30" t="s">
        <v>197</v>
      </c>
      <c r="G2432" s="89">
        <f>DATE(2017,5,31)</f>
        <v>42886</v>
      </c>
      <c r="H2432" s="90">
        <v>1.3548611111111111</v>
      </c>
      <c r="I2432" s="30" t="s">
        <v>116</v>
      </c>
      <c r="J2432" s="89" t="s">
        <v>13697</v>
      </c>
      <c r="K2432" s="30" t="s">
        <v>200</v>
      </c>
      <c r="L2432" s="30" t="s">
        <v>13698</v>
      </c>
      <c r="M2432" s="30" t="s">
        <v>63</v>
      </c>
      <c r="N2432" s="30" t="s">
        <v>99</v>
      </c>
      <c r="O2432" s="30" t="s">
        <v>64</v>
      </c>
      <c r="P2432" s="89" t="s">
        <v>165</v>
      </c>
      <c r="Q2432" s="89" t="s">
        <v>202</v>
      </c>
      <c r="R2432" s="89" t="s">
        <v>203</v>
      </c>
      <c r="S2432" s="30">
        <v>0</v>
      </c>
      <c r="T2432" s="233">
        <v>0</v>
      </c>
      <c r="U2432" s="30">
        <v>0</v>
      </c>
      <c r="V2432" s="233">
        <v>0</v>
      </c>
      <c r="W2432" s="30">
        <v>0</v>
      </c>
      <c r="X2432" s="30">
        <v>0</v>
      </c>
      <c r="Y2432" s="30">
        <v>0</v>
      </c>
      <c r="Z2432" s="233">
        <v>0</v>
      </c>
      <c r="AA2432" s="30">
        <v>1</v>
      </c>
      <c r="AB2432" s="30">
        <v>0</v>
      </c>
      <c r="AC2432" s="30">
        <v>0</v>
      </c>
      <c r="AD2432" s="30">
        <v>1</v>
      </c>
      <c r="AE2432" s="89" t="s">
        <v>92</v>
      </c>
      <c r="AF2432" s="89"/>
      <c r="AG2432" s="89" t="s">
        <v>133</v>
      </c>
      <c r="AH2432" s="72">
        <v>42923</v>
      </c>
      <c r="AI2432" s="30">
        <v>0</v>
      </c>
      <c r="AJ2432" s="89" t="s">
        <v>13699</v>
      </c>
      <c r="AK2432" s="89" t="s">
        <v>1233</v>
      </c>
      <c r="AL2432" s="91">
        <v>43055</v>
      </c>
      <c r="AM2432" s="91"/>
      <c r="AN2432" s="91"/>
      <c r="AO2432" s="91"/>
      <c r="AP2432" s="73" t="e">
        <f>MID(VLOOKUP(K2432,#REF!,2,FALSE),1,2)</f>
        <v>#REF!</v>
      </c>
      <c r="AQ2432" s="89">
        <f>DATE(2017,6,1)</f>
        <v>42887</v>
      </c>
      <c r="AR2432" s="82">
        <f t="shared" si="188"/>
        <v>1</v>
      </c>
      <c r="AS2432" s="83">
        <f t="shared" si="189"/>
        <v>6</v>
      </c>
      <c r="AT2432" s="84">
        <f t="shared" si="190"/>
        <v>2017</v>
      </c>
      <c r="AU2432" s="88">
        <f>DATE(2017,6,29)</f>
        <v>42915</v>
      </c>
      <c r="AV2432" s="88">
        <f>DATE(2017,6,5)</f>
        <v>42891</v>
      </c>
      <c r="AW2432" s="87">
        <f t="shared" si="191"/>
        <v>24</v>
      </c>
      <c r="AX2432" s="88">
        <f>DATE(2017,6,29)</f>
        <v>42915</v>
      </c>
      <c r="AY2432" s="83">
        <f>MONTH(AX2432)</f>
        <v>6</v>
      </c>
      <c r="AZ2432" s="84">
        <f>YEAR(AX2432)</f>
        <v>2017</v>
      </c>
      <c r="BA2432" s="86"/>
      <c r="BB2432" s="86"/>
    </row>
    <row r="2433" spans="1:54" ht="36.75" customHeight="1">
      <c r="A2433" s="30"/>
      <c r="B2433" s="30" t="s">
        <v>55</v>
      </c>
      <c r="C2433" s="69" t="str">
        <f t="shared" si="183"/>
        <v>Closed</v>
      </c>
      <c r="D2433" s="27" t="s">
        <v>13700</v>
      </c>
      <c r="E2433" s="29" t="s">
        <v>13701</v>
      </c>
      <c r="F2433" s="30" t="s">
        <v>233</v>
      </c>
      <c r="G2433" s="89">
        <f>DATE(2017,6,1)</f>
        <v>42887</v>
      </c>
      <c r="H2433" s="90">
        <v>1.6631944444444444</v>
      </c>
      <c r="I2433" s="30" t="s">
        <v>116</v>
      </c>
      <c r="J2433" s="89" t="s">
        <v>13702</v>
      </c>
      <c r="K2433" s="30" t="s">
        <v>235</v>
      </c>
      <c r="L2433" s="30" t="s">
        <v>13703</v>
      </c>
      <c r="M2433" s="30" t="s">
        <v>63</v>
      </c>
      <c r="N2433" s="30" t="s">
        <v>142</v>
      </c>
      <c r="O2433" s="30" t="s">
        <v>86</v>
      </c>
      <c r="P2433" s="89" t="s">
        <v>165</v>
      </c>
      <c r="Q2433" s="89" t="s">
        <v>2174</v>
      </c>
      <c r="R2433" s="89" t="s">
        <v>235</v>
      </c>
      <c r="S2433" s="30">
        <v>0</v>
      </c>
      <c r="T2433" s="233">
        <v>0</v>
      </c>
      <c r="U2433" s="30">
        <v>1</v>
      </c>
      <c r="V2433" s="233">
        <v>0</v>
      </c>
      <c r="W2433" s="30">
        <v>0</v>
      </c>
      <c r="X2433" s="30">
        <v>1</v>
      </c>
      <c r="Y2433" s="30">
        <v>0</v>
      </c>
      <c r="Z2433" s="233">
        <v>0</v>
      </c>
      <c r="AA2433" s="30">
        <v>0</v>
      </c>
      <c r="AB2433" s="30">
        <v>0</v>
      </c>
      <c r="AC2433" s="30">
        <v>0</v>
      </c>
      <c r="AD2433" s="30">
        <v>0</v>
      </c>
      <c r="AE2433" s="89" t="s">
        <v>92</v>
      </c>
      <c r="AF2433" s="89"/>
      <c r="AG2433" s="89" t="s">
        <v>82</v>
      </c>
      <c r="AH2433" s="72">
        <v>42891</v>
      </c>
      <c r="AI2433" s="30">
        <v>1</v>
      </c>
      <c r="AJ2433" s="89" t="s">
        <v>13704</v>
      </c>
      <c r="AK2433" s="89" t="s">
        <v>13705</v>
      </c>
      <c r="AL2433" s="91">
        <v>42915</v>
      </c>
      <c r="AM2433" s="91"/>
      <c r="AN2433" s="91"/>
      <c r="AO2433" s="91"/>
      <c r="AP2433" s="73" t="e">
        <f>MID(VLOOKUP(K2433,#REF!,2,FALSE),1,2)</f>
        <v>#REF!</v>
      </c>
      <c r="AQ2433" s="89">
        <f>DATE(2017,6,5)</f>
        <v>42891</v>
      </c>
      <c r="AR2433" s="82">
        <f t="shared" si="188"/>
        <v>5</v>
      </c>
      <c r="AS2433" s="83">
        <f t="shared" si="189"/>
        <v>6</v>
      </c>
      <c r="AT2433" s="84">
        <f t="shared" si="190"/>
        <v>2017</v>
      </c>
      <c r="AU2433" s="88">
        <f>DATE(2017,6,8)</f>
        <v>42894</v>
      </c>
      <c r="AV2433" s="88">
        <f>DATE(2017,6,5)</f>
        <v>42891</v>
      </c>
      <c r="AW2433" s="87">
        <f t="shared" si="191"/>
        <v>3</v>
      </c>
      <c r="AX2433" s="88"/>
      <c r="AY2433" s="83"/>
      <c r="AZ2433" s="84"/>
      <c r="BA2433" s="88"/>
      <c r="BB2433" s="106"/>
    </row>
    <row r="2434" spans="1:54" ht="36.75" customHeight="1">
      <c r="A2434" s="30"/>
      <c r="B2434" s="30" t="s">
        <v>55</v>
      </c>
      <c r="C2434" s="69" t="str">
        <f t="shared" ref="C2434:C2497" si="192">IF(B2434="Notification","Open",IF(B2434="Interim Statement","In progress","Closed"))</f>
        <v>Closed</v>
      </c>
      <c r="D2434" s="27" t="s">
        <v>13706</v>
      </c>
      <c r="E2434" s="29" t="s">
        <v>13707</v>
      </c>
      <c r="F2434" s="30" t="s">
        <v>423</v>
      </c>
      <c r="G2434" s="89">
        <f>DATE(2017,6,5)</f>
        <v>42891</v>
      </c>
      <c r="H2434" s="90">
        <v>1.2451388888888888</v>
      </c>
      <c r="I2434" s="30" t="s">
        <v>156</v>
      </c>
      <c r="J2434" s="89" t="s">
        <v>13708</v>
      </c>
      <c r="K2434" s="30" t="s">
        <v>425</v>
      </c>
      <c r="L2434" s="30" t="s">
        <v>6518</v>
      </c>
      <c r="M2434" s="30" t="s">
        <v>63</v>
      </c>
      <c r="N2434" s="30" t="s">
        <v>142</v>
      </c>
      <c r="O2434" s="30" t="s">
        <v>77</v>
      </c>
      <c r="P2434" s="89" t="s">
        <v>65</v>
      </c>
      <c r="Q2434" s="89" t="s">
        <v>13709</v>
      </c>
      <c r="R2434" s="89" t="s">
        <v>3103</v>
      </c>
      <c r="S2434" s="30">
        <v>0</v>
      </c>
      <c r="T2434" s="233">
        <v>0</v>
      </c>
      <c r="U2434" s="30">
        <v>0</v>
      </c>
      <c r="V2434" s="233">
        <v>0</v>
      </c>
      <c r="W2434" s="30">
        <v>0</v>
      </c>
      <c r="X2434" s="30">
        <v>0</v>
      </c>
      <c r="Y2434" s="30">
        <v>9</v>
      </c>
      <c r="Z2434" s="233">
        <v>2</v>
      </c>
      <c r="AA2434" s="30">
        <v>0</v>
      </c>
      <c r="AB2434" s="30">
        <v>0</v>
      </c>
      <c r="AC2434" s="30">
        <v>0</v>
      </c>
      <c r="AD2434" s="30">
        <v>11</v>
      </c>
      <c r="AE2434" s="89" t="s">
        <v>145</v>
      </c>
      <c r="AF2434" s="89"/>
      <c r="AG2434" s="89" t="s">
        <v>82</v>
      </c>
      <c r="AH2434" s="72">
        <v>42861</v>
      </c>
      <c r="AI2434" s="30">
        <v>1</v>
      </c>
      <c r="AJ2434" s="89" t="s">
        <v>13710</v>
      </c>
      <c r="AK2434" s="89" t="s">
        <v>13711</v>
      </c>
      <c r="AL2434" s="91">
        <v>42894</v>
      </c>
      <c r="AM2434" s="91"/>
      <c r="AN2434" s="91"/>
      <c r="AO2434" s="91"/>
      <c r="AP2434" s="73" t="e">
        <f>MID(VLOOKUP(K2434,#REF!,2,FALSE),1,2)</f>
        <v>#REF!</v>
      </c>
      <c r="AQ2434" s="89">
        <f>DATE(2017,6,5)</f>
        <v>42891</v>
      </c>
      <c r="AR2434" s="82">
        <f t="shared" si="188"/>
        <v>5</v>
      </c>
      <c r="AS2434" s="83">
        <f t="shared" si="189"/>
        <v>6</v>
      </c>
      <c r="AT2434" s="84">
        <f t="shared" si="190"/>
        <v>2017</v>
      </c>
      <c r="AU2434" s="88">
        <f>DATE(2017,9,27)</f>
        <v>43005</v>
      </c>
      <c r="AV2434" s="88">
        <f>DATE(2017,9,18)</f>
        <v>42996</v>
      </c>
      <c r="AW2434" s="87">
        <f t="shared" si="191"/>
        <v>9</v>
      </c>
      <c r="AX2434" s="88">
        <f>DATE(2017,9,27)</f>
        <v>43005</v>
      </c>
      <c r="AY2434" s="83">
        <f>MONTH(AX2434)</f>
        <v>9</v>
      </c>
      <c r="AZ2434" s="84">
        <f>YEAR(AX2434)</f>
        <v>2017</v>
      </c>
      <c r="BA2434" s="88">
        <f>DATE(2017,6,5)</f>
        <v>42891</v>
      </c>
      <c r="BB2434" s="86"/>
    </row>
    <row r="2435" spans="1:54" ht="36.75" customHeight="1">
      <c r="A2435" s="30"/>
      <c r="B2435" s="30" t="s">
        <v>55</v>
      </c>
      <c r="C2435" s="69" t="str">
        <f t="shared" si="192"/>
        <v>Closed</v>
      </c>
      <c r="D2435" s="27" t="s">
        <v>13712</v>
      </c>
      <c r="E2435" s="29" t="s">
        <v>13713</v>
      </c>
      <c r="F2435" s="30" t="s">
        <v>377</v>
      </c>
      <c r="G2435" s="89">
        <f>DATE(2017,6,5)</f>
        <v>42891</v>
      </c>
      <c r="H2435" s="90">
        <v>1.7270833333333333</v>
      </c>
      <c r="I2435" s="30" t="s">
        <v>2264</v>
      </c>
      <c r="J2435" s="89" t="s">
        <v>13714</v>
      </c>
      <c r="K2435" s="30" t="s">
        <v>379</v>
      </c>
      <c r="L2435" s="30" t="s">
        <v>13715</v>
      </c>
      <c r="M2435" s="30" t="s">
        <v>63</v>
      </c>
      <c r="N2435" s="30" t="s">
        <v>142</v>
      </c>
      <c r="O2435" s="30" t="s">
        <v>64</v>
      </c>
      <c r="P2435" s="89" t="s">
        <v>5324</v>
      </c>
      <c r="Q2435" s="89" t="s">
        <v>2906</v>
      </c>
      <c r="R2435" s="89" t="s">
        <v>382</v>
      </c>
      <c r="S2435" s="30">
        <v>0</v>
      </c>
      <c r="T2435" s="233">
        <v>0</v>
      </c>
      <c r="U2435" s="30">
        <v>0</v>
      </c>
      <c r="V2435" s="233">
        <v>0</v>
      </c>
      <c r="W2435" s="30">
        <v>0</v>
      </c>
      <c r="X2435" s="30">
        <v>0</v>
      </c>
      <c r="Y2435" s="30">
        <v>0</v>
      </c>
      <c r="Z2435" s="233">
        <v>0</v>
      </c>
      <c r="AA2435" s="30">
        <v>0</v>
      </c>
      <c r="AB2435" s="30">
        <v>0</v>
      </c>
      <c r="AC2435" s="30">
        <v>0</v>
      </c>
      <c r="AD2435" s="30">
        <v>0</v>
      </c>
      <c r="AE2435" s="89" t="s">
        <v>92</v>
      </c>
      <c r="AF2435" s="89"/>
      <c r="AG2435" s="89" t="s">
        <v>133</v>
      </c>
      <c r="AH2435" s="72">
        <v>42996</v>
      </c>
      <c r="AI2435" s="30">
        <v>5</v>
      </c>
      <c r="AJ2435" s="89" t="s">
        <v>13716</v>
      </c>
      <c r="AK2435" s="89" t="s">
        <v>68</v>
      </c>
      <c r="AL2435" s="91">
        <v>43005</v>
      </c>
      <c r="AM2435" s="91"/>
      <c r="AN2435" s="91"/>
      <c r="AO2435" s="91"/>
      <c r="AP2435" s="73" t="e">
        <f>MID(VLOOKUP(K2435,#REF!,2,FALSE),1,2)</f>
        <v>#REF!</v>
      </c>
      <c r="AQ2435" s="89">
        <f>DATE(2017,6,7)</f>
        <v>42893</v>
      </c>
      <c r="AR2435" s="82">
        <f t="shared" si="188"/>
        <v>7</v>
      </c>
      <c r="AS2435" s="83">
        <f t="shared" si="189"/>
        <v>6</v>
      </c>
      <c r="AT2435" s="84">
        <f t="shared" si="190"/>
        <v>2017</v>
      </c>
      <c r="AU2435" s="88">
        <f>DATE(2017,6,9)</f>
        <v>42895</v>
      </c>
      <c r="AV2435" s="88">
        <f>DATE(2017,6,8)</f>
        <v>42894</v>
      </c>
      <c r="AW2435" s="87">
        <f t="shared" si="191"/>
        <v>1</v>
      </c>
      <c r="AX2435" s="88">
        <f>DATE(2017,6,9)</f>
        <v>42895</v>
      </c>
      <c r="AY2435" s="83">
        <f>MONTH(AX2435)</f>
        <v>6</v>
      </c>
      <c r="AZ2435" s="84">
        <f>YEAR(AX2435)</f>
        <v>2017</v>
      </c>
      <c r="BA2435" s="88">
        <f>DATE(2017,6,7)</f>
        <v>42893</v>
      </c>
      <c r="BB2435" s="86"/>
    </row>
    <row r="2436" spans="1:54" ht="36.75" customHeight="1">
      <c r="A2436" s="30"/>
      <c r="B2436" s="30" t="s">
        <v>55</v>
      </c>
      <c r="C2436" s="69" t="str">
        <f t="shared" si="192"/>
        <v>Closed</v>
      </c>
      <c r="D2436" s="27" t="s">
        <v>13717</v>
      </c>
      <c r="E2436" s="29" t="s">
        <v>13718</v>
      </c>
      <c r="F2436" s="30" t="s">
        <v>1572</v>
      </c>
      <c r="G2436" s="89">
        <f>DATE(2017,6,7)</f>
        <v>42893</v>
      </c>
      <c r="H2436" s="90">
        <v>1.29375</v>
      </c>
      <c r="I2436" s="30" t="s">
        <v>73</v>
      </c>
      <c r="J2436" s="89" t="s">
        <v>13719</v>
      </c>
      <c r="K2436" s="30" t="s">
        <v>1574</v>
      </c>
      <c r="L2436" s="30" t="s">
        <v>13720</v>
      </c>
      <c r="M2436" s="30" t="s">
        <v>63</v>
      </c>
      <c r="N2436" s="30" t="s">
        <v>142</v>
      </c>
      <c r="O2436" s="30" t="s">
        <v>77</v>
      </c>
      <c r="P2436" s="89" t="s">
        <v>6941</v>
      </c>
      <c r="Q2436" s="89" t="s">
        <v>2413</v>
      </c>
      <c r="R2436" s="89" t="s">
        <v>6434</v>
      </c>
      <c r="S2436" s="30">
        <v>0</v>
      </c>
      <c r="T2436" s="233">
        <v>0</v>
      </c>
      <c r="U2436" s="30">
        <v>0</v>
      </c>
      <c r="V2436" s="233">
        <v>0</v>
      </c>
      <c r="W2436" s="30">
        <v>0</v>
      </c>
      <c r="X2436" s="30">
        <v>0</v>
      </c>
      <c r="Y2436" s="30">
        <v>0</v>
      </c>
      <c r="Z2436" s="233">
        <v>0</v>
      </c>
      <c r="AA2436" s="30">
        <v>0</v>
      </c>
      <c r="AB2436" s="30">
        <v>0</v>
      </c>
      <c r="AC2436" s="30">
        <v>0</v>
      </c>
      <c r="AD2436" s="30">
        <v>0</v>
      </c>
      <c r="AE2436" s="89" t="s">
        <v>92</v>
      </c>
      <c r="AF2436" s="89"/>
      <c r="AG2436" s="89" t="s">
        <v>133</v>
      </c>
      <c r="AH2436" s="72">
        <v>42894</v>
      </c>
      <c r="AI2436" s="30">
        <v>1</v>
      </c>
      <c r="AJ2436" s="89" t="s">
        <v>13721</v>
      </c>
      <c r="AK2436" s="89" t="s">
        <v>13722</v>
      </c>
      <c r="AL2436" s="91">
        <v>42895</v>
      </c>
      <c r="AM2436" s="91"/>
      <c r="AN2436" s="91"/>
      <c r="AO2436" s="91"/>
      <c r="AP2436" s="73" t="e">
        <f>MID(VLOOKUP(K2436,#REF!,2,FALSE),1,2)</f>
        <v>#REF!</v>
      </c>
      <c r="AQ2436" s="89">
        <f>DATE(2017,6,8)</f>
        <v>42894</v>
      </c>
      <c r="AR2436" s="82">
        <f t="shared" si="188"/>
        <v>8</v>
      </c>
      <c r="AS2436" s="83">
        <f t="shared" si="189"/>
        <v>6</v>
      </c>
      <c r="AT2436" s="84">
        <f t="shared" si="190"/>
        <v>2017</v>
      </c>
      <c r="AU2436" s="88">
        <f>DATE(2017,6,15)</f>
        <v>42901</v>
      </c>
      <c r="AV2436" s="88">
        <f>DATE(2017,6,8)</f>
        <v>42894</v>
      </c>
      <c r="AW2436" s="87">
        <f t="shared" si="191"/>
        <v>7</v>
      </c>
      <c r="AX2436" s="88">
        <f>DATE(2017,6,8)</f>
        <v>42894</v>
      </c>
      <c r="AY2436" s="83">
        <f>MONTH(AX2436)</f>
        <v>6</v>
      </c>
      <c r="AZ2436" s="84">
        <f>YEAR(AX2436)</f>
        <v>2017</v>
      </c>
      <c r="BA2436" s="88">
        <f>DATE(2017,6,8)</f>
        <v>42894</v>
      </c>
      <c r="BB2436" s="86"/>
    </row>
    <row r="2437" spans="1:54" ht="36.75" customHeight="1">
      <c r="A2437" s="30"/>
      <c r="B2437" s="30" t="s">
        <v>55</v>
      </c>
      <c r="C2437" s="69" t="str">
        <f t="shared" si="192"/>
        <v>Closed</v>
      </c>
      <c r="D2437" s="27" t="s">
        <v>13723</v>
      </c>
      <c r="E2437" s="29" t="s">
        <v>13724</v>
      </c>
      <c r="F2437" s="30" t="s">
        <v>835</v>
      </c>
      <c r="G2437" s="89">
        <f>DATE(2017,6,8)</f>
        <v>42894</v>
      </c>
      <c r="H2437" s="90">
        <v>1.5083333333333333</v>
      </c>
      <c r="I2437" s="30" t="s">
        <v>73</v>
      </c>
      <c r="J2437" s="89" t="s">
        <v>13725</v>
      </c>
      <c r="K2437" s="30" t="s">
        <v>837</v>
      </c>
      <c r="L2437" s="30" t="s">
        <v>12786</v>
      </c>
      <c r="M2437" s="30" t="s">
        <v>63</v>
      </c>
      <c r="N2437" s="30" t="s">
        <v>89</v>
      </c>
      <c r="O2437" s="30" t="s">
        <v>77</v>
      </c>
      <c r="P2437" s="89" t="s">
        <v>381</v>
      </c>
      <c r="Q2437" s="89" t="s">
        <v>6581</v>
      </c>
      <c r="R2437" s="89" t="s">
        <v>840</v>
      </c>
      <c r="S2437" s="30">
        <v>0</v>
      </c>
      <c r="T2437" s="233">
        <v>0</v>
      </c>
      <c r="U2437" s="30">
        <v>0</v>
      </c>
      <c r="V2437" s="233">
        <v>0</v>
      </c>
      <c r="W2437" s="30">
        <v>0</v>
      </c>
      <c r="X2437" s="30">
        <v>0</v>
      </c>
      <c r="Y2437" s="30">
        <v>0</v>
      </c>
      <c r="Z2437" s="233">
        <v>0</v>
      </c>
      <c r="AA2437" s="30">
        <v>0</v>
      </c>
      <c r="AB2437" s="30">
        <v>0</v>
      </c>
      <c r="AC2437" s="30">
        <v>0</v>
      </c>
      <c r="AD2437" s="30">
        <v>0</v>
      </c>
      <c r="AE2437" s="89" t="s">
        <v>92</v>
      </c>
      <c r="AF2437" s="89"/>
      <c r="AG2437" s="89" t="s">
        <v>133</v>
      </c>
      <c r="AH2437" s="72">
        <v>42894</v>
      </c>
      <c r="AI2437" s="30">
        <v>1</v>
      </c>
      <c r="AJ2437" s="89" t="s">
        <v>13726</v>
      </c>
      <c r="AK2437" s="89" t="s">
        <v>68</v>
      </c>
      <c r="AL2437" s="91">
        <v>42901</v>
      </c>
      <c r="AM2437" s="91"/>
      <c r="AN2437" s="91"/>
      <c r="AO2437" s="91"/>
      <c r="AP2437" s="73" t="e">
        <f>MID(VLOOKUP(K2437,#REF!,2,FALSE),1,2)</f>
        <v>#REF!</v>
      </c>
      <c r="AQ2437" s="89">
        <f>DATE(2017,6,8)</f>
        <v>42894</v>
      </c>
      <c r="AR2437" s="82">
        <f t="shared" si="188"/>
        <v>8</v>
      </c>
      <c r="AS2437" s="83">
        <f t="shared" si="189"/>
        <v>6</v>
      </c>
      <c r="AT2437" s="84">
        <f t="shared" si="190"/>
        <v>2017</v>
      </c>
      <c r="AU2437" s="88">
        <f>DATE(2017,6,15)</f>
        <v>42901</v>
      </c>
      <c r="AV2437" s="88">
        <f>DATE(2017,6,12)</f>
        <v>42898</v>
      </c>
      <c r="AW2437" s="87">
        <f t="shared" si="191"/>
        <v>3</v>
      </c>
      <c r="AX2437" s="88">
        <f>DATE(2017,6,15)</f>
        <v>42901</v>
      </c>
      <c r="AY2437" s="83">
        <f>MONTH(AX2437)</f>
        <v>6</v>
      </c>
      <c r="AZ2437" s="84">
        <f>YEAR(AX2437)</f>
        <v>2017</v>
      </c>
      <c r="BA2437" s="88">
        <f>DATE(2017,6,8)</f>
        <v>42894</v>
      </c>
      <c r="BB2437" s="86"/>
    </row>
    <row r="2438" spans="1:54" ht="36.75" customHeight="1">
      <c r="A2438" s="30"/>
      <c r="B2438" s="30" t="s">
        <v>55</v>
      </c>
      <c r="C2438" s="69" t="str">
        <f t="shared" si="192"/>
        <v>Closed</v>
      </c>
      <c r="D2438" s="27" t="s">
        <v>13727</v>
      </c>
      <c r="E2438" s="29" t="s">
        <v>13728</v>
      </c>
      <c r="F2438" s="30" t="s">
        <v>1572</v>
      </c>
      <c r="G2438" s="89">
        <f>DATE(2017,6,8)</f>
        <v>42894</v>
      </c>
      <c r="H2438" s="90">
        <v>1.7770833333333331</v>
      </c>
      <c r="I2438" s="30" t="s">
        <v>73</v>
      </c>
      <c r="J2438" s="89" t="s">
        <v>13729</v>
      </c>
      <c r="K2438" s="30" t="s">
        <v>1574</v>
      </c>
      <c r="L2438" s="30" t="s">
        <v>13730</v>
      </c>
      <c r="M2438" s="30" t="s">
        <v>63</v>
      </c>
      <c r="N2438" s="30" t="s">
        <v>142</v>
      </c>
      <c r="O2438" s="30" t="s">
        <v>77</v>
      </c>
      <c r="P2438" s="89" t="s">
        <v>78</v>
      </c>
      <c r="Q2438" s="89" t="s">
        <v>8078</v>
      </c>
      <c r="R2438" s="89" t="s">
        <v>6434</v>
      </c>
      <c r="S2438" s="30">
        <v>0</v>
      </c>
      <c r="T2438" s="233">
        <v>0</v>
      </c>
      <c r="U2438" s="30">
        <v>0</v>
      </c>
      <c r="V2438" s="233">
        <v>0</v>
      </c>
      <c r="W2438" s="30">
        <v>0</v>
      </c>
      <c r="X2438" s="30">
        <v>0</v>
      </c>
      <c r="Y2438" s="30">
        <v>0</v>
      </c>
      <c r="Z2438" s="233">
        <v>0</v>
      </c>
      <c r="AA2438" s="30">
        <v>0</v>
      </c>
      <c r="AB2438" s="30">
        <v>0</v>
      </c>
      <c r="AC2438" s="30">
        <v>0</v>
      </c>
      <c r="AD2438" s="30">
        <v>0</v>
      </c>
      <c r="AE2438" s="89" t="s">
        <v>92</v>
      </c>
      <c r="AF2438" s="89"/>
      <c r="AG2438" s="89" t="s">
        <v>133</v>
      </c>
      <c r="AH2438" s="72">
        <v>42898</v>
      </c>
      <c r="AI2438" s="30">
        <v>1</v>
      </c>
      <c r="AJ2438" s="89" t="s">
        <v>13731</v>
      </c>
      <c r="AK2438" s="89" t="s">
        <v>13732</v>
      </c>
      <c r="AL2438" s="91">
        <v>42901</v>
      </c>
      <c r="AM2438" s="91"/>
      <c r="AN2438" s="91"/>
      <c r="AO2438" s="91"/>
      <c r="AP2438" s="73" t="e">
        <f>MID(VLOOKUP(K2438,#REF!,2,FALSE),1,2)</f>
        <v>#REF!</v>
      </c>
      <c r="AQ2438" s="89">
        <f>DATE(2017,6,9)</f>
        <v>42895</v>
      </c>
      <c r="AR2438" s="82">
        <f t="shared" si="188"/>
        <v>9</v>
      </c>
      <c r="AS2438" s="83">
        <f t="shared" si="189"/>
        <v>6</v>
      </c>
      <c r="AT2438" s="84">
        <f t="shared" si="190"/>
        <v>2017</v>
      </c>
      <c r="AU2438" s="88">
        <f>DATE(2018,4,18)</f>
        <v>43208</v>
      </c>
      <c r="AV2438" s="88">
        <f>DATE(2017,6,19)</f>
        <v>42905</v>
      </c>
      <c r="AW2438" s="87">
        <f t="shared" si="191"/>
        <v>303</v>
      </c>
      <c r="AX2438" s="106"/>
      <c r="AY2438" s="83"/>
      <c r="AZ2438" s="84"/>
      <c r="BA2438" s="106"/>
      <c r="BB2438" s="106"/>
    </row>
    <row r="2439" spans="1:54" ht="36.75" customHeight="1">
      <c r="A2439" s="30"/>
      <c r="B2439" s="30" t="s">
        <v>55</v>
      </c>
      <c r="C2439" s="69" t="str">
        <f t="shared" si="192"/>
        <v>Closed</v>
      </c>
      <c r="D2439" s="27" t="s">
        <v>13733</v>
      </c>
      <c r="E2439" s="29" t="s">
        <v>13734</v>
      </c>
      <c r="F2439" s="30" t="s">
        <v>451</v>
      </c>
      <c r="G2439" s="89">
        <f>DATE(2017,6,9)</f>
        <v>42895</v>
      </c>
      <c r="H2439" s="90">
        <v>0</v>
      </c>
      <c r="I2439" s="30" t="s">
        <v>116</v>
      </c>
      <c r="J2439" s="89" t="s">
        <v>13735</v>
      </c>
      <c r="K2439" s="30" t="s">
        <v>453</v>
      </c>
      <c r="L2439" s="30" t="s">
        <v>13736</v>
      </c>
      <c r="M2439" s="30" t="s">
        <v>63</v>
      </c>
      <c r="N2439" s="30" t="s">
        <v>99</v>
      </c>
      <c r="O2439" s="30" t="s">
        <v>77</v>
      </c>
      <c r="P2439" s="89" t="s">
        <v>165</v>
      </c>
      <c r="Q2439" s="89" t="s">
        <v>455</v>
      </c>
      <c r="R2439" s="89" t="s">
        <v>572</v>
      </c>
      <c r="S2439" s="30">
        <v>0</v>
      </c>
      <c r="T2439" s="233">
        <v>0</v>
      </c>
      <c r="U2439" s="30">
        <v>1</v>
      </c>
      <c r="V2439" s="233">
        <v>0</v>
      </c>
      <c r="W2439" s="30">
        <v>0</v>
      </c>
      <c r="X2439" s="30">
        <v>1</v>
      </c>
      <c r="Y2439" s="30">
        <v>0</v>
      </c>
      <c r="Z2439" s="233">
        <v>0</v>
      </c>
      <c r="AA2439" s="30">
        <v>0</v>
      </c>
      <c r="AB2439" s="30">
        <v>0</v>
      </c>
      <c r="AC2439" s="30">
        <v>0</v>
      </c>
      <c r="AD2439" s="30">
        <v>0</v>
      </c>
      <c r="AE2439" s="89" t="s">
        <v>92</v>
      </c>
      <c r="AF2439" s="89"/>
      <c r="AG2439" s="89" t="s">
        <v>82</v>
      </c>
      <c r="AH2439" s="72">
        <v>42905</v>
      </c>
      <c r="AI2439" s="30">
        <v>0</v>
      </c>
      <c r="AJ2439" s="89" t="s">
        <v>10415</v>
      </c>
      <c r="AK2439" s="89" t="s">
        <v>68</v>
      </c>
      <c r="AL2439" s="91">
        <v>43208</v>
      </c>
      <c r="AM2439" s="91"/>
      <c r="AN2439" s="91"/>
      <c r="AO2439" s="91"/>
      <c r="AP2439" s="73" t="e">
        <f>MID(VLOOKUP(K2439,#REF!,2,FALSE),1,2)</f>
        <v>#REF!</v>
      </c>
      <c r="AQ2439" s="89">
        <f>DATE(2017,6,10)</f>
        <v>42896</v>
      </c>
      <c r="AR2439" s="82">
        <f t="shared" si="188"/>
        <v>10</v>
      </c>
      <c r="AS2439" s="83">
        <f t="shared" si="189"/>
        <v>6</v>
      </c>
      <c r="AT2439" s="84">
        <f t="shared" si="190"/>
        <v>2017</v>
      </c>
      <c r="AU2439" s="88">
        <f>DATE(2017,6,12)</f>
        <v>42898</v>
      </c>
      <c r="AV2439" s="88">
        <f>DATE(2017,6,10)</f>
        <v>42896</v>
      </c>
      <c r="AW2439" s="87">
        <f t="shared" si="191"/>
        <v>2</v>
      </c>
      <c r="AX2439" s="106"/>
      <c r="AY2439" s="83"/>
      <c r="AZ2439" s="84"/>
      <c r="BA2439" s="106"/>
      <c r="BB2439" s="106"/>
    </row>
    <row r="2440" spans="1:54" ht="36.75" customHeight="1">
      <c r="A2440" s="30"/>
      <c r="B2440" s="30" t="s">
        <v>55</v>
      </c>
      <c r="C2440" s="69" t="str">
        <f t="shared" si="192"/>
        <v>Closed</v>
      </c>
      <c r="D2440" s="27" t="s">
        <v>13737</v>
      </c>
      <c r="E2440" s="29" t="s">
        <v>13738</v>
      </c>
      <c r="F2440" s="30" t="s">
        <v>423</v>
      </c>
      <c r="G2440" s="89">
        <f>DATE(2017,6,10)</f>
        <v>42896</v>
      </c>
      <c r="H2440" s="90">
        <v>1.3833333333333333</v>
      </c>
      <c r="I2440" s="30" t="s">
        <v>2078</v>
      </c>
      <c r="J2440" s="89" t="s">
        <v>13739</v>
      </c>
      <c r="K2440" s="30" t="s">
        <v>425</v>
      </c>
      <c r="L2440" s="30" t="s">
        <v>13740</v>
      </c>
      <c r="M2440" s="30" t="s">
        <v>63</v>
      </c>
      <c r="N2440" s="30" t="s">
        <v>89</v>
      </c>
      <c r="O2440" s="30" t="s">
        <v>77</v>
      </c>
      <c r="P2440" s="89" t="s">
        <v>7362</v>
      </c>
      <c r="Q2440" s="89" t="s">
        <v>13741</v>
      </c>
      <c r="R2440" s="89" t="s">
        <v>3103</v>
      </c>
      <c r="S2440" s="30">
        <v>0</v>
      </c>
      <c r="T2440" s="233">
        <v>0</v>
      </c>
      <c r="U2440" s="30">
        <v>0</v>
      </c>
      <c r="V2440" s="233">
        <v>0</v>
      </c>
      <c r="W2440" s="30">
        <v>0</v>
      </c>
      <c r="X2440" s="30">
        <v>0</v>
      </c>
      <c r="Y2440" s="30">
        <v>0</v>
      </c>
      <c r="Z2440" s="233">
        <v>0</v>
      </c>
      <c r="AA2440" s="30">
        <v>0</v>
      </c>
      <c r="AB2440" s="30">
        <v>0</v>
      </c>
      <c r="AC2440" s="30">
        <v>0</v>
      </c>
      <c r="AD2440" s="30">
        <v>0</v>
      </c>
      <c r="AE2440" s="89" t="s">
        <v>92</v>
      </c>
      <c r="AF2440" s="89"/>
      <c r="AG2440" s="89" t="s">
        <v>589</v>
      </c>
      <c r="AH2440" s="72">
        <v>43014</v>
      </c>
      <c r="AI2440" s="30">
        <v>0</v>
      </c>
      <c r="AJ2440" s="89" t="s">
        <v>13742</v>
      </c>
      <c r="AK2440" s="89" t="s">
        <v>13743</v>
      </c>
      <c r="AL2440" s="91">
        <v>42898</v>
      </c>
      <c r="AM2440" s="91"/>
      <c r="AN2440" s="91"/>
      <c r="AO2440" s="91"/>
      <c r="AP2440" s="73" t="e">
        <f>MID(VLOOKUP(K2440,#REF!,2,FALSE),1,2)</f>
        <v>#REF!</v>
      </c>
      <c r="AQ2440" s="89">
        <f>DATE(2017,6,12)</f>
        <v>42898</v>
      </c>
      <c r="AR2440" s="82">
        <f t="shared" si="188"/>
        <v>12</v>
      </c>
      <c r="AS2440" s="83">
        <f t="shared" si="189"/>
        <v>6</v>
      </c>
      <c r="AT2440" s="84">
        <f t="shared" si="190"/>
        <v>2017</v>
      </c>
      <c r="AU2440" s="88">
        <f>DATE(2017,6,13)</f>
        <v>42899</v>
      </c>
      <c r="AV2440" s="88">
        <f>DATE(2017,6,12)</f>
        <v>42898</v>
      </c>
      <c r="AW2440" s="87">
        <f t="shared" si="191"/>
        <v>1</v>
      </c>
      <c r="AX2440" s="106"/>
      <c r="AY2440" s="83"/>
      <c r="AZ2440" s="84"/>
      <c r="BA2440" s="106"/>
      <c r="BB2440" s="106"/>
    </row>
    <row r="2441" spans="1:54" ht="36.75" customHeight="1">
      <c r="A2441" s="30"/>
      <c r="B2441" s="30" t="s">
        <v>55</v>
      </c>
      <c r="C2441" s="69" t="str">
        <f t="shared" si="192"/>
        <v>Closed</v>
      </c>
      <c r="D2441" s="27" t="s">
        <v>13744</v>
      </c>
      <c r="E2441" s="29" t="s">
        <v>13745</v>
      </c>
      <c r="F2441" s="30" t="s">
        <v>423</v>
      </c>
      <c r="G2441" s="89">
        <f>DATE(2017,6,12)</f>
        <v>42898</v>
      </c>
      <c r="H2441" s="90">
        <v>1.6090277777777779</v>
      </c>
      <c r="I2441" s="30" t="s">
        <v>2078</v>
      </c>
      <c r="J2441" s="89" t="s">
        <v>13746</v>
      </c>
      <c r="K2441" s="30" t="s">
        <v>425</v>
      </c>
      <c r="L2441" s="30" t="s">
        <v>13747</v>
      </c>
      <c r="M2441" s="30" t="s">
        <v>63</v>
      </c>
      <c r="N2441" s="30" t="s">
        <v>142</v>
      </c>
      <c r="O2441" s="30" t="s">
        <v>77</v>
      </c>
      <c r="P2441" s="89" t="s">
        <v>1216</v>
      </c>
      <c r="Q2441" s="89" t="s">
        <v>13748</v>
      </c>
      <c r="R2441" s="89" t="s">
        <v>3103</v>
      </c>
      <c r="S2441" s="30">
        <v>0</v>
      </c>
      <c r="T2441" s="233">
        <v>0</v>
      </c>
      <c r="U2441" s="30">
        <v>0</v>
      </c>
      <c r="V2441" s="233">
        <v>0</v>
      </c>
      <c r="W2441" s="30">
        <v>0</v>
      </c>
      <c r="X2441" s="30">
        <v>0</v>
      </c>
      <c r="Y2441" s="30">
        <v>0</v>
      </c>
      <c r="Z2441" s="233">
        <v>0</v>
      </c>
      <c r="AA2441" s="30">
        <v>0</v>
      </c>
      <c r="AB2441" s="30">
        <v>0</v>
      </c>
      <c r="AC2441" s="30">
        <v>0</v>
      </c>
      <c r="AD2441" s="30">
        <v>0</v>
      </c>
      <c r="AE2441" s="89" t="s">
        <v>92</v>
      </c>
      <c r="AF2441" s="89"/>
      <c r="AG2441" s="89" t="s">
        <v>352</v>
      </c>
      <c r="AH2441" s="72">
        <v>43075</v>
      </c>
      <c r="AI2441" s="30">
        <v>1</v>
      </c>
      <c r="AJ2441" s="89" t="s">
        <v>13749</v>
      </c>
      <c r="AK2441" s="89" t="s">
        <v>13750</v>
      </c>
      <c r="AL2441" s="91">
        <v>42899</v>
      </c>
      <c r="AM2441" s="91"/>
      <c r="AN2441" s="91"/>
      <c r="AO2441" s="91"/>
      <c r="AP2441" s="73" t="e">
        <f>MID(VLOOKUP(K2441,#REF!,2,FALSE),1,2)</f>
        <v>#REF!</v>
      </c>
      <c r="AQ2441" s="89">
        <f>DATE(2017,6,13)</f>
        <v>42899</v>
      </c>
      <c r="AR2441" s="82">
        <f t="shared" si="188"/>
        <v>13</v>
      </c>
      <c r="AS2441" s="83">
        <f t="shared" si="189"/>
        <v>6</v>
      </c>
      <c r="AT2441" s="84">
        <f t="shared" si="190"/>
        <v>2017</v>
      </c>
      <c r="AU2441" s="88">
        <f>DATE(2017,6,22)</f>
        <v>42908</v>
      </c>
      <c r="AV2441" s="88">
        <f>DATE(2017,6,13)</f>
        <v>42899</v>
      </c>
      <c r="AW2441" s="87">
        <f t="shared" si="191"/>
        <v>9</v>
      </c>
      <c r="AX2441" s="88">
        <f>DATE(2017,6,22)</f>
        <v>42908</v>
      </c>
      <c r="AY2441" s="83">
        <f>MONTH(AX2441)</f>
        <v>6</v>
      </c>
      <c r="AZ2441" s="84">
        <f>YEAR(AX2441)</f>
        <v>2017</v>
      </c>
      <c r="BA2441" s="88">
        <f>DATE(2017,6,14)</f>
        <v>42900</v>
      </c>
      <c r="BB2441" s="86"/>
    </row>
    <row r="2442" spans="1:54" ht="36.75" customHeight="1">
      <c r="A2442" s="30"/>
      <c r="B2442" s="30" t="s">
        <v>55</v>
      </c>
      <c r="C2442" s="69" t="str">
        <f t="shared" si="192"/>
        <v>Closed</v>
      </c>
      <c r="D2442" s="27" t="s">
        <v>13751</v>
      </c>
      <c r="E2442" s="29" t="s">
        <v>13752</v>
      </c>
      <c r="F2442" s="30" t="s">
        <v>377</v>
      </c>
      <c r="G2442" s="89">
        <f>DATE(2017,6,13)</f>
        <v>42899</v>
      </c>
      <c r="H2442" s="90">
        <v>1.7291666666666665</v>
      </c>
      <c r="I2442" s="30" t="s">
        <v>198</v>
      </c>
      <c r="J2442" s="89" t="s">
        <v>13753</v>
      </c>
      <c r="K2442" s="30" t="s">
        <v>379</v>
      </c>
      <c r="L2442" s="30" t="s">
        <v>13754</v>
      </c>
      <c r="M2442" s="30" t="s">
        <v>63</v>
      </c>
      <c r="N2442" s="30" t="s">
        <v>99</v>
      </c>
      <c r="O2442" s="30" t="s">
        <v>77</v>
      </c>
      <c r="P2442" s="89" t="s">
        <v>165</v>
      </c>
      <c r="Q2442" s="89" t="s">
        <v>13755</v>
      </c>
      <c r="R2442" s="89" t="s">
        <v>13755</v>
      </c>
      <c r="S2442" s="30">
        <v>0</v>
      </c>
      <c r="T2442" s="233">
        <v>0</v>
      </c>
      <c r="U2442" s="30">
        <v>0</v>
      </c>
      <c r="V2442" s="233">
        <v>0</v>
      </c>
      <c r="W2442" s="30">
        <v>0</v>
      </c>
      <c r="X2442" s="30">
        <v>0</v>
      </c>
      <c r="Y2442" s="30">
        <v>0</v>
      </c>
      <c r="Z2442" s="233">
        <v>0</v>
      </c>
      <c r="AA2442" s="30">
        <v>0</v>
      </c>
      <c r="AB2442" s="30">
        <v>0</v>
      </c>
      <c r="AC2442" s="30">
        <v>0</v>
      </c>
      <c r="AD2442" s="30">
        <v>0</v>
      </c>
      <c r="AE2442" s="89" t="s">
        <v>92</v>
      </c>
      <c r="AF2442" s="89"/>
      <c r="AG2442" s="89" t="s">
        <v>133</v>
      </c>
      <c r="AH2442" s="72">
        <v>42899</v>
      </c>
      <c r="AI2442" s="30">
        <v>4</v>
      </c>
      <c r="AJ2442" s="89" t="s">
        <v>13756</v>
      </c>
      <c r="AK2442" s="89" t="s">
        <v>13757</v>
      </c>
      <c r="AL2442" s="91">
        <v>42908</v>
      </c>
      <c r="AM2442" s="91"/>
      <c r="AN2442" s="91"/>
      <c r="AO2442" s="91"/>
      <c r="AP2442" s="73" t="e">
        <f>MID(VLOOKUP(K2442,#REF!,2,FALSE),1,2)</f>
        <v>#REF!</v>
      </c>
      <c r="AQ2442" s="89">
        <f>DATE(2017,6,15)</f>
        <v>42901</v>
      </c>
      <c r="AR2442" s="82">
        <f t="shared" si="188"/>
        <v>15</v>
      </c>
      <c r="AS2442" s="83">
        <f t="shared" si="189"/>
        <v>6</v>
      </c>
      <c r="AT2442" s="84">
        <f t="shared" si="190"/>
        <v>2017</v>
      </c>
      <c r="AU2442" s="88">
        <f>DATE(2017,6,19)</f>
        <v>42905</v>
      </c>
      <c r="AV2442" s="88">
        <f>DATE(2017,6,16)</f>
        <v>42902</v>
      </c>
      <c r="AW2442" s="87">
        <f t="shared" si="191"/>
        <v>3</v>
      </c>
      <c r="AX2442" s="86"/>
      <c r="AY2442" s="83"/>
      <c r="AZ2442" s="84"/>
      <c r="BA2442" s="86"/>
      <c r="BB2442" s="86" t="s">
        <v>13115</v>
      </c>
    </row>
    <row r="2443" spans="1:54" ht="36.75" customHeight="1">
      <c r="A2443" s="30"/>
      <c r="B2443" s="30" t="s">
        <v>55</v>
      </c>
      <c r="C2443" s="69" t="str">
        <f t="shared" si="192"/>
        <v>Closed</v>
      </c>
      <c r="D2443" s="27" t="s">
        <v>13758</v>
      </c>
      <c r="E2443" s="29" t="s">
        <v>13759</v>
      </c>
      <c r="F2443" s="30" t="s">
        <v>582</v>
      </c>
      <c r="G2443" s="89">
        <f>DATE(2017,6,15)</f>
        <v>42901</v>
      </c>
      <c r="H2443" s="90">
        <v>1.6909722222222223</v>
      </c>
      <c r="I2443" s="30" t="s">
        <v>73</v>
      </c>
      <c r="J2443" s="89" t="s">
        <v>13760</v>
      </c>
      <c r="K2443" s="30" t="s">
        <v>584</v>
      </c>
      <c r="L2443" s="30" t="s">
        <v>13761</v>
      </c>
      <c r="M2443" s="30" t="s">
        <v>63</v>
      </c>
      <c r="N2443" s="30" t="s">
        <v>99</v>
      </c>
      <c r="O2443" s="30" t="s">
        <v>64</v>
      </c>
      <c r="P2443" s="89" t="s">
        <v>78</v>
      </c>
      <c r="Q2443" s="89" t="s">
        <v>13762</v>
      </c>
      <c r="R2443" s="89" t="s">
        <v>587</v>
      </c>
      <c r="S2443" s="30">
        <v>0</v>
      </c>
      <c r="T2443" s="233">
        <v>0</v>
      </c>
      <c r="U2443" s="30">
        <v>0</v>
      </c>
      <c r="V2443" s="233">
        <v>0</v>
      </c>
      <c r="W2443" s="30">
        <v>0</v>
      </c>
      <c r="X2443" s="30">
        <v>0</v>
      </c>
      <c r="Y2443" s="30">
        <v>0</v>
      </c>
      <c r="Z2443" s="233">
        <v>0</v>
      </c>
      <c r="AA2443" s="30">
        <v>0</v>
      </c>
      <c r="AB2443" s="30">
        <v>0</v>
      </c>
      <c r="AC2443" s="30">
        <v>0</v>
      </c>
      <c r="AD2443" s="30">
        <v>0</v>
      </c>
      <c r="AE2443" s="89" t="s">
        <v>394</v>
      </c>
      <c r="AF2443" s="89" t="s">
        <v>13763</v>
      </c>
      <c r="AG2443" s="89" t="s">
        <v>6459</v>
      </c>
      <c r="AH2443" s="72">
        <v>42902</v>
      </c>
      <c r="AI2443" s="30">
        <v>0</v>
      </c>
      <c r="AJ2443" s="89" t="s">
        <v>68</v>
      </c>
      <c r="AK2443" s="89" t="s">
        <v>68</v>
      </c>
      <c r="AL2443" s="91">
        <v>42905</v>
      </c>
      <c r="AM2443" s="91"/>
      <c r="AN2443" s="91">
        <v>44588</v>
      </c>
      <c r="AO2443" s="91">
        <v>44587</v>
      </c>
      <c r="AP2443" s="73" t="e">
        <f>MID(VLOOKUP(K2443,#REF!,2,FALSE),1,2)</f>
        <v>#REF!</v>
      </c>
      <c r="AQ2443" s="89">
        <f>DATE(2017,6,17)</f>
        <v>42903</v>
      </c>
      <c r="AR2443" s="82">
        <f t="shared" si="188"/>
        <v>17</v>
      </c>
      <c r="AS2443" s="83">
        <f t="shared" si="189"/>
        <v>6</v>
      </c>
      <c r="AT2443" s="84">
        <f t="shared" si="190"/>
        <v>2017</v>
      </c>
      <c r="AU2443" s="88">
        <f>DATE(2017,6,20)</f>
        <v>42906</v>
      </c>
      <c r="AV2443" s="88">
        <f>DATE(2017,6,19)</f>
        <v>42905</v>
      </c>
      <c r="AW2443" s="87">
        <f t="shared" si="191"/>
        <v>1</v>
      </c>
      <c r="AX2443" s="88">
        <f>DATE(2017,6,19)</f>
        <v>42905</v>
      </c>
      <c r="AY2443" s="83">
        <f>MONTH(AX2443)</f>
        <v>6</v>
      </c>
      <c r="AZ2443" s="84">
        <f>YEAR(AX2443)</f>
        <v>2017</v>
      </c>
      <c r="BA2443" s="88">
        <f>DATE(2017,6,19)</f>
        <v>42905</v>
      </c>
      <c r="BB2443" s="86"/>
    </row>
    <row r="2444" spans="1:54" ht="36.75" customHeight="1">
      <c r="A2444" s="30"/>
      <c r="B2444" s="30" t="s">
        <v>55</v>
      </c>
      <c r="C2444" s="69" t="str">
        <f t="shared" si="192"/>
        <v>Closed</v>
      </c>
      <c r="D2444" s="27" t="s">
        <v>13764</v>
      </c>
      <c r="E2444" s="29" t="s">
        <v>13765</v>
      </c>
      <c r="F2444" s="30" t="s">
        <v>835</v>
      </c>
      <c r="G2444" s="89">
        <f>DATE(2017,6,17)</f>
        <v>42903</v>
      </c>
      <c r="H2444" s="90">
        <v>1.8541666666666665</v>
      </c>
      <c r="I2444" s="30" t="s">
        <v>73</v>
      </c>
      <c r="J2444" s="89" t="s">
        <v>13766</v>
      </c>
      <c r="K2444" s="30" t="s">
        <v>837</v>
      </c>
      <c r="L2444" s="30" t="s">
        <v>13767</v>
      </c>
      <c r="M2444" s="30" t="s">
        <v>255</v>
      </c>
      <c r="N2444" s="30" t="s">
        <v>142</v>
      </c>
      <c r="O2444" s="30" t="s">
        <v>77</v>
      </c>
      <c r="P2444" s="89" t="s">
        <v>6552</v>
      </c>
      <c r="Q2444" s="89" t="s">
        <v>4210</v>
      </c>
      <c r="R2444" s="89" t="s">
        <v>4210</v>
      </c>
      <c r="S2444" s="30">
        <v>0</v>
      </c>
      <c r="T2444" s="233">
        <v>0</v>
      </c>
      <c r="U2444" s="30">
        <v>0</v>
      </c>
      <c r="V2444" s="233">
        <v>0</v>
      </c>
      <c r="W2444" s="30">
        <v>0</v>
      </c>
      <c r="X2444" s="30">
        <v>0</v>
      </c>
      <c r="Y2444" s="30">
        <v>0</v>
      </c>
      <c r="Z2444" s="233">
        <v>0</v>
      </c>
      <c r="AA2444" s="30">
        <v>0</v>
      </c>
      <c r="AB2444" s="30">
        <v>0</v>
      </c>
      <c r="AC2444" s="30">
        <v>0</v>
      </c>
      <c r="AD2444" s="30">
        <v>0</v>
      </c>
      <c r="AE2444" s="89" t="s">
        <v>92</v>
      </c>
      <c r="AF2444" s="89"/>
      <c r="AG2444" s="89" t="s">
        <v>367</v>
      </c>
      <c r="AH2444" s="72">
        <v>42905</v>
      </c>
      <c r="AI2444" s="30">
        <v>1</v>
      </c>
      <c r="AJ2444" s="89" t="s">
        <v>13768</v>
      </c>
      <c r="AK2444" s="89" t="s">
        <v>13769</v>
      </c>
      <c r="AL2444" s="91">
        <v>42906</v>
      </c>
      <c r="AM2444" s="91"/>
      <c r="AN2444" s="91"/>
      <c r="AO2444" s="91"/>
      <c r="AP2444" s="73" t="e">
        <f>MID(VLOOKUP(K2444,#REF!,2,FALSE),1,2)</f>
        <v>#REF!</v>
      </c>
      <c r="AQ2444" s="89">
        <f>DATE(2017,6,18)</f>
        <v>42904</v>
      </c>
      <c r="AR2444" s="82">
        <f t="shared" si="188"/>
        <v>18</v>
      </c>
      <c r="AS2444" s="83">
        <f t="shared" si="189"/>
        <v>6</v>
      </c>
      <c r="AT2444" s="84">
        <f t="shared" si="190"/>
        <v>2017</v>
      </c>
      <c r="AU2444" s="88">
        <f>DATE(2017,6,28)</f>
        <v>42914</v>
      </c>
      <c r="AV2444" s="88">
        <f>DATE(2017,6,20)</f>
        <v>42906</v>
      </c>
      <c r="AW2444" s="87">
        <f t="shared" si="191"/>
        <v>8</v>
      </c>
      <c r="AX2444" s="86"/>
      <c r="AY2444" s="83"/>
      <c r="AZ2444" s="84"/>
      <c r="BA2444" s="86"/>
      <c r="BB2444" s="86" t="s">
        <v>13115</v>
      </c>
    </row>
    <row r="2445" spans="1:54" ht="36.75" customHeight="1">
      <c r="A2445" s="30"/>
      <c r="B2445" s="30" t="s">
        <v>55</v>
      </c>
      <c r="C2445" s="69" t="str">
        <f t="shared" si="192"/>
        <v>Closed</v>
      </c>
      <c r="D2445" s="27" t="s">
        <v>13770</v>
      </c>
      <c r="E2445" s="29" t="s">
        <v>13771</v>
      </c>
      <c r="F2445" s="30" t="s">
        <v>124</v>
      </c>
      <c r="G2445" s="89">
        <f>DATE(2017,6,18)</f>
        <v>42904</v>
      </c>
      <c r="H2445" s="90">
        <v>1.6875</v>
      </c>
      <c r="I2445" s="30" t="s">
        <v>198</v>
      </c>
      <c r="J2445" s="89" t="s">
        <v>13772</v>
      </c>
      <c r="K2445" s="30" t="s">
        <v>127</v>
      </c>
      <c r="L2445" s="30" t="s">
        <v>13773</v>
      </c>
      <c r="M2445" s="30" t="s">
        <v>63</v>
      </c>
      <c r="N2445" s="30" t="s">
        <v>89</v>
      </c>
      <c r="O2445" s="30" t="s">
        <v>90</v>
      </c>
      <c r="P2445" s="89" t="s">
        <v>91</v>
      </c>
      <c r="Q2445" s="89" t="s">
        <v>6242</v>
      </c>
      <c r="R2445" s="89" t="s">
        <v>167</v>
      </c>
      <c r="S2445" s="30">
        <v>0</v>
      </c>
      <c r="T2445" s="233">
        <v>0</v>
      </c>
      <c r="U2445" s="30">
        <v>0</v>
      </c>
      <c r="V2445" s="233">
        <v>0</v>
      </c>
      <c r="W2445" s="30">
        <v>0</v>
      </c>
      <c r="X2445" s="30">
        <v>0</v>
      </c>
      <c r="Y2445" s="30">
        <v>0</v>
      </c>
      <c r="Z2445" s="233">
        <v>1</v>
      </c>
      <c r="AA2445" s="30">
        <v>0</v>
      </c>
      <c r="AB2445" s="30">
        <v>0</v>
      </c>
      <c r="AC2445" s="30">
        <v>0</v>
      </c>
      <c r="AD2445" s="30">
        <v>1</v>
      </c>
      <c r="AE2445" s="89" t="s">
        <v>394</v>
      </c>
      <c r="AF2445" s="89"/>
      <c r="AG2445" s="89" t="s">
        <v>82</v>
      </c>
      <c r="AH2445" s="72">
        <v>42906</v>
      </c>
      <c r="AI2445" s="30">
        <v>2</v>
      </c>
      <c r="AJ2445" s="89" t="s">
        <v>13774</v>
      </c>
      <c r="AK2445" s="89" t="s">
        <v>68</v>
      </c>
      <c r="AL2445" s="91">
        <v>42914</v>
      </c>
      <c r="AM2445" s="91"/>
      <c r="AN2445" s="91"/>
      <c r="AO2445" s="91"/>
      <c r="AP2445" s="73" t="e">
        <f>MID(VLOOKUP(K2445,#REF!,2,FALSE),1,2)</f>
        <v>#REF!</v>
      </c>
      <c r="AQ2445" s="89">
        <f>DATE(2017,6,22)</f>
        <v>42908</v>
      </c>
      <c r="AR2445" s="82">
        <f t="shared" si="188"/>
        <v>22</v>
      </c>
      <c r="AS2445" s="83">
        <f t="shared" si="189"/>
        <v>6</v>
      </c>
      <c r="AT2445" s="84">
        <f t="shared" si="190"/>
        <v>2017</v>
      </c>
      <c r="AU2445" s="88">
        <f>DATE(2017,7,21)</f>
        <v>42937</v>
      </c>
      <c r="AV2445" s="88">
        <f>DATE(2017,7,3)</f>
        <v>42919</v>
      </c>
      <c r="AW2445" s="87">
        <f t="shared" si="191"/>
        <v>18</v>
      </c>
      <c r="AX2445" s="88">
        <f>DATE(2017,7,21)</f>
        <v>42937</v>
      </c>
      <c r="AY2445" s="83">
        <f>MONTH(AX2445)</f>
        <v>7</v>
      </c>
      <c r="AZ2445" s="84">
        <f>YEAR(AX2445)</f>
        <v>2017</v>
      </c>
      <c r="BA2445" s="86"/>
      <c r="BB2445" s="86"/>
    </row>
    <row r="2446" spans="1:54" ht="36.75" customHeight="1">
      <c r="A2446" s="30"/>
      <c r="B2446" s="30" t="s">
        <v>55</v>
      </c>
      <c r="C2446" s="69" t="str">
        <f t="shared" si="192"/>
        <v>Closed</v>
      </c>
      <c r="D2446" s="27" t="s">
        <v>13775</v>
      </c>
      <c r="E2446" s="29" t="s">
        <v>13776</v>
      </c>
      <c r="F2446" s="30" t="s">
        <v>233</v>
      </c>
      <c r="G2446" s="89">
        <f>DATE(2017,6,22)</f>
        <v>42908</v>
      </c>
      <c r="H2446" s="90">
        <v>1.5694444444444444</v>
      </c>
      <c r="I2446" s="30" t="s">
        <v>5494</v>
      </c>
      <c r="J2446" s="89" t="s">
        <v>13777</v>
      </c>
      <c r="K2446" s="30" t="s">
        <v>235</v>
      </c>
      <c r="L2446" s="30" t="s">
        <v>13778</v>
      </c>
      <c r="M2446" s="30" t="s">
        <v>9919</v>
      </c>
      <c r="N2446" s="30" t="s">
        <v>99</v>
      </c>
      <c r="O2446" s="30" t="s">
        <v>64</v>
      </c>
      <c r="P2446" s="89" t="s">
        <v>7982</v>
      </c>
      <c r="Q2446" s="89" t="s">
        <v>718</v>
      </c>
      <c r="R2446" s="89" t="s">
        <v>235</v>
      </c>
      <c r="S2446" s="30">
        <v>0</v>
      </c>
      <c r="T2446" s="233">
        <v>0</v>
      </c>
      <c r="U2446" s="30">
        <v>0</v>
      </c>
      <c r="V2446" s="233">
        <v>0</v>
      </c>
      <c r="W2446" s="30">
        <v>0</v>
      </c>
      <c r="X2446" s="30">
        <v>0</v>
      </c>
      <c r="Y2446" s="30">
        <v>0</v>
      </c>
      <c r="Z2446" s="233">
        <v>0</v>
      </c>
      <c r="AA2446" s="30">
        <v>0</v>
      </c>
      <c r="AB2446" s="30">
        <v>0</v>
      </c>
      <c r="AC2446" s="30">
        <v>0</v>
      </c>
      <c r="AD2446" s="30">
        <v>0</v>
      </c>
      <c r="AE2446" s="89" t="s">
        <v>92</v>
      </c>
      <c r="AF2446" s="89"/>
      <c r="AG2446" s="89" t="s">
        <v>133</v>
      </c>
      <c r="AH2446" s="72">
        <v>42919</v>
      </c>
      <c r="AI2446" s="30">
        <v>1</v>
      </c>
      <c r="AJ2446" s="89" t="s">
        <v>13779</v>
      </c>
      <c r="AK2446" s="89" t="s">
        <v>13780</v>
      </c>
      <c r="AL2446" s="91">
        <v>42937</v>
      </c>
      <c r="AM2446" s="91"/>
      <c r="AN2446" s="91"/>
      <c r="AO2446" s="91"/>
      <c r="AP2446" s="73" t="e">
        <f>MID(VLOOKUP(K2446,#REF!,2,FALSE),1,2)</f>
        <v>#REF!</v>
      </c>
      <c r="AQ2446" s="89">
        <f>DATE(2017,6,24)</f>
        <v>42910</v>
      </c>
      <c r="AR2446" s="82">
        <f t="shared" si="188"/>
        <v>24</v>
      </c>
      <c r="AS2446" s="83">
        <f t="shared" si="189"/>
        <v>6</v>
      </c>
      <c r="AT2446" s="84">
        <f t="shared" si="190"/>
        <v>2017</v>
      </c>
      <c r="AU2446" s="88">
        <f>DATE(2017,7,13)</f>
        <v>42929</v>
      </c>
      <c r="AV2446" s="88">
        <f>DATE(2017,6,27)</f>
        <v>42913</v>
      </c>
      <c r="AW2446" s="87">
        <f t="shared" si="191"/>
        <v>16</v>
      </c>
      <c r="AX2446" s="86"/>
      <c r="AY2446" s="83"/>
      <c r="AZ2446" s="84"/>
      <c r="BA2446" s="86"/>
      <c r="BB2446" s="86" t="s">
        <v>13115</v>
      </c>
    </row>
    <row r="2447" spans="1:54" ht="36.75" customHeight="1">
      <c r="A2447" s="30"/>
      <c r="B2447" s="30" t="s">
        <v>55</v>
      </c>
      <c r="C2447" s="69" t="str">
        <f t="shared" si="192"/>
        <v>Closed</v>
      </c>
      <c r="D2447" s="27" t="s">
        <v>13781</v>
      </c>
      <c r="E2447" s="29" t="s">
        <v>13782</v>
      </c>
      <c r="F2447" s="30" t="s">
        <v>124</v>
      </c>
      <c r="G2447" s="89">
        <f>DATE(2017,6,24)</f>
        <v>42910</v>
      </c>
      <c r="H2447" s="90">
        <v>1.7833333333333332</v>
      </c>
      <c r="I2447" s="30" t="s">
        <v>116</v>
      </c>
      <c r="J2447" s="89" t="s">
        <v>13783</v>
      </c>
      <c r="K2447" s="30" t="s">
        <v>127</v>
      </c>
      <c r="L2447" s="30" t="s">
        <v>13784</v>
      </c>
      <c r="M2447" s="30" t="s">
        <v>63</v>
      </c>
      <c r="N2447" s="30" t="s">
        <v>99</v>
      </c>
      <c r="O2447" s="30" t="s">
        <v>64</v>
      </c>
      <c r="P2447" s="89" t="s">
        <v>6941</v>
      </c>
      <c r="Q2447" s="89" t="s">
        <v>229</v>
      </c>
      <c r="R2447" s="89" t="s">
        <v>167</v>
      </c>
      <c r="S2447" s="30">
        <v>0</v>
      </c>
      <c r="T2447" s="233">
        <v>0</v>
      </c>
      <c r="U2447" s="30">
        <v>0</v>
      </c>
      <c r="V2447" s="233">
        <v>0</v>
      </c>
      <c r="W2447" s="30">
        <v>1</v>
      </c>
      <c r="X2447" s="30">
        <v>1</v>
      </c>
      <c r="Y2447" s="30">
        <v>0</v>
      </c>
      <c r="Z2447" s="233">
        <v>0</v>
      </c>
      <c r="AA2447" s="30">
        <v>0</v>
      </c>
      <c r="AB2447" s="30">
        <v>0</v>
      </c>
      <c r="AC2447" s="30">
        <v>0</v>
      </c>
      <c r="AD2447" s="30">
        <v>0</v>
      </c>
      <c r="AE2447" s="89" t="s">
        <v>92</v>
      </c>
      <c r="AF2447" s="89"/>
      <c r="AG2447" s="89" t="s">
        <v>82</v>
      </c>
      <c r="AH2447" s="72">
        <v>42913</v>
      </c>
      <c r="AI2447" s="30">
        <v>1</v>
      </c>
      <c r="AJ2447" s="89" t="s">
        <v>13785</v>
      </c>
      <c r="AK2447" s="89" t="s">
        <v>68</v>
      </c>
      <c r="AL2447" s="91">
        <v>42929</v>
      </c>
      <c r="AM2447" s="91"/>
      <c r="AN2447" s="91"/>
      <c r="AO2447" s="91"/>
      <c r="AP2447" s="73" t="e">
        <f>MID(VLOOKUP(K2447,#REF!,2,FALSE),1,2)</f>
        <v>#REF!</v>
      </c>
      <c r="AQ2447" s="89">
        <f>DATE(2017,6,28)</f>
        <v>42914</v>
      </c>
      <c r="AR2447" s="82">
        <f t="shared" si="188"/>
        <v>28</v>
      </c>
      <c r="AS2447" s="83">
        <f t="shared" si="189"/>
        <v>6</v>
      </c>
      <c r="AT2447" s="84">
        <f t="shared" si="190"/>
        <v>2017</v>
      </c>
      <c r="AU2447" s="88">
        <f>DATE(2017,7,14)</f>
        <v>42930</v>
      </c>
      <c r="AV2447" s="88">
        <f>DATE(2017,7,6)</f>
        <v>42922</v>
      </c>
      <c r="AW2447" s="87">
        <f t="shared" si="191"/>
        <v>8</v>
      </c>
      <c r="AX2447" s="106"/>
      <c r="AY2447" s="83"/>
      <c r="AZ2447" s="84"/>
      <c r="BA2447" s="88">
        <f>DATE(2017,6,28)</f>
        <v>42914</v>
      </c>
      <c r="BB2447" s="106"/>
    </row>
    <row r="2448" spans="1:54" ht="36.75" customHeight="1">
      <c r="A2448" s="30"/>
      <c r="B2448" s="30" t="s">
        <v>55</v>
      </c>
      <c r="C2448" s="69" t="str">
        <f t="shared" si="192"/>
        <v>Closed</v>
      </c>
      <c r="D2448" s="27" t="s">
        <v>13786</v>
      </c>
      <c r="E2448" s="29" t="s">
        <v>13787</v>
      </c>
      <c r="F2448" s="30" t="s">
        <v>58</v>
      </c>
      <c r="G2448" s="89">
        <f>DATE(2017,6,28)</f>
        <v>42914</v>
      </c>
      <c r="H2448" s="90">
        <v>1.2958333333333334</v>
      </c>
      <c r="I2448" s="30" t="s">
        <v>86</v>
      </c>
      <c r="J2448" s="89" t="s">
        <v>13788</v>
      </c>
      <c r="K2448" s="30" t="s">
        <v>61</v>
      </c>
      <c r="L2448" s="30" t="s">
        <v>13789</v>
      </c>
      <c r="M2448" s="30" t="s">
        <v>63</v>
      </c>
      <c r="N2448" s="30" t="s">
        <v>142</v>
      </c>
      <c r="O2448" s="30" t="s">
        <v>77</v>
      </c>
      <c r="P2448" s="89" t="s">
        <v>301</v>
      </c>
      <c r="Q2448" s="89" t="s">
        <v>10870</v>
      </c>
      <c r="R2448" s="89" t="s">
        <v>67</v>
      </c>
      <c r="S2448" s="30">
        <v>0</v>
      </c>
      <c r="T2448" s="233">
        <v>0</v>
      </c>
      <c r="U2448" s="30">
        <v>0</v>
      </c>
      <c r="V2448" s="233">
        <v>0</v>
      </c>
      <c r="W2448" s="30">
        <v>0</v>
      </c>
      <c r="X2448" s="30">
        <v>0</v>
      </c>
      <c r="Y2448" s="30">
        <v>0</v>
      </c>
      <c r="Z2448" s="233">
        <v>0</v>
      </c>
      <c r="AA2448" s="30">
        <v>0</v>
      </c>
      <c r="AB2448" s="30">
        <v>0</v>
      </c>
      <c r="AC2448" s="30">
        <v>0</v>
      </c>
      <c r="AD2448" s="30">
        <v>0</v>
      </c>
      <c r="AE2448" s="89" t="s">
        <v>92</v>
      </c>
      <c r="AF2448" s="89"/>
      <c r="AG2448" s="89" t="s">
        <v>133</v>
      </c>
      <c r="AH2448" s="72">
        <v>42922</v>
      </c>
      <c r="AI2448" s="30">
        <v>5</v>
      </c>
      <c r="AJ2448" s="89" t="s">
        <v>13790</v>
      </c>
      <c r="AK2448" s="89" t="s">
        <v>13791</v>
      </c>
      <c r="AL2448" s="91">
        <v>42930</v>
      </c>
      <c r="AM2448" s="91"/>
      <c r="AN2448" s="91"/>
      <c r="AO2448" s="91"/>
      <c r="AP2448" s="73" t="e">
        <f>MID(VLOOKUP(K2448,#REF!,2,FALSE),1,2)</f>
        <v>#REF!</v>
      </c>
      <c r="AQ2448" s="89">
        <f>DATE(2017,6,30)</f>
        <v>42916</v>
      </c>
      <c r="AR2448" s="82">
        <f t="shared" si="188"/>
        <v>30</v>
      </c>
      <c r="AS2448" s="83">
        <f t="shared" si="189"/>
        <v>6</v>
      </c>
      <c r="AT2448" s="84">
        <f t="shared" si="190"/>
        <v>2017</v>
      </c>
      <c r="AU2448" s="88">
        <f>DATE(2017,7,3)</f>
        <v>42919</v>
      </c>
      <c r="AV2448" s="88">
        <f>DATE(2017,7,3)</f>
        <v>42919</v>
      </c>
      <c r="AW2448" s="87">
        <f t="shared" si="191"/>
        <v>0</v>
      </c>
      <c r="AX2448" s="106"/>
      <c r="AY2448" s="83"/>
      <c r="AZ2448" s="84"/>
      <c r="BA2448" s="106"/>
      <c r="BB2448" s="106"/>
    </row>
    <row r="2449" spans="1:54" ht="36.75" customHeight="1">
      <c r="A2449" s="30"/>
      <c r="B2449" s="30" t="s">
        <v>55</v>
      </c>
      <c r="C2449" s="69" t="str">
        <f t="shared" si="192"/>
        <v>Closed</v>
      </c>
      <c r="D2449" s="27" t="s">
        <v>13792</v>
      </c>
      <c r="E2449" s="29" t="s">
        <v>13793</v>
      </c>
      <c r="F2449" s="30" t="s">
        <v>582</v>
      </c>
      <c r="G2449" s="89">
        <f>DATE(2017,6,30)</f>
        <v>42916</v>
      </c>
      <c r="H2449" s="90">
        <v>1.6145833333333335</v>
      </c>
      <c r="I2449" s="30" t="s">
        <v>198</v>
      </c>
      <c r="J2449" s="89" t="s">
        <v>13794</v>
      </c>
      <c r="K2449" s="30" t="s">
        <v>584</v>
      </c>
      <c r="L2449" s="30" t="s">
        <v>13795</v>
      </c>
      <c r="M2449" s="30" t="s">
        <v>63</v>
      </c>
      <c r="N2449" s="30" t="s">
        <v>89</v>
      </c>
      <c r="O2449" s="30" t="s">
        <v>77</v>
      </c>
      <c r="P2449" s="89" t="s">
        <v>6175</v>
      </c>
      <c r="Q2449" s="89" t="s">
        <v>13796</v>
      </c>
      <c r="R2449" s="89" t="s">
        <v>587</v>
      </c>
      <c r="S2449" s="30">
        <v>0</v>
      </c>
      <c r="T2449" s="233">
        <v>0</v>
      </c>
      <c r="U2449" s="30">
        <v>0</v>
      </c>
      <c r="V2449" s="233">
        <v>0</v>
      </c>
      <c r="W2449" s="30">
        <v>0</v>
      </c>
      <c r="X2449" s="30">
        <v>0</v>
      </c>
      <c r="Y2449" s="30">
        <v>0</v>
      </c>
      <c r="Z2449" s="233">
        <v>2</v>
      </c>
      <c r="AA2449" s="30">
        <v>0</v>
      </c>
      <c r="AB2449" s="30">
        <v>0</v>
      </c>
      <c r="AC2449" s="30">
        <v>0</v>
      </c>
      <c r="AD2449" s="30">
        <v>2</v>
      </c>
      <c r="AE2449" s="89" t="s">
        <v>145</v>
      </c>
      <c r="AF2449" s="89"/>
      <c r="AG2449" s="89" t="s">
        <v>82</v>
      </c>
      <c r="AH2449" s="72">
        <v>42919</v>
      </c>
      <c r="AI2449" s="30">
        <v>0</v>
      </c>
      <c r="AJ2449" s="89" t="s">
        <v>13797</v>
      </c>
      <c r="AK2449" s="89" t="s">
        <v>1233</v>
      </c>
      <c r="AL2449" s="91">
        <v>42919</v>
      </c>
      <c r="AM2449" s="91"/>
      <c r="AN2449" s="91"/>
      <c r="AO2449" s="91"/>
      <c r="AP2449" s="73" t="e">
        <f>MID(VLOOKUP(K2449,#REF!,2,FALSE),1,2)</f>
        <v>#REF!</v>
      </c>
      <c r="AQ2449" s="89">
        <f>DATE(2017,7,4)</f>
        <v>42920</v>
      </c>
      <c r="AR2449" s="82">
        <f t="shared" si="188"/>
        <v>4</v>
      </c>
      <c r="AS2449" s="83">
        <f t="shared" si="189"/>
        <v>7</v>
      </c>
      <c r="AT2449" s="84">
        <f t="shared" si="190"/>
        <v>2017</v>
      </c>
      <c r="AU2449" s="88">
        <f>DATE(2017,7,5)</f>
        <v>42921</v>
      </c>
      <c r="AV2449" s="88">
        <f>DATE(2017,7,4)</f>
        <v>42920</v>
      </c>
      <c r="AW2449" s="87">
        <f t="shared" si="191"/>
        <v>1</v>
      </c>
      <c r="AX2449" s="88">
        <f>DATE(2017,7,4)</f>
        <v>42920</v>
      </c>
      <c r="AY2449" s="83">
        <f>MONTH(AX2449)</f>
        <v>7</v>
      </c>
      <c r="AZ2449" s="84">
        <f>YEAR(AX2449)</f>
        <v>2017</v>
      </c>
      <c r="BA2449" s="88">
        <f>DATE(2017,7,4)</f>
        <v>42920</v>
      </c>
      <c r="BB2449" s="86"/>
    </row>
    <row r="2450" spans="1:54" ht="36.75" customHeight="1">
      <c r="A2450" s="30"/>
      <c r="B2450" s="30" t="s">
        <v>55</v>
      </c>
      <c r="C2450" s="69" t="str">
        <f t="shared" si="192"/>
        <v>Closed</v>
      </c>
      <c r="D2450" s="27" t="s">
        <v>13798</v>
      </c>
      <c r="E2450" s="29" t="s">
        <v>13799</v>
      </c>
      <c r="F2450" s="30" t="s">
        <v>835</v>
      </c>
      <c r="G2450" s="89">
        <f>DATE(2017,7,4)</f>
        <v>42920</v>
      </c>
      <c r="H2450" s="90">
        <v>1.6118055555555557</v>
      </c>
      <c r="I2450" s="30" t="s">
        <v>73</v>
      </c>
      <c r="J2450" s="89" t="s">
        <v>13800</v>
      </c>
      <c r="K2450" s="30" t="s">
        <v>837</v>
      </c>
      <c r="L2450" s="30" t="s">
        <v>13801</v>
      </c>
      <c r="M2450" s="30" t="s">
        <v>255</v>
      </c>
      <c r="N2450" s="30" t="s">
        <v>142</v>
      </c>
      <c r="O2450" s="30" t="s">
        <v>77</v>
      </c>
      <c r="P2450" s="89" t="s">
        <v>6552</v>
      </c>
      <c r="Q2450" s="89" t="s">
        <v>4210</v>
      </c>
      <c r="R2450" s="89" t="s">
        <v>4210</v>
      </c>
      <c r="S2450" s="30">
        <v>0</v>
      </c>
      <c r="T2450" s="233">
        <v>0</v>
      </c>
      <c r="U2450" s="30">
        <v>0</v>
      </c>
      <c r="V2450" s="233">
        <v>0</v>
      </c>
      <c r="W2450" s="30">
        <v>0</v>
      </c>
      <c r="X2450" s="30">
        <v>0</v>
      </c>
      <c r="Y2450" s="30">
        <v>0</v>
      </c>
      <c r="Z2450" s="233">
        <v>0</v>
      </c>
      <c r="AA2450" s="30">
        <v>0</v>
      </c>
      <c r="AB2450" s="30">
        <v>0</v>
      </c>
      <c r="AC2450" s="30">
        <v>0</v>
      </c>
      <c r="AD2450" s="30">
        <v>0</v>
      </c>
      <c r="AE2450" s="89" t="s">
        <v>92</v>
      </c>
      <c r="AF2450" s="89"/>
      <c r="AG2450" s="89" t="s">
        <v>352</v>
      </c>
      <c r="AH2450" s="72">
        <v>42920</v>
      </c>
      <c r="AI2450" s="30">
        <v>1</v>
      </c>
      <c r="AJ2450" s="89" t="s">
        <v>13802</v>
      </c>
      <c r="AK2450" s="89" t="s">
        <v>68</v>
      </c>
      <c r="AL2450" s="91">
        <v>42921</v>
      </c>
      <c r="AM2450" s="91"/>
      <c r="AN2450" s="91"/>
      <c r="AO2450" s="91"/>
      <c r="AP2450" s="73" t="e">
        <f>MID(VLOOKUP(K2450,#REF!,2,FALSE),1,2)</f>
        <v>#REF!</v>
      </c>
      <c r="AQ2450" s="89">
        <f>DATE(2017,7,5)</f>
        <v>42921</v>
      </c>
      <c r="AR2450" s="82">
        <f t="shared" si="188"/>
        <v>5</v>
      </c>
      <c r="AS2450" s="83">
        <f t="shared" si="189"/>
        <v>7</v>
      </c>
      <c r="AT2450" s="84">
        <f t="shared" si="190"/>
        <v>2017</v>
      </c>
      <c r="AU2450" s="88">
        <f>DATE(2017,7,10)</f>
        <v>42926</v>
      </c>
      <c r="AV2450" s="88">
        <f>DATE(2017,7,5)</f>
        <v>42921</v>
      </c>
      <c r="AW2450" s="87">
        <f t="shared" si="191"/>
        <v>5</v>
      </c>
      <c r="AX2450" s="106"/>
      <c r="AY2450" s="83"/>
      <c r="AZ2450" s="84"/>
      <c r="BA2450" s="106"/>
      <c r="BB2450" s="106"/>
    </row>
    <row r="2451" spans="1:54" ht="36.75" customHeight="1">
      <c r="A2451" s="30"/>
      <c r="B2451" s="30" t="s">
        <v>55</v>
      </c>
      <c r="C2451" s="69" t="str">
        <f t="shared" si="192"/>
        <v>Closed</v>
      </c>
      <c r="D2451" s="27" t="s">
        <v>13803</v>
      </c>
      <c r="E2451" s="29" t="s">
        <v>13804</v>
      </c>
      <c r="F2451" s="30" t="s">
        <v>423</v>
      </c>
      <c r="G2451" s="89">
        <f>DATE(2017,7,5)</f>
        <v>42921</v>
      </c>
      <c r="H2451" s="90">
        <v>1.5215277777777778</v>
      </c>
      <c r="I2451" s="30" t="s">
        <v>104</v>
      </c>
      <c r="J2451" s="89" t="s">
        <v>13805</v>
      </c>
      <c r="K2451" s="30" t="s">
        <v>425</v>
      </c>
      <c r="L2451" s="30" t="s">
        <v>13806</v>
      </c>
      <c r="M2451" s="30" t="s">
        <v>63</v>
      </c>
      <c r="N2451" s="30" t="s">
        <v>142</v>
      </c>
      <c r="O2451" s="30" t="s">
        <v>77</v>
      </c>
      <c r="P2451" s="89" t="s">
        <v>216</v>
      </c>
      <c r="Q2451" s="89" t="s">
        <v>5052</v>
      </c>
      <c r="R2451" s="89" t="s">
        <v>3103</v>
      </c>
      <c r="S2451" s="30">
        <v>0</v>
      </c>
      <c r="T2451" s="233">
        <v>0</v>
      </c>
      <c r="U2451" s="30">
        <v>0</v>
      </c>
      <c r="V2451" s="233">
        <v>0</v>
      </c>
      <c r="W2451" s="30">
        <v>0</v>
      </c>
      <c r="X2451" s="30">
        <v>0</v>
      </c>
      <c r="Y2451" s="30">
        <v>0</v>
      </c>
      <c r="Z2451" s="233">
        <v>0</v>
      </c>
      <c r="AA2451" s="30">
        <v>0</v>
      </c>
      <c r="AB2451" s="30">
        <v>0</v>
      </c>
      <c r="AC2451" s="30">
        <v>0</v>
      </c>
      <c r="AD2451" s="30">
        <v>0</v>
      </c>
      <c r="AE2451" s="89" t="s">
        <v>92</v>
      </c>
      <c r="AF2451" s="89"/>
      <c r="AG2451" s="89" t="s">
        <v>874</v>
      </c>
      <c r="AH2451" s="72">
        <v>42862</v>
      </c>
      <c r="AI2451" s="30">
        <v>0</v>
      </c>
      <c r="AJ2451" s="89" t="s">
        <v>13807</v>
      </c>
      <c r="AK2451" s="89" t="s">
        <v>13808</v>
      </c>
      <c r="AL2451" s="91">
        <v>42926</v>
      </c>
      <c r="AM2451" s="91"/>
      <c r="AN2451" s="91"/>
      <c r="AO2451" s="91"/>
      <c r="AP2451" s="73" t="e">
        <f>MID(VLOOKUP(K2451,#REF!,2,FALSE),1,2)</f>
        <v>#REF!</v>
      </c>
      <c r="AQ2451" s="89">
        <f>DATE(2017,7,6)</f>
        <v>42922</v>
      </c>
      <c r="AR2451" s="82">
        <f t="shared" si="188"/>
        <v>6</v>
      </c>
      <c r="AS2451" s="84">
        <f t="shared" si="189"/>
        <v>7</v>
      </c>
      <c r="AT2451" s="104">
        <f t="shared" si="190"/>
        <v>2017</v>
      </c>
      <c r="AU2451" s="86"/>
      <c r="AV2451" s="87"/>
      <c r="AW2451" s="86"/>
      <c r="AX2451" s="82"/>
      <c r="AY2451" s="84"/>
      <c r="AZ2451" s="104"/>
      <c r="BA2451" s="86"/>
      <c r="BB2451" s="86"/>
    </row>
    <row r="2452" spans="1:54" ht="36.75" customHeight="1">
      <c r="A2452" s="30"/>
      <c r="B2452" s="30" t="s">
        <v>55</v>
      </c>
      <c r="C2452" s="69" t="str">
        <f t="shared" si="192"/>
        <v>Closed</v>
      </c>
      <c r="D2452" s="27" t="s">
        <v>13809</v>
      </c>
      <c r="E2452" s="29" t="s">
        <v>13810</v>
      </c>
      <c r="F2452" s="30" t="s">
        <v>835</v>
      </c>
      <c r="G2452" s="89">
        <f>DATE(2017,7,6)</f>
        <v>42922</v>
      </c>
      <c r="H2452" s="90">
        <v>1.4118055555555555</v>
      </c>
      <c r="I2452" s="30" t="s">
        <v>125</v>
      </c>
      <c r="J2452" s="89" t="s">
        <v>13811</v>
      </c>
      <c r="K2452" s="30" t="s">
        <v>837</v>
      </c>
      <c r="L2452" s="30" t="s">
        <v>13812</v>
      </c>
      <c r="M2452" s="30" t="s">
        <v>63</v>
      </c>
      <c r="N2452" s="30" t="s">
        <v>99</v>
      </c>
      <c r="O2452" s="30" t="s">
        <v>77</v>
      </c>
      <c r="P2452" s="89" t="s">
        <v>6941</v>
      </c>
      <c r="Q2452" s="89" t="s">
        <v>2162</v>
      </c>
      <c r="R2452" s="89" t="s">
        <v>840</v>
      </c>
      <c r="S2452" s="30">
        <v>0</v>
      </c>
      <c r="T2452" s="233">
        <v>0</v>
      </c>
      <c r="U2452" s="30">
        <v>0</v>
      </c>
      <c r="V2452" s="233">
        <v>0</v>
      </c>
      <c r="W2452" s="30">
        <v>0</v>
      </c>
      <c r="X2452" s="30">
        <v>0</v>
      </c>
      <c r="Y2452" s="30">
        <v>0</v>
      </c>
      <c r="Z2452" s="233">
        <v>0</v>
      </c>
      <c r="AA2452" s="30">
        <v>0</v>
      </c>
      <c r="AB2452" s="30">
        <v>0</v>
      </c>
      <c r="AC2452" s="30">
        <v>0</v>
      </c>
      <c r="AD2452" s="30">
        <v>0</v>
      </c>
      <c r="AE2452" s="89" t="s">
        <v>394</v>
      </c>
      <c r="AF2452" s="89"/>
      <c r="AG2452" s="89" t="s">
        <v>352</v>
      </c>
      <c r="AH2452" s="72">
        <v>43138</v>
      </c>
      <c r="AI2452" s="30">
        <v>0</v>
      </c>
      <c r="AJ2452" s="89" t="s">
        <v>13813</v>
      </c>
      <c r="AK2452" s="89" t="s">
        <v>13814</v>
      </c>
      <c r="AL2452" s="91">
        <v>43138</v>
      </c>
      <c r="AM2452" s="91"/>
      <c r="AN2452" s="91"/>
      <c r="AO2452" s="91"/>
      <c r="AP2452" s="73" t="e">
        <f>MID(VLOOKUP(K2452,#REF!,2,FALSE),1,2)</f>
        <v>#REF!</v>
      </c>
      <c r="AQ2452" s="89">
        <f>DATE(2017,7,6)</f>
        <v>42922</v>
      </c>
      <c r="AR2452" s="82">
        <f t="shared" si="188"/>
        <v>6</v>
      </c>
      <c r="AS2452" s="83">
        <f t="shared" si="189"/>
        <v>7</v>
      </c>
      <c r="AT2452" s="84">
        <f t="shared" si="190"/>
        <v>2017</v>
      </c>
      <c r="AU2452" s="88">
        <f>DATE(2017,9,27)</f>
        <v>43005</v>
      </c>
      <c r="AV2452" s="88">
        <f>DATE(2017,9,18)</f>
        <v>42996</v>
      </c>
      <c r="AW2452" s="87">
        <f t="shared" ref="AW2452:AW2494" si="193">AU2452-AV2452</f>
        <v>9</v>
      </c>
      <c r="AX2452" s="88">
        <f>DATE(2017,9,27)</f>
        <v>43005</v>
      </c>
      <c r="AY2452" s="83">
        <f>MONTH(AX2452)</f>
        <v>9</v>
      </c>
      <c r="AZ2452" s="84">
        <f>YEAR(AX2452)</f>
        <v>2017</v>
      </c>
      <c r="BA2452" s="88">
        <f>DATE(2017,7,6)</f>
        <v>42922</v>
      </c>
      <c r="BB2452" s="86"/>
    </row>
    <row r="2453" spans="1:54" ht="36.75" customHeight="1">
      <c r="A2453" s="30"/>
      <c r="B2453" s="30" t="s">
        <v>55</v>
      </c>
      <c r="C2453" s="69" t="str">
        <f t="shared" si="192"/>
        <v>Closed</v>
      </c>
      <c r="D2453" s="27" t="s">
        <v>13815</v>
      </c>
      <c r="E2453" s="29" t="s">
        <v>13816</v>
      </c>
      <c r="F2453" s="30" t="s">
        <v>377</v>
      </c>
      <c r="G2453" s="89">
        <f>DATE(2017,7,6)</f>
        <v>42922</v>
      </c>
      <c r="H2453" s="90">
        <v>1.6423611111111112</v>
      </c>
      <c r="I2453" s="30" t="s">
        <v>487</v>
      </c>
      <c r="J2453" s="89" t="s">
        <v>13817</v>
      </c>
      <c r="K2453" s="30" t="s">
        <v>379</v>
      </c>
      <c r="L2453" s="30" t="s">
        <v>13818</v>
      </c>
      <c r="M2453" s="30" t="s">
        <v>63</v>
      </c>
      <c r="N2453" s="30" t="s">
        <v>142</v>
      </c>
      <c r="O2453" s="30" t="s">
        <v>64</v>
      </c>
      <c r="P2453" s="89" t="s">
        <v>301</v>
      </c>
      <c r="Q2453" s="89" t="s">
        <v>382</v>
      </c>
      <c r="R2453" s="89" t="s">
        <v>382</v>
      </c>
      <c r="S2453" s="30">
        <v>0</v>
      </c>
      <c r="T2453" s="233">
        <v>0</v>
      </c>
      <c r="U2453" s="30">
        <v>0</v>
      </c>
      <c r="V2453" s="233">
        <v>0</v>
      </c>
      <c r="W2453" s="30">
        <v>0</v>
      </c>
      <c r="X2453" s="30">
        <v>0</v>
      </c>
      <c r="Y2453" s="30">
        <v>0</v>
      </c>
      <c r="Z2453" s="233">
        <v>0</v>
      </c>
      <c r="AA2453" s="30">
        <v>0</v>
      </c>
      <c r="AB2453" s="30">
        <v>0</v>
      </c>
      <c r="AC2453" s="30">
        <v>0</v>
      </c>
      <c r="AD2453" s="30">
        <v>0</v>
      </c>
      <c r="AE2453" s="89" t="s">
        <v>92</v>
      </c>
      <c r="AF2453" s="89"/>
      <c r="AG2453" s="89" t="s">
        <v>133</v>
      </c>
      <c r="AH2453" s="72">
        <v>42996</v>
      </c>
      <c r="AI2453" s="30">
        <v>3</v>
      </c>
      <c r="AJ2453" s="89" t="s">
        <v>13819</v>
      </c>
      <c r="AK2453" s="89" t="s">
        <v>68</v>
      </c>
      <c r="AL2453" s="91">
        <v>43005</v>
      </c>
      <c r="AM2453" s="91"/>
      <c r="AN2453" s="91"/>
      <c r="AO2453" s="91"/>
      <c r="AP2453" s="73" t="e">
        <f>MID(VLOOKUP(K2453,#REF!,2,FALSE),1,2)</f>
        <v>#REF!</v>
      </c>
      <c r="AQ2453" s="89">
        <f>DATE(2017,7,7)</f>
        <v>42923</v>
      </c>
      <c r="AR2453" s="82">
        <f t="shared" si="188"/>
        <v>7</v>
      </c>
      <c r="AS2453" s="83">
        <f t="shared" si="189"/>
        <v>7</v>
      </c>
      <c r="AT2453" s="84">
        <f t="shared" si="190"/>
        <v>2017</v>
      </c>
      <c r="AU2453" s="88">
        <f>DATE(2017,7,28)</f>
        <v>42944</v>
      </c>
      <c r="AV2453" s="88">
        <f>DATE(2017,7,10)</f>
        <v>42926</v>
      </c>
      <c r="AW2453" s="87">
        <f t="shared" si="193"/>
        <v>18</v>
      </c>
      <c r="AX2453" s="88">
        <f>DATE(2017,7,28)</f>
        <v>42944</v>
      </c>
      <c r="AY2453" s="83">
        <f>MONTH(AX2453)</f>
        <v>7</v>
      </c>
      <c r="AZ2453" s="84">
        <f>YEAR(AX2453)</f>
        <v>2017</v>
      </c>
      <c r="BA2453" s="86"/>
      <c r="BB2453" s="86"/>
    </row>
    <row r="2454" spans="1:54" ht="36.75" customHeight="1">
      <c r="A2454" s="30"/>
      <c r="B2454" s="30" t="s">
        <v>55</v>
      </c>
      <c r="C2454" s="69" t="str">
        <f t="shared" si="192"/>
        <v>Closed</v>
      </c>
      <c r="D2454" s="27" t="s">
        <v>13820</v>
      </c>
      <c r="E2454" s="29" t="s">
        <v>13821</v>
      </c>
      <c r="F2454" s="30" t="s">
        <v>233</v>
      </c>
      <c r="G2454" s="89">
        <f>DATE(2017,7,7)</f>
        <v>42923</v>
      </c>
      <c r="H2454" s="90">
        <v>1.6131944444444444</v>
      </c>
      <c r="I2454" s="30" t="s">
        <v>5494</v>
      </c>
      <c r="J2454" s="89" t="s">
        <v>13822</v>
      </c>
      <c r="K2454" s="30" t="s">
        <v>235</v>
      </c>
      <c r="L2454" s="30" t="s">
        <v>13823</v>
      </c>
      <c r="M2454" s="30" t="s">
        <v>63</v>
      </c>
      <c r="N2454" s="30" t="s">
        <v>89</v>
      </c>
      <c r="O2454" s="30" t="s">
        <v>77</v>
      </c>
      <c r="P2454" s="89" t="s">
        <v>165</v>
      </c>
      <c r="Q2454" s="89" t="s">
        <v>351</v>
      </c>
      <c r="R2454" s="89" t="s">
        <v>235</v>
      </c>
      <c r="S2454" s="30">
        <v>0</v>
      </c>
      <c r="T2454" s="233">
        <v>0</v>
      </c>
      <c r="U2454" s="30">
        <v>0</v>
      </c>
      <c r="V2454" s="233">
        <v>0</v>
      </c>
      <c r="W2454" s="30">
        <v>0</v>
      </c>
      <c r="X2454" s="30">
        <v>0</v>
      </c>
      <c r="Y2454" s="30">
        <v>0</v>
      </c>
      <c r="Z2454" s="233">
        <v>0</v>
      </c>
      <c r="AA2454" s="30">
        <v>0</v>
      </c>
      <c r="AB2454" s="30">
        <v>0</v>
      </c>
      <c r="AC2454" s="30">
        <v>0</v>
      </c>
      <c r="AD2454" s="30">
        <v>0</v>
      </c>
      <c r="AE2454" s="89" t="s">
        <v>92</v>
      </c>
      <c r="AF2454" s="89"/>
      <c r="AG2454" s="89" t="s">
        <v>133</v>
      </c>
      <c r="AH2454" s="72">
        <v>42926</v>
      </c>
      <c r="AI2454" s="30">
        <v>1</v>
      </c>
      <c r="AJ2454" s="89" t="s">
        <v>13824</v>
      </c>
      <c r="AK2454" s="89" t="s">
        <v>13825</v>
      </c>
      <c r="AL2454" s="91">
        <v>42944</v>
      </c>
      <c r="AM2454" s="91"/>
      <c r="AN2454" s="91"/>
      <c r="AO2454" s="91"/>
      <c r="AP2454" s="73" t="e">
        <f>MID(VLOOKUP(K2454,#REF!,2,FALSE),1,2)</f>
        <v>#REF!</v>
      </c>
      <c r="AQ2454" s="89">
        <f>DATE(2017,7,8)</f>
        <v>42924</v>
      </c>
      <c r="AR2454" s="82">
        <f t="shared" si="188"/>
        <v>8</v>
      </c>
      <c r="AS2454" s="83">
        <f t="shared" si="189"/>
        <v>7</v>
      </c>
      <c r="AT2454" s="84">
        <f t="shared" si="190"/>
        <v>2017</v>
      </c>
      <c r="AU2454" s="88">
        <f>DATE(2017,7,10)</f>
        <v>42926</v>
      </c>
      <c r="AV2454" s="88">
        <f>DATE(2017,7,10)</f>
        <v>42926</v>
      </c>
      <c r="AW2454" s="87">
        <f t="shared" si="193"/>
        <v>0</v>
      </c>
      <c r="AX2454" s="106"/>
      <c r="AY2454" s="83"/>
      <c r="AZ2454" s="84"/>
      <c r="BA2454" s="106"/>
      <c r="BB2454" s="106"/>
    </row>
    <row r="2455" spans="1:54" ht="36.75" customHeight="1">
      <c r="A2455" s="30"/>
      <c r="B2455" s="30" t="s">
        <v>55</v>
      </c>
      <c r="C2455" s="69" t="str">
        <f t="shared" si="192"/>
        <v>Closed</v>
      </c>
      <c r="D2455" s="27" t="s">
        <v>13826</v>
      </c>
      <c r="E2455" s="29" t="s">
        <v>13827</v>
      </c>
      <c r="F2455" s="30" t="s">
        <v>423</v>
      </c>
      <c r="G2455" s="89">
        <f>DATE(2017,7,8)</f>
        <v>42924</v>
      </c>
      <c r="H2455" s="90">
        <v>1.870138888888889</v>
      </c>
      <c r="I2455" s="30" t="s">
        <v>156</v>
      </c>
      <c r="J2455" s="89" t="s">
        <v>13828</v>
      </c>
      <c r="K2455" s="30" t="s">
        <v>425</v>
      </c>
      <c r="L2455" s="30" t="s">
        <v>13829</v>
      </c>
      <c r="M2455" s="30" t="s">
        <v>63</v>
      </c>
      <c r="N2455" s="30" t="s">
        <v>142</v>
      </c>
      <c r="O2455" s="30" t="s">
        <v>64</v>
      </c>
      <c r="P2455" s="89" t="s">
        <v>78</v>
      </c>
      <c r="Q2455" s="89" t="s">
        <v>13830</v>
      </c>
      <c r="R2455" s="89" t="s">
        <v>3103</v>
      </c>
      <c r="S2455" s="30">
        <v>0</v>
      </c>
      <c r="T2455" s="233">
        <v>0</v>
      </c>
      <c r="U2455" s="30">
        <v>0</v>
      </c>
      <c r="V2455" s="233">
        <v>0</v>
      </c>
      <c r="W2455" s="30">
        <v>0</v>
      </c>
      <c r="X2455" s="30">
        <v>0</v>
      </c>
      <c r="Y2455" s="30">
        <v>0</v>
      </c>
      <c r="Z2455" s="233">
        <v>0</v>
      </c>
      <c r="AA2455" s="30">
        <v>0</v>
      </c>
      <c r="AB2455" s="30">
        <v>0</v>
      </c>
      <c r="AC2455" s="30">
        <v>0</v>
      </c>
      <c r="AD2455" s="30">
        <v>0</v>
      </c>
      <c r="AE2455" s="89" t="s">
        <v>92</v>
      </c>
      <c r="AF2455" s="89"/>
      <c r="AG2455" s="89" t="s">
        <v>589</v>
      </c>
      <c r="AH2455" s="72">
        <v>43015</v>
      </c>
      <c r="AI2455" s="30">
        <v>1</v>
      </c>
      <c r="AJ2455" s="89" t="s">
        <v>13831</v>
      </c>
      <c r="AK2455" s="89" t="s">
        <v>13832</v>
      </c>
      <c r="AL2455" s="91">
        <v>42926</v>
      </c>
      <c r="AM2455" s="91"/>
      <c r="AN2455" s="91"/>
      <c r="AO2455" s="91"/>
      <c r="AP2455" s="73" t="e">
        <f>MID(VLOOKUP(K2455,#REF!,2,FALSE),1,2)</f>
        <v>#REF!</v>
      </c>
      <c r="AQ2455" s="89">
        <f>DATE(2017,7,12)</f>
        <v>42928</v>
      </c>
      <c r="AR2455" s="82">
        <f t="shared" si="188"/>
        <v>12</v>
      </c>
      <c r="AS2455" s="83">
        <f t="shared" si="189"/>
        <v>7</v>
      </c>
      <c r="AT2455" s="84">
        <f t="shared" si="190"/>
        <v>2017</v>
      </c>
      <c r="AU2455" s="88">
        <f>DATE(2017,7,14)</f>
        <v>42930</v>
      </c>
      <c r="AV2455" s="88">
        <f>DATE(2017,7,12)</f>
        <v>42928</v>
      </c>
      <c r="AW2455" s="87">
        <f t="shared" si="193"/>
        <v>2</v>
      </c>
      <c r="AX2455" s="106"/>
      <c r="AY2455" s="83"/>
      <c r="AZ2455" s="84"/>
      <c r="BA2455" s="106"/>
      <c r="BB2455" s="106"/>
    </row>
    <row r="2456" spans="1:54" ht="36.75" customHeight="1">
      <c r="A2456" s="30"/>
      <c r="B2456" s="30" t="s">
        <v>55</v>
      </c>
      <c r="C2456" s="69" t="str">
        <f t="shared" si="192"/>
        <v>Closed</v>
      </c>
      <c r="D2456" s="27" t="s">
        <v>13833</v>
      </c>
      <c r="E2456" s="29" t="s">
        <v>13834</v>
      </c>
      <c r="F2456" s="30" t="s">
        <v>423</v>
      </c>
      <c r="G2456" s="89">
        <f>DATE(2017,7,12)</f>
        <v>42928</v>
      </c>
      <c r="H2456" s="90">
        <v>1.307638888888889</v>
      </c>
      <c r="I2456" s="30" t="s">
        <v>116</v>
      </c>
      <c r="J2456" s="89" t="s">
        <v>13835</v>
      </c>
      <c r="K2456" s="30" t="s">
        <v>425</v>
      </c>
      <c r="L2456" s="30" t="s">
        <v>13836</v>
      </c>
      <c r="M2456" s="30" t="s">
        <v>63</v>
      </c>
      <c r="N2456" s="30" t="s">
        <v>99</v>
      </c>
      <c r="O2456" s="30" t="s">
        <v>64</v>
      </c>
      <c r="P2456" s="89" t="s">
        <v>165</v>
      </c>
      <c r="Q2456" s="89" t="s">
        <v>4551</v>
      </c>
      <c r="R2456" s="89" t="s">
        <v>3103</v>
      </c>
      <c r="S2456" s="30">
        <v>0</v>
      </c>
      <c r="T2456" s="233">
        <v>0</v>
      </c>
      <c r="U2456" s="30">
        <v>1</v>
      </c>
      <c r="V2456" s="233">
        <v>0</v>
      </c>
      <c r="W2456" s="30">
        <v>0</v>
      </c>
      <c r="X2456" s="30">
        <v>1</v>
      </c>
      <c r="Y2456" s="30">
        <v>0</v>
      </c>
      <c r="Z2456" s="233">
        <v>0</v>
      </c>
      <c r="AA2456" s="30">
        <v>0</v>
      </c>
      <c r="AB2456" s="30">
        <v>0</v>
      </c>
      <c r="AC2456" s="30">
        <v>0</v>
      </c>
      <c r="AD2456" s="30">
        <v>0</v>
      </c>
      <c r="AE2456" s="89" t="s">
        <v>92</v>
      </c>
      <c r="AF2456" s="89"/>
      <c r="AG2456" s="89" t="s">
        <v>874</v>
      </c>
      <c r="AH2456" s="72">
        <v>43076</v>
      </c>
      <c r="AI2456" s="30">
        <v>1</v>
      </c>
      <c r="AJ2456" s="89" t="s">
        <v>13837</v>
      </c>
      <c r="AK2456" s="89" t="s">
        <v>13838</v>
      </c>
      <c r="AL2456" s="91">
        <v>42930</v>
      </c>
      <c r="AM2456" s="91"/>
      <c r="AN2456" s="91"/>
      <c r="AO2456" s="91"/>
      <c r="AP2456" s="73" t="e">
        <f>MID(VLOOKUP(K2456,#REF!,2,FALSE),1,2)</f>
        <v>#REF!</v>
      </c>
      <c r="AQ2456" s="89">
        <f>DATE(2017,7,13)</f>
        <v>42929</v>
      </c>
      <c r="AR2456" s="82">
        <f t="shared" si="188"/>
        <v>13</v>
      </c>
      <c r="AS2456" s="83">
        <f t="shared" si="189"/>
        <v>7</v>
      </c>
      <c r="AT2456" s="84">
        <f t="shared" si="190"/>
        <v>2017</v>
      </c>
      <c r="AU2456" s="88">
        <f>DATE(2017,9,26)</f>
        <v>43004</v>
      </c>
      <c r="AV2456" s="88">
        <f>DATE(2017,7,20)</f>
        <v>42936</v>
      </c>
      <c r="AW2456" s="87">
        <f t="shared" si="193"/>
        <v>68</v>
      </c>
      <c r="AX2456" s="86"/>
      <c r="AY2456" s="83"/>
      <c r="AZ2456" s="84"/>
      <c r="BA2456" s="86"/>
      <c r="BB2456" s="86" t="s">
        <v>13115</v>
      </c>
    </row>
    <row r="2457" spans="1:54" ht="36.75" customHeight="1">
      <c r="A2457" s="30"/>
      <c r="B2457" s="30" t="s">
        <v>55</v>
      </c>
      <c r="C2457" s="69" t="str">
        <f t="shared" si="192"/>
        <v>Closed</v>
      </c>
      <c r="D2457" s="27" t="s">
        <v>13839</v>
      </c>
      <c r="E2457" s="29" t="s">
        <v>13840</v>
      </c>
      <c r="F2457" s="30" t="s">
        <v>638</v>
      </c>
      <c r="G2457" s="89">
        <f>DATE(2017,7,13)</f>
        <v>42929</v>
      </c>
      <c r="H2457" s="90">
        <v>1.7409722222222221</v>
      </c>
      <c r="I2457" s="30" t="s">
        <v>73</v>
      </c>
      <c r="J2457" s="89" t="s">
        <v>13841</v>
      </c>
      <c r="K2457" s="30" t="s">
        <v>640</v>
      </c>
      <c r="L2457" s="30" t="s">
        <v>13842</v>
      </c>
      <c r="M2457" s="30" t="s">
        <v>63</v>
      </c>
      <c r="N2457" s="30" t="s">
        <v>99</v>
      </c>
      <c r="O2457" s="30" t="s">
        <v>64</v>
      </c>
      <c r="P2457" s="89" t="s">
        <v>78</v>
      </c>
      <c r="Q2457" s="89" t="s">
        <v>4904</v>
      </c>
      <c r="R2457" s="89" t="s">
        <v>643</v>
      </c>
      <c r="S2457" s="30">
        <v>0</v>
      </c>
      <c r="T2457" s="233">
        <v>0</v>
      </c>
      <c r="U2457" s="30">
        <v>0</v>
      </c>
      <c r="V2457" s="233">
        <v>0</v>
      </c>
      <c r="W2457" s="30">
        <v>0</v>
      </c>
      <c r="X2457" s="30">
        <v>0</v>
      </c>
      <c r="Y2457" s="30">
        <v>0</v>
      </c>
      <c r="Z2457" s="233">
        <v>0</v>
      </c>
      <c r="AA2457" s="30">
        <v>0</v>
      </c>
      <c r="AB2457" s="30">
        <v>0</v>
      </c>
      <c r="AC2457" s="30">
        <v>0</v>
      </c>
      <c r="AD2457" s="30">
        <v>0</v>
      </c>
      <c r="AE2457" s="89" t="s">
        <v>92</v>
      </c>
      <c r="AF2457" s="89"/>
      <c r="AG2457" s="89" t="s">
        <v>352</v>
      </c>
      <c r="AH2457" s="72">
        <v>42936</v>
      </c>
      <c r="AI2457" s="30">
        <v>2</v>
      </c>
      <c r="AJ2457" s="89" t="s">
        <v>13843</v>
      </c>
      <c r="AK2457" s="89" t="s">
        <v>13844</v>
      </c>
      <c r="AL2457" s="91">
        <v>43004</v>
      </c>
      <c r="AM2457" s="91"/>
      <c r="AN2457" s="91"/>
      <c r="AO2457" s="91"/>
      <c r="AP2457" s="73" t="e">
        <f>MID(VLOOKUP(K2457,#REF!,2,FALSE),1,2)</f>
        <v>#REF!</v>
      </c>
      <c r="AQ2457" s="89">
        <f>DATE(2017,7,15)</f>
        <v>42931</v>
      </c>
      <c r="AR2457" s="82">
        <f t="shared" si="188"/>
        <v>15</v>
      </c>
      <c r="AS2457" s="83">
        <f t="shared" si="189"/>
        <v>7</v>
      </c>
      <c r="AT2457" s="84">
        <f t="shared" si="190"/>
        <v>2017</v>
      </c>
      <c r="AU2457" s="88">
        <f>DATE(2017,7,23)</f>
        <v>42939</v>
      </c>
      <c r="AV2457" s="88">
        <f>DATE(2017,7,18)</f>
        <v>42934</v>
      </c>
      <c r="AW2457" s="87">
        <f t="shared" si="193"/>
        <v>5</v>
      </c>
      <c r="AX2457" s="88">
        <f>DATE(2017,7,23)</f>
        <v>42939</v>
      </c>
      <c r="AY2457" s="83">
        <f>MONTH(AX2457)</f>
        <v>7</v>
      </c>
      <c r="AZ2457" s="84">
        <f>YEAR(AX2457)</f>
        <v>2017</v>
      </c>
      <c r="BA2457" s="88">
        <f>DATE(2017,7,15)</f>
        <v>42931</v>
      </c>
      <c r="BB2457" s="86"/>
    </row>
    <row r="2458" spans="1:54" ht="36.75" customHeight="1">
      <c r="A2458" s="30"/>
      <c r="B2458" s="30" t="s">
        <v>55</v>
      </c>
      <c r="C2458" s="69" t="str">
        <f t="shared" si="192"/>
        <v>Closed</v>
      </c>
      <c r="D2458" s="27" t="s">
        <v>13845</v>
      </c>
      <c r="E2458" s="29" t="s">
        <v>13846</v>
      </c>
      <c r="F2458" s="30" t="s">
        <v>1572</v>
      </c>
      <c r="G2458" s="89">
        <f>DATE(2017,7,15)</f>
        <v>42931</v>
      </c>
      <c r="H2458" s="90">
        <v>1.2777777777777777</v>
      </c>
      <c r="I2458" s="30" t="s">
        <v>73</v>
      </c>
      <c r="J2458" s="89" t="s">
        <v>13847</v>
      </c>
      <c r="K2458" s="30" t="s">
        <v>1574</v>
      </c>
      <c r="L2458" s="30" t="s">
        <v>13848</v>
      </c>
      <c r="M2458" s="30" t="s">
        <v>63</v>
      </c>
      <c r="N2458" s="30" t="s">
        <v>142</v>
      </c>
      <c r="O2458" s="30" t="s">
        <v>77</v>
      </c>
      <c r="P2458" s="89" t="s">
        <v>78</v>
      </c>
      <c r="Q2458" s="89" t="s">
        <v>1584</v>
      </c>
      <c r="R2458" s="89" t="s">
        <v>6434</v>
      </c>
      <c r="S2458" s="30">
        <v>0</v>
      </c>
      <c r="T2458" s="233">
        <v>0</v>
      </c>
      <c r="U2458" s="30">
        <v>0</v>
      </c>
      <c r="V2458" s="233">
        <v>0</v>
      </c>
      <c r="W2458" s="30">
        <v>0</v>
      </c>
      <c r="X2458" s="30">
        <v>0</v>
      </c>
      <c r="Y2458" s="30">
        <v>0</v>
      </c>
      <c r="Z2458" s="233">
        <v>0</v>
      </c>
      <c r="AA2458" s="30">
        <v>0</v>
      </c>
      <c r="AB2458" s="30">
        <v>0</v>
      </c>
      <c r="AC2458" s="30">
        <v>0</v>
      </c>
      <c r="AD2458" s="30">
        <v>0</v>
      </c>
      <c r="AE2458" s="89" t="s">
        <v>394</v>
      </c>
      <c r="AF2458" s="89"/>
      <c r="AG2458" s="89" t="s">
        <v>133</v>
      </c>
      <c r="AH2458" s="72">
        <v>42934</v>
      </c>
      <c r="AI2458" s="30">
        <v>1</v>
      </c>
      <c r="AJ2458" s="89" t="s">
        <v>13849</v>
      </c>
      <c r="AK2458" s="89" t="s">
        <v>13850</v>
      </c>
      <c r="AL2458" s="91">
        <v>42939</v>
      </c>
      <c r="AM2458" s="91"/>
      <c r="AN2458" s="91"/>
      <c r="AO2458" s="91"/>
      <c r="AP2458" s="73" t="e">
        <f>MID(VLOOKUP(K2458,#REF!,2,FALSE),1,2)</f>
        <v>#REF!</v>
      </c>
      <c r="AQ2458" s="89">
        <f>DATE(2017,7,17)</f>
        <v>42933</v>
      </c>
      <c r="AR2458" s="82">
        <f t="shared" si="188"/>
        <v>17</v>
      </c>
      <c r="AS2458" s="83">
        <f t="shared" si="189"/>
        <v>7</v>
      </c>
      <c r="AT2458" s="84">
        <f t="shared" si="190"/>
        <v>2017</v>
      </c>
      <c r="AU2458" s="88">
        <f>DATE(2017,7,19)</f>
        <v>42935</v>
      </c>
      <c r="AV2458" s="88">
        <f>DATE(2017,7,17)</f>
        <v>42933</v>
      </c>
      <c r="AW2458" s="87">
        <f t="shared" si="193"/>
        <v>2</v>
      </c>
      <c r="AX2458" s="106"/>
      <c r="AY2458" s="83"/>
      <c r="AZ2458" s="84"/>
      <c r="BA2458" s="106"/>
      <c r="BB2458" s="106"/>
    </row>
    <row r="2459" spans="1:54" ht="36.75" customHeight="1">
      <c r="A2459" s="30"/>
      <c r="B2459" s="30" t="s">
        <v>55</v>
      </c>
      <c r="C2459" s="69" t="str">
        <f t="shared" si="192"/>
        <v>Closed</v>
      </c>
      <c r="D2459" s="27" t="s">
        <v>13851</v>
      </c>
      <c r="E2459" s="29" t="s">
        <v>13852</v>
      </c>
      <c r="F2459" s="30" t="s">
        <v>423</v>
      </c>
      <c r="G2459" s="89">
        <f>DATE(2017,7,17)</f>
        <v>42933</v>
      </c>
      <c r="H2459" s="90">
        <v>1.3965277777777778</v>
      </c>
      <c r="I2459" s="30" t="s">
        <v>116</v>
      </c>
      <c r="J2459" s="89" t="s">
        <v>13853</v>
      </c>
      <c r="K2459" s="30" t="s">
        <v>425</v>
      </c>
      <c r="L2459" s="30" t="s">
        <v>13854</v>
      </c>
      <c r="M2459" s="30" t="s">
        <v>63</v>
      </c>
      <c r="N2459" s="30" t="s">
        <v>99</v>
      </c>
      <c r="O2459" s="30" t="s">
        <v>64</v>
      </c>
      <c r="P2459" s="89" t="s">
        <v>65</v>
      </c>
      <c r="Q2459" s="89" t="s">
        <v>12583</v>
      </c>
      <c r="R2459" s="89" t="s">
        <v>3103</v>
      </c>
      <c r="S2459" s="30">
        <v>0</v>
      </c>
      <c r="T2459" s="233">
        <v>0</v>
      </c>
      <c r="U2459" s="30">
        <v>0</v>
      </c>
      <c r="V2459" s="233">
        <v>0</v>
      </c>
      <c r="W2459" s="30">
        <v>0</v>
      </c>
      <c r="X2459" s="30">
        <v>0</v>
      </c>
      <c r="Y2459" s="30">
        <v>0</v>
      </c>
      <c r="Z2459" s="233">
        <v>0</v>
      </c>
      <c r="AA2459" s="30">
        <v>0</v>
      </c>
      <c r="AB2459" s="30">
        <v>0</v>
      </c>
      <c r="AC2459" s="30">
        <v>0</v>
      </c>
      <c r="AD2459" s="30">
        <v>0</v>
      </c>
      <c r="AE2459" s="89" t="s">
        <v>92</v>
      </c>
      <c r="AF2459" s="89"/>
      <c r="AG2459" s="89" t="s">
        <v>352</v>
      </c>
      <c r="AH2459" s="72">
        <v>42933</v>
      </c>
      <c r="AI2459" s="30">
        <v>0</v>
      </c>
      <c r="AJ2459" s="89" t="s">
        <v>13855</v>
      </c>
      <c r="AK2459" s="89" t="s">
        <v>13856</v>
      </c>
      <c r="AL2459" s="91">
        <v>42935</v>
      </c>
      <c r="AM2459" s="91"/>
      <c r="AN2459" s="91"/>
      <c r="AO2459" s="91"/>
      <c r="AP2459" s="73" t="e">
        <f>MID(VLOOKUP(K2459,#REF!,2,FALSE),1,2)</f>
        <v>#REF!</v>
      </c>
      <c r="AQ2459" s="89">
        <f>DATE(2017,7,17)</f>
        <v>42933</v>
      </c>
      <c r="AR2459" s="82">
        <f t="shared" ref="AR2459:AR2490" si="194">DAY(AQ2459)</f>
        <v>17</v>
      </c>
      <c r="AS2459" s="83">
        <f t="shared" ref="AS2459:AS2490" si="195">MONTH(AQ2459)</f>
        <v>7</v>
      </c>
      <c r="AT2459" s="84">
        <f t="shared" ref="AT2459:AT2490" si="196">YEAR(AQ2459)</f>
        <v>2017</v>
      </c>
      <c r="AU2459" s="88">
        <f>DATE(2017,7,20)</f>
        <v>42936</v>
      </c>
      <c r="AV2459" s="88">
        <f>DATE(2017,7,18)</f>
        <v>42934</v>
      </c>
      <c r="AW2459" s="87">
        <f t="shared" si="193"/>
        <v>2</v>
      </c>
      <c r="AX2459" s="86"/>
      <c r="AY2459" s="83"/>
      <c r="AZ2459" s="84"/>
      <c r="BA2459" s="86"/>
      <c r="BB2459" s="86" t="s">
        <v>13115</v>
      </c>
    </row>
    <row r="2460" spans="1:54" ht="36.75" customHeight="1">
      <c r="A2460" s="30"/>
      <c r="B2460" s="30" t="s">
        <v>55</v>
      </c>
      <c r="C2460" s="69" t="str">
        <f t="shared" si="192"/>
        <v>Closed</v>
      </c>
      <c r="D2460" s="27" t="s">
        <v>13857</v>
      </c>
      <c r="E2460" s="29" t="s">
        <v>13858</v>
      </c>
      <c r="F2460" s="30" t="s">
        <v>582</v>
      </c>
      <c r="G2460" s="89">
        <f>DATE(2017,7,17)</f>
        <v>42933</v>
      </c>
      <c r="H2460" s="90">
        <v>1.8854166666666665</v>
      </c>
      <c r="I2460" s="30" t="s">
        <v>116</v>
      </c>
      <c r="J2460" s="89" t="s">
        <v>13859</v>
      </c>
      <c r="K2460" s="30" t="s">
        <v>584</v>
      </c>
      <c r="L2460" s="30" t="s">
        <v>13860</v>
      </c>
      <c r="M2460" s="30" t="s">
        <v>63</v>
      </c>
      <c r="N2460" s="30" t="s">
        <v>89</v>
      </c>
      <c r="O2460" s="30" t="s">
        <v>77</v>
      </c>
      <c r="P2460" s="89" t="s">
        <v>78</v>
      </c>
      <c r="Q2460" s="89" t="s">
        <v>9738</v>
      </c>
      <c r="R2460" s="89" t="s">
        <v>587</v>
      </c>
      <c r="S2460" s="30">
        <v>0</v>
      </c>
      <c r="T2460" s="233">
        <v>0</v>
      </c>
      <c r="U2460" s="30">
        <v>0</v>
      </c>
      <c r="V2460" s="233">
        <v>0</v>
      </c>
      <c r="W2460" s="30">
        <v>0</v>
      </c>
      <c r="X2460" s="30">
        <v>0</v>
      </c>
      <c r="Y2460" s="30">
        <v>0</v>
      </c>
      <c r="Z2460" s="233">
        <v>0</v>
      </c>
      <c r="AA2460" s="30">
        <v>0</v>
      </c>
      <c r="AB2460" s="30">
        <v>0</v>
      </c>
      <c r="AC2460" s="30">
        <v>0</v>
      </c>
      <c r="AD2460" s="30">
        <v>0</v>
      </c>
      <c r="AE2460" s="89" t="s">
        <v>394</v>
      </c>
      <c r="AF2460" s="89"/>
      <c r="AG2460" s="89" t="s">
        <v>133</v>
      </c>
      <c r="AH2460" s="72">
        <v>42934</v>
      </c>
      <c r="AI2460" s="30">
        <v>0</v>
      </c>
      <c r="AJ2460" s="89" t="s">
        <v>13861</v>
      </c>
      <c r="AK2460" s="89" t="s">
        <v>1233</v>
      </c>
      <c r="AL2460" s="91">
        <v>42936</v>
      </c>
      <c r="AM2460" s="91"/>
      <c r="AN2460" s="91"/>
      <c r="AO2460" s="91"/>
      <c r="AP2460" s="73" t="e">
        <f>MID(VLOOKUP(K2460,#REF!,2,FALSE),1,2)</f>
        <v>#REF!</v>
      </c>
      <c r="AQ2460" s="89">
        <f>DATE(2017,7,19)</f>
        <v>42935</v>
      </c>
      <c r="AR2460" s="82">
        <f t="shared" si="194"/>
        <v>19</v>
      </c>
      <c r="AS2460" s="83">
        <f t="shared" si="195"/>
        <v>7</v>
      </c>
      <c r="AT2460" s="84">
        <f t="shared" si="196"/>
        <v>2017</v>
      </c>
      <c r="AU2460" s="88">
        <f>DATE(2017,7,19)</f>
        <v>42935</v>
      </c>
      <c r="AV2460" s="88">
        <f>DATE(2017,7,19)</f>
        <v>42935</v>
      </c>
      <c r="AW2460" s="87">
        <f t="shared" si="193"/>
        <v>0</v>
      </c>
      <c r="AX2460" s="106"/>
      <c r="AY2460" s="83"/>
      <c r="AZ2460" s="84"/>
      <c r="BA2460" s="106"/>
      <c r="BB2460" s="106"/>
    </row>
    <row r="2461" spans="1:54" ht="36.75" customHeight="1">
      <c r="A2461" s="30"/>
      <c r="B2461" s="30" t="s">
        <v>55</v>
      </c>
      <c r="C2461" s="69" t="str">
        <f t="shared" si="192"/>
        <v>Closed</v>
      </c>
      <c r="D2461" s="27" t="s">
        <v>13862</v>
      </c>
      <c r="E2461" s="29" t="s">
        <v>13863</v>
      </c>
      <c r="F2461" s="30" t="s">
        <v>423</v>
      </c>
      <c r="G2461" s="89">
        <f>DATE(2017,7,19)</f>
        <v>42935</v>
      </c>
      <c r="H2461" s="90">
        <v>1.3006944444444444</v>
      </c>
      <c r="I2461" s="30" t="s">
        <v>198</v>
      </c>
      <c r="J2461" s="89" t="s">
        <v>13864</v>
      </c>
      <c r="K2461" s="30" t="s">
        <v>425</v>
      </c>
      <c r="L2461" s="30" t="s">
        <v>13865</v>
      </c>
      <c r="M2461" s="30" t="s">
        <v>255</v>
      </c>
      <c r="N2461" s="30" t="s">
        <v>142</v>
      </c>
      <c r="O2461" s="30" t="s">
        <v>64</v>
      </c>
      <c r="P2461" s="89" t="s">
        <v>6552</v>
      </c>
      <c r="Q2461" s="89" t="s">
        <v>2715</v>
      </c>
      <c r="R2461" s="89" t="s">
        <v>2715</v>
      </c>
      <c r="S2461" s="30">
        <v>1</v>
      </c>
      <c r="T2461" s="233">
        <v>0</v>
      </c>
      <c r="U2461" s="30">
        <v>0</v>
      </c>
      <c r="V2461" s="233">
        <v>0</v>
      </c>
      <c r="W2461" s="30">
        <v>0</v>
      </c>
      <c r="X2461" s="30">
        <v>1</v>
      </c>
      <c r="Y2461" s="30">
        <v>0</v>
      </c>
      <c r="Z2461" s="233">
        <v>0</v>
      </c>
      <c r="AA2461" s="30">
        <v>0</v>
      </c>
      <c r="AB2461" s="30">
        <v>0</v>
      </c>
      <c r="AC2461" s="30">
        <v>0</v>
      </c>
      <c r="AD2461" s="30">
        <v>0</v>
      </c>
      <c r="AE2461" s="89" t="s">
        <v>92</v>
      </c>
      <c r="AF2461" s="89"/>
      <c r="AG2461" s="89" t="s">
        <v>133</v>
      </c>
      <c r="AH2461" s="72">
        <v>42935</v>
      </c>
      <c r="AI2461" s="30">
        <v>0</v>
      </c>
      <c r="AJ2461" s="89" t="s">
        <v>13866</v>
      </c>
      <c r="AK2461" s="89" t="s">
        <v>13867</v>
      </c>
      <c r="AL2461" s="91">
        <v>42935</v>
      </c>
      <c r="AM2461" s="91"/>
      <c r="AN2461" s="91"/>
      <c r="AO2461" s="91"/>
      <c r="AP2461" s="73" t="e">
        <f>MID(VLOOKUP(K2461,#REF!,2,FALSE),1,2)</f>
        <v>#REF!</v>
      </c>
      <c r="AQ2461" s="89">
        <f>DATE(2017,7,20)</f>
        <v>42936</v>
      </c>
      <c r="AR2461" s="82">
        <f t="shared" si="194"/>
        <v>20</v>
      </c>
      <c r="AS2461" s="83">
        <f t="shared" si="195"/>
        <v>7</v>
      </c>
      <c r="AT2461" s="84">
        <f t="shared" si="196"/>
        <v>2017</v>
      </c>
      <c r="AU2461" s="88">
        <f>DATE(2017,7,24)</f>
        <v>42940</v>
      </c>
      <c r="AV2461" s="88">
        <f>DATE(2017,7,20)</f>
        <v>42936</v>
      </c>
      <c r="AW2461" s="87">
        <f t="shared" si="193"/>
        <v>4</v>
      </c>
      <c r="AX2461" s="106"/>
      <c r="AY2461" s="83"/>
      <c r="AZ2461" s="84"/>
      <c r="BA2461" s="106"/>
      <c r="BB2461" s="106"/>
    </row>
    <row r="2462" spans="1:54" ht="36.75" customHeight="1">
      <c r="A2462" s="30"/>
      <c r="B2462" s="30" t="s">
        <v>55</v>
      </c>
      <c r="C2462" s="69" t="str">
        <f t="shared" si="192"/>
        <v>Closed</v>
      </c>
      <c r="D2462" s="27" t="s">
        <v>13868</v>
      </c>
      <c r="E2462" s="29" t="s">
        <v>13869</v>
      </c>
      <c r="F2462" s="30" t="s">
        <v>423</v>
      </c>
      <c r="G2462" s="89">
        <f>DATE(2017,7,20)</f>
        <v>42936</v>
      </c>
      <c r="H2462" s="90">
        <v>1.3583333333333334</v>
      </c>
      <c r="I2462" s="30" t="s">
        <v>116</v>
      </c>
      <c r="J2462" s="89" t="s">
        <v>13870</v>
      </c>
      <c r="K2462" s="30" t="s">
        <v>425</v>
      </c>
      <c r="L2462" s="30" t="s">
        <v>13871</v>
      </c>
      <c r="M2462" s="30" t="s">
        <v>63</v>
      </c>
      <c r="N2462" s="30" t="s">
        <v>99</v>
      </c>
      <c r="O2462" s="30" t="s">
        <v>77</v>
      </c>
      <c r="P2462" s="89" t="s">
        <v>165</v>
      </c>
      <c r="Q2462" s="89" t="s">
        <v>4551</v>
      </c>
      <c r="R2462" s="89" t="s">
        <v>3103</v>
      </c>
      <c r="S2462" s="30">
        <v>0</v>
      </c>
      <c r="T2462" s="233">
        <v>0</v>
      </c>
      <c r="U2462" s="30">
        <v>1</v>
      </c>
      <c r="V2462" s="233">
        <v>0</v>
      </c>
      <c r="W2462" s="30">
        <v>0</v>
      </c>
      <c r="X2462" s="30">
        <v>1</v>
      </c>
      <c r="Y2462" s="30">
        <v>0</v>
      </c>
      <c r="Z2462" s="233">
        <v>0</v>
      </c>
      <c r="AA2462" s="30">
        <v>0</v>
      </c>
      <c r="AB2462" s="30">
        <v>0</v>
      </c>
      <c r="AC2462" s="30">
        <v>0</v>
      </c>
      <c r="AD2462" s="30">
        <v>0</v>
      </c>
      <c r="AE2462" s="89" t="s">
        <v>92</v>
      </c>
      <c r="AF2462" s="89"/>
      <c r="AG2462" s="89" t="s">
        <v>13201</v>
      </c>
      <c r="AH2462" s="72">
        <v>42936</v>
      </c>
      <c r="AI2462" s="30">
        <v>2</v>
      </c>
      <c r="AJ2462" s="89" t="s">
        <v>13872</v>
      </c>
      <c r="AK2462" s="89" t="s">
        <v>13873</v>
      </c>
      <c r="AL2462" s="91">
        <v>42940</v>
      </c>
      <c r="AM2462" s="91"/>
      <c r="AN2462" s="91"/>
      <c r="AO2462" s="91"/>
      <c r="AP2462" s="73" t="e">
        <f>MID(VLOOKUP(K2462,#REF!,2,FALSE),1,2)</f>
        <v>#REF!</v>
      </c>
      <c r="AQ2462" s="89">
        <f>DATE(2017,7,25)</f>
        <v>42941</v>
      </c>
      <c r="AR2462" s="82">
        <f t="shared" si="194"/>
        <v>25</v>
      </c>
      <c r="AS2462" s="83">
        <f t="shared" si="195"/>
        <v>7</v>
      </c>
      <c r="AT2462" s="84">
        <f t="shared" si="196"/>
        <v>2017</v>
      </c>
      <c r="AU2462" s="88">
        <f>DATE(2017,7,26)</f>
        <v>42942</v>
      </c>
      <c r="AV2462" s="88">
        <f>DATE(2017,7,26)</f>
        <v>42942</v>
      </c>
      <c r="AW2462" s="87">
        <f t="shared" si="193"/>
        <v>0</v>
      </c>
      <c r="AX2462" s="106"/>
      <c r="AY2462" s="83"/>
      <c r="AZ2462" s="84"/>
      <c r="BA2462" s="106"/>
      <c r="BB2462" s="106"/>
    </row>
    <row r="2463" spans="1:54" ht="36.75" customHeight="1">
      <c r="A2463" s="30"/>
      <c r="B2463" s="30" t="s">
        <v>55</v>
      </c>
      <c r="C2463" s="69" t="str">
        <f t="shared" si="192"/>
        <v>Closed</v>
      </c>
      <c r="D2463" s="27" t="s">
        <v>13874</v>
      </c>
      <c r="E2463" s="29" t="s">
        <v>13875</v>
      </c>
      <c r="F2463" s="30" t="s">
        <v>423</v>
      </c>
      <c r="G2463" s="89">
        <f>DATE(2017,7,25)</f>
        <v>42941</v>
      </c>
      <c r="H2463" s="90">
        <v>1.4458333333333333</v>
      </c>
      <c r="I2463" s="30" t="s">
        <v>116</v>
      </c>
      <c r="J2463" s="89" t="s">
        <v>13876</v>
      </c>
      <c r="K2463" s="30" t="s">
        <v>425</v>
      </c>
      <c r="L2463" s="30" t="s">
        <v>13877</v>
      </c>
      <c r="M2463" s="30" t="s">
        <v>63</v>
      </c>
      <c r="N2463" s="30" t="s">
        <v>142</v>
      </c>
      <c r="O2463" s="30" t="s">
        <v>64</v>
      </c>
      <c r="P2463" s="89" t="s">
        <v>165</v>
      </c>
      <c r="Q2463" s="89" t="s">
        <v>4551</v>
      </c>
      <c r="R2463" s="89" t="s">
        <v>3103</v>
      </c>
      <c r="S2463" s="30">
        <v>0</v>
      </c>
      <c r="T2463" s="233">
        <v>0</v>
      </c>
      <c r="U2463" s="30">
        <v>1</v>
      </c>
      <c r="V2463" s="233">
        <v>0</v>
      </c>
      <c r="W2463" s="30">
        <v>0</v>
      </c>
      <c r="X2463" s="30">
        <v>1</v>
      </c>
      <c r="Y2463" s="30">
        <v>0</v>
      </c>
      <c r="Z2463" s="233">
        <v>0</v>
      </c>
      <c r="AA2463" s="30">
        <v>0</v>
      </c>
      <c r="AB2463" s="30">
        <v>0</v>
      </c>
      <c r="AC2463" s="30">
        <v>0</v>
      </c>
      <c r="AD2463" s="30">
        <v>0</v>
      </c>
      <c r="AE2463" s="89" t="s">
        <v>92</v>
      </c>
      <c r="AF2463" s="89"/>
      <c r="AG2463" s="89" t="s">
        <v>352</v>
      </c>
      <c r="AH2463" s="72">
        <v>42942</v>
      </c>
      <c r="AI2463" s="30">
        <v>1</v>
      </c>
      <c r="AJ2463" s="89" t="s">
        <v>13878</v>
      </c>
      <c r="AK2463" s="89" t="s">
        <v>13879</v>
      </c>
      <c r="AL2463" s="91">
        <v>42942</v>
      </c>
      <c r="AM2463" s="91"/>
      <c r="AN2463" s="91"/>
      <c r="AO2463" s="91"/>
      <c r="AP2463" s="73" t="e">
        <f>MID(VLOOKUP(K2463,#REF!,2,FALSE),1,2)</f>
        <v>#REF!</v>
      </c>
      <c r="AQ2463" s="89">
        <f>DATE(2017,7,25)</f>
        <v>42941</v>
      </c>
      <c r="AR2463" s="82">
        <f t="shared" si="194"/>
        <v>25</v>
      </c>
      <c r="AS2463" s="83">
        <f t="shared" si="195"/>
        <v>7</v>
      </c>
      <c r="AT2463" s="84">
        <f t="shared" si="196"/>
        <v>2017</v>
      </c>
      <c r="AU2463" s="88">
        <f>DATE(2017,9,27)</f>
        <v>43005</v>
      </c>
      <c r="AV2463" s="88">
        <f>DATE(2017,9,19)</f>
        <v>42997</v>
      </c>
      <c r="AW2463" s="87">
        <f t="shared" si="193"/>
        <v>8</v>
      </c>
      <c r="AX2463" s="86"/>
      <c r="AY2463" s="83"/>
      <c r="AZ2463" s="84"/>
      <c r="BA2463" s="86"/>
      <c r="BB2463" s="86" t="s">
        <v>13115</v>
      </c>
    </row>
    <row r="2464" spans="1:54" ht="36.75" customHeight="1">
      <c r="A2464" s="30"/>
      <c r="B2464" s="30" t="s">
        <v>55</v>
      </c>
      <c r="C2464" s="69" t="str">
        <f t="shared" si="192"/>
        <v>Closed</v>
      </c>
      <c r="D2464" s="27" t="s">
        <v>13880</v>
      </c>
      <c r="E2464" s="29" t="s">
        <v>13881</v>
      </c>
      <c r="F2464" s="30" t="s">
        <v>638</v>
      </c>
      <c r="G2464" s="89">
        <f>DATE(2017,7,25)</f>
        <v>42941</v>
      </c>
      <c r="H2464" s="90">
        <v>1.8541666666666665</v>
      </c>
      <c r="I2464" s="30" t="s">
        <v>487</v>
      </c>
      <c r="J2464" s="89" t="s">
        <v>13882</v>
      </c>
      <c r="K2464" s="30" t="s">
        <v>640</v>
      </c>
      <c r="L2464" s="30" t="s">
        <v>13883</v>
      </c>
      <c r="M2464" s="30" t="s">
        <v>63</v>
      </c>
      <c r="N2464" s="30" t="s">
        <v>142</v>
      </c>
      <c r="O2464" s="30" t="s">
        <v>64</v>
      </c>
      <c r="P2464" s="89" t="s">
        <v>381</v>
      </c>
      <c r="Q2464" s="89" t="s">
        <v>640</v>
      </c>
      <c r="R2464" s="89" t="s">
        <v>643</v>
      </c>
      <c r="S2464" s="30">
        <v>0</v>
      </c>
      <c r="T2464" s="233">
        <v>0</v>
      </c>
      <c r="U2464" s="30">
        <v>0</v>
      </c>
      <c r="V2464" s="233">
        <v>0</v>
      </c>
      <c r="W2464" s="30">
        <v>0</v>
      </c>
      <c r="X2464" s="30">
        <v>0</v>
      </c>
      <c r="Y2464" s="30">
        <v>0</v>
      </c>
      <c r="Z2464" s="233">
        <v>0</v>
      </c>
      <c r="AA2464" s="30">
        <v>0</v>
      </c>
      <c r="AB2464" s="30">
        <v>0</v>
      </c>
      <c r="AC2464" s="30">
        <v>0</v>
      </c>
      <c r="AD2464" s="30">
        <v>0</v>
      </c>
      <c r="AE2464" s="89" t="s">
        <v>92</v>
      </c>
      <c r="AF2464" s="89"/>
      <c r="AG2464" s="89" t="s">
        <v>133</v>
      </c>
      <c r="AH2464" s="72">
        <v>42997</v>
      </c>
      <c r="AI2464" s="30">
        <v>2</v>
      </c>
      <c r="AJ2464" s="89" t="s">
        <v>13884</v>
      </c>
      <c r="AK2464" s="89" t="s">
        <v>13885</v>
      </c>
      <c r="AL2464" s="91">
        <v>43005</v>
      </c>
      <c r="AM2464" s="91"/>
      <c r="AN2464" s="91"/>
      <c r="AO2464" s="91"/>
      <c r="AP2464" s="73" t="e">
        <f>MID(VLOOKUP(K2464,#REF!,2,FALSE),1,2)</f>
        <v>#REF!</v>
      </c>
      <c r="AQ2464" s="89">
        <f>DATE(2017,7,27)</f>
        <v>42943</v>
      </c>
      <c r="AR2464" s="82">
        <f t="shared" si="194"/>
        <v>27</v>
      </c>
      <c r="AS2464" s="83">
        <f t="shared" si="195"/>
        <v>7</v>
      </c>
      <c r="AT2464" s="84">
        <f t="shared" si="196"/>
        <v>2017</v>
      </c>
      <c r="AU2464" s="88">
        <f>DATE(2017,7,31)</f>
        <v>42947</v>
      </c>
      <c r="AV2464" s="88">
        <f>DATE(2017,7,27)</f>
        <v>42943</v>
      </c>
      <c r="AW2464" s="87">
        <f t="shared" si="193"/>
        <v>4</v>
      </c>
      <c r="AX2464" s="106"/>
      <c r="AY2464" s="83"/>
      <c r="AZ2464" s="84"/>
      <c r="BA2464" s="106"/>
      <c r="BB2464" s="106"/>
    </row>
    <row r="2465" spans="1:54" ht="36.75" customHeight="1">
      <c r="A2465" s="30"/>
      <c r="B2465" s="30" t="s">
        <v>55</v>
      </c>
      <c r="C2465" s="69" t="str">
        <f t="shared" si="192"/>
        <v>Closed</v>
      </c>
      <c r="D2465" s="27" t="s">
        <v>13886</v>
      </c>
      <c r="E2465" s="29" t="s">
        <v>13887</v>
      </c>
      <c r="F2465" s="30" t="s">
        <v>423</v>
      </c>
      <c r="G2465" s="89">
        <f>DATE(2017,7,27)</f>
        <v>42943</v>
      </c>
      <c r="H2465" s="90">
        <v>1.6375000000000002</v>
      </c>
      <c r="I2465" s="30" t="s">
        <v>116</v>
      </c>
      <c r="J2465" s="89" t="s">
        <v>13888</v>
      </c>
      <c r="K2465" s="30" t="s">
        <v>425</v>
      </c>
      <c r="L2465" s="30" t="s">
        <v>13889</v>
      </c>
      <c r="M2465" s="30" t="s">
        <v>63</v>
      </c>
      <c r="N2465" s="30" t="s">
        <v>99</v>
      </c>
      <c r="O2465" s="30" t="s">
        <v>77</v>
      </c>
      <c r="P2465" s="89" t="s">
        <v>78</v>
      </c>
      <c r="Q2465" s="89" t="s">
        <v>2582</v>
      </c>
      <c r="R2465" s="89" t="s">
        <v>3103</v>
      </c>
      <c r="S2465" s="30">
        <v>0</v>
      </c>
      <c r="T2465" s="233">
        <v>0</v>
      </c>
      <c r="U2465" s="30">
        <v>1</v>
      </c>
      <c r="V2465" s="233">
        <v>0</v>
      </c>
      <c r="W2465" s="30">
        <v>0</v>
      </c>
      <c r="X2465" s="30">
        <v>1</v>
      </c>
      <c r="Y2465" s="30">
        <v>0</v>
      </c>
      <c r="Z2465" s="233">
        <v>0</v>
      </c>
      <c r="AA2465" s="30">
        <v>0</v>
      </c>
      <c r="AB2465" s="30">
        <v>0</v>
      </c>
      <c r="AC2465" s="30">
        <v>0</v>
      </c>
      <c r="AD2465" s="30">
        <v>0</v>
      </c>
      <c r="AE2465" s="89" t="s">
        <v>92</v>
      </c>
      <c r="AF2465" s="89"/>
      <c r="AG2465" s="89" t="s">
        <v>874</v>
      </c>
      <c r="AH2465" s="72">
        <v>42943</v>
      </c>
      <c r="AI2465" s="30">
        <v>1</v>
      </c>
      <c r="AJ2465" s="89" t="s">
        <v>13890</v>
      </c>
      <c r="AK2465" s="89" t="s">
        <v>13891</v>
      </c>
      <c r="AL2465" s="91">
        <v>42947</v>
      </c>
      <c r="AM2465" s="91"/>
      <c r="AN2465" s="91"/>
      <c r="AO2465" s="91"/>
      <c r="AP2465" s="73" t="e">
        <f>MID(VLOOKUP(K2465,#REF!,2,FALSE),1,2)</f>
        <v>#REF!</v>
      </c>
      <c r="AQ2465" s="89">
        <f>DATE(2017,7,27)</f>
        <v>42943</v>
      </c>
      <c r="AR2465" s="82">
        <f t="shared" si="194"/>
        <v>27</v>
      </c>
      <c r="AS2465" s="83">
        <f t="shared" si="195"/>
        <v>7</v>
      </c>
      <c r="AT2465" s="84">
        <f t="shared" si="196"/>
        <v>2017</v>
      </c>
      <c r="AU2465" s="88">
        <f>DATE(2017,7,31)</f>
        <v>42947</v>
      </c>
      <c r="AV2465" s="88">
        <f>DATE(2017,7,27)</f>
        <v>42943</v>
      </c>
      <c r="AW2465" s="87">
        <f t="shared" si="193"/>
        <v>4</v>
      </c>
      <c r="AX2465" s="106"/>
      <c r="AY2465" s="83"/>
      <c r="AZ2465" s="84"/>
      <c r="BA2465" s="106"/>
      <c r="BB2465" s="106"/>
    </row>
    <row r="2466" spans="1:54" ht="36.75" customHeight="1">
      <c r="A2466" s="30"/>
      <c r="B2466" s="30" t="s">
        <v>55</v>
      </c>
      <c r="C2466" s="69" t="str">
        <f t="shared" si="192"/>
        <v>Closed</v>
      </c>
      <c r="D2466" s="27" t="s">
        <v>13892</v>
      </c>
      <c r="E2466" s="29" t="s">
        <v>13893</v>
      </c>
      <c r="F2466" s="30" t="s">
        <v>423</v>
      </c>
      <c r="G2466" s="89">
        <f>DATE(2017,7,27)</f>
        <v>42943</v>
      </c>
      <c r="H2466" s="90">
        <v>1.7298611111111111</v>
      </c>
      <c r="I2466" s="30" t="s">
        <v>73</v>
      </c>
      <c r="J2466" s="89" t="s">
        <v>13894</v>
      </c>
      <c r="K2466" s="30" t="s">
        <v>425</v>
      </c>
      <c r="L2466" s="30" t="s">
        <v>13895</v>
      </c>
      <c r="M2466" s="30" t="s">
        <v>63</v>
      </c>
      <c r="N2466" s="30" t="s">
        <v>99</v>
      </c>
      <c r="O2466" s="30" t="s">
        <v>77</v>
      </c>
      <c r="P2466" s="89" t="s">
        <v>78</v>
      </c>
      <c r="Q2466" s="89" t="s">
        <v>2582</v>
      </c>
      <c r="R2466" s="89" t="s">
        <v>3103</v>
      </c>
      <c r="S2466" s="30">
        <v>0</v>
      </c>
      <c r="T2466" s="233">
        <v>0</v>
      </c>
      <c r="U2466" s="30">
        <v>0</v>
      </c>
      <c r="V2466" s="233">
        <v>0</v>
      </c>
      <c r="W2466" s="30">
        <v>0</v>
      </c>
      <c r="X2466" s="30">
        <v>0</v>
      </c>
      <c r="Y2466" s="30">
        <v>0</v>
      </c>
      <c r="Z2466" s="233">
        <v>0</v>
      </c>
      <c r="AA2466" s="30">
        <v>0</v>
      </c>
      <c r="AB2466" s="30">
        <v>0</v>
      </c>
      <c r="AC2466" s="30">
        <v>0</v>
      </c>
      <c r="AD2466" s="30">
        <v>0</v>
      </c>
      <c r="AE2466" s="89" t="s">
        <v>92</v>
      </c>
      <c r="AF2466" s="89"/>
      <c r="AG2466" s="89" t="s">
        <v>352</v>
      </c>
      <c r="AH2466" s="72">
        <v>42943</v>
      </c>
      <c r="AI2466" s="30">
        <v>1</v>
      </c>
      <c r="AJ2466" s="89" t="s">
        <v>13896</v>
      </c>
      <c r="AK2466" s="89" t="s">
        <v>13897</v>
      </c>
      <c r="AL2466" s="91">
        <v>42947</v>
      </c>
      <c r="AM2466" s="91"/>
      <c r="AN2466" s="91"/>
      <c r="AO2466" s="91"/>
      <c r="AP2466" s="73" t="e">
        <f>MID(VLOOKUP(K2466,#REF!,2,FALSE),1,2)</f>
        <v>#REF!</v>
      </c>
      <c r="AQ2466" s="89">
        <f>DATE(2017,7,27)</f>
        <v>42943</v>
      </c>
      <c r="AR2466" s="82">
        <f t="shared" si="194"/>
        <v>27</v>
      </c>
      <c r="AS2466" s="83">
        <f t="shared" si="195"/>
        <v>7</v>
      </c>
      <c r="AT2466" s="84">
        <f t="shared" si="196"/>
        <v>2017</v>
      </c>
      <c r="AU2466" s="88">
        <f>DATE(2017,7,28)</f>
        <v>42944</v>
      </c>
      <c r="AV2466" s="88">
        <f>DATE(2017,7,27)</f>
        <v>42943</v>
      </c>
      <c r="AW2466" s="87">
        <f t="shared" si="193"/>
        <v>1</v>
      </c>
      <c r="AX2466" s="88">
        <f>DATE(2017,7,27)</f>
        <v>42943</v>
      </c>
      <c r="AY2466" s="83">
        <f>MONTH(AX2466)</f>
        <v>7</v>
      </c>
      <c r="AZ2466" s="84">
        <f>YEAR(AX2466)</f>
        <v>2017</v>
      </c>
      <c r="BA2466" s="88">
        <f>DATE(2017,7,27)</f>
        <v>42943</v>
      </c>
      <c r="BB2466" s="86"/>
    </row>
    <row r="2467" spans="1:54" ht="36.75" customHeight="1">
      <c r="A2467" s="30"/>
      <c r="B2467" s="30" t="s">
        <v>55</v>
      </c>
      <c r="C2467" s="69" t="str">
        <f t="shared" si="192"/>
        <v>Closed</v>
      </c>
      <c r="D2467" s="27" t="s">
        <v>13898</v>
      </c>
      <c r="E2467" s="29" t="s">
        <v>13899</v>
      </c>
      <c r="F2467" s="30" t="s">
        <v>835</v>
      </c>
      <c r="G2467" s="89">
        <f>DATE(2017,7,27)</f>
        <v>42943</v>
      </c>
      <c r="H2467" s="90">
        <v>1.0618055555555554</v>
      </c>
      <c r="I2467" s="30" t="s">
        <v>104</v>
      </c>
      <c r="J2467" s="89" t="s">
        <v>13900</v>
      </c>
      <c r="K2467" s="30" t="s">
        <v>837</v>
      </c>
      <c r="L2467" s="30" t="s">
        <v>13901</v>
      </c>
      <c r="M2467" s="30" t="s">
        <v>63</v>
      </c>
      <c r="N2467" s="30" t="s">
        <v>142</v>
      </c>
      <c r="O2467" s="30" t="s">
        <v>77</v>
      </c>
      <c r="P2467" s="89" t="s">
        <v>78</v>
      </c>
      <c r="Q2467" s="89" t="s">
        <v>12929</v>
      </c>
      <c r="R2467" s="89" t="s">
        <v>840</v>
      </c>
      <c r="S2467" s="30">
        <v>0</v>
      </c>
      <c r="T2467" s="233">
        <v>0</v>
      </c>
      <c r="U2467" s="30">
        <v>0</v>
      </c>
      <c r="V2467" s="233">
        <v>0</v>
      </c>
      <c r="W2467" s="30">
        <v>0</v>
      </c>
      <c r="X2467" s="30">
        <v>0</v>
      </c>
      <c r="Y2467" s="30">
        <v>0</v>
      </c>
      <c r="Z2467" s="233">
        <v>0</v>
      </c>
      <c r="AA2467" s="30">
        <v>0</v>
      </c>
      <c r="AB2467" s="30">
        <v>0</v>
      </c>
      <c r="AC2467" s="30">
        <v>0</v>
      </c>
      <c r="AD2467" s="30">
        <v>0</v>
      </c>
      <c r="AE2467" s="89" t="s">
        <v>92</v>
      </c>
      <c r="AF2467" s="89"/>
      <c r="AG2467" s="89" t="s">
        <v>352</v>
      </c>
      <c r="AH2467" s="72">
        <v>42943</v>
      </c>
      <c r="AI2467" s="30">
        <v>1</v>
      </c>
      <c r="AJ2467" s="89" t="s">
        <v>13902</v>
      </c>
      <c r="AK2467" s="89" t="s">
        <v>13903</v>
      </c>
      <c r="AL2467" s="91">
        <v>42944</v>
      </c>
      <c r="AM2467" s="91"/>
      <c r="AN2467" s="91"/>
      <c r="AO2467" s="91"/>
      <c r="AP2467" s="73" t="e">
        <f>MID(VLOOKUP(K2467,#REF!,2,FALSE),1,2)</f>
        <v>#REF!</v>
      </c>
      <c r="AQ2467" s="89">
        <f>DATE(2017,7,28)</f>
        <v>42944</v>
      </c>
      <c r="AR2467" s="82">
        <f t="shared" si="194"/>
        <v>28</v>
      </c>
      <c r="AS2467" s="83">
        <f t="shared" si="195"/>
        <v>7</v>
      </c>
      <c r="AT2467" s="84">
        <f t="shared" si="196"/>
        <v>2017</v>
      </c>
      <c r="AU2467" s="88">
        <f>DATE(2017,6,12)</f>
        <v>42898</v>
      </c>
      <c r="AV2467" s="88">
        <f>DATE(2017,8,7)</f>
        <v>42954</v>
      </c>
      <c r="AW2467" s="87">
        <f t="shared" si="193"/>
        <v>-56</v>
      </c>
      <c r="AX2467" s="106"/>
      <c r="AY2467" s="83"/>
      <c r="AZ2467" s="84"/>
      <c r="BA2467" s="106"/>
      <c r="BB2467" s="106"/>
    </row>
    <row r="2468" spans="1:54" ht="36.75" customHeight="1">
      <c r="A2468" s="30"/>
      <c r="B2468" s="30" t="s">
        <v>55</v>
      </c>
      <c r="C2468" s="69" t="str">
        <f t="shared" si="192"/>
        <v>Closed</v>
      </c>
      <c r="D2468" s="27" t="s">
        <v>13904</v>
      </c>
      <c r="E2468" s="29" t="s">
        <v>13905</v>
      </c>
      <c r="F2468" s="30" t="s">
        <v>451</v>
      </c>
      <c r="G2468" s="89">
        <f>DATE(2017,7,28)</f>
        <v>42944</v>
      </c>
      <c r="H2468" s="90">
        <v>1.6666666666666666E-2</v>
      </c>
      <c r="I2468" s="30" t="s">
        <v>116</v>
      </c>
      <c r="J2468" s="89" t="s">
        <v>13906</v>
      </c>
      <c r="K2468" s="30" t="s">
        <v>453</v>
      </c>
      <c r="L2468" s="30" t="s">
        <v>13907</v>
      </c>
      <c r="M2468" s="30" t="s">
        <v>63</v>
      </c>
      <c r="N2468" s="30" t="s">
        <v>142</v>
      </c>
      <c r="O2468" s="30" t="s">
        <v>77</v>
      </c>
      <c r="P2468" s="89" t="s">
        <v>65</v>
      </c>
      <c r="Q2468" s="89" t="s">
        <v>571</v>
      </c>
      <c r="R2468" s="89" t="s">
        <v>572</v>
      </c>
      <c r="S2468" s="30">
        <v>0</v>
      </c>
      <c r="T2468" s="233">
        <v>0</v>
      </c>
      <c r="U2468" s="30">
        <v>1</v>
      </c>
      <c r="V2468" s="233">
        <v>0</v>
      </c>
      <c r="W2468" s="30">
        <v>0</v>
      </c>
      <c r="X2468" s="30">
        <v>1</v>
      </c>
      <c r="Y2468" s="30">
        <v>0</v>
      </c>
      <c r="Z2468" s="233">
        <v>0</v>
      </c>
      <c r="AA2468" s="30">
        <v>0</v>
      </c>
      <c r="AB2468" s="30">
        <v>0</v>
      </c>
      <c r="AC2468" s="30">
        <v>0</v>
      </c>
      <c r="AD2468" s="30">
        <v>0</v>
      </c>
      <c r="AE2468" s="89" t="s">
        <v>92</v>
      </c>
      <c r="AF2468" s="89"/>
      <c r="AG2468" s="89" t="s">
        <v>82</v>
      </c>
      <c r="AH2468" s="72">
        <v>42954</v>
      </c>
      <c r="AI2468" s="30">
        <v>2</v>
      </c>
      <c r="AJ2468" s="89" t="s">
        <v>13908</v>
      </c>
      <c r="AK2468" s="89" t="s">
        <v>13909</v>
      </c>
      <c r="AL2468" s="91">
        <v>43263</v>
      </c>
      <c r="AM2468" s="91"/>
      <c r="AN2468" s="91"/>
      <c r="AO2468" s="91"/>
      <c r="AP2468" s="73" t="e">
        <f>MID(VLOOKUP(K2468,#REF!,2,FALSE),1,2)</f>
        <v>#REF!</v>
      </c>
      <c r="AQ2468" s="89">
        <f>DATE(2017,7,28)</f>
        <v>42944</v>
      </c>
      <c r="AR2468" s="82">
        <f t="shared" si="194"/>
        <v>28</v>
      </c>
      <c r="AS2468" s="83">
        <f t="shared" si="195"/>
        <v>7</v>
      </c>
      <c r="AT2468" s="84">
        <f t="shared" si="196"/>
        <v>2017</v>
      </c>
      <c r="AU2468" s="88">
        <f>DATE(2017,9,26)</f>
        <v>43004</v>
      </c>
      <c r="AV2468" s="88">
        <f>DATE(2017,9,19)</f>
        <v>42997</v>
      </c>
      <c r="AW2468" s="87">
        <f t="shared" si="193"/>
        <v>7</v>
      </c>
      <c r="AX2468" s="86"/>
      <c r="AY2468" s="83"/>
      <c r="AZ2468" s="84"/>
      <c r="BA2468" s="86"/>
      <c r="BB2468" s="86" t="s">
        <v>13115</v>
      </c>
    </row>
    <row r="2469" spans="1:54" ht="36.75" customHeight="1">
      <c r="A2469" s="30"/>
      <c r="B2469" s="30" t="s">
        <v>55</v>
      </c>
      <c r="C2469" s="69" t="str">
        <f t="shared" si="192"/>
        <v>Closed</v>
      </c>
      <c r="D2469" s="27" t="s">
        <v>13910</v>
      </c>
      <c r="E2469" s="29" t="s">
        <v>13911</v>
      </c>
      <c r="F2469" s="30" t="s">
        <v>638</v>
      </c>
      <c r="G2469" s="89">
        <f>DATE(2017,7,28)</f>
        <v>42944</v>
      </c>
      <c r="H2469" s="90">
        <v>1.3243055555555556</v>
      </c>
      <c r="I2469" s="30" t="s">
        <v>156</v>
      </c>
      <c r="J2469" s="89" t="s">
        <v>13912</v>
      </c>
      <c r="K2469" s="30" t="s">
        <v>640</v>
      </c>
      <c r="L2469" s="30" t="s">
        <v>13913</v>
      </c>
      <c r="M2469" s="30" t="s">
        <v>63</v>
      </c>
      <c r="N2469" s="30" t="s">
        <v>142</v>
      </c>
      <c r="O2469" s="30" t="s">
        <v>77</v>
      </c>
      <c r="P2469" s="89" t="s">
        <v>6902</v>
      </c>
      <c r="Q2469" s="89" t="s">
        <v>1185</v>
      </c>
      <c r="R2469" s="89" t="s">
        <v>643</v>
      </c>
      <c r="S2469" s="30">
        <v>0</v>
      </c>
      <c r="T2469" s="233">
        <v>0</v>
      </c>
      <c r="U2469" s="30">
        <v>0</v>
      </c>
      <c r="V2469" s="233">
        <v>0</v>
      </c>
      <c r="W2469" s="30">
        <v>0</v>
      </c>
      <c r="X2469" s="30">
        <v>0</v>
      </c>
      <c r="Y2469" s="30">
        <v>1</v>
      </c>
      <c r="Z2469" s="233">
        <v>0</v>
      </c>
      <c r="AA2469" s="30">
        <v>0</v>
      </c>
      <c r="AB2469" s="30">
        <v>0</v>
      </c>
      <c r="AC2469" s="30">
        <v>0</v>
      </c>
      <c r="AD2469" s="30">
        <v>1</v>
      </c>
      <c r="AE2469" s="89" t="s">
        <v>92</v>
      </c>
      <c r="AF2469" s="89"/>
      <c r="AG2469" s="89" t="s">
        <v>133</v>
      </c>
      <c r="AH2469" s="72">
        <v>42997</v>
      </c>
      <c r="AI2469" s="30">
        <v>8</v>
      </c>
      <c r="AJ2469" s="89" t="s">
        <v>13914</v>
      </c>
      <c r="AK2469" s="89" t="s">
        <v>13915</v>
      </c>
      <c r="AL2469" s="91">
        <v>43004</v>
      </c>
      <c r="AM2469" s="91"/>
      <c r="AN2469" s="91"/>
      <c r="AO2469" s="91"/>
      <c r="AP2469" s="73" t="e">
        <f>MID(VLOOKUP(K2469,#REF!,2,FALSE),1,2)</f>
        <v>#REF!</v>
      </c>
      <c r="AQ2469" s="89">
        <f>DATE(2017,7,28)</f>
        <v>42944</v>
      </c>
      <c r="AR2469" s="82">
        <f t="shared" si="194"/>
        <v>28</v>
      </c>
      <c r="AS2469" s="83">
        <f t="shared" si="195"/>
        <v>7</v>
      </c>
      <c r="AT2469" s="84">
        <f t="shared" si="196"/>
        <v>2017</v>
      </c>
      <c r="AU2469" s="88">
        <f>DATE(2017,8,21)</f>
        <v>42968</v>
      </c>
      <c r="AV2469" s="88">
        <f>DATE(2017,8,7)</f>
        <v>42954</v>
      </c>
      <c r="AW2469" s="87">
        <f t="shared" si="193"/>
        <v>14</v>
      </c>
      <c r="AX2469" s="88">
        <f>DATE(2017,8,21)</f>
        <v>42968</v>
      </c>
      <c r="AY2469" s="83">
        <f>MONTH(AX2469)</f>
        <v>8</v>
      </c>
      <c r="AZ2469" s="84">
        <f>YEAR(AX2469)</f>
        <v>2017</v>
      </c>
      <c r="BA2469" s="86"/>
      <c r="BB2469" s="86"/>
    </row>
    <row r="2470" spans="1:54" ht="36.75" customHeight="1">
      <c r="A2470" s="30"/>
      <c r="B2470" s="30" t="s">
        <v>55</v>
      </c>
      <c r="C2470" s="69" t="str">
        <f t="shared" si="192"/>
        <v>Closed</v>
      </c>
      <c r="D2470" s="27" t="s">
        <v>13916</v>
      </c>
      <c r="E2470" s="29" t="s">
        <v>13917</v>
      </c>
      <c r="F2470" s="30" t="s">
        <v>233</v>
      </c>
      <c r="G2470" s="89">
        <f>DATE(2017,7,28)</f>
        <v>42944</v>
      </c>
      <c r="H2470" s="90">
        <v>1.8944444444444444</v>
      </c>
      <c r="I2470" s="30" t="s">
        <v>5494</v>
      </c>
      <c r="J2470" s="89" t="s">
        <v>13918</v>
      </c>
      <c r="K2470" s="30" t="s">
        <v>235</v>
      </c>
      <c r="L2470" s="30" t="s">
        <v>13919</v>
      </c>
      <c r="M2470" s="30" t="s">
        <v>63</v>
      </c>
      <c r="N2470" s="30" t="s">
        <v>142</v>
      </c>
      <c r="O2470" s="30" t="s">
        <v>77</v>
      </c>
      <c r="P2470" s="89" t="s">
        <v>165</v>
      </c>
      <c r="Q2470" s="89" t="s">
        <v>2174</v>
      </c>
      <c r="R2470" s="89" t="s">
        <v>235</v>
      </c>
      <c r="S2470" s="30">
        <v>0</v>
      </c>
      <c r="T2470" s="233">
        <v>0</v>
      </c>
      <c r="U2470" s="30">
        <v>0</v>
      </c>
      <c r="V2470" s="233">
        <v>0</v>
      </c>
      <c r="W2470" s="30">
        <v>0</v>
      </c>
      <c r="X2470" s="30">
        <v>0</v>
      </c>
      <c r="Y2470" s="30">
        <v>0</v>
      </c>
      <c r="Z2470" s="233">
        <v>0</v>
      </c>
      <c r="AA2470" s="30">
        <v>0</v>
      </c>
      <c r="AB2470" s="30">
        <v>0</v>
      </c>
      <c r="AC2470" s="30">
        <v>0</v>
      </c>
      <c r="AD2470" s="30">
        <v>0</v>
      </c>
      <c r="AE2470" s="89" t="s">
        <v>92</v>
      </c>
      <c r="AF2470" s="89"/>
      <c r="AG2470" s="89" t="s">
        <v>133</v>
      </c>
      <c r="AH2470" s="72">
        <v>42954</v>
      </c>
      <c r="AI2470" s="30">
        <v>3</v>
      </c>
      <c r="AJ2470" s="89" t="s">
        <v>13920</v>
      </c>
      <c r="AK2470" s="89" t="s">
        <v>13921</v>
      </c>
      <c r="AL2470" s="91">
        <v>42968</v>
      </c>
      <c r="AM2470" s="91"/>
      <c r="AN2470" s="91"/>
      <c r="AO2470" s="91"/>
      <c r="AP2470" s="73" t="e">
        <f>MID(VLOOKUP(K2470,#REF!,2,FALSE),1,2)</f>
        <v>#REF!</v>
      </c>
      <c r="AQ2470" s="89">
        <f>DATE(2017,7,30)</f>
        <v>42946</v>
      </c>
      <c r="AR2470" s="82">
        <f t="shared" si="194"/>
        <v>30</v>
      </c>
      <c r="AS2470" s="83">
        <f t="shared" si="195"/>
        <v>7</v>
      </c>
      <c r="AT2470" s="84">
        <f t="shared" si="196"/>
        <v>2017</v>
      </c>
      <c r="AU2470" s="88">
        <f>DATE(2017,7,31)</f>
        <v>42947</v>
      </c>
      <c r="AV2470" s="88">
        <f>DATE(2017,7,30)</f>
        <v>42946</v>
      </c>
      <c r="AW2470" s="87">
        <f t="shared" si="193"/>
        <v>1</v>
      </c>
      <c r="AX2470" s="106"/>
      <c r="AY2470" s="83"/>
      <c r="AZ2470" s="84"/>
      <c r="BA2470" s="106"/>
      <c r="BB2470" s="106"/>
    </row>
    <row r="2471" spans="1:54" ht="36.75" customHeight="1">
      <c r="A2471" s="30"/>
      <c r="B2471" s="30" t="s">
        <v>55</v>
      </c>
      <c r="C2471" s="69" t="str">
        <f t="shared" si="192"/>
        <v>Closed</v>
      </c>
      <c r="D2471" s="27" t="s">
        <v>13922</v>
      </c>
      <c r="E2471" s="29" t="s">
        <v>13923</v>
      </c>
      <c r="F2471" s="30" t="s">
        <v>423</v>
      </c>
      <c r="G2471" s="89">
        <f>DATE(2017,7,30)</f>
        <v>42946</v>
      </c>
      <c r="H2471" s="90">
        <v>1.7173611111111109</v>
      </c>
      <c r="I2471" s="30" t="s">
        <v>116</v>
      </c>
      <c r="J2471" s="89" t="s">
        <v>13924</v>
      </c>
      <c r="K2471" s="30" t="s">
        <v>425</v>
      </c>
      <c r="L2471" s="30" t="s">
        <v>13925</v>
      </c>
      <c r="M2471" s="30" t="s">
        <v>63</v>
      </c>
      <c r="N2471" s="30" t="s">
        <v>142</v>
      </c>
      <c r="O2471" s="30" t="s">
        <v>64</v>
      </c>
      <c r="P2471" s="89" t="s">
        <v>165</v>
      </c>
      <c r="Q2471" s="89" t="s">
        <v>4551</v>
      </c>
      <c r="R2471" s="89" t="s">
        <v>3103</v>
      </c>
      <c r="S2471" s="30">
        <v>0</v>
      </c>
      <c r="T2471" s="233">
        <v>0</v>
      </c>
      <c r="U2471" s="30">
        <v>1</v>
      </c>
      <c r="V2471" s="233">
        <v>0</v>
      </c>
      <c r="W2471" s="30">
        <v>0</v>
      </c>
      <c r="X2471" s="30">
        <v>1</v>
      </c>
      <c r="Y2471" s="30">
        <v>0</v>
      </c>
      <c r="Z2471" s="233">
        <v>0</v>
      </c>
      <c r="AA2471" s="30">
        <v>0</v>
      </c>
      <c r="AB2471" s="30">
        <v>0</v>
      </c>
      <c r="AC2471" s="30">
        <v>0</v>
      </c>
      <c r="AD2471" s="30">
        <v>0</v>
      </c>
      <c r="AE2471" s="89" t="s">
        <v>92</v>
      </c>
      <c r="AF2471" s="89"/>
      <c r="AG2471" s="89" t="s">
        <v>874</v>
      </c>
      <c r="AH2471" s="72">
        <v>42946</v>
      </c>
      <c r="AI2471" s="30">
        <v>1</v>
      </c>
      <c r="AJ2471" s="89" t="s">
        <v>13926</v>
      </c>
      <c r="AK2471" s="89" t="s">
        <v>13927</v>
      </c>
      <c r="AL2471" s="91">
        <v>42947</v>
      </c>
      <c r="AM2471" s="91"/>
      <c r="AN2471" s="91"/>
      <c r="AO2471" s="91"/>
      <c r="AP2471" s="73" t="e">
        <f>MID(VLOOKUP(K2471,#REF!,2,FALSE),1,2)</f>
        <v>#REF!</v>
      </c>
      <c r="AQ2471" s="89">
        <f>DATE(2017,8,2)</f>
        <v>42949</v>
      </c>
      <c r="AR2471" s="82">
        <f t="shared" si="194"/>
        <v>2</v>
      </c>
      <c r="AS2471" s="83">
        <f t="shared" si="195"/>
        <v>8</v>
      </c>
      <c r="AT2471" s="84">
        <f t="shared" si="196"/>
        <v>2017</v>
      </c>
      <c r="AU2471" s="88">
        <f>DATE(2017,8,3)</f>
        <v>42950</v>
      </c>
      <c r="AV2471" s="88">
        <f>DATE(2017,8,2)</f>
        <v>42949</v>
      </c>
      <c r="AW2471" s="87">
        <f t="shared" si="193"/>
        <v>1</v>
      </c>
      <c r="AX2471" s="106"/>
      <c r="AY2471" s="83"/>
      <c r="AZ2471" s="84"/>
      <c r="BA2471" s="106"/>
      <c r="BB2471" s="106"/>
    </row>
    <row r="2472" spans="1:54" ht="36.75" customHeight="1">
      <c r="A2472" s="30"/>
      <c r="B2472" s="30" t="s">
        <v>55</v>
      </c>
      <c r="C2472" s="69" t="str">
        <f t="shared" si="192"/>
        <v>Closed</v>
      </c>
      <c r="D2472" s="27" t="s">
        <v>13928</v>
      </c>
      <c r="E2472" s="29" t="s">
        <v>13929</v>
      </c>
      <c r="F2472" s="30" t="s">
        <v>423</v>
      </c>
      <c r="G2472" s="89">
        <f>DATE(2017,8,2)</f>
        <v>42949</v>
      </c>
      <c r="H2472" s="90">
        <v>1.2083333333333333</v>
      </c>
      <c r="I2472" s="30" t="s">
        <v>2078</v>
      </c>
      <c r="J2472" s="89" t="s">
        <v>13930</v>
      </c>
      <c r="K2472" s="30" t="s">
        <v>425</v>
      </c>
      <c r="L2472" s="30" t="s">
        <v>13931</v>
      </c>
      <c r="M2472" s="30" t="s">
        <v>63</v>
      </c>
      <c r="N2472" s="30" t="s">
        <v>99</v>
      </c>
      <c r="O2472" s="30" t="s">
        <v>77</v>
      </c>
      <c r="P2472" s="89" t="s">
        <v>86</v>
      </c>
      <c r="Q2472" s="89" t="s">
        <v>4551</v>
      </c>
      <c r="R2472" s="89" t="s">
        <v>3103</v>
      </c>
      <c r="S2472" s="30">
        <v>0</v>
      </c>
      <c r="T2472" s="233">
        <v>0</v>
      </c>
      <c r="U2472" s="30">
        <v>0</v>
      </c>
      <c r="V2472" s="233">
        <v>0</v>
      </c>
      <c r="W2472" s="30">
        <v>0</v>
      </c>
      <c r="X2472" s="30">
        <v>0</v>
      </c>
      <c r="Y2472" s="30">
        <v>0</v>
      </c>
      <c r="Z2472" s="233">
        <v>0</v>
      </c>
      <c r="AA2472" s="30">
        <v>0</v>
      </c>
      <c r="AB2472" s="30">
        <v>0</v>
      </c>
      <c r="AC2472" s="30">
        <v>0</v>
      </c>
      <c r="AD2472" s="30">
        <v>0</v>
      </c>
      <c r="AE2472" s="89" t="s">
        <v>92</v>
      </c>
      <c r="AF2472" s="89"/>
      <c r="AG2472" s="89" t="s">
        <v>352</v>
      </c>
      <c r="AH2472" s="72">
        <v>42774</v>
      </c>
      <c r="AI2472" s="30">
        <v>0</v>
      </c>
      <c r="AJ2472" s="89" t="s">
        <v>13932</v>
      </c>
      <c r="AK2472" s="89" t="s">
        <v>13933</v>
      </c>
      <c r="AL2472" s="91">
        <v>42950</v>
      </c>
      <c r="AM2472" s="91"/>
      <c r="AN2472" s="91"/>
      <c r="AO2472" s="91"/>
      <c r="AP2472" s="73" t="e">
        <f>MID(VLOOKUP(K2472,#REF!,2,FALSE),1,2)</f>
        <v>#REF!</v>
      </c>
      <c r="AQ2472" s="89">
        <f>DATE(2017,8,2)</f>
        <v>42949</v>
      </c>
      <c r="AR2472" s="82">
        <f t="shared" si="194"/>
        <v>2</v>
      </c>
      <c r="AS2472" s="83">
        <f t="shared" si="195"/>
        <v>8</v>
      </c>
      <c r="AT2472" s="84">
        <f t="shared" si="196"/>
        <v>2017</v>
      </c>
      <c r="AU2472" s="88">
        <f>DATE(2017,8,7)</f>
        <v>42954</v>
      </c>
      <c r="AV2472" s="88">
        <f>DATE(2017,8,2)</f>
        <v>42949</v>
      </c>
      <c r="AW2472" s="87">
        <f t="shared" si="193"/>
        <v>5</v>
      </c>
      <c r="AX2472" s="86"/>
      <c r="AY2472" s="83"/>
      <c r="AZ2472" s="84"/>
      <c r="BA2472" s="86"/>
      <c r="BB2472" s="86" t="s">
        <v>13115</v>
      </c>
    </row>
    <row r="2473" spans="1:54" ht="36.75" customHeight="1">
      <c r="A2473" s="30"/>
      <c r="B2473" s="30" t="s">
        <v>55</v>
      </c>
      <c r="C2473" s="69" t="str">
        <f t="shared" si="192"/>
        <v>Closed</v>
      </c>
      <c r="D2473" s="27" t="s">
        <v>13934</v>
      </c>
      <c r="E2473" s="29" t="s">
        <v>13935</v>
      </c>
      <c r="F2473" s="30" t="s">
        <v>423</v>
      </c>
      <c r="G2473" s="89">
        <f>DATE(2017,8,2)</f>
        <v>42949</v>
      </c>
      <c r="H2473" s="90">
        <v>1.6861111111111109</v>
      </c>
      <c r="I2473" s="30" t="s">
        <v>104</v>
      </c>
      <c r="J2473" s="89" t="s">
        <v>13936</v>
      </c>
      <c r="K2473" s="30" t="s">
        <v>425</v>
      </c>
      <c r="L2473" s="30" t="s">
        <v>7356</v>
      </c>
      <c r="M2473" s="30" t="s">
        <v>63</v>
      </c>
      <c r="N2473" s="30" t="s">
        <v>89</v>
      </c>
      <c r="O2473" s="30" t="s">
        <v>77</v>
      </c>
      <c r="P2473" s="89" t="s">
        <v>7362</v>
      </c>
      <c r="Q2473" s="89" t="s">
        <v>4551</v>
      </c>
      <c r="R2473" s="89" t="s">
        <v>3103</v>
      </c>
      <c r="S2473" s="30">
        <v>0</v>
      </c>
      <c r="T2473" s="233">
        <v>0</v>
      </c>
      <c r="U2473" s="30">
        <v>0</v>
      </c>
      <c r="V2473" s="233">
        <v>0</v>
      </c>
      <c r="W2473" s="30">
        <v>0</v>
      </c>
      <c r="X2473" s="30">
        <v>0</v>
      </c>
      <c r="Y2473" s="30">
        <v>0</v>
      </c>
      <c r="Z2473" s="233">
        <v>0</v>
      </c>
      <c r="AA2473" s="30">
        <v>0</v>
      </c>
      <c r="AB2473" s="30">
        <v>0</v>
      </c>
      <c r="AC2473" s="30">
        <v>0</v>
      </c>
      <c r="AD2473" s="30">
        <v>0</v>
      </c>
      <c r="AE2473" s="89" t="s">
        <v>92</v>
      </c>
      <c r="AF2473" s="89"/>
      <c r="AG2473" s="89" t="s">
        <v>352</v>
      </c>
      <c r="AH2473" s="72">
        <v>42774</v>
      </c>
      <c r="AI2473" s="30">
        <v>0</v>
      </c>
      <c r="AJ2473" s="89" t="s">
        <v>13937</v>
      </c>
      <c r="AK2473" s="89" t="s">
        <v>13938</v>
      </c>
      <c r="AL2473" s="91">
        <v>42954</v>
      </c>
      <c r="AM2473" s="91"/>
      <c r="AN2473" s="91"/>
      <c r="AO2473" s="91"/>
      <c r="AP2473" s="73" t="e">
        <f>MID(VLOOKUP(K2473,#REF!,2,FALSE),1,2)</f>
        <v>#REF!</v>
      </c>
      <c r="AQ2473" s="89">
        <f>DATE(2017,8,3)</f>
        <v>42950</v>
      </c>
      <c r="AR2473" s="82">
        <f t="shared" si="194"/>
        <v>3</v>
      </c>
      <c r="AS2473" s="83">
        <f t="shared" si="195"/>
        <v>8</v>
      </c>
      <c r="AT2473" s="84">
        <f t="shared" si="196"/>
        <v>2017</v>
      </c>
      <c r="AU2473" s="88">
        <f>DATE(2017,8,30)</f>
        <v>42977</v>
      </c>
      <c r="AV2473" s="88">
        <f>DATE(2017,8,21)</f>
        <v>42968</v>
      </c>
      <c r="AW2473" s="87">
        <f t="shared" si="193"/>
        <v>9</v>
      </c>
      <c r="AX2473" s="88">
        <f>DATE(2017,8,21)</f>
        <v>42968</v>
      </c>
      <c r="AY2473" s="83">
        <f>MONTH(AX2473)</f>
        <v>8</v>
      </c>
      <c r="AZ2473" s="84">
        <f>YEAR(AX2473)</f>
        <v>2017</v>
      </c>
      <c r="BA2473" s="88">
        <f>DATE(2017,8,3)</f>
        <v>42950</v>
      </c>
      <c r="BB2473" s="86"/>
    </row>
    <row r="2474" spans="1:54" ht="36.75" customHeight="1">
      <c r="A2474" s="30"/>
      <c r="B2474" s="30" t="s">
        <v>55</v>
      </c>
      <c r="C2474" s="69" t="str">
        <f t="shared" si="192"/>
        <v>Closed</v>
      </c>
      <c r="D2474" s="27" t="s">
        <v>13939</v>
      </c>
      <c r="E2474" s="29" t="s">
        <v>13940</v>
      </c>
      <c r="F2474" s="30" t="s">
        <v>835</v>
      </c>
      <c r="G2474" s="89">
        <f>DATE(2017,8,3)</f>
        <v>42950</v>
      </c>
      <c r="H2474" s="90">
        <v>1.5243055555555556</v>
      </c>
      <c r="I2474" s="30" t="s">
        <v>5494</v>
      </c>
      <c r="J2474" s="89" t="s">
        <v>13941</v>
      </c>
      <c r="K2474" s="30" t="s">
        <v>837</v>
      </c>
      <c r="L2474" s="30" t="s">
        <v>13942</v>
      </c>
      <c r="M2474" s="30" t="s">
        <v>63</v>
      </c>
      <c r="N2474" s="30" t="s">
        <v>142</v>
      </c>
      <c r="O2474" s="30" t="s">
        <v>77</v>
      </c>
      <c r="P2474" s="89" t="s">
        <v>65</v>
      </c>
      <c r="Q2474" s="89" t="s">
        <v>2162</v>
      </c>
      <c r="R2474" s="89" t="s">
        <v>840</v>
      </c>
      <c r="S2474" s="30">
        <v>0</v>
      </c>
      <c r="T2474" s="233">
        <v>0</v>
      </c>
      <c r="U2474" s="30">
        <v>0</v>
      </c>
      <c r="V2474" s="233">
        <v>0</v>
      </c>
      <c r="W2474" s="30">
        <v>0</v>
      </c>
      <c r="X2474" s="30">
        <v>0</v>
      </c>
      <c r="Y2474" s="30">
        <v>0</v>
      </c>
      <c r="Z2474" s="233">
        <v>0</v>
      </c>
      <c r="AA2474" s="30">
        <v>0</v>
      </c>
      <c r="AB2474" s="30">
        <v>0</v>
      </c>
      <c r="AC2474" s="30">
        <v>0</v>
      </c>
      <c r="AD2474" s="30">
        <v>0</v>
      </c>
      <c r="AE2474" s="89" t="s">
        <v>92</v>
      </c>
      <c r="AF2474" s="89"/>
      <c r="AG2474" s="89" t="s">
        <v>352</v>
      </c>
      <c r="AH2474" s="72">
        <v>42968</v>
      </c>
      <c r="AI2474" s="30">
        <v>0</v>
      </c>
      <c r="AJ2474" s="89" t="s">
        <v>13943</v>
      </c>
      <c r="AK2474" s="89" t="s">
        <v>13944</v>
      </c>
      <c r="AL2474" s="91">
        <v>42977</v>
      </c>
      <c r="AM2474" s="91"/>
      <c r="AN2474" s="91"/>
      <c r="AO2474" s="91"/>
      <c r="AP2474" s="73" t="e">
        <f>MID(VLOOKUP(K2474,#REF!,2,FALSE),1,2)</f>
        <v>#REF!</v>
      </c>
      <c r="AQ2474" s="89">
        <f>DATE(2017,8,8)</f>
        <v>42955</v>
      </c>
      <c r="AR2474" s="82">
        <f t="shared" si="194"/>
        <v>8</v>
      </c>
      <c r="AS2474" s="83">
        <f t="shared" si="195"/>
        <v>8</v>
      </c>
      <c r="AT2474" s="84">
        <f t="shared" si="196"/>
        <v>2017</v>
      </c>
      <c r="AU2474" s="88">
        <f>DATE(2017,8,10)</f>
        <v>42957</v>
      </c>
      <c r="AV2474" s="88">
        <f>DATE(2017,8,8)</f>
        <v>42955</v>
      </c>
      <c r="AW2474" s="87">
        <f t="shared" si="193"/>
        <v>2</v>
      </c>
      <c r="AX2474" s="106"/>
      <c r="AY2474" s="83"/>
      <c r="AZ2474" s="84"/>
      <c r="BA2474" s="106"/>
      <c r="BB2474" s="106"/>
    </row>
    <row r="2475" spans="1:54" ht="36.75" customHeight="1">
      <c r="A2475" s="30"/>
      <c r="B2475" s="30" t="s">
        <v>55</v>
      </c>
      <c r="C2475" s="69" t="str">
        <f t="shared" si="192"/>
        <v>Closed</v>
      </c>
      <c r="D2475" s="27" t="s">
        <v>13945</v>
      </c>
      <c r="E2475" s="29" t="s">
        <v>13946</v>
      </c>
      <c r="F2475" s="30" t="s">
        <v>423</v>
      </c>
      <c r="G2475" s="89">
        <f>DATE(2017,8,8)</f>
        <v>42955</v>
      </c>
      <c r="H2475" s="90">
        <v>1.038888888888889</v>
      </c>
      <c r="I2475" s="30" t="s">
        <v>73</v>
      </c>
      <c r="J2475" s="89" t="s">
        <v>13947</v>
      </c>
      <c r="K2475" s="30" t="s">
        <v>425</v>
      </c>
      <c r="L2475" s="30" t="s">
        <v>13948</v>
      </c>
      <c r="M2475" s="30" t="s">
        <v>63</v>
      </c>
      <c r="N2475" s="30" t="s">
        <v>142</v>
      </c>
      <c r="O2475" s="30" t="s">
        <v>77</v>
      </c>
      <c r="P2475" s="89" t="s">
        <v>91</v>
      </c>
      <c r="Q2475" s="89" t="s">
        <v>2582</v>
      </c>
      <c r="R2475" s="89" t="s">
        <v>3103</v>
      </c>
      <c r="S2475" s="30">
        <v>0</v>
      </c>
      <c r="T2475" s="233">
        <v>0</v>
      </c>
      <c r="U2475" s="30">
        <v>0</v>
      </c>
      <c r="V2475" s="233">
        <v>0</v>
      </c>
      <c r="W2475" s="30">
        <v>0</v>
      </c>
      <c r="X2475" s="30">
        <v>0</v>
      </c>
      <c r="Y2475" s="30">
        <v>0</v>
      </c>
      <c r="Z2475" s="233">
        <v>0</v>
      </c>
      <c r="AA2475" s="30">
        <v>0</v>
      </c>
      <c r="AB2475" s="30">
        <v>0</v>
      </c>
      <c r="AC2475" s="30">
        <v>0</v>
      </c>
      <c r="AD2475" s="30">
        <v>0</v>
      </c>
      <c r="AE2475" s="89" t="s">
        <v>92</v>
      </c>
      <c r="AF2475" s="89"/>
      <c r="AG2475" s="89" t="s">
        <v>352</v>
      </c>
      <c r="AH2475" s="72">
        <v>42955</v>
      </c>
      <c r="AI2475" s="30">
        <v>1</v>
      </c>
      <c r="AJ2475" s="89" t="s">
        <v>13949</v>
      </c>
      <c r="AK2475" s="89" t="s">
        <v>13950</v>
      </c>
      <c r="AL2475" s="91">
        <v>42957</v>
      </c>
      <c r="AM2475" s="91"/>
      <c r="AN2475" s="91"/>
      <c r="AO2475" s="91"/>
      <c r="AP2475" s="73" t="e">
        <f>MID(VLOOKUP(K2475,#REF!,2,FALSE),1,2)</f>
        <v>#REF!</v>
      </c>
      <c r="AQ2475" s="89">
        <f>DATE(2017,8,10)</f>
        <v>42957</v>
      </c>
      <c r="AR2475" s="82">
        <f t="shared" si="194"/>
        <v>10</v>
      </c>
      <c r="AS2475" s="83">
        <f t="shared" si="195"/>
        <v>8</v>
      </c>
      <c r="AT2475" s="84">
        <f t="shared" si="196"/>
        <v>2017</v>
      </c>
      <c r="AU2475" s="88">
        <f>DATE(2018,6,12)</f>
        <v>43263</v>
      </c>
      <c r="AV2475" s="88">
        <f>DATE(2017,8,14)</f>
        <v>42961</v>
      </c>
      <c r="AW2475" s="87">
        <f t="shared" si="193"/>
        <v>302</v>
      </c>
      <c r="AX2475" s="106"/>
      <c r="AY2475" s="83"/>
      <c r="AZ2475" s="84"/>
      <c r="BA2475" s="106"/>
      <c r="BB2475" s="106"/>
    </row>
    <row r="2476" spans="1:54" ht="36.75" customHeight="1">
      <c r="A2476" s="30"/>
      <c r="B2476" s="30" t="s">
        <v>55</v>
      </c>
      <c r="C2476" s="69" t="str">
        <f t="shared" si="192"/>
        <v>Closed</v>
      </c>
      <c r="D2476" s="27" t="s">
        <v>13951</v>
      </c>
      <c r="E2476" s="29" t="s">
        <v>13952</v>
      </c>
      <c r="F2476" s="30" t="s">
        <v>451</v>
      </c>
      <c r="G2476" s="89">
        <f>DATE(2017,8,10)</f>
        <v>42957</v>
      </c>
      <c r="H2476" s="90">
        <v>1.6131944444444444</v>
      </c>
      <c r="I2476" s="30" t="s">
        <v>278</v>
      </c>
      <c r="J2476" s="89" t="s">
        <v>13953</v>
      </c>
      <c r="K2476" s="30" t="s">
        <v>453</v>
      </c>
      <c r="L2476" s="30" t="s">
        <v>13954</v>
      </c>
      <c r="M2476" s="30" t="s">
        <v>63</v>
      </c>
      <c r="N2476" s="30" t="s">
        <v>142</v>
      </c>
      <c r="O2476" s="30" t="s">
        <v>77</v>
      </c>
      <c r="P2476" s="89" t="s">
        <v>65</v>
      </c>
      <c r="Q2476" s="89" t="s">
        <v>571</v>
      </c>
      <c r="R2476" s="89" t="s">
        <v>572</v>
      </c>
      <c r="S2476" s="30">
        <v>0</v>
      </c>
      <c r="T2476" s="233">
        <v>0</v>
      </c>
      <c r="U2476" s="30">
        <v>1</v>
      </c>
      <c r="V2476" s="233">
        <v>0</v>
      </c>
      <c r="W2476" s="30">
        <v>0</v>
      </c>
      <c r="X2476" s="30">
        <v>1</v>
      </c>
      <c r="Y2476" s="30">
        <v>0</v>
      </c>
      <c r="Z2476" s="233">
        <v>0</v>
      </c>
      <c r="AA2476" s="30">
        <v>0</v>
      </c>
      <c r="AB2476" s="30">
        <v>0</v>
      </c>
      <c r="AC2476" s="30">
        <v>0</v>
      </c>
      <c r="AD2476" s="30">
        <v>0</v>
      </c>
      <c r="AE2476" s="89" t="s">
        <v>92</v>
      </c>
      <c r="AF2476" s="89"/>
      <c r="AG2476" s="89" t="s">
        <v>82</v>
      </c>
      <c r="AH2476" s="72">
        <v>42961</v>
      </c>
      <c r="AI2476" s="30">
        <v>2</v>
      </c>
      <c r="AJ2476" s="89" t="s">
        <v>13955</v>
      </c>
      <c r="AK2476" s="89" t="s">
        <v>68</v>
      </c>
      <c r="AL2476" s="91">
        <v>43263</v>
      </c>
      <c r="AM2476" s="91"/>
      <c r="AN2476" s="91"/>
      <c r="AO2476" s="91"/>
      <c r="AP2476" s="73" t="e">
        <f>MID(VLOOKUP(K2476,#REF!,2,FALSE),1,2)</f>
        <v>#REF!</v>
      </c>
      <c r="AQ2476" s="89">
        <f>DATE(2017,8,12)</f>
        <v>42959</v>
      </c>
      <c r="AR2476" s="82">
        <f t="shared" si="194"/>
        <v>12</v>
      </c>
      <c r="AS2476" s="83">
        <f t="shared" si="195"/>
        <v>8</v>
      </c>
      <c r="AT2476" s="84">
        <f t="shared" si="196"/>
        <v>2017</v>
      </c>
      <c r="AU2476" s="88">
        <f>DATE(2017,8,15)</f>
        <v>42962</v>
      </c>
      <c r="AV2476" s="88">
        <f>DATE(2017,8,12)</f>
        <v>42959</v>
      </c>
      <c r="AW2476" s="87">
        <f t="shared" si="193"/>
        <v>3</v>
      </c>
      <c r="AX2476" s="86"/>
      <c r="AY2476" s="83"/>
      <c r="AZ2476" s="84"/>
      <c r="BA2476" s="86"/>
      <c r="BB2476" s="86" t="s">
        <v>13115</v>
      </c>
    </row>
    <row r="2477" spans="1:54" ht="36.75" customHeight="1">
      <c r="A2477" s="30"/>
      <c r="B2477" s="30" t="s">
        <v>55</v>
      </c>
      <c r="C2477" s="69" t="str">
        <f t="shared" si="192"/>
        <v>Closed</v>
      </c>
      <c r="D2477" s="27" t="s">
        <v>13956</v>
      </c>
      <c r="E2477" s="29" t="s">
        <v>13957</v>
      </c>
      <c r="F2477" s="30" t="s">
        <v>423</v>
      </c>
      <c r="G2477" s="89">
        <f>DATE(2017,8,12)</f>
        <v>42959</v>
      </c>
      <c r="H2477" s="90">
        <v>1.2465277777777777</v>
      </c>
      <c r="I2477" s="30" t="s">
        <v>156</v>
      </c>
      <c r="J2477" s="89" t="s">
        <v>13958</v>
      </c>
      <c r="K2477" s="30" t="s">
        <v>425</v>
      </c>
      <c r="L2477" s="30" t="s">
        <v>13959</v>
      </c>
      <c r="M2477" s="30" t="s">
        <v>63</v>
      </c>
      <c r="N2477" s="30" t="s">
        <v>99</v>
      </c>
      <c r="O2477" s="30" t="s">
        <v>64</v>
      </c>
      <c r="P2477" s="89" t="s">
        <v>65</v>
      </c>
      <c r="Q2477" s="89" t="s">
        <v>4551</v>
      </c>
      <c r="R2477" s="89" t="s">
        <v>3103</v>
      </c>
      <c r="S2477" s="30">
        <v>0</v>
      </c>
      <c r="T2477" s="233">
        <v>0</v>
      </c>
      <c r="U2477" s="30">
        <v>0</v>
      </c>
      <c r="V2477" s="233">
        <v>0</v>
      </c>
      <c r="W2477" s="30">
        <v>0</v>
      </c>
      <c r="X2477" s="30">
        <v>0</v>
      </c>
      <c r="Y2477" s="30">
        <v>0</v>
      </c>
      <c r="Z2477" s="233">
        <v>0</v>
      </c>
      <c r="AA2477" s="30">
        <v>0</v>
      </c>
      <c r="AB2477" s="30">
        <v>0</v>
      </c>
      <c r="AC2477" s="30">
        <v>0</v>
      </c>
      <c r="AD2477" s="30">
        <v>0</v>
      </c>
      <c r="AE2477" s="89" t="s">
        <v>92</v>
      </c>
      <c r="AF2477" s="89"/>
      <c r="AG2477" s="89" t="s">
        <v>352</v>
      </c>
      <c r="AH2477" s="72">
        <v>43077</v>
      </c>
      <c r="AI2477" s="30">
        <v>1</v>
      </c>
      <c r="AJ2477" s="89" t="s">
        <v>13960</v>
      </c>
      <c r="AK2477" s="89" t="s">
        <v>13961</v>
      </c>
      <c r="AL2477" s="91">
        <v>42962</v>
      </c>
      <c r="AM2477" s="91"/>
      <c r="AN2477" s="91"/>
      <c r="AO2477" s="91"/>
      <c r="AP2477" s="73" t="e">
        <f>MID(VLOOKUP(K2477,#REF!,2,FALSE),1,2)</f>
        <v>#REF!</v>
      </c>
      <c r="AQ2477" s="89">
        <f>DATE(2017,8,12)</f>
        <v>42959</v>
      </c>
      <c r="AR2477" s="82">
        <f t="shared" si="194"/>
        <v>12</v>
      </c>
      <c r="AS2477" s="83">
        <f t="shared" si="195"/>
        <v>8</v>
      </c>
      <c r="AT2477" s="84">
        <f t="shared" si="196"/>
        <v>2017</v>
      </c>
      <c r="AU2477" s="88">
        <f>DATE(2017,9,26)</f>
        <v>43004</v>
      </c>
      <c r="AV2477" s="88">
        <f>DATE(2017,9,19)</f>
        <v>42997</v>
      </c>
      <c r="AW2477" s="87">
        <f t="shared" si="193"/>
        <v>7</v>
      </c>
      <c r="AX2477" s="86"/>
      <c r="AY2477" s="83"/>
      <c r="AZ2477" s="84"/>
      <c r="BA2477" s="86"/>
      <c r="BB2477" s="86" t="s">
        <v>13115</v>
      </c>
    </row>
    <row r="2478" spans="1:54" ht="36.75" customHeight="1">
      <c r="A2478" s="30"/>
      <c r="B2478" s="30" t="s">
        <v>55</v>
      </c>
      <c r="C2478" s="69" t="str">
        <f t="shared" si="192"/>
        <v>Closed</v>
      </c>
      <c r="D2478" s="27" t="s">
        <v>13962</v>
      </c>
      <c r="E2478" s="29" t="s">
        <v>13963</v>
      </c>
      <c r="F2478" s="30" t="s">
        <v>638</v>
      </c>
      <c r="G2478" s="89">
        <f>DATE(2017,8,12)</f>
        <v>42959</v>
      </c>
      <c r="H2478" s="90">
        <v>1.4965277777777777</v>
      </c>
      <c r="I2478" s="30" t="s">
        <v>59</v>
      </c>
      <c r="J2478" s="89" t="s">
        <v>13964</v>
      </c>
      <c r="K2478" s="30" t="s">
        <v>640</v>
      </c>
      <c r="L2478" s="30" t="s">
        <v>13965</v>
      </c>
      <c r="M2478" s="30" t="s">
        <v>63</v>
      </c>
      <c r="N2478" s="30" t="s">
        <v>99</v>
      </c>
      <c r="O2478" s="30" t="s">
        <v>77</v>
      </c>
      <c r="P2478" s="89" t="s">
        <v>65</v>
      </c>
      <c r="Q2478" s="89" t="s">
        <v>642</v>
      </c>
      <c r="R2478" s="89" t="s">
        <v>643</v>
      </c>
      <c r="S2478" s="30">
        <v>0</v>
      </c>
      <c r="T2478" s="233">
        <v>0</v>
      </c>
      <c r="U2478" s="30">
        <v>0</v>
      </c>
      <c r="V2478" s="233">
        <v>0</v>
      </c>
      <c r="W2478" s="30">
        <v>0</v>
      </c>
      <c r="X2478" s="30">
        <v>0</v>
      </c>
      <c r="Y2478" s="30">
        <v>0</v>
      </c>
      <c r="Z2478" s="233">
        <v>0</v>
      </c>
      <c r="AA2478" s="30">
        <v>0</v>
      </c>
      <c r="AB2478" s="30">
        <v>0</v>
      </c>
      <c r="AC2478" s="30">
        <v>0</v>
      </c>
      <c r="AD2478" s="30">
        <v>0</v>
      </c>
      <c r="AE2478" s="89" t="s">
        <v>92</v>
      </c>
      <c r="AF2478" s="89"/>
      <c r="AG2478" s="89" t="s">
        <v>133</v>
      </c>
      <c r="AH2478" s="72">
        <v>42997</v>
      </c>
      <c r="AI2478" s="30">
        <v>3</v>
      </c>
      <c r="AJ2478" s="89" t="s">
        <v>13966</v>
      </c>
      <c r="AK2478" s="89" t="s">
        <v>13967</v>
      </c>
      <c r="AL2478" s="91">
        <v>43004</v>
      </c>
      <c r="AM2478" s="91"/>
      <c r="AN2478" s="91"/>
      <c r="AO2478" s="91"/>
      <c r="AP2478" s="73" t="e">
        <f>MID(VLOOKUP(K2478,#REF!,2,FALSE),1,2)</f>
        <v>#REF!</v>
      </c>
      <c r="AQ2478" s="89">
        <f>DATE(2017,8,14)</f>
        <v>42961</v>
      </c>
      <c r="AR2478" s="82">
        <f t="shared" si="194"/>
        <v>14</v>
      </c>
      <c r="AS2478" s="83">
        <f t="shared" si="195"/>
        <v>8</v>
      </c>
      <c r="AT2478" s="84">
        <f t="shared" si="196"/>
        <v>2017</v>
      </c>
      <c r="AU2478" s="88">
        <f>DATE(2017,10,20)</f>
        <v>43028</v>
      </c>
      <c r="AV2478" s="88">
        <f>DATE(2017,8,21)</f>
        <v>42968</v>
      </c>
      <c r="AW2478" s="87">
        <f t="shared" si="193"/>
        <v>60</v>
      </c>
      <c r="AX2478" s="88">
        <f>DATE(2017,10,20)</f>
        <v>43028</v>
      </c>
      <c r="AY2478" s="83">
        <f>MONTH(AX2478)</f>
        <v>10</v>
      </c>
      <c r="AZ2478" s="84">
        <f>YEAR(AX2478)</f>
        <v>2017</v>
      </c>
      <c r="BA2478" s="86"/>
      <c r="BB2478" s="86"/>
    </row>
    <row r="2479" spans="1:54" ht="36.75" customHeight="1">
      <c r="A2479" s="30"/>
      <c r="B2479" s="30" t="s">
        <v>55</v>
      </c>
      <c r="C2479" s="69" t="str">
        <f t="shared" si="192"/>
        <v>Closed</v>
      </c>
      <c r="D2479" s="27" t="s">
        <v>13968</v>
      </c>
      <c r="E2479" s="29" t="s">
        <v>13969</v>
      </c>
      <c r="F2479" s="30" t="s">
        <v>233</v>
      </c>
      <c r="G2479" s="89">
        <f>DATE(2017,8,14)</f>
        <v>42961</v>
      </c>
      <c r="H2479" s="90">
        <v>1.598611111111111</v>
      </c>
      <c r="I2479" s="30" t="s">
        <v>73</v>
      </c>
      <c r="J2479" s="89" t="s">
        <v>13970</v>
      </c>
      <c r="K2479" s="30" t="s">
        <v>235</v>
      </c>
      <c r="L2479" s="30" t="s">
        <v>13971</v>
      </c>
      <c r="M2479" s="30" t="s">
        <v>63</v>
      </c>
      <c r="N2479" s="30" t="s">
        <v>142</v>
      </c>
      <c r="O2479" s="30" t="s">
        <v>86</v>
      </c>
      <c r="P2479" s="89" t="s">
        <v>78</v>
      </c>
      <c r="Q2479" s="89" t="s">
        <v>2759</v>
      </c>
      <c r="R2479" s="89" t="s">
        <v>235</v>
      </c>
      <c r="S2479" s="30">
        <v>0</v>
      </c>
      <c r="T2479" s="233">
        <v>0</v>
      </c>
      <c r="U2479" s="30">
        <v>0</v>
      </c>
      <c r="V2479" s="233">
        <v>0</v>
      </c>
      <c r="W2479" s="30">
        <v>0</v>
      </c>
      <c r="X2479" s="30">
        <v>0</v>
      </c>
      <c r="Y2479" s="30">
        <v>0</v>
      </c>
      <c r="Z2479" s="233">
        <v>0</v>
      </c>
      <c r="AA2479" s="30">
        <v>0</v>
      </c>
      <c r="AB2479" s="30">
        <v>0</v>
      </c>
      <c r="AC2479" s="30">
        <v>0</v>
      </c>
      <c r="AD2479" s="30">
        <v>0</v>
      </c>
      <c r="AE2479" s="89" t="s">
        <v>145</v>
      </c>
      <c r="AF2479" s="89"/>
      <c r="AG2479" s="89" t="s">
        <v>133</v>
      </c>
      <c r="AH2479" s="72">
        <v>42968</v>
      </c>
      <c r="AI2479" s="30">
        <v>1</v>
      </c>
      <c r="AJ2479" s="89" t="s">
        <v>13972</v>
      </c>
      <c r="AK2479" s="89" t="s">
        <v>13973</v>
      </c>
      <c r="AL2479" s="91">
        <v>43028</v>
      </c>
      <c r="AM2479" s="91"/>
      <c r="AN2479" s="91"/>
      <c r="AO2479" s="91"/>
      <c r="AP2479" s="73" t="e">
        <f>MID(VLOOKUP(K2479,#REF!,2,FALSE),1,2)</f>
        <v>#REF!</v>
      </c>
      <c r="AQ2479" s="89">
        <f>DATE(2017,8,15)</f>
        <v>42962</v>
      </c>
      <c r="AR2479" s="82">
        <f t="shared" si="194"/>
        <v>15</v>
      </c>
      <c r="AS2479" s="83">
        <f t="shared" si="195"/>
        <v>8</v>
      </c>
      <c r="AT2479" s="84">
        <f t="shared" si="196"/>
        <v>2017</v>
      </c>
      <c r="AU2479" s="88">
        <f>DATE(2017,10,20)</f>
        <v>43028</v>
      </c>
      <c r="AV2479" s="88">
        <f>DATE(2017,8,21)</f>
        <v>42968</v>
      </c>
      <c r="AW2479" s="87">
        <f t="shared" si="193"/>
        <v>60</v>
      </c>
      <c r="AX2479" s="88">
        <f>DATE(2017,10,20)</f>
        <v>43028</v>
      </c>
      <c r="AY2479" s="83">
        <f>MONTH(AX2479)</f>
        <v>10</v>
      </c>
      <c r="AZ2479" s="84">
        <f>YEAR(AX2479)</f>
        <v>2017</v>
      </c>
      <c r="BA2479" s="86"/>
      <c r="BB2479" s="86"/>
    </row>
    <row r="2480" spans="1:54" ht="36.75" customHeight="1">
      <c r="A2480" s="30"/>
      <c r="B2480" s="30" t="s">
        <v>55</v>
      </c>
      <c r="C2480" s="69" t="str">
        <f t="shared" si="192"/>
        <v>Closed</v>
      </c>
      <c r="D2480" s="27" t="s">
        <v>13974</v>
      </c>
      <c r="E2480" s="29" t="s">
        <v>13975</v>
      </c>
      <c r="F2480" s="30" t="s">
        <v>233</v>
      </c>
      <c r="G2480" s="89">
        <f>DATE(2017,8,15)</f>
        <v>42962</v>
      </c>
      <c r="H2480" s="90">
        <v>1.2368055555555555</v>
      </c>
      <c r="I2480" s="30" t="s">
        <v>198</v>
      </c>
      <c r="J2480" s="89" t="s">
        <v>13976</v>
      </c>
      <c r="K2480" s="30" t="s">
        <v>235</v>
      </c>
      <c r="L2480" s="30" t="s">
        <v>13977</v>
      </c>
      <c r="M2480" s="30" t="s">
        <v>63</v>
      </c>
      <c r="N2480" s="30" t="s">
        <v>89</v>
      </c>
      <c r="O2480" s="30" t="s">
        <v>64</v>
      </c>
      <c r="P2480" s="89" t="s">
        <v>6902</v>
      </c>
      <c r="Q2480" s="89" t="s">
        <v>351</v>
      </c>
      <c r="R2480" s="89" t="s">
        <v>235</v>
      </c>
      <c r="S2480" s="30">
        <v>0</v>
      </c>
      <c r="T2480" s="233">
        <v>0</v>
      </c>
      <c r="U2480" s="30">
        <v>0</v>
      </c>
      <c r="V2480" s="233">
        <v>0</v>
      </c>
      <c r="W2480" s="30">
        <v>0</v>
      </c>
      <c r="X2480" s="30">
        <v>0</v>
      </c>
      <c r="Y2480" s="30">
        <v>0</v>
      </c>
      <c r="Z2480" s="233">
        <v>0</v>
      </c>
      <c r="AA2480" s="30">
        <v>0</v>
      </c>
      <c r="AB2480" s="30">
        <v>0</v>
      </c>
      <c r="AC2480" s="30">
        <v>0</v>
      </c>
      <c r="AD2480" s="30">
        <v>0</v>
      </c>
      <c r="AE2480" s="89" t="s">
        <v>92</v>
      </c>
      <c r="AF2480" s="89"/>
      <c r="AG2480" s="89" t="s">
        <v>133</v>
      </c>
      <c r="AH2480" s="72">
        <v>42968</v>
      </c>
      <c r="AI2480" s="30">
        <v>3</v>
      </c>
      <c r="AJ2480" s="89" t="s">
        <v>13978</v>
      </c>
      <c r="AK2480" s="89" t="s">
        <v>13979</v>
      </c>
      <c r="AL2480" s="91">
        <v>43028</v>
      </c>
      <c r="AM2480" s="91"/>
      <c r="AN2480" s="91"/>
      <c r="AO2480" s="91"/>
      <c r="AP2480" s="73" t="e">
        <f>MID(VLOOKUP(K2480,#REF!,2,FALSE),1,2)</f>
        <v>#REF!</v>
      </c>
      <c r="AQ2480" s="89">
        <f>DATE(2017,8,16)</f>
        <v>42963</v>
      </c>
      <c r="AR2480" s="82">
        <f t="shared" si="194"/>
        <v>16</v>
      </c>
      <c r="AS2480" s="83">
        <f t="shared" si="195"/>
        <v>8</v>
      </c>
      <c r="AT2480" s="84">
        <f t="shared" si="196"/>
        <v>2017</v>
      </c>
      <c r="AU2480" s="88">
        <f>DATE(2017,8,18)</f>
        <v>42965</v>
      </c>
      <c r="AV2480" s="88">
        <f>DATE(2017,8,16)</f>
        <v>42963</v>
      </c>
      <c r="AW2480" s="87">
        <f t="shared" si="193"/>
        <v>2</v>
      </c>
      <c r="AX2480" s="106"/>
      <c r="AY2480" s="83"/>
      <c r="AZ2480" s="84"/>
      <c r="BA2480" s="106"/>
      <c r="BB2480" s="106"/>
    </row>
    <row r="2481" spans="1:54" ht="36.75" customHeight="1">
      <c r="A2481" s="30"/>
      <c r="B2481" s="30" t="s">
        <v>55</v>
      </c>
      <c r="C2481" s="69" t="str">
        <f t="shared" si="192"/>
        <v>Closed</v>
      </c>
      <c r="D2481" s="27" t="s">
        <v>13980</v>
      </c>
      <c r="E2481" s="29" t="s">
        <v>13981</v>
      </c>
      <c r="F2481" s="30" t="s">
        <v>423</v>
      </c>
      <c r="G2481" s="89">
        <f>DATE(2017,8,16)</f>
        <v>42963</v>
      </c>
      <c r="H2481" s="90">
        <v>1.2944444444444445</v>
      </c>
      <c r="I2481" s="30" t="s">
        <v>73</v>
      </c>
      <c r="J2481" s="89" t="s">
        <v>13982</v>
      </c>
      <c r="K2481" s="30" t="s">
        <v>425</v>
      </c>
      <c r="L2481" s="30" t="s">
        <v>13983</v>
      </c>
      <c r="M2481" s="30" t="s">
        <v>63</v>
      </c>
      <c r="N2481" s="30" t="s">
        <v>99</v>
      </c>
      <c r="O2481" s="30" t="s">
        <v>77</v>
      </c>
      <c r="P2481" s="89" t="s">
        <v>165</v>
      </c>
      <c r="Q2481" s="89" t="s">
        <v>4551</v>
      </c>
      <c r="R2481" s="89" t="s">
        <v>3103</v>
      </c>
      <c r="S2481" s="30">
        <v>0</v>
      </c>
      <c r="T2481" s="233">
        <v>0</v>
      </c>
      <c r="U2481" s="30">
        <v>0</v>
      </c>
      <c r="V2481" s="233">
        <v>0</v>
      </c>
      <c r="W2481" s="30">
        <v>0</v>
      </c>
      <c r="X2481" s="30">
        <v>0</v>
      </c>
      <c r="Y2481" s="30">
        <v>0</v>
      </c>
      <c r="Z2481" s="233">
        <v>0</v>
      </c>
      <c r="AA2481" s="30">
        <v>0</v>
      </c>
      <c r="AB2481" s="30">
        <v>0</v>
      </c>
      <c r="AC2481" s="30">
        <v>0</v>
      </c>
      <c r="AD2481" s="30">
        <v>0</v>
      </c>
      <c r="AE2481" s="89" t="s">
        <v>92</v>
      </c>
      <c r="AF2481" s="89"/>
      <c r="AG2481" s="89" t="s">
        <v>133</v>
      </c>
      <c r="AH2481" s="72">
        <v>42963</v>
      </c>
      <c r="AI2481" s="30">
        <v>0</v>
      </c>
      <c r="AJ2481" s="89" t="s">
        <v>13984</v>
      </c>
      <c r="AK2481" s="89" t="s">
        <v>13985</v>
      </c>
      <c r="AL2481" s="91">
        <v>42965</v>
      </c>
      <c r="AM2481" s="91"/>
      <c r="AN2481" s="91"/>
      <c r="AO2481" s="91"/>
      <c r="AP2481" s="73" t="e">
        <f>MID(VLOOKUP(K2481,#REF!,2,FALSE),1,2)</f>
        <v>#REF!</v>
      </c>
      <c r="AQ2481" s="89">
        <f>DATE(2017,8,16)</f>
        <v>42963</v>
      </c>
      <c r="AR2481" s="82">
        <f t="shared" si="194"/>
        <v>16</v>
      </c>
      <c r="AS2481" s="83">
        <f t="shared" si="195"/>
        <v>8</v>
      </c>
      <c r="AT2481" s="84">
        <f t="shared" si="196"/>
        <v>2017</v>
      </c>
      <c r="AU2481" s="88">
        <f>DATE(2017,8,17)</f>
        <v>42964</v>
      </c>
      <c r="AV2481" s="88">
        <f>DATE(2017,8,16)</f>
        <v>42963</v>
      </c>
      <c r="AW2481" s="87">
        <f t="shared" si="193"/>
        <v>1</v>
      </c>
      <c r="AX2481" s="88">
        <f>DATE(2017,8,16)</f>
        <v>42963</v>
      </c>
      <c r="AY2481" s="83">
        <f>MONTH(AX2481)</f>
        <v>8</v>
      </c>
      <c r="AZ2481" s="84">
        <f>YEAR(AX2481)</f>
        <v>2017</v>
      </c>
      <c r="BA2481" s="88">
        <f>DATE(2017,8,16)</f>
        <v>42963</v>
      </c>
      <c r="BB2481" s="86"/>
    </row>
    <row r="2482" spans="1:54" ht="36.75" customHeight="1">
      <c r="A2482" s="30"/>
      <c r="B2482" s="30" t="s">
        <v>55</v>
      </c>
      <c r="C2482" s="69" t="str">
        <f t="shared" si="192"/>
        <v>Closed</v>
      </c>
      <c r="D2482" s="27" t="s">
        <v>13986</v>
      </c>
      <c r="E2482" s="29" t="s">
        <v>13987</v>
      </c>
      <c r="F2482" s="30" t="s">
        <v>835</v>
      </c>
      <c r="G2482" s="89">
        <f>DATE(2017,8,16)</f>
        <v>42963</v>
      </c>
      <c r="H2482" s="90">
        <v>1.5951388888888889</v>
      </c>
      <c r="I2482" s="30" t="s">
        <v>73</v>
      </c>
      <c r="J2482" s="89" t="s">
        <v>13988</v>
      </c>
      <c r="K2482" s="30" t="s">
        <v>837</v>
      </c>
      <c r="L2482" s="30" t="s">
        <v>13989</v>
      </c>
      <c r="M2482" s="30" t="s">
        <v>255</v>
      </c>
      <c r="N2482" s="30" t="s">
        <v>142</v>
      </c>
      <c r="O2482" s="30" t="s">
        <v>86</v>
      </c>
      <c r="P2482" s="89" t="s">
        <v>6552</v>
      </c>
      <c r="Q2482" s="89" t="s">
        <v>4210</v>
      </c>
      <c r="R2482" s="89" t="s">
        <v>4210</v>
      </c>
      <c r="S2482" s="30">
        <v>0</v>
      </c>
      <c r="T2482" s="233">
        <v>0</v>
      </c>
      <c r="U2482" s="30">
        <v>0</v>
      </c>
      <c r="V2482" s="233">
        <v>0</v>
      </c>
      <c r="W2482" s="30">
        <v>0</v>
      </c>
      <c r="X2482" s="30">
        <v>0</v>
      </c>
      <c r="Y2482" s="30">
        <v>0</v>
      </c>
      <c r="Z2482" s="233">
        <v>0</v>
      </c>
      <c r="AA2482" s="30">
        <v>0</v>
      </c>
      <c r="AB2482" s="30">
        <v>0</v>
      </c>
      <c r="AC2482" s="30">
        <v>0</v>
      </c>
      <c r="AD2482" s="30">
        <v>0</v>
      </c>
      <c r="AE2482" s="89" t="s">
        <v>92</v>
      </c>
      <c r="AF2482" s="89"/>
      <c r="AG2482" s="89" t="s">
        <v>133</v>
      </c>
      <c r="AH2482" s="72">
        <v>42963</v>
      </c>
      <c r="AI2482" s="30">
        <v>0</v>
      </c>
      <c r="AJ2482" s="89" t="s">
        <v>13990</v>
      </c>
      <c r="AK2482" s="89" t="s">
        <v>68</v>
      </c>
      <c r="AL2482" s="91">
        <v>42964</v>
      </c>
      <c r="AM2482" s="91"/>
      <c r="AN2482" s="91"/>
      <c r="AO2482" s="91"/>
      <c r="AP2482" s="73" t="e">
        <f>MID(VLOOKUP(K2482,#REF!,2,FALSE),1,2)</f>
        <v>#REF!</v>
      </c>
      <c r="AQ2482" s="89">
        <f>DATE(2017,8,18)</f>
        <v>42965</v>
      </c>
      <c r="AR2482" s="82">
        <f t="shared" si="194"/>
        <v>18</v>
      </c>
      <c r="AS2482" s="83">
        <f t="shared" si="195"/>
        <v>8</v>
      </c>
      <c r="AT2482" s="84">
        <f t="shared" si="196"/>
        <v>2017</v>
      </c>
      <c r="AU2482" s="88">
        <f>DATE(2017,8,21)</f>
        <v>42968</v>
      </c>
      <c r="AV2482" s="88">
        <f>DATE(2017,8,18)</f>
        <v>42965</v>
      </c>
      <c r="AW2482" s="87">
        <f t="shared" si="193"/>
        <v>3</v>
      </c>
      <c r="AX2482" s="106"/>
      <c r="AY2482" s="83"/>
      <c r="AZ2482" s="84"/>
      <c r="BA2482" s="106"/>
      <c r="BB2482" s="106"/>
    </row>
    <row r="2483" spans="1:54" ht="36.75" customHeight="1">
      <c r="A2483" s="30"/>
      <c r="B2483" s="30" t="s">
        <v>55</v>
      </c>
      <c r="C2483" s="69" t="str">
        <f t="shared" si="192"/>
        <v>Closed</v>
      </c>
      <c r="D2483" s="27" t="s">
        <v>13991</v>
      </c>
      <c r="E2483" s="29" t="s">
        <v>13992</v>
      </c>
      <c r="F2483" s="30" t="s">
        <v>423</v>
      </c>
      <c r="G2483" s="89">
        <f>DATE(2017,8,18)</f>
        <v>42965</v>
      </c>
      <c r="H2483" s="90">
        <v>1.4458333333333333</v>
      </c>
      <c r="I2483" s="30" t="s">
        <v>116</v>
      </c>
      <c r="J2483" s="89" t="s">
        <v>13993</v>
      </c>
      <c r="K2483" s="30" t="s">
        <v>425</v>
      </c>
      <c r="L2483" s="30" t="s">
        <v>13994</v>
      </c>
      <c r="M2483" s="30" t="s">
        <v>63</v>
      </c>
      <c r="N2483" s="30" t="s">
        <v>99</v>
      </c>
      <c r="O2483" s="30" t="s">
        <v>64</v>
      </c>
      <c r="P2483" s="89" t="s">
        <v>165</v>
      </c>
      <c r="Q2483" s="89" t="s">
        <v>4551</v>
      </c>
      <c r="R2483" s="89" t="s">
        <v>3103</v>
      </c>
      <c r="S2483" s="30">
        <v>0</v>
      </c>
      <c r="T2483" s="233">
        <v>0</v>
      </c>
      <c r="U2483" s="30">
        <v>1</v>
      </c>
      <c r="V2483" s="233">
        <v>0</v>
      </c>
      <c r="W2483" s="30">
        <v>0</v>
      </c>
      <c r="X2483" s="30">
        <v>1</v>
      </c>
      <c r="Y2483" s="30">
        <v>0</v>
      </c>
      <c r="Z2483" s="233">
        <v>0</v>
      </c>
      <c r="AA2483" s="30">
        <v>0</v>
      </c>
      <c r="AB2483" s="30">
        <v>0</v>
      </c>
      <c r="AC2483" s="30">
        <v>0</v>
      </c>
      <c r="AD2483" s="30">
        <v>0</v>
      </c>
      <c r="AE2483" s="89" t="s">
        <v>92</v>
      </c>
      <c r="AF2483" s="89"/>
      <c r="AG2483" s="89" t="s">
        <v>874</v>
      </c>
      <c r="AH2483" s="72">
        <v>42965</v>
      </c>
      <c r="AI2483" s="30">
        <v>1</v>
      </c>
      <c r="AJ2483" s="89" t="s">
        <v>13926</v>
      </c>
      <c r="AK2483" s="89" t="s">
        <v>13995</v>
      </c>
      <c r="AL2483" s="91">
        <v>42968</v>
      </c>
      <c r="AM2483" s="91"/>
      <c r="AN2483" s="91"/>
      <c r="AO2483" s="91"/>
      <c r="AP2483" s="73" t="e">
        <f>MID(VLOOKUP(K2483,#REF!,2,FALSE),1,2)</f>
        <v>#REF!</v>
      </c>
      <c r="AQ2483" s="89">
        <f>DATE(2017,8,18)</f>
        <v>42965</v>
      </c>
      <c r="AR2483" s="82">
        <f t="shared" si="194"/>
        <v>18</v>
      </c>
      <c r="AS2483" s="83">
        <f t="shared" si="195"/>
        <v>8</v>
      </c>
      <c r="AT2483" s="84">
        <f t="shared" si="196"/>
        <v>2017</v>
      </c>
      <c r="AU2483" s="88">
        <f>DATE(2017,8,22)</f>
        <v>42969</v>
      </c>
      <c r="AV2483" s="88">
        <f>DATE(2017,8,18)</f>
        <v>42965</v>
      </c>
      <c r="AW2483" s="87">
        <f t="shared" si="193"/>
        <v>4</v>
      </c>
      <c r="AX2483" s="106"/>
      <c r="AY2483" s="83"/>
      <c r="AZ2483" s="84"/>
      <c r="BA2483" s="106"/>
      <c r="BB2483" s="106"/>
    </row>
    <row r="2484" spans="1:54" ht="36.75" customHeight="1">
      <c r="A2484" s="30"/>
      <c r="B2484" s="30" t="s">
        <v>55</v>
      </c>
      <c r="C2484" s="69" t="str">
        <f t="shared" si="192"/>
        <v>Closed</v>
      </c>
      <c r="D2484" s="27" t="s">
        <v>13996</v>
      </c>
      <c r="E2484" s="29" t="s">
        <v>13997</v>
      </c>
      <c r="F2484" s="30" t="s">
        <v>423</v>
      </c>
      <c r="G2484" s="89">
        <f>DATE(2017,8,18)</f>
        <v>42965</v>
      </c>
      <c r="H2484" s="90">
        <v>1.6062500000000002</v>
      </c>
      <c r="I2484" s="30" t="s">
        <v>116</v>
      </c>
      <c r="J2484" s="89" t="s">
        <v>13998</v>
      </c>
      <c r="K2484" s="30" t="s">
        <v>425</v>
      </c>
      <c r="L2484" s="30" t="s">
        <v>13999</v>
      </c>
      <c r="M2484" s="30" t="s">
        <v>63</v>
      </c>
      <c r="N2484" s="30" t="s">
        <v>99</v>
      </c>
      <c r="O2484" s="30" t="s">
        <v>77</v>
      </c>
      <c r="P2484" s="89" t="s">
        <v>165</v>
      </c>
      <c r="Q2484" s="89" t="s">
        <v>4551</v>
      </c>
      <c r="R2484" s="89" t="s">
        <v>3103</v>
      </c>
      <c r="S2484" s="30">
        <v>0</v>
      </c>
      <c r="T2484" s="233">
        <v>0</v>
      </c>
      <c r="U2484" s="30">
        <v>2</v>
      </c>
      <c r="V2484" s="233">
        <v>0</v>
      </c>
      <c r="W2484" s="30">
        <v>0</v>
      </c>
      <c r="X2484" s="30">
        <v>2</v>
      </c>
      <c r="Y2484" s="30">
        <v>0</v>
      </c>
      <c r="Z2484" s="233">
        <v>0</v>
      </c>
      <c r="AA2484" s="30">
        <v>1</v>
      </c>
      <c r="AB2484" s="30">
        <v>0</v>
      </c>
      <c r="AC2484" s="30">
        <v>0</v>
      </c>
      <c r="AD2484" s="30">
        <v>1</v>
      </c>
      <c r="AE2484" s="89" t="s">
        <v>92</v>
      </c>
      <c r="AF2484" s="89"/>
      <c r="AG2484" s="89" t="s">
        <v>133</v>
      </c>
      <c r="AH2484" s="72">
        <v>42965</v>
      </c>
      <c r="AI2484" s="30">
        <v>1</v>
      </c>
      <c r="AJ2484" s="89" t="s">
        <v>14000</v>
      </c>
      <c r="AK2484" s="89" t="s">
        <v>14001</v>
      </c>
      <c r="AL2484" s="91">
        <v>42969</v>
      </c>
      <c r="AM2484" s="91"/>
      <c r="AN2484" s="91"/>
      <c r="AO2484" s="91"/>
      <c r="AP2484" s="73" t="e">
        <f>MID(VLOOKUP(K2484,#REF!,2,FALSE),1,2)</f>
        <v>#REF!</v>
      </c>
      <c r="AQ2484" s="89">
        <f>DATE(2017,8,18)</f>
        <v>42965</v>
      </c>
      <c r="AR2484" s="82">
        <f t="shared" si="194"/>
        <v>18</v>
      </c>
      <c r="AS2484" s="83">
        <f t="shared" si="195"/>
        <v>8</v>
      </c>
      <c r="AT2484" s="84">
        <f t="shared" si="196"/>
        <v>2017</v>
      </c>
      <c r="AU2484" s="88">
        <f>DATE(2017,11,16)</f>
        <v>43055</v>
      </c>
      <c r="AV2484" s="88">
        <f>DATE(2017,8,23)</f>
        <v>42970</v>
      </c>
      <c r="AW2484" s="87">
        <f t="shared" si="193"/>
        <v>85</v>
      </c>
      <c r="AX2484" s="86"/>
      <c r="AY2484" s="83"/>
      <c r="AZ2484" s="84"/>
      <c r="BA2484" s="88">
        <f>DATE(2017,8,24)</f>
        <v>42971</v>
      </c>
      <c r="BB2484" s="86" t="s">
        <v>13115</v>
      </c>
    </row>
    <row r="2485" spans="1:54" ht="36.75" customHeight="1">
      <c r="A2485" s="30"/>
      <c r="B2485" s="30" t="s">
        <v>55</v>
      </c>
      <c r="C2485" s="69" t="str">
        <f t="shared" si="192"/>
        <v>Closed</v>
      </c>
      <c r="D2485" s="27" t="s">
        <v>14002</v>
      </c>
      <c r="E2485" s="29" t="s">
        <v>14003</v>
      </c>
      <c r="F2485" s="30" t="s">
        <v>115</v>
      </c>
      <c r="G2485" s="89">
        <f>DATE(2017,8,18)</f>
        <v>42965</v>
      </c>
      <c r="H2485" s="90">
        <v>1.3569444444444445</v>
      </c>
      <c r="I2485" s="30" t="s">
        <v>59</v>
      </c>
      <c r="J2485" s="89" t="s">
        <v>14004</v>
      </c>
      <c r="K2485" s="30" t="s">
        <v>118</v>
      </c>
      <c r="L2485" s="30" t="s">
        <v>14005</v>
      </c>
      <c r="M2485" s="30" t="s">
        <v>63</v>
      </c>
      <c r="N2485" s="30" t="s">
        <v>142</v>
      </c>
      <c r="O2485" s="30" t="s">
        <v>64</v>
      </c>
      <c r="P2485" s="89" t="s">
        <v>165</v>
      </c>
      <c r="Q2485" s="89" t="s">
        <v>120</v>
      </c>
      <c r="R2485" s="89" t="s">
        <v>121</v>
      </c>
      <c r="S2485" s="30">
        <v>0</v>
      </c>
      <c r="T2485" s="233">
        <v>0</v>
      </c>
      <c r="U2485" s="30">
        <v>0</v>
      </c>
      <c r="V2485" s="233">
        <v>0</v>
      </c>
      <c r="W2485" s="30">
        <v>0</v>
      </c>
      <c r="X2485" s="30">
        <v>0</v>
      </c>
      <c r="Y2485" s="30">
        <v>0</v>
      </c>
      <c r="Z2485" s="233">
        <v>0</v>
      </c>
      <c r="AA2485" s="30">
        <v>0</v>
      </c>
      <c r="AB2485" s="30">
        <v>0</v>
      </c>
      <c r="AC2485" s="30">
        <v>0</v>
      </c>
      <c r="AD2485" s="30">
        <v>0</v>
      </c>
      <c r="AE2485" s="89" t="s">
        <v>92</v>
      </c>
      <c r="AF2485" s="89"/>
      <c r="AG2485" s="89" t="s">
        <v>133</v>
      </c>
      <c r="AH2485" s="72">
        <v>42970</v>
      </c>
      <c r="AI2485" s="30">
        <v>3</v>
      </c>
      <c r="AJ2485" s="89" t="s">
        <v>14006</v>
      </c>
      <c r="AK2485" s="89" t="s">
        <v>14007</v>
      </c>
      <c r="AL2485" s="91">
        <v>43055</v>
      </c>
      <c r="AM2485" s="91"/>
      <c r="AN2485" s="91"/>
      <c r="AO2485" s="91"/>
      <c r="AP2485" s="73" t="e">
        <f>MID(VLOOKUP(K2485,#REF!,2,FALSE),1,2)</f>
        <v>#REF!</v>
      </c>
      <c r="AQ2485" s="89">
        <f>DATE(2017,8,21)</f>
        <v>42968</v>
      </c>
      <c r="AR2485" s="82">
        <f t="shared" si="194"/>
        <v>21</v>
      </c>
      <c r="AS2485" s="83">
        <f t="shared" si="195"/>
        <v>8</v>
      </c>
      <c r="AT2485" s="84">
        <f t="shared" si="196"/>
        <v>2017</v>
      </c>
      <c r="AU2485" s="88">
        <f>DATE(2017,9,27)</f>
        <v>43005</v>
      </c>
      <c r="AV2485" s="88">
        <f>DATE(2017,9,19)</f>
        <v>42997</v>
      </c>
      <c r="AW2485" s="87">
        <f t="shared" si="193"/>
        <v>8</v>
      </c>
      <c r="AX2485" s="86"/>
      <c r="AY2485" s="83"/>
      <c r="AZ2485" s="84"/>
      <c r="BA2485" s="86"/>
      <c r="BB2485" s="86" t="s">
        <v>13115</v>
      </c>
    </row>
    <row r="2486" spans="1:54" ht="36.75" customHeight="1">
      <c r="A2486" s="30"/>
      <c r="B2486" s="30" t="s">
        <v>55</v>
      </c>
      <c r="C2486" s="69" t="str">
        <f t="shared" si="192"/>
        <v>Closed</v>
      </c>
      <c r="D2486" s="27" t="s">
        <v>14008</v>
      </c>
      <c r="E2486" s="29" t="s">
        <v>14009</v>
      </c>
      <c r="F2486" s="30" t="s">
        <v>638</v>
      </c>
      <c r="G2486" s="89">
        <f>DATE(2017,8,21)</f>
        <v>42968</v>
      </c>
      <c r="H2486" s="90">
        <v>1.3687499999999999</v>
      </c>
      <c r="I2486" s="30" t="s">
        <v>104</v>
      </c>
      <c r="J2486" s="89" t="s">
        <v>14010</v>
      </c>
      <c r="K2486" s="30" t="s">
        <v>640</v>
      </c>
      <c r="L2486" s="30" t="s">
        <v>14011</v>
      </c>
      <c r="M2486" s="30" t="s">
        <v>63</v>
      </c>
      <c r="N2486" s="30" t="s">
        <v>99</v>
      </c>
      <c r="O2486" s="30" t="s">
        <v>77</v>
      </c>
      <c r="P2486" s="89" t="s">
        <v>216</v>
      </c>
      <c r="Q2486" s="89" t="s">
        <v>14012</v>
      </c>
      <c r="R2486" s="89" t="s">
        <v>643</v>
      </c>
      <c r="S2486" s="30">
        <v>0</v>
      </c>
      <c r="T2486" s="233">
        <v>0</v>
      </c>
      <c r="U2486" s="30">
        <v>0</v>
      </c>
      <c r="V2486" s="233">
        <v>0</v>
      </c>
      <c r="W2486" s="30">
        <v>0</v>
      </c>
      <c r="X2486" s="30">
        <v>0</v>
      </c>
      <c r="Y2486" s="30">
        <v>0</v>
      </c>
      <c r="Z2486" s="233">
        <v>0</v>
      </c>
      <c r="AA2486" s="30">
        <v>0</v>
      </c>
      <c r="AB2486" s="30">
        <v>0</v>
      </c>
      <c r="AC2486" s="30">
        <v>0</v>
      </c>
      <c r="AD2486" s="30">
        <v>0</v>
      </c>
      <c r="AE2486" s="89" t="s">
        <v>92</v>
      </c>
      <c r="AF2486" s="89"/>
      <c r="AG2486" s="89" t="s">
        <v>133</v>
      </c>
      <c r="AH2486" s="72">
        <v>42997</v>
      </c>
      <c r="AI2486" s="30">
        <v>4</v>
      </c>
      <c r="AJ2486" s="89" t="s">
        <v>14013</v>
      </c>
      <c r="AK2486" s="89" t="s">
        <v>14014</v>
      </c>
      <c r="AL2486" s="91">
        <v>43005</v>
      </c>
      <c r="AM2486" s="91"/>
      <c r="AN2486" s="91"/>
      <c r="AO2486" s="91"/>
      <c r="AP2486" s="73" t="e">
        <f>MID(VLOOKUP(K2486,#REF!,2,FALSE),1,2)</f>
        <v>#REF!</v>
      </c>
      <c r="AQ2486" s="89">
        <f>DATE(2017,8,21)</f>
        <v>42968</v>
      </c>
      <c r="AR2486" s="82">
        <f t="shared" si="194"/>
        <v>21</v>
      </c>
      <c r="AS2486" s="83">
        <f t="shared" si="195"/>
        <v>8</v>
      </c>
      <c r="AT2486" s="84">
        <f t="shared" si="196"/>
        <v>2017</v>
      </c>
      <c r="AU2486" s="88">
        <f>DATE(2017,8,30)</f>
        <v>42977</v>
      </c>
      <c r="AV2486" s="88">
        <f>DATE(2017,8,23)</f>
        <v>42970</v>
      </c>
      <c r="AW2486" s="87">
        <f t="shared" si="193"/>
        <v>7</v>
      </c>
      <c r="AX2486" s="88">
        <f>DATE(2017,8,23)</f>
        <v>42970</v>
      </c>
      <c r="AY2486" s="83">
        <f>MONTH(AX2486)</f>
        <v>8</v>
      </c>
      <c r="AZ2486" s="84">
        <f>YEAR(AX2486)</f>
        <v>2017</v>
      </c>
      <c r="BA2486" s="88">
        <f>DATE(2017,8,21)</f>
        <v>42968</v>
      </c>
      <c r="BB2486" s="86"/>
    </row>
    <row r="2487" spans="1:54" ht="36.75" customHeight="1">
      <c r="A2487" s="30"/>
      <c r="B2487" s="30" t="s">
        <v>55</v>
      </c>
      <c r="C2487" s="69" t="str">
        <f t="shared" si="192"/>
        <v>Closed</v>
      </c>
      <c r="D2487" s="27" t="s">
        <v>14015</v>
      </c>
      <c r="E2487" s="29" t="s">
        <v>14016</v>
      </c>
      <c r="F2487" s="30" t="s">
        <v>835</v>
      </c>
      <c r="G2487" s="89">
        <f>DATE(2017,8,21)</f>
        <v>42968</v>
      </c>
      <c r="H2487" s="90">
        <v>1.7020833333333334</v>
      </c>
      <c r="I2487" s="30" t="s">
        <v>104</v>
      </c>
      <c r="J2487" s="89" t="s">
        <v>14017</v>
      </c>
      <c r="K2487" s="30" t="s">
        <v>837</v>
      </c>
      <c r="L2487" s="30" t="s">
        <v>14018</v>
      </c>
      <c r="M2487" s="30" t="s">
        <v>63</v>
      </c>
      <c r="N2487" s="30" t="s">
        <v>99</v>
      </c>
      <c r="O2487" s="30" t="s">
        <v>77</v>
      </c>
      <c r="P2487" s="89" t="s">
        <v>78</v>
      </c>
      <c r="Q2487" s="89" t="s">
        <v>6280</v>
      </c>
      <c r="R2487" s="89" t="s">
        <v>840</v>
      </c>
      <c r="S2487" s="30">
        <v>0</v>
      </c>
      <c r="T2487" s="233">
        <v>0</v>
      </c>
      <c r="U2487" s="30">
        <v>0</v>
      </c>
      <c r="V2487" s="233">
        <v>0</v>
      </c>
      <c r="W2487" s="30">
        <v>0</v>
      </c>
      <c r="X2487" s="30">
        <v>0</v>
      </c>
      <c r="Y2487" s="30">
        <v>0</v>
      </c>
      <c r="Z2487" s="233">
        <v>0</v>
      </c>
      <c r="AA2487" s="30">
        <v>0</v>
      </c>
      <c r="AB2487" s="30">
        <v>0</v>
      </c>
      <c r="AC2487" s="30">
        <v>0</v>
      </c>
      <c r="AD2487" s="30">
        <v>0</v>
      </c>
      <c r="AE2487" s="89" t="s">
        <v>92</v>
      </c>
      <c r="AF2487" s="89"/>
      <c r="AG2487" s="89" t="s">
        <v>352</v>
      </c>
      <c r="AH2487" s="72">
        <v>42970</v>
      </c>
      <c r="AI2487" s="30">
        <v>0</v>
      </c>
      <c r="AJ2487" s="89" t="s">
        <v>14019</v>
      </c>
      <c r="AK2487" s="89" t="s">
        <v>14020</v>
      </c>
      <c r="AL2487" s="91">
        <v>42977</v>
      </c>
      <c r="AM2487" s="91"/>
      <c r="AN2487" s="91"/>
      <c r="AO2487" s="91"/>
      <c r="AP2487" s="73" t="e">
        <f>MID(VLOOKUP(K2487,#REF!,2,FALSE),1,2)</f>
        <v>#REF!</v>
      </c>
      <c r="AQ2487" s="89">
        <f>DATE(2017,8,21)</f>
        <v>42968</v>
      </c>
      <c r="AR2487" s="82">
        <f t="shared" si="194"/>
        <v>21</v>
      </c>
      <c r="AS2487" s="83">
        <f t="shared" si="195"/>
        <v>8</v>
      </c>
      <c r="AT2487" s="84">
        <f t="shared" si="196"/>
        <v>2017</v>
      </c>
      <c r="AU2487" s="88">
        <f>DATE(2017,9,15)</f>
        <v>42993</v>
      </c>
      <c r="AV2487" s="88">
        <f>DATE(2017,8,23)</f>
        <v>42970</v>
      </c>
      <c r="AW2487" s="87">
        <f t="shared" si="193"/>
        <v>23</v>
      </c>
      <c r="AX2487" s="86"/>
      <c r="AY2487" s="83"/>
      <c r="AZ2487" s="84"/>
      <c r="BA2487" s="86"/>
      <c r="BB2487" s="86" t="s">
        <v>13115</v>
      </c>
    </row>
    <row r="2488" spans="1:54" ht="36.75" customHeight="1">
      <c r="A2488" s="30"/>
      <c r="B2488" s="30" t="s">
        <v>55</v>
      </c>
      <c r="C2488" s="69" t="str">
        <f t="shared" si="192"/>
        <v>Closed</v>
      </c>
      <c r="D2488" s="27" t="s">
        <v>14021</v>
      </c>
      <c r="E2488" s="29" t="s">
        <v>14022</v>
      </c>
      <c r="F2488" s="30" t="s">
        <v>835</v>
      </c>
      <c r="G2488" s="89">
        <f>DATE(2017,8,21)</f>
        <v>42968</v>
      </c>
      <c r="H2488" s="90">
        <v>1.1555555555555554</v>
      </c>
      <c r="I2488" s="30" t="s">
        <v>104</v>
      </c>
      <c r="J2488" s="89" t="s">
        <v>14023</v>
      </c>
      <c r="K2488" s="30" t="s">
        <v>837</v>
      </c>
      <c r="L2488" s="30" t="s">
        <v>14024</v>
      </c>
      <c r="M2488" s="30" t="s">
        <v>63</v>
      </c>
      <c r="N2488" s="30" t="s">
        <v>142</v>
      </c>
      <c r="O2488" s="30" t="s">
        <v>77</v>
      </c>
      <c r="P2488" s="89" t="s">
        <v>78</v>
      </c>
      <c r="Q2488" s="89" t="s">
        <v>12929</v>
      </c>
      <c r="R2488" s="89" t="s">
        <v>840</v>
      </c>
      <c r="S2488" s="30">
        <v>0</v>
      </c>
      <c r="T2488" s="233">
        <v>0</v>
      </c>
      <c r="U2488" s="30">
        <v>0</v>
      </c>
      <c r="V2488" s="233">
        <v>0</v>
      </c>
      <c r="W2488" s="30">
        <v>0</v>
      </c>
      <c r="X2488" s="30">
        <v>0</v>
      </c>
      <c r="Y2488" s="30">
        <v>0</v>
      </c>
      <c r="Z2488" s="233">
        <v>0</v>
      </c>
      <c r="AA2488" s="30">
        <v>0</v>
      </c>
      <c r="AB2488" s="30">
        <v>0</v>
      </c>
      <c r="AC2488" s="30">
        <v>0</v>
      </c>
      <c r="AD2488" s="30">
        <v>0</v>
      </c>
      <c r="AE2488" s="89" t="s">
        <v>92</v>
      </c>
      <c r="AF2488" s="89"/>
      <c r="AG2488" s="89" t="s">
        <v>352</v>
      </c>
      <c r="AH2488" s="72">
        <v>42986</v>
      </c>
      <c r="AI2488" s="30">
        <v>0</v>
      </c>
      <c r="AJ2488" s="89" t="s">
        <v>14025</v>
      </c>
      <c r="AK2488" s="89" t="s">
        <v>14026</v>
      </c>
      <c r="AL2488" s="91">
        <v>42996</v>
      </c>
      <c r="AM2488" s="91"/>
      <c r="AN2488" s="91"/>
      <c r="AO2488" s="91"/>
      <c r="AP2488" s="73" t="e">
        <f>MID(VLOOKUP(K2488,#REF!,2,FALSE),1,2)</f>
        <v>#REF!</v>
      </c>
      <c r="AQ2488" s="89">
        <f>DATE(2017,8,23)</f>
        <v>42970</v>
      </c>
      <c r="AR2488" s="82">
        <f t="shared" si="194"/>
        <v>23</v>
      </c>
      <c r="AS2488" s="83">
        <f t="shared" si="195"/>
        <v>8</v>
      </c>
      <c r="AT2488" s="84">
        <f t="shared" si="196"/>
        <v>2017</v>
      </c>
      <c r="AU2488" s="88">
        <f>DATE(2017,9,15)</f>
        <v>42993</v>
      </c>
      <c r="AV2488" s="88">
        <f>DATE(2017,8,23)</f>
        <v>42970</v>
      </c>
      <c r="AW2488" s="87">
        <f t="shared" si="193"/>
        <v>23</v>
      </c>
      <c r="AX2488" s="86"/>
      <c r="AY2488" s="83"/>
      <c r="AZ2488" s="84"/>
      <c r="BA2488" s="86"/>
      <c r="BB2488" s="86" t="s">
        <v>13115</v>
      </c>
    </row>
    <row r="2489" spans="1:54" ht="36.75" customHeight="1">
      <c r="A2489" s="30"/>
      <c r="B2489" s="30" t="s">
        <v>55</v>
      </c>
      <c r="C2489" s="69" t="str">
        <f t="shared" si="192"/>
        <v>Closed</v>
      </c>
      <c r="D2489" s="37" t="s">
        <v>14027</v>
      </c>
      <c r="E2489" s="29" t="s">
        <v>14028</v>
      </c>
      <c r="F2489" s="30" t="s">
        <v>12474</v>
      </c>
      <c r="G2489" s="89">
        <f>DATE(2017,8,23)</f>
        <v>42970</v>
      </c>
      <c r="H2489" s="90">
        <v>1.4930555555555556</v>
      </c>
      <c r="I2489" s="30" t="s">
        <v>198</v>
      </c>
      <c r="J2489" s="89" t="s">
        <v>14029</v>
      </c>
      <c r="K2489" s="30" t="s">
        <v>200</v>
      </c>
      <c r="L2489" s="30" t="s">
        <v>14030</v>
      </c>
      <c r="M2489" s="30" t="s">
        <v>63</v>
      </c>
      <c r="N2489" s="30" t="s">
        <v>89</v>
      </c>
      <c r="O2489" s="30" t="s">
        <v>90</v>
      </c>
      <c r="P2489" s="89" t="s">
        <v>5599</v>
      </c>
      <c r="Q2489" s="89" t="s">
        <v>14031</v>
      </c>
      <c r="R2489" s="89" t="s">
        <v>13578</v>
      </c>
      <c r="S2489" s="30">
        <v>0</v>
      </c>
      <c r="T2489" s="233">
        <v>0</v>
      </c>
      <c r="U2489" s="30">
        <v>0</v>
      </c>
      <c r="V2489" s="233">
        <v>0</v>
      </c>
      <c r="W2489" s="30">
        <v>0</v>
      </c>
      <c r="X2489" s="30">
        <v>0</v>
      </c>
      <c r="Y2489" s="30">
        <v>0</v>
      </c>
      <c r="Z2489" s="233">
        <v>1</v>
      </c>
      <c r="AA2489" s="30">
        <v>0</v>
      </c>
      <c r="AB2489" s="30">
        <v>0</v>
      </c>
      <c r="AC2489" s="30">
        <v>0</v>
      </c>
      <c r="AD2489" s="30">
        <v>1</v>
      </c>
      <c r="AE2489" s="89" t="s">
        <v>145</v>
      </c>
      <c r="AF2489" s="89" t="s">
        <v>14032</v>
      </c>
      <c r="AG2489" s="89" t="s">
        <v>14033</v>
      </c>
      <c r="AH2489" s="72">
        <v>42971</v>
      </c>
      <c r="AI2489" s="30">
        <v>0</v>
      </c>
      <c r="AJ2489" s="89" t="s">
        <v>14034</v>
      </c>
      <c r="AK2489" s="89" t="s">
        <v>14035</v>
      </c>
      <c r="AL2489" s="91">
        <v>42993</v>
      </c>
      <c r="AM2489" s="91"/>
      <c r="AN2489" s="91">
        <v>45609</v>
      </c>
      <c r="AO2489" s="91">
        <v>45558</v>
      </c>
      <c r="AP2489" s="73" t="e">
        <f>MID(VLOOKUP(K2489,#REF!,2,FALSE),1,2)</f>
        <v>#REF!</v>
      </c>
      <c r="AQ2489" s="89">
        <f>DATE(2017,8,25)</f>
        <v>42972</v>
      </c>
      <c r="AR2489" s="82">
        <f t="shared" si="194"/>
        <v>25</v>
      </c>
      <c r="AS2489" s="83">
        <f t="shared" si="195"/>
        <v>8</v>
      </c>
      <c r="AT2489" s="84">
        <f t="shared" si="196"/>
        <v>2017</v>
      </c>
      <c r="AU2489" s="88">
        <f>DATE(2017,8,29)</f>
        <v>42976</v>
      </c>
      <c r="AV2489" s="88">
        <f>DATE(2017,8,25)</f>
        <v>42972</v>
      </c>
      <c r="AW2489" s="87">
        <f t="shared" si="193"/>
        <v>4</v>
      </c>
      <c r="AX2489" s="106"/>
      <c r="AY2489" s="83"/>
      <c r="AZ2489" s="84"/>
      <c r="BA2489" s="106"/>
      <c r="BB2489" s="106"/>
    </row>
    <row r="2490" spans="1:54" ht="36.75" customHeight="1">
      <c r="A2490" s="30"/>
      <c r="B2490" s="30" t="s">
        <v>55</v>
      </c>
      <c r="C2490" s="69" t="str">
        <f t="shared" si="192"/>
        <v>Closed</v>
      </c>
      <c r="D2490" s="27" t="s">
        <v>14036</v>
      </c>
      <c r="E2490" s="29" t="s">
        <v>14037</v>
      </c>
      <c r="F2490" s="30" t="s">
        <v>423</v>
      </c>
      <c r="G2490" s="89">
        <f>DATE(2017,8,25)</f>
        <v>42972</v>
      </c>
      <c r="H2490" s="90">
        <v>1.5715277777777779</v>
      </c>
      <c r="I2490" s="30" t="s">
        <v>116</v>
      </c>
      <c r="J2490" s="89" t="s">
        <v>14038</v>
      </c>
      <c r="K2490" s="30" t="s">
        <v>425</v>
      </c>
      <c r="L2490" s="30" t="s">
        <v>14039</v>
      </c>
      <c r="M2490" s="30" t="s">
        <v>63</v>
      </c>
      <c r="N2490" s="30" t="s">
        <v>99</v>
      </c>
      <c r="O2490" s="30" t="s">
        <v>64</v>
      </c>
      <c r="P2490" s="89" t="s">
        <v>165</v>
      </c>
      <c r="Q2490" s="89" t="s">
        <v>4551</v>
      </c>
      <c r="R2490" s="89" t="s">
        <v>3103</v>
      </c>
      <c r="S2490" s="30">
        <v>0</v>
      </c>
      <c r="T2490" s="233">
        <v>0</v>
      </c>
      <c r="U2490" s="30">
        <v>0</v>
      </c>
      <c r="V2490" s="233">
        <v>0</v>
      </c>
      <c r="W2490" s="30">
        <v>0</v>
      </c>
      <c r="X2490" s="30">
        <v>0</v>
      </c>
      <c r="Y2490" s="30">
        <v>0</v>
      </c>
      <c r="Z2490" s="233">
        <v>0</v>
      </c>
      <c r="AA2490" s="30">
        <v>0</v>
      </c>
      <c r="AB2490" s="30">
        <v>0</v>
      </c>
      <c r="AC2490" s="30">
        <v>0</v>
      </c>
      <c r="AD2490" s="30">
        <v>0</v>
      </c>
      <c r="AE2490" s="89" t="s">
        <v>92</v>
      </c>
      <c r="AF2490" s="89"/>
      <c r="AG2490" s="89" t="s">
        <v>352</v>
      </c>
      <c r="AH2490" s="72">
        <v>42972</v>
      </c>
      <c r="AI2490" s="30">
        <v>1</v>
      </c>
      <c r="AJ2490" s="89" t="s">
        <v>14040</v>
      </c>
      <c r="AK2490" s="89" t="s">
        <v>14041</v>
      </c>
      <c r="AL2490" s="91">
        <v>42976</v>
      </c>
      <c r="AM2490" s="91"/>
      <c r="AN2490" s="91"/>
      <c r="AO2490" s="91"/>
      <c r="AP2490" s="73" t="e">
        <f>MID(VLOOKUP(K2490,#REF!,2,FALSE),1,2)</f>
        <v>#REF!</v>
      </c>
      <c r="AQ2490" s="89">
        <f>DATE(2017,8,25)</f>
        <v>42972</v>
      </c>
      <c r="AR2490" s="82">
        <f t="shared" si="194"/>
        <v>25</v>
      </c>
      <c r="AS2490" s="83">
        <f t="shared" si="195"/>
        <v>8</v>
      </c>
      <c r="AT2490" s="84">
        <f t="shared" si="196"/>
        <v>2017</v>
      </c>
      <c r="AU2490" s="88">
        <f>DATE(2017,8,29)</f>
        <v>42976</v>
      </c>
      <c r="AV2490" s="88">
        <f>DATE(2017,8,25)</f>
        <v>42972</v>
      </c>
      <c r="AW2490" s="87">
        <f t="shared" si="193"/>
        <v>4</v>
      </c>
      <c r="AX2490" s="88">
        <f>DATE(2017,8,25)</f>
        <v>42972</v>
      </c>
      <c r="AY2490" s="83">
        <f>MONTH(AX2490)</f>
        <v>8</v>
      </c>
      <c r="AZ2490" s="84">
        <f>YEAR(AX2490)</f>
        <v>2017</v>
      </c>
      <c r="BA2490" s="88">
        <f>DATE(2017,8,25)</f>
        <v>42972</v>
      </c>
      <c r="BB2490" s="86"/>
    </row>
    <row r="2491" spans="1:54" ht="36.75" customHeight="1">
      <c r="A2491" s="30"/>
      <c r="B2491" s="30" t="s">
        <v>55</v>
      </c>
      <c r="C2491" s="69" t="str">
        <f t="shared" si="192"/>
        <v>Closed</v>
      </c>
      <c r="D2491" s="27" t="s">
        <v>14042</v>
      </c>
      <c r="E2491" s="29" t="s">
        <v>14043</v>
      </c>
      <c r="F2491" s="30" t="s">
        <v>835</v>
      </c>
      <c r="G2491" s="89">
        <f>DATE(2017,8,25)</f>
        <v>42972</v>
      </c>
      <c r="H2491" s="90">
        <v>1.6145833333333335</v>
      </c>
      <c r="I2491" s="30" t="s">
        <v>104</v>
      </c>
      <c r="J2491" s="89" t="s">
        <v>14044</v>
      </c>
      <c r="K2491" s="30" t="s">
        <v>837</v>
      </c>
      <c r="L2491" s="30" t="s">
        <v>11583</v>
      </c>
      <c r="M2491" s="30" t="s">
        <v>63</v>
      </c>
      <c r="N2491" s="30" t="s">
        <v>99</v>
      </c>
      <c r="O2491" s="30" t="s">
        <v>77</v>
      </c>
      <c r="P2491" s="89" t="s">
        <v>65</v>
      </c>
      <c r="Q2491" s="89" t="s">
        <v>2162</v>
      </c>
      <c r="R2491" s="89" t="s">
        <v>840</v>
      </c>
      <c r="S2491" s="30">
        <v>0</v>
      </c>
      <c r="T2491" s="233">
        <v>0</v>
      </c>
      <c r="U2491" s="30">
        <v>0</v>
      </c>
      <c r="V2491" s="233">
        <v>0</v>
      </c>
      <c r="W2491" s="30">
        <v>0</v>
      </c>
      <c r="X2491" s="30">
        <v>0</v>
      </c>
      <c r="Y2491" s="30">
        <v>0</v>
      </c>
      <c r="Z2491" s="233">
        <v>0</v>
      </c>
      <c r="AA2491" s="30">
        <v>0</v>
      </c>
      <c r="AB2491" s="30">
        <v>0</v>
      </c>
      <c r="AC2491" s="30">
        <v>0</v>
      </c>
      <c r="AD2491" s="30">
        <v>0</v>
      </c>
      <c r="AE2491" s="89" t="s">
        <v>92</v>
      </c>
      <c r="AF2491" s="89"/>
      <c r="AG2491" s="89" t="s">
        <v>133</v>
      </c>
      <c r="AH2491" s="72">
        <v>42972</v>
      </c>
      <c r="AI2491" s="30">
        <v>0</v>
      </c>
      <c r="AJ2491" s="89" t="s">
        <v>14045</v>
      </c>
      <c r="AK2491" s="89" t="s">
        <v>68</v>
      </c>
      <c r="AL2491" s="91">
        <v>42976</v>
      </c>
      <c r="AM2491" s="91"/>
      <c r="AN2491" s="91"/>
      <c r="AO2491" s="91"/>
      <c r="AP2491" s="73" t="e">
        <f>MID(VLOOKUP(K2491,#REF!,2,FALSE),1,2)</f>
        <v>#REF!</v>
      </c>
      <c r="AQ2491" s="89">
        <f>DATE(2017,8,27)</f>
        <v>42974</v>
      </c>
      <c r="AR2491" s="82">
        <f t="shared" ref="AR2491:AR2522" si="197">DAY(AQ2491)</f>
        <v>27</v>
      </c>
      <c r="AS2491" s="83">
        <f t="shared" ref="AS2491:AS2522" si="198">MONTH(AQ2491)</f>
        <v>8</v>
      </c>
      <c r="AT2491" s="84">
        <f t="shared" ref="AT2491:AT2522" si="199">YEAR(AQ2491)</f>
        <v>2017</v>
      </c>
      <c r="AU2491" s="88">
        <f>DATE(2017,8,29)</f>
        <v>42976</v>
      </c>
      <c r="AV2491" s="88">
        <f>DATE(2017,8,27)</f>
        <v>42974</v>
      </c>
      <c r="AW2491" s="87">
        <f t="shared" si="193"/>
        <v>2</v>
      </c>
      <c r="AX2491" s="106"/>
      <c r="AY2491" s="83"/>
      <c r="AZ2491" s="84"/>
      <c r="BA2491" s="106"/>
      <c r="BB2491" s="106"/>
    </row>
    <row r="2492" spans="1:54" ht="36.75" customHeight="1">
      <c r="A2492" s="30"/>
      <c r="B2492" s="30" t="s">
        <v>55</v>
      </c>
      <c r="C2492" s="69" t="str">
        <f t="shared" si="192"/>
        <v>Closed</v>
      </c>
      <c r="D2492" s="27" t="s">
        <v>14046</v>
      </c>
      <c r="E2492" s="29" t="s">
        <v>14047</v>
      </c>
      <c r="F2492" s="30" t="s">
        <v>423</v>
      </c>
      <c r="G2492" s="89">
        <f>DATE(2017,8,27)</f>
        <v>42974</v>
      </c>
      <c r="H2492" s="90">
        <v>1.6520833333333333</v>
      </c>
      <c r="I2492" s="30" t="s">
        <v>156</v>
      </c>
      <c r="J2492" s="89" t="s">
        <v>14048</v>
      </c>
      <c r="K2492" s="30" t="s">
        <v>425</v>
      </c>
      <c r="L2492" s="30" t="s">
        <v>14049</v>
      </c>
      <c r="M2492" s="30" t="s">
        <v>63</v>
      </c>
      <c r="N2492" s="30" t="s">
        <v>99</v>
      </c>
      <c r="O2492" s="30" t="s">
        <v>64</v>
      </c>
      <c r="P2492" s="89" t="s">
        <v>165</v>
      </c>
      <c r="Q2492" s="89" t="s">
        <v>4551</v>
      </c>
      <c r="R2492" s="89" t="s">
        <v>3103</v>
      </c>
      <c r="S2492" s="30">
        <v>0</v>
      </c>
      <c r="T2492" s="233">
        <v>0</v>
      </c>
      <c r="U2492" s="30">
        <v>0</v>
      </c>
      <c r="V2492" s="233">
        <v>0</v>
      </c>
      <c r="W2492" s="30">
        <v>0</v>
      </c>
      <c r="X2492" s="30">
        <v>0</v>
      </c>
      <c r="Y2492" s="30">
        <v>0</v>
      </c>
      <c r="Z2492" s="233">
        <v>0</v>
      </c>
      <c r="AA2492" s="30">
        <v>0</v>
      </c>
      <c r="AB2492" s="30">
        <v>0</v>
      </c>
      <c r="AC2492" s="30">
        <v>0</v>
      </c>
      <c r="AD2492" s="30">
        <v>0</v>
      </c>
      <c r="AE2492" s="89" t="s">
        <v>92</v>
      </c>
      <c r="AF2492" s="89"/>
      <c r="AG2492" s="89" t="s">
        <v>352</v>
      </c>
      <c r="AH2492" s="72">
        <v>42974</v>
      </c>
      <c r="AI2492" s="30">
        <v>0</v>
      </c>
      <c r="AJ2492" s="89" t="s">
        <v>14050</v>
      </c>
      <c r="AK2492" s="89" t="s">
        <v>14051</v>
      </c>
      <c r="AL2492" s="91">
        <v>42976</v>
      </c>
      <c r="AM2492" s="91"/>
      <c r="AN2492" s="91"/>
      <c r="AO2492" s="91"/>
      <c r="AP2492" s="73" t="e">
        <f>MID(VLOOKUP(K2492,#REF!,2,FALSE),1,2)</f>
        <v>#REF!</v>
      </c>
      <c r="AQ2492" s="89">
        <f>DATE(2017,8,30)</f>
        <v>42977</v>
      </c>
      <c r="AR2492" s="82">
        <f t="shared" si="197"/>
        <v>30</v>
      </c>
      <c r="AS2492" s="83">
        <f t="shared" si="198"/>
        <v>8</v>
      </c>
      <c r="AT2492" s="84">
        <f t="shared" si="199"/>
        <v>2017</v>
      </c>
      <c r="AU2492" s="88">
        <f>DATE(2017,9,6)</f>
        <v>42984</v>
      </c>
      <c r="AV2492" s="88">
        <f>DATE(2017,9,5)</f>
        <v>42983</v>
      </c>
      <c r="AW2492" s="87">
        <f t="shared" si="193"/>
        <v>1</v>
      </c>
      <c r="AX2492" s="88">
        <f>DATE(2017,9,6)</f>
        <v>42984</v>
      </c>
      <c r="AY2492" s="83">
        <f>MONTH(AX2492)</f>
        <v>9</v>
      </c>
      <c r="AZ2492" s="84">
        <f>YEAR(AX2492)</f>
        <v>2017</v>
      </c>
      <c r="BA2492" s="88">
        <f>DATE(2017,9,6)</f>
        <v>42984</v>
      </c>
      <c r="BB2492" s="86"/>
    </row>
    <row r="2493" spans="1:54" ht="36.75" customHeight="1">
      <c r="A2493" s="30"/>
      <c r="B2493" s="30" t="s">
        <v>55</v>
      </c>
      <c r="C2493" s="69" t="str">
        <f t="shared" si="192"/>
        <v>Closed</v>
      </c>
      <c r="D2493" s="27" t="s">
        <v>14052</v>
      </c>
      <c r="E2493" s="29" t="s">
        <v>14053</v>
      </c>
      <c r="F2493" s="30" t="s">
        <v>2336</v>
      </c>
      <c r="G2493" s="89">
        <f>DATE(2017,8,30)</f>
        <v>42977</v>
      </c>
      <c r="H2493" s="90">
        <v>1.9118055555555555</v>
      </c>
      <c r="I2493" s="30" t="s">
        <v>198</v>
      </c>
      <c r="J2493" s="89" t="s">
        <v>14054</v>
      </c>
      <c r="K2493" s="30" t="s">
        <v>2338</v>
      </c>
      <c r="L2493" s="30" t="s">
        <v>14055</v>
      </c>
      <c r="M2493" s="30" t="s">
        <v>63</v>
      </c>
      <c r="N2493" s="30" t="s">
        <v>142</v>
      </c>
      <c r="O2493" s="30" t="s">
        <v>77</v>
      </c>
      <c r="P2493" s="89" t="s">
        <v>10154</v>
      </c>
      <c r="Q2493" s="89" t="s">
        <v>14056</v>
      </c>
      <c r="R2493" s="89" t="s">
        <v>2341</v>
      </c>
      <c r="S2493" s="30">
        <v>0</v>
      </c>
      <c r="T2493" s="233">
        <v>0</v>
      </c>
      <c r="U2493" s="30">
        <v>0</v>
      </c>
      <c r="V2493" s="233">
        <v>0</v>
      </c>
      <c r="W2493" s="30">
        <v>0</v>
      </c>
      <c r="X2493" s="30">
        <v>0</v>
      </c>
      <c r="Y2493" s="30">
        <v>10</v>
      </c>
      <c r="Z2493" s="233">
        <v>0</v>
      </c>
      <c r="AA2493" s="30">
        <v>0</v>
      </c>
      <c r="AB2493" s="30">
        <v>0</v>
      </c>
      <c r="AC2493" s="30">
        <v>0</v>
      </c>
      <c r="AD2493" s="30">
        <v>10</v>
      </c>
      <c r="AE2493" s="89" t="s">
        <v>394</v>
      </c>
      <c r="AF2493" s="89"/>
      <c r="AG2493" s="89" t="s">
        <v>133</v>
      </c>
      <c r="AH2493" s="72">
        <v>42983</v>
      </c>
      <c r="AI2493" s="30">
        <v>10</v>
      </c>
      <c r="AJ2493" s="89" t="s">
        <v>14057</v>
      </c>
      <c r="AK2493" s="89" t="s">
        <v>14058</v>
      </c>
      <c r="AL2493" s="91">
        <v>42984</v>
      </c>
      <c r="AM2493" s="91"/>
      <c r="AN2493" s="91"/>
      <c r="AO2493" s="91"/>
      <c r="AP2493" s="73" t="e">
        <f>MID(VLOOKUP(K2493,#REF!,2,FALSE),1,2)</f>
        <v>#REF!</v>
      </c>
      <c r="AQ2493" s="89">
        <f>DATE(2017,8,31)</f>
        <v>42978</v>
      </c>
      <c r="AR2493" s="82">
        <f t="shared" si="197"/>
        <v>31</v>
      </c>
      <c r="AS2493" s="83">
        <f t="shared" si="198"/>
        <v>8</v>
      </c>
      <c r="AT2493" s="84">
        <f t="shared" si="199"/>
        <v>2017</v>
      </c>
      <c r="AU2493" s="88">
        <f>DATE(2017,9,1)</f>
        <v>42979</v>
      </c>
      <c r="AV2493" s="88">
        <f>DATE(2017,8,31)</f>
        <v>42978</v>
      </c>
      <c r="AW2493" s="87">
        <f t="shared" si="193"/>
        <v>1</v>
      </c>
      <c r="AX2493" s="106"/>
      <c r="AY2493" s="83"/>
      <c r="AZ2493" s="84"/>
      <c r="BA2493" s="106"/>
      <c r="BB2493" s="106"/>
    </row>
    <row r="2494" spans="1:54" ht="36.75" customHeight="1">
      <c r="A2494" s="30"/>
      <c r="B2494" s="30" t="s">
        <v>55</v>
      </c>
      <c r="C2494" s="69" t="str">
        <f t="shared" si="192"/>
        <v>Closed</v>
      </c>
      <c r="D2494" s="27" t="s">
        <v>14059</v>
      </c>
      <c r="E2494" s="29" t="s">
        <v>14060</v>
      </c>
      <c r="F2494" s="30" t="s">
        <v>423</v>
      </c>
      <c r="G2494" s="89">
        <f>DATE(2017,8,31)</f>
        <v>42978</v>
      </c>
      <c r="H2494" s="90">
        <v>1.0666666666666667</v>
      </c>
      <c r="I2494" s="30" t="s">
        <v>73</v>
      </c>
      <c r="J2494" s="89" t="s">
        <v>14061</v>
      </c>
      <c r="K2494" s="30" t="s">
        <v>425</v>
      </c>
      <c r="L2494" s="30" t="s">
        <v>14062</v>
      </c>
      <c r="M2494" s="30" t="s">
        <v>63</v>
      </c>
      <c r="N2494" s="30" t="s">
        <v>99</v>
      </c>
      <c r="O2494" s="30" t="s">
        <v>77</v>
      </c>
      <c r="P2494" s="89" t="s">
        <v>78</v>
      </c>
      <c r="Q2494" s="89" t="s">
        <v>2582</v>
      </c>
      <c r="R2494" s="89" t="s">
        <v>3103</v>
      </c>
      <c r="S2494" s="30">
        <v>0</v>
      </c>
      <c r="T2494" s="233">
        <v>0</v>
      </c>
      <c r="U2494" s="30">
        <v>0</v>
      </c>
      <c r="V2494" s="233">
        <v>0</v>
      </c>
      <c r="W2494" s="30">
        <v>0</v>
      </c>
      <c r="X2494" s="30">
        <v>0</v>
      </c>
      <c r="Y2494" s="30">
        <v>0</v>
      </c>
      <c r="Z2494" s="233">
        <v>0</v>
      </c>
      <c r="AA2494" s="30">
        <v>0</v>
      </c>
      <c r="AB2494" s="30">
        <v>0</v>
      </c>
      <c r="AC2494" s="30">
        <v>0</v>
      </c>
      <c r="AD2494" s="30">
        <v>0</v>
      </c>
      <c r="AE2494" s="89" t="s">
        <v>92</v>
      </c>
      <c r="AF2494" s="89"/>
      <c r="AG2494" s="89" t="s">
        <v>352</v>
      </c>
      <c r="AH2494" s="72">
        <v>42978</v>
      </c>
      <c r="AI2494" s="30">
        <v>1</v>
      </c>
      <c r="AJ2494" s="89" t="s">
        <v>14063</v>
      </c>
      <c r="AK2494" s="89" t="s">
        <v>14064</v>
      </c>
      <c r="AL2494" s="91">
        <v>42979</v>
      </c>
      <c r="AM2494" s="91"/>
      <c r="AN2494" s="91"/>
      <c r="AO2494" s="91"/>
      <c r="AP2494" s="73" t="e">
        <f>MID(VLOOKUP(K2494,#REF!,2,FALSE),1,2)</f>
        <v>#REF!</v>
      </c>
      <c r="AQ2494" s="89">
        <f>DATE(2017,9,2)</f>
        <v>42980</v>
      </c>
      <c r="AR2494" s="82">
        <f t="shared" si="197"/>
        <v>2</v>
      </c>
      <c r="AS2494" s="83">
        <f t="shared" si="198"/>
        <v>9</v>
      </c>
      <c r="AT2494" s="84">
        <f t="shared" si="199"/>
        <v>2017</v>
      </c>
      <c r="AU2494" s="88">
        <f>DATE(2017,9,4)</f>
        <v>42982</v>
      </c>
      <c r="AV2494" s="88">
        <f>DATE(2017,9,4)</f>
        <v>42982</v>
      </c>
      <c r="AW2494" s="87">
        <f t="shared" si="193"/>
        <v>0</v>
      </c>
      <c r="AX2494" s="88">
        <f>DATE(2017,9,4)</f>
        <v>42982</v>
      </c>
      <c r="AY2494" s="83">
        <f>MONTH(AX2494)</f>
        <v>9</v>
      </c>
      <c r="AZ2494" s="84">
        <f>YEAR(AX2494)</f>
        <v>2017</v>
      </c>
      <c r="BA2494" s="88">
        <f>DATE(2017,9,2)</f>
        <v>42980</v>
      </c>
      <c r="BB2494" s="86"/>
    </row>
    <row r="2495" spans="1:54" ht="36.75" customHeight="1">
      <c r="A2495" s="30"/>
      <c r="B2495" s="30" t="s">
        <v>55</v>
      </c>
      <c r="C2495" s="69" t="str">
        <f t="shared" si="192"/>
        <v>Closed</v>
      </c>
      <c r="D2495" s="27" t="s">
        <v>14065</v>
      </c>
      <c r="E2495" s="29" t="s">
        <v>14066</v>
      </c>
      <c r="F2495" s="30" t="s">
        <v>1572</v>
      </c>
      <c r="G2495" s="89">
        <f>DATE(2017,9,2)</f>
        <v>42980</v>
      </c>
      <c r="H2495" s="90">
        <v>1.3409722222222222</v>
      </c>
      <c r="I2495" s="30" t="s">
        <v>73</v>
      </c>
      <c r="J2495" s="89" t="s">
        <v>14067</v>
      </c>
      <c r="K2495" s="30" t="s">
        <v>1574</v>
      </c>
      <c r="L2495" s="30" t="s">
        <v>14068</v>
      </c>
      <c r="M2495" s="30" t="s">
        <v>63</v>
      </c>
      <c r="N2495" s="30" t="s">
        <v>99</v>
      </c>
      <c r="O2495" s="30" t="s">
        <v>77</v>
      </c>
      <c r="P2495" s="89" t="s">
        <v>6941</v>
      </c>
      <c r="Q2495" s="89" t="s">
        <v>2413</v>
      </c>
      <c r="R2495" s="89" t="s">
        <v>6434</v>
      </c>
      <c r="S2495" s="30">
        <v>0</v>
      </c>
      <c r="T2495" s="233">
        <v>0</v>
      </c>
      <c r="U2495" s="30">
        <v>0</v>
      </c>
      <c r="V2495" s="233">
        <v>0</v>
      </c>
      <c r="W2495" s="30">
        <v>0</v>
      </c>
      <c r="X2495" s="30">
        <v>0</v>
      </c>
      <c r="Y2495" s="30">
        <v>0</v>
      </c>
      <c r="Z2495" s="233">
        <v>0</v>
      </c>
      <c r="AA2495" s="30">
        <v>0</v>
      </c>
      <c r="AB2495" s="30">
        <v>0</v>
      </c>
      <c r="AC2495" s="30">
        <v>0</v>
      </c>
      <c r="AD2495" s="30">
        <v>0</v>
      </c>
      <c r="AE2495" s="89" t="s">
        <v>92</v>
      </c>
      <c r="AF2495" s="89"/>
      <c r="AG2495" s="89" t="s">
        <v>133</v>
      </c>
      <c r="AH2495" s="72">
        <v>42982</v>
      </c>
      <c r="AI2495" s="30">
        <v>1</v>
      </c>
      <c r="AJ2495" s="89" t="s">
        <v>14069</v>
      </c>
      <c r="AK2495" s="89" t="s">
        <v>14070</v>
      </c>
      <c r="AL2495" s="91">
        <v>42982</v>
      </c>
      <c r="AM2495" s="91"/>
      <c r="AN2495" s="91"/>
      <c r="AO2495" s="91"/>
      <c r="AP2495" s="73" t="e">
        <f>MID(VLOOKUP(K2495,#REF!,2,FALSE),1,2)</f>
        <v>#REF!</v>
      </c>
      <c r="AQ2495" s="89">
        <f>DATE(2017,9,5)</f>
        <v>42983</v>
      </c>
      <c r="AR2495" s="82">
        <f t="shared" si="197"/>
        <v>5</v>
      </c>
      <c r="AS2495" s="84">
        <f t="shared" si="198"/>
        <v>9</v>
      </c>
      <c r="AT2495" s="104">
        <f t="shared" si="199"/>
        <v>2017</v>
      </c>
      <c r="AU2495" s="86"/>
      <c r="AV2495" s="87"/>
      <c r="AW2495" s="86"/>
      <c r="AX2495" s="82"/>
      <c r="AY2495" s="84"/>
      <c r="AZ2495" s="104"/>
      <c r="BA2495" s="86"/>
      <c r="BB2495" s="86"/>
    </row>
    <row r="2496" spans="1:54" ht="36.75" customHeight="1">
      <c r="A2496" s="30"/>
      <c r="B2496" s="30" t="s">
        <v>55</v>
      </c>
      <c r="C2496" s="69" t="str">
        <f t="shared" si="192"/>
        <v>Closed</v>
      </c>
      <c r="D2496" s="27" t="s">
        <v>14071</v>
      </c>
      <c r="E2496" s="29" t="s">
        <v>14072</v>
      </c>
      <c r="F2496" s="30" t="s">
        <v>835</v>
      </c>
      <c r="G2496" s="89">
        <f>DATE(2017,9,5)</f>
        <v>42983</v>
      </c>
      <c r="H2496" s="90">
        <v>1.5520833333333335</v>
      </c>
      <c r="I2496" s="30" t="s">
        <v>104</v>
      </c>
      <c r="J2496" s="89" t="s">
        <v>14073</v>
      </c>
      <c r="K2496" s="30" t="s">
        <v>837</v>
      </c>
      <c r="L2496" s="30" t="s">
        <v>11755</v>
      </c>
      <c r="M2496" s="30" t="s">
        <v>63</v>
      </c>
      <c r="N2496" s="30" t="s">
        <v>99</v>
      </c>
      <c r="O2496" s="30" t="s">
        <v>77</v>
      </c>
      <c r="P2496" s="89" t="s">
        <v>78</v>
      </c>
      <c r="Q2496" s="89" t="s">
        <v>12787</v>
      </c>
      <c r="R2496" s="89" t="s">
        <v>840</v>
      </c>
      <c r="S2496" s="30">
        <v>0</v>
      </c>
      <c r="T2496" s="233">
        <v>0</v>
      </c>
      <c r="U2496" s="30">
        <v>0</v>
      </c>
      <c r="V2496" s="233">
        <v>0</v>
      </c>
      <c r="W2496" s="30">
        <v>0</v>
      </c>
      <c r="X2496" s="30">
        <v>0</v>
      </c>
      <c r="Y2496" s="30">
        <v>0</v>
      </c>
      <c r="Z2496" s="233">
        <v>0</v>
      </c>
      <c r="AA2496" s="30">
        <v>0</v>
      </c>
      <c r="AB2496" s="30">
        <v>0</v>
      </c>
      <c r="AC2496" s="30">
        <v>0</v>
      </c>
      <c r="AD2496" s="30">
        <v>0</v>
      </c>
      <c r="AE2496" s="89" t="s">
        <v>92</v>
      </c>
      <c r="AF2496" s="89"/>
      <c r="AG2496" s="89" t="s">
        <v>11890</v>
      </c>
      <c r="AH2496" s="72">
        <v>42864</v>
      </c>
      <c r="AI2496" s="30">
        <v>0</v>
      </c>
      <c r="AJ2496" s="89" t="s">
        <v>14074</v>
      </c>
      <c r="AK2496" s="89" t="s">
        <v>14075</v>
      </c>
      <c r="AL2496" s="91">
        <v>43097</v>
      </c>
      <c r="AM2496" s="91"/>
      <c r="AN2496" s="91"/>
      <c r="AO2496" s="91"/>
      <c r="AP2496" s="73" t="e">
        <f>MID(VLOOKUP(K2496,#REF!,2,FALSE),1,2)</f>
        <v>#REF!</v>
      </c>
      <c r="AQ2496" s="89">
        <f>DATE(2017,9,6)</f>
        <v>42984</v>
      </c>
      <c r="AR2496" s="82">
        <f t="shared" si="197"/>
        <v>6</v>
      </c>
      <c r="AS2496" s="83">
        <f t="shared" si="198"/>
        <v>9</v>
      </c>
      <c r="AT2496" s="84">
        <f t="shared" si="199"/>
        <v>2017</v>
      </c>
      <c r="AU2496" s="88">
        <f>DATE(2017,9,13)</f>
        <v>42991</v>
      </c>
      <c r="AV2496" s="88">
        <f>DATE(2017,9,12)</f>
        <v>42990</v>
      </c>
      <c r="AW2496" s="87">
        <f t="shared" ref="AW2496:AW2527" si="200">AU2496-AV2496</f>
        <v>1</v>
      </c>
      <c r="AX2496" s="86"/>
      <c r="AY2496" s="83"/>
      <c r="AZ2496" s="84"/>
      <c r="BA2496" s="86"/>
      <c r="BB2496" s="86" t="s">
        <v>13115</v>
      </c>
    </row>
    <row r="2497" spans="1:54" ht="36.75" customHeight="1">
      <c r="A2497" s="30"/>
      <c r="B2497" s="30" t="s">
        <v>55</v>
      </c>
      <c r="C2497" s="69" t="str">
        <f t="shared" si="192"/>
        <v>Closed</v>
      </c>
      <c r="D2497" s="27" t="s">
        <v>14076</v>
      </c>
      <c r="E2497" s="29" t="s">
        <v>14077</v>
      </c>
      <c r="F2497" s="30" t="s">
        <v>423</v>
      </c>
      <c r="G2497" s="89">
        <f>DATE(2017,9,6)</f>
        <v>42984</v>
      </c>
      <c r="H2497" s="90">
        <v>1.5180555555555557</v>
      </c>
      <c r="I2497" s="30" t="s">
        <v>278</v>
      </c>
      <c r="J2497" s="89" t="s">
        <v>14078</v>
      </c>
      <c r="K2497" s="30" t="s">
        <v>425</v>
      </c>
      <c r="L2497" s="30" t="s">
        <v>14079</v>
      </c>
      <c r="M2497" s="30" t="s">
        <v>63</v>
      </c>
      <c r="N2497" s="30" t="s">
        <v>99</v>
      </c>
      <c r="O2497" s="30" t="s">
        <v>64</v>
      </c>
      <c r="P2497" s="89" t="s">
        <v>65</v>
      </c>
      <c r="Q2497" s="89" t="s">
        <v>4551</v>
      </c>
      <c r="R2497" s="89" t="s">
        <v>3103</v>
      </c>
      <c r="S2497" s="30">
        <v>0</v>
      </c>
      <c r="T2497" s="233">
        <v>0</v>
      </c>
      <c r="U2497" s="30">
        <v>0</v>
      </c>
      <c r="V2497" s="233">
        <v>0</v>
      </c>
      <c r="W2497" s="30">
        <v>0</v>
      </c>
      <c r="X2497" s="30">
        <v>0</v>
      </c>
      <c r="Y2497" s="30">
        <v>0</v>
      </c>
      <c r="Z2497" s="233">
        <v>0</v>
      </c>
      <c r="AA2497" s="30">
        <v>0</v>
      </c>
      <c r="AB2497" s="30">
        <v>0</v>
      </c>
      <c r="AC2497" s="30">
        <v>0</v>
      </c>
      <c r="AD2497" s="30">
        <v>0</v>
      </c>
      <c r="AE2497" s="89" t="s">
        <v>92</v>
      </c>
      <c r="AF2497" s="89"/>
      <c r="AG2497" s="89" t="s">
        <v>874</v>
      </c>
      <c r="AH2497" s="72">
        <v>43078</v>
      </c>
      <c r="AI2497" s="30">
        <v>0</v>
      </c>
      <c r="AJ2497" s="89" t="s">
        <v>14080</v>
      </c>
      <c r="AK2497" s="89" t="s">
        <v>14081</v>
      </c>
      <c r="AL2497" s="91">
        <v>42991</v>
      </c>
      <c r="AM2497" s="91"/>
      <c r="AN2497" s="91"/>
      <c r="AO2497" s="91"/>
      <c r="AP2497" s="73" t="e">
        <f>MID(VLOOKUP(K2497,#REF!,2,FALSE),1,2)</f>
        <v>#REF!</v>
      </c>
      <c r="AQ2497" s="89">
        <f>DATE(2017,9,11)</f>
        <v>42989</v>
      </c>
      <c r="AR2497" s="82">
        <f t="shared" si="197"/>
        <v>11</v>
      </c>
      <c r="AS2497" s="83">
        <f t="shared" si="198"/>
        <v>9</v>
      </c>
      <c r="AT2497" s="84">
        <f t="shared" si="199"/>
        <v>2017</v>
      </c>
      <c r="AU2497" s="88">
        <f>DATE(2017,9,12)</f>
        <v>42990</v>
      </c>
      <c r="AV2497" s="88">
        <f>DATE(2017,9,11)</f>
        <v>42989</v>
      </c>
      <c r="AW2497" s="87">
        <f t="shared" si="200"/>
        <v>1</v>
      </c>
      <c r="AX2497" s="86"/>
      <c r="AY2497" s="83"/>
      <c r="AZ2497" s="84"/>
      <c r="BA2497" s="86"/>
      <c r="BB2497" s="86" t="s">
        <v>13115</v>
      </c>
    </row>
    <row r="2498" spans="1:54" ht="36.75" customHeight="1">
      <c r="A2498" s="30"/>
      <c r="B2498" s="30" t="s">
        <v>55</v>
      </c>
      <c r="C2498" s="69" t="str">
        <f t="shared" ref="C2498:C2561" si="201">IF(B2498="Notification","Open",IF(B2498="Interim Statement","In progress","Closed"))</f>
        <v>Closed</v>
      </c>
      <c r="D2498" s="27" t="s">
        <v>14082</v>
      </c>
      <c r="E2498" s="29" t="s">
        <v>14083</v>
      </c>
      <c r="F2498" s="30" t="s">
        <v>423</v>
      </c>
      <c r="G2498" s="89">
        <f>DATE(2017,9,11)</f>
        <v>42989</v>
      </c>
      <c r="H2498" s="90">
        <v>1.3506944444444444</v>
      </c>
      <c r="I2498" s="30" t="s">
        <v>73</v>
      </c>
      <c r="J2498" s="89" t="s">
        <v>14084</v>
      </c>
      <c r="K2498" s="30" t="s">
        <v>425</v>
      </c>
      <c r="L2498" s="30" t="s">
        <v>14085</v>
      </c>
      <c r="M2498" s="30" t="s">
        <v>63</v>
      </c>
      <c r="N2498" s="30" t="s">
        <v>99</v>
      </c>
      <c r="O2498" s="30" t="s">
        <v>6875</v>
      </c>
      <c r="P2498" s="89" t="s">
        <v>91</v>
      </c>
      <c r="Q2498" s="89" t="s">
        <v>14086</v>
      </c>
      <c r="R2498" s="89" t="s">
        <v>14087</v>
      </c>
      <c r="S2498" s="30">
        <v>0</v>
      </c>
      <c r="T2498" s="233">
        <v>0</v>
      </c>
      <c r="U2498" s="30">
        <v>0</v>
      </c>
      <c r="V2498" s="233">
        <v>0</v>
      </c>
      <c r="W2498" s="30">
        <v>0</v>
      </c>
      <c r="X2498" s="30">
        <v>0</v>
      </c>
      <c r="Y2498" s="30">
        <v>0</v>
      </c>
      <c r="Z2498" s="233">
        <v>0</v>
      </c>
      <c r="AA2498" s="30">
        <v>0</v>
      </c>
      <c r="AB2498" s="30">
        <v>0</v>
      </c>
      <c r="AC2498" s="30">
        <v>0</v>
      </c>
      <c r="AD2498" s="30">
        <v>0</v>
      </c>
      <c r="AE2498" s="89" t="s">
        <v>92</v>
      </c>
      <c r="AF2498" s="89"/>
      <c r="AG2498" s="89" t="s">
        <v>352</v>
      </c>
      <c r="AH2498" s="72">
        <v>42989</v>
      </c>
      <c r="AI2498" s="30">
        <v>0</v>
      </c>
      <c r="AJ2498" s="89" t="s">
        <v>14088</v>
      </c>
      <c r="AK2498" s="89" t="s">
        <v>14089</v>
      </c>
      <c r="AL2498" s="91">
        <v>42990</v>
      </c>
      <c r="AM2498" s="91"/>
      <c r="AN2498" s="91"/>
      <c r="AO2498" s="91"/>
      <c r="AP2498" s="73" t="e">
        <f>MID(VLOOKUP(K2498,#REF!,2,FALSE),1,2)</f>
        <v>#REF!</v>
      </c>
      <c r="AQ2498" s="89">
        <f>DATE(2017,9,11)</f>
        <v>42989</v>
      </c>
      <c r="AR2498" s="82">
        <f t="shared" si="197"/>
        <v>11</v>
      </c>
      <c r="AS2498" s="83">
        <f t="shared" si="198"/>
        <v>9</v>
      </c>
      <c r="AT2498" s="84">
        <f t="shared" si="199"/>
        <v>2017</v>
      </c>
      <c r="AU2498" s="88">
        <f>DATE(2017,9,27)</f>
        <v>43005</v>
      </c>
      <c r="AV2498" s="88">
        <f>DATE(2017,9,18)</f>
        <v>42996</v>
      </c>
      <c r="AW2498" s="87">
        <f t="shared" si="200"/>
        <v>9</v>
      </c>
      <c r="AX2498" s="88">
        <f>DATE(2017,9,27)</f>
        <v>43005</v>
      </c>
      <c r="AY2498" s="83">
        <f>MONTH(AX2498)</f>
        <v>9</v>
      </c>
      <c r="AZ2498" s="84">
        <f>YEAR(AX2498)</f>
        <v>2017</v>
      </c>
      <c r="BA2498" s="88">
        <f>DATE(2017,9,13)</f>
        <v>42991</v>
      </c>
      <c r="BB2498" s="86"/>
    </row>
    <row r="2499" spans="1:54" ht="36.75" customHeight="1">
      <c r="A2499" s="30"/>
      <c r="B2499" s="30" t="s">
        <v>55</v>
      </c>
      <c r="C2499" s="69" t="str">
        <f t="shared" si="201"/>
        <v>Closed</v>
      </c>
      <c r="D2499" s="27" t="s">
        <v>14090</v>
      </c>
      <c r="E2499" s="29" t="s">
        <v>14091</v>
      </c>
      <c r="F2499" s="30" t="s">
        <v>377</v>
      </c>
      <c r="G2499" s="89">
        <f>DATE(2017,9,11)</f>
        <v>42989</v>
      </c>
      <c r="H2499" s="90">
        <v>1.7930555555555556</v>
      </c>
      <c r="I2499" s="30" t="s">
        <v>2264</v>
      </c>
      <c r="J2499" s="89" t="s">
        <v>14092</v>
      </c>
      <c r="K2499" s="30" t="s">
        <v>379</v>
      </c>
      <c r="L2499" s="30" t="s">
        <v>14093</v>
      </c>
      <c r="M2499" s="30" t="s">
        <v>63</v>
      </c>
      <c r="N2499" s="30" t="s">
        <v>99</v>
      </c>
      <c r="O2499" s="30" t="s">
        <v>64</v>
      </c>
      <c r="P2499" s="89" t="s">
        <v>165</v>
      </c>
      <c r="Q2499" s="89" t="s">
        <v>13755</v>
      </c>
      <c r="R2499" s="89" t="s">
        <v>13755</v>
      </c>
      <c r="S2499" s="30">
        <v>0</v>
      </c>
      <c r="T2499" s="233">
        <v>0</v>
      </c>
      <c r="U2499" s="30">
        <v>0</v>
      </c>
      <c r="V2499" s="233">
        <v>0</v>
      </c>
      <c r="W2499" s="30">
        <v>0</v>
      </c>
      <c r="X2499" s="30">
        <v>0</v>
      </c>
      <c r="Y2499" s="30">
        <v>0</v>
      </c>
      <c r="Z2499" s="233">
        <v>0</v>
      </c>
      <c r="AA2499" s="30">
        <v>0</v>
      </c>
      <c r="AB2499" s="30">
        <v>0</v>
      </c>
      <c r="AC2499" s="30">
        <v>0</v>
      </c>
      <c r="AD2499" s="30">
        <v>0</v>
      </c>
      <c r="AE2499" s="89" t="s">
        <v>92</v>
      </c>
      <c r="AF2499" s="89"/>
      <c r="AG2499" s="89" t="s">
        <v>14094</v>
      </c>
      <c r="AH2499" s="72">
        <v>42996</v>
      </c>
      <c r="AI2499" s="30">
        <v>5</v>
      </c>
      <c r="AJ2499" s="89" t="s">
        <v>14095</v>
      </c>
      <c r="AK2499" s="89" t="s">
        <v>14096</v>
      </c>
      <c r="AL2499" s="91">
        <v>43005</v>
      </c>
      <c r="AM2499" s="91"/>
      <c r="AN2499" s="91"/>
      <c r="AO2499" s="91"/>
      <c r="AP2499" s="73" t="e">
        <f>MID(VLOOKUP(K2499,#REF!,2,FALSE),1,2)</f>
        <v>#REF!</v>
      </c>
      <c r="AQ2499" s="89">
        <f>DATE(2017,9,12)</f>
        <v>42990</v>
      </c>
      <c r="AR2499" s="82">
        <f t="shared" si="197"/>
        <v>12</v>
      </c>
      <c r="AS2499" s="83">
        <f t="shared" si="198"/>
        <v>9</v>
      </c>
      <c r="AT2499" s="84">
        <f t="shared" si="199"/>
        <v>2017</v>
      </c>
      <c r="AU2499" s="88">
        <f>DATE(2017,9,15)</f>
        <v>42993</v>
      </c>
      <c r="AV2499" s="88">
        <f>DATE(2017,9,12)</f>
        <v>42990</v>
      </c>
      <c r="AW2499" s="87">
        <f t="shared" si="200"/>
        <v>3</v>
      </c>
      <c r="AX2499" s="106"/>
      <c r="AY2499" s="83"/>
      <c r="AZ2499" s="84"/>
      <c r="BA2499" s="106"/>
      <c r="BB2499" s="106"/>
    </row>
    <row r="2500" spans="1:54" ht="36.75" customHeight="1">
      <c r="A2500" s="30"/>
      <c r="B2500" s="30" t="s">
        <v>55</v>
      </c>
      <c r="C2500" s="69" t="str">
        <f t="shared" si="201"/>
        <v>Closed</v>
      </c>
      <c r="D2500" s="27" t="s">
        <v>14097</v>
      </c>
      <c r="E2500" s="29" t="s">
        <v>14098</v>
      </c>
      <c r="F2500" s="30" t="s">
        <v>423</v>
      </c>
      <c r="G2500" s="89">
        <f>DATE(2017,9,12)</f>
        <v>42990</v>
      </c>
      <c r="H2500" s="90">
        <v>1.2243055555555555</v>
      </c>
      <c r="I2500" s="30" t="s">
        <v>5494</v>
      </c>
      <c r="J2500" s="89" t="s">
        <v>14099</v>
      </c>
      <c r="K2500" s="30" t="s">
        <v>425</v>
      </c>
      <c r="L2500" s="30" t="s">
        <v>14100</v>
      </c>
      <c r="M2500" s="30" t="s">
        <v>63</v>
      </c>
      <c r="N2500" s="30" t="s">
        <v>142</v>
      </c>
      <c r="O2500" s="30" t="s">
        <v>77</v>
      </c>
      <c r="P2500" s="89" t="s">
        <v>86</v>
      </c>
      <c r="Q2500" s="89" t="s">
        <v>4551</v>
      </c>
      <c r="R2500" s="89" t="s">
        <v>3103</v>
      </c>
      <c r="S2500" s="30">
        <v>0</v>
      </c>
      <c r="T2500" s="233">
        <v>0</v>
      </c>
      <c r="U2500" s="30">
        <v>0</v>
      </c>
      <c r="V2500" s="233">
        <v>0</v>
      </c>
      <c r="W2500" s="30">
        <v>0</v>
      </c>
      <c r="X2500" s="30">
        <v>0</v>
      </c>
      <c r="Y2500" s="30">
        <v>0</v>
      </c>
      <c r="Z2500" s="233">
        <v>0</v>
      </c>
      <c r="AA2500" s="30">
        <v>0</v>
      </c>
      <c r="AB2500" s="30">
        <v>0</v>
      </c>
      <c r="AC2500" s="30">
        <v>0</v>
      </c>
      <c r="AD2500" s="30">
        <v>0</v>
      </c>
      <c r="AE2500" s="89" t="s">
        <v>92</v>
      </c>
      <c r="AF2500" s="89"/>
      <c r="AG2500" s="89" t="s">
        <v>352</v>
      </c>
      <c r="AH2500" s="72">
        <v>43078</v>
      </c>
      <c r="AI2500" s="30">
        <v>0</v>
      </c>
      <c r="AJ2500" s="89" t="s">
        <v>14101</v>
      </c>
      <c r="AK2500" s="89" t="s">
        <v>14102</v>
      </c>
      <c r="AL2500" s="91">
        <v>42993</v>
      </c>
      <c r="AM2500" s="91"/>
      <c r="AN2500" s="91"/>
      <c r="AO2500" s="91"/>
      <c r="AP2500" s="73" t="e">
        <f>MID(VLOOKUP(K2500,#REF!,2,FALSE),1,2)</f>
        <v>#REF!</v>
      </c>
      <c r="AQ2500" s="89">
        <f>DATE(2017,9,13)</f>
        <v>42991</v>
      </c>
      <c r="AR2500" s="82">
        <f t="shared" si="197"/>
        <v>13</v>
      </c>
      <c r="AS2500" s="83">
        <f t="shared" si="198"/>
        <v>9</v>
      </c>
      <c r="AT2500" s="84">
        <f t="shared" si="199"/>
        <v>2017</v>
      </c>
      <c r="AU2500" s="88">
        <f>DATE(2017,9,20)</f>
        <v>42998</v>
      </c>
      <c r="AV2500" s="88">
        <f>DATE(2017,9,13)</f>
        <v>42991</v>
      </c>
      <c r="AW2500" s="87">
        <f t="shared" si="200"/>
        <v>7</v>
      </c>
      <c r="AX2500" s="86"/>
      <c r="AY2500" s="83"/>
      <c r="AZ2500" s="84"/>
      <c r="BA2500" s="86"/>
      <c r="BB2500" s="86" t="s">
        <v>13115</v>
      </c>
    </row>
    <row r="2501" spans="1:54" ht="36.75" customHeight="1">
      <c r="A2501" s="30"/>
      <c r="B2501" s="30" t="s">
        <v>55</v>
      </c>
      <c r="C2501" s="69" t="str">
        <f t="shared" si="201"/>
        <v>Closed</v>
      </c>
      <c r="D2501" s="27" t="s">
        <v>14103</v>
      </c>
      <c r="E2501" s="29" t="s">
        <v>14104</v>
      </c>
      <c r="F2501" s="30" t="s">
        <v>835</v>
      </c>
      <c r="G2501" s="89">
        <f>DATE(2017,9,13)</f>
        <v>42991</v>
      </c>
      <c r="H2501" s="90">
        <v>1.7708333333333335</v>
      </c>
      <c r="I2501" s="30" t="s">
        <v>73</v>
      </c>
      <c r="J2501" s="89" t="s">
        <v>14105</v>
      </c>
      <c r="K2501" s="30" t="s">
        <v>837</v>
      </c>
      <c r="L2501" s="30" t="s">
        <v>14106</v>
      </c>
      <c r="M2501" s="30" t="s">
        <v>63</v>
      </c>
      <c r="N2501" s="30" t="s">
        <v>89</v>
      </c>
      <c r="O2501" s="30" t="s">
        <v>77</v>
      </c>
      <c r="P2501" s="89" t="s">
        <v>78</v>
      </c>
      <c r="Q2501" s="89" t="s">
        <v>4708</v>
      </c>
      <c r="R2501" s="89" t="s">
        <v>2797</v>
      </c>
      <c r="S2501" s="30">
        <v>0</v>
      </c>
      <c r="T2501" s="233">
        <v>0</v>
      </c>
      <c r="U2501" s="30">
        <v>0</v>
      </c>
      <c r="V2501" s="233">
        <v>0</v>
      </c>
      <c r="W2501" s="30">
        <v>0</v>
      </c>
      <c r="X2501" s="30">
        <v>0</v>
      </c>
      <c r="Y2501" s="30">
        <v>0</v>
      </c>
      <c r="Z2501" s="233">
        <v>0</v>
      </c>
      <c r="AA2501" s="30">
        <v>0</v>
      </c>
      <c r="AB2501" s="30">
        <v>0</v>
      </c>
      <c r="AC2501" s="30">
        <v>0</v>
      </c>
      <c r="AD2501" s="30">
        <v>0</v>
      </c>
      <c r="AE2501" s="89" t="s">
        <v>394</v>
      </c>
      <c r="AF2501" s="89"/>
      <c r="AG2501" s="89" t="s">
        <v>133</v>
      </c>
      <c r="AH2501" s="72">
        <v>42991</v>
      </c>
      <c r="AI2501" s="30">
        <v>0</v>
      </c>
      <c r="AJ2501" s="89" t="s">
        <v>13682</v>
      </c>
      <c r="AK2501" s="89" t="s">
        <v>68</v>
      </c>
      <c r="AL2501" s="91">
        <v>42998</v>
      </c>
      <c r="AM2501" s="91"/>
      <c r="AN2501" s="91"/>
      <c r="AO2501" s="91"/>
      <c r="AP2501" s="73" t="e">
        <f>MID(VLOOKUP(K2501,#REF!,2,FALSE),1,2)</f>
        <v>#REF!</v>
      </c>
      <c r="AQ2501" s="89">
        <f>DATE(2017,9,13)</f>
        <v>42991</v>
      </c>
      <c r="AR2501" s="82">
        <f t="shared" si="197"/>
        <v>13</v>
      </c>
      <c r="AS2501" s="83">
        <f t="shared" si="198"/>
        <v>9</v>
      </c>
      <c r="AT2501" s="84">
        <f t="shared" si="199"/>
        <v>2017</v>
      </c>
      <c r="AU2501" s="88">
        <f>DATE(2017,10,5)</f>
        <v>43013</v>
      </c>
      <c r="AV2501" s="88">
        <f>DATE(2017,9,28)</f>
        <v>43006</v>
      </c>
      <c r="AW2501" s="87">
        <f t="shared" si="200"/>
        <v>7</v>
      </c>
      <c r="AX2501" s="106"/>
      <c r="AY2501" s="83"/>
      <c r="AZ2501" s="84"/>
      <c r="BA2501" s="106"/>
      <c r="BB2501" s="106"/>
    </row>
    <row r="2502" spans="1:54" ht="36.75" customHeight="1">
      <c r="A2502" s="30"/>
      <c r="B2502" s="30" t="s">
        <v>55</v>
      </c>
      <c r="C2502" s="69" t="str">
        <f t="shared" si="201"/>
        <v>Closed</v>
      </c>
      <c r="D2502" s="27" t="s">
        <v>14107</v>
      </c>
      <c r="E2502" s="29" t="s">
        <v>14108</v>
      </c>
      <c r="F2502" s="30" t="s">
        <v>1938</v>
      </c>
      <c r="G2502" s="89">
        <f>DATE(2017,9,13)</f>
        <v>42991</v>
      </c>
      <c r="H2502" s="90">
        <v>0</v>
      </c>
      <c r="I2502" s="30" t="s">
        <v>73</v>
      </c>
      <c r="J2502" s="89" t="s">
        <v>14109</v>
      </c>
      <c r="K2502" s="30" t="s">
        <v>1940</v>
      </c>
      <c r="L2502" s="30" t="s">
        <v>14110</v>
      </c>
      <c r="M2502" s="30" t="s">
        <v>63</v>
      </c>
      <c r="N2502" s="30" t="s">
        <v>142</v>
      </c>
      <c r="O2502" s="30" t="s">
        <v>64</v>
      </c>
      <c r="P2502" s="89" t="s">
        <v>6902</v>
      </c>
      <c r="Q2502" s="89" t="s">
        <v>1942</v>
      </c>
      <c r="R2502" s="89" t="s">
        <v>1940</v>
      </c>
      <c r="S2502" s="30">
        <v>0</v>
      </c>
      <c r="T2502" s="233">
        <v>0</v>
      </c>
      <c r="U2502" s="30">
        <v>0</v>
      </c>
      <c r="V2502" s="233">
        <v>0</v>
      </c>
      <c r="W2502" s="30">
        <v>0</v>
      </c>
      <c r="X2502" s="30">
        <v>0</v>
      </c>
      <c r="Y2502" s="30">
        <v>0</v>
      </c>
      <c r="Z2502" s="233">
        <v>0</v>
      </c>
      <c r="AA2502" s="30">
        <v>0</v>
      </c>
      <c r="AB2502" s="30">
        <v>0</v>
      </c>
      <c r="AC2502" s="30">
        <v>0</v>
      </c>
      <c r="AD2502" s="30">
        <v>0</v>
      </c>
      <c r="AE2502" s="89" t="s">
        <v>92</v>
      </c>
      <c r="AF2502" s="89"/>
      <c r="AG2502" s="89" t="s">
        <v>82</v>
      </c>
      <c r="AH2502" s="72">
        <v>43006</v>
      </c>
      <c r="AI2502" s="30">
        <v>7</v>
      </c>
      <c r="AJ2502" s="89" t="s">
        <v>14111</v>
      </c>
      <c r="AK2502" s="89" t="s">
        <v>14112</v>
      </c>
      <c r="AL2502" s="91">
        <v>43013</v>
      </c>
      <c r="AM2502" s="91"/>
      <c r="AN2502" s="91"/>
      <c r="AO2502" s="91"/>
      <c r="AP2502" s="73" t="e">
        <f>MID(VLOOKUP(K2502,#REF!,2,FALSE),1,2)</f>
        <v>#REF!</v>
      </c>
      <c r="AQ2502" s="89">
        <f>DATE(2017,9,14)</f>
        <v>42992</v>
      </c>
      <c r="AR2502" s="82">
        <f t="shared" si="197"/>
        <v>14</v>
      </c>
      <c r="AS2502" s="83">
        <f t="shared" si="198"/>
        <v>9</v>
      </c>
      <c r="AT2502" s="84">
        <f t="shared" si="199"/>
        <v>2017</v>
      </c>
      <c r="AU2502" s="88">
        <f>DATE(2017,9,21)</f>
        <v>42999</v>
      </c>
      <c r="AV2502" s="88">
        <f>DATE(2017,9,19)</f>
        <v>42997</v>
      </c>
      <c r="AW2502" s="87">
        <f t="shared" si="200"/>
        <v>2</v>
      </c>
      <c r="AX2502" s="88">
        <f>DATE(2017,9,21)</f>
        <v>42999</v>
      </c>
      <c r="AY2502" s="83">
        <f>MONTH(AX2502)</f>
        <v>9</v>
      </c>
      <c r="AZ2502" s="84">
        <f>YEAR(AX2502)</f>
        <v>2017</v>
      </c>
      <c r="BA2502" s="88">
        <f>DATE(2017,9,14)</f>
        <v>42992</v>
      </c>
      <c r="BB2502" s="86"/>
    </row>
    <row r="2503" spans="1:54" ht="36.75" customHeight="1">
      <c r="A2503" s="30"/>
      <c r="B2503" s="30" t="s">
        <v>55</v>
      </c>
      <c r="C2503" s="69" t="str">
        <f t="shared" si="201"/>
        <v>Closed</v>
      </c>
      <c r="D2503" s="27" t="s">
        <v>14113</v>
      </c>
      <c r="E2503" s="29" t="s">
        <v>14114</v>
      </c>
      <c r="F2503" s="30" t="s">
        <v>1572</v>
      </c>
      <c r="G2503" s="89">
        <f>DATE(2017,9,14)</f>
        <v>42992</v>
      </c>
      <c r="H2503" s="90">
        <v>1.6437499999999998</v>
      </c>
      <c r="I2503" s="30" t="s">
        <v>73</v>
      </c>
      <c r="J2503" s="89" t="s">
        <v>14115</v>
      </c>
      <c r="K2503" s="30" t="s">
        <v>1574</v>
      </c>
      <c r="L2503" s="30" t="s">
        <v>14116</v>
      </c>
      <c r="M2503" s="30" t="s">
        <v>63</v>
      </c>
      <c r="N2503" s="30" t="s">
        <v>99</v>
      </c>
      <c r="O2503" s="30" t="s">
        <v>77</v>
      </c>
      <c r="P2503" s="89" t="s">
        <v>78</v>
      </c>
      <c r="Q2503" s="89" t="s">
        <v>1584</v>
      </c>
      <c r="R2503" s="89" t="s">
        <v>6434</v>
      </c>
      <c r="S2503" s="30">
        <v>0</v>
      </c>
      <c r="T2503" s="233">
        <v>0</v>
      </c>
      <c r="U2503" s="30">
        <v>0</v>
      </c>
      <c r="V2503" s="233">
        <v>0</v>
      </c>
      <c r="W2503" s="30">
        <v>0</v>
      </c>
      <c r="X2503" s="30">
        <v>0</v>
      </c>
      <c r="Y2503" s="30">
        <v>0</v>
      </c>
      <c r="Z2503" s="233">
        <v>0</v>
      </c>
      <c r="AA2503" s="30">
        <v>0</v>
      </c>
      <c r="AB2503" s="30">
        <v>0</v>
      </c>
      <c r="AC2503" s="30">
        <v>0</v>
      </c>
      <c r="AD2503" s="30">
        <v>0</v>
      </c>
      <c r="AE2503" s="89" t="s">
        <v>92</v>
      </c>
      <c r="AF2503" s="89"/>
      <c r="AG2503" s="89" t="s">
        <v>133</v>
      </c>
      <c r="AH2503" s="72">
        <v>42997</v>
      </c>
      <c r="AI2503" s="30">
        <v>1</v>
      </c>
      <c r="AJ2503" s="89" t="s">
        <v>14117</v>
      </c>
      <c r="AK2503" s="89" t="s">
        <v>14118</v>
      </c>
      <c r="AL2503" s="91">
        <v>42999</v>
      </c>
      <c r="AM2503" s="91"/>
      <c r="AN2503" s="91"/>
      <c r="AO2503" s="91"/>
      <c r="AP2503" s="73" t="e">
        <f>MID(VLOOKUP(K2503,#REF!,2,FALSE),1,2)</f>
        <v>#REF!</v>
      </c>
      <c r="AQ2503" s="89">
        <f>DATE(2017,9,18)</f>
        <v>42996</v>
      </c>
      <c r="AR2503" s="82">
        <f t="shared" si="197"/>
        <v>18</v>
      </c>
      <c r="AS2503" s="83">
        <f t="shared" si="198"/>
        <v>9</v>
      </c>
      <c r="AT2503" s="84">
        <f t="shared" si="199"/>
        <v>2017</v>
      </c>
      <c r="AU2503" s="88">
        <f>DATE(2017,9,20)</f>
        <v>42998</v>
      </c>
      <c r="AV2503" s="88">
        <f>DATE(2017,9,18)</f>
        <v>42996</v>
      </c>
      <c r="AW2503" s="87">
        <f t="shared" si="200"/>
        <v>2</v>
      </c>
      <c r="AX2503" s="86"/>
      <c r="AY2503" s="83"/>
      <c r="AZ2503" s="84"/>
      <c r="BA2503" s="86"/>
      <c r="BB2503" s="86" t="s">
        <v>13115</v>
      </c>
    </row>
    <row r="2504" spans="1:54" ht="36.75" customHeight="1">
      <c r="A2504" s="30"/>
      <c r="B2504" s="30" t="s">
        <v>55</v>
      </c>
      <c r="C2504" s="69" t="str">
        <f t="shared" si="201"/>
        <v>Closed</v>
      </c>
      <c r="D2504" s="27" t="s">
        <v>14119</v>
      </c>
      <c r="E2504" s="29" t="s">
        <v>14120</v>
      </c>
      <c r="F2504" s="30" t="s">
        <v>582</v>
      </c>
      <c r="G2504" s="89">
        <f>DATE(2017,9,18)</f>
        <v>42996</v>
      </c>
      <c r="H2504" s="90">
        <v>1.5347222222222223</v>
      </c>
      <c r="I2504" s="30" t="s">
        <v>198</v>
      </c>
      <c r="J2504" s="89" t="s">
        <v>14121</v>
      </c>
      <c r="K2504" s="30" t="s">
        <v>584</v>
      </c>
      <c r="L2504" s="30" t="s">
        <v>14122</v>
      </c>
      <c r="M2504" s="30" t="s">
        <v>63</v>
      </c>
      <c r="N2504" s="30" t="s">
        <v>89</v>
      </c>
      <c r="O2504" s="30" t="s">
        <v>77</v>
      </c>
      <c r="P2504" s="89" t="s">
        <v>1912</v>
      </c>
      <c r="Q2504" s="89" t="s">
        <v>14123</v>
      </c>
      <c r="R2504" s="89" t="s">
        <v>587</v>
      </c>
      <c r="S2504" s="30">
        <v>0</v>
      </c>
      <c r="T2504" s="233">
        <v>0</v>
      </c>
      <c r="U2504" s="30">
        <v>0</v>
      </c>
      <c r="V2504" s="233">
        <v>0</v>
      </c>
      <c r="W2504" s="30">
        <v>0</v>
      </c>
      <c r="X2504" s="30">
        <v>0</v>
      </c>
      <c r="Y2504" s="30">
        <v>0</v>
      </c>
      <c r="Z2504" s="233">
        <v>0</v>
      </c>
      <c r="AA2504" s="30">
        <v>0</v>
      </c>
      <c r="AB2504" s="30">
        <v>0</v>
      </c>
      <c r="AC2504" s="30">
        <v>0</v>
      </c>
      <c r="AD2504" s="30">
        <v>0</v>
      </c>
      <c r="AE2504" s="89" t="s">
        <v>394</v>
      </c>
      <c r="AF2504" s="89"/>
      <c r="AG2504" s="89" t="s">
        <v>589</v>
      </c>
      <c r="AH2504" s="72">
        <v>42996</v>
      </c>
      <c r="AI2504" s="30">
        <v>0</v>
      </c>
      <c r="AJ2504" s="89" t="s">
        <v>14124</v>
      </c>
      <c r="AK2504" s="89" t="s">
        <v>1233</v>
      </c>
      <c r="AL2504" s="91">
        <v>42998</v>
      </c>
      <c r="AM2504" s="91"/>
      <c r="AN2504" s="91"/>
      <c r="AO2504" s="91"/>
      <c r="AP2504" s="73" t="e">
        <f>MID(VLOOKUP(K2504,#REF!,2,FALSE),1,2)</f>
        <v>#REF!</v>
      </c>
      <c r="AQ2504" s="89">
        <f>DATE(2017,9,20)</f>
        <v>42998</v>
      </c>
      <c r="AR2504" s="82">
        <f t="shared" si="197"/>
        <v>20</v>
      </c>
      <c r="AS2504" s="83">
        <f t="shared" si="198"/>
        <v>9</v>
      </c>
      <c r="AT2504" s="84">
        <f t="shared" si="199"/>
        <v>2017</v>
      </c>
      <c r="AU2504" s="88">
        <f>DATE(2017,9,25)</f>
        <v>43003</v>
      </c>
      <c r="AV2504" s="88">
        <f>DATE(2017,9,20)</f>
        <v>42998</v>
      </c>
      <c r="AW2504" s="87">
        <f t="shared" si="200"/>
        <v>5</v>
      </c>
      <c r="AX2504" s="106"/>
      <c r="AY2504" s="83"/>
      <c r="AZ2504" s="84"/>
      <c r="BA2504" s="106"/>
      <c r="BB2504" s="106"/>
    </row>
    <row r="2505" spans="1:54" ht="36.75" customHeight="1">
      <c r="A2505" s="30"/>
      <c r="B2505" s="30" t="s">
        <v>55</v>
      </c>
      <c r="C2505" s="69" t="str">
        <f t="shared" si="201"/>
        <v>Closed</v>
      </c>
      <c r="D2505" s="27" t="s">
        <v>14125</v>
      </c>
      <c r="E2505" s="29" t="s">
        <v>14126</v>
      </c>
      <c r="F2505" s="30" t="s">
        <v>423</v>
      </c>
      <c r="G2505" s="89">
        <f>DATE(2017,9,20)</f>
        <v>42998</v>
      </c>
      <c r="H2505" s="90">
        <v>1.2006944444444445</v>
      </c>
      <c r="I2505" s="30" t="s">
        <v>116</v>
      </c>
      <c r="J2505" s="89" t="s">
        <v>14127</v>
      </c>
      <c r="K2505" s="30" t="s">
        <v>425</v>
      </c>
      <c r="L2505" s="30" t="s">
        <v>14128</v>
      </c>
      <c r="M2505" s="30" t="s">
        <v>63</v>
      </c>
      <c r="N2505" s="30" t="s">
        <v>99</v>
      </c>
      <c r="O2505" s="30" t="s">
        <v>64</v>
      </c>
      <c r="P2505" s="89" t="s">
        <v>165</v>
      </c>
      <c r="Q2505" s="89" t="s">
        <v>4551</v>
      </c>
      <c r="R2505" s="89" t="s">
        <v>3103</v>
      </c>
      <c r="S2505" s="30">
        <v>0</v>
      </c>
      <c r="T2505" s="233">
        <v>0</v>
      </c>
      <c r="U2505" s="30">
        <v>0</v>
      </c>
      <c r="V2505" s="233">
        <v>0</v>
      </c>
      <c r="W2505" s="30">
        <v>0</v>
      </c>
      <c r="X2505" s="30">
        <v>0</v>
      </c>
      <c r="Y2505" s="30">
        <v>0</v>
      </c>
      <c r="Z2505" s="233">
        <v>0</v>
      </c>
      <c r="AA2505" s="30">
        <v>0</v>
      </c>
      <c r="AB2505" s="30">
        <v>0</v>
      </c>
      <c r="AC2505" s="30">
        <v>0</v>
      </c>
      <c r="AD2505" s="30">
        <v>0</v>
      </c>
      <c r="AE2505" s="89" t="s">
        <v>92</v>
      </c>
      <c r="AF2505" s="89"/>
      <c r="AG2505" s="89" t="s">
        <v>874</v>
      </c>
      <c r="AH2505" s="72">
        <v>42998</v>
      </c>
      <c r="AI2505" s="30">
        <v>1</v>
      </c>
      <c r="AJ2505" s="89" t="s">
        <v>11986</v>
      </c>
      <c r="AK2505" s="89" t="s">
        <v>14129</v>
      </c>
      <c r="AL2505" s="91">
        <v>43003</v>
      </c>
      <c r="AM2505" s="91"/>
      <c r="AN2505" s="91"/>
      <c r="AO2505" s="91"/>
      <c r="AP2505" s="73" t="e">
        <f>MID(VLOOKUP(K2505,#REF!,2,FALSE),1,2)</f>
        <v>#REF!</v>
      </c>
      <c r="AQ2505" s="89">
        <f>DATE(2017,9,21)</f>
        <v>42999</v>
      </c>
      <c r="AR2505" s="82">
        <f t="shared" si="197"/>
        <v>21</v>
      </c>
      <c r="AS2505" s="83">
        <f t="shared" si="198"/>
        <v>9</v>
      </c>
      <c r="AT2505" s="84">
        <f t="shared" si="199"/>
        <v>2017</v>
      </c>
      <c r="AU2505" s="88">
        <f>DATE(2017,9,29)</f>
        <v>43007</v>
      </c>
      <c r="AV2505" s="88">
        <f>DATE(2017,9,27)</f>
        <v>43005</v>
      </c>
      <c r="AW2505" s="87">
        <f t="shared" si="200"/>
        <v>2</v>
      </c>
      <c r="AX2505" s="86"/>
      <c r="AY2505" s="83"/>
      <c r="AZ2505" s="84"/>
      <c r="BA2505" s="86"/>
      <c r="BB2505" s="86" t="s">
        <v>13115</v>
      </c>
    </row>
    <row r="2506" spans="1:54" ht="36.75" customHeight="1">
      <c r="A2506" s="30"/>
      <c r="B2506" s="30" t="s">
        <v>55</v>
      </c>
      <c r="C2506" s="69" t="str">
        <f t="shared" si="201"/>
        <v>Closed</v>
      </c>
      <c r="D2506" s="27" t="s">
        <v>14130</v>
      </c>
      <c r="E2506" s="29" t="s">
        <v>14131</v>
      </c>
      <c r="F2506" s="30" t="s">
        <v>1770</v>
      </c>
      <c r="G2506" s="89">
        <f>DATE(2017,9,21)</f>
        <v>42999</v>
      </c>
      <c r="H2506" s="90">
        <v>1.2986111111111112</v>
      </c>
      <c r="I2506" s="30" t="s">
        <v>278</v>
      </c>
      <c r="J2506" s="89" t="s">
        <v>14132</v>
      </c>
      <c r="K2506" s="30" t="s">
        <v>1772</v>
      </c>
      <c r="L2506" s="30" t="s">
        <v>14133</v>
      </c>
      <c r="M2506" s="30" t="s">
        <v>63</v>
      </c>
      <c r="N2506" s="30" t="s">
        <v>89</v>
      </c>
      <c r="O2506" s="30" t="s">
        <v>77</v>
      </c>
      <c r="P2506" s="89" t="s">
        <v>6941</v>
      </c>
      <c r="Q2506" s="89" t="s">
        <v>4289</v>
      </c>
      <c r="R2506" s="89" t="s">
        <v>1775</v>
      </c>
      <c r="S2506" s="30">
        <v>0</v>
      </c>
      <c r="T2506" s="233">
        <v>0</v>
      </c>
      <c r="U2506" s="30">
        <v>0</v>
      </c>
      <c r="V2506" s="233">
        <v>0</v>
      </c>
      <c r="W2506" s="30">
        <v>1</v>
      </c>
      <c r="X2506" s="30">
        <v>1</v>
      </c>
      <c r="Y2506" s="30">
        <v>0</v>
      </c>
      <c r="Z2506" s="233">
        <v>0</v>
      </c>
      <c r="AA2506" s="30">
        <v>0</v>
      </c>
      <c r="AB2506" s="30">
        <v>0</v>
      </c>
      <c r="AC2506" s="30">
        <v>0</v>
      </c>
      <c r="AD2506" s="30">
        <v>0</v>
      </c>
      <c r="AE2506" s="89" t="s">
        <v>92</v>
      </c>
      <c r="AF2506" s="89"/>
      <c r="AG2506" s="89" t="s">
        <v>82</v>
      </c>
      <c r="AH2506" s="72">
        <v>43005</v>
      </c>
      <c r="AI2506" s="30">
        <v>0</v>
      </c>
      <c r="AJ2506" s="89" t="s">
        <v>14134</v>
      </c>
      <c r="AK2506" s="89" t="s">
        <v>14135</v>
      </c>
      <c r="AL2506" s="91">
        <v>43007</v>
      </c>
      <c r="AM2506" s="91"/>
      <c r="AN2506" s="91"/>
      <c r="AO2506" s="91"/>
      <c r="AP2506" s="73" t="e">
        <f>MID(VLOOKUP(K2506,#REF!,2,FALSE),1,2)</f>
        <v>#REF!</v>
      </c>
      <c r="AQ2506" s="89">
        <f>DATE(2017,9,21)</f>
        <v>42999</v>
      </c>
      <c r="AR2506" s="82">
        <f t="shared" si="197"/>
        <v>21</v>
      </c>
      <c r="AS2506" s="83">
        <f t="shared" si="198"/>
        <v>9</v>
      </c>
      <c r="AT2506" s="84">
        <f t="shared" si="199"/>
        <v>2017</v>
      </c>
      <c r="AU2506" s="88">
        <f>DATE(2017,12,12)</f>
        <v>43081</v>
      </c>
      <c r="AV2506" s="88">
        <f>DATE(2017,12,12)</f>
        <v>43081</v>
      </c>
      <c r="AW2506" s="87">
        <f t="shared" si="200"/>
        <v>0</v>
      </c>
      <c r="AX2506" s="106"/>
      <c r="AY2506" s="83"/>
      <c r="AZ2506" s="84"/>
      <c r="BA2506" s="88">
        <f>DATE(2017,9,21)</f>
        <v>42999</v>
      </c>
      <c r="BB2506" s="106"/>
    </row>
    <row r="2507" spans="1:54" ht="36.75" customHeight="1">
      <c r="A2507" s="30"/>
      <c r="B2507" s="30" t="s">
        <v>55</v>
      </c>
      <c r="C2507" s="69" t="str">
        <f t="shared" si="201"/>
        <v>Closed</v>
      </c>
      <c r="D2507" s="27" t="s">
        <v>14136</v>
      </c>
      <c r="E2507" s="29" t="s">
        <v>14137</v>
      </c>
      <c r="F2507" s="30" t="s">
        <v>58</v>
      </c>
      <c r="G2507" s="89">
        <f>DATE(2017,9,21)</f>
        <v>42999</v>
      </c>
      <c r="H2507" s="90">
        <v>1.9069444444444446</v>
      </c>
      <c r="I2507" s="30" t="s">
        <v>156</v>
      </c>
      <c r="J2507" s="89" t="s">
        <v>14138</v>
      </c>
      <c r="K2507" s="30" t="s">
        <v>61</v>
      </c>
      <c r="L2507" s="30" t="s">
        <v>14139</v>
      </c>
      <c r="M2507" s="30" t="s">
        <v>63</v>
      </c>
      <c r="N2507" s="30" t="s">
        <v>89</v>
      </c>
      <c r="O2507" s="30" t="s">
        <v>90</v>
      </c>
      <c r="P2507" s="89" t="s">
        <v>91</v>
      </c>
      <c r="Q2507" s="89" t="s">
        <v>66</v>
      </c>
      <c r="R2507" s="89" t="s">
        <v>67</v>
      </c>
      <c r="S2507" s="30">
        <v>0</v>
      </c>
      <c r="T2507" s="233">
        <v>0</v>
      </c>
      <c r="U2507" s="30">
        <v>0</v>
      </c>
      <c r="V2507" s="233">
        <v>0</v>
      </c>
      <c r="W2507" s="30">
        <v>0</v>
      </c>
      <c r="X2507" s="30">
        <v>0</v>
      </c>
      <c r="Y2507" s="30">
        <v>0</v>
      </c>
      <c r="Z2507" s="233">
        <v>0</v>
      </c>
      <c r="AA2507" s="30">
        <v>0</v>
      </c>
      <c r="AB2507" s="30">
        <v>0</v>
      </c>
      <c r="AC2507" s="30">
        <v>0</v>
      </c>
      <c r="AD2507" s="30">
        <v>0</v>
      </c>
      <c r="AE2507" s="89" t="s">
        <v>92</v>
      </c>
      <c r="AF2507" s="89"/>
      <c r="AG2507" s="89" t="s">
        <v>133</v>
      </c>
      <c r="AH2507" s="72">
        <v>43010</v>
      </c>
      <c r="AI2507" s="30">
        <v>7</v>
      </c>
      <c r="AJ2507" s="89" t="s">
        <v>14140</v>
      </c>
      <c r="AK2507" s="89" t="s">
        <v>14141</v>
      </c>
      <c r="AL2507" s="91">
        <v>43081</v>
      </c>
      <c r="AM2507" s="91"/>
      <c r="AN2507" s="91"/>
      <c r="AO2507" s="91"/>
      <c r="AP2507" s="73" t="e">
        <f>MID(VLOOKUP(K2507,#REF!,2,FALSE),1,2)</f>
        <v>#REF!</v>
      </c>
      <c r="AQ2507" s="89">
        <f>DATE(2017,9,24)</f>
        <v>43002</v>
      </c>
      <c r="AR2507" s="82">
        <f t="shared" si="197"/>
        <v>24</v>
      </c>
      <c r="AS2507" s="83">
        <f t="shared" si="198"/>
        <v>9</v>
      </c>
      <c r="AT2507" s="84">
        <f t="shared" si="199"/>
        <v>2017</v>
      </c>
      <c r="AU2507" s="88">
        <f>DATE(2017,9,25)</f>
        <v>43003</v>
      </c>
      <c r="AV2507" s="88">
        <f>DATE(2017,9,25)</f>
        <v>43003</v>
      </c>
      <c r="AW2507" s="87">
        <f t="shared" si="200"/>
        <v>0</v>
      </c>
      <c r="AX2507" s="88">
        <f>DATE(2017,9,26)</f>
        <v>43004</v>
      </c>
      <c r="AY2507" s="83">
        <f>MONTH(AX2507)</f>
        <v>9</v>
      </c>
      <c r="AZ2507" s="84">
        <f>YEAR(AX2507)</f>
        <v>2017</v>
      </c>
      <c r="BA2507" s="88">
        <f>DATE(2017,9,24)</f>
        <v>43002</v>
      </c>
      <c r="BB2507" s="86"/>
    </row>
    <row r="2508" spans="1:54" ht="36.75" customHeight="1">
      <c r="A2508" s="30"/>
      <c r="B2508" s="30" t="s">
        <v>55</v>
      </c>
      <c r="C2508" s="69" t="str">
        <f t="shared" si="201"/>
        <v>Closed</v>
      </c>
      <c r="D2508" s="27" t="s">
        <v>14142</v>
      </c>
      <c r="E2508" s="29" t="s">
        <v>14143</v>
      </c>
      <c r="F2508" s="30" t="s">
        <v>1572</v>
      </c>
      <c r="G2508" s="89">
        <f>DATE(2017,9,24)</f>
        <v>43002</v>
      </c>
      <c r="H2508" s="90">
        <v>1.9722222222222223</v>
      </c>
      <c r="I2508" s="30" t="s">
        <v>73</v>
      </c>
      <c r="J2508" s="89" t="s">
        <v>14144</v>
      </c>
      <c r="K2508" s="30" t="s">
        <v>1574</v>
      </c>
      <c r="L2508" s="30" t="s">
        <v>14145</v>
      </c>
      <c r="M2508" s="30" t="s">
        <v>63</v>
      </c>
      <c r="N2508" s="30" t="s">
        <v>142</v>
      </c>
      <c r="O2508" s="30" t="s">
        <v>77</v>
      </c>
      <c r="P2508" s="89" t="s">
        <v>6941</v>
      </c>
      <c r="Q2508" s="89" t="s">
        <v>2413</v>
      </c>
      <c r="R2508" s="89" t="s">
        <v>6434</v>
      </c>
      <c r="S2508" s="30">
        <v>0</v>
      </c>
      <c r="T2508" s="233">
        <v>0</v>
      </c>
      <c r="U2508" s="30">
        <v>0</v>
      </c>
      <c r="V2508" s="233">
        <v>0</v>
      </c>
      <c r="W2508" s="30">
        <v>0</v>
      </c>
      <c r="X2508" s="30">
        <v>0</v>
      </c>
      <c r="Y2508" s="30">
        <v>0</v>
      </c>
      <c r="Z2508" s="233">
        <v>0</v>
      </c>
      <c r="AA2508" s="30">
        <v>0</v>
      </c>
      <c r="AB2508" s="30">
        <v>0</v>
      </c>
      <c r="AC2508" s="30">
        <v>0</v>
      </c>
      <c r="AD2508" s="30">
        <v>0</v>
      </c>
      <c r="AE2508" s="89" t="s">
        <v>394</v>
      </c>
      <c r="AF2508" s="89"/>
      <c r="AG2508" s="89" t="s">
        <v>133</v>
      </c>
      <c r="AH2508" s="72">
        <v>43003</v>
      </c>
      <c r="AI2508" s="30">
        <v>3</v>
      </c>
      <c r="AJ2508" s="89" t="s">
        <v>14146</v>
      </c>
      <c r="AK2508" s="89" t="s">
        <v>14147</v>
      </c>
      <c r="AL2508" s="91">
        <v>43003</v>
      </c>
      <c r="AM2508" s="91"/>
      <c r="AN2508" s="91"/>
      <c r="AO2508" s="91"/>
      <c r="AP2508" s="73" t="e">
        <f>MID(VLOOKUP(K2508,#REF!,2,FALSE),1,2)</f>
        <v>#REF!</v>
      </c>
      <c r="AQ2508" s="89">
        <f>DATE(2017,9,25)</f>
        <v>43003</v>
      </c>
      <c r="AR2508" s="82">
        <f t="shared" si="197"/>
        <v>25</v>
      </c>
      <c r="AS2508" s="83">
        <f t="shared" si="198"/>
        <v>9</v>
      </c>
      <c r="AT2508" s="84">
        <f t="shared" si="199"/>
        <v>2017</v>
      </c>
      <c r="AU2508" s="88">
        <f>DATE(2017,11,7)</f>
        <v>43046</v>
      </c>
      <c r="AV2508" s="88">
        <f>DATE(2017,11,2)</f>
        <v>43041</v>
      </c>
      <c r="AW2508" s="87">
        <f t="shared" si="200"/>
        <v>5</v>
      </c>
      <c r="AX2508" s="86"/>
      <c r="AY2508" s="83"/>
      <c r="AZ2508" s="84"/>
      <c r="BA2508" s="88">
        <f>DATE(2017,9,25)</f>
        <v>43003</v>
      </c>
      <c r="BB2508" s="86"/>
    </row>
    <row r="2509" spans="1:54" ht="36.75" customHeight="1">
      <c r="A2509" s="30"/>
      <c r="B2509" s="30" t="s">
        <v>55</v>
      </c>
      <c r="C2509" s="69" t="str">
        <f t="shared" si="201"/>
        <v>Closed</v>
      </c>
      <c r="D2509" s="27" t="s">
        <v>14148</v>
      </c>
      <c r="E2509" s="29" t="s">
        <v>14149</v>
      </c>
      <c r="F2509" s="30" t="s">
        <v>377</v>
      </c>
      <c r="G2509" s="89">
        <f>DATE(2017,9,25)</f>
        <v>43003</v>
      </c>
      <c r="H2509" s="90">
        <v>1.2013888888888888</v>
      </c>
      <c r="I2509" s="30" t="s">
        <v>73</v>
      </c>
      <c r="J2509" s="89" t="s">
        <v>14150</v>
      </c>
      <c r="K2509" s="30" t="s">
        <v>379</v>
      </c>
      <c r="L2509" s="30" t="s">
        <v>14151</v>
      </c>
      <c r="M2509" s="30" t="s">
        <v>63</v>
      </c>
      <c r="N2509" s="30" t="s">
        <v>89</v>
      </c>
      <c r="O2509" s="30" t="s">
        <v>90</v>
      </c>
      <c r="P2509" s="89" t="s">
        <v>91</v>
      </c>
      <c r="Q2509" s="89" t="s">
        <v>14152</v>
      </c>
      <c r="R2509" s="89" t="s">
        <v>382</v>
      </c>
      <c r="S2509" s="30">
        <v>0</v>
      </c>
      <c r="T2509" s="233">
        <v>0</v>
      </c>
      <c r="U2509" s="30">
        <v>0</v>
      </c>
      <c r="V2509" s="233">
        <v>0</v>
      </c>
      <c r="W2509" s="30">
        <v>0</v>
      </c>
      <c r="X2509" s="30">
        <v>0</v>
      </c>
      <c r="Y2509" s="30">
        <v>0</v>
      </c>
      <c r="Z2509" s="233">
        <v>0</v>
      </c>
      <c r="AA2509" s="30">
        <v>0</v>
      </c>
      <c r="AB2509" s="30">
        <v>0</v>
      </c>
      <c r="AC2509" s="30">
        <v>0</v>
      </c>
      <c r="AD2509" s="30">
        <v>0</v>
      </c>
      <c r="AE2509" s="89" t="s">
        <v>92</v>
      </c>
      <c r="AF2509" s="89"/>
      <c r="AG2509" s="89" t="s">
        <v>133</v>
      </c>
      <c r="AH2509" s="72">
        <v>43041</v>
      </c>
      <c r="AI2509" s="30">
        <v>2</v>
      </c>
      <c r="AJ2509" s="89" t="s">
        <v>14153</v>
      </c>
      <c r="AK2509" s="89" t="s">
        <v>14154</v>
      </c>
      <c r="AL2509" s="91">
        <v>43046</v>
      </c>
      <c r="AM2509" s="91"/>
      <c r="AN2509" s="91"/>
      <c r="AO2509" s="91"/>
      <c r="AP2509" s="73" t="e">
        <f>MID(VLOOKUP(K2509,#REF!,2,FALSE),1,2)</f>
        <v>#REF!</v>
      </c>
      <c r="AQ2509" s="89">
        <f>DATE(2017,9,27)</f>
        <v>43005</v>
      </c>
      <c r="AR2509" s="82">
        <f t="shared" si="197"/>
        <v>27</v>
      </c>
      <c r="AS2509" s="83">
        <f t="shared" si="198"/>
        <v>9</v>
      </c>
      <c r="AT2509" s="84">
        <f t="shared" si="199"/>
        <v>2017</v>
      </c>
      <c r="AU2509" s="88">
        <f>DATE(2018,9,15)</f>
        <v>43358</v>
      </c>
      <c r="AV2509" s="88">
        <f>DATE(2017,12,4)</f>
        <v>43073</v>
      </c>
      <c r="AW2509" s="87">
        <f t="shared" si="200"/>
        <v>285</v>
      </c>
      <c r="AX2509" s="86"/>
      <c r="AY2509" s="83"/>
      <c r="AZ2509" s="84"/>
      <c r="BA2509" s="86"/>
      <c r="BB2509" s="86" t="s">
        <v>13115</v>
      </c>
    </row>
    <row r="2510" spans="1:54" ht="36.75" customHeight="1">
      <c r="A2510" s="30"/>
      <c r="B2510" s="30" t="s">
        <v>55</v>
      </c>
      <c r="C2510" s="69" t="str">
        <f t="shared" si="201"/>
        <v>Closed</v>
      </c>
      <c r="D2510" s="27" t="s">
        <v>14155</v>
      </c>
      <c r="E2510" s="29" t="s">
        <v>14156</v>
      </c>
      <c r="F2510" s="30" t="s">
        <v>5427</v>
      </c>
      <c r="G2510" s="89">
        <f>DATE(2017,9,27)</f>
        <v>43005</v>
      </c>
      <c r="H2510" s="90">
        <v>1.7291666666666665</v>
      </c>
      <c r="I2510" s="30" t="s">
        <v>73</v>
      </c>
      <c r="J2510" s="89" t="s">
        <v>14157</v>
      </c>
      <c r="K2510" s="30" t="s">
        <v>596</v>
      </c>
      <c r="L2510" s="30" t="s">
        <v>14158</v>
      </c>
      <c r="M2510" s="30" t="s">
        <v>63</v>
      </c>
      <c r="N2510" s="30" t="s">
        <v>99</v>
      </c>
      <c r="O2510" s="30" t="s">
        <v>77</v>
      </c>
      <c r="P2510" s="89" t="s">
        <v>381</v>
      </c>
      <c r="Q2510" s="89" t="s">
        <v>10529</v>
      </c>
      <c r="R2510" s="89" t="s">
        <v>12074</v>
      </c>
      <c r="S2510" s="30">
        <v>0</v>
      </c>
      <c r="T2510" s="233">
        <v>0</v>
      </c>
      <c r="U2510" s="30">
        <v>0</v>
      </c>
      <c r="V2510" s="233">
        <v>0</v>
      </c>
      <c r="W2510" s="30">
        <v>0</v>
      </c>
      <c r="X2510" s="30">
        <v>0</v>
      </c>
      <c r="Y2510" s="30">
        <v>0</v>
      </c>
      <c r="Z2510" s="233">
        <v>0</v>
      </c>
      <c r="AA2510" s="30">
        <v>0</v>
      </c>
      <c r="AB2510" s="30">
        <v>0</v>
      </c>
      <c r="AC2510" s="30">
        <v>0</v>
      </c>
      <c r="AD2510" s="30">
        <v>0</v>
      </c>
      <c r="AE2510" s="89" t="s">
        <v>92</v>
      </c>
      <c r="AF2510" s="89"/>
      <c r="AG2510" s="89" t="s">
        <v>133</v>
      </c>
      <c r="AH2510" s="72">
        <v>42837</v>
      </c>
      <c r="AI2510" s="30">
        <v>3</v>
      </c>
      <c r="AJ2510" s="89" t="s">
        <v>14159</v>
      </c>
      <c r="AK2510" s="89" t="s">
        <v>14160</v>
      </c>
      <c r="AL2510" s="91">
        <v>43358</v>
      </c>
      <c r="AM2510" s="91"/>
      <c r="AN2510" s="91"/>
      <c r="AO2510" s="91"/>
      <c r="AP2510" s="73" t="e">
        <f>MID(VLOOKUP(K2510,#REF!,2,FALSE),1,2)</f>
        <v>#REF!</v>
      </c>
      <c r="AQ2510" s="89">
        <f>DATE(2017,9,29)</f>
        <v>43007</v>
      </c>
      <c r="AR2510" s="82">
        <f t="shared" si="197"/>
        <v>29</v>
      </c>
      <c r="AS2510" s="83">
        <f t="shared" si="198"/>
        <v>9</v>
      </c>
      <c r="AT2510" s="84">
        <f t="shared" si="199"/>
        <v>2017</v>
      </c>
      <c r="AU2510" s="88">
        <f>DATE(2017,10,4)</f>
        <v>43012</v>
      </c>
      <c r="AV2510" s="88">
        <f>DATE(2017,10,3)</f>
        <v>43011</v>
      </c>
      <c r="AW2510" s="87">
        <f t="shared" si="200"/>
        <v>1</v>
      </c>
      <c r="AX2510" s="106"/>
      <c r="AY2510" s="83"/>
      <c r="AZ2510" s="84"/>
      <c r="BA2510" s="106"/>
      <c r="BB2510" s="106"/>
    </row>
    <row r="2511" spans="1:54" ht="36.75" customHeight="1">
      <c r="A2511" s="30"/>
      <c r="B2511" s="30" t="s">
        <v>55</v>
      </c>
      <c r="C2511" s="69" t="str">
        <f t="shared" si="201"/>
        <v>Closed</v>
      </c>
      <c r="D2511" s="27" t="s">
        <v>14161</v>
      </c>
      <c r="E2511" s="29" t="s">
        <v>14162</v>
      </c>
      <c r="F2511" s="30" t="s">
        <v>423</v>
      </c>
      <c r="G2511" s="89">
        <f>DATE(2017,9,29)</f>
        <v>43007</v>
      </c>
      <c r="H2511" s="90">
        <v>1.5902777777777777</v>
      </c>
      <c r="I2511" s="30" t="s">
        <v>116</v>
      </c>
      <c r="J2511" s="89" t="s">
        <v>14163</v>
      </c>
      <c r="K2511" s="30" t="s">
        <v>425</v>
      </c>
      <c r="L2511" s="30" t="s">
        <v>14164</v>
      </c>
      <c r="M2511" s="30" t="s">
        <v>63</v>
      </c>
      <c r="N2511" s="30" t="s">
        <v>99</v>
      </c>
      <c r="O2511" s="30" t="s">
        <v>64</v>
      </c>
      <c r="P2511" s="89" t="s">
        <v>78</v>
      </c>
      <c r="Q2511" s="89" t="s">
        <v>2582</v>
      </c>
      <c r="R2511" s="89" t="s">
        <v>3103</v>
      </c>
      <c r="S2511" s="30">
        <v>0</v>
      </c>
      <c r="T2511" s="233">
        <v>0</v>
      </c>
      <c r="U2511" s="30">
        <v>1</v>
      </c>
      <c r="V2511" s="233">
        <v>0</v>
      </c>
      <c r="W2511" s="30">
        <v>0</v>
      </c>
      <c r="X2511" s="30">
        <v>1</v>
      </c>
      <c r="Y2511" s="30">
        <v>0</v>
      </c>
      <c r="Z2511" s="233">
        <v>0</v>
      </c>
      <c r="AA2511" s="30">
        <v>1</v>
      </c>
      <c r="AB2511" s="30">
        <v>0</v>
      </c>
      <c r="AC2511" s="30">
        <v>0</v>
      </c>
      <c r="AD2511" s="30">
        <v>1</v>
      </c>
      <c r="AE2511" s="89" t="s">
        <v>92</v>
      </c>
      <c r="AF2511" s="89"/>
      <c r="AG2511" s="89" t="s">
        <v>133</v>
      </c>
      <c r="AH2511" s="72">
        <v>42804</v>
      </c>
      <c r="AI2511" s="30">
        <v>1</v>
      </c>
      <c r="AJ2511" s="89" t="s">
        <v>11986</v>
      </c>
      <c r="AK2511" s="89" t="s">
        <v>14165</v>
      </c>
      <c r="AL2511" s="91">
        <v>43012</v>
      </c>
      <c r="AM2511" s="91"/>
      <c r="AN2511" s="91"/>
      <c r="AO2511" s="91"/>
      <c r="AP2511" s="73" t="e">
        <f>MID(VLOOKUP(K2511,#REF!,2,FALSE),1,2)</f>
        <v>#REF!</v>
      </c>
      <c r="AQ2511" s="89">
        <f>DATE(2017,10,3)</f>
        <v>43011</v>
      </c>
      <c r="AR2511" s="82">
        <f t="shared" si="197"/>
        <v>3</v>
      </c>
      <c r="AS2511" s="83">
        <f t="shared" si="198"/>
        <v>10</v>
      </c>
      <c r="AT2511" s="84">
        <f t="shared" si="199"/>
        <v>2017</v>
      </c>
      <c r="AU2511" s="88">
        <f>DATE(2017,10,12)</f>
        <v>43020</v>
      </c>
      <c r="AV2511" s="88">
        <f>DATE(2017,10,6)</f>
        <v>43014</v>
      </c>
      <c r="AW2511" s="87">
        <f t="shared" si="200"/>
        <v>6</v>
      </c>
      <c r="AX2511" s="88">
        <f>DATE(2017,10,11)</f>
        <v>43019</v>
      </c>
      <c r="AY2511" s="83">
        <f>MONTH(AX2511)</f>
        <v>10</v>
      </c>
      <c r="AZ2511" s="84">
        <f>YEAR(AX2511)</f>
        <v>2017</v>
      </c>
      <c r="BA2511" s="88">
        <f>DATE(2017,10,11)</f>
        <v>43019</v>
      </c>
      <c r="BB2511" s="86"/>
    </row>
    <row r="2512" spans="1:54" ht="36.75" customHeight="1">
      <c r="A2512" s="30"/>
      <c r="B2512" s="30" t="s">
        <v>55</v>
      </c>
      <c r="C2512" s="69" t="str">
        <f t="shared" si="201"/>
        <v>Closed</v>
      </c>
      <c r="D2512" s="27" t="s">
        <v>14166</v>
      </c>
      <c r="E2512" s="29" t="s">
        <v>14167</v>
      </c>
      <c r="F2512" s="30" t="s">
        <v>124</v>
      </c>
      <c r="G2512" s="89">
        <f>DATE(2017,10,3)</f>
        <v>43011</v>
      </c>
      <c r="H2512" s="90">
        <v>0</v>
      </c>
      <c r="I2512" s="30" t="s">
        <v>73</v>
      </c>
      <c r="J2512" s="89" t="s">
        <v>14168</v>
      </c>
      <c r="K2512" s="30" t="s">
        <v>127</v>
      </c>
      <c r="L2512" s="30" t="s">
        <v>14169</v>
      </c>
      <c r="M2512" s="30" t="s">
        <v>9919</v>
      </c>
      <c r="N2512" s="30" t="s">
        <v>99</v>
      </c>
      <c r="O2512" s="30" t="s">
        <v>64</v>
      </c>
      <c r="P2512" s="89" t="s">
        <v>7982</v>
      </c>
      <c r="Q2512" s="89" t="s">
        <v>14170</v>
      </c>
      <c r="R2512" s="89" t="s">
        <v>14170</v>
      </c>
      <c r="S2512" s="30">
        <v>0</v>
      </c>
      <c r="T2512" s="233">
        <v>0</v>
      </c>
      <c r="U2512" s="30">
        <v>0</v>
      </c>
      <c r="V2512" s="233">
        <v>0</v>
      </c>
      <c r="W2512" s="30">
        <v>0</v>
      </c>
      <c r="X2512" s="30">
        <v>0</v>
      </c>
      <c r="Y2512" s="30">
        <v>0</v>
      </c>
      <c r="Z2512" s="233">
        <v>0</v>
      </c>
      <c r="AA2512" s="30">
        <v>0</v>
      </c>
      <c r="AB2512" s="30">
        <v>0</v>
      </c>
      <c r="AC2512" s="30">
        <v>0</v>
      </c>
      <c r="AD2512" s="30">
        <v>0</v>
      </c>
      <c r="AE2512" s="89" t="s">
        <v>92</v>
      </c>
      <c r="AF2512" s="89"/>
      <c r="AG2512" s="89" t="s">
        <v>2083</v>
      </c>
      <c r="AH2512" s="72">
        <v>43014</v>
      </c>
      <c r="AI2512" s="30">
        <v>1</v>
      </c>
      <c r="AJ2512" s="89" t="s">
        <v>14171</v>
      </c>
      <c r="AK2512" s="89" t="s">
        <v>14172</v>
      </c>
      <c r="AL2512" s="91">
        <v>43020</v>
      </c>
      <c r="AM2512" s="91"/>
      <c r="AN2512" s="91"/>
      <c r="AO2512" s="91"/>
      <c r="AP2512" s="73" t="e">
        <f>MID(VLOOKUP(K2512,#REF!,2,FALSE),1,2)</f>
        <v>#REF!</v>
      </c>
      <c r="AQ2512" s="89">
        <f>DATE(2017,10,4)</f>
        <v>43012</v>
      </c>
      <c r="AR2512" s="82">
        <f t="shared" si="197"/>
        <v>4</v>
      </c>
      <c r="AS2512" s="83">
        <f t="shared" si="198"/>
        <v>10</v>
      </c>
      <c r="AT2512" s="84">
        <f t="shared" si="199"/>
        <v>2017</v>
      </c>
      <c r="AU2512" s="88">
        <f>DATE(2017,10,12)</f>
        <v>43020</v>
      </c>
      <c r="AV2512" s="88">
        <f>DATE(2017,10,4)</f>
        <v>43012</v>
      </c>
      <c r="AW2512" s="87">
        <f t="shared" si="200"/>
        <v>8</v>
      </c>
      <c r="AX2512" s="86"/>
      <c r="AY2512" s="83"/>
      <c r="AZ2512" s="84"/>
      <c r="BA2512" s="86"/>
      <c r="BB2512" s="86" t="s">
        <v>13115</v>
      </c>
    </row>
    <row r="2513" spans="1:54" ht="36.75" customHeight="1">
      <c r="A2513" s="30"/>
      <c r="B2513" s="30" t="s">
        <v>55</v>
      </c>
      <c r="C2513" s="69" t="str">
        <f t="shared" si="201"/>
        <v>Closed</v>
      </c>
      <c r="D2513" s="27" t="s">
        <v>14173</v>
      </c>
      <c r="E2513" s="29" t="s">
        <v>14174</v>
      </c>
      <c r="F2513" s="30" t="s">
        <v>197</v>
      </c>
      <c r="G2513" s="89">
        <f>DATE(2017,10,4)</f>
        <v>43012</v>
      </c>
      <c r="H2513" s="90">
        <v>1.445138888888889</v>
      </c>
      <c r="I2513" s="30" t="s">
        <v>278</v>
      </c>
      <c r="J2513" s="89" t="s">
        <v>14175</v>
      </c>
      <c r="K2513" s="30" t="s">
        <v>200</v>
      </c>
      <c r="L2513" s="30" t="s">
        <v>14176</v>
      </c>
      <c r="M2513" s="30" t="s">
        <v>63</v>
      </c>
      <c r="N2513" s="30" t="s">
        <v>142</v>
      </c>
      <c r="O2513" s="30" t="s">
        <v>77</v>
      </c>
      <c r="P2513" s="89" t="s">
        <v>78</v>
      </c>
      <c r="Q2513" s="89" t="s">
        <v>2453</v>
      </c>
      <c r="R2513" s="89" t="s">
        <v>203</v>
      </c>
      <c r="S2513" s="30">
        <v>0</v>
      </c>
      <c r="T2513" s="233">
        <v>0</v>
      </c>
      <c r="U2513" s="30">
        <v>0</v>
      </c>
      <c r="V2513" s="233">
        <v>0</v>
      </c>
      <c r="W2513" s="30">
        <v>1</v>
      </c>
      <c r="X2513" s="30">
        <v>1</v>
      </c>
      <c r="Y2513" s="30">
        <v>0</v>
      </c>
      <c r="Z2513" s="233">
        <v>0</v>
      </c>
      <c r="AA2513" s="30">
        <v>0</v>
      </c>
      <c r="AB2513" s="30">
        <v>0</v>
      </c>
      <c r="AC2513" s="30">
        <v>0</v>
      </c>
      <c r="AD2513" s="30">
        <v>0</v>
      </c>
      <c r="AE2513" s="89" t="s">
        <v>92</v>
      </c>
      <c r="AF2513" s="89"/>
      <c r="AG2513" s="89" t="s">
        <v>133</v>
      </c>
      <c r="AH2513" s="72">
        <v>43012</v>
      </c>
      <c r="AI2513" s="30">
        <v>2</v>
      </c>
      <c r="AJ2513" s="89" t="s">
        <v>14177</v>
      </c>
      <c r="AK2513" s="89" t="s">
        <v>14178</v>
      </c>
      <c r="AL2513" s="91">
        <v>43020</v>
      </c>
      <c r="AM2513" s="91"/>
      <c r="AN2513" s="91"/>
      <c r="AO2513" s="91"/>
      <c r="AP2513" s="73" t="e">
        <f>MID(VLOOKUP(K2513,#REF!,2,FALSE),1,2)</f>
        <v>#REF!</v>
      </c>
      <c r="AQ2513" s="89">
        <f>DATE(2017,10,5)</f>
        <v>43013</v>
      </c>
      <c r="AR2513" s="82">
        <f t="shared" si="197"/>
        <v>5</v>
      </c>
      <c r="AS2513" s="83">
        <f t="shared" si="198"/>
        <v>10</v>
      </c>
      <c r="AT2513" s="84">
        <f t="shared" si="199"/>
        <v>2017</v>
      </c>
      <c r="AU2513" s="88">
        <f>DATE(2017,10,30)</f>
        <v>43038</v>
      </c>
      <c r="AV2513" s="88">
        <f>DATE(2017,10,16)</f>
        <v>43024</v>
      </c>
      <c r="AW2513" s="87">
        <f t="shared" si="200"/>
        <v>14</v>
      </c>
      <c r="AX2513" s="88">
        <f>DATE(2017,10,30)</f>
        <v>43038</v>
      </c>
      <c r="AY2513" s="83">
        <f>MONTH(AX2513)</f>
        <v>10</v>
      </c>
      <c r="AZ2513" s="84">
        <f>YEAR(AX2513)</f>
        <v>2017</v>
      </c>
      <c r="BA2513" s="86"/>
      <c r="BB2513" s="86"/>
    </row>
    <row r="2514" spans="1:54" ht="36.75" customHeight="1">
      <c r="A2514" s="30"/>
      <c r="B2514" s="30" t="s">
        <v>55</v>
      </c>
      <c r="C2514" s="69" t="str">
        <f t="shared" si="201"/>
        <v>Closed</v>
      </c>
      <c r="D2514" s="27" t="s">
        <v>14179</v>
      </c>
      <c r="E2514" s="29" t="s">
        <v>14180</v>
      </c>
      <c r="F2514" s="30" t="s">
        <v>233</v>
      </c>
      <c r="G2514" s="89">
        <f>DATE(2017,10,5)</f>
        <v>43013</v>
      </c>
      <c r="H2514" s="90">
        <v>1.4770833333333333</v>
      </c>
      <c r="I2514" s="30" t="s">
        <v>278</v>
      </c>
      <c r="J2514" s="89" t="s">
        <v>14181</v>
      </c>
      <c r="K2514" s="30" t="s">
        <v>235</v>
      </c>
      <c r="L2514" s="30" t="s">
        <v>14182</v>
      </c>
      <c r="M2514" s="30" t="s">
        <v>63</v>
      </c>
      <c r="N2514" s="30" t="s">
        <v>142</v>
      </c>
      <c r="O2514" s="30" t="s">
        <v>64</v>
      </c>
      <c r="P2514" s="89" t="s">
        <v>65</v>
      </c>
      <c r="Q2514" s="89" t="s">
        <v>7117</v>
      </c>
      <c r="R2514" s="89" t="s">
        <v>235</v>
      </c>
      <c r="S2514" s="30">
        <v>0</v>
      </c>
      <c r="T2514" s="233">
        <v>0</v>
      </c>
      <c r="U2514" s="30">
        <v>0</v>
      </c>
      <c r="V2514" s="233">
        <v>0</v>
      </c>
      <c r="W2514" s="30">
        <v>0</v>
      </c>
      <c r="X2514" s="30">
        <v>0</v>
      </c>
      <c r="Y2514" s="30">
        <v>0</v>
      </c>
      <c r="Z2514" s="233">
        <v>0</v>
      </c>
      <c r="AA2514" s="30">
        <v>0</v>
      </c>
      <c r="AB2514" s="30">
        <v>0</v>
      </c>
      <c r="AC2514" s="30">
        <v>0</v>
      </c>
      <c r="AD2514" s="30">
        <v>0</v>
      </c>
      <c r="AE2514" s="89" t="s">
        <v>92</v>
      </c>
      <c r="AF2514" s="89"/>
      <c r="AG2514" s="89" t="s">
        <v>133</v>
      </c>
      <c r="AH2514" s="72">
        <v>43024</v>
      </c>
      <c r="AI2514" s="30">
        <v>3</v>
      </c>
      <c r="AJ2514" s="89" t="s">
        <v>14183</v>
      </c>
      <c r="AK2514" s="89" t="s">
        <v>14184</v>
      </c>
      <c r="AL2514" s="91">
        <v>43038</v>
      </c>
      <c r="AM2514" s="91"/>
      <c r="AN2514" s="91"/>
      <c r="AO2514" s="91"/>
      <c r="AP2514" s="73" t="e">
        <f>MID(VLOOKUP(K2514,#REF!,2,FALSE),1,2)</f>
        <v>#REF!</v>
      </c>
      <c r="AQ2514" s="89">
        <f>DATE(2017,10,6)</f>
        <v>43014</v>
      </c>
      <c r="AR2514" s="82">
        <f t="shared" si="197"/>
        <v>6</v>
      </c>
      <c r="AS2514" s="83">
        <f t="shared" si="198"/>
        <v>10</v>
      </c>
      <c r="AT2514" s="84">
        <f t="shared" si="199"/>
        <v>2017</v>
      </c>
      <c r="AU2514" s="88">
        <f>DATE(2017,10,10)</f>
        <v>43018</v>
      </c>
      <c r="AV2514" s="88">
        <f>DATE(2017,10,9)</f>
        <v>43017</v>
      </c>
      <c r="AW2514" s="87">
        <f t="shared" si="200"/>
        <v>1</v>
      </c>
      <c r="AX2514" s="88">
        <f>DATE(2017,10,10)</f>
        <v>43018</v>
      </c>
      <c r="AY2514" s="83">
        <f>MONTH(AX2514)</f>
        <v>10</v>
      </c>
      <c r="AZ2514" s="84">
        <f>YEAR(AX2514)</f>
        <v>2017</v>
      </c>
      <c r="BA2514" s="88">
        <f>DATE(2017,10,6)</f>
        <v>43014</v>
      </c>
      <c r="BB2514" s="86"/>
    </row>
    <row r="2515" spans="1:54" ht="36.75" customHeight="1">
      <c r="A2515" s="30"/>
      <c r="B2515" s="30" t="s">
        <v>55</v>
      </c>
      <c r="C2515" s="69" t="str">
        <f t="shared" si="201"/>
        <v>Closed</v>
      </c>
      <c r="D2515" s="27" t="s">
        <v>14185</v>
      </c>
      <c r="E2515" s="29" t="s">
        <v>14186</v>
      </c>
      <c r="F2515" s="30" t="s">
        <v>1572</v>
      </c>
      <c r="G2515" s="89">
        <f>DATE(2017,10,6)</f>
        <v>43014</v>
      </c>
      <c r="H2515" s="90">
        <v>1.5347222222222223</v>
      </c>
      <c r="I2515" s="30" t="s">
        <v>73</v>
      </c>
      <c r="J2515" s="89" t="s">
        <v>14187</v>
      </c>
      <c r="K2515" s="30" t="s">
        <v>1574</v>
      </c>
      <c r="L2515" s="30" t="s">
        <v>14188</v>
      </c>
      <c r="M2515" s="30" t="s">
        <v>63</v>
      </c>
      <c r="N2515" s="30" t="s">
        <v>142</v>
      </c>
      <c r="O2515" s="30" t="s">
        <v>77</v>
      </c>
      <c r="P2515" s="89" t="s">
        <v>78</v>
      </c>
      <c r="Q2515" s="89" t="s">
        <v>9075</v>
      </c>
      <c r="R2515" s="89" t="s">
        <v>6434</v>
      </c>
      <c r="S2515" s="30">
        <v>0</v>
      </c>
      <c r="T2515" s="233">
        <v>0</v>
      </c>
      <c r="U2515" s="30">
        <v>0</v>
      </c>
      <c r="V2515" s="233">
        <v>0</v>
      </c>
      <c r="W2515" s="30">
        <v>0</v>
      </c>
      <c r="X2515" s="30">
        <v>0</v>
      </c>
      <c r="Y2515" s="30">
        <v>0</v>
      </c>
      <c r="Z2515" s="233">
        <v>0</v>
      </c>
      <c r="AA2515" s="30">
        <v>0</v>
      </c>
      <c r="AB2515" s="30">
        <v>0</v>
      </c>
      <c r="AC2515" s="30">
        <v>0</v>
      </c>
      <c r="AD2515" s="30">
        <v>0</v>
      </c>
      <c r="AE2515" s="89" t="s">
        <v>92</v>
      </c>
      <c r="AF2515" s="89"/>
      <c r="AG2515" s="89" t="s">
        <v>133</v>
      </c>
      <c r="AH2515" s="72">
        <v>43017</v>
      </c>
      <c r="AI2515" s="30">
        <v>0</v>
      </c>
      <c r="AJ2515" s="89" t="s">
        <v>14189</v>
      </c>
      <c r="AK2515" s="89" t="s">
        <v>14190</v>
      </c>
      <c r="AL2515" s="91">
        <v>43018</v>
      </c>
      <c r="AM2515" s="91"/>
      <c r="AN2515" s="91"/>
      <c r="AO2515" s="91"/>
      <c r="AP2515" s="73" t="e">
        <f>MID(VLOOKUP(K2515,#REF!,2,FALSE),1,2)</f>
        <v>#REF!</v>
      </c>
      <c r="AQ2515" s="89">
        <f>DATE(2017,10,11)</f>
        <v>43019</v>
      </c>
      <c r="AR2515" s="82">
        <f t="shared" si="197"/>
        <v>11</v>
      </c>
      <c r="AS2515" s="83">
        <f t="shared" si="198"/>
        <v>10</v>
      </c>
      <c r="AT2515" s="84">
        <f t="shared" si="199"/>
        <v>2017</v>
      </c>
      <c r="AU2515" s="88">
        <f>DATE(2017,10,13)</f>
        <v>43021</v>
      </c>
      <c r="AV2515" s="88">
        <f>DATE(2017,10,11)</f>
        <v>43019</v>
      </c>
      <c r="AW2515" s="87">
        <f t="shared" si="200"/>
        <v>2</v>
      </c>
      <c r="AX2515" s="106"/>
      <c r="AY2515" s="83"/>
      <c r="AZ2515" s="84"/>
      <c r="BA2515" s="106"/>
      <c r="BB2515" s="106"/>
    </row>
    <row r="2516" spans="1:54" ht="36.75" customHeight="1">
      <c r="A2516" s="30"/>
      <c r="B2516" s="30" t="s">
        <v>55</v>
      </c>
      <c r="C2516" s="69" t="str">
        <f t="shared" si="201"/>
        <v>Closed</v>
      </c>
      <c r="D2516" s="27" t="s">
        <v>14191</v>
      </c>
      <c r="E2516" s="29" t="s">
        <v>14192</v>
      </c>
      <c r="F2516" s="30" t="s">
        <v>423</v>
      </c>
      <c r="G2516" s="89">
        <f>DATE(2017,10,11)</f>
        <v>43019</v>
      </c>
      <c r="H2516" s="90">
        <v>1.1548611111111111</v>
      </c>
      <c r="I2516" s="30" t="s">
        <v>104</v>
      </c>
      <c r="J2516" s="89" t="s">
        <v>14193</v>
      </c>
      <c r="K2516" s="30" t="s">
        <v>425</v>
      </c>
      <c r="L2516" s="30" t="s">
        <v>14194</v>
      </c>
      <c r="M2516" s="30" t="s">
        <v>63</v>
      </c>
      <c r="N2516" s="30" t="s">
        <v>142</v>
      </c>
      <c r="O2516" s="30" t="s">
        <v>77</v>
      </c>
      <c r="P2516" s="89" t="s">
        <v>3430</v>
      </c>
      <c r="Q2516" s="89" t="s">
        <v>14195</v>
      </c>
      <c r="R2516" s="89" t="s">
        <v>3103</v>
      </c>
      <c r="S2516" s="30">
        <v>0</v>
      </c>
      <c r="T2516" s="233">
        <v>0</v>
      </c>
      <c r="U2516" s="30">
        <v>0</v>
      </c>
      <c r="V2516" s="233">
        <v>0</v>
      </c>
      <c r="W2516" s="30">
        <v>0</v>
      </c>
      <c r="X2516" s="30">
        <v>0</v>
      </c>
      <c r="Y2516" s="30">
        <v>0</v>
      </c>
      <c r="Z2516" s="233">
        <v>0</v>
      </c>
      <c r="AA2516" s="30">
        <v>0</v>
      </c>
      <c r="AB2516" s="30">
        <v>0</v>
      </c>
      <c r="AC2516" s="30">
        <v>0</v>
      </c>
      <c r="AD2516" s="30">
        <v>0</v>
      </c>
      <c r="AE2516" s="89" t="s">
        <v>92</v>
      </c>
      <c r="AF2516" s="89"/>
      <c r="AG2516" s="89" t="s">
        <v>874</v>
      </c>
      <c r="AH2516" s="72">
        <v>43049</v>
      </c>
      <c r="AI2516" s="30">
        <v>0</v>
      </c>
      <c r="AJ2516" s="89" t="s">
        <v>14196</v>
      </c>
      <c r="AK2516" s="89" t="s">
        <v>14197</v>
      </c>
      <c r="AL2516" s="91">
        <v>43021</v>
      </c>
      <c r="AM2516" s="91"/>
      <c r="AN2516" s="91"/>
      <c r="AO2516" s="91"/>
      <c r="AP2516" s="73" t="e">
        <f>MID(VLOOKUP(K2516,#REF!,2,FALSE),1,2)</f>
        <v>#REF!</v>
      </c>
      <c r="AQ2516" s="89">
        <f>DATE(2017,10,12)</f>
        <v>43020</v>
      </c>
      <c r="AR2516" s="82">
        <f t="shared" si="197"/>
        <v>12</v>
      </c>
      <c r="AS2516" s="83">
        <f t="shared" si="198"/>
        <v>10</v>
      </c>
      <c r="AT2516" s="84">
        <f t="shared" si="199"/>
        <v>2017</v>
      </c>
      <c r="AU2516" s="88">
        <f>DATE(2017,10,17)</f>
        <v>43025</v>
      </c>
      <c r="AV2516" s="88">
        <f>DATE(2017,10,16)</f>
        <v>43024</v>
      </c>
      <c r="AW2516" s="87">
        <f t="shared" si="200"/>
        <v>1</v>
      </c>
      <c r="AX2516" s="88">
        <f>DATE(2017,10,12)</f>
        <v>43020</v>
      </c>
      <c r="AY2516" s="83">
        <f>MONTH(AX2516)</f>
        <v>10</v>
      </c>
      <c r="AZ2516" s="84">
        <f>YEAR(AX2516)</f>
        <v>2017</v>
      </c>
      <c r="BA2516" s="88">
        <f>DATE(2017,10,12)</f>
        <v>43020</v>
      </c>
      <c r="BB2516" s="86"/>
    </row>
    <row r="2517" spans="1:54" ht="36.75" customHeight="1">
      <c r="A2517" s="30"/>
      <c r="B2517" s="30" t="s">
        <v>55</v>
      </c>
      <c r="C2517" s="69" t="str">
        <f t="shared" si="201"/>
        <v>Closed</v>
      </c>
      <c r="D2517" s="27" t="s">
        <v>14198</v>
      </c>
      <c r="E2517" s="29" t="s">
        <v>14199</v>
      </c>
      <c r="F2517" s="30" t="s">
        <v>2601</v>
      </c>
      <c r="G2517" s="89">
        <f>DATE(2017,10,12)</f>
        <v>43020</v>
      </c>
      <c r="H2517" s="90">
        <v>1.7013888888888888</v>
      </c>
      <c r="I2517" s="30" t="s">
        <v>125</v>
      </c>
      <c r="J2517" s="89" t="s">
        <v>14200</v>
      </c>
      <c r="K2517" s="30" t="s">
        <v>2603</v>
      </c>
      <c r="L2517" s="30" t="s">
        <v>14201</v>
      </c>
      <c r="M2517" s="30" t="s">
        <v>63</v>
      </c>
      <c r="N2517" s="30" t="s">
        <v>89</v>
      </c>
      <c r="O2517" s="30" t="s">
        <v>77</v>
      </c>
      <c r="P2517" s="89" t="s">
        <v>91</v>
      </c>
      <c r="Q2517" s="89" t="s">
        <v>6342</v>
      </c>
      <c r="R2517" s="89" t="s">
        <v>2606</v>
      </c>
      <c r="S2517" s="30">
        <v>0</v>
      </c>
      <c r="T2517" s="233">
        <v>0</v>
      </c>
      <c r="U2517" s="30">
        <v>0</v>
      </c>
      <c r="V2517" s="233">
        <v>0</v>
      </c>
      <c r="W2517" s="30">
        <v>0</v>
      </c>
      <c r="X2517" s="30">
        <v>0</v>
      </c>
      <c r="Y2517" s="30">
        <v>0</v>
      </c>
      <c r="Z2517" s="233">
        <v>0</v>
      </c>
      <c r="AA2517" s="30">
        <v>0</v>
      </c>
      <c r="AB2517" s="30">
        <v>0</v>
      </c>
      <c r="AC2517" s="30">
        <v>0</v>
      </c>
      <c r="AD2517" s="30">
        <v>0</v>
      </c>
      <c r="AE2517" s="89" t="s">
        <v>92</v>
      </c>
      <c r="AF2517" s="89"/>
      <c r="AG2517" s="89" t="s">
        <v>133</v>
      </c>
      <c r="AH2517" s="72">
        <v>43024</v>
      </c>
      <c r="AI2517" s="30">
        <v>4</v>
      </c>
      <c r="AJ2517" s="89" t="s">
        <v>14202</v>
      </c>
      <c r="AK2517" s="89" t="s">
        <v>14203</v>
      </c>
      <c r="AL2517" s="91">
        <v>43025</v>
      </c>
      <c r="AM2517" s="91"/>
      <c r="AN2517" s="91"/>
      <c r="AO2517" s="91"/>
      <c r="AP2517" s="73" t="e">
        <f>MID(VLOOKUP(K2517,#REF!,2,FALSE),1,2)</f>
        <v>#REF!</v>
      </c>
      <c r="AQ2517" s="89">
        <f>DATE(2017,10,12)</f>
        <v>43020</v>
      </c>
      <c r="AR2517" s="82">
        <f t="shared" si="197"/>
        <v>12</v>
      </c>
      <c r="AS2517" s="83">
        <f t="shared" si="198"/>
        <v>10</v>
      </c>
      <c r="AT2517" s="84">
        <f t="shared" si="199"/>
        <v>2017</v>
      </c>
      <c r="AU2517" s="88">
        <f>DATE(2017,10,27)</f>
        <v>43035</v>
      </c>
      <c r="AV2517" s="88">
        <f>DATE(2017,10,16)</f>
        <v>43024</v>
      </c>
      <c r="AW2517" s="87">
        <f t="shared" si="200"/>
        <v>11</v>
      </c>
      <c r="AX2517" s="88">
        <f>DATE(2017,10,16)</f>
        <v>43024</v>
      </c>
      <c r="AY2517" s="83">
        <f>MONTH(AX2517)</f>
        <v>10</v>
      </c>
      <c r="AZ2517" s="84">
        <f>YEAR(AX2517)</f>
        <v>2017</v>
      </c>
      <c r="BA2517" s="88">
        <f>DATE(2017,10,31)</f>
        <v>43039</v>
      </c>
      <c r="BB2517" s="86"/>
    </row>
    <row r="2518" spans="1:54" ht="36.75" customHeight="1">
      <c r="A2518" s="30"/>
      <c r="B2518" s="30" t="s">
        <v>55</v>
      </c>
      <c r="C2518" s="69" t="str">
        <f t="shared" si="201"/>
        <v>Closed</v>
      </c>
      <c r="D2518" s="27" t="s">
        <v>14204</v>
      </c>
      <c r="E2518" s="29" t="s">
        <v>14205</v>
      </c>
      <c r="F2518" s="30" t="s">
        <v>9789</v>
      </c>
      <c r="G2518" s="89">
        <f>DATE(2017,10,12)</f>
        <v>43020</v>
      </c>
      <c r="H2518" s="90">
        <v>1.6875</v>
      </c>
      <c r="I2518" s="30" t="s">
        <v>73</v>
      </c>
      <c r="J2518" s="210" t="s">
        <v>14206</v>
      </c>
      <c r="K2518" s="30" t="s">
        <v>9791</v>
      </c>
      <c r="L2518" s="30" t="s">
        <v>14207</v>
      </c>
      <c r="M2518" s="30" t="s">
        <v>63</v>
      </c>
      <c r="N2518" s="30" t="s">
        <v>89</v>
      </c>
      <c r="O2518" s="30" t="s">
        <v>90</v>
      </c>
      <c r="P2518" s="89" t="s">
        <v>78</v>
      </c>
      <c r="Q2518" s="89" t="s">
        <v>10257</v>
      </c>
      <c r="R2518" s="89" t="s">
        <v>9794</v>
      </c>
      <c r="S2518" s="30">
        <v>0</v>
      </c>
      <c r="T2518" s="233">
        <v>0</v>
      </c>
      <c r="U2518" s="30">
        <v>0</v>
      </c>
      <c r="V2518" s="233">
        <v>0</v>
      </c>
      <c r="W2518" s="30">
        <v>0</v>
      </c>
      <c r="X2518" s="30">
        <v>0</v>
      </c>
      <c r="Y2518" s="30">
        <v>0</v>
      </c>
      <c r="Z2518" s="233">
        <v>0</v>
      </c>
      <c r="AA2518" s="30">
        <v>0</v>
      </c>
      <c r="AB2518" s="30">
        <v>0</v>
      </c>
      <c r="AC2518" s="30">
        <v>0</v>
      </c>
      <c r="AD2518" s="30">
        <v>0</v>
      </c>
      <c r="AE2518" s="89" t="s">
        <v>92</v>
      </c>
      <c r="AF2518" s="89"/>
      <c r="AG2518" s="89" t="s">
        <v>352</v>
      </c>
      <c r="AH2518" s="72">
        <v>43024</v>
      </c>
      <c r="AI2518" s="30">
        <v>0</v>
      </c>
      <c r="AJ2518" s="89" t="s">
        <v>14208</v>
      </c>
      <c r="AK2518" s="89" t="s">
        <v>14209</v>
      </c>
      <c r="AL2518" s="91">
        <v>43035</v>
      </c>
      <c r="AM2518" s="91"/>
      <c r="AN2518" s="91"/>
      <c r="AO2518" s="91"/>
      <c r="AP2518" s="73" t="e">
        <f>MID(VLOOKUP(K2518,#REF!,2,FALSE),1,2)</f>
        <v>#REF!</v>
      </c>
      <c r="AQ2518" s="89">
        <f>DATE(2017,10,12)</f>
        <v>43020</v>
      </c>
      <c r="AR2518" s="82">
        <f t="shared" si="197"/>
        <v>12</v>
      </c>
      <c r="AS2518" s="83">
        <f t="shared" si="198"/>
        <v>10</v>
      </c>
      <c r="AT2518" s="84">
        <f t="shared" si="199"/>
        <v>2017</v>
      </c>
      <c r="AU2518" s="88">
        <f>DATE(2017,11,28)</f>
        <v>43067</v>
      </c>
      <c r="AV2518" s="88">
        <f>DATE(2017,10,20)</f>
        <v>43028</v>
      </c>
      <c r="AW2518" s="87">
        <f t="shared" si="200"/>
        <v>39</v>
      </c>
      <c r="AX2518" s="88">
        <f>DATE(2017,10,23)</f>
        <v>43031</v>
      </c>
      <c r="AY2518" s="83">
        <f>MONTH(AX2518)</f>
        <v>10</v>
      </c>
      <c r="AZ2518" s="84">
        <f>YEAR(AX2518)</f>
        <v>2017</v>
      </c>
      <c r="BA2518" s="88">
        <f>DATE(2017,10,23)</f>
        <v>43031</v>
      </c>
      <c r="BB2518" s="86"/>
    </row>
    <row r="2519" spans="1:54" ht="36.75" customHeight="1">
      <c r="A2519" s="30"/>
      <c r="B2519" s="30" t="s">
        <v>55</v>
      </c>
      <c r="C2519" s="69" t="str">
        <f t="shared" si="201"/>
        <v>Closed</v>
      </c>
      <c r="D2519" s="27" t="s">
        <v>14210</v>
      </c>
      <c r="E2519" s="29" t="s">
        <v>14211</v>
      </c>
      <c r="F2519" s="30" t="s">
        <v>138</v>
      </c>
      <c r="G2519" s="89">
        <f>DATE(2017,10,12)</f>
        <v>43020</v>
      </c>
      <c r="H2519" s="90">
        <v>1.0986111111111112</v>
      </c>
      <c r="I2519" s="30" t="s">
        <v>73</v>
      </c>
      <c r="J2519" s="89" t="s">
        <v>14212</v>
      </c>
      <c r="K2519" s="30" t="s">
        <v>140</v>
      </c>
      <c r="L2519" s="30" t="s">
        <v>14213</v>
      </c>
      <c r="M2519" s="30" t="s">
        <v>63</v>
      </c>
      <c r="N2519" s="30" t="s">
        <v>99</v>
      </c>
      <c r="O2519" s="30" t="s">
        <v>77</v>
      </c>
      <c r="P2519" s="89" t="s">
        <v>78</v>
      </c>
      <c r="Q2519" s="89" t="s">
        <v>143</v>
      </c>
      <c r="R2519" s="89" t="s">
        <v>4934</v>
      </c>
      <c r="S2519" s="30">
        <v>0</v>
      </c>
      <c r="T2519" s="233">
        <v>0</v>
      </c>
      <c r="U2519" s="30">
        <v>0</v>
      </c>
      <c r="V2519" s="233">
        <v>0</v>
      </c>
      <c r="W2519" s="30">
        <v>0</v>
      </c>
      <c r="X2519" s="30">
        <v>0</v>
      </c>
      <c r="Y2519" s="30">
        <v>0</v>
      </c>
      <c r="Z2519" s="233">
        <v>0</v>
      </c>
      <c r="AA2519" s="30">
        <v>0</v>
      </c>
      <c r="AB2519" s="30">
        <v>0</v>
      </c>
      <c r="AC2519" s="30">
        <v>0</v>
      </c>
      <c r="AD2519" s="30">
        <v>0</v>
      </c>
      <c r="AE2519" s="89" t="s">
        <v>394</v>
      </c>
      <c r="AF2519" s="89"/>
      <c r="AG2519" s="89" t="s">
        <v>82</v>
      </c>
      <c r="AH2519" s="72">
        <v>43028</v>
      </c>
      <c r="AI2519" s="30">
        <v>10</v>
      </c>
      <c r="AJ2519" s="89" t="s">
        <v>14214</v>
      </c>
      <c r="AK2519" s="89" t="s">
        <v>14215</v>
      </c>
      <c r="AL2519" s="91">
        <v>43067</v>
      </c>
      <c r="AM2519" s="91"/>
      <c r="AN2519" s="91"/>
      <c r="AO2519" s="91"/>
      <c r="AP2519" s="73" t="e">
        <f>MID(VLOOKUP(K2519,#REF!,2,FALSE),1,2)</f>
        <v>#REF!</v>
      </c>
      <c r="AQ2519" s="89">
        <f>DATE(2017,10,13)</f>
        <v>43021</v>
      </c>
      <c r="AR2519" s="82">
        <f t="shared" si="197"/>
        <v>13</v>
      </c>
      <c r="AS2519" s="83">
        <f t="shared" si="198"/>
        <v>10</v>
      </c>
      <c r="AT2519" s="84">
        <f t="shared" si="199"/>
        <v>2017</v>
      </c>
      <c r="AU2519" s="88">
        <f>DATE(2017,11,7)</f>
        <v>43046</v>
      </c>
      <c r="AV2519" s="88">
        <f>DATE(2017,11,2)</f>
        <v>43041</v>
      </c>
      <c r="AW2519" s="87">
        <f t="shared" si="200"/>
        <v>5</v>
      </c>
      <c r="AX2519" s="86"/>
      <c r="AY2519" s="83"/>
      <c r="AZ2519" s="84"/>
      <c r="BA2519" s="88">
        <f>DATE(2017,10,13)</f>
        <v>43021</v>
      </c>
      <c r="BB2519" s="86" t="s">
        <v>13115</v>
      </c>
    </row>
    <row r="2520" spans="1:54" ht="36.75" customHeight="1">
      <c r="A2520" s="30"/>
      <c r="B2520" s="30" t="s">
        <v>55</v>
      </c>
      <c r="C2520" s="69" t="str">
        <f t="shared" si="201"/>
        <v>Closed</v>
      </c>
      <c r="D2520" s="27" t="s">
        <v>14216</v>
      </c>
      <c r="E2520" s="29" t="s">
        <v>14217</v>
      </c>
      <c r="F2520" s="30" t="s">
        <v>377</v>
      </c>
      <c r="G2520" s="89">
        <f>DATE(2017,10,13)</f>
        <v>43021</v>
      </c>
      <c r="H2520" s="90">
        <v>1.4548611111111112</v>
      </c>
      <c r="I2520" s="30" t="s">
        <v>125</v>
      </c>
      <c r="J2520" s="89" t="s">
        <v>14218</v>
      </c>
      <c r="K2520" s="30" t="s">
        <v>379</v>
      </c>
      <c r="L2520" s="30" t="s">
        <v>14219</v>
      </c>
      <c r="M2520" s="30" t="s">
        <v>63</v>
      </c>
      <c r="N2520" s="30" t="s">
        <v>142</v>
      </c>
      <c r="O2520" s="30" t="s">
        <v>77</v>
      </c>
      <c r="P2520" s="89" t="s">
        <v>78</v>
      </c>
      <c r="Q2520" s="89" t="s">
        <v>3909</v>
      </c>
      <c r="R2520" s="89" t="s">
        <v>382</v>
      </c>
      <c r="S2520" s="30">
        <v>0</v>
      </c>
      <c r="T2520" s="233">
        <v>0</v>
      </c>
      <c r="U2520" s="30">
        <v>0</v>
      </c>
      <c r="V2520" s="233">
        <v>0</v>
      </c>
      <c r="W2520" s="30">
        <v>0</v>
      </c>
      <c r="X2520" s="30">
        <v>0</v>
      </c>
      <c r="Y2520" s="30">
        <v>0</v>
      </c>
      <c r="Z2520" s="233">
        <v>0</v>
      </c>
      <c r="AA2520" s="30">
        <v>0</v>
      </c>
      <c r="AB2520" s="30">
        <v>0</v>
      </c>
      <c r="AC2520" s="30">
        <v>0</v>
      </c>
      <c r="AD2520" s="30">
        <v>0</v>
      </c>
      <c r="AE2520" s="89" t="s">
        <v>145</v>
      </c>
      <c r="AF2520" s="89"/>
      <c r="AG2520" s="89" t="s">
        <v>82</v>
      </c>
      <c r="AH2520" s="72">
        <v>43041</v>
      </c>
      <c r="AI2520" s="30">
        <v>9</v>
      </c>
      <c r="AJ2520" s="89" t="s">
        <v>14220</v>
      </c>
      <c r="AK2520" s="89" t="s">
        <v>14221</v>
      </c>
      <c r="AL2520" s="91">
        <v>43046</v>
      </c>
      <c r="AM2520" s="91"/>
      <c r="AN2520" s="91"/>
      <c r="AO2520" s="91"/>
      <c r="AP2520" s="73" t="e">
        <f>MID(VLOOKUP(K2520,#REF!,2,FALSE),1,2)</f>
        <v>#REF!</v>
      </c>
      <c r="AQ2520" s="89">
        <f>DATE(2017,10,17)</f>
        <v>43025</v>
      </c>
      <c r="AR2520" s="82">
        <f t="shared" si="197"/>
        <v>17</v>
      </c>
      <c r="AS2520" s="83">
        <f t="shared" si="198"/>
        <v>10</v>
      </c>
      <c r="AT2520" s="84">
        <f t="shared" si="199"/>
        <v>2017</v>
      </c>
      <c r="AU2520" s="88">
        <f>DATE(2017,11,2)</f>
        <v>43041</v>
      </c>
      <c r="AV2520" s="88">
        <f>DATE(2017,10,19)</f>
        <v>43027</v>
      </c>
      <c r="AW2520" s="87">
        <f t="shared" si="200"/>
        <v>14</v>
      </c>
      <c r="AX2520" s="88">
        <f>DATE(2017,10,19)</f>
        <v>43027</v>
      </c>
      <c r="AY2520" s="83">
        <f>MONTH(AX2520)</f>
        <v>10</v>
      </c>
      <c r="AZ2520" s="84">
        <f>YEAR(AX2520)</f>
        <v>2017</v>
      </c>
      <c r="BA2520" s="88">
        <f>DATE(2017,11,2)</f>
        <v>43041</v>
      </c>
      <c r="BB2520" s="86"/>
    </row>
    <row r="2521" spans="1:54" ht="36.75" customHeight="1">
      <c r="A2521" s="30"/>
      <c r="B2521" s="30" t="s">
        <v>55</v>
      </c>
      <c r="C2521" s="69" t="str">
        <f t="shared" si="201"/>
        <v>Closed</v>
      </c>
      <c r="D2521" s="27" t="s">
        <v>14222</v>
      </c>
      <c r="E2521" s="29" t="s">
        <v>14223</v>
      </c>
      <c r="F2521" s="30" t="s">
        <v>9789</v>
      </c>
      <c r="G2521" s="89">
        <f>DATE(2017,10,17)</f>
        <v>43025</v>
      </c>
      <c r="H2521" s="90">
        <v>1.8909722222222221</v>
      </c>
      <c r="I2521" s="30" t="s">
        <v>73</v>
      </c>
      <c r="J2521" s="210" t="s">
        <v>14224</v>
      </c>
      <c r="K2521" s="30" t="s">
        <v>9791</v>
      </c>
      <c r="L2521" s="30" t="s">
        <v>14225</v>
      </c>
      <c r="M2521" s="30" t="s">
        <v>63</v>
      </c>
      <c r="N2521" s="30" t="s">
        <v>89</v>
      </c>
      <c r="O2521" s="30" t="s">
        <v>77</v>
      </c>
      <c r="P2521" s="89" t="s">
        <v>165</v>
      </c>
      <c r="Q2521" s="89" t="s">
        <v>9960</v>
      </c>
      <c r="R2521" s="89" t="s">
        <v>9794</v>
      </c>
      <c r="S2521" s="30">
        <v>0</v>
      </c>
      <c r="T2521" s="233">
        <v>0</v>
      </c>
      <c r="U2521" s="30">
        <v>0</v>
      </c>
      <c r="V2521" s="233">
        <v>0</v>
      </c>
      <c r="W2521" s="30">
        <v>0</v>
      </c>
      <c r="X2521" s="30">
        <v>0</v>
      </c>
      <c r="Y2521" s="30">
        <v>0</v>
      </c>
      <c r="Z2521" s="233">
        <v>0</v>
      </c>
      <c r="AA2521" s="30">
        <v>0</v>
      </c>
      <c r="AB2521" s="30">
        <v>0</v>
      </c>
      <c r="AC2521" s="30">
        <v>0</v>
      </c>
      <c r="AD2521" s="30">
        <v>0</v>
      </c>
      <c r="AE2521" s="89" t="s">
        <v>92</v>
      </c>
      <c r="AF2521" s="89"/>
      <c r="AG2521" s="89" t="s">
        <v>133</v>
      </c>
      <c r="AH2521" s="72">
        <v>43027</v>
      </c>
      <c r="AI2521" s="30">
        <v>0</v>
      </c>
      <c r="AJ2521" s="89" t="s">
        <v>14226</v>
      </c>
      <c r="AK2521" s="89" t="s">
        <v>14227</v>
      </c>
      <c r="AL2521" s="91">
        <v>43041</v>
      </c>
      <c r="AM2521" s="91"/>
      <c r="AN2521" s="91"/>
      <c r="AO2521" s="91"/>
      <c r="AP2521" s="73" t="e">
        <f>MID(VLOOKUP(K2521,#REF!,2,FALSE),1,2)</f>
        <v>#REF!</v>
      </c>
      <c r="AQ2521" s="89">
        <f>DATE(2017,10,17)</f>
        <v>43025</v>
      </c>
      <c r="AR2521" s="82">
        <f t="shared" si="197"/>
        <v>17</v>
      </c>
      <c r="AS2521" s="83">
        <f t="shared" si="198"/>
        <v>10</v>
      </c>
      <c r="AT2521" s="84">
        <f t="shared" si="199"/>
        <v>2017</v>
      </c>
      <c r="AU2521" s="88">
        <f>DATE(2017,11,10)</f>
        <v>43049</v>
      </c>
      <c r="AV2521" s="88">
        <f>DATE(2017,10,30)</f>
        <v>43038</v>
      </c>
      <c r="AW2521" s="87">
        <f t="shared" si="200"/>
        <v>11</v>
      </c>
      <c r="AX2521" s="88">
        <f>DATE(2017,11,10)</f>
        <v>43049</v>
      </c>
      <c r="AY2521" s="83">
        <f>MONTH(AX2521)</f>
        <v>11</v>
      </c>
      <c r="AZ2521" s="84">
        <f>YEAR(AX2521)</f>
        <v>2017</v>
      </c>
      <c r="BA2521" s="86"/>
      <c r="BB2521" s="86"/>
    </row>
    <row r="2522" spans="1:54" ht="36.75" customHeight="1">
      <c r="A2522" s="30"/>
      <c r="B2522" s="30" t="s">
        <v>55</v>
      </c>
      <c r="C2522" s="69" t="str">
        <f t="shared" si="201"/>
        <v>Closed</v>
      </c>
      <c r="D2522" s="27" t="s">
        <v>14228</v>
      </c>
      <c r="E2522" s="29" t="s">
        <v>14229</v>
      </c>
      <c r="F2522" s="30" t="s">
        <v>233</v>
      </c>
      <c r="G2522" s="89">
        <f>DATE(2017,10,17)</f>
        <v>43025</v>
      </c>
      <c r="H2522" s="90">
        <v>1.1854166666666668</v>
      </c>
      <c r="I2522" s="30" t="s">
        <v>487</v>
      </c>
      <c r="J2522" s="89" t="s">
        <v>14230</v>
      </c>
      <c r="K2522" s="30" t="s">
        <v>235</v>
      </c>
      <c r="L2522" s="30" t="s">
        <v>14231</v>
      </c>
      <c r="M2522" s="30" t="s">
        <v>63</v>
      </c>
      <c r="N2522" s="30" t="s">
        <v>142</v>
      </c>
      <c r="O2522" s="30" t="s">
        <v>64</v>
      </c>
      <c r="P2522" s="89" t="s">
        <v>301</v>
      </c>
      <c r="Q2522" s="89" t="s">
        <v>4042</v>
      </c>
      <c r="R2522" s="89" t="s">
        <v>235</v>
      </c>
      <c r="S2522" s="30">
        <v>0</v>
      </c>
      <c r="T2522" s="233">
        <v>0</v>
      </c>
      <c r="U2522" s="30">
        <v>0</v>
      </c>
      <c r="V2522" s="233">
        <v>0</v>
      </c>
      <c r="W2522" s="30">
        <v>0</v>
      </c>
      <c r="X2522" s="30">
        <v>0</v>
      </c>
      <c r="Y2522" s="30">
        <v>0</v>
      </c>
      <c r="Z2522" s="233">
        <v>0</v>
      </c>
      <c r="AA2522" s="30">
        <v>0</v>
      </c>
      <c r="AB2522" s="30">
        <v>0</v>
      </c>
      <c r="AC2522" s="30">
        <v>0</v>
      </c>
      <c r="AD2522" s="30">
        <v>0</v>
      </c>
      <c r="AE2522" s="89" t="s">
        <v>92</v>
      </c>
      <c r="AF2522" s="89"/>
      <c r="AG2522" s="89" t="s">
        <v>133</v>
      </c>
      <c r="AH2522" s="72">
        <v>43038</v>
      </c>
      <c r="AI2522" s="30">
        <v>2</v>
      </c>
      <c r="AJ2522" s="89" t="s">
        <v>14232</v>
      </c>
      <c r="AK2522" s="89" t="s">
        <v>14233</v>
      </c>
      <c r="AL2522" s="91">
        <v>43049</v>
      </c>
      <c r="AM2522" s="91"/>
      <c r="AN2522" s="91"/>
      <c r="AO2522" s="91"/>
      <c r="AP2522" s="73" t="e">
        <f>MID(VLOOKUP(K2522,#REF!,2,FALSE),1,2)</f>
        <v>#REF!</v>
      </c>
      <c r="AQ2522" s="89">
        <f>DATE(2017,10,20)</f>
        <v>43028</v>
      </c>
      <c r="AR2522" s="82">
        <f t="shared" si="197"/>
        <v>20</v>
      </c>
      <c r="AS2522" s="83">
        <f t="shared" si="198"/>
        <v>10</v>
      </c>
      <c r="AT2522" s="84">
        <f t="shared" si="199"/>
        <v>2017</v>
      </c>
      <c r="AU2522" s="88">
        <f>DATE(2017,11,9)</f>
        <v>43048</v>
      </c>
      <c r="AV2522" s="88">
        <f>DATE(2017,10,20)</f>
        <v>43028</v>
      </c>
      <c r="AW2522" s="87">
        <f t="shared" si="200"/>
        <v>20</v>
      </c>
      <c r="AX2522" s="86"/>
      <c r="AY2522" s="83"/>
      <c r="AZ2522" s="84"/>
      <c r="BA2522" s="86"/>
      <c r="BB2522" s="86" t="s">
        <v>13115</v>
      </c>
    </row>
    <row r="2523" spans="1:54" ht="36.75" customHeight="1">
      <c r="A2523" s="30"/>
      <c r="B2523" s="30" t="s">
        <v>55</v>
      </c>
      <c r="C2523" s="69" t="str">
        <f t="shared" si="201"/>
        <v>Closed</v>
      </c>
      <c r="D2523" s="27" t="s">
        <v>14234</v>
      </c>
      <c r="E2523" s="29" t="s">
        <v>14235</v>
      </c>
      <c r="F2523" s="30" t="s">
        <v>835</v>
      </c>
      <c r="G2523" s="89">
        <f>DATE(2017,10,20)</f>
        <v>43028</v>
      </c>
      <c r="H2523" s="90">
        <v>1.46875</v>
      </c>
      <c r="I2523" s="30" t="s">
        <v>116</v>
      </c>
      <c r="J2523" s="89" t="s">
        <v>14236</v>
      </c>
      <c r="K2523" s="30" t="s">
        <v>837</v>
      </c>
      <c r="L2523" s="30" t="s">
        <v>14237</v>
      </c>
      <c r="M2523" s="30" t="s">
        <v>63</v>
      </c>
      <c r="N2523" s="30" t="s">
        <v>99</v>
      </c>
      <c r="O2523" s="30" t="s">
        <v>64</v>
      </c>
      <c r="P2523" s="89" t="s">
        <v>65</v>
      </c>
      <c r="Q2523" s="89" t="s">
        <v>2162</v>
      </c>
      <c r="R2523" s="89" t="s">
        <v>2797</v>
      </c>
      <c r="S2523" s="30">
        <v>0</v>
      </c>
      <c r="T2523" s="233">
        <v>0</v>
      </c>
      <c r="U2523" s="30">
        <v>0</v>
      </c>
      <c r="V2523" s="233">
        <v>0</v>
      </c>
      <c r="W2523" s="30">
        <v>0</v>
      </c>
      <c r="X2523" s="30">
        <v>0</v>
      </c>
      <c r="Y2523" s="30">
        <v>0</v>
      </c>
      <c r="Z2523" s="233">
        <v>0</v>
      </c>
      <c r="AA2523" s="30">
        <v>0</v>
      </c>
      <c r="AB2523" s="30">
        <v>0</v>
      </c>
      <c r="AC2523" s="30">
        <v>0</v>
      </c>
      <c r="AD2523" s="30">
        <v>0</v>
      </c>
      <c r="AE2523" s="89" t="s">
        <v>92</v>
      </c>
      <c r="AF2523" s="89"/>
      <c r="AG2523" s="89" t="s">
        <v>352</v>
      </c>
      <c r="AH2523" s="72">
        <v>43028</v>
      </c>
      <c r="AI2523" s="30">
        <v>0</v>
      </c>
      <c r="AJ2523" s="89" t="s">
        <v>14238</v>
      </c>
      <c r="AK2523" s="89" t="s">
        <v>14239</v>
      </c>
      <c r="AL2523" s="91">
        <v>43048</v>
      </c>
      <c r="AM2523" s="91"/>
      <c r="AN2523" s="91"/>
      <c r="AO2523" s="91"/>
      <c r="AP2523" s="73" t="e">
        <f>MID(VLOOKUP(K2523,#REF!,2,FALSE),1,2)</f>
        <v>#REF!</v>
      </c>
      <c r="AQ2523" s="89">
        <f>DATE(2017,10,20)</f>
        <v>43028</v>
      </c>
      <c r="AR2523" s="82">
        <f t="shared" ref="AR2523:AR2545" si="202">DAY(AQ2523)</f>
        <v>20</v>
      </c>
      <c r="AS2523" s="83">
        <f t="shared" ref="AS2523:AS2545" si="203">MONTH(AQ2523)</f>
        <v>10</v>
      </c>
      <c r="AT2523" s="84">
        <f t="shared" ref="AT2523:AT2545" si="204">YEAR(AQ2523)</f>
        <v>2017</v>
      </c>
      <c r="AU2523" s="88">
        <f>DATE(2018,3,5)</f>
        <v>43164</v>
      </c>
      <c r="AV2523" s="88">
        <f>DATE(2018,2,5)</f>
        <v>43136</v>
      </c>
      <c r="AW2523" s="87">
        <f t="shared" si="200"/>
        <v>28</v>
      </c>
      <c r="AX2523" s="88">
        <f>DATE(2018,3,5)</f>
        <v>43164</v>
      </c>
      <c r="AY2523" s="83">
        <f>MONTH(AX2523)</f>
        <v>3</v>
      </c>
      <c r="AZ2523" s="84">
        <f>YEAR(AX2523)</f>
        <v>2018</v>
      </c>
      <c r="BA2523" s="86"/>
      <c r="BB2523" s="86"/>
    </row>
    <row r="2524" spans="1:54" ht="36.75" customHeight="1">
      <c r="A2524" s="30"/>
      <c r="B2524" s="30" t="s">
        <v>55</v>
      </c>
      <c r="C2524" s="69" t="str">
        <f t="shared" si="201"/>
        <v>Closed</v>
      </c>
      <c r="D2524" s="27" t="s">
        <v>14240</v>
      </c>
      <c r="E2524" s="29" t="s">
        <v>14241</v>
      </c>
      <c r="F2524" s="30" t="s">
        <v>233</v>
      </c>
      <c r="G2524" s="89">
        <f>DATE(2017,10,20)</f>
        <v>43028</v>
      </c>
      <c r="H2524" s="90">
        <v>1.4513888888888888</v>
      </c>
      <c r="I2524" s="30" t="s">
        <v>59</v>
      </c>
      <c r="J2524" s="89" t="s">
        <v>14242</v>
      </c>
      <c r="K2524" s="30" t="s">
        <v>235</v>
      </c>
      <c r="L2524" s="30" t="s">
        <v>14243</v>
      </c>
      <c r="M2524" s="30" t="s">
        <v>63</v>
      </c>
      <c r="N2524" s="30" t="s">
        <v>99</v>
      </c>
      <c r="O2524" s="30" t="s">
        <v>64</v>
      </c>
      <c r="P2524" s="89" t="s">
        <v>165</v>
      </c>
      <c r="Q2524" s="89" t="s">
        <v>2174</v>
      </c>
      <c r="R2524" s="89" t="s">
        <v>235</v>
      </c>
      <c r="S2524" s="30">
        <v>0</v>
      </c>
      <c r="T2524" s="233">
        <v>0</v>
      </c>
      <c r="U2524" s="30">
        <v>0</v>
      </c>
      <c r="V2524" s="233">
        <v>0</v>
      </c>
      <c r="W2524" s="30">
        <v>0</v>
      </c>
      <c r="X2524" s="30">
        <v>0</v>
      </c>
      <c r="Y2524" s="30">
        <v>0</v>
      </c>
      <c r="Z2524" s="233">
        <v>0</v>
      </c>
      <c r="AA2524" s="30">
        <v>0</v>
      </c>
      <c r="AB2524" s="30">
        <v>0</v>
      </c>
      <c r="AC2524" s="30">
        <v>0</v>
      </c>
      <c r="AD2524" s="30">
        <v>0</v>
      </c>
      <c r="AE2524" s="89" t="s">
        <v>92</v>
      </c>
      <c r="AF2524" s="89"/>
      <c r="AG2524" s="89" t="s">
        <v>133</v>
      </c>
      <c r="AH2524" s="72">
        <v>43136</v>
      </c>
      <c r="AI2524" s="30">
        <v>5</v>
      </c>
      <c r="AJ2524" s="89" t="s">
        <v>14244</v>
      </c>
      <c r="AK2524" s="89" t="s">
        <v>14245</v>
      </c>
      <c r="AL2524" s="91">
        <v>43164</v>
      </c>
      <c r="AM2524" s="91"/>
      <c r="AN2524" s="91"/>
      <c r="AO2524" s="91"/>
      <c r="AP2524" s="73" t="e">
        <f>MID(VLOOKUP(K2524,#REF!,2,FALSE),1,2)</f>
        <v>#REF!</v>
      </c>
      <c r="AQ2524" s="89">
        <f>DATE(2017,10,23)</f>
        <v>43031</v>
      </c>
      <c r="AR2524" s="82">
        <f t="shared" si="202"/>
        <v>23</v>
      </c>
      <c r="AS2524" s="83">
        <f t="shared" si="203"/>
        <v>10</v>
      </c>
      <c r="AT2524" s="84">
        <f t="shared" si="204"/>
        <v>2017</v>
      </c>
      <c r="AU2524" s="88">
        <f>DATE(2017,11,16)</f>
        <v>43055</v>
      </c>
      <c r="AV2524" s="88">
        <f>DATE(2017,10,30)</f>
        <v>43038</v>
      </c>
      <c r="AW2524" s="87">
        <f t="shared" si="200"/>
        <v>17</v>
      </c>
      <c r="AX2524" s="88">
        <f>DATE(2017,11,16)</f>
        <v>43055</v>
      </c>
      <c r="AY2524" s="83">
        <f>MONTH(AX2524)</f>
        <v>11</v>
      </c>
      <c r="AZ2524" s="84">
        <f>YEAR(AX2524)</f>
        <v>2017</v>
      </c>
      <c r="BA2524" s="86"/>
      <c r="BB2524" s="86"/>
    </row>
    <row r="2525" spans="1:54" ht="36.75" customHeight="1">
      <c r="A2525" s="30"/>
      <c r="B2525" s="30" t="s">
        <v>55</v>
      </c>
      <c r="C2525" s="69" t="str">
        <f t="shared" si="201"/>
        <v>Closed</v>
      </c>
      <c r="D2525" s="27" t="s">
        <v>14246</v>
      </c>
      <c r="E2525" s="29" t="s">
        <v>14247</v>
      </c>
      <c r="F2525" s="30" t="s">
        <v>233</v>
      </c>
      <c r="G2525" s="89">
        <f>DATE(2017,10,23)</f>
        <v>43031</v>
      </c>
      <c r="H2525" s="90">
        <v>1.6319444444444444</v>
      </c>
      <c r="I2525" s="30" t="s">
        <v>116</v>
      </c>
      <c r="J2525" s="89" t="s">
        <v>14248</v>
      </c>
      <c r="K2525" s="30" t="s">
        <v>235</v>
      </c>
      <c r="L2525" s="30" t="s">
        <v>14249</v>
      </c>
      <c r="M2525" s="30" t="s">
        <v>63</v>
      </c>
      <c r="N2525" s="30" t="s">
        <v>142</v>
      </c>
      <c r="O2525" s="30" t="s">
        <v>86</v>
      </c>
      <c r="P2525" s="89" t="s">
        <v>462</v>
      </c>
      <c r="Q2525" s="89" t="s">
        <v>1521</v>
      </c>
      <c r="R2525" s="89" t="s">
        <v>235</v>
      </c>
      <c r="S2525" s="30">
        <v>0</v>
      </c>
      <c r="T2525" s="233">
        <v>0</v>
      </c>
      <c r="U2525" s="30">
        <v>0</v>
      </c>
      <c r="V2525" s="233">
        <v>0</v>
      </c>
      <c r="W2525" s="30">
        <v>0</v>
      </c>
      <c r="X2525" s="30">
        <v>0</v>
      </c>
      <c r="Y2525" s="30">
        <v>0</v>
      </c>
      <c r="Z2525" s="233">
        <v>0</v>
      </c>
      <c r="AA2525" s="30">
        <v>1</v>
      </c>
      <c r="AB2525" s="30">
        <v>0</v>
      </c>
      <c r="AC2525" s="30">
        <v>0</v>
      </c>
      <c r="AD2525" s="30">
        <v>1</v>
      </c>
      <c r="AE2525" s="89" t="s">
        <v>92</v>
      </c>
      <c r="AF2525" s="89"/>
      <c r="AG2525" s="89" t="s">
        <v>133</v>
      </c>
      <c r="AH2525" s="72">
        <v>43038</v>
      </c>
      <c r="AI2525" s="30">
        <v>4</v>
      </c>
      <c r="AJ2525" s="89" t="s">
        <v>14250</v>
      </c>
      <c r="AK2525" s="89" t="s">
        <v>14251</v>
      </c>
      <c r="AL2525" s="91">
        <v>43055</v>
      </c>
      <c r="AM2525" s="91"/>
      <c r="AN2525" s="91"/>
      <c r="AO2525" s="91"/>
      <c r="AP2525" s="73" t="e">
        <f>MID(VLOOKUP(K2525,#REF!,2,FALSE),1,2)</f>
        <v>#REF!</v>
      </c>
      <c r="AQ2525" s="89">
        <f>DATE(2017,10,26)</f>
        <v>43034</v>
      </c>
      <c r="AR2525" s="82">
        <f t="shared" si="202"/>
        <v>26</v>
      </c>
      <c r="AS2525" s="83">
        <f t="shared" si="203"/>
        <v>10</v>
      </c>
      <c r="AT2525" s="84">
        <f t="shared" si="204"/>
        <v>2017</v>
      </c>
      <c r="AU2525" s="88">
        <f>DATE(2017,11,6)</f>
        <v>43045</v>
      </c>
      <c r="AV2525" s="88">
        <f>DATE(2017,10,27)</f>
        <v>43035</v>
      </c>
      <c r="AW2525" s="87">
        <f t="shared" si="200"/>
        <v>10</v>
      </c>
      <c r="AX2525" s="88">
        <f>DATE(2017,10,26)</f>
        <v>43034</v>
      </c>
      <c r="AY2525" s="83">
        <f>MONTH(AX2525)</f>
        <v>10</v>
      </c>
      <c r="AZ2525" s="84">
        <f>YEAR(AX2525)</f>
        <v>2017</v>
      </c>
      <c r="BA2525" s="86"/>
      <c r="BB2525" s="86"/>
    </row>
    <row r="2526" spans="1:54" ht="36.75" customHeight="1">
      <c r="A2526" s="30"/>
      <c r="B2526" s="30" t="s">
        <v>55</v>
      </c>
      <c r="C2526" s="69" t="str">
        <f t="shared" si="201"/>
        <v>Closed</v>
      </c>
      <c r="D2526" s="27" t="s">
        <v>14252</v>
      </c>
      <c r="E2526" s="29" t="s">
        <v>14253</v>
      </c>
      <c r="F2526" s="30" t="s">
        <v>58</v>
      </c>
      <c r="G2526" s="89">
        <f>DATE(2017,10,26)</f>
        <v>43034</v>
      </c>
      <c r="H2526" s="90">
        <v>1.3333333333333333</v>
      </c>
      <c r="I2526" s="30" t="s">
        <v>116</v>
      </c>
      <c r="J2526" s="89" t="s">
        <v>14254</v>
      </c>
      <c r="K2526" s="30" t="s">
        <v>61</v>
      </c>
      <c r="L2526" s="30" t="s">
        <v>14255</v>
      </c>
      <c r="M2526" s="30" t="s">
        <v>63</v>
      </c>
      <c r="N2526" s="30" t="s">
        <v>99</v>
      </c>
      <c r="O2526" s="30" t="s">
        <v>64</v>
      </c>
      <c r="P2526" s="89" t="s">
        <v>6941</v>
      </c>
      <c r="Q2526" s="89" t="s">
        <v>10870</v>
      </c>
      <c r="R2526" s="89" t="s">
        <v>67</v>
      </c>
      <c r="S2526" s="30">
        <v>1</v>
      </c>
      <c r="T2526" s="233">
        <v>0</v>
      </c>
      <c r="U2526" s="30">
        <v>3</v>
      </c>
      <c r="V2526" s="233">
        <v>0</v>
      </c>
      <c r="W2526" s="30">
        <v>0</v>
      </c>
      <c r="X2526" s="30">
        <v>4</v>
      </c>
      <c r="Y2526" s="30">
        <v>0</v>
      </c>
      <c r="Z2526" s="233">
        <v>0</v>
      </c>
      <c r="AA2526" s="30">
        <v>3</v>
      </c>
      <c r="AB2526" s="30">
        <v>0</v>
      </c>
      <c r="AC2526" s="30">
        <v>0</v>
      </c>
      <c r="AD2526" s="30">
        <v>3</v>
      </c>
      <c r="AE2526" s="89" t="s">
        <v>394</v>
      </c>
      <c r="AF2526" s="89"/>
      <c r="AG2526" s="89" t="s">
        <v>82</v>
      </c>
      <c r="AH2526" s="72">
        <v>43035</v>
      </c>
      <c r="AI2526" s="30">
        <v>4</v>
      </c>
      <c r="AJ2526" s="89" t="s">
        <v>14256</v>
      </c>
      <c r="AK2526" s="89" t="s">
        <v>14257</v>
      </c>
      <c r="AL2526" s="91">
        <v>43045</v>
      </c>
      <c r="AM2526" s="91"/>
      <c r="AN2526" s="91"/>
      <c r="AO2526" s="91"/>
      <c r="AP2526" s="73" t="e">
        <f>MID(VLOOKUP(K2526,#REF!,2,FALSE),1,2)</f>
        <v>#REF!</v>
      </c>
      <c r="AQ2526" s="89">
        <f>DATE(2017,10,26)</f>
        <v>43034</v>
      </c>
      <c r="AR2526" s="82">
        <f t="shared" si="202"/>
        <v>26</v>
      </c>
      <c r="AS2526" s="83">
        <f t="shared" si="203"/>
        <v>10</v>
      </c>
      <c r="AT2526" s="84">
        <f t="shared" si="204"/>
        <v>2017</v>
      </c>
      <c r="AU2526" s="88">
        <f>DATE(2017,10,26)</f>
        <v>43034</v>
      </c>
      <c r="AV2526" s="88">
        <f>DATE(2017,11,9)</f>
        <v>43048</v>
      </c>
      <c r="AW2526" s="87">
        <f t="shared" si="200"/>
        <v>-14</v>
      </c>
      <c r="AX2526" s="86"/>
      <c r="AY2526" s="83"/>
      <c r="AZ2526" s="84"/>
      <c r="BA2526" s="86"/>
      <c r="BB2526" s="86" t="s">
        <v>13115</v>
      </c>
    </row>
    <row r="2527" spans="1:54" ht="36.75" customHeight="1">
      <c r="A2527" s="30"/>
      <c r="B2527" s="30" t="s">
        <v>55</v>
      </c>
      <c r="C2527" s="69" t="str">
        <f t="shared" si="201"/>
        <v>Closed</v>
      </c>
      <c r="D2527" s="27" t="s">
        <v>14258</v>
      </c>
      <c r="E2527" s="29" t="s">
        <v>14259</v>
      </c>
      <c r="F2527" s="30" t="s">
        <v>835</v>
      </c>
      <c r="G2527" s="89">
        <f>DATE(2017,10,26)</f>
        <v>43034</v>
      </c>
      <c r="H2527" s="90">
        <v>1.6375000000000002</v>
      </c>
      <c r="I2527" s="30" t="s">
        <v>116</v>
      </c>
      <c r="J2527" s="89" t="s">
        <v>14260</v>
      </c>
      <c r="K2527" s="30" t="s">
        <v>837</v>
      </c>
      <c r="L2527" s="30" t="s">
        <v>14261</v>
      </c>
      <c r="M2527" s="30" t="s">
        <v>63</v>
      </c>
      <c r="N2527" s="30" t="s">
        <v>99</v>
      </c>
      <c r="O2527" s="30" t="s">
        <v>64</v>
      </c>
      <c r="P2527" s="89" t="s">
        <v>165</v>
      </c>
      <c r="Q2527" s="89" t="s">
        <v>2162</v>
      </c>
      <c r="R2527" s="89" t="s">
        <v>840</v>
      </c>
      <c r="S2527" s="30">
        <v>0</v>
      </c>
      <c r="T2527" s="233">
        <v>0</v>
      </c>
      <c r="U2527" s="30">
        <v>0</v>
      </c>
      <c r="V2527" s="233">
        <v>0</v>
      </c>
      <c r="W2527" s="30">
        <v>0</v>
      </c>
      <c r="X2527" s="30">
        <v>0</v>
      </c>
      <c r="Y2527" s="30">
        <v>0</v>
      </c>
      <c r="Z2527" s="233">
        <v>0</v>
      </c>
      <c r="AA2527" s="30">
        <v>0</v>
      </c>
      <c r="AB2527" s="30">
        <v>0</v>
      </c>
      <c r="AC2527" s="30">
        <v>0</v>
      </c>
      <c r="AD2527" s="30">
        <v>0</v>
      </c>
      <c r="AE2527" s="89" t="s">
        <v>92</v>
      </c>
      <c r="AF2527" s="89"/>
      <c r="AG2527" s="89" t="s">
        <v>352</v>
      </c>
      <c r="AH2527" s="72">
        <v>43034</v>
      </c>
      <c r="AI2527" s="30">
        <v>1</v>
      </c>
      <c r="AJ2527" s="89" t="s">
        <v>14262</v>
      </c>
      <c r="AK2527" s="89" t="s">
        <v>1233</v>
      </c>
      <c r="AL2527" s="91">
        <v>43048</v>
      </c>
      <c r="AM2527" s="91"/>
      <c r="AN2527" s="91"/>
      <c r="AO2527" s="91"/>
      <c r="AP2527" s="73" t="e">
        <f>MID(VLOOKUP(K2527,#REF!,2,FALSE),1,2)</f>
        <v>#REF!</v>
      </c>
      <c r="AQ2527" s="89">
        <f>DATE(2017,10,26)</f>
        <v>43034</v>
      </c>
      <c r="AR2527" s="82">
        <f t="shared" si="202"/>
        <v>26</v>
      </c>
      <c r="AS2527" s="83">
        <f t="shared" si="203"/>
        <v>10</v>
      </c>
      <c r="AT2527" s="84">
        <f t="shared" si="204"/>
        <v>2017</v>
      </c>
      <c r="AU2527" s="88">
        <f>DATE(2017,11,3)</f>
        <v>43042</v>
      </c>
      <c r="AV2527" s="88">
        <f>DATE(2017,11,1)</f>
        <v>43040</v>
      </c>
      <c r="AW2527" s="87">
        <f t="shared" si="200"/>
        <v>2</v>
      </c>
      <c r="AX2527" s="88">
        <f>DATE(2017,11,1)</f>
        <v>43040</v>
      </c>
      <c r="AY2527" s="83">
        <f>MONTH(AX2527)</f>
        <v>11</v>
      </c>
      <c r="AZ2527" s="84">
        <f>YEAR(AX2527)</f>
        <v>2017</v>
      </c>
      <c r="BA2527" s="88">
        <f>DATE(2017,11,1)</f>
        <v>43040</v>
      </c>
      <c r="BB2527" s="86"/>
    </row>
    <row r="2528" spans="1:54" ht="36.75" customHeight="1">
      <c r="A2528" s="30"/>
      <c r="B2528" s="30" t="s">
        <v>55</v>
      </c>
      <c r="C2528" s="69" t="str">
        <f t="shared" si="201"/>
        <v>Closed</v>
      </c>
      <c r="D2528" s="27" t="s">
        <v>14263</v>
      </c>
      <c r="E2528" s="29" t="s">
        <v>14264</v>
      </c>
      <c r="F2528" s="30" t="s">
        <v>124</v>
      </c>
      <c r="G2528" s="89">
        <f>DATE(2017,10,26)</f>
        <v>43034</v>
      </c>
      <c r="H2528" s="90">
        <v>1.8125</v>
      </c>
      <c r="I2528" s="30" t="s">
        <v>73</v>
      </c>
      <c r="J2528" s="89" t="s">
        <v>14265</v>
      </c>
      <c r="K2528" s="30" t="s">
        <v>127</v>
      </c>
      <c r="L2528" s="30" t="s">
        <v>14266</v>
      </c>
      <c r="M2528" s="30" t="s">
        <v>63</v>
      </c>
      <c r="N2528" s="30" t="s">
        <v>142</v>
      </c>
      <c r="O2528" s="30" t="s">
        <v>77</v>
      </c>
      <c r="P2528" s="89" t="s">
        <v>78</v>
      </c>
      <c r="Q2528" s="89" t="s">
        <v>401</v>
      </c>
      <c r="R2528" s="89" t="s">
        <v>167</v>
      </c>
      <c r="S2528" s="30">
        <v>0</v>
      </c>
      <c r="T2528" s="233">
        <v>0</v>
      </c>
      <c r="U2528" s="30">
        <v>0</v>
      </c>
      <c r="V2528" s="233">
        <v>0</v>
      </c>
      <c r="W2528" s="30">
        <v>0</v>
      </c>
      <c r="X2528" s="30">
        <v>0</v>
      </c>
      <c r="Y2528" s="30">
        <v>0</v>
      </c>
      <c r="Z2528" s="233">
        <v>0</v>
      </c>
      <c r="AA2528" s="30">
        <v>0</v>
      </c>
      <c r="AB2528" s="30">
        <v>0</v>
      </c>
      <c r="AC2528" s="30">
        <v>0</v>
      </c>
      <c r="AD2528" s="30">
        <v>0</v>
      </c>
      <c r="AE2528" s="89" t="s">
        <v>394</v>
      </c>
      <c r="AF2528" s="89"/>
      <c r="AG2528" s="89" t="s">
        <v>82</v>
      </c>
      <c r="AH2528" s="72">
        <v>43040</v>
      </c>
      <c r="AI2528" s="30">
        <v>2</v>
      </c>
      <c r="AJ2528" s="89" t="s">
        <v>14267</v>
      </c>
      <c r="AK2528" s="89" t="s">
        <v>14268</v>
      </c>
      <c r="AL2528" s="91">
        <v>43042</v>
      </c>
      <c r="AM2528" s="91"/>
      <c r="AN2528" s="91"/>
      <c r="AO2528" s="91"/>
      <c r="AP2528" s="73" t="e">
        <f>MID(VLOOKUP(K2528,#REF!,2,FALSE),1,2)</f>
        <v>#REF!</v>
      </c>
      <c r="AQ2528" s="89">
        <f>DATE(2017,10,27)</f>
        <v>43035</v>
      </c>
      <c r="AR2528" s="82">
        <f t="shared" si="202"/>
        <v>27</v>
      </c>
      <c r="AS2528" s="83">
        <f t="shared" si="203"/>
        <v>10</v>
      </c>
      <c r="AT2528" s="84">
        <f t="shared" si="204"/>
        <v>2017</v>
      </c>
      <c r="AU2528" s="88">
        <f>DATE(2017,10,31)</f>
        <v>43039</v>
      </c>
      <c r="AV2528" s="88">
        <f>DATE(2017,10,30)</f>
        <v>43038</v>
      </c>
      <c r="AW2528" s="87">
        <f t="shared" ref="AW2528:AW2545" si="205">AU2528-AV2528</f>
        <v>1</v>
      </c>
      <c r="AX2528" s="106"/>
      <c r="AY2528" s="83"/>
      <c r="AZ2528" s="84"/>
      <c r="BA2528" s="106"/>
      <c r="BB2528" s="106"/>
    </row>
    <row r="2529" spans="1:54" ht="36.75" customHeight="1">
      <c r="A2529" s="30"/>
      <c r="B2529" s="30" t="s">
        <v>55</v>
      </c>
      <c r="C2529" s="69" t="str">
        <f t="shared" si="201"/>
        <v>Closed</v>
      </c>
      <c r="D2529" s="27" t="s">
        <v>14269</v>
      </c>
      <c r="E2529" s="29" t="s">
        <v>14270</v>
      </c>
      <c r="F2529" s="30" t="s">
        <v>423</v>
      </c>
      <c r="G2529" s="89">
        <f>DATE(2017,10,27)</f>
        <v>43035</v>
      </c>
      <c r="H2529" s="90">
        <v>1.2194444444444446</v>
      </c>
      <c r="I2529" s="30" t="s">
        <v>198</v>
      </c>
      <c r="J2529" s="89" t="s">
        <v>14271</v>
      </c>
      <c r="K2529" s="30" t="s">
        <v>425</v>
      </c>
      <c r="L2529" s="30" t="s">
        <v>14272</v>
      </c>
      <c r="M2529" s="30" t="s">
        <v>255</v>
      </c>
      <c r="N2529" s="30" t="s">
        <v>142</v>
      </c>
      <c r="O2529" s="30" t="s">
        <v>64</v>
      </c>
      <c r="P2529" s="89" t="s">
        <v>6552</v>
      </c>
      <c r="Q2529" s="89" t="s">
        <v>1343</v>
      </c>
      <c r="R2529" s="89" t="s">
        <v>1343</v>
      </c>
      <c r="S2529" s="30">
        <v>0</v>
      </c>
      <c r="T2529" s="233">
        <v>0</v>
      </c>
      <c r="U2529" s="30">
        <v>0</v>
      </c>
      <c r="V2529" s="233">
        <v>0</v>
      </c>
      <c r="W2529" s="30">
        <v>0</v>
      </c>
      <c r="X2529" s="30">
        <v>0</v>
      </c>
      <c r="Y2529" s="30">
        <v>0</v>
      </c>
      <c r="Z2529" s="233">
        <v>0</v>
      </c>
      <c r="AA2529" s="30">
        <v>0</v>
      </c>
      <c r="AB2529" s="30">
        <v>0</v>
      </c>
      <c r="AC2529" s="30">
        <v>0</v>
      </c>
      <c r="AD2529" s="30">
        <v>0</v>
      </c>
      <c r="AE2529" s="89" t="s">
        <v>92</v>
      </c>
      <c r="AF2529" s="89"/>
      <c r="AG2529" s="89" t="s">
        <v>133</v>
      </c>
      <c r="AH2529" s="72">
        <v>43038</v>
      </c>
      <c r="AI2529" s="30">
        <v>0</v>
      </c>
      <c r="AJ2529" s="89" t="s">
        <v>14273</v>
      </c>
      <c r="AK2529" s="89" t="s">
        <v>14274</v>
      </c>
      <c r="AL2529" s="91">
        <v>43039</v>
      </c>
      <c r="AM2529" s="91"/>
      <c r="AN2529" s="91"/>
      <c r="AO2529" s="91"/>
      <c r="AP2529" s="73" t="e">
        <f>MID(VLOOKUP(K2529,#REF!,2,FALSE),1,2)</f>
        <v>#REF!</v>
      </c>
      <c r="AQ2529" s="89">
        <f>DATE(2017,10,27)</f>
        <v>43035</v>
      </c>
      <c r="AR2529" s="82">
        <f t="shared" si="202"/>
        <v>27</v>
      </c>
      <c r="AS2529" s="83">
        <f t="shared" si="203"/>
        <v>10</v>
      </c>
      <c r="AT2529" s="84">
        <f t="shared" si="204"/>
        <v>2017</v>
      </c>
      <c r="AU2529" s="88">
        <f>DATE(2018,1,23)</f>
        <v>43123</v>
      </c>
      <c r="AV2529" s="88">
        <f>DATE(2017,12,5)</f>
        <v>43074</v>
      </c>
      <c r="AW2529" s="87">
        <f t="shared" si="205"/>
        <v>49</v>
      </c>
      <c r="AX2529" s="88">
        <f>DATE(2017,12,5)</f>
        <v>43074</v>
      </c>
      <c r="AY2529" s="83">
        <f>MONTH(AX2529)</f>
        <v>12</v>
      </c>
      <c r="AZ2529" s="84">
        <f>YEAR(AX2529)</f>
        <v>2017</v>
      </c>
      <c r="BA2529" s="88">
        <f>DATE(2017,12,6)</f>
        <v>43075</v>
      </c>
      <c r="BB2529" s="86"/>
    </row>
    <row r="2530" spans="1:54" ht="36.75" customHeight="1">
      <c r="A2530" s="30"/>
      <c r="B2530" s="30" t="s">
        <v>55</v>
      </c>
      <c r="C2530" s="69" t="str">
        <f t="shared" si="201"/>
        <v>Closed</v>
      </c>
      <c r="D2530" s="27" t="s">
        <v>14275</v>
      </c>
      <c r="E2530" s="29" t="s">
        <v>14276</v>
      </c>
      <c r="F2530" s="30" t="s">
        <v>9789</v>
      </c>
      <c r="G2530" s="89">
        <f>DATE(2017,10,27)</f>
        <v>43035</v>
      </c>
      <c r="H2530" s="90">
        <v>1.7881944444444446</v>
      </c>
      <c r="I2530" s="30" t="s">
        <v>116</v>
      </c>
      <c r="J2530" s="210" t="s">
        <v>14277</v>
      </c>
      <c r="K2530" s="30" t="s">
        <v>9791</v>
      </c>
      <c r="L2530" s="30" t="s">
        <v>14278</v>
      </c>
      <c r="M2530" s="30" t="s">
        <v>63</v>
      </c>
      <c r="N2530" s="30" t="s">
        <v>99</v>
      </c>
      <c r="O2530" s="30" t="s">
        <v>64</v>
      </c>
      <c r="P2530" s="89" t="s">
        <v>165</v>
      </c>
      <c r="Q2530" s="89" t="s">
        <v>9960</v>
      </c>
      <c r="R2530" s="89" t="s">
        <v>9794</v>
      </c>
      <c r="S2530" s="30">
        <v>0</v>
      </c>
      <c r="T2530" s="233">
        <v>0</v>
      </c>
      <c r="U2530" s="30">
        <v>0</v>
      </c>
      <c r="V2530" s="233">
        <v>0</v>
      </c>
      <c r="W2530" s="30">
        <v>0</v>
      </c>
      <c r="X2530" s="30">
        <v>0</v>
      </c>
      <c r="Y2530" s="30">
        <v>0</v>
      </c>
      <c r="Z2530" s="233">
        <v>0</v>
      </c>
      <c r="AA2530" s="30">
        <v>0</v>
      </c>
      <c r="AB2530" s="30">
        <v>0</v>
      </c>
      <c r="AC2530" s="30">
        <v>0</v>
      </c>
      <c r="AD2530" s="30">
        <v>0</v>
      </c>
      <c r="AE2530" s="89" t="s">
        <v>92</v>
      </c>
      <c r="AF2530" s="89"/>
      <c r="AG2530" s="89" t="s">
        <v>133</v>
      </c>
      <c r="AH2530" s="72">
        <v>43074</v>
      </c>
      <c r="AI2530" s="30">
        <v>0</v>
      </c>
      <c r="AJ2530" s="89" t="s">
        <v>14279</v>
      </c>
      <c r="AK2530" s="89" t="s">
        <v>14280</v>
      </c>
      <c r="AL2530" s="91">
        <v>43123</v>
      </c>
      <c r="AM2530" s="91"/>
      <c r="AN2530" s="91"/>
      <c r="AO2530" s="91"/>
      <c r="AP2530" s="73" t="e">
        <f>MID(VLOOKUP(K2530,#REF!,2,FALSE),1,2)</f>
        <v>#REF!</v>
      </c>
      <c r="AQ2530" s="89">
        <f>DATE(2017,10,29)</f>
        <v>43037</v>
      </c>
      <c r="AR2530" s="82">
        <f t="shared" si="202"/>
        <v>29</v>
      </c>
      <c r="AS2530" s="83">
        <f t="shared" si="203"/>
        <v>10</v>
      </c>
      <c r="AT2530" s="84">
        <f t="shared" si="204"/>
        <v>2017</v>
      </c>
      <c r="AU2530" s="88">
        <f>DATE(2017,10,31)</f>
        <v>43039</v>
      </c>
      <c r="AV2530" s="88">
        <f>DATE(2017,10,29)</f>
        <v>43037</v>
      </c>
      <c r="AW2530" s="87">
        <f t="shared" si="205"/>
        <v>2</v>
      </c>
      <c r="AX2530" s="88">
        <f>DATE(2017,10,29)</f>
        <v>43037</v>
      </c>
      <c r="AY2530" s="83">
        <f>MONTH(AX2530)</f>
        <v>10</v>
      </c>
      <c r="AZ2530" s="84">
        <f>YEAR(AX2530)</f>
        <v>2017</v>
      </c>
      <c r="BA2530" s="88">
        <f>DATE(2017,10,29)</f>
        <v>43037</v>
      </c>
      <c r="BB2530" s="86"/>
    </row>
    <row r="2531" spans="1:54" ht="36.75" customHeight="1">
      <c r="A2531" s="30"/>
      <c r="B2531" s="30" t="s">
        <v>55</v>
      </c>
      <c r="C2531" s="69" t="str">
        <f t="shared" si="201"/>
        <v>Closed</v>
      </c>
      <c r="D2531" s="27" t="s">
        <v>14281</v>
      </c>
      <c r="E2531" s="29" t="s">
        <v>14282</v>
      </c>
      <c r="F2531" s="30" t="s">
        <v>835</v>
      </c>
      <c r="G2531" s="89">
        <f>DATE(2017,10,29)</f>
        <v>43037</v>
      </c>
      <c r="H2531" s="90">
        <v>1.8055555555555554</v>
      </c>
      <c r="I2531" s="30" t="s">
        <v>2078</v>
      </c>
      <c r="J2531" s="89" t="s">
        <v>14283</v>
      </c>
      <c r="K2531" s="30" t="s">
        <v>837</v>
      </c>
      <c r="L2531" s="30" t="s">
        <v>14284</v>
      </c>
      <c r="M2531" s="30" t="s">
        <v>63</v>
      </c>
      <c r="N2531" s="30" t="s">
        <v>99</v>
      </c>
      <c r="O2531" s="30" t="s">
        <v>77</v>
      </c>
      <c r="P2531" s="89" t="s">
        <v>5324</v>
      </c>
      <c r="Q2531" s="89" t="s">
        <v>2162</v>
      </c>
      <c r="R2531" s="89" t="s">
        <v>840</v>
      </c>
      <c r="S2531" s="30">
        <v>0</v>
      </c>
      <c r="T2531" s="233">
        <v>0</v>
      </c>
      <c r="U2531" s="30">
        <v>0</v>
      </c>
      <c r="V2531" s="233">
        <v>0</v>
      </c>
      <c r="W2531" s="30">
        <v>0</v>
      </c>
      <c r="X2531" s="30">
        <v>0</v>
      </c>
      <c r="Y2531" s="30">
        <v>0</v>
      </c>
      <c r="Z2531" s="233">
        <v>0</v>
      </c>
      <c r="AA2531" s="30">
        <v>0</v>
      </c>
      <c r="AB2531" s="30">
        <v>0</v>
      </c>
      <c r="AC2531" s="30">
        <v>0</v>
      </c>
      <c r="AD2531" s="30">
        <v>0</v>
      </c>
      <c r="AE2531" s="89" t="s">
        <v>92</v>
      </c>
      <c r="AF2531" s="89"/>
      <c r="AG2531" s="89" t="s">
        <v>14285</v>
      </c>
      <c r="AH2531" s="72">
        <v>43037</v>
      </c>
      <c r="AI2531" s="30">
        <v>1</v>
      </c>
      <c r="AJ2531" s="89" t="s">
        <v>14286</v>
      </c>
      <c r="AK2531" s="89" t="s">
        <v>68</v>
      </c>
      <c r="AL2531" s="91">
        <v>43039</v>
      </c>
      <c r="AM2531" s="91"/>
      <c r="AN2531" s="91"/>
      <c r="AO2531" s="91"/>
      <c r="AP2531" s="73" t="e">
        <f>MID(VLOOKUP(K2531,#REF!,2,FALSE),1,2)</f>
        <v>#REF!</v>
      </c>
      <c r="AQ2531" s="89">
        <f>DATE(2017,10,29)</f>
        <v>43037</v>
      </c>
      <c r="AR2531" s="82">
        <f t="shared" si="202"/>
        <v>29</v>
      </c>
      <c r="AS2531" s="83">
        <f t="shared" si="203"/>
        <v>10</v>
      </c>
      <c r="AT2531" s="84">
        <f t="shared" si="204"/>
        <v>2017</v>
      </c>
      <c r="AU2531" s="88">
        <f>DATE(2017,11,3)</f>
        <v>43042</v>
      </c>
      <c r="AV2531" s="88">
        <f>DATE(2017,10,29)</f>
        <v>43037</v>
      </c>
      <c r="AW2531" s="87">
        <f t="shared" si="205"/>
        <v>5</v>
      </c>
      <c r="AX2531" s="88">
        <f>DATE(2017,10,29)</f>
        <v>43037</v>
      </c>
      <c r="AY2531" s="83">
        <f>MONTH(AX2531)</f>
        <v>10</v>
      </c>
      <c r="AZ2531" s="84">
        <f>YEAR(AX2531)</f>
        <v>2017</v>
      </c>
      <c r="BA2531" s="88">
        <f>DATE(2017,10,29)</f>
        <v>43037</v>
      </c>
      <c r="BB2531" s="86"/>
    </row>
    <row r="2532" spans="1:54" ht="36.75" customHeight="1">
      <c r="A2532" s="30"/>
      <c r="B2532" s="30" t="s">
        <v>55</v>
      </c>
      <c r="C2532" s="69" t="str">
        <f t="shared" si="201"/>
        <v>Closed</v>
      </c>
      <c r="D2532" s="27" t="s">
        <v>14287</v>
      </c>
      <c r="E2532" s="29" t="s">
        <v>14288</v>
      </c>
      <c r="F2532" s="30" t="s">
        <v>835</v>
      </c>
      <c r="G2532" s="89">
        <f>DATE(2017,10,29)</f>
        <v>43037</v>
      </c>
      <c r="H2532" s="90">
        <v>1.6583333333333332</v>
      </c>
      <c r="I2532" s="30" t="s">
        <v>73</v>
      </c>
      <c r="J2532" s="89" t="s">
        <v>14289</v>
      </c>
      <c r="K2532" s="30" t="s">
        <v>837</v>
      </c>
      <c r="L2532" s="30" t="s">
        <v>14290</v>
      </c>
      <c r="M2532" s="30" t="s">
        <v>255</v>
      </c>
      <c r="N2532" s="30" t="s">
        <v>142</v>
      </c>
      <c r="O2532" s="30" t="s">
        <v>77</v>
      </c>
      <c r="P2532" s="89" t="s">
        <v>6552</v>
      </c>
      <c r="Q2532" s="89" t="s">
        <v>4210</v>
      </c>
      <c r="R2532" s="89" t="s">
        <v>4210</v>
      </c>
      <c r="S2532" s="30">
        <v>0</v>
      </c>
      <c r="T2532" s="233">
        <v>0</v>
      </c>
      <c r="U2532" s="30">
        <v>0</v>
      </c>
      <c r="V2532" s="233">
        <v>0</v>
      </c>
      <c r="W2532" s="30">
        <v>0</v>
      </c>
      <c r="X2532" s="30">
        <v>0</v>
      </c>
      <c r="Y2532" s="30">
        <v>0</v>
      </c>
      <c r="Z2532" s="233">
        <v>0</v>
      </c>
      <c r="AA2532" s="30">
        <v>0</v>
      </c>
      <c r="AB2532" s="30">
        <v>0</v>
      </c>
      <c r="AC2532" s="30">
        <v>0</v>
      </c>
      <c r="AD2532" s="30">
        <v>0</v>
      </c>
      <c r="AE2532" s="89" t="s">
        <v>92</v>
      </c>
      <c r="AF2532" s="89"/>
      <c r="AG2532" s="89" t="s">
        <v>352</v>
      </c>
      <c r="AH2532" s="72">
        <v>43037</v>
      </c>
      <c r="AI2532" s="30">
        <v>1</v>
      </c>
      <c r="AJ2532" s="89" t="s">
        <v>14291</v>
      </c>
      <c r="AK2532" s="89" t="s">
        <v>14292</v>
      </c>
      <c r="AL2532" s="91">
        <v>43042</v>
      </c>
      <c r="AM2532" s="91"/>
      <c r="AN2532" s="91"/>
      <c r="AO2532" s="91"/>
      <c r="AP2532" s="73" t="e">
        <f>MID(VLOOKUP(K2532,#REF!,2,FALSE),1,2)</f>
        <v>#REF!</v>
      </c>
      <c r="AQ2532" s="89">
        <f>DATE(2017,10,30)</f>
        <v>43038</v>
      </c>
      <c r="AR2532" s="82">
        <f t="shared" si="202"/>
        <v>30</v>
      </c>
      <c r="AS2532" s="83">
        <f t="shared" si="203"/>
        <v>10</v>
      </c>
      <c r="AT2532" s="84">
        <f t="shared" si="204"/>
        <v>2017</v>
      </c>
      <c r="AU2532" s="88">
        <f>DATE(2017,3,2)</f>
        <v>42796</v>
      </c>
      <c r="AV2532" s="88">
        <f>DATE(2017,1,30)</f>
        <v>42765</v>
      </c>
      <c r="AW2532" s="87">
        <f t="shared" si="205"/>
        <v>31</v>
      </c>
      <c r="AX2532" s="86"/>
      <c r="AY2532" s="83"/>
      <c r="AZ2532" s="84"/>
      <c r="BA2532" s="86"/>
      <c r="BB2532" s="86" t="s">
        <v>13115</v>
      </c>
    </row>
    <row r="2533" spans="1:54" ht="36.75" customHeight="1">
      <c r="A2533" s="30"/>
      <c r="B2533" s="30" t="s">
        <v>55</v>
      </c>
      <c r="C2533" s="69" t="str">
        <f t="shared" si="201"/>
        <v>Closed</v>
      </c>
      <c r="D2533" s="27" t="s">
        <v>14293</v>
      </c>
      <c r="E2533" s="29" t="s">
        <v>14294</v>
      </c>
      <c r="F2533" s="30" t="s">
        <v>12474</v>
      </c>
      <c r="G2533" s="89">
        <f>DATE(2017,10,30)</f>
        <v>43038</v>
      </c>
      <c r="H2533" s="90">
        <v>1.4861111111111112</v>
      </c>
      <c r="I2533" s="30" t="s">
        <v>198</v>
      </c>
      <c r="J2533" s="89" t="s">
        <v>14295</v>
      </c>
      <c r="K2533" s="30" t="s">
        <v>200</v>
      </c>
      <c r="L2533" s="30" t="s">
        <v>14296</v>
      </c>
      <c r="M2533" s="30" t="s">
        <v>63</v>
      </c>
      <c r="N2533" s="30" t="s">
        <v>142</v>
      </c>
      <c r="O2533" s="30" t="s">
        <v>77</v>
      </c>
      <c r="P2533" s="89" t="s">
        <v>165</v>
      </c>
      <c r="Q2533" s="89" t="s">
        <v>202</v>
      </c>
      <c r="R2533" s="89" t="s">
        <v>203</v>
      </c>
      <c r="S2533" s="30">
        <v>0</v>
      </c>
      <c r="T2533" s="233">
        <v>0</v>
      </c>
      <c r="U2533" s="30">
        <v>0</v>
      </c>
      <c r="V2533" s="233">
        <v>0</v>
      </c>
      <c r="W2533" s="30">
        <v>0</v>
      </c>
      <c r="X2533" s="30">
        <v>0</v>
      </c>
      <c r="Y2533" s="30">
        <v>0</v>
      </c>
      <c r="Z2533" s="233">
        <v>0</v>
      </c>
      <c r="AA2533" s="30">
        <v>0</v>
      </c>
      <c r="AB2533" s="30">
        <v>0</v>
      </c>
      <c r="AC2533" s="30">
        <v>0</v>
      </c>
      <c r="AD2533" s="30">
        <v>0</v>
      </c>
      <c r="AE2533" s="89" t="s">
        <v>394</v>
      </c>
      <c r="AF2533" s="89" t="s">
        <v>14297</v>
      </c>
      <c r="AG2533" s="89" t="s">
        <v>14298</v>
      </c>
      <c r="AH2533" s="72">
        <v>43130</v>
      </c>
      <c r="AI2533" s="30">
        <v>0</v>
      </c>
      <c r="AJ2533" s="89" t="s">
        <v>14299</v>
      </c>
      <c r="AK2533" s="89" t="s">
        <v>68</v>
      </c>
      <c r="AL2533" s="91">
        <v>43161</v>
      </c>
      <c r="AM2533" s="91"/>
      <c r="AN2533" s="91">
        <v>44833</v>
      </c>
      <c r="AO2533" s="91">
        <v>44833</v>
      </c>
      <c r="AP2533" s="73" t="e">
        <f>MID(VLOOKUP(K2533,#REF!,2,FALSE),1,2)</f>
        <v>#REF!</v>
      </c>
      <c r="AQ2533" s="89">
        <f>DATE(2017,10,30)</f>
        <v>43038</v>
      </c>
      <c r="AR2533" s="82">
        <f t="shared" si="202"/>
        <v>30</v>
      </c>
      <c r="AS2533" s="83">
        <f t="shared" si="203"/>
        <v>10</v>
      </c>
      <c r="AT2533" s="84">
        <f t="shared" si="204"/>
        <v>2017</v>
      </c>
      <c r="AU2533" s="88">
        <f>DATE(2017,10,31)</f>
        <v>43039</v>
      </c>
      <c r="AV2533" s="88">
        <f>DATE(2017,10,31)</f>
        <v>43039</v>
      </c>
      <c r="AW2533" s="87">
        <f t="shared" si="205"/>
        <v>0</v>
      </c>
      <c r="AX2533" s="88">
        <f>DATE(2017,10,31)</f>
        <v>43039</v>
      </c>
      <c r="AY2533" s="83">
        <f>MONTH(AX2533)</f>
        <v>10</v>
      </c>
      <c r="AZ2533" s="84">
        <f>YEAR(AX2533)</f>
        <v>2017</v>
      </c>
      <c r="BA2533" s="88">
        <f>DATE(2017,10,30)</f>
        <v>43038</v>
      </c>
      <c r="BB2533" s="86"/>
    </row>
    <row r="2534" spans="1:54" ht="36.75" customHeight="1">
      <c r="A2534" s="30"/>
      <c r="B2534" s="30" t="s">
        <v>55</v>
      </c>
      <c r="C2534" s="69" t="str">
        <f t="shared" si="201"/>
        <v>Closed</v>
      </c>
      <c r="D2534" s="27" t="s">
        <v>14300</v>
      </c>
      <c r="E2534" s="29" t="s">
        <v>14301</v>
      </c>
      <c r="F2534" s="30" t="s">
        <v>1572</v>
      </c>
      <c r="G2534" s="89">
        <f>DATE(2017,10,30)</f>
        <v>43038</v>
      </c>
      <c r="H2534" s="90">
        <v>1.7826388888888891</v>
      </c>
      <c r="I2534" s="30" t="s">
        <v>73</v>
      </c>
      <c r="J2534" s="89" t="s">
        <v>14302</v>
      </c>
      <c r="K2534" s="30" t="s">
        <v>1574</v>
      </c>
      <c r="L2534" s="30" t="s">
        <v>14303</v>
      </c>
      <c r="M2534" s="30" t="s">
        <v>63</v>
      </c>
      <c r="N2534" s="30" t="s">
        <v>89</v>
      </c>
      <c r="O2534" s="30" t="s">
        <v>77</v>
      </c>
      <c r="P2534" s="89" t="s">
        <v>6941</v>
      </c>
      <c r="Q2534" s="89" t="s">
        <v>2413</v>
      </c>
      <c r="R2534" s="89" t="s">
        <v>6434</v>
      </c>
      <c r="S2534" s="30">
        <v>0</v>
      </c>
      <c r="T2534" s="233">
        <v>0</v>
      </c>
      <c r="U2534" s="30">
        <v>0</v>
      </c>
      <c r="V2534" s="233">
        <v>0</v>
      </c>
      <c r="W2534" s="30">
        <v>0</v>
      </c>
      <c r="X2534" s="30">
        <v>0</v>
      </c>
      <c r="Y2534" s="30">
        <v>0</v>
      </c>
      <c r="Z2534" s="233">
        <v>0</v>
      </c>
      <c r="AA2534" s="30">
        <v>0</v>
      </c>
      <c r="AB2534" s="30">
        <v>0</v>
      </c>
      <c r="AC2534" s="30">
        <v>0</v>
      </c>
      <c r="AD2534" s="30">
        <v>0</v>
      </c>
      <c r="AE2534" s="89" t="s">
        <v>92</v>
      </c>
      <c r="AF2534" s="89"/>
      <c r="AG2534" s="89" t="s">
        <v>133</v>
      </c>
      <c r="AH2534" s="72">
        <v>43039</v>
      </c>
      <c r="AI2534" s="30">
        <v>2</v>
      </c>
      <c r="AJ2534" s="89" t="s">
        <v>14304</v>
      </c>
      <c r="AK2534" s="89" t="s">
        <v>14305</v>
      </c>
      <c r="AL2534" s="91">
        <v>43039</v>
      </c>
      <c r="AM2534" s="91"/>
      <c r="AN2534" s="91"/>
      <c r="AO2534" s="91"/>
      <c r="AP2534" s="73" t="e">
        <f>MID(VLOOKUP(K2534,#REF!,2,FALSE),1,2)</f>
        <v>#REF!</v>
      </c>
      <c r="AQ2534" s="89">
        <f>DATE(2017,10,30)</f>
        <v>43038</v>
      </c>
      <c r="AR2534" s="82">
        <f t="shared" si="202"/>
        <v>30</v>
      </c>
      <c r="AS2534" s="83">
        <f t="shared" si="203"/>
        <v>10</v>
      </c>
      <c r="AT2534" s="84">
        <f t="shared" si="204"/>
        <v>2017</v>
      </c>
      <c r="AU2534" s="88">
        <f>DATE(2017,11,21)</f>
        <v>43060</v>
      </c>
      <c r="AV2534" s="88">
        <f>DATE(2017,11,13)</f>
        <v>43052</v>
      </c>
      <c r="AW2534" s="87">
        <f t="shared" si="205"/>
        <v>8</v>
      </c>
      <c r="AX2534" s="88">
        <f>DATE(2017,11,21)</f>
        <v>43060</v>
      </c>
      <c r="AY2534" s="83">
        <f>MONTH(AX2534)</f>
        <v>11</v>
      </c>
      <c r="AZ2534" s="84">
        <f>YEAR(AX2534)</f>
        <v>2017</v>
      </c>
      <c r="BA2534" s="86"/>
      <c r="BB2534" s="86"/>
    </row>
    <row r="2535" spans="1:54" ht="36.75" customHeight="1">
      <c r="A2535" s="30"/>
      <c r="B2535" s="30" t="s">
        <v>55</v>
      </c>
      <c r="C2535" s="69" t="str">
        <f t="shared" si="201"/>
        <v>Closed</v>
      </c>
      <c r="D2535" s="27" t="s">
        <v>14306</v>
      </c>
      <c r="E2535" s="29" t="s">
        <v>14307</v>
      </c>
      <c r="F2535" s="30" t="s">
        <v>233</v>
      </c>
      <c r="G2535" s="89">
        <f>DATE(2017,10,30)</f>
        <v>43038</v>
      </c>
      <c r="H2535" s="90">
        <v>1.3409722222222222</v>
      </c>
      <c r="I2535" s="30" t="s">
        <v>8503</v>
      </c>
      <c r="J2535" s="89" t="s">
        <v>14308</v>
      </c>
      <c r="K2535" s="30" t="s">
        <v>235</v>
      </c>
      <c r="L2535" s="30" t="s">
        <v>14309</v>
      </c>
      <c r="M2535" s="30" t="s">
        <v>63</v>
      </c>
      <c r="N2535" s="30" t="s">
        <v>142</v>
      </c>
      <c r="O2535" s="30" t="s">
        <v>64</v>
      </c>
      <c r="P2535" s="89" t="s">
        <v>78</v>
      </c>
      <c r="Q2535" s="89" t="s">
        <v>4042</v>
      </c>
      <c r="R2535" s="89" t="s">
        <v>235</v>
      </c>
      <c r="S2535" s="30">
        <v>0</v>
      </c>
      <c r="T2535" s="233">
        <v>0</v>
      </c>
      <c r="U2535" s="30">
        <v>0</v>
      </c>
      <c r="V2535" s="233">
        <v>0</v>
      </c>
      <c r="W2535" s="30">
        <v>0</v>
      </c>
      <c r="X2535" s="30">
        <v>0</v>
      </c>
      <c r="Y2535" s="30">
        <v>0</v>
      </c>
      <c r="Z2535" s="233">
        <v>0</v>
      </c>
      <c r="AA2535" s="30">
        <v>0</v>
      </c>
      <c r="AB2535" s="30">
        <v>0</v>
      </c>
      <c r="AC2535" s="30">
        <v>0</v>
      </c>
      <c r="AD2535" s="30">
        <v>0</v>
      </c>
      <c r="AE2535" s="89" t="s">
        <v>145</v>
      </c>
      <c r="AF2535" s="89"/>
      <c r="AG2535" s="89" t="s">
        <v>133</v>
      </c>
      <c r="AH2535" s="72">
        <v>43052</v>
      </c>
      <c r="AI2535" s="30">
        <v>1</v>
      </c>
      <c r="AJ2535" s="89" t="s">
        <v>14310</v>
      </c>
      <c r="AK2535" s="89" t="s">
        <v>14311</v>
      </c>
      <c r="AL2535" s="91">
        <v>43060</v>
      </c>
      <c r="AM2535" s="91"/>
      <c r="AN2535" s="91"/>
      <c r="AO2535" s="91"/>
      <c r="AP2535" s="73" t="e">
        <f>MID(VLOOKUP(K2535,#REF!,2,FALSE),1,2)</f>
        <v>#REF!</v>
      </c>
      <c r="AQ2535" s="89">
        <f>DATE(2017,10,31)</f>
        <v>43039</v>
      </c>
      <c r="AR2535" s="82">
        <f t="shared" si="202"/>
        <v>31</v>
      </c>
      <c r="AS2535" s="83">
        <f t="shared" si="203"/>
        <v>10</v>
      </c>
      <c r="AT2535" s="84">
        <f t="shared" si="204"/>
        <v>2017</v>
      </c>
      <c r="AU2535" s="88">
        <f>DATE(2017,11,3)</f>
        <v>43042</v>
      </c>
      <c r="AV2535" s="88">
        <f>DATE(2017,11,1)</f>
        <v>43040</v>
      </c>
      <c r="AW2535" s="87">
        <f t="shared" si="205"/>
        <v>2</v>
      </c>
      <c r="AX2535" s="88">
        <f>DATE(2017,11,3)</f>
        <v>43042</v>
      </c>
      <c r="AY2535" s="83">
        <f>MONTH(AX2535)</f>
        <v>11</v>
      </c>
      <c r="AZ2535" s="84">
        <f>YEAR(AX2535)</f>
        <v>2017</v>
      </c>
      <c r="BA2535" s="88">
        <f>DATE(2017,10,31)</f>
        <v>43039</v>
      </c>
      <c r="BB2535" s="86"/>
    </row>
    <row r="2536" spans="1:54" ht="36.75" customHeight="1">
      <c r="A2536" s="30"/>
      <c r="B2536" s="30" t="s">
        <v>55</v>
      </c>
      <c r="C2536" s="69" t="str">
        <f t="shared" si="201"/>
        <v>Closed</v>
      </c>
      <c r="D2536" s="27" t="s">
        <v>14312</v>
      </c>
      <c r="E2536" s="29" t="s">
        <v>14313</v>
      </c>
      <c r="F2536" s="30" t="s">
        <v>1572</v>
      </c>
      <c r="G2536" s="89">
        <f>DATE(2017,10,31)</f>
        <v>43039</v>
      </c>
      <c r="H2536" s="90">
        <v>1.6909722222222223</v>
      </c>
      <c r="I2536" s="30" t="s">
        <v>86</v>
      </c>
      <c r="J2536" s="89" t="s">
        <v>14314</v>
      </c>
      <c r="K2536" s="30" t="s">
        <v>1574</v>
      </c>
      <c r="L2536" s="30" t="s">
        <v>14315</v>
      </c>
      <c r="M2536" s="30" t="s">
        <v>63</v>
      </c>
      <c r="N2536" s="30" t="s">
        <v>142</v>
      </c>
      <c r="O2536" s="30" t="s">
        <v>64</v>
      </c>
      <c r="P2536" s="89" t="s">
        <v>78</v>
      </c>
      <c r="Q2536" s="89" t="s">
        <v>2655</v>
      </c>
      <c r="R2536" s="89" t="s">
        <v>6434</v>
      </c>
      <c r="S2536" s="30">
        <v>0</v>
      </c>
      <c r="T2536" s="233">
        <v>0</v>
      </c>
      <c r="U2536" s="30">
        <v>0</v>
      </c>
      <c r="V2536" s="233">
        <v>0</v>
      </c>
      <c r="W2536" s="30">
        <v>0</v>
      </c>
      <c r="X2536" s="30">
        <v>0</v>
      </c>
      <c r="Y2536" s="30">
        <v>0</v>
      </c>
      <c r="Z2536" s="233">
        <v>0</v>
      </c>
      <c r="AA2536" s="30">
        <v>0</v>
      </c>
      <c r="AB2536" s="30">
        <v>0</v>
      </c>
      <c r="AC2536" s="30">
        <v>0</v>
      </c>
      <c r="AD2536" s="30">
        <v>0</v>
      </c>
      <c r="AE2536" s="89" t="s">
        <v>92</v>
      </c>
      <c r="AF2536" s="89"/>
      <c r="AG2536" s="89" t="s">
        <v>133</v>
      </c>
      <c r="AH2536" s="72">
        <v>43040</v>
      </c>
      <c r="AI2536" s="30">
        <v>2</v>
      </c>
      <c r="AJ2536" s="89" t="s">
        <v>14316</v>
      </c>
      <c r="AK2536" s="89" t="s">
        <v>14317</v>
      </c>
      <c r="AL2536" s="91">
        <v>43042</v>
      </c>
      <c r="AM2536" s="91"/>
      <c r="AN2536" s="91"/>
      <c r="AO2536" s="91"/>
      <c r="AP2536" s="73" t="e">
        <f>MID(VLOOKUP(K2536,#REF!,2,FALSE),1,2)</f>
        <v>#REF!</v>
      </c>
      <c r="AQ2536" s="89">
        <f>DATE(2017,11,2)</f>
        <v>43041</v>
      </c>
      <c r="AR2536" s="82">
        <f t="shared" si="202"/>
        <v>2</v>
      </c>
      <c r="AS2536" s="83">
        <f t="shared" si="203"/>
        <v>11</v>
      </c>
      <c r="AT2536" s="84">
        <f t="shared" si="204"/>
        <v>2017</v>
      </c>
      <c r="AU2536" s="88">
        <f>DATE(2017,11,7)</f>
        <v>43046</v>
      </c>
      <c r="AV2536" s="88">
        <f>DATE(2017,11,3)</f>
        <v>43042</v>
      </c>
      <c r="AW2536" s="87">
        <f t="shared" si="205"/>
        <v>4</v>
      </c>
      <c r="AX2536" s="86"/>
      <c r="AY2536" s="83"/>
      <c r="AZ2536" s="84"/>
      <c r="BA2536" s="86"/>
      <c r="BB2536" s="86" t="s">
        <v>13115</v>
      </c>
    </row>
    <row r="2537" spans="1:54" ht="36.75" customHeight="1">
      <c r="A2537" s="30"/>
      <c r="B2537" s="30" t="s">
        <v>55</v>
      </c>
      <c r="C2537" s="69" t="str">
        <f t="shared" si="201"/>
        <v>Closed</v>
      </c>
      <c r="D2537" s="27" t="s">
        <v>14318</v>
      </c>
      <c r="E2537" s="29" t="s">
        <v>14319</v>
      </c>
      <c r="F2537" s="30" t="s">
        <v>423</v>
      </c>
      <c r="G2537" s="89">
        <f>DATE(2017,11,2)</f>
        <v>43041</v>
      </c>
      <c r="H2537" s="90">
        <v>1.9965277777777777</v>
      </c>
      <c r="I2537" s="30" t="s">
        <v>198</v>
      </c>
      <c r="J2537" s="89" t="s">
        <v>14320</v>
      </c>
      <c r="K2537" s="30" t="s">
        <v>425</v>
      </c>
      <c r="L2537" s="30" t="s">
        <v>14321</v>
      </c>
      <c r="M2537" s="30" t="s">
        <v>63</v>
      </c>
      <c r="N2537" s="30" t="s">
        <v>142</v>
      </c>
      <c r="O2537" s="30" t="s">
        <v>64</v>
      </c>
      <c r="P2537" s="89" t="s">
        <v>78</v>
      </c>
      <c r="Q2537" s="89" t="s">
        <v>2582</v>
      </c>
      <c r="R2537" s="89" t="s">
        <v>3103</v>
      </c>
      <c r="S2537" s="30">
        <v>0</v>
      </c>
      <c r="T2537" s="233">
        <v>0</v>
      </c>
      <c r="U2537" s="30">
        <v>0</v>
      </c>
      <c r="V2537" s="233">
        <v>0</v>
      </c>
      <c r="W2537" s="30">
        <v>0</v>
      </c>
      <c r="X2537" s="30">
        <v>0</v>
      </c>
      <c r="Y2537" s="30">
        <v>0</v>
      </c>
      <c r="Z2537" s="233">
        <v>0</v>
      </c>
      <c r="AA2537" s="30">
        <v>0</v>
      </c>
      <c r="AB2537" s="30">
        <v>0</v>
      </c>
      <c r="AC2537" s="30">
        <v>0</v>
      </c>
      <c r="AD2537" s="30">
        <v>0</v>
      </c>
      <c r="AE2537" s="89" t="s">
        <v>92</v>
      </c>
      <c r="AF2537" s="89"/>
      <c r="AG2537" s="89" t="s">
        <v>352</v>
      </c>
      <c r="AH2537" s="72">
        <v>42805</v>
      </c>
      <c r="AI2537" s="30">
        <v>0</v>
      </c>
      <c r="AJ2537" s="89" t="s">
        <v>14322</v>
      </c>
      <c r="AK2537" s="89" t="s">
        <v>14323</v>
      </c>
      <c r="AL2537" s="91">
        <v>43046</v>
      </c>
      <c r="AM2537" s="91"/>
      <c r="AN2537" s="91"/>
      <c r="AO2537" s="91"/>
      <c r="AP2537" s="73" t="e">
        <f>MID(VLOOKUP(K2537,#REF!,2,FALSE),1,2)</f>
        <v>#REF!</v>
      </c>
      <c r="AQ2537" s="89">
        <f>DATE(2017,11,2)</f>
        <v>43041</v>
      </c>
      <c r="AR2537" s="82">
        <f t="shared" si="202"/>
        <v>2</v>
      </c>
      <c r="AS2537" s="83">
        <f t="shared" si="203"/>
        <v>11</v>
      </c>
      <c r="AT2537" s="84">
        <f t="shared" si="204"/>
        <v>2017</v>
      </c>
      <c r="AU2537" s="88">
        <f>DATE(2017,11,17)</f>
        <v>43056</v>
      </c>
      <c r="AV2537" s="88">
        <f>DATE(2017,11,9)</f>
        <v>43048</v>
      </c>
      <c r="AW2537" s="87">
        <f t="shared" si="205"/>
        <v>8</v>
      </c>
      <c r="AX2537" s="86"/>
      <c r="AY2537" s="83"/>
      <c r="AZ2537" s="84"/>
      <c r="BA2537" s="86"/>
      <c r="BB2537" s="86" t="s">
        <v>13115</v>
      </c>
    </row>
    <row r="2538" spans="1:54" ht="36.75" customHeight="1">
      <c r="A2538" s="30"/>
      <c r="B2538" s="30" t="s">
        <v>55</v>
      </c>
      <c r="C2538" s="69" t="str">
        <f t="shared" si="201"/>
        <v>Closed</v>
      </c>
      <c r="D2538" s="27" t="s">
        <v>14324</v>
      </c>
      <c r="E2538" s="29" t="s">
        <v>14325</v>
      </c>
      <c r="F2538" s="30" t="s">
        <v>115</v>
      </c>
      <c r="G2538" s="89">
        <f>DATE(2017,11,2)</f>
        <v>43041</v>
      </c>
      <c r="H2538" s="90">
        <v>1.661111111111111</v>
      </c>
      <c r="I2538" s="30" t="s">
        <v>116</v>
      </c>
      <c r="J2538" s="89" t="s">
        <v>14326</v>
      </c>
      <c r="K2538" s="30" t="s">
        <v>118</v>
      </c>
      <c r="L2538" s="30" t="s">
        <v>14327</v>
      </c>
      <c r="M2538" s="30" t="s">
        <v>63</v>
      </c>
      <c r="N2538" s="30" t="s">
        <v>99</v>
      </c>
      <c r="O2538" s="30" t="s">
        <v>64</v>
      </c>
      <c r="P2538" s="89" t="s">
        <v>165</v>
      </c>
      <c r="Q2538" s="89" t="s">
        <v>120</v>
      </c>
      <c r="R2538" s="89" t="s">
        <v>121</v>
      </c>
      <c r="S2538" s="30">
        <v>0</v>
      </c>
      <c r="T2538" s="233">
        <v>0</v>
      </c>
      <c r="U2538" s="30">
        <v>3</v>
      </c>
      <c r="V2538" s="233">
        <v>0</v>
      </c>
      <c r="W2538" s="30">
        <v>0</v>
      </c>
      <c r="X2538" s="30">
        <v>3</v>
      </c>
      <c r="Y2538" s="30">
        <v>0</v>
      </c>
      <c r="Z2538" s="233">
        <v>0</v>
      </c>
      <c r="AA2538" s="30">
        <v>0</v>
      </c>
      <c r="AB2538" s="30">
        <v>0</v>
      </c>
      <c r="AC2538" s="30">
        <v>0</v>
      </c>
      <c r="AD2538" s="30">
        <v>0</v>
      </c>
      <c r="AE2538" s="89" t="s">
        <v>92</v>
      </c>
      <c r="AF2538" s="89"/>
      <c r="AG2538" s="89" t="s">
        <v>133</v>
      </c>
      <c r="AH2538" s="72">
        <v>43048</v>
      </c>
      <c r="AI2538" s="30">
        <v>2</v>
      </c>
      <c r="AJ2538" s="89" t="s">
        <v>14328</v>
      </c>
      <c r="AK2538" s="89" t="s">
        <v>14329</v>
      </c>
      <c r="AL2538" s="91">
        <v>43056</v>
      </c>
      <c r="AM2538" s="91"/>
      <c r="AN2538" s="91"/>
      <c r="AO2538" s="91"/>
      <c r="AP2538" s="73" t="e">
        <f>MID(VLOOKUP(K2538,#REF!,2,FALSE),1,2)</f>
        <v>#REF!</v>
      </c>
      <c r="AQ2538" s="89">
        <f>DATE(2017,11,2)</f>
        <v>43041</v>
      </c>
      <c r="AR2538" s="82">
        <f t="shared" si="202"/>
        <v>2</v>
      </c>
      <c r="AS2538" s="83">
        <f t="shared" si="203"/>
        <v>11</v>
      </c>
      <c r="AT2538" s="84">
        <f t="shared" si="204"/>
        <v>2017</v>
      </c>
      <c r="AU2538" s="88">
        <f>DATE(2017,11,13)</f>
        <v>43052</v>
      </c>
      <c r="AV2538" s="88">
        <f>DATE(2017,11,8)</f>
        <v>43047</v>
      </c>
      <c r="AW2538" s="87">
        <f t="shared" si="205"/>
        <v>5</v>
      </c>
      <c r="AX2538" s="88">
        <f>DATE(2017,11,13)</f>
        <v>43052</v>
      </c>
      <c r="AY2538" s="83">
        <f>MONTH(AX2538)</f>
        <v>11</v>
      </c>
      <c r="AZ2538" s="84">
        <f>YEAR(AX2538)</f>
        <v>2017</v>
      </c>
      <c r="BA2538" s="88">
        <f>DATE(2017,11,8)</f>
        <v>43047</v>
      </c>
      <c r="BB2538" s="86"/>
    </row>
    <row r="2539" spans="1:54" ht="36.75" customHeight="1">
      <c r="A2539" s="30"/>
      <c r="B2539" s="30" t="s">
        <v>55</v>
      </c>
      <c r="C2539" s="69" t="str">
        <f t="shared" si="201"/>
        <v>Closed</v>
      </c>
      <c r="D2539" s="27" t="s">
        <v>14330</v>
      </c>
      <c r="E2539" s="29" t="s">
        <v>14331</v>
      </c>
      <c r="F2539" s="30" t="s">
        <v>2336</v>
      </c>
      <c r="G2539" s="89">
        <f>DATE(2017,11,2)</f>
        <v>43041</v>
      </c>
      <c r="H2539" s="90">
        <v>1.7840277777777778</v>
      </c>
      <c r="I2539" s="30" t="s">
        <v>116</v>
      </c>
      <c r="J2539" s="89" t="s">
        <v>14332</v>
      </c>
      <c r="K2539" s="30" t="s">
        <v>2338</v>
      </c>
      <c r="L2539" s="30" t="s">
        <v>14333</v>
      </c>
      <c r="M2539" s="30" t="s">
        <v>63</v>
      </c>
      <c r="N2539" s="30" t="s">
        <v>99</v>
      </c>
      <c r="O2539" s="30" t="s">
        <v>64</v>
      </c>
      <c r="P2539" s="89" t="s">
        <v>301</v>
      </c>
      <c r="Q2539" s="89" t="s">
        <v>2338</v>
      </c>
      <c r="R2539" s="89" t="s">
        <v>2341</v>
      </c>
      <c r="S2539" s="30">
        <v>0</v>
      </c>
      <c r="T2539" s="233">
        <v>0</v>
      </c>
      <c r="U2539" s="30">
        <v>3</v>
      </c>
      <c r="V2539" s="233">
        <v>0</v>
      </c>
      <c r="W2539" s="30">
        <v>0</v>
      </c>
      <c r="X2539" s="30">
        <v>3</v>
      </c>
      <c r="Y2539" s="30">
        <v>0</v>
      </c>
      <c r="Z2539" s="233">
        <v>0</v>
      </c>
      <c r="AA2539" s="30">
        <v>1</v>
      </c>
      <c r="AB2539" s="30">
        <v>0</v>
      </c>
      <c r="AC2539" s="30">
        <v>0</v>
      </c>
      <c r="AD2539" s="30">
        <v>1</v>
      </c>
      <c r="AE2539" s="89" t="s">
        <v>92</v>
      </c>
      <c r="AF2539" s="89"/>
      <c r="AG2539" s="89" t="s">
        <v>82</v>
      </c>
      <c r="AH2539" s="72">
        <v>43047</v>
      </c>
      <c r="AI2539" s="30">
        <v>6</v>
      </c>
      <c r="AJ2539" s="89" t="s">
        <v>14334</v>
      </c>
      <c r="AK2539" s="89" t="s">
        <v>14335</v>
      </c>
      <c r="AL2539" s="91">
        <v>43052</v>
      </c>
      <c r="AM2539" s="91"/>
      <c r="AN2539" s="91"/>
      <c r="AO2539" s="91"/>
      <c r="AP2539" s="73" t="e">
        <f>MID(VLOOKUP(K2539,#REF!,2,FALSE),1,2)</f>
        <v>#REF!</v>
      </c>
      <c r="AQ2539" s="89">
        <f>DATE(2017,11,5)</f>
        <v>43044</v>
      </c>
      <c r="AR2539" s="82">
        <f t="shared" si="202"/>
        <v>5</v>
      </c>
      <c r="AS2539" s="83">
        <f t="shared" si="203"/>
        <v>11</v>
      </c>
      <c r="AT2539" s="84">
        <f t="shared" si="204"/>
        <v>2017</v>
      </c>
      <c r="AU2539" s="88">
        <f>DATE(2017,11,13)</f>
        <v>43052</v>
      </c>
      <c r="AV2539" s="88">
        <f>DATE(2017,11,6)</f>
        <v>43045</v>
      </c>
      <c r="AW2539" s="87">
        <f t="shared" si="205"/>
        <v>7</v>
      </c>
      <c r="AX2539" s="106"/>
      <c r="AY2539" s="83"/>
      <c r="AZ2539" s="84"/>
      <c r="BA2539" s="106"/>
      <c r="BB2539" s="106"/>
    </row>
    <row r="2540" spans="1:54" ht="36.75" customHeight="1">
      <c r="A2540" s="30"/>
      <c r="B2540" s="30" t="s">
        <v>55</v>
      </c>
      <c r="C2540" s="69" t="str">
        <f t="shared" si="201"/>
        <v>Closed</v>
      </c>
      <c r="D2540" s="27" t="s">
        <v>14336</v>
      </c>
      <c r="E2540" s="29" t="s">
        <v>14337</v>
      </c>
      <c r="F2540" s="30" t="s">
        <v>423</v>
      </c>
      <c r="G2540" s="89">
        <f>DATE(2017,11,5)</f>
        <v>43044</v>
      </c>
      <c r="H2540" s="90">
        <v>1.8784722222222223</v>
      </c>
      <c r="I2540" s="30" t="s">
        <v>198</v>
      </c>
      <c r="J2540" s="89" t="s">
        <v>14338</v>
      </c>
      <c r="K2540" s="30" t="s">
        <v>425</v>
      </c>
      <c r="L2540" s="30" t="s">
        <v>14339</v>
      </c>
      <c r="M2540" s="30" t="s">
        <v>255</v>
      </c>
      <c r="N2540" s="30" t="s">
        <v>142</v>
      </c>
      <c r="O2540" s="30" t="s">
        <v>64</v>
      </c>
      <c r="P2540" s="89" t="s">
        <v>6552</v>
      </c>
      <c r="Q2540" s="89" t="s">
        <v>2715</v>
      </c>
      <c r="R2540" s="89" t="s">
        <v>2715</v>
      </c>
      <c r="S2540" s="30">
        <v>0</v>
      </c>
      <c r="T2540" s="233">
        <v>0</v>
      </c>
      <c r="U2540" s="30">
        <v>0</v>
      </c>
      <c r="V2540" s="233">
        <v>0</v>
      </c>
      <c r="W2540" s="30">
        <v>0</v>
      </c>
      <c r="X2540" s="30">
        <v>0</v>
      </c>
      <c r="Y2540" s="30">
        <v>0</v>
      </c>
      <c r="Z2540" s="233">
        <v>0</v>
      </c>
      <c r="AA2540" s="30">
        <v>0</v>
      </c>
      <c r="AB2540" s="30">
        <v>0</v>
      </c>
      <c r="AC2540" s="30">
        <v>0</v>
      </c>
      <c r="AD2540" s="30">
        <v>0</v>
      </c>
      <c r="AE2540" s="89" t="s">
        <v>92</v>
      </c>
      <c r="AF2540" s="89"/>
      <c r="AG2540" s="89" t="s">
        <v>133</v>
      </c>
      <c r="AH2540" s="72">
        <v>43045</v>
      </c>
      <c r="AI2540" s="30">
        <v>1</v>
      </c>
      <c r="AJ2540" s="89" t="s">
        <v>14340</v>
      </c>
      <c r="AK2540" s="89" t="s">
        <v>14341</v>
      </c>
      <c r="AL2540" s="91">
        <v>43052</v>
      </c>
      <c r="AM2540" s="91"/>
      <c r="AN2540" s="91"/>
      <c r="AO2540" s="91"/>
      <c r="AP2540" s="73" t="e">
        <f>MID(VLOOKUP(K2540,#REF!,2,FALSE),1,2)</f>
        <v>#REF!</v>
      </c>
      <c r="AQ2540" s="89">
        <f>DATE(2017,11,7)</f>
        <v>43046</v>
      </c>
      <c r="AR2540" s="82">
        <f t="shared" si="202"/>
        <v>7</v>
      </c>
      <c r="AS2540" s="83">
        <f t="shared" si="203"/>
        <v>11</v>
      </c>
      <c r="AT2540" s="84">
        <f t="shared" si="204"/>
        <v>2017</v>
      </c>
      <c r="AU2540" s="88">
        <f>DATE(2017,12,6)</f>
        <v>43075</v>
      </c>
      <c r="AV2540" s="88">
        <f>DATE(2017,11,27)</f>
        <v>43066</v>
      </c>
      <c r="AW2540" s="87">
        <f t="shared" si="205"/>
        <v>9</v>
      </c>
      <c r="AX2540" s="88">
        <f>DATE(2017,12,6)</f>
        <v>43075</v>
      </c>
      <c r="AY2540" s="83">
        <f>MONTH(AX2540)</f>
        <v>12</v>
      </c>
      <c r="AZ2540" s="84">
        <f>YEAR(AX2540)</f>
        <v>2017</v>
      </c>
      <c r="BA2540" s="88"/>
      <c r="BB2540" s="86"/>
    </row>
    <row r="2541" spans="1:54" ht="36.75" customHeight="1">
      <c r="A2541" s="30"/>
      <c r="B2541" s="30" t="s">
        <v>55</v>
      </c>
      <c r="C2541" s="69" t="str">
        <f t="shared" si="201"/>
        <v>Closed</v>
      </c>
      <c r="D2541" s="27" t="s">
        <v>14342</v>
      </c>
      <c r="E2541" s="29" t="s">
        <v>14343</v>
      </c>
      <c r="F2541" s="30" t="s">
        <v>233</v>
      </c>
      <c r="G2541" s="89">
        <f>DATE(2017,11,7)</f>
        <v>43046</v>
      </c>
      <c r="H2541" s="90">
        <v>1.7819444444444446</v>
      </c>
      <c r="I2541" s="30" t="s">
        <v>86</v>
      </c>
      <c r="J2541" s="89" t="s">
        <v>14344</v>
      </c>
      <c r="K2541" s="30" t="s">
        <v>235</v>
      </c>
      <c r="L2541" s="30" t="s">
        <v>14345</v>
      </c>
      <c r="M2541" s="30" t="s">
        <v>63</v>
      </c>
      <c r="N2541" s="30" t="s">
        <v>99</v>
      </c>
      <c r="O2541" s="30" t="s">
        <v>64</v>
      </c>
      <c r="P2541" s="89" t="s">
        <v>165</v>
      </c>
      <c r="Q2541" s="89" t="s">
        <v>718</v>
      </c>
      <c r="R2541" s="89" t="s">
        <v>235</v>
      </c>
      <c r="S2541" s="30">
        <v>0</v>
      </c>
      <c r="T2541" s="233">
        <v>0</v>
      </c>
      <c r="U2541" s="30">
        <v>0</v>
      </c>
      <c r="V2541" s="233">
        <v>0</v>
      </c>
      <c r="W2541" s="30">
        <v>0</v>
      </c>
      <c r="X2541" s="30">
        <v>0</v>
      </c>
      <c r="Y2541" s="30">
        <v>0</v>
      </c>
      <c r="Z2541" s="233">
        <v>0</v>
      </c>
      <c r="AA2541" s="30">
        <v>0</v>
      </c>
      <c r="AB2541" s="30">
        <v>0</v>
      </c>
      <c r="AC2541" s="30">
        <v>0</v>
      </c>
      <c r="AD2541" s="30">
        <v>0</v>
      </c>
      <c r="AE2541" s="89" t="s">
        <v>92</v>
      </c>
      <c r="AF2541" s="89"/>
      <c r="AG2541" s="89" t="s">
        <v>133</v>
      </c>
      <c r="AH2541" s="72">
        <v>43066</v>
      </c>
      <c r="AI2541" s="30">
        <v>3</v>
      </c>
      <c r="AJ2541" s="89" t="s">
        <v>14346</v>
      </c>
      <c r="AK2541" s="89" t="s">
        <v>14347</v>
      </c>
      <c r="AL2541" s="91">
        <v>43075</v>
      </c>
      <c r="AM2541" s="91"/>
      <c r="AN2541" s="91"/>
      <c r="AO2541" s="91"/>
      <c r="AP2541" s="73" t="e">
        <f>MID(VLOOKUP(K2541,#REF!,2,FALSE),1,2)</f>
        <v>#REF!</v>
      </c>
      <c r="AQ2541" s="89">
        <f>DATE(2017,11,9)</f>
        <v>43048</v>
      </c>
      <c r="AR2541" s="82">
        <f t="shared" si="202"/>
        <v>9</v>
      </c>
      <c r="AS2541" s="83">
        <f t="shared" si="203"/>
        <v>11</v>
      </c>
      <c r="AT2541" s="84">
        <f t="shared" si="204"/>
        <v>2017</v>
      </c>
      <c r="AU2541" s="88">
        <f>DATE(2017,11,27)</f>
        <v>43066</v>
      </c>
      <c r="AV2541" s="88">
        <f>DATE(2017,11,17)</f>
        <v>43056</v>
      </c>
      <c r="AW2541" s="87">
        <f t="shared" si="205"/>
        <v>10</v>
      </c>
      <c r="AX2541" s="88">
        <f>DATE(2017,11,27)</f>
        <v>43066</v>
      </c>
      <c r="AY2541" s="83">
        <f>MONTH(AX2541)</f>
        <v>11</v>
      </c>
      <c r="AZ2541" s="84">
        <f>YEAR(AX2541)</f>
        <v>2017</v>
      </c>
      <c r="BA2541" s="88">
        <f>DATE(2017,11,9)</f>
        <v>43048</v>
      </c>
      <c r="BB2541" s="86"/>
    </row>
    <row r="2542" spans="1:54" ht="36.75" customHeight="1">
      <c r="A2542" s="30"/>
      <c r="B2542" s="30" t="s">
        <v>55</v>
      </c>
      <c r="C2542" s="69" t="str">
        <f t="shared" si="201"/>
        <v>Closed</v>
      </c>
      <c r="D2542" s="27" t="s">
        <v>14348</v>
      </c>
      <c r="E2542" s="29" t="s">
        <v>14349</v>
      </c>
      <c r="F2542" s="30" t="s">
        <v>377</v>
      </c>
      <c r="G2542" s="89">
        <f>DATE(2017,11,9)</f>
        <v>43048</v>
      </c>
      <c r="H2542" s="90">
        <v>1.4659722222222222</v>
      </c>
      <c r="I2542" s="30" t="s">
        <v>73</v>
      </c>
      <c r="J2542" s="89" t="s">
        <v>14350</v>
      </c>
      <c r="K2542" s="30" t="s">
        <v>379</v>
      </c>
      <c r="L2542" s="30" t="s">
        <v>14351</v>
      </c>
      <c r="M2542" s="30" t="s">
        <v>63</v>
      </c>
      <c r="N2542" s="30" t="s">
        <v>89</v>
      </c>
      <c r="O2542" s="30" t="s">
        <v>77</v>
      </c>
      <c r="P2542" s="89" t="s">
        <v>462</v>
      </c>
      <c r="Q2542" s="89" t="s">
        <v>2906</v>
      </c>
      <c r="R2542" s="89" t="s">
        <v>382</v>
      </c>
      <c r="S2542" s="30">
        <v>0</v>
      </c>
      <c r="T2542" s="233">
        <v>0</v>
      </c>
      <c r="U2542" s="30">
        <v>0</v>
      </c>
      <c r="V2542" s="233">
        <v>0</v>
      </c>
      <c r="W2542" s="30">
        <v>0</v>
      </c>
      <c r="X2542" s="30">
        <v>0</v>
      </c>
      <c r="Y2542" s="30">
        <v>0</v>
      </c>
      <c r="Z2542" s="233">
        <v>0</v>
      </c>
      <c r="AA2542" s="30">
        <v>0</v>
      </c>
      <c r="AB2542" s="30">
        <v>0</v>
      </c>
      <c r="AC2542" s="30">
        <v>0</v>
      </c>
      <c r="AD2542" s="30">
        <v>0</v>
      </c>
      <c r="AE2542" s="89" t="s">
        <v>394</v>
      </c>
      <c r="AF2542" s="89"/>
      <c r="AG2542" s="89" t="s">
        <v>133</v>
      </c>
      <c r="AH2542" s="72">
        <v>43056</v>
      </c>
      <c r="AI2542" s="30">
        <v>5</v>
      </c>
      <c r="AJ2542" s="89" t="s">
        <v>14352</v>
      </c>
      <c r="AK2542" s="89" t="s">
        <v>14353</v>
      </c>
      <c r="AL2542" s="91">
        <v>43066</v>
      </c>
      <c r="AM2542" s="91"/>
      <c r="AN2542" s="91"/>
      <c r="AO2542" s="91"/>
      <c r="AP2542" s="73" t="e">
        <f>MID(VLOOKUP(K2542,#REF!,2,FALSE),1,2)</f>
        <v>#REF!</v>
      </c>
      <c r="AQ2542" s="89">
        <f>DATE(2017,11,10)</f>
        <v>43049</v>
      </c>
      <c r="AR2542" s="82">
        <f t="shared" si="202"/>
        <v>10</v>
      </c>
      <c r="AS2542" s="83">
        <f t="shared" si="203"/>
        <v>11</v>
      </c>
      <c r="AT2542" s="84">
        <f t="shared" si="204"/>
        <v>2017</v>
      </c>
      <c r="AU2542" s="88">
        <f>DATE(2017,12,5)</f>
        <v>43074</v>
      </c>
      <c r="AV2542" s="88">
        <f>DATE(2017,11,28)</f>
        <v>43067</v>
      </c>
      <c r="AW2542" s="87">
        <f t="shared" si="205"/>
        <v>7</v>
      </c>
      <c r="AX2542" s="88">
        <f>DATE(2017,12,5)</f>
        <v>43074</v>
      </c>
      <c r="AY2542" s="83">
        <f>MONTH(AX2542)</f>
        <v>12</v>
      </c>
      <c r="AZ2542" s="84">
        <f>YEAR(AX2542)</f>
        <v>2017</v>
      </c>
      <c r="BA2542" s="88">
        <f>DATE(2017,11,28)</f>
        <v>43067</v>
      </c>
      <c r="BB2542" s="86"/>
    </row>
    <row r="2543" spans="1:54" ht="36.75" customHeight="1">
      <c r="A2543" s="30"/>
      <c r="B2543" s="30" t="s">
        <v>55</v>
      </c>
      <c r="C2543" s="69" t="str">
        <f t="shared" si="201"/>
        <v>Closed</v>
      </c>
      <c r="D2543" s="27" t="s">
        <v>14354</v>
      </c>
      <c r="E2543" s="29" t="s">
        <v>14355</v>
      </c>
      <c r="F2543" s="30" t="s">
        <v>2336</v>
      </c>
      <c r="G2543" s="89">
        <f>DATE(2017,11,10)</f>
        <v>43049</v>
      </c>
      <c r="H2543" s="90">
        <v>1.2638888888888888</v>
      </c>
      <c r="I2543" s="30" t="s">
        <v>2078</v>
      </c>
      <c r="J2543" s="89" t="s">
        <v>14356</v>
      </c>
      <c r="K2543" s="30" t="s">
        <v>2338</v>
      </c>
      <c r="L2543" s="30" t="s">
        <v>14357</v>
      </c>
      <c r="M2543" s="30" t="s">
        <v>63</v>
      </c>
      <c r="N2543" s="30" t="s">
        <v>99</v>
      </c>
      <c r="O2543" s="30" t="s">
        <v>77</v>
      </c>
      <c r="P2543" s="89" t="s">
        <v>78</v>
      </c>
      <c r="Q2543" s="89" t="s">
        <v>14358</v>
      </c>
      <c r="R2543" s="89" t="s">
        <v>2341</v>
      </c>
      <c r="S2543" s="30">
        <v>0</v>
      </c>
      <c r="T2543" s="233">
        <v>0</v>
      </c>
      <c r="U2543" s="30">
        <v>0</v>
      </c>
      <c r="V2543" s="233">
        <v>0</v>
      </c>
      <c r="W2543" s="30">
        <v>0</v>
      </c>
      <c r="X2543" s="30">
        <v>0</v>
      </c>
      <c r="Y2543" s="30">
        <v>0</v>
      </c>
      <c r="Z2543" s="233">
        <v>0</v>
      </c>
      <c r="AA2543" s="30">
        <v>0</v>
      </c>
      <c r="AB2543" s="30">
        <v>0</v>
      </c>
      <c r="AC2543" s="30">
        <v>0</v>
      </c>
      <c r="AD2543" s="30">
        <v>0</v>
      </c>
      <c r="AE2543" s="89" t="s">
        <v>92</v>
      </c>
      <c r="AF2543" s="89"/>
      <c r="AG2543" s="89" t="s">
        <v>133</v>
      </c>
      <c r="AH2543" s="72">
        <v>43067</v>
      </c>
      <c r="AI2543" s="30">
        <v>9</v>
      </c>
      <c r="AJ2543" s="89" t="s">
        <v>14359</v>
      </c>
      <c r="AK2543" s="89" t="s">
        <v>14360</v>
      </c>
      <c r="AL2543" s="91">
        <v>43074</v>
      </c>
      <c r="AM2543" s="91"/>
      <c r="AN2543" s="91"/>
      <c r="AO2543" s="91"/>
      <c r="AP2543" s="73" t="e">
        <f>MID(VLOOKUP(K2543,#REF!,2,FALSE),1,2)</f>
        <v>#REF!</v>
      </c>
      <c r="AQ2543" s="89">
        <f>DATE(2017,11,13)</f>
        <v>43052</v>
      </c>
      <c r="AR2543" s="82">
        <f t="shared" si="202"/>
        <v>13</v>
      </c>
      <c r="AS2543" s="83">
        <f t="shared" si="203"/>
        <v>11</v>
      </c>
      <c r="AT2543" s="84">
        <f t="shared" si="204"/>
        <v>2017</v>
      </c>
      <c r="AU2543" s="88">
        <f>DATE(2017,12,22)</f>
        <v>43091</v>
      </c>
      <c r="AV2543" s="88">
        <f>DATE(2017,12,20)</f>
        <v>43089</v>
      </c>
      <c r="AW2543" s="87">
        <f t="shared" si="205"/>
        <v>2</v>
      </c>
      <c r="AX2543" s="106"/>
      <c r="AY2543" s="83"/>
      <c r="AZ2543" s="84"/>
      <c r="BA2543" s="106"/>
      <c r="BB2543" s="106"/>
    </row>
    <row r="2544" spans="1:54" ht="36.75" customHeight="1">
      <c r="A2544" s="30"/>
      <c r="B2544" s="30" t="s">
        <v>55</v>
      </c>
      <c r="C2544" s="69" t="str">
        <f t="shared" si="201"/>
        <v>Closed</v>
      </c>
      <c r="D2544" s="27" t="s">
        <v>14361</v>
      </c>
      <c r="E2544" s="29" t="s">
        <v>14362</v>
      </c>
      <c r="F2544" s="30" t="s">
        <v>423</v>
      </c>
      <c r="G2544" s="89">
        <f>DATE(2017,11,13)</f>
        <v>43052</v>
      </c>
      <c r="H2544" s="90">
        <v>1.3152777777777778</v>
      </c>
      <c r="I2544" s="30" t="s">
        <v>116</v>
      </c>
      <c r="J2544" s="89" t="s">
        <v>14363</v>
      </c>
      <c r="K2544" s="30" t="s">
        <v>425</v>
      </c>
      <c r="L2544" s="30" t="s">
        <v>14364</v>
      </c>
      <c r="M2544" s="30" t="s">
        <v>63</v>
      </c>
      <c r="N2544" s="30" t="s">
        <v>99</v>
      </c>
      <c r="O2544" s="30" t="s">
        <v>64</v>
      </c>
      <c r="P2544" s="89" t="s">
        <v>165</v>
      </c>
      <c r="Q2544" s="89" t="s">
        <v>4551</v>
      </c>
      <c r="R2544" s="89" t="s">
        <v>3103</v>
      </c>
      <c r="S2544" s="30">
        <v>0</v>
      </c>
      <c r="T2544" s="233">
        <v>0</v>
      </c>
      <c r="U2544" s="30">
        <v>0</v>
      </c>
      <c r="V2544" s="233">
        <v>0</v>
      </c>
      <c r="W2544" s="30">
        <v>0</v>
      </c>
      <c r="X2544" s="30">
        <v>0</v>
      </c>
      <c r="Y2544" s="30">
        <v>0</v>
      </c>
      <c r="Z2544" s="233">
        <v>0</v>
      </c>
      <c r="AA2544" s="30">
        <v>0</v>
      </c>
      <c r="AB2544" s="30">
        <v>0</v>
      </c>
      <c r="AC2544" s="30">
        <v>0</v>
      </c>
      <c r="AD2544" s="30">
        <v>0</v>
      </c>
      <c r="AE2544" s="89" t="s">
        <v>92</v>
      </c>
      <c r="AF2544" s="89"/>
      <c r="AG2544" s="89" t="s">
        <v>82</v>
      </c>
      <c r="AH2544" s="72">
        <v>43089</v>
      </c>
      <c r="AI2544" s="30">
        <v>2</v>
      </c>
      <c r="AJ2544" s="89" t="s">
        <v>14365</v>
      </c>
      <c r="AK2544" s="89" t="s">
        <v>14366</v>
      </c>
      <c r="AL2544" s="91">
        <v>43091</v>
      </c>
      <c r="AM2544" s="91"/>
      <c r="AN2544" s="91"/>
      <c r="AO2544" s="91"/>
      <c r="AP2544" s="73" t="e">
        <f>MID(VLOOKUP(K2544,#REF!,2,FALSE),1,2)</f>
        <v>#REF!</v>
      </c>
      <c r="AQ2544" s="89">
        <f>DATE(2017,11,13)</f>
        <v>43052</v>
      </c>
      <c r="AR2544" s="82">
        <f t="shared" si="202"/>
        <v>13</v>
      </c>
      <c r="AS2544" s="83">
        <f t="shared" si="203"/>
        <v>11</v>
      </c>
      <c r="AT2544" s="84">
        <f t="shared" si="204"/>
        <v>2017</v>
      </c>
      <c r="AU2544" s="88">
        <f>DATE(2017,11,15)</f>
        <v>43054</v>
      </c>
      <c r="AV2544" s="88">
        <f>DATE(2017,11,14)</f>
        <v>43053</v>
      </c>
      <c r="AW2544" s="87">
        <f t="shared" si="205"/>
        <v>1</v>
      </c>
      <c r="AX2544" s="88">
        <f>DATE(2017,11,15)</f>
        <v>43054</v>
      </c>
      <c r="AY2544" s="83">
        <f>MONTH(AX2544)</f>
        <v>11</v>
      </c>
      <c r="AZ2544" s="84">
        <f>YEAR(AX2544)</f>
        <v>2017</v>
      </c>
      <c r="BA2544" s="88">
        <f>DATE(2017,11,13)</f>
        <v>43052</v>
      </c>
      <c r="BB2544" s="86"/>
    </row>
    <row r="2545" spans="1:54" ht="36.75" customHeight="1">
      <c r="A2545" s="30"/>
      <c r="B2545" s="30" t="s">
        <v>55</v>
      </c>
      <c r="C2545" s="69" t="str">
        <f t="shared" si="201"/>
        <v>Closed</v>
      </c>
      <c r="D2545" s="27" t="s">
        <v>14367</v>
      </c>
      <c r="E2545" s="29" t="s">
        <v>14368</v>
      </c>
      <c r="F2545" s="30" t="s">
        <v>1572</v>
      </c>
      <c r="G2545" s="89">
        <f>DATE(2017,11,13)</f>
        <v>43052</v>
      </c>
      <c r="H2545" s="90">
        <v>1.4756944444444444</v>
      </c>
      <c r="I2545" s="30" t="s">
        <v>73</v>
      </c>
      <c r="J2545" s="89" t="s">
        <v>14369</v>
      </c>
      <c r="K2545" s="30" t="s">
        <v>1574</v>
      </c>
      <c r="L2545" s="30" t="s">
        <v>14370</v>
      </c>
      <c r="M2545" s="30" t="s">
        <v>63</v>
      </c>
      <c r="N2545" s="30" t="s">
        <v>99</v>
      </c>
      <c r="O2545" s="30" t="s">
        <v>77</v>
      </c>
      <c r="P2545" s="89" t="s">
        <v>78</v>
      </c>
      <c r="Q2545" s="89" t="s">
        <v>9461</v>
      </c>
      <c r="R2545" s="89" t="s">
        <v>6434</v>
      </c>
      <c r="S2545" s="30">
        <v>0</v>
      </c>
      <c r="T2545" s="233">
        <v>0</v>
      </c>
      <c r="U2545" s="30">
        <v>0</v>
      </c>
      <c r="V2545" s="233">
        <v>0</v>
      </c>
      <c r="W2545" s="30">
        <v>0</v>
      </c>
      <c r="X2545" s="30">
        <v>0</v>
      </c>
      <c r="Y2545" s="30">
        <v>0</v>
      </c>
      <c r="Z2545" s="233">
        <v>0</v>
      </c>
      <c r="AA2545" s="30">
        <v>0</v>
      </c>
      <c r="AB2545" s="30">
        <v>0</v>
      </c>
      <c r="AC2545" s="30">
        <v>0</v>
      </c>
      <c r="AD2545" s="30">
        <v>0</v>
      </c>
      <c r="AE2545" s="89" t="s">
        <v>92</v>
      </c>
      <c r="AF2545" s="89"/>
      <c r="AG2545" s="89" t="s">
        <v>133</v>
      </c>
      <c r="AH2545" s="72">
        <v>43053</v>
      </c>
      <c r="AI2545" s="30">
        <v>1</v>
      </c>
      <c r="AJ2545" s="89" t="s">
        <v>14371</v>
      </c>
      <c r="AK2545" s="89" t="s">
        <v>14372</v>
      </c>
      <c r="AL2545" s="91">
        <v>43054</v>
      </c>
      <c r="AM2545" s="91"/>
      <c r="AN2545" s="91"/>
      <c r="AO2545" s="91"/>
      <c r="AP2545" s="73" t="e">
        <f>MID(VLOOKUP(K2545,#REF!,2,FALSE),1,2)</f>
        <v>#REF!</v>
      </c>
      <c r="AQ2545" s="89">
        <f>DATE(2017,11,14)</f>
        <v>43053</v>
      </c>
      <c r="AR2545" s="82">
        <f t="shared" si="202"/>
        <v>14</v>
      </c>
      <c r="AS2545" s="83">
        <f t="shared" si="203"/>
        <v>11</v>
      </c>
      <c r="AT2545" s="84">
        <f t="shared" si="204"/>
        <v>2017</v>
      </c>
      <c r="AU2545" s="88">
        <f>DATE(2017,11,17)</f>
        <v>43056</v>
      </c>
      <c r="AV2545" s="88">
        <f>DATE(2017,11,15)</f>
        <v>43054</v>
      </c>
      <c r="AW2545" s="87">
        <f t="shared" si="205"/>
        <v>2</v>
      </c>
      <c r="AX2545" s="86"/>
      <c r="AY2545" s="83"/>
      <c r="AZ2545" s="84"/>
      <c r="BA2545" s="86"/>
      <c r="BB2545" s="86" t="s">
        <v>13115</v>
      </c>
    </row>
    <row r="2546" spans="1:54" ht="36.75" customHeight="1">
      <c r="A2546" s="30"/>
      <c r="B2546" s="30" t="s">
        <v>55</v>
      </c>
      <c r="C2546" s="69" t="str">
        <f t="shared" si="201"/>
        <v>Closed</v>
      </c>
      <c r="D2546" s="27" t="s">
        <v>14373</v>
      </c>
      <c r="E2546" s="29" t="s">
        <v>14374</v>
      </c>
      <c r="F2546" s="30" t="s">
        <v>582</v>
      </c>
      <c r="G2546" s="89">
        <f>DATE(2017,11,14)</f>
        <v>43053</v>
      </c>
      <c r="H2546" s="90">
        <v>1.5590277777777777</v>
      </c>
      <c r="I2546" s="30" t="s">
        <v>73</v>
      </c>
      <c r="J2546" s="89" t="s">
        <v>14375</v>
      </c>
      <c r="K2546" s="30" t="s">
        <v>584</v>
      </c>
      <c r="L2546" s="30" t="s">
        <v>14376</v>
      </c>
      <c r="M2546" s="30" t="s">
        <v>63</v>
      </c>
      <c r="N2546" s="30" t="s">
        <v>89</v>
      </c>
      <c r="O2546" s="30" t="s">
        <v>77</v>
      </c>
      <c r="P2546" s="89"/>
      <c r="Q2546" s="89" t="s">
        <v>14377</v>
      </c>
      <c r="R2546" s="89" t="s">
        <v>14378</v>
      </c>
      <c r="S2546" s="30">
        <v>0</v>
      </c>
      <c r="T2546" s="233">
        <v>0</v>
      </c>
      <c r="U2546" s="30">
        <v>0</v>
      </c>
      <c r="V2546" s="233">
        <v>0</v>
      </c>
      <c r="W2546" s="30">
        <v>0</v>
      </c>
      <c r="X2546" s="30">
        <v>0</v>
      </c>
      <c r="Y2546" s="30">
        <v>0</v>
      </c>
      <c r="Z2546" s="233">
        <v>0</v>
      </c>
      <c r="AA2546" s="30">
        <v>0</v>
      </c>
      <c r="AB2546" s="30">
        <v>0</v>
      </c>
      <c r="AC2546" s="30">
        <v>0</v>
      </c>
      <c r="AD2546" s="30">
        <v>0</v>
      </c>
      <c r="AE2546" s="89" t="s">
        <v>92</v>
      </c>
      <c r="AF2546" s="89"/>
      <c r="AG2546" s="89" t="s">
        <v>589</v>
      </c>
      <c r="AH2546" s="72">
        <v>43054</v>
      </c>
      <c r="AI2546" s="30">
        <v>0</v>
      </c>
      <c r="AJ2546" s="89" t="s">
        <v>14379</v>
      </c>
      <c r="AK2546" s="89" t="s">
        <v>1233</v>
      </c>
      <c r="AL2546" s="91">
        <v>43056</v>
      </c>
      <c r="AM2546" s="91"/>
      <c r="AN2546" s="91"/>
      <c r="AO2546" s="91"/>
      <c r="AP2546" s="111"/>
      <c r="AQ2546" s="112"/>
      <c r="AR2546" s="113"/>
      <c r="AS2546" s="114"/>
      <c r="AT2546" s="115"/>
      <c r="AU2546" s="86"/>
      <c r="AV2546" s="86"/>
      <c r="AW2546" s="86"/>
      <c r="AX2546" s="106"/>
      <c r="AY2546" s="116"/>
      <c r="AZ2546" s="116"/>
      <c r="BA2546" s="106"/>
      <c r="BB2546" s="106"/>
    </row>
    <row r="2547" spans="1:54" ht="36.75" customHeight="1">
      <c r="A2547" s="30" t="s">
        <v>12471</v>
      </c>
      <c r="B2547" s="30" t="s">
        <v>55</v>
      </c>
      <c r="C2547" s="69" t="str">
        <f t="shared" si="201"/>
        <v>Closed</v>
      </c>
      <c r="D2547" s="36" t="s">
        <v>14380</v>
      </c>
      <c r="E2547" s="28" t="s">
        <v>14381</v>
      </c>
      <c r="F2547" s="5" t="s">
        <v>12910</v>
      </c>
      <c r="G2547" s="89">
        <f>DATE(2017,11,14)</f>
        <v>43053</v>
      </c>
      <c r="H2547" s="103">
        <v>0.3215277777777778</v>
      </c>
      <c r="I2547" s="5" t="s">
        <v>198</v>
      </c>
      <c r="J2547" s="28" t="s">
        <v>14382</v>
      </c>
      <c r="K2547" s="5" t="s">
        <v>453</v>
      </c>
      <c r="L2547" s="5" t="s">
        <v>14383</v>
      </c>
      <c r="M2547" s="5"/>
      <c r="N2547" s="5"/>
      <c r="O2547" s="5" t="s">
        <v>64</v>
      </c>
      <c r="P2547" s="28" t="s">
        <v>165</v>
      </c>
      <c r="Q2547" s="28" t="s">
        <v>14384</v>
      </c>
      <c r="R2547" s="28" t="s">
        <v>572</v>
      </c>
      <c r="S2547" s="5">
        <v>0</v>
      </c>
      <c r="T2547" s="28">
        <v>0</v>
      </c>
      <c r="U2547" s="5">
        <v>0</v>
      </c>
      <c r="V2547" s="28">
        <v>0</v>
      </c>
      <c r="W2547" s="5">
        <v>0</v>
      </c>
      <c r="X2547" s="5">
        <v>0</v>
      </c>
      <c r="Y2547" s="5">
        <v>0</v>
      </c>
      <c r="Z2547" s="28">
        <v>0</v>
      </c>
      <c r="AA2547" s="5">
        <v>0</v>
      </c>
      <c r="AB2547" s="5">
        <v>0</v>
      </c>
      <c r="AC2547" s="5">
        <v>0</v>
      </c>
      <c r="AD2547" s="5">
        <v>0</v>
      </c>
      <c r="AE2547" s="28"/>
      <c r="AF2547" s="28"/>
      <c r="AG2547" s="28"/>
      <c r="AH2547" s="72" t="s">
        <v>68</v>
      </c>
      <c r="AI2547" s="5">
        <v>2</v>
      </c>
      <c r="AJ2547" s="28"/>
      <c r="AK2547" s="28"/>
      <c r="AL2547" s="117">
        <v>44480</v>
      </c>
      <c r="AM2547" s="118"/>
      <c r="AN2547" s="119"/>
      <c r="AO2547" s="119"/>
      <c r="AP2547" s="73" t="e">
        <f>MID(VLOOKUP(K2547,#REF!,2,FALSE),1,2)</f>
        <v>#REF!</v>
      </c>
      <c r="AQ2547" s="89">
        <f>DATE(2017,11,15)</f>
        <v>43054</v>
      </c>
      <c r="AR2547" s="82">
        <f t="shared" ref="AR2547:AR2578" si="206">DAY(AQ2547)</f>
        <v>15</v>
      </c>
      <c r="AS2547" s="83">
        <f t="shared" ref="AS2547:AS2578" si="207">MONTH(AQ2547)</f>
        <v>11</v>
      </c>
      <c r="AT2547" s="84">
        <f t="shared" ref="AT2547:AT2578" si="208">YEAR(AQ2547)</f>
        <v>2017</v>
      </c>
      <c r="AU2547" s="88">
        <f>DATE(2017,11,17)</f>
        <v>43056</v>
      </c>
      <c r="AV2547" s="88">
        <f>DATE(2017,11,16)</f>
        <v>43055</v>
      </c>
      <c r="AW2547" s="87">
        <f t="shared" ref="AW2547:AW2555" si="209">AU2547-AV2547</f>
        <v>1</v>
      </c>
      <c r="AX2547" s="86"/>
      <c r="AY2547" s="83"/>
      <c r="AZ2547" s="84"/>
      <c r="BA2547" s="86"/>
      <c r="BB2547" s="86" t="s">
        <v>13115</v>
      </c>
    </row>
    <row r="2548" spans="1:54" ht="36.75" customHeight="1">
      <c r="A2548" s="30"/>
      <c r="B2548" s="30" t="s">
        <v>55</v>
      </c>
      <c r="C2548" s="69" t="str">
        <f t="shared" si="201"/>
        <v>Closed</v>
      </c>
      <c r="D2548" s="27" t="s">
        <v>14385</v>
      </c>
      <c r="E2548" s="29" t="s">
        <v>14386</v>
      </c>
      <c r="F2548" s="30" t="s">
        <v>6455</v>
      </c>
      <c r="G2548" s="89">
        <f>DATE(2017,11,15)</f>
        <v>43054</v>
      </c>
      <c r="H2548" s="90">
        <v>1.2979166666666666</v>
      </c>
      <c r="I2548" s="30" t="s">
        <v>73</v>
      </c>
      <c r="J2548" s="89" t="s">
        <v>14387</v>
      </c>
      <c r="K2548" s="30" t="s">
        <v>584</v>
      </c>
      <c r="L2548" s="30" t="s">
        <v>14388</v>
      </c>
      <c r="M2548" s="30" t="s">
        <v>63</v>
      </c>
      <c r="N2548" s="30" t="s">
        <v>142</v>
      </c>
      <c r="O2548" s="30" t="s">
        <v>77</v>
      </c>
      <c r="P2548" s="89" t="s">
        <v>165</v>
      </c>
      <c r="Q2548" s="89" t="s">
        <v>4487</v>
      </c>
      <c r="R2548" s="89" t="s">
        <v>587</v>
      </c>
      <c r="S2548" s="30">
        <v>0</v>
      </c>
      <c r="T2548" s="233">
        <v>0</v>
      </c>
      <c r="U2548" s="30">
        <v>0</v>
      </c>
      <c r="V2548" s="233">
        <v>0</v>
      </c>
      <c r="W2548" s="30">
        <v>0</v>
      </c>
      <c r="X2548" s="30">
        <v>0</v>
      </c>
      <c r="Y2548" s="30">
        <v>0</v>
      </c>
      <c r="Z2548" s="233">
        <v>1</v>
      </c>
      <c r="AA2548" s="30">
        <v>0</v>
      </c>
      <c r="AB2548" s="30">
        <v>0</v>
      </c>
      <c r="AC2548" s="30">
        <v>0</v>
      </c>
      <c r="AD2548" s="30">
        <v>1</v>
      </c>
      <c r="AE2548" s="89" t="s">
        <v>394</v>
      </c>
      <c r="AF2548" s="89" t="s">
        <v>14389</v>
      </c>
      <c r="AG2548" s="89" t="s">
        <v>8859</v>
      </c>
      <c r="AH2548" s="72">
        <v>43055</v>
      </c>
      <c r="AI2548" s="30">
        <v>0</v>
      </c>
      <c r="AJ2548" s="89" t="s">
        <v>14390</v>
      </c>
      <c r="AK2548" s="89" t="s">
        <v>68</v>
      </c>
      <c r="AL2548" s="91">
        <v>43056</v>
      </c>
      <c r="AM2548" s="91"/>
      <c r="AN2548" s="91">
        <v>44893</v>
      </c>
      <c r="AO2548" s="91">
        <v>44886</v>
      </c>
      <c r="AP2548" s="73" t="e">
        <f>MID(VLOOKUP(K2548,#REF!,2,FALSE),1,2)</f>
        <v>#REF!</v>
      </c>
      <c r="AQ2548" s="89">
        <f>DATE(2017,11,16)</f>
        <v>43055</v>
      </c>
      <c r="AR2548" s="82">
        <f t="shared" si="206"/>
        <v>16</v>
      </c>
      <c r="AS2548" s="83">
        <f t="shared" si="207"/>
        <v>11</v>
      </c>
      <c r="AT2548" s="84">
        <f t="shared" si="208"/>
        <v>2017</v>
      </c>
      <c r="AU2548" s="88">
        <f>DATE(2017,11,22)</f>
        <v>43061</v>
      </c>
      <c r="AV2548" s="88">
        <f>DATE(2017,11,17)</f>
        <v>43056</v>
      </c>
      <c r="AW2548" s="87">
        <f t="shared" si="209"/>
        <v>5</v>
      </c>
      <c r="AX2548" s="88">
        <f>DATE(2017,11,22)</f>
        <v>43061</v>
      </c>
      <c r="AY2548" s="83">
        <f>MONTH(AX2548)</f>
        <v>11</v>
      </c>
      <c r="AZ2548" s="84">
        <f>YEAR(AX2548)</f>
        <v>2017</v>
      </c>
      <c r="BA2548" s="88">
        <f>DATE(2017,11,16)</f>
        <v>43055</v>
      </c>
      <c r="BB2548" s="86"/>
    </row>
    <row r="2549" spans="1:54" ht="36.75" customHeight="1">
      <c r="A2549" s="30"/>
      <c r="B2549" s="30" t="s">
        <v>55</v>
      </c>
      <c r="C2549" s="69" t="str">
        <f t="shared" si="201"/>
        <v>Closed</v>
      </c>
      <c r="D2549" s="27" t="s">
        <v>14391</v>
      </c>
      <c r="E2549" s="29" t="s">
        <v>14392</v>
      </c>
      <c r="F2549" s="30" t="s">
        <v>1572</v>
      </c>
      <c r="G2549" s="89">
        <f>DATE(2017,11,16)</f>
        <v>43055</v>
      </c>
      <c r="H2549" s="90">
        <v>1.4027777777777777</v>
      </c>
      <c r="I2549" s="30" t="s">
        <v>73</v>
      </c>
      <c r="J2549" s="89" t="s">
        <v>14393</v>
      </c>
      <c r="K2549" s="30" t="s">
        <v>1574</v>
      </c>
      <c r="L2549" s="30" t="s">
        <v>7931</v>
      </c>
      <c r="M2549" s="30" t="s">
        <v>63</v>
      </c>
      <c r="N2549" s="30" t="s">
        <v>142</v>
      </c>
      <c r="O2549" s="30" t="s">
        <v>77</v>
      </c>
      <c r="P2549" s="89" t="s">
        <v>78</v>
      </c>
      <c r="Q2549" s="89" t="s">
        <v>14394</v>
      </c>
      <c r="R2549" s="89" t="s">
        <v>6434</v>
      </c>
      <c r="S2549" s="30">
        <v>0</v>
      </c>
      <c r="T2549" s="233">
        <v>0</v>
      </c>
      <c r="U2549" s="30">
        <v>0</v>
      </c>
      <c r="V2549" s="233">
        <v>0</v>
      </c>
      <c r="W2549" s="30">
        <v>0</v>
      </c>
      <c r="X2549" s="30">
        <v>0</v>
      </c>
      <c r="Y2549" s="30">
        <v>0</v>
      </c>
      <c r="Z2549" s="233">
        <v>0</v>
      </c>
      <c r="AA2549" s="30">
        <v>0</v>
      </c>
      <c r="AB2549" s="30">
        <v>0</v>
      </c>
      <c r="AC2549" s="30">
        <v>0</v>
      </c>
      <c r="AD2549" s="30">
        <v>0</v>
      </c>
      <c r="AE2549" s="89" t="s">
        <v>92</v>
      </c>
      <c r="AF2549" s="89"/>
      <c r="AG2549" s="89" t="s">
        <v>133</v>
      </c>
      <c r="AH2549" s="72">
        <v>43056</v>
      </c>
      <c r="AI2549" s="30">
        <v>0</v>
      </c>
      <c r="AJ2549" s="89" t="s">
        <v>14395</v>
      </c>
      <c r="AK2549" s="89" t="s">
        <v>14396</v>
      </c>
      <c r="AL2549" s="91">
        <v>43061</v>
      </c>
      <c r="AM2549" s="91"/>
      <c r="AN2549" s="91"/>
      <c r="AO2549" s="91"/>
      <c r="AP2549" s="73" t="e">
        <f>MID(VLOOKUP(K2549,#REF!,2,FALSE),1,2)</f>
        <v>#REF!</v>
      </c>
      <c r="AQ2549" s="89">
        <f>DATE(2017,11,20)</f>
        <v>43059</v>
      </c>
      <c r="AR2549" s="82">
        <f t="shared" si="206"/>
        <v>20</v>
      </c>
      <c r="AS2549" s="83">
        <f t="shared" si="207"/>
        <v>11</v>
      </c>
      <c r="AT2549" s="84">
        <f t="shared" si="208"/>
        <v>2017</v>
      </c>
      <c r="AU2549" s="88">
        <f>DATE(2017,11,27)</f>
        <v>43066</v>
      </c>
      <c r="AV2549" s="88">
        <f>DATE(2017,11,24)</f>
        <v>43063</v>
      </c>
      <c r="AW2549" s="87">
        <f t="shared" si="209"/>
        <v>3</v>
      </c>
      <c r="AX2549" s="88">
        <f>DATE(2017,11,27)</f>
        <v>43066</v>
      </c>
      <c r="AY2549" s="83">
        <f>MONTH(AX2549)</f>
        <v>11</v>
      </c>
      <c r="AZ2549" s="84">
        <f>YEAR(AX2549)</f>
        <v>2017</v>
      </c>
      <c r="BA2549" s="88">
        <f>DATE(2017,11,20)</f>
        <v>43059</v>
      </c>
      <c r="BB2549" s="86"/>
    </row>
    <row r="2550" spans="1:54" ht="36.75" customHeight="1">
      <c r="A2550" s="30"/>
      <c r="B2550" s="30" t="s">
        <v>55</v>
      </c>
      <c r="C2550" s="69" t="str">
        <f t="shared" si="201"/>
        <v>Closed</v>
      </c>
      <c r="D2550" s="27" t="s">
        <v>14397</v>
      </c>
      <c r="E2550" s="29" t="s">
        <v>14398</v>
      </c>
      <c r="F2550" s="30" t="s">
        <v>1572</v>
      </c>
      <c r="G2550" s="89">
        <f>DATE(2017,11,20)</f>
        <v>43059</v>
      </c>
      <c r="H2550" s="90">
        <v>1.15625</v>
      </c>
      <c r="I2550" s="30" t="s">
        <v>8503</v>
      </c>
      <c r="J2550" s="89" t="s">
        <v>14399</v>
      </c>
      <c r="K2550" s="30" t="s">
        <v>1574</v>
      </c>
      <c r="L2550" s="30" t="s">
        <v>14400</v>
      </c>
      <c r="M2550" s="30" t="s">
        <v>63</v>
      </c>
      <c r="N2550" s="30" t="s">
        <v>99</v>
      </c>
      <c r="O2550" s="30" t="s">
        <v>64</v>
      </c>
      <c r="P2550" s="89" t="s">
        <v>78</v>
      </c>
      <c r="Q2550" s="89" t="s">
        <v>9075</v>
      </c>
      <c r="R2550" s="89" t="s">
        <v>6434</v>
      </c>
      <c r="S2550" s="30">
        <v>0</v>
      </c>
      <c r="T2550" s="233">
        <v>0</v>
      </c>
      <c r="U2550" s="30">
        <v>0</v>
      </c>
      <c r="V2550" s="233">
        <v>0</v>
      </c>
      <c r="W2550" s="30">
        <v>0</v>
      </c>
      <c r="X2550" s="30">
        <v>0</v>
      </c>
      <c r="Y2550" s="30">
        <v>0</v>
      </c>
      <c r="Z2550" s="233">
        <v>0</v>
      </c>
      <c r="AA2550" s="30">
        <v>0</v>
      </c>
      <c r="AB2550" s="30">
        <v>0</v>
      </c>
      <c r="AC2550" s="30">
        <v>0</v>
      </c>
      <c r="AD2550" s="30">
        <v>0</v>
      </c>
      <c r="AE2550" s="89" t="s">
        <v>394</v>
      </c>
      <c r="AF2550" s="89"/>
      <c r="AG2550" s="89" t="s">
        <v>133</v>
      </c>
      <c r="AH2550" s="72">
        <v>43063</v>
      </c>
      <c r="AI2550" s="30">
        <v>1</v>
      </c>
      <c r="AJ2550" s="89" t="s">
        <v>14401</v>
      </c>
      <c r="AK2550" s="89" t="s">
        <v>14402</v>
      </c>
      <c r="AL2550" s="91">
        <v>43066</v>
      </c>
      <c r="AM2550" s="91"/>
      <c r="AN2550" s="91"/>
      <c r="AO2550" s="91"/>
      <c r="AP2550" s="73" t="e">
        <f>MID(VLOOKUP(K2550,#REF!,2,FALSE),1,2)</f>
        <v>#REF!</v>
      </c>
      <c r="AQ2550" s="89">
        <f>DATE(2017,11,22)</f>
        <v>43061</v>
      </c>
      <c r="AR2550" s="82">
        <f t="shared" si="206"/>
        <v>22</v>
      </c>
      <c r="AS2550" s="83">
        <f t="shared" si="207"/>
        <v>11</v>
      </c>
      <c r="AT2550" s="84">
        <f t="shared" si="208"/>
        <v>2017</v>
      </c>
      <c r="AU2550" s="88">
        <f>DATE(2017,11,27)</f>
        <v>43066</v>
      </c>
      <c r="AV2550" s="88">
        <f>DATE(2017,11,22)</f>
        <v>43061</v>
      </c>
      <c r="AW2550" s="87">
        <f t="shared" si="209"/>
        <v>5</v>
      </c>
      <c r="AX2550" s="106"/>
      <c r="AY2550" s="83"/>
      <c r="AZ2550" s="84"/>
      <c r="BA2550" s="106"/>
      <c r="BB2550" s="106"/>
    </row>
    <row r="2551" spans="1:54" ht="36.75" customHeight="1">
      <c r="A2551" s="30"/>
      <c r="B2551" s="30" t="s">
        <v>55</v>
      </c>
      <c r="C2551" s="69" t="str">
        <f t="shared" si="201"/>
        <v>Closed</v>
      </c>
      <c r="D2551" s="27" t="s">
        <v>14403</v>
      </c>
      <c r="E2551" s="29" t="s">
        <v>14404</v>
      </c>
      <c r="F2551" s="30" t="s">
        <v>423</v>
      </c>
      <c r="G2551" s="89">
        <f>DATE(2017,11,22)</f>
        <v>43061</v>
      </c>
      <c r="H2551" s="90">
        <v>1.1965277777777779</v>
      </c>
      <c r="I2551" s="30" t="s">
        <v>116</v>
      </c>
      <c r="J2551" s="89" t="s">
        <v>14405</v>
      </c>
      <c r="K2551" s="30" t="s">
        <v>425</v>
      </c>
      <c r="L2551" s="30" t="s">
        <v>14406</v>
      </c>
      <c r="M2551" s="30" t="s">
        <v>63</v>
      </c>
      <c r="N2551" s="30" t="s">
        <v>99</v>
      </c>
      <c r="O2551" s="30" t="s">
        <v>64</v>
      </c>
      <c r="P2551" s="89" t="s">
        <v>165</v>
      </c>
      <c r="Q2551" s="89" t="s">
        <v>4551</v>
      </c>
      <c r="R2551" s="89" t="s">
        <v>3103</v>
      </c>
      <c r="S2551" s="30">
        <v>0</v>
      </c>
      <c r="T2551" s="233">
        <v>0</v>
      </c>
      <c r="U2551" s="30">
        <v>0</v>
      </c>
      <c r="V2551" s="233">
        <v>0</v>
      </c>
      <c r="W2551" s="30">
        <v>0</v>
      </c>
      <c r="X2551" s="30">
        <v>0</v>
      </c>
      <c r="Y2551" s="30">
        <v>0</v>
      </c>
      <c r="Z2551" s="233">
        <v>0</v>
      </c>
      <c r="AA2551" s="30">
        <v>0</v>
      </c>
      <c r="AB2551" s="30">
        <v>0</v>
      </c>
      <c r="AC2551" s="30">
        <v>0</v>
      </c>
      <c r="AD2551" s="30">
        <v>0</v>
      </c>
      <c r="AE2551" s="89" t="s">
        <v>92</v>
      </c>
      <c r="AF2551" s="89"/>
      <c r="AG2551" s="89" t="s">
        <v>352</v>
      </c>
      <c r="AH2551" s="72">
        <v>43061</v>
      </c>
      <c r="AI2551" s="30">
        <v>1</v>
      </c>
      <c r="AJ2551" s="89" t="s">
        <v>13890</v>
      </c>
      <c r="AK2551" s="89" t="s">
        <v>14407</v>
      </c>
      <c r="AL2551" s="91">
        <v>43066</v>
      </c>
      <c r="AM2551" s="91"/>
      <c r="AN2551" s="91"/>
      <c r="AO2551" s="91"/>
      <c r="AP2551" s="73" t="e">
        <f>MID(VLOOKUP(K2551,#REF!,2,FALSE),1,2)</f>
        <v>#REF!</v>
      </c>
      <c r="AQ2551" s="89">
        <f>DATE(2017,11,23)</f>
        <v>43062</v>
      </c>
      <c r="AR2551" s="82">
        <f t="shared" si="206"/>
        <v>23</v>
      </c>
      <c r="AS2551" s="83">
        <f t="shared" si="207"/>
        <v>11</v>
      </c>
      <c r="AT2551" s="84">
        <f t="shared" si="208"/>
        <v>2017</v>
      </c>
      <c r="AU2551" s="88">
        <f>DATE(2017,12,18)</f>
        <v>43087</v>
      </c>
      <c r="AV2551" s="88">
        <f>DATE(2017,12,6)</f>
        <v>43075</v>
      </c>
      <c r="AW2551" s="87">
        <f t="shared" si="209"/>
        <v>12</v>
      </c>
      <c r="AX2551" s="86"/>
      <c r="AY2551" s="83"/>
      <c r="AZ2551" s="84"/>
      <c r="BA2551" s="86"/>
      <c r="BB2551" s="86" t="s">
        <v>13115</v>
      </c>
    </row>
    <row r="2552" spans="1:54" ht="36.75" customHeight="1">
      <c r="A2552" s="30"/>
      <c r="B2552" s="30" t="s">
        <v>55</v>
      </c>
      <c r="C2552" s="69" t="str">
        <f t="shared" si="201"/>
        <v>Closed</v>
      </c>
      <c r="D2552" s="27" t="s">
        <v>14408</v>
      </c>
      <c r="E2552" s="29" t="s">
        <v>14409</v>
      </c>
      <c r="F2552" s="30" t="s">
        <v>124</v>
      </c>
      <c r="G2552" s="89">
        <f>DATE(2017,11,23)</f>
        <v>43062</v>
      </c>
      <c r="H2552" s="90">
        <v>1.4583333333333333</v>
      </c>
      <c r="I2552" s="30" t="s">
        <v>6872</v>
      </c>
      <c r="J2552" s="89" t="s">
        <v>14410</v>
      </c>
      <c r="K2552" s="30" t="s">
        <v>127</v>
      </c>
      <c r="L2552" s="30" t="s">
        <v>14411</v>
      </c>
      <c r="M2552" s="30" t="s">
        <v>63</v>
      </c>
      <c r="N2552" s="30" t="s">
        <v>99</v>
      </c>
      <c r="O2552" s="30" t="s">
        <v>64</v>
      </c>
      <c r="P2552" s="89" t="s">
        <v>78</v>
      </c>
      <c r="Q2552" s="89" t="s">
        <v>401</v>
      </c>
      <c r="R2552" s="89" t="s">
        <v>167</v>
      </c>
      <c r="S2552" s="30">
        <v>0</v>
      </c>
      <c r="T2552" s="233">
        <v>0</v>
      </c>
      <c r="U2552" s="30">
        <v>0</v>
      </c>
      <c r="V2552" s="233">
        <v>0</v>
      </c>
      <c r="W2552" s="30">
        <v>0</v>
      </c>
      <c r="X2552" s="30">
        <v>0</v>
      </c>
      <c r="Y2552" s="30">
        <v>0</v>
      </c>
      <c r="Z2552" s="233">
        <v>0</v>
      </c>
      <c r="AA2552" s="30">
        <v>0</v>
      </c>
      <c r="AB2552" s="30">
        <v>0</v>
      </c>
      <c r="AC2552" s="30">
        <v>0</v>
      </c>
      <c r="AD2552" s="30">
        <v>0</v>
      </c>
      <c r="AE2552" s="89" t="s">
        <v>92</v>
      </c>
      <c r="AF2552" s="89"/>
      <c r="AG2552" s="89" t="s">
        <v>82</v>
      </c>
      <c r="AH2552" s="72">
        <v>43075</v>
      </c>
      <c r="AI2552" s="30">
        <v>2</v>
      </c>
      <c r="AJ2552" s="89" t="s">
        <v>14412</v>
      </c>
      <c r="AK2552" s="89" t="s">
        <v>68</v>
      </c>
      <c r="AL2552" s="91">
        <v>43087</v>
      </c>
      <c r="AM2552" s="91"/>
      <c r="AN2552" s="91"/>
      <c r="AO2552" s="91"/>
      <c r="AP2552" s="73" t="e">
        <f>MID(VLOOKUP(K2552,#REF!,2,FALSE),1,2)</f>
        <v>#REF!</v>
      </c>
      <c r="AQ2552" s="89">
        <f>DATE(2017,11,24)</f>
        <v>43063</v>
      </c>
      <c r="AR2552" s="82">
        <f t="shared" si="206"/>
        <v>24</v>
      </c>
      <c r="AS2552" s="83">
        <f t="shared" si="207"/>
        <v>11</v>
      </c>
      <c r="AT2552" s="84">
        <f t="shared" si="208"/>
        <v>2017</v>
      </c>
      <c r="AU2552" s="88">
        <f>DATE(2017,12,5)</f>
        <v>43074</v>
      </c>
      <c r="AV2552" s="88">
        <f>DATE(2017,11,28)</f>
        <v>43067</v>
      </c>
      <c r="AW2552" s="87">
        <f t="shared" si="209"/>
        <v>7</v>
      </c>
      <c r="AX2552" s="88">
        <f>DATE(2017,12,5)</f>
        <v>43074</v>
      </c>
      <c r="AY2552" s="83">
        <f>MONTH(AX2552)</f>
        <v>12</v>
      </c>
      <c r="AZ2552" s="84">
        <f>YEAR(AX2552)</f>
        <v>2017</v>
      </c>
      <c r="BA2552" s="88">
        <f>DATE(2017,11,28)</f>
        <v>43067</v>
      </c>
      <c r="BB2552" s="86"/>
    </row>
    <row r="2553" spans="1:54" ht="36.75" customHeight="1">
      <c r="A2553" s="30"/>
      <c r="B2553" s="30" t="s">
        <v>55</v>
      </c>
      <c r="C2553" s="69" t="str">
        <f t="shared" si="201"/>
        <v>Closed</v>
      </c>
      <c r="D2553" s="27" t="s">
        <v>14413</v>
      </c>
      <c r="E2553" s="29" t="s">
        <v>14414</v>
      </c>
      <c r="F2553" s="30" t="s">
        <v>2336</v>
      </c>
      <c r="G2553" s="89">
        <f>DATE(2017,11,24)</f>
        <v>43063</v>
      </c>
      <c r="H2553" s="90">
        <v>1.2833333333333332</v>
      </c>
      <c r="I2553" s="30" t="s">
        <v>198</v>
      </c>
      <c r="J2553" s="89" t="s">
        <v>14415</v>
      </c>
      <c r="K2553" s="30" t="s">
        <v>2338</v>
      </c>
      <c r="L2553" s="30" t="s">
        <v>14416</v>
      </c>
      <c r="M2553" s="30" t="s">
        <v>63</v>
      </c>
      <c r="N2553" s="30" t="s">
        <v>142</v>
      </c>
      <c r="O2553" s="30" t="s">
        <v>64</v>
      </c>
      <c r="P2553" s="89" t="s">
        <v>78</v>
      </c>
      <c r="Q2553" s="89" t="s">
        <v>14417</v>
      </c>
      <c r="R2553" s="89" t="s">
        <v>2341</v>
      </c>
      <c r="S2553" s="30">
        <v>0</v>
      </c>
      <c r="T2553" s="233">
        <v>0</v>
      </c>
      <c r="U2553" s="30">
        <v>0</v>
      </c>
      <c r="V2553" s="233">
        <v>0</v>
      </c>
      <c r="W2553" s="30">
        <v>0</v>
      </c>
      <c r="X2553" s="30">
        <v>0</v>
      </c>
      <c r="Y2553" s="30">
        <v>0</v>
      </c>
      <c r="Z2553" s="233">
        <v>0</v>
      </c>
      <c r="AA2553" s="30">
        <v>0</v>
      </c>
      <c r="AB2553" s="30">
        <v>0</v>
      </c>
      <c r="AC2553" s="30">
        <v>0</v>
      </c>
      <c r="AD2553" s="30">
        <v>0</v>
      </c>
      <c r="AE2553" s="89" t="s">
        <v>92</v>
      </c>
      <c r="AF2553" s="89"/>
      <c r="AG2553" s="89" t="s">
        <v>133</v>
      </c>
      <c r="AH2553" s="72">
        <v>43067</v>
      </c>
      <c r="AI2553" s="30">
        <v>7</v>
      </c>
      <c r="AJ2553" s="89" t="s">
        <v>14418</v>
      </c>
      <c r="AK2553" s="89" t="s">
        <v>14419</v>
      </c>
      <c r="AL2553" s="91">
        <v>43074</v>
      </c>
      <c r="AM2553" s="91"/>
      <c r="AN2553" s="91"/>
      <c r="AO2553" s="91"/>
      <c r="AP2553" s="73" t="e">
        <f>MID(VLOOKUP(K2553,#REF!,2,FALSE),1,2)</f>
        <v>#REF!</v>
      </c>
      <c r="AQ2553" s="89">
        <f>DATE(2017,11,25)</f>
        <v>43064</v>
      </c>
      <c r="AR2553" s="82">
        <f t="shared" si="206"/>
        <v>25</v>
      </c>
      <c r="AS2553" s="83">
        <f t="shared" si="207"/>
        <v>11</v>
      </c>
      <c r="AT2553" s="84">
        <f t="shared" si="208"/>
        <v>2017</v>
      </c>
      <c r="AU2553" s="88">
        <f>DATE(2017,11,28)</f>
        <v>43067</v>
      </c>
      <c r="AV2553" s="88">
        <f>DATE(2017,11,25)</f>
        <v>43064</v>
      </c>
      <c r="AW2553" s="87">
        <f t="shared" si="209"/>
        <v>3</v>
      </c>
      <c r="AX2553" s="106"/>
      <c r="AY2553" s="83"/>
      <c r="AZ2553" s="84"/>
      <c r="BA2553" s="106"/>
      <c r="BB2553" s="106"/>
    </row>
    <row r="2554" spans="1:54" ht="36.75" customHeight="1">
      <c r="A2554" s="30"/>
      <c r="B2554" s="30" t="s">
        <v>55</v>
      </c>
      <c r="C2554" s="69" t="str">
        <f t="shared" si="201"/>
        <v>Closed</v>
      </c>
      <c r="D2554" s="27" t="s">
        <v>14420</v>
      </c>
      <c r="E2554" s="29" t="s">
        <v>14421</v>
      </c>
      <c r="F2554" s="30" t="s">
        <v>423</v>
      </c>
      <c r="G2554" s="89">
        <f>DATE(2017,11,25)</f>
        <v>43064</v>
      </c>
      <c r="H2554" s="90">
        <v>1.7555555555555555</v>
      </c>
      <c r="I2554" s="30" t="s">
        <v>198</v>
      </c>
      <c r="J2554" s="89" t="s">
        <v>14422</v>
      </c>
      <c r="K2554" s="30" t="s">
        <v>425</v>
      </c>
      <c r="L2554" s="30" t="s">
        <v>14423</v>
      </c>
      <c r="M2554" s="30" t="s">
        <v>63</v>
      </c>
      <c r="N2554" s="30" t="s">
        <v>142</v>
      </c>
      <c r="O2554" s="30" t="s">
        <v>6875</v>
      </c>
      <c r="P2554" s="89" t="s">
        <v>91</v>
      </c>
      <c r="Q2554" s="89" t="s">
        <v>13624</v>
      </c>
      <c r="R2554" s="89" t="s">
        <v>13624</v>
      </c>
      <c r="S2554" s="30">
        <v>0</v>
      </c>
      <c r="T2554" s="233">
        <v>0</v>
      </c>
      <c r="U2554" s="30">
        <v>0</v>
      </c>
      <c r="V2554" s="233">
        <v>0</v>
      </c>
      <c r="W2554" s="30">
        <v>0</v>
      </c>
      <c r="X2554" s="30">
        <v>0</v>
      </c>
      <c r="Y2554" s="30">
        <v>0</v>
      </c>
      <c r="Z2554" s="233">
        <v>0</v>
      </c>
      <c r="AA2554" s="30">
        <v>0</v>
      </c>
      <c r="AB2554" s="30">
        <v>0</v>
      </c>
      <c r="AC2554" s="30">
        <v>0</v>
      </c>
      <c r="AD2554" s="30">
        <v>0</v>
      </c>
      <c r="AE2554" s="89" t="s">
        <v>92</v>
      </c>
      <c r="AF2554" s="89"/>
      <c r="AG2554" s="89" t="s">
        <v>352</v>
      </c>
      <c r="AH2554" s="72">
        <v>43064</v>
      </c>
      <c r="AI2554" s="30">
        <v>0</v>
      </c>
      <c r="AJ2554" s="89" t="s">
        <v>14424</v>
      </c>
      <c r="AK2554" s="89" t="s">
        <v>14425</v>
      </c>
      <c r="AL2554" s="91">
        <v>43067</v>
      </c>
      <c r="AM2554" s="91"/>
      <c r="AN2554" s="91"/>
      <c r="AO2554" s="91"/>
      <c r="AP2554" s="73" t="e">
        <f>MID(VLOOKUP(K2554,#REF!,2,FALSE),1,2)</f>
        <v>#REF!</v>
      </c>
      <c r="AQ2554" s="89">
        <f>DATE(2017,11,25)</f>
        <v>43064</v>
      </c>
      <c r="AR2554" s="82">
        <f t="shared" si="206"/>
        <v>25</v>
      </c>
      <c r="AS2554" s="83">
        <f t="shared" si="207"/>
        <v>11</v>
      </c>
      <c r="AT2554" s="84">
        <f t="shared" si="208"/>
        <v>2017</v>
      </c>
      <c r="AU2554" s="88">
        <f>DATE(2018,1,23)</f>
        <v>43123</v>
      </c>
      <c r="AV2554" s="88">
        <f>DATE(2017,11,27)</f>
        <v>43066</v>
      </c>
      <c r="AW2554" s="87">
        <f t="shared" si="209"/>
        <v>57</v>
      </c>
      <c r="AX2554" s="88">
        <f>DATE(2017,11,27)</f>
        <v>43066</v>
      </c>
      <c r="AY2554" s="83">
        <f>MONTH(AX2554)</f>
        <v>11</v>
      </c>
      <c r="AZ2554" s="84">
        <f>YEAR(AX2554)</f>
        <v>2017</v>
      </c>
      <c r="BA2554" s="88">
        <f>DATE(2017,11,27)</f>
        <v>43066</v>
      </c>
      <c r="BB2554" s="86"/>
    </row>
    <row r="2555" spans="1:54" ht="36.75" customHeight="1">
      <c r="A2555" s="30"/>
      <c r="B2555" s="30" t="s">
        <v>55</v>
      </c>
      <c r="C2555" s="69" t="str">
        <f t="shared" si="201"/>
        <v>Closed</v>
      </c>
      <c r="D2555" s="27" t="s">
        <v>14426</v>
      </c>
      <c r="E2555" s="29" t="s">
        <v>14427</v>
      </c>
      <c r="F2555" s="30" t="s">
        <v>9789</v>
      </c>
      <c r="G2555" s="89">
        <f>DATE(2017,11,25)</f>
        <v>43064</v>
      </c>
      <c r="H2555" s="90">
        <v>1.3194444444444444</v>
      </c>
      <c r="I2555" s="30" t="s">
        <v>5494</v>
      </c>
      <c r="J2555" s="210" t="s">
        <v>14428</v>
      </c>
      <c r="K2555" s="30" t="s">
        <v>9791</v>
      </c>
      <c r="L2555" s="30" t="s">
        <v>14429</v>
      </c>
      <c r="M2555" s="30" t="s">
        <v>63</v>
      </c>
      <c r="N2555" s="30" t="s">
        <v>99</v>
      </c>
      <c r="O2555" s="30" t="s">
        <v>77</v>
      </c>
      <c r="P2555" s="89" t="s">
        <v>78</v>
      </c>
      <c r="Q2555" s="89" t="s">
        <v>10257</v>
      </c>
      <c r="R2555" s="89" t="s">
        <v>9794</v>
      </c>
      <c r="S2555" s="30">
        <v>0</v>
      </c>
      <c r="T2555" s="233">
        <v>0</v>
      </c>
      <c r="U2555" s="30">
        <v>0</v>
      </c>
      <c r="V2555" s="233">
        <v>0</v>
      </c>
      <c r="W2555" s="30">
        <v>0</v>
      </c>
      <c r="X2555" s="30">
        <v>0</v>
      </c>
      <c r="Y2555" s="30">
        <v>0</v>
      </c>
      <c r="Z2555" s="233">
        <v>0</v>
      </c>
      <c r="AA2555" s="30">
        <v>0</v>
      </c>
      <c r="AB2555" s="30">
        <v>0</v>
      </c>
      <c r="AC2555" s="30">
        <v>0</v>
      </c>
      <c r="AD2555" s="30">
        <v>0</v>
      </c>
      <c r="AE2555" s="89" t="s">
        <v>92</v>
      </c>
      <c r="AF2555" s="89"/>
      <c r="AG2555" s="89" t="s">
        <v>133</v>
      </c>
      <c r="AH2555" s="72">
        <v>43066</v>
      </c>
      <c r="AI2555" s="30">
        <v>0</v>
      </c>
      <c r="AJ2555" s="89" t="s">
        <v>68</v>
      </c>
      <c r="AK2555" s="89" t="s">
        <v>68</v>
      </c>
      <c r="AL2555" s="91">
        <v>43123</v>
      </c>
      <c r="AM2555" s="91"/>
      <c r="AN2555" s="91"/>
      <c r="AO2555" s="91">
        <v>43370</v>
      </c>
      <c r="AP2555" s="73" t="e">
        <f>MID(VLOOKUP(K2555,#REF!,2,FALSE),1,2)</f>
        <v>#REF!</v>
      </c>
      <c r="AQ2555" s="89">
        <f>DATE(2017,11,27)</f>
        <v>43066</v>
      </c>
      <c r="AR2555" s="82">
        <f t="shared" si="206"/>
        <v>27</v>
      </c>
      <c r="AS2555" s="83">
        <f t="shared" si="207"/>
        <v>11</v>
      </c>
      <c r="AT2555" s="84">
        <f t="shared" si="208"/>
        <v>2017</v>
      </c>
      <c r="AU2555" s="88">
        <f>DATE(2017,11,30)</f>
        <v>43069</v>
      </c>
      <c r="AV2555" s="88">
        <f>DATE(2017,11,27)</f>
        <v>43066</v>
      </c>
      <c r="AW2555" s="87">
        <f t="shared" si="209"/>
        <v>3</v>
      </c>
      <c r="AX2555" s="88">
        <f>DATE(2017,11,28)</f>
        <v>43067</v>
      </c>
      <c r="AY2555" s="83">
        <f>MONTH(AX2555)</f>
        <v>11</v>
      </c>
      <c r="AZ2555" s="84">
        <f>YEAR(AX2555)</f>
        <v>2017</v>
      </c>
      <c r="BA2555" s="88">
        <f>DATE(2017,11,28)</f>
        <v>43067</v>
      </c>
      <c r="BB2555" s="86"/>
    </row>
    <row r="2556" spans="1:54" ht="36.75" customHeight="1">
      <c r="A2556" s="30"/>
      <c r="B2556" s="30" t="s">
        <v>55</v>
      </c>
      <c r="C2556" s="69" t="str">
        <f t="shared" si="201"/>
        <v>Closed</v>
      </c>
      <c r="D2556" s="27" t="s">
        <v>14430</v>
      </c>
      <c r="E2556" s="29" t="s">
        <v>14431</v>
      </c>
      <c r="F2556" s="30" t="s">
        <v>1770</v>
      </c>
      <c r="G2556" s="89">
        <f>DATE(2017,11,27)</f>
        <v>43066</v>
      </c>
      <c r="H2556" s="90">
        <v>1.8229166666666665</v>
      </c>
      <c r="I2556" s="30" t="s">
        <v>278</v>
      </c>
      <c r="J2556" s="89" t="s">
        <v>14432</v>
      </c>
      <c r="K2556" s="30" t="s">
        <v>1772</v>
      </c>
      <c r="L2556" s="30" t="s">
        <v>14433</v>
      </c>
      <c r="M2556" s="30" t="s">
        <v>63</v>
      </c>
      <c r="N2556" s="30" t="s">
        <v>142</v>
      </c>
      <c r="O2556" s="30" t="s">
        <v>64</v>
      </c>
      <c r="P2556" s="89" t="s">
        <v>14434</v>
      </c>
      <c r="Q2556" s="89" t="s">
        <v>4289</v>
      </c>
      <c r="R2556" s="89" t="s">
        <v>1775</v>
      </c>
      <c r="S2556" s="30">
        <v>0</v>
      </c>
      <c r="T2556" s="233">
        <v>2</v>
      </c>
      <c r="U2556" s="30">
        <v>0</v>
      </c>
      <c r="V2556" s="233">
        <v>0</v>
      </c>
      <c r="W2556" s="30">
        <v>0</v>
      </c>
      <c r="X2556" s="30">
        <v>2</v>
      </c>
      <c r="Y2556" s="30">
        <v>2</v>
      </c>
      <c r="Z2556" s="233">
        <v>1</v>
      </c>
      <c r="AA2556" s="30">
        <v>0</v>
      </c>
      <c r="AB2556" s="30">
        <v>0</v>
      </c>
      <c r="AC2556" s="30">
        <v>0</v>
      </c>
      <c r="AD2556" s="30">
        <v>3</v>
      </c>
      <c r="AE2556" s="89" t="s">
        <v>394</v>
      </c>
      <c r="AF2556" s="89"/>
      <c r="AG2556" s="89" t="s">
        <v>82</v>
      </c>
      <c r="AH2556" s="72">
        <v>43066</v>
      </c>
      <c r="AI2556" s="30">
        <v>2</v>
      </c>
      <c r="AJ2556" s="89" t="s">
        <v>14435</v>
      </c>
      <c r="AK2556" s="89" t="s">
        <v>14436</v>
      </c>
      <c r="AL2556" s="91">
        <v>43069</v>
      </c>
      <c r="AM2556" s="91"/>
      <c r="AN2556" s="91"/>
      <c r="AO2556" s="91"/>
      <c r="AP2556" s="73" t="e">
        <f>MID(VLOOKUP(K2556,#REF!,2,FALSE),1,2)</f>
        <v>#REF!</v>
      </c>
      <c r="AQ2556" s="89">
        <f>DATE(2017,11,28)</f>
        <v>43067</v>
      </c>
      <c r="AR2556" s="82">
        <f t="shared" si="206"/>
        <v>28</v>
      </c>
      <c r="AS2556" s="84">
        <f t="shared" si="207"/>
        <v>11</v>
      </c>
      <c r="AT2556" s="104">
        <f t="shared" si="208"/>
        <v>2017</v>
      </c>
      <c r="AU2556" s="86"/>
      <c r="AV2556" s="87"/>
      <c r="AW2556" s="86"/>
      <c r="AX2556" s="82"/>
      <c r="AY2556" s="84"/>
      <c r="AZ2556" s="104"/>
      <c r="BA2556" s="86"/>
      <c r="BB2556" s="86"/>
    </row>
    <row r="2557" spans="1:54" ht="36.75" customHeight="1">
      <c r="A2557" s="30"/>
      <c r="B2557" s="30" t="s">
        <v>55</v>
      </c>
      <c r="C2557" s="69" t="str">
        <f t="shared" si="201"/>
        <v>Closed</v>
      </c>
      <c r="D2557" s="27" t="s">
        <v>14437</v>
      </c>
      <c r="E2557" s="29" t="s">
        <v>14438</v>
      </c>
      <c r="F2557" s="30" t="s">
        <v>835</v>
      </c>
      <c r="G2557" s="89">
        <f>DATE(2017,11,28)</f>
        <v>43067</v>
      </c>
      <c r="H2557" s="90">
        <v>1.3548611111111111</v>
      </c>
      <c r="I2557" s="30" t="s">
        <v>156</v>
      </c>
      <c r="J2557" s="89" t="s">
        <v>14439</v>
      </c>
      <c r="K2557" s="30" t="s">
        <v>837</v>
      </c>
      <c r="L2557" s="30" t="s">
        <v>14440</v>
      </c>
      <c r="M2557" s="30" t="s">
        <v>63</v>
      </c>
      <c r="N2557" s="30" t="s">
        <v>142</v>
      </c>
      <c r="O2557" s="30" t="s">
        <v>77</v>
      </c>
      <c r="P2557" s="89" t="s">
        <v>65</v>
      </c>
      <c r="Q2557" s="89" t="s">
        <v>2162</v>
      </c>
      <c r="R2557" s="89" t="s">
        <v>840</v>
      </c>
      <c r="S2557" s="30">
        <v>0</v>
      </c>
      <c r="T2557" s="233">
        <v>0</v>
      </c>
      <c r="U2557" s="30">
        <v>0</v>
      </c>
      <c r="V2557" s="233">
        <v>0</v>
      </c>
      <c r="W2557" s="30">
        <v>0</v>
      </c>
      <c r="X2557" s="30">
        <v>0</v>
      </c>
      <c r="Y2557" s="30">
        <v>0</v>
      </c>
      <c r="Z2557" s="233">
        <v>0</v>
      </c>
      <c r="AA2557" s="30">
        <v>0</v>
      </c>
      <c r="AB2557" s="30">
        <v>0</v>
      </c>
      <c r="AC2557" s="30">
        <v>0</v>
      </c>
      <c r="AD2557" s="30">
        <v>0</v>
      </c>
      <c r="AE2557" s="89" t="s">
        <v>92</v>
      </c>
      <c r="AF2557" s="89"/>
      <c r="AG2557" s="89" t="s">
        <v>11890</v>
      </c>
      <c r="AH2557" s="72">
        <v>43067</v>
      </c>
      <c r="AI2557" s="30">
        <v>0</v>
      </c>
      <c r="AJ2557" s="89" t="s">
        <v>14441</v>
      </c>
      <c r="AK2557" s="89" t="s">
        <v>68</v>
      </c>
      <c r="AL2557" s="91">
        <v>43074</v>
      </c>
      <c r="AM2557" s="91"/>
      <c r="AN2557" s="91">
        <v>45012</v>
      </c>
      <c r="AO2557" s="91">
        <v>43104</v>
      </c>
      <c r="AP2557" s="73" t="e">
        <f>MID(VLOOKUP(K2557,#REF!,2,FALSE),1,2)</f>
        <v>#REF!</v>
      </c>
      <c r="AQ2557" s="89">
        <f>DATE(2017,11,29)</f>
        <v>43068</v>
      </c>
      <c r="AR2557" s="82">
        <f t="shared" si="206"/>
        <v>29</v>
      </c>
      <c r="AS2557" s="83">
        <f t="shared" si="207"/>
        <v>11</v>
      </c>
      <c r="AT2557" s="84">
        <f t="shared" si="208"/>
        <v>2017</v>
      </c>
      <c r="AU2557" s="88">
        <f>DATE(2017,12,15)</f>
        <v>43084</v>
      </c>
      <c r="AV2557" s="88">
        <f>DATE(2017,11,29)</f>
        <v>43068</v>
      </c>
      <c r="AW2557" s="87">
        <f t="shared" ref="AW2557:AW2579" si="210">AU2557-AV2557</f>
        <v>16</v>
      </c>
      <c r="AX2557" s="86"/>
      <c r="AY2557" s="83"/>
      <c r="AZ2557" s="84"/>
      <c r="BA2557" s="86"/>
      <c r="BB2557" s="86" t="s">
        <v>13115</v>
      </c>
    </row>
    <row r="2558" spans="1:54" ht="36.75" customHeight="1">
      <c r="A2558" s="30"/>
      <c r="B2558" s="30" t="s">
        <v>55</v>
      </c>
      <c r="C2558" s="69" t="str">
        <f t="shared" si="201"/>
        <v>Closed</v>
      </c>
      <c r="D2558" s="27" t="s">
        <v>14442</v>
      </c>
      <c r="E2558" s="29" t="s">
        <v>14443</v>
      </c>
      <c r="F2558" s="30" t="s">
        <v>13439</v>
      </c>
      <c r="G2558" s="89">
        <f>DATE(2017,11,29)</f>
        <v>43068</v>
      </c>
      <c r="H2558" s="90">
        <v>1.7076388888888889</v>
      </c>
      <c r="I2558" s="30" t="s">
        <v>73</v>
      </c>
      <c r="J2558" s="89" t="s">
        <v>14444</v>
      </c>
      <c r="K2558" s="30" t="s">
        <v>13441</v>
      </c>
      <c r="L2558" s="30" t="s">
        <v>14445</v>
      </c>
      <c r="M2558" s="30" t="s">
        <v>63</v>
      </c>
      <c r="N2558" s="30" t="s">
        <v>89</v>
      </c>
      <c r="O2558" s="30" t="s">
        <v>77</v>
      </c>
      <c r="P2558" s="89" t="s">
        <v>6941</v>
      </c>
      <c r="Q2558" s="89" t="s">
        <v>14446</v>
      </c>
      <c r="R2558" s="89" t="s">
        <v>13441</v>
      </c>
      <c r="S2558" s="30">
        <v>0</v>
      </c>
      <c r="T2558" s="233">
        <v>0</v>
      </c>
      <c r="U2558" s="30">
        <v>0</v>
      </c>
      <c r="V2558" s="233">
        <v>0</v>
      </c>
      <c r="W2558" s="30">
        <v>0</v>
      </c>
      <c r="X2558" s="30">
        <v>0</v>
      </c>
      <c r="Y2558" s="30">
        <v>0</v>
      </c>
      <c r="Z2558" s="233">
        <v>0</v>
      </c>
      <c r="AA2558" s="30">
        <v>0</v>
      </c>
      <c r="AB2558" s="30">
        <v>0</v>
      </c>
      <c r="AC2558" s="30">
        <v>0</v>
      </c>
      <c r="AD2558" s="30">
        <v>0</v>
      </c>
      <c r="AE2558" s="89" t="s">
        <v>145</v>
      </c>
      <c r="AF2558" s="89"/>
      <c r="AG2558" s="89" t="s">
        <v>82</v>
      </c>
      <c r="AH2558" s="72">
        <v>43068</v>
      </c>
      <c r="AI2558" s="30">
        <v>0</v>
      </c>
      <c r="AJ2558" s="89" t="s">
        <v>14447</v>
      </c>
      <c r="AK2558" s="89" t="s">
        <v>14448</v>
      </c>
      <c r="AL2558" s="91">
        <v>43084</v>
      </c>
      <c r="AM2558" s="91"/>
      <c r="AN2558" s="91"/>
      <c r="AO2558" s="91"/>
      <c r="AP2558" s="73" t="e">
        <f>MID(VLOOKUP(K2558,#REF!,2,FALSE),1,2)</f>
        <v>#REF!</v>
      </c>
      <c r="AQ2558" s="89">
        <f>DATE(2018,11,29)</f>
        <v>43433</v>
      </c>
      <c r="AR2558" s="82">
        <f t="shared" si="206"/>
        <v>29</v>
      </c>
      <c r="AS2558" s="83">
        <f t="shared" si="207"/>
        <v>11</v>
      </c>
      <c r="AT2558" s="84">
        <f t="shared" si="208"/>
        <v>2018</v>
      </c>
      <c r="AU2558" s="86"/>
      <c r="AV2558" s="86"/>
      <c r="AW2558" s="87">
        <f t="shared" si="210"/>
        <v>0</v>
      </c>
      <c r="AX2558" s="86"/>
      <c r="AY2558" s="83"/>
      <c r="AZ2558" s="84"/>
      <c r="BA2558" s="86"/>
      <c r="BB2558" s="86"/>
    </row>
    <row r="2559" spans="1:54" ht="36.75" customHeight="1">
      <c r="A2559" s="30"/>
      <c r="B2559" s="30" t="s">
        <v>55</v>
      </c>
      <c r="C2559" s="69" t="str">
        <f t="shared" si="201"/>
        <v>Closed</v>
      </c>
      <c r="D2559" s="27" t="s">
        <v>14449</v>
      </c>
      <c r="E2559" s="29" t="s">
        <v>14450</v>
      </c>
      <c r="F2559" s="30" t="s">
        <v>638</v>
      </c>
      <c r="G2559" s="89">
        <f>DATE(2017,11,29)</f>
        <v>43068</v>
      </c>
      <c r="H2559" s="90">
        <v>1.4215277777777777</v>
      </c>
      <c r="I2559" s="30" t="s">
        <v>73</v>
      </c>
      <c r="J2559" s="89" t="s">
        <v>14451</v>
      </c>
      <c r="K2559" s="30" t="s">
        <v>640</v>
      </c>
      <c r="L2559" s="30" t="s">
        <v>13172</v>
      </c>
      <c r="M2559" s="30" t="s">
        <v>63</v>
      </c>
      <c r="N2559" s="30" t="s">
        <v>99</v>
      </c>
      <c r="O2559" s="30" t="s">
        <v>64</v>
      </c>
      <c r="P2559" s="89" t="s">
        <v>165</v>
      </c>
      <c r="Q2559" s="89" t="s">
        <v>1185</v>
      </c>
      <c r="R2559" s="89" t="s">
        <v>643</v>
      </c>
      <c r="S2559" s="30">
        <v>0</v>
      </c>
      <c r="T2559" s="233">
        <v>0</v>
      </c>
      <c r="U2559" s="30">
        <v>0</v>
      </c>
      <c r="V2559" s="233">
        <v>0</v>
      </c>
      <c r="W2559" s="30">
        <v>0</v>
      </c>
      <c r="X2559" s="30">
        <v>0</v>
      </c>
      <c r="Y2559" s="30">
        <v>2</v>
      </c>
      <c r="Z2559" s="233">
        <v>0</v>
      </c>
      <c r="AA2559" s="30">
        <v>0</v>
      </c>
      <c r="AB2559" s="30">
        <v>0</v>
      </c>
      <c r="AC2559" s="30">
        <v>0</v>
      </c>
      <c r="AD2559" s="30">
        <v>2</v>
      </c>
      <c r="AE2559" s="89" t="s">
        <v>92</v>
      </c>
      <c r="AF2559" s="89"/>
      <c r="AG2559" s="89" t="s">
        <v>133</v>
      </c>
      <c r="AH2559" s="72">
        <v>43399</v>
      </c>
      <c r="AI2559" s="30">
        <v>3</v>
      </c>
      <c r="AJ2559" s="89" t="s">
        <v>14452</v>
      </c>
      <c r="AK2559" s="89" t="s">
        <v>14453</v>
      </c>
      <c r="AL2559" s="91">
        <v>43420</v>
      </c>
      <c r="AM2559" s="91"/>
      <c r="AN2559" s="91"/>
      <c r="AO2559" s="91"/>
      <c r="AP2559" s="73" t="e">
        <f>MID(VLOOKUP(K2559,#REF!,2,FALSE),1,2)</f>
        <v>#REF!</v>
      </c>
      <c r="AQ2559" s="89">
        <f>DATE(2017,11,30)</f>
        <v>43069</v>
      </c>
      <c r="AR2559" s="82">
        <f t="shared" si="206"/>
        <v>30</v>
      </c>
      <c r="AS2559" s="83">
        <f t="shared" si="207"/>
        <v>11</v>
      </c>
      <c r="AT2559" s="84">
        <f t="shared" si="208"/>
        <v>2017</v>
      </c>
      <c r="AU2559" s="88">
        <f>DATE(2017,12,4)</f>
        <v>43073</v>
      </c>
      <c r="AV2559" s="88">
        <f>DATE(2017,11,30)</f>
        <v>43069</v>
      </c>
      <c r="AW2559" s="87">
        <f t="shared" si="210"/>
        <v>4</v>
      </c>
      <c r="AX2559" s="86"/>
      <c r="AY2559" s="83"/>
      <c r="AZ2559" s="84"/>
      <c r="BA2559" s="86"/>
      <c r="BB2559" s="86" t="s">
        <v>13115</v>
      </c>
    </row>
    <row r="2560" spans="1:54" ht="36.75" customHeight="1">
      <c r="A2560" s="30"/>
      <c r="B2560" s="30" t="s">
        <v>55</v>
      </c>
      <c r="C2560" s="69" t="str">
        <f t="shared" si="201"/>
        <v>Closed</v>
      </c>
      <c r="D2560" s="27" t="s">
        <v>14454</v>
      </c>
      <c r="E2560" s="29" t="s">
        <v>14455</v>
      </c>
      <c r="F2560" s="30" t="s">
        <v>582</v>
      </c>
      <c r="G2560" s="89">
        <f>DATE(2017,11,30)</f>
        <v>43069</v>
      </c>
      <c r="H2560" s="90">
        <v>1.0527777777777778</v>
      </c>
      <c r="I2560" s="30" t="s">
        <v>73</v>
      </c>
      <c r="J2560" s="89" t="s">
        <v>14456</v>
      </c>
      <c r="K2560" s="30" t="s">
        <v>584</v>
      </c>
      <c r="L2560" s="30" t="s">
        <v>9166</v>
      </c>
      <c r="M2560" s="30" t="s">
        <v>63</v>
      </c>
      <c r="N2560" s="30" t="s">
        <v>142</v>
      </c>
      <c r="O2560" s="30" t="s">
        <v>77</v>
      </c>
      <c r="P2560" s="89" t="s">
        <v>78</v>
      </c>
      <c r="Q2560" s="89" t="s">
        <v>10642</v>
      </c>
      <c r="R2560" s="89" t="s">
        <v>587</v>
      </c>
      <c r="S2560" s="30">
        <v>0</v>
      </c>
      <c r="T2560" s="233">
        <v>0</v>
      </c>
      <c r="U2560" s="30">
        <v>0</v>
      </c>
      <c r="V2560" s="233">
        <v>0</v>
      </c>
      <c r="W2560" s="30">
        <v>0</v>
      </c>
      <c r="X2560" s="30">
        <v>0</v>
      </c>
      <c r="Y2560" s="30">
        <v>0</v>
      </c>
      <c r="Z2560" s="233">
        <v>0</v>
      </c>
      <c r="AA2560" s="30">
        <v>0</v>
      </c>
      <c r="AB2560" s="30">
        <v>0</v>
      </c>
      <c r="AC2560" s="30">
        <v>0</v>
      </c>
      <c r="AD2560" s="30">
        <v>0</v>
      </c>
      <c r="AE2560" s="89" t="s">
        <v>145</v>
      </c>
      <c r="AF2560" s="89"/>
      <c r="AG2560" s="89" t="s">
        <v>82</v>
      </c>
      <c r="AH2560" s="72">
        <v>43069</v>
      </c>
      <c r="AI2560" s="30">
        <v>0</v>
      </c>
      <c r="AJ2560" s="89" t="s">
        <v>14457</v>
      </c>
      <c r="AK2560" s="89" t="s">
        <v>1233</v>
      </c>
      <c r="AL2560" s="91">
        <v>43073</v>
      </c>
      <c r="AM2560" s="91"/>
      <c r="AN2560" s="91"/>
      <c r="AO2560" s="91"/>
      <c r="AP2560" s="73" t="e">
        <f>MID(VLOOKUP(K2560,#REF!,2,FALSE),1,2)</f>
        <v>#REF!</v>
      </c>
      <c r="AQ2560" s="89">
        <f>DATE(2017,11,30)</f>
        <v>43069</v>
      </c>
      <c r="AR2560" s="82">
        <f t="shared" si="206"/>
        <v>30</v>
      </c>
      <c r="AS2560" s="83">
        <f t="shared" si="207"/>
        <v>11</v>
      </c>
      <c r="AT2560" s="84">
        <f t="shared" si="208"/>
        <v>2017</v>
      </c>
      <c r="AU2560" s="88">
        <f>DATE(2017,12,4)</f>
        <v>43073</v>
      </c>
      <c r="AV2560" s="88">
        <f>DATE(2017,11,30)</f>
        <v>43069</v>
      </c>
      <c r="AW2560" s="87">
        <f t="shared" si="210"/>
        <v>4</v>
      </c>
      <c r="AX2560" s="88">
        <f>DATE(2017,11,30)</f>
        <v>43069</v>
      </c>
      <c r="AY2560" s="83">
        <f>MONTH(AX2560)</f>
        <v>11</v>
      </c>
      <c r="AZ2560" s="84">
        <f>YEAR(AX2560)</f>
        <v>2017</v>
      </c>
      <c r="BA2560" s="88">
        <f>DATE(2017,11,30)</f>
        <v>43069</v>
      </c>
      <c r="BB2560" s="86"/>
    </row>
    <row r="2561" spans="1:54" ht="36.75" customHeight="1">
      <c r="A2561" s="30"/>
      <c r="B2561" s="30" t="s">
        <v>55</v>
      </c>
      <c r="C2561" s="69" t="str">
        <f t="shared" si="201"/>
        <v>Closed</v>
      </c>
      <c r="D2561" s="27" t="s">
        <v>14458</v>
      </c>
      <c r="E2561" s="29" t="s">
        <v>14459</v>
      </c>
      <c r="F2561" s="30" t="s">
        <v>835</v>
      </c>
      <c r="G2561" s="89">
        <f>DATE(2017,11,30)</f>
        <v>43069</v>
      </c>
      <c r="H2561" s="90">
        <v>1.8805555555555555</v>
      </c>
      <c r="I2561" s="30" t="s">
        <v>73</v>
      </c>
      <c r="J2561" s="89" t="s">
        <v>14460</v>
      </c>
      <c r="K2561" s="30" t="s">
        <v>837</v>
      </c>
      <c r="L2561" s="30" t="s">
        <v>14461</v>
      </c>
      <c r="M2561" s="30" t="s">
        <v>255</v>
      </c>
      <c r="N2561" s="30" t="s">
        <v>142</v>
      </c>
      <c r="O2561" s="30" t="s">
        <v>77</v>
      </c>
      <c r="P2561" s="89" t="s">
        <v>6552</v>
      </c>
      <c r="Q2561" s="89" t="s">
        <v>4210</v>
      </c>
      <c r="R2561" s="89" t="s">
        <v>4210</v>
      </c>
      <c r="S2561" s="30">
        <v>0</v>
      </c>
      <c r="T2561" s="233">
        <v>0</v>
      </c>
      <c r="U2561" s="30">
        <v>0</v>
      </c>
      <c r="V2561" s="233">
        <v>0</v>
      </c>
      <c r="W2561" s="30">
        <v>0</v>
      </c>
      <c r="X2561" s="30">
        <v>0</v>
      </c>
      <c r="Y2561" s="30">
        <v>0</v>
      </c>
      <c r="Z2561" s="233">
        <v>0</v>
      </c>
      <c r="AA2561" s="30">
        <v>0</v>
      </c>
      <c r="AB2561" s="30">
        <v>0</v>
      </c>
      <c r="AC2561" s="30">
        <v>0</v>
      </c>
      <c r="AD2561" s="30">
        <v>0</v>
      </c>
      <c r="AE2561" s="89" t="s">
        <v>92</v>
      </c>
      <c r="AF2561" s="89"/>
      <c r="AG2561" s="89" t="s">
        <v>14285</v>
      </c>
      <c r="AH2561" s="72">
        <v>43069</v>
      </c>
      <c r="AI2561" s="30">
        <v>0</v>
      </c>
      <c r="AJ2561" s="89" t="s">
        <v>14462</v>
      </c>
      <c r="AK2561" s="89" t="s">
        <v>68</v>
      </c>
      <c r="AL2561" s="91">
        <v>43073</v>
      </c>
      <c r="AM2561" s="91"/>
      <c r="AN2561" s="91"/>
      <c r="AO2561" s="91"/>
      <c r="AP2561" s="73" t="e">
        <f>MID(VLOOKUP(K2561,#REF!,2,FALSE),1,2)</f>
        <v>#REF!</v>
      </c>
      <c r="AQ2561" s="89">
        <f>DATE(2017,12,1)</f>
        <v>43070</v>
      </c>
      <c r="AR2561" s="82">
        <f t="shared" si="206"/>
        <v>1</v>
      </c>
      <c r="AS2561" s="83">
        <f t="shared" si="207"/>
        <v>12</v>
      </c>
      <c r="AT2561" s="84">
        <f t="shared" si="208"/>
        <v>2017</v>
      </c>
      <c r="AU2561" s="88">
        <f>DATE(2017,12,4)</f>
        <v>43073</v>
      </c>
      <c r="AV2561" s="88">
        <f>DATE(2017,12,1)</f>
        <v>43070</v>
      </c>
      <c r="AW2561" s="87">
        <f t="shared" si="210"/>
        <v>3</v>
      </c>
      <c r="AX2561" s="86"/>
      <c r="AY2561" s="83"/>
      <c r="AZ2561" s="84"/>
      <c r="BA2561" s="86"/>
      <c r="BB2561" s="86"/>
    </row>
    <row r="2562" spans="1:54" ht="36.75" customHeight="1">
      <c r="A2562" s="30"/>
      <c r="B2562" s="30" t="s">
        <v>55</v>
      </c>
      <c r="C2562" s="69" t="str">
        <f t="shared" ref="C2562:C2625" si="211">IF(B2562="Notification","Open",IF(B2562="Interim Statement","In progress","Closed"))</f>
        <v>Closed</v>
      </c>
      <c r="D2562" s="27" t="s">
        <v>14463</v>
      </c>
      <c r="E2562" s="29" t="s">
        <v>14464</v>
      </c>
      <c r="F2562" s="30" t="s">
        <v>423</v>
      </c>
      <c r="G2562" s="89">
        <f>DATE(2017,12,1)</f>
        <v>43070</v>
      </c>
      <c r="H2562" s="90">
        <v>1.8506944444444446</v>
      </c>
      <c r="I2562" s="30" t="s">
        <v>73</v>
      </c>
      <c r="J2562" s="89" t="s">
        <v>14465</v>
      </c>
      <c r="K2562" s="30" t="s">
        <v>425</v>
      </c>
      <c r="L2562" s="30" t="s">
        <v>14466</v>
      </c>
      <c r="M2562" s="30" t="s">
        <v>63</v>
      </c>
      <c r="N2562" s="30" t="s">
        <v>142</v>
      </c>
      <c r="O2562" s="30" t="s">
        <v>64</v>
      </c>
      <c r="P2562" s="89" t="s">
        <v>78</v>
      </c>
      <c r="Q2562" s="89" t="s">
        <v>2582</v>
      </c>
      <c r="R2562" s="89" t="s">
        <v>3103</v>
      </c>
      <c r="S2562" s="30">
        <v>0</v>
      </c>
      <c r="T2562" s="233">
        <v>0</v>
      </c>
      <c r="U2562" s="30">
        <v>0</v>
      </c>
      <c r="V2562" s="233">
        <v>0</v>
      </c>
      <c r="W2562" s="30">
        <v>0</v>
      </c>
      <c r="X2562" s="30">
        <v>0</v>
      </c>
      <c r="Y2562" s="30">
        <v>0</v>
      </c>
      <c r="Z2562" s="233">
        <v>0</v>
      </c>
      <c r="AA2562" s="30">
        <v>0</v>
      </c>
      <c r="AB2562" s="30">
        <v>0</v>
      </c>
      <c r="AC2562" s="30">
        <v>0</v>
      </c>
      <c r="AD2562" s="30">
        <v>0</v>
      </c>
      <c r="AE2562" s="89" t="s">
        <v>394</v>
      </c>
      <c r="AF2562" s="89"/>
      <c r="AG2562" s="89" t="s">
        <v>133</v>
      </c>
      <c r="AH2562" s="72">
        <v>42747</v>
      </c>
      <c r="AI2562" s="30">
        <v>0</v>
      </c>
      <c r="AJ2562" s="89" t="s">
        <v>14467</v>
      </c>
      <c r="AK2562" s="89" t="s">
        <v>14468</v>
      </c>
      <c r="AL2562" s="91">
        <v>43073</v>
      </c>
      <c r="AM2562" s="91"/>
      <c r="AN2562" s="91"/>
      <c r="AO2562" s="91"/>
      <c r="AP2562" s="73" t="e">
        <f>MID(VLOOKUP(K2562,#REF!,2,FALSE),1,2)</f>
        <v>#REF!</v>
      </c>
      <c r="AQ2562" s="89">
        <f>DATE(2017,12,4)</f>
        <v>43073</v>
      </c>
      <c r="AR2562" s="82">
        <f t="shared" si="206"/>
        <v>4</v>
      </c>
      <c r="AS2562" s="83">
        <f t="shared" si="207"/>
        <v>12</v>
      </c>
      <c r="AT2562" s="84">
        <f t="shared" si="208"/>
        <v>2017</v>
      </c>
      <c r="AU2562" s="88">
        <f>DATE(2017,12,7)</f>
        <v>43076</v>
      </c>
      <c r="AV2562" s="88">
        <f>DATE(2017,12,4)</f>
        <v>43073</v>
      </c>
      <c r="AW2562" s="87">
        <f t="shared" si="210"/>
        <v>3</v>
      </c>
      <c r="AX2562" s="86"/>
      <c r="AY2562" s="83"/>
      <c r="AZ2562" s="84"/>
      <c r="BA2562" s="86"/>
      <c r="BB2562" s="86" t="s">
        <v>13115</v>
      </c>
    </row>
    <row r="2563" spans="1:54" ht="36.75" customHeight="1">
      <c r="A2563" s="30"/>
      <c r="B2563" s="30" t="s">
        <v>55</v>
      </c>
      <c r="C2563" s="69" t="str">
        <f t="shared" si="211"/>
        <v>Closed</v>
      </c>
      <c r="D2563" s="27" t="s">
        <v>14469</v>
      </c>
      <c r="E2563" s="29" t="s">
        <v>14470</v>
      </c>
      <c r="F2563" s="30" t="s">
        <v>423</v>
      </c>
      <c r="G2563" s="89">
        <f>DATE(2017,12,4)</f>
        <v>43073</v>
      </c>
      <c r="H2563" s="90">
        <v>1.5006944444444446</v>
      </c>
      <c r="I2563" s="30" t="s">
        <v>198</v>
      </c>
      <c r="J2563" s="89" t="s">
        <v>14471</v>
      </c>
      <c r="K2563" s="30" t="s">
        <v>425</v>
      </c>
      <c r="L2563" s="30" t="s">
        <v>14472</v>
      </c>
      <c r="M2563" s="30" t="s">
        <v>63</v>
      </c>
      <c r="N2563" s="30" t="s">
        <v>99</v>
      </c>
      <c r="O2563" s="30" t="s">
        <v>77</v>
      </c>
      <c r="P2563" s="89" t="s">
        <v>1912</v>
      </c>
      <c r="Q2563" s="89" t="s">
        <v>10689</v>
      </c>
      <c r="R2563" s="89" t="s">
        <v>3103</v>
      </c>
      <c r="S2563" s="30">
        <v>0</v>
      </c>
      <c r="T2563" s="233">
        <v>0</v>
      </c>
      <c r="U2563" s="30">
        <v>0</v>
      </c>
      <c r="V2563" s="233">
        <v>0</v>
      </c>
      <c r="W2563" s="30">
        <v>0</v>
      </c>
      <c r="X2563" s="30">
        <v>0</v>
      </c>
      <c r="Y2563" s="30">
        <v>0</v>
      </c>
      <c r="Z2563" s="233">
        <v>1</v>
      </c>
      <c r="AA2563" s="30">
        <v>0</v>
      </c>
      <c r="AB2563" s="30">
        <v>0</v>
      </c>
      <c r="AC2563" s="30">
        <v>0</v>
      </c>
      <c r="AD2563" s="30">
        <v>1</v>
      </c>
      <c r="AE2563" s="89" t="s">
        <v>92</v>
      </c>
      <c r="AF2563" s="89"/>
      <c r="AG2563" s="89" t="s">
        <v>133</v>
      </c>
      <c r="AH2563" s="72">
        <v>42837</v>
      </c>
      <c r="AI2563" s="30">
        <v>0</v>
      </c>
      <c r="AJ2563" s="89" t="s">
        <v>14473</v>
      </c>
      <c r="AK2563" s="89" t="s">
        <v>14474</v>
      </c>
      <c r="AL2563" s="91">
        <v>43076</v>
      </c>
      <c r="AM2563" s="91"/>
      <c r="AN2563" s="91"/>
      <c r="AO2563" s="91"/>
      <c r="AP2563" s="73" t="e">
        <f>MID(VLOOKUP(K2563,#REF!,2,FALSE),1,2)</f>
        <v>#REF!</v>
      </c>
      <c r="AQ2563" s="89">
        <f>DATE(2017,12,5)</f>
        <v>43074</v>
      </c>
      <c r="AR2563" s="82">
        <f t="shared" si="206"/>
        <v>5</v>
      </c>
      <c r="AS2563" s="83">
        <f t="shared" si="207"/>
        <v>12</v>
      </c>
      <c r="AT2563" s="84">
        <f t="shared" si="208"/>
        <v>2017</v>
      </c>
      <c r="AU2563" s="88">
        <f>DATE(2017,12,6)</f>
        <v>43075</v>
      </c>
      <c r="AV2563" s="88">
        <f>DATE(2017,12,6)</f>
        <v>43075</v>
      </c>
      <c r="AW2563" s="87">
        <f t="shared" si="210"/>
        <v>0</v>
      </c>
      <c r="AX2563" s="86"/>
      <c r="AY2563" s="83"/>
      <c r="AZ2563" s="84"/>
      <c r="BA2563" s="86"/>
      <c r="BB2563" s="86" t="s">
        <v>13115</v>
      </c>
    </row>
    <row r="2564" spans="1:54" ht="36.75" customHeight="1">
      <c r="A2564" s="30"/>
      <c r="B2564" s="30" t="s">
        <v>55</v>
      </c>
      <c r="C2564" s="69" t="str">
        <f t="shared" si="211"/>
        <v>Closed</v>
      </c>
      <c r="D2564" s="27" t="s">
        <v>14475</v>
      </c>
      <c r="E2564" s="29" t="s">
        <v>14476</v>
      </c>
      <c r="F2564" s="30" t="s">
        <v>6455</v>
      </c>
      <c r="G2564" s="89">
        <f>DATE(2017,12,5)</f>
        <v>43074</v>
      </c>
      <c r="H2564" s="90">
        <v>1.0604166666666666</v>
      </c>
      <c r="I2564" s="30" t="s">
        <v>198</v>
      </c>
      <c r="J2564" s="89" t="s">
        <v>14477</v>
      </c>
      <c r="K2564" s="30" t="s">
        <v>584</v>
      </c>
      <c r="L2564" s="30" t="s">
        <v>14478</v>
      </c>
      <c r="M2564" s="30" t="s">
        <v>63</v>
      </c>
      <c r="N2564" s="30" t="s">
        <v>142</v>
      </c>
      <c r="O2564" s="30" t="s">
        <v>64</v>
      </c>
      <c r="P2564" s="89" t="s">
        <v>78</v>
      </c>
      <c r="Q2564" s="89" t="s">
        <v>14479</v>
      </c>
      <c r="R2564" s="89" t="s">
        <v>587</v>
      </c>
      <c r="S2564" s="30">
        <v>0</v>
      </c>
      <c r="T2564" s="233">
        <v>0</v>
      </c>
      <c r="U2564" s="30">
        <v>0</v>
      </c>
      <c r="V2564" s="233">
        <v>0</v>
      </c>
      <c r="W2564" s="30">
        <v>0</v>
      </c>
      <c r="X2564" s="30">
        <v>0</v>
      </c>
      <c r="Y2564" s="30">
        <v>4</v>
      </c>
      <c r="Z2564" s="233">
        <v>0</v>
      </c>
      <c r="AA2564" s="30">
        <v>0</v>
      </c>
      <c r="AB2564" s="30">
        <v>0</v>
      </c>
      <c r="AC2564" s="30">
        <v>0</v>
      </c>
      <c r="AD2564" s="30">
        <v>4</v>
      </c>
      <c r="AE2564" s="89" t="s">
        <v>145</v>
      </c>
      <c r="AF2564" s="89" t="s">
        <v>14480</v>
      </c>
      <c r="AG2564" s="89" t="s">
        <v>6459</v>
      </c>
      <c r="AH2564" s="72">
        <v>43075</v>
      </c>
      <c r="AI2564" s="30">
        <v>0</v>
      </c>
      <c r="AJ2564" s="89" t="s">
        <v>14481</v>
      </c>
      <c r="AK2564" s="89" t="s">
        <v>10569</v>
      </c>
      <c r="AL2564" s="91">
        <v>43075</v>
      </c>
      <c r="AM2564" s="91"/>
      <c r="AN2564" s="91">
        <v>44949</v>
      </c>
      <c r="AO2564" s="91">
        <v>44949</v>
      </c>
      <c r="AP2564" s="73" t="e">
        <f>MID(VLOOKUP(K2564,#REF!,2,FALSE),1,2)</f>
        <v>#REF!</v>
      </c>
      <c r="AQ2564" s="89">
        <f>DATE(2017,12,5)</f>
        <v>43074</v>
      </c>
      <c r="AR2564" s="82">
        <f t="shared" si="206"/>
        <v>5</v>
      </c>
      <c r="AS2564" s="83">
        <f t="shared" si="207"/>
        <v>12</v>
      </c>
      <c r="AT2564" s="84">
        <f t="shared" si="208"/>
        <v>2017</v>
      </c>
      <c r="AU2564" s="88">
        <f>DATE(2018,1,12)</f>
        <v>43112</v>
      </c>
      <c r="AV2564" s="88">
        <f>DATE(2017,12,11)</f>
        <v>43080</v>
      </c>
      <c r="AW2564" s="87">
        <f t="shared" si="210"/>
        <v>32</v>
      </c>
      <c r="AX2564" s="86"/>
      <c r="AY2564" s="83"/>
      <c r="AZ2564" s="84"/>
      <c r="BA2564" s="86"/>
      <c r="BB2564" s="86" t="s">
        <v>13115</v>
      </c>
    </row>
    <row r="2565" spans="1:54" ht="36.75" customHeight="1">
      <c r="A2565" s="30"/>
      <c r="B2565" s="30" t="s">
        <v>55</v>
      </c>
      <c r="C2565" s="69" t="str">
        <f t="shared" si="211"/>
        <v>Closed</v>
      </c>
      <c r="D2565" s="27" t="s">
        <v>14482</v>
      </c>
      <c r="E2565" s="29" t="s">
        <v>14483</v>
      </c>
      <c r="F2565" s="30" t="s">
        <v>835</v>
      </c>
      <c r="G2565" s="89">
        <f>DATE(2017,12,5)</f>
        <v>43074</v>
      </c>
      <c r="H2565" s="90">
        <v>1.3958333333333333</v>
      </c>
      <c r="I2565" s="30" t="s">
        <v>278</v>
      </c>
      <c r="J2565" s="89" t="s">
        <v>14484</v>
      </c>
      <c r="K2565" s="30" t="s">
        <v>837</v>
      </c>
      <c r="L2565" s="30" t="s">
        <v>14485</v>
      </c>
      <c r="M2565" s="30" t="s">
        <v>63</v>
      </c>
      <c r="N2565" s="30" t="s">
        <v>142</v>
      </c>
      <c r="O2565" s="30" t="s">
        <v>77</v>
      </c>
      <c r="P2565" s="89" t="s">
        <v>65</v>
      </c>
      <c r="Q2565" s="89" t="s">
        <v>2162</v>
      </c>
      <c r="R2565" s="89" t="s">
        <v>840</v>
      </c>
      <c r="S2565" s="30">
        <v>1</v>
      </c>
      <c r="T2565" s="233">
        <v>0</v>
      </c>
      <c r="U2565" s="30">
        <v>0</v>
      </c>
      <c r="V2565" s="233">
        <v>0</v>
      </c>
      <c r="W2565" s="30">
        <v>0</v>
      </c>
      <c r="X2565" s="30">
        <v>1</v>
      </c>
      <c r="Y2565" s="30">
        <v>0</v>
      </c>
      <c r="Z2565" s="233">
        <v>0</v>
      </c>
      <c r="AA2565" s="30">
        <v>0</v>
      </c>
      <c r="AB2565" s="30">
        <v>0</v>
      </c>
      <c r="AC2565" s="30">
        <v>0</v>
      </c>
      <c r="AD2565" s="30">
        <v>0</v>
      </c>
      <c r="AE2565" s="89" t="s">
        <v>92</v>
      </c>
      <c r="AF2565" s="89"/>
      <c r="AG2565" s="89" t="s">
        <v>352</v>
      </c>
      <c r="AH2565" s="72">
        <v>43080</v>
      </c>
      <c r="AI2565" s="30">
        <v>0</v>
      </c>
      <c r="AJ2565" s="89" t="s">
        <v>14486</v>
      </c>
      <c r="AK2565" s="89" t="s">
        <v>14487</v>
      </c>
      <c r="AL2565" s="91">
        <v>43112</v>
      </c>
      <c r="AM2565" s="91"/>
      <c r="AN2565" s="91"/>
      <c r="AO2565" s="91"/>
      <c r="AP2565" s="73" t="e">
        <f>MID(VLOOKUP(K2565,#REF!,2,FALSE),1,2)</f>
        <v>#REF!</v>
      </c>
      <c r="AQ2565" s="89">
        <f>DATE(2017,12,5)</f>
        <v>43074</v>
      </c>
      <c r="AR2565" s="82">
        <f t="shared" si="206"/>
        <v>5</v>
      </c>
      <c r="AS2565" s="83">
        <f t="shared" si="207"/>
        <v>12</v>
      </c>
      <c r="AT2565" s="84">
        <f t="shared" si="208"/>
        <v>2017</v>
      </c>
      <c r="AU2565" s="88">
        <f>DATE(2017,12,8)</f>
        <v>43077</v>
      </c>
      <c r="AV2565" s="88">
        <f>DATE(2017,12,7)</f>
        <v>43076</v>
      </c>
      <c r="AW2565" s="87">
        <f t="shared" si="210"/>
        <v>1</v>
      </c>
      <c r="AX2565" s="88">
        <f>DATE(2017,12,8)</f>
        <v>43077</v>
      </c>
      <c r="AY2565" s="83">
        <f>MONTH(AX2565)</f>
        <v>12</v>
      </c>
      <c r="AZ2565" s="84">
        <f>YEAR(AX2565)</f>
        <v>2017</v>
      </c>
      <c r="BA2565" s="88">
        <f>DATE(2017,12,5)</f>
        <v>43074</v>
      </c>
      <c r="BB2565" s="86"/>
    </row>
    <row r="2566" spans="1:54" ht="36.75" customHeight="1">
      <c r="A2566" s="30"/>
      <c r="B2566" s="30" t="s">
        <v>55</v>
      </c>
      <c r="C2566" s="69" t="str">
        <f t="shared" si="211"/>
        <v>Closed</v>
      </c>
      <c r="D2566" s="27" t="s">
        <v>14488</v>
      </c>
      <c r="E2566" s="29" t="s">
        <v>14489</v>
      </c>
      <c r="F2566" s="30" t="s">
        <v>1572</v>
      </c>
      <c r="G2566" s="89">
        <f>DATE(2017,12,5)</f>
        <v>43074</v>
      </c>
      <c r="H2566" s="90">
        <v>1.5972222222222223</v>
      </c>
      <c r="I2566" s="30" t="s">
        <v>125</v>
      </c>
      <c r="J2566" s="89" t="s">
        <v>14490</v>
      </c>
      <c r="K2566" s="30" t="s">
        <v>1574</v>
      </c>
      <c r="L2566" s="30" t="s">
        <v>14491</v>
      </c>
      <c r="M2566" s="30" t="s">
        <v>63</v>
      </c>
      <c r="N2566" s="30" t="s">
        <v>142</v>
      </c>
      <c r="O2566" s="30" t="s">
        <v>64</v>
      </c>
      <c r="P2566" s="89" t="s">
        <v>78</v>
      </c>
      <c r="Q2566" s="89" t="s">
        <v>8078</v>
      </c>
      <c r="R2566" s="89" t="s">
        <v>6434</v>
      </c>
      <c r="S2566" s="30">
        <v>0</v>
      </c>
      <c r="T2566" s="233">
        <v>0</v>
      </c>
      <c r="U2566" s="30">
        <v>0</v>
      </c>
      <c r="V2566" s="233">
        <v>0</v>
      </c>
      <c r="W2566" s="30">
        <v>0</v>
      </c>
      <c r="X2566" s="30">
        <v>0</v>
      </c>
      <c r="Y2566" s="30">
        <v>0</v>
      </c>
      <c r="Z2566" s="233">
        <v>0</v>
      </c>
      <c r="AA2566" s="30">
        <v>0</v>
      </c>
      <c r="AB2566" s="30">
        <v>0</v>
      </c>
      <c r="AC2566" s="30">
        <v>0</v>
      </c>
      <c r="AD2566" s="30">
        <v>0</v>
      </c>
      <c r="AE2566" s="89" t="s">
        <v>394</v>
      </c>
      <c r="AF2566" s="89"/>
      <c r="AG2566" s="89" t="s">
        <v>133</v>
      </c>
      <c r="AH2566" s="72">
        <v>43076</v>
      </c>
      <c r="AI2566" s="30">
        <v>2</v>
      </c>
      <c r="AJ2566" s="89" t="s">
        <v>14492</v>
      </c>
      <c r="AK2566" s="89" t="s">
        <v>14493</v>
      </c>
      <c r="AL2566" s="91">
        <v>43077</v>
      </c>
      <c r="AM2566" s="91"/>
      <c r="AN2566" s="91"/>
      <c r="AO2566" s="91"/>
      <c r="AP2566" s="73" t="e">
        <f>MID(VLOOKUP(K2566,#REF!,2,FALSE),1,2)</f>
        <v>#REF!</v>
      </c>
      <c r="AQ2566" s="89">
        <f>DATE(2017,12,6)</f>
        <v>43075</v>
      </c>
      <c r="AR2566" s="82">
        <f t="shared" si="206"/>
        <v>6</v>
      </c>
      <c r="AS2566" s="83">
        <f t="shared" si="207"/>
        <v>12</v>
      </c>
      <c r="AT2566" s="84">
        <f t="shared" si="208"/>
        <v>2017</v>
      </c>
      <c r="AU2566" s="88">
        <f>DATE(2017,12,19)</f>
        <v>43088</v>
      </c>
      <c r="AV2566" s="88">
        <f>DATE(2017,12,15)</f>
        <v>43084</v>
      </c>
      <c r="AW2566" s="87">
        <f t="shared" si="210"/>
        <v>4</v>
      </c>
      <c r="AX2566" s="88">
        <f>DATE(2017,12,19)</f>
        <v>43088</v>
      </c>
      <c r="AY2566" s="83">
        <f>MONTH(AX2566)</f>
        <v>12</v>
      </c>
      <c r="AZ2566" s="84">
        <f>YEAR(AX2566)</f>
        <v>2017</v>
      </c>
      <c r="BA2566" s="88">
        <f>DATE(2017,12,6)</f>
        <v>43075</v>
      </c>
      <c r="BB2566" s="86"/>
    </row>
    <row r="2567" spans="1:54" ht="36.75" customHeight="1">
      <c r="A2567" s="30"/>
      <c r="B2567" s="30" t="s">
        <v>55</v>
      </c>
      <c r="C2567" s="69" t="str">
        <f t="shared" si="211"/>
        <v>Closed</v>
      </c>
      <c r="D2567" s="27" t="s">
        <v>14494</v>
      </c>
      <c r="E2567" s="29" t="s">
        <v>14495</v>
      </c>
      <c r="F2567" s="30" t="s">
        <v>377</v>
      </c>
      <c r="G2567" s="89">
        <f>DATE(2017,12,6)</f>
        <v>43075</v>
      </c>
      <c r="H2567" s="90">
        <v>1.4166666666666667</v>
      </c>
      <c r="I2567" s="30" t="s">
        <v>73</v>
      </c>
      <c r="J2567" s="89" t="s">
        <v>14496</v>
      </c>
      <c r="K2567" s="30" t="s">
        <v>379</v>
      </c>
      <c r="L2567" s="30" t="s">
        <v>14497</v>
      </c>
      <c r="M2567" s="30" t="s">
        <v>63</v>
      </c>
      <c r="N2567" s="30" t="s">
        <v>99</v>
      </c>
      <c r="O2567" s="30" t="s">
        <v>64</v>
      </c>
      <c r="P2567" s="89" t="s">
        <v>165</v>
      </c>
      <c r="Q2567" s="89" t="s">
        <v>2906</v>
      </c>
      <c r="R2567" s="89" t="s">
        <v>382</v>
      </c>
      <c r="S2567" s="30">
        <v>0</v>
      </c>
      <c r="T2567" s="233">
        <v>0</v>
      </c>
      <c r="U2567" s="30">
        <v>0</v>
      </c>
      <c r="V2567" s="233">
        <v>0</v>
      </c>
      <c r="W2567" s="30">
        <v>0</v>
      </c>
      <c r="X2567" s="30">
        <v>0</v>
      </c>
      <c r="Y2567" s="30">
        <v>0</v>
      </c>
      <c r="Z2567" s="233">
        <v>0</v>
      </c>
      <c r="AA2567" s="30">
        <v>0</v>
      </c>
      <c r="AB2567" s="30">
        <v>0</v>
      </c>
      <c r="AC2567" s="30">
        <v>0</v>
      </c>
      <c r="AD2567" s="30">
        <v>0</v>
      </c>
      <c r="AE2567" s="89" t="s">
        <v>394</v>
      </c>
      <c r="AF2567" s="89"/>
      <c r="AG2567" s="89" t="s">
        <v>133</v>
      </c>
      <c r="AH2567" s="72">
        <v>43084</v>
      </c>
      <c r="AI2567" s="30">
        <v>5</v>
      </c>
      <c r="AJ2567" s="89" t="s">
        <v>14498</v>
      </c>
      <c r="AK2567" s="89" t="s">
        <v>14499</v>
      </c>
      <c r="AL2567" s="91">
        <v>43088</v>
      </c>
      <c r="AM2567" s="91"/>
      <c r="AN2567" s="91"/>
      <c r="AO2567" s="91"/>
      <c r="AP2567" s="73" t="e">
        <f>MID(VLOOKUP(K2567,#REF!,2,FALSE),1,2)</f>
        <v>#REF!</v>
      </c>
      <c r="AQ2567" s="89">
        <f>DATE(2017,12,8)</f>
        <v>43077</v>
      </c>
      <c r="AR2567" s="82">
        <f t="shared" si="206"/>
        <v>8</v>
      </c>
      <c r="AS2567" s="83">
        <f t="shared" si="207"/>
        <v>12</v>
      </c>
      <c r="AT2567" s="84">
        <f t="shared" si="208"/>
        <v>2017</v>
      </c>
      <c r="AU2567" s="88">
        <f>DATE(2017,12,11)</f>
        <v>43080</v>
      </c>
      <c r="AV2567" s="88">
        <f>DATE(2017,12,8)</f>
        <v>43077</v>
      </c>
      <c r="AW2567" s="87">
        <f t="shared" si="210"/>
        <v>3</v>
      </c>
      <c r="AX2567" s="106"/>
      <c r="AY2567" s="83"/>
      <c r="AZ2567" s="84"/>
      <c r="BA2567" s="106"/>
      <c r="BB2567" s="106"/>
    </row>
    <row r="2568" spans="1:54" ht="36.75" customHeight="1">
      <c r="A2568" s="30"/>
      <c r="B2568" s="30" t="s">
        <v>55</v>
      </c>
      <c r="C2568" s="69" t="str">
        <f t="shared" si="211"/>
        <v>Closed</v>
      </c>
      <c r="D2568" s="27" t="s">
        <v>14500</v>
      </c>
      <c r="E2568" s="29" t="s">
        <v>14501</v>
      </c>
      <c r="F2568" s="30" t="s">
        <v>423</v>
      </c>
      <c r="G2568" s="89">
        <f>DATE(2017,12,8)</f>
        <v>43077</v>
      </c>
      <c r="H2568" s="90">
        <v>1.2666666666666666</v>
      </c>
      <c r="I2568" s="30" t="s">
        <v>73</v>
      </c>
      <c r="J2568" s="89" t="s">
        <v>14502</v>
      </c>
      <c r="K2568" s="30" t="s">
        <v>425</v>
      </c>
      <c r="L2568" s="30" t="s">
        <v>14503</v>
      </c>
      <c r="M2568" s="30" t="s">
        <v>63</v>
      </c>
      <c r="N2568" s="30" t="s">
        <v>142</v>
      </c>
      <c r="O2568" s="30" t="s">
        <v>77</v>
      </c>
      <c r="P2568" s="89" t="s">
        <v>91</v>
      </c>
      <c r="Q2568" s="89" t="s">
        <v>4551</v>
      </c>
      <c r="R2568" s="89" t="s">
        <v>3103</v>
      </c>
      <c r="S2568" s="30">
        <v>0</v>
      </c>
      <c r="T2568" s="233">
        <v>0</v>
      </c>
      <c r="U2568" s="30">
        <v>0</v>
      </c>
      <c r="V2568" s="233">
        <v>0</v>
      </c>
      <c r="W2568" s="30">
        <v>0</v>
      </c>
      <c r="X2568" s="30">
        <v>0</v>
      </c>
      <c r="Y2568" s="30">
        <v>0</v>
      </c>
      <c r="Z2568" s="233">
        <v>0</v>
      </c>
      <c r="AA2568" s="30">
        <v>0</v>
      </c>
      <c r="AB2568" s="30">
        <v>0</v>
      </c>
      <c r="AC2568" s="30">
        <v>0</v>
      </c>
      <c r="AD2568" s="30">
        <v>0</v>
      </c>
      <c r="AE2568" s="89" t="s">
        <v>92</v>
      </c>
      <c r="AF2568" s="89"/>
      <c r="AG2568" s="89" t="s">
        <v>133</v>
      </c>
      <c r="AH2568" s="72">
        <v>42959</v>
      </c>
      <c r="AI2568" s="30">
        <v>0</v>
      </c>
      <c r="AJ2568" s="89" t="s">
        <v>14504</v>
      </c>
      <c r="AK2568" s="89" t="s">
        <v>14505</v>
      </c>
      <c r="AL2568" s="91">
        <v>43080</v>
      </c>
      <c r="AM2568" s="91"/>
      <c r="AN2568" s="91"/>
      <c r="AO2568" s="91"/>
      <c r="AP2568" s="73" t="e">
        <f>MID(VLOOKUP(K2568,#REF!,2,FALSE),1,2)</f>
        <v>#REF!</v>
      </c>
      <c r="AQ2568" s="89">
        <f>DATE(2017,12,13)</f>
        <v>43082</v>
      </c>
      <c r="AR2568" s="82">
        <f t="shared" si="206"/>
        <v>13</v>
      </c>
      <c r="AS2568" s="83">
        <f t="shared" si="207"/>
        <v>12</v>
      </c>
      <c r="AT2568" s="84">
        <f t="shared" si="208"/>
        <v>2017</v>
      </c>
      <c r="AU2568" s="88">
        <f>DATE(2017,12,22)</f>
        <v>43091</v>
      </c>
      <c r="AV2568" s="88">
        <f>DATE(2017,12,15)</f>
        <v>43084</v>
      </c>
      <c r="AW2568" s="87">
        <f t="shared" si="210"/>
        <v>7</v>
      </c>
      <c r="AX2568" s="88">
        <f>DATE(2017,12,22)</f>
        <v>43091</v>
      </c>
      <c r="AY2568" s="83">
        <f>MONTH(AX2568)</f>
        <v>12</v>
      </c>
      <c r="AZ2568" s="84">
        <f>YEAR(AX2568)</f>
        <v>2017</v>
      </c>
      <c r="BA2568" s="88">
        <f>DATE(2017,12,12)</f>
        <v>43081</v>
      </c>
      <c r="BB2568" s="86"/>
    </row>
    <row r="2569" spans="1:54" ht="36.75" customHeight="1">
      <c r="A2569" s="30"/>
      <c r="B2569" s="30" t="s">
        <v>55</v>
      </c>
      <c r="C2569" s="69" t="str">
        <f t="shared" si="211"/>
        <v>Closed</v>
      </c>
      <c r="D2569" s="27" t="s">
        <v>14506</v>
      </c>
      <c r="E2569" s="29" t="s">
        <v>14507</v>
      </c>
      <c r="F2569" s="30" t="s">
        <v>1572</v>
      </c>
      <c r="G2569" s="89">
        <f>DATE(2017,12,12)</f>
        <v>43081</v>
      </c>
      <c r="H2569" s="90">
        <v>1.6111111111111112</v>
      </c>
      <c r="I2569" s="30" t="s">
        <v>73</v>
      </c>
      <c r="J2569" s="89" t="s">
        <v>14508</v>
      </c>
      <c r="K2569" s="30" t="s">
        <v>1574</v>
      </c>
      <c r="L2569" s="30" t="s">
        <v>14509</v>
      </c>
      <c r="M2569" s="30" t="s">
        <v>63</v>
      </c>
      <c r="N2569" s="30" t="s">
        <v>142</v>
      </c>
      <c r="O2569" s="30" t="s">
        <v>64</v>
      </c>
      <c r="P2569" s="89" t="s">
        <v>78</v>
      </c>
      <c r="Q2569" s="89" t="s">
        <v>6024</v>
      </c>
      <c r="R2569" s="89" t="s">
        <v>6434</v>
      </c>
      <c r="S2569" s="30">
        <v>0</v>
      </c>
      <c r="T2569" s="233">
        <v>0</v>
      </c>
      <c r="U2569" s="30">
        <v>0</v>
      </c>
      <c r="V2569" s="233">
        <v>0</v>
      </c>
      <c r="W2569" s="30">
        <v>0</v>
      </c>
      <c r="X2569" s="30">
        <v>0</v>
      </c>
      <c r="Y2569" s="30">
        <v>0</v>
      </c>
      <c r="Z2569" s="233">
        <v>0</v>
      </c>
      <c r="AA2569" s="30">
        <v>0</v>
      </c>
      <c r="AB2569" s="30">
        <v>0</v>
      </c>
      <c r="AC2569" s="30">
        <v>0</v>
      </c>
      <c r="AD2569" s="30">
        <v>0</v>
      </c>
      <c r="AE2569" s="89" t="s">
        <v>92</v>
      </c>
      <c r="AF2569" s="89"/>
      <c r="AG2569" s="89" t="s">
        <v>133</v>
      </c>
      <c r="AH2569" s="72">
        <v>43084</v>
      </c>
      <c r="AI2569" s="30">
        <v>0</v>
      </c>
      <c r="AJ2569" s="89" t="s">
        <v>14510</v>
      </c>
      <c r="AK2569" s="89" t="s">
        <v>14511</v>
      </c>
      <c r="AL2569" s="91">
        <v>43091</v>
      </c>
      <c r="AM2569" s="91"/>
      <c r="AN2569" s="91"/>
      <c r="AO2569" s="91"/>
      <c r="AP2569" s="73" t="e">
        <f>MID(VLOOKUP(K2569,#REF!,2,FALSE),1,2)</f>
        <v>#REF!</v>
      </c>
      <c r="AQ2569" s="89">
        <f>DATE(2017,12,13)</f>
        <v>43082</v>
      </c>
      <c r="AR2569" s="82">
        <f t="shared" si="206"/>
        <v>13</v>
      </c>
      <c r="AS2569" s="83">
        <f t="shared" si="207"/>
        <v>12</v>
      </c>
      <c r="AT2569" s="84">
        <f t="shared" si="208"/>
        <v>2017</v>
      </c>
      <c r="AU2569" s="88">
        <f>DATE(2017,12,22)</f>
        <v>43091</v>
      </c>
      <c r="AV2569" s="88">
        <f>DATE(2017,12,15)</f>
        <v>43084</v>
      </c>
      <c r="AW2569" s="87">
        <f t="shared" si="210"/>
        <v>7</v>
      </c>
      <c r="AX2569" s="88">
        <f>DATE(2017,12,22)</f>
        <v>43091</v>
      </c>
      <c r="AY2569" s="83">
        <f>MONTH(AX2569)</f>
        <v>12</v>
      </c>
      <c r="AZ2569" s="84">
        <f>YEAR(AX2569)</f>
        <v>2017</v>
      </c>
      <c r="BA2569" s="88">
        <f>DATE(2017,12,13)</f>
        <v>43082</v>
      </c>
      <c r="BB2569" s="86"/>
    </row>
    <row r="2570" spans="1:54" ht="36.75" customHeight="1">
      <c r="A2570" s="30"/>
      <c r="B2570" s="30" t="s">
        <v>55</v>
      </c>
      <c r="C2570" s="69" t="str">
        <f t="shared" si="211"/>
        <v>Closed</v>
      </c>
      <c r="D2570" s="27" t="s">
        <v>14512</v>
      </c>
      <c r="E2570" s="29" t="s">
        <v>14513</v>
      </c>
      <c r="F2570" s="30" t="s">
        <v>1572</v>
      </c>
      <c r="G2570" s="89">
        <f>DATE(2017,12,13)</f>
        <v>43082</v>
      </c>
      <c r="H2570" s="90">
        <v>1.7013888888888888</v>
      </c>
      <c r="I2570" s="30" t="s">
        <v>73</v>
      </c>
      <c r="J2570" s="89" t="s">
        <v>14514</v>
      </c>
      <c r="K2570" s="30" t="s">
        <v>1574</v>
      </c>
      <c r="L2570" s="30" t="s">
        <v>14515</v>
      </c>
      <c r="M2570" s="30" t="s">
        <v>63</v>
      </c>
      <c r="N2570" s="30" t="s">
        <v>99</v>
      </c>
      <c r="O2570" s="30" t="s">
        <v>64</v>
      </c>
      <c r="P2570" s="89" t="s">
        <v>78</v>
      </c>
      <c r="Q2570" s="89" t="s">
        <v>2655</v>
      </c>
      <c r="R2570" s="89" t="s">
        <v>6434</v>
      </c>
      <c r="S2570" s="30">
        <v>0</v>
      </c>
      <c r="T2570" s="233">
        <v>0</v>
      </c>
      <c r="U2570" s="30">
        <v>0</v>
      </c>
      <c r="V2570" s="233">
        <v>0</v>
      </c>
      <c r="W2570" s="30">
        <v>0</v>
      </c>
      <c r="X2570" s="30">
        <v>0</v>
      </c>
      <c r="Y2570" s="30">
        <v>0</v>
      </c>
      <c r="Z2570" s="233">
        <v>0</v>
      </c>
      <c r="AA2570" s="30">
        <v>0</v>
      </c>
      <c r="AB2570" s="30">
        <v>0</v>
      </c>
      <c r="AC2570" s="30">
        <v>0</v>
      </c>
      <c r="AD2570" s="30">
        <v>0</v>
      </c>
      <c r="AE2570" s="89" t="s">
        <v>92</v>
      </c>
      <c r="AF2570" s="89"/>
      <c r="AG2570" s="89" t="s">
        <v>133</v>
      </c>
      <c r="AH2570" s="72">
        <v>43084</v>
      </c>
      <c r="AI2570" s="30">
        <v>2</v>
      </c>
      <c r="AJ2570" s="89" t="s">
        <v>14516</v>
      </c>
      <c r="AK2570" s="89" t="s">
        <v>14517</v>
      </c>
      <c r="AL2570" s="91">
        <v>43091</v>
      </c>
      <c r="AM2570" s="91"/>
      <c r="AN2570" s="91"/>
      <c r="AO2570" s="91"/>
      <c r="AP2570" s="73" t="e">
        <f>MID(VLOOKUP(K2570,#REF!,2,FALSE),1,2)</f>
        <v>#REF!</v>
      </c>
      <c r="AQ2570" s="89">
        <f>DATE(2017,12,14)</f>
        <v>43083</v>
      </c>
      <c r="AR2570" s="82">
        <f t="shared" si="206"/>
        <v>14</v>
      </c>
      <c r="AS2570" s="83">
        <f t="shared" si="207"/>
        <v>12</v>
      </c>
      <c r="AT2570" s="84">
        <f t="shared" si="208"/>
        <v>2017</v>
      </c>
      <c r="AU2570" s="88">
        <f>DATE(2018,2,12)</f>
        <v>43143</v>
      </c>
      <c r="AV2570" s="88">
        <f>DATE(2017,12,14)</f>
        <v>43083</v>
      </c>
      <c r="AW2570" s="87">
        <f t="shared" si="210"/>
        <v>60</v>
      </c>
      <c r="AX2570" s="86"/>
      <c r="AY2570" s="83"/>
      <c r="AZ2570" s="84"/>
      <c r="BA2570" s="88">
        <f>DATE(2017,12,18)</f>
        <v>43087</v>
      </c>
      <c r="BB2570" s="86" t="s">
        <v>13115</v>
      </c>
    </row>
    <row r="2571" spans="1:54" ht="36.75" customHeight="1">
      <c r="A2571" s="30"/>
      <c r="B2571" s="30" t="s">
        <v>55</v>
      </c>
      <c r="C2571" s="69" t="str">
        <f t="shared" si="211"/>
        <v>Closed</v>
      </c>
      <c r="D2571" s="27" t="s">
        <v>14518</v>
      </c>
      <c r="E2571" s="29" t="s">
        <v>14519</v>
      </c>
      <c r="F2571" s="30" t="s">
        <v>115</v>
      </c>
      <c r="G2571" s="89">
        <f>DATE(2017,12,14)</f>
        <v>43083</v>
      </c>
      <c r="H2571" s="90">
        <v>1.6729166666666666</v>
      </c>
      <c r="I2571" s="30" t="s">
        <v>116</v>
      </c>
      <c r="J2571" s="89" t="s">
        <v>14520</v>
      </c>
      <c r="K2571" s="30" t="s">
        <v>118</v>
      </c>
      <c r="L2571" s="30" t="s">
        <v>14521</v>
      </c>
      <c r="M2571" s="30" t="s">
        <v>63</v>
      </c>
      <c r="N2571" s="30" t="s">
        <v>99</v>
      </c>
      <c r="O2571" s="30" t="s">
        <v>64</v>
      </c>
      <c r="P2571" s="89" t="s">
        <v>165</v>
      </c>
      <c r="Q2571" s="89" t="s">
        <v>120</v>
      </c>
      <c r="R2571" s="89" t="s">
        <v>121</v>
      </c>
      <c r="S2571" s="30">
        <v>0</v>
      </c>
      <c r="T2571" s="233">
        <v>0</v>
      </c>
      <c r="U2571" s="30">
        <v>6</v>
      </c>
      <c r="V2571" s="233">
        <v>0</v>
      </c>
      <c r="W2571" s="30">
        <v>0</v>
      </c>
      <c r="X2571" s="30">
        <v>6</v>
      </c>
      <c r="Y2571" s="30">
        <v>0</v>
      </c>
      <c r="Z2571" s="233">
        <v>0</v>
      </c>
      <c r="AA2571" s="30">
        <v>18</v>
      </c>
      <c r="AB2571" s="30">
        <v>0</v>
      </c>
      <c r="AC2571" s="30">
        <v>0</v>
      </c>
      <c r="AD2571" s="30">
        <v>18</v>
      </c>
      <c r="AE2571" s="89" t="s">
        <v>394</v>
      </c>
      <c r="AF2571" s="89"/>
      <c r="AG2571" s="89" t="s">
        <v>133</v>
      </c>
      <c r="AH2571" s="72">
        <v>43083</v>
      </c>
      <c r="AI2571" s="30">
        <v>5</v>
      </c>
      <c r="AJ2571" s="89" t="s">
        <v>14522</v>
      </c>
      <c r="AK2571" s="89" t="s">
        <v>14523</v>
      </c>
      <c r="AL2571" s="91">
        <v>43143</v>
      </c>
      <c r="AM2571" s="91"/>
      <c r="AN2571" s="91"/>
      <c r="AO2571" s="91"/>
      <c r="AP2571" s="73" t="e">
        <f>MID(VLOOKUP(K2571,#REF!,2,FALSE),1,2)</f>
        <v>#REF!</v>
      </c>
      <c r="AQ2571" s="89">
        <f>DATE(2017,12,15)</f>
        <v>43084</v>
      </c>
      <c r="AR2571" s="82">
        <f t="shared" si="206"/>
        <v>15</v>
      </c>
      <c r="AS2571" s="83">
        <f t="shared" si="207"/>
        <v>12</v>
      </c>
      <c r="AT2571" s="84">
        <f t="shared" si="208"/>
        <v>2017</v>
      </c>
      <c r="AU2571" s="88">
        <f>DATE(2017,12,18)</f>
        <v>43087</v>
      </c>
      <c r="AV2571" s="88">
        <f>DATE(2017,12,15)</f>
        <v>43084</v>
      </c>
      <c r="AW2571" s="87">
        <f t="shared" si="210"/>
        <v>3</v>
      </c>
      <c r="AX2571" s="86"/>
      <c r="AY2571" s="83"/>
      <c r="AZ2571" s="84"/>
      <c r="BA2571" s="86"/>
      <c r="BB2571" s="86" t="s">
        <v>13115</v>
      </c>
    </row>
    <row r="2572" spans="1:54" ht="36.75" customHeight="1">
      <c r="A2572" s="30"/>
      <c r="B2572" s="30" t="s">
        <v>55</v>
      </c>
      <c r="C2572" s="69" t="str">
        <f t="shared" si="211"/>
        <v>Closed</v>
      </c>
      <c r="D2572" s="27" t="s">
        <v>14524</v>
      </c>
      <c r="E2572" s="29" t="s">
        <v>14525</v>
      </c>
      <c r="F2572" s="30" t="s">
        <v>423</v>
      </c>
      <c r="G2572" s="89">
        <f>DATE(2017,12,15)</f>
        <v>43084</v>
      </c>
      <c r="H2572" s="90">
        <v>1.4631944444444445</v>
      </c>
      <c r="I2572" s="30" t="s">
        <v>104</v>
      </c>
      <c r="J2572" s="89" t="s">
        <v>14526</v>
      </c>
      <c r="K2572" s="30" t="s">
        <v>425</v>
      </c>
      <c r="L2572" s="30" t="s">
        <v>12719</v>
      </c>
      <c r="M2572" s="30" t="s">
        <v>63</v>
      </c>
      <c r="N2572" s="30" t="s">
        <v>142</v>
      </c>
      <c r="O2572" s="30" t="s">
        <v>77</v>
      </c>
      <c r="P2572" s="89" t="s">
        <v>8448</v>
      </c>
      <c r="Q2572" s="89" t="s">
        <v>4551</v>
      </c>
      <c r="R2572" s="89" t="s">
        <v>3103</v>
      </c>
      <c r="S2572" s="30">
        <v>0</v>
      </c>
      <c r="T2572" s="233">
        <v>0</v>
      </c>
      <c r="U2572" s="30">
        <v>0</v>
      </c>
      <c r="V2572" s="233">
        <v>0</v>
      </c>
      <c r="W2572" s="30">
        <v>0</v>
      </c>
      <c r="X2572" s="30">
        <v>0</v>
      </c>
      <c r="Y2572" s="30">
        <v>0</v>
      </c>
      <c r="Z2572" s="233">
        <v>0</v>
      </c>
      <c r="AA2572" s="30">
        <v>0</v>
      </c>
      <c r="AB2572" s="30">
        <v>0</v>
      </c>
      <c r="AC2572" s="30">
        <v>0</v>
      </c>
      <c r="AD2572" s="30">
        <v>0</v>
      </c>
      <c r="AE2572" s="89" t="s">
        <v>92</v>
      </c>
      <c r="AF2572" s="89"/>
      <c r="AG2572" s="89" t="s">
        <v>352</v>
      </c>
      <c r="AH2572" s="72">
        <v>43084</v>
      </c>
      <c r="AI2572" s="30">
        <v>1</v>
      </c>
      <c r="AJ2572" s="89" t="s">
        <v>14527</v>
      </c>
      <c r="AK2572" s="89" t="s">
        <v>14528</v>
      </c>
      <c r="AL2572" s="91">
        <v>43087</v>
      </c>
      <c r="AM2572" s="91"/>
      <c r="AN2572" s="91"/>
      <c r="AO2572" s="91"/>
      <c r="AP2572" s="73" t="e">
        <f>MID(VLOOKUP(K2572,#REF!,2,FALSE),1,2)</f>
        <v>#REF!</v>
      </c>
      <c r="AQ2572" s="89">
        <f>DATE(2017,12,15)</f>
        <v>43084</v>
      </c>
      <c r="AR2572" s="82">
        <f t="shared" si="206"/>
        <v>15</v>
      </c>
      <c r="AS2572" s="83">
        <f t="shared" si="207"/>
        <v>12</v>
      </c>
      <c r="AT2572" s="84">
        <f t="shared" si="208"/>
        <v>2017</v>
      </c>
      <c r="AU2572" s="88">
        <f>DATE(2017,12,20)</f>
        <v>43089</v>
      </c>
      <c r="AV2572" s="88">
        <f>DATE(2017,12,15)</f>
        <v>43084</v>
      </c>
      <c r="AW2572" s="87">
        <f t="shared" si="210"/>
        <v>5</v>
      </c>
      <c r="AX2572" s="86"/>
      <c r="AY2572" s="83"/>
      <c r="AZ2572" s="84"/>
      <c r="BA2572" s="86"/>
      <c r="BB2572" s="86" t="s">
        <v>13115</v>
      </c>
    </row>
    <row r="2573" spans="1:54" ht="36.75" customHeight="1">
      <c r="A2573" s="30"/>
      <c r="B2573" s="30" t="s">
        <v>55</v>
      </c>
      <c r="C2573" s="69" t="str">
        <f t="shared" si="211"/>
        <v>Closed</v>
      </c>
      <c r="D2573" s="27" t="s">
        <v>14529</v>
      </c>
      <c r="E2573" s="29" t="s">
        <v>14530</v>
      </c>
      <c r="F2573" s="30" t="s">
        <v>423</v>
      </c>
      <c r="G2573" s="89">
        <f>DATE(2017,12,15)</f>
        <v>43084</v>
      </c>
      <c r="H2573" s="90">
        <v>1.3875</v>
      </c>
      <c r="I2573" s="30" t="s">
        <v>156</v>
      </c>
      <c r="J2573" s="89" t="s">
        <v>14531</v>
      </c>
      <c r="K2573" s="30" t="s">
        <v>425</v>
      </c>
      <c r="L2573" s="30" t="s">
        <v>12451</v>
      </c>
      <c r="M2573" s="30" t="s">
        <v>63</v>
      </c>
      <c r="N2573" s="30" t="s">
        <v>142</v>
      </c>
      <c r="O2573" s="30" t="s">
        <v>77</v>
      </c>
      <c r="P2573" s="89" t="s">
        <v>165</v>
      </c>
      <c r="Q2573" s="89" t="s">
        <v>4551</v>
      </c>
      <c r="R2573" s="89" t="s">
        <v>3103</v>
      </c>
      <c r="S2573" s="30">
        <v>0</v>
      </c>
      <c r="T2573" s="233">
        <v>0</v>
      </c>
      <c r="U2573" s="30">
        <v>0</v>
      </c>
      <c r="V2573" s="233">
        <v>0</v>
      </c>
      <c r="W2573" s="30">
        <v>0</v>
      </c>
      <c r="X2573" s="30">
        <v>0</v>
      </c>
      <c r="Y2573" s="30">
        <v>0</v>
      </c>
      <c r="Z2573" s="233">
        <v>0</v>
      </c>
      <c r="AA2573" s="30">
        <v>0</v>
      </c>
      <c r="AB2573" s="30">
        <v>0</v>
      </c>
      <c r="AC2573" s="30">
        <v>0</v>
      </c>
      <c r="AD2573" s="30">
        <v>0</v>
      </c>
      <c r="AE2573" s="89" t="s">
        <v>92</v>
      </c>
      <c r="AF2573" s="89"/>
      <c r="AG2573" s="89" t="s">
        <v>352</v>
      </c>
      <c r="AH2573" s="72">
        <v>43084</v>
      </c>
      <c r="AI2573" s="30">
        <v>0</v>
      </c>
      <c r="AJ2573" s="89" t="s">
        <v>14532</v>
      </c>
      <c r="AK2573" s="89" t="s">
        <v>14533</v>
      </c>
      <c r="AL2573" s="91">
        <v>43089</v>
      </c>
      <c r="AM2573" s="91"/>
      <c r="AN2573" s="91"/>
      <c r="AO2573" s="91"/>
      <c r="AP2573" s="73" t="e">
        <f>MID(VLOOKUP(K2573,#REF!,2,FALSE),1,2)</f>
        <v>#REF!</v>
      </c>
      <c r="AQ2573" s="89">
        <f>DATE(2017,12,15)</f>
        <v>43084</v>
      </c>
      <c r="AR2573" s="82">
        <f t="shared" si="206"/>
        <v>15</v>
      </c>
      <c r="AS2573" s="83">
        <f t="shared" si="207"/>
        <v>12</v>
      </c>
      <c r="AT2573" s="84">
        <f t="shared" si="208"/>
        <v>2017</v>
      </c>
      <c r="AU2573" s="88">
        <f>DATE(2018,1,25)</f>
        <v>43125</v>
      </c>
      <c r="AV2573" s="88">
        <f>DATE(2018,1,15)</f>
        <v>43115</v>
      </c>
      <c r="AW2573" s="87">
        <f t="shared" si="210"/>
        <v>10</v>
      </c>
      <c r="AX2573" s="88">
        <f>DATE(2018,1,25)</f>
        <v>43125</v>
      </c>
      <c r="AY2573" s="83">
        <f>MONTH(AX2573)</f>
        <v>1</v>
      </c>
      <c r="AZ2573" s="84">
        <f>YEAR(AX2573)</f>
        <v>2018</v>
      </c>
      <c r="BA2573" s="86"/>
      <c r="BB2573" s="86"/>
    </row>
    <row r="2574" spans="1:54" ht="36.75" customHeight="1">
      <c r="A2574" s="30"/>
      <c r="B2574" s="30" t="s">
        <v>55</v>
      </c>
      <c r="C2574" s="69" t="str">
        <f t="shared" si="211"/>
        <v>Closed</v>
      </c>
      <c r="D2574" s="27" t="s">
        <v>14534</v>
      </c>
      <c r="E2574" s="29" t="s">
        <v>14535</v>
      </c>
      <c r="F2574" s="30" t="s">
        <v>233</v>
      </c>
      <c r="G2574" s="89">
        <f>DATE(2017,12,15)</f>
        <v>43084</v>
      </c>
      <c r="H2574" s="90">
        <v>1.5618055555555554</v>
      </c>
      <c r="I2574" s="30" t="s">
        <v>278</v>
      </c>
      <c r="J2574" s="89" t="s">
        <v>14536</v>
      </c>
      <c r="K2574" s="30" t="s">
        <v>235</v>
      </c>
      <c r="L2574" s="30" t="s">
        <v>14537</v>
      </c>
      <c r="M2574" s="30" t="s">
        <v>255</v>
      </c>
      <c r="N2574" s="30" t="s">
        <v>99</v>
      </c>
      <c r="O2574" s="30" t="s">
        <v>77</v>
      </c>
      <c r="P2574" s="89" t="s">
        <v>6552</v>
      </c>
      <c r="Q2574" s="89" t="s">
        <v>235</v>
      </c>
      <c r="R2574" s="89" t="s">
        <v>235</v>
      </c>
      <c r="S2574" s="30">
        <v>0</v>
      </c>
      <c r="T2574" s="233">
        <v>0</v>
      </c>
      <c r="U2574" s="30">
        <v>0</v>
      </c>
      <c r="V2574" s="233">
        <v>0</v>
      </c>
      <c r="W2574" s="30">
        <v>0</v>
      </c>
      <c r="X2574" s="30">
        <v>0</v>
      </c>
      <c r="Y2574" s="30">
        <v>0</v>
      </c>
      <c r="Z2574" s="233">
        <v>0</v>
      </c>
      <c r="AA2574" s="30">
        <v>0</v>
      </c>
      <c r="AB2574" s="30">
        <v>0</v>
      </c>
      <c r="AC2574" s="30">
        <v>0</v>
      </c>
      <c r="AD2574" s="30">
        <v>0</v>
      </c>
      <c r="AE2574" s="89" t="s">
        <v>92</v>
      </c>
      <c r="AF2574" s="89"/>
      <c r="AG2574" s="89" t="s">
        <v>133</v>
      </c>
      <c r="AH2574" s="72">
        <v>43115</v>
      </c>
      <c r="AI2574" s="30">
        <v>2</v>
      </c>
      <c r="AJ2574" s="89" t="s">
        <v>14538</v>
      </c>
      <c r="AK2574" s="89" t="s">
        <v>14539</v>
      </c>
      <c r="AL2574" s="91">
        <v>43125</v>
      </c>
      <c r="AM2574" s="91"/>
      <c r="AN2574" s="91"/>
      <c r="AO2574" s="91"/>
      <c r="AP2574" s="73" t="e">
        <f>MID(VLOOKUP(K2574,#REF!,2,FALSE),1,2)</f>
        <v>#REF!</v>
      </c>
      <c r="AQ2574" s="89">
        <f>DATE(2017,12,16)</f>
        <v>43085</v>
      </c>
      <c r="AR2574" s="82">
        <f t="shared" si="206"/>
        <v>16</v>
      </c>
      <c r="AS2574" s="83">
        <f t="shared" si="207"/>
        <v>12</v>
      </c>
      <c r="AT2574" s="84">
        <f t="shared" si="208"/>
        <v>2017</v>
      </c>
      <c r="AU2574" s="88">
        <f>DATE(2017,12,21)</f>
        <v>43090</v>
      </c>
      <c r="AV2574" s="88">
        <f>DATE(2017,12,19)</f>
        <v>43088</v>
      </c>
      <c r="AW2574" s="87">
        <f t="shared" si="210"/>
        <v>2</v>
      </c>
      <c r="AX2574" s="86"/>
      <c r="AY2574" s="83"/>
      <c r="AZ2574" s="84"/>
      <c r="BA2574" s="86"/>
      <c r="BB2574" s="86" t="s">
        <v>13115</v>
      </c>
    </row>
    <row r="2575" spans="1:54" ht="36.75" customHeight="1">
      <c r="A2575" s="30"/>
      <c r="B2575" s="30" t="s">
        <v>55</v>
      </c>
      <c r="C2575" s="69" t="str">
        <f t="shared" si="211"/>
        <v>Closed</v>
      </c>
      <c r="D2575" s="27" t="s">
        <v>14540</v>
      </c>
      <c r="E2575" s="29" t="s">
        <v>14541</v>
      </c>
      <c r="F2575" s="30" t="s">
        <v>124</v>
      </c>
      <c r="G2575" s="89">
        <f>DATE(2017,12,16)</f>
        <v>43085</v>
      </c>
      <c r="H2575" s="90">
        <v>1.9791666666666665</v>
      </c>
      <c r="I2575" s="30" t="s">
        <v>198</v>
      </c>
      <c r="J2575" s="89" t="s">
        <v>14542</v>
      </c>
      <c r="K2575" s="30" t="s">
        <v>127</v>
      </c>
      <c r="L2575" s="30" t="s">
        <v>14543</v>
      </c>
      <c r="M2575" s="30" t="s">
        <v>63</v>
      </c>
      <c r="N2575" s="30" t="s">
        <v>142</v>
      </c>
      <c r="O2575" s="30" t="s">
        <v>77</v>
      </c>
      <c r="P2575" s="89" t="s">
        <v>3430</v>
      </c>
      <c r="Q2575" s="89" t="s">
        <v>401</v>
      </c>
      <c r="R2575" s="89" t="s">
        <v>167</v>
      </c>
      <c r="S2575" s="30">
        <v>0</v>
      </c>
      <c r="T2575" s="233">
        <v>0</v>
      </c>
      <c r="U2575" s="30">
        <v>0</v>
      </c>
      <c r="V2575" s="233">
        <v>0</v>
      </c>
      <c r="W2575" s="30">
        <v>0</v>
      </c>
      <c r="X2575" s="30">
        <v>0</v>
      </c>
      <c r="Y2575" s="30">
        <v>0</v>
      </c>
      <c r="Z2575" s="233">
        <v>0</v>
      </c>
      <c r="AA2575" s="30">
        <v>0</v>
      </c>
      <c r="AB2575" s="30">
        <v>0</v>
      </c>
      <c r="AC2575" s="30">
        <v>0</v>
      </c>
      <c r="AD2575" s="30">
        <v>0</v>
      </c>
      <c r="AE2575" s="89" t="s">
        <v>394</v>
      </c>
      <c r="AF2575" s="89"/>
      <c r="AG2575" s="89" t="s">
        <v>82</v>
      </c>
      <c r="AH2575" s="72">
        <v>43088</v>
      </c>
      <c r="AI2575" s="30">
        <v>1</v>
      </c>
      <c r="AJ2575" s="89" t="s">
        <v>14544</v>
      </c>
      <c r="AK2575" s="89" t="s">
        <v>14545</v>
      </c>
      <c r="AL2575" s="91">
        <v>43090</v>
      </c>
      <c r="AM2575" s="91"/>
      <c r="AN2575" s="91"/>
      <c r="AO2575" s="91"/>
      <c r="AP2575" s="73" t="e">
        <f>MID(VLOOKUP(K2575,#REF!,2,FALSE),1,2)</f>
        <v>#REF!</v>
      </c>
      <c r="AQ2575" s="89">
        <f>DATE(2017,12,19)</f>
        <v>43088</v>
      </c>
      <c r="AR2575" s="82">
        <f t="shared" si="206"/>
        <v>19</v>
      </c>
      <c r="AS2575" s="83">
        <f t="shared" si="207"/>
        <v>12</v>
      </c>
      <c r="AT2575" s="84">
        <f t="shared" si="208"/>
        <v>2017</v>
      </c>
      <c r="AU2575" s="88">
        <f>DATE(2018,2,26)</f>
        <v>43157</v>
      </c>
      <c r="AV2575" s="88">
        <f>DATE(2017,12,19)</f>
        <v>43088</v>
      </c>
      <c r="AW2575" s="87">
        <f t="shared" si="210"/>
        <v>69</v>
      </c>
      <c r="AX2575" s="106"/>
      <c r="AY2575" s="83"/>
      <c r="AZ2575" s="84"/>
      <c r="BA2575" s="106"/>
      <c r="BB2575" s="106"/>
    </row>
    <row r="2576" spans="1:54" ht="36.75" customHeight="1">
      <c r="A2576" s="30"/>
      <c r="B2576" s="30" t="s">
        <v>55</v>
      </c>
      <c r="C2576" s="69" t="str">
        <f t="shared" si="211"/>
        <v>Closed</v>
      </c>
      <c r="D2576" s="27" t="s">
        <v>14546</v>
      </c>
      <c r="E2576" s="29" t="s">
        <v>14547</v>
      </c>
      <c r="F2576" s="30" t="s">
        <v>624</v>
      </c>
      <c r="G2576" s="89">
        <f>DATE(2017,12,19)</f>
        <v>43088</v>
      </c>
      <c r="H2576" s="90">
        <v>0</v>
      </c>
      <c r="I2576" s="30" t="s">
        <v>116</v>
      </c>
      <c r="J2576" s="89" t="s">
        <v>116</v>
      </c>
      <c r="K2576" s="30" t="s">
        <v>626</v>
      </c>
      <c r="L2576" s="30" t="s">
        <v>14548</v>
      </c>
      <c r="M2576" s="30" t="s">
        <v>63</v>
      </c>
      <c r="N2576" s="30" t="s">
        <v>142</v>
      </c>
      <c r="O2576" s="30" t="s">
        <v>64</v>
      </c>
      <c r="P2576" s="89" t="s">
        <v>6902</v>
      </c>
      <c r="Q2576" s="89" t="s">
        <v>7181</v>
      </c>
      <c r="R2576" s="89" t="s">
        <v>629</v>
      </c>
      <c r="S2576" s="30">
        <v>0</v>
      </c>
      <c r="T2576" s="233">
        <v>1</v>
      </c>
      <c r="U2576" s="30">
        <v>0</v>
      </c>
      <c r="V2576" s="233">
        <v>0</v>
      </c>
      <c r="W2576" s="30">
        <v>0</v>
      </c>
      <c r="X2576" s="30">
        <v>1</v>
      </c>
      <c r="Y2576" s="30">
        <v>0</v>
      </c>
      <c r="Z2576" s="233">
        <v>0</v>
      </c>
      <c r="AA2576" s="30">
        <v>0</v>
      </c>
      <c r="AB2576" s="30">
        <v>0</v>
      </c>
      <c r="AC2576" s="30">
        <v>0</v>
      </c>
      <c r="AD2576" s="30">
        <v>0</v>
      </c>
      <c r="AE2576" s="89" t="s">
        <v>92</v>
      </c>
      <c r="AF2576" s="89"/>
      <c r="AG2576" s="89" t="s">
        <v>82</v>
      </c>
      <c r="AH2576" s="72">
        <v>43088</v>
      </c>
      <c r="AI2576" s="30">
        <v>2</v>
      </c>
      <c r="AJ2576" s="89" t="s">
        <v>13146</v>
      </c>
      <c r="AK2576" s="89" t="s">
        <v>68</v>
      </c>
      <c r="AL2576" s="91">
        <v>43157</v>
      </c>
      <c r="AM2576" s="91"/>
      <c r="AN2576" s="91"/>
      <c r="AO2576" s="91"/>
      <c r="AP2576" s="73" t="e">
        <f>MID(VLOOKUP(K2576,#REF!,2,FALSE),1,2)</f>
        <v>#REF!</v>
      </c>
      <c r="AQ2576" s="89">
        <f>DATE(2017,12,21)</f>
        <v>43090</v>
      </c>
      <c r="AR2576" s="82">
        <f t="shared" si="206"/>
        <v>21</v>
      </c>
      <c r="AS2576" s="83">
        <f t="shared" si="207"/>
        <v>12</v>
      </c>
      <c r="AT2576" s="84">
        <f t="shared" si="208"/>
        <v>2017</v>
      </c>
      <c r="AU2576" s="88">
        <f>DATE(2017,12,28)</f>
        <v>43097</v>
      </c>
      <c r="AV2576" s="88">
        <f>DATE(2017,12,27)</f>
        <v>43096</v>
      </c>
      <c r="AW2576" s="87">
        <f t="shared" si="210"/>
        <v>1</v>
      </c>
      <c r="AX2576" s="88">
        <f>DATE(2017,12,27)</f>
        <v>43096</v>
      </c>
      <c r="AY2576" s="83">
        <f>MONTH(AX2576)</f>
        <v>12</v>
      </c>
      <c r="AZ2576" s="84">
        <f>YEAR(AX2576)</f>
        <v>2017</v>
      </c>
      <c r="BA2576" s="88">
        <f>DATE(2017,12,27)</f>
        <v>43096</v>
      </c>
      <c r="BB2576" s="86"/>
    </row>
    <row r="2577" spans="1:54" ht="36.75" customHeight="1">
      <c r="A2577" s="30"/>
      <c r="B2577" s="30" t="s">
        <v>55</v>
      </c>
      <c r="C2577" s="69" t="str">
        <f t="shared" si="211"/>
        <v>Closed</v>
      </c>
      <c r="D2577" s="27" t="s">
        <v>14549</v>
      </c>
      <c r="E2577" s="29" t="s">
        <v>14550</v>
      </c>
      <c r="F2577" s="30" t="s">
        <v>835</v>
      </c>
      <c r="G2577" s="89">
        <f>DATE(2017,12,21)</f>
        <v>43090</v>
      </c>
      <c r="H2577" s="90">
        <v>1.1652777777777779</v>
      </c>
      <c r="I2577" s="30" t="s">
        <v>73</v>
      </c>
      <c r="J2577" s="89" t="s">
        <v>14551</v>
      </c>
      <c r="K2577" s="30" t="s">
        <v>837</v>
      </c>
      <c r="L2577" s="30" t="s">
        <v>12786</v>
      </c>
      <c r="M2577" s="30" t="s">
        <v>63</v>
      </c>
      <c r="N2577" s="30" t="s">
        <v>142</v>
      </c>
      <c r="O2577" s="30" t="s">
        <v>77</v>
      </c>
      <c r="P2577" s="89" t="s">
        <v>78</v>
      </c>
      <c r="Q2577" s="89" t="s">
        <v>7886</v>
      </c>
      <c r="R2577" s="89" t="s">
        <v>840</v>
      </c>
      <c r="S2577" s="30">
        <v>0</v>
      </c>
      <c r="T2577" s="233">
        <v>0</v>
      </c>
      <c r="U2577" s="30">
        <v>0</v>
      </c>
      <c r="V2577" s="233">
        <v>0</v>
      </c>
      <c r="W2577" s="30">
        <v>0</v>
      </c>
      <c r="X2577" s="30">
        <v>0</v>
      </c>
      <c r="Y2577" s="30">
        <v>0</v>
      </c>
      <c r="Z2577" s="233">
        <v>0</v>
      </c>
      <c r="AA2577" s="30">
        <v>0</v>
      </c>
      <c r="AB2577" s="30">
        <v>0</v>
      </c>
      <c r="AC2577" s="30">
        <v>0</v>
      </c>
      <c r="AD2577" s="30">
        <v>0</v>
      </c>
      <c r="AE2577" s="89" t="s">
        <v>92</v>
      </c>
      <c r="AF2577" s="89"/>
      <c r="AG2577" s="89" t="s">
        <v>2083</v>
      </c>
      <c r="AH2577" s="72">
        <v>43096</v>
      </c>
      <c r="AI2577" s="30">
        <v>1</v>
      </c>
      <c r="AJ2577" s="89" t="s">
        <v>14552</v>
      </c>
      <c r="AK2577" s="89" t="s">
        <v>14553</v>
      </c>
      <c r="AL2577" s="91">
        <v>43097</v>
      </c>
      <c r="AM2577" s="91"/>
      <c r="AN2577" s="91"/>
      <c r="AO2577" s="91"/>
      <c r="AP2577" s="73" t="e">
        <f>MID(VLOOKUP(K2577,#REF!,2,FALSE),1,2)</f>
        <v>#REF!</v>
      </c>
      <c r="AQ2577" s="89">
        <f>DATE(2017,12,22)</f>
        <v>43091</v>
      </c>
      <c r="AR2577" s="82">
        <f t="shared" si="206"/>
        <v>22</v>
      </c>
      <c r="AS2577" s="83">
        <f t="shared" si="207"/>
        <v>12</v>
      </c>
      <c r="AT2577" s="84">
        <f t="shared" si="208"/>
        <v>2017</v>
      </c>
      <c r="AU2577" s="88">
        <f>DATE(2018,1,29)</f>
        <v>43129</v>
      </c>
      <c r="AV2577" s="88">
        <f>DATE(2018,1,29)</f>
        <v>43129</v>
      </c>
      <c r="AW2577" s="87">
        <f t="shared" si="210"/>
        <v>0</v>
      </c>
      <c r="AX2577" s="86"/>
      <c r="AY2577" s="83"/>
      <c r="AZ2577" s="84"/>
      <c r="BA2577" s="86"/>
      <c r="BB2577" s="86"/>
    </row>
    <row r="2578" spans="1:54" ht="36.75" customHeight="1">
      <c r="A2578" s="30"/>
      <c r="B2578" s="30" t="s">
        <v>55</v>
      </c>
      <c r="C2578" s="69" t="str">
        <f t="shared" si="211"/>
        <v>Closed</v>
      </c>
      <c r="D2578" s="27" t="s">
        <v>14554</v>
      </c>
      <c r="E2578" s="29" t="s">
        <v>14555</v>
      </c>
      <c r="F2578" s="30" t="s">
        <v>197</v>
      </c>
      <c r="G2578" s="89">
        <f>DATE(2017,12,22)</f>
        <v>43091</v>
      </c>
      <c r="H2578" s="90">
        <v>0</v>
      </c>
      <c r="I2578" s="30" t="s">
        <v>73</v>
      </c>
      <c r="J2578" s="89" t="s">
        <v>14556</v>
      </c>
      <c r="K2578" s="30" t="s">
        <v>200</v>
      </c>
      <c r="L2578" s="30" t="s">
        <v>14557</v>
      </c>
      <c r="M2578" s="30" t="s">
        <v>63</v>
      </c>
      <c r="N2578" s="30" t="s">
        <v>142</v>
      </c>
      <c r="O2578" s="30" t="s">
        <v>64</v>
      </c>
      <c r="P2578" s="89" t="s">
        <v>78</v>
      </c>
      <c r="Q2578" s="89" t="s">
        <v>14558</v>
      </c>
      <c r="R2578" s="89" t="s">
        <v>203</v>
      </c>
      <c r="S2578" s="30">
        <v>0</v>
      </c>
      <c r="T2578" s="233">
        <v>0</v>
      </c>
      <c r="U2578" s="30">
        <v>0</v>
      </c>
      <c r="V2578" s="233">
        <v>0</v>
      </c>
      <c r="W2578" s="30">
        <v>0</v>
      </c>
      <c r="X2578" s="30">
        <v>0</v>
      </c>
      <c r="Y2578" s="30">
        <v>0</v>
      </c>
      <c r="Z2578" s="233">
        <v>0</v>
      </c>
      <c r="AA2578" s="30">
        <v>0</v>
      </c>
      <c r="AB2578" s="30">
        <v>0</v>
      </c>
      <c r="AC2578" s="30">
        <v>0</v>
      </c>
      <c r="AD2578" s="30">
        <v>0</v>
      </c>
      <c r="AE2578" s="89" t="s">
        <v>145</v>
      </c>
      <c r="AF2578" s="89"/>
      <c r="AG2578" s="89" t="s">
        <v>82</v>
      </c>
      <c r="AH2578" s="72">
        <v>43129</v>
      </c>
      <c r="AI2578" s="30">
        <v>0</v>
      </c>
      <c r="AJ2578" s="89" t="s">
        <v>14559</v>
      </c>
      <c r="AK2578" s="89" t="s">
        <v>68</v>
      </c>
      <c r="AL2578" s="91">
        <v>43129</v>
      </c>
      <c r="AM2578" s="91"/>
      <c r="AN2578" s="91"/>
      <c r="AO2578" s="91"/>
      <c r="AP2578" s="73" t="e">
        <f>MID(VLOOKUP(K2578,#REF!,2,FALSE),1,2)</f>
        <v>#REF!</v>
      </c>
      <c r="AQ2578" s="89">
        <f>DATE(2017,12,22)</f>
        <v>43091</v>
      </c>
      <c r="AR2578" s="82">
        <f t="shared" si="206"/>
        <v>22</v>
      </c>
      <c r="AS2578" s="83">
        <f t="shared" si="207"/>
        <v>12</v>
      </c>
      <c r="AT2578" s="84">
        <f t="shared" si="208"/>
        <v>2017</v>
      </c>
      <c r="AU2578" s="88">
        <f>DATE(2018,3,7)</f>
        <v>43166</v>
      </c>
      <c r="AV2578" s="88">
        <f>DATE(2018,3,6)</f>
        <v>43165</v>
      </c>
      <c r="AW2578" s="87">
        <f t="shared" si="210"/>
        <v>1</v>
      </c>
      <c r="AX2578" s="86"/>
      <c r="AY2578" s="83"/>
      <c r="AZ2578" s="84"/>
      <c r="BA2578" s="86"/>
      <c r="BB2578" s="86" t="s">
        <v>13115</v>
      </c>
    </row>
    <row r="2579" spans="1:54" ht="36.75" customHeight="1">
      <c r="A2579" s="30"/>
      <c r="B2579" s="30" t="s">
        <v>55</v>
      </c>
      <c r="C2579" s="69" t="str">
        <f t="shared" si="211"/>
        <v>Closed</v>
      </c>
      <c r="D2579" s="37" t="s">
        <v>14560</v>
      </c>
      <c r="E2579" s="29" t="s">
        <v>14561</v>
      </c>
      <c r="F2579" s="30" t="s">
        <v>12474</v>
      </c>
      <c r="G2579" s="89">
        <f>DATE(2017,12,22)</f>
        <v>43091</v>
      </c>
      <c r="H2579" s="90">
        <v>1.6944444444444446</v>
      </c>
      <c r="I2579" s="30" t="s">
        <v>198</v>
      </c>
      <c r="J2579" s="89" t="s">
        <v>14562</v>
      </c>
      <c r="K2579" s="30" t="s">
        <v>200</v>
      </c>
      <c r="L2579" s="30" t="s">
        <v>14563</v>
      </c>
      <c r="M2579" s="30" t="s">
        <v>63</v>
      </c>
      <c r="N2579" s="30" t="s">
        <v>142</v>
      </c>
      <c r="O2579" s="30" t="s">
        <v>77</v>
      </c>
      <c r="P2579" s="89" t="s">
        <v>165</v>
      </c>
      <c r="Q2579" s="89" t="s">
        <v>14564</v>
      </c>
      <c r="R2579" s="89" t="s">
        <v>13578</v>
      </c>
      <c r="S2579" s="30">
        <v>0</v>
      </c>
      <c r="T2579" s="233">
        <v>0</v>
      </c>
      <c r="U2579" s="30">
        <v>0</v>
      </c>
      <c r="V2579" s="233">
        <v>0</v>
      </c>
      <c r="W2579" s="30">
        <v>0</v>
      </c>
      <c r="X2579" s="30">
        <v>0</v>
      </c>
      <c r="Y2579" s="30">
        <v>4</v>
      </c>
      <c r="Z2579" s="233">
        <v>0</v>
      </c>
      <c r="AA2579" s="30">
        <v>0</v>
      </c>
      <c r="AB2579" s="30">
        <v>0</v>
      </c>
      <c r="AC2579" s="30">
        <v>0</v>
      </c>
      <c r="AD2579" s="30">
        <v>4</v>
      </c>
      <c r="AE2579" s="89" t="s">
        <v>145</v>
      </c>
      <c r="AF2579" s="89" t="s">
        <v>14032</v>
      </c>
      <c r="AG2579" s="89" t="s">
        <v>14033</v>
      </c>
      <c r="AH2579" s="72">
        <v>43164</v>
      </c>
      <c r="AI2579" s="30">
        <v>2</v>
      </c>
      <c r="AJ2579" s="89" t="s">
        <v>14565</v>
      </c>
      <c r="AK2579" s="89" t="s">
        <v>14566</v>
      </c>
      <c r="AL2579" s="91">
        <v>43166</v>
      </c>
      <c r="AM2579" s="91"/>
      <c r="AN2579" s="91">
        <v>45322</v>
      </c>
      <c r="AO2579" s="70">
        <v>45280</v>
      </c>
      <c r="AP2579" s="73" t="e">
        <f>MID(VLOOKUP(K2579,#REF!,2,FALSE),1,2)</f>
        <v>#REF!</v>
      </c>
      <c r="AQ2579" s="89">
        <f>DATE(2017,12,23)</f>
        <v>43092</v>
      </c>
      <c r="AR2579" s="82">
        <f t="shared" ref="AR2579:AR2610" si="212">DAY(AQ2579)</f>
        <v>23</v>
      </c>
      <c r="AS2579" s="83">
        <f t="shared" ref="AS2579:AS2611" si="213">MONTH(AQ2579)</f>
        <v>12</v>
      </c>
      <c r="AT2579" s="84">
        <f t="shared" ref="AT2579:AT2611" si="214">YEAR(AQ2579)</f>
        <v>2017</v>
      </c>
      <c r="AU2579" s="88">
        <f>DATE(2018,12,28)</f>
        <v>43462</v>
      </c>
      <c r="AV2579" s="88">
        <f>DATE(2018,12,25)</f>
        <v>43459</v>
      </c>
      <c r="AW2579" s="87">
        <f t="shared" si="210"/>
        <v>3</v>
      </c>
      <c r="AX2579" s="86"/>
      <c r="AY2579" s="83"/>
      <c r="AZ2579" s="84"/>
      <c r="BA2579" s="86"/>
      <c r="BB2579" s="86" t="s">
        <v>13115</v>
      </c>
    </row>
    <row r="2580" spans="1:54" ht="36.75" customHeight="1">
      <c r="A2580" s="30"/>
      <c r="B2580" s="30" t="s">
        <v>55</v>
      </c>
      <c r="C2580" s="69" t="str">
        <f t="shared" si="211"/>
        <v>Closed</v>
      </c>
      <c r="D2580" s="27" t="s">
        <v>14567</v>
      </c>
      <c r="E2580" s="29" t="s">
        <v>14568</v>
      </c>
      <c r="F2580" s="30" t="s">
        <v>423</v>
      </c>
      <c r="G2580" s="89">
        <f>DATE(2017,12,23)</f>
        <v>43092</v>
      </c>
      <c r="H2580" s="90">
        <v>1.6187499999999999</v>
      </c>
      <c r="I2580" s="30" t="s">
        <v>278</v>
      </c>
      <c r="J2580" s="89" t="s">
        <v>14569</v>
      </c>
      <c r="K2580" s="30" t="s">
        <v>425</v>
      </c>
      <c r="L2580" s="30" t="s">
        <v>14570</v>
      </c>
      <c r="M2580" s="30" t="s">
        <v>63</v>
      </c>
      <c r="N2580" s="30" t="s">
        <v>142</v>
      </c>
      <c r="O2580" s="30" t="s">
        <v>77</v>
      </c>
      <c r="P2580" s="89" t="s">
        <v>65</v>
      </c>
      <c r="Q2580" s="89" t="s">
        <v>4551</v>
      </c>
      <c r="R2580" s="89" t="s">
        <v>3103</v>
      </c>
      <c r="S2580" s="30">
        <v>1</v>
      </c>
      <c r="T2580" s="233">
        <v>0</v>
      </c>
      <c r="U2580" s="30">
        <v>0</v>
      </c>
      <c r="V2580" s="233">
        <v>0</v>
      </c>
      <c r="W2580" s="30">
        <v>0</v>
      </c>
      <c r="X2580" s="30">
        <v>1</v>
      </c>
      <c r="Y2580" s="30">
        <v>0</v>
      </c>
      <c r="Z2580" s="233">
        <v>0</v>
      </c>
      <c r="AA2580" s="30">
        <v>0</v>
      </c>
      <c r="AB2580" s="30">
        <v>0</v>
      </c>
      <c r="AC2580" s="30">
        <v>0</v>
      </c>
      <c r="AD2580" s="30">
        <v>0</v>
      </c>
      <c r="AE2580" s="89" t="s">
        <v>92</v>
      </c>
      <c r="AF2580" s="89"/>
      <c r="AG2580" s="89" t="s">
        <v>133</v>
      </c>
      <c r="AH2580" s="72">
        <v>43094</v>
      </c>
      <c r="AI2580" s="30">
        <v>0</v>
      </c>
      <c r="AJ2580" s="89" t="s">
        <v>14571</v>
      </c>
      <c r="AK2580" s="89" t="s">
        <v>14572</v>
      </c>
      <c r="AL2580" s="91">
        <v>43097</v>
      </c>
      <c r="AM2580" s="91"/>
      <c r="AN2580" s="91"/>
      <c r="AO2580" s="91"/>
      <c r="AP2580" s="73" t="e">
        <f>MID(VLOOKUP(K2580,#REF!,2,FALSE),1,2)</f>
        <v>#REF!</v>
      </c>
      <c r="AQ2580" s="89">
        <f>DATE(2018,1,1)</f>
        <v>43101</v>
      </c>
      <c r="AR2580" s="82">
        <f t="shared" si="212"/>
        <v>1</v>
      </c>
      <c r="AS2580" s="84">
        <f t="shared" si="213"/>
        <v>1</v>
      </c>
      <c r="AT2580" s="104">
        <f t="shared" si="214"/>
        <v>2018</v>
      </c>
      <c r="AU2580" s="86"/>
      <c r="AV2580" s="87"/>
      <c r="AW2580" s="86"/>
      <c r="AX2580" s="82"/>
      <c r="AY2580" s="84"/>
      <c r="AZ2580" s="104"/>
      <c r="BA2580" s="86"/>
      <c r="BB2580" s="86"/>
    </row>
    <row r="2581" spans="1:54" ht="36.75" customHeight="1">
      <c r="A2581" s="30"/>
      <c r="B2581" s="30" t="s">
        <v>55</v>
      </c>
      <c r="C2581" s="69" t="str">
        <f t="shared" si="211"/>
        <v>Closed</v>
      </c>
      <c r="D2581" s="27" t="s">
        <v>14573</v>
      </c>
      <c r="E2581" s="29" t="s">
        <v>14574</v>
      </c>
      <c r="F2581" s="30" t="s">
        <v>835</v>
      </c>
      <c r="G2581" s="89">
        <f>DATE(2018,1,1)</f>
        <v>43101</v>
      </c>
      <c r="H2581" s="90">
        <v>1.4375</v>
      </c>
      <c r="I2581" s="30" t="s">
        <v>156</v>
      </c>
      <c r="J2581" s="89" t="s">
        <v>14575</v>
      </c>
      <c r="K2581" s="30" t="s">
        <v>837</v>
      </c>
      <c r="L2581" s="30" t="s">
        <v>7925</v>
      </c>
      <c r="M2581" s="30" t="s">
        <v>63</v>
      </c>
      <c r="N2581" s="30" t="s">
        <v>142</v>
      </c>
      <c r="O2581" s="30" t="s">
        <v>64</v>
      </c>
      <c r="P2581" s="89" t="s">
        <v>65</v>
      </c>
      <c r="Q2581" s="89" t="s">
        <v>3061</v>
      </c>
      <c r="R2581" s="89" t="s">
        <v>840</v>
      </c>
      <c r="S2581" s="30">
        <v>0</v>
      </c>
      <c r="T2581" s="233">
        <v>0</v>
      </c>
      <c r="U2581" s="30">
        <v>0</v>
      </c>
      <c r="V2581" s="233">
        <v>0</v>
      </c>
      <c r="W2581" s="30">
        <v>0</v>
      </c>
      <c r="X2581" s="30">
        <v>0</v>
      </c>
      <c r="Y2581" s="30">
        <v>0</v>
      </c>
      <c r="Z2581" s="233">
        <v>0</v>
      </c>
      <c r="AA2581" s="30">
        <v>0</v>
      </c>
      <c r="AB2581" s="30">
        <v>0</v>
      </c>
      <c r="AC2581" s="30">
        <v>0</v>
      </c>
      <c r="AD2581" s="30">
        <v>0</v>
      </c>
      <c r="AE2581" s="89" t="s">
        <v>92</v>
      </c>
      <c r="AF2581" s="89"/>
      <c r="AG2581" s="89" t="s">
        <v>352</v>
      </c>
      <c r="AH2581" s="72">
        <v>43103</v>
      </c>
      <c r="AI2581" s="30">
        <v>0</v>
      </c>
      <c r="AJ2581" s="89" t="s">
        <v>14576</v>
      </c>
      <c r="AK2581" s="89" t="s">
        <v>14577</v>
      </c>
      <c r="AL2581" s="91">
        <v>43454</v>
      </c>
      <c r="AM2581" s="91"/>
      <c r="AN2581" s="91"/>
      <c r="AO2581" s="91"/>
      <c r="AP2581" s="73" t="e">
        <f>MID(VLOOKUP(K2581,#REF!,2,FALSE),1,2)</f>
        <v>#REF!</v>
      </c>
      <c r="AQ2581" s="89">
        <f>DATE(2018,1,1)</f>
        <v>43101</v>
      </c>
      <c r="AR2581" s="82">
        <f t="shared" si="212"/>
        <v>1</v>
      </c>
      <c r="AS2581" s="83">
        <f t="shared" si="213"/>
        <v>1</v>
      </c>
      <c r="AT2581" s="84">
        <f t="shared" si="214"/>
        <v>2018</v>
      </c>
      <c r="AU2581" s="88">
        <f>DATE(2018,1,3)</f>
        <v>43103</v>
      </c>
      <c r="AV2581" s="88">
        <f>DATE(2018,1,3)</f>
        <v>43103</v>
      </c>
      <c r="AW2581" s="87">
        <f>AU2581-AV2581</f>
        <v>0</v>
      </c>
      <c r="AX2581" s="88">
        <f>DATE(2018,1,3)</f>
        <v>43103</v>
      </c>
      <c r="AY2581" s="83">
        <f>MONTH(AX2581)</f>
        <v>1</v>
      </c>
      <c r="AZ2581" s="84">
        <f>YEAR(AX2581)</f>
        <v>2018</v>
      </c>
      <c r="BA2581" s="88">
        <f>DATE(2018,1,1)</f>
        <v>43101</v>
      </c>
      <c r="BB2581" s="86"/>
    </row>
    <row r="2582" spans="1:54" ht="36.75" customHeight="1">
      <c r="A2582" s="30"/>
      <c r="B2582" s="30" t="s">
        <v>55</v>
      </c>
      <c r="C2582" s="69" t="str">
        <f t="shared" si="211"/>
        <v>Closed</v>
      </c>
      <c r="D2582" s="27" t="s">
        <v>14578</v>
      </c>
      <c r="E2582" s="29" t="s">
        <v>14579</v>
      </c>
      <c r="F2582" s="30" t="s">
        <v>1572</v>
      </c>
      <c r="G2582" s="89">
        <f>DATE(2018,1,1)</f>
        <v>43101</v>
      </c>
      <c r="H2582" s="90">
        <v>1.2680555555555555</v>
      </c>
      <c r="I2582" s="30" t="s">
        <v>73</v>
      </c>
      <c r="J2582" s="89" t="s">
        <v>14580</v>
      </c>
      <c r="K2582" s="30" t="s">
        <v>1574</v>
      </c>
      <c r="L2582" s="30" t="s">
        <v>9074</v>
      </c>
      <c r="M2582" s="30" t="s">
        <v>63</v>
      </c>
      <c r="N2582" s="30" t="s">
        <v>142</v>
      </c>
      <c r="O2582" s="30" t="s">
        <v>77</v>
      </c>
      <c r="P2582" s="89" t="s">
        <v>6941</v>
      </c>
      <c r="Q2582" s="89" t="s">
        <v>2413</v>
      </c>
      <c r="R2582" s="89" t="s">
        <v>6434</v>
      </c>
      <c r="S2582" s="30">
        <v>0</v>
      </c>
      <c r="T2582" s="233">
        <v>0</v>
      </c>
      <c r="U2582" s="30">
        <v>0</v>
      </c>
      <c r="V2582" s="233">
        <v>0</v>
      </c>
      <c r="W2582" s="30">
        <v>0</v>
      </c>
      <c r="X2582" s="30">
        <v>0</v>
      </c>
      <c r="Y2582" s="30">
        <v>0</v>
      </c>
      <c r="Z2582" s="233">
        <v>0</v>
      </c>
      <c r="AA2582" s="30">
        <v>0</v>
      </c>
      <c r="AB2582" s="30">
        <v>0</v>
      </c>
      <c r="AC2582" s="30">
        <v>0</v>
      </c>
      <c r="AD2582" s="30">
        <v>0</v>
      </c>
      <c r="AE2582" s="89" t="s">
        <v>92</v>
      </c>
      <c r="AF2582" s="89"/>
      <c r="AG2582" s="89" t="s">
        <v>133</v>
      </c>
      <c r="AH2582" s="72">
        <v>43103</v>
      </c>
      <c r="AI2582" s="30">
        <v>2</v>
      </c>
      <c r="AJ2582" s="89" t="s">
        <v>14581</v>
      </c>
      <c r="AK2582" s="89" t="s">
        <v>14582</v>
      </c>
      <c r="AL2582" s="91">
        <v>43103</v>
      </c>
      <c r="AM2582" s="91"/>
      <c r="AN2582" s="91"/>
      <c r="AO2582" s="91"/>
      <c r="AP2582" s="73" t="e">
        <f>MID(VLOOKUP(K2582,#REF!,2,FALSE),1,2)</f>
        <v>#REF!</v>
      </c>
      <c r="AQ2582" s="89">
        <f>DATE(2018,1,3)</f>
        <v>43103</v>
      </c>
      <c r="AR2582" s="82">
        <f t="shared" si="212"/>
        <v>3</v>
      </c>
      <c r="AS2582" s="83">
        <f t="shared" si="213"/>
        <v>1</v>
      </c>
      <c r="AT2582" s="84">
        <f t="shared" si="214"/>
        <v>2018</v>
      </c>
      <c r="AU2582" s="86"/>
      <c r="AV2582" s="86"/>
      <c r="AW2582" s="87"/>
      <c r="AX2582" s="86"/>
      <c r="AY2582" s="83"/>
      <c r="AZ2582" s="84"/>
      <c r="BA2582" s="86"/>
      <c r="BB2582" s="86"/>
    </row>
    <row r="2583" spans="1:54" ht="36.75" customHeight="1">
      <c r="A2583" s="30"/>
      <c r="B2583" s="30" t="s">
        <v>55</v>
      </c>
      <c r="C2583" s="69" t="str">
        <f t="shared" si="211"/>
        <v>Closed</v>
      </c>
      <c r="D2583" s="27" t="s">
        <v>14583</v>
      </c>
      <c r="E2583" s="29" t="s">
        <v>14584</v>
      </c>
      <c r="F2583" s="30" t="s">
        <v>138</v>
      </c>
      <c r="G2583" s="89">
        <f>DATE(2018,1,3)</f>
        <v>43103</v>
      </c>
      <c r="H2583" s="90">
        <v>1.2659722222222223</v>
      </c>
      <c r="I2583" s="30" t="s">
        <v>278</v>
      </c>
      <c r="J2583" s="89" t="s">
        <v>14585</v>
      </c>
      <c r="K2583" s="30" t="s">
        <v>140</v>
      </c>
      <c r="L2583" s="30" t="s">
        <v>14586</v>
      </c>
      <c r="M2583" s="30" t="s">
        <v>63</v>
      </c>
      <c r="N2583" s="30" t="s">
        <v>99</v>
      </c>
      <c r="O2583" s="30" t="s">
        <v>64</v>
      </c>
      <c r="P2583" s="89" t="s">
        <v>91</v>
      </c>
      <c r="Q2583" s="89" t="s">
        <v>143</v>
      </c>
      <c r="R2583" s="89" t="s">
        <v>4934</v>
      </c>
      <c r="S2583" s="30">
        <v>0</v>
      </c>
      <c r="T2583" s="233">
        <v>1</v>
      </c>
      <c r="U2583" s="30">
        <v>0</v>
      </c>
      <c r="V2583" s="233">
        <v>0</v>
      </c>
      <c r="W2583" s="30">
        <v>0</v>
      </c>
      <c r="X2583" s="30">
        <v>1</v>
      </c>
      <c r="Y2583" s="30">
        <v>0</v>
      </c>
      <c r="Z2583" s="233">
        <v>0</v>
      </c>
      <c r="AA2583" s="30">
        <v>0</v>
      </c>
      <c r="AB2583" s="30">
        <v>0</v>
      </c>
      <c r="AC2583" s="30">
        <v>0</v>
      </c>
      <c r="AD2583" s="30">
        <v>0</v>
      </c>
      <c r="AE2583" s="89" t="s">
        <v>92</v>
      </c>
      <c r="AF2583" s="89"/>
      <c r="AG2583" s="89" t="s">
        <v>82</v>
      </c>
      <c r="AH2583" s="72">
        <v>43104</v>
      </c>
      <c r="AI2583" s="30">
        <v>3</v>
      </c>
      <c r="AJ2583" s="89" t="s">
        <v>14587</v>
      </c>
      <c r="AK2583" s="89" t="s">
        <v>14588</v>
      </c>
      <c r="AL2583" s="91">
        <v>43501</v>
      </c>
      <c r="AM2583" s="91"/>
      <c r="AN2583" s="91"/>
      <c r="AO2583" s="91"/>
      <c r="AP2583" s="73" t="e">
        <f>MID(VLOOKUP(K2583,#REF!,2,FALSE),1,2)</f>
        <v>#REF!</v>
      </c>
      <c r="AQ2583" s="89">
        <f>DATE(2018,1,4)</f>
        <v>43104</v>
      </c>
      <c r="AR2583" s="82">
        <f t="shared" si="212"/>
        <v>4</v>
      </c>
      <c r="AS2583" s="83">
        <f t="shared" si="213"/>
        <v>1</v>
      </c>
      <c r="AT2583" s="84">
        <f t="shared" si="214"/>
        <v>2018</v>
      </c>
      <c r="AU2583" s="88">
        <f>DATE(2018,1,9)</f>
        <v>43109</v>
      </c>
      <c r="AV2583" s="88">
        <f>DATE(2018,1,4)</f>
        <v>43104</v>
      </c>
      <c r="AW2583" s="87">
        <f t="shared" ref="AW2583:AW2598" si="215">AU2583-AV2583</f>
        <v>5</v>
      </c>
      <c r="AX2583" s="106"/>
      <c r="AY2583" s="83"/>
      <c r="AZ2583" s="84"/>
      <c r="BA2583" s="106"/>
      <c r="BB2583" s="106"/>
    </row>
    <row r="2584" spans="1:54" ht="36.75" customHeight="1">
      <c r="A2584" s="30"/>
      <c r="B2584" s="30" t="s">
        <v>55</v>
      </c>
      <c r="C2584" s="69" t="str">
        <f t="shared" si="211"/>
        <v>Closed</v>
      </c>
      <c r="D2584" s="27" t="s">
        <v>14589</v>
      </c>
      <c r="E2584" s="29" t="s">
        <v>14590</v>
      </c>
      <c r="F2584" s="30" t="s">
        <v>423</v>
      </c>
      <c r="G2584" s="89">
        <f>DATE(2018,1,4)</f>
        <v>43104</v>
      </c>
      <c r="H2584" s="90">
        <v>1.5249999999999999</v>
      </c>
      <c r="I2584" s="30" t="s">
        <v>116</v>
      </c>
      <c r="J2584" s="89" t="s">
        <v>14591</v>
      </c>
      <c r="K2584" s="30" t="s">
        <v>425</v>
      </c>
      <c r="L2584" s="30" t="s">
        <v>14592</v>
      </c>
      <c r="M2584" s="30" t="s">
        <v>63</v>
      </c>
      <c r="N2584" s="30" t="s">
        <v>99</v>
      </c>
      <c r="O2584" s="30" t="s">
        <v>64</v>
      </c>
      <c r="P2584" s="89" t="s">
        <v>165</v>
      </c>
      <c r="Q2584" s="89" t="s">
        <v>4551</v>
      </c>
      <c r="R2584" s="89" t="s">
        <v>3103</v>
      </c>
      <c r="S2584" s="30">
        <v>0</v>
      </c>
      <c r="T2584" s="233">
        <v>0</v>
      </c>
      <c r="U2584" s="30">
        <v>1</v>
      </c>
      <c r="V2584" s="233">
        <v>0</v>
      </c>
      <c r="W2584" s="30">
        <v>0</v>
      </c>
      <c r="X2584" s="30">
        <v>1</v>
      </c>
      <c r="Y2584" s="30">
        <v>0</v>
      </c>
      <c r="Z2584" s="233">
        <v>0</v>
      </c>
      <c r="AA2584" s="30">
        <v>0</v>
      </c>
      <c r="AB2584" s="30">
        <v>0</v>
      </c>
      <c r="AC2584" s="30">
        <v>0</v>
      </c>
      <c r="AD2584" s="30">
        <v>0</v>
      </c>
      <c r="AE2584" s="89" t="s">
        <v>92</v>
      </c>
      <c r="AF2584" s="89"/>
      <c r="AG2584" s="89" t="s">
        <v>874</v>
      </c>
      <c r="AH2584" s="72">
        <v>43191</v>
      </c>
      <c r="AI2584" s="30">
        <v>1</v>
      </c>
      <c r="AJ2584" s="89" t="s">
        <v>11986</v>
      </c>
      <c r="AK2584" s="89" t="s">
        <v>14129</v>
      </c>
      <c r="AL2584" s="91">
        <v>43109</v>
      </c>
      <c r="AM2584" s="91"/>
      <c r="AN2584" s="91"/>
      <c r="AO2584" s="91"/>
      <c r="AP2584" s="73" t="e">
        <f>MID(VLOOKUP(K2584,#REF!,2,FALSE),1,2)</f>
        <v>#REF!</v>
      </c>
      <c r="AQ2584" s="89">
        <f>DATE(2018,1,6)</f>
        <v>43106</v>
      </c>
      <c r="AR2584" s="82">
        <f t="shared" si="212"/>
        <v>6</v>
      </c>
      <c r="AS2584" s="83">
        <f t="shared" si="213"/>
        <v>1</v>
      </c>
      <c r="AT2584" s="84">
        <f t="shared" si="214"/>
        <v>2018</v>
      </c>
      <c r="AU2584" s="88">
        <f>DATE(2018,1,9)</f>
        <v>43109</v>
      </c>
      <c r="AV2584" s="88">
        <f>DATE(2018,1,6)</f>
        <v>43106</v>
      </c>
      <c r="AW2584" s="87">
        <f t="shared" si="215"/>
        <v>3</v>
      </c>
      <c r="AX2584" s="86"/>
      <c r="AY2584" s="83"/>
      <c r="AZ2584" s="84"/>
      <c r="BA2584" s="86"/>
      <c r="BB2584" s="86"/>
    </row>
    <row r="2585" spans="1:54" ht="36.75" customHeight="1">
      <c r="A2585" s="30"/>
      <c r="B2585" s="30" t="s">
        <v>55</v>
      </c>
      <c r="C2585" s="69" t="str">
        <f t="shared" si="211"/>
        <v>Closed</v>
      </c>
      <c r="D2585" s="27" t="s">
        <v>14593</v>
      </c>
      <c r="E2585" s="29" t="s">
        <v>14594</v>
      </c>
      <c r="F2585" s="30" t="s">
        <v>423</v>
      </c>
      <c r="G2585" s="89">
        <f>DATE(2018,1,6)</f>
        <v>43106</v>
      </c>
      <c r="H2585" s="90">
        <v>1.0027777777777778</v>
      </c>
      <c r="I2585" s="30" t="s">
        <v>198</v>
      </c>
      <c r="J2585" s="89" t="s">
        <v>14595</v>
      </c>
      <c r="K2585" s="30" t="s">
        <v>425</v>
      </c>
      <c r="L2585" s="30" t="s">
        <v>14596</v>
      </c>
      <c r="M2585" s="30" t="s">
        <v>63</v>
      </c>
      <c r="N2585" s="30" t="s">
        <v>142</v>
      </c>
      <c r="O2585" s="30" t="s">
        <v>77</v>
      </c>
      <c r="P2585" s="89" t="s">
        <v>9806</v>
      </c>
      <c r="Q2585" s="89" t="s">
        <v>4551</v>
      </c>
      <c r="R2585" s="89" t="s">
        <v>3103</v>
      </c>
      <c r="S2585" s="30">
        <v>0</v>
      </c>
      <c r="T2585" s="233">
        <v>0</v>
      </c>
      <c r="U2585" s="30">
        <v>0</v>
      </c>
      <c r="V2585" s="233">
        <v>0</v>
      </c>
      <c r="W2585" s="30">
        <v>0</v>
      </c>
      <c r="X2585" s="30">
        <v>0</v>
      </c>
      <c r="Y2585" s="30">
        <v>0</v>
      </c>
      <c r="Z2585" s="233">
        <v>0</v>
      </c>
      <c r="AA2585" s="30">
        <v>0</v>
      </c>
      <c r="AB2585" s="30">
        <v>0</v>
      </c>
      <c r="AC2585" s="30">
        <v>0</v>
      </c>
      <c r="AD2585" s="30">
        <v>0</v>
      </c>
      <c r="AE2585" s="89" t="s">
        <v>394</v>
      </c>
      <c r="AF2585" s="89"/>
      <c r="AG2585" s="89" t="s">
        <v>133</v>
      </c>
      <c r="AH2585" s="72">
        <v>43252</v>
      </c>
      <c r="AI2585" s="30">
        <v>1</v>
      </c>
      <c r="AJ2585" s="89" t="s">
        <v>14597</v>
      </c>
      <c r="AK2585" s="89" t="s">
        <v>14598</v>
      </c>
      <c r="AL2585" s="91">
        <v>43109</v>
      </c>
      <c r="AM2585" s="91"/>
      <c r="AN2585" s="91"/>
      <c r="AO2585" s="91"/>
      <c r="AP2585" s="73" t="e">
        <f>MID(VLOOKUP(K2585,#REF!,2,FALSE),1,2)</f>
        <v>#REF!</v>
      </c>
      <c r="AQ2585" s="89">
        <f>DATE(2018,1,6)</f>
        <v>43106</v>
      </c>
      <c r="AR2585" s="82">
        <f t="shared" si="212"/>
        <v>6</v>
      </c>
      <c r="AS2585" s="83">
        <f t="shared" si="213"/>
        <v>1</v>
      </c>
      <c r="AT2585" s="84">
        <f t="shared" si="214"/>
        <v>2018</v>
      </c>
      <c r="AU2585" s="88">
        <f>DATE(2018,1,10)</f>
        <v>43110</v>
      </c>
      <c r="AV2585" s="88">
        <f>DATE(2018,1,6)</f>
        <v>43106</v>
      </c>
      <c r="AW2585" s="87">
        <f t="shared" si="215"/>
        <v>4</v>
      </c>
      <c r="AX2585" s="106"/>
      <c r="AY2585" s="83"/>
      <c r="AZ2585" s="84"/>
      <c r="BA2585" s="106"/>
      <c r="BB2585" s="106"/>
    </row>
    <row r="2586" spans="1:54" ht="36.75" customHeight="1">
      <c r="A2586" s="30"/>
      <c r="B2586" s="30" t="s">
        <v>55</v>
      </c>
      <c r="C2586" s="69" t="str">
        <f t="shared" si="211"/>
        <v>Closed</v>
      </c>
      <c r="D2586" s="27" t="s">
        <v>14599</v>
      </c>
      <c r="E2586" s="29" t="s">
        <v>14600</v>
      </c>
      <c r="F2586" s="30" t="s">
        <v>423</v>
      </c>
      <c r="G2586" s="89">
        <f>DATE(2018,1,6)</f>
        <v>43106</v>
      </c>
      <c r="H2586" s="90">
        <v>1.3368055555555556</v>
      </c>
      <c r="I2586" s="30" t="s">
        <v>278</v>
      </c>
      <c r="J2586" s="89" t="s">
        <v>14601</v>
      </c>
      <c r="K2586" s="30" t="s">
        <v>425</v>
      </c>
      <c r="L2586" s="30" t="s">
        <v>14602</v>
      </c>
      <c r="M2586" s="30" t="s">
        <v>255</v>
      </c>
      <c r="N2586" s="30" t="s">
        <v>142</v>
      </c>
      <c r="O2586" s="30" t="s">
        <v>77</v>
      </c>
      <c r="P2586" s="89" t="s">
        <v>6552</v>
      </c>
      <c r="Q2586" s="89" t="s">
        <v>1343</v>
      </c>
      <c r="R2586" s="89" t="s">
        <v>1343</v>
      </c>
      <c r="S2586" s="30">
        <v>0</v>
      </c>
      <c r="T2586" s="233">
        <v>0</v>
      </c>
      <c r="U2586" s="30">
        <v>0</v>
      </c>
      <c r="V2586" s="233">
        <v>0</v>
      </c>
      <c r="W2586" s="30">
        <v>0</v>
      </c>
      <c r="X2586" s="30">
        <v>0</v>
      </c>
      <c r="Y2586" s="30">
        <v>0</v>
      </c>
      <c r="Z2586" s="233">
        <v>0</v>
      </c>
      <c r="AA2586" s="30">
        <v>0</v>
      </c>
      <c r="AB2586" s="30">
        <v>0</v>
      </c>
      <c r="AC2586" s="30">
        <v>0</v>
      </c>
      <c r="AD2586" s="30">
        <v>0</v>
      </c>
      <c r="AE2586" s="89" t="s">
        <v>92</v>
      </c>
      <c r="AF2586" s="89"/>
      <c r="AG2586" s="89" t="s">
        <v>133</v>
      </c>
      <c r="AH2586" s="72">
        <v>43106</v>
      </c>
      <c r="AI2586" s="30">
        <v>1</v>
      </c>
      <c r="AJ2586" s="89" t="s">
        <v>14603</v>
      </c>
      <c r="AK2586" s="89" t="s">
        <v>14604</v>
      </c>
      <c r="AL2586" s="91">
        <v>43110</v>
      </c>
      <c r="AM2586" s="91"/>
      <c r="AN2586" s="91"/>
      <c r="AO2586" s="91"/>
      <c r="AP2586" s="73" t="e">
        <f>MID(VLOOKUP(K2586,#REF!,2,FALSE),1,2)</f>
        <v>#REF!</v>
      </c>
      <c r="AQ2586" s="89">
        <f>DATE(2018,1,6)</f>
        <v>43106</v>
      </c>
      <c r="AR2586" s="82">
        <f t="shared" si="212"/>
        <v>6</v>
      </c>
      <c r="AS2586" s="83">
        <f t="shared" si="213"/>
        <v>1</v>
      </c>
      <c r="AT2586" s="84">
        <f t="shared" si="214"/>
        <v>2018</v>
      </c>
      <c r="AU2586" s="86"/>
      <c r="AV2586" s="86"/>
      <c r="AW2586" s="87">
        <f t="shared" si="215"/>
        <v>0</v>
      </c>
      <c r="AX2586" s="86"/>
      <c r="AY2586" s="83"/>
      <c r="AZ2586" s="84"/>
      <c r="BA2586" s="86"/>
      <c r="BB2586" s="86"/>
    </row>
    <row r="2587" spans="1:54" ht="36.75" customHeight="1">
      <c r="A2587" s="30"/>
      <c r="B2587" s="30" t="s">
        <v>55</v>
      </c>
      <c r="C2587" s="69" t="str">
        <f t="shared" si="211"/>
        <v>Closed</v>
      </c>
      <c r="D2587" s="27" t="s">
        <v>14605</v>
      </c>
      <c r="E2587" s="29" t="s">
        <v>14606</v>
      </c>
      <c r="F2587" s="30" t="s">
        <v>835</v>
      </c>
      <c r="G2587" s="89">
        <f>DATE(2018,1,6)</f>
        <v>43106</v>
      </c>
      <c r="H2587" s="90">
        <v>1.3972222222222221</v>
      </c>
      <c r="I2587" s="30" t="s">
        <v>5494</v>
      </c>
      <c r="J2587" s="89" t="s">
        <v>14607</v>
      </c>
      <c r="K2587" s="30" t="s">
        <v>837</v>
      </c>
      <c r="L2587" s="30" t="s">
        <v>14608</v>
      </c>
      <c r="M2587" s="30" t="s">
        <v>63</v>
      </c>
      <c r="N2587" s="30" t="s">
        <v>99</v>
      </c>
      <c r="O2587" s="30" t="s">
        <v>77</v>
      </c>
      <c r="P2587" s="89" t="s">
        <v>78</v>
      </c>
      <c r="Q2587" s="89" t="s">
        <v>4708</v>
      </c>
      <c r="R2587" s="89" t="s">
        <v>840</v>
      </c>
      <c r="S2587" s="30">
        <v>0</v>
      </c>
      <c r="T2587" s="233">
        <v>0</v>
      </c>
      <c r="U2587" s="30">
        <v>0</v>
      </c>
      <c r="V2587" s="233">
        <v>0</v>
      </c>
      <c r="W2587" s="30">
        <v>0</v>
      </c>
      <c r="X2587" s="30">
        <v>0</v>
      </c>
      <c r="Y2587" s="30">
        <v>0</v>
      </c>
      <c r="Z2587" s="233">
        <v>0</v>
      </c>
      <c r="AA2587" s="30">
        <v>0</v>
      </c>
      <c r="AB2587" s="30">
        <v>0</v>
      </c>
      <c r="AC2587" s="30">
        <v>0</v>
      </c>
      <c r="AD2587" s="30">
        <v>0</v>
      </c>
      <c r="AE2587" s="89" t="s">
        <v>92</v>
      </c>
      <c r="AF2587" s="89"/>
      <c r="AG2587" s="89" t="s">
        <v>352</v>
      </c>
      <c r="AH2587" s="72">
        <v>43106</v>
      </c>
      <c r="AI2587" s="30">
        <v>0</v>
      </c>
      <c r="AJ2587" s="89" t="s">
        <v>14609</v>
      </c>
      <c r="AK2587" s="89" t="s">
        <v>1233</v>
      </c>
      <c r="AL2587" s="91">
        <v>43115</v>
      </c>
      <c r="AM2587" s="91"/>
      <c r="AN2587" s="91"/>
      <c r="AO2587" s="91"/>
      <c r="AP2587" s="73" t="e">
        <f>MID(VLOOKUP(K2587,#REF!,2,FALSE),1,2)</f>
        <v>#REF!</v>
      </c>
      <c r="AQ2587" s="89">
        <f>DATE(2018,1,6)</f>
        <v>43106</v>
      </c>
      <c r="AR2587" s="82">
        <f t="shared" si="212"/>
        <v>6</v>
      </c>
      <c r="AS2587" s="83">
        <f t="shared" si="213"/>
        <v>1</v>
      </c>
      <c r="AT2587" s="84">
        <f t="shared" si="214"/>
        <v>2018</v>
      </c>
      <c r="AU2587" s="88">
        <f>DATE(2018,1,15)</f>
        <v>43115</v>
      </c>
      <c r="AV2587" s="88">
        <f>DATE(2018,1,6)</f>
        <v>43106</v>
      </c>
      <c r="AW2587" s="87">
        <f t="shared" si="215"/>
        <v>9</v>
      </c>
      <c r="AX2587" s="88">
        <f>DATE(2018,1,6)</f>
        <v>43106</v>
      </c>
      <c r="AY2587" s="83">
        <f>MONTH(AX2587)</f>
        <v>1</v>
      </c>
      <c r="AZ2587" s="84">
        <f>YEAR(AX2587)</f>
        <v>2018</v>
      </c>
      <c r="BA2587" s="88">
        <f>DATE(2018,1,6)</f>
        <v>43106</v>
      </c>
      <c r="BB2587" s="86"/>
    </row>
    <row r="2588" spans="1:54" ht="36.75" customHeight="1">
      <c r="A2588" s="30"/>
      <c r="B2588" s="30" t="s">
        <v>55</v>
      </c>
      <c r="C2588" s="69" t="str">
        <f t="shared" si="211"/>
        <v>Closed</v>
      </c>
      <c r="D2588" s="27" t="s">
        <v>14610</v>
      </c>
      <c r="E2588" s="29" t="s">
        <v>14611</v>
      </c>
      <c r="F2588" s="30" t="s">
        <v>9789</v>
      </c>
      <c r="G2588" s="89">
        <f>DATE(2018,1,8)</f>
        <v>43108</v>
      </c>
      <c r="H2588" s="90">
        <v>1.7833333333333332</v>
      </c>
      <c r="I2588" s="30" t="s">
        <v>10375</v>
      </c>
      <c r="J2588" s="210" t="s">
        <v>14612</v>
      </c>
      <c r="K2588" s="30" t="s">
        <v>9791</v>
      </c>
      <c r="L2588" s="30" t="s">
        <v>14613</v>
      </c>
      <c r="M2588" s="30" t="s">
        <v>63</v>
      </c>
      <c r="N2588" s="30" t="s">
        <v>89</v>
      </c>
      <c r="O2588" s="30" t="s">
        <v>90</v>
      </c>
      <c r="P2588" s="89" t="s">
        <v>91</v>
      </c>
      <c r="Q2588" s="89" t="s">
        <v>10257</v>
      </c>
      <c r="R2588" s="89" t="s">
        <v>9794</v>
      </c>
      <c r="S2588" s="30">
        <v>0</v>
      </c>
      <c r="T2588" s="233">
        <v>0</v>
      </c>
      <c r="U2588" s="30">
        <v>0</v>
      </c>
      <c r="V2588" s="233">
        <v>1</v>
      </c>
      <c r="W2588" s="30">
        <v>0</v>
      </c>
      <c r="X2588" s="30">
        <v>1</v>
      </c>
      <c r="Y2588" s="30">
        <v>0</v>
      </c>
      <c r="Z2588" s="233">
        <v>0</v>
      </c>
      <c r="AA2588" s="30">
        <v>0</v>
      </c>
      <c r="AB2588" s="30">
        <v>0</v>
      </c>
      <c r="AC2588" s="30">
        <v>0</v>
      </c>
      <c r="AD2588" s="30">
        <v>0</v>
      </c>
      <c r="AE2588" s="89" t="s">
        <v>92</v>
      </c>
      <c r="AF2588" s="89"/>
      <c r="AG2588" s="89" t="s">
        <v>82</v>
      </c>
      <c r="AH2588" s="72">
        <v>43109</v>
      </c>
      <c r="AI2588" s="30">
        <v>0</v>
      </c>
      <c r="AJ2588" s="89" t="s">
        <v>14614</v>
      </c>
      <c r="AK2588" s="89" t="s">
        <v>14615</v>
      </c>
      <c r="AL2588" s="91">
        <v>43123</v>
      </c>
      <c r="AM2588" s="91"/>
      <c r="AN2588" s="91"/>
      <c r="AO2588" s="91"/>
      <c r="AP2588" s="73" t="e">
        <f>MID(VLOOKUP(K2588,#REF!,2,FALSE),1,2)</f>
        <v>#REF!</v>
      </c>
      <c r="AQ2588" s="89">
        <f>DATE(2018,1,8)</f>
        <v>43108</v>
      </c>
      <c r="AR2588" s="82">
        <f t="shared" si="212"/>
        <v>8</v>
      </c>
      <c r="AS2588" s="83">
        <f t="shared" si="213"/>
        <v>1</v>
      </c>
      <c r="AT2588" s="84">
        <f t="shared" si="214"/>
        <v>2018</v>
      </c>
      <c r="AU2588" s="88">
        <f>DATE(2018,1,23)</f>
        <v>43123</v>
      </c>
      <c r="AV2588" s="88">
        <f>DATE(2018,1,9)</f>
        <v>43109</v>
      </c>
      <c r="AW2588" s="87">
        <f t="shared" si="215"/>
        <v>14</v>
      </c>
      <c r="AX2588" s="88">
        <f>DATE(2018,1,23)</f>
        <v>43123</v>
      </c>
      <c r="AY2588" s="83">
        <f>MONTH(AX2588)</f>
        <v>1</v>
      </c>
      <c r="AZ2588" s="84">
        <f>YEAR(AX2588)</f>
        <v>2018</v>
      </c>
      <c r="BA2588" s="88">
        <f>DATE(2018,1,23)</f>
        <v>43123</v>
      </c>
      <c r="BB2588" s="86"/>
    </row>
    <row r="2589" spans="1:54" ht="36.75" customHeight="1">
      <c r="A2589" s="30"/>
      <c r="B2589" s="30" t="s">
        <v>55</v>
      </c>
      <c r="C2589" s="69" t="str">
        <f t="shared" si="211"/>
        <v>Closed</v>
      </c>
      <c r="D2589" s="27" t="s">
        <v>14616</v>
      </c>
      <c r="E2589" s="29" t="s">
        <v>14617</v>
      </c>
      <c r="F2589" s="30" t="s">
        <v>624</v>
      </c>
      <c r="G2589" s="89">
        <f>DATE(2018,1,8)</f>
        <v>43108</v>
      </c>
      <c r="H2589" s="90">
        <v>1.2611111111111111</v>
      </c>
      <c r="I2589" s="30" t="s">
        <v>104</v>
      </c>
      <c r="J2589" s="89" t="s">
        <v>4610</v>
      </c>
      <c r="K2589" s="30" t="s">
        <v>626</v>
      </c>
      <c r="L2589" s="30" t="s">
        <v>14618</v>
      </c>
      <c r="M2589" s="30" t="s">
        <v>63</v>
      </c>
      <c r="N2589" s="30" t="s">
        <v>142</v>
      </c>
      <c r="O2589" s="30" t="s">
        <v>77</v>
      </c>
      <c r="P2589" s="89" t="s">
        <v>462</v>
      </c>
      <c r="Q2589" s="89" t="s">
        <v>7181</v>
      </c>
      <c r="R2589" s="89" t="s">
        <v>629</v>
      </c>
      <c r="S2589" s="30">
        <v>0</v>
      </c>
      <c r="T2589" s="233">
        <v>0</v>
      </c>
      <c r="U2589" s="30">
        <v>0</v>
      </c>
      <c r="V2589" s="233">
        <v>0</v>
      </c>
      <c r="W2589" s="30">
        <v>0</v>
      </c>
      <c r="X2589" s="30">
        <v>0</v>
      </c>
      <c r="Y2589" s="30">
        <v>0</v>
      </c>
      <c r="Z2589" s="233">
        <v>0</v>
      </c>
      <c r="AA2589" s="30">
        <v>0</v>
      </c>
      <c r="AB2589" s="30">
        <v>0</v>
      </c>
      <c r="AC2589" s="30">
        <v>0</v>
      </c>
      <c r="AD2589" s="30">
        <v>0</v>
      </c>
      <c r="AE2589" s="89" t="s">
        <v>92</v>
      </c>
      <c r="AF2589" s="89"/>
      <c r="AG2589" s="89" t="s">
        <v>352</v>
      </c>
      <c r="AH2589" s="72">
        <v>43313</v>
      </c>
      <c r="AI2589" s="30">
        <v>1</v>
      </c>
      <c r="AJ2589" s="89" t="s">
        <v>14619</v>
      </c>
      <c r="AK2589" s="89" t="s">
        <v>68</v>
      </c>
      <c r="AL2589" s="91">
        <v>43147</v>
      </c>
      <c r="AM2589" s="91"/>
      <c r="AN2589" s="91"/>
      <c r="AO2589" s="91"/>
      <c r="AP2589" s="73" t="e">
        <f>MID(VLOOKUP(K2589,#REF!,2,FALSE),1,2)</f>
        <v>#REF!</v>
      </c>
      <c r="AQ2589" s="89">
        <f>DATE(2018,1,8)</f>
        <v>43108</v>
      </c>
      <c r="AR2589" s="82">
        <f t="shared" si="212"/>
        <v>8</v>
      </c>
      <c r="AS2589" s="83">
        <f t="shared" si="213"/>
        <v>1</v>
      </c>
      <c r="AT2589" s="84">
        <f t="shared" si="214"/>
        <v>2018</v>
      </c>
      <c r="AU2589" s="88">
        <f>DATE(2018,2,16)</f>
        <v>43147</v>
      </c>
      <c r="AV2589" s="88">
        <f>DATE(2018,1,8)</f>
        <v>43108</v>
      </c>
      <c r="AW2589" s="87">
        <f t="shared" si="215"/>
        <v>39</v>
      </c>
      <c r="AX2589" s="106"/>
      <c r="AY2589" s="83"/>
      <c r="AZ2589" s="84"/>
      <c r="BA2589" s="106"/>
      <c r="BB2589" s="106"/>
    </row>
    <row r="2590" spans="1:54" ht="36.75" customHeight="1">
      <c r="A2590" s="30"/>
      <c r="B2590" s="30" t="s">
        <v>55</v>
      </c>
      <c r="C2590" s="69" t="str">
        <f t="shared" si="211"/>
        <v>Closed</v>
      </c>
      <c r="D2590" s="27" t="s">
        <v>14620</v>
      </c>
      <c r="E2590" s="29" t="s">
        <v>14621</v>
      </c>
      <c r="F2590" s="30" t="s">
        <v>423</v>
      </c>
      <c r="G2590" s="89">
        <f>DATE(2018,1,11)</f>
        <v>43111</v>
      </c>
      <c r="H2590" s="90">
        <v>1.1763888888888889</v>
      </c>
      <c r="I2590" s="30" t="s">
        <v>73</v>
      </c>
      <c r="J2590" s="89" t="s">
        <v>14622</v>
      </c>
      <c r="K2590" s="30" t="s">
        <v>425</v>
      </c>
      <c r="L2590" s="30" t="s">
        <v>14623</v>
      </c>
      <c r="M2590" s="30" t="s">
        <v>63</v>
      </c>
      <c r="N2590" s="30" t="s">
        <v>99</v>
      </c>
      <c r="O2590" s="30" t="s">
        <v>77</v>
      </c>
      <c r="P2590" s="89" t="s">
        <v>165</v>
      </c>
      <c r="Q2590" s="89" t="s">
        <v>4551</v>
      </c>
      <c r="R2590" s="89" t="s">
        <v>3103</v>
      </c>
      <c r="S2590" s="30">
        <v>0</v>
      </c>
      <c r="T2590" s="233">
        <v>0</v>
      </c>
      <c r="U2590" s="30">
        <v>0</v>
      </c>
      <c r="V2590" s="233">
        <v>0</v>
      </c>
      <c r="W2590" s="30">
        <v>0</v>
      </c>
      <c r="X2590" s="30">
        <v>0</v>
      </c>
      <c r="Y2590" s="30">
        <v>0</v>
      </c>
      <c r="Z2590" s="233">
        <v>0</v>
      </c>
      <c r="AA2590" s="30">
        <v>0</v>
      </c>
      <c r="AB2590" s="30">
        <v>0</v>
      </c>
      <c r="AC2590" s="30">
        <v>0</v>
      </c>
      <c r="AD2590" s="30">
        <v>0</v>
      </c>
      <c r="AE2590" s="89" t="s">
        <v>92</v>
      </c>
      <c r="AF2590" s="89"/>
      <c r="AG2590" s="89" t="s">
        <v>352</v>
      </c>
      <c r="AH2590" s="72">
        <v>43405</v>
      </c>
      <c r="AI2590" s="30">
        <v>0</v>
      </c>
      <c r="AJ2590" s="89" t="s">
        <v>14624</v>
      </c>
      <c r="AK2590" s="89" t="s">
        <v>14625</v>
      </c>
      <c r="AL2590" s="91">
        <v>43112</v>
      </c>
      <c r="AM2590" s="91"/>
      <c r="AN2590" s="91"/>
      <c r="AO2590" s="91"/>
      <c r="AP2590" s="73" t="e">
        <f>MID(VLOOKUP(K2590,#REF!,2,FALSE),1,2)</f>
        <v>#REF!</v>
      </c>
      <c r="AQ2590" s="89">
        <f>DATE(2018,1,10)</f>
        <v>43110</v>
      </c>
      <c r="AR2590" s="82">
        <f t="shared" si="212"/>
        <v>10</v>
      </c>
      <c r="AS2590" s="83">
        <f t="shared" si="213"/>
        <v>1</v>
      </c>
      <c r="AT2590" s="84">
        <f t="shared" si="214"/>
        <v>2018</v>
      </c>
      <c r="AU2590" s="86"/>
      <c r="AV2590" s="86"/>
      <c r="AW2590" s="87">
        <f t="shared" si="215"/>
        <v>0</v>
      </c>
      <c r="AX2590" s="86"/>
      <c r="AY2590" s="83"/>
      <c r="AZ2590" s="84"/>
      <c r="BA2590" s="86"/>
      <c r="BB2590" s="86"/>
    </row>
    <row r="2591" spans="1:54" ht="36.75" customHeight="1">
      <c r="A2591" s="30"/>
      <c r="B2591" s="30" t="s">
        <v>55</v>
      </c>
      <c r="C2591" s="69" t="str">
        <f t="shared" si="211"/>
        <v>Closed</v>
      </c>
      <c r="D2591" s="27" t="s">
        <v>14626</v>
      </c>
      <c r="E2591" s="29" t="s">
        <v>14627</v>
      </c>
      <c r="F2591" s="30" t="s">
        <v>233</v>
      </c>
      <c r="G2591" s="89">
        <f>DATE(2018,1,11)</f>
        <v>43111</v>
      </c>
      <c r="H2591" s="90">
        <v>1.2430555555555556</v>
      </c>
      <c r="I2591" s="30" t="s">
        <v>116</v>
      </c>
      <c r="J2591" s="89" t="s">
        <v>14628</v>
      </c>
      <c r="K2591" s="30" t="s">
        <v>235</v>
      </c>
      <c r="L2591" s="30" t="s">
        <v>14629</v>
      </c>
      <c r="M2591" s="30" t="s">
        <v>63</v>
      </c>
      <c r="N2591" s="30" t="s">
        <v>142</v>
      </c>
      <c r="O2591" s="30" t="s">
        <v>86</v>
      </c>
      <c r="P2591" s="89" t="s">
        <v>78</v>
      </c>
      <c r="Q2591" s="89" t="s">
        <v>4042</v>
      </c>
      <c r="R2591" s="89" t="s">
        <v>235</v>
      </c>
      <c r="S2591" s="30">
        <v>0</v>
      </c>
      <c r="T2591" s="233">
        <v>0</v>
      </c>
      <c r="U2591" s="30">
        <v>0</v>
      </c>
      <c r="V2591" s="233">
        <v>0</v>
      </c>
      <c r="W2591" s="30">
        <v>0</v>
      </c>
      <c r="X2591" s="30">
        <v>0</v>
      </c>
      <c r="Y2591" s="30">
        <v>0</v>
      </c>
      <c r="Z2591" s="233">
        <v>0</v>
      </c>
      <c r="AA2591" s="30">
        <v>0</v>
      </c>
      <c r="AB2591" s="30">
        <v>0</v>
      </c>
      <c r="AC2591" s="30">
        <v>0</v>
      </c>
      <c r="AD2591" s="30">
        <v>0</v>
      </c>
      <c r="AE2591" s="89" t="s">
        <v>92</v>
      </c>
      <c r="AF2591" s="89"/>
      <c r="AG2591" s="89" t="s">
        <v>133</v>
      </c>
      <c r="AH2591" s="72">
        <v>43122</v>
      </c>
      <c r="AI2591" s="30">
        <v>2</v>
      </c>
      <c r="AJ2591" s="89" t="s">
        <v>14630</v>
      </c>
      <c r="AK2591" s="89" t="s">
        <v>14631</v>
      </c>
      <c r="AL2591" s="91">
        <v>43140</v>
      </c>
      <c r="AM2591" s="91"/>
      <c r="AN2591" s="91"/>
      <c r="AO2591" s="91"/>
      <c r="AP2591" s="73" t="e">
        <f>MID(VLOOKUP(K2591,#REF!,2,FALSE),1,2)</f>
        <v>#REF!</v>
      </c>
      <c r="AQ2591" s="89">
        <f>DATE(2018,1,11)</f>
        <v>43111</v>
      </c>
      <c r="AR2591" s="82">
        <f t="shared" si="212"/>
        <v>11</v>
      </c>
      <c r="AS2591" s="83">
        <f t="shared" si="213"/>
        <v>1</v>
      </c>
      <c r="AT2591" s="84">
        <f t="shared" si="214"/>
        <v>2018</v>
      </c>
      <c r="AU2591" s="88">
        <f>DATE(2018,1,12)</f>
        <v>43112</v>
      </c>
      <c r="AV2591" s="88">
        <f>DATE(2018,1,11)</f>
        <v>43111</v>
      </c>
      <c r="AW2591" s="87">
        <f t="shared" si="215"/>
        <v>1</v>
      </c>
      <c r="AX2591" s="86"/>
      <c r="AY2591" s="83"/>
      <c r="AZ2591" s="84"/>
      <c r="BA2591" s="86"/>
      <c r="BB2591" s="86"/>
    </row>
    <row r="2592" spans="1:54" ht="36.75" customHeight="1">
      <c r="A2592" s="30"/>
      <c r="B2592" s="30" t="s">
        <v>55</v>
      </c>
      <c r="C2592" s="69" t="str">
        <f t="shared" si="211"/>
        <v>Closed</v>
      </c>
      <c r="D2592" s="27" t="s">
        <v>14632</v>
      </c>
      <c r="E2592" s="29" t="s">
        <v>14633</v>
      </c>
      <c r="F2592" s="30" t="s">
        <v>423</v>
      </c>
      <c r="G2592" s="89">
        <f>DATE(2018,1,14)</f>
        <v>43114</v>
      </c>
      <c r="H2592" s="90">
        <v>1.5423611111111111</v>
      </c>
      <c r="I2592" s="30" t="s">
        <v>116</v>
      </c>
      <c r="J2592" s="89" t="s">
        <v>14634</v>
      </c>
      <c r="K2592" s="30" t="s">
        <v>425</v>
      </c>
      <c r="L2592" s="30" t="s">
        <v>14635</v>
      </c>
      <c r="M2592" s="30" t="s">
        <v>63</v>
      </c>
      <c r="N2592" s="30" t="s">
        <v>142</v>
      </c>
      <c r="O2592" s="30" t="s">
        <v>64</v>
      </c>
      <c r="P2592" s="89" t="s">
        <v>65</v>
      </c>
      <c r="Q2592" s="89" t="s">
        <v>4551</v>
      </c>
      <c r="R2592" s="89" t="s">
        <v>3103</v>
      </c>
      <c r="S2592" s="30">
        <v>0</v>
      </c>
      <c r="T2592" s="233">
        <v>0</v>
      </c>
      <c r="U2592" s="30">
        <v>1</v>
      </c>
      <c r="V2592" s="233">
        <v>0</v>
      </c>
      <c r="W2592" s="30">
        <v>0</v>
      </c>
      <c r="X2592" s="30">
        <v>1</v>
      </c>
      <c r="Y2592" s="30">
        <v>0</v>
      </c>
      <c r="Z2592" s="233">
        <v>0</v>
      </c>
      <c r="AA2592" s="30">
        <v>0</v>
      </c>
      <c r="AB2592" s="30">
        <v>0</v>
      </c>
      <c r="AC2592" s="30">
        <v>0</v>
      </c>
      <c r="AD2592" s="30">
        <v>0</v>
      </c>
      <c r="AE2592" s="89" t="s">
        <v>394</v>
      </c>
      <c r="AF2592" s="89"/>
      <c r="AG2592" s="89" t="s">
        <v>133</v>
      </c>
      <c r="AH2592" s="72">
        <v>43114</v>
      </c>
      <c r="AI2592" s="30">
        <v>0</v>
      </c>
      <c r="AJ2592" s="89" t="s">
        <v>14636</v>
      </c>
      <c r="AK2592" s="89" t="s">
        <v>14637</v>
      </c>
      <c r="AL2592" s="91">
        <v>43115</v>
      </c>
      <c r="AM2592" s="91"/>
      <c r="AN2592" s="91"/>
      <c r="AO2592" s="91"/>
      <c r="AP2592" s="73" t="e">
        <f>MID(VLOOKUP(K2592,#REF!,2,FALSE),1,2)</f>
        <v>#REF!</v>
      </c>
      <c r="AQ2592" s="89">
        <f>DATE(2018,1,11)</f>
        <v>43111</v>
      </c>
      <c r="AR2592" s="82">
        <f t="shared" si="212"/>
        <v>11</v>
      </c>
      <c r="AS2592" s="83">
        <f t="shared" si="213"/>
        <v>1</v>
      </c>
      <c r="AT2592" s="84">
        <f t="shared" si="214"/>
        <v>2018</v>
      </c>
      <c r="AU2592" s="88">
        <f>DATE(2018,2,9)</f>
        <v>43140</v>
      </c>
      <c r="AV2592" s="88">
        <f>DATE(2018,1,22)</f>
        <v>43122</v>
      </c>
      <c r="AW2592" s="87">
        <f t="shared" si="215"/>
        <v>18</v>
      </c>
      <c r="AX2592" s="88">
        <f>DATE(2018,2,9)</f>
        <v>43140</v>
      </c>
      <c r="AY2592" s="83">
        <f>MONTH(AX2592)</f>
        <v>2</v>
      </c>
      <c r="AZ2592" s="84">
        <f>YEAR(AX2592)</f>
        <v>2018</v>
      </c>
      <c r="BA2592" s="86"/>
      <c r="BB2592" s="86"/>
    </row>
    <row r="2593" spans="1:54" ht="36.75" customHeight="1">
      <c r="A2593" s="30"/>
      <c r="B2593" s="30" t="s">
        <v>55</v>
      </c>
      <c r="C2593" s="69" t="str">
        <f t="shared" si="211"/>
        <v>Closed</v>
      </c>
      <c r="D2593" s="27" t="s">
        <v>14638</v>
      </c>
      <c r="E2593" s="29" t="s">
        <v>14639</v>
      </c>
      <c r="F2593" s="30" t="s">
        <v>115</v>
      </c>
      <c r="G2593" s="89">
        <f>DATE(2018,1,14)</f>
        <v>43114</v>
      </c>
      <c r="H2593" s="90">
        <v>1.7319444444444443</v>
      </c>
      <c r="I2593" s="30" t="s">
        <v>116</v>
      </c>
      <c r="J2593" s="89" t="s">
        <v>14640</v>
      </c>
      <c r="K2593" s="30" t="s">
        <v>118</v>
      </c>
      <c r="L2593" s="30" t="s">
        <v>14641</v>
      </c>
      <c r="M2593" s="30" t="s">
        <v>63</v>
      </c>
      <c r="N2593" s="30" t="s">
        <v>99</v>
      </c>
      <c r="O2593" s="30" t="s">
        <v>64</v>
      </c>
      <c r="P2593" s="89" t="s">
        <v>165</v>
      </c>
      <c r="Q2593" s="89" t="s">
        <v>120</v>
      </c>
      <c r="R2593" s="89" t="s">
        <v>121</v>
      </c>
      <c r="S2593" s="30">
        <v>0</v>
      </c>
      <c r="T2593" s="233">
        <v>0</v>
      </c>
      <c r="U2593" s="30">
        <v>2</v>
      </c>
      <c r="V2593" s="233">
        <v>0</v>
      </c>
      <c r="W2593" s="30">
        <v>0</v>
      </c>
      <c r="X2593" s="30">
        <v>2</v>
      </c>
      <c r="Y2593" s="30">
        <v>0</v>
      </c>
      <c r="Z2593" s="233">
        <v>0</v>
      </c>
      <c r="AA2593" s="30">
        <v>0</v>
      </c>
      <c r="AB2593" s="30">
        <v>0</v>
      </c>
      <c r="AC2593" s="30">
        <v>0</v>
      </c>
      <c r="AD2593" s="30">
        <v>0</v>
      </c>
      <c r="AE2593" s="89" t="s">
        <v>92</v>
      </c>
      <c r="AF2593" s="89"/>
      <c r="AG2593" s="89" t="s">
        <v>133</v>
      </c>
      <c r="AH2593" s="72">
        <v>43117</v>
      </c>
      <c r="AI2593" s="30">
        <v>1</v>
      </c>
      <c r="AJ2593" s="89" t="s">
        <v>14642</v>
      </c>
      <c r="AK2593" s="89" t="s">
        <v>14643</v>
      </c>
      <c r="AL2593" s="91">
        <v>43145</v>
      </c>
      <c r="AM2593" s="91"/>
      <c r="AN2593" s="91"/>
      <c r="AO2593" s="91"/>
      <c r="AP2593" s="73" t="e">
        <f>MID(VLOOKUP(K2593,#REF!,2,FALSE),1,2)</f>
        <v>#REF!</v>
      </c>
      <c r="AQ2593" s="89">
        <f>DATE(2018,1,14)</f>
        <v>43114</v>
      </c>
      <c r="AR2593" s="82">
        <f t="shared" si="212"/>
        <v>14</v>
      </c>
      <c r="AS2593" s="83">
        <f t="shared" si="213"/>
        <v>1</v>
      </c>
      <c r="AT2593" s="84">
        <f t="shared" si="214"/>
        <v>2018</v>
      </c>
      <c r="AU2593" s="88">
        <f>DATE(2018,1,15)</f>
        <v>43115</v>
      </c>
      <c r="AV2593" s="88">
        <f>DATE(2018,1,14)</f>
        <v>43114</v>
      </c>
      <c r="AW2593" s="87">
        <f t="shared" si="215"/>
        <v>1</v>
      </c>
      <c r="AX2593" s="106"/>
      <c r="AY2593" s="83"/>
      <c r="AZ2593" s="84"/>
      <c r="BA2593" s="106"/>
      <c r="BB2593" s="106"/>
    </row>
    <row r="2594" spans="1:54" ht="36.75" customHeight="1">
      <c r="A2594" s="30"/>
      <c r="B2594" s="30" t="s">
        <v>55</v>
      </c>
      <c r="C2594" s="69" t="str">
        <f t="shared" si="211"/>
        <v>Closed</v>
      </c>
      <c r="D2594" s="27" t="s">
        <v>14644</v>
      </c>
      <c r="E2594" s="29" t="s">
        <v>14645</v>
      </c>
      <c r="F2594" s="30" t="s">
        <v>1572</v>
      </c>
      <c r="G2594" s="89">
        <f>DATE(2018,1,15)</f>
        <v>43115</v>
      </c>
      <c r="H2594" s="90">
        <v>1.2118055555555556</v>
      </c>
      <c r="I2594" s="30" t="s">
        <v>5494</v>
      </c>
      <c r="J2594" s="89" t="s">
        <v>14646</v>
      </c>
      <c r="K2594" s="30" t="s">
        <v>1574</v>
      </c>
      <c r="L2594" s="30" t="s">
        <v>12109</v>
      </c>
      <c r="M2594" s="30" t="s">
        <v>63</v>
      </c>
      <c r="N2594" s="30" t="s">
        <v>142</v>
      </c>
      <c r="O2594" s="30" t="s">
        <v>77</v>
      </c>
      <c r="P2594" s="89" t="s">
        <v>6941</v>
      </c>
      <c r="Q2594" s="89" t="s">
        <v>2413</v>
      </c>
      <c r="R2594" s="89" t="s">
        <v>6434</v>
      </c>
      <c r="S2594" s="30">
        <v>0</v>
      </c>
      <c r="T2594" s="233">
        <v>0</v>
      </c>
      <c r="U2594" s="30">
        <v>0</v>
      </c>
      <c r="V2594" s="233">
        <v>0</v>
      </c>
      <c r="W2594" s="30">
        <v>0</v>
      </c>
      <c r="X2594" s="30">
        <v>0</v>
      </c>
      <c r="Y2594" s="30">
        <v>0</v>
      </c>
      <c r="Z2594" s="233">
        <v>0</v>
      </c>
      <c r="AA2594" s="30">
        <v>0</v>
      </c>
      <c r="AB2594" s="30">
        <v>0</v>
      </c>
      <c r="AC2594" s="30">
        <v>0</v>
      </c>
      <c r="AD2594" s="30">
        <v>0</v>
      </c>
      <c r="AE2594" s="89" t="s">
        <v>92</v>
      </c>
      <c r="AF2594" s="89"/>
      <c r="AG2594" s="89" t="s">
        <v>1507</v>
      </c>
      <c r="AH2594" s="72">
        <v>43123</v>
      </c>
      <c r="AI2594" s="30">
        <v>2</v>
      </c>
      <c r="AJ2594" s="89" t="s">
        <v>14647</v>
      </c>
      <c r="AK2594" s="89" t="s">
        <v>14648</v>
      </c>
      <c r="AL2594" s="91">
        <v>43125</v>
      </c>
      <c r="AM2594" s="91"/>
      <c r="AN2594" s="91"/>
      <c r="AO2594" s="91"/>
      <c r="AP2594" s="73" t="e">
        <f>MID(VLOOKUP(K2594,#REF!,2,FALSE),1,2)</f>
        <v>#REF!</v>
      </c>
      <c r="AQ2594" s="89">
        <f>DATE(2018,1,14)</f>
        <v>43114</v>
      </c>
      <c r="AR2594" s="82">
        <f t="shared" si="212"/>
        <v>14</v>
      </c>
      <c r="AS2594" s="83">
        <f t="shared" si="213"/>
        <v>1</v>
      </c>
      <c r="AT2594" s="84">
        <f t="shared" si="214"/>
        <v>2018</v>
      </c>
      <c r="AU2594" s="88">
        <f>DATE(2018,2,14)</f>
        <v>43145</v>
      </c>
      <c r="AV2594" s="88">
        <f>DATE(2018,1,17)</f>
        <v>43117</v>
      </c>
      <c r="AW2594" s="87">
        <f t="shared" si="215"/>
        <v>28</v>
      </c>
      <c r="AX2594" s="86"/>
      <c r="AY2594" s="83"/>
      <c r="AZ2594" s="84"/>
      <c r="BA2594" s="88">
        <f>DATE(2018,1,17)</f>
        <v>43117</v>
      </c>
      <c r="BB2594" s="86"/>
    </row>
    <row r="2595" spans="1:54" ht="36.75" customHeight="1">
      <c r="A2595" s="30"/>
      <c r="B2595" s="30" t="s">
        <v>55</v>
      </c>
      <c r="C2595" s="69" t="str">
        <f t="shared" si="211"/>
        <v>Closed</v>
      </c>
      <c r="D2595" s="27" t="s">
        <v>14649</v>
      </c>
      <c r="E2595" s="29" t="s">
        <v>14650</v>
      </c>
      <c r="F2595" s="30" t="s">
        <v>451</v>
      </c>
      <c r="G2595" s="89">
        <f>DATE(2018,1,17)</f>
        <v>43117</v>
      </c>
      <c r="H2595" s="90">
        <v>1.7166666666666668</v>
      </c>
      <c r="I2595" s="30" t="s">
        <v>116</v>
      </c>
      <c r="J2595" s="89" t="s">
        <v>14651</v>
      </c>
      <c r="K2595" s="30" t="s">
        <v>453</v>
      </c>
      <c r="L2595" s="30" t="s">
        <v>14652</v>
      </c>
      <c r="M2595" s="30" t="s">
        <v>63</v>
      </c>
      <c r="N2595" s="30" t="s">
        <v>99</v>
      </c>
      <c r="O2595" s="30" t="s">
        <v>77</v>
      </c>
      <c r="P2595" s="89" t="s">
        <v>165</v>
      </c>
      <c r="Q2595" s="89" t="s">
        <v>665</v>
      </c>
      <c r="R2595" s="89" t="s">
        <v>572</v>
      </c>
      <c r="S2595" s="30">
        <v>0</v>
      </c>
      <c r="T2595" s="233">
        <v>0</v>
      </c>
      <c r="U2595" s="30">
        <v>1</v>
      </c>
      <c r="V2595" s="233">
        <v>0</v>
      </c>
      <c r="W2595" s="30">
        <v>0</v>
      </c>
      <c r="X2595" s="30">
        <v>1</v>
      </c>
      <c r="Y2595" s="30">
        <v>0</v>
      </c>
      <c r="Z2595" s="233">
        <v>0</v>
      </c>
      <c r="AA2595" s="30">
        <v>0</v>
      </c>
      <c r="AB2595" s="30">
        <v>0</v>
      </c>
      <c r="AC2595" s="30">
        <v>0</v>
      </c>
      <c r="AD2595" s="30">
        <v>0</v>
      </c>
      <c r="AE2595" s="89" t="s">
        <v>92</v>
      </c>
      <c r="AF2595" s="89"/>
      <c r="AG2595" s="89" t="s">
        <v>82</v>
      </c>
      <c r="AH2595" s="72">
        <v>43122</v>
      </c>
      <c r="AI2595" s="30">
        <v>0</v>
      </c>
      <c r="AJ2595" s="89" t="s">
        <v>14653</v>
      </c>
      <c r="AK2595" s="89" t="s">
        <v>68</v>
      </c>
      <c r="AL2595" s="91">
        <v>43208</v>
      </c>
      <c r="AM2595" s="91"/>
      <c r="AN2595" s="91"/>
      <c r="AO2595" s="91"/>
      <c r="AP2595" s="73" t="e">
        <f>MID(VLOOKUP(K2595,#REF!,2,FALSE),1,2)</f>
        <v>#REF!</v>
      </c>
      <c r="AQ2595" s="89">
        <f>DATE(2018,1,15)</f>
        <v>43115</v>
      </c>
      <c r="AR2595" s="82">
        <f t="shared" si="212"/>
        <v>15</v>
      </c>
      <c r="AS2595" s="83">
        <f t="shared" si="213"/>
        <v>1</v>
      </c>
      <c r="AT2595" s="84">
        <f t="shared" si="214"/>
        <v>2018</v>
      </c>
      <c r="AU2595" s="88">
        <f>DATE(2018,1,25)</f>
        <v>43125</v>
      </c>
      <c r="AV2595" s="88">
        <f>DATE(2018,1,23)</f>
        <v>43123</v>
      </c>
      <c r="AW2595" s="87">
        <f t="shared" si="215"/>
        <v>2</v>
      </c>
      <c r="AX2595" s="88">
        <f>DATE(2018,1,25)</f>
        <v>43125</v>
      </c>
      <c r="AY2595" s="83">
        <f>MONTH(AX2595)</f>
        <v>1</v>
      </c>
      <c r="AZ2595" s="84">
        <f>YEAR(AX2595)</f>
        <v>2018</v>
      </c>
      <c r="BA2595" s="88">
        <f>DATE(2018,1,15)</f>
        <v>43115</v>
      </c>
      <c r="BB2595" s="86"/>
    </row>
    <row r="2596" spans="1:54" ht="36.75" customHeight="1">
      <c r="A2596" s="30"/>
      <c r="B2596" s="30" t="s">
        <v>55</v>
      </c>
      <c r="C2596" s="69" t="str">
        <f t="shared" si="211"/>
        <v>Closed</v>
      </c>
      <c r="D2596" s="27" t="s">
        <v>14654</v>
      </c>
      <c r="E2596" s="29" t="s">
        <v>14655</v>
      </c>
      <c r="F2596" s="30" t="s">
        <v>423</v>
      </c>
      <c r="G2596" s="89">
        <f>DATE(2018,1,18)</f>
        <v>43118</v>
      </c>
      <c r="H2596" s="90">
        <v>1.6805555555555554</v>
      </c>
      <c r="I2596" s="30" t="s">
        <v>156</v>
      </c>
      <c r="J2596" s="89" t="s">
        <v>14656</v>
      </c>
      <c r="K2596" s="30" t="s">
        <v>425</v>
      </c>
      <c r="L2596" s="30" t="s">
        <v>14657</v>
      </c>
      <c r="M2596" s="30" t="s">
        <v>63</v>
      </c>
      <c r="N2596" s="30" t="s">
        <v>99</v>
      </c>
      <c r="O2596" s="30" t="s">
        <v>77</v>
      </c>
      <c r="P2596" s="89" t="s">
        <v>165</v>
      </c>
      <c r="Q2596" s="89" t="s">
        <v>4551</v>
      </c>
      <c r="R2596" s="89" t="s">
        <v>3103</v>
      </c>
      <c r="S2596" s="30">
        <v>0</v>
      </c>
      <c r="T2596" s="233">
        <v>0</v>
      </c>
      <c r="U2596" s="30">
        <v>0</v>
      </c>
      <c r="V2596" s="233">
        <v>0</v>
      </c>
      <c r="W2596" s="30">
        <v>0</v>
      </c>
      <c r="X2596" s="30">
        <v>0</v>
      </c>
      <c r="Y2596" s="30">
        <v>1</v>
      </c>
      <c r="Z2596" s="233">
        <v>0</v>
      </c>
      <c r="AA2596" s="30">
        <v>0</v>
      </c>
      <c r="AB2596" s="30">
        <v>0</v>
      </c>
      <c r="AC2596" s="30">
        <v>0</v>
      </c>
      <c r="AD2596" s="30">
        <v>1</v>
      </c>
      <c r="AE2596" s="89" t="s">
        <v>92</v>
      </c>
      <c r="AF2596" s="89"/>
      <c r="AG2596" s="89" t="s">
        <v>133</v>
      </c>
      <c r="AH2596" s="72">
        <v>43118</v>
      </c>
      <c r="AI2596" s="30">
        <v>1</v>
      </c>
      <c r="AJ2596" s="89" t="s">
        <v>14658</v>
      </c>
      <c r="AK2596" s="89" t="s">
        <v>14659</v>
      </c>
      <c r="AL2596" s="91">
        <v>43122</v>
      </c>
      <c r="AM2596" s="91"/>
      <c r="AN2596" s="91"/>
      <c r="AO2596" s="91"/>
      <c r="AP2596" s="73" t="e">
        <f>MID(VLOOKUP(K2596,#REF!,2,FALSE),1,2)</f>
        <v>#REF!</v>
      </c>
      <c r="AQ2596" s="89">
        <f>DATE(2018,1,17)</f>
        <v>43117</v>
      </c>
      <c r="AR2596" s="82">
        <f t="shared" si="212"/>
        <v>17</v>
      </c>
      <c r="AS2596" s="83">
        <f t="shared" si="213"/>
        <v>1</v>
      </c>
      <c r="AT2596" s="84">
        <f t="shared" si="214"/>
        <v>2018</v>
      </c>
      <c r="AU2596" s="88">
        <f>DATE(2018,4,18)</f>
        <v>43208</v>
      </c>
      <c r="AV2596" s="88">
        <f>DATE(2018,1,22)</f>
        <v>43122</v>
      </c>
      <c r="AW2596" s="87">
        <f t="shared" si="215"/>
        <v>86</v>
      </c>
      <c r="AX2596" s="106"/>
      <c r="AY2596" s="83"/>
      <c r="AZ2596" s="84"/>
      <c r="BA2596" s="106"/>
      <c r="BB2596" s="106"/>
    </row>
    <row r="2597" spans="1:54" ht="36.75" customHeight="1">
      <c r="A2597" s="30"/>
      <c r="B2597" s="30" t="s">
        <v>55</v>
      </c>
      <c r="C2597" s="69" t="str">
        <f t="shared" si="211"/>
        <v>Closed</v>
      </c>
      <c r="D2597" s="27" t="s">
        <v>14660</v>
      </c>
      <c r="E2597" s="29" t="s">
        <v>14661</v>
      </c>
      <c r="F2597" s="30" t="s">
        <v>423</v>
      </c>
      <c r="G2597" s="89">
        <f>DATE(2018,1,18)</f>
        <v>43118</v>
      </c>
      <c r="H2597" s="90">
        <v>1.3694444444444445</v>
      </c>
      <c r="I2597" s="30" t="s">
        <v>104</v>
      </c>
      <c r="J2597" s="89" t="s">
        <v>14662</v>
      </c>
      <c r="K2597" s="30" t="s">
        <v>425</v>
      </c>
      <c r="L2597" s="30" t="s">
        <v>14100</v>
      </c>
      <c r="M2597" s="30" t="s">
        <v>63</v>
      </c>
      <c r="N2597" s="30" t="s">
        <v>142</v>
      </c>
      <c r="O2597" s="30" t="s">
        <v>77</v>
      </c>
      <c r="P2597" s="89" t="s">
        <v>6017</v>
      </c>
      <c r="Q2597" s="89" t="s">
        <v>13741</v>
      </c>
      <c r="R2597" s="89" t="s">
        <v>3103</v>
      </c>
      <c r="S2597" s="30">
        <v>0</v>
      </c>
      <c r="T2597" s="233">
        <v>0</v>
      </c>
      <c r="U2597" s="30">
        <v>0</v>
      </c>
      <c r="V2597" s="233">
        <v>0</v>
      </c>
      <c r="W2597" s="30">
        <v>0</v>
      </c>
      <c r="X2597" s="30">
        <v>0</v>
      </c>
      <c r="Y2597" s="30">
        <v>0</v>
      </c>
      <c r="Z2597" s="233">
        <v>0</v>
      </c>
      <c r="AA2597" s="30">
        <v>0</v>
      </c>
      <c r="AB2597" s="30">
        <v>0</v>
      </c>
      <c r="AC2597" s="30">
        <v>0</v>
      </c>
      <c r="AD2597" s="30">
        <v>0</v>
      </c>
      <c r="AE2597" s="89" t="s">
        <v>92</v>
      </c>
      <c r="AF2597" s="89"/>
      <c r="AG2597" s="89" t="s">
        <v>13201</v>
      </c>
      <c r="AH2597" s="72">
        <v>43118</v>
      </c>
      <c r="AI2597" s="30">
        <v>0</v>
      </c>
      <c r="AJ2597" s="89" t="s">
        <v>14663</v>
      </c>
      <c r="AK2597" s="89" t="s">
        <v>14664</v>
      </c>
      <c r="AL2597" s="91">
        <v>43122</v>
      </c>
      <c r="AM2597" s="91"/>
      <c r="AN2597" s="91"/>
      <c r="AO2597" s="91"/>
      <c r="AP2597" s="73" t="e">
        <f>MID(VLOOKUP(K2597,#REF!,2,FALSE),1,2)</f>
        <v>#REF!</v>
      </c>
      <c r="AQ2597" s="89">
        <f>DATE(2018,1,18)</f>
        <v>43118</v>
      </c>
      <c r="AR2597" s="82">
        <f t="shared" si="212"/>
        <v>18</v>
      </c>
      <c r="AS2597" s="83">
        <f t="shared" si="213"/>
        <v>1</v>
      </c>
      <c r="AT2597" s="84">
        <f t="shared" si="214"/>
        <v>2018</v>
      </c>
      <c r="AU2597" s="88">
        <f>DATE(2018,1,22)</f>
        <v>43122</v>
      </c>
      <c r="AV2597" s="88">
        <f>DATE(2018,1,18)</f>
        <v>43118</v>
      </c>
      <c r="AW2597" s="87">
        <f t="shared" si="215"/>
        <v>4</v>
      </c>
      <c r="AX2597" s="86"/>
      <c r="AY2597" s="83"/>
      <c r="AZ2597" s="84"/>
      <c r="BA2597" s="86"/>
      <c r="BB2597" s="86"/>
    </row>
    <row r="2598" spans="1:54" ht="36.75" customHeight="1">
      <c r="A2598" s="30"/>
      <c r="B2598" s="30" t="s">
        <v>55</v>
      </c>
      <c r="C2598" s="69" t="str">
        <f t="shared" si="211"/>
        <v>Closed</v>
      </c>
      <c r="D2598" s="27" t="s">
        <v>14665</v>
      </c>
      <c r="E2598" s="29" t="s">
        <v>14666</v>
      </c>
      <c r="F2598" s="30" t="s">
        <v>835</v>
      </c>
      <c r="G2598" s="89">
        <f>DATE(2018,1,21)</f>
        <v>43121</v>
      </c>
      <c r="H2598" s="90">
        <v>1.7291666666666665</v>
      </c>
      <c r="I2598" s="30" t="s">
        <v>73</v>
      </c>
      <c r="J2598" s="89" t="s">
        <v>14667</v>
      </c>
      <c r="K2598" s="30" t="s">
        <v>837</v>
      </c>
      <c r="L2598" s="30" t="s">
        <v>14668</v>
      </c>
      <c r="M2598" s="30" t="s">
        <v>255</v>
      </c>
      <c r="N2598" s="30" t="s">
        <v>99</v>
      </c>
      <c r="O2598" s="30" t="s">
        <v>64</v>
      </c>
      <c r="P2598" s="89" t="s">
        <v>6552</v>
      </c>
      <c r="Q2598" s="89" t="s">
        <v>4210</v>
      </c>
      <c r="R2598" s="89" t="s">
        <v>4210</v>
      </c>
      <c r="S2598" s="30">
        <v>0</v>
      </c>
      <c r="T2598" s="233">
        <v>0</v>
      </c>
      <c r="U2598" s="30">
        <v>0</v>
      </c>
      <c r="V2598" s="233">
        <v>0</v>
      </c>
      <c r="W2598" s="30">
        <v>0</v>
      </c>
      <c r="X2598" s="30">
        <v>0</v>
      </c>
      <c r="Y2598" s="30">
        <v>0</v>
      </c>
      <c r="Z2598" s="233">
        <v>0</v>
      </c>
      <c r="AA2598" s="30">
        <v>0</v>
      </c>
      <c r="AB2598" s="30">
        <v>0</v>
      </c>
      <c r="AC2598" s="30">
        <v>0</v>
      </c>
      <c r="AD2598" s="30">
        <v>0</v>
      </c>
      <c r="AE2598" s="89" t="s">
        <v>92</v>
      </c>
      <c r="AF2598" s="89"/>
      <c r="AG2598" s="89" t="s">
        <v>367</v>
      </c>
      <c r="AH2598" s="72">
        <v>43101</v>
      </c>
      <c r="AI2598" s="30">
        <v>0</v>
      </c>
      <c r="AJ2598" s="89" t="s">
        <v>14669</v>
      </c>
      <c r="AK2598" s="89" t="s">
        <v>14670</v>
      </c>
      <c r="AL2598" s="91">
        <v>43502</v>
      </c>
      <c r="AM2598" s="91"/>
      <c r="AN2598" s="91"/>
      <c r="AO2598" s="91"/>
      <c r="AP2598" s="73" t="e">
        <f>MID(VLOOKUP(K2598,#REF!,2,FALSE),1,2)</f>
        <v>#REF!</v>
      </c>
      <c r="AQ2598" s="89">
        <f>DATE(2018,1,18)</f>
        <v>43118</v>
      </c>
      <c r="AR2598" s="82">
        <f t="shared" si="212"/>
        <v>18</v>
      </c>
      <c r="AS2598" s="83">
        <f t="shared" si="213"/>
        <v>1</v>
      </c>
      <c r="AT2598" s="84">
        <f t="shared" si="214"/>
        <v>2018</v>
      </c>
      <c r="AU2598" s="88">
        <f>DATE(2018,1,22)</f>
        <v>43122</v>
      </c>
      <c r="AV2598" s="88">
        <f>DATE(2018,1,18)</f>
        <v>43118</v>
      </c>
      <c r="AW2598" s="87">
        <f t="shared" si="215"/>
        <v>4</v>
      </c>
      <c r="AX2598" s="86"/>
      <c r="AY2598" s="83"/>
      <c r="AZ2598" s="84"/>
      <c r="BA2598" s="86"/>
      <c r="BB2598" s="86"/>
    </row>
    <row r="2599" spans="1:54" ht="36.75" customHeight="1">
      <c r="A2599" s="30"/>
      <c r="B2599" s="30" t="s">
        <v>55</v>
      </c>
      <c r="C2599" s="69" t="str">
        <f t="shared" si="211"/>
        <v>Closed</v>
      </c>
      <c r="D2599" s="27" t="s">
        <v>14671</v>
      </c>
      <c r="E2599" s="29" t="s">
        <v>14672</v>
      </c>
      <c r="F2599" s="30" t="s">
        <v>233</v>
      </c>
      <c r="G2599" s="89">
        <f>DATE(2018,1,22)</f>
        <v>43122</v>
      </c>
      <c r="H2599" s="90">
        <v>1.2826388888888889</v>
      </c>
      <c r="I2599" s="30" t="s">
        <v>73</v>
      </c>
      <c r="J2599" s="89" t="s">
        <v>14673</v>
      </c>
      <c r="K2599" s="30" t="s">
        <v>235</v>
      </c>
      <c r="L2599" s="30" t="s">
        <v>14674</v>
      </c>
      <c r="M2599" s="30" t="s">
        <v>63</v>
      </c>
      <c r="N2599" s="30" t="s">
        <v>99</v>
      </c>
      <c r="O2599" s="30" t="s">
        <v>64</v>
      </c>
      <c r="P2599" s="89" t="s">
        <v>165</v>
      </c>
      <c r="Q2599" s="89" t="s">
        <v>3678</v>
      </c>
      <c r="R2599" s="89" t="s">
        <v>235</v>
      </c>
      <c r="S2599" s="30">
        <v>0</v>
      </c>
      <c r="T2599" s="233">
        <v>0</v>
      </c>
      <c r="U2599" s="30">
        <v>0</v>
      </c>
      <c r="V2599" s="233">
        <v>0</v>
      </c>
      <c r="W2599" s="30">
        <v>0</v>
      </c>
      <c r="X2599" s="30">
        <v>0</v>
      </c>
      <c r="Y2599" s="30">
        <v>0</v>
      </c>
      <c r="Z2599" s="233">
        <v>0</v>
      </c>
      <c r="AA2599" s="30">
        <v>0</v>
      </c>
      <c r="AB2599" s="30">
        <v>0</v>
      </c>
      <c r="AC2599" s="30">
        <v>0</v>
      </c>
      <c r="AD2599" s="30">
        <v>0</v>
      </c>
      <c r="AE2599" s="89" t="s">
        <v>92</v>
      </c>
      <c r="AF2599" s="89"/>
      <c r="AG2599" s="89" t="s">
        <v>133</v>
      </c>
      <c r="AH2599" s="72">
        <v>43129</v>
      </c>
      <c r="AI2599" s="30">
        <v>1</v>
      </c>
      <c r="AJ2599" s="89" t="s">
        <v>14675</v>
      </c>
      <c r="AK2599" s="89" t="s">
        <v>14676</v>
      </c>
      <c r="AL2599" s="91">
        <v>43140</v>
      </c>
      <c r="AM2599" s="91"/>
      <c r="AN2599" s="91"/>
      <c r="AO2599" s="91"/>
      <c r="AP2599" s="73" t="e">
        <f>MID(VLOOKUP(K2599,#REF!,2,FALSE),1,2)</f>
        <v>#REF!</v>
      </c>
      <c r="AQ2599" s="89">
        <f>DATE(2018,1,21)</f>
        <v>43121</v>
      </c>
      <c r="AR2599" s="82">
        <f t="shared" si="212"/>
        <v>21</v>
      </c>
      <c r="AS2599" s="84">
        <f t="shared" si="213"/>
        <v>1</v>
      </c>
      <c r="AT2599" s="104">
        <f t="shared" si="214"/>
        <v>2018</v>
      </c>
      <c r="AU2599" s="86"/>
      <c r="AV2599" s="87"/>
      <c r="AW2599" s="86"/>
      <c r="AX2599" s="82"/>
      <c r="AY2599" s="84"/>
      <c r="AZ2599" s="104"/>
      <c r="BA2599" s="86"/>
      <c r="BB2599" s="86"/>
    </row>
    <row r="2600" spans="1:54" ht="36.75" customHeight="1">
      <c r="A2600" s="30"/>
      <c r="B2600" s="30" t="s">
        <v>55</v>
      </c>
      <c r="C2600" s="69" t="str">
        <f t="shared" si="211"/>
        <v>Closed</v>
      </c>
      <c r="D2600" s="27" t="s">
        <v>14677</v>
      </c>
      <c r="E2600" s="29" t="s">
        <v>14678</v>
      </c>
      <c r="F2600" s="30" t="s">
        <v>124</v>
      </c>
      <c r="G2600" s="89">
        <f>DATE(2018,1,23)</f>
        <v>43123</v>
      </c>
      <c r="H2600" s="90">
        <v>1.9652777777777777</v>
      </c>
      <c r="I2600" s="30" t="s">
        <v>9026</v>
      </c>
      <c r="J2600" s="89" t="s">
        <v>14679</v>
      </c>
      <c r="K2600" s="30" t="s">
        <v>127</v>
      </c>
      <c r="L2600" s="30" t="s">
        <v>14680</v>
      </c>
      <c r="M2600" s="30" t="s">
        <v>63</v>
      </c>
      <c r="N2600" s="30" t="s">
        <v>99</v>
      </c>
      <c r="O2600" s="30" t="s">
        <v>64</v>
      </c>
      <c r="P2600" s="89" t="s">
        <v>6941</v>
      </c>
      <c r="Q2600" s="89" t="s">
        <v>229</v>
      </c>
      <c r="R2600" s="89" t="s">
        <v>167</v>
      </c>
      <c r="S2600" s="30">
        <v>0</v>
      </c>
      <c r="T2600" s="233">
        <v>0</v>
      </c>
      <c r="U2600" s="30">
        <v>0</v>
      </c>
      <c r="V2600" s="233">
        <v>0</v>
      </c>
      <c r="W2600" s="30">
        <v>0</v>
      </c>
      <c r="X2600" s="30">
        <v>0</v>
      </c>
      <c r="Y2600" s="30">
        <v>0</v>
      </c>
      <c r="Z2600" s="233">
        <v>0</v>
      </c>
      <c r="AA2600" s="30">
        <v>0</v>
      </c>
      <c r="AB2600" s="30">
        <v>0</v>
      </c>
      <c r="AC2600" s="30">
        <v>0</v>
      </c>
      <c r="AD2600" s="30">
        <v>0</v>
      </c>
      <c r="AE2600" s="89" t="s">
        <v>394</v>
      </c>
      <c r="AF2600" s="89"/>
      <c r="AG2600" s="89" t="s">
        <v>82</v>
      </c>
      <c r="AH2600" s="72">
        <v>43132</v>
      </c>
      <c r="AI2600" s="30">
        <v>2</v>
      </c>
      <c r="AJ2600" s="89" t="s">
        <v>14681</v>
      </c>
      <c r="AK2600" s="89" t="s">
        <v>68</v>
      </c>
      <c r="AL2600" s="91">
        <v>43151</v>
      </c>
      <c r="AM2600" s="91"/>
      <c r="AN2600" s="91"/>
      <c r="AO2600" s="91"/>
      <c r="AP2600" s="73" t="e">
        <f>MID(VLOOKUP(K2600,#REF!,2,FALSE),1,2)</f>
        <v>#REF!</v>
      </c>
      <c r="AQ2600" s="89">
        <f>DATE(2018,1,22)</f>
        <v>43122</v>
      </c>
      <c r="AR2600" s="82">
        <f t="shared" si="212"/>
        <v>22</v>
      </c>
      <c r="AS2600" s="83">
        <f t="shared" si="213"/>
        <v>1</v>
      </c>
      <c r="AT2600" s="84">
        <f t="shared" si="214"/>
        <v>2018</v>
      </c>
      <c r="AU2600" s="88">
        <f>DATE(2018,2,9)</f>
        <v>43140</v>
      </c>
      <c r="AV2600" s="88">
        <f>DATE(2018,1,29)</f>
        <v>43129</v>
      </c>
      <c r="AW2600" s="87">
        <f>AU2600-AV2600</f>
        <v>11</v>
      </c>
      <c r="AX2600" s="88">
        <f>DATE(2018,2,9)</f>
        <v>43140</v>
      </c>
      <c r="AY2600" s="83">
        <f>MONTH(AX2600)</f>
        <v>2</v>
      </c>
      <c r="AZ2600" s="84">
        <f>YEAR(AX2600)</f>
        <v>2018</v>
      </c>
      <c r="BA2600" s="86"/>
      <c r="BB2600" s="86"/>
    </row>
    <row r="2601" spans="1:54" ht="36.75" customHeight="1">
      <c r="A2601" s="30"/>
      <c r="B2601" s="30" t="s">
        <v>55</v>
      </c>
      <c r="C2601" s="69" t="str">
        <f t="shared" si="211"/>
        <v>Closed</v>
      </c>
      <c r="D2601" s="27" t="s">
        <v>14682</v>
      </c>
      <c r="E2601" s="29" t="s">
        <v>14683</v>
      </c>
      <c r="F2601" s="30" t="s">
        <v>423</v>
      </c>
      <c r="G2601" s="89">
        <f>DATE(2018,1,24)</f>
        <v>43124</v>
      </c>
      <c r="H2601" s="90">
        <v>1.4750000000000001</v>
      </c>
      <c r="I2601" s="30" t="s">
        <v>116</v>
      </c>
      <c r="J2601" s="89" t="s">
        <v>14684</v>
      </c>
      <c r="K2601" s="30" t="s">
        <v>425</v>
      </c>
      <c r="L2601" s="30" t="s">
        <v>14685</v>
      </c>
      <c r="M2601" s="30" t="s">
        <v>63</v>
      </c>
      <c r="N2601" s="30" t="s">
        <v>99</v>
      </c>
      <c r="O2601" s="30" t="s">
        <v>64</v>
      </c>
      <c r="P2601" s="89" t="s">
        <v>165</v>
      </c>
      <c r="Q2601" s="89" t="s">
        <v>4551</v>
      </c>
      <c r="R2601" s="89" t="s">
        <v>3103</v>
      </c>
      <c r="S2601" s="30">
        <v>0</v>
      </c>
      <c r="T2601" s="233">
        <v>0</v>
      </c>
      <c r="U2601" s="30">
        <v>0</v>
      </c>
      <c r="V2601" s="233">
        <v>0</v>
      </c>
      <c r="W2601" s="30">
        <v>0</v>
      </c>
      <c r="X2601" s="30">
        <v>0</v>
      </c>
      <c r="Y2601" s="30">
        <v>0</v>
      </c>
      <c r="Z2601" s="233">
        <v>0</v>
      </c>
      <c r="AA2601" s="30">
        <v>0</v>
      </c>
      <c r="AB2601" s="30">
        <v>0</v>
      </c>
      <c r="AC2601" s="30">
        <v>0</v>
      </c>
      <c r="AD2601" s="30">
        <v>0</v>
      </c>
      <c r="AE2601" s="89" t="s">
        <v>92</v>
      </c>
      <c r="AF2601" s="89"/>
      <c r="AG2601" s="89" t="s">
        <v>133</v>
      </c>
      <c r="AH2601" s="72">
        <v>43124</v>
      </c>
      <c r="AI2601" s="30">
        <v>0</v>
      </c>
      <c r="AJ2601" s="89" t="s">
        <v>14686</v>
      </c>
      <c r="AK2601" s="89" t="s">
        <v>14687</v>
      </c>
      <c r="AL2601" s="91">
        <v>43129</v>
      </c>
      <c r="AM2601" s="91"/>
      <c r="AN2601" s="91"/>
      <c r="AO2601" s="91"/>
      <c r="AP2601" s="73" t="e">
        <f>MID(VLOOKUP(K2601,#REF!,2,FALSE),1,2)</f>
        <v>#REF!</v>
      </c>
      <c r="AQ2601" s="89">
        <f>DATE(2018,1,23)</f>
        <v>43123</v>
      </c>
      <c r="AR2601" s="82">
        <f t="shared" si="212"/>
        <v>23</v>
      </c>
      <c r="AS2601" s="83">
        <f t="shared" si="213"/>
        <v>1</v>
      </c>
      <c r="AT2601" s="84">
        <f t="shared" si="214"/>
        <v>2018</v>
      </c>
      <c r="AU2601" s="88">
        <f>DATE(2018,2,20)</f>
        <v>43151</v>
      </c>
      <c r="AV2601" s="88">
        <f>DATE(2018,2,1)</f>
        <v>43132</v>
      </c>
      <c r="AW2601" s="87">
        <f>AU2601-AV2601</f>
        <v>19</v>
      </c>
      <c r="AX2601" s="86"/>
      <c r="AY2601" s="83"/>
      <c r="AZ2601" s="84"/>
      <c r="BA2601" s="86"/>
      <c r="BB2601" s="86"/>
    </row>
    <row r="2602" spans="1:54" ht="36.75" customHeight="1">
      <c r="A2602" s="30"/>
      <c r="B2602" s="30" t="s">
        <v>55</v>
      </c>
      <c r="C2602" s="69" t="str">
        <f t="shared" si="211"/>
        <v>Closed</v>
      </c>
      <c r="D2602" s="27" t="s">
        <v>14688</v>
      </c>
      <c r="E2602" s="29" t="s">
        <v>14689</v>
      </c>
      <c r="F2602" s="30" t="s">
        <v>377</v>
      </c>
      <c r="G2602" s="89">
        <f>DATE(2018,1,25)</f>
        <v>43125</v>
      </c>
      <c r="H2602" s="90">
        <v>1.2895833333333333</v>
      </c>
      <c r="I2602" s="30" t="s">
        <v>73</v>
      </c>
      <c r="J2602" s="89" t="s">
        <v>14690</v>
      </c>
      <c r="K2602" s="30" t="s">
        <v>379</v>
      </c>
      <c r="L2602" s="30" t="s">
        <v>14691</v>
      </c>
      <c r="M2602" s="30" t="s">
        <v>63</v>
      </c>
      <c r="N2602" s="30" t="s">
        <v>89</v>
      </c>
      <c r="O2602" s="30" t="s">
        <v>64</v>
      </c>
      <c r="P2602" s="89" t="s">
        <v>165</v>
      </c>
      <c r="Q2602" s="89" t="s">
        <v>8472</v>
      </c>
      <c r="R2602" s="89" t="s">
        <v>382</v>
      </c>
      <c r="S2602" s="30">
        <v>3</v>
      </c>
      <c r="T2602" s="233">
        <v>0</v>
      </c>
      <c r="U2602" s="30">
        <v>0</v>
      </c>
      <c r="V2602" s="233">
        <v>0</v>
      </c>
      <c r="W2602" s="30">
        <v>0</v>
      </c>
      <c r="X2602" s="30">
        <v>3</v>
      </c>
      <c r="Y2602" s="30">
        <v>46</v>
      </c>
      <c r="Z2602" s="233">
        <v>0</v>
      </c>
      <c r="AA2602" s="30">
        <v>0</v>
      </c>
      <c r="AB2602" s="30">
        <v>0</v>
      </c>
      <c r="AC2602" s="30">
        <v>0</v>
      </c>
      <c r="AD2602" s="30">
        <v>46</v>
      </c>
      <c r="AE2602" s="89" t="s">
        <v>145</v>
      </c>
      <c r="AF2602" s="89"/>
      <c r="AG2602" s="89" t="s">
        <v>82</v>
      </c>
      <c r="AH2602" s="72">
        <v>43125</v>
      </c>
      <c r="AI2602" s="30">
        <v>5</v>
      </c>
      <c r="AJ2602" s="89" t="s">
        <v>14692</v>
      </c>
      <c r="AK2602" s="89" t="s">
        <v>14693</v>
      </c>
      <c r="AL2602" s="91">
        <v>43131</v>
      </c>
      <c r="AM2602" s="91"/>
      <c r="AN2602" s="91"/>
      <c r="AO2602" s="91"/>
      <c r="AP2602" s="73" t="e">
        <f>MID(VLOOKUP(K2602,#REF!,2,FALSE),1,2)</f>
        <v>#REF!</v>
      </c>
      <c r="AQ2602" s="89">
        <f>DATE(2018,1,24)</f>
        <v>43124</v>
      </c>
      <c r="AR2602" s="82">
        <f t="shared" si="212"/>
        <v>24</v>
      </c>
      <c r="AS2602" s="83">
        <f t="shared" si="213"/>
        <v>1</v>
      </c>
      <c r="AT2602" s="84">
        <f t="shared" si="214"/>
        <v>2018</v>
      </c>
      <c r="AU2602" s="88">
        <f>DATE(2018,1,29)</f>
        <v>43129</v>
      </c>
      <c r="AV2602" s="88">
        <f>DATE(2018,1,24)</f>
        <v>43124</v>
      </c>
      <c r="AW2602" s="87">
        <f>AU2602-AV2602</f>
        <v>5</v>
      </c>
      <c r="AX2602" s="106"/>
      <c r="AY2602" s="83"/>
      <c r="AZ2602" s="84"/>
      <c r="BA2602" s="106"/>
      <c r="BB2602" s="106"/>
    </row>
    <row r="2603" spans="1:54" ht="36.75" customHeight="1">
      <c r="A2603" s="30"/>
      <c r="B2603" s="30" t="s">
        <v>55</v>
      </c>
      <c r="C2603" s="69" t="str">
        <f t="shared" si="211"/>
        <v>Closed</v>
      </c>
      <c r="D2603" s="27" t="s">
        <v>14694</v>
      </c>
      <c r="E2603" s="29" t="s">
        <v>14695</v>
      </c>
      <c r="F2603" s="30" t="s">
        <v>835</v>
      </c>
      <c r="G2603" s="89">
        <f>DATE(2018,1,27)</f>
        <v>43127</v>
      </c>
      <c r="H2603" s="90">
        <v>1.1145833333333333</v>
      </c>
      <c r="I2603" s="30" t="s">
        <v>73</v>
      </c>
      <c r="J2603" s="89" t="s">
        <v>14696</v>
      </c>
      <c r="K2603" s="30" t="s">
        <v>837</v>
      </c>
      <c r="L2603" s="30" t="s">
        <v>12786</v>
      </c>
      <c r="M2603" s="30" t="s">
        <v>63</v>
      </c>
      <c r="N2603" s="30" t="s">
        <v>142</v>
      </c>
      <c r="O2603" s="30" t="s">
        <v>77</v>
      </c>
      <c r="P2603" s="89" t="s">
        <v>78</v>
      </c>
      <c r="Q2603" s="89" t="s">
        <v>1397</v>
      </c>
      <c r="R2603" s="89" t="s">
        <v>840</v>
      </c>
      <c r="S2603" s="30">
        <v>0</v>
      </c>
      <c r="T2603" s="233">
        <v>0</v>
      </c>
      <c r="U2603" s="30">
        <v>0</v>
      </c>
      <c r="V2603" s="233">
        <v>0</v>
      </c>
      <c r="W2603" s="30">
        <v>0</v>
      </c>
      <c r="X2603" s="30">
        <v>0</v>
      </c>
      <c r="Y2603" s="30">
        <v>0</v>
      </c>
      <c r="Z2603" s="233">
        <v>0</v>
      </c>
      <c r="AA2603" s="30">
        <v>0</v>
      </c>
      <c r="AB2603" s="30">
        <v>0</v>
      </c>
      <c r="AC2603" s="30">
        <v>0</v>
      </c>
      <c r="AD2603" s="30">
        <v>0</v>
      </c>
      <c r="AE2603" s="89" t="s">
        <v>92</v>
      </c>
      <c r="AF2603" s="89"/>
      <c r="AG2603" s="89" t="s">
        <v>352</v>
      </c>
      <c r="AH2603" s="72">
        <v>43127</v>
      </c>
      <c r="AI2603" s="30">
        <v>0</v>
      </c>
      <c r="AJ2603" s="89" t="s">
        <v>14697</v>
      </c>
      <c r="AK2603" s="89" t="s">
        <v>1233</v>
      </c>
      <c r="AL2603" s="91">
        <v>43132</v>
      </c>
      <c r="AM2603" s="91"/>
      <c r="AN2603" s="91"/>
      <c r="AO2603" s="91"/>
      <c r="AP2603" s="73" t="e">
        <f>MID(VLOOKUP(K2603,#REF!,2,FALSE),1,2)</f>
        <v>#REF!</v>
      </c>
      <c r="AQ2603" s="89">
        <f>DATE(2018,1,25)</f>
        <v>43125</v>
      </c>
      <c r="AR2603" s="82">
        <f t="shared" si="212"/>
        <v>25</v>
      </c>
      <c r="AS2603" s="83">
        <f t="shared" si="213"/>
        <v>1</v>
      </c>
      <c r="AT2603" s="84">
        <f t="shared" si="214"/>
        <v>2018</v>
      </c>
      <c r="AU2603" s="88">
        <f>DATE(2018,1,31)</f>
        <v>43131</v>
      </c>
      <c r="AV2603" s="88">
        <f>DATE(2018,1,25)</f>
        <v>43125</v>
      </c>
      <c r="AW2603" s="87">
        <f>AU2603-AV2603</f>
        <v>6</v>
      </c>
      <c r="AX2603" s="88">
        <f>DATE(2018,1,31)</f>
        <v>43131</v>
      </c>
      <c r="AY2603" s="83">
        <f>MONTH(AX2603)</f>
        <v>1</v>
      </c>
      <c r="AZ2603" s="84">
        <f>YEAR(AX2603)</f>
        <v>2018</v>
      </c>
      <c r="BA2603" s="88">
        <f>DATE(2018,1,25)</f>
        <v>43125</v>
      </c>
      <c r="BB2603" s="86"/>
    </row>
    <row r="2604" spans="1:54" ht="36.75" customHeight="1">
      <c r="A2604" s="30"/>
      <c r="B2604" s="30" t="s">
        <v>55</v>
      </c>
      <c r="C2604" s="69" t="str">
        <f t="shared" si="211"/>
        <v>Closed</v>
      </c>
      <c r="D2604" s="27" t="s">
        <v>14698</v>
      </c>
      <c r="E2604" s="29" t="s">
        <v>14699</v>
      </c>
      <c r="F2604" s="30" t="s">
        <v>423</v>
      </c>
      <c r="G2604" s="89">
        <f>DATE(2018,1,31)</f>
        <v>43131</v>
      </c>
      <c r="H2604" s="90">
        <v>1.1888888888888889</v>
      </c>
      <c r="I2604" s="30" t="s">
        <v>116</v>
      </c>
      <c r="J2604" s="89" t="s">
        <v>14700</v>
      </c>
      <c r="K2604" s="30" t="s">
        <v>425</v>
      </c>
      <c r="L2604" s="30" t="s">
        <v>14701</v>
      </c>
      <c r="M2604" s="30" t="s">
        <v>63</v>
      </c>
      <c r="N2604" s="30" t="s">
        <v>99</v>
      </c>
      <c r="O2604" s="30" t="s">
        <v>64</v>
      </c>
      <c r="P2604" s="89" t="s">
        <v>165</v>
      </c>
      <c r="Q2604" s="89" t="s">
        <v>4551</v>
      </c>
      <c r="R2604" s="89" t="s">
        <v>3103</v>
      </c>
      <c r="S2604" s="30">
        <v>0</v>
      </c>
      <c r="T2604" s="233">
        <v>0</v>
      </c>
      <c r="U2604" s="30">
        <v>1</v>
      </c>
      <c r="V2604" s="233">
        <v>0</v>
      </c>
      <c r="W2604" s="30">
        <v>0</v>
      </c>
      <c r="X2604" s="30">
        <v>1</v>
      </c>
      <c r="Y2604" s="30">
        <v>0</v>
      </c>
      <c r="Z2604" s="233">
        <v>0</v>
      </c>
      <c r="AA2604" s="30">
        <v>1</v>
      </c>
      <c r="AB2604" s="30">
        <v>0</v>
      </c>
      <c r="AC2604" s="30">
        <v>0</v>
      </c>
      <c r="AD2604" s="30">
        <v>1</v>
      </c>
      <c r="AE2604" s="89" t="s">
        <v>92</v>
      </c>
      <c r="AF2604" s="89"/>
      <c r="AG2604" s="89" t="s">
        <v>133</v>
      </c>
      <c r="AH2604" s="72">
        <v>43131</v>
      </c>
      <c r="AI2604" s="30">
        <v>2</v>
      </c>
      <c r="AJ2604" s="89" t="s">
        <v>14702</v>
      </c>
      <c r="AK2604" s="89" t="s">
        <v>14703</v>
      </c>
      <c r="AL2604" s="91">
        <v>43133</v>
      </c>
      <c r="AM2604" s="91"/>
      <c r="AN2604" s="91"/>
      <c r="AO2604" s="91"/>
      <c r="AP2604" s="73" t="e">
        <f>MID(VLOOKUP(K2604,#REF!,2,FALSE),1,2)</f>
        <v>#REF!</v>
      </c>
      <c r="AQ2604" s="89">
        <f>DATE(2018,1,27)</f>
        <v>43127</v>
      </c>
      <c r="AR2604" s="82">
        <f t="shared" si="212"/>
        <v>27</v>
      </c>
      <c r="AS2604" s="84">
        <f t="shared" si="213"/>
        <v>1</v>
      </c>
      <c r="AT2604" s="104">
        <f t="shared" si="214"/>
        <v>2018</v>
      </c>
      <c r="AU2604" s="86"/>
      <c r="AV2604" s="87"/>
      <c r="AW2604" s="86"/>
      <c r="AX2604" s="82"/>
      <c r="AY2604" s="84"/>
      <c r="AZ2604" s="104"/>
      <c r="BA2604" s="86"/>
      <c r="BB2604" s="86"/>
    </row>
    <row r="2605" spans="1:54" ht="36.75" customHeight="1">
      <c r="A2605" s="30"/>
      <c r="B2605" s="30" t="s">
        <v>55</v>
      </c>
      <c r="C2605" s="69" t="str">
        <f t="shared" si="211"/>
        <v>Closed</v>
      </c>
      <c r="D2605" s="27" t="s">
        <v>14704</v>
      </c>
      <c r="E2605" s="29" t="s">
        <v>14705</v>
      </c>
      <c r="F2605" s="30" t="s">
        <v>233</v>
      </c>
      <c r="G2605" s="89">
        <f>DATE(2018,1,31)</f>
        <v>43131</v>
      </c>
      <c r="H2605" s="90">
        <v>0</v>
      </c>
      <c r="I2605" s="30" t="s">
        <v>278</v>
      </c>
      <c r="J2605" s="89" t="s">
        <v>14706</v>
      </c>
      <c r="K2605" s="30" t="s">
        <v>235</v>
      </c>
      <c r="L2605" s="30" t="s">
        <v>14707</v>
      </c>
      <c r="M2605" s="30" t="s">
        <v>129</v>
      </c>
      <c r="N2605" s="30" t="s">
        <v>99</v>
      </c>
      <c r="O2605" s="30" t="s">
        <v>77</v>
      </c>
      <c r="P2605" s="89" t="s">
        <v>129</v>
      </c>
      <c r="Q2605" s="89" t="s">
        <v>683</v>
      </c>
      <c r="R2605" s="89" t="s">
        <v>235</v>
      </c>
      <c r="S2605" s="30">
        <v>0</v>
      </c>
      <c r="T2605" s="233">
        <v>0</v>
      </c>
      <c r="U2605" s="30">
        <v>0</v>
      </c>
      <c r="V2605" s="233">
        <v>0</v>
      </c>
      <c r="W2605" s="30">
        <v>0</v>
      </c>
      <c r="X2605" s="30">
        <v>0</v>
      </c>
      <c r="Y2605" s="30">
        <v>1</v>
      </c>
      <c r="Z2605" s="233">
        <v>0</v>
      </c>
      <c r="AA2605" s="30">
        <v>0</v>
      </c>
      <c r="AB2605" s="30">
        <v>0</v>
      </c>
      <c r="AC2605" s="30">
        <v>0</v>
      </c>
      <c r="AD2605" s="30">
        <v>1</v>
      </c>
      <c r="AE2605" s="89" t="s">
        <v>92</v>
      </c>
      <c r="AF2605" s="89"/>
      <c r="AG2605" s="89" t="s">
        <v>133</v>
      </c>
      <c r="AH2605" s="72">
        <v>43136</v>
      </c>
      <c r="AI2605" s="30">
        <v>5</v>
      </c>
      <c r="AJ2605" s="89" t="s">
        <v>14708</v>
      </c>
      <c r="AK2605" s="89" t="s">
        <v>14709</v>
      </c>
      <c r="AL2605" s="91">
        <v>43164</v>
      </c>
      <c r="AM2605" s="91"/>
      <c r="AN2605" s="91"/>
      <c r="AO2605" s="91"/>
      <c r="AP2605" s="73" t="e">
        <f>MID(VLOOKUP(K2605,#REF!,2,FALSE),1,2)</f>
        <v>#REF!</v>
      </c>
      <c r="AQ2605" s="89">
        <f>DATE(2018,1,31)</f>
        <v>43131</v>
      </c>
      <c r="AR2605" s="82">
        <f t="shared" si="212"/>
        <v>31</v>
      </c>
      <c r="AS2605" s="83">
        <f t="shared" si="213"/>
        <v>1</v>
      </c>
      <c r="AT2605" s="84">
        <f t="shared" si="214"/>
        <v>2018</v>
      </c>
      <c r="AU2605" s="88">
        <f>DATE(2018,2,2)</f>
        <v>43133</v>
      </c>
      <c r="AV2605" s="88">
        <f>DATE(2018,1,31)</f>
        <v>43131</v>
      </c>
      <c r="AW2605" s="87">
        <f>AU2605-AV2605</f>
        <v>2</v>
      </c>
      <c r="AX2605" s="86"/>
      <c r="AY2605" s="83"/>
      <c r="AZ2605" s="84"/>
      <c r="BA2605" s="86"/>
      <c r="BB2605" s="86"/>
    </row>
    <row r="2606" spans="1:54" ht="36.75" customHeight="1">
      <c r="A2606" s="30"/>
      <c r="B2606" s="30" t="s">
        <v>55</v>
      </c>
      <c r="C2606" s="69" t="str">
        <f t="shared" si="211"/>
        <v>Closed</v>
      </c>
      <c r="D2606" s="27" t="s">
        <v>14710</v>
      </c>
      <c r="E2606" s="29" t="s">
        <v>14711</v>
      </c>
      <c r="F2606" s="30" t="s">
        <v>1572</v>
      </c>
      <c r="G2606" s="89">
        <f>DATE(2018,2,1)</f>
        <v>43132</v>
      </c>
      <c r="H2606" s="90">
        <v>1.2222222222222223</v>
      </c>
      <c r="I2606" s="30" t="s">
        <v>73</v>
      </c>
      <c r="J2606" s="89" t="s">
        <v>14712</v>
      </c>
      <c r="K2606" s="30" t="s">
        <v>1574</v>
      </c>
      <c r="L2606" s="30" t="s">
        <v>14713</v>
      </c>
      <c r="M2606" s="30" t="s">
        <v>63</v>
      </c>
      <c r="N2606" s="30" t="s">
        <v>99</v>
      </c>
      <c r="O2606" s="30" t="s">
        <v>64</v>
      </c>
      <c r="P2606" s="89" t="s">
        <v>78</v>
      </c>
      <c r="Q2606" s="89" t="s">
        <v>4920</v>
      </c>
      <c r="R2606" s="89" t="s">
        <v>6434</v>
      </c>
      <c r="S2606" s="30">
        <v>0</v>
      </c>
      <c r="T2606" s="233">
        <v>0</v>
      </c>
      <c r="U2606" s="30">
        <v>0</v>
      </c>
      <c r="V2606" s="233">
        <v>0</v>
      </c>
      <c r="W2606" s="30">
        <v>0</v>
      </c>
      <c r="X2606" s="30">
        <v>0</v>
      </c>
      <c r="Y2606" s="30">
        <v>0</v>
      </c>
      <c r="Z2606" s="233">
        <v>0</v>
      </c>
      <c r="AA2606" s="30">
        <v>0</v>
      </c>
      <c r="AB2606" s="30">
        <v>0</v>
      </c>
      <c r="AC2606" s="30">
        <v>0</v>
      </c>
      <c r="AD2606" s="30">
        <v>0</v>
      </c>
      <c r="AE2606" s="89" t="s">
        <v>394</v>
      </c>
      <c r="AF2606" s="89"/>
      <c r="AG2606" s="89" t="s">
        <v>133</v>
      </c>
      <c r="AH2606" s="72">
        <v>43132</v>
      </c>
      <c r="AI2606" s="30">
        <v>1</v>
      </c>
      <c r="AJ2606" s="89" t="s">
        <v>14714</v>
      </c>
      <c r="AK2606" s="89" t="s">
        <v>14715</v>
      </c>
      <c r="AL2606" s="91">
        <v>43132</v>
      </c>
      <c r="AM2606" s="91"/>
      <c r="AN2606" s="91"/>
      <c r="AO2606" s="91"/>
      <c r="AP2606" s="73" t="e">
        <f>MID(VLOOKUP(K2606,#REF!,2,FALSE),1,2)</f>
        <v>#REF!</v>
      </c>
      <c r="AQ2606" s="89">
        <f>DATE(2018,1,31)</f>
        <v>43131</v>
      </c>
      <c r="AR2606" s="82">
        <f t="shared" si="212"/>
        <v>31</v>
      </c>
      <c r="AS2606" s="83">
        <f t="shared" si="213"/>
        <v>1</v>
      </c>
      <c r="AT2606" s="84">
        <f t="shared" si="214"/>
        <v>2018</v>
      </c>
      <c r="AU2606" s="88">
        <f>DATE(2018,3,5)</f>
        <v>43164</v>
      </c>
      <c r="AV2606" s="88">
        <f>DATE(2018,2,5)</f>
        <v>43136</v>
      </c>
      <c r="AW2606" s="87">
        <f>AU2606-AV2606</f>
        <v>28</v>
      </c>
      <c r="AX2606" s="88">
        <f>DATE(2018,3,5)</f>
        <v>43164</v>
      </c>
      <c r="AY2606" s="83">
        <f>MONTH(AX2606)</f>
        <v>3</v>
      </c>
      <c r="AZ2606" s="84">
        <f>YEAR(AX2606)</f>
        <v>2018</v>
      </c>
      <c r="BA2606" s="86"/>
      <c r="BB2606" s="86"/>
    </row>
    <row r="2607" spans="1:54" ht="36.75" customHeight="1">
      <c r="A2607" s="30"/>
      <c r="B2607" s="30" t="s">
        <v>55</v>
      </c>
      <c r="C2607" s="69" t="str">
        <f t="shared" si="211"/>
        <v>Closed</v>
      </c>
      <c r="D2607" s="27" t="s">
        <v>14716</v>
      </c>
      <c r="E2607" s="29" t="s">
        <v>14717</v>
      </c>
      <c r="F2607" s="30" t="s">
        <v>138</v>
      </c>
      <c r="G2607" s="89">
        <f>DATE(2018,2,1)</f>
        <v>43132</v>
      </c>
      <c r="H2607" s="90">
        <v>1.3298611111111112</v>
      </c>
      <c r="I2607" s="30" t="s">
        <v>116</v>
      </c>
      <c r="J2607" s="89" t="s">
        <v>14718</v>
      </c>
      <c r="K2607" s="30" t="s">
        <v>140</v>
      </c>
      <c r="L2607" s="30" t="s">
        <v>14719</v>
      </c>
      <c r="M2607" s="30" t="s">
        <v>63</v>
      </c>
      <c r="N2607" s="30" t="s">
        <v>99</v>
      </c>
      <c r="O2607" s="30" t="s">
        <v>64</v>
      </c>
      <c r="P2607" s="89" t="s">
        <v>78</v>
      </c>
      <c r="Q2607" s="89" t="s">
        <v>143</v>
      </c>
      <c r="R2607" s="89" t="s">
        <v>4934</v>
      </c>
      <c r="S2607" s="30">
        <v>0</v>
      </c>
      <c r="T2607" s="233">
        <v>0</v>
      </c>
      <c r="U2607" s="30">
        <v>0</v>
      </c>
      <c r="V2607" s="233">
        <v>0</v>
      </c>
      <c r="W2607" s="30">
        <v>0</v>
      </c>
      <c r="X2607" s="30">
        <v>0</v>
      </c>
      <c r="Y2607" s="30">
        <v>0</v>
      </c>
      <c r="Z2607" s="233">
        <v>1</v>
      </c>
      <c r="AA2607" s="30">
        <v>0</v>
      </c>
      <c r="AB2607" s="30">
        <v>0</v>
      </c>
      <c r="AC2607" s="30">
        <v>0</v>
      </c>
      <c r="AD2607" s="30">
        <v>1</v>
      </c>
      <c r="AE2607" s="89" t="s">
        <v>394</v>
      </c>
      <c r="AF2607" s="89"/>
      <c r="AG2607" s="89" t="s">
        <v>82</v>
      </c>
      <c r="AH2607" s="72">
        <v>43140</v>
      </c>
      <c r="AI2607" s="30">
        <v>5</v>
      </c>
      <c r="AJ2607" s="89" t="s">
        <v>14720</v>
      </c>
      <c r="AK2607" s="89" t="s">
        <v>14721</v>
      </c>
      <c r="AL2607" s="91">
        <v>43146</v>
      </c>
      <c r="AM2607" s="91"/>
      <c r="AN2607" s="91"/>
      <c r="AO2607" s="91"/>
      <c r="AP2607" s="73" t="e">
        <f>MID(VLOOKUP(K2607,#REF!,2,FALSE),1,2)</f>
        <v>#REF!</v>
      </c>
      <c r="AQ2607" s="89">
        <f>DATE(2018,2,1)</f>
        <v>43132</v>
      </c>
      <c r="AR2607" s="82">
        <f t="shared" si="212"/>
        <v>1</v>
      </c>
      <c r="AS2607" s="83">
        <f t="shared" si="213"/>
        <v>2</v>
      </c>
      <c r="AT2607" s="84">
        <f t="shared" si="214"/>
        <v>2018</v>
      </c>
      <c r="AU2607" s="88">
        <f>DATE(2018,2,1)</f>
        <v>43132</v>
      </c>
      <c r="AV2607" s="88">
        <f>DATE(2018,2,1)</f>
        <v>43132</v>
      </c>
      <c r="AW2607" s="87">
        <f>AU2607-AV2607</f>
        <v>0</v>
      </c>
      <c r="AX2607" s="88">
        <f>DATE(2018,2,1)</f>
        <v>43132</v>
      </c>
      <c r="AY2607" s="83">
        <f>MONTH(AX2607)</f>
        <v>2</v>
      </c>
      <c r="AZ2607" s="84">
        <f>YEAR(AX2607)</f>
        <v>2018</v>
      </c>
      <c r="BA2607" s="88">
        <f>DATE(2018,2,1)</f>
        <v>43132</v>
      </c>
      <c r="BB2607" s="86"/>
    </row>
    <row r="2608" spans="1:54" ht="36.75" customHeight="1">
      <c r="A2608" s="30"/>
      <c r="B2608" s="30" t="s">
        <v>55</v>
      </c>
      <c r="C2608" s="69" t="str">
        <f t="shared" si="211"/>
        <v>Closed</v>
      </c>
      <c r="D2608" s="27" t="s">
        <v>14722</v>
      </c>
      <c r="E2608" s="29" t="s">
        <v>14723</v>
      </c>
      <c r="F2608" s="30" t="s">
        <v>423</v>
      </c>
      <c r="G2608" s="89">
        <f>DATE(2018,2,3)</f>
        <v>43134</v>
      </c>
      <c r="H2608" s="90">
        <v>1.3576388888888888</v>
      </c>
      <c r="I2608" s="30" t="s">
        <v>198</v>
      </c>
      <c r="J2608" s="89" t="s">
        <v>14724</v>
      </c>
      <c r="K2608" s="30" t="s">
        <v>425</v>
      </c>
      <c r="L2608" s="30" t="s">
        <v>14725</v>
      </c>
      <c r="M2608" s="30" t="s">
        <v>63</v>
      </c>
      <c r="N2608" s="30" t="s">
        <v>142</v>
      </c>
      <c r="O2608" s="30" t="s">
        <v>77</v>
      </c>
      <c r="P2608" s="89" t="s">
        <v>14726</v>
      </c>
      <c r="Q2608" s="89" t="s">
        <v>2582</v>
      </c>
      <c r="R2608" s="89" t="s">
        <v>3103</v>
      </c>
      <c r="S2608" s="30">
        <v>0</v>
      </c>
      <c r="T2608" s="233">
        <v>0</v>
      </c>
      <c r="U2608" s="30">
        <v>0</v>
      </c>
      <c r="V2608" s="233">
        <v>0</v>
      </c>
      <c r="W2608" s="30">
        <v>0</v>
      </c>
      <c r="X2608" s="30">
        <v>0</v>
      </c>
      <c r="Y2608" s="30">
        <v>0</v>
      </c>
      <c r="Z2608" s="233">
        <v>0</v>
      </c>
      <c r="AA2608" s="30">
        <v>0</v>
      </c>
      <c r="AB2608" s="30">
        <v>0</v>
      </c>
      <c r="AC2608" s="30">
        <v>0</v>
      </c>
      <c r="AD2608" s="30">
        <v>0</v>
      </c>
      <c r="AE2608" s="89" t="s">
        <v>92</v>
      </c>
      <c r="AF2608" s="89"/>
      <c r="AG2608" s="89" t="s">
        <v>133</v>
      </c>
      <c r="AH2608" s="72">
        <v>43161</v>
      </c>
      <c r="AI2608" s="30">
        <v>1</v>
      </c>
      <c r="AJ2608" s="89" t="s">
        <v>14727</v>
      </c>
      <c r="AK2608" s="89" t="s">
        <v>14728</v>
      </c>
      <c r="AL2608" s="91">
        <v>43137</v>
      </c>
      <c r="AM2608" s="91"/>
      <c r="AN2608" s="91"/>
      <c r="AO2608" s="91"/>
      <c r="AP2608" s="73" t="e">
        <f>MID(VLOOKUP(K2608,#REF!,2,FALSE),1,2)</f>
        <v>#REF!</v>
      </c>
      <c r="AQ2608" s="89">
        <f>DATE(2018,2,1)</f>
        <v>43132</v>
      </c>
      <c r="AR2608" s="82">
        <f t="shared" si="212"/>
        <v>1</v>
      </c>
      <c r="AS2608" s="83">
        <f t="shared" si="213"/>
        <v>2</v>
      </c>
      <c r="AT2608" s="84">
        <f t="shared" si="214"/>
        <v>2018</v>
      </c>
      <c r="AU2608" s="88">
        <f>DATE(2018,2,15)</f>
        <v>43146</v>
      </c>
      <c r="AV2608" s="88">
        <f>DATE(2018,2,9)</f>
        <v>43140</v>
      </c>
      <c r="AW2608" s="87">
        <f>AU2608-AV2608</f>
        <v>6</v>
      </c>
      <c r="AX2608" s="86"/>
      <c r="AY2608" s="83"/>
      <c r="AZ2608" s="84"/>
      <c r="BA2608" s="88">
        <f>DATE(2018,2,13)</f>
        <v>43144</v>
      </c>
      <c r="BB2608" s="86"/>
    </row>
    <row r="2609" spans="1:54" ht="36.75" customHeight="1">
      <c r="A2609" s="30"/>
      <c r="B2609" s="30" t="s">
        <v>55</v>
      </c>
      <c r="C2609" s="69" t="str">
        <f t="shared" si="211"/>
        <v>Closed</v>
      </c>
      <c r="D2609" s="27" t="s">
        <v>14729</v>
      </c>
      <c r="E2609" s="29" t="s">
        <v>14730</v>
      </c>
      <c r="F2609" s="30" t="s">
        <v>835</v>
      </c>
      <c r="G2609" s="89">
        <f>DATE(2018,2,4)</f>
        <v>43135</v>
      </c>
      <c r="H2609" s="90">
        <v>1.3062499999999999</v>
      </c>
      <c r="I2609" s="30" t="s">
        <v>73</v>
      </c>
      <c r="J2609" s="89" t="s">
        <v>14731</v>
      </c>
      <c r="K2609" s="30" t="s">
        <v>837</v>
      </c>
      <c r="L2609" s="30" t="s">
        <v>14732</v>
      </c>
      <c r="M2609" s="30" t="s">
        <v>255</v>
      </c>
      <c r="N2609" s="30" t="s">
        <v>142</v>
      </c>
      <c r="O2609" s="30" t="s">
        <v>77</v>
      </c>
      <c r="P2609" s="89" t="s">
        <v>6552</v>
      </c>
      <c r="Q2609" s="89" t="s">
        <v>4210</v>
      </c>
      <c r="R2609" s="89" t="s">
        <v>4210</v>
      </c>
      <c r="S2609" s="30">
        <v>0</v>
      </c>
      <c r="T2609" s="233">
        <v>0</v>
      </c>
      <c r="U2609" s="30">
        <v>0</v>
      </c>
      <c r="V2609" s="233">
        <v>0</v>
      </c>
      <c r="W2609" s="30">
        <v>0</v>
      </c>
      <c r="X2609" s="30">
        <v>0</v>
      </c>
      <c r="Y2609" s="30">
        <v>0</v>
      </c>
      <c r="Z2609" s="233">
        <v>0</v>
      </c>
      <c r="AA2609" s="30">
        <v>0</v>
      </c>
      <c r="AB2609" s="30">
        <v>0</v>
      </c>
      <c r="AC2609" s="30">
        <v>0</v>
      </c>
      <c r="AD2609" s="30">
        <v>0</v>
      </c>
      <c r="AE2609" s="89" t="s">
        <v>92</v>
      </c>
      <c r="AF2609" s="89"/>
      <c r="AG2609" s="89" t="s">
        <v>11890</v>
      </c>
      <c r="AH2609" s="72">
        <v>43136</v>
      </c>
      <c r="AI2609" s="30">
        <v>0</v>
      </c>
      <c r="AJ2609" s="89" t="s">
        <v>14733</v>
      </c>
      <c r="AK2609" s="89" t="s">
        <v>14734</v>
      </c>
      <c r="AL2609" s="91">
        <v>43608</v>
      </c>
      <c r="AM2609" s="91"/>
      <c r="AN2609" s="91"/>
      <c r="AO2609" s="91"/>
      <c r="AP2609" s="73" t="e">
        <f>MID(VLOOKUP(K2609,#REF!,2,FALSE),1,2)</f>
        <v>#REF!</v>
      </c>
      <c r="AQ2609" s="89">
        <f>DATE(2018,2,3)</f>
        <v>43134</v>
      </c>
      <c r="AR2609" s="82">
        <f t="shared" si="212"/>
        <v>3</v>
      </c>
      <c r="AS2609" s="83">
        <f t="shared" si="213"/>
        <v>2</v>
      </c>
      <c r="AT2609" s="84">
        <f t="shared" si="214"/>
        <v>2018</v>
      </c>
      <c r="AU2609" s="88">
        <f>DATE(2018,2,6)</f>
        <v>43137</v>
      </c>
      <c r="AV2609" s="88">
        <f>DATE(2018,2,3)</f>
        <v>43134</v>
      </c>
      <c r="AW2609" s="87">
        <f>AU2609-AV2609</f>
        <v>3</v>
      </c>
      <c r="AX2609" s="86"/>
      <c r="AY2609" s="83"/>
      <c r="AZ2609" s="84"/>
      <c r="BA2609" s="86"/>
      <c r="BB2609" s="86"/>
    </row>
    <row r="2610" spans="1:54" ht="36.75" customHeight="1">
      <c r="A2610" s="30"/>
      <c r="B2610" s="30" t="s">
        <v>55</v>
      </c>
      <c r="C2610" s="69" t="str">
        <f t="shared" si="211"/>
        <v>Closed</v>
      </c>
      <c r="D2610" s="27" t="s">
        <v>14735</v>
      </c>
      <c r="E2610" s="29" t="s">
        <v>14736</v>
      </c>
      <c r="F2610" s="30" t="s">
        <v>5427</v>
      </c>
      <c r="G2610" s="89">
        <f>DATE(2018,2,4)</f>
        <v>43135</v>
      </c>
      <c r="H2610" s="90">
        <v>1.3784722222222223</v>
      </c>
      <c r="I2610" s="30" t="s">
        <v>73</v>
      </c>
      <c r="J2610" s="89" t="s">
        <v>14737</v>
      </c>
      <c r="K2610" s="30" t="s">
        <v>596</v>
      </c>
      <c r="L2610" s="30" t="s">
        <v>14738</v>
      </c>
      <c r="M2610" s="30" t="s">
        <v>63</v>
      </c>
      <c r="N2610" s="30" t="s">
        <v>99</v>
      </c>
      <c r="O2610" s="30" t="s">
        <v>77</v>
      </c>
      <c r="P2610" s="89" t="s">
        <v>78</v>
      </c>
      <c r="Q2610" s="89" t="s">
        <v>13142</v>
      </c>
      <c r="R2610" s="89" t="s">
        <v>12074</v>
      </c>
      <c r="S2610" s="30">
        <v>0</v>
      </c>
      <c r="T2610" s="233">
        <v>0</v>
      </c>
      <c r="U2610" s="30">
        <v>0</v>
      </c>
      <c r="V2610" s="233">
        <v>0</v>
      </c>
      <c r="W2610" s="30">
        <v>0</v>
      </c>
      <c r="X2610" s="30">
        <v>0</v>
      </c>
      <c r="Y2610" s="30">
        <v>0</v>
      </c>
      <c r="Z2610" s="233">
        <v>0</v>
      </c>
      <c r="AA2610" s="30">
        <v>0</v>
      </c>
      <c r="AB2610" s="30">
        <v>0</v>
      </c>
      <c r="AC2610" s="30">
        <v>0</v>
      </c>
      <c r="AD2610" s="30">
        <v>0</v>
      </c>
      <c r="AE2610" s="89" t="s">
        <v>394</v>
      </c>
      <c r="AF2610" s="89"/>
      <c r="AG2610" s="89" t="s">
        <v>82</v>
      </c>
      <c r="AH2610" s="72">
        <v>43314</v>
      </c>
      <c r="AI2610" s="30">
        <v>0</v>
      </c>
      <c r="AJ2610" s="89" t="s">
        <v>14739</v>
      </c>
      <c r="AK2610" s="89" t="s">
        <v>14740</v>
      </c>
      <c r="AL2610" s="91">
        <v>43152</v>
      </c>
      <c r="AM2610" s="91"/>
      <c r="AN2610" s="91"/>
      <c r="AO2610" s="91"/>
      <c r="AP2610" s="73" t="e">
        <f>MID(VLOOKUP(K2610,#REF!,2,FALSE),1,2)</f>
        <v>#REF!</v>
      </c>
      <c r="AQ2610" s="89">
        <f>DATE(2018,2,4)</f>
        <v>43135</v>
      </c>
      <c r="AR2610" s="82">
        <f t="shared" si="212"/>
        <v>4</v>
      </c>
      <c r="AS2610" s="84">
        <f t="shared" si="213"/>
        <v>2</v>
      </c>
      <c r="AT2610" s="104">
        <f t="shared" si="214"/>
        <v>2018</v>
      </c>
      <c r="AU2610" s="86"/>
      <c r="AV2610" s="87"/>
      <c r="AW2610" s="86"/>
      <c r="AX2610" s="82"/>
      <c r="AY2610" s="84"/>
      <c r="AZ2610" s="104"/>
      <c r="BA2610" s="86"/>
      <c r="BB2610" s="86"/>
    </row>
    <row r="2611" spans="1:54" ht="36.75" customHeight="1">
      <c r="A2611" s="30" t="s">
        <v>12471</v>
      </c>
      <c r="B2611" s="30" t="s">
        <v>55</v>
      </c>
      <c r="C2611" s="69" t="str">
        <f t="shared" si="211"/>
        <v>Closed</v>
      </c>
      <c r="D2611" s="36" t="s">
        <v>14741</v>
      </c>
      <c r="E2611" s="28" t="s">
        <v>13283</v>
      </c>
      <c r="F2611" s="5" t="s">
        <v>12910</v>
      </c>
      <c r="G2611" s="89">
        <f>DATE(2018,2,5)</f>
        <v>43136</v>
      </c>
      <c r="H2611" s="103">
        <v>0.2986111111111111</v>
      </c>
      <c r="I2611" s="5" t="s">
        <v>5494</v>
      </c>
      <c r="J2611" s="28" t="s">
        <v>14742</v>
      </c>
      <c r="K2611" s="5" t="s">
        <v>453</v>
      </c>
      <c r="L2611" s="5" t="s">
        <v>14743</v>
      </c>
      <c r="M2611" s="5"/>
      <c r="N2611" s="5"/>
      <c r="O2611" s="5" t="s">
        <v>64</v>
      </c>
      <c r="P2611" s="28" t="s">
        <v>65</v>
      </c>
      <c r="Q2611" s="28" t="s">
        <v>12912</v>
      </c>
      <c r="R2611" s="28" t="s">
        <v>12913</v>
      </c>
      <c r="S2611" s="5">
        <v>0</v>
      </c>
      <c r="T2611" s="28">
        <v>0</v>
      </c>
      <c r="U2611" s="5">
        <v>0</v>
      </c>
      <c r="V2611" s="28">
        <v>0</v>
      </c>
      <c r="W2611" s="5">
        <v>0</v>
      </c>
      <c r="X2611" s="5">
        <v>0</v>
      </c>
      <c r="Y2611" s="5">
        <v>1</v>
      </c>
      <c r="Z2611" s="28">
        <v>0</v>
      </c>
      <c r="AA2611" s="5">
        <v>0</v>
      </c>
      <c r="AB2611" s="5">
        <v>0</v>
      </c>
      <c r="AC2611" s="5">
        <v>0</v>
      </c>
      <c r="AD2611" s="5">
        <v>1</v>
      </c>
      <c r="AE2611" s="28"/>
      <c r="AF2611" s="28"/>
      <c r="AG2611" s="28"/>
      <c r="AH2611" s="72" t="s">
        <v>68</v>
      </c>
      <c r="AI2611" s="5">
        <v>0</v>
      </c>
      <c r="AJ2611" s="28"/>
      <c r="AK2611" s="28"/>
      <c r="AL2611" s="117">
        <v>44480</v>
      </c>
      <c r="AM2611" s="118"/>
      <c r="AN2611" s="119"/>
      <c r="AO2611" s="119"/>
      <c r="AP2611" s="73" t="e">
        <f>MID(VLOOKUP(K2611,#REF!,2,FALSE),1,2)</f>
        <v>#REF!</v>
      </c>
      <c r="AQ2611" s="89">
        <f>DATE(2018,2,4)</f>
        <v>43135</v>
      </c>
      <c r="AR2611" s="82">
        <f t="shared" ref="AR2611" si="216">DAY(AQ2611)</f>
        <v>4</v>
      </c>
      <c r="AS2611" s="83">
        <f t="shared" si="213"/>
        <v>2</v>
      </c>
      <c r="AT2611" s="84">
        <f t="shared" si="214"/>
        <v>2018</v>
      </c>
      <c r="AU2611" s="88">
        <f>DATE(2018,2,21)</f>
        <v>43152</v>
      </c>
      <c r="AV2611" s="88">
        <f>DATE(2018,2,8)</f>
        <v>43139</v>
      </c>
      <c r="AW2611" s="87">
        <f>AU2611-AV2611</f>
        <v>13</v>
      </c>
      <c r="AX2611" s="88">
        <f>DATE(2018,2,21)</f>
        <v>43152</v>
      </c>
      <c r="AY2611" s="83">
        <f>MONTH(AX2611)</f>
        <v>2</v>
      </c>
      <c r="AZ2611" s="84">
        <f>YEAR(AX2611)</f>
        <v>2018</v>
      </c>
      <c r="BA2611" s="88">
        <f>DATE(2018,2,4)</f>
        <v>43135</v>
      </c>
      <c r="BB2611" s="86"/>
    </row>
    <row r="2612" spans="1:54" ht="36.75" customHeight="1">
      <c r="A2612" s="30"/>
      <c r="B2612" s="30" t="s">
        <v>55</v>
      </c>
      <c r="C2612" s="69" t="str">
        <f t="shared" si="211"/>
        <v>Closed</v>
      </c>
      <c r="D2612" s="27" t="s">
        <v>14744</v>
      </c>
      <c r="E2612" s="29" t="s">
        <v>14745</v>
      </c>
      <c r="F2612" s="30" t="s">
        <v>835</v>
      </c>
      <c r="G2612" s="89">
        <f>DATE(2018,2,6)</f>
        <v>43137</v>
      </c>
      <c r="H2612" s="90">
        <v>1.7222222222222223</v>
      </c>
      <c r="I2612" s="30" t="s">
        <v>156</v>
      </c>
      <c r="J2612" s="89" t="s">
        <v>14746</v>
      </c>
      <c r="K2612" s="30" t="s">
        <v>837</v>
      </c>
      <c r="L2612" s="30" t="s">
        <v>14747</v>
      </c>
      <c r="M2612" s="30" t="s">
        <v>255</v>
      </c>
      <c r="N2612" s="30" t="s">
        <v>142</v>
      </c>
      <c r="O2612" s="30" t="s">
        <v>86</v>
      </c>
      <c r="P2612" s="89" t="s">
        <v>6552</v>
      </c>
      <c r="Q2612" s="89" t="s">
        <v>14748</v>
      </c>
      <c r="R2612" s="89" t="s">
        <v>14748</v>
      </c>
      <c r="S2612" s="30">
        <v>0</v>
      </c>
      <c r="T2612" s="233">
        <v>0</v>
      </c>
      <c r="U2612" s="30">
        <v>0</v>
      </c>
      <c r="V2612" s="233">
        <v>0</v>
      </c>
      <c r="W2612" s="30">
        <v>0</v>
      </c>
      <c r="X2612" s="30">
        <v>0</v>
      </c>
      <c r="Y2612" s="30">
        <v>1</v>
      </c>
      <c r="Z2612" s="233">
        <v>0</v>
      </c>
      <c r="AA2612" s="30">
        <v>0</v>
      </c>
      <c r="AB2612" s="30">
        <v>0</v>
      </c>
      <c r="AC2612" s="30">
        <v>0</v>
      </c>
      <c r="AD2612" s="30">
        <v>1</v>
      </c>
      <c r="AE2612" s="89" t="s">
        <v>92</v>
      </c>
      <c r="AF2612" s="89"/>
      <c r="AG2612" s="89" t="s">
        <v>367</v>
      </c>
      <c r="AH2612" s="72">
        <v>43264</v>
      </c>
      <c r="AI2612" s="30">
        <v>1</v>
      </c>
      <c r="AJ2612" s="89" t="s">
        <v>14749</v>
      </c>
      <c r="AK2612" s="89" t="s">
        <v>14750</v>
      </c>
      <c r="AL2612" s="91">
        <v>43426</v>
      </c>
      <c r="AM2612" s="91"/>
      <c r="AN2612" s="91"/>
      <c r="AO2612" s="91"/>
      <c r="AP2612" s="111"/>
      <c r="AQ2612" s="112"/>
      <c r="AR2612" s="113"/>
      <c r="AS2612" s="114"/>
      <c r="AT2612" s="115"/>
      <c r="AU2612" s="86"/>
      <c r="AV2612" s="86"/>
      <c r="AW2612" s="86"/>
      <c r="AX2612" s="106"/>
      <c r="AY2612" s="116"/>
      <c r="AZ2612" s="116"/>
      <c r="BA2612" s="106"/>
      <c r="BB2612" s="106"/>
    </row>
    <row r="2613" spans="1:54" ht="36.75" customHeight="1">
      <c r="A2613" s="30"/>
      <c r="B2613" s="30" t="s">
        <v>55</v>
      </c>
      <c r="C2613" s="69" t="str">
        <f t="shared" si="211"/>
        <v>Closed</v>
      </c>
      <c r="D2613" s="27" t="s">
        <v>14751</v>
      </c>
      <c r="E2613" s="29" t="s">
        <v>14752</v>
      </c>
      <c r="F2613" s="30" t="s">
        <v>14753</v>
      </c>
      <c r="G2613" s="89">
        <f>DATE(2018,2,7)</f>
        <v>43138</v>
      </c>
      <c r="H2613" s="90">
        <v>1.0527777777777778</v>
      </c>
      <c r="I2613" s="30" t="s">
        <v>73</v>
      </c>
      <c r="J2613" s="89" t="s">
        <v>14754</v>
      </c>
      <c r="K2613" s="30" t="s">
        <v>1772</v>
      </c>
      <c r="L2613" s="30" t="s">
        <v>10425</v>
      </c>
      <c r="M2613" s="30" t="s">
        <v>63</v>
      </c>
      <c r="N2613" s="30" t="s">
        <v>142</v>
      </c>
      <c r="O2613" s="30" t="s">
        <v>64</v>
      </c>
      <c r="P2613" s="89" t="s">
        <v>78</v>
      </c>
      <c r="Q2613" s="89" t="s">
        <v>14755</v>
      </c>
      <c r="R2613" s="89" t="s">
        <v>1775</v>
      </c>
      <c r="S2613" s="30">
        <v>0</v>
      </c>
      <c r="T2613" s="233">
        <v>0</v>
      </c>
      <c r="U2613" s="30">
        <v>0</v>
      </c>
      <c r="V2613" s="233">
        <v>0</v>
      </c>
      <c r="W2613" s="30">
        <v>0</v>
      </c>
      <c r="X2613" s="30">
        <v>0</v>
      </c>
      <c r="Y2613" s="30">
        <v>0</v>
      </c>
      <c r="Z2613" s="233">
        <v>0</v>
      </c>
      <c r="AA2613" s="30">
        <v>0</v>
      </c>
      <c r="AB2613" s="30">
        <v>0</v>
      </c>
      <c r="AC2613" s="30">
        <v>0</v>
      </c>
      <c r="AD2613" s="30">
        <v>0</v>
      </c>
      <c r="AE2613" s="89" t="s">
        <v>394</v>
      </c>
      <c r="AF2613" s="89" t="s">
        <v>14756</v>
      </c>
      <c r="AG2613" s="89" t="s">
        <v>14033</v>
      </c>
      <c r="AH2613" s="72">
        <v>43144</v>
      </c>
      <c r="AI2613" s="30">
        <v>0</v>
      </c>
      <c r="AJ2613" s="89" t="s">
        <v>14757</v>
      </c>
      <c r="AK2613" s="89" t="s">
        <v>14758</v>
      </c>
      <c r="AL2613" s="91">
        <v>43150</v>
      </c>
      <c r="AM2613" s="91"/>
      <c r="AN2613" s="91">
        <v>44645</v>
      </c>
      <c r="AO2613" s="91">
        <v>44617</v>
      </c>
      <c r="AP2613" s="73" t="e">
        <f>MID(VLOOKUP(K2613,#REF!,2,FALSE),1,2)</f>
        <v>#REF!</v>
      </c>
      <c r="AQ2613" s="89">
        <f>DATE(2018,2,6)</f>
        <v>43137</v>
      </c>
      <c r="AR2613" s="82">
        <f t="shared" ref="AR2613:AR2676" si="217">DAY(AQ2613)</f>
        <v>6</v>
      </c>
      <c r="AS2613" s="84">
        <f t="shared" ref="AS2613:AS2676" si="218">MONTH(AQ2613)</f>
        <v>2</v>
      </c>
      <c r="AT2613" s="104">
        <f t="shared" ref="AT2613:AT2676" si="219">YEAR(AQ2613)</f>
        <v>2018</v>
      </c>
      <c r="AU2613" s="86"/>
      <c r="AV2613" s="87"/>
      <c r="AW2613" s="86"/>
      <c r="AX2613" s="82"/>
      <c r="AY2613" s="84"/>
      <c r="AZ2613" s="104"/>
      <c r="BA2613" s="86"/>
      <c r="BB2613" s="86"/>
    </row>
    <row r="2614" spans="1:54" ht="36.75" customHeight="1">
      <c r="A2614" s="30"/>
      <c r="B2614" s="30" t="s">
        <v>55</v>
      </c>
      <c r="C2614" s="69" t="str">
        <f t="shared" si="211"/>
        <v>Closed</v>
      </c>
      <c r="D2614" s="27" t="s">
        <v>14759</v>
      </c>
      <c r="E2614" s="29" t="s">
        <v>14760</v>
      </c>
      <c r="F2614" s="30" t="s">
        <v>835</v>
      </c>
      <c r="G2614" s="89">
        <f>DATE(2018,2,7)</f>
        <v>43138</v>
      </c>
      <c r="H2614" s="90">
        <v>1.0868055555555556</v>
      </c>
      <c r="I2614" s="30" t="s">
        <v>198</v>
      </c>
      <c r="J2614" s="89" t="s">
        <v>14761</v>
      </c>
      <c r="K2614" s="30" t="s">
        <v>837</v>
      </c>
      <c r="L2614" s="30" t="s">
        <v>14762</v>
      </c>
      <c r="M2614" s="30" t="s">
        <v>129</v>
      </c>
      <c r="N2614" s="30" t="s">
        <v>142</v>
      </c>
      <c r="O2614" s="30" t="s">
        <v>64</v>
      </c>
      <c r="P2614" s="89" t="s">
        <v>301</v>
      </c>
      <c r="Q2614" s="89" t="s">
        <v>4210</v>
      </c>
      <c r="R2614" s="89" t="s">
        <v>4210</v>
      </c>
      <c r="S2614" s="30">
        <v>0</v>
      </c>
      <c r="T2614" s="233">
        <v>0</v>
      </c>
      <c r="U2614" s="30">
        <v>0</v>
      </c>
      <c r="V2614" s="233">
        <v>0</v>
      </c>
      <c r="W2614" s="30">
        <v>0</v>
      </c>
      <c r="X2614" s="30">
        <v>0</v>
      </c>
      <c r="Y2614" s="30">
        <v>0</v>
      </c>
      <c r="Z2614" s="233">
        <v>0</v>
      </c>
      <c r="AA2614" s="30">
        <v>0</v>
      </c>
      <c r="AB2614" s="30">
        <v>0</v>
      </c>
      <c r="AC2614" s="30">
        <v>0</v>
      </c>
      <c r="AD2614" s="30">
        <v>0</v>
      </c>
      <c r="AE2614" s="89" t="s">
        <v>92</v>
      </c>
      <c r="AF2614" s="89"/>
      <c r="AG2614" s="89" t="s">
        <v>133</v>
      </c>
      <c r="AH2614" s="72">
        <v>43138</v>
      </c>
      <c r="AI2614" s="30">
        <v>1</v>
      </c>
      <c r="AJ2614" s="89" t="s">
        <v>11879</v>
      </c>
      <c r="AK2614" s="89" t="s">
        <v>68</v>
      </c>
      <c r="AL2614" s="91">
        <v>43169</v>
      </c>
      <c r="AM2614" s="91"/>
      <c r="AN2614" s="89"/>
      <c r="AO2614" s="91"/>
      <c r="AP2614" s="73" t="e">
        <f>MID(VLOOKUP(K2614,#REF!,2,FALSE),1,2)</f>
        <v>#REF!</v>
      </c>
      <c r="AQ2614" s="89">
        <f>DATE(2018,2,7)</f>
        <v>43138</v>
      </c>
      <c r="AR2614" s="82">
        <f t="shared" si="217"/>
        <v>7</v>
      </c>
      <c r="AS2614" s="83">
        <f t="shared" si="218"/>
        <v>2</v>
      </c>
      <c r="AT2614" s="84">
        <f t="shared" si="219"/>
        <v>2018</v>
      </c>
      <c r="AU2614" s="88">
        <f>DATE(2018,2,19)</f>
        <v>43150</v>
      </c>
      <c r="AV2614" s="88">
        <f>DATE(2018,2,13)</f>
        <v>43144</v>
      </c>
      <c r="AW2614" s="87">
        <f t="shared" ref="AW2614:AW2629" si="220">AU2614-AV2614</f>
        <v>6</v>
      </c>
      <c r="AX2614" s="86"/>
      <c r="AY2614" s="83"/>
      <c r="AZ2614" s="84"/>
      <c r="BA2614" s="86"/>
      <c r="BB2614" s="86"/>
    </row>
    <row r="2615" spans="1:54" ht="36.75" customHeight="1">
      <c r="A2615" s="30"/>
      <c r="B2615" s="30" t="s">
        <v>55</v>
      </c>
      <c r="C2615" s="69" t="str">
        <f t="shared" si="211"/>
        <v>Closed</v>
      </c>
      <c r="D2615" s="27" t="s">
        <v>14763</v>
      </c>
      <c r="E2615" s="29" t="s">
        <v>14764</v>
      </c>
      <c r="F2615" s="30" t="s">
        <v>197</v>
      </c>
      <c r="G2615" s="89">
        <f>DATE(2018,2,12)</f>
        <v>43143</v>
      </c>
      <c r="H2615" s="90">
        <v>0</v>
      </c>
      <c r="I2615" s="30" t="s">
        <v>198</v>
      </c>
      <c r="J2615" s="89" t="s">
        <v>14765</v>
      </c>
      <c r="K2615" s="30" t="s">
        <v>200</v>
      </c>
      <c r="L2615" s="30" t="s">
        <v>14766</v>
      </c>
      <c r="M2615" s="30" t="s">
        <v>63</v>
      </c>
      <c r="N2615" s="30" t="s">
        <v>89</v>
      </c>
      <c r="O2615" s="30" t="s">
        <v>77</v>
      </c>
      <c r="P2615" s="89" t="s">
        <v>165</v>
      </c>
      <c r="Q2615" s="89" t="s">
        <v>202</v>
      </c>
      <c r="R2615" s="89" t="s">
        <v>203</v>
      </c>
      <c r="S2615" s="30">
        <v>1</v>
      </c>
      <c r="T2615" s="233">
        <v>0</v>
      </c>
      <c r="U2615" s="30">
        <v>0</v>
      </c>
      <c r="V2615" s="233">
        <v>0</v>
      </c>
      <c r="W2615" s="30">
        <v>0</v>
      </c>
      <c r="X2615" s="30">
        <v>1</v>
      </c>
      <c r="Y2615" s="30">
        <v>0</v>
      </c>
      <c r="Z2615" s="233">
        <v>0</v>
      </c>
      <c r="AA2615" s="30">
        <v>0</v>
      </c>
      <c r="AB2615" s="30">
        <v>0</v>
      </c>
      <c r="AC2615" s="30">
        <v>0</v>
      </c>
      <c r="AD2615" s="30">
        <v>0</v>
      </c>
      <c r="AE2615" s="89" t="s">
        <v>92</v>
      </c>
      <c r="AF2615" s="89"/>
      <c r="AG2615" s="89" t="s">
        <v>82</v>
      </c>
      <c r="AH2615" s="72">
        <v>43144</v>
      </c>
      <c r="AI2615" s="30">
        <v>2</v>
      </c>
      <c r="AJ2615" s="89" t="s">
        <v>14767</v>
      </c>
      <c r="AK2615" s="89" t="s">
        <v>14768</v>
      </c>
      <c r="AL2615" s="91">
        <v>43151</v>
      </c>
      <c r="AM2615" s="91"/>
      <c r="AN2615" s="91"/>
      <c r="AO2615" s="91"/>
      <c r="AP2615" s="73" t="e">
        <f>MID(VLOOKUP(K2615,#REF!,2,FALSE),1,2)</f>
        <v>#REF!</v>
      </c>
      <c r="AQ2615" s="89">
        <f>DATE(2018,2,7)</f>
        <v>43138</v>
      </c>
      <c r="AR2615" s="82">
        <f t="shared" si="217"/>
        <v>7</v>
      </c>
      <c r="AS2615" s="83">
        <f t="shared" si="218"/>
        <v>2</v>
      </c>
      <c r="AT2615" s="84">
        <f t="shared" si="219"/>
        <v>2018</v>
      </c>
      <c r="AU2615" s="88">
        <f>DATE(2018,3,10)</f>
        <v>43169</v>
      </c>
      <c r="AV2615" s="88">
        <f>DATE(2018,2,7)</f>
        <v>43138</v>
      </c>
      <c r="AW2615" s="87">
        <f t="shared" si="220"/>
        <v>31</v>
      </c>
      <c r="AX2615" s="88">
        <f>DATE(2018,2,7)</f>
        <v>43138</v>
      </c>
      <c r="AY2615" s="83">
        <f>MONTH(AX2615)</f>
        <v>2</v>
      </c>
      <c r="AZ2615" s="84">
        <f>YEAR(AX2615)</f>
        <v>2018</v>
      </c>
      <c r="BA2615" s="88">
        <f>DATE(2018,2,7)</f>
        <v>43138</v>
      </c>
      <c r="BB2615" s="86"/>
    </row>
    <row r="2616" spans="1:54" ht="36.75" customHeight="1">
      <c r="A2616" s="30"/>
      <c r="B2616" s="30" t="s">
        <v>55</v>
      </c>
      <c r="C2616" s="69" t="str">
        <f t="shared" si="211"/>
        <v>Closed</v>
      </c>
      <c r="D2616" s="27" t="s">
        <v>14769</v>
      </c>
      <c r="E2616" s="29" t="s">
        <v>14770</v>
      </c>
      <c r="F2616" s="30" t="s">
        <v>423</v>
      </c>
      <c r="G2616" s="89">
        <f>DATE(2018,2,12)</f>
        <v>43143</v>
      </c>
      <c r="H2616" s="90">
        <v>1.4291666666666667</v>
      </c>
      <c r="I2616" s="30" t="s">
        <v>116</v>
      </c>
      <c r="J2616" s="89" t="s">
        <v>14771</v>
      </c>
      <c r="K2616" s="30" t="s">
        <v>425</v>
      </c>
      <c r="L2616" s="30" t="s">
        <v>14772</v>
      </c>
      <c r="M2616" s="30" t="s">
        <v>63</v>
      </c>
      <c r="N2616" s="30" t="s">
        <v>142</v>
      </c>
      <c r="O2616" s="30" t="s">
        <v>64</v>
      </c>
      <c r="P2616" s="89" t="s">
        <v>78</v>
      </c>
      <c r="Q2616" s="89" t="s">
        <v>14773</v>
      </c>
      <c r="R2616" s="89" t="s">
        <v>3103</v>
      </c>
      <c r="S2616" s="30">
        <v>0</v>
      </c>
      <c r="T2616" s="233">
        <v>0</v>
      </c>
      <c r="U2616" s="30">
        <v>1</v>
      </c>
      <c r="V2616" s="233">
        <v>0</v>
      </c>
      <c r="W2616" s="30">
        <v>0</v>
      </c>
      <c r="X2616" s="30">
        <v>1</v>
      </c>
      <c r="Y2616" s="30">
        <v>0</v>
      </c>
      <c r="Z2616" s="233">
        <v>0</v>
      </c>
      <c r="AA2616" s="30">
        <v>0</v>
      </c>
      <c r="AB2616" s="30">
        <v>0</v>
      </c>
      <c r="AC2616" s="30">
        <v>0</v>
      </c>
      <c r="AD2616" s="30">
        <v>0</v>
      </c>
      <c r="AE2616" s="89" t="s">
        <v>92</v>
      </c>
      <c r="AF2616" s="89"/>
      <c r="AG2616" s="89" t="s">
        <v>874</v>
      </c>
      <c r="AH2616" s="72">
        <v>43143</v>
      </c>
      <c r="AI2616" s="30">
        <v>1</v>
      </c>
      <c r="AJ2616" s="89" t="s">
        <v>11986</v>
      </c>
      <c r="AK2616" s="89" t="s">
        <v>14407</v>
      </c>
      <c r="AL2616" s="91">
        <v>43437</v>
      </c>
      <c r="AM2616" s="91"/>
      <c r="AN2616" s="91"/>
      <c r="AO2616" s="91"/>
      <c r="AP2616" s="73" t="e">
        <f>MID(VLOOKUP(K2616,#REF!,2,FALSE),1,2)</f>
        <v>#REF!</v>
      </c>
      <c r="AQ2616" s="89">
        <f>DATE(2018,2,12)</f>
        <v>43143</v>
      </c>
      <c r="AR2616" s="82">
        <f t="shared" si="217"/>
        <v>12</v>
      </c>
      <c r="AS2616" s="83">
        <f t="shared" si="218"/>
        <v>2</v>
      </c>
      <c r="AT2616" s="84">
        <f t="shared" si="219"/>
        <v>2018</v>
      </c>
      <c r="AU2616" s="88">
        <f>DATE(2018,2,20)</f>
        <v>43151</v>
      </c>
      <c r="AV2616" s="88">
        <f>DATE(2018,2,13)</f>
        <v>43144</v>
      </c>
      <c r="AW2616" s="87">
        <f t="shared" si="220"/>
        <v>7</v>
      </c>
      <c r="AX2616" s="86"/>
      <c r="AY2616" s="83"/>
      <c r="AZ2616" s="84"/>
      <c r="BA2616" s="86"/>
      <c r="BB2616" s="86"/>
    </row>
    <row r="2617" spans="1:54" ht="36.75" customHeight="1">
      <c r="A2617" s="30"/>
      <c r="B2617" s="30" t="s">
        <v>55</v>
      </c>
      <c r="C2617" s="69" t="str">
        <f t="shared" si="211"/>
        <v>Closed</v>
      </c>
      <c r="D2617" s="27" t="s">
        <v>14774</v>
      </c>
      <c r="E2617" s="29" t="s">
        <v>14775</v>
      </c>
      <c r="F2617" s="30" t="s">
        <v>582</v>
      </c>
      <c r="G2617" s="89">
        <f>DATE(2018,2,13)</f>
        <v>43144</v>
      </c>
      <c r="H2617" s="90">
        <v>1.8020833333333335</v>
      </c>
      <c r="I2617" s="30" t="s">
        <v>73</v>
      </c>
      <c r="J2617" s="89" t="s">
        <v>14776</v>
      </c>
      <c r="K2617" s="30" t="s">
        <v>584</v>
      </c>
      <c r="L2617" s="30" t="s">
        <v>14777</v>
      </c>
      <c r="M2617" s="30" t="s">
        <v>63</v>
      </c>
      <c r="N2617" s="30" t="s">
        <v>89</v>
      </c>
      <c r="O2617" s="30" t="s">
        <v>77</v>
      </c>
      <c r="P2617" s="89" t="s">
        <v>78</v>
      </c>
      <c r="Q2617" s="89" t="s">
        <v>586</v>
      </c>
      <c r="R2617" s="89" t="s">
        <v>587</v>
      </c>
      <c r="S2617" s="30">
        <v>0</v>
      </c>
      <c r="T2617" s="233">
        <v>0</v>
      </c>
      <c r="U2617" s="30">
        <v>0</v>
      </c>
      <c r="V2617" s="233">
        <v>0</v>
      </c>
      <c r="W2617" s="30">
        <v>0</v>
      </c>
      <c r="X2617" s="30">
        <v>0</v>
      </c>
      <c r="Y2617" s="30">
        <v>0</v>
      </c>
      <c r="Z2617" s="233">
        <v>0</v>
      </c>
      <c r="AA2617" s="30">
        <v>0</v>
      </c>
      <c r="AB2617" s="30">
        <v>0</v>
      </c>
      <c r="AC2617" s="30">
        <v>0</v>
      </c>
      <c r="AD2617" s="30">
        <v>0</v>
      </c>
      <c r="AE2617" s="89" t="s">
        <v>145</v>
      </c>
      <c r="AF2617" s="89"/>
      <c r="AG2617" s="89" t="s">
        <v>82</v>
      </c>
      <c r="AH2617" s="72">
        <v>43145</v>
      </c>
      <c r="AI2617" s="30">
        <v>0</v>
      </c>
      <c r="AJ2617" s="89" t="s">
        <v>14778</v>
      </c>
      <c r="AK2617" s="89" t="s">
        <v>1233</v>
      </c>
      <c r="AL2617" s="91">
        <v>43150</v>
      </c>
      <c r="AM2617" s="91"/>
      <c r="AN2617" s="91"/>
      <c r="AO2617" s="91"/>
      <c r="AP2617" s="73" t="e">
        <f>MID(VLOOKUP(K2617,#REF!,2,FALSE),1,2)</f>
        <v>#REF!</v>
      </c>
      <c r="AQ2617" s="89">
        <f>DATE(2018,2,12)</f>
        <v>43143</v>
      </c>
      <c r="AR2617" s="82">
        <f t="shared" si="217"/>
        <v>12</v>
      </c>
      <c r="AS2617" s="83">
        <f t="shared" si="218"/>
        <v>2</v>
      </c>
      <c r="AT2617" s="84">
        <f t="shared" si="219"/>
        <v>2018</v>
      </c>
      <c r="AU2617" s="86"/>
      <c r="AV2617" s="86"/>
      <c r="AW2617" s="87">
        <f t="shared" si="220"/>
        <v>0</v>
      </c>
      <c r="AX2617" s="86"/>
      <c r="AY2617" s="83"/>
      <c r="AZ2617" s="84"/>
      <c r="BA2617" s="86"/>
      <c r="BB2617" s="86"/>
    </row>
    <row r="2618" spans="1:54" ht="36.75" customHeight="1">
      <c r="A2618" s="30"/>
      <c r="B2618" s="30" t="s">
        <v>55</v>
      </c>
      <c r="C2618" s="69" t="str">
        <f t="shared" si="211"/>
        <v>Closed</v>
      </c>
      <c r="D2618" s="27" t="s">
        <v>14779</v>
      </c>
      <c r="E2618" s="29" t="s">
        <v>14780</v>
      </c>
      <c r="F2618" s="30" t="s">
        <v>1572</v>
      </c>
      <c r="G2618" s="89">
        <f>DATE(2018,2,13)</f>
        <v>43144</v>
      </c>
      <c r="H2618" s="90">
        <v>1.5729166666666665</v>
      </c>
      <c r="I2618" s="30" t="s">
        <v>73</v>
      </c>
      <c r="J2618" s="89" t="s">
        <v>14781</v>
      </c>
      <c r="K2618" s="30" t="s">
        <v>1574</v>
      </c>
      <c r="L2618" s="30" t="s">
        <v>14782</v>
      </c>
      <c r="M2618" s="30" t="s">
        <v>63</v>
      </c>
      <c r="N2618" s="30" t="s">
        <v>99</v>
      </c>
      <c r="O2618" s="30" t="s">
        <v>64</v>
      </c>
      <c r="P2618" s="89" t="s">
        <v>78</v>
      </c>
      <c r="Q2618" s="89" t="s">
        <v>2655</v>
      </c>
      <c r="R2618" s="89" t="s">
        <v>6434</v>
      </c>
      <c r="S2618" s="30">
        <v>0</v>
      </c>
      <c r="T2618" s="233">
        <v>0</v>
      </c>
      <c r="U2618" s="30">
        <v>0</v>
      </c>
      <c r="V2618" s="233">
        <v>0</v>
      </c>
      <c r="W2618" s="30">
        <v>0</v>
      </c>
      <c r="X2618" s="30">
        <v>0</v>
      </c>
      <c r="Y2618" s="30">
        <v>0</v>
      </c>
      <c r="Z2618" s="233">
        <v>0</v>
      </c>
      <c r="AA2618" s="30">
        <v>0</v>
      </c>
      <c r="AB2618" s="30">
        <v>0</v>
      </c>
      <c r="AC2618" s="30">
        <v>0</v>
      </c>
      <c r="AD2618" s="30">
        <v>0</v>
      </c>
      <c r="AE2618" s="89" t="s">
        <v>92</v>
      </c>
      <c r="AF2618" s="89"/>
      <c r="AG2618" s="89" t="s">
        <v>133</v>
      </c>
      <c r="AH2618" s="72">
        <v>43147</v>
      </c>
      <c r="AI2618" s="30">
        <v>1</v>
      </c>
      <c r="AJ2618" s="89" t="s">
        <v>14783</v>
      </c>
      <c r="AK2618" s="89" t="s">
        <v>14784</v>
      </c>
      <c r="AL2618" s="91">
        <v>43150</v>
      </c>
      <c r="AM2618" s="91"/>
      <c r="AN2618" s="91"/>
      <c r="AO2618" s="91"/>
      <c r="AP2618" s="73" t="e">
        <f>MID(VLOOKUP(K2618,#REF!,2,FALSE),1,2)</f>
        <v>#REF!</v>
      </c>
      <c r="AQ2618" s="89">
        <f>DATE(2018,2,13)</f>
        <v>43144</v>
      </c>
      <c r="AR2618" s="82">
        <f t="shared" si="217"/>
        <v>13</v>
      </c>
      <c r="AS2618" s="83">
        <f t="shared" si="218"/>
        <v>2</v>
      </c>
      <c r="AT2618" s="84">
        <f t="shared" si="219"/>
        <v>2018</v>
      </c>
      <c r="AU2618" s="88">
        <f>DATE(2018,2,19)</f>
        <v>43150</v>
      </c>
      <c r="AV2618" s="88">
        <f>DATE(2018,2,14)</f>
        <v>43145</v>
      </c>
      <c r="AW2618" s="87">
        <f t="shared" si="220"/>
        <v>5</v>
      </c>
      <c r="AX2618" s="86"/>
      <c r="AY2618" s="83"/>
      <c r="AZ2618" s="84"/>
      <c r="BA2618" s="86"/>
      <c r="BB2618" s="86"/>
    </row>
    <row r="2619" spans="1:54" ht="36.75" customHeight="1">
      <c r="A2619" s="30"/>
      <c r="B2619" s="30" t="s">
        <v>55</v>
      </c>
      <c r="C2619" s="69" t="str">
        <f t="shared" si="211"/>
        <v>Closed</v>
      </c>
      <c r="D2619" s="27" t="s">
        <v>14785</v>
      </c>
      <c r="E2619" s="29" t="s">
        <v>14786</v>
      </c>
      <c r="F2619" s="30" t="s">
        <v>423</v>
      </c>
      <c r="G2619" s="89">
        <f>DATE(2018,2,15)</f>
        <v>43146</v>
      </c>
      <c r="H2619" s="90">
        <v>1.382638888888889</v>
      </c>
      <c r="I2619" s="30" t="s">
        <v>2078</v>
      </c>
      <c r="J2619" s="89" t="s">
        <v>14787</v>
      </c>
      <c r="K2619" s="30" t="s">
        <v>425</v>
      </c>
      <c r="L2619" s="30" t="s">
        <v>14788</v>
      </c>
      <c r="M2619" s="30" t="s">
        <v>63</v>
      </c>
      <c r="N2619" s="30" t="s">
        <v>142</v>
      </c>
      <c r="O2619" s="30" t="s">
        <v>77</v>
      </c>
      <c r="P2619" s="89" t="s">
        <v>165</v>
      </c>
      <c r="Q2619" s="89" t="s">
        <v>4551</v>
      </c>
      <c r="R2619" s="89" t="s">
        <v>3103</v>
      </c>
      <c r="S2619" s="30">
        <v>0</v>
      </c>
      <c r="T2619" s="233">
        <v>0</v>
      </c>
      <c r="U2619" s="30">
        <v>0</v>
      </c>
      <c r="V2619" s="233">
        <v>0</v>
      </c>
      <c r="W2619" s="30">
        <v>0</v>
      </c>
      <c r="X2619" s="30">
        <v>0</v>
      </c>
      <c r="Y2619" s="30">
        <v>0</v>
      </c>
      <c r="Z2619" s="233">
        <v>0</v>
      </c>
      <c r="AA2619" s="30">
        <v>0</v>
      </c>
      <c r="AB2619" s="30">
        <v>0</v>
      </c>
      <c r="AC2619" s="30">
        <v>0</v>
      </c>
      <c r="AD2619" s="30">
        <v>0</v>
      </c>
      <c r="AE2619" s="89" t="s">
        <v>92</v>
      </c>
      <c r="AF2619" s="89"/>
      <c r="AG2619" s="89" t="s">
        <v>133</v>
      </c>
      <c r="AH2619" s="72">
        <v>43146</v>
      </c>
      <c r="AI2619" s="30">
        <v>0</v>
      </c>
      <c r="AJ2619" s="89" t="s">
        <v>14789</v>
      </c>
      <c r="AK2619" s="89" t="s">
        <v>14790</v>
      </c>
      <c r="AL2619" s="91">
        <v>43150</v>
      </c>
      <c r="AM2619" s="91"/>
      <c r="AN2619" s="91"/>
      <c r="AO2619" s="91"/>
      <c r="AP2619" s="73" t="e">
        <f>MID(VLOOKUP(K2619,#REF!,2,FALSE),1,2)</f>
        <v>#REF!</v>
      </c>
      <c r="AQ2619" s="89">
        <f>DATE(2018,2,13)</f>
        <v>43144</v>
      </c>
      <c r="AR2619" s="82">
        <f t="shared" si="217"/>
        <v>13</v>
      </c>
      <c r="AS2619" s="83">
        <f t="shared" si="218"/>
        <v>2</v>
      </c>
      <c r="AT2619" s="84">
        <f t="shared" si="219"/>
        <v>2018</v>
      </c>
      <c r="AU2619" s="88">
        <f>DATE(2018,2,19)</f>
        <v>43150</v>
      </c>
      <c r="AV2619" s="88">
        <f>DATE(2018,2,16)</f>
        <v>43147</v>
      </c>
      <c r="AW2619" s="87">
        <f t="shared" si="220"/>
        <v>3</v>
      </c>
      <c r="AX2619" s="88">
        <f>DATE(2018,2,19)</f>
        <v>43150</v>
      </c>
      <c r="AY2619" s="83">
        <f>MONTH(AX2619)</f>
        <v>2</v>
      </c>
      <c r="AZ2619" s="84">
        <f>YEAR(AX2619)</f>
        <v>2018</v>
      </c>
      <c r="BA2619" s="88">
        <f>DATE(2018,2,13)</f>
        <v>43144</v>
      </c>
      <c r="BB2619" s="86"/>
    </row>
    <row r="2620" spans="1:54" ht="36.75" customHeight="1">
      <c r="A2620" s="30"/>
      <c r="B2620" s="30" t="s">
        <v>55</v>
      </c>
      <c r="C2620" s="69" t="str">
        <f t="shared" si="211"/>
        <v>Closed</v>
      </c>
      <c r="D2620" s="27" t="s">
        <v>14791</v>
      </c>
      <c r="E2620" s="29" t="s">
        <v>14792</v>
      </c>
      <c r="F2620" s="30" t="s">
        <v>423</v>
      </c>
      <c r="G2620" s="89">
        <f>DATE(2018,2,16)</f>
        <v>43147</v>
      </c>
      <c r="H2620" s="90">
        <v>1.5743055555555556</v>
      </c>
      <c r="I2620" s="30" t="s">
        <v>116</v>
      </c>
      <c r="J2620" s="89" t="s">
        <v>14793</v>
      </c>
      <c r="K2620" s="30" t="s">
        <v>425</v>
      </c>
      <c r="L2620" s="30" t="s">
        <v>14794</v>
      </c>
      <c r="M2620" s="30" t="s">
        <v>63</v>
      </c>
      <c r="N2620" s="30" t="s">
        <v>99</v>
      </c>
      <c r="O2620" s="30" t="s">
        <v>64</v>
      </c>
      <c r="P2620" s="89" t="s">
        <v>165</v>
      </c>
      <c r="Q2620" s="89" t="s">
        <v>4551</v>
      </c>
      <c r="R2620" s="89" t="s">
        <v>3103</v>
      </c>
      <c r="S2620" s="30">
        <v>0</v>
      </c>
      <c r="T2620" s="233">
        <v>0</v>
      </c>
      <c r="U2620" s="30">
        <v>1</v>
      </c>
      <c r="V2620" s="233">
        <v>0</v>
      </c>
      <c r="W2620" s="30">
        <v>0</v>
      </c>
      <c r="X2620" s="30">
        <v>1</v>
      </c>
      <c r="Y2620" s="30">
        <v>0</v>
      </c>
      <c r="Z2620" s="233">
        <v>0</v>
      </c>
      <c r="AA2620" s="30">
        <v>1</v>
      </c>
      <c r="AB2620" s="30">
        <v>0</v>
      </c>
      <c r="AC2620" s="30">
        <v>0</v>
      </c>
      <c r="AD2620" s="30">
        <v>1</v>
      </c>
      <c r="AE2620" s="89" t="s">
        <v>92</v>
      </c>
      <c r="AF2620" s="89"/>
      <c r="AG2620" s="89" t="s">
        <v>133</v>
      </c>
      <c r="AH2620" s="72">
        <v>43150</v>
      </c>
      <c r="AI2620" s="30">
        <v>1</v>
      </c>
      <c r="AJ2620" s="89" t="s">
        <v>14795</v>
      </c>
      <c r="AK2620" s="89" t="s">
        <v>14796</v>
      </c>
      <c r="AL2620" s="91">
        <v>43150</v>
      </c>
      <c r="AM2620" s="91"/>
      <c r="AN2620" s="91"/>
      <c r="AO2620" s="91"/>
      <c r="AP2620" s="73" t="e">
        <f>MID(VLOOKUP(K2620,#REF!,2,FALSE),1,2)</f>
        <v>#REF!</v>
      </c>
      <c r="AQ2620" s="89">
        <f>DATE(2018,2,15)</f>
        <v>43146</v>
      </c>
      <c r="AR2620" s="82">
        <f t="shared" si="217"/>
        <v>15</v>
      </c>
      <c r="AS2620" s="83">
        <f t="shared" si="218"/>
        <v>2</v>
      </c>
      <c r="AT2620" s="84">
        <f t="shared" si="219"/>
        <v>2018</v>
      </c>
      <c r="AU2620" s="88">
        <f>DATE(2018,2,19)</f>
        <v>43150</v>
      </c>
      <c r="AV2620" s="88">
        <f>DATE(2018,2,15)</f>
        <v>43146</v>
      </c>
      <c r="AW2620" s="87">
        <f t="shared" si="220"/>
        <v>4</v>
      </c>
      <c r="AX2620" s="86"/>
      <c r="AY2620" s="83"/>
      <c r="AZ2620" s="84"/>
      <c r="BA2620" s="86"/>
      <c r="BB2620" s="86"/>
    </row>
    <row r="2621" spans="1:54" ht="36.75" customHeight="1">
      <c r="A2621" s="30"/>
      <c r="B2621" s="30" t="s">
        <v>55</v>
      </c>
      <c r="C2621" s="69" t="str">
        <f t="shared" si="211"/>
        <v>Closed</v>
      </c>
      <c r="D2621" s="27" t="s">
        <v>14797</v>
      </c>
      <c r="E2621" s="29" t="s">
        <v>14798</v>
      </c>
      <c r="F2621" s="30" t="s">
        <v>624</v>
      </c>
      <c r="G2621" s="89">
        <f>DATE(2018,2,16)</f>
        <v>43147</v>
      </c>
      <c r="H2621" s="90">
        <v>0</v>
      </c>
      <c r="I2621" s="30" t="s">
        <v>104</v>
      </c>
      <c r="J2621" s="89" t="s">
        <v>4610</v>
      </c>
      <c r="K2621" s="30" t="s">
        <v>626</v>
      </c>
      <c r="L2621" s="30" t="s">
        <v>13371</v>
      </c>
      <c r="M2621" s="30" t="s">
        <v>63</v>
      </c>
      <c r="N2621" s="30" t="s">
        <v>142</v>
      </c>
      <c r="O2621" s="30" t="s">
        <v>77</v>
      </c>
      <c r="P2621" s="89" t="s">
        <v>78</v>
      </c>
      <c r="Q2621" s="89" t="s">
        <v>749</v>
      </c>
      <c r="R2621" s="89" t="s">
        <v>629</v>
      </c>
      <c r="S2621" s="30">
        <v>0</v>
      </c>
      <c r="T2621" s="233">
        <v>0</v>
      </c>
      <c r="U2621" s="30">
        <v>0</v>
      </c>
      <c r="V2621" s="233">
        <v>0</v>
      </c>
      <c r="W2621" s="30">
        <v>0</v>
      </c>
      <c r="X2621" s="30">
        <v>0</v>
      </c>
      <c r="Y2621" s="30">
        <v>0</v>
      </c>
      <c r="Z2621" s="233">
        <v>0</v>
      </c>
      <c r="AA2621" s="30">
        <v>0</v>
      </c>
      <c r="AB2621" s="30">
        <v>0</v>
      </c>
      <c r="AC2621" s="30">
        <v>0</v>
      </c>
      <c r="AD2621" s="30">
        <v>0</v>
      </c>
      <c r="AE2621" s="89" t="s">
        <v>92</v>
      </c>
      <c r="AF2621" s="89"/>
      <c r="AG2621" s="89" t="s">
        <v>352</v>
      </c>
      <c r="AH2621" s="72">
        <v>43147</v>
      </c>
      <c r="AI2621" s="30">
        <v>2</v>
      </c>
      <c r="AJ2621" s="89" t="s">
        <v>13372</v>
      </c>
      <c r="AK2621" s="89" t="s">
        <v>68</v>
      </c>
      <c r="AL2621" s="91">
        <v>43251</v>
      </c>
      <c r="AM2621" s="91"/>
      <c r="AN2621" s="91"/>
      <c r="AO2621" s="91"/>
      <c r="AP2621" s="73" t="e">
        <f>MID(VLOOKUP(K2621,#REF!,2,FALSE),1,2)</f>
        <v>#REF!</v>
      </c>
      <c r="AQ2621" s="89">
        <f>DATE(2018,2,16)</f>
        <v>43147</v>
      </c>
      <c r="AR2621" s="82">
        <f t="shared" si="217"/>
        <v>16</v>
      </c>
      <c r="AS2621" s="83">
        <f t="shared" si="218"/>
        <v>2</v>
      </c>
      <c r="AT2621" s="84">
        <f t="shared" si="219"/>
        <v>2018</v>
      </c>
      <c r="AU2621" s="88">
        <f>DATE(2018,2,19)</f>
        <v>43150</v>
      </c>
      <c r="AV2621" s="88">
        <f>DATE(2018,2,19)</f>
        <v>43150</v>
      </c>
      <c r="AW2621" s="87">
        <f t="shared" si="220"/>
        <v>0</v>
      </c>
      <c r="AX2621" s="106"/>
      <c r="AY2621" s="83"/>
      <c r="AZ2621" s="84"/>
      <c r="BA2621" s="106"/>
      <c r="BB2621" s="106"/>
    </row>
    <row r="2622" spans="1:54" ht="36.75" customHeight="1">
      <c r="A2622" s="30"/>
      <c r="B2622" s="30" t="s">
        <v>55</v>
      </c>
      <c r="C2622" s="69" t="str">
        <f t="shared" si="211"/>
        <v>Closed</v>
      </c>
      <c r="D2622" s="27" t="s">
        <v>14799</v>
      </c>
      <c r="E2622" s="29" t="s">
        <v>14800</v>
      </c>
      <c r="F2622" s="30" t="s">
        <v>582</v>
      </c>
      <c r="G2622" s="89">
        <f>DATE(2018,2,20)</f>
        <v>43151</v>
      </c>
      <c r="H2622" s="90">
        <v>1.875</v>
      </c>
      <c r="I2622" s="30" t="s">
        <v>198</v>
      </c>
      <c r="J2622" s="89" t="s">
        <v>14801</v>
      </c>
      <c r="K2622" s="30" t="s">
        <v>584</v>
      </c>
      <c r="L2622" s="30" t="s">
        <v>14802</v>
      </c>
      <c r="M2622" s="30" t="s">
        <v>63</v>
      </c>
      <c r="N2622" s="30" t="s">
        <v>89</v>
      </c>
      <c r="O2622" s="30" t="s">
        <v>77</v>
      </c>
      <c r="P2622" s="89" t="s">
        <v>78</v>
      </c>
      <c r="Q2622" s="89" t="s">
        <v>14803</v>
      </c>
      <c r="R2622" s="89" t="s">
        <v>587</v>
      </c>
      <c r="S2622" s="30">
        <v>0</v>
      </c>
      <c r="T2622" s="233">
        <v>0</v>
      </c>
      <c r="U2622" s="30">
        <v>0</v>
      </c>
      <c r="V2622" s="233">
        <v>0</v>
      </c>
      <c r="W2622" s="30">
        <v>0</v>
      </c>
      <c r="X2622" s="30">
        <v>0</v>
      </c>
      <c r="Y2622" s="30">
        <v>0</v>
      </c>
      <c r="Z2622" s="233">
        <v>0</v>
      </c>
      <c r="AA2622" s="30">
        <v>0</v>
      </c>
      <c r="AB2622" s="30">
        <v>0</v>
      </c>
      <c r="AC2622" s="30">
        <v>0</v>
      </c>
      <c r="AD2622" s="30">
        <v>0</v>
      </c>
      <c r="AE2622" s="89" t="s">
        <v>145</v>
      </c>
      <c r="AF2622" s="89"/>
      <c r="AG2622" s="89" t="s">
        <v>82</v>
      </c>
      <c r="AH2622" s="72">
        <v>43152</v>
      </c>
      <c r="AI2622" s="30">
        <v>0</v>
      </c>
      <c r="AJ2622" s="89" t="s">
        <v>14804</v>
      </c>
      <c r="AK2622" s="89" t="s">
        <v>1233</v>
      </c>
      <c r="AL2622" s="91">
        <v>43154</v>
      </c>
      <c r="AM2622" s="91"/>
      <c r="AN2622" s="91"/>
      <c r="AO2622" s="91"/>
      <c r="AP2622" s="73" t="e">
        <f>MID(VLOOKUP(K2622,#REF!,2,FALSE),1,2)</f>
        <v>#REF!</v>
      </c>
      <c r="AQ2622" s="89">
        <f>DATE(2018,2,16)</f>
        <v>43147</v>
      </c>
      <c r="AR2622" s="82">
        <f t="shared" si="217"/>
        <v>16</v>
      </c>
      <c r="AS2622" s="83">
        <f t="shared" si="218"/>
        <v>2</v>
      </c>
      <c r="AT2622" s="84">
        <f t="shared" si="219"/>
        <v>2018</v>
      </c>
      <c r="AU2622" s="88">
        <f>DATE(2018,5,31)</f>
        <v>43251</v>
      </c>
      <c r="AV2622" s="88">
        <f>DATE(2018,2,16)</f>
        <v>43147</v>
      </c>
      <c r="AW2622" s="87">
        <f t="shared" si="220"/>
        <v>104</v>
      </c>
      <c r="AX2622" s="106"/>
      <c r="AY2622" s="83"/>
      <c r="AZ2622" s="84"/>
      <c r="BA2622" s="106"/>
      <c r="BB2622" s="106"/>
    </row>
    <row r="2623" spans="1:54" ht="36.75" customHeight="1">
      <c r="A2623" s="30"/>
      <c r="B2623" s="30" t="s">
        <v>55</v>
      </c>
      <c r="C2623" s="69" t="str">
        <f t="shared" si="211"/>
        <v>Closed</v>
      </c>
      <c r="D2623" s="27" t="s">
        <v>14805</v>
      </c>
      <c r="E2623" s="29" t="s">
        <v>14806</v>
      </c>
      <c r="F2623" s="30" t="s">
        <v>1749</v>
      </c>
      <c r="G2623" s="89">
        <f>DATE(2018,2,20)</f>
        <v>43151</v>
      </c>
      <c r="H2623" s="90">
        <v>1.3534722222222222</v>
      </c>
      <c r="I2623" s="30" t="s">
        <v>9026</v>
      </c>
      <c r="J2623" s="89" t="s">
        <v>14807</v>
      </c>
      <c r="K2623" s="30" t="s">
        <v>1751</v>
      </c>
      <c r="L2623" s="30" t="s">
        <v>14808</v>
      </c>
      <c r="M2623" s="30" t="s">
        <v>63</v>
      </c>
      <c r="N2623" s="30" t="s">
        <v>99</v>
      </c>
      <c r="O2623" s="30" t="s">
        <v>64</v>
      </c>
      <c r="P2623" s="89" t="s">
        <v>6941</v>
      </c>
      <c r="Q2623" s="89" t="s">
        <v>13393</v>
      </c>
      <c r="R2623" s="89" t="s">
        <v>1982</v>
      </c>
      <c r="S2623" s="30">
        <v>0</v>
      </c>
      <c r="T2623" s="233">
        <v>0</v>
      </c>
      <c r="U2623" s="30">
        <v>0</v>
      </c>
      <c r="V2623" s="233">
        <v>0</v>
      </c>
      <c r="W2623" s="30">
        <v>0</v>
      </c>
      <c r="X2623" s="30">
        <v>0</v>
      </c>
      <c r="Y2623" s="30">
        <v>0</v>
      </c>
      <c r="Z2623" s="233">
        <v>0</v>
      </c>
      <c r="AA2623" s="30">
        <v>1</v>
      </c>
      <c r="AB2623" s="30">
        <v>0</v>
      </c>
      <c r="AC2623" s="30">
        <v>0</v>
      </c>
      <c r="AD2623" s="30">
        <v>1</v>
      </c>
      <c r="AE2623" s="89" t="s">
        <v>394</v>
      </c>
      <c r="AF2623" s="89"/>
      <c r="AG2623" s="89" t="s">
        <v>248</v>
      </c>
      <c r="AH2623" s="72">
        <v>43157</v>
      </c>
      <c r="AI2623" s="30">
        <v>5</v>
      </c>
      <c r="AJ2623" s="89" t="s">
        <v>14809</v>
      </c>
      <c r="AK2623" s="89" t="s">
        <v>14810</v>
      </c>
      <c r="AL2623" s="91">
        <v>43157</v>
      </c>
      <c r="AM2623" s="91"/>
      <c r="AN2623" s="91"/>
      <c r="AO2623" s="91"/>
      <c r="AP2623" s="73" t="e">
        <f>MID(VLOOKUP(K2623,#REF!,2,FALSE),1,2)</f>
        <v>#REF!</v>
      </c>
      <c r="AQ2623" s="89">
        <f>DATE(2018,2,20)</f>
        <v>43151</v>
      </c>
      <c r="AR2623" s="82">
        <f t="shared" si="217"/>
        <v>20</v>
      </c>
      <c r="AS2623" s="83">
        <f t="shared" si="218"/>
        <v>2</v>
      </c>
      <c r="AT2623" s="84">
        <f t="shared" si="219"/>
        <v>2018</v>
      </c>
      <c r="AU2623" s="88">
        <f>DATE(2018,2,23)</f>
        <v>43154</v>
      </c>
      <c r="AV2623" s="88">
        <f>DATE(2018,2,21)</f>
        <v>43152</v>
      </c>
      <c r="AW2623" s="87">
        <f t="shared" si="220"/>
        <v>2</v>
      </c>
      <c r="AX2623" s="106"/>
      <c r="AY2623" s="83"/>
      <c r="AZ2623" s="84"/>
      <c r="BA2623" s="106"/>
      <c r="BB2623" s="106"/>
    </row>
    <row r="2624" spans="1:54" ht="36.75" customHeight="1">
      <c r="A2624" s="30"/>
      <c r="B2624" s="30" t="s">
        <v>2124</v>
      </c>
      <c r="C2624" s="69" t="str">
        <f t="shared" si="211"/>
        <v>Open</v>
      </c>
      <c r="D2624" s="27" t="s">
        <v>14811</v>
      </c>
      <c r="E2624" s="29" t="s">
        <v>14812</v>
      </c>
      <c r="F2624" s="30" t="s">
        <v>5427</v>
      </c>
      <c r="G2624" s="89">
        <f>DATE(2018,2,20)</f>
        <v>43151</v>
      </c>
      <c r="H2624" s="90">
        <v>1.7270833333333333</v>
      </c>
      <c r="I2624" s="30" t="s">
        <v>73</v>
      </c>
      <c r="J2624" s="89" t="s">
        <v>14813</v>
      </c>
      <c r="K2624" s="30" t="s">
        <v>596</v>
      </c>
      <c r="L2624" s="30" t="s">
        <v>14814</v>
      </c>
      <c r="M2624" s="30" t="s">
        <v>63</v>
      </c>
      <c r="N2624" s="30" t="s">
        <v>99</v>
      </c>
      <c r="O2624" s="30" t="s">
        <v>64</v>
      </c>
      <c r="P2624" s="89" t="s">
        <v>78</v>
      </c>
      <c r="Q2624" s="89" t="s">
        <v>13142</v>
      </c>
      <c r="R2624" s="89" t="s">
        <v>12074</v>
      </c>
      <c r="S2624" s="30">
        <v>0</v>
      </c>
      <c r="T2624" s="233">
        <v>0</v>
      </c>
      <c r="U2624" s="30">
        <v>0</v>
      </c>
      <c r="V2624" s="233">
        <v>0</v>
      </c>
      <c r="W2624" s="30">
        <v>0</v>
      </c>
      <c r="X2624" s="30">
        <v>0</v>
      </c>
      <c r="Y2624" s="30">
        <v>0</v>
      </c>
      <c r="Z2624" s="233">
        <v>0</v>
      </c>
      <c r="AA2624" s="30">
        <v>0</v>
      </c>
      <c r="AB2624" s="30">
        <v>0</v>
      </c>
      <c r="AC2624" s="30">
        <v>0</v>
      </c>
      <c r="AD2624" s="30">
        <v>0</v>
      </c>
      <c r="AE2624" s="89" t="s">
        <v>92</v>
      </c>
      <c r="AF2624" s="89"/>
      <c r="AG2624" s="89" t="s">
        <v>352</v>
      </c>
      <c r="AH2624" s="72">
        <v>43178</v>
      </c>
      <c r="AI2624" s="30">
        <v>0</v>
      </c>
      <c r="AJ2624" s="89" t="s">
        <v>68</v>
      </c>
      <c r="AK2624" s="89" t="s">
        <v>68</v>
      </c>
      <c r="AL2624" s="91">
        <v>43184</v>
      </c>
      <c r="AM2624" s="91"/>
      <c r="AN2624" s="91"/>
      <c r="AO2624" s="91"/>
      <c r="AP2624" s="73" t="e">
        <f>MID(VLOOKUP(K2624,#REF!,2,FALSE),1,2)</f>
        <v>#REF!</v>
      </c>
      <c r="AQ2624" s="89">
        <f>DATE(2018,2,20)</f>
        <v>43151</v>
      </c>
      <c r="AR2624" s="82">
        <f t="shared" si="217"/>
        <v>20</v>
      </c>
      <c r="AS2624" s="83">
        <f t="shared" si="218"/>
        <v>2</v>
      </c>
      <c r="AT2624" s="84">
        <f t="shared" si="219"/>
        <v>2018</v>
      </c>
      <c r="AU2624" s="88">
        <f>DATE(2018,2,26)</f>
        <v>43157</v>
      </c>
      <c r="AV2624" s="88">
        <f>DATE(2018,2,26)</f>
        <v>43157</v>
      </c>
      <c r="AW2624" s="87">
        <f t="shared" si="220"/>
        <v>0</v>
      </c>
      <c r="AX2624" s="86"/>
      <c r="AY2624" s="83"/>
      <c r="AZ2624" s="84"/>
      <c r="BA2624" s="88">
        <f>DATE(2018,2,23)</f>
        <v>43154</v>
      </c>
      <c r="BB2624" s="86"/>
    </row>
    <row r="2625" spans="1:54" ht="36.75" customHeight="1">
      <c r="A2625" s="30"/>
      <c r="B2625" s="30" t="s">
        <v>55</v>
      </c>
      <c r="C2625" s="69" t="str">
        <f t="shared" si="211"/>
        <v>Closed</v>
      </c>
      <c r="D2625" s="27" t="s">
        <v>14815</v>
      </c>
      <c r="E2625" s="29" t="s">
        <v>14816</v>
      </c>
      <c r="F2625" s="30" t="s">
        <v>5427</v>
      </c>
      <c r="G2625" s="89">
        <f>DATE(2018,2,21)</f>
        <v>43152</v>
      </c>
      <c r="H2625" s="90">
        <v>1.78125</v>
      </c>
      <c r="I2625" s="30" t="s">
        <v>278</v>
      </c>
      <c r="J2625" s="89" t="s">
        <v>14817</v>
      </c>
      <c r="K2625" s="30" t="s">
        <v>596</v>
      </c>
      <c r="L2625" s="30" t="s">
        <v>14818</v>
      </c>
      <c r="M2625" s="30" t="s">
        <v>63</v>
      </c>
      <c r="N2625" s="30" t="s">
        <v>99</v>
      </c>
      <c r="O2625" s="30" t="s">
        <v>90</v>
      </c>
      <c r="P2625" s="89" t="s">
        <v>91</v>
      </c>
      <c r="Q2625" s="89" t="s">
        <v>13142</v>
      </c>
      <c r="R2625" s="89" t="s">
        <v>12074</v>
      </c>
      <c r="S2625" s="30">
        <v>0</v>
      </c>
      <c r="T2625" s="233">
        <v>1</v>
      </c>
      <c r="U2625" s="30">
        <v>0</v>
      </c>
      <c r="V2625" s="233">
        <v>0</v>
      </c>
      <c r="W2625" s="30">
        <v>0</v>
      </c>
      <c r="X2625" s="30">
        <v>1</v>
      </c>
      <c r="Y2625" s="30">
        <v>0</v>
      </c>
      <c r="Z2625" s="233">
        <v>0</v>
      </c>
      <c r="AA2625" s="30">
        <v>0</v>
      </c>
      <c r="AB2625" s="30">
        <v>0</v>
      </c>
      <c r="AC2625" s="30">
        <v>0</v>
      </c>
      <c r="AD2625" s="30">
        <v>0</v>
      </c>
      <c r="AE2625" s="89" t="s">
        <v>92</v>
      </c>
      <c r="AF2625" s="89" t="s">
        <v>7019</v>
      </c>
      <c r="AG2625" s="89" t="s">
        <v>6459</v>
      </c>
      <c r="AH2625" s="72">
        <v>43154</v>
      </c>
      <c r="AI2625" s="30">
        <v>7</v>
      </c>
      <c r="AJ2625" s="89" t="s">
        <v>14819</v>
      </c>
      <c r="AK2625" s="89" t="s">
        <v>14820</v>
      </c>
      <c r="AL2625" s="91">
        <v>43158</v>
      </c>
      <c r="AM2625" s="91"/>
      <c r="AN2625" s="91">
        <v>44585</v>
      </c>
      <c r="AO2625" s="91">
        <v>44522</v>
      </c>
      <c r="AP2625" s="73" t="e">
        <f>MID(VLOOKUP(K2625,#REF!,2,FALSE),1,2)</f>
        <v>#REF!</v>
      </c>
      <c r="AQ2625" s="89">
        <f>DATE(2018,2,20)</f>
        <v>43151</v>
      </c>
      <c r="AR2625" s="82">
        <f t="shared" si="217"/>
        <v>20</v>
      </c>
      <c r="AS2625" s="83">
        <f t="shared" si="218"/>
        <v>2</v>
      </c>
      <c r="AT2625" s="84">
        <f t="shared" si="219"/>
        <v>2018</v>
      </c>
      <c r="AU2625" s="88">
        <f>DATE(2018,3,25)</f>
        <v>43184</v>
      </c>
      <c r="AV2625" s="88">
        <f>DATE(2018,3,19)</f>
        <v>43178</v>
      </c>
      <c r="AW2625" s="87">
        <f t="shared" si="220"/>
        <v>6</v>
      </c>
      <c r="AX2625" s="88">
        <f>DATE(2018,3,25)</f>
        <v>43184</v>
      </c>
      <c r="AY2625" s="83">
        <f>MONTH(AX2625)</f>
        <v>3</v>
      </c>
      <c r="AZ2625" s="84">
        <f>YEAR(AX2625)</f>
        <v>2018</v>
      </c>
      <c r="BA2625" s="88">
        <f>DATE(2018,2,20)</f>
        <v>43151</v>
      </c>
      <c r="BB2625" s="86"/>
    </row>
    <row r="2626" spans="1:54" ht="36.75" customHeight="1">
      <c r="A2626" s="30"/>
      <c r="B2626" s="30" t="s">
        <v>55</v>
      </c>
      <c r="C2626" s="69" t="str">
        <f t="shared" ref="C2626:C2689" si="221">IF(B2626="Notification","Open",IF(B2626="Interim Statement","In progress","Closed"))</f>
        <v>Closed</v>
      </c>
      <c r="D2626" s="27" t="s">
        <v>14821</v>
      </c>
      <c r="E2626" s="29" t="s">
        <v>14822</v>
      </c>
      <c r="F2626" s="30" t="s">
        <v>233</v>
      </c>
      <c r="G2626" s="89">
        <f>DATE(2018,2,21)</f>
        <v>43152</v>
      </c>
      <c r="H2626" s="90">
        <v>1.4513888888888888</v>
      </c>
      <c r="I2626" s="30" t="s">
        <v>278</v>
      </c>
      <c r="J2626" s="89" t="s">
        <v>14823</v>
      </c>
      <c r="K2626" s="30" t="s">
        <v>235</v>
      </c>
      <c r="L2626" s="30" t="s">
        <v>14824</v>
      </c>
      <c r="M2626" s="30" t="s">
        <v>129</v>
      </c>
      <c r="N2626" s="30" t="s">
        <v>142</v>
      </c>
      <c r="O2626" s="30" t="s">
        <v>64</v>
      </c>
      <c r="P2626" s="89" t="s">
        <v>129</v>
      </c>
      <c r="Q2626" s="89" t="s">
        <v>14825</v>
      </c>
      <c r="R2626" s="89" t="s">
        <v>235</v>
      </c>
      <c r="S2626" s="30">
        <v>0</v>
      </c>
      <c r="T2626" s="233">
        <v>0</v>
      </c>
      <c r="U2626" s="30">
        <v>0</v>
      </c>
      <c r="V2626" s="233">
        <v>0</v>
      </c>
      <c r="W2626" s="30">
        <v>0</v>
      </c>
      <c r="X2626" s="30">
        <v>0</v>
      </c>
      <c r="Y2626" s="30">
        <v>0</v>
      </c>
      <c r="Z2626" s="233">
        <v>0</v>
      </c>
      <c r="AA2626" s="30">
        <v>0</v>
      </c>
      <c r="AB2626" s="30">
        <v>0</v>
      </c>
      <c r="AC2626" s="30">
        <v>0</v>
      </c>
      <c r="AD2626" s="30">
        <v>0</v>
      </c>
      <c r="AE2626" s="89" t="s">
        <v>92</v>
      </c>
      <c r="AF2626" s="89"/>
      <c r="AG2626" s="89" t="s">
        <v>133</v>
      </c>
      <c r="AH2626" s="72">
        <v>43178</v>
      </c>
      <c r="AI2626" s="30">
        <v>5</v>
      </c>
      <c r="AJ2626" s="89" t="s">
        <v>14826</v>
      </c>
      <c r="AK2626" s="89" t="s">
        <v>14827</v>
      </c>
      <c r="AL2626" s="91">
        <v>43194</v>
      </c>
      <c r="AM2626" s="91"/>
      <c r="AN2626" s="91"/>
      <c r="AO2626" s="91"/>
      <c r="AP2626" s="73" t="e">
        <f>MID(VLOOKUP(K2626,#REF!,2,FALSE),1,2)</f>
        <v>#REF!</v>
      </c>
      <c r="AQ2626" s="89">
        <f>DATE(2018,2,21)</f>
        <v>43152</v>
      </c>
      <c r="AR2626" s="82">
        <f t="shared" si="217"/>
        <v>21</v>
      </c>
      <c r="AS2626" s="83">
        <f t="shared" si="218"/>
        <v>2</v>
      </c>
      <c r="AT2626" s="84">
        <f t="shared" si="219"/>
        <v>2018</v>
      </c>
      <c r="AU2626" s="88">
        <f>DATE(2018,2,27)</f>
        <v>43158</v>
      </c>
      <c r="AV2626" s="88">
        <f>DATE(2018,2,23)</f>
        <v>43154</v>
      </c>
      <c r="AW2626" s="87">
        <f t="shared" si="220"/>
        <v>4</v>
      </c>
      <c r="AX2626" s="88">
        <f>DATE(2018,2,27)</f>
        <v>43158</v>
      </c>
      <c r="AY2626" s="83">
        <f>MONTH(AX2626)</f>
        <v>2</v>
      </c>
      <c r="AZ2626" s="84">
        <f>YEAR(AX2626)</f>
        <v>2018</v>
      </c>
      <c r="BA2626" s="88">
        <f>DATE(2018,2,21)</f>
        <v>43152</v>
      </c>
      <c r="BB2626" s="86"/>
    </row>
    <row r="2627" spans="1:54" ht="36.75" customHeight="1">
      <c r="A2627" s="30"/>
      <c r="B2627" s="30" t="s">
        <v>55</v>
      </c>
      <c r="C2627" s="69" t="str">
        <f t="shared" si="221"/>
        <v>Closed</v>
      </c>
      <c r="D2627" s="27" t="s">
        <v>14828</v>
      </c>
      <c r="E2627" s="29" t="s">
        <v>14829</v>
      </c>
      <c r="F2627" s="30" t="s">
        <v>115</v>
      </c>
      <c r="G2627" s="89">
        <f>DATE(2018,2,22)</f>
        <v>43153</v>
      </c>
      <c r="H2627" s="90">
        <v>1.8374999999999999</v>
      </c>
      <c r="I2627" s="30" t="s">
        <v>278</v>
      </c>
      <c r="J2627" s="89" t="s">
        <v>14830</v>
      </c>
      <c r="K2627" s="30" t="s">
        <v>118</v>
      </c>
      <c r="L2627" s="30" t="s">
        <v>14831</v>
      </c>
      <c r="M2627" s="30" t="s">
        <v>63</v>
      </c>
      <c r="N2627" s="30" t="s">
        <v>142</v>
      </c>
      <c r="O2627" s="30" t="s">
        <v>77</v>
      </c>
      <c r="P2627" s="89" t="s">
        <v>165</v>
      </c>
      <c r="Q2627" s="89" t="s">
        <v>120</v>
      </c>
      <c r="R2627" s="89" t="s">
        <v>121</v>
      </c>
      <c r="S2627" s="30">
        <v>0</v>
      </c>
      <c r="T2627" s="233">
        <v>0</v>
      </c>
      <c r="U2627" s="30">
        <v>0</v>
      </c>
      <c r="V2627" s="233">
        <v>1</v>
      </c>
      <c r="W2627" s="30">
        <v>0</v>
      </c>
      <c r="X2627" s="30">
        <v>1</v>
      </c>
      <c r="Y2627" s="30">
        <v>0</v>
      </c>
      <c r="Z2627" s="233">
        <v>0</v>
      </c>
      <c r="AA2627" s="30">
        <v>0</v>
      </c>
      <c r="AB2627" s="30">
        <v>0</v>
      </c>
      <c r="AC2627" s="30">
        <v>0</v>
      </c>
      <c r="AD2627" s="30">
        <v>0</v>
      </c>
      <c r="AE2627" s="89" t="s">
        <v>92</v>
      </c>
      <c r="AF2627" s="89"/>
      <c r="AG2627" s="89" t="s">
        <v>352</v>
      </c>
      <c r="AH2627" s="72">
        <v>43164</v>
      </c>
      <c r="AI2627" s="30">
        <v>5</v>
      </c>
      <c r="AJ2627" s="89" t="s">
        <v>14832</v>
      </c>
      <c r="AK2627" s="89" t="s">
        <v>14833</v>
      </c>
      <c r="AL2627" s="91">
        <v>43290</v>
      </c>
      <c r="AM2627" s="91"/>
      <c r="AN2627" s="91"/>
      <c r="AO2627" s="91"/>
      <c r="AP2627" s="73" t="e">
        <f>MID(VLOOKUP(K2627,#REF!,2,FALSE),1,2)</f>
        <v>#REF!</v>
      </c>
      <c r="AQ2627" s="89">
        <f>DATE(2018,2,21)</f>
        <v>43152</v>
      </c>
      <c r="AR2627" s="82">
        <f t="shared" si="217"/>
        <v>21</v>
      </c>
      <c r="AS2627" s="83">
        <f t="shared" si="218"/>
        <v>2</v>
      </c>
      <c r="AT2627" s="84">
        <f t="shared" si="219"/>
        <v>2018</v>
      </c>
      <c r="AU2627" s="88">
        <f>DATE(2018,4,4)</f>
        <v>43194</v>
      </c>
      <c r="AV2627" s="88">
        <f>DATE(2018,3,19)</f>
        <v>43178</v>
      </c>
      <c r="AW2627" s="87">
        <f t="shared" si="220"/>
        <v>16</v>
      </c>
      <c r="AX2627" s="88">
        <f>DATE(2018,4,4)</f>
        <v>43194</v>
      </c>
      <c r="AY2627" s="83">
        <f>MONTH(AX2627)</f>
        <v>4</v>
      </c>
      <c r="AZ2627" s="84">
        <f>YEAR(AX2627)</f>
        <v>2018</v>
      </c>
      <c r="BA2627" s="86"/>
      <c r="BB2627" s="86"/>
    </row>
    <row r="2628" spans="1:54" ht="36.75" customHeight="1">
      <c r="A2628" s="30"/>
      <c r="B2628" s="30" t="s">
        <v>55</v>
      </c>
      <c r="C2628" s="69" t="str">
        <f t="shared" si="221"/>
        <v>Closed</v>
      </c>
      <c r="D2628" s="27" t="s">
        <v>14834</v>
      </c>
      <c r="E2628" s="29" t="s">
        <v>14835</v>
      </c>
      <c r="F2628" s="30" t="s">
        <v>124</v>
      </c>
      <c r="G2628" s="89">
        <f>DATE(2018,2,22)</f>
        <v>43153</v>
      </c>
      <c r="H2628" s="90">
        <v>1.5159722222222221</v>
      </c>
      <c r="I2628" s="30" t="s">
        <v>5494</v>
      </c>
      <c r="J2628" s="89" t="s">
        <v>14836</v>
      </c>
      <c r="K2628" s="30" t="s">
        <v>127</v>
      </c>
      <c r="L2628" s="30" t="s">
        <v>14837</v>
      </c>
      <c r="M2628" s="30" t="s">
        <v>63</v>
      </c>
      <c r="N2628" s="30" t="s">
        <v>99</v>
      </c>
      <c r="O2628" s="30" t="s">
        <v>77</v>
      </c>
      <c r="P2628" s="89" t="s">
        <v>6941</v>
      </c>
      <c r="Q2628" s="89" t="s">
        <v>229</v>
      </c>
      <c r="R2628" s="89" t="s">
        <v>167</v>
      </c>
      <c r="S2628" s="30">
        <v>1</v>
      </c>
      <c r="T2628" s="233">
        <v>0</v>
      </c>
      <c r="U2628" s="30">
        <v>0</v>
      </c>
      <c r="V2628" s="233">
        <v>0</v>
      </c>
      <c r="W2628" s="30">
        <v>0</v>
      </c>
      <c r="X2628" s="30">
        <v>1</v>
      </c>
      <c r="Y2628" s="30">
        <v>0</v>
      </c>
      <c r="Z2628" s="233">
        <v>0</v>
      </c>
      <c r="AA2628" s="30">
        <v>0</v>
      </c>
      <c r="AB2628" s="30">
        <v>0</v>
      </c>
      <c r="AC2628" s="30">
        <v>0</v>
      </c>
      <c r="AD2628" s="30">
        <v>0</v>
      </c>
      <c r="AE2628" s="89" t="s">
        <v>92</v>
      </c>
      <c r="AF2628" s="89"/>
      <c r="AG2628" s="89" t="s">
        <v>82</v>
      </c>
      <c r="AH2628" s="72">
        <v>43164</v>
      </c>
      <c r="AI2628" s="30">
        <v>1</v>
      </c>
      <c r="AJ2628" s="89" t="s">
        <v>14838</v>
      </c>
      <c r="AK2628" s="89" t="s">
        <v>68</v>
      </c>
      <c r="AL2628" s="91">
        <v>43180</v>
      </c>
      <c r="AM2628" s="91"/>
      <c r="AN2628" s="91"/>
      <c r="AO2628" s="91"/>
      <c r="AP2628" s="73" t="e">
        <f>MID(VLOOKUP(K2628,#REF!,2,FALSE),1,2)</f>
        <v>#REF!</v>
      </c>
      <c r="AQ2628" s="89">
        <f>DATE(2018,2,22)</f>
        <v>43153</v>
      </c>
      <c r="AR2628" s="82">
        <f t="shared" si="217"/>
        <v>22</v>
      </c>
      <c r="AS2628" s="83">
        <f t="shared" si="218"/>
        <v>2</v>
      </c>
      <c r="AT2628" s="84">
        <f t="shared" si="219"/>
        <v>2018</v>
      </c>
      <c r="AU2628" s="88">
        <f>DATE(2018,7,9)</f>
        <v>43290</v>
      </c>
      <c r="AV2628" s="88">
        <f>DATE(2018,3,5)</f>
        <v>43164</v>
      </c>
      <c r="AW2628" s="87">
        <f t="shared" si="220"/>
        <v>126</v>
      </c>
      <c r="AX2628" s="86"/>
      <c r="AY2628" s="83"/>
      <c r="AZ2628" s="84"/>
      <c r="BA2628" s="88">
        <f>DATE(2018,3,5)</f>
        <v>43164</v>
      </c>
      <c r="BB2628" s="86"/>
    </row>
    <row r="2629" spans="1:54" ht="36.75" customHeight="1">
      <c r="A2629" s="30"/>
      <c r="B2629" s="30" t="s">
        <v>55</v>
      </c>
      <c r="C2629" s="69" t="str">
        <f t="shared" si="221"/>
        <v>Closed</v>
      </c>
      <c r="D2629" s="27" t="s">
        <v>14839</v>
      </c>
      <c r="E2629" s="29" t="s">
        <v>14840</v>
      </c>
      <c r="F2629" s="30" t="s">
        <v>835</v>
      </c>
      <c r="G2629" s="89">
        <f>DATE(2018,2,23)</f>
        <v>43154</v>
      </c>
      <c r="H2629" s="90">
        <v>1.0069444444444444</v>
      </c>
      <c r="I2629" s="30" t="s">
        <v>73</v>
      </c>
      <c r="J2629" s="89" t="s">
        <v>14841</v>
      </c>
      <c r="K2629" s="30" t="s">
        <v>837</v>
      </c>
      <c r="L2629" s="30" t="s">
        <v>14842</v>
      </c>
      <c r="M2629" s="30" t="s">
        <v>63</v>
      </c>
      <c r="N2629" s="30" t="s">
        <v>142</v>
      </c>
      <c r="O2629" s="30" t="s">
        <v>77</v>
      </c>
      <c r="P2629" s="89" t="s">
        <v>78</v>
      </c>
      <c r="Q2629" s="89" t="s">
        <v>6560</v>
      </c>
      <c r="R2629" s="89" t="s">
        <v>840</v>
      </c>
      <c r="S2629" s="30">
        <v>0</v>
      </c>
      <c r="T2629" s="233">
        <v>0</v>
      </c>
      <c r="U2629" s="30">
        <v>0</v>
      </c>
      <c r="V2629" s="233">
        <v>0</v>
      </c>
      <c r="W2629" s="30">
        <v>0</v>
      </c>
      <c r="X2629" s="30">
        <v>0</v>
      </c>
      <c r="Y2629" s="30">
        <v>0</v>
      </c>
      <c r="Z2629" s="233">
        <v>0</v>
      </c>
      <c r="AA2629" s="30">
        <v>0</v>
      </c>
      <c r="AB2629" s="30">
        <v>0</v>
      </c>
      <c r="AC2629" s="30">
        <v>0</v>
      </c>
      <c r="AD2629" s="30">
        <v>0</v>
      </c>
      <c r="AE2629" s="89" t="s">
        <v>92</v>
      </c>
      <c r="AF2629" s="89"/>
      <c r="AG2629" s="89" t="s">
        <v>352</v>
      </c>
      <c r="AH2629" s="72">
        <v>43285</v>
      </c>
      <c r="AI2629" s="30">
        <v>0</v>
      </c>
      <c r="AJ2629" s="89" t="s">
        <v>14843</v>
      </c>
      <c r="AK2629" s="89" t="s">
        <v>14844</v>
      </c>
      <c r="AL2629" s="91">
        <v>43291</v>
      </c>
      <c r="AM2629" s="91"/>
      <c r="AN2629" s="91"/>
      <c r="AO2629" s="91"/>
      <c r="AP2629" s="73" t="e">
        <f>MID(VLOOKUP(K2629,#REF!,2,FALSE),1,2)</f>
        <v>#REF!</v>
      </c>
      <c r="AQ2629" s="89">
        <f>DATE(2018,2,22)</f>
        <v>43153</v>
      </c>
      <c r="AR2629" s="82">
        <f t="shared" si="217"/>
        <v>22</v>
      </c>
      <c r="AS2629" s="83">
        <f t="shared" si="218"/>
        <v>2</v>
      </c>
      <c r="AT2629" s="84">
        <f t="shared" si="219"/>
        <v>2018</v>
      </c>
      <c r="AU2629" s="88">
        <f>DATE(2018,3,21)</f>
        <v>43180</v>
      </c>
      <c r="AV2629" s="88">
        <f>DATE(2018,3,5)</f>
        <v>43164</v>
      </c>
      <c r="AW2629" s="87">
        <f t="shared" si="220"/>
        <v>16</v>
      </c>
      <c r="AX2629" s="86"/>
      <c r="AY2629" s="83"/>
      <c r="AZ2629" s="84"/>
      <c r="BA2629" s="88">
        <f>DATE(2018,3,5)</f>
        <v>43164</v>
      </c>
      <c r="BB2629" s="86"/>
    </row>
    <row r="2630" spans="1:54" ht="36.75" customHeight="1">
      <c r="A2630" s="30"/>
      <c r="B2630" s="30" t="s">
        <v>55</v>
      </c>
      <c r="C2630" s="69" t="str">
        <f t="shared" si="221"/>
        <v>Closed</v>
      </c>
      <c r="D2630" s="27" t="s">
        <v>14845</v>
      </c>
      <c r="E2630" s="29" t="s">
        <v>14846</v>
      </c>
      <c r="F2630" s="30" t="s">
        <v>1572</v>
      </c>
      <c r="G2630" s="89">
        <f>DATE(2018,2,24)</f>
        <v>43155</v>
      </c>
      <c r="H2630" s="90">
        <v>1.3055555555555556</v>
      </c>
      <c r="I2630" s="30" t="s">
        <v>73</v>
      </c>
      <c r="J2630" s="89" t="s">
        <v>14847</v>
      </c>
      <c r="K2630" s="30" t="s">
        <v>1574</v>
      </c>
      <c r="L2630" s="30" t="s">
        <v>7944</v>
      </c>
      <c r="M2630" s="30" t="s">
        <v>63</v>
      </c>
      <c r="N2630" s="30" t="s">
        <v>142</v>
      </c>
      <c r="O2630" s="30" t="s">
        <v>77</v>
      </c>
      <c r="P2630" s="89" t="s">
        <v>78</v>
      </c>
      <c r="Q2630" s="89" t="s">
        <v>2655</v>
      </c>
      <c r="R2630" s="89" t="s">
        <v>6434</v>
      </c>
      <c r="S2630" s="30">
        <v>0</v>
      </c>
      <c r="T2630" s="233">
        <v>0</v>
      </c>
      <c r="U2630" s="30">
        <v>0</v>
      </c>
      <c r="V2630" s="233">
        <v>0</v>
      </c>
      <c r="W2630" s="30">
        <v>0</v>
      </c>
      <c r="X2630" s="30">
        <v>0</v>
      </c>
      <c r="Y2630" s="30">
        <v>0</v>
      </c>
      <c r="Z2630" s="233">
        <v>0</v>
      </c>
      <c r="AA2630" s="30">
        <v>0</v>
      </c>
      <c r="AB2630" s="30">
        <v>0</v>
      </c>
      <c r="AC2630" s="30">
        <v>0</v>
      </c>
      <c r="AD2630" s="30">
        <v>0</v>
      </c>
      <c r="AE2630" s="89" t="s">
        <v>92</v>
      </c>
      <c r="AF2630" s="89"/>
      <c r="AG2630" s="89" t="s">
        <v>133</v>
      </c>
      <c r="AH2630" s="72">
        <v>43185</v>
      </c>
      <c r="AI2630" s="30">
        <v>1</v>
      </c>
      <c r="AJ2630" s="89" t="s">
        <v>14848</v>
      </c>
      <c r="AK2630" s="89" t="s">
        <v>14849</v>
      </c>
      <c r="AL2630" s="91">
        <v>43160</v>
      </c>
      <c r="AM2630" s="91"/>
      <c r="AN2630" s="91"/>
      <c r="AO2630" s="91"/>
      <c r="AP2630" s="73" t="e">
        <f>MID(VLOOKUP(K2630,#REF!,2,FALSE),1,2)</f>
        <v>#REF!</v>
      </c>
      <c r="AQ2630" s="89">
        <f>DATE(2018,2,23)</f>
        <v>43154</v>
      </c>
      <c r="AR2630" s="82">
        <f t="shared" si="217"/>
        <v>23</v>
      </c>
      <c r="AS2630" s="84">
        <f t="shared" si="218"/>
        <v>2</v>
      </c>
      <c r="AT2630" s="104">
        <f t="shared" si="219"/>
        <v>2018</v>
      </c>
      <c r="AU2630" s="86"/>
      <c r="AV2630" s="87"/>
      <c r="AW2630" s="86"/>
      <c r="AX2630" s="82"/>
      <c r="AY2630" s="84"/>
      <c r="AZ2630" s="104"/>
      <c r="BA2630" s="86"/>
      <c r="BB2630" s="86"/>
    </row>
    <row r="2631" spans="1:54" ht="36.75" customHeight="1">
      <c r="A2631" s="30"/>
      <c r="B2631" s="30" t="s">
        <v>55</v>
      </c>
      <c r="C2631" s="69" t="str">
        <f t="shared" si="221"/>
        <v>Closed</v>
      </c>
      <c r="D2631" s="27" t="s">
        <v>14850</v>
      </c>
      <c r="E2631" s="29" t="s">
        <v>14851</v>
      </c>
      <c r="F2631" s="30" t="s">
        <v>2336</v>
      </c>
      <c r="G2631" s="89">
        <f>DATE(2018,2,27)</f>
        <v>43158</v>
      </c>
      <c r="H2631" s="90">
        <v>1.7895833333333333</v>
      </c>
      <c r="I2631" s="30" t="s">
        <v>116</v>
      </c>
      <c r="J2631" s="89" t="s">
        <v>14852</v>
      </c>
      <c r="K2631" s="30" t="s">
        <v>2338</v>
      </c>
      <c r="L2631" s="30" t="s">
        <v>14853</v>
      </c>
      <c r="M2631" s="30" t="s">
        <v>63</v>
      </c>
      <c r="N2631" s="30" t="s">
        <v>99</v>
      </c>
      <c r="O2631" s="30" t="s">
        <v>64</v>
      </c>
      <c r="P2631" s="89" t="s">
        <v>165</v>
      </c>
      <c r="Q2631" s="89" t="s">
        <v>13517</v>
      </c>
      <c r="R2631" s="89" t="s">
        <v>2341</v>
      </c>
      <c r="S2631" s="30">
        <v>0</v>
      </c>
      <c r="T2631" s="233">
        <v>0</v>
      </c>
      <c r="U2631" s="30">
        <v>4</v>
      </c>
      <c r="V2631" s="233">
        <v>0</v>
      </c>
      <c r="W2631" s="30">
        <v>0</v>
      </c>
      <c r="X2631" s="30">
        <v>4</v>
      </c>
      <c r="Y2631" s="30">
        <v>0</v>
      </c>
      <c r="Z2631" s="233">
        <v>0</v>
      </c>
      <c r="AA2631" s="30">
        <v>0</v>
      </c>
      <c r="AB2631" s="30">
        <v>0</v>
      </c>
      <c r="AC2631" s="30">
        <v>0</v>
      </c>
      <c r="AD2631" s="30">
        <v>0</v>
      </c>
      <c r="AE2631" s="89" t="s">
        <v>92</v>
      </c>
      <c r="AF2631" s="89"/>
      <c r="AG2631" s="89" t="s">
        <v>82</v>
      </c>
      <c r="AH2631" s="72">
        <v>43160</v>
      </c>
      <c r="AI2631" s="30">
        <v>20</v>
      </c>
      <c r="AJ2631" s="89" t="s">
        <v>14854</v>
      </c>
      <c r="AK2631" s="89" t="s">
        <v>14855</v>
      </c>
      <c r="AL2631" s="91">
        <v>43165</v>
      </c>
      <c r="AM2631" s="91"/>
      <c r="AN2631" s="91"/>
      <c r="AO2631" s="91"/>
      <c r="AP2631" s="73" t="e">
        <f>MID(VLOOKUP(K2631,#REF!,2,FALSE),1,2)</f>
        <v>#REF!</v>
      </c>
      <c r="AQ2631" s="89">
        <f>DATE(2018,2,24)</f>
        <v>43155</v>
      </c>
      <c r="AR2631" s="82">
        <f t="shared" si="217"/>
        <v>24</v>
      </c>
      <c r="AS2631" s="83">
        <f t="shared" si="218"/>
        <v>2</v>
      </c>
      <c r="AT2631" s="84">
        <f t="shared" si="219"/>
        <v>2018</v>
      </c>
      <c r="AU2631" s="88">
        <f>DATE(2018,3,1)</f>
        <v>43160</v>
      </c>
      <c r="AV2631" s="88">
        <f>DATE(2018,3,26)</f>
        <v>43185</v>
      </c>
      <c r="AW2631" s="87">
        <f t="shared" ref="AW2631:AW2651" si="222">AU2631-AV2631</f>
        <v>-25</v>
      </c>
      <c r="AX2631" s="88">
        <f>DATE(2018,3,1)</f>
        <v>43160</v>
      </c>
      <c r="AY2631" s="83">
        <f>MONTH(AX2631)</f>
        <v>3</v>
      </c>
      <c r="AZ2631" s="84">
        <f>YEAR(AX2631)</f>
        <v>2018</v>
      </c>
      <c r="BA2631" s="88">
        <f>DATE(2018,2,24)</f>
        <v>43155</v>
      </c>
      <c r="BB2631" s="86"/>
    </row>
    <row r="2632" spans="1:54" ht="36.75" customHeight="1">
      <c r="A2632" s="30"/>
      <c r="B2632" s="30" t="s">
        <v>55</v>
      </c>
      <c r="C2632" s="69" t="str">
        <f t="shared" si="221"/>
        <v>Closed</v>
      </c>
      <c r="D2632" s="27" t="s">
        <v>14856</v>
      </c>
      <c r="E2632" s="29" t="s">
        <v>14857</v>
      </c>
      <c r="F2632" s="30" t="s">
        <v>423</v>
      </c>
      <c r="G2632" s="89">
        <f>DATE(2018,2,28)</f>
        <v>43159</v>
      </c>
      <c r="H2632" s="90">
        <v>1.35625</v>
      </c>
      <c r="I2632" s="30" t="s">
        <v>73</v>
      </c>
      <c r="J2632" s="89" t="s">
        <v>14858</v>
      </c>
      <c r="K2632" s="30" t="s">
        <v>425</v>
      </c>
      <c r="L2632" s="30" t="s">
        <v>14859</v>
      </c>
      <c r="M2632" s="30" t="s">
        <v>63</v>
      </c>
      <c r="N2632" s="30" t="s">
        <v>99</v>
      </c>
      <c r="O2632" s="30" t="s">
        <v>6875</v>
      </c>
      <c r="P2632" s="89" t="s">
        <v>91</v>
      </c>
      <c r="Q2632" s="89" t="s">
        <v>14860</v>
      </c>
      <c r="R2632" s="89" t="s">
        <v>4271</v>
      </c>
      <c r="S2632" s="30">
        <v>0</v>
      </c>
      <c r="T2632" s="233">
        <v>0</v>
      </c>
      <c r="U2632" s="30">
        <v>0</v>
      </c>
      <c r="V2632" s="233">
        <v>0</v>
      </c>
      <c r="W2632" s="30">
        <v>0</v>
      </c>
      <c r="X2632" s="30">
        <v>0</v>
      </c>
      <c r="Y2632" s="30">
        <v>0</v>
      </c>
      <c r="Z2632" s="233">
        <v>1</v>
      </c>
      <c r="AA2632" s="30">
        <v>0</v>
      </c>
      <c r="AB2632" s="30">
        <v>0</v>
      </c>
      <c r="AC2632" s="30">
        <v>0</v>
      </c>
      <c r="AD2632" s="30">
        <v>1</v>
      </c>
      <c r="AE2632" s="89" t="s">
        <v>92</v>
      </c>
      <c r="AF2632" s="89"/>
      <c r="AG2632" s="89" t="s">
        <v>133</v>
      </c>
      <c r="AH2632" s="72">
        <v>43159</v>
      </c>
      <c r="AI2632" s="30">
        <v>0</v>
      </c>
      <c r="AJ2632" s="89" t="s">
        <v>14861</v>
      </c>
      <c r="AK2632" s="89" t="s">
        <v>14862</v>
      </c>
      <c r="AL2632" s="91">
        <v>43161</v>
      </c>
      <c r="AM2632" s="91"/>
      <c r="AN2632" s="91"/>
      <c r="AO2632" s="91"/>
      <c r="AP2632" s="73" t="e">
        <f>MID(VLOOKUP(K2632,#REF!,2,FALSE),1,2)</f>
        <v>#REF!</v>
      </c>
      <c r="AQ2632" s="89">
        <f>DATE(2018,2,27)</f>
        <v>43158</v>
      </c>
      <c r="AR2632" s="82">
        <f t="shared" si="217"/>
        <v>27</v>
      </c>
      <c r="AS2632" s="83">
        <f t="shared" si="218"/>
        <v>2</v>
      </c>
      <c r="AT2632" s="84">
        <f t="shared" si="219"/>
        <v>2018</v>
      </c>
      <c r="AU2632" s="88">
        <f>DATE(2018,3,6)</f>
        <v>43165</v>
      </c>
      <c r="AV2632" s="88">
        <f>DATE(2018,3,1)</f>
        <v>43160</v>
      </c>
      <c r="AW2632" s="87">
        <f t="shared" si="222"/>
        <v>5</v>
      </c>
      <c r="AX2632" s="88">
        <f>DATE(2018,3,6)</f>
        <v>43165</v>
      </c>
      <c r="AY2632" s="83">
        <f>MONTH(AX2632)</f>
        <v>3</v>
      </c>
      <c r="AZ2632" s="84">
        <f>YEAR(AX2632)</f>
        <v>2018</v>
      </c>
      <c r="BA2632" s="88">
        <f>DATE(2018,3,2)</f>
        <v>43161</v>
      </c>
      <c r="BB2632" s="86"/>
    </row>
    <row r="2633" spans="1:54" ht="36.75" customHeight="1">
      <c r="A2633" s="30"/>
      <c r="B2633" s="30" t="s">
        <v>55</v>
      </c>
      <c r="C2633" s="69" t="str">
        <f t="shared" si="221"/>
        <v>Closed</v>
      </c>
      <c r="D2633" s="27" t="s">
        <v>14863</v>
      </c>
      <c r="E2633" s="29" t="s">
        <v>14864</v>
      </c>
      <c r="F2633" s="30" t="s">
        <v>124</v>
      </c>
      <c r="G2633" s="89">
        <f>DATE(2018,3,2)</f>
        <v>43161</v>
      </c>
      <c r="H2633" s="90">
        <v>1.96875</v>
      </c>
      <c r="I2633" s="30" t="s">
        <v>278</v>
      </c>
      <c r="J2633" s="89" t="s">
        <v>14865</v>
      </c>
      <c r="K2633" s="30" t="s">
        <v>127</v>
      </c>
      <c r="L2633" s="30" t="s">
        <v>14866</v>
      </c>
      <c r="M2633" s="30" t="s">
        <v>63</v>
      </c>
      <c r="N2633" s="30" t="s">
        <v>142</v>
      </c>
      <c r="O2633" s="30" t="s">
        <v>64</v>
      </c>
      <c r="P2633" s="89" t="s">
        <v>165</v>
      </c>
      <c r="Q2633" s="89" t="s">
        <v>229</v>
      </c>
      <c r="R2633" s="89" t="s">
        <v>167</v>
      </c>
      <c r="S2633" s="30">
        <v>0</v>
      </c>
      <c r="T2633" s="233">
        <v>0</v>
      </c>
      <c r="U2633" s="30">
        <v>0</v>
      </c>
      <c r="V2633" s="233">
        <v>2</v>
      </c>
      <c r="W2633" s="30">
        <v>0</v>
      </c>
      <c r="X2633" s="30">
        <v>2</v>
      </c>
      <c r="Y2633" s="30">
        <v>0</v>
      </c>
      <c r="Z2633" s="233">
        <v>0</v>
      </c>
      <c r="AA2633" s="30">
        <v>0</v>
      </c>
      <c r="AB2633" s="30">
        <v>0</v>
      </c>
      <c r="AC2633" s="30">
        <v>0</v>
      </c>
      <c r="AD2633" s="30">
        <v>0</v>
      </c>
      <c r="AE2633" s="89" t="s">
        <v>92</v>
      </c>
      <c r="AF2633" s="89"/>
      <c r="AG2633" s="89" t="s">
        <v>82</v>
      </c>
      <c r="AH2633" s="72">
        <v>43165</v>
      </c>
      <c r="AI2633" s="30">
        <v>0</v>
      </c>
      <c r="AJ2633" s="89" t="s">
        <v>14867</v>
      </c>
      <c r="AK2633" s="89" t="s">
        <v>68</v>
      </c>
      <c r="AL2633" s="91">
        <v>43194</v>
      </c>
      <c r="AM2633" s="91"/>
      <c r="AN2633" s="91"/>
      <c r="AO2633" s="91"/>
      <c r="AP2633" s="73" t="e">
        <f>MID(VLOOKUP(K2633,#REF!,2,FALSE),1,2)</f>
        <v>#REF!</v>
      </c>
      <c r="AQ2633" s="89">
        <f>DATE(2018,2,28)</f>
        <v>43159</v>
      </c>
      <c r="AR2633" s="82">
        <f t="shared" si="217"/>
        <v>28</v>
      </c>
      <c r="AS2633" s="83">
        <f t="shared" si="218"/>
        <v>2</v>
      </c>
      <c r="AT2633" s="84">
        <f t="shared" si="219"/>
        <v>2018</v>
      </c>
      <c r="AU2633" s="88">
        <f>DATE(2018,3,2)</f>
        <v>43161</v>
      </c>
      <c r="AV2633" s="88">
        <f>DATE(2018,2,28)</f>
        <v>43159</v>
      </c>
      <c r="AW2633" s="87">
        <f t="shared" si="222"/>
        <v>2</v>
      </c>
      <c r="AX2633" s="86"/>
      <c r="AY2633" s="83"/>
      <c r="AZ2633" s="84"/>
      <c r="BA2633" s="86"/>
      <c r="BB2633" s="86"/>
    </row>
    <row r="2634" spans="1:54" ht="36.75" customHeight="1">
      <c r="A2634" s="30"/>
      <c r="B2634" s="30" t="s">
        <v>55</v>
      </c>
      <c r="C2634" s="69" t="str">
        <f t="shared" si="221"/>
        <v>Closed</v>
      </c>
      <c r="D2634" s="27" t="s">
        <v>14868</v>
      </c>
      <c r="E2634" s="29" t="s">
        <v>14869</v>
      </c>
      <c r="F2634" s="30" t="s">
        <v>233</v>
      </c>
      <c r="G2634" s="89">
        <f>DATE(2018,3,2)</f>
        <v>43161</v>
      </c>
      <c r="H2634" s="90">
        <v>1.7361111111111112</v>
      </c>
      <c r="I2634" s="30" t="s">
        <v>278</v>
      </c>
      <c r="J2634" s="89" t="s">
        <v>14870</v>
      </c>
      <c r="K2634" s="30" t="s">
        <v>235</v>
      </c>
      <c r="L2634" s="30" t="s">
        <v>13207</v>
      </c>
      <c r="M2634" s="30" t="s">
        <v>63</v>
      </c>
      <c r="N2634" s="30" t="s">
        <v>89</v>
      </c>
      <c r="O2634" s="30" t="s">
        <v>64</v>
      </c>
      <c r="P2634" s="89" t="s">
        <v>6902</v>
      </c>
      <c r="Q2634" s="89" t="s">
        <v>1521</v>
      </c>
      <c r="R2634" s="89" t="s">
        <v>235</v>
      </c>
      <c r="S2634" s="30">
        <v>0</v>
      </c>
      <c r="T2634" s="233">
        <v>0</v>
      </c>
      <c r="U2634" s="30">
        <v>0</v>
      </c>
      <c r="V2634" s="233">
        <v>0</v>
      </c>
      <c r="W2634" s="30">
        <v>0</v>
      </c>
      <c r="X2634" s="30">
        <v>0</v>
      </c>
      <c r="Y2634" s="30">
        <v>0</v>
      </c>
      <c r="Z2634" s="233">
        <v>0</v>
      </c>
      <c r="AA2634" s="30">
        <v>0</v>
      </c>
      <c r="AB2634" s="30">
        <v>0</v>
      </c>
      <c r="AC2634" s="30">
        <v>0</v>
      </c>
      <c r="AD2634" s="30">
        <v>0</v>
      </c>
      <c r="AE2634" s="89" t="s">
        <v>92</v>
      </c>
      <c r="AF2634" s="89"/>
      <c r="AG2634" s="89" t="s">
        <v>133</v>
      </c>
      <c r="AH2634" s="72">
        <v>43171</v>
      </c>
      <c r="AI2634" s="30">
        <v>5</v>
      </c>
      <c r="AJ2634" s="89" t="s">
        <v>14871</v>
      </c>
      <c r="AK2634" s="89" t="s">
        <v>14872</v>
      </c>
      <c r="AL2634" s="91">
        <v>43194</v>
      </c>
      <c r="AM2634" s="91"/>
      <c r="AN2634" s="91"/>
      <c r="AO2634" s="91"/>
      <c r="AP2634" s="73" t="e">
        <f>MID(VLOOKUP(K2634,#REF!,2,FALSE),1,2)</f>
        <v>#REF!</v>
      </c>
      <c r="AQ2634" s="89">
        <f>DATE(2018,3,2)</f>
        <v>43161</v>
      </c>
      <c r="AR2634" s="82">
        <f t="shared" si="217"/>
        <v>2</v>
      </c>
      <c r="AS2634" s="83">
        <f t="shared" si="218"/>
        <v>3</v>
      </c>
      <c r="AT2634" s="84">
        <f t="shared" si="219"/>
        <v>2018</v>
      </c>
      <c r="AU2634" s="88">
        <f>DATE(2018,4,4)</f>
        <v>43194</v>
      </c>
      <c r="AV2634" s="88">
        <f>DATE(2018,3,6)</f>
        <v>43165</v>
      </c>
      <c r="AW2634" s="87">
        <f t="shared" si="222"/>
        <v>29</v>
      </c>
      <c r="AX2634" s="88">
        <f>DATE(2018,3,7)</f>
        <v>43166</v>
      </c>
      <c r="AY2634" s="83">
        <f>MONTH(AX2634)</f>
        <v>3</v>
      </c>
      <c r="AZ2634" s="84">
        <f>YEAR(AX2634)</f>
        <v>2018</v>
      </c>
      <c r="BA2634" s="88">
        <f>DATE(2018,3,6)</f>
        <v>43165</v>
      </c>
      <c r="BB2634" s="86"/>
    </row>
    <row r="2635" spans="1:54" ht="36.75" customHeight="1">
      <c r="A2635" s="30"/>
      <c r="B2635" s="30" t="s">
        <v>55</v>
      </c>
      <c r="C2635" s="69" t="str">
        <f t="shared" si="221"/>
        <v>Closed</v>
      </c>
      <c r="D2635" s="27" t="s">
        <v>14873</v>
      </c>
      <c r="E2635" s="29" t="s">
        <v>14874</v>
      </c>
      <c r="F2635" s="30" t="s">
        <v>423</v>
      </c>
      <c r="G2635" s="89">
        <f>DATE(2018,3,3)</f>
        <v>43162</v>
      </c>
      <c r="H2635" s="90">
        <v>1.4333333333333333</v>
      </c>
      <c r="I2635" s="30" t="s">
        <v>73</v>
      </c>
      <c r="J2635" s="89" t="s">
        <v>14875</v>
      </c>
      <c r="K2635" s="30" t="s">
        <v>425</v>
      </c>
      <c r="L2635" s="30" t="s">
        <v>6518</v>
      </c>
      <c r="M2635" s="30" t="s">
        <v>63</v>
      </c>
      <c r="N2635" s="30" t="s">
        <v>142</v>
      </c>
      <c r="O2635" s="30" t="s">
        <v>77</v>
      </c>
      <c r="P2635" s="89" t="s">
        <v>78</v>
      </c>
      <c r="Q2635" s="89" t="s">
        <v>2582</v>
      </c>
      <c r="R2635" s="89" t="s">
        <v>3103</v>
      </c>
      <c r="S2635" s="30">
        <v>0</v>
      </c>
      <c r="T2635" s="233">
        <v>0</v>
      </c>
      <c r="U2635" s="30">
        <v>0</v>
      </c>
      <c r="V2635" s="233">
        <v>0</v>
      </c>
      <c r="W2635" s="30">
        <v>0</v>
      </c>
      <c r="X2635" s="30">
        <v>0</v>
      </c>
      <c r="Y2635" s="30">
        <v>0</v>
      </c>
      <c r="Z2635" s="233">
        <v>0</v>
      </c>
      <c r="AA2635" s="30">
        <v>0</v>
      </c>
      <c r="AB2635" s="30">
        <v>0</v>
      </c>
      <c r="AC2635" s="30">
        <v>0</v>
      </c>
      <c r="AD2635" s="30">
        <v>0</v>
      </c>
      <c r="AE2635" s="89" t="s">
        <v>92</v>
      </c>
      <c r="AF2635" s="89"/>
      <c r="AG2635" s="89" t="s">
        <v>133</v>
      </c>
      <c r="AH2635" s="72">
        <v>43162</v>
      </c>
      <c r="AI2635" s="30">
        <v>1</v>
      </c>
      <c r="AJ2635" s="89" t="s">
        <v>14876</v>
      </c>
      <c r="AK2635" s="89" t="s">
        <v>14877</v>
      </c>
      <c r="AL2635" s="91">
        <v>43164</v>
      </c>
      <c r="AM2635" s="91"/>
      <c r="AN2635" s="91"/>
      <c r="AO2635" s="91"/>
      <c r="AP2635" s="73" t="e">
        <f>MID(VLOOKUP(K2635,#REF!,2,FALSE),1,2)</f>
        <v>#REF!</v>
      </c>
      <c r="AQ2635" s="89">
        <f>DATE(2018,3,2)</f>
        <v>43161</v>
      </c>
      <c r="AR2635" s="82">
        <f t="shared" si="217"/>
        <v>2</v>
      </c>
      <c r="AS2635" s="83">
        <f t="shared" si="218"/>
        <v>3</v>
      </c>
      <c r="AT2635" s="84">
        <f t="shared" si="219"/>
        <v>2018</v>
      </c>
      <c r="AU2635" s="88">
        <f>DATE(2018,4,4)</f>
        <v>43194</v>
      </c>
      <c r="AV2635" s="88">
        <f>DATE(2018,3,12)</f>
        <v>43171</v>
      </c>
      <c r="AW2635" s="87">
        <f t="shared" si="222"/>
        <v>23</v>
      </c>
      <c r="AX2635" s="88">
        <f>DATE(2018,4,4)</f>
        <v>43194</v>
      </c>
      <c r="AY2635" s="83">
        <f>MONTH(AX2635)</f>
        <v>4</v>
      </c>
      <c r="AZ2635" s="84">
        <f>YEAR(AX2635)</f>
        <v>2018</v>
      </c>
      <c r="BA2635" s="86"/>
      <c r="BB2635" s="86"/>
    </row>
    <row r="2636" spans="1:54" ht="36.75" customHeight="1">
      <c r="A2636" s="30"/>
      <c r="B2636" s="30" t="s">
        <v>2124</v>
      </c>
      <c r="C2636" s="69" t="str">
        <f t="shared" si="221"/>
        <v>Open</v>
      </c>
      <c r="D2636" s="27" t="s">
        <v>14878</v>
      </c>
      <c r="E2636" s="29" t="s">
        <v>14879</v>
      </c>
      <c r="F2636" s="30" t="s">
        <v>5427</v>
      </c>
      <c r="G2636" s="89">
        <f>DATE(2018,3,4)</f>
        <v>43163</v>
      </c>
      <c r="H2636" s="90">
        <v>0</v>
      </c>
      <c r="I2636" s="30" t="s">
        <v>156</v>
      </c>
      <c r="J2636" s="89" t="s">
        <v>14880</v>
      </c>
      <c r="K2636" s="30" t="s">
        <v>596</v>
      </c>
      <c r="L2636" s="30" t="s">
        <v>14881</v>
      </c>
      <c r="M2636" s="30" t="s">
        <v>63</v>
      </c>
      <c r="N2636" s="30" t="s">
        <v>99</v>
      </c>
      <c r="O2636" s="30" t="s">
        <v>64</v>
      </c>
      <c r="P2636" s="89" t="s">
        <v>65</v>
      </c>
      <c r="Q2636" s="89" t="s">
        <v>10529</v>
      </c>
      <c r="R2636" s="89" t="s">
        <v>12074</v>
      </c>
      <c r="S2636" s="30">
        <v>0</v>
      </c>
      <c r="T2636" s="233">
        <v>0</v>
      </c>
      <c r="U2636" s="30">
        <v>0</v>
      </c>
      <c r="V2636" s="233">
        <v>0</v>
      </c>
      <c r="W2636" s="30">
        <v>0</v>
      </c>
      <c r="X2636" s="30">
        <v>0</v>
      </c>
      <c r="Y2636" s="30">
        <v>0</v>
      </c>
      <c r="Z2636" s="233">
        <v>0</v>
      </c>
      <c r="AA2636" s="30">
        <v>0</v>
      </c>
      <c r="AB2636" s="30">
        <v>0</v>
      </c>
      <c r="AC2636" s="30">
        <v>0</v>
      </c>
      <c r="AD2636" s="30">
        <v>0</v>
      </c>
      <c r="AE2636" s="89" t="s">
        <v>92</v>
      </c>
      <c r="AF2636" s="89"/>
      <c r="AG2636" s="89" t="s">
        <v>352</v>
      </c>
      <c r="AH2636" s="72">
        <v>43180</v>
      </c>
      <c r="AI2636" s="30">
        <v>0</v>
      </c>
      <c r="AJ2636" s="89" t="s">
        <v>68</v>
      </c>
      <c r="AK2636" s="89" t="s">
        <v>68</v>
      </c>
      <c r="AL2636" s="91">
        <v>43184</v>
      </c>
      <c r="AM2636" s="91"/>
      <c r="AN2636" s="91"/>
      <c r="AO2636" s="91"/>
      <c r="AP2636" s="73" t="e">
        <f>MID(VLOOKUP(K2636,#REF!,2,FALSE),1,2)</f>
        <v>#REF!</v>
      </c>
      <c r="AQ2636" s="89">
        <f>DATE(2018,3,3)</f>
        <v>43162</v>
      </c>
      <c r="AR2636" s="82">
        <f t="shared" si="217"/>
        <v>3</v>
      </c>
      <c r="AS2636" s="83">
        <f t="shared" si="218"/>
        <v>3</v>
      </c>
      <c r="AT2636" s="84">
        <f t="shared" si="219"/>
        <v>2018</v>
      </c>
      <c r="AU2636" s="88">
        <f>DATE(2018,3,5)</f>
        <v>43164</v>
      </c>
      <c r="AV2636" s="88">
        <f>DATE(2018,3,3)</f>
        <v>43162</v>
      </c>
      <c r="AW2636" s="87">
        <f t="shared" si="222"/>
        <v>2</v>
      </c>
      <c r="AX2636" s="86"/>
      <c r="AY2636" s="83"/>
      <c r="AZ2636" s="84"/>
      <c r="BA2636" s="86"/>
      <c r="BB2636" s="86"/>
    </row>
    <row r="2637" spans="1:54" ht="36.75" customHeight="1">
      <c r="A2637" s="30"/>
      <c r="B2637" s="30" t="s">
        <v>14882</v>
      </c>
      <c r="C2637" s="69" t="str">
        <f t="shared" si="221"/>
        <v>In progress</v>
      </c>
      <c r="D2637" s="27" t="s">
        <v>14883</v>
      </c>
      <c r="E2637" s="29" t="s">
        <v>14884</v>
      </c>
      <c r="F2637" s="30" t="s">
        <v>14885</v>
      </c>
      <c r="G2637" s="89">
        <f>DATE(2018,3,5)</f>
        <v>43164</v>
      </c>
      <c r="H2637" s="90">
        <v>1.3479166666666667</v>
      </c>
      <c r="I2637" s="30" t="s">
        <v>278</v>
      </c>
      <c r="J2637" s="89" t="s">
        <v>14886</v>
      </c>
      <c r="K2637" s="30" t="s">
        <v>12881</v>
      </c>
      <c r="L2637" s="30" t="s">
        <v>14887</v>
      </c>
      <c r="M2637" s="30" t="s">
        <v>63</v>
      </c>
      <c r="N2637" s="30" t="s">
        <v>89</v>
      </c>
      <c r="O2637" s="30" t="s">
        <v>77</v>
      </c>
      <c r="P2637" s="89" t="s">
        <v>78</v>
      </c>
      <c r="Q2637" s="89" t="s">
        <v>14888</v>
      </c>
      <c r="R2637" s="89" t="s">
        <v>14888</v>
      </c>
      <c r="S2637" s="30">
        <v>0</v>
      </c>
      <c r="T2637" s="233">
        <v>2</v>
      </c>
      <c r="U2637" s="30">
        <v>0</v>
      </c>
      <c r="V2637" s="233">
        <v>0</v>
      </c>
      <c r="W2637" s="30">
        <v>0</v>
      </c>
      <c r="X2637" s="30">
        <v>2</v>
      </c>
      <c r="Y2637" s="30">
        <v>0</v>
      </c>
      <c r="Z2637" s="233">
        <v>0</v>
      </c>
      <c r="AA2637" s="30">
        <v>0</v>
      </c>
      <c r="AB2637" s="30">
        <v>0</v>
      </c>
      <c r="AC2637" s="30">
        <v>0</v>
      </c>
      <c r="AD2637" s="30">
        <v>0</v>
      </c>
      <c r="AE2637" s="89" t="s">
        <v>92</v>
      </c>
      <c r="AF2637" s="89" t="s">
        <v>928</v>
      </c>
      <c r="AG2637" s="89" t="s">
        <v>8859</v>
      </c>
      <c r="AH2637" s="72">
        <v>43171</v>
      </c>
      <c r="AI2637" s="30">
        <v>0</v>
      </c>
      <c r="AJ2637" s="89" t="s">
        <v>68</v>
      </c>
      <c r="AK2637" s="89" t="s">
        <v>68</v>
      </c>
      <c r="AL2637" s="91">
        <v>43181</v>
      </c>
      <c r="AM2637" s="91">
        <v>44578</v>
      </c>
      <c r="AN2637" s="91"/>
      <c r="AO2637" s="91"/>
      <c r="AP2637" s="73" t="e">
        <f>MID(VLOOKUP(K2637,#REF!,2,FALSE),1,2)</f>
        <v>#REF!</v>
      </c>
      <c r="AQ2637" s="89">
        <f>DATE(2018,3,4)</f>
        <v>43163</v>
      </c>
      <c r="AR2637" s="82">
        <f t="shared" si="217"/>
        <v>4</v>
      </c>
      <c r="AS2637" s="83">
        <f t="shared" si="218"/>
        <v>3</v>
      </c>
      <c r="AT2637" s="84">
        <f t="shared" si="219"/>
        <v>2018</v>
      </c>
      <c r="AU2637" s="88">
        <f>DATE(2018,3,25)</f>
        <v>43184</v>
      </c>
      <c r="AV2637" s="88">
        <f>DATE(2018,3,21)</f>
        <v>43180</v>
      </c>
      <c r="AW2637" s="87">
        <f t="shared" si="222"/>
        <v>4</v>
      </c>
      <c r="AX2637" s="88">
        <f>DATE(2018,3,25)</f>
        <v>43184</v>
      </c>
      <c r="AY2637" s="83">
        <f>MONTH(AX2637)</f>
        <v>3</v>
      </c>
      <c r="AZ2637" s="84">
        <f>YEAR(AX2637)</f>
        <v>2018</v>
      </c>
      <c r="BA2637" s="88">
        <f>DATE(2018,3,4)</f>
        <v>43163</v>
      </c>
      <c r="BB2637" s="86"/>
    </row>
    <row r="2638" spans="1:54" ht="36.75" customHeight="1">
      <c r="A2638" s="30"/>
      <c r="B2638" s="30" t="s">
        <v>55</v>
      </c>
      <c r="C2638" s="69" t="str">
        <f t="shared" si="221"/>
        <v>Closed</v>
      </c>
      <c r="D2638" s="27" t="s">
        <v>14889</v>
      </c>
      <c r="E2638" s="29" t="s">
        <v>14890</v>
      </c>
      <c r="F2638" s="30" t="s">
        <v>1572</v>
      </c>
      <c r="G2638" s="89">
        <f>DATE(2018,3,5)</f>
        <v>43164</v>
      </c>
      <c r="H2638" s="90">
        <v>1.7569444444444446</v>
      </c>
      <c r="I2638" s="30" t="s">
        <v>73</v>
      </c>
      <c r="J2638" s="89" t="s">
        <v>14891</v>
      </c>
      <c r="K2638" s="30" t="s">
        <v>1574</v>
      </c>
      <c r="L2638" s="30" t="s">
        <v>14892</v>
      </c>
      <c r="M2638" s="30" t="s">
        <v>63</v>
      </c>
      <c r="N2638" s="30" t="s">
        <v>99</v>
      </c>
      <c r="O2638" s="30" t="s">
        <v>77</v>
      </c>
      <c r="P2638" s="89" t="s">
        <v>78</v>
      </c>
      <c r="Q2638" s="89" t="s">
        <v>8078</v>
      </c>
      <c r="R2638" s="89" t="s">
        <v>2561</v>
      </c>
      <c r="S2638" s="30">
        <v>0</v>
      </c>
      <c r="T2638" s="233">
        <v>0</v>
      </c>
      <c r="U2638" s="30">
        <v>0</v>
      </c>
      <c r="V2638" s="233">
        <v>0</v>
      </c>
      <c r="W2638" s="30">
        <v>0</v>
      </c>
      <c r="X2638" s="30">
        <v>0</v>
      </c>
      <c r="Y2638" s="30">
        <v>0</v>
      </c>
      <c r="Z2638" s="233">
        <v>0</v>
      </c>
      <c r="AA2638" s="30">
        <v>0</v>
      </c>
      <c r="AB2638" s="30">
        <v>0</v>
      </c>
      <c r="AC2638" s="30">
        <v>0</v>
      </c>
      <c r="AD2638" s="30">
        <v>0</v>
      </c>
      <c r="AE2638" s="89" t="s">
        <v>92</v>
      </c>
      <c r="AF2638" s="89"/>
      <c r="AG2638" s="89" t="s">
        <v>133</v>
      </c>
      <c r="AH2638" s="72">
        <v>43166</v>
      </c>
      <c r="AI2638" s="30">
        <v>0</v>
      </c>
      <c r="AJ2638" s="89" t="s">
        <v>14893</v>
      </c>
      <c r="AK2638" s="89" t="s">
        <v>14894</v>
      </c>
      <c r="AL2638" s="91">
        <v>43170</v>
      </c>
      <c r="AM2638" s="91"/>
      <c r="AN2638" s="91"/>
      <c r="AO2638" s="91"/>
      <c r="AP2638" s="73" t="e">
        <f>MID(VLOOKUP(K2638,#REF!,2,FALSE),1,2)</f>
        <v>#REF!</v>
      </c>
      <c r="AQ2638" s="89">
        <f>DATE(2018,3,5)</f>
        <v>43164</v>
      </c>
      <c r="AR2638" s="82">
        <f t="shared" si="217"/>
        <v>5</v>
      </c>
      <c r="AS2638" s="83">
        <f t="shared" si="218"/>
        <v>3</v>
      </c>
      <c r="AT2638" s="84">
        <f t="shared" si="219"/>
        <v>2018</v>
      </c>
      <c r="AU2638" s="88">
        <f>DATE(2018,3,22)</f>
        <v>43181</v>
      </c>
      <c r="AV2638" s="88">
        <f>DATE(2018,3,12)</f>
        <v>43171</v>
      </c>
      <c r="AW2638" s="87">
        <f t="shared" si="222"/>
        <v>10</v>
      </c>
      <c r="AX2638" s="86"/>
      <c r="AY2638" s="83"/>
      <c r="AZ2638" s="84"/>
      <c r="BA2638" s="86"/>
      <c r="BB2638" s="86"/>
    </row>
    <row r="2639" spans="1:54" ht="36.75" customHeight="1">
      <c r="A2639" s="30"/>
      <c r="B2639" s="30" t="s">
        <v>55</v>
      </c>
      <c r="C2639" s="69" t="str">
        <f t="shared" si="221"/>
        <v>Closed</v>
      </c>
      <c r="D2639" s="27" t="s">
        <v>14895</v>
      </c>
      <c r="E2639" s="29" t="s">
        <v>14896</v>
      </c>
      <c r="F2639" s="30" t="s">
        <v>233</v>
      </c>
      <c r="G2639" s="89">
        <f>DATE(2018,3,11)</f>
        <v>43170</v>
      </c>
      <c r="H2639" s="90">
        <v>1.0277777777777777</v>
      </c>
      <c r="I2639" s="30" t="s">
        <v>278</v>
      </c>
      <c r="J2639" s="89" t="s">
        <v>14897</v>
      </c>
      <c r="K2639" s="30" t="s">
        <v>235</v>
      </c>
      <c r="L2639" s="30" t="s">
        <v>14898</v>
      </c>
      <c r="M2639" s="30" t="s">
        <v>63</v>
      </c>
      <c r="N2639" s="30" t="s">
        <v>142</v>
      </c>
      <c r="O2639" s="30" t="s">
        <v>64</v>
      </c>
      <c r="P2639" s="89" t="s">
        <v>165</v>
      </c>
      <c r="Q2639" s="89" t="s">
        <v>718</v>
      </c>
      <c r="R2639" s="89" t="s">
        <v>235</v>
      </c>
      <c r="S2639" s="30">
        <v>0</v>
      </c>
      <c r="T2639" s="233">
        <v>0</v>
      </c>
      <c r="U2639" s="30">
        <v>0</v>
      </c>
      <c r="V2639" s="233">
        <v>0</v>
      </c>
      <c r="W2639" s="30">
        <v>0</v>
      </c>
      <c r="X2639" s="30">
        <v>0</v>
      </c>
      <c r="Y2639" s="30">
        <v>0</v>
      </c>
      <c r="Z2639" s="233">
        <v>0</v>
      </c>
      <c r="AA2639" s="30">
        <v>0</v>
      </c>
      <c r="AB2639" s="30">
        <v>0</v>
      </c>
      <c r="AC2639" s="30">
        <v>0</v>
      </c>
      <c r="AD2639" s="30">
        <v>0</v>
      </c>
      <c r="AE2639" s="89" t="s">
        <v>92</v>
      </c>
      <c r="AF2639" s="89"/>
      <c r="AG2639" s="89" t="s">
        <v>133</v>
      </c>
      <c r="AH2639" s="72">
        <v>43185</v>
      </c>
      <c r="AI2639" s="30">
        <v>6</v>
      </c>
      <c r="AJ2639" s="89" t="s">
        <v>14899</v>
      </c>
      <c r="AK2639" s="89" t="s">
        <v>14900</v>
      </c>
      <c r="AL2639" s="91">
        <v>43206</v>
      </c>
      <c r="AM2639" s="91"/>
      <c r="AN2639" s="91"/>
      <c r="AO2639" s="91"/>
      <c r="AP2639" s="73" t="e">
        <f>MID(VLOOKUP(K2639,#REF!,2,FALSE),1,2)</f>
        <v>#REF!</v>
      </c>
      <c r="AQ2639" s="89">
        <f>DATE(2018,3,5)</f>
        <v>43164</v>
      </c>
      <c r="AR2639" s="82">
        <f t="shared" si="217"/>
        <v>5</v>
      </c>
      <c r="AS2639" s="83">
        <f t="shared" si="218"/>
        <v>3</v>
      </c>
      <c r="AT2639" s="84">
        <f t="shared" si="219"/>
        <v>2018</v>
      </c>
      <c r="AU2639" s="88">
        <f>DATE(2018,3,11)</f>
        <v>43170</v>
      </c>
      <c r="AV2639" s="88">
        <f>DATE(2018,3,7)</f>
        <v>43166</v>
      </c>
      <c r="AW2639" s="87">
        <f t="shared" si="222"/>
        <v>4</v>
      </c>
      <c r="AX2639" s="88">
        <f>DATE(2018,3,11)</f>
        <v>43170</v>
      </c>
      <c r="AY2639" s="83">
        <f>MONTH(AX2639)</f>
        <v>3</v>
      </c>
      <c r="AZ2639" s="84">
        <f>YEAR(AX2639)</f>
        <v>2018</v>
      </c>
      <c r="BA2639" s="88">
        <f>DATE(2018,3,5)</f>
        <v>43164</v>
      </c>
      <c r="BB2639" s="86"/>
    </row>
    <row r="2640" spans="1:54" ht="36.75" customHeight="1">
      <c r="A2640" s="30"/>
      <c r="B2640" s="30" t="s">
        <v>55</v>
      </c>
      <c r="C2640" s="69" t="str">
        <f t="shared" si="221"/>
        <v>Closed</v>
      </c>
      <c r="D2640" s="27" t="s">
        <v>14901</v>
      </c>
      <c r="E2640" s="29" t="s">
        <v>14902</v>
      </c>
      <c r="F2640" s="30" t="s">
        <v>124</v>
      </c>
      <c r="G2640" s="89">
        <f>DATE(2018,3,12)</f>
        <v>43171</v>
      </c>
      <c r="H2640" s="90">
        <v>1.6805555555555554</v>
      </c>
      <c r="I2640" s="30" t="s">
        <v>73</v>
      </c>
      <c r="J2640" s="89" t="s">
        <v>14903</v>
      </c>
      <c r="K2640" s="30" t="s">
        <v>127</v>
      </c>
      <c r="L2640" s="30" t="s">
        <v>14904</v>
      </c>
      <c r="M2640" s="30" t="s">
        <v>63</v>
      </c>
      <c r="N2640" s="30" t="s">
        <v>89</v>
      </c>
      <c r="O2640" s="30" t="s">
        <v>77</v>
      </c>
      <c r="P2640" s="89" t="s">
        <v>78</v>
      </c>
      <c r="Q2640" s="89" t="s">
        <v>143</v>
      </c>
      <c r="R2640" s="89" t="s">
        <v>167</v>
      </c>
      <c r="S2640" s="30">
        <v>0</v>
      </c>
      <c r="T2640" s="233">
        <v>0</v>
      </c>
      <c r="U2640" s="30">
        <v>0</v>
      </c>
      <c r="V2640" s="233">
        <v>0</v>
      </c>
      <c r="W2640" s="30">
        <v>0</v>
      </c>
      <c r="X2640" s="30">
        <v>0</v>
      </c>
      <c r="Y2640" s="30">
        <v>0</v>
      </c>
      <c r="Z2640" s="233">
        <v>0</v>
      </c>
      <c r="AA2640" s="30">
        <v>0</v>
      </c>
      <c r="AB2640" s="30">
        <v>0</v>
      </c>
      <c r="AC2640" s="30">
        <v>0</v>
      </c>
      <c r="AD2640" s="30">
        <v>0</v>
      </c>
      <c r="AE2640" s="89" t="s">
        <v>92</v>
      </c>
      <c r="AF2640" s="89" t="s">
        <v>14905</v>
      </c>
      <c r="AG2640" s="89" t="s">
        <v>6459</v>
      </c>
      <c r="AH2640" s="72">
        <v>43179</v>
      </c>
      <c r="AI2640" s="30">
        <v>0</v>
      </c>
      <c r="AJ2640" s="89" t="s">
        <v>14906</v>
      </c>
      <c r="AK2640" s="89" t="s">
        <v>68</v>
      </c>
      <c r="AL2640" s="91">
        <v>43194</v>
      </c>
      <c r="AM2640" s="91"/>
      <c r="AN2640" s="91">
        <v>43816</v>
      </c>
      <c r="AO2640" s="91">
        <v>43535</v>
      </c>
      <c r="AP2640" s="73" t="e">
        <f>MID(VLOOKUP(K2640,#REF!,2,FALSE),1,2)</f>
        <v>#REF!</v>
      </c>
      <c r="AQ2640" s="89">
        <f>DATE(2018,3,10)</f>
        <v>43169</v>
      </c>
      <c r="AR2640" s="82">
        <f t="shared" si="217"/>
        <v>10</v>
      </c>
      <c r="AS2640" s="83">
        <f t="shared" si="218"/>
        <v>3</v>
      </c>
      <c r="AT2640" s="84">
        <f t="shared" si="219"/>
        <v>2018</v>
      </c>
      <c r="AU2640" s="88">
        <f>DATE(2018,4,16)</f>
        <v>43206</v>
      </c>
      <c r="AV2640" s="88">
        <f>DATE(2018,3,26)</f>
        <v>43185</v>
      </c>
      <c r="AW2640" s="87">
        <f t="shared" si="222"/>
        <v>21</v>
      </c>
      <c r="AX2640" s="88">
        <f>DATE(2018,4,16)</f>
        <v>43206</v>
      </c>
      <c r="AY2640" s="83">
        <f>MONTH(AX2640)</f>
        <v>4</v>
      </c>
      <c r="AZ2640" s="84">
        <f>YEAR(AX2640)</f>
        <v>2018</v>
      </c>
      <c r="BA2640" s="86"/>
      <c r="BB2640" s="86"/>
    </row>
    <row r="2641" spans="1:54" ht="36.75" customHeight="1">
      <c r="A2641" s="30"/>
      <c r="B2641" s="30" t="s">
        <v>55</v>
      </c>
      <c r="C2641" s="69" t="str">
        <f t="shared" si="221"/>
        <v>Closed</v>
      </c>
      <c r="D2641" s="27" t="s">
        <v>14907</v>
      </c>
      <c r="E2641" s="29" t="s">
        <v>14908</v>
      </c>
      <c r="F2641" s="30" t="s">
        <v>1572</v>
      </c>
      <c r="G2641" s="89">
        <f>DATE(2018,3,15)</f>
        <v>43174</v>
      </c>
      <c r="H2641" s="90">
        <v>1.7951388888888888</v>
      </c>
      <c r="I2641" s="30" t="s">
        <v>73</v>
      </c>
      <c r="J2641" s="89" t="s">
        <v>14909</v>
      </c>
      <c r="K2641" s="30" t="s">
        <v>1574</v>
      </c>
      <c r="L2641" s="30" t="s">
        <v>14910</v>
      </c>
      <c r="M2641" s="30" t="s">
        <v>63</v>
      </c>
      <c r="N2641" s="30" t="s">
        <v>99</v>
      </c>
      <c r="O2641" s="30" t="s">
        <v>64</v>
      </c>
      <c r="P2641" s="89" t="s">
        <v>78</v>
      </c>
      <c r="Q2641" s="89" t="s">
        <v>2655</v>
      </c>
      <c r="R2641" s="89" t="s">
        <v>6434</v>
      </c>
      <c r="S2641" s="30">
        <v>0</v>
      </c>
      <c r="T2641" s="233">
        <v>0</v>
      </c>
      <c r="U2641" s="30">
        <v>0</v>
      </c>
      <c r="V2641" s="233">
        <v>0</v>
      </c>
      <c r="W2641" s="30">
        <v>0</v>
      </c>
      <c r="X2641" s="30">
        <v>0</v>
      </c>
      <c r="Y2641" s="30">
        <v>0</v>
      </c>
      <c r="Z2641" s="233">
        <v>0</v>
      </c>
      <c r="AA2641" s="30">
        <v>0</v>
      </c>
      <c r="AB2641" s="30">
        <v>0</v>
      </c>
      <c r="AC2641" s="30">
        <v>0</v>
      </c>
      <c r="AD2641" s="30">
        <v>0</v>
      </c>
      <c r="AE2641" s="89" t="s">
        <v>92</v>
      </c>
      <c r="AF2641" s="89"/>
      <c r="AG2641" s="89" t="s">
        <v>133</v>
      </c>
      <c r="AH2641" s="72">
        <v>43175</v>
      </c>
      <c r="AI2641" s="30">
        <v>2</v>
      </c>
      <c r="AJ2641" s="89" t="s">
        <v>14911</v>
      </c>
      <c r="AK2641" s="89" t="s">
        <v>14912</v>
      </c>
      <c r="AL2641" s="91">
        <v>43175</v>
      </c>
      <c r="AM2641" s="91"/>
      <c r="AN2641" s="91"/>
      <c r="AO2641" s="91"/>
      <c r="AP2641" s="73" t="e">
        <f>MID(VLOOKUP(K2641,#REF!,2,FALSE),1,2)</f>
        <v>#REF!</v>
      </c>
      <c r="AQ2641" s="89">
        <f>DATE(2018,3,12)</f>
        <v>43171</v>
      </c>
      <c r="AR2641" s="82">
        <f t="shared" si="217"/>
        <v>12</v>
      </c>
      <c r="AS2641" s="83">
        <f t="shared" si="218"/>
        <v>3</v>
      </c>
      <c r="AT2641" s="84">
        <f t="shared" si="219"/>
        <v>2018</v>
      </c>
      <c r="AU2641" s="88">
        <f>DATE(2018,4,4)</f>
        <v>43194</v>
      </c>
      <c r="AV2641" s="88">
        <f>DATE(2018,3,20)</f>
        <v>43179</v>
      </c>
      <c r="AW2641" s="87">
        <f t="shared" si="222"/>
        <v>15</v>
      </c>
      <c r="AX2641" s="88">
        <f>DATE(2018,3,21)</f>
        <v>43180</v>
      </c>
      <c r="AY2641" s="83">
        <f>MONTH(AX2641)</f>
        <v>3</v>
      </c>
      <c r="AZ2641" s="84">
        <f>YEAR(AX2641)</f>
        <v>2018</v>
      </c>
      <c r="BA2641" s="88">
        <f>DATE(2018,3,20)</f>
        <v>43179</v>
      </c>
      <c r="BB2641" s="86"/>
    </row>
    <row r="2642" spans="1:54" ht="36.75" customHeight="1">
      <c r="A2642" s="30"/>
      <c r="B2642" s="30" t="s">
        <v>55</v>
      </c>
      <c r="C2642" s="69" t="str">
        <f t="shared" si="221"/>
        <v>Closed</v>
      </c>
      <c r="D2642" s="27" t="s">
        <v>14913</v>
      </c>
      <c r="E2642" s="29" t="s">
        <v>14914</v>
      </c>
      <c r="F2642" s="30" t="s">
        <v>233</v>
      </c>
      <c r="G2642" s="89">
        <f>DATE(2018,3,15)</f>
        <v>43174</v>
      </c>
      <c r="H2642" s="90">
        <v>1.4791666666666667</v>
      </c>
      <c r="I2642" s="30" t="s">
        <v>487</v>
      </c>
      <c r="J2642" s="89" t="s">
        <v>14915</v>
      </c>
      <c r="K2642" s="30" t="s">
        <v>235</v>
      </c>
      <c r="L2642" s="30" t="s">
        <v>14916</v>
      </c>
      <c r="M2642" s="30" t="s">
        <v>9919</v>
      </c>
      <c r="N2642" s="30" t="s">
        <v>142</v>
      </c>
      <c r="O2642" s="30" t="s">
        <v>64</v>
      </c>
      <c r="P2642" s="89" t="s">
        <v>86</v>
      </c>
      <c r="Q2642" s="89" t="s">
        <v>718</v>
      </c>
      <c r="R2642" s="89" t="s">
        <v>235</v>
      </c>
      <c r="S2642" s="30">
        <v>0</v>
      </c>
      <c r="T2642" s="233">
        <v>0</v>
      </c>
      <c r="U2642" s="30">
        <v>0</v>
      </c>
      <c r="V2642" s="233">
        <v>0</v>
      </c>
      <c r="W2642" s="30">
        <v>0</v>
      </c>
      <c r="X2642" s="30">
        <v>0</v>
      </c>
      <c r="Y2642" s="30">
        <v>0</v>
      </c>
      <c r="Z2642" s="233">
        <v>0</v>
      </c>
      <c r="AA2642" s="30">
        <v>0</v>
      </c>
      <c r="AB2642" s="30">
        <v>0</v>
      </c>
      <c r="AC2642" s="30">
        <v>0</v>
      </c>
      <c r="AD2642" s="30">
        <v>0</v>
      </c>
      <c r="AE2642" s="89" t="s">
        <v>92</v>
      </c>
      <c r="AF2642" s="89"/>
      <c r="AG2642" s="89" t="s">
        <v>133</v>
      </c>
      <c r="AH2642" s="72">
        <v>43185</v>
      </c>
      <c r="AI2642" s="30">
        <v>3</v>
      </c>
      <c r="AJ2642" s="89" t="s">
        <v>14917</v>
      </c>
      <c r="AK2642" s="89" t="s">
        <v>14918</v>
      </c>
      <c r="AL2642" s="91">
        <v>43206</v>
      </c>
      <c r="AM2642" s="91"/>
      <c r="AN2642" s="91"/>
      <c r="AO2642" s="91"/>
      <c r="AP2642" s="73" t="e">
        <f>MID(VLOOKUP(K2642,#REF!,2,FALSE),1,2)</f>
        <v>#REF!</v>
      </c>
      <c r="AQ2642" s="89">
        <f>DATE(2018,3,15)</f>
        <v>43174</v>
      </c>
      <c r="AR2642" s="82">
        <f t="shared" si="217"/>
        <v>15</v>
      </c>
      <c r="AS2642" s="83">
        <f t="shared" si="218"/>
        <v>3</v>
      </c>
      <c r="AT2642" s="84">
        <f t="shared" si="219"/>
        <v>2018</v>
      </c>
      <c r="AU2642" s="88">
        <f>DATE(2018,3,16)</f>
        <v>43175</v>
      </c>
      <c r="AV2642" s="88">
        <f>DATE(2018,3,16)</f>
        <v>43175</v>
      </c>
      <c r="AW2642" s="87">
        <f t="shared" si="222"/>
        <v>0</v>
      </c>
      <c r="AX2642" s="88">
        <f>DATE(2018,3,16)</f>
        <v>43175</v>
      </c>
      <c r="AY2642" s="83">
        <f>MONTH(AX2642)</f>
        <v>3</v>
      </c>
      <c r="AZ2642" s="84">
        <f>YEAR(AX2642)</f>
        <v>2018</v>
      </c>
      <c r="BA2642" s="88">
        <f>DATE(2018,3,15)</f>
        <v>43174</v>
      </c>
      <c r="BB2642" s="86"/>
    </row>
    <row r="2643" spans="1:54" ht="36.75" customHeight="1">
      <c r="A2643" s="30"/>
      <c r="B2643" s="30" t="s">
        <v>55</v>
      </c>
      <c r="C2643" s="69" t="str">
        <f t="shared" si="221"/>
        <v>Closed</v>
      </c>
      <c r="D2643" s="27" t="s">
        <v>14919</v>
      </c>
      <c r="E2643" s="29" t="s">
        <v>14920</v>
      </c>
      <c r="F2643" s="30" t="s">
        <v>835</v>
      </c>
      <c r="G2643" s="89">
        <f>DATE(2018,3,18)</f>
        <v>43177</v>
      </c>
      <c r="H2643" s="90">
        <v>1.5381944444444444</v>
      </c>
      <c r="I2643" s="30" t="s">
        <v>73</v>
      </c>
      <c r="J2643" s="89" t="s">
        <v>14921</v>
      </c>
      <c r="K2643" s="30" t="s">
        <v>837</v>
      </c>
      <c r="L2643" s="30" t="s">
        <v>14922</v>
      </c>
      <c r="M2643" s="30" t="s">
        <v>63</v>
      </c>
      <c r="N2643" s="30" t="s">
        <v>89</v>
      </c>
      <c r="O2643" s="30" t="s">
        <v>77</v>
      </c>
      <c r="P2643" s="89" t="s">
        <v>78</v>
      </c>
      <c r="Q2643" s="89" t="s">
        <v>3777</v>
      </c>
      <c r="R2643" s="89" t="s">
        <v>840</v>
      </c>
      <c r="S2643" s="30">
        <v>0</v>
      </c>
      <c r="T2643" s="233">
        <v>0</v>
      </c>
      <c r="U2643" s="30">
        <v>0</v>
      </c>
      <c r="V2643" s="233">
        <v>0</v>
      </c>
      <c r="W2643" s="30">
        <v>0</v>
      </c>
      <c r="X2643" s="30">
        <v>0</v>
      </c>
      <c r="Y2643" s="30">
        <v>0</v>
      </c>
      <c r="Z2643" s="233">
        <v>0</v>
      </c>
      <c r="AA2643" s="30">
        <v>0</v>
      </c>
      <c r="AB2643" s="30">
        <v>0</v>
      </c>
      <c r="AC2643" s="30">
        <v>0</v>
      </c>
      <c r="AD2643" s="30">
        <v>0</v>
      </c>
      <c r="AE2643" s="89" t="s">
        <v>92</v>
      </c>
      <c r="AF2643" s="89"/>
      <c r="AG2643" s="89" t="s">
        <v>352</v>
      </c>
      <c r="AH2643" s="72">
        <v>43177</v>
      </c>
      <c r="AI2643" s="30">
        <v>0</v>
      </c>
      <c r="AJ2643" s="89" t="s">
        <v>14923</v>
      </c>
      <c r="AK2643" s="89" t="s">
        <v>14924</v>
      </c>
      <c r="AL2643" s="91">
        <v>43418</v>
      </c>
      <c r="AM2643" s="91"/>
      <c r="AN2643" s="91"/>
      <c r="AO2643" s="91"/>
      <c r="AP2643" s="73" t="e">
        <f>MID(VLOOKUP(K2643,#REF!,2,FALSE),1,2)</f>
        <v>#REF!</v>
      </c>
      <c r="AQ2643" s="89">
        <f>DATE(2018,3,16)</f>
        <v>43175</v>
      </c>
      <c r="AR2643" s="82">
        <f t="shared" si="217"/>
        <v>16</v>
      </c>
      <c r="AS2643" s="83">
        <f t="shared" si="218"/>
        <v>3</v>
      </c>
      <c r="AT2643" s="84">
        <f t="shared" si="219"/>
        <v>2018</v>
      </c>
      <c r="AU2643" s="88">
        <f>DATE(2018,4,16)</f>
        <v>43206</v>
      </c>
      <c r="AV2643" s="88">
        <f>DATE(2018,3,26)</f>
        <v>43185</v>
      </c>
      <c r="AW2643" s="87">
        <f t="shared" si="222"/>
        <v>21</v>
      </c>
      <c r="AX2643" s="88">
        <f>DATE(2018,4,16)</f>
        <v>43206</v>
      </c>
      <c r="AY2643" s="83">
        <f>MONTH(AX2643)</f>
        <v>4</v>
      </c>
      <c r="AZ2643" s="84">
        <f>YEAR(AX2643)</f>
        <v>2018</v>
      </c>
      <c r="BA2643" s="86"/>
      <c r="BB2643" s="86"/>
    </row>
    <row r="2644" spans="1:54" ht="36.75" customHeight="1">
      <c r="A2644" s="30"/>
      <c r="B2644" s="30" t="s">
        <v>55</v>
      </c>
      <c r="C2644" s="69" t="str">
        <f t="shared" si="221"/>
        <v>Closed</v>
      </c>
      <c r="D2644" s="27" t="s">
        <v>14925</v>
      </c>
      <c r="E2644" s="29" t="s">
        <v>14926</v>
      </c>
      <c r="F2644" s="30" t="s">
        <v>1572</v>
      </c>
      <c r="G2644" s="89">
        <f>DATE(2018,3,18)</f>
        <v>43177</v>
      </c>
      <c r="H2644" s="90">
        <v>1.5034722222222223</v>
      </c>
      <c r="I2644" s="30" t="s">
        <v>73</v>
      </c>
      <c r="J2644" s="89" t="s">
        <v>14927</v>
      </c>
      <c r="K2644" s="30" t="s">
        <v>1574</v>
      </c>
      <c r="L2644" s="30" t="s">
        <v>14928</v>
      </c>
      <c r="M2644" s="30" t="s">
        <v>63</v>
      </c>
      <c r="N2644" s="30" t="s">
        <v>99</v>
      </c>
      <c r="O2644" s="30" t="s">
        <v>64</v>
      </c>
      <c r="P2644" s="89" t="s">
        <v>78</v>
      </c>
      <c r="Q2644" s="89" t="s">
        <v>14929</v>
      </c>
      <c r="R2644" s="89" t="s">
        <v>4920</v>
      </c>
      <c r="S2644" s="30">
        <v>0</v>
      </c>
      <c r="T2644" s="233">
        <v>0</v>
      </c>
      <c r="U2644" s="30">
        <v>0</v>
      </c>
      <c r="V2644" s="233">
        <v>0</v>
      </c>
      <c r="W2644" s="30">
        <v>0</v>
      </c>
      <c r="X2644" s="30">
        <v>0</v>
      </c>
      <c r="Y2644" s="30">
        <v>0</v>
      </c>
      <c r="Z2644" s="233">
        <v>0</v>
      </c>
      <c r="AA2644" s="30">
        <v>0</v>
      </c>
      <c r="AB2644" s="30">
        <v>0</v>
      </c>
      <c r="AC2644" s="30">
        <v>0</v>
      </c>
      <c r="AD2644" s="30">
        <v>0</v>
      </c>
      <c r="AE2644" s="89" t="s">
        <v>394</v>
      </c>
      <c r="AF2644" s="89"/>
      <c r="AG2644" s="89" t="s">
        <v>133</v>
      </c>
      <c r="AH2644" s="72">
        <v>43179</v>
      </c>
      <c r="AI2644" s="30">
        <v>1</v>
      </c>
      <c r="AJ2644" s="89" t="s">
        <v>14930</v>
      </c>
      <c r="AK2644" s="89" t="s">
        <v>14931</v>
      </c>
      <c r="AL2644" s="91">
        <v>43180</v>
      </c>
      <c r="AM2644" s="91"/>
      <c r="AN2644" s="91"/>
      <c r="AO2644" s="91"/>
      <c r="AP2644" s="73" t="e">
        <f>MID(VLOOKUP(K2644,#REF!,2,FALSE),1,2)</f>
        <v>#REF!</v>
      </c>
      <c r="AQ2644" s="89">
        <f>DATE(2018,3,18)</f>
        <v>43177</v>
      </c>
      <c r="AR2644" s="82">
        <f t="shared" si="217"/>
        <v>18</v>
      </c>
      <c r="AS2644" s="83">
        <f t="shared" si="218"/>
        <v>3</v>
      </c>
      <c r="AT2644" s="84">
        <f t="shared" si="219"/>
        <v>2018</v>
      </c>
      <c r="AU2644" s="86"/>
      <c r="AV2644" s="86"/>
      <c r="AW2644" s="87">
        <f t="shared" si="222"/>
        <v>0</v>
      </c>
      <c r="AX2644" s="86"/>
      <c r="AY2644" s="83"/>
      <c r="AZ2644" s="84"/>
      <c r="BA2644" s="86"/>
      <c r="BB2644" s="86"/>
    </row>
    <row r="2645" spans="1:54" ht="36.75" customHeight="1">
      <c r="A2645" s="30"/>
      <c r="B2645" s="30" t="s">
        <v>55</v>
      </c>
      <c r="C2645" s="69" t="str">
        <f t="shared" si="221"/>
        <v>Closed</v>
      </c>
      <c r="D2645" s="27" t="s">
        <v>14932</v>
      </c>
      <c r="E2645" s="29" t="s">
        <v>14933</v>
      </c>
      <c r="F2645" s="30" t="s">
        <v>1572</v>
      </c>
      <c r="G2645" s="89">
        <f>DATE(2018,3,20)</f>
        <v>43179</v>
      </c>
      <c r="H2645" s="90">
        <v>1.9097222222222223</v>
      </c>
      <c r="I2645" s="30" t="s">
        <v>73</v>
      </c>
      <c r="J2645" s="89" t="s">
        <v>14934</v>
      </c>
      <c r="K2645" s="30" t="s">
        <v>1574</v>
      </c>
      <c r="L2645" s="30" t="s">
        <v>14935</v>
      </c>
      <c r="M2645" s="30" t="s">
        <v>63</v>
      </c>
      <c r="N2645" s="30" t="s">
        <v>142</v>
      </c>
      <c r="O2645" s="30" t="s">
        <v>77</v>
      </c>
      <c r="P2645" s="89" t="s">
        <v>78</v>
      </c>
      <c r="Q2645" s="89" t="s">
        <v>2655</v>
      </c>
      <c r="R2645" s="89" t="s">
        <v>6434</v>
      </c>
      <c r="S2645" s="30">
        <v>0</v>
      </c>
      <c r="T2645" s="233">
        <v>0</v>
      </c>
      <c r="U2645" s="30">
        <v>0</v>
      </c>
      <c r="V2645" s="233">
        <v>0</v>
      </c>
      <c r="W2645" s="30">
        <v>0</v>
      </c>
      <c r="X2645" s="30">
        <v>0</v>
      </c>
      <c r="Y2645" s="30">
        <v>0</v>
      </c>
      <c r="Z2645" s="233">
        <v>0</v>
      </c>
      <c r="AA2645" s="30">
        <v>0</v>
      </c>
      <c r="AB2645" s="30">
        <v>0</v>
      </c>
      <c r="AC2645" s="30">
        <v>0</v>
      </c>
      <c r="AD2645" s="30">
        <v>0</v>
      </c>
      <c r="AE2645" s="89" t="s">
        <v>92</v>
      </c>
      <c r="AF2645" s="89"/>
      <c r="AG2645" s="89" t="s">
        <v>133</v>
      </c>
      <c r="AH2645" s="72">
        <v>43180</v>
      </c>
      <c r="AI2645" s="30">
        <v>0</v>
      </c>
      <c r="AJ2645" s="89" t="s">
        <v>14936</v>
      </c>
      <c r="AK2645" s="89" t="s">
        <v>14937</v>
      </c>
      <c r="AL2645" s="91">
        <v>43180</v>
      </c>
      <c r="AM2645" s="91"/>
      <c r="AN2645" s="91"/>
      <c r="AO2645" s="91"/>
      <c r="AP2645" s="73" t="e">
        <f>MID(VLOOKUP(K2645,#REF!,2,FALSE),1,2)</f>
        <v>#REF!</v>
      </c>
      <c r="AQ2645" s="89">
        <f>DATE(2018,3,18)</f>
        <v>43177</v>
      </c>
      <c r="AR2645" s="82">
        <f t="shared" si="217"/>
        <v>18</v>
      </c>
      <c r="AS2645" s="83">
        <f t="shared" si="218"/>
        <v>3</v>
      </c>
      <c r="AT2645" s="84">
        <f t="shared" si="219"/>
        <v>2018</v>
      </c>
      <c r="AU2645" s="88">
        <f>DATE(2018,3,21)</f>
        <v>43180</v>
      </c>
      <c r="AV2645" s="88">
        <f>DATE(2018,3,20)</f>
        <v>43179</v>
      </c>
      <c r="AW2645" s="87">
        <f t="shared" si="222"/>
        <v>1</v>
      </c>
      <c r="AX2645" s="88">
        <f>DATE(2018,3,21)</f>
        <v>43180</v>
      </c>
      <c r="AY2645" s="83">
        <f>MONTH(AX2645)</f>
        <v>3</v>
      </c>
      <c r="AZ2645" s="84">
        <f>YEAR(AX2645)</f>
        <v>2018</v>
      </c>
      <c r="BA2645" s="88">
        <f>DATE(2018,3,18)</f>
        <v>43177</v>
      </c>
      <c r="BB2645" s="86"/>
    </row>
    <row r="2646" spans="1:54" ht="36.75" customHeight="1">
      <c r="A2646" s="30"/>
      <c r="B2646" s="30" t="s">
        <v>55</v>
      </c>
      <c r="C2646" s="69" t="str">
        <f t="shared" si="221"/>
        <v>Closed</v>
      </c>
      <c r="D2646" s="27" t="s">
        <v>14938</v>
      </c>
      <c r="E2646" s="29" t="s">
        <v>14939</v>
      </c>
      <c r="F2646" s="30" t="s">
        <v>423</v>
      </c>
      <c r="G2646" s="89">
        <f>DATE(2018,3,22)</f>
        <v>43181</v>
      </c>
      <c r="H2646" s="90">
        <v>1.1861111111111111</v>
      </c>
      <c r="I2646" s="30" t="s">
        <v>104</v>
      </c>
      <c r="J2646" s="89" t="s">
        <v>14940</v>
      </c>
      <c r="K2646" s="30" t="s">
        <v>425</v>
      </c>
      <c r="L2646" s="30" t="s">
        <v>14941</v>
      </c>
      <c r="M2646" s="30" t="s">
        <v>63</v>
      </c>
      <c r="N2646" s="30" t="s">
        <v>142</v>
      </c>
      <c r="O2646" s="30" t="s">
        <v>77</v>
      </c>
      <c r="P2646" s="89" t="s">
        <v>216</v>
      </c>
      <c r="Q2646" s="89" t="s">
        <v>5052</v>
      </c>
      <c r="R2646" s="89" t="s">
        <v>3103</v>
      </c>
      <c r="S2646" s="30">
        <v>0</v>
      </c>
      <c r="T2646" s="233">
        <v>0</v>
      </c>
      <c r="U2646" s="30">
        <v>0</v>
      </c>
      <c r="V2646" s="233">
        <v>0</v>
      </c>
      <c r="W2646" s="30">
        <v>0</v>
      </c>
      <c r="X2646" s="30">
        <v>0</v>
      </c>
      <c r="Y2646" s="30">
        <v>0</v>
      </c>
      <c r="Z2646" s="233">
        <v>0</v>
      </c>
      <c r="AA2646" s="30">
        <v>0</v>
      </c>
      <c r="AB2646" s="30">
        <v>0</v>
      </c>
      <c r="AC2646" s="30">
        <v>0</v>
      </c>
      <c r="AD2646" s="30">
        <v>0</v>
      </c>
      <c r="AE2646" s="89" t="s">
        <v>92</v>
      </c>
      <c r="AF2646" s="89"/>
      <c r="AG2646" s="89" t="s">
        <v>13201</v>
      </c>
      <c r="AH2646" s="72">
        <v>43181</v>
      </c>
      <c r="AI2646" s="30">
        <v>0</v>
      </c>
      <c r="AJ2646" s="89" t="s">
        <v>14942</v>
      </c>
      <c r="AK2646" s="89" t="s">
        <v>14943</v>
      </c>
      <c r="AL2646" s="91">
        <v>43182</v>
      </c>
      <c r="AM2646" s="91"/>
      <c r="AN2646" s="91"/>
      <c r="AO2646" s="91"/>
      <c r="AP2646" s="73" t="e">
        <f>MID(VLOOKUP(K2646,#REF!,2,FALSE),1,2)</f>
        <v>#REF!</v>
      </c>
      <c r="AQ2646" s="89">
        <f>DATE(2018,3,20)</f>
        <v>43179</v>
      </c>
      <c r="AR2646" s="82">
        <f t="shared" si="217"/>
        <v>20</v>
      </c>
      <c r="AS2646" s="83">
        <f t="shared" si="218"/>
        <v>3</v>
      </c>
      <c r="AT2646" s="84">
        <f t="shared" si="219"/>
        <v>2018</v>
      </c>
      <c r="AU2646" s="88">
        <f>DATE(2018,3,21)</f>
        <v>43180</v>
      </c>
      <c r="AV2646" s="88">
        <f>DATE(2018,3,21)</f>
        <v>43180</v>
      </c>
      <c r="AW2646" s="87">
        <f t="shared" si="222"/>
        <v>0</v>
      </c>
      <c r="AX2646" s="88">
        <f>DATE(2018,3,21)</f>
        <v>43180</v>
      </c>
      <c r="AY2646" s="83">
        <f>MONTH(AX2646)</f>
        <v>3</v>
      </c>
      <c r="AZ2646" s="84">
        <f>YEAR(AX2646)</f>
        <v>2018</v>
      </c>
      <c r="BA2646" s="88">
        <f>DATE(2018,3,20)</f>
        <v>43179</v>
      </c>
      <c r="BB2646" s="86"/>
    </row>
    <row r="2647" spans="1:54" ht="36.75" customHeight="1">
      <c r="A2647" s="30"/>
      <c r="B2647" s="30" t="s">
        <v>55</v>
      </c>
      <c r="C2647" s="69" t="str">
        <f t="shared" si="221"/>
        <v>Closed</v>
      </c>
      <c r="D2647" s="27" t="s">
        <v>14944</v>
      </c>
      <c r="E2647" s="29" t="s">
        <v>14945</v>
      </c>
      <c r="F2647" s="30" t="s">
        <v>423</v>
      </c>
      <c r="G2647" s="89">
        <f>DATE(2018,3,26)</f>
        <v>43185</v>
      </c>
      <c r="H2647" s="90">
        <v>1.5597222222222222</v>
      </c>
      <c r="I2647" s="30" t="s">
        <v>278</v>
      </c>
      <c r="J2647" s="89" t="s">
        <v>14946</v>
      </c>
      <c r="K2647" s="30" t="s">
        <v>425</v>
      </c>
      <c r="L2647" s="30" t="s">
        <v>12324</v>
      </c>
      <c r="M2647" s="30" t="s">
        <v>63</v>
      </c>
      <c r="N2647" s="30" t="s">
        <v>142</v>
      </c>
      <c r="O2647" s="30" t="s">
        <v>77</v>
      </c>
      <c r="P2647" s="89" t="s">
        <v>65</v>
      </c>
      <c r="Q2647" s="89" t="s">
        <v>13219</v>
      </c>
      <c r="R2647" s="89" t="s">
        <v>3103</v>
      </c>
      <c r="S2647" s="30">
        <v>0</v>
      </c>
      <c r="T2647" s="233">
        <v>1</v>
      </c>
      <c r="U2647" s="30">
        <v>0</v>
      </c>
      <c r="V2647" s="233">
        <v>0</v>
      </c>
      <c r="W2647" s="30">
        <v>0</v>
      </c>
      <c r="X2647" s="30">
        <v>1</v>
      </c>
      <c r="Y2647" s="30">
        <v>0</v>
      </c>
      <c r="Z2647" s="233">
        <v>0</v>
      </c>
      <c r="AA2647" s="30">
        <v>0</v>
      </c>
      <c r="AB2647" s="30">
        <v>0</v>
      </c>
      <c r="AC2647" s="30">
        <v>0</v>
      </c>
      <c r="AD2647" s="30">
        <v>0</v>
      </c>
      <c r="AE2647" s="89" t="s">
        <v>92</v>
      </c>
      <c r="AF2647" s="89"/>
      <c r="AG2647" s="89" t="s">
        <v>133</v>
      </c>
      <c r="AH2647" s="72">
        <v>43185</v>
      </c>
      <c r="AI2647" s="30">
        <v>1</v>
      </c>
      <c r="AJ2647" s="89" t="s">
        <v>14947</v>
      </c>
      <c r="AK2647" s="89" t="s">
        <v>14948</v>
      </c>
      <c r="AL2647" s="91">
        <v>43186</v>
      </c>
      <c r="AM2647" s="91"/>
      <c r="AN2647" s="91"/>
      <c r="AO2647" s="91"/>
      <c r="AP2647" s="73" t="e">
        <f>MID(VLOOKUP(K2647,#REF!,2,FALSE),1,2)</f>
        <v>#REF!</v>
      </c>
      <c r="AQ2647" s="89">
        <f>DATE(2018,3,22)</f>
        <v>43181</v>
      </c>
      <c r="AR2647" s="82">
        <f t="shared" si="217"/>
        <v>22</v>
      </c>
      <c r="AS2647" s="83">
        <f t="shared" si="218"/>
        <v>3</v>
      </c>
      <c r="AT2647" s="84">
        <f t="shared" si="219"/>
        <v>2018</v>
      </c>
      <c r="AU2647" s="88">
        <f>DATE(2018,3,22)</f>
        <v>43181</v>
      </c>
      <c r="AV2647" s="88">
        <f>DATE(2018,3,22)</f>
        <v>43181</v>
      </c>
      <c r="AW2647" s="87">
        <f t="shared" si="222"/>
        <v>0</v>
      </c>
      <c r="AX2647" s="86"/>
      <c r="AY2647" s="83"/>
      <c r="AZ2647" s="84"/>
      <c r="BA2647" s="86"/>
      <c r="BB2647" s="86"/>
    </row>
    <row r="2648" spans="1:54" ht="36.75" customHeight="1">
      <c r="A2648" s="30"/>
      <c r="B2648" s="30" t="s">
        <v>55</v>
      </c>
      <c r="C2648" s="69" t="str">
        <f t="shared" si="221"/>
        <v>Closed</v>
      </c>
      <c r="D2648" s="27" t="s">
        <v>14949</v>
      </c>
      <c r="E2648" s="29" t="s">
        <v>14950</v>
      </c>
      <c r="F2648" s="30" t="s">
        <v>2601</v>
      </c>
      <c r="G2648" s="89">
        <f>DATE(2018,3,30)</f>
        <v>43189</v>
      </c>
      <c r="H2648" s="90">
        <v>1.8333333333333335</v>
      </c>
      <c r="I2648" s="30" t="s">
        <v>125</v>
      </c>
      <c r="J2648" s="89" t="s">
        <v>14951</v>
      </c>
      <c r="K2648" s="30" t="s">
        <v>2603</v>
      </c>
      <c r="L2648" s="30" t="s">
        <v>14952</v>
      </c>
      <c r="M2648" s="30" t="s">
        <v>63</v>
      </c>
      <c r="N2648" s="30" t="s">
        <v>89</v>
      </c>
      <c r="O2648" s="30" t="s">
        <v>77</v>
      </c>
      <c r="P2648" s="89" t="s">
        <v>462</v>
      </c>
      <c r="Q2648" s="89" t="s">
        <v>6342</v>
      </c>
      <c r="R2648" s="89" t="s">
        <v>2606</v>
      </c>
      <c r="S2648" s="30">
        <v>0</v>
      </c>
      <c r="T2648" s="233">
        <v>0</v>
      </c>
      <c r="U2648" s="30">
        <v>0</v>
      </c>
      <c r="V2648" s="233">
        <v>0</v>
      </c>
      <c r="W2648" s="30">
        <v>0</v>
      </c>
      <c r="X2648" s="30">
        <v>0</v>
      </c>
      <c r="Y2648" s="30">
        <v>0</v>
      </c>
      <c r="Z2648" s="233">
        <v>0</v>
      </c>
      <c r="AA2648" s="30">
        <v>0</v>
      </c>
      <c r="AB2648" s="30">
        <v>0</v>
      </c>
      <c r="AC2648" s="30">
        <v>0</v>
      </c>
      <c r="AD2648" s="30">
        <v>0</v>
      </c>
      <c r="AE2648" s="89" t="s">
        <v>92</v>
      </c>
      <c r="AF2648" s="89"/>
      <c r="AG2648" s="89" t="s">
        <v>133</v>
      </c>
      <c r="AH2648" s="72">
        <v>43192</v>
      </c>
      <c r="AI2648" s="30">
        <v>8</v>
      </c>
      <c r="AJ2648" s="89" t="s">
        <v>14953</v>
      </c>
      <c r="AK2648" s="89" t="s">
        <v>14954</v>
      </c>
      <c r="AL2648" s="91">
        <v>43195</v>
      </c>
      <c r="AM2648" s="91"/>
      <c r="AN2648" s="91"/>
      <c r="AO2648" s="91"/>
      <c r="AP2648" s="73" t="e">
        <f>MID(VLOOKUP(K2648,#REF!,2,FALSE),1,2)</f>
        <v>#REF!</v>
      </c>
      <c r="AQ2648" s="89">
        <f>DATE(2018,3,26)</f>
        <v>43185</v>
      </c>
      <c r="AR2648" s="82">
        <f t="shared" si="217"/>
        <v>26</v>
      </c>
      <c r="AS2648" s="83">
        <f t="shared" si="218"/>
        <v>3</v>
      </c>
      <c r="AT2648" s="84">
        <f t="shared" si="219"/>
        <v>2018</v>
      </c>
      <c r="AU2648" s="88">
        <f>DATE(2018,3,27)</f>
        <v>43186</v>
      </c>
      <c r="AV2648" s="88">
        <f>DATE(2018,3,26)</f>
        <v>43185</v>
      </c>
      <c r="AW2648" s="87">
        <f t="shared" si="222"/>
        <v>1</v>
      </c>
      <c r="AX2648" s="86"/>
      <c r="AY2648" s="83"/>
      <c r="AZ2648" s="84"/>
      <c r="BA2648" s="86"/>
      <c r="BB2648" s="86"/>
    </row>
    <row r="2649" spans="1:54" ht="36.75" customHeight="1">
      <c r="A2649" s="30"/>
      <c r="B2649" s="30" t="s">
        <v>55</v>
      </c>
      <c r="C2649" s="69" t="str">
        <f t="shared" si="221"/>
        <v>Closed</v>
      </c>
      <c r="D2649" s="27" t="s">
        <v>14955</v>
      </c>
      <c r="E2649" s="29" t="s">
        <v>14956</v>
      </c>
      <c r="F2649" s="30" t="s">
        <v>423</v>
      </c>
      <c r="G2649" s="89">
        <f>DATE(2018,3,30)</f>
        <v>43189</v>
      </c>
      <c r="H2649" s="90">
        <v>1.0874999999999999</v>
      </c>
      <c r="I2649" s="30" t="s">
        <v>73</v>
      </c>
      <c r="J2649" s="89" t="s">
        <v>14957</v>
      </c>
      <c r="K2649" s="30" t="s">
        <v>425</v>
      </c>
      <c r="L2649" s="30" t="s">
        <v>14958</v>
      </c>
      <c r="M2649" s="30" t="s">
        <v>63</v>
      </c>
      <c r="N2649" s="30" t="s">
        <v>142</v>
      </c>
      <c r="O2649" s="30" t="s">
        <v>77</v>
      </c>
      <c r="P2649" s="89" t="s">
        <v>91</v>
      </c>
      <c r="Q2649" s="89" t="s">
        <v>2582</v>
      </c>
      <c r="R2649" s="89" t="s">
        <v>3103</v>
      </c>
      <c r="S2649" s="30">
        <v>0</v>
      </c>
      <c r="T2649" s="233">
        <v>0</v>
      </c>
      <c r="U2649" s="30">
        <v>0</v>
      </c>
      <c r="V2649" s="233">
        <v>0</v>
      </c>
      <c r="W2649" s="30">
        <v>0</v>
      </c>
      <c r="X2649" s="30">
        <v>0</v>
      </c>
      <c r="Y2649" s="30">
        <v>0</v>
      </c>
      <c r="Z2649" s="233">
        <v>0</v>
      </c>
      <c r="AA2649" s="30">
        <v>0</v>
      </c>
      <c r="AB2649" s="30">
        <v>0</v>
      </c>
      <c r="AC2649" s="30">
        <v>0</v>
      </c>
      <c r="AD2649" s="30">
        <v>0</v>
      </c>
      <c r="AE2649" s="89" t="s">
        <v>92</v>
      </c>
      <c r="AF2649" s="89"/>
      <c r="AG2649" s="89" t="s">
        <v>133</v>
      </c>
      <c r="AH2649" s="72">
        <v>43255</v>
      </c>
      <c r="AI2649" s="30">
        <v>0</v>
      </c>
      <c r="AJ2649" s="89" t="s">
        <v>14959</v>
      </c>
      <c r="AK2649" s="89" t="s">
        <v>14960</v>
      </c>
      <c r="AL2649" s="91">
        <v>43196</v>
      </c>
      <c r="AM2649" s="91"/>
      <c r="AN2649" s="91"/>
      <c r="AO2649" s="91"/>
      <c r="AP2649" s="73" t="e">
        <f>MID(VLOOKUP(K2649,#REF!,2,FALSE),1,2)</f>
        <v>#REF!</v>
      </c>
      <c r="AQ2649" s="89">
        <f>DATE(2018,3,30)</f>
        <v>43189</v>
      </c>
      <c r="AR2649" s="82">
        <f t="shared" si="217"/>
        <v>30</v>
      </c>
      <c r="AS2649" s="83">
        <f t="shared" si="218"/>
        <v>3</v>
      </c>
      <c r="AT2649" s="84">
        <f t="shared" si="219"/>
        <v>2018</v>
      </c>
      <c r="AU2649" s="88">
        <f>DATE(2018,4,5)</f>
        <v>43195</v>
      </c>
      <c r="AV2649" s="88">
        <f>DATE(2018,4,2)</f>
        <v>43192</v>
      </c>
      <c r="AW2649" s="87">
        <f t="shared" si="222"/>
        <v>3</v>
      </c>
      <c r="AX2649" s="88">
        <f>DATE(2018,4,2)</f>
        <v>43192</v>
      </c>
      <c r="AY2649" s="83">
        <f>MONTH(AX2649)</f>
        <v>4</v>
      </c>
      <c r="AZ2649" s="84">
        <f>YEAR(AX2649)</f>
        <v>2018</v>
      </c>
      <c r="BA2649" s="88">
        <f>DATE(2018,3,30)</f>
        <v>43189</v>
      </c>
      <c r="BB2649" s="86"/>
    </row>
    <row r="2650" spans="1:54" ht="36.75" customHeight="1">
      <c r="A2650" s="30"/>
      <c r="B2650" s="30" t="s">
        <v>55</v>
      </c>
      <c r="C2650" s="69" t="str">
        <f t="shared" si="221"/>
        <v>Closed</v>
      </c>
      <c r="D2650" s="27" t="s">
        <v>14961</v>
      </c>
      <c r="E2650" s="29" t="s">
        <v>14962</v>
      </c>
      <c r="F2650" s="30" t="s">
        <v>1572</v>
      </c>
      <c r="G2650" s="89">
        <f>DATE(2018,4,2)</f>
        <v>43192</v>
      </c>
      <c r="H2650" s="90">
        <v>1.9270833333333335</v>
      </c>
      <c r="I2650" s="30" t="s">
        <v>73</v>
      </c>
      <c r="J2650" s="89" t="s">
        <v>14963</v>
      </c>
      <c r="K2650" s="30" t="s">
        <v>1574</v>
      </c>
      <c r="L2650" s="30" t="s">
        <v>14964</v>
      </c>
      <c r="M2650" s="30" t="s">
        <v>63</v>
      </c>
      <c r="N2650" s="30" t="s">
        <v>142</v>
      </c>
      <c r="O2650" s="30" t="s">
        <v>77</v>
      </c>
      <c r="P2650" s="89" t="s">
        <v>78</v>
      </c>
      <c r="Q2650" s="89" t="s">
        <v>2655</v>
      </c>
      <c r="R2650" s="89" t="s">
        <v>6434</v>
      </c>
      <c r="S2650" s="30">
        <v>0</v>
      </c>
      <c r="T2650" s="233">
        <v>0</v>
      </c>
      <c r="U2650" s="30">
        <v>0</v>
      </c>
      <c r="V2650" s="233">
        <v>0</v>
      </c>
      <c r="W2650" s="30">
        <v>0</v>
      </c>
      <c r="X2650" s="30">
        <v>0</v>
      </c>
      <c r="Y2650" s="30">
        <v>0</v>
      </c>
      <c r="Z2650" s="233">
        <v>0</v>
      </c>
      <c r="AA2650" s="30">
        <v>0</v>
      </c>
      <c r="AB2650" s="30">
        <v>0</v>
      </c>
      <c r="AC2650" s="30">
        <v>0</v>
      </c>
      <c r="AD2650" s="30">
        <v>0</v>
      </c>
      <c r="AE2650" s="89" t="s">
        <v>92</v>
      </c>
      <c r="AF2650" s="89"/>
      <c r="AG2650" s="89" t="s">
        <v>133</v>
      </c>
      <c r="AH2650" s="72">
        <v>43194</v>
      </c>
      <c r="AI2650" s="30">
        <v>1</v>
      </c>
      <c r="AJ2650" s="89" t="s">
        <v>14965</v>
      </c>
      <c r="AK2650" s="89" t="s">
        <v>14966</v>
      </c>
      <c r="AL2650" s="91">
        <v>43199</v>
      </c>
      <c r="AM2650" s="91"/>
      <c r="AN2650" s="91"/>
      <c r="AO2650" s="91"/>
      <c r="AP2650" s="73" t="e">
        <f>MID(VLOOKUP(K2650,#REF!,2,FALSE),1,2)</f>
        <v>#REF!</v>
      </c>
      <c r="AQ2650" s="89">
        <f>DATE(2018,3,30)</f>
        <v>43189</v>
      </c>
      <c r="AR2650" s="82">
        <f t="shared" si="217"/>
        <v>30</v>
      </c>
      <c r="AS2650" s="83">
        <f t="shared" si="218"/>
        <v>3</v>
      </c>
      <c r="AT2650" s="84">
        <f t="shared" si="219"/>
        <v>2018</v>
      </c>
      <c r="AU2650" s="88">
        <f>DATE(2018,4,6)</f>
        <v>43196</v>
      </c>
      <c r="AV2650" s="88">
        <f>DATE(2018,4,6)</f>
        <v>43196</v>
      </c>
      <c r="AW2650" s="87">
        <f t="shared" si="222"/>
        <v>0</v>
      </c>
      <c r="AX2650" s="86"/>
      <c r="AY2650" s="83"/>
      <c r="AZ2650" s="84"/>
      <c r="BA2650" s="86"/>
      <c r="BB2650" s="86"/>
    </row>
    <row r="2651" spans="1:54" ht="36.75" customHeight="1">
      <c r="A2651" s="30"/>
      <c r="B2651" s="30" t="s">
        <v>55</v>
      </c>
      <c r="C2651" s="69" t="str">
        <f t="shared" si="221"/>
        <v>Closed</v>
      </c>
      <c r="D2651" s="27" t="s">
        <v>14967</v>
      </c>
      <c r="E2651" s="29" t="s">
        <v>14968</v>
      </c>
      <c r="F2651" s="30" t="s">
        <v>115</v>
      </c>
      <c r="G2651" s="89">
        <f>DATE(2018,4,3)</f>
        <v>43193</v>
      </c>
      <c r="H2651" s="90">
        <v>1.6625000000000001</v>
      </c>
      <c r="I2651" s="30" t="s">
        <v>116</v>
      </c>
      <c r="J2651" s="89" t="s">
        <v>14969</v>
      </c>
      <c r="K2651" s="30" t="s">
        <v>118</v>
      </c>
      <c r="L2651" s="30" t="s">
        <v>14970</v>
      </c>
      <c r="M2651" s="30" t="s">
        <v>63</v>
      </c>
      <c r="N2651" s="30" t="s">
        <v>142</v>
      </c>
      <c r="O2651" s="30" t="s">
        <v>64</v>
      </c>
      <c r="P2651" s="89" t="s">
        <v>381</v>
      </c>
      <c r="Q2651" s="89" t="s">
        <v>5859</v>
      </c>
      <c r="R2651" s="89" t="s">
        <v>121</v>
      </c>
      <c r="S2651" s="30">
        <v>0</v>
      </c>
      <c r="T2651" s="233">
        <v>0</v>
      </c>
      <c r="U2651" s="30">
        <v>2</v>
      </c>
      <c r="V2651" s="233">
        <v>0</v>
      </c>
      <c r="W2651" s="30">
        <v>0</v>
      </c>
      <c r="X2651" s="30">
        <v>2</v>
      </c>
      <c r="Y2651" s="30">
        <v>0</v>
      </c>
      <c r="Z2651" s="233">
        <v>0</v>
      </c>
      <c r="AA2651" s="30">
        <v>0</v>
      </c>
      <c r="AB2651" s="30">
        <v>0</v>
      </c>
      <c r="AC2651" s="30">
        <v>0</v>
      </c>
      <c r="AD2651" s="30">
        <v>0</v>
      </c>
      <c r="AE2651" s="89" t="s">
        <v>92</v>
      </c>
      <c r="AF2651" s="89"/>
      <c r="AG2651" s="89" t="s">
        <v>133</v>
      </c>
      <c r="AH2651" s="72">
        <v>43208</v>
      </c>
      <c r="AI2651" s="30">
        <v>0</v>
      </c>
      <c r="AJ2651" s="89" t="s">
        <v>14971</v>
      </c>
      <c r="AK2651" s="89" t="s">
        <v>14972</v>
      </c>
      <c r="AL2651" s="91">
        <v>43509</v>
      </c>
      <c r="AM2651" s="91"/>
      <c r="AN2651" s="91"/>
      <c r="AO2651" s="91"/>
      <c r="AP2651" s="73" t="e">
        <f>MID(VLOOKUP(K2651,#REF!,2,FALSE),1,2)</f>
        <v>#REF!</v>
      </c>
      <c r="AQ2651" s="89">
        <f>DATE(2018,4,2)</f>
        <v>43192</v>
      </c>
      <c r="AR2651" s="82">
        <f t="shared" si="217"/>
        <v>2</v>
      </c>
      <c r="AS2651" s="83">
        <f t="shared" si="218"/>
        <v>4</v>
      </c>
      <c r="AT2651" s="84">
        <f t="shared" si="219"/>
        <v>2018</v>
      </c>
      <c r="AU2651" s="88">
        <f>DATE(2018,4,9)</f>
        <v>43199</v>
      </c>
      <c r="AV2651" s="88">
        <f>DATE(2018,4,4)</f>
        <v>43194</v>
      </c>
      <c r="AW2651" s="87">
        <f t="shared" si="222"/>
        <v>5</v>
      </c>
      <c r="AX2651" s="88">
        <f>DATE(2018,4,9)</f>
        <v>43199</v>
      </c>
      <c r="AY2651" s="83">
        <f>MONTH(AX2651)</f>
        <v>4</v>
      </c>
      <c r="AZ2651" s="84">
        <f>YEAR(AX2651)</f>
        <v>2018</v>
      </c>
      <c r="BA2651" s="88">
        <f>DATE(2018,4,2)</f>
        <v>43192</v>
      </c>
      <c r="BB2651" s="86"/>
    </row>
    <row r="2652" spans="1:54" ht="36.75" customHeight="1">
      <c r="A2652" s="30"/>
      <c r="B2652" s="30" t="s">
        <v>55</v>
      </c>
      <c r="C2652" s="69" t="str">
        <f t="shared" si="221"/>
        <v>Closed</v>
      </c>
      <c r="D2652" s="27" t="s">
        <v>14973</v>
      </c>
      <c r="E2652" s="29" t="s">
        <v>14974</v>
      </c>
      <c r="F2652" s="30" t="s">
        <v>1572</v>
      </c>
      <c r="G2652" s="89">
        <f>DATE(2018,4,4)</f>
        <v>43194</v>
      </c>
      <c r="H2652" s="90">
        <v>1.1652777777777779</v>
      </c>
      <c r="I2652" s="30" t="s">
        <v>73</v>
      </c>
      <c r="J2652" s="89" t="s">
        <v>14975</v>
      </c>
      <c r="K2652" s="30" t="s">
        <v>1574</v>
      </c>
      <c r="L2652" s="30" t="s">
        <v>14509</v>
      </c>
      <c r="M2652" s="30" t="s">
        <v>63</v>
      </c>
      <c r="N2652" s="30" t="s">
        <v>142</v>
      </c>
      <c r="O2652" s="30" t="s">
        <v>64</v>
      </c>
      <c r="P2652" s="89" t="s">
        <v>78</v>
      </c>
      <c r="Q2652" s="89" t="s">
        <v>6093</v>
      </c>
      <c r="R2652" s="89" t="s">
        <v>6434</v>
      </c>
      <c r="S2652" s="30">
        <v>0</v>
      </c>
      <c r="T2652" s="233">
        <v>0</v>
      </c>
      <c r="U2652" s="30">
        <v>0</v>
      </c>
      <c r="V2652" s="233">
        <v>0</v>
      </c>
      <c r="W2652" s="30">
        <v>0</v>
      </c>
      <c r="X2652" s="30">
        <v>0</v>
      </c>
      <c r="Y2652" s="30">
        <v>0</v>
      </c>
      <c r="Z2652" s="233">
        <v>0</v>
      </c>
      <c r="AA2652" s="30">
        <v>0</v>
      </c>
      <c r="AB2652" s="30">
        <v>0</v>
      </c>
      <c r="AC2652" s="30">
        <v>0</v>
      </c>
      <c r="AD2652" s="30">
        <v>0</v>
      </c>
      <c r="AE2652" s="89" t="s">
        <v>394</v>
      </c>
      <c r="AF2652" s="89"/>
      <c r="AG2652" s="89" t="s">
        <v>133</v>
      </c>
      <c r="AH2652" s="72">
        <v>43194</v>
      </c>
      <c r="AI2652" s="30">
        <v>1</v>
      </c>
      <c r="AJ2652" s="89" t="s">
        <v>14976</v>
      </c>
      <c r="AK2652" s="89" t="s">
        <v>14977</v>
      </c>
      <c r="AL2652" s="91">
        <v>43199</v>
      </c>
      <c r="AM2652" s="91"/>
      <c r="AN2652" s="91"/>
      <c r="AO2652" s="91"/>
      <c r="AP2652" s="73" t="e">
        <f>MID(VLOOKUP(K2652,#REF!,2,FALSE),1,2)</f>
        <v>#REF!</v>
      </c>
      <c r="AQ2652" s="89">
        <f>DATE(2018,4,3)</f>
        <v>43193</v>
      </c>
      <c r="AR2652" s="82">
        <f t="shared" si="217"/>
        <v>3</v>
      </c>
      <c r="AS2652" s="83">
        <f t="shared" si="218"/>
        <v>4</v>
      </c>
      <c r="AT2652" s="84">
        <f t="shared" si="219"/>
        <v>2018</v>
      </c>
      <c r="AU2652" s="86"/>
      <c r="AV2652" s="86"/>
      <c r="AW2652" s="87"/>
      <c r="AX2652" s="86"/>
      <c r="AY2652" s="83"/>
      <c r="AZ2652" s="84"/>
      <c r="BA2652" s="86"/>
      <c r="BB2652" s="86"/>
    </row>
    <row r="2653" spans="1:54" ht="36.75" customHeight="1">
      <c r="A2653" s="30"/>
      <c r="B2653" s="30" t="s">
        <v>2124</v>
      </c>
      <c r="C2653" s="69" t="str">
        <f t="shared" si="221"/>
        <v>Open</v>
      </c>
      <c r="D2653" s="27" t="s">
        <v>14978</v>
      </c>
      <c r="E2653" s="29" t="s">
        <v>14979</v>
      </c>
      <c r="F2653" s="30" t="s">
        <v>5427</v>
      </c>
      <c r="G2653" s="89">
        <f>DATE(2018,4,5)</f>
        <v>43195</v>
      </c>
      <c r="H2653" s="90">
        <v>1.7319444444444443</v>
      </c>
      <c r="I2653" s="30" t="s">
        <v>73</v>
      </c>
      <c r="J2653" s="89" t="s">
        <v>14980</v>
      </c>
      <c r="K2653" s="30" t="s">
        <v>596</v>
      </c>
      <c r="L2653" s="30" t="s">
        <v>14981</v>
      </c>
      <c r="M2653" s="30" t="s">
        <v>63</v>
      </c>
      <c r="N2653" s="30" t="s">
        <v>99</v>
      </c>
      <c r="O2653" s="30" t="s">
        <v>64</v>
      </c>
      <c r="P2653" s="89" t="s">
        <v>78</v>
      </c>
      <c r="Q2653" s="89" t="s">
        <v>13142</v>
      </c>
      <c r="R2653" s="89" t="s">
        <v>12074</v>
      </c>
      <c r="S2653" s="30">
        <v>0</v>
      </c>
      <c r="T2653" s="233">
        <v>0</v>
      </c>
      <c r="U2653" s="30">
        <v>0</v>
      </c>
      <c r="V2653" s="233">
        <v>0</v>
      </c>
      <c r="W2653" s="30">
        <v>0</v>
      </c>
      <c r="X2653" s="30">
        <v>0</v>
      </c>
      <c r="Y2653" s="30">
        <v>0</v>
      </c>
      <c r="Z2653" s="233">
        <v>0</v>
      </c>
      <c r="AA2653" s="30">
        <v>0</v>
      </c>
      <c r="AB2653" s="30">
        <v>0</v>
      </c>
      <c r="AC2653" s="30">
        <v>0</v>
      </c>
      <c r="AD2653" s="30">
        <v>0</v>
      </c>
      <c r="AE2653" s="89" t="s">
        <v>92</v>
      </c>
      <c r="AF2653" s="89"/>
      <c r="AG2653" s="89" t="s">
        <v>133</v>
      </c>
      <c r="AH2653" s="72">
        <v>43217</v>
      </c>
      <c r="AI2653" s="30">
        <v>0</v>
      </c>
      <c r="AJ2653" s="89" t="s">
        <v>68</v>
      </c>
      <c r="AK2653" s="89" t="s">
        <v>68</v>
      </c>
      <c r="AL2653" s="91">
        <v>43225</v>
      </c>
      <c r="AM2653" s="91"/>
      <c r="AN2653" s="91"/>
      <c r="AO2653" s="91"/>
      <c r="AP2653" s="73" t="e">
        <f>MID(VLOOKUP(K2653,#REF!,2,FALSE),1,2)</f>
        <v>#REF!</v>
      </c>
      <c r="AQ2653" s="89">
        <f>DATE(2018,4,4)</f>
        <v>43194</v>
      </c>
      <c r="AR2653" s="82">
        <f t="shared" si="217"/>
        <v>4</v>
      </c>
      <c r="AS2653" s="83">
        <f t="shared" si="218"/>
        <v>4</v>
      </c>
      <c r="AT2653" s="84">
        <f t="shared" si="219"/>
        <v>2018</v>
      </c>
      <c r="AU2653" s="88">
        <f>DATE(2018,4,9)</f>
        <v>43199</v>
      </c>
      <c r="AV2653" s="88">
        <f>DATE(2018,4,4)</f>
        <v>43194</v>
      </c>
      <c r="AW2653" s="87">
        <f t="shared" ref="AW2653:AW2673" si="223">AU2653-AV2653</f>
        <v>5</v>
      </c>
      <c r="AX2653" s="88">
        <f>DATE(2018,4,9)</f>
        <v>43199</v>
      </c>
      <c r="AY2653" s="83">
        <f>MONTH(AX2653)</f>
        <v>4</v>
      </c>
      <c r="AZ2653" s="84">
        <f>YEAR(AX2653)</f>
        <v>2018</v>
      </c>
      <c r="BA2653" s="88">
        <f>DATE(2018,4,4)</f>
        <v>43194</v>
      </c>
      <c r="BB2653" s="86"/>
    </row>
    <row r="2654" spans="1:54" ht="36.75" customHeight="1">
      <c r="A2654" s="30"/>
      <c r="B2654" s="30" t="s">
        <v>55</v>
      </c>
      <c r="C2654" s="69" t="str">
        <f t="shared" si="221"/>
        <v>Closed</v>
      </c>
      <c r="D2654" s="27" t="s">
        <v>14982</v>
      </c>
      <c r="E2654" s="29" t="s">
        <v>14983</v>
      </c>
      <c r="F2654" s="30" t="s">
        <v>423</v>
      </c>
      <c r="G2654" s="89">
        <f>DATE(2018,4,6)</f>
        <v>43196</v>
      </c>
      <c r="H2654" s="90">
        <v>1.4284722222222221</v>
      </c>
      <c r="I2654" s="30" t="s">
        <v>116</v>
      </c>
      <c r="J2654" s="89" t="s">
        <v>14984</v>
      </c>
      <c r="K2654" s="30" t="s">
        <v>425</v>
      </c>
      <c r="L2654" s="30" t="s">
        <v>14985</v>
      </c>
      <c r="M2654" s="30" t="s">
        <v>63</v>
      </c>
      <c r="N2654" s="30" t="s">
        <v>99</v>
      </c>
      <c r="O2654" s="30" t="s">
        <v>64</v>
      </c>
      <c r="P2654" s="89" t="s">
        <v>165</v>
      </c>
      <c r="Q2654" s="89" t="s">
        <v>4551</v>
      </c>
      <c r="R2654" s="89" t="s">
        <v>3103</v>
      </c>
      <c r="S2654" s="30">
        <v>0</v>
      </c>
      <c r="T2654" s="233">
        <v>0</v>
      </c>
      <c r="U2654" s="30">
        <v>1</v>
      </c>
      <c r="V2654" s="233">
        <v>0</v>
      </c>
      <c r="W2654" s="30">
        <v>0</v>
      </c>
      <c r="X2654" s="30">
        <v>1</v>
      </c>
      <c r="Y2654" s="30">
        <v>0</v>
      </c>
      <c r="Z2654" s="233">
        <v>0</v>
      </c>
      <c r="AA2654" s="30">
        <v>0</v>
      </c>
      <c r="AB2654" s="30">
        <v>0</v>
      </c>
      <c r="AC2654" s="30">
        <v>0</v>
      </c>
      <c r="AD2654" s="30">
        <v>0</v>
      </c>
      <c r="AE2654" s="89" t="s">
        <v>92</v>
      </c>
      <c r="AF2654" s="89"/>
      <c r="AG2654" s="89" t="s">
        <v>874</v>
      </c>
      <c r="AH2654" s="72">
        <v>43255</v>
      </c>
      <c r="AI2654" s="30">
        <v>0</v>
      </c>
      <c r="AJ2654" s="89" t="s">
        <v>11986</v>
      </c>
      <c r="AK2654" s="89" t="s">
        <v>14129</v>
      </c>
      <c r="AL2654" s="91">
        <v>43199</v>
      </c>
      <c r="AM2654" s="91"/>
      <c r="AN2654" s="91"/>
      <c r="AO2654" s="91"/>
      <c r="AP2654" s="73" t="e">
        <f>MID(VLOOKUP(K2654,#REF!,2,FALSE),1,2)</f>
        <v>#REF!</v>
      </c>
      <c r="AQ2654" s="89">
        <f>DATE(2018,4,5)</f>
        <v>43195</v>
      </c>
      <c r="AR2654" s="82">
        <f t="shared" si="217"/>
        <v>5</v>
      </c>
      <c r="AS2654" s="83">
        <f t="shared" si="218"/>
        <v>4</v>
      </c>
      <c r="AT2654" s="84">
        <f t="shared" si="219"/>
        <v>2018</v>
      </c>
      <c r="AU2654" s="88">
        <f>DATE(2018,5,5)</f>
        <v>43225</v>
      </c>
      <c r="AV2654" s="88">
        <f>DATE(2018,4,27)</f>
        <v>43217</v>
      </c>
      <c r="AW2654" s="87">
        <f t="shared" si="223"/>
        <v>8</v>
      </c>
      <c r="AX2654" s="88">
        <f>DATE(2018,5,4)</f>
        <v>43224</v>
      </c>
      <c r="AY2654" s="83">
        <f>MONTH(AX2654)</f>
        <v>5</v>
      </c>
      <c r="AZ2654" s="84">
        <f>YEAR(AX2654)</f>
        <v>2018</v>
      </c>
      <c r="BA2654" s="88">
        <f>DATE(2018,4,4)</f>
        <v>43194</v>
      </c>
      <c r="BB2654" s="86"/>
    </row>
    <row r="2655" spans="1:54" ht="36.75" customHeight="1">
      <c r="A2655" s="30"/>
      <c r="B2655" s="30" t="s">
        <v>55</v>
      </c>
      <c r="C2655" s="69" t="str">
        <f t="shared" si="221"/>
        <v>Closed</v>
      </c>
      <c r="D2655" s="27" t="s">
        <v>14986</v>
      </c>
      <c r="E2655" s="29" t="s">
        <v>14987</v>
      </c>
      <c r="F2655" s="30" t="s">
        <v>58</v>
      </c>
      <c r="G2655" s="89">
        <f>DATE(2018,4,7)</f>
        <v>43197</v>
      </c>
      <c r="H2655" s="90">
        <v>1.4861111111111112</v>
      </c>
      <c r="I2655" s="30" t="s">
        <v>156</v>
      </c>
      <c r="J2655" s="89" t="s">
        <v>14988</v>
      </c>
      <c r="K2655" s="30" t="s">
        <v>61</v>
      </c>
      <c r="L2655" s="30" t="s">
        <v>14989</v>
      </c>
      <c r="M2655" s="30" t="s">
        <v>63</v>
      </c>
      <c r="N2655" s="30" t="s">
        <v>99</v>
      </c>
      <c r="O2655" s="30" t="s">
        <v>77</v>
      </c>
      <c r="P2655" s="89" t="s">
        <v>78</v>
      </c>
      <c r="Q2655" s="89" t="s">
        <v>66</v>
      </c>
      <c r="R2655" s="89" t="s">
        <v>67</v>
      </c>
      <c r="S2655" s="30">
        <v>0</v>
      </c>
      <c r="T2655" s="233">
        <v>0</v>
      </c>
      <c r="U2655" s="30">
        <v>0</v>
      </c>
      <c r="V2655" s="233">
        <v>0</v>
      </c>
      <c r="W2655" s="30">
        <v>0</v>
      </c>
      <c r="X2655" s="30">
        <v>0</v>
      </c>
      <c r="Y2655" s="30">
        <v>0</v>
      </c>
      <c r="Z2655" s="233">
        <v>0</v>
      </c>
      <c r="AA2655" s="30">
        <v>0</v>
      </c>
      <c r="AB2655" s="30">
        <v>0</v>
      </c>
      <c r="AC2655" s="30">
        <v>0</v>
      </c>
      <c r="AD2655" s="30">
        <v>0</v>
      </c>
      <c r="AE2655" s="89" t="s">
        <v>394</v>
      </c>
      <c r="AF2655" s="89"/>
      <c r="AG2655" s="89" t="s">
        <v>133</v>
      </c>
      <c r="AH2655" s="72">
        <v>43200</v>
      </c>
      <c r="AI2655" s="30">
        <v>7</v>
      </c>
      <c r="AJ2655" s="89" t="s">
        <v>14990</v>
      </c>
      <c r="AK2655" s="89" t="s">
        <v>14991</v>
      </c>
      <c r="AL2655" s="91">
        <v>43262</v>
      </c>
      <c r="AM2655" s="91"/>
      <c r="AN2655" s="91"/>
      <c r="AO2655" s="91"/>
      <c r="AP2655" s="73" t="e">
        <f>MID(VLOOKUP(K2655,#REF!,2,FALSE),1,2)</f>
        <v>#REF!</v>
      </c>
      <c r="AQ2655" s="89">
        <f>DATE(2018,4,6)</f>
        <v>43196</v>
      </c>
      <c r="AR2655" s="82">
        <f t="shared" si="217"/>
        <v>6</v>
      </c>
      <c r="AS2655" s="83">
        <f t="shared" si="218"/>
        <v>4</v>
      </c>
      <c r="AT2655" s="84">
        <f t="shared" si="219"/>
        <v>2018</v>
      </c>
      <c r="AU2655" s="88">
        <f>DATE(2018,4,9)</f>
        <v>43199</v>
      </c>
      <c r="AV2655" s="88">
        <f>DATE(2018,4,6)</f>
        <v>43196</v>
      </c>
      <c r="AW2655" s="87">
        <f t="shared" si="223"/>
        <v>3</v>
      </c>
      <c r="AX2655" s="106"/>
      <c r="AY2655" s="83"/>
      <c r="AZ2655" s="84"/>
      <c r="BA2655" s="106"/>
      <c r="BB2655" s="106"/>
    </row>
    <row r="2656" spans="1:54" ht="36.75" customHeight="1">
      <c r="A2656" s="30"/>
      <c r="B2656" s="30" t="s">
        <v>55</v>
      </c>
      <c r="C2656" s="69" t="str">
        <f t="shared" si="221"/>
        <v>Closed</v>
      </c>
      <c r="D2656" s="27" t="s">
        <v>14992</v>
      </c>
      <c r="E2656" s="29" t="s">
        <v>14993</v>
      </c>
      <c r="F2656" s="30" t="s">
        <v>582</v>
      </c>
      <c r="G2656" s="89">
        <f>DATE(2018,4,10)</f>
        <v>43200</v>
      </c>
      <c r="H2656" s="90">
        <v>1.5833333333333335</v>
      </c>
      <c r="I2656" s="30" t="s">
        <v>73</v>
      </c>
      <c r="J2656" s="89" t="s">
        <v>14994</v>
      </c>
      <c r="K2656" s="30" t="s">
        <v>584</v>
      </c>
      <c r="L2656" s="30" t="s">
        <v>14995</v>
      </c>
      <c r="M2656" s="30" t="s">
        <v>63</v>
      </c>
      <c r="N2656" s="30" t="s">
        <v>142</v>
      </c>
      <c r="O2656" s="30" t="s">
        <v>77</v>
      </c>
      <c r="P2656" s="89" t="s">
        <v>78</v>
      </c>
      <c r="Q2656" s="89" t="s">
        <v>586</v>
      </c>
      <c r="R2656" s="89" t="s">
        <v>587</v>
      </c>
      <c r="S2656" s="30">
        <v>0</v>
      </c>
      <c r="T2656" s="233">
        <v>0</v>
      </c>
      <c r="U2656" s="30">
        <v>0</v>
      </c>
      <c r="V2656" s="233">
        <v>0</v>
      </c>
      <c r="W2656" s="30">
        <v>0</v>
      </c>
      <c r="X2656" s="30">
        <v>0</v>
      </c>
      <c r="Y2656" s="30">
        <v>0</v>
      </c>
      <c r="Z2656" s="233">
        <v>0</v>
      </c>
      <c r="AA2656" s="30">
        <v>0</v>
      </c>
      <c r="AB2656" s="30">
        <v>0</v>
      </c>
      <c r="AC2656" s="30">
        <v>0</v>
      </c>
      <c r="AD2656" s="30">
        <v>0</v>
      </c>
      <c r="AE2656" s="89" t="s">
        <v>394</v>
      </c>
      <c r="AF2656" s="89"/>
      <c r="AG2656" s="89" t="s">
        <v>589</v>
      </c>
      <c r="AH2656" s="72">
        <v>43378</v>
      </c>
      <c r="AI2656" s="30">
        <v>0</v>
      </c>
      <c r="AJ2656" s="89" t="s">
        <v>14996</v>
      </c>
      <c r="AK2656" s="89" t="s">
        <v>1233</v>
      </c>
      <c r="AL2656" s="91">
        <v>43403</v>
      </c>
      <c r="AM2656" s="91"/>
      <c r="AN2656" s="91"/>
      <c r="AO2656" s="91"/>
      <c r="AP2656" s="73" t="e">
        <f>MID(VLOOKUP(K2656,#REF!,2,FALSE),1,2)</f>
        <v>#REF!</v>
      </c>
      <c r="AQ2656" s="89">
        <f>DATE(2018,4,7)</f>
        <v>43197</v>
      </c>
      <c r="AR2656" s="82">
        <f t="shared" si="217"/>
        <v>7</v>
      </c>
      <c r="AS2656" s="83">
        <f t="shared" si="218"/>
        <v>4</v>
      </c>
      <c r="AT2656" s="84">
        <f t="shared" si="219"/>
        <v>2018</v>
      </c>
      <c r="AU2656" s="88">
        <f>DATE(2018,6,11)</f>
        <v>43262</v>
      </c>
      <c r="AV2656" s="88">
        <f>DATE(2018,4,10)</f>
        <v>43200</v>
      </c>
      <c r="AW2656" s="87">
        <f t="shared" si="223"/>
        <v>62</v>
      </c>
      <c r="AX2656" s="88">
        <f>DATE(2018,4,10)</f>
        <v>43200</v>
      </c>
      <c r="AY2656" s="83">
        <f>MONTH(AX2656)</f>
        <v>4</v>
      </c>
      <c r="AZ2656" s="84">
        <f>YEAR(AX2656)</f>
        <v>2018</v>
      </c>
      <c r="BA2656" s="88">
        <f>DATE(2018,4,7)</f>
        <v>43197</v>
      </c>
      <c r="BB2656" s="86"/>
    </row>
    <row r="2657" spans="1:54" ht="36.75" customHeight="1">
      <c r="A2657" s="30"/>
      <c r="B2657" s="30" t="s">
        <v>55</v>
      </c>
      <c r="C2657" s="69" t="str">
        <f t="shared" si="221"/>
        <v>Closed</v>
      </c>
      <c r="D2657" s="27" t="s">
        <v>14997</v>
      </c>
      <c r="E2657" s="29" t="s">
        <v>14998</v>
      </c>
      <c r="F2657" s="30" t="s">
        <v>835</v>
      </c>
      <c r="G2657" s="89">
        <f>DATE(2018,4,10)</f>
        <v>43200</v>
      </c>
      <c r="H2657" s="90">
        <v>1.5194444444444444</v>
      </c>
      <c r="I2657" s="30" t="s">
        <v>73</v>
      </c>
      <c r="J2657" s="89" t="s">
        <v>14999</v>
      </c>
      <c r="K2657" s="30" t="s">
        <v>837</v>
      </c>
      <c r="L2657" s="30" t="s">
        <v>15000</v>
      </c>
      <c r="M2657" s="30" t="s">
        <v>9919</v>
      </c>
      <c r="N2657" s="30" t="s">
        <v>99</v>
      </c>
      <c r="O2657" s="30" t="s">
        <v>77</v>
      </c>
      <c r="P2657" s="89" t="s">
        <v>165</v>
      </c>
      <c r="Q2657" s="89" t="s">
        <v>839</v>
      </c>
      <c r="R2657" s="89" t="s">
        <v>840</v>
      </c>
      <c r="S2657" s="30">
        <v>0</v>
      </c>
      <c r="T2657" s="233">
        <v>0</v>
      </c>
      <c r="U2657" s="30">
        <v>0</v>
      </c>
      <c r="V2657" s="233">
        <v>0</v>
      </c>
      <c r="W2657" s="30">
        <v>0</v>
      </c>
      <c r="X2657" s="30">
        <v>0</v>
      </c>
      <c r="Y2657" s="30">
        <v>0</v>
      </c>
      <c r="Z2657" s="233">
        <v>0</v>
      </c>
      <c r="AA2657" s="30">
        <v>0</v>
      </c>
      <c r="AB2657" s="30">
        <v>0</v>
      </c>
      <c r="AC2657" s="30">
        <v>0</v>
      </c>
      <c r="AD2657" s="30">
        <v>0</v>
      </c>
      <c r="AE2657" s="89" t="s">
        <v>92</v>
      </c>
      <c r="AF2657" s="89"/>
      <c r="AG2657" s="89" t="s">
        <v>352</v>
      </c>
      <c r="AH2657" s="72">
        <v>43200</v>
      </c>
      <c r="AI2657" s="30">
        <v>0</v>
      </c>
      <c r="AJ2657" s="89" t="s">
        <v>11071</v>
      </c>
      <c r="AK2657" s="89" t="s">
        <v>68</v>
      </c>
      <c r="AL2657" s="91">
        <v>43215</v>
      </c>
      <c r="AM2657" s="91"/>
      <c r="AN2657" s="91"/>
      <c r="AO2657" s="91"/>
      <c r="AP2657" s="73" t="e">
        <f>MID(VLOOKUP(K2657,#REF!,2,FALSE),1,2)</f>
        <v>#REF!</v>
      </c>
      <c r="AQ2657" s="89">
        <f>DATE(2018,4,10)</f>
        <v>43200</v>
      </c>
      <c r="AR2657" s="82">
        <f t="shared" si="217"/>
        <v>10</v>
      </c>
      <c r="AS2657" s="83">
        <f t="shared" si="218"/>
        <v>4</v>
      </c>
      <c r="AT2657" s="84">
        <f t="shared" si="219"/>
        <v>2018</v>
      </c>
      <c r="AU2657" s="86"/>
      <c r="AV2657" s="86"/>
      <c r="AW2657" s="87">
        <f t="shared" si="223"/>
        <v>0</v>
      </c>
      <c r="AX2657" s="86"/>
      <c r="AY2657" s="83"/>
      <c r="AZ2657" s="84"/>
      <c r="BA2657" s="86"/>
      <c r="BB2657" s="86"/>
    </row>
    <row r="2658" spans="1:54" ht="36.75" customHeight="1">
      <c r="A2658" s="30"/>
      <c r="B2658" s="30" t="s">
        <v>55</v>
      </c>
      <c r="C2658" s="69" t="str">
        <f t="shared" si="221"/>
        <v>Closed</v>
      </c>
      <c r="D2658" s="27" t="s">
        <v>15001</v>
      </c>
      <c r="E2658" s="29" t="s">
        <v>15002</v>
      </c>
      <c r="F2658" s="30" t="s">
        <v>423</v>
      </c>
      <c r="G2658" s="89">
        <f>DATE(2018,4,17)</f>
        <v>43207</v>
      </c>
      <c r="H2658" s="90">
        <v>1.5229166666666667</v>
      </c>
      <c r="I2658" s="30" t="s">
        <v>116</v>
      </c>
      <c r="J2658" s="89" t="s">
        <v>15003</v>
      </c>
      <c r="K2658" s="30" t="s">
        <v>425</v>
      </c>
      <c r="L2658" s="30" t="s">
        <v>14592</v>
      </c>
      <c r="M2658" s="30" t="s">
        <v>63</v>
      </c>
      <c r="N2658" s="30" t="s">
        <v>99</v>
      </c>
      <c r="O2658" s="30" t="s">
        <v>64</v>
      </c>
      <c r="P2658" s="89" t="s">
        <v>65</v>
      </c>
      <c r="Q2658" s="89" t="s">
        <v>4551</v>
      </c>
      <c r="R2658" s="89" t="s">
        <v>3103</v>
      </c>
      <c r="S2658" s="30">
        <v>0</v>
      </c>
      <c r="T2658" s="233">
        <v>0</v>
      </c>
      <c r="U2658" s="30">
        <v>1</v>
      </c>
      <c r="V2658" s="233">
        <v>0</v>
      </c>
      <c r="W2658" s="30">
        <v>0</v>
      </c>
      <c r="X2658" s="30">
        <v>1</v>
      </c>
      <c r="Y2658" s="30">
        <v>0</v>
      </c>
      <c r="Z2658" s="233">
        <v>0</v>
      </c>
      <c r="AA2658" s="30">
        <v>0</v>
      </c>
      <c r="AB2658" s="30">
        <v>0</v>
      </c>
      <c r="AC2658" s="30">
        <v>0</v>
      </c>
      <c r="AD2658" s="30">
        <v>0</v>
      </c>
      <c r="AE2658" s="89" t="s">
        <v>92</v>
      </c>
      <c r="AF2658" s="89"/>
      <c r="AG2658" s="89" t="s">
        <v>874</v>
      </c>
      <c r="AH2658" s="72">
        <v>43207</v>
      </c>
      <c r="AI2658" s="30">
        <v>1</v>
      </c>
      <c r="AJ2658" s="89" t="s">
        <v>11986</v>
      </c>
      <c r="AK2658" s="89" t="s">
        <v>15004</v>
      </c>
      <c r="AL2658" s="91">
        <v>43208</v>
      </c>
      <c r="AM2658" s="91"/>
      <c r="AN2658" s="91"/>
      <c r="AO2658" s="91"/>
      <c r="AP2658" s="73" t="e">
        <f>MID(VLOOKUP(K2658,#REF!,2,FALSE),1,2)</f>
        <v>#REF!</v>
      </c>
      <c r="AQ2658" s="89">
        <f>DATE(2018,4,10)</f>
        <v>43200</v>
      </c>
      <c r="AR2658" s="82">
        <f t="shared" si="217"/>
        <v>10</v>
      </c>
      <c r="AS2658" s="83">
        <f t="shared" si="218"/>
        <v>4</v>
      </c>
      <c r="AT2658" s="84">
        <f t="shared" si="219"/>
        <v>2018</v>
      </c>
      <c r="AU2658" s="88">
        <f>DATE(2018,4,25)</f>
        <v>43215</v>
      </c>
      <c r="AV2658" s="88">
        <f>DATE(2018,4,10)</f>
        <v>43200</v>
      </c>
      <c r="AW2658" s="87">
        <f t="shared" si="223"/>
        <v>15</v>
      </c>
      <c r="AX2658" s="88">
        <f>DATE(2018,4,10)</f>
        <v>43200</v>
      </c>
      <c r="AY2658" s="83">
        <f>MONTH(AX2658)</f>
        <v>4</v>
      </c>
      <c r="AZ2658" s="84">
        <f>YEAR(AX2658)</f>
        <v>2018</v>
      </c>
      <c r="BA2658" s="107">
        <f>DATE(2014,4,10)</f>
        <v>41739</v>
      </c>
      <c r="BB2658" s="45" t="s">
        <v>15005</v>
      </c>
    </row>
    <row r="2659" spans="1:54" ht="36.75" customHeight="1">
      <c r="A2659" s="30"/>
      <c r="B2659" s="30" t="s">
        <v>55</v>
      </c>
      <c r="C2659" s="69" t="str">
        <f t="shared" si="221"/>
        <v>Closed</v>
      </c>
      <c r="D2659" s="27" t="s">
        <v>15006</v>
      </c>
      <c r="E2659" s="29" t="s">
        <v>15007</v>
      </c>
      <c r="F2659" s="30" t="s">
        <v>1938</v>
      </c>
      <c r="G2659" s="89">
        <f>DATE(2018,4,18)</f>
        <v>43208</v>
      </c>
      <c r="H2659" s="90">
        <v>0</v>
      </c>
      <c r="I2659" s="30" t="s">
        <v>2264</v>
      </c>
      <c r="J2659" s="89" t="s">
        <v>15008</v>
      </c>
      <c r="K2659" s="30" t="s">
        <v>1940</v>
      </c>
      <c r="L2659" s="30" t="s">
        <v>15009</v>
      </c>
      <c r="M2659" s="30" t="s">
        <v>63</v>
      </c>
      <c r="N2659" s="30" t="s">
        <v>89</v>
      </c>
      <c r="O2659" s="30" t="s">
        <v>64</v>
      </c>
      <c r="P2659" s="89" t="s">
        <v>301</v>
      </c>
      <c r="Q2659" s="89" t="s">
        <v>1942</v>
      </c>
      <c r="R2659" s="89" t="s">
        <v>1940</v>
      </c>
      <c r="S2659" s="30">
        <v>0</v>
      </c>
      <c r="T2659" s="233">
        <v>0</v>
      </c>
      <c r="U2659" s="30">
        <v>0</v>
      </c>
      <c r="V2659" s="233">
        <v>0</v>
      </c>
      <c r="W2659" s="30">
        <v>0</v>
      </c>
      <c r="X2659" s="30">
        <v>0</v>
      </c>
      <c r="Y2659" s="30">
        <v>0</v>
      </c>
      <c r="Z2659" s="233">
        <v>0</v>
      </c>
      <c r="AA2659" s="30">
        <v>0</v>
      </c>
      <c r="AB2659" s="30">
        <v>0</v>
      </c>
      <c r="AC2659" s="30">
        <v>0</v>
      </c>
      <c r="AD2659" s="30">
        <v>0</v>
      </c>
      <c r="AE2659" s="89" t="s">
        <v>92</v>
      </c>
      <c r="AF2659" s="89"/>
      <c r="AG2659" s="89" t="s">
        <v>248</v>
      </c>
      <c r="AH2659" s="72">
        <v>43208</v>
      </c>
      <c r="AI2659" s="30">
        <v>20</v>
      </c>
      <c r="AJ2659" s="89" t="s">
        <v>15010</v>
      </c>
      <c r="AK2659" s="89" t="s">
        <v>15011</v>
      </c>
      <c r="AL2659" s="91">
        <v>43242</v>
      </c>
      <c r="AM2659" s="91"/>
      <c r="AN2659" s="91"/>
      <c r="AO2659" s="91"/>
      <c r="AP2659" s="73" t="e">
        <f>MID(VLOOKUP(K2659,#REF!,2,FALSE),1,2)</f>
        <v>#REF!</v>
      </c>
      <c r="AQ2659" s="89">
        <f>DATE(2018,4,17)</f>
        <v>43207</v>
      </c>
      <c r="AR2659" s="82">
        <f t="shared" si="217"/>
        <v>17</v>
      </c>
      <c r="AS2659" s="83">
        <f t="shared" si="218"/>
        <v>4</v>
      </c>
      <c r="AT2659" s="84">
        <f t="shared" si="219"/>
        <v>2018</v>
      </c>
      <c r="AU2659" s="88">
        <f>DATE(2018,4,18)</f>
        <v>43208</v>
      </c>
      <c r="AV2659" s="88">
        <f>DATE(2018,4,17)</f>
        <v>43207</v>
      </c>
      <c r="AW2659" s="87">
        <f t="shared" si="223"/>
        <v>1</v>
      </c>
      <c r="AX2659" s="106"/>
      <c r="AY2659" s="83"/>
      <c r="AZ2659" s="84"/>
      <c r="BA2659" s="106"/>
      <c r="BB2659" s="106"/>
    </row>
    <row r="2660" spans="1:54" ht="36.75" customHeight="1">
      <c r="A2660" s="30"/>
      <c r="B2660" s="30" t="s">
        <v>55</v>
      </c>
      <c r="C2660" s="69" t="str">
        <f t="shared" si="221"/>
        <v>Closed</v>
      </c>
      <c r="D2660" s="27" t="s">
        <v>15012</v>
      </c>
      <c r="E2660" s="29" t="s">
        <v>15013</v>
      </c>
      <c r="F2660" s="30" t="s">
        <v>197</v>
      </c>
      <c r="G2660" s="89">
        <f>DATE(2018,4,20)</f>
        <v>43210</v>
      </c>
      <c r="H2660" s="90">
        <v>1.1986111111111111</v>
      </c>
      <c r="I2660" s="30" t="s">
        <v>198</v>
      </c>
      <c r="J2660" s="89" t="s">
        <v>15014</v>
      </c>
      <c r="K2660" s="30" t="s">
        <v>200</v>
      </c>
      <c r="L2660" s="30" t="s">
        <v>15015</v>
      </c>
      <c r="M2660" s="30" t="s">
        <v>63</v>
      </c>
      <c r="N2660" s="30" t="s">
        <v>89</v>
      </c>
      <c r="O2660" s="30" t="s">
        <v>77</v>
      </c>
      <c r="P2660" s="89" t="s">
        <v>65</v>
      </c>
      <c r="Q2660" s="89" t="s">
        <v>202</v>
      </c>
      <c r="R2660" s="89" t="s">
        <v>203</v>
      </c>
      <c r="S2660" s="30">
        <v>0</v>
      </c>
      <c r="T2660" s="233">
        <v>0</v>
      </c>
      <c r="U2660" s="30">
        <v>0</v>
      </c>
      <c r="V2660" s="233">
        <v>0</v>
      </c>
      <c r="W2660" s="30">
        <v>0</v>
      </c>
      <c r="X2660" s="30">
        <v>0</v>
      </c>
      <c r="Y2660" s="30">
        <v>1</v>
      </c>
      <c r="Z2660" s="233">
        <v>1</v>
      </c>
      <c r="AA2660" s="30">
        <v>0</v>
      </c>
      <c r="AB2660" s="30">
        <v>0</v>
      </c>
      <c r="AC2660" s="30">
        <v>0</v>
      </c>
      <c r="AD2660" s="30">
        <v>2</v>
      </c>
      <c r="AE2660" s="89" t="s">
        <v>145</v>
      </c>
      <c r="AF2660" s="89"/>
      <c r="AG2660" s="89" t="s">
        <v>82</v>
      </c>
      <c r="AH2660" s="72">
        <v>43244</v>
      </c>
      <c r="AI2660" s="30">
        <v>1</v>
      </c>
      <c r="AJ2660" s="89" t="s">
        <v>15016</v>
      </c>
      <c r="AK2660" s="89" t="s">
        <v>1233</v>
      </c>
      <c r="AL2660" s="91">
        <v>43244</v>
      </c>
      <c r="AM2660" s="91"/>
      <c r="AN2660" s="91"/>
      <c r="AO2660" s="91"/>
      <c r="AP2660" s="73" t="e">
        <f>MID(VLOOKUP(K2660,#REF!,2,FALSE),1,2)</f>
        <v>#REF!</v>
      </c>
      <c r="AQ2660" s="89">
        <f>DATE(2018,4,18)</f>
        <v>43208</v>
      </c>
      <c r="AR2660" s="82">
        <f t="shared" si="217"/>
        <v>18</v>
      </c>
      <c r="AS2660" s="83">
        <f t="shared" si="218"/>
        <v>4</v>
      </c>
      <c r="AT2660" s="84">
        <f t="shared" si="219"/>
        <v>2018</v>
      </c>
      <c r="AU2660" s="88">
        <f>DATE(2018,5,22)</f>
        <v>43242</v>
      </c>
      <c r="AV2660" s="88">
        <f>DATE(2018,4,18)</f>
        <v>43208</v>
      </c>
      <c r="AW2660" s="87">
        <f t="shared" si="223"/>
        <v>34</v>
      </c>
      <c r="AX2660" s="86"/>
      <c r="AY2660" s="83"/>
      <c r="AZ2660" s="84"/>
      <c r="BA2660" s="86"/>
      <c r="BB2660" s="86"/>
    </row>
    <row r="2661" spans="1:54" ht="36.75" customHeight="1">
      <c r="A2661" s="30"/>
      <c r="B2661" s="30" t="s">
        <v>55</v>
      </c>
      <c r="C2661" s="69" t="str">
        <f t="shared" si="221"/>
        <v>Closed</v>
      </c>
      <c r="D2661" s="27" t="s">
        <v>15017</v>
      </c>
      <c r="E2661" s="29" t="s">
        <v>15018</v>
      </c>
      <c r="F2661" s="30" t="s">
        <v>423</v>
      </c>
      <c r="G2661" s="89">
        <f>DATE(2018,4,23)</f>
        <v>43213</v>
      </c>
      <c r="H2661" s="90">
        <v>1.5618055555555554</v>
      </c>
      <c r="I2661" s="30" t="s">
        <v>116</v>
      </c>
      <c r="J2661" s="89" t="s">
        <v>15019</v>
      </c>
      <c r="K2661" s="30" t="s">
        <v>425</v>
      </c>
      <c r="L2661" s="30" t="s">
        <v>15020</v>
      </c>
      <c r="M2661" s="30" t="s">
        <v>63</v>
      </c>
      <c r="N2661" s="30" t="s">
        <v>99</v>
      </c>
      <c r="O2661" s="30" t="s">
        <v>64</v>
      </c>
      <c r="P2661" s="89" t="s">
        <v>165</v>
      </c>
      <c r="Q2661" s="89" t="s">
        <v>4551</v>
      </c>
      <c r="R2661" s="89" t="s">
        <v>3103</v>
      </c>
      <c r="S2661" s="30">
        <v>0</v>
      </c>
      <c r="T2661" s="233">
        <v>0</v>
      </c>
      <c r="U2661" s="30">
        <v>0</v>
      </c>
      <c r="V2661" s="233">
        <v>0</v>
      </c>
      <c r="W2661" s="30">
        <v>0</v>
      </c>
      <c r="X2661" s="30">
        <v>0</v>
      </c>
      <c r="Y2661" s="30">
        <v>0</v>
      </c>
      <c r="Z2661" s="233">
        <v>0</v>
      </c>
      <c r="AA2661" s="30">
        <v>1</v>
      </c>
      <c r="AB2661" s="30">
        <v>0</v>
      </c>
      <c r="AC2661" s="30">
        <v>0</v>
      </c>
      <c r="AD2661" s="30">
        <v>1</v>
      </c>
      <c r="AE2661" s="89" t="s">
        <v>92</v>
      </c>
      <c r="AF2661" s="89"/>
      <c r="AG2661" s="89" t="s">
        <v>133</v>
      </c>
      <c r="AH2661" s="72">
        <v>43213</v>
      </c>
      <c r="AI2661" s="30">
        <v>0</v>
      </c>
      <c r="AJ2661" s="89" t="s">
        <v>15021</v>
      </c>
      <c r="AK2661" s="89" t="s">
        <v>15022</v>
      </c>
      <c r="AL2661" s="91">
        <v>43214</v>
      </c>
      <c r="AM2661" s="91"/>
      <c r="AN2661" s="91"/>
      <c r="AO2661" s="91"/>
      <c r="AP2661" s="73" t="e">
        <f>MID(VLOOKUP(K2661,#REF!,2,FALSE),1,2)</f>
        <v>#REF!</v>
      </c>
      <c r="AQ2661" s="89">
        <f>DATE(2018,4,20)</f>
        <v>43210</v>
      </c>
      <c r="AR2661" s="82">
        <f t="shared" si="217"/>
        <v>20</v>
      </c>
      <c r="AS2661" s="83">
        <f t="shared" si="218"/>
        <v>4</v>
      </c>
      <c r="AT2661" s="84">
        <f t="shared" si="219"/>
        <v>2018</v>
      </c>
      <c r="AU2661" s="88">
        <f>DATE(2018,5,24)</f>
        <v>43244</v>
      </c>
      <c r="AV2661" s="88">
        <f>DATE(2018,5,24)</f>
        <v>43244</v>
      </c>
      <c r="AW2661" s="87">
        <f t="shared" si="223"/>
        <v>0</v>
      </c>
      <c r="AX2661" s="86"/>
      <c r="AY2661" s="83"/>
      <c r="AZ2661" s="84"/>
      <c r="BA2661" s="86"/>
      <c r="BB2661" s="86"/>
    </row>
    <row r="2662" spans="1:54" ht="36.75" customHeight="1">
      <c r="A2662" s="30"/>
      <c r="B2662" s="30" t="s">
        <v>55</v>
      </c>
      <c r="C2662" s="69" t="str">
        <f t="shared" si="221"/>
        <v>Closed</v>
      </c>
      <c r="D2662" s="27" t="s">
        <v>15023</v>
      </c>
      <c r="E2662" s="29" t="s">
        <v>15024</v>
      </c>
      <c r="F2662" s="30" t="s">
        <v>1770</v>
      </c>
      <c r="G2662" s="89">
        <f>DATE(2018,4,24)</f>
        <v>43214</v>
      </c>
      <c r="H2662" s="90">
        <v>1.4618055555555556</v>
      </c>
      <c r="I2662" s="30" t="s">
        <v>198</v>
      </c>
      <c r="J2662" s="89" t="s">
        <v>15025</v>
      </c>
      <c r="K2662" s="30" t="s">
        <v>1772</v>
      </c>
      <c r="L2662" s="30" t="s">
        <v>15026</v>
      </c>
      <c r="M2662" s="30" t="s">
        <v>63</v>
      </c>
      <c r="N2662" s="30" t="s">
        <v>89</v>
      </c>
      <c r="O2662" s="30" t="s">
        <v>77</v>
      </c>
      <c r="P2662" s="89" t="s">
        <v>6941</v>
      </c>
      <c r="Q2662" s="89" t="s">
        <v>1774</v>
      </c>
      <c r="R2662" s="89" t="s">
        <v>1775</v>
      </c>
      <c r="S2662" s="30">
        <v>0</v>
      </c>
      <c r="T2662" s="233">
        <v>0</v>
      </c>
      <c r="U2662" s="30">
        <v>0</v>
      </c>
      <c r="V2662" s="233">
        <v>0</v>
      </c>
      <c r="W2662" s="30">
        <v>0</v>
      </c>
      <c r="X2662" s="30">
        <v>0</v>
      </c>
      <c r="Y2662" s="30">
        <v>0</v>
      </c>
      <c r="Z2662" s="233">
        <v>0</v>
      </c>
      <c r="AA2662" s="30">
        <v>0</v>
      </c>
      <c r="AB2662" s="30">
        <v>0</v>
      </c>
      <c r="AC2662" s="30">
        <v>0</v>
      </c>
      <c r="AD2662" s="30">
        <v>0</v>
      </c>
      <c r="AE2662" s="89" t="s">
        <v>92</v>
      </c>
      <c r="AF2662" s="89"/>
      <c r="AG2662" s="89" t="s">
        <v>589</v>
      </c>
      <c r="AH2662" s="72">
        <v>43217</v>
      </c>
      <c r="AI2662" s="30">
        <v>0</v>
      </c>
      <c r="AJ2662" s="89" t="s">
        <v>15027</v>
      </c>
      <c r="AK2662" s="89" t="s">
        <v>15028</v>
      </c>
      <c r="AL2662" s="91">
        <v>43378</v>
      </c>
      <c r="AM2662" s="91"/>
      <c r="AN2662" s="91"/>
      <c r="AO2662" s="91"/>
      <c r="AP2662" s="73" t="e">
        <f>MID(VLOOKUP(K2662,#REF!,2,FALSE),1,2)</f>
        <v>#REF!</v>
      </c>
      <c r="AQ2662" s="89">
        <f>DATE(2018,4,23)</f>
        <v>43213</v>
      </c>
      <c r="AR2662" s="82">
        <f t="shared" si="217"/>
        <v>23</v>
      </c>
      <c r="AS2662" s="83">
        <f t="shared" si="218"/>
        <v>4</v>
      </c>
      <c r="AT2662" s="84">
        <f t="shared" si="219"/>
        <v>2018</v>
      </c>
      <c r="AU2662" s="88">
        <f>DATE(2018,4,24)</f>
        <v>43214</v>
      </c>
      <c r="AV2662" s="88">
        <f>DATE(2018,4,23)</f>
        <v>43213</v>
      </c>
      <c r="AW2662" s="87">
        <f t="shared" si="223"/>
        <v>1</v>
      </c>
      <c r="AX2662" s="86"/>
      <c r="AY2662" s="83"/>
      <c r="AZ2662" s="84"/>
      <c r="BA2662" s="86"/>
      <c r="BB2662" s="86"/>
    </row>
    <row r="2663" spans="1:54" ht="36.75" customHeight="1">
      <c r="A2663" s="30"/>
      <c r="B2663" s="30" t="s">
        <v>55</v>
      </c>
      <c r="C2663" s="69" t="str">
        <f t="shared" si="221"/>
        <v>Closed</v>
      </c>
      <c r="D2663" s="27" t="s">
        <v>15029</v>
      </c>
      <c r="E2663" s="29" t="s">
        <v>15030</v>
      </c>
      <c r="F2663" s="30" t="s">
        <v>1572</v>
      </c>
      <c r="G2663" s="89">
        <f>DATE(2018,4,25)</f>
        <v>43215</v>
      </c>
      <c r="H2663" s="90">
        <v>1.0347222222222223</v>
      </c>
      <c r="I2663" s="30" t="s">
        <v>73</v>
      </c>
      <c r="J2663" s="89" t="s">
        <v>15031</v>
      </c>
      <c r="K2663" s="30" t="s">
        <v>1574</v>
      </c>
      <c r="L2663" s="30" t="s">
        <v>9074</v>
      </c>
      <c r="M2663" s="30" t="s">
        <v>63</v>
      </c>
      <c r="N2663" s="30" t="s">
        <v>142</v>
      </c>
      <c r="O2663" s="30" t="s">
        <v>77</v>
      </c>
      <c r="P2663" s="89" t="s">
        <v>78</v>
      </c>
      <c r="Q2663" s="89" t="s">
        <v>2655</v>
      </c>
      <c r="R2663" s="89" t="s">
        <v>6434</v>
      </c>
      <c r="S2663" s="30">
        <v>0</v>
      </c>
      <c r="T2663" s="233">
        <v>0</v>
      </c>
      <c r="U2663" s="30">
        <v>0</v>
      </c>
      <c r="V2663" s="233">
        <v>0</v>
      </c>
      <c r="W2663" s="30">
        <v>0</v>
      </c>
      <c r="X2663" s="30">
        <v>0</v>
      </c>
      <c r="Y2663" s="30">
        <v>0</v>
      </c>
      <c r="Z2663" s="233">
        <v>0</v>
      </c>
      <c r="AA2663" s="30">
        <v>0</v>
      </c>
      <c r="AB2663" s="30">
        <v>0</v>
      </c>
      <c r="AC2663" s="30">
        <v>0</v>
      </c>
      <c r="AD2663" s="30">
        <v>0</v>
      </c>
      <c r="AE2663" s="89" t="s">
        <v>92</v>
      </c>
      <c r="AF2663" s="89"/>
      <c r="AG2663" s="89" t="s">
        <v>133</v>
      </c>
      <c r="AH2663" s="72">
        <v>43215</v>
      </c>
      <c r="AI2663" s="30">
        <v>1</v>
      </c>
      <c r="AJ2663" s="89" t="s">
        <v>15032</v>
      </c>
      <c r="AK2663" s="89" t="s">
        <v>15033</v>
      </c>
      <c r="AL2663" s="91">
        <v>43219</v>
      </c>
      <c r="AM2663" s="91"/>
      <c r="AN2663" s="91"/>
      <c r="AO2663" s="91"/>
      <c r="AP2663" s="73" t="e">
        <f>MID(VLOOKUP(K2663,#REF!,2,FALSE),1,2)</f>
        <v>#REF!</v>
      </c>
      <c r="AQ2663" s="89">
        <f>DATE(2018,4,24)</f>
        <v>43214</v>
      </c>
      <c r="AR2663" s="82">
        <f t="shared" si="217"/>
        <v>24</v>
      </c>
      <c r="AS2663" s="83">
        <f t="shared" si="218"/>
        <v>4</v>
      </c>
      <c r="AT2663" s="84">
        <f t="shared" si="219"/>
        <v>2018</v>
      </c>
      <c r="AU2663" s="88">
        <f>DATE(2018,10,5)</f>
        <v>43378</v>
      </c>
      <c r="AV2663" s="88">
        <f>DATE(2018,4,27)</f>
        <v>43217</v>
      </c>
      <c r="AW2663" s="87">
        <f t="shared" si="223"/>
        <v>161</v>
      </c>
      <c r="AX2663" s="86"/>
      <c r="AY2663" s="83"/>
      <c r="AZ2663" s="84"/>
      <c r="BA2663" s="86"/>
      <c r="BB2663" s="86" t="s">
        <v>13115</v>
      </c>
    </row>
    <row r="2664" spans="1:54" ht="36.75" customHeight="1">
      <c r="A2664" s="30"/>
      <c r="B2664" s="30" t="s">
        <v>2124</v>
      </c>
      <c r="C2664" s="69" t="str">
        <f t="shared" si="221"/>
        <v>Open</v>
      </c>
      <c r="D2664" s="27" t="s">
        <v>15034</v>
      </c>
      <c r="E2664" s="29" t="s">
        <v>15035</v>
      </c>
      <c r="F2664" s="30" t="s">
        <v>5427</v>
      </c>
      <c r="G2664" s="89">
        <f>DATE(2018,4,26)</f>
        <v>43216</v>
      </c>
      <c r="H2664" s="90">
        <v>1.7048611111111112</v>
      </c>
      <c r="I2664" s="30" t="s">
        <v>73</v>
      </c>
      <c r="J2664" s="89" t="s">
        <v>15036</v>
      </c>
      <c r="K2664" s="30" t="s">
        <v>596</v>
      </c>
      <c r="L2664" s="30" t="s">
        <v>15037</v>
      </c>
      <c r="M2664" s="30" t="s">
        <v>63</v>
      </c>
      <c r="N2664" s="30" t="s">
        <v>99</v>
      </c>
      <c r="O2664" s="30" t="s">
        <v>64</v>
      </c>
      <c r="P2664" s="89" t="s">
        <v>78</v>
      </c>
      <c r="Q2664" s="89" t="s">
        <v>13142</v>
      </c>
      <c r="R2664" s="89" t="s">
        <v>12074</v>
      </c>
      <c r="S2664" s="30">
        <v>0</v>
      </c>
      <c r="T2664" s="233">
        <v>0</v>
      </c>
      <c r="U2664" s="30">
        <v>0</v>
      </c>
      <c r="V2664" s="233">
        <v>0</v>
      </c>
      <c r="W2664" s="30">
        <v>0</v>
      </c>
      <c r="X2664" s="30">
        <v>0</v>
      </c>
      <c r="Y2664" s="30">
        <v>0</v>
      </c>
      <c r="Z2664" s="233">
        <v>0</v>
      </c>
      <c r="AA2664" s="30">
        <v>0</v>
      </c>
      <c r="AB2664" s="30">
        <v>0</v>
      </c>
      <c r="AC2664" s="30">
        <v>0</v>
      </c>
      <c r="AD2664" s="30">
        <v>0</v>
      </c>
      <c r="AE2664" s="89" t="s">
        <v>92</v>
      </c>
      <c r="AF2664" s="89"/>
      <c r="AG2664" s="89" t="s">
        <v>352</v>
      </c>
      <c r="AH2664" s="72">
        <v>43237</v>
      </c>
      <c r="AI2664" s="30">
        <v>0</v>
      </c>
      <c r="AJ2664" s="89" t="s">
        <v>68</v>
      </c>
      <c r="AK2664" s="89" t="s">
        <v>68</v>
      </c>
      <c r="AL2664" s="91">
        <v>43243</v>
      </c>
      <c r="AM2664" s="91"/>
      <c r="AN2664" s="91"/>
      <c r="AO2664" s="91"/>
      <c r="AP2664" s="73" t="e">
        <f>MID(VLOOKUP(K2664,#REF!,2,FALSE),1,2)</f>
        <v>#REF!</v>
      </c>
      <c r="AQ2664" s="89">
        <f>DATE(2018,4,25)</f>
        <v>43215</v>
      </c>
      <c r="AR2664" s="82">
        <f t="shared" si="217"/>
        <v>25</v>
      </c>
      <c r="AS2664" s="83">
        <f t="shared" si="218"/>
        <v>4</v>
      </c>
      <c r="AT2664" s="84">
        <f t="shared" si="219"/>
        <v>2018</v>
      </c>
      <c r="AU2664" s="88">
        <f>DATE(2018,4,29)</f>
        <v>43219</v>
      </c>
      <c r="AV2664" s="88">
        <f>DATE(2018,4,25)</f>
        <v>43215</v>
      </c>
      <c r="AW2664" s="87">
        <f t="shared" si="223"/>
        <v>4</v>
      </c>
      <c r="AX2664" s="88">
        <f>DATE(2018,4,29)</f>
        <v>43219</v>
      </c>
      <c r="AY2664" s="83">
        <f>MONTH(AX2664)</f>
        <v>4</v>
      </c>
      <c r="AZ2664" s="84">
        <f>YEAR(AX2664)</f>
        <v>2018</v>
      </c>
      <c r="BA2664" s="88">
        <f>DATE(2018,4,25)</f>
        <v>43215</v>
      </c>
      <c r="BB2664" s="86"/>
    </row>
    <row r="2665" spans="1:54" ht="36.75" customHeight="1">
      <c r="A2665" s="30"/>
      <c r="B2665" s="30" t="s">
        <v>55</v>
      </c>
      <c r="C2665" s="69" t="str">
        <f t="shared" si="221"/>
        <v>Closed</v>
      </c>
      <c r="D2665" s="27" t="s">
        <v>15038</v>
      </c>
      <c r="E2665" s="29" t="s">
        <v>15039</v>
      </c>
      <c r="F2665" s="30" t="s">
        <v>582</v>
      </c>
      <c r="G2665" s="89">
        <f>DATE(2018,4,27)</f>
        <v>43217</v>
      </c>
      <c r="H2665" s="90">
        <v>1.2451388888888888</v>
      </c>
      <c r="I2665" s="30" t="s">
        <v>73</v>
      </c>
      <c r="J2665" s="89" t="s">
        <v>15040</v>
      </c>
      <c r="K2665" s="30" t="s">
        <v>584</v>
      </c>
      <c r="L2665" s="30" t="s">
        <v>15041</v>
      </c>
      <c r="M2665" s="30" t="s">
        <v>63</v>
      </c>
      <c r="N2665" s="30" t="s">
        <v>142</v>
      </c>
      <c r="O2665" s="30" t="s">
        <v>77</v>
      </c>
      <c r="P2665" s="89" t="s">
        <v>78</v>
      </c>
      <c r="Q2665" s="89" t="s">
        <v>11099</v>
      </c>
      <c r="R2665" s="89" t="s">
        <v>587</v>
      </c>
      <c r="S2665" s="30">
        <v>0</v>
      </c>
      <c r="T2665" s="233">
        <v>0</v>
      </c>
      <c r="U2665" s="30">
        <v>0</v>
      </c>
      <c r="V2665" s="233">
        <v>0</v>
      </c>
      <c r="W2665" s="30">
        <v>0</v>
      </c>
      <c r="X2665" s="30">
        <v>0</v>
      </c>
      <c r="Y2665" s="30">
        <v>0</v>
      </c>
      <c r="Z2665" s="233">
        <v>0</v>
      </c>
      <c r="AA2665" s="30">
        <v>0</v>
      </c>
      <c r="AB2665" s="30">
        <v>0</v>
      </c>
      <c r="AC2665" s="30">
        <v>0</v>
      </c>
      <c r="AD2665" s="30">
        <v>0</v>
      </c>
      <c r="AE2665" s="89" t="s">
        <v>394</v>
      </c>
      <c r="AF2665" s="89"/>
      <c r="AG2665" s="89" t="s">
        <v>589</v>
      </c>
      <c r="AH2665" s="72">
        <v>43220</v>
      </c>
      <c r="AI2665" s="30">
        <v>0</v>
      </c>
      <c r="AJ2665" s="89" t="s">
        <v>15042</v>
      </c>
      <c r="AK2665" s="89" t="s">
        <v>1233</v>
      </c>
      <c r="AL2665" s="91">
        <v>43223</v>
      </c>
      <c r="AM2665" s="91"/>
      <c r="AN2665" s="91"/>
      <c r="AO2665" s="91"/>
      <c r="AP2665" s="73" t="e">
        <f>MID(VLOOKUP(K2665,#REF!,2,FALSE),1,2)</f>
        <v>#REF!</v>
      </c>
      <c r="AQ2665" s="89">
        <f>DATE(2018,4,26)</f>
        <v>43216</v>
      </c>
      <c r="AR2665" s="82">
        <f t="shared" si="217"/>
        <v>26</v>
      </c>
      <c r="AS2665" s="83">
        <f t="shared" si="218"/>
        <v>4</v>
      </c>
      <c r="AT2665" s="84">
        <f t="shared" si="219"/>
        <v>2018</v>
      </c>
      <c r="AU2665" s="88">
        <f>DATE(2018,5,23)</f>
        <v>43243</v>
      </c>
      <c r="AV2665" s="88">
        <f>DATE(2018,5,17)</f>
        <v>43237</v>
      </c>
      <c r="AW2665" s="87">
        <f t="shared" si="223"/>
        <v>6</v>
      </c>
      <c r="AX2665" s="88">
        <f>DATE(2018,5,23)</f>
        <v>43243</v>
      </c>
      <c r="AY2665" s="83">
        <f>MONTH(AX2665)</f>
        <v>5</v>
      </c>
      <c r="AZ2665" s="84">
        <f>YEAR(AX2665)</f>
        <v>2018</v>
      </c>
      <c r="BA2665" s="88">
        <f>DATE(2018,4,26)</f>
        <v>43216</v>
      </c>
      <c r="BB2665" s="86"/>
    </row>
    <row r="2666" spans="1:54" ht="36.75" customHeight="1">
      <c r="A2666" s="30"/>
      <c r="B2666" s="30" t="s">
        <v>55</v>
      </c>
      <c r="C2666" s="69" t="str">
        <f t="shared" si="221"/>
        <v>Closed</v>
      </c>
      <c r="D2666" s="37" t="s">
        <v>15043</v>
      </c>
      <c r="E2666" s="29" t="s">
        <v>15044</v>
      </c>
      <c r="F2666" s="30" t="s">
        <v>582</v>
      </c>
      <c r="G2666" s="89">
        <f>DATE(2018,4,27)</f>
        <v>43217</v>
      </c>
      <c r="H2666" s="90">
        <v>1.9930555555555554</v>
      </c>
      <c r="I2666" s="30" t="s">
        <v>156</v>
      </c>
      <c r="J2666" s="89" t="s">
        <v>15045</v>
      </c>
      <c r="K2666" s="30" t="s">
        <v>584</v>
      </c>
      <c r="L2666" s="30" t="s">
        <v>15046</v>
      </c>
      <c r="M2666" s="30" t="s">
        <v>63</v>
      </c>
      <c r="N2666" s="30" t="s">
        <v>89</v>
      </c>
      <c r="O2666" s="30" t="s">
        <v>90</v>
      </c>
      <c r="P2666" s="89" t="s">
        <v>78</v>
      </c>
      <c r="Q2666" s="89" t="s">
        <v>15047</v>
      </c>
      <c r="R2666" s="89" t="s">
        <v>587</v>
      </c>
      <c r="S2666" s="30">
        <v>0</v>
      </c>
      <c r="T2666" s="233">
        <v>0</v>
      </c>
      <c r="U2666" s="30">
        <v>0</v>
      </c>
      <c r="V2666" s="233">
        <v>0</v>
      </c>
      <c r="W2666" s="30">
        <v>0</v>
      </c>
      <c r="X2666" s="30">
        <v>0</v>
      </c>
      <c r="Y2666" s="30">
        <v>0</v>
      </c>
      <c r="Z2666" s="233">
        <v>0</v>
      </c>
      <c r="AA2666" s="30">
        <v>0</v>
      </c>
      <c r="AB2666" s="30">
        <v>0</v>
      </c>
      <c r="AC2666" s="30">
        <v>0</v>
      </c>
      <c r="AD2666" s="30">
        <v>0</v>
      </c>
      <c r="AE2666" s="89" t="s">
        <v>145</v>
      </c>
      <c r="AF2666" s="89" t="s">
        <v>15048</v>
      </c>
      <c r="AG2666" s="89" t="s">
        <v>8859</v>
      </c>
      <c r="AH2666" s="72">
        <v>43217</v>
      </c>
      <c r="AI2666" s="30">
        <v>0</v>
      </c>
      <c r="AJ2666" s="89" t="s">
        <v>15049</v>
      </c>
      <c r="AK2666" s="89" t="s">
        <v>15050</v>
      </c>
      <c r="AL2666" s="91">
        <v>43223</v>
      </c>
      <c r="AM2666" s="91">
        <v>44992</v>
      </c>
      <c r="AN2666" s="91">
        <v>45331</v>
      </c>
      <c r="AO2666" s="91">
        <v>45309</v>
      </c>
      <c r="AP2666" s="73" t="e">
        <f>MID(VLOOKUP(K2666,#REF!,2,FALSE),1,2)</f>
        <v>#REF!</v>
      </c>
      <c r="AQ2666" s="89">
        <f>DATE(2018,4,27)</f>
        <v>43217</v>
      </c>
      <c r="AR2666" s="82">
        <f t="shared" si="217"/>
        <v>27</v>
      </c>
      <c r="AS2666" s="83">
        <f t="shared" si="218"/>
        <v>4</v>
      </c>
      <c r="AT2666" s="84">
        <f t="shared" si="219"/>
        <v>2018</v>
      </c>
      <c r="AU2666" s="88">
        <f>DATE(2018,5,3)</f>
        <v>43223</v>
      </c>
      <c r="AV2666" s="88">
        <f>DATE(2018,4,30)</f>
        <v>43220</v>
      </c>
      <c r="AW2666" s="87">
        <f t="shared" si="223"/>
        <v>3</v>
      </c>
      <c r="AX2666" s="86"/>
      <c r="AY2666" s="83"/>
      <c r="AZ2666" s="84"/>
      <c r="BA2666" s="86"/>
      <c r="BB2666" s="86"/>
    </row>
    <row r="2667" spans="1:54" ht="36.75" customHeight="1">
      <c r="A2667" s="30"/>
      <c r="B2667" s="30" t="s">
        <v>55</v>
      </c>
      <c r="C2667" s="69" t="str">
        <f t="shared" si="221"/>
        <v>Closed</v>
      </c>
      <c r="D2667" s="27" t="s">
        <v>15051</v>
      </c>
      <c r="E2667" s="29" t="s">
        <v>15052</v>
      </c>
      <c r="F2667" s="30" t="s">
        <v>423</v>
      </c>
      <c r="G2667" s="89">
        <f>DATE(2018,4,29)</f>
        <v>43219</v>
      </c>
      <c r="H2667" s="90">
        <v>1.7305555555555556</v>
      </c>
      <c r="I2667" s="30" t="s">
        <v>73</v>
      </c>
      <c r="J2667" s="89" t="s">
        <v>15053</v>
      </c>
      <c r="K2667" s="30" t="s">
        <v>425</v>
      </c>
      <c r="L2667" s="30" t="s">
        <v>15054</v>
      </c>
      <c r="M2667" s="30" t="s">
        <v>63</v>
      </c>
      <c r="N2667" s="30" t="s">
        <v>99</v>
      </c>
      <c r="O2667" s="30" t="s">
        <v>77</v>
      </c>
      <c r="P2667" s="89" t="s">
        <v>165</v>
      </c>
      <c r="Q2667" s="89" t="s">
        <v>4551</v>
      </c>
      <c r="R2667" s="89" t="s">
        <v>3103</v>
      </c>
      <c r="S2667" s="30">
        <v>0</v>
      </c>
      <c r="T2667" s="233">
        <v>0</v>
      </c>
      <c r="U2667" s="30">
        <v>0</v>
      </c>
      <c r="V2667" s="233">
        <v>0</v>
      </c>
      <c r="W2667" s="30">
        <v>0</v>
      </c>
      <c r="X2667" s="30">
        <v>0</v>
      </c>
      <c r="Y2667" s="30">
        <v>0</v>
      </c>
      <c r="Z2667" s="233">
        <v>0</v>
      </c>
      <c r="AA2667" s="30">
        <v>0</v>
      </c>
      <c r="AB2667" s="30">
        <v>0</v>
      </c>
      <c r="AC2667" s="30">
        <v>0</v>
      </c>
      <c r="AD2667" s="30">
        <v>0</v>
      </c>
      <c r="AE2667" s="89" t="s">
        <v>92</v>
      </c>
      <c r="AF2667" s="89"/>
      <c r="AG2667" s="89" t="s">
        <v>352</v>
      </c>
      <c r="AH2667" s="72">
        <v>43219</v>
      </c>
      <c r="AI2667" s="30">
        <v>1</v>
      </c>
      <c r="AJ2667" s="89" t="s">
        <v>15055</v>
      </c>
      <c r="AK2667" s="89" t="s">
        <v>15056</v>
      </c>
      <c r="AL2667" s="91">
        <v>43222</v>
      </c>
      <c r="AM2667" s="91"/>
      <c r="AN2667" s="91"/>
      <c r="AO2667" s="91"/>
      <c r="AP2667" s="73" t="e">
        <f>MID(VLOOKUP(K2667,#REF!,2,FALSE),1,2)</f>
        <v>#REF!</v>
      </c>
      <c r="AQ2667" s="89">
        <f>DATE(2018,4,27)</f>
        <v>43217</v>
      </c>
      <c r="AR2667" s="82">
        <f t="shared" si="217"/>
        <v>27</v>
      </c>
      <c r="AS2667" s="83">
        <f t="shared" si="218"/>
        <v>4</v>
      </c>
      <c r="AT2667" s="84">
        <f t="shared" si="219"/>
        <v>2018</v>
      </c>
      <c r="AU2667" s="88">
        <f>DATE(2018,5,3)</f>
        <v>43223</v>
      </c>
      <c r="AV2667" s="88">
        <f>DATE(2018,4,27)</f>
        <v>43217</v>
      </c>
      <c r="AW2667" s="87">
        <f t="shared" si="223"/>
        <v>6</v>
      </c>
      <c r="AX2667" s="86"/>
      <c r="AY2667" s="83"/>
      <c r="AZ2667" s="84"/>
      <c r="BA2667" s="86"/>
      <c r="BB2667" s="86"/>
    </row>
    <row r="2668" spans="1:54" ht="36.75" customHeight="1">
      <c r="A2668" s="30"/>
      <c r="B2668" s="30" t="s">
        <v>55</v>
      </c>
      <c r="C2668" s="69" t="str">
        <f t="shared" si="221"/>
        <v>Closed</v>
      </c>
      <c r="D2668" s="27" t="s">
        <v>15057</v>
      </c>
      <c r="E2668" s="29" t="s">
        <v>15058</v>
      </c>
      <c r="F2668" s="30" t="s">
        <v>423</v>
      </c>
      <c r="G2668" s="89">
        <f>DATE(2018,5,3)</f>
        <v>43223</v>
      </c>
      <c r="H2668" s="90">
        <v>1.3590277777777777</v>
      </c>
      <c r="I2668" s="30" t="s">
        <v>198</v>
      </c>
      <c r="J2668" s="89" t="s">
        <v>15059</v>
      </c>
      <c r="K2668" s="30" t="s">
        <v>425</v>
      </c>
      <c r="L2668" s="30" t="s">
        <v>15060</v>
      </c>
      <c r="M2668" s="30" t="s">
        <v>63</v>
      </c>
      <c r="N2668" s="30" t="s">
        <v>99</v>
      </c>
      <c r="O2668" s="30" t="s">
        <v>64</v>
      </c>
      <c r="P2668" s="89" t="s">
        <v>165</v>
      </c>
      <c r="Q2668" s="89" t="s">
        <v>12583</v>
      </c>
      <c r="R2668" s="89" t="s">
        <v>3103</v>
      </c>
      <c r="S2668" s="30">
        <v>0</v>
      </c>
      <c r="T2668" s="233">
        <v>0</v>
      </c>
      <c r="U2668" s="30">
        <v>0</v>
      </c>
      <c r="V2668" s="233">
        <v>0</v>
      </c>
      <c r="W2668" s="30">
        <v>0</v>
      </c>
      <c r="X2668" s="30">
        <v>0</v>
      </c>
      <c r="Y2668" s="30">
        <v>2</v>
      </c>
      <c r="Z2668" s="233">
        <v>0</v>
      </c>
      <c r="AA2668" s="30">
        <v>0</v>
      </c>
      <c r="AB2668" s="30">
        <v>0</v>
      </c>
      <c r="AC2668" s="30">
        <v>0</v>
      </c>
      <c r="AD2668" s="30">
        <v>2</v>
      </c>
      <c r="AE2668" s="89" t="s">
        <v>394</v>
      </c>
      <c r="AF2668" s="89"/>
      <c r="AG2668" s="89" t="s">
        <v>82</v>
      </c>
      <c r="AH2668" s="72">
        <v>43164</v>
      </c>
      <c r="AI2668" s="30">
        <v>1</v>
      </c>
      <c r="AJ2668" s="89" t="s">
        <v>15061</v>
      </c>
      <c r="AK2668" s="89" t="s">
        <v>15062</v>
      </c>
      <c r="AL2668" s="91">
        <v>43224</v>
      </c>
      <c r="AM2668" s="91"/>
      <c r="AN2668" s="91"/>
      <c r="AO2668" s="91"/>
      <c r="AP2668" s="73" t="e">
        <f>MID(VLOOKUP(K2668,#REF!,2,FALSE),1,2)</f>
        <v>#REF!</v>
      </c>
      <c r="AQ2668" s="89">
        <f>DATE(2018,4,29)</f>
        <v>43219</v>
      </c>
      <c r="AR2668" s="82">
        <f t="shared" si="217"/>
        <v>29</v>
      </c>
      <c r="AS2668" s="83">
        <f t="shared" si="218"/>
        <v>4</v>
      </c>
      <c r="AT2668" s="84">
        <f t="shared" si="219"/>
        <v>2018</v>
      </c>
      <c r="AU2668" s="88">
        <f>DATE(2018,5,2)</f>
        <v>43222</v>
      </c>
      <c r="AV2668" s="88">
        <f>DATE(2018,4,29)</f>
        <v>43219</v>
      </c>
      <c r="AW2668" s="87">
        <f t="shared" si="223"/>
        <v>3</v>
      </c>
      <c r="AX2668" s="86"/>
      <c r="AY2668" s="83"/>
      <c r="AZ2668" s="84"/>
      <c r="BA2668" s="86"/>
      <c r="BB2668" s="86"/>
    </row>
    <row r="2669" spans="1:54" ht="36.75" customHeight="1">
      <c r="A2669" s="30"/>
      <c r="B2669" s="30" t="s">
        <v>55</v>
      </c>
      <c r="C2669" s="69" t="str">
        <f t="shared" si="221"/>
        <v>Closed</v>
      </c>
      <c r="D2669" s="27" t="s">
        <v>15063</v>
      </c>
      <c r="E2669" s="29" t="s">
        <v>15064</v>
      </c>
      <c r="F2669" s="30" t="s">
        <v>2601</v>
      </c>
      <c r="G2669" s="89">
        <f>DATE(2018,5,4)</f>
        <v>43224</v>
      </c>
      <c r="H2669" s="90">
        <v>1.8993055555555554</v>
      </c>
      <c r="I2669" s="30" t="s">
        <v>125</v>
      </c>
      <c r="J2669" s="89" t="s">
        <v>15065</v>
      </c>
      <c r="K2669" s="30" t="s">
        <v>2603</v>
      </c>
      <c r="L2669" s="30" t="s">
        <v>15066</v>
      </c>
      <c r="M2669" s="30" t="s">
        <v>63</v>
      </c>
      <c r="N2669" s="30" t="s">
        <v>142</v>
      </c>
      <c r="O2669" s="30" t="s">
        <v>64</v>
      </c>
      <c r="P2669" s="89" t="s">
        <v>462</v>
      </c>
      <c r="Q2669" s="89" t="s">
        <v>6342</v>
      </c>
      <c r="R2669" s="89" t="s">
        <v>2606</v>
      </c>
      <c r="S2669" s="30">
        <v>0</v>
      </c>
      <c r="T2669" s="233">
        <v>0</v>
      </c>
      <c r="U2669" s="30">
        <v>0</v>
      </c>
      <c r="V2669" s="233">
        <v>0</v>
      </c>
      <c r="W2669" s="30">
        <v>0</v>
      </c>
      <c r="X2669" s="30">
        <v>0</v>
      </c>
      <c r="Y2669" s="30">
        <v>0</v>
      </c>
      <c r="Z2669" s="233">
        <v>0</v>
      </c>
      <c r="AA2669" s="30">
        <v>0</v>
      </c>
      <c r="AB2669" s="30">
        <v>0</v>
      </c>
      <c r="AC2669" s="30">
        <v>0</v>
      </c>
      <c r="AD2669" s="30">
        <v>0</v>
      </c>
      <c r="AE2669" s="89" t="s">
        <v>394</v>
      </c>
      <c r="AF2669" s="89"/>
      <c r="AG2669" s="89" t="s">
        <v>589</v>
      </c>
      <c r="AH2669" s="72">
        <v>43228</v>
      </c>
      <c r="AI2669" s="30">
        <v>3</v>
      </c>
      <c r="AJ2669" s="89" t="s">
        <v>15067</v>
      </c>
      <c r="AK2669" s="89" t="s">
        <v>15068</v>
      </c>
      <c r="AL2669" s="91">
        <v>43242</v>
      </c>
      <c r="AM2669" s="91"/>
      <c r="AN2669" s="91"/>
      <c r="AO2669" s="91"/>
      <c r="AP2669" s="73" t="e">
        <f>MID(VLOOKUP(K2669,#REF!,2,FALSE),1,2)</f>
        <v>#REF!</v>
      </c>
      <c r="AQ2669" s="89">
        <f>DATE(2018,5,3)</f>
        <v>43223</v>
      </c>
      <c r="AR2669" s="82">
        <f t="shared" si="217"/>
        <v>3</v>
      </c>
      <c r="AS2669" s="83">
        <f t="shared" si="218"/>
        <v>5</v>
      </c>
      <c r="AT2669" s="84">
        <f t="shared" si="219"/>
        <v>2018</v>
      </c>
      <c r="AU2669" s="88">
        <f>DATE(2018,5,4)</f>
        <v>43224</v>
      </c>
      <c r="AV2669" s="88">
        <f>DATE(2018,5,3)</f>
        <v>43223</v>
      </c>
      <c r="AW2669" s="87">
        <f t="shared" si="223"/>
        <v>1</v>
      </c>
      <c r="AX2669" s="86"/>
      <c r="AY2669" s="83"/>
      <c r="AZ2669" s="84"/>
      <c r="BA2669" s="86"/>
      <c r="BB2669" s="86"/>
    </row>
    <row r="2670" spans="1:54" ht="36.75" customHeight="1">
      <c r="A2670" s="30"/>
      <c r="B2670" s="30" t="s">
        <v>55</v>
      </c>
      <c r="C2670" s="69" t="str">
        <f t="shared" si="221"/>
        <v>Closed</v>
      </c>
      <c r="D2670" s="27" t="s">
        <v>15069</v>
      </c>
      <c r="E2670" s="29" t="s">
        <v>15070</v>
      </c>
      <c r="F2670" s="30" t="s">
        <v>15071</v>
      </c>
      <c r="G2670" s="89">
        <f>DATE(2018,5,7)</f>
        <v>43227</v>
      </c>
      <c r="H2670" s="90">
        <v>1.8472222222222223</v>
      </c>
      <c r="I2670" s="30" t="s">
        <v>73</v>
      </c>
      <c r="J2670" s="89" t="s">
        <v>15072</v>
      </c>
      <c r="K2670" s="30" t="s">
        <v>13441</v>
      </c>
      <c r="L2670" s="30" t="s">
        <v>15073</v>
      </c>
      <c r="M2670" s="30" t="s">
        <v>63</v>
      </c>
      <c r="N2670" s="30" t="s">
        <v>89</v>
      </c>
      <c r="O2670" s="30" t="s">
        <v>64</v>
      </c>
      <c r="P2670" s="89" t="s">
        <v>78</v>
      </c>
      <c r="Q2670" s="89" t="s">
        <v>15074</v>
      </c>
      <c r="R2670" s="89" t="s">
        <v>15075</v>
      </c>
      <c r="S2670" s="30">
        <v>0</v>
      </c>
      <c r="T2670" s="233">
        <v>0</v>
      </c>
      <c r="U2670" s="30">
        <v>0</v>
      </c>
      <c r="V2670" s="233">
        <v>0</v>
      </c>
      <c r="W2670" s="30">
        <v>0</v>
      </c>
      <c r="X2670" s="30">
        <v>0</v>
      </c>
      <c r="Y2670" s="30">
        <v>0</v>
      </c>
      <c r="Z2670" s="233">
        <v>0</v>
      </c>
      <c r="AA2670" s="30">
        <v>0</v>
      </c>
      <c r="AB2670" s="30">
        <v>0</v>
      </c>
      <c r="AC2670" s="30">
        <v>0</v>
      </c>
      <c r="AD2670" s="30">
        <v>0</v>
      </c>
      <c r="AE2670" s="89" t="s">
        <v>394</v>
      </c>
      <c r="AF2670" s="89" t="s">
        <v>15076</v>
      </c>
      <c r="AG2670" s="89" t="s">
        <v>6459</v>
      </c>
      <c r="AH2670" s="72">
        <v>43297</v>
      </c>
      <c r="AI2670" s="30">
        <v>0</v>
      </c>
      <c r="AJ2670" s="89" t="s">
        <v>15077</v>
      </c>
      <c r="AK2670" s="89" t="s">
        <v>15078</v>
      </c>
      <c r="AL2670" s="91">
        <v>43389</v>
      </c>
      <c r="AM2670" s="91"/>
      <c r="AN2670" s="91">
        <v>44816</v>
      </c>
      <c r="AO2670" s="91">
        <v>44813</v>
      </c>
      <c r="AP2670" s="73" t="e">
        <f>MID(VLOOKUP(K2670,#REF!,2,FALSE),1,2)</f>
        <v>#REF!</v>
      </c>
      <c r="AQ2670" s="89">
        <f>DATE(2018,5,4)</f>
        <v>43224</v>
      </c>
      <c r="AR2670" s="82">
        <f t="shared" si="217"/>
        <v>4</v>
      </c>
      <c r="AS2670" s="83">
        <f t="shared" si="218"/>
        <v>5</v>
      </c>
      <c r="AT2670" s="84">
        <f t="shared" si="219"/>
        <v>2018</v>
      </c>
      <c r="AU2670" s="88">
        <f>DATE(2018,5,22)</f>
        <v>43242</v>
      </c>
      <c r="AV2670" s="88">
        <f>DATE(2018,5,8)</f>
        <v>43228</v>
      </c>
      <c r="AW2670" s="87">
        <f t="shared" si="223"/>
        <v>14</v>
      </c>
      <c r="AX2670" s="88">
        <f>DATE(2018,5,8)</f>
        <v>43228</v>
      </c>
      <c r="AY2670" s="83">
        <f>MONTH(AX2670)</f>
        <v>5</v>
      </c>
      <c r="AZ2670" s="84">
        <f>YEAR(AX2670)</f>
        <v>2018</v>
      </c>
      <c r="BA2670" s="88">
        <f>DATE(2018,5,4)</f>
        <v>43224</v>
      </c>
      <c r="BB2670" s="86"/>
    </row>
    <row r="2671" spans="1:54" ht="36.75" customHeight="1">
      <c r="A2671" s="30"/>
      <c r="B2671" s="30" t="s">
        <v>55</v>
      </c>
      <c r="C2671" s="69" t="str">
        <f t="shared" si="221"/>
        <v>Closed</v>
      </c>
      <c r="D2671" s="27" t="s">
        <v>15079</v>
      </c>
      <c r="E2671" s="29" t="s">
        <v>15080</v>
      </c>
      <c r="F2671" s="30" t="s">
        <v>582</v>
      </c>
      <c r="G2671" s="89">
        <f>DATE(2018,5,7)</f>
        <v>43227</v>
      </c>
      <c r="H2671" s="90">
        <v>1.8875000000000002</v>
      </c>
      <c r="I2671" s="30" t="s">
        <v>198</v>
      </c>
      <c r="J2671" s="89" t="s">
        <v>15081</v>
      </c>
      <c r="K2671" s="30" t="s">
        <v>584</v>
      </c>
      <c r="L2671" s="30" t="s">
        <v>15082</v>
      </c>
      <c r="M2671" s="30" t="s">
        <v>63</v>
      </c>
      <c r="N2671" s="30" t="s">
        <v>142</v>
      </c>
      <c r="O2671" s="30" t="s">
        <v>77</v>
      </c>
      <c r="P2671" s="89" t="s">
        <v>8025</v>
      </c>
      <c r="Q2671" s="89" t="s">
        <v>15083</v>
      </c>
      <c r="R2671" s="89" t="s">
        <v>587</v>
      </c>
      <c r="S2671" s="30">
        <v>1</v>
      </c>
      <c r="T2671" s="233">
        <v>1</v>
      </c>
      <c r="U2671" s="30">
        <v>0</v>
      </c>
      <c r="V2671" s="233">
        <v>0</v>
      </c>
      <c r="W2671" s="30">
        <v>0</v>
      </c>
      <c r="X2671" s="30">
        <v>2</v>
      </c>
      <c r="Y2671" s="30">
        <v>2</v>
      </c>
      <c r="Z2671" s="233">
        <v>0</v>
      </c>
      <c r="AA2671" s="30">
        <v>0</v>
      </c>
      <c r="AB2671" s="30">
        <v>0</v>
      </c>
      <c r="AC2671" s="30">
        <v>0</v>
      </c>
      <c r="AD2671" s="30">
        <v>2</v>
      </c>
      <c r="AE2671" s="89" t="s">
        <v>394</v>
      </c>
      <c r="AF2671" s="89"/>
      <c r="AG2671" s="89" t="s">
        <v>82</v>
      </c>
      <c r="AH2671" s="72">
        <v>43228</v>
      </c>
      <c r="AI2671" s="30">
        <v>0</v>
      </c>
      <c r="AJ2671" s="89" t="s">
        <v>15084</v>
      </c>
      <c r="AK2671" s="89" t="s">
        <v>1233</v>
      </c>
      <c r="AL2671" s="91">
        <v>43235</v>
      </c>
      <c r="AM2671" s="91"/>
      <c r="AN2671" s="91"/>
      <c r="AO2671" s="91"/>
      <c r="AP2671" s="73" t="e">
        <f>MID(VLOOKUP(K2671,#REF!,2,FALSE),1,2)</f>
        <v>#REF!</v>
      </c>
      <c r="AQ2671" s="89">
        <f>DATE(2018,5,7)</f>
        <v>43227</v>
      </c>
      <c r="AR2671" s="82">
        <f t="shared" si="217"/>
        <v>7</v>
      </c>
      <c r="AS2671" s="83">
        <f t="shared" si="218"/>
        <v>5</v>
      </c>
      <c r="AT2671" s="84">
        <f t="shared" si="219"/>
        <v>2018</v>
      </c>
      <c r="AU2671" s="86"/>
      <c r="AV2671" s="86"/>
      <c r="AW2671" s="87">
        <f t="shared" si="223"/>
        <v>0</v>
      </c>
      <c r="AX2671" s="86"/>
      <c r="AY2671" s="83"/>
      <c r="AZ2671" s="84"/>
      <c r="BA2671" s="86"/>
      <c r="BB2671" s="86"/>
    </row>
    <row r="2672" spans="1:54" ht="36.75" customHeight="1">
      <c r="A2672" s="30"/>
      <c r="B2672" s="30" t="s">
        <v>55</v>
      </c>
      <c r="C2672" s="69" t="str">
        <f t="shared" si="221"/>
        <v>Closed</v>
      </c>
      <c r="D2672" s="27" t="s">
        <v>15085</v>
      </c>
      <c r="E2672" s="29" t="s">
        <v>15086</v>
      </c>
      <c r="F2672" s="30" t="s">
        <v>423</v>
      </c>
      <c r="G2672" s="72">
        <f>DATE(2018,5,8)</f>
        <v>43228</v>
      </c>
      <c r="H2672" s="80">
        <v>1.3034722222222221</v>
      </c>
      <c r="I2672" s="30" t="s">
        <v>116</v>
      </c>
      <c r="J2672" s="72" t="s">
        <v>15087</v>
      </c>
      <c r="K2672" s="30" t="s">
        <v>425</v>
      </c>
      <c r="L2672" s="30" t="s">
        <v>15088</v>
      </c>
      <c r="M2672" s="30" t="s">
        <v>63</v>
      </c>
      <c r="N2672" s="30" t="s">
        <v>99</v>
      </c>
      <c r="O2672" s="30" t="s">
        <v>64</v>
      </c>
      <c r="P2672" s="72" t="s">
        <v>165</v>
      </c>
      <c r="Q2672" s="72" t="s">
        <v>4551</v>
      </c>
      <c r="R2672" s="72" t="s">
        <v>3103</v>
      </c>
      <c r="S2672" s="30">
        <v>0</v>
      </c>
      <c r="T2672" s="232">
        <v>0</v>
      </c>
      <c r="U2672" s="30">
        <v>0</v>
      </c>
      <c r="V2672" s="232">
        <v>0</v>
      </c>
      <c r="W2672" s="30">
        <v>0</v>
      </c>
      <c r="X2672" s="30">
        <v>0</v>
      </c>
      <c r="Y2672" s="30">
        <v>0</v>
      </c>
      <c r="Z2672" s="232">
        <v>0</v>
      </c>
      <c r="AA2672" s="30">
        <v>0</v>
      </c>
      <c r="AB2672" s="30">
        <v>0</v>
      </c>
      <c r="AC2672" s="30">
        <v>0</v>
      </c>
      <c r="AD2672" s="30">
        <v>0</v>
      </c>
      <c r="AE2672" s="72" t="s">
        <v>394</v>
      </c>
      <c r="AF2672" s="72"/>
      <c r="AG2672" s="72" t="s">
        <v>82</v>
      </c>
      <c r="AH2672" s="72">
        <v>43242</v>
      </c>
      <c r="AI2672" s="30">
        <v>0</v>
      </c>
      <c r="AJ2672" s="72" t="s">
        <v>15089</v>
      </c>
      <c r="AK2672" s="72" t="s">
        <v>15090</v>
      </c>
      <c r="AL2672" s="70">
        <v>43243</v>
      </c>
      <c r="AM2672" s="70"/>
      <c r="AN2672" s="70"/>
      <c r="AO2672" s="70"/>
      <c r="AP2672" s="73" t="e">
        <f>MID(VLOOKUP(K2672,#REF!,2,FALSE),1,2)</f>
        <v>#REF!</v>
      </c>
      <c r="AQ2672" s="72">
        <f>DATE(2018,5,7)</f>
        <v>43227</v>
      </c>
      <c r="AR2672" s="82">
        <f t="shared" si="217"/>
        <v>7</v>
      </c>
      <c r="AS2672" s="83">
        <f t="shared" si="218"/>
        <v>5</v>
      </c>
      <c r="AT2672" s="84">
        <f t="shared" si="219"/>
        <v>2018</v>
      </c>
      <c r="AU2672" s="72">
        <f>DATE(2018,5,15)</f>
        <v>43235</v>
      </c>
      <c r="AV2672" s="72">
        <f>DATE(2018,5,8)</f>
        <v>43228</v>
      </c>
      <c r="AW2672" s="87">
        <f t="shared" si="223"/>
        <v>7</v>
      </c>
      <c r="AX2672" s="86"/>
      <c r="AY2672" s="83"/>
      <c r="AZ2672" s="84"/>
      <c r="BA2672" s="86"/>
      <c r="BB2672" s="86"/>
    </row>
    <row r="2673" spans="1:54" ht="36.75" customHeight="1">
      <c r="A2673" s="30"/>
      <c r="B2673" s="30" t="s">
        <v>55</v>
      </c>
      <c r="C2673" s="69" t="str">
        <f t="shared" si="221"/>
        <v>Closed</v>
      </c>
      <c r="D2673" s="27" t="s">
        <v>15091</v>
      </c>
      <c r="E2673" s="29" t="s">
        <v>15092</v>
      </c>
      <c r="F2673" s="30" t="s">
        <v>1572</v>
      </c>
      <c r="G2673" s="72">
        <f>DATE(2018,5,8)</f>
        <v>43228</v>
      </c>
      <c r="H2673" s="80">
        <v>1.2597222222222222</v>
      </c>
      <c r="I2673" s="30" t="s">
        <v>73</v>
      </c>
      <c r="J2673" s="72" t="s">
        <v>15093</v>
      </c>
      <c r="K2673" s="30" t="s">
        <v>1574</v>
      </c>
      <c r="L2673" s="30" t="s">
        <v>15094</v>
      </c>
      <c r="M2673" s="30" t="s">
        <v>63</v>
      </c>
      <c r="N2673" s="30" t="s">
        <v>89</v>
      </c>
      <c r="O2673" s="30" t="s">
        <v>77</v>
      </c>
      <c r="P2673" s="72" t="s">
        <v>78</v>
      </c>
      <c r="Q2673" s="72" t="s">
        <v>6093</v>
      </c>
      <c r="R2673" s="72" t="s">
        <v>6434</v>
      </c>
      <c r="S2673" s="30">
        <v>0</v>
      </c>
      <c r="T2673" s="232">
        <v>0</v>
      </c>
      <c r="U2673" s="30">
        <v>0</v>
      </c>
      <c r="V2673" s="232">
        <v>0</v>
      </c>
      <c r="W2673" s="30">
        <v>0</v>
      </c>
      <c r="X2673" s="30">
        <v>0</v>
      </c>
      <c r="Y2673" s="30">
        <v>0</v>
      </c>
      <c r="Z2673" s="232">
        <v>0</v>
      </c>
      <c r="AA2673" s="30">
        <v>0</v>
      </c>
      <c r="AB2673" s="30">
        <v>0</v>
      </c>
      <c r="AC2673" s="30">
        <v>0</v>
      </c>
      <c r="AD2673" s="30">
        <v>0</v>
      </c>
      <c r="AE2673" s="72" t="s">
        <v>92</v>
      </c>
      <c r="AF2673" s="72"/>
      <c r="AG2673" s="72" t="s">
        <v>133</v>
      </c>
      <c r="AH2673" s="72">
        <v>43229</v>
      </c>
      <c r="AI2673" s="30">
        <v>0</v>
      </c>
      <c r="AJ2673" s="72" t="s">
        <v>15095</v>
      </c>
      <c r="AK2673" s="72" t="s">
        <v>15096</v>
      </c>
      <c r="AL2673" s="70">
        <v>43230</v>
      </c>
      <c r="AM2673" s="70"/>
      <c r="AN2673" s="70"/>
      <c r="AO2673" s="70"/>
      <c r="AP2673" s="73" t="e">
        <f>MID(VLOOKUP(K2673,#REF!,2,FALSE),1,2)</f>
        <v>#REF!</v>
      </c>
      <c r="AQ2673" s="72">
        <f>DATE(2018,5,8)</f>
        <v>43228</v>
      </c>
      <c r="AR2673" s="82">
        <f t="shared" si="217"/>
        <v>8</v>
      </c>
      <c r="AS2673" s="83">
        <f t="shared" si="218"/>
        <v>5</v>
      </c>
      <c r="AT2673" s="84">
        <f t="shared" si="219"/>
        <v>2018</v>
      </c>
      <c r="AU2673" s="72">
        <f>DATE(2018,5,23)</f>
        <v>43243</v>
      </c>
      <c r="AV2673" s="72">
        <f>DATE(2018,5,22)</f>
        <v>43242</v>
      </c>
      <c r="AW2673" s="87">
        <f t="shared" si="223"/>
        <v>1</v>
      </c>
      <c r="AX2673" s="86"/>
      <c r="AY2673" s="83"/>
      <c r="AZ2673" s="84"/>
      <c r="BA2673" s="86"/>
      <c r="BB2673" s="86"/>
    </row>
    <row r="2674" spans="1:54" ht="36.75" customHeight="1">
      <c r="A2674" s="30"/>
      <c r="B2674" s="30" t="s">
        <v>55</v>
      </c>
      <c r="C2674" s="69" t="str">
        <f t="shared" si="221"/>
        <v>Closed</v>
      </c>
      <c r="D2674" s="27" t="s">
        <v>15097</v>
      </c>
      <c r="E2674" s="29" t="s">
        <v>15098</v>
      </c>
      <c r="F2674" s="30" t="s">
        <v>2336</v>
      </c>
      <c r="G2674" s="72">
        <f>DATE(2018,5,10)</f>
        <v>43230</v>
      </c>
      <c r="H2674" s="80">
        <v>1.6749999999999998</v>
      </c>
      <c r="I2674" s="30" t="s">
        <v>73</v>
      </c>
      <c r="J2674" s="72" t="s">
        <v>15099</v>
      </c>
      <c r="K2674" s="30" t="s">
        <v>2338</v>
      </c>
      <c r="L2674" s="30" t="s">
        <v>15100</v>
      </c>
      <c r="M2674" s="30" t="s">
        <v>63</v>
      </c>
      <c r="N2674" s="30" t="s">
        <v>142</v>
      </c>
      <c r="O2674" s="30" t="s">
        <v>77</v>
      </c>
      <c r="P2674" s="72" t="s">
        <v>78</v>
      </c>
      <c r="Q2674" s="72" t="s">
        <v>15101</v>
      </c>
      <c r="R2674" s="72" t="s">
        <v>2341</v>
      </c>
      <c r="S2674" s="30">
        <v>0</v>
      </c>
      <c r="T2674" s="232">
        <v>0</v>
      </c>
      <c r="U2674" s="30">
        <v>0</v>
      </c>
      <c r="V2674" s="232">
        <v>0</v>
      </c>
      <c r="W2674" s="30">
        <v>0</v>
      </c>
      <c r="X2674" s="30">
        <v>0</v>
      </c>
      <c r="Y2674" s="30">
        <v>0</v>
      </c>
      <c r="Z2674" s="232">
        <v>0</v>
      </c>
      <c r="AA2674" s="30">
        <v>0</v>
      </c>
      <c r="AB2674" s="30">
        <v>0</v>
      </c>
      <c r="AC2674" s="30">
        <v>0</v>
      </c>
      <c r="AD2674" s="30">
        <v>0</v>
      </c>
      <c r="AE2674" s="72" t="s">
        <v>394</v>
      </c>
      <c r="AF2674" s="72"/>
      <c r="AG2674" s="72" t="s">
        <v>589</v>
      </c>
      <c r="AH2674" s="72">
        <v>43237</v>
      </c>
      <c r="AI2674" s="30">
        <v>8</v>
      </c>
      <c r="AJ2674" s="72" t="s">
        <v>15102</v>
      </c>
      <c r="AK2674" s="72" t="s">
        <v>15103</v>
      </c>
      <c r="AL2674" s="70">
        <v>43239</v>
      </c>
      <c r="AM2674" s="70"/>
      <c r="AN2674" s="70"/>
      <c r="AO2674" s="70"/>
      <c r="AP2674" s="73" t="e">
        <f>MID(VLOOKUP(K2674,#REF!,2,FALSE),1,2)</f>
        <v>#REF!</v>
      </c>
      <c r="AQ2674" s="72">
        <f>DATE(2018,5,8)</f>
        <v>43228</v>
      </c>
      <c r="AR2674" s="82">
        <f t="shared" si="217"/>
        <v>8</v>
      </c>
      <c r="AS2674" s="83">
        <f t="shared" si="218"/>
        <v>5</v>
      </c>
      <c r="AT2674" s="84">
        <f t="shared" si="219"/>
        <v>2018</v>
      </c>
      <c r="AU2674" s="72">
        <f>DATE(2018,5,10)</f>
        <v>43230</v>
      </c>
      <c r="AV2674" s="72">
        <f>DATE(2018,5,9)</f>
        <v>43229</v>
      </c>
      <c r="AW2674" s="87">
        <f>AU2673-AV2673</f>
        <v>1</v>
      </c>
      <c r="AX2674" s="88">
        <f>DATE(2018,5,10)</f>
        <v>43230</v>
      </c>
      <c r="AY2674" s="83">
        <f>MONTH(AX2674)</f>
        <v>5</v>
      </c>
      <c r="AZ2674" s="84">
        <f>YEAR(AX2674)</f>
        <v>2018</v>
      </c>
      <c r="BA2674" s="88">
        <f>DATE(2018,5,8)</f>
        <v>43228</v>
      </c>
      <c r="BB2674" s="86"/>
    </row>
    <row r="2675" spans="1:54" ht="36.75" customHeight="1">
      <c r="A2675" s="30"/>
      <c r="B2675" s="30" t="s">
        <v>55</v>
      </c>
      <c r="C2675" s="69" t="str">
        <f t="shared" si="221"/>
        <v>Closed</v>
      </c>
      <c r="D2675" s="27" t="s">
        <v>15104</v>
      </c>
      <c r="E2675" s="29" t="s">
        <v>15105</v>
      </c>
      <c r="F2675" s="30" t="s">
        <v>423</v>
      </c>
      <c r="G2675" s="72">
        <f>DATE(2018,5,22)</f>
        <v>43242</v>
      </c>
      <c r="H2675" s="80">
        <v>1.7472222222222222</v>
      </c>
      <c r="I2675" s="30" t="s">
        <v>116</v>
      </c>
      <c r="J2675" s="72" t="s">
        <v>15106</v>
      </c>
      <c r="K2675" s="30" t="s">
        <v>425</v>
      </c>
      <c r="L2675" s="30" t="s">
        <v>15107</v>
      </c>
      <c r="M2675" s="30" t="s">
        <v>63</v>
      </c>
      <c r="N2675" s="30" t="s">
        <v>99</v>
      </c>
      <c r="O2675" s="30" t="s">
        <v>64</v>
      </c>
      <c r="P2675" s="72" t="s">
        <v>165</v>
      </c>
      <c r="Q2675" s="72" t="s">
        <v>4551</v>
      </c>
      <c r="R2675" s="72" t="s">
        <v>3103</v>
      </c>
      <c r="S2675" s="30">
        <v>0</v>
      </c>
      <c r="T2675" s="232">
        <v>0</v>
      </c>
      <c r="U2675" s="30">
        <v>1</v>
      </c>
      <c r="V2675" s="232">
        <v>0</v>
      </c>
      <c r="W2675" s="30">
        <v>0</v>
      </c>
      <c r="X2675" s="30">
        <v>1</v>
      </c>
      <c r="Y2675" s="30">
        <v>0</v>
      </c>
      <c r="Z2675" s="232">
        <v>0</v>
      </c>
      <c r="AA2675" s="30">
        <v>0</v>
      </c>
      <c r="AB2675" s="30">
        <v>0</v>
      </c>
      <c r="AC2675" s="30">
        <v>0</v>
      </c>
      <c r="AD2675" s="30">
        <v>0</v>
      </c>
      <c r="AE2675" s="72" t="s">
        <v>92</v>
      </c>
      <c r="AF2675" s="72"/>
      <c r="AG2675" s="72" t="s">
        <v>874</v>
      </c>
      <c r="AH2675" s="72">
        <v>43242</v>
      </c>
      <c r="AI2675" s="30">
        <v>2</v>
      </c>
      <c r="AJ2675" s="72" t="s">
        <v>15108</v>
      </c>
      <c r="AK2675" s="72" t="s">
        <v>15109</v>
      </c>
      <c r="AL2675" s="70">
        <v>43245</v>
      </c>
      <c r="AM2675" s="70"/>
      <c r="AN2675" s="70"/>
      <c r="AO2675" s="70"/>
      <c r="AP2675" s="73" t="e">
        <f>MID(VLOOKUP(K2675,#REF!,2,FALSE),1,2)</f>
        <v>#REF!</v>
      </c>
      <c r="AQ2675" s="72">
        <f>DATE(2018,5,10)</f>
        <v>43230</v>
      </c>
      <c r="AR2675" s="82">
        <f t="shared" si="217"/>
        <v>10</v>
      </c>
      <c r="AS2675" s="83">
        <f t="shared" si="218"/>
        <v>5</v>
      </c>
      <c r="AT2675" s="84">
        <f t="shared" si="219"/>
        <v>2018</v>
      </c>
      <c r="AU2675" s="72">
        <f>DATE(2018,5,19)</f>
        <v>43239</v>
      </c>
      <c r="AV2675" s="72">
        <f>DATE(2018,5,17)</f>
        <v>43237</v>
      </c>
      <c r="AW2675" s="87">
        <f t="shared" ref="AW2675:AW2698" si="224">AU2675-AV2675</f>
        <v>2</v>
      </c>
      <c r="AX2675" s="88">
        <f>DATE(2018,5,19)</f>
        <v>43239</v>
      </c>
      <c r="AY2675" s="83">
        <f>MONTH(AX2675)</f>
        <v>5</v>
      </c>
      <c r="AZ2675" s="84">
        <f>YEAR(AX2675)</f>
        <v>2018</v>
      </c>
      <c r="BA2675" s="88">
        <f>DATE(2018,5,18)</f>
        <v>43238</v>
      </c>
      <c r="BB2675" s="86"/>
    </row>
    <row r="2676" spans="1:54" ht="36.75" customHeight="1">
      <c r="A2676" s="30"/>
      <c r="B2676" s="30" t="s">
        <v>55</v>
      </c>
      <c r="C2676" s="69" t="str">
        <f t="shared" si="221"/>
        <v>Closed</v>
      </c>
      <c r="D2676" s="27" t="s">
        <v>15110</v>
      </c>
      <c r="E2676" s="29" t="s">
        <v>15111</v>
      </c>
      <c r="F2676" s="30" t="s">
        <v>423</v>
      </c>
      <c r="G2676" s="72">
        <f>DATE(2018,5,23)</f>
        <v>43243</v>
      </c>
      <c r="H2676" s="80">
        <v>1.5236111111111112</v>
      </c>
      <c r="I2676" s="30" t="s">
        <v>116</v>
      </c>
      <c r="J2676" s="72" t="s">
        <v>15112</v>
      </c>
      <c r="K2676" s="30" t="s">
        <v>425</v>
      </c>
      <c r="L2676" s="30" t="s">
        <v>15113</v>
      </c>
      <c r="M2676" s="30" t="s">
        <v>63</v>
      </c>
      <c r="N2676" s="30" t="s">
        <v>99</v>
      </c>
      <c r="O2676" s="30" t="s">
        <v>64</v>
      </c>
      <c r="P2676" s="72" t="s">
        <v>165</v>
      </c>
      <c r="Q2676" s="72" t="s">
        <v>4551</v>
      </c>
      <c r="R2676" s="72" t="s">
        <v>3103</v>
      </c>
      <c r="S2676" s="30">
        <v>0</v>
      </c>
      <c r="T2676" s="232">
        <v>0</v>
      </c>
      <c r="U2676" s="30">
        <v>0</v>
      </c>
      <c r="V2676" s="232">
        <v>0</v>
      </c>
      <c r="W2676" s="30">
        <v>0</v>
      </c>
      <c r="X2676" s="30">
        <v>0</v>
      </c>
      <c r="Y2676" s="30">
        <v>0</v>
      </c>
      <c r="Z2676" s="232">
        <v>1</v>
      </c>
      <c r="AA2676" s="30">
        <v>0</v>
      </c>
      <c r="AB2676" s="30">
        <v>0</v>
      </c>
      <c r="AC2676" s="30">
        <v>0</v>
      </c>
      <c r="AD2676" s="30">
        <v>1</v>
      </c>
      <c r="AE2676" s="72" t="s">
        <v>394</v>
      </c>
      <c r="AF2676" s="72"/>
      <c r="AG2676" s="72" t="s">
        <v>82</v>
      </c>
      <c r="AH2676" s="72">
        <v>43243</v>
      </c>
      <c r="AI2676" s="30">
        <v>1</v>
      </c>
      <c r="AJ2676" s="72" t="s">
        <v>13890</v>
      </c>
      <c r="AK2676" s="72" t="s">
        <v>14407</v>
      </c>
      <c r="AL2676" s="70">
        <v>43246</v>
      </c>
      <c r="AM2676" s="70"/>
      <c r="AN2676" s="70"/>
      <c r="AO2676" s="70"/>
      <c r="AP2676" s="73" t="e">
        <f>MID(VLOOKUP(K2676,#REF!,2,FALSE),1,2)</f>
        <v>#REF!</v>
      </c>
      <c r="AQ2676" s="72">
        <f>DATE(2018,5,22)</f>
        <v>43242</v>
      </c>
      <c r="AR2676" s="82">
        <f t="shared" si="217"/>
        <v>22</v>
      </c>
      <c r="AS2676" s="83">
        <f t="shared" si="218"/>
        <v>5</v>
      </c>
      <c r="AT2676" s="84">
        <f t="shared" si="219"/>
        <v>2018</v>
      </c>
      <c r="AU2676" s="72">
        <f>DATE(2018,5,25)</f>
        <v>43245</v>
      </c>
      <c r="AV2676" s="72">
        <f>DATE(2018,5,22)</f>
        <v>43242</v>
      </c>
      <c r="AW2676" s="87">
        <f t="shared" si="224"/>
        <v>3</v>
      </c>
      <c r="AX2676" s="27"/>
      <c r="AY2676" s="83"/>
      <c r="AZ2676" s="84"/>
      <c r="BA2676" s="27"/>
      <c r="BB2676" s="86"/>
    </row>
    <row r="2677" spans="1:54" ht="36.75" customHeight="1">
      <c r="A2677" s="30"/>
      <c r="B2677" s="30" t="s">
        <v>55</v>
      </c>
      <c r="C2677" s="69" t="str">
        <f t="shared" si="221"/>
        <v>Closed</v>
      </c>
      <c r="D2677" s="27" t="s">
        <v>15114</v>
      </c>
      <c r="E2677" s="29" t="s">
        <v>15115</v>
      </c>
      <c r="F2677" s="30" t="s">
        <v>423</v>
      </c>
      <c r="G2677" s="72">
        <f>DATE(2018,5,23)</f>
        <v>43243</v>
      </c>
      <c r="H2677" s="80">
        <v>1.4708333333333334</v>
      </c>
      <c r="I2677" s="30" t="s">
        <v>73</v>
      </c>
      <c r="J2677" s="72" t="s">
        <v>15116</v>
      </c>
      <c r="K2677" s="30" t="s">
        <v>425</v>
      </c>
      <c r="L2677" s="30" t="s">
        <v>15117</v>
      </c>
      <c r="M2677" s="30" t="s">
        <v>63</v>
      </c>
      <c r="N2677" s="30" t="s">
        <v>99</v>
      </c>
      <c r="O2677" s="30" t="s">
        <v>64</v>
      </c>
      <c r="P2677" s="72" t="s">
        <v>301</v>
      </c>
      <c r="Q2677" s="72" t="s">
        <v>15118</v>
      </c>
      <c r="R2677" s="72" t="s">
        <v>3103</v>
      </c>
      <c r="S2677" s="30">
        <v>0</v>
      </c>
      <c r="T2677" s="232">
        <v>0</v>
      </c>
      <c r="U2677" s="30">
        <v>0</v>
      </c>
      <c r="V2677" s="232">
        <v>0</v>
      </c>
      <c r="W2677" s="30">
        <v>0</v>
      </c>
      <c r="X2677" s="30">
        <v>0</v>
      </c>
      <c r="Y2677" s="30">
        <v>0</v>
      </c>
      <c r="Z2677" s="232">
        <v>0</v>
      </c>
      <c r="AA2677" s="30">
        <v>0</v>
      </c>
      <c r="AB2677" s="30">
        <v>0</v>
      </c>
      <c r="AC2677" s="30">
        <v>0</v>
      </c>
      <c r="AD2677" s="30">
        <v>0</v>
      </c>
      <c r="AE2677" s="72" t="s">
        <v>394</v>
      </c>
      <c r="AF2677" s="72"/>
      <c r="AG2677" s="72" t="s">
        <v>82</v>
      </c>
      <c r="AH2677" s="72">
        <v>43243</v>
      </c>
      <c r="AI2677" s="30">
        <v>0</v>
      </c>
      <c r="AJ2677" s="72" t="s">
        <v>15119</v>
      </c>
      <c r="AK2677" s="72" t="s">
        <v>15120</v>
      </c>
      <c r="AL2677" s="70">
        <v>43249</v>
      </c>
      <c r="AM2677" s="70"/>
      <c r="AN2677" s="70"/>
      <c r="AO2677" s="70"/>
      <c r="AP2677" s="73" t="e">
        <f>MID(VLOOKUP(K2677,#REF!,2,FALSE),1,2)</f>
        <v>#REF!</v>
      </c>
      <c r="AQ2677" s="72">
        <f>DATE(2018,5,23)</f>
        <v>43243</v>
      </c>
      <c r="AR2677" s="82">
        <f t="shared" ref="AR2677:AR2740" si="225">DAY(AQ2677)</f>
        <v>23</v>
      </c>
      <c r="AS2677" s="83">
        <f t="shared" ref="AS2677:AS2740" si="226">MONTH(AQ2677)</f>
        <v>5</v>
      </c>
      <c r="AT2677" s="84">
        <f t="shared" ref="AT2677:AT2740" si="227">YEAR(AQ2677)</f>
        <v>2018</v>
      </c>
      <c r="AU2677" s="72">
        <f>DATE(2018,5,26)</f>
        <v>43246</v>
      </c>
      <c r="AV2677" s="72">
        <f>DATE(2018,5,23)</f>
        <v>43243</v>
      </c>
      <c r="AW2677" s="87">
        <f t="shared" si="224"/>
        <v>3</v>
      </c>
      <c r="AX2677" s="86"/>
      <c r="AY2677" s="83"/>
      <c r="AZ2677" s="84"/>
      <c r="BA2677" s="86"/>
      <c r="BB2677" s="86"/>
    </row>
    <row r="2678" spans="1:54" ht="36.75" customHeight="1">
      <c r="A2678" s="30"/>
      <c r="B2678" s="30" t="s">
        <v>55</v>
      </c>
      <c r="C2678" s="69" t="str">
        <f t="shared" si="221"/>
        <v>Closed</v>
      </c>
      <c r="D2678" s="27" t="s">
        <v>15121</v>
      </c>
      <c r="E2678" s="29" t="s">
        <v>15122</v>
      </c>
      <c r="F2678" s="30" t="s">
        <v>377</v>
      </c>
      <c r="G2678" s="72">
        <f>DATE(2018,5,23)</f>
        <v>43243</v>
      </c>
      <c r="H2678" s="80">
        <v>1.9708333333333332</v>
      </c>
      <c r="I2678" s="30" t="s">
        <v>116</v>
      </c>
      <c r="J2678" s="72" t="s">
        <v>15123</v>
      </c>
      <c r="K2678" s="30" t="s">
        <v>379</v>
      </c>
      <c r="L2678" s="30" t="s">
        <v>15124</v>
      </c>
      <c r="M2678" s="30" t="s">
        <v>63</v>
      </c>
      <c r="N2678" s="30" t="s">
        <v>99</v>
      </c>
      <c r="O2678" s="30" t="s">
        <v>64</v>
      </c>
      <c r="P2678" s="72" t="s">
        <v>165</v>
      </c>
      <c r="Q2678" s="72" t="s">
        <v>3193</v>
      </c>
      <c r="R2678" s="72" t="s">
        <v>382</v>
      </c>
      <c r="S2678" s="30">
        <v>0</v>
      </c>
      <c r="T2678" s="232">
        <v>1</v>
      </c>
      <c r="U2678" s="30">
        <v>1</v>
      </c>
      <c r="V2678" s="232">
        <v>0</v>
      </c>
      <c r="W2678" s="30">
        <v>0</v>
      </c>
      <c r="X2678" s="30">
        <v>2</v>
      </c>
      <c r="Y2678" s="30">
        <v>5</v>
      </c>
      <c r="Z2678" s="232">
        <v>0</v>
      </c>
      <c r="AA2678" s="30">
        <v>0</v>
      </c>
      <c r="AB2678" s="30">
        <v>0</v>
      </c>
      <c r="AC2678" s="30">
        <v>0</v>
      </c>
      <c r="AD2678" s="30">
        <v>5</v>
      </c>
      <c r="AE2678" s="72" t="s">
        <v>145</v>
      </c>
      <c r="AF2678" s="72"/>
      <c r="AG2678" s="72" t="s">
        <v>82</v>
      </c>
      <c r="AH2678" s="72">
        <v>43244</v>
      </c>
      <c r="AI2678" s="30">
        <v>14</v>
      </c>
      <c r="AJ2678" s="72" t="s">
        <v>15125</v>
      </c>
      <c r="AK2678" s="72" t="s">
        <v>15126</v>
      </c>
      <c r="AL2678" s="70">
        <v>43283</v>
      </c>
      <c r="AM2678" s="70"/>
      <c r="AN2678" s="70"/>
      <c r="AO2678" s="70"/>
      <c r="AP2678" s="73" t="e">
        <f>MID(VLOOKUP(K2678,#REF!,2,FALSE),1,2)</f>
        <v>#REF!</v>
      </c>
      <c r="AQ2678" s="72">
        <f>DATE(2018,5,23)</f>
        <v>43243</v>
      </c>
      <c r="AR2678" s="82">
        <f t="shared" si="225"/>
        <v>23</v>
      </c>
      <c r="AS2678" s="83">
        <f t="shared" si="226"/>
        <v>5</v>
      </c>
      <c r="AT2678" s="84">
        <f t="shared" si="227"/>
        <v>2018</v>
      </c>
      <c r="AU2678" s="72">
        <f>DATE(2018,5,26)</f>
        <v>43246</v>
      </c>
      <c r="AV2678" s="72">
        <f>DATE(2018,5,23)</f>
        <v>43243</v>
      </c>
      <c r="AW2678" s="87">
        <f t="shared" si="224"/>
        <v>3</v>
      </c>
      <c r="AX2678" s="86"/>
      <c r="AY2678" s="83"/>
      <c r="AZ2678" s="84"/>
      <c r="BA2678" s="86"/>
      <c r="BB2678" s="86"/>
    </row>
    <row r="2679" spans="1:54" ht="36.75" customHeight="1">
      <c r="A2679" s="30"/>
      <c r="B2679" s="30" t="s">
        <v>55</v>
      </c>
      <c r="C2679" s="69" t="str">
        <f t="shared" si="221"/>
        <v>Closed</v>
      </c>
      <c r="D2679" s="27" t="s">
        <v>15127</v>
      </c>
      <c r="E2679" s="29" t="s">
        <v>15128</v>
      </c>
      <c r="F2679" s="30" t="s">
        <v>1572</v>
      </c>
      <c r="G2679" s="72">
        <f>DATE(2018,5,23)</f>
        <v>43243</v>
      </c>
      <c r="H2679" s="80">
        <v>1.6993055555555556</v>
      </c>
      <c r="I2679" s="30" t="s">
        <v>73</v>
      </c>
      <c r="J2679" s="72" t="s">
        <v>15129</v>
      </c>
      <c r="K2679" s="30" t="s">
        <v>1574</v>
      </c>
      <c r="L2679" s="30" t="s">
        <v>15130</v>
      </c>
      <c r="M2679" s="30" t="s">
        <v>63</v>
      </c>
      <c r="N2679" s="30" t="s">
        <v>142</v>
      </c>
      <c r="O2679" s="30" t="s">
        <v>77</v>
      </c>
      <c r="P2679" s="72" t="s">
        <v>78</v>
      </c>
      <c r="Q2679" s="72" t="s">
        <v>6093</v>
      </c>
      <c r="R2679" s="72" t="s">
        <v>6434</v>
      </c>
      <c r="S2679" s="30">
        <v>0</v>
      </c>
      <c r="T2679" s="232">
        <v>0</v>
      </c>
      <c r="U2679" s="30">
        <v>0</v>
      </c>
      <c r="V2679" s="232">
        <v>0</v>
      </c>
      <c r="W2679" s="30">
        <v>0</v>
      </c>
      <c r="X2679" s="30">
        <v>0</v>
      </c>
      <c r="Y2679" s="30">
        <v>0</v>
      </c>
      <c r="Z2679" s="232">
        <v>0</v>
      </c>
      <c r="AA2679" s="30">
        <v>0</v>
      </c>
      <c r="AB2679" s="30">
        <v>0</v>
      </c>
      <c r="AC2679" s="30">
        <v>0</v>
      </c>
      <c r="AD2679" s="30">
        <v>0</v>
      </c>
      <c r="AE2679" s="72" t="s">
        <v>92</v>
      </c>
      <c r="AF2679" s="72"/>
      <c r="AG2679" s="72" t="s">
        <v>133</v>
      </c>
      <c r="AH2679" s="72">
        <v>43244</v>
      </c>
      <c r="AI2679" s="30">
        <v>1</v>
      </c>
      <c r="AJ2679" s="72" t="s">
        <v>15131</v>
      </c>
      <c r="AK2679" s="72" t="s">
        <v>15132</v>
      </c>
      <c r="AL2679" s="70">
        <v>43251</v>
      </c>
      <c r="AM2679" s="70"/>
      <c r="AN2679" s="70"/>
      <c r="AO2679" s="70"/>
      <c r="AP2679" s="73" t="e">
        <f>MID(VLOOKUP(K2679,#REF!,2,FALSE),1,2)</f>
        <v>#REF!</v>
      </c>
      <c r="AQ2679" s="72">
        <f>DATE(2018,5,23)</f>
        <v>43243</v>
      </c>
      <c r="AR2679" s="82">
        <f t="shared" si="225"/>
        <v>23</v>
      </c>
      <c r="AS2679" s="83">
        <f t="shared" si="226"/>
        <v>5</v>
      </c>
      <c r="AT2679" s="84">
        <f t="shared" si="227"/>
        <v>2018</v>
      </c>
      <c r="AU2679" s="72">
        <f>DATE(2018,7,2)</f>
        <v>43283</v>
      </c>
      <c r="AV2679" s="72">
        <f>DATE(2018,5,24)</f>
        <v>43244</v>
      </c>
      <c r="AW2679" s="87">
        <f t="shared" si="224"/>
        <v>39</v>
      </c>
      <c r="AX2679" s="88">
        <f>DATE(2018,5,24)</f>
        <v>43244</v>
      </c>
      <c r="AY2679" s="83">
        <f>MONTH(AX2679)</f>
        <v>5</v>
      </c>
      <c r="AZ2679" s="84">
        <f>YEAR(AX2679)</f>
        <v>2018</v>
      </c>
      <c r="BA2679" s="88">
        <f>DATE(2018,5,24)</f>
        <v>43244</v>
      </c>
      <c r="BB2679" s="86"/>
    </row>
    <row r="2680" spans="1:54" ht="36.75" customHeight="1">
      <c r="A2680" s="30"/>
      <c r="B2680" s="30" t="s">
        <v>55</v>
      </c>
      <c r="C2680" s="69" t="str">
        <f t="shared" si="221"/>
        <v>Closed</v>
      </c>
      <c r="D2680" s="27" t="s">
        <v>15133</v>
      </c>
      <c r="E2680" s="29" t="s">
        <v>15134</v>
      </c>
      <c r="F2680" s="30" t="s">
        <v>835</v>
      </c>
      <c r="G2680" s="72">
        <f>DATE(2018,5,24)</f>
        <v>43244</v>
      </c>
      <c r="H2680" s="80">
        <v>1.9527777777777779</v>
      </c>
      <c r="I2680" s="30" t="s">
        <v>73</v>
      </c>
      <c r="J2680" s="72" t="s">
        <v>15135</v>
      </c>
      <c r="K2680" s="30" t="s">
        <v>837</v>
      </c>
      <c r="L2680" s="30" t="s">
        <v>15136</v>
      </c>
      <c r="M2680" s="30" t="s">
        <v>255</v>
      </c>
      <c r="N2680" s="30" t="s">
        <v>142</v>
      </c>
      <c r="O2680" s="30" t="s">
        <v>64</v>
      </c>
      <c r="P2680" s="72" t="s">
        <v>6552</v>
      </c>
      <c r="Q2680" s="72" t="s">
        <v>4210</v>
      </c>
      <c r="R2680" s="72" t="s">
        <v>4210</v>
      </c>
      <c r="S2680" s="30">
        <v>0</v>
      </c>
      <c r="T2680" s="232">
        <v>0</v>
      </c>
      <c r="U2680" s="30">
        <v>0</v>
      </c>
      <c r="V2680" s="232">
        <v>0</v>
      </c>
      <c r="W2680" s="30">
        <v>0</v>
      </c>
      <c r="X2680" s="30">
        <v>0</v>
      </c>
      <c r="Y2680" s="30">
        <v>0</v>
      </c>
      <c r="Z2680" s="232">
        <v>0</v>
      </c>
      <c r="AA2680" s="30">
        <v>0</v>
      </c>
      <c r="AB2680" s="30">
        <v>0</v>
      </c>
      <c r="AC2680" s="30">
        <v>0</v>
      </c>
      <c r="AD2680" s="30">
        <v>0</v>
      </c>
      <c r="AE2680" s="72" t="s">
        <v>92</v>
      </c>
      <c r="AF2680" s="72"/>
      <c r="AG2680" s="72" t="s">
        <v>352</v>
      </c>
      <c r="AH2680" s="72">
        <v>43244</v>
      </c>
      <c r="AI2680" s="30">
        <v>1</v>
      </c>
      <c r="AJ2680" s="72" t="s">
        <v>15137</v>
      </c>
      <c r="AK2680" s="72" t="s">
        <v>68</v>
      </c>
      <c r="AL2680" s="70">
        <v>43249</v>
      </c>
      <c r="AM2680" s="70"/>
      <c r="AN2680" s="70"/>
      <c r="AO2680" s="70"/>
      <c r="AP2680" s="73" t="e">
        <f>MID(VLOOKUP(K2680,#REF!,2,FALSE),1,2)</f>
        <v>#REF!</v>
      </c>
      <c r="AQ2680" s="72">
        <f>DATE(2018,5,23)</f>
        <v>43243</v>
      </c>
      <c r="AR2680" s="82">
        <f t="shared" si="225"/>
        <v>23</v>
      </c>
      <c r="AS2680" s="83">
        <f t="shared" si="226"/>
        <v>5</v>
      </c>
      <c r="AT2680" s="84">
        <f t="shared" si="227"/>
        <v>2018</v>
      </c>
      <c r="AU2680" s="72">
        <f>DATE(2018,5,31)</f>
        <v>43251</v>
      </c>
      <c r="AV2680" s="72">
        <f>DATE(2018,5,24)</f>
        <v>43244</v>
      </c>
      <c r="AW2680" s="87">
        <f t="shared" si="224"/>
        <v>7</v>
      </c>
      <c r="AX2680" s="88">
        <f>DATE(2018,5,31)</f>
        <v>43251</v>
      </c>
      <c r="AY2680" s="83">
        <f>MONTH(AX2680)</f>
        <v>5</v>
      </c>
      <c r="AZ2680" s="84">
        <f>YEAR(AX2680)</f>
        <v>2018</v>
      </c>
      <c r="BA2680" s="88">
        <f>DATE(2018,5,23)</f>
        <v>43243</v>
      </c>
      <c r="BB2680" s="86"/>
    </row>
    <row r="2681" spans="1:54" ht="36.75" customHeight="1">
      <c r="A2681" s="30"/>
      <c r="B2681" s="30" t="s">
        <v>55</v>
      </c>
      <c r="C2681" s="69" t="str">
        <f t="shared" si="221"/>
        <v>Closed</v>
      </c>
      <c r="D2681" s="27" t="s">
        <v>15138</v>
      </c>
      <c r="E2681" s="29" t="s">
        <v>15139</v>
      </c>
      <c r="F2681" s="30" t="s">
        <v>1572</v>
      </c>
      <c r="G2681" s="72">
        <f>DATE(2018,5,24)</f>
        <v>43244</v>
      </c>
      <c r="H2681" s="80">
        <v>1.8298611111111112</v>
      </c>
      <c r="I2681" s="30" t="s">
        <v>487</v>
      </c>
      <c r="J2681" s="72" t="s">
        <v>15140</v>
      </c>
      <c r="K2681" s="30" t="s">
        <v>1574</v>
      </c>
      <c r="L2681" s="30" t="s">
        <v>15141</v>
      </c>
      <c r="M2681" s="30" t="s">
        <v>63</v>
      </c>
      <c r="N2681" s="30" t="s">
        <v>142</v>
      </c>
      <c r="O2681" s="30" t="s">
        <v>64</v>
      </c>
      <c r="P2681" s="72" t="s">
        <v>91</v>
      </c>
      <c r="Q2681" s="72" t="s">
        <v>9075</v>
      </c>
      <c r="R2681" s="72" t="s">
        <v>6434</v>
      </c>
      <c r="S2681" s="30">
        <v>0</v>
      </c>
      <c r="T2681" s="232">
        <v>0</v>
      </c>
      <c r="U2681" s="30">
        <v>0</v>
      </c>
      <c r="V2681" s="232">
        <v>0</v>
      </c>
      <c r="W2681" s="30">
        <v>0</v>
      </c>
      <c r="X2681" s="30">
        <v>0</v>
      </c>
      <c r="Y2681" s="30">
        <v>0</v>
      </c>
      <c r="Z2681" s="232">
        <v>0</v>
      </c>
      <c r="AA2681" s="30">
        <v>0</v>
      </c>
      <c r="AB2681" s="30">
        <v>0</v>
      </c>
      <c r="AC2681" s="30">
        <v>0</v>
      </c>
      <c r="AD2681" s="30">
        <v>0</v>
      </c>
      <c r="AE2681" s="72" t="s">
        <v>92</v>
      </c>
      <c r="AF2681" s="72"/>
      <c r="AG2681" s="72" t="s">
        <v>589</v>
      </c>
      <c r="AH2681" s="72">
        <v>43249</v>
      </c>
      <c r="AI2681" s="30">
        <v>1</v>
      </c>
      <c r="AJ2681" s="72" t="s">
        <v>15142</v>
      </c>
      <c r="AK2681" s="72" t="s">
        <v>15143</v>
      </c>
      <c r="AL2681" s="70">
        <v>43252</v>
      </c>
      <c r="AM2681" s="70"/>
      <c r="AN2681" s="70"/>
      <c r="AO2681" s="70"/>
      <c r="AP2681" s="73" t="e">
        <f>MID(VLOOKUP(K2681,#REF!,2,FALSE),1,2)</f>
        <v>#REF!</v>
      </c>
      <c r="AQ2681" s="72">
        <f>DATE(2018,5,24)</f>
        <v>43244</v>
      </c>
      <c r="AR2681" s="82">
        <f t="shared" si="225"/>
        <v>24</v>
      </c>
      <c r="AS2681" s="83">
        <f t="shared" si="226"/>
        <v>5</v>
      </c>
      <c r="AT2681" s="84">
        <f t="shared" si="227"/>
        <v>2018</v>
      </c>
      <c r="AU2681" s="72">
        <f>DATE(2018,5,29)</f>
        <v>43249</v>
      </c>
      <c r="AV2681" s="72">
        <f>DATE(2018,5,24)</f>
        <v>43244</v>
      </c>
      <c r="AW2681" s="87">
        <f t="shared" si="224"/>
        <v>5</v>
      </c>
      <c r="AX2681" s="88">
        <f>DATE(2018,5,24)</f>
        <v>43244</v>
      </c>
      <c r="AY2681" s="83">
        <f>MONTH(AX2681)</f>
        <v>5</v>
      </c>
      <c r="AZ2681" s="84">
        <f>YEAR(AX2681)</f>
        <v>2018</v>
      </c>
      <c r="BA2681" s="88">
        <f>DATE(2018,5,24)</f>
        <v>43244</v>
      </c>
      <c r="BB2681" s="86"/>
    </row>
    <row r="2682" spans="1:54" ht="36.75" customHeight="1">
      <c r="A2682" s="30"/>
      <c r="B2682" s="30" t="s">
        <v>55</v>
      </c>
      <c r="C2682" s="69" t="str">
        <f t="shared" si="221"/>
        <v>Closed</v>
      </c>
      <c r="D2682" s="27" t="s">
        <v>15144</v>
      </c>
      <c r="E2682" s="29" t="s">
        <v>15145</v>
      </c>
      <c r="F2682" s="30" t="s">
        <v>582</v>
      </c>
      <c r="G2682" s="72">
        <f>DATE(2018,5,25)</f>
        <v>43245</v>
      </c>
      <c r="H2682" s="80">
        <v>1.3541666666666667</v>
      </c>
      <c r="I2682" s="30" t="s">
        <v>116</v>
      </c>
      <c r="J2682" s="72" t="s">
        <v>15146</v>
      </c>
      <c r="K2682" s="30" t="s">
        <v>584</v>
      </c>
      <c r="L2682" s="30" t="s">
        <v>15147</v>
      </c>
      <c r="M2682" s="30" t="s">
        <v>63</v>
      </c>
      <c r="N2682" s="30" t="s">
        <v>99</v>
      </c>
      <c r="O2682" s="30" t="s">
        <v>64</v>
      </c>
      <c r="P2682" s="72" t="s">
        <v>165</v>
      </c>
      <c r="Q2682" s="72" t="s">
        <v>15148</v>
      </c>
      <c r="R2682" s="72" t="s">
        <v>587</v>
      </c>
      <c r="S2682" s="30">
        <v>0</v>
      </c>
      <c r="T2682" s="232">
        <v>0</v>
      </c>
      <c r="U2682" s="30">
        <v>0</v>
      </c>
      <c r="V2682" s="232">
        <v>0</v>
      </c>
      <c r="W2682" s="30">
        <v>0</v>
      </c>
      <c r="X2682" s="30">
        <v>0</v>
      </c>
      <c r="Y2682" s="30">
        <v>0</v>
      </c>
      <c r="Z2682" s="232">
        <v>2</v>
      </c>
      <c r="AA2682" s="30">
        <v>0</v>
      </c>
      <c r="AB2682" s="30">
        <v>0</v>
      </c>
      <c r="AC2682" s="30">
        <v>0</v>
      </c>
      <c r="AD2682" s="30">
        <v>2</v>
      </c>
      <c r="AE2682" s="72" t="s">
        <v>394</v>
      </c>
      <c r="AF2682" s="72"/>
      <c r="AG2682" s="72" t="s">
        <v>589</v>
      </c>
      <c r="AH2682" s="72">
        <v>43242</v>
      </c>
      <c r="AI2682" s="30">
        <v>0</v>
      </c>
      <c r="AJ2682" s="72" t="s">
        <v>15149</v>
      </c>
      <c r="AK2682" s="72" t="s">
        <v>1233</v>
      </c>
      <c r="AL2682" s="70">
        <v>43300</v>
      </c>
      <c r="AM2682" s="70"/>
      <c r="AN2682" s="70"/>
      <c r="AO2682" s="70"/>
      <c r="AP2682" s="73" t="e">
        <f>MID(VLOOKUP(K2682,#REF!,2,FALSE),1,2)</f>
        <v>#REF!</v>
      </c>
      <c r="AQ2682" s="72">
        <f>DATE(2018,5,24)</f>
        <v>43244</v>
      </c>
      <c r="AR2682" s="82">
        <f t="shared" si="225"/>
        <v>24</v>
      </c>
      <c r="AS2682" s="83">
        <f t="shared" si="226"/>
        <v>5</v>
      </c>
      <c r="AT2682" s="84">
        <f t="shared" si="227"/>
        <v>2018</v>
      </c>
      <c r="AU2682" s="72">
        <f>DATE(2018,6,1)</f>
        <v>43252</v>
      </c>
      <c r="AV2682" s="72">
        <f>DATE(2018,5,29)</f>
        <v>43249</v>
      </c>
      <c r="AW2682" s="87">
        <f t="shared" si="224"/>
        <v>3</v>
      </c>
      <c r="AX2682" s="88">
        <f>DATE(2018,6,2)</f>
        <v>43253</v>
      </c>
      <c r="AY2682" s="83">
        <f>MONTH(AX2682)</f>
        <v>6</v>
      </c>
      <c r="AZ2682" s="84">
        <f>YEAR(AX2682)</f>
        <v>2018</v>
      </c>
      <c r="BA2682" s="88">
        <f>DATE(2018,5,24)</f>
        <v>43244</v>
      </c>
      <c r="BB2682" s="86"/>
    </row>
    <row r="2683" spans="1:54" ht="36.75" customHeight="1">
      <c r="A2683" s="30"/>
      <c r="B2683" s="30" t="s">
        <v>55</v>
      </c>
      <c r="C2683" s="69" t="str">
        <f t="shared" si="221"/>
        <v>Closed</v>
      </c>
      <c r="D2683" s="27" t="s">
        <v>15150</v>
      </c>
      <c r="E2683" s="29" t="s">
        <v>15151</v>
      </c>
      <c r="F2683" s="30" t="s">
        <v>423</v>
      </c>
      <c r="G2683" s="72">
        <f>DATE(2018,5,27)</f>
        <v>43247</v>
      </c>
      <c r="H2683" s="80">
        <v>1.3222222222222222</v>
      </c>
      <c r="I2683" s="30" t="s">
        <v>104</v>
      </c>
      <c r="J2683" s="72" t="s">
        <v>15152</v>
      </c>
      <c r="K2683" s="30" t="s">
        <v>425</v>
      </c>
      <c r="L2683" s="30" t="s">
        <v>15153</v>
      </c>
      <c r="M2683" s="30" t="s">
        <v>63</v>
      </c>
      <c r="N2683" s="30" t="s">
        <v>142</v>
      </c>
      <c r="O2683" s="30" t="s">
        <v>77</v>
      </c>
      <c r="P2683" s="72" t="s">
        <v>15154</v>
      </c>
      <c r="Q2683" s="72" t="s">
        <v>4551</v>
      </c>
      <c r="R2683" s="72" t="s">
        <v>3103</v>
      </c>
      <c r="S2683" s="30">
        <v>0</v>
      </c>
      <c r="T2683" s="232">
        <v>0</v>
      </c>
      <c r="U2683" s="30">
        <v>0</v>
      </c>
      <c r="V2683" s="232">
        <v>0</v>
      </c>
      <c r="W2683" s="30">
        <v>0</v>
      </c>
      <c r="X2683" s="30">
        <v>0</v>
      </c>
      <c r="Y2683" s="30">
        <v>0</v>
      </c>
      <c r="Z2683" s="232">
        <v>0</v>
      </c>
      <c r="AA2683" s="30">
        <v>0</v>
      </c>
      <c r="AB2683" s="30">
        <v>0</v>
      </c>
      <c r="AC2683" s="30">
        <v>0</v>
      </c>
      <c r="AD2683" s="30">
        <v>0</v>
      </c>
      <c r="AE2683" s="72" t="s">
        <v>92</v>
      </c>
      <c r="AF2683" s="72"/>
      <c r="AG2683" s="72" t="s">
        <v>352</v>
      </c>
      <c r="AH2683" s="72">
        <v>43247</v>
      </c>
      <c r="AI2683" s="30">
        <v>1</v>
      </c>
      <c r="AJ2683" s="72" t="s">
        <v>15155</v>
      </c>
      <c r="AK2683" s="72" t="s">
        <v>15156</v>
      </c>
      <c r="AL2683" s="70">
        <v>43250</v>
      </c>
      <c r="AM2683" s="70"/>
      <c r="AN2683" s="70"/>
      <c r="AO2683" s="70"/>
      <c r="AP2683" s="73" t="e">
        <f>MID(VLOOKUP(K2683,#REF!,2,FALSE),1,2)</f>
        <v>#REF!</v>
      </c>
      <c r="AQ2683" s="72">
        <f>DATE(2018,5,25)</f>
        <v>43245</v>
      </c>
      <c r="AR2683" s="82">
        <f t="shared" si="225"/>
        <v>25</v>
      </c>
      <c r="AS2683" s="83">
        <f t="shared" si="226"/>
        <v>5</v>
      </c>
      <c r="AT2683" s="84">
        <f t="shared" si="227"/>
        <v>2018</v>
      </c>
      <c r="AU2683" s="72">
        <f>DATE(2018,7,19)</f>
        <v>43300</v>
      </c>
      <c r="AV2683" s="72">
        <f>DATE(2018,5,25)</f>
        <v>43245</v>
      </c>
      <c r="AW2683" s="87">
        <f t="shared" si="224"/>
        <v>55</v>
      </c>
      <c r="AX2683" s="86"/>
      <c r="AY2683" s="83"/>
      <c r="AZ2683" s="84"/>
      <c r="BA2683" s="86"/>
      <c r="BB2683" s="86"/>
    </row>
    <row r="2684" spans="1:54" ht="36.75" customHeight="1">
      <c r="A2684" s="30"/>
      <c r="B2684" s="30" t="s">
        <v>55</v>
      </c>
      <c r="C2684" s="69" t="str">
        <f t="shared" si="221"/>
        <v>Closed</v>
      </c>
      <c r="D2684" s="27" t="s">
        <v>15157</v>
      </c>
      <c r="E2684" s="29" t="s">
        <v>15158</v>
      </c>
      <c r="F2684" s="30" t="s">
        <v>423</v>
      </c>
      <c r="G2684" s="72">
        <f>DATE(2018,5,28)</f>
        <v>43248</v>
      </c>
      <c r="H2684" s="80">
        <v>1.2124999999999999</v>
      </c>
      <c r="I2684" s="30" t="s">
        <v>104</v>
      </c>
      <c r="J2684" s="72" t="s">
        <v>15159</v>
      </c>
      <c r="K2684" s="30" t="s">
        <v>425</v>
      </c>
      <c r="L2684" s="30" t="s">
        <v>15160</v>
      </c>
      <c r="M2684" s="30" t="s">
        <v>63</v>
      </c>
      <c r="N2684" s="30" t="s">
        <v>142</v>
      </c>
      <c r="O2684" s="30" t="s">
        <v>77</v>
      </c>
      <c r="P2684" s="72" t="s">
        <v>216</v>
      </c>
      <c r="Q2684" s="72" t="s">
        <v>15161</v>
      </c>
      <c r="R2684" s="72" t="s">
        <v>3103</v>
      </c>
      <c r="S2684" s="30">
        <v>0</v>
      </c>
      <c r="T2684" s="232">
        <v>0</v>
      </c>
      <c r="U2684" s="30">
        <v>0</v>
      </c>
      <c r="V2684" s="232">
        <v>0</v>
      </c>
      <c r="W2684" s="30">
        <v>0</v>
      </c>
      <c r="X2684" s="30">
        <v>0</v>
      </c>
      <c r="Y2684" s="30">
        <v>0</v>
      </c>
      <c r="Z2684" s="232">
        <v>0</v>
      </c>
      <c r="AA2684" s="30">
        <v>0</v>
      </c>
      <c r="AB2684" s="30">
        <v>0</v>
      </c>
      <c r="AC2684" s="30">
        <v>0</v>
      </c>
      <c r="AD2684" s="30">
        <v>0</v>
      </c>
      <c r="AE2684" s="72" t="s">
        <v>92</v>
      </c>
      <c r="AF2684" s="72"/>
      <c r="AG2684" s="72" t="s">
        <v>352</v>
      </c>
      <c r="AH2684" s="72">
        <v>43248</v>
      </c>
      <c r="AI2684" s="30">
        <v>0</v>
      </c>
      <c r="AJ2684" s="72" t="s">
        <v>15162</v>
      </c>
      <c r="AK2684" s="72" t="s">
        <v>15163</v>
      </c>
      <c r="AL2684" s="70">
        <v>43250</v>
      </c>
      <c r="AM2684" s="70"/>
      <c r="AN2684" s="70"/>
      <c r="AO2684" s="70"/>
      <c r="AP2684" s="73" t="e">
        <f>MID(VLOOKUP(K2684,#REF!,2,FALSE),1,2)</f>
        <v>#REF!</v>
      </c>
      <c r="AQ2684" s="72">
        <f>DATE(2018,5,27)</f>
        <v>43247</v>
      </c>
      <c r="AR2684" s="82">
        <f t="shared" si="225"/>
        <v>27</v>
      </c>
      <c r="AS2684" s="83">
        <f t="shared" si="226"/>
        <v>5</v>
      </c>
      <c r="AT2684" s="84">
        <f t="shared" si="227"/>
        <v>2018</v>
      </c>
      <c r="AU2684" s="72">
        <f>DATE(2018,5,30)</f>
        <v>43250</v>
      </c>
      <c r="AV2684" s="72">
        <f>DATE(2018,5,27)</f>
        <v>43247</v>
      </c>
      <c r="AW2684" s="87">
        <f t="shared" si="224"/>
        <v>3</v>
      </c>
      <c r="AX2684" s="86"/>
      <c r="AY2684" s="83"/>
      <c r="AZ2684" s="84"/>
      <c r="BA2684" s="86"/>
      <c r="BB2684" s="86"/>
    </row>
    <row r="2685" spans="1:54" ht="36.75" customHeight="1">
      <c r="A2685" s="30"/>
      <c r="B2685" s="30" t="s">
        <v>55</v>
      </c>
      <c r="C2685" s="69" t="str">
        <f t="shared" si="221"/>
        <v>Closed</v>
      </c>
      <c r="D2685" s="27" t="s">
        <v>15164</v>
      </c>
      <c r="E2685" s="29" t="s">
        <v>15165</v>
      </c>
      <c r="F2685" s="30" t="s">
        <v>835</v>
      </c>
      <c r="G2685" s="72">
        <f>DATE(2018,5,29)</f>
        <v>43249</v>
      </c>
      <c r="H2685" s="80">
        <v>1.7208333333333332</v>
      </c>
      <c r="I2685" s="30" t="s">
        <v>2264</v>
      </c>
      <c r="J2685" s="72" t="s">
        <v>15166</v>
      </c>
      <c r="K2685" s="30" t="s">
        <v>837</v>
      </c>
      <c r="L2685" s="30" t="s">
        <v>15167</v>
      </c>
      <c r="M2685" s="30" t="s">
        <v>63</v>
      </c>
      <c r="N2685" s="30" t="s">
        <v>99</v>
      </c>
      <c r="O2685" s="30" t="s">
        <v>64</v>
      </c>
      <c r="P2685" s="72" t="s">
        <v>6941</v>
      </c>
      <c r="Q2685" s="72" t="s">
        <v>2162</v>
      </c>
      <c r="R2685" s="72" t="s">
        <v>840</v>
      </c>
      <c r="S2685" s="30">
        <v>0</v>
      </c>
      <c r="T2685" s="232">
        <v>0</v>
      </c>
      <c r="U2685" s="30">
        <v>0</v>
      </c>
      <c r="V2685" s="232">
        <v>0</v>
      </c>
      <c r="W2685" s="30">
        <v>0</v>
      </c>
      <c r="X2685" s="30">
        <v>0</v>
      </c>
      <c r="Y2685" s="30">
        <v>0</v>
      </c>
      <c r="Z2685" s="232">
        <v>0</v>
      </c>
      <c r="AA2685" s="30">
        <v>0</v>
      </c>
      <c r="AB2685" s="30">
        <v>0</v>
      </c>
      <c r="AC2685" s="30">
        <v>0</v>
      </c>
      <c r="AD2685" s="30">
        <v>0</v>
      </c>
      <c r="AE2685" s="72" t="s">
        <v>92</v>
      </c>
      <c r="AF2685" s="72"/>
      <c r="AG2685" s="72" t="s">
        <v>2083</v>
      </c>
      <c r="AH2685" s="72">
        <v>43251</v>
      </c>
      <c r="AI2685" s="30">
        <v>1</v>
      </c>
      <c r="AJ2685" s="72" t="s">
        <v>15168</v>
      </c>
      <c r="AK2685" s="72" t="s">
        <v>15169</v>
      </c>
      <c r="AL2685" s="70">
        <v>43265</v>
      </c>
      <c r="AM2685" s="70"/>
      <c r="AN2685" s="70"/>
      <c r="AO2685" s="70"/>
      <c r="AP2685" s="73" t="e">
        <f>MID(VLOOKUP(K2685,#REF!,2,FALSE),1,2)</f>
        <v>#REF!</v>
      </c>
      <c r="AQ2685" s="72">
        <f>DATE(2018,5,28)</f>
        <v>43248</v>
      </c>
      <c r="AR2685" s="82">
        <f t="shared" si="225"/>
        <v>28</v>
      </c>
      <c r="AS2685" s="83">
        <f t="shared" si="226"/>
        <v>5</v>
      </c>
      <c r="AT2685" s="84">
        <f t="shared" si="227"/>
        <v>2018</v>
      </c>
      <c r="AU2685" s="72">
        <f>DATE(2018,5,30)</f>
        <v>43250</v>
      </c>
      <c r="AV2685" s="72">
        <f>DATE(2018,5,28)</f>
        <v>43248</v>
      </c>
      <c r="AW2685" s="87">
        <f t="shared" si="224"/>
        <v>2</v>
      </c>
      <c r="AX2685" s="86"/>
      <c r="AY2685" s="83"/>
      <c r="AZ2685" s="84"/>
      <c r="BA2685" s="86"/>
      <c r="BB2685" s="86"/>
    </row>
    <row r="2686" spans="1:54" ht="36.75" customHeight="1">
      <c r="A2686" s="30"/>
      <c r="B2686" s="30" t="s">
        <v>55</v>
      </c>
      <c r="C2686" s="69" t="str">
        <f t="shared" si="221"/>
        <v>Closed</v>
      </c>
      <c r="D2686" s="27" t="s">
        <v>15170</v>
      </c>
      <c r="E2686" s="29" t="s">
        <v>15171</v>
      </c>
      <c r="F2686" s="30" t="s">
        <v>124</v>
      </c>
      <c r="G2686" s="72">
        <f>DATE(2018,5,29)</f>
        <v>43249</v>
      </c>
      <c r="H2686" s="80">
        <v>0</v>
      </c>
      <c r="I2686" s="30" t="s">
        <v>125</v>
      </c>
      <c r="J2686" s="72" t="s">
        <v>15172</v>
      </c>
      <c r="K2686" s="30" t="s">
        <v>127</v>
      </c>
      <c r="L2686" s="30" t="s">
        <v>15173</v>
      </c>
      <c r="M2686" s="30" t="s">
        <v>63</v>
      </c>
      <c r="N2686" s="30" t="s">
        <v>142</v>
      </c>
      <c r="O2686" s="30" t="s">
        <v>64</v>
      </c>
      <c r="P2686" s="72" t="s">
        <v>78</v>
      </c>
      <c r="Q2686" s="72" t="s">
        <v>401</v>
      </c>
      <c r="R2686" s="72" t="s">
        <v>167</v>
      </c>
      <c r="S2686" s="30">
        <v>0</v>
      </c>
      <c r="T2686" s="232">
        <v>0</v>
      </c>
      <c r="U2686" s="30">
        <v>0</v>
      </c>
      <c r="V2686" s="232">
        <v>0</v>
      </c>
      <c r="W2686" s="30">
        <v>0</v>
      </c>
      <c r="X2686" s="30">
        <v>0</v>
      </c>
      <c r="Y2686" s="30">
        <v>0</v>
      </c>
      <c r="Z2686" s="232">
        <v>0</v>
      </c>
      <c r="AA2686" s="30">
        <v>0</v>
      </c>
      <c r="AB2686" s="30">
        <v>0</v>
      </c>
      <c r="AC2686" s="30">
        <v>0</v>
      </c>
      <c r="AD2686" s="30">
        <v>0</v>
      </c>
      <c r="AE2686" s="72" t="s">
        <v>394</v>
      </c>
      <c r="AF2686" s="72"/>
      <c r="AG2686" s="72" t="s">
        <v>589</v>
      </c>
      <c r="AH2686" s="72">
        <v>43262</v>
      </c>
      <c r="AI2686" s="30">
        <v>1</v>
      </c>
      <c r="AJ2686" s="72" t="s">
        <v>15174</v>
      </c>
      <c r="AK2686" s="72" t="s">
        <v>68</v>
      </c>
      <c r="AL2686" s="70">
        <v>43273</v>
      </c>
      <c r="AM2686" s="70"/>
      <c r="AN2686" s="70"/>
      <c r="AO2686" s="70"/>
      <c r="AP2686" s="73" t="e">
        <f>MID(VLOOKUP(K2686,#REF!,2,FALSE),1,2)</f>
        <v>#REF!</v>
      </c>
      <c r="AQ2686" s="72">
        <f>DATE(2018,5,29)</f>
        <v>43249</v>
      </c>
      <c r="AR2686" s="82">
        <f t="shared" si="225"/>
        <v>29</v>
      </c>
      <c r="AS2686" s="83">
        <f t="shared" si="226"/>
        <v>5</v>
      </c>
      <c r="AT2686" s="84">
        <f t="shared" si="227"/>
        <v>2018</v>
      </c>
      <c r="AU2686" s="72">
        <f>DATE(2018,6,14)</f>
        <v>43265</v>
      </c>
      <c r="AV2686" s="72">
        <f>DATE(2018,5,31)</f>
        <v>43251</v>
      </c>
      <c r="AW2686" s="87">
        <f t="shared" si="224"/>
        <v>14</v>
      </c>
      <c r="AX2686" s="88">
        <f>DATE(2018,5,31)</f>
        <v>43251</v>
      </c>
      <c r="AY2686" s="83">
        <f>MONTH(AX2686)</f>
        <v>5</v>
      </c>
      <c r="AZ2686" s="84">
        <f>YEAR(AX2686)</f>
        <v>2018</v>
      </c>
      <c r="BA2686" s="88">
        <f>DATE(2018,5,31)</f>
        <v>43251</v>
      </c>
      <c r="BB2686" s="86"/>
    </row>
    <row r="2687" spans="1:54" ht="36.75" customHeight="1">
      <c r="A2687" s="30"/>
      <c r="B2687" s="30" t="s">
        <v>55</v>
      </c>
      <c r="C2687" s="69" t="str">
        <f t="shared" si="221"/>
        <v>Closed</v>
      </c>
      <c r="D2687" s="27" t="s">
        <v>15175</v>
      </c>
      <c r="E2687" s="29" t="s">
        <v>15176</v>
      </c>
      <c r="F2687" s="30" t="s">
        <v>835</v>
      </c>
      <c r="G2687" s="72">
        <f>DATE(2018,5,30)</f>
        <v>43250</v>
      </c>
      <c r="H2687" s="80">
        <v>1.2791666666666668</v>
      </c>
      <c r="I2687" s="30" t="s">
        <v>73</v>
      </c>
      <c r="J2687" s="72" t="s">
        <v>73</v>
      </c>
      <c r="K2687" s="30" t="s">
        <v>837</v>
      </c>
      <c r="L2687" s="30" t="s">
        <v>14024</v>
      </c>
      <c r="M2687" s="30" t="s">
        <v>63</v>
      </c>
      <c r="N2687" s="30" t="s">
        <v>142</v>
      </c>
      <c r="O2687" s="30" t="s">
        <v>77</v>
      </c>
      <c r="P2687" s="72" t="s">
        <v>78</v>
      </c>
      <c r="Q2687" s="72" t="s">
        <v>1397</v>
      </c>
      <c r="R2687" s="72" t="s">
        <v>840</v>
      </c>
      <c r="S2687" s="30">
        <v>0</v>
      </c>
      <c r="T2687" s="232">
        <v>0</v>
      </c>
      <c r="U2687" s="30">
        <v>0</v>
      </c>
      <c r="V2687" s="232">
        <v>0</v>
      </c>
      <c r="W2687" s="30">
        <v>0</v>
      </c>
      <c r="X2687" s="30">
        <v>0</v>
      </c>
      <c r="Y2687" s="30">
        <v>0</v>
      </c>
      <c r="Z2687" s="232">
        <v>0</v>
      </c>
      <c r="AA2687" s="30">
        <v>0</v>
      </c>
      <c r="AB2687" s="30">
        <v>0</v>
      </c>
      <c r="AC2687" s="30">
        <v>0</v>
      </c>
      <c r="AD2687" s="30">
        <v>0</v>
      </c>
      <c r="AE2687" s="72" t="s">
        <v>92</v>
      </c>
      <c r="AF2687" s="72"/>
      <c r="AG2687" s="72" t="s">
        <v>352</v>
      </c>
      <c r="AH2687" s="72">
        <v>43284</v>
      </c>
      <c r="AI2687" s="30">
        <v>0</v>
      </c>
      <c r="AJ2687" s="72" t="s">
        <v>15177</v>
      </c>
      <c r="AK2687" s="72" t="s">
        <v>1233</v>
      </c>
      <c r="AL2687" s="70">
        <v>43291</v>
      </c>
      <c r="AM2687" s="70"/>
      <c r="AN2687" s="70"/>
      <c r="AO2687" s="70"/>
      <c r="AP2687" s="73" t="e">
        <f>MID(VLOOKUP(K2687,#REF!,2,FALSE),1,2)</f>
        <v>#REF!</v>
      </c>
      <c r="AQ2687" s="72">
        <f>DATE(2018,5,29)</f>
        <v>43249</v>
      </c>
      <c r="AR2687" s="82">
        <f t="shared" si="225"/>
        <v>29</v>
      </c>
      <c r="AS2687" s="83">
        <f t="shared" si="226"/>
        <v>5</v>
      </c>
      <c r="AT2687" s="84">
        <f t="shared" si="227"/>
        <v>2018</v>
      </c>
      <c r="AU2687" s="72">
        <f>DATE(2018,6,22)</f>
        <v>43273</v>
      </c>
      <c r="AV2687" s="72">
        <f>DATE(2018,6,11)</f>
        <v>43262</v>
      </c>
      <c r="AW2687" s="87">
        <f t="shared" si="224"/>
        <v>11</v>
      </c>
      <c r="AX2687" s="86"/>
      <c r="AY2687" s="83"/>
      <c r="AZ2687" s="84"/>
      <c r="BA2687" s="86"/>
      <c r="BB2687" s="86"/>
    </row>
    <row r="2688" spans="1:54" ht="36.75" customHeight="1">
      <c r="A2688" s="30"/>
      <c r="B2688" s="30" t="s">
        <v>55</v>
      </c>
      <c r="C2688" s="69" t="str">
        <f t="shared" si="221"/>
        <v>Closed</v>
      </c>
      <c r="D2688" s="27" t="s">
        <v>15178</v>
      </c>
      <c r="E2688" s="29" t="s">
        <v>15179</v>
      </c>
      <c r="F2688" s="30" t="s">
        <v>6455</v>
      </c>
      <c r="G2688" s="72">
        <f>DATE(2018,6,1)</f>
        <v>43252</v>
      </c>
      <c r="H2688" s="80">
        <v>1.2173611111111111</v>
      </c>
      <c r="I2688" s="30" t="s">
        <v>156</v>
      </c>
      <c r="J2688" s="72" t="s">
        <v>15180</v>
      </c>
      <c r="K2688" s="30" t="s">
        <v>584</v>
      </c>
      <c r="L2688" s="30" t="s">
        <v>15181</v>
      </c>
      <c r="M2688" s="30" t="s">
        <v>63</v>
      </c>
      <c r="N2688" s="30" t="s">
        <v>99</v>
      </c>
      <c r="O2688" s="30" t="s">
        <v>64</v>
      </c>
      <c r="P2688" s="72" t="s">
        <v>165</v>
      </c>
      <c r="Q2688" s="72" t="s">
        <v>3903</v>
      </c>
      <c r="R2688" s="72" t="s">
        <v>587</v>
      </c>
      <c r="S2688" s="30">
        <v>0</v>
      </c>
      <c r="T2688" s="232">
        <v>0</v>
      </c>
      <c r="U2688" s="30">
        <v>0</v>
      </c>
      <c r="V2688" s="232">
        <v>0</v>
      </c>
      <c r="W2688" s="30">
        <v>0</v>
      </c>
      <c r="X2688" s="30">
        <v>0</v>
      </c>
      <c r="Y2688" s="30">
        <v>0</v>
      </c>
      <c r="Z2688" s="232">
        <v>0</v>
      </c>
      <c r="AA2688" s="30">
        <v>0</v>
      </c>
      <c r="AB2688" s="30">
        <v>0</v>
      </c>
      <c r="AC2688" s="30">
        <v>0</v>
      </c>
      <c r="AD2688" s="30">
        <v>0</v>
      </c>
      <c r="AE2688" s="72" t="s">
        <v>145</v>
      </c>
      <c r="AF2688" s="72" t="s">
        <v>15182</v>
      </c>
      <c r="AG2688" s="72" t="s">
        <v>8859</v>
      </c>
      <c r="AH2688" s="72">
        <v>43437</v>
      </c>
      <c r="AI2688" s="30">
        <v>1</v>
      </c>
      <c r="AJ2688" s="72" t="s">
        <v>15183</v>
      </c>
      <c r="AK2688" s="72"/>
      <c r="AL2688" s="70">
        <v>43437</v>
      </c>
      <c r="AM2688" s="70"/>
      <c r="AN2688" s="70">
        <v>44645</v>
      </c>
      <c r="AO2688" s="70">
        <v>44644</v>
      </c>
      <c r="AP2688" s="73" t="e">
        <f>MID(VLOOKUP(K2688,#REF!,2,FALSE),1,2)</f>
        <v>#REF!</v>
      </c>
      <c r="AQ2688" s="72">
        <f>DATE(2018,5,30)</f>
        <v>43250</v>
      </c>
      <c r="AR2688" s="82">
        <f t="shared" si="225"/>
        <v>30</v>
      </c>
      <c r="AS2688" s="83">
        <f t="shared" si="226"/>
        <v>5</v>
      </c>
      <c r="AT2688" s="84">
        <f t="shared" si="227"/>
        <v>2018</v>
      </c>
      <c r="AU2688" s="72">
        <f>DATE(2018,7,10)</f>
        <v>43291</v>
      </c>
      <c r="AV2688" s="72">
        <f>DATE(2018,7,3)</f>
        <v>43284</v>
      </c>
      <c r="AW2688" s="87">
        <f t="shared" si="224"/>
        <v>7</v>
      </c>
      <c r="AX2688" s="88">
        <f>DATE(2018,7,3)</f>
        <v>43284</v>
      </c>
      <c r="AY2688" s="83">
        <f>MONTH(AX2688)</f>
        <v>7</v>
      </c>
      <c r="AZ2688" s="84">
        <f>YEAR(AX2688)</f>
        <v>2018</v>
      </c>
      <c r="BA2688" s="88">
        <f>DATE(2018,7,3)</f>
        <v>43284</v>
      </c>
      <c r="BB2688" s="86"/>
    </row>
    <row r="2689" spans="1:54" ht="36.75" customHeight="1">
      <c r="A2689" s="30"/>
      <c r="B2689" s="30" t="s">
        <v>55</v>
      </c>
      <c r="C2689" s="69" t="str">
        <f t="shared" si="221"/>
        <v>Closed</v>
      </c>
      <c r="D2689" s="27" t="s">
        <v>15184</v>
      </c>
      <c r="E2689" s="29" t="s">
        <v>15185</v>
      </c>
      <c r="F2689" s="30" t="s">
        <v>9789</v>
      </c>
      <c r="G2689" s="72">
        <f>DATE(2018,6,2)</f>
        <v>43253</v>
      </c>
      <c r="H2689" s="80">
        <v>1.5805555555555557</v>
      </c>
      <c r="I2689" s="30" t="s">
        <v>2078</v>
      </c>
      <c r="J2689" s="265" t="s">
        <v>15186</v>
      </c>
      <c r="K2689" s="30" t="s">
        <v>9791</v>
      </c>
      <c r="L2689" s="30" t="s">
        <v>15187</v>
      </c>
      <c r="M2689" s="30" t="s">
        <v>63</v>
      </c>
      <c r="N2689" s="30" t="s">
        <v>99</v>
      </c>
      <c r="O2689" s="30" t="s">
        <v>77</v>
      </c>
      <c r="P2689" s="72" t="s">
        <v>78</v>
      </c>
      <c r="Q2689" s="72" t="s">
        <v>10257</v>
      </c>
      <c r="R2689" s="72" t="s">
        <v>9794</v>
      </c>
      <c r="S2689" s="30">
        <v>0</v>
      </c>
      <c r="T2689" s="232">
        <v>0</v>
      </c>
      <c r="U2689" s="30">
        <v>0</v>
      </c>
      <c r="V2689" s="232">
        <v>0</v>
      </c>
      <c r="W2689" s="30">
        <v>0</v>
      </c>
      <c r="X2689" s="30">
        <v>0</v>
      </c>
      <c r="Y2689" s="30">
        <v>0</v>
      </c>
      <c r="Z2689" s="232">
        <v>0</v>
      </c>
      <c r="AA2689" s="30">
        <v>0</v>
      </c>
      <c r="AB2689" s="30">
        <v>0</v>
      </c>
      <c r="AC2689" s="30">
        <v>0</v>
      </c>
      <c r="AD2689" s="30">
        <v>0</v>
      </c>
      <c r="AE2689" s="72" t="s">
        <v>92</v>
      </c>
      <c r="AF2689" s="72"/>
      <c r="AG2689" s="72" t="s">
        <v>589</v>
      </c>
      <c r="AH2689" s="72">
        <v>43257</v>
      </c>
      <c r="AI2689" s="30">
        <v>2</v>
      </c>
      <c r="AJ2689" s="72" t="s">
        <v>15188</v>
      </c>
      <c r="AK2689" s="72" t="s">
        <v>15189</v>
      </c>
      <c r="AL2689" s="70">
        <v>43262</v>
      </c>
      <c r="AM2689" s="70"/>
      <c r="AN2689" s="70"/>
      <c r="AO2689" s="70"/>
      <c r="AP2689" s="73" t="e">
        <f>MID(VLOOKUP(K2689,#REF!,2,FALSE),1,2)</f>
        <v>#REF!</v>
      </c>
      <c r="AQ2689" s="72">
        <f>DATE(2018,6,2)</f>
        <v>43253</v>
      </c>
      <c r="AR2689" s="82">
        <f t="shared" si="225"/>
        <v>2</v>
      </c>
      <c r="AS2689" s="83">
        <f t="shared" si="226"/>
        <v>6</v>
      </c>
      <c r="AT2689" s="84">
        <f t="shared" si="227"/>
        <v>2018</v>
      </c>
      <c r="AU2689" s="72">
        <f>DATE(2018,6,11)</f>
        <v>43262</v>
      </c>
      <c r="AV2689" s="72">
        <f>DATE(2018,6,6)</f>
        <v>43257</v>
      </c>
      <c r="AW2689" s="87">
        <f t="shared" si="224"/>
        <v>5</v>
      </c>
      <c r="AX2689" s="86"/>
      <c r="AY2689" s="83"/>
      <c r="AZ2689" s="84"/>
      <c r="BA2689" s="88">
        <f>DATE(2018,6,11)</f>
        <v>43262</v>
      </c>
      <c r="BB2689" s="86"/>
    </row>
    <row r="2690" spans="1:54" ht="36.75" customHeight="1">
      <c r="A2690" s="30"/>
      <c r="B2690" s="30" t="s">
        <v>55</v>
      </c>
      <c r="C2690" s="69" t="str">
        <f t="shared" ref="C2690:C2753" si="228">IF(B2690="Notification","Open",IF(B2690="Interim Statement","In progress","Closed"))</f>
        <v>Closed</v>
      </c>
      <c r="D2690" s="27" t="s">
        <v>15190</v>
      </c>
      <c r="E2690" s="29" t="s">
        <v>15191</v>
      </c>
      <c r="F2690" s="30" t="s">
        <v>423</v>
      </c>
      <c r="G2690" s="72">
        <f>DATE(2018,6,4)</f>
        <v>43255</v>
      </c>
      <c r="H2690" s="80">
        <v>1.3548611111111111</v>
      </c>
      <c r="I2690" s="30" t="s">
        <v>116</v>
      </c>
      <c r="J2690" s="72" t="s">
        <v>15192</v>
      </c>
      <c r="K2690" s="30" t="s">
        <v>425</v>
      </c>
      <c r="L2690" s="30" t="s">
        <v>15193</v>
      </c>
      <c r="M2690" s="30" t="s">
        <v>63</v>
      </c>
      <c r="N2690" s="30" t="s">
        <v>99</v>
      </c>
      <c r="O2690" s="30" t="s">
        <v>64</v>
      </c>
      <c r="P2690" s="72" t="s">
        <v>165</v>
      </c>
      <c r="Q2690" s="72" t="s">
        <v>4551</v>
      </c>
      <c r="R2690" s="72" t="s">
        <v>3103</v>
      </c>
      <c r="S2690" s="30">
        <v>0</v>
      </c>
      <c r="T2690" s="232">
        <v>0</v>
      </c>
      <c r="U2690" s="30">
        <v>1</v>
      </c>
      <c r="V2690" s="232">
        <v>0</v>
      </c>
      <c r="W2690" s="30">
        <v>0</v>
      </c>
      <c r="X2690" s="30">
        <v>1</v>
      </c>
      <c r="Y2690" s="30">
        <v>0</v>
      </c>
      <c r="Z2690" s="232">
        <v>0</v>
      </c>
      <c r="AA2690" s="30">
        <v>0</v>
      </c>
      <c r="AB2690" s="30">
        <v>0</v>
      </c>
      <c r="AC2690" s="30">
        <v>0</v>
      </c>
      <c r="AD2690" s="30">
        <v>0</v>
      </c>
      <c r="AE2690" s="72" t="s">
        <v>92</v>
      </c>
      <c r="AF2690" s="72"/>
      <c r="AG2690" s="72" t="s">
        <v>133</v>
      </c>
      <c r="AH2690" s="72">
        <v>43196</v>
      </c>
      <c r="AI2690" s="30">
        <v>1</v>
      </c>
      <c r="AJ2690" s="72" t="s">
        <v>15108</v>
      </c>
      <c r="AK2690" s="72" t="s">
        <v>15109</v>
      </c>
      <c r="AL2690" s="70">
        <v>43262</v>
      </c>
      <c r="AM2690" s="70"/>
      <c r="AN2690" s="70"/>
      <c r="AO2690" s="70"/>
      <c r="AP2690" s="73" t="e">
        <f>MID(VLOOKUP(K2690,#REF!,2,FALSE),1,2)</f>
        <v>#REF!</v>
      </c>
      <c r="AQ2690" s="72">
        <f>DATE(2018,6,4)</f>
        <v>43255</v>
      </c>
      <c r="AR2690" s="82">
        <f t="shared" si="225"/>
        <v>4</v>
      </c>
      <c r="AS2690" s="83">
        <f t="shared" si="226"/>
        <v>6</v>
      </c>
      <c r="AT2690" s="84">
        <f t="shared" si="227"/>
        <v>2018</v>
      </c>
      <c r="AU2690" s="72">
        <f>DATE(2018,6,11)</f>
        <v>43262</v>
      </c>
      <c r="AV2690" s="72">
        <f>DATE(2018,6,4)</f>
        <v>43255</v>
      </c>
      <c r="AW2690" s="87">
        <f t="shared" si="224"/>
        <v>7</v>
      </c>
      <c r="AX2690" s="86"/>
      <c r="AY2690" s="83"/>
      <c r="AZ2690" s="84"/>
      <c r="BA2690" s="86"/>
      <c r="BB2690" s="86"/>
    </row>
    <row r="2691" spans="1:54" ht="36.75" customHeight="1">
      <c r="A2691" s="30"/>
      <c r="B2691" s="30" t="s">
        <v>55</v>
      </c>
      <c r="C2691" s="69" t="str">
        <f t="shared" si="228"/>
        <v>Closed</v>
      </c>
      <c r="D2691" s="27" t="s">
        <v>15194</v>
      </c>
      <c r="E2691" s="29" t="s">
        <v>15195</v>
      </c>
      <c r="F2691" s="30" t="s">
        <v>835</v>
      </c>
      <c r="G2691" s="72">
        <f>DATE(2018,6,5)</f>
        <v>43256</v>
      </c>
      <c r="H2691" s="80">
        <v>1.6437499999999998</v>
      </c>
      <c r="I2691" s="30" t="s">
        <v>73</v>
      </c>
      <c r="J2691" s="72" t="s">
        <v>15196</v>
      </c>
      <c r="K2691" s="30" t="s">
        <v>837</v>
      </c>
      <c r="L2691" s="30" t="s">
        <v>15197</v>
      </c>
      <c r="M2691" s="30" t="s">
        <v>255</v>
      </c>
      <c r="N2691" s="30" t="s">
        <v>142</v>
      </c>
      <c r="O2691" s="30" t="s">
        <v>77</v>
      </c>
      <c r="P2691" s="72" t="s">
        <v>6552</v>
      </c>
      <c r="Q2691" s="72" t="s">
        <v>4210</v>
      </c>
      <c r="R2691" s="72" t="s">
        <v>4210</v>
      </c>
      <c r="S2691" s="30">
        <v>0</v>
      </c>
      <c r="T2691" s="232">
        <v>0</v>
      </c>
      <c r="U2691" s="30">
        <v>0</v>
      </c>
      <c r="V2691" s="232">
        <v>0</v>
      </c>
      <c r="W2691" s="30">
        <v>0</v>
      </c>
      <c r="X2691" s="30">
        <v>0</v>
      </c>
      <c r="Y2691" s="30">
        <v>0</v>
      </c>
      <c r="Z2691" s="232">
        <v>0</v>
      </c>
      <c r="AA2691" s="30">
        <v>0</v>
      </c>
      <c r="AB2691" s="30">
        <v>0</v>
      </c>
      <c r="AC2691" s="30">
        <v>0</v>
      </c>
      <c r="AD2691" s="30">
        <v>0</v>
      </c>
      <c r="AE2691" s="72" t="s">
        <v>92</v>
      </c>
      <c r="AF2691" s="72"/>
      <c r="AG2691" s="72" t="s">
        <v>352</v>
      </c>
      <c r="AH2691" s="72">
        <v>43277</v>
      </c>
      <c r="AI2691" s="30">
        <v>0</v>
      </c>
      <c r="AJ2691" s="72" t="s">
        <v>15198</v>
      </c>
      <c r="AK2691" s="72" t="s">
        <v>15199</v>
      </c>
      <c r="AL2691" s="70">
        <v>43283</v>
      </c>
      <c r="AM2691" s="70"/>
      <c r="AN2691" s="70"/>
      <c r="AO2691" s="70"/>
      <c r="AP2691" s="73" t="e">
        <f>MID(VLOOKUP(K2691,#REF!,2,FALSE),1,2)</f>
        <v>#REF!</v>
      </c>
      <c r="AQ2691" s="72">
        <f>DATE(2018,6,5)</f>
        <v>43256</v>
      </c>
      <c r="AR2691" s="82">
        <f t="shared" si="225"/>
        <v>5</v>
      </c>
      <c r="AS2691" s="83">
        <f t="shared" si="226"/>
        <v>6</v>
      </c>
      <c r="AT2691" s="84">
        <f t="shared" si="227"/>
        <v>2018</v>
      </c>
      <c r="AU2691" s="72">
        <f>DATE(2018,7,2)</f>
        <v>43283</v>
      </c>
      <c r="AV2691" s="72">
        <f>DATE(2018,6,26)</f>
        <v>43277</v>
      </c>
      <c r="AW2691" s="87">
        <f t="shared" si="224"/>
        <v>6</v>
      </c>
      <c r="AX2691" s="88">
        <f>DATE(2018,6,26)</f>
        <v>43277</v>
      </c>
      <c r="AY2691" s="83">
        <f>MONTH(AX2691)</f>
        <v>6</v>
      </c>
      <c r="AZ2691" s="84">
        <f>YEAR(AX2691)</f>
        <v>2018</v>
      </c>
      <c r="BA2691" s="88">
        <f>DATE(2018,6,26)</f>
        <v>43277</v>
      </c>
      <c r="BB2691" s="86"/>
    </row>
    <row r="2692" spans="1:54" ht="36.75" customHeight="1">
      <c r="A2692" s="30"/>
      <c r="B2692" s="30" t="s">
        <v>55</v>
      </c>
      <c r="C2692" s="69" t="str">
        <f t="shared" si="228"/>
        <v>Closed</v>
      </c>
      <c r="D2692" s="27" t="s">
        <v>15200</v>
      </c>
      <c r="E2692" s="29" t="s">
        <v>15201</v>
      </c>
      <c r="F2692" s="30" t="s">
        <v>5427</v>
      </c>
      <c r="G2692" s="72">
        <f>DATE(2018,6,5)</f>
        <v>43256</v>
      </c>
      <c r="H2692" s="80">
        <v>1.336111111111111</v>
      </c>
      <c r="I2692" s="30" t="s">
        <v>278</v>
      </c>
      <c r="J2692" s="72" t="s">
        <v>15202</v>
      </c>
      <c r="K2692" s="30" t="s">
        <v>596</v>
      </c>
      <c r="L2692" s="30" t="s">
        <v>15203</v>
      </c>
      <c r="M2692" s="30" t="s">
        <v>63</v>
      </c>
      <c r="N2692" s="30" t="s">
        <v>142</v>
      </c>
      <c r="O2692" s="30" t="s">
        <v>77</v>
      </c>
      <c r="P2692" s="72" t="s">
        <v>91</v>
      </c>
      <c r="Q2692" s="72" t="s">
        <v>10529</v>
      </c>
      <c r="R2692" s="72" t="s">
        <v>12074</v>
      </c>
      <c r="S2692" s="30">
        <v>0</v>
      </c>
      <c r="T2692" s="232">
        <v>1</v>
      </c>
      <c r="U2692" s="30">
        <v>0</v>
      </c>
      <c r="V2692" s="232">
        <v>0</v>
      </c>
      <c r="W2692" s="30">
        <v>0</v>
      </c>
      <c r="X2692" s="30">
        <v>1</v>
      </c>
      <c r="Y2692" s="30">
        <v>0</v>
      </c>
      <c r="Z2692" s="232">
        <v>0</v>
      </c>
      <c r="AA2692" s="30">
        <v>0</v>
      </c>
      <c r="AB2692" s="30">
        <v>0</v>
      </c>
      <c r="AC2692" s="30">
        <v>0</v>
      </c>
      <c r="AD2692" s="30">
        <v>0</v>
      </c>
      <c r="AE2692" s="72" t="s">
        <v>92</v>
      </c>
      <c r="AF2692" s="72"/>
      <c r="AG2692" s="72" t="s">
        <v>82</v>
      </c>
      <c r="AH2692" s="72">
        <v>43257</v>
      </c>
      <c r="AI2692" s="30">
        <v>5</v>
      </c>
      <c r="AJ2692" s="72" t="s">
        <v>15204</v>
      </c>
      <c r="AK2692" s="72" t="s">
        <v>15205</v>
      </c>
      <c r="AL2692" s="70">
        <v>43260</v>
      </c>
      <c r="AM2692" s="70"/>
      <c r="AN2692" s="70"/>
      <c r="AO2692" s="70"/>
      <c r="AP2692" s="73" t="e">
        <f>MID(VLOOKUP(K2692,#REF!,2,FALSE),1,2)</f>
        <v>#REF!</v>
      </c>
      <c r="AQ2692" s="72">
        <f>DATE(2018,6,5)</f>
        <v>43256</v>
      </c>
      <c r="AR2692" s="82">
        <f t="shared" si="225"/>
        <v>5</v>
      </c>
      <c r="AS2692" s="83">
        <f t="shared" si="226"/>
        <v>6</v>
      </c>
      <c r="AT2692" s="84">
        <f t="shared" si="227"/>
        <v>2018</v>
      </c>
      <c r="AU2692" s="72">
        <f>DATE(2018,6,9)</f>
        <v>43260</v>
      </c>
      <c r="AV2692" s="72">
        <f>DATE(2018,6,6)</f>
        <v>43257</v>
      </c>
      <c r="AW2692" s="87">
        <f t="shared" si="224"/>
        <v>3</v>
      </c>
      <c r="AX2692" s="88">
        <f>DATE(2018,6,9)</f>
        <v>43260</v>
      </c>
      <c r="AY2692" s="83">
        <f>MONTH(AX2692)</f>
        <v>6</v>
      </c>
      <c r="AZ2692" s="84">
        <f>YEAR(AX2692)</f>
        <v>2018</v>
      </c>
      <c r="BA2692" s="88">
        <f>DATE(2018,6,5)</f>
        <v>43256</v>
      </c>
      <c r="BB2692" s="86"/>
    </row>
    <row r="2693" spans="1:54" ht="36.75" customHeight="1">
      <c r="A2693" s="30"/>
      <c r="B2693" s="30" t="s">
        <v>55</v>
      </c>
      <c r="C2693" s="69" t="str">
        <f t="shared" si="228"/>
        <v>Closed</v>
      </c>
      <c r="D2693" s="27" t="s">
        <v>15206</v>
      </c>
      <c r="E2693" s="29" t="s">
        <v>15207</v>
      </c>
      <c r="F2693" s="30" t="s">
        <v>1572</v>
      </c>
      <c r="G2693" s="72">
        <f>DATE(2018,6,5)</f>
        <v>43256</v>
      </c>
      <c r="H2693" s="80">
        <v>1.2583333333333333</v>
      </c>
      <c r="I2693" s="30" t="s">
        <v>125</v>
      </c>
      <c r="J2693" s="72" t="s">
        <v>15208</v>
      </c>
      <c r="K2693" s="30" t="s">
        <v>1574</v>
      </c>
      <c r="L2693" s="30" t="s">
        <v>15209</v>
      </c>
      <c r="M2693" s="30" t="s">
        <v>63</v>
      </c>
      <c r="N2693" s="30" t="s">
        <v>99</v>
      </c>
      <c r="O2693" s="30" t="s">
        <v>64</v>
      </c>
      <c r="P2693" s="72" t="s">
        <v>6941</v>
      </c>
      <c r="Q2693" s="72" t="s">
        <v>5170</v>
      </c>
      <c r="R2693" s="72" t="s">
        <v>2561</v>
      </c>
      <c r="S2693" s="30">
        <v>0</v>
      </c>
      <c r="T2693" s="232">
        <v>0</v>
      </c>
      <c r="U2693" s="30">
        <v>0</v>
      </c>
      <c r="V2693" s="232">
        <v>0</v>
      </c>
      <c r="W2693" s="30">
        <v>0</v>
      </c>
      <c r="X2693" s="30">
        <v>0</v>
      </c>
      <c r="Y2693" s="30">
        <v>0</v>
      </c>
      <c r="Z2693" s="232">
        <v>0</v>
      </c>
      <c r="AA2693" s="30">
        <v>0</v>
      </c>
      <c r="AB2693" s="30">
        <v>0</v>
      </c>
      <c r="AC2693" s="30">
        <v>0</v>
      </c>
      <c r="AD2693" s="30">
        <v>0</v>
      </c>
      <c r="AE2693" s="72" t="s">
        <v>92</v>
      </c>
      <c r="AF2693" s="72"/>
      <c r="AG2693" s="72" t="s">
        <v>133</v>
      </c>
      <c r="AH2693" s="72">
        <v>43257</v>
      </c>
      <c r="AI2693" s="30">
        <v>2</v>
      </c>
      <c r="AJ2693" s="72" t="s">
        <v>15210</v>
      </c>
      <c r="AK2693" s="72" t="s">
        <v>15211</v>
      </c>
      <c r="AL2693" s="70">
        <v>43261</v>
      </c>
      <c r="AM2693" s="70"/>
      <c r="AN2693" s="70"/>
      <c r="AO2693" s="70"/>
      <c r="AP2693" s="73" t="e">
        <f>MID(VLOOKUP(K2693,#REF!,2,FALSE),1,2)</f>
        <v>#REF!</v>
      </c>
      <c r="AQ2693" s="72">
        <f>DATE(2018,6,5)</f>
        <v>43256</v>
      </c>
      <c r="AR2693" s="82">
        <f t="shared" si="225"/>
        <v>5</v>
      </c>
      <c r="AS2693" s="83">
        <f t="shared" si="226"/>
        <v>6</v>
      </c>
      <c r="AT2693" s="84">
        <f t="shared" si="227"/>
        <v>2018</v>
      </c>
      <c r="AU2693" s="72">
        <f>DATE(2018,6,10)</f>
        <v>43261</v>
      </c>
      <c r="AV2693" s="72">
        <f>DATE(2018,6,6)</f>
        <v>43257</v>
      </c>
      <c r="AW2693" s="87">
        <f t="shared" si="224"/>
        <v>4</v>
      </c>
      <c r="AX2693" s="88">
        <f>DATE(2018,6,10)</f>
        <v>43261</v>
      </c>
      <c r="AY2693" s="83">
        <f>MONTH(AX2693)</f>
        <v>6</v>
      </c>
      <c r="AZ2693" s="84">
        <f>YEAR(AX2693)</f>
        <v>2018</v>
      </c>
      <c r="BA2693" s="88">
        <f>DATE(2018,6,5)</f>
        <v>43256</v>
      </c>
      <c r="BB2693" s="86"/>
    </row>
    <row r="2694" spans="1:54" ht="36.75" customHeight="1">
      <c r="A2694" s="30"/>
      <c r="B2694" s="30" t="s">
        <v>55</v>
      </c>
      <c r="C2694" s="69" t="str">
        <f t="shared" si="228"/>
        <v>Closed</v>
      </c>
      <c r="D2694" s="27" t="s">
        <v>15212</v>
      </c>
      <c r="E2694" s="29" t="s">
        <v>15213</v>
      </c>
      <c r="F2694" s="30" t="s">
        <v>1572</v>
      </c>
      <c r="G2694" s="72">
        <f>DATE(2018,6,6)</f>
        <v>43257</v>
      </c>
      <c r="H2694" s="80">
        <v>1.9083333333333332</v>
      </c>
      <c r="I2694" s="30" t="s">
        <v>73</v>
      </c>
      <c r="J2694" s="72" t="s">
        <v>15214</v>
      </c>
      <c r="K2694" s="30" t="s">
        <v>1574</v>
      </c>
      <c r="L2694" s="30" t="s">
        <v>9074</v>
      </c>
      <c r="M2694" s="30" t="s">
        <v>63</v>
      </c>
      <c r="N2694" s="30" t="s">
        <v>142</v>
      </c>
      <c r="O2694" s="30" t="s">
        <v>77</v>
      </c>
      <c r="P2694" s="72" t="s">
        <v>78</v>
      </c>
      <c r="Q2694" s="72" t="s">
        <v>2655</v>
      </c>
      <c r="R2694" s="72" t="s">
        <v>6434</v>
      </c>
      <c r="S2694" s="30">
        <v>0</v>
      </c>
      <c r="T2694" s="232">
        <v>0</v>
      </c>
      <c r="U2694" s="30">
        <v>0</v>
      </c>
      <c r="V2694" s="232">
        <v>0</v>
      </c>
      <c r="W2694" s="30">
        <v>0</v>
      </c>
      <c r="X2694" s="30">
        <v>0</v>
      </c>
      <c r="Y2694" s="30">
        <v>0</v>
      </c>
      <c r="Z2694" s="232">
        <v>0</v>
      </c>
      <c r="AA2694" s="30">
        <v>0</v>
      </c>
      <c r="AB2694" s="30">
        <v>0</v>
      </c>
      <c r="AC2694" s="30">
        <v>0</v>
      </c>
      <c r="AD2694" s="30">
        <v>0</v>
      </c>
      <c r="AE2694" s="72" t="s">
        <v>92</v>
      </c>
      <c r="AF2694" s="72"/>
      <c r="AG2694" s="72" t="s">
        <v>133</v>
      </c>
      <c r="AH2694" s="72">
        <v>43258</v>
      </c>
      <c r="AI2694" s="30">
        <v>1</v>
      </c>
      <c r="AJ2694" s="72" t="s">
        <v>15215</v>
      </c>
      <c r="AK2694" s="72" t="s">
        <v>15216</v>
      </c>
      <c r="AL2694" s="70">
        <v>43261</v>
      </c>
      <c r="AM2694" s="70"/>
      <c r="AN2694" s="70"/>
      <c r="AO2694" s="70"/>
      <c r="AP2694" s="73" t="e">
        <f>MID(VLOOKUP(K2694,#REF!,2,FALSE),1,2)</f>
        <v>#REF!</v>
      </c>
      <c r="AQ2694" s="72">
        <f>DATE(2018,6,6)</f>
        <v>43257</v>
      </c>
      <c r="AR2694" s="82">
        <f t="shared" si="225"/>
        <v>6</v>
      </c>
      <c r="AS2694" s="83">
        <f t="shared" si="226"/>
        <v>6</v>
      </c>
      <c r="AT2694" s="84">
        <f t="shared" si="227"/>
        <v>2018</v>
      </c>
      <c r="AU2694" s="72">
        <f>DATE(2018,6,10)</f>
        <v>43261</v>
      </c>
      <c r="AV2694" s="72">
        <f>DATE(2018,6,7)</f>
        <v>43258</v>
      </c>
      <c r="AW2694" s="87">
        <f t="shared" si="224"/>
        <v>3</v>
      </c>
      <c r="AX2694" s="88">
        <f>DATE(2018,6,10)</f>
        <v>43261</v>
      </c>
      <c r="AY2694" s="83">
        <f>MONTH(AX2694)</f>
        <v>6</v>
      </c>
      <c r="AZ2694" s="84">
        <f>YEAR(AX2694)</f>
        <v>2018</v>
      </c>
      <c r="BA2694" s="88">
        <f>DATE(2018,6,6)</f>
        <v>43257</v>
      </c>
      <c r="BB2694" s="86"/>
    </row>
    <row r="2695" spans="1:54" ht="36.75" customHeight="1">
      <c r="A2695" s="30"/>
      <c r="B2695" s="30" t="s">
        <v>55</v>
      </c>
      <c r="C2695" s="69" t="str">
        <f t="shared" si="228"/>
        <v>Closed</v>
      </c>
      <c r="D2695" s="27" t="s">
        <v>15217</v>
      </c>
      <c r="E2695" s="29" t="s">
        <v>15218</v>
      </c>
      <c r="F2695" s="30" t="s">
        <v>124</v>
      </c>
      <c r="G2695" s="72">
        <f>DATE(2018,6,7)</f>
        <v>43258</v>
      </c>
      <c r="H2695" s="80">
        <v>1.6805555555555554</v>
      </c>
      <c r="I2695" s="30" t="s">
        <v>487</v>
      </c>
      <c r="J2695" s="72" t="s">
        <v>15219</v>
      </c>
      <c r="K2695" s="30" t="s">
        <v>127</v>
      </c>
      <c r="L2695" s="30" t="s">
        <v>15220</v>
      </c>
      <c r="M2695" s="30" t="s">
        <v>129</v>
      </c>
      <c r="N2695" s="30" t="s">
        <v>99</v>
      </c>
      <c r="O2695" s="30" t="s">
        <v>64</v>
      </c>
      <c r="P2695" s="72" t="s">
        <v>301</v>
      </c>
      <c r="Q2695" s="72" t="s">
        <v>130</v>
      </c>
      <c r="R2695" s="72" t="s">
        <v>131</v>
      </c>
      <c r="S2695" s="30">
        <v>0</v>
      </c>
      <c r="T2695" s="232">
        <v>0</v>
      </c>
      <c r="U2695" s="30">
        <v>0</v>
      </c>
      <c r="V2695" s="232">
        <v>0</v>
      </c>
      <c r="W2695" s="30">
        <v>0</v>
      </c>
      <c r="X2695" s="30">
        <v>0</v>
      </c>
      <c r="Y2695" s="30">
        <v>0</v>
      </c>
      <c r="Z2695" s="232">
        <v>0</v>
      </c>
      <c r="AA2695" s="30">
        <v>0</v>
      </c>
      <c r="AB2695" s="30">
        <v>0</v>
      </c>
      <c r="AC2695" s="30">
        <v>0</v>
      </c>
      <c r="AD2695" s="30">
        <v>0</v>
      </c>
      <c r="AE2695" s="72" t="s">
        <v>92</v>
      </c>
      <c r="AF2695" s="72"/>
      <c r="AG2695" s="72" t="s">
        <v>367</v>
      </c>
      <c r="AH2695" s="72">
        <v>43271</v>
      </c>
      <c r="AI2695" s="30">
        <v>1</v>
      </c>
      <c r="AJ2695" s="72" t="s">
        <v>15221</v>
      </c>
      <c r="AK2695" s="72" t="s">
        <v>68</v>
      </c>
      <c r="AL2695" s="70">
        <v>43276</v>
      </c>
      <c r="AM2695" s="70"/>
      <c r="AN2695" s="70"/>
      <c r="AO2695" s="70"/>
      <c r="AP2695" s="73" t="e">
        <f>MID(VLOOKUP(K2695,#REF!,2,FALSE),1,2)</f>
        <v>#REF!</v>
      </c>
      <c r="AQ2695" s="72">
        <f>DATE(2018,6,7)</f>
        <v>43258</v>
      </c>
      <c r="AR2695" s="82">
        <f t="shared" si="225"/>
        <v>7</v>
      </c>
      <c r="AS2695" s="83">
        <f t="shared" si="226"/>
        <v>6</v>
      </c>
      <c r="AT2695" s="84">
        <f t="shared" si="227"/>
        <v>2018</v>
      </c>
      <c r="AU2695" s="72">
        <f>DATE(2018,6,25)</f>
        <v>43276</v>
      </c>
      <c r="AV2695" s="72">
        <f>DATE(2018,6,20)</f>
        <v>43271</v>
      </c>
      <c r="AW2695" s="87">
        <f t="shared" si="224"/>
        <v>5</v>
      </c>
      <c r="AX2695" s="86"/>
      <c r="AY2695" s="83"/>
      <c r="AZ2695" s="84"/>
      <c r="BA2695" s="86"/>
      <c r="BB2695" s="86"/>
    </row>
    <row r="2696" spans="1:54" ht="36.75" customHeight="1">
      <c r="A2696" s="30"/>
      <c r="B2696" s="30" t="s">
        <v>55</v>
      </c>
      <c r="C2696" s="69" t="str">
        <f t="shared" si="228"/>
        <v>Closed</v>
      </c>
      <c r="D2696" s="27" t="s">
        <v>15222</v>
      </c>
      <c r="E2696" s="29" t="s">
        <v>15223</v>
      </c>
      <c r="F2696" s="30" t="s">
        <v>1770</v>
      </c>
      <c r="G2696" s="72">
        <f>DATE(2018,6,8)</f>
        <v>43259</v>
      </c>
      <c r="H2696" s="80">
        <v>1.4395833333333334</v>
      </c>
      <c r="I2696" s="30" t="s">
        <v>73</v>
      </c>
      <c r="J2696" s="72" t="s">
        <v>15224</v>
      </c>
      <c r="K2696" s="30" t="s">
        <v>1772</v>
      </c>
      <c r="L2696" s="30" t="s">
        <v>15225</v>
      </c>
      <c r="M2696" s="30" t="s">
        <v>63</v>
      </c>
      <c r="N2696" s="30" t="s">
        <v>89</v>
      </c>
      <c r="O2696" s="30" t="s">
        <v>64</v>
      </c>
      <c r="P2696" s="72" t="s">
        <v>165</v>
      </c>
      <c r="Q2696" s="72" t="s">
        <v>1774</v>
      </c>
      <c r="R2696" s="72" t="s">
        <v>1772</v>
      </c>
      <c r="S2696" s="30">
        <v>0</v>
      </c>
      <c r="T2696" s="232">
        <v>0</v>
      </c>
      <c r="U2696" s="30">
        <v>0</v>
      </c>
      <c r="V2696" s="232">
        <v>0</v>
      </c>
      <c r="W2696" s="30">
        <v>0</v>
      </c>
      <c r="X2696" s="30">
        <v>0</v>
      </c>
      <c r="Y2696" s="30">
        <v>0</v>
      </c>
      <c r="Z2696" s="232">
        <v>0</v>
      </c>
      <c r="AA2696" s="30">
        <v>0</v>
      </c>
      <c r="AB2696" s="30">
        <v>0</v>
      </c>
      <c r="AC2696" s="30">
        <v>0</v>
      </c>
      <c r="AD2696" s="30">
        <v>0</v>
      </c>
      <c r="AE2696" s="72" t="s">
        <v>145</v>
      </c>
      <c r="AF2696" s="72"/>
      <c r="AG2696" s="72" t="s">
        <v>82</v>
      </c>
      <c r="AH2696" s="72">
        <v>43262</v>
      </c>
      <c r="AI2696" s="30">
        <v>0</v>
      </c>
      <c r="AJ2696" s="72" t="s">
        <v>15226</v>
      </c>
      <c r="AK2696" s="72" t="s">
        <v>15227</v>
      </c>
      <c r="AL2696" s="70">
        <v>43271</v>
      </c>
      <c r="AM2696" s="70"/>
      <c r="AN2696" s="70"/>
      <c r="AO2696" s="70"/>
      <c r="AP2696" s="73" t="e">
        <f>MID(VLOOKUP(K2696,#REF!,2,FALSE),1,2)</f>
        <v>#REF!</v>
      </c>
      <c r="AQ2696" s="72">
        <f>DATE(2018,6,8)</f>
        <v>43259</v>
      </c>
      <c r="AR2696" s="82">
        <f t="shared" si="225"/>
        <v>8</v>
      </c>
      <c r="AS2696" s="83">
        <f t="shared" si="226"/>
        <v>6</v>
      </c>
      <c r="AT2696" s="84">
        <f t="shared" si="227"/>
        <v>2018</v>
      </c>
      <c r="AU2696" s="72">
        <f>DATE(2018,6,11)</f>
        <v>43262</v>
      </c>
      <c r="AV2696" s="72">
        <f>DATE(2018,6,20)</f>
        <v>43271</v>
      </c>
      <c r="AW2696" s="87">
        <f t="shared" si="224"/>
        <v>-9</v>
      </c>
      <c r="AX2696" s="86"/>
      <c r="AY2696" s="83"/>
      <c r="AZ2696" s="84"/>
      <c r="BA2696" s="86"/>
      <c r="BB2696" s="86"/>
    </row>
    <row r="2697" spans="1:54" ht="36.75" customHeight="1">
      <c r="A2697" s="30"/>
      <c r="B2697" s="30" t="s">
        <v>55</v>
      </c>
      <c r="C2697" s="69" t="str">
        <f t="shared" si="228"/>
        <v>Closed</v>
      </c>
      <c r="D2697" s="27" t="s">
        <v>15228</v>
      </c>
      <c r="E2697" s="29" t="s">
        <v>15229</v>
      </c>
      <c r="F2697" s="30" t="s">
        <v>233</v>
      </c>
      <c r="G2697" s="72">
        <f>DATE(2018,6,8)</f>
        <v>43259</v>
      </c>
      <c r="H2697" s="80">
        <v>1.0840277777777778</v>
      </c>
      <c r="I2697" s="30" t="s">
        <v>487</v>
      </c>
      <c r="J2697" s="72" t="s">
        <v>15230</v>
      </c>
      <c r="K2697" s="30" t="s">
        <v>235</v>
      </c>
      <c r="L2697" s="30" t="s">
        <v>7350</v>
      </c>
      <c r="M2697" s="30" t="s">
        <v>63</v>
      </c>
      <c r="N2697" s="30" t="s">
        <v>142</v>
      </c>
      <c r="O2697" s="30" t="s">
        <v>64</v>
      </c>
      <c r="P2697" s="72" t="s">
        <v>86</v>
      </c>
      <c r="Q2697" s="72" t="s">
        <v>15231</v>
      </c>
      <c r="R2697" s="72" t="s">
        <v>235</v>
      </c>
      <c r="S2697" s="30">
        <v>0</v>
      </c>
      <c r="T2697" s="232">
        <v>0</v>
      </c>
      <c r="U2697" s="30">
        <v>0</v>
      </c>
      <c r="V2697" s="232">
        <v>0</v>
      </c>
      <c r="W2697" s="30">
        <v>0</v>
      </c>
      <c r="X2697" s="30">
        <v>0</v>
      </c>
      <c r="Y2697" s="30">
        <v>0</v>
      </c>
      <c r="Z2697" s="232">
        <v>0</v>
      </c>
      <c r="AA2697" s="30">
        <v>0</v>
      </c>
      <c r="AB2697" s="30">
        <v>0</v>
      </c>
      <c r="AC2697" s="30">
        <v>0</v>
      </c>
      <c r="AD2697" s="30">
        <v>0</v>
      </c>
      <c r="AE2697" s="72" t="s">
        <v>92</v>
      </c>
      <c r="AF2697" s="72"/>
      <c r="AG2697" s="72" t="s">
        <v>133</v>
      </c>
      <c r="AH2697" s="72">
        <v>43269</v>
      </c>
      <c r="AI2697" s="30">
        <v>3</v>
      </c>
      <c r="AJ2697" s="72" t="s">
        <v>15232</v>
      </c>
      <c r="AK2697" s="72" t="s">
        <v>15233</v>
      </c>
      <c r="AL2697" s="70">
        <v>43291</v>
      </c>
      <c r="AM2697" s="70"/>
      <c r="AN2697" s="70"/>
      <c r="AO2697" s="70"/>
      <c r="AP2697" s="73" t="e">
        <f>MID(VLOOKUP(K2697,#REF!,2,FALSE),1,2)</f>
        <v>#REF!</v>
      </c>
      <c r="AQ2697" s="72">
        <f>DATE(2018,6,8)</f>
        <v>43259</v>
      </c>
      <c r="AR2697" s="82">
        <f t="shared" si="225"/>
        <v>8</v>
      </c>
      <c r="AS2697" s="83">
        <f t="shared" si="226"/>
        <v>6</v>
      </c>
      <c r="AT2697" s="84">
        <f t="shared" si="227"/>
        <v>2018</v>
      </c>
      <c r="AU2697" s="88">
        <f>DATE(2018,7,10)</f>
        <v>43291</v>
      </c>
      <c r="AV2697" s="88">
        <f>DATE(2018,6,18)</f>
        <v>43269</v>
      </c>
      <c r="AW2697" s="87">
        <f t="shared" si="224"/>
        <v>22</v>
      </c>
      <c r="AX2697" s="88">
        <f>DATE(2018,7,10)</f>
        <v>43291</v>
      </c>
      <c r="AY2697" s="83">
        <f>MONTH(AX2697)</f>
        <v>7</v>
      </c>
      <c r="AZ2697" s="84">
        <f>YEAR(AX2697)</f>
        <v>2018</v>
      </c>
      <c r="BA2697" s="86"/>
      <c r="BB2697" s="86"/>
    </row>
    <row r="2698" spans="1:54" ht="36.75" customHeight="1">
      <c r="A2698" s="30"/>
      <c r="B2698" s="30" t="s">
        <v>55</v>
      </c>
      <c r="C2698" s="69" t="str">
        <f t="shared" si="228"/>
        <v>Closed</v>
      </c>
      <c r="D2698" s="27" t="s">
        <v>15234</v>
      </c>
      <c r="E2698" s="29" t="s">
        <v>15235</v>
      </c>
      <c r="F2698" s="30" t="s">
        <v>423</v>
      </c>
      <c r="G2698" s="72">
        <f>DATE(2018,6,11)</f>
        <v>43262</v>
      </c>
      <c r="H2698" s="80">
        <v>1.6041666666666665</v>
      </c>
      <c r="I2698" s="30" t="s">
        <v>116</v>
      </c>
      <c r="J2698" s="72" t="s">
        <v>15236</v>
      </c>
      <c r="K2698" s="30" t="s">
        <v>425</v>
      </c>
      <c r="L2698" s="30" t="s">
        <v>15237</v>
      </c>
      <c r="M2698" s="30" t="s">
        <v>63</v>
      </c>
      <c r="N2698" s="30" t="s">
        <v>99</v>
      </c>
      <c r="O2698" s="30" t="s">
        <v>64</v>
      </c>
      <c r="P2698" s="72" t="s">
        <v>165</v>
      </c>
      <c r="Q2698" s="72" t="s">
        <v>4551</v>
      </c>
      <c r="R2698" s="72" t="s">
        <v>3103</v>
      </c>
      <c r="S2698" s="30">
        <v>0</v>
      </c>
      <c r="T2698" s="232">
        <v>0</v>
      </c>
      <c r="U2698" s="30">
        <v>1</v>
      </c>
      <c r="V2698" s="232">
        <v>0</v>
      </c>
      <c r="W2698" s="30">
        <v>0</v>
      </c>
      <c r="X2698" s="30">
        <v>1</v>
      </c>
      <c r="Y2698" s="30">
        <v>0</v>
      </c>
      <c r="Z2698" s="232">
        <v>0</v>
      </c>
      <c r="AA2698" s="30">
        <v>0</v>
      </c>
      <c r="AB2698" s="30">
        <v>0</v>
      </c>
      <c r="AC2698" s="30">
        <v>0</v>
      </c>
      <c r="AD2698" s="30">
        <v>0</v>
      </c>
      <c r="AE2698" s="72" t="s">
        <v>92</v>
      </c>
      <c r="AF2698" s="72"/>
      <c r="AG2698" s="72" t="s">
        <v>874</v>
      </c>
      <c r="AH2698" s="72">
        <v>43410</v>
      </c>
      <c r="AI2698" s="30">
        <v>1</v>
      </c>
      <c r="AJ2698" s="72" t="s">
        <v>15108</v>
      </c>
      <c r="AK2698" s="72" t="s">
        <v>15109</v>
      </c>
      <c r="AL2698" s="70">
        <v>43265</v>
      </c>
      <c r="AM2698" s="70"/>
      <c r="AN2698" s="70"/>
      <c r="AO2698" s="70"/>
      <c r="AP2698" s="73" t="e">
        <f>MID(VLOOKUP(K2698,#REF!,2,FALSE),1,2)</f>
        <v>#REF!</v>
      </c>
      <c r="AQ2698" s="72">
        <f>DATE(2018,6,11)</f>
        <v>43262</v>
      </c>
      <c r="AR2698" s="82">
        <f t="shared" si="225"/>
        <v>11</v>
      </c>
      <c r="AS2698" s="83">
        <f t="shared" si="226"/>
        <v>6</v>
      </c>
      <c r="AT2698" s="84">
        <f t="shared" si="227"/>
        <v>2018</v>
      </c>
      <c r="AU2698" s="88">
        <f>DATE(2018,6,14)</f>
        <v>43265</v>
      </c>
      <c r="AV2698" s="88">
        <f>DATE(2018,6,11)</f>
        <v>43262</v>
      </c>
      <c r="AW2698" s="87">
        <f t="shared" si="224"/>
        <v>3</v>
      </c>
      <c r="AX2698" s="88"/>
      <c r="AY2698" s="83"/>
      <c r="AZ2698" s="84"/>
      <c r="BA2698" s="88"/>
      <c r="BB2698" s="86"/>
    </row>
    <row r="2699" spans="1:54" ht="36.75" customHeight="1">
      <c r="A2699" s="30"/>
      <c r="B2699" s="30" t="s">
        <v>55</v>
      </c>
      <c r="C2699" s="69" t="str">
        <f t="shared" si="228"/>
        <v>Closed</v>
      </c>
      <c r="D2699" s="27" t="s">
        <v>15238</v>
      </c>
      <c r="E2699" s="29" t="s">
        <v>15239</v>
      </c>
      <c r="F2699" s="30" t="s">
        <v>835</v>
      </c>
      <c r="G2699" s="72">
        <f>DATE(2018,6,11)</f>
        <v>43262</v>
      </c>
      <c r="H2699" s="80">
        <v>1.0625</v>
      </c>
      <c r="I2699" s="30" t="s">
        <v>487</v>
      </c>
      <c r="J2699" s="72" t="s">
        <v>15240</v>
      </c>
      <c r="K2699" s="30" t="s">
        <v>837</v>
      </c>
      <c r="L2699" s="30" t="s">
        <v>15241</v>
      </c>
      <c r="M2699" s="30" t="s">
        <v>9919</v>
      </c>
      <c r="N2699" s="30" t="s">
        <v>99</v>
      </c>
      <c r="O2699" s="30" t="s">
        <v>77</v>
      </c>
      <c r="P2699" s="72" t="s">
        <v>15242</v>
      </c>
      <c r="Q2699" s="72" t="s">
        <v>15243</v>
      </c>
      <c r="R2699" s="72" t="s">
        <v>15243</v>
      </c>
      <c r="S2699" s="30">
        <v>0</v>
      </c>
      <c r="T2699" s="232">
        <v>0</v>
      </c>
      <c r="U2699" s="30">
        <v>0</v>
      </c>
      <c r="V2699" s="232">
        <v>0</v>
      </c>
      <c r="W2699" s="30">
        <v>0</v>
      </c>
      <c r="X2699" s="30">
        <v>0</v>
      </c>
      <c r="Y2699" s="30">
        <v>0</v>
      </c>
      <c r="Z2699" s="232">
        <v>0</v>
      </c>
      <c r="AA2699" s="30">
        <v>0</v>
      </c>
      <c r="AB2699" s="30">
        <v>0</v>
      </c>
      <c r="AC2699" s="30">
        <v>0</v>
      </c>
      <c r="AD2699" s="30">
        <v>0</v>
      </c>
      <c r="AE2699" s="72" t="s">
        <v>394</v>
      </c>
      <c r="AF2699" s="72"/>
      <c r="AG2699" s="72" t="s">
        <v>133</v>
      </c>
      <c r="AH2699" s="72">
        <v>43262</v>
      </c>
      <c r="AI2699" s="30">
        <v>0</v>
      </c>
      <c r="AJ2699" s="72" t="s">
        <v>15244</v>
      </c>
      <c r="AK2699" s="72" t="s">
        <v>68</v>
      </c>
      <c r="AL2699" s="70">
        <v>43262</v>
      </c>
      <c r="AM2699" s="70"/>
      <c r="AN2699" s="70"/>
      <c r="AO2699" s="70"/>
      <c r="AP2699" s="73" t="e">
        <f>MID(VLOOKUP(K2699,#REF!,2,FALSE),1,2)</f>
        <v>#REF!</v>
      </c>
      <c r="AQ2699" s="72">
        <f>DATE(2018,6,11)</f>
        <v>43262</v>
      </c>
      <c r="AR2699" s="82">
        <f t="shared" si="225"/>
        <v>11</v>
      </c>
      <c r="AS2699" s="84">
        <f t="shared" si="226"/>
        <v>6</v>
      </c>
      <c r="AT2699" s="104">
        <f t="shared" si="227"/>
        <v>2018</v>
      </c>
      <c r="AU2699" s="27"/>
      <c r="AV2699" s="124"/>
      <c r="AW2699" s="86"/>
      <c r="AX2699" s="82"/>
      <c r="AY2699" s="84"/>
      <c r="AZ2699" s="104"/>
      <c r="BA2699" s="86"/>
      <c r="BB2699" s="86"/>
    </row>
    <row r="2700" spans="1:54" ht="36.75" customHeight="1">
      <c r="A2700" s="30"/>
      <c r="B2700" s="30" t="s">
        <v>55</v>
      </c>
      <c r="C2700" s="69" t="str">
        <f t="shared" si="228"/>
        <v>Closed</v>
      </c>
      <c r="D2700" s="27" t="s">
        <v>15245</v>
      </c>
      <c r="E2700" s="29" t="s">
        <v>15246</v>
      </c>
      <c r="F2700" s="30" t="s">
        <v>2336</v>
      </c>
      <c r="G2700" s="72">
        <f>DATE(2018,6,13)</f>
        <v>43264</v>
      </c>
      <c r="H2700" s="80">
        <v>1.5381944444444444</v>
      </c>
      <c r="I2700" s="30" t="s">
        <v>116</v>
      </c>
      <c r="J2700" s="72" t="s">
        <v>15247</v>
      </c>
      <c r="K2700" s="30" t="s">
        <v>2338</v>
      </c>
      <c r="L2700" s="30" t="s">
        <v>15248</v>
      </c>
      <c r="M2700" s="30" t="s">
        <v>63</v>
      </c>
      <c r="N2700" s="30" t="s">
        <v>142</v>
      </c>
      <c r="O2700" s="30" t="s">
        <v>64</v>
      </c>
      <c r="P2700" s="72" t="s">
        <v>165</v>
      </c>
      <c r="Q2700" s="72" t="s">
        <v>13517</v>
      </c>
      <c r="R2700" s="72" t="s">
        <v>2341</v>
      </c>
      <c r="S2700" s="30">
        <v>0</v>
      </c>
      <c r="T2700" s="232">
        <v>0</v>
      </c>
      <c r="U2700" s="30">
        <v>1</v>
      </c>
      <c r="V2700" s="232">
        <v>0</v>
      </c>
      <c r="W2700" s="30">
        <v>0</v>
      </c>
      <c r="X2700" s="30">
        <v>1</v>
      </c>
      <c r="Y2700" s="30">
        <v>3</v>
      </c>
      <c r="Z2700" s="232">
        <v>2</v>
      </c>
      <c r="AA2700" s="30">
        <v>0</v>
      </c>
      <c r="AB2700" s="30">
        <v>0</v>
      </c>
      <c r="AC2700" s="30">
        <v>0</v>
      </c>
      <c r="AD2700" s="30">
        <v>5</v>
      </c>
      <c r="AE2700" s="72" t="s">
        <v>394</v>
      </c>
      <c r="AF2700" s="72"/>
      <c r="AG2700" s="72" t="s">
        <v>82</v>
      </c>
      <c r="AH2700" s="72">
        <v>43265</v>
      </c>
      <c r="AI2700" s="30">
        <v>5</v>
      </c>
      <c r="AJ2700" s="72" t="s">
        <v>15249</v>
      </c>
      <c r="AK2700" s="72" t="s">
        <v>15250</v>
      </c>
      <c r="AL2700" s="70">
        <v>43266</v>
      </c>
      <c r="AM2700" s="70"/>
      <c r="AN2700" s="70"/>
      <c r="AO2700" s="70"/>
      <c r="AP2700" s="73" t="e">
        <f>MID(VLOOKUP(K2700,#REF!,2,FALSE),1,2)</f>
        <v>#REF!</v>
      </c>
      <c r="AQ2700" s="72">
        <f>DATE(2018,6,13)</f>
        <v>43264</v>
      </c>
      <c r="AR2700" s="82">
        <f t="shared" si="225"/>
        <v>13</v>
      </c>
      <c r="AS2700" s="83">
        <f t="shared" si="226"/>
        <v>6</v>
      </c>
      <c r="AT2700" s="84">
        <f t="shared" si="227"/>
        <v>2018</v>
      </c>
      <c r="AU2700" s="72">
        <f>DATE(2018,6,15)</f>
        <v>43266</v>
      </c>
      <c r="AV2700" s="72">
        <f>DATE(2018,6,14)</f>
        <v>43265</v>
      </c>
      <c r="AW2700" s="87">
        <f t="shared" ref="AW2700:AW2708" si="229">AU2700-AV2700</f>
        <v>1</v>
      </c>
      <c r="AX2700" s="88">
        <f>DATE(2018,6,15)</f>
        <v>43266</v>
      </c>
      <c r="AY2700" s="83">
        <f>MONTH(AX2700)</f>
        <v>6</v>
      </c>
      <c r="AZ2700" s="84">
        <f>YEAR(AX2700)</f>
        <v>2018</v>
      </c>
      <c r="BA2700" s="88">
        <f>DATE(2018,6,14)</f>
        <v>43265</v>
      </c>
      <c r="BB2700" s="86"/>
    </row>
    <row r="2701" spans="1:54" ht="36.75" customHeight="1">
      <c r="A2701" s="30"/>
      <c r="B2701" s="30" t="s">
        <v>55</v>
      </c>
      <c r="C2701" s="69" t="str">
        <f t="shared" si="228"/>
        <v>Closed</v>
      </c>
      <c r="D2701" s="27" t="s">
        <v>15251</v>
      </c>
      <c r="E2701" s="29" t="s">
        <v>15252</v>
      </c>
      <c r="F2701" s="30" t="s">
        <v>1572</v>
      </c>
      <c r="G2701" s="72">
        <f>DATE(2018,6,14)</f>
        <v>43265</v>
      </c>
      <c r="H2701" s="80">
        <v>1.9305555555555554</v>
      </c>
      <c r="I2701" s="30" t="s">
        <v>73</v>
      </c>
      <c r="J2701" s="72" t="s">
        <v>15253</v>
      </c>
      <c r="K2701" s="30" t="s">
        <v>1574</v>
      </c>
      <c r="L2701" s="30" t="s">
        <v>12355</v>
      </c>
      <c r="M2701" s="30" t="s">
        <v>63</v>
      </c>
      <c r="N2701" s="30" t="s">
        <v>142</v>
      </c>
      <c r="O2701" s="30" t="s">
        <v>77</v>
      </c>
      <c r="P2701" s="72" t="s">
        <v>78</v>
      </c>
      <c r="Q2701" s="72" t="s">
        <v>15254</v>
      </c>
      <c r="R2701" s="72" t="s">
        <v>6434</v>
      </c>
      <c r="S2701" s="30">
        <v>0</v>
      </c>
      <c r="T2701" s="232">
        <v>0</v>
      </c>
      <c r="U2701" s="30">
        <v>0</v>
      </c>
      <c r="V2701" s="232">
        <v>0</v>
      </c>
      <c r="W2701" s="30">
        <v>0</v>
      </c>
      <c r="X2701" s="30">
        <v>0</v>
      </c>
      <c r="Y2701" s="30">
        <v>0</v>
      </c>
      <c r="Z2701" s="232">
        <v>0</v>
      </c>
      <c r="AA2701" s="30">
        <v>0</v>
      </c>
      <c r="AB2701" s="30">
        <v>0</v>
      </c>
      <c r="AC2701" s="30">
        <v>0</v>
      </c>
      <c r="AD2701" s="30">
        <v>0</v>
      </c>
      <c r="AE2701" s="72" t="s">
        <v>92</v>
      </c>
      <c r="AF2701" s="72"/>
      <c r="AG2701" s="72" t="s">
        <v>133</v>
      </c>
      <c r="AH2701" s="72">
        <v>43266</v>
      </c>
      <c r="AI2701" s="30">
        <v>1</v>
      </c>
      <c r="AJ2701" s="72" t="s">
        <v>15255</v>
      </c>
      <c r="AK2701" s="72" t="s">
        <v>15256</v>
      </c>
      <c r="AL2701" s="70">
        <v>43266</v>
      </c>
      <c r="AM2701" s="70"/>
      <c r="AN2701" s="70"/>
      <c r="AO2701" s="70"/>
      <c r="AP2701" s="73" t="e">
        <f>MID(VLOOKUP(K2701,#REF!,2,FALSE),1,2)</f>
        <v>#REF!</v>
      </c>
      <c r="AQ2701" s="72">
        <f>DATE(2018,6,14)</f>
        <v>43265</v>
      </c>
      <c r="AR2701" s="82">
        <f t="shared" si="225"/>
        <v>14</v>
      </c>
      <c r="AS2701" s="83">
        <f t="shared" si="226"/>
        <v>6</v>
      </c>
      <c r="AT2701" s="84">
        <f t="shared" si="227"/>
        <v>2018</v>
      </c>
      <c r="AU2701" s="72">
        <f>DATE(2018,6,15)</f>
        <v>43266</v>
      </c>
      <c r="AV2701" s="72">
        <f>DATE(2018,6,15)</f>
        <v>43266</v>
      </c>
      <c r="AW2701" s="87">
        <f t="shared" si="229"/>
        <v>0</v>
      </c>
      <c r="AX2701" s="88">
        <f>DATE(2018,6,15)</f>
        <v>43266</v>
      </c>
      <c r="AY2701" s="83">
        <f>MONTH(AX2701)</f>
        <v>6</v>
      </c>
      <c r="AZ2701" s="84">
        <f>YEAR(AX2701)</f>
        <v>2018</v>
      </c>
      <c r="BA2701" s="72">
        <f>DATE(2018,6,14)</f>
        <v>43265</v>
      </c>
      <c r="BB2701" s="86"/>
    </row>
    <row r="2702" spans="1:54" ht="36.75" customHeight="1">
      <c r="A2702" s="30"/>
      <c r="B2702" s="30" t="s">
        <v>55</v>
      </c>
      <c r="C2702" s="69" t="str">
        <f t="shared" si="228"/>
        <v>Closed</v>
      </c>
      <c r="D2702" s="27" t="s">
        <v>15257</v>
      </c>
      <c r="E2702" s="29" t="s">
        <v>15258</v>
      </c>
      <c r="F2702" s="30" t="s">
        <v>451</v>
      </c>
      <c r="G2702" s="72">
        <f>DATE(2018,6,19)</f>
        <v>43270</v>
      </c>
      <c r="H2702" s="80">
        <v>1.5486111111111112</v>
      </c>
      <c r="I2702" s="30" t="s">
        <v>116</v>
      </c>
      <c r="J2702" s="72" t="s">
        <v>15259</v>
      </c>
      <c r="K2702" s="30" t="s">
        <v>453</v>
      </c>
      <c r="L2702" s="30" t="s">
        <v>15260</v>
      </c>
      <c r="M2702" s="30" t="s">
        <v>63</v>
      </c>
      <c r="N2702" s="30" t="s">
        <v>99</v>
      </c>
      <c r="O2702" s="30" t="s">
        <v>64</v>
      </c>
      <c r="P2702" s="72" t="s">
        <v>165</v>
      </c>
      <c r="Q2702" s="72" t="s">
        <v>665</v>
      </c>
      <c r="R2702" s="72" t="s">
        <v>572</v>
      </c>
      <c r="S2702" s="30">
        <v>0</v>
      </c>
      <c r="T2702" s="232">
        <v>0</v>
      </c>
      <c r="U2702" s="30">
        <v>2</v>
      </c>
      <c r="V2702" s="232">
        <v>0</v>
      </c>
      <c r="W2702" s="30">
        <v>0</v>
      </c>
      <c r="X2702" s="30">
        <v>2</v>
      </c>
      <c r="Y2702" s="30">
        <v>0</v>
      </c>
      <c r="Z2702" s="232">
        <v>0</v>
      </c>
      <c r="AA2702" s="30">
        <v>0</v>
      </c>
      <c r="AB2702" s="30">
        <v>0</v>
      </c>
      <c r="AC2702" s="30">
        <v>0</v>
      </c>
      <c r="AD2702" s="30">
        <v>0</v>
      </c>
      <c r="AE2702" s="72" t="s">
        <v>394</v>
      </c>
      <c r="AF2702" s="72"/>
      <c r="AG2702" s="72" t="s">
        <v>82</v>
      </c>
      <c r="AH2702" s="72">
        <v>43270</v>
      </c>
      <c r="AI2702" s="30">
        <v>0</v>
      </c>
      <c r="AJ2702" s="72" t="s">
        <v>15261</v>
      </c>
      <c r="AK2702" s="72" t="s">
        <v>68</v>
      </c>
      <c r="AL2702" s="70">
        <v>43271</v>
      </c>
      <c r="AM2702" s="70"/>
      <c r="AN2702" s="70"/>
      <c r="AO2702" s="70"/>
      <c r="AP2702" s="73" t="e">
        <f>MID(VLOOKUP(K2702,#REF!,2,FALSE),1,2)</f>
        <v>#REF!</v>
      </c>
      <c r="AQ2702" s="72">
        <f>DATE(2018,6,19)</f>
        <v>43270</v>
      </c>
      <c r="AR2702" s="82">
        <f t="shared" si="225"/>
        <v>19</v>
      </c>
      <c r="AS2702" s="83">
        <f t="shared" si="226"/>
        <v>6</v>
      </c>
      <c r="AT2702" s="84">
        <f t="shared" si="227"/>
        <v>2018</v>
      </c>
      <c r="AU2702" s="72">
        <f>DATE(2018,6,19)</f>
        <v>43270</v>
      </c>
      <c r="AV2702" s="72">
        <f>DATE(2018,6,20)</f>
        <v>43271</v>
      </c>
      <c r="AW2702" s="87">
        <f t="shared" si="229"/>
        <v>-1</v>
      </c>
      <c r="AX2702" s="27"/>
      <c r="AY2702" s="83"/>
      <c r="AZ2702" s="84"/>
      <c r="BA2702" s="27"/>
      <c r="BB2702" s="86"/>
    </row>
    <row r="2703" spans="1:54" ht="36.75" customHeight="1">
      <c r="A2703" s="30"/>
      <c r="B2703" s="30" t="s">
        <v>55</v>
      </c>
      <c r="C2703" s="69" t="str">
        <f t="shared" si="228"/>
        <v>Closed</v>
      </c>
      <c r="D2703" s="27" t="s">
        <v>15262</v>
      </c>
      <c r="E2703" s="29" t="s">
        <v>15263</v>
      </c>
      <c r="F2703" s="30" t="s">
        <v>1572</v>
      </c>
      <c r="G2703" s="72">
        <f>DATE(2018,6,20)</f>
        <v>43271</v>
      </c>
      <c r="H2703" s="80">
        <v>1.1388888888888888</v>
      </c>
      <c r="I2703" s="30" t="s">
        <v>73</v>
      </c>
      <c r="J2703" s="72" t="s">
        <v>15264</v>
      </c>
      <c r="K2703" s="30" t="s">
        <v>1574</v>
      </c>
      <c r="L2703" s="30" t="s">
        <v>9074</v>
      </c>
      <c r="M2703" s="30" t="s">
        <v>63</v>
      </c>
      <c r="N2703" s="30" t="s">
        <v>142</v>
      </c>
      <c r="O2703" s="30" t="s">
        <v>77</v>
      </c>
      <c r="P2703" s="72" t="s">
        <v>78</v>
      </c>
      <c r="Q2703" s="72" t="s">
        <v>2655</v>
      </c>
      <c r="R2703" s="72" t="s">
        <v>6434</v>
      </c>
      <c r="S2703" s="30">
        <v>0</v>
      </c>
      <c r="T2703" s="232">
        <v>0</v>
      </c>
      <c r="U2703" s="30">
        <v>0</v>
      </c>
      <c r="V2703" s="232">
        <v>0</v>
      </c>
      <c r="W2703" s="30">
        <v>0</v>
      </c>
      <c r="X2703" s="30">
        <v>0</v>
      </c>
      <c r="Y2703" s="30">
        <v>0</v>
      </c>
      <c r="Z2703" s="232">
        <v>0</v>
      </c>
      <c r="AA2703" s="30">
        <v>0</v>
      </c>
      <c r="AB2703" s="30">
        <v>0</v>
      </c>
      <c r="AC2703" s="30">
        <v>0</v>
      </c>
      <c r="AD2703" s="30">
        <v>0</v>
      </c>
      <c r="AE2703" s="72" t="s">
        <v>92</v>
      </c>
      <c r="AF2703" s="72"/>
      <c r="AG2703" s="72" t="s">
        <v>133</v>
      </c>
      <c r="AH2703" s="72">
        <v>43272</v>
      </c>
      <c r="AI2703" s="30">
        <v>2</v>
      </c>
      <c r="AJ2703" s="72" t="s">
        <v>15265</v>
      </c>
      <c r="AK2703" s="72" t="s">
        <v>15266</v>
      </c>
      <c r="AL2703" s="70">
        <v>43273</v>
      </c>
      <c r="AM2703" s="70"/>
      <c r="AN2703" s="70"/>
      <c r="AO2703" s="70"/>
      <c r="AP2703" s="73" t="e">
        <f>MID(VLOOKUP(K2703,#REF!,2,FALSE),1,2)</f>
        <v>#REF!</v>
      </c>
      <c r="AQ2703" s="72">
        <f>DATE(2018,6,20)</f>
        <v>43271</v>
      </c>
      <c r="AR2703" s="82">
        <f t="shared" si="225"/>
        <v>20</v>
      </c>
      <c r="AS2703" s="83">
        <f t="shared" si="226"/>
        <v>6</v>
      </c>
      <c r="AT2703" s="84">
        <f t="shared" si="227"/>
        <v>2018</v>
      </c>
      <c r="AU2703" s="72">
        <f>DATE(2018,6,22)</f>
        <v>43273</v>
      </c>
      <c r="AV2703" s="72">
        <f>DATE(2018,6,21)</f>
        <v>43272</v>
      </c>
      <c r="AW2703" s="87">
        <f t="shared" si="229"/>
        <v>1</v>
      </c>
      <c r="AX2703" s="72">
        <f>DATE(2018,6,20)</f>
        <v>43271</v>
      </c>
      <c r="AY2703" s="83">
        <f>MONTH(AX2703)</f>
        <v>6</v>
      </c>
      <c r="AZ2703" s="84">
        <f>YEAR(AX2703)</f>
        <v>2018</v>
      </c>
      <c r="BA2703" s="72">
        <f>DATE(2018,6,22)</f>
        <v>43273</v>
      </c>
      <c r="BB2703" s="86"/>
    </row>
    <row r="2704" spans="1:54" ht="36.75" customHeight="1">
      <c r="A2704" s="30"/>
      <c r="B2704" s="30" t="s">
        <v>55</v>
      </c>
      <c r="C2704" s="69" t="str">
        <f t="shared" si="228"/>
        <v>Closed</v>
      </c>
      <c r="D2704" s="27" t="s">
        <v>15267</v>
      </c>
      <c r="E2704" s="29" t="s">
        <v>15268</v>
      </c>
      <c r="F2704" s="30" t="s">
        <v>1572</v>
      </c>
      <c r="G2704" s="72">
        <f>DATE(2018,6,23)</f>
        <v>43274</v>
      </c>
      <c r="H2704" s="80">
        <v>1.6375000000000002</v>
      </c>
      <c r="I2704" s="30" t="s">
        <v>73</v>
      </c>
      <c r="J2704" s="72" t="s">
        <v>15269</v>
      </c>
      <c r="K2704" s="30" t="s">
        <v>1574</v>
      </c>
      <c r="L2704" s="30" t="s">
        <v>14935</v>
      </c>
      <c r="M2704" s="30" t="s">
        <v>63</v>
      </c>
      <c r="N2704" s="30" t="s">
        <v>99</v>
      </c>
      <c r="O2704" s="30" t="s">
        <v>77</v>
      </c>
      <c r="P2704" s="72" t="s">
        <v>78</v>
      </c>
      <c r="Q2704" s="72" t="s">
        <v>2655</v>
      </c>
      <c r="R2704" s="72" t="s">
        <v>6434</v>
      </c>
      <c r="S2704" s="30">
        <v>0</v>
      </c>
      <c r="T2704" s="232">
        <v>0</v>
      </c>
      <c r="U2704" s="30">
        <v>0</v>
      </c>
      <c r="V2704" s="232">
        <v>0</v>
      </c>
      <c r="W2704" s="30">
        <v>0</v>
      </c>
      <c r="X2704" s="30">
        <v>0</v>
      </c>
      <c r="Y2704" s="30">
        <v>0</v>
      </c>
      <c r="Z2704" s="232">
        <v>0</v>
      </c>
      <c r="AA2704" s="30">
        <v>0</v>
      </c>
      <c r="AB2704" s="30">
        <v>0</v>
      </c>
      <c r="AC2704" s="30">
        <v>0</v>
      </c>
      <c r="AD2704" s="30">
        <v>0</v>
      </c>
      <c r="AE2704" s="72" t="s">
        <v>92</v>
      </c>
      <c r="AF2704" s="72"/>
      <c r="AG2704" s="72" t="s">
        <v>133</v>
      </c>
      <c r="AH2704" s="72">
        <v>43276</v>
      </c>
      <c r="AI2704" s="30">
        <v>2</v>
      </c>
      <c r="AJ2704" s="72" t="s">
        <v>15270</v>
      </c>
      <c r="AK2704" s="72" t="s">
        <v>15271</v>
      </c>
      <c r="AL2704" s="70">
        <v>43282</v>
      </c>
      <c r="AM2704" s="70"/>
      <c r="AN2704" s="70"/>
      <c r="AO2704" s="70"/>
      <c r="AP2704" s="73" t="e">
        <f>MID(VLOOKUP(K2704,#REF!,2,FALSE),1,2)</f>
        <v>#REF!</v>
      </c>
      <c r="AQ2704" s="72">
        <f>DATE(2018,6,23)</f>
        <v>43274</v>
      </c>
      <c r="AR2704" s="82">
        <f t="shared" si="225"/>
        <v>23</v>
      </c>
      <c r="AS2704" s="83">
        <f t="shared" si="226"/>
        <v>6</v>
      </c>
      <c r="AT2704" s="84">
        <f t="shared" si="227"/>
        <v>2018</v>
      </c>
      <c r="AU2704" s="72">
        <f>DATE(2018,7,1)</f>
        <v>43282</v>
      </c>
      <c r="AV2704" s="72">
        <f>DATE(2018,6,25)</f>
        <v>43276</v>
      </c>
      <c r="AW2704" s="87">
        <f t="shared" si="229"/>
        <v>6</v>
      </c>
      <c r="AX2704" s="72">
        <f>DATE(2018,7,2)</f>
        <v>43283</v>
      </c>
      <c r="AY2704" s="83">
        <f>MONTH(AX2704)</f>
        <v>7</v>
      </c>
      <c r="AZ2704" s="84">
        <f>YEAR(AX2704)</f>
        <v>2018</v>
      </c>
      <c r="BA2704" s="72">
        <f>DATE(2018,6,23)</f>
        <v>43274</v>
      </c>
      <c r="BB2704" s="86"/>
    </row>
    <row r="2705" spans="1:54" ht="36.75" customHeight="1">
      <c r="A2705" s="30"/>
      <c r="B2705" s="30" t="s">
        <v>55</v>
      </c>
      <c r="C2705" s="69" t="str">
        <f t="shared" si="228"/>
        <v>Closed</v>
      </c>
      <c r="D2705" s="37" t="s">
        <v>15272</v>
      </c>
      <c r="E2705" s="29" t="s">
        <v>15273</v>
      </c>
      <c r="F2705" s="30" t="s">
        <v>6455</v>
      </c>
      <c r="G2705" s="72">
        <f>DATE(2018,6,24)</f>
        <v>43275</v>
      </c>
      <c r="H2705" s="80">
        <v>1.5402777777777779</v>
      </c>
      <c r="I2705" s="30" t="s">
        <v>156</v>
      </c>
      <c r="J2705" s="72" t="s">
        <v>15274</v>
      </c>
      <c r="K2705" s="30" t="s">
        <v>584</v>
      </c>
      <c r="L2705" s="30" t="s">
        <v>15275</v>
      </c>
      <c r="M2705" s="30" t="s">
        <v>63</v>
      </c>
      <c r="N2705" s="30" t="s">
        <v>89</v>
      </c>
      <c r="O2705" s="30" t="s">
        <v>90</v>
      </c>
      <c r="P2705" s="72" t="s">
        <v>78</v>
      </c>
      <c r="Q2705" s="72" t="s">
        <v>586</v>
      </c>
      <c r="R2705" s="72" t="s">
        <v>587</v>
      </c>
      <c r="S2705" s="30">
        <v>0</v>
      </c>
      <c r="T2705" s="232">
        <v>0</v>
      </c>
      <c r="U2705" s="30">
        <v>0</v>
      </c>
      <c r="V2705" s="232">
        <v>0</v>
      </c>
      <c r="W2705" s="30">
        <v>0</v>
      </c>
      <c r="X2705" s="30">
        <v>0</v>
      </c>
      <c r="Y2705" s="30">
        <v>0</v>
      </c>
      <c r="Z2705" s="232">
        <v>0</v>
      </c>
      <c r="AA2705" s="30">
        <v>0</v>
      </c>
      <c r="AB2705" s="30">
        <v>0</v>
      </c>
      <c r="AC2705" s="30">
        <v>0</v>
      </c>
      <c r="AD2705" s="30">
        <v>0</v>
      </c>
      <c r="AE2705" s="72" t="s">
        <v>145</v>
      </c>
      <c r="AF2705" s="72"/>
      <c r="AG2705" s="72" t="s">
        <v>6459</v>
      </c>
      <c r="AH2705" s="72">
        <v>43275</v>
      </c>
      <c r="AI2705" s="30">
        <v>0</v>
      </c>
      <c r="AJ2705" s="72" t="s">
        <v>15276</v>
      </c>
      <c r="AK2705" s="72" t="s">
        <v>68</v>
      </c>
      <c r="AL2705" s="70">
        <v>43290</v>
      </c>
      <c r="AM2705" s="70">
        <v>44734</v>
      </c>
      <c r="AN2705" s="70">
        <v>45275</v>
      </c>
      <c r="AO2705" s="70">
        <v>45211</v>
      </c>
      <c r="AP2705" s="73" t="e">
        <f>MID(VLOOKUP(K2705,#REF!,2,FALSE),1,2)</f>
        <v>#REF!</v>
      </c>
      <c r="AQ2705" s="72">
        <f>DATE(2018,6,24)</f>
        <v>43275</v>
      </c>
      <c r="AR2705" s="82">
        <f t="shared" si="225"/>
        <v>24</v>
      </c>
      <c r="AS2705" s="83">
        <f t="shared" si="226"/>
        <v>6</v>
      </c>
      <c r="AT2705" s="84">
        <f t="shared" si="227"/>
        <v>2018</v>
      </c>
      <c r="AU2705" s="72">
        <f>DATE(2018,7,9)</f>
        <v>43290</v>
      </c>
      <c r="AV2705" s="72">
        <f>DATE(2018,7,2)</f>
        <v>43283</v>
      </c>
      <c r="AW2705" s="87">
        <f t="shared" si="229"/>
        <v>7</v>
      </c>
      <c r="AX2705" s="27"/>
      <c r="AY2705" s="83"/>
      <c r="AZ2705" s="84"/>
      <c r="BA2705" s="27"/>
      <c r="BB2705" s="86"/>
    </row>
    <row r="2706" spans="1:54" ht="36.75" customHeight="1">
      <c r="A2706" s="30"/>
      <c r="B2706" s="30" t="s">
        <v>55</v>
      </c>
      <c r="C2706" s="69" t="str">
        <f t="shared" si="228"/>
        <v>Closed</v>
      </c>
      <c r="D2706" s="27" t="s">
        <v>15277</v>
      </c>
      <c r="E2706" s="29" t="s">
        <v>15278</v>
      </c>
      <c r="F2706" s="30" t="s">
        <v>197</v>
      </c>
      <c r="G2706" s="72">
        <f>DATE(2018,6,26)</f>
        <v>43277</v>
      </c>
      <c r="H2706" s="80">
        <v>0</v>
      </c>
      <c r="I2706" s="30" t="s">
        <v>73</v>
      </c>
      <c r="J2706" s="72" t="s">
        <v>15279</v>
      </c>
      <c r="K2706" s="30" t="s">
        <v>200</v>
      </c>
      <c r="L2706" s="30" t="s">
        <v>15280</v>
      </c>
      <c r="M2706" s="30" t="s">
        <v>63</v>
      </c>
      <c r="N2706" s="30" t="s">
        <v>99</v>
      </c>
      <c r="O2706" s="30" t="s">
        <v>64</v>
      </c>
      <c r="P2706" s="72" t="s">
        <v>165</v>
      </c>
      <c r="Q2706" s="72" t="s">
        <v>6011</v>
      </c>
      <c r="R2706" s="72" t="s">
        <v>6011</v>
      </c>
      <c r="S2706" s="30">
        <v>0</v>
      </c>
      <c r="T2706" s="232">
        <v>0</v>
      </c>
      <c r="U2706" s="30">
        <v>0</v>
      </c>
      <c r="V2706" s="232">
        <v>0</v>
      </c>
      <c r="W2706" s="30">
        <v>0</v>
      </c>
      <c r="X2706" s="30">
        <v>0</v>
      </c>
      <c r="Y2706" s="30">
        <v>4</v>
      </c>
      <c r="Z2706" s="232">
        <v>0</v>
      </c>
      <c r="AA2706" s="30">
        <v>0</v>
      </c>
      <c r="AB2706" s="30">
        <v>0</v>
      </c>
      <c r="AC2706" s="30">
        <v>0</v>
      </c>
      <c r="AD2706" s="30">
        <v>4</v>
      </c>
      <c r="AE2706" s="72" t="s">
        <v>145</v>
      </c>
      <c r="AF2706" s="72"/>
      <c r="AG2706" s="72" t="s">
        <v>82</v>
      </c>
      <c r="AH2706" s="72">
        <v>43332</v>
      </c>
      <c r="AI2706" s="30">
        <v>2</v>
      </c>
      <c r="AJ2706" s="72" t="s">
        <v>15281</v>
      </c>
      <c r="AK2706" s="72" t="s">
        <v>15282</v>
      </c>
      <c r="AL2706" s="70">
        <v>43335</v>
      </c>
      <c r="AM2706" s="70"/>
      <c r="AN2706" s="70"/>
      <c r="AO2706" s="70"/>
      <c r="AP2706" s="73" t="e">
        <f>MID(VLOOKUP(K2706,#REF!,2,FALSE),1,2)</f>
        <v>#REF!</v>
      </c>
      <c r="AQ2706" s="72">
        <f>DATE(2018,6,26)</f>
        <v>43277</v>
      </c>
      <c r="AR2706" s="82">
        <f t="shared" si="225"/>
        <v>26</v>
      </c>
      <c r="AS2706" s="83">
        <f t="shared" si="226"/>
        <v>6</v>
      </c>
      <c r="AT2706" s="84">
        <f t="shared" si="227"/>
        <v>2018</v>
      </c>
      <c r="AU2706" s="88">
        <f>DATE(2018,8,23)</f>
        <v>43335</v>
      </c>
      <c r="AV2706" s="88">
        <f>DATE(2018,8,20)</f>
        <v>43332</v>
      </c>
      <c r="AW2706" s="87">
        <f t="shared" si="229"/>
        <v>3</v>
      </c>
      <c r="AX2706" s="86"/>
      <c r="AY2706" s="83"/>
      <c r="AZ2706" s="84"/>
      <c r="BA2706" s="86"/>
      <c r="BB2706" s="86" t="s">
        <v>13115</v>
      </c>
    </row>
    <row r="2707" spans="1:54" ht="36.75" customHeight="1">
      <c r="A2707" s="30"/>
      <c r="B2707" s="30" t="s">
        <v>55</v>
      </c>
      <c r="C2707" s="69" t="str">
        <f t="shared" si="228"/>
        <v>Closed</v>
      </c>
      <c r="D2707" s="27" t="s">
        <v>15283</v>
      </c>
      <c r="E2707" s="29" t="s">
        <v>15284</v>
      </c>
      <c r="F2707" s="30" t="s">
        <v>9789</v>
      </c>
      <c r="G2707" s="72">
        <f>DATE(2018,6,27)</f>
        <v>43278</v>
      </c>
      <c r="H2707" s="80">
        <v>1.3333333333333333</v>
      </c>
      <c r="I2707" s="30" t="s">
        <v>487</v>
      </c>
      <c r="J2707" s="265" t="s">
        <v>15285</v>
      </c>
      <c r="K2707" s="30" t="s">
        <v>9791</v>
      </c>
      <c r="L2707" s="30" t="s">
        <v>15286</v>
      </c>
      <c r="M2707" s="30" t="s">
        <v>63</v>
      </c>
      <c r="N2707" s="30" t="s">
        <v>142</v>
      </c>
      <c r="O2707" s="30" t="s">
        <v>77</v>
      </c>
      <c r="P2707" s="72" t="s">
        <v>91</v>
      </c>
      <c r="Q2707" s="72" t="s">
        <v>10257</v>
      </c>
      <c r="R2707" s="72" t="s">
        <v>9794</v>
      </c>
      <c r="S2707" s="30">
        <v>0</v>
      </c>
      <c r="T2707" s="232">
        <v>0</v>
      </c>
      <c r="U2707" s="30">
        <v>0</v>
      </c>
      <c r="V2707" s="232">
        <v>0</v>
      </c>
      <c r="W2707" s="30">
        <v>0</v>
      </c>
      <c r="X2707" s="30">
        <v>0</v>
      </c>
      <c r="Y2707" s="30">
        <v>0</v>
      </c>
      <c r="Z2707" s="232">
        <v>0</v>
      </c>
      <c r="AA2707" s="30">
        <v>0</v>
      </c>
      <c r="AB2707" s="30">
        <v>0</v>
      </c>
      <c r="AC2707" s="30">
        <v>0</v>
      </c>
      <c r="AD2707" s="30">
        <v>0</v>
      </c>
      <c r="AE2707" s="72" t="s">
        <v>92</v>
      </c>
      <c r="AF2707" s="72"/>
      <c r="AG2707" s="72" t="s">
        <v>589</v>
      </c>
      <c r="AH2707" s="72">
        <v>43284</v>
      </c>
      <c r="AI2707" s="30">
        <v>1</v>
      </c>
      <c r="AJ2707" s="72" t="s">
        <v>15287</v>
      </c>
      <c r="AK2707" s="72" t="s">
        <v>15288</v>
      </c>
      <c r="AL2707" s="70">
        <v>43291</v>
      </c>
      <c r="AM2707" s="70"/>
      <c r="AN2707" s="70"/>
      <c r="AO2707" s="70"/>
      <c r="AP2707" s="73" t="e">
        <f>MID(VLOOKUP(K2707,#REF!,2,FALSE),1,2)</f>
        <v>#REF!</v>
      </c>
      <c r="AQ2707" s="72">
        <f>DATE(2018,6,27)</f>
        <v>43278</v>
      </c>
      <c r="AR2707" s="82">
        <f t="shared" si="225"/>
        <v>27</v>
      </c>
      <c r="AS2707" s="83">
        <f t="shared" si="226"/>
        <v>6</v>
      </c>
      <c r="AT2707" s="84">
        <f t="shared" si="227"/>
        <v>2018</v>
      </c>
      <c r="AU2707" s="88">
        <f>DATE(2018,7,10)</f>
        <v>43291</v>
      </c>
      <c r="AV2707" s="88">
        <f>DATE(2018,7,3)</f>
        <v>43284</v>
      </c>
      <c r="AW2707" s="87">
        <f t="shared" si="229"/>
        <v>7</v>
      </c>
      <c r="AX2707" s="88">
        <f>DATE(2018,7,3)</f>
        <v>43284</v>
      </c>
      <c r="AY2707" s="83"/>
      <c r="AZ2707" s="84"/>
      <c r="BA2707" s="88">
        <f>DATE(2018,6,27)</f>
        <v>43278</v>
      </c>
      <c r="BB2707" s="86"/>
    </row>
    <row r="2708" spans="1:54" ht="36.75" customHeight="1">
      <c r="A2708" s="30"/>
      <c r="B2708" s="30" t="s">
        <v>55</v>
      </c>
      <c r="C2708" s="69" t="str">
        <f t="shared" si="228"/>
        <v>Closed</v>
      </c>
      <c r="D2708" s="27" t="s">
        <v>15289</v>
      </c>
      <c r="E2708" s="29" t="s">
        <v>15290</v>
      </c>
      <c r="F2708" s="30" t="s">
        <v>423</v>
      </c>
      <c r="G2708" s="72">
        <f>DATE(2018,6,29)</f>
        <v>43280</v>
      </c>
      <c r="H2708" s="80">
        <v>1.5270833333333333</v>
      </c>
      <c r="I2708" s="30" t="s">
        <v>198</v>
      </c>
      <c r="J2708" s="72" t="s">
        <v>15291</v>
      </c>
      <c r="K2708" s="30" t="s">
        <v>425</v>
      </c>
      <c r="L2708" s="30" t="s">
        <v>15292</v>
      </c>
      <c r="M2708" s="30" t="s">
        <v>255</v>
      </c>
      <c r="N2708" s="30" t="s">
        <v>142</v>
      </c>
      <c r="O2708" s="30" t="s">
        <v>64</v>
      </c>
      <c r="P2708" s="72" t="s">
        <v>6552</v>
      </c>
      <c r="Q2708" s="72" t="s">
        <v>6553</v>
      </c>
      <c r="R2708" s="72" t="s">
        <v>6554</v>
      </c>
      <c r="S2708" s="30">
        <v>0</v>
      </c>
      <c r="T2708" s="232">
        <v>0</v>
      </c>
      <c r="U2708" s="30">
        <v>0</v>
      </c>
      <c r="V2708" s="232">
        <v>0</v>
      </c>
      <c r="W2708" s="30">
        <v>0</v>
      </c>
      <c r="X2708" s="30">
        <v>0</v>
      </c>
      <c r="Y2708" s="30">
        <v>0</v>
      </c>
      <c r="Z2708" s="232">
        <v>0</v>
      </c>
      <c r="AA2708" s="30">
        <v>0</v>
      </c>
      <c r="AB2708" s="30">
        <v>0</v>
      </c>
      <c r="AC2708" s="30">
        <v>0</v>
      </c>
      <c r="AD2708" s="30">
        <v>0</v>
      </c>
      <c r="AE2708" s="72" t="s">
        <v>394</v>
      </c>
      <c r="AF2708" s="72"/>
      <c r="AG2708" s="72" t="s">
        <v>133</v>
      </c>
      <c r="AH2708" s="72">
        <v>43280</v>
      </c>
      <c r="AI2708" s="30">
        <v>0</v>
      </c>
      <c r="AJ2708" s="72" t="s">
        <v>15293</v>
      </c>
      <c r="AK2708" s="72" t="s">
        <v>15294</v>
      </c>
      <c r="AL2708" s="70">
        <v>43285</v>
      </c>
      <c r="AM2708" s="70"/>
      <c r="AN2708" s="70"/>
      <c r="AO2708" s="70"/>
      <c r="AP2708" s="73" t="e">
        <f>MID(VLOOKUP(K2708,#REF!,2,FALSE),1,2)</f>
        <v>#REF!</v>
      </c>
      <c r="AQ2708" s="72">
        <f>DATE(2018,6,29)</f>
        <v>43280</v>
      </c>
      <c r="AR2708" s="82">
        <f t="shared" si="225"/>
        <v>29</v>
      </c>
      <c r="AS2708" s="83">
        <f t="shared" si="226"/>
        <v>6</v>
      </c>
      <c r="AT2708" s="84">
        <f t="shared" si="227"/>
        <v>2018</v>
      </c>
      <c r="AU2708" s="88">
        <f>DATE(2018,7,4)</f>
        <v>43285</v>
      </c>
      <c r="AV2708" s="88">
        <f>DATE(2018,6,29)</f>
        <v>43280</v>
      </c>
      <c r="AW2708" s="87">
        <f t="shared" si="229"/>
        <v>5</v>
      </c>
      <c r="AX2708" s="86"/>
      <c r="AY2708" s="83"/>
      <c r="AZ2708" s="84"/>
      <c r="BA2708" s="86"/>
      <c r="BB2708" s="86"/>
    </row>
    <row r="2709" spans="1:54" ht="36.75" customHeight="1">
      <c r="A2709" s="30"/>
      <c r="B2709" s="30" t="s">
        <v>55</v>
      </c>
      <c r="C2709" s="69" t="str">
        <f t="shared" si="228"/>
        <v>Closed</v>
      </c>
      <c r="D2709" s="27" t="s">
        <v>15295</v>
      </c>
      <c r="E2709" s="29" t="s">
        <v>15296</v>
      </c>
      <c r="F2709" s="30" t="s">
        <v>1572</v>
      </c>
      <c r="G2709" s="72">
        <f>DATE(2018,6,30)</f>
        <v>43281</v>
      </c>
      <c r="H2709" s="80">
        <v>1.4180555555555556</v>
      </c>
      <c r="I2709" s="30" t="s">
        <v>73</v>
      </c>
      <c r="J2709" s="72" t="s">
        <v>15297</v>
      </c>
      <c r="K2709" s="30" t="s">
        <v>1574</v>
      </c>
      <c r="L2709" s="30" t="s">
        <v>15298</v>
      </c>
      <c r="M2709" s="30" t="s">
        <v>63</v>
      </c>
      <c r="N2709" s="30" t="s">
        <v>142</v>
      </c>
      <c r="O2709" s="30" t="s">
        <v>77</v>
      </c>
      <c r="P2709" s="72" t="s">
        <v>78</v>
      </c>
      <c r="Q2709" s="72" t="s">
        <v>15299</v>
      </c>
      <c r="R2709" s="72" t="s">
        <v>6434</v>
      </c>
      <c r="S2709" s="30">
        <v>0</v>
      </c>
      <c r="T2709" s="232">
        <v>0</v>
      </c>
      <c r="U2709" s="30">
        <v>0</v>
      </c>
      <c r="V2709" s="232">
        <v>0</v>
      </c>
      <c r="W2709" s="30">
        <v>0</v>
      </c>
      <c r="X2709" s="30">
        <v>0</v>
      </c>
      <c r="Y2709" s="30">
        <v>0</v>
      </c>
      <c r="Z2709" s="232">
        <v>0</v>
      </c>
      <c r="AA2709" s="30">
        <v>0</v>
      </c>
      <c r="AB2709" s="30">
        <v>0</v>
      </c>
      <c r="AC2709" s="30">
        <v>0</v>
      </c>
      <c r="AD2709" s="30">
        <v>0</v>
      </c>
      <c r="AE2709" s="72" t="s">
        <v>394</v>
      </c>
      <c r="AF2709" s="72"/>
      <c r="AG2709" s="72" t="s">
        <v>133</v>
      </c>
      <c r="AH2709" s="72">
        <v>43283</v>
      </c>
      <c r="AI2709" s="30">
        <v>1</v>
      </c>
      <c r="AJ2709" s="72" t="s">
        <v>15300</v>
      </c>
      <c r="AK2709" s="72" t="s">
        <v>15301</v>
      </c>
      <c r="AL2709" s="70">
        <v>43533</v>
      </c>
      <c r="AM2709" s="70"/>
      <c r="AN2709" s="70"/>
      <c r="AO2709" s="70"/>
      <c r="AP2709" s="73" t="e">
        <f>MID(VLOOKUP(K2709,#REF!,2,FALSE),1,2)</f>
        <v>#REF!</v>
      </c>
      <c r="AQ2709" s="72">
        <f>DATE(2018,6,30)</f>
        <v>43281</v>
      </c>
      <c r="AR2709" s="82">
        <f t="shared" si="225"/>
        <v>30</v>
      </c>
      <c r="AS2709" s="83">
        <f t="shared" si="226"/>
        <v>6</v>
      </c>
      <c r="AT2709" s="84">
        <f t="shared" si="227"/>
        <v>2018</v>
      </c>
      <c r="AU2709" s="86"/>
      <c r="AV2709" s="86"/>
      <c r="AW2709" s="87"/>
      <c r="AX2709" s="86"/>
      <c r="AY2709" s="83"/>
      <c r="AZ2709" s="84"/>
      <c r="BA2709" s="86"/>
      <c r="BB2709" s="86"/>
    </row>
    <row r="2710" spans="1:54" ht="36.75" customHeight="1">
      <c r="A2710" s="30"/>
      <c r="B2710" s="30" t="s">
        <v>55</v>
      </c>
      <c r="C2710" s="69" t="str">
        <f t="shared" si="228"/>
        <v>Closed</v>
      </c>
      <c r="D2710" s="27" t="s">
        <v>15302</v>
      </c>
      <c r="E2710" s="29" t="s">
        <v>15303</v>
      </c>
      <c r="F2710" s="30" t="s">
        <v>423</v>
      </c>
      <c r="G2710" s="72">
        <f>DATE(2018,7,1)</f>
        <v>43282</v>
      </c>
      <c r="H2710" s="80">
        <v>1.3791666666666667</v>
      </c>
      <c r="I2710" s="30" t="s">
        <v>2078</v>
      </c>
      <c r="J2710" s="72" t="s">
        <v>15304</v>
      </c>
      <c r="K2710" s="30" t="s">
        <v>425</v>
      </c>
      <c r="L2710" s="30" t="s">
        <v>15305</v>
      </c>
      <c r="M2710" s="30" t="s">
        <v>63</v>
      </c>
      <c r="N2710" s="30" t="s">
        <v>142</v>
      </c>
      <c r="O2710" s="30" t="s">
        <v>77</v>
      </c>
      <c r="P2710" s="72" t="s">
        <v>165</v>
      </c>
      <c r="Q2710" s="72" t="s">
        <v>4551</v>
      </c>
      <c r="R2710" s="72" t="s">
        <v>3103</v>
      </c>
      <c r="S2710" s="30">
        <v>0</v>
      </c>
      <c r="T2710" s="232">
        <v>0</v>
      </c>
      <c r="U2710" s="30">
        <v>0</v>
      </c>
      <c r="V2710" s="232">
        <v>0</v>
      </c>
      <c r="W2710" s="30">
        <v>0</v>
      </c>
      <c r="X2710" s="30">
        <v>0</v>
      </c>
      <c r="Y2710" s="30">
        <v>0</v>
      </c>
      <c r="Z2710" s="232">
        <v>0</v>
      </c>
      <c r="AA2710" s="30">
        <v>0</v>
      </c>
      <c r="AB2710" s="30">
        <v>0</v>
      </c>
      <c r="AC2710" s="30">
        <v>0</v>
      </c>
      <c r="AD2710" s="30">
        <v>0</v>
      </c>
      <c r="AE2710" s="72" t="s">
        <v>92</v>
      </c>
      <c r="AF2710" s="72"/>
      <c r="AG2710" s="72" t="s">
        <v>874</v>
      </c>
      <c r="AH2710" s="72">
        <v>43107</v>
      </c>
      <c r="AI2710" s="30">
        <v>0</v>
      </c>
      <c r="AJ2710" s="72" t="s">
        <v>15306</v>
      </c>
      <c r="AK2710" s="72" t="s">
        <v>15307</v>
      </c>
      <c r="AL2710" s="70">
        <v>43284</v>
      </c>
      <c r="AM2710" s="70"/>
      <c r="AN2710" s="70"/>
      <c r="AO2710" s="70"/>
      <c r="AP2710" s="73" t="e">
        <f>MID(VLOOKUP(K2710,#REF!,2,FALSE),1,2)</f>
        <v>#REF!</v>
      </c>
      <c r="AQ2710" s="72">
        <f>DATE(2018,7,1)</f>
        <v>43282</v>
      </c>
      <c r="AR2710" s="82">
        <f t="shared" si="225"/>
        <v>1</v>
      </c>
      <c r="AS2710" s="83">
        <f t="shared" si="226"/>
        <v>7</v>
      </c>
      <c r="AT2710" s="84">
        <f t="shared" si="227"/>
        <v>2018</v>
      </c>
      <c r="AU2710" s="88">
        <f>DATE(2018,7,3)</f>
        <v>43284</v>
      </c>
      <c r="AV2710" s="88">
        <f>DATE(2018,7,1)</f>
        <v>43282</v>
      </c>
      <c r="AW2710" s="87">
        <f t="shared" ref="AW2710:AW2717" si="230">AU2710-AV2710</f>
        <v>2</v>
      </c>
      <c r="AX2710" s="86"/>
      <c r="AY2710" s="83"/>
      <c r="AZ2710" s="84"/>
      <c r="BA2710" s="86"/>
      <c r="BB2710" s="86"/>
    </row>
    <row r="2711" spans="1:54" ht="36.75" customHeight="1">
      <c r="A2711" s="30"/>
      <c r="B2711" s="30" t="s">
        <v>55</v>
      </c>
      <c r="C2711" s="69" t="str">
        <f t="shared" si="228"/>
        <v>Closed</v>
      </c>
      <c r="D2711" s="27" t="s">
        <v>15308</v>
      </c>
      <c r="E2711" s="29" t="s">
        <v>15309</v>
      </c>
      <c r="F2711" s="30" t="s">
        <v>638</v>
      </c>
      <c r="G2711" s="72">
        <f>DATE(2018,7,1)</f>
        <v>43282</v>
      </c>
      <c r="H2711" s="80">
        <v>1.838888888888889</v>
      </c>
      <c r="I2711" s="30" t="s">
        <v>59</v>
      </c>
      <c r="J2711" s="72" t="s">
        <v>15310</v>
      </c>
      <c r="K2711" s="30" t="s">
        <v>640</v>
      </c>
      <c r="L2711" s="30" t="s">
        <v>15311</v>
      </c>
      <c r="M2711" s="30" t="s">
        <v>63</v>
      </c>
      <c r="N2711" s="30" t="s">
        <v>99</v>
      </c>
      <c r="O2711" s="30" t="s">
        <v>77</v>
      </c>
      <c r="P2711" s="72" t="s">
        <v>65</v>
      </c>
      <c r="Q2711" s="72" t="s">
        <v>1185</v>
      </c>
      <c r="R2711" s="72" t="s">
        <v>643</v>
      </c>
      <c r="S2711" s="30">
        <v>0</v>
      </c>
      <c r="T2711" s="232">
        <v>0</v>
      </c>
      <c r="U2711" s="30">
        <v>0</v>
      </c>
      <c r="V2711" s="232">
        <v>0</v>
      </c>
      <c r="W2711" s="30">
        <v>0</v>
      </c>
      <c r="X2711" s="30">
        <v>0</v>
      </c>
      <c r="Y2711" s="30">
        <v>0</v>
      </c>
      <c r="Z2711" s="232">
        <v>0</v>
      </c>
      <c r="AA2711" s="30">
        <v>0</v>
      </c>
      <c r="AB2711" s="30">
        <v>0</v>
      </c>
      <c r="AC2711" s="30">
        <v>0</v>
      </c>
      <c r="AD2711" s="30">
        <v>0</v>
      </c>
      <c r="AE2711" s="72" t="s">
        <v>92</v>
      </c>
      <c r="AF2711" s="72"/>
      <c r="AG2711" s="72" t="s">
        <v>133</v>
      </c>
      <c r="AH2711" s="72">
        <v>43299</v>
      </c>
      <c r="AI2711" s="30">
        <v>4</v>
      </c>
      <c r="AJ2711" s="72" t="s">
        <v>15312</v>
      </c>
      <c r="AK2711" s="72" t="s">
        <v>15313</v>
      </c>
      <c r="AL2711" s="70">
        <v>43350</v>
      </c>
      <c r="AM2711" s="70"/>
      <c r="AN2711" s="70"/>
      <c r="AO2711" s="70"/>
      <c r="AP2711" s="73" t="e">
        <f>MID(VLOOKUP(K2711,#REF!,2,FALSE),1,2)</f>
        <v>#REF!</v>
      </c>
      <c r="AQ2711" s="72">
        <f>DATE(2018,7,1)</f>
        <v>43282</v>
      </c>
      <c r="AR2711" s="82">
        <f t="shared" si="225"/>
        <v>1</v>
      </c>
      <c r="AS2711" s="83">
        <f t="shared" si="226"/>
        <v>7</v>
      </c>
      <c r="AT2711" s="84">
        <f t="shared" si="227"/>
        <v>2018</v>
      </c>
      <c r="AU2711" s="88">
        <f>DATE(2018,9,7)</f>
        <v>43350</v>
      </c>
      <c r="AV2711" s="88">
        <f>DATE(2018,7,18)</f>
        <v>43299</v>
      </c>
      <c r="AW2711" s="87">
        <f t="shared" si="230"/>
        <v>51</v>
      </c>
      <c r="AX2711" s="86"/>
      <c r="AY2711" s="83"/>
      <c r="AZ2711" s="84"/>
      <c r="BA2711" s="86"/>
      <c r="BB2711" s="86"/>
    </row>
    <row r="2712" spans="1:54" ht="36.75" customHeight="1">
      <c r="A2712" s="30"/>
      <c r="B2712" s="30" t="s">
        <v>55</v>
      </c>
      <c r="C2712" s="69" t="str">
        <f t="shared" si="228"/>
        <v>Closed</v>
      </c>
      <c r="D2712" s="27" t="s">
        <v>15314</v>
      </c>
      <c r="E2712" s="29" t="s">
        <v>15315</v>
      </c>
      <c r="F2712" s="30" t="s">
        <v>124</v>
      </c>
      <c r="G2712" s="72">
        <f>DATE(2018,7,1)</f>
        <v>43282</v>
      </c>
      <c r="H2712" s="80">
        <v>1.8333333333333335</v>
      </c>
      <c r="I2712" s="30" t="s">
        <v>86</v>
      </c>
      <c r="J2712" s="72" t="s">
        <v>15316</v>
      </c>
      <c r="K2712" s="30" t="s">
        <v>127</v>
      </c>
      <c r="L2712" s="30" t="s">
        <v>3597</v>
      </c>
      <c r="M2712" s="30" t="s">
        <v>63</v>
      </c>
      <c r="N2712" s="30" t="s">
        <v>99</v>
      </c>
      <c r="O2712" s="30" t="s">
        <v>64</v>
      </c>
      <c r="P2712" s="72" t="s">
        <v>78</v>
      </c>
      <c r="Q2712" s="72" t="s">
        <v>401</v>
      </c>
      <c r="R2712" s="72" t="s">
        <v>167</v>
      </c>
      <c r="S2712" s="30">
        <v>0</v>
      </c>
      <c r="T2712" s="232">
        <v>0</v>
      </c>
      <c r="U2712" s="30">
        <v>0</v>
      </c>
      <c r="V2712" s="232">
        <v>0</v>
      </c>
      <c r="W2712" s="30">
        <v>0</v>
      </c>
      <c r="X2712" s="30">
        <v>0</v>
      </c>
      <c r="Y2712" s="30">
        <v>0</v>
      </c>
      <c r="Z2712" s="232">
        <v>0</v>
      </c>
      <c r="AA2712" s="30">
        <v>0</v>
      </c>
      <c r="AB2712" s="30">
        <v>0</v>
      </c>
      <c r="AC2712" s="30">
        <v>0</v>
      </c>
      <c r="AD2712" s="30">
        <v>0</v>
      </c>
      <c r="AE2712" s="72" t="s">
        <v>92</v>
      </c>
      <c r="AF2712" s="72"/>
      <c r="AG2712" s="72" t="s">
        <v>589</v>
      </c>
      <c r="AH2712" s="72">
        <v>43292</v>
      </c>
      <c r="AI2712" s="30">
        <v>1</v>
      </c>
      <c r="AJ2712" s="72" t="s">
        <v>15317</v>
      </c>
      <c r="AK2712" s="72" t="s">
        <v>68</v>
      </c>
      <c r="AL2712" s="70">
        <v>43308</v>
      </c>
      <c r="AM2712" s="70"/>
      <c r="AN2712" s="70"/>
      <c r="AO2712" s="70"/>
      <c r="AP2712" s="73" t="e">
        <f>MID(VLOOKUP(K2712,#REF!,2,FALSE),1,2)</f>
        <v>#REF!</v>
      </c>
      <c r="AQ2712" s="72">
        <f>DATE(2018,7,1)</f>
        <v>43282</v>
      </c>
      <c r="AR2712" s="82">
        <f t="shared" si="225"/>
        <v>1</v>
      </c>
      <c r="AS2712" s="83">
        <f t="shared" si="226"/>
        <v>7</v>
      </c>
      <c r="AT2712" s="84">
        <f t="shared" si="227"/>
        <v>2018</v>
      </c>
      <c r="AU2712" s="86"/>
      <c r="AV2712" s="86"/>
      <c r="AW2712" s="87">
        <f t="shared" si="230"/>
        <v>0</v>
      </c>
      <c r="AX2712" s="86"/>
      <c r="AY2712" s="83"/>
      <c r="AZ2712" s="84"/>
      <c r="BA2712" s="86"/>
      <c r="BB2712" s="86"/>
    </row>
    <row r="2713" spans="1:54" ht="36.75" customHeight="1">
      <c r="A2713" s="30"/>
      <c r="B2713" s="30" t="s">
        <v>55</v>
      </c>
      <c r="C2713" s="69" t="str">
        <f t="shared" si="228"/>
        <v>Closed</v>
      </c>
      <c r="D2713" s="27" t="s">
        <v>15318</v>
      </c>
      <c r="E2713" s="29" t="s">
        <v>15319</v>
      </c>
      <c r="F2713" s="30" t="s">
        <v>377</v>
      </c>
      <c r="G2713" s="72">
        <f>DATE(2018,7,2)</f>
        <v>43283</v>
      </c>
      <c r="H2713" s="80">
        <v>1.242361111111111</v>
      </c>
      <c r="I2713" s="30" t="s">
        <v>73</v>
      </c>
      <c r="J2713" s="72" t="s">
        <v>15320</v>
      </c>
      <c r="K2713" s="30" t="s">
        <v>379</v>
      </c>
      <c r="L2713" s="30" t="s">
        <v>15321</v>
      </c>
      <c r="M2713" s="30" t="s">
        <v>63</v>
      </c>
      <c r="N2713" s="30" t="s">
        <v>99</v>
      </c>
      <c r="O2713" s="30" t="s">
        <v>77</v>
      </c>
      <c r="P2713" s="72" t="s">
        <v>78</v>
      </c>
      <c r="Q2713" s="72" t="s">
        <v>3909</v>
      </c>
      <c r="R2713" s="72" t="s">
        <v>382</v>
      </c>
      <c r="S2713" s="30">
        <v>0</v>
      </c>
      <c r="T2713" s="232">
        <v>0</v>
      </c>
      <c r="U2713" s="30">
        <v>0</v>
      </c>
      <c r="V2713" s="232">
        <v>0</v>
      </c>
      <c r="W2713" s="30">
        <v>0</v>
      </c>
      <c r="X2713" s="30">
        <v>0</v>
      </c>
      <c r="Y2713" s="30">
        <v>0</v>
      </c>
      <c r="Z2713" s="232">
        <v>0</v>
      </c>
      <c r="AA2713" s="30">
        <v>0</v>
      </c>
      <c r="AB2713" s="30">
        <v>0</v>
      </c>
      <c r="AC2713" s="30">
        <v>0</v>
      </c>
      <c r="AD2713" s="30">
        <v>0</v>
      </c>
      <c r="AE2713" s="72" t="s">
        <v>394</v>
      </c>
      <c r="AF2713" s="72"/>
      <c r="AG2713" s="72" t="s">
        <v>589</v>
      </c>
      <c r="AH2713" s="72">
        <v>43285</v>
      </c>
      <c r="AI2713" s="30">
        <v>5</v>
      </c>
      <c r="AJ2713" s="72" t="s">
        <v>15322</v>
      </c>
      <c r="AK2713" s="72" t="s">
        <v>15323</v>
      </c>
      <c r="AL2713" s="70">
        <v>43314</v>
      </c>
      <c r="AM2713" s="70"/>
      <c r="AN2713" s="70"/>
      <c r="AO2713" s="70"/>
      <c r="AP2713" s="73" t="e">
        <f>MID(VLOOKUP(K2713,#REF!,2,FALSE),1,2)</f>
        <v>#REF!</v>
      </c>
      <c r="AQ2713" s="72">
        <f>DATE(2018,7,2)</f>
        <v>43283</v>
      </c>
      <c r="AR2713" s="82">
        <f t="shared" si="225"/>
        <v>2</v>
      </c>
      <c r="AS2713" s="83">
        <f t="shared" si="226"/>
        <v>7</v>
      </c>
      <c r="AT2713" s="84">
        <f t="shared" si="227"/>
        <v>2018</v>
      </c>
      <c r="AU2713" s="86"/>
      <c r="AV2713" s="86"/>
      <c r="AW2713" s="87">
        <f t="shared" si="230"/>
        <v>0</v>
      </c>
      <c r="AX2713" s="86"/>
      <c r="AY2713" s="83"/>
      <c r="AZ2713" s="84"/>
      <c r="BA2713" s="86"/>
      <c r="BB2713" s="86"/>
    </row>
    <row r="2714" spans="1:54" ht="36.75" customHeight="1">
      <c r="A2714" s="30"/>
      <c r="B2714" s="30" t="s">
        <v>55</v>
      </c>
      <c r="C2714" s="69" t="str">
        <f t="shared" si="228"/>
        <v>Closed</v>
      </c>
      <c r="D2714" s="27" t="s">
        <v>15324</v>
      </c>
      <c r="E2714" s="29" t="s">
        <v>15325</v>
      </c>
      <c r="F2714" s="30" t="s">
        <v>835</v>
      </c>
      <c r="G2714" s="72">
        <f>DATE(2018,7,6)</f>
        <v>43287</v>
      </c>
      <c r="H2714" s="80">
        <v>1.4236111111111112</v>
      </c>
      <c r="I2714" s="30" t="s">
        <v>156</v>
      </c>
      <c r="J2714" s="72" t="s">
        <v>15326</v>
      </c>
      <c r="K2714" s="30" t="s">
        <v>837</v>
      </c>
      <c r="L2714" s="30" t="s">
        <v>15327</v>
      </c>
      <c r="M2714" s="30" t="s">
        <v>63</v>
      </c>
      <c r="N2714" s="30" t="s">
        <v>142</v>
      </c>
      <c r="O2714" s="30" t="s">
        <v>77</v>
      </c>
      <c r="P2714" s="72" t="s">
        <v>65</v>
      </c>
      <c r="Q2714" s="72" t="s">
        <v>2162</v>
      </c>
      <c r="R2714" s="72" t="s">
        <v>840</v>
      </c>
      <c r="S2714" s="30">
        <v>0</v>
      </c>
      <c r="T2714" s="232">
        <v>0</v>
      </c>
      <c r="U2714" s="30">
        <v>0</v>
      </c>
      <c r="V2714" s="232">
        <v>0</v>
      </c>
      <c r="W2714" s="30">
        <v>0</v>
      </c>
      <c r="X2714" s="30">
        <v>0</v>
      </c>
      <c r="Y2714" s="30">
        <v>0</v>
      </c>
      <c r="Z2714" s="232">
        <v>0</v>
      </c>
      <c r="AA2714" s="30">
        <v>0</v>
      </c>
      <c r="AB2714" s="30">
        <v>0</v>
      </c>
      <c r="AC2714" s="30">
        <v>0</v>
      </c>
      <c r="AD2714" s="30">
        <v>0</v>
      </c>
      <c r="AE2714" s="72" t="s">
        <v>92</v>
      </c>
      <c r="AF2714" s="72"/>
      <c r="AG2714" s="72" t="s">
        <v>352</v>
      </c>
      <c r="AH2714" s="72">
        <v>43287</v>
      </c>
      <c r="AI2714" s="30">
        <v>0</v>
      </c>
      <c r="AJ2714" s="72" t="s">
        <v>15328</v>
      </c>
      <c r="AK2714" s="72" t="s">
        <v>68</v>
      </c>
      <c r="AL2714" s="70">
        <v>43315</v>
      </c>
      <c r="AM2714" s="70"/>
      <c r="AN2714" s="70"/>
      <c r="AO2714" s="70"/>
      <c r="AP2714" s="73" t="e">
        <f>MID(VLOOKUP(K2714,#REF!,2,FALSE),1,2)</f>
        <v>#REF!</v>
      </c>
      <c r="AQ2714" s="72">
        <f>DATE(2018,7,6)</f>
        <v>43287</v>
      </c>
      <c r="AR2714" s="82">
        <f t="shared" si="225"/>
        <v>6</v>
      </c>
      <c r="AS2714" s="83">
        <f t="shared" si="226"/>
        <v>7</v>
      </c>
      <c r="AT2714" s="84">
        <f t="shared" si="227"/>
        <v>2018</v>
      </c>
      <c r="AU2714" s="86"/>
      <c r="AV2714" s="86"/>
      <c r="AW2714" s="87">
        <f t="shared" si="230"/>
        <v>0</v>
      </c>
      <c r="AX2714" s="86"/>
      <c r="AY2714" s="83"/>
      <c r="AZ2714" s="84"/>
      <c r="BA2714" s="86"/>
      <c r="BB2714" s="86"/>
    </row>
    <row r="2715" spans="1:54" ht="36.75" customHeight="1">
      <c r="A2715" s="30"/>
      <c r="B2715" s="30" t="s">
        <v>55</v>
      </c>
      <c r="C2715" s="69" t="str">
        <f t="shared" si="228"/>
        <v>Closed</v>
      </c>
      <c r="D2715" s="27" t="s">
        <v>15329</v>
      </c>
      <c r="E2715" s="29" t="s">
        <v>15330</v>
      </c>
      <c r="F2715" s="30" t="s">
        <v>835</v>
      </c>
      <c r="G2715" s="72">
        <f>DATE(2018,7,8)</f>
        <v>43289</v>
      </c>
      <c r="H2715" s="80">
        <v>1.6159722222222221</v>
      </c>
      <c r="I2715" s="30" t="s">
        <v>73</v>
      </c>
      <c r="J2715" s="72" t="s">
        <v>15331</v>
      </c>
      <c r="K2715" s="30" t="s">
        <v>837</v>
      </c>
      <c r="L2715" s="30" t="s">
        <v>15332</v>
      </c>
      <c r="M2715" s="30" t="s">
        <v>255</v>
      </c>
      <c r="N2715" s="30" t="s">
        <v>99</v>
      </c>
      <c r="O2715" s="30" t="s">
        <v>77</v>
      </c>
      <c r="P2715" s="72" t="s">
        <v>6552</v>
      </c>
      <c r="Q2715" s="72" t="s">
        <v>4210</v>
      </c>
      <c r="R2715" s="72" t="s">
        <v>4210</v>
      </c>
      <c r="S2715" s="30">
        <v>0</v>
      </c>
      <c r="T2715" s="232">
        <v>0</v>
      </c>
      <c r="U2715" s="30">
        <v>0</v>
      </c>
      <c r="V2715" s="232">
        <v>0</v>
      </c>
      <c r="W2715" s="30">
        <v>0</v>
      </c>
      <c r="X2715" s="30">
        <v>0</v>
      </c>
      <c r="Y2715" s="30">
        <v>0</v>
      </c>
      <c r="Z2715" s="232">
        <v>0</v>
      </c>
      <c r="AA2715" s="30">
        <v>0</v>
      </c>
      <c r="AB2715" s="30">
        <v>0</v>
      </c>
      <c r="AC2715" s="30">
        <v>0</v>
      </c>
      <c r="AD2715" s="30">
        <v>0</v>
      </c>
      <c r="AE2715" s="72" t="s">
        <v>92</v>
      </c>
      <c r="AF2715" s="72"/>
      <c r="AG2715" s="72" t="s">
        <v>352</v>
      </c>
      <c r="AH2715" s="72">
        <v>43289</v>
      </c>
      <c r="AI2715" s="30">
        <v>0</v>
      </c>
      <c r="AJ2715" s="72" t="s">
        <v>15333</v>
      </c>
      <c r="AK2715" s="72" t="s">
        <v>68</v>
      </c>
      <c r="AL2715" s="70">
        <v>43292</v>
      </c>
      <c r="AM2715" s="70"/>
      <c r="AN2715" s="70"/>
      <c r="AO2715" s="70"/>
      <c r="AP2715" s="73" t="e">
        <f>MID(VLOOKUP(K2715,#REF!,2,FALSE),1,2)</f>
        <v>#REF!</v>
      </c>
      <c r="AQ2715" s="72">
        <f>DATE(2018,7,8)</f>
        <v>43289</v>
      </c>
      <c r="AR2715" s="82">
        <f t="shared" si="225"/>
        <v>8</v>
      </c>
      <c r="AS2715" s="83">
        <f t="shared" si="226"/>
        <v>7</v>
      </c>
      <c r="AT2715" s="84">
        <f t="shared" si="227"/>
        <v>2018</v>
      </c>
      <c r="AU2715" s="88">
        <f>DATE(2018,7,11)</f>
        <v>43292</v>
      </c>
      <c r="AV2715" s="88">
        <f>DATE(2018,7,8)</f>
        <v>43289</v>
      </c>
      <c r="AW2715" s="87">
        <f t="shared" si="230"/>
        <v>3</v>
      </c>
      <c r="AX2715" s="88">
        <f>DATE(2018,7,8)</f>
        <v>43289</v>
      </c>
      <c r="AY2715" s="83">
        <f>MONTH(AX2715)</f>
        <v>7</v>
      </c>
      <c r="AZ2715" s="84">
        <f>YEAR(AX2715)</f>
        <v>2018</v>
      </c>
      <c r="BA2715" s="88">
        <f>DATE(2018,7,8)</f>
        <v>43289</v>
      </c>
      <c r="BB2715" s="86"/>
    </row>
    <row r="2716" spans="1:54" ht="36.75" customHeight="1">
      <c r="A2716" s="30"/>
      <c r="B2716" s="30" t="s">
        <v>55</v>
      </c>
      <c r="C2716" s="69" t="str">
        <f t="shared" si="228"/>
        <v>Closed</v>
      </c>
      <c r="D2716" s="27" t="s">
        <v>15334</v>
      </c>
      <c r="E2716" s="29" t="s">
        <v>15335</v>
      </c>
      <c r="F2716" s="30" t="s">
        <v>582</v>
      </c>
      <c r="G2716" s="72">
        <f>DATE(2018,7,9)</f>
        <v>43290</v>
      </c>
      <c r="H2716" s="80">
        <v>1.4152777777777779</v>
      </c>
      <c r="I2716" s="30" t="s">
        <v>116</v>
      </c>
      <c r="J2716" s="72" t="s">
        <v>15336</v>
      </c>
      <c r="K2716" s="30" t="s">
        <v>584</v>
      </c>
      <c r="L2716" s="30" t="s">
        <v>15337</v>
      </c>
      <c r="M2716" s="30" t="s">
        <v>63</v>
      </c>
      <c r="N2716" s="30" t="s">
        <v>99</v>
      </c>
      <c r="O2716" s="30" t="s">
        <v>64</v>
      </c>
      <c r="P2716" s="72" t="s">
        <v>165</v>
      </c>
      <c r="Q2716" s="72" t="s">
        <v>4487</v>
      </c>
      <c r="R2716" s="72" t="s">
        <v>587</v>
      </c>
      <c r="S2716" s="30">
        <v>0</v>
      </c>
      <c r="T2716" s="232">
        <v>0</v>
      </c>
      <c r="U2716" s="30">
        <v>1</v>
      </c>
      <c r="V2716" s="232">
        <v>0</v>
      </c>
      <c r="W2716" s="30">
        <v>0</v>
      </c>
      <c r="X2716" s="30">
        <v>1</v>
      </c>
      <c r="Y2716" s="30">
        <v>0</v>
      </c>
      <c r="Z2716" s="232">
        <v>0</v>
      </c>
      <c r="AA2716" s="30">
        <v>0</v>
      </c>
      <c r="AB2716" s="30">
        <v>0</v>
      </c>
      <c r="AC2716" s="30">
        <v>0</v>
      </c>
      <c r="AD2716" s="30">
        <v>0</v>
      </c>
      <c r="AE2716" s="72" t="s">
        <v>394</v>
      </c>
      <c r="AF2716" s="72"/>
      <c r="AG2716" s="72" t="s">
        <v>82</v>
      </c>
      <c r="AH2716" s="72">
        <v>43297</v>
      </c>
      <c r="AI2716" s="30">
        <v>0</v>
      </c>
      <c r="AJ2716" s="72" t="s">
        <v>15338</v>
      </c>
      <c r="AK2716" s="72" t="s">
        <v>68</v>
      </c>
      <c r="AL2716" s="70">
        <v>43299</v>
      </c>
      <c r="AM2716" s="70"/>
      <c r="AN2716" s="70"/>
      <c r="AO2716" s="70"/>
      <c r="AP2716" s="73" t="e">
        <f>MID(VLOOKUP(K2716,#REF!,2,FALSE),1,2)</f>
        <v>#REF!</v>
      </c>
      <c r="AQ2716" s="72">
        <f>DATE(2018,7,9)</f>
        <v>43290</v>
      </c>
      <c r="AR2716" s="82">
        <f t="shared" si="225"/>
        <v>9</v>
      </c>
      <c r="AS2716" s="83">
        <f t="shared" si="226"/>
        <v>7</v>
      </c>
      <c r="AT2716" s="84">
        <f t="shared" si="227"/>
        <v>2018</v>
      </c>
      <c r="AU2716" s="88">
        <f>DATE(2018,7,18)</f>
        <v>43299</v>
      </c>
      <c r="AV2716" s="88">
        <f>DATE(2018,7,16)</f>
        <v>43297</v>
      </c>
      <c r="AW2716" s="87">
        <f t="shared" si="230"/>
        <v>2</v>
      </c>
      <c r="AX2716" s="86"/>
      <c r="AY2716" s="83"/>
      <c r="AZ2716" s="84"/>
      <c r="BA2716" s="86"/>
      <c r="BB2716" s="86"/>
    </row>
    <row r="2717" spans="1:54" ht="36.75" customHeight="1">
      <c r="A2717" s="30"/>
      <c r="B2717" s="30" t="s">
        <v>55</v>
      </c>
      <c r="C2717" s="69" t="str">
        <f t="shared" si="228"/>
        <v>Closed</v>
      </c>
      <c r="D2717" s="27" t="s">
        <v>15339</v>
      </c>
      <c r="E2717" s="29" t="s">
        <v>15340</v>
      </c>
      <c r="F2717" s="30" t="s">
        <v>423</v>
      </c>
      <c r="G2717" s="72">
        <f>DATE(2018,7,11)</f>
        <v>43292</v>
      </c>
      <c r="H2717" s="80">
        <v>1.7437499999999999</v>
      </c>
      <c r="I2717" s="30" t="s">
        <v>116</v>
      </c>
      <c r="J2717" s="72" t="s">
        <v>15341</v>
      </c>
      <c r="K2717" s="30" t="s">
        <v>425</v>
      </c>
      <c r="L2717" s="30" t="s">
        <v>15342</v>
      </c>
      <c r="M2717" s="30" t="s">
        <v>63</v>
      </c>
      <c r="N2717" s="30" t="s">
        <v>99</v>
      </c>
      <c r="O2717" s="30" t="s">
        <v>77</v>
      </c>
      <c r="P2717" s="72" t="s">
        <v>65</v>
      </c>
      <c r="Q2717" s="72" t="s">
        <v>4551</v>
      </c>
      <c r="R2717" s="72" t="s">
        <v>3103</v>
      </c>
      <c r="S2717" s="30">
        <v>0</v>
      </c>
      <c r="T2717" s="232">
        <v>0</v>
      </c>
      <c r="U2717" s="30">
        <v>1</v>
      </c>
      <c r="V2717" s="232">
        <v>0</v>
      </c>
      <c r="W2717" s="30">
        <v>0</v>
      </c>
      <c r="X2717" s="30">
        <v>1</v>
      </c>
      <c r="Y2717" s="30">
        <v>0</v>
      </c>
      <c r="Z2717" s="232">
        <v>0</v>
      </c>
      <c r="AA2717" s="30">
        <v>3</v>
      </c>
      <c r="AB2717" s="30">
        <v>0</v>
      </c>
      <c r="AC2717" s="30">
        <v>0</v>
      </c>
      <c r="AD2717" s="30">
        <v>3</v>
      </c>
      <c r="AE2717" s="72" t="s">
        <v>92</v>
      </c>
      <c r="AF2717" s="72"/>
      <c r="AG2717" s="72" t="s">
        <v>133</v>
      </c>
      <c r="AH2717" s="72">
        <v>43441</v>
      </c>
      <c r="AI2717" s="30">
        <v>1</v>
      </c>
      <c r="AJ2717" s="72" t="s">
        <v>11986</v>
      </c>
      <c r="AK2717" s="72" t="s">
        <v>15109</v>
      </c>
      <c r="AL2717" s="70">
        <v>43297</v>
      </c>
      <c r="AM2717" s="70"/>
      <c r="AN2717" s="70"/>
      <c r="AO2717" s="70"/>
      <c r="AP2717" s="73" t="e">
        <f>MID(VLOOKUP(K2717,#REF!,2,FALSE),1,2)</f>
        <v>#REF!</v>
      </c>
      <c r="AQ2717" s="72">
        <f>DATE(2018,7,11)</f>
        <v>43292</v>
      </c>
      <c r="AR2717" s="82">
        <f t="shared" si="225"/>
        <v>11</v>
      </c>
      <c r="AS2717" s="83">
        <f t="shared" si="226"/>
        <v>7</v>
      </c>
      <c r="AT2717" s="84">
        <f t="shared" si="227"/>
        <v>2018</v>
      </c>
      <c r="AU2717" s="72">
        <f>DATE(2018,7,16)</f>
        <v>43297</v>
      </c>
      <c r="AV2717" s="72">
        <f>DATE(2018,7,12)</f>
        <v>43293</v>
      </c>
      <c r="AW2717" s="87">
        <f t="shared" si="230"/>
        <v>4</v>
      </c>
      <c r="AX2717" s="86"/>
      <c r="AY2717" s="83"/>
      <c r="AZ2717" s="84"/>
      <c r="BA2717" s="86"/>
      <c r="BB2717" s="86" t="s">
        <v>13115</v>
      </c>
    </row>
    <row r="2718" spans="1:54" ht="36.75" customHeight="1">
      <c r="A2718" s="30"/>
      <c r="B2718" s="30" t="s">
        <v>55</v>
      </c>
      <c r="C2718" s="69" t="str">
        <f t="shared" si="228"/>
        <v>Closed</v>
      </c>
      <c r="D2718" s="27" t="s">
        <v>15343</v>
      </c>
      <c r="E2718" s="29" t="s">
        <v>15344</v>
      </c>
      <c r="F2718" s="30" t="s">
        <v>9789</v>
      </c>
      <c r="G2718" s="72">
        <f>DATE(2018,7,11)</f>
        <v>43292</v>
      </c>
      <c r="H2718" s="80">
        <v>1.3597222222222223</v>
      </c>
      <c r="I2718" s="30" t="s">
        <v>73</v>
      </c>
      <c r="J2718" s="265" t="s">
        <v>15345</v>
      </c>
      <c r="K2718" s="30" t="s">
        <v>9791</v>
      </c>
      <c r="L2718" s="30" t="s">
        <v>10016</v>
      </c>
      <c r="M2718" s="30" t="s">
        <v>63</v>
      </c>
      <c r="N2718" s="30" t="s">
        <v>99</v>
      </c>
      <c r="O2718" s="30" t="s">
        <v>77</v>
      </c>
      <c r="P2718" s="72" t="s">
        <v>78</v>
      </c>
      <c r="Q2718" s="72" t="s">
        <v>13463</v>
      </c>
      <c r="R2718" s="72" t="s">
        <v>9794</v>
      </c>
      <c r="S2718" s="30">
        <v>0</v>
      </c>
      <c r="T2718" s="232">
        <v>0</v>
      </c>
      <c r="U2718" s="30">
        <v>0</v>
      </c>
      <c r="V2718" s="232">
        <v>0</v>
      </c>
      <c r="W2718" s="30">
        <v>0</v>
      </c>
      <c r="X2718" s="30">
        <v>0</v>
      </c>
      <c r="Y2718" s="30">
        <v>0</v>
      </c>
      <c r="Z2718" s="232">
        <v>0</v>
      </c>
      <c r="AA2718" s="30">
        <v>0</v>
      </c>
      <c r="AB2718" s="30">
        <v>0</v>
      </c>
      <c r="AC2718" s="30">
        <v>0</v>
      </c>
      <c r="AD2718" s="30">
        <v>0</v>
      </c>
      <c r="AE2718" s="72" t="s">
        <v>394</v>
      </c>
      <c r="AF2718" s="72"/>
      <c r="AG2718" s="72" t="s">
        <v>82</v>
      </c>
      <c r="AH2718" s="72">
        <v>43294</v>
      </c>
      <c r="AI2718" s="30">
        <v>0</v>
      </c>
      <c r="AJ2718" s="72" t="s">
        <v>15346</v>
      </c>
      <c r="AK2718" s="72" t="s">
        <v>15347</v>
      </c>
      <c r="AL2718" s="70">
        <v>43529</v>
      </c>
      <c r="AM2718" s="70"/>
      <c r="AN2718" s="70"/>
      <c r="AO2718" s="70"/>
      <c r="AP2718" s="73" t="e">
        <f>MID(VLOOKUP(K2718,#REF!,2,FALSE),1,2)</f>
        <v>#REF!</v>
      </c>
      <c r="AQ2718" s="72">
        <f>DATE(2019,7,11)</f>
        <v>43657</v>
      </c>
      <c r="AR2718" s="82">
        <f t="shared" si="225"/>
        <v>11</v>
      </c>
      <c r="AS2718" s="83">
        <f t="shared" si="226"/>
        <v>7</v>
      </c>
      <c r="AT2718" s="84">
        <f t="shared" si="227"/>
        <v>2019</v>
      </c>
      <c r="AU2718" s="86"/>
      <c r="AV2718" s="86"/>
      <c r="AW2718" s="87"/>
      <c r="AX2718" s="86"/>
      <c r="AY2718" s="83"/>
      <c r="AZ2718" s="84"/>
      <c r="BA2718" s="86"/>
      <c r="BB2718" s="86"/>
    </row>
    <row r="2719" spans="1:54" ht="36.75" customHeight="1">
      <c r="A2719" s="30"/>
      <c r="B2719" s="30" t="s">
        <v>55</v>
      </c>
      <c r="C2719" s="69" t="str">
        <f t="shared" si="228"/>
        <v>Closed</v>
      </c>
      <c r="D2719" s="27" t="s">
        <v>15348</v>
      </c>
      <c r="E2719" s="29" t="s">
        <v>15349</v>
      </c>
      <c r="F2719" s="30" t="s">
        <v>835</v>
      </c>
      <c r="G2719" s="72">
        <f>DATE(2018,7,15)</f>
        <v>43296</v>
      </c>
      <c r="H2719" s="80">
        <v>1.6680555555555556</v>
      </c>
      <c r="I2719" s="30" t="s">
        <v>104</v>
      </c>
      <c r="J2719" s="72" t="s">
        <v>15350</v>
      </c>
      <c r="K2719" s="30" t="s">
        <v>837</v>
      </c>
      <c r="L2719" s="30" t="s">
        <v>15351</v>
      </c>
      <c r="M2719" s="30" t="s">
        <v>63</v>
      </c>
      <c r="N2719" s="30" t="s">
        <v>142</v>
      </c>
      <c r="O2719" s="30" t="s">
        <v>77</v>
      </c>
      <c r="P2719" s="72" t="s">
        <v>65</v>
      </c>
      <c r="Q2719" s="72" t="s">
        <v>2162</v>
      </c>
      <c r="R2719" s="72" t="s">
        <v>840</v>
      </c>
      <c r="S2719" s="30">
        <v>0</v>
      </c>
      <c r="T2719" s="232">
        <v>0</v>
      </c>
      <c r="U2719" s="30">
        <v>0</v>
      </c>
      <c r="V2719" s="232">
        <v>0</v>
      </c>
      <c r="W2719" s="30">
        <v>0</v>
      </c>
      <c r="X2719" s="30">
        <v>0</v>
      </c>
      <c r="Y2719" s="30">
        <v>0</v>
      </c>
      <c r="Z2719" s="232">
        <v>0</v>
      </c>
      <c r="AA2719" s="30">
        <v>0</v>
      </c>
      <c r="AB2719" s="30">
        <v>0</v>
      </c>
      <c r="AC2719" s="30">
        <v>0</v>
      </c>
      <c r="AD2719" s="30">
        <v>0</v>
      </c>
      <c r="AE2719" s="72" t="s">
        <v>92</v>
      </c>
      <c r="AF2719" s="72"/>
      <c r="AG2719" s="72" t="s">
        <v>11890</v>
      </c>
      <c r="AH2719" s="72">
        <v>43297</v>
      </c>
      <c r="AI2719" s="30">
        <v>0</v>
      </c>
      <c r="AJ2719" s="72" t="s">
        <v>15352</v>
      </c>
      <c r="AK2719" s="72" t="s">
        <v>15353</v>
      </c>
      <c r="AL2719" s="70">
        <v>43426</v>
      </c>
      <c r="AM2719" s="70"/>
      <c r="AN2719" s="70"/>
      <c r="AO2719" s="70"/>
      <c r="AP2719" s="73" t="e">
        <f>MID(VLOOKUP(K2719,#REF!,2,FALSE),1,2)</f>
        <v>#REF!</v>
      </c>
      <c r="AQ2719" s="72">
        <f>DATE(2018,7,15)</f>
        <v>43296</v>
      </c>
      <c r="AR2719" s="82">
        <f t="shared" si="225"/>
        <v>15</v>
      </c>
      <c r="AS2719" s="84">
        <f t="shared" si="226"/>
        <v>7</v>
      </c>
      <c r="AT2719" s="104">
        <f t="shared" si="227"/>
        <v>2018</v>
      </c>
      <c r="AU2719" s="86"/>
      <c r="AV2719" s="87"/>
      <c r="AW2719" s="86"/>
      <c r="AX2719" s="82"/>
      <c r="AY2719" s="84"/>
      <c r="AZ2719" s="104"/>
      <c r="BA2719" s="86"/>
      <c r="BB2719" s="86"/>
    </row>
    <row r="2720" spans="1:54" ht="36.75" customHeight="1">
      <c r="A2720" s="30"/>
      <c r="B2720" s="30" t="s">
        <v>55</v>
      </c>
      <c r="C2720" s="69" t="str">
        <f t="shared" si="228"/>
        <v>Closed</v>
      </c>
      <c r="D2720" s="27" t="s">
        <v>15354</v>
      </c>
      <c r="E2720" s="29" t="s">
        <v>15355</v>
      </c>
      <c r="F2720" s="30" t="s">
        <v>423</v>
      </c>
      <c r="G2720" s="72">
        <f>DATE(2018,7,16)</f>
        <v>43297</v>
      </c>
      <c r="H2720" s="80">
        <v>1.4083333333333334</v>
      </c>
      <c r="I2720" s="30" t="s">
        <v>116</v>
      </c>
      <c r="J2720" s="72" t="s">
        <v>15356</v>
      </c>
      <c r="K2720" s="30" t="s">
        <v>425</v>
      </c>
      <c r="L2720" s="30" t="s">
        <v>15357</v>
      </c>
      <c r="M2720" s="30" t="s">
        <v>63</v>
      </c>
      <c r="N2720" s="30" t="s">
        <v>99</v>
      </c>
      <c r="O2720" s="30" t="s">
        <v>64</v>
      </c>
      <c r="P2720" s="72" t="s">
        <v>165</v>
      </c>
      <c r="Q2720" s="72" t="s">
        <v>4551</v>
      </c>
      <c r="R2720" s="72" t="s">
        <v>3103</v>
      </c>
      <c r="S2720" s="30">
        <v>0</v>
      </c>
      <c r="T2720" s="232">
        <v>0</v>
      </c>
      <c r="U2720" s="30">
        <v>1</v>
      </c>
      <c r="V2720" s="232">
        <v>0</v>
      </c>
      <c r="W2720" s="30">
        <v>0</v>
      </c>
      <c r="X2720" s="30">
        <v>1</v>
      </c>
      <c r="Y2720" s="30">
        <v>0</v>
      </c>
      <c r="Z2720" s="232">
        <v>0</v>
      </c>
      <c r="AA2720" s="30">
        <v>0</v>
      </c>
      <c r="AB2720" s="30">
        <v>0</v>
      </c>
      <c r="AC2720" s="30">
        <v>0</v>
      </c>
      <c r="AD2720" s="30">
        <v>0</v>
      </c>
      <c r="AE2720" s="72" t="s">
        <v>92</v>
      </c>
      <c r="AF2720" s="72"/>
      <c r="AG2720" s="72" t="s">
        <v>874</v>
      </c>
      <c r="AH2720" s="72">
        <v>43299</v>
      </c>
      <c r="AI2720" s="30">
        <v>1</v>
      </c>
      <c r="AJ2720" s="72" t="s">
        <v>11986</v>
      </c>
      <c r="AK2720" s="72" t="s">
        <v>15358</v>
      </c>
      <c r="AL2720" s="70">
        <v>43300</v>
      </c>
      <c r="AM2720" s="70"/>
      <c r="AN2720" s="70"/>
      <c r="AO2720" s="70"/>
      <c r="AP2720" s="73" t="e">
        <f>MID(VLOOKUP(K2720,#REF!,2,FALSE),1,2)</f>
        <v>#REF!</v>
      </c>
      <c r="AQ2720" s="72">
        <f>DATE(2018,7,16)</f>
        <v>43297</v>
      </c>
      <c r="AR2720" s="82">
        <f t="shared" si="225"/>
        <v>16</v>
      </c>
      <c r="AS2720" s="83">
        <f t="shared" si="226"/>
        <v>7</v>
      </c>
      <c r="AT2720" s="84">
        <f t="shared" si="227"/>
        <v>2018</v>
      </c>
      <c r="AU2720" s="88">
        <f>DATE(2018,7,19)</f>
        <v>43300</v>
      </c>
      <c r="AV2720" s="88">
        <f>DATE(2018,7,18)</f>
        <v>43299</v>
      </c>
      <c r="AW2720" s="87">
        <f t="shared" ref="AW2720:AW2727" si="231">AU2720-AV2720</f>
        <v>1</v>
      </c>
      <c r="AX2720" s="86"/>
      <c r="AY2720" s="83"/>
      <c r="AZ2720" s="84"/>
      <c r="BA2720" s="86"/>
      <c r="BB2720" s="86" t="s">
        <v>13115</v>
      </c>
    </row>
    <row r="2721" spans="1:54" ht="36.75" customHeight="1">
      <c r="A2721" s="30"/>
      <c r="B2721" s="30" t="s">
        <v>55</v>
      </c>
      <c r="C2721" s="69" t="str">
        <f t="shared" si="228"/>
        <v>Closed</v>
      </c>
      <c r="D2721" s="27" t="s">
        <v>15359</v>
      </c>
      <c r="E2721" s="29" t="s">
        <v>15360</v>
      </c>
      <c r="F2721" s="30" t="s">
        <v>1938</v>
      </c>
      <c r="G2721" s="72">
        <f>DATE(2018,7,17)</f>
        <v>43298</v>
      </c>
      <c r="H2721" s="80">
        <v>0</v>
      </c>
      <c r="I2721" s="30" t="s">
        <v>198</v>
      </c>
      <c r="J2721" s="72" t="s">
        <v>15361</v>
      </c>
      <c r="K2721" s="30" t="s">
        <v>1940</v>
      </c>
      <c r="L2721" s="30" t="s">
        <v>15362</v>
      </c>
      <c r="M2721" s="30" t="s">
        <v>63</v>
      </c>
      <c r="N2721" s="30" t="s">
        <v>89</v>
      </c>
      <c r="O2721" s="30" t="s">
        <v>90</v>
      </c>
      <c r="P2721" s="72" t="s">
        <v>165</v>
      </c>
      <c r="Q2721" s="72" t="s">
        <v>1942</v>
      </c>
      <c r="R2721" s="72" t="s">
        <v>1940</v>
      </c>
      <c r="S2721" s="30">
        <v>0</v>
      </c>
      <c r="T2721" s="232">
        <v>0</v>
      </c>
      <c r="U2721" s="30">
        <v>0</v>
      </c>
      <c r="V2721" s="232">
        <v>0</v>
      </c>
      <c r="W2721" s="30">
        <v>0</v>
      </c>
      <c r="X2721" s="30">
        <v>0</v>
      </c>
      <c r="Y2721" s="30">
        <v>0</v>
      </c>
      <c r="Z2721" s="232">
        <v>0</v>
      </c>
      <c r="AA2721" s="30">
        <v>0</v>
      </c>
      <c r="AB2721" s="30">
        <v>0</v>
      </c>
      <c r="AC2721" s="30">
        <v>0</v>
      </c>
      <c r="AD2721" s="30">
        <v>0</v>
      </c>
      <c r="AE2721" s="72" t="s">
        <v>394</v>
      </c>
      <c r="AF2721" s="72"/>
      <c r="AG2721" s="72" t="s">
        <v>10511</v>
      </c>
      <c r="AH2721" s="72">
        <v>43320</v>
      </c>
      <c r="AI2721" s="30">
        <v>7</v>
      </c>
      <c r="AJ2721" s="72" t="s">
        <v>15363</v>
      </c>
      <c r="AK2721" s="72" t="s">
        <v>68</v>
      </c>
      <c r="AL2721" s="70">
        <v>43321</v>
      </c>
      <c r="AM2721" s="70"/>
      <c r="AN2721" s="70"/>
      <c r="AO2721" s="70"/>
      <c r="AP2721" s="73" t="e">
        <f>MID(VLOOKUP(K2721,#REF!,2,FALSE),1,2)</f>
        <v>#REF!</v>
      </c>
      <c r="AQ2721" s="72">
        <f>DATE(2018,7,17)</f>
        <v>43298</v>
      </c>
      <c r="AR2721" s="82">
        <f t="shared" si="225"/>
        <v>17</v>
      </c>
      <c r="AS2721" s="83">
        <f t="shared" si="226"/>
        <v>7</v>
      </c>
      <c r="AT2721" s="84">
        <f t="shared" si="227"/>
        <v>2018</v>
      </c>
      <c r="AU2721" s="86"/>
      <c r="AV2721" s="86"/>
      <c r="AW2721" s="87">
        <f t="shared" si="231"/>
        <v>0</v>
      </c>
      <c r="AX2721" s="86"/>
      <c r="AY2721" s="83"/>
      <c r="AZ2721" s="84"/>
      <c r="BA2721" s="86"/>
      <c r="BB2721" s="86"/>
    </row>
    <row r="2722" spans="1:54" ht="36.75" customHeight="1">
      <c r="A2722" s="30"/>
      <c r="B2722" s="30" t="s">
        <v>55</v>
      </c>
      <c r="C2722" s="69" t="str">
        <f t="shared" si="228"/>
        <v>Closed</v>
      </c>
      <c r="D2722" s="27" t="s">
        <v>15364</v>
      </c>
      <c r="E2722" s="29" t="s">
        <v>15365</v>
      </c>
      <c r="F2722" s="30" t="s">
        <v>423</v>
      </c>
      <c r="G2722" s="72">
        <f>DATE(2018,7,18)</f>
        <v>43299</v>
      </c>
      <c r="H2722" s="80">
        <v>1.2354166666666666</v>
      </c>
      <c r="I2722" s="30" t="s">
        <v>2078</v>
      </c>
      <c r="J2722" s="72" t="s">
        <v>15366</v>
      </c>
      <c r="K2722" s="30" t="s">
        <v>425</v>
      </c>
      <c r="L2722" s="30" t="s">
        <v>15367</v>
      </c>
      <c r="M2722" s="30" t="s">
        <v>63</v>
      </c>
      <c r="N2722" s="30" t="s">
        <v>99</v>
      </c>
      <c r="O2722" s="30" t="s">
        <v>77</v>
      </c>
      <c r="P2722" s="72" t="s">
        <v>5324</v>
      </c>
      <c r="Q2722" s="72" t="s">
        <v>4551</v>
      </c>
      <c r="R2722" s="72" t="s">
        <v>3103</v>
      </c>
      <c r="S2722" s="30">
        <v>0</v>
      </c>
      <c r="T2722" s="232">
        <v>0</v>
      </c>
      <c r="U2722" s="30">
        <v>0</v>
      </c>
      <c r="V2722" s="232">
        <v>0</v>
      </c>
      <c r="W2722" s="30">
        <v>0</v>
      </c>
      <c r="X2722" s="30">
        <v>0</v>
      </c>
      <c r="Y2722" s="30">
        <v>0</v>
      </c>
      <c r="Z2722" s="232">
        <v>0</v>
      </c>
      <c r="AA2722" s="30">
        <v>0</v>
      </c>
      <c r="AB2722" s="30">
        <v>0</v>
      </c>
      <c r="AC2722" s="30">
        <v>0</v>
      </c>
      <c r="AD2722" s="30">
        <v>0</v>
      </c>
      <c r="AE2722" s="72" t="s">
        <v>92</v>
      </c>
      <c r="AF2722" s="72"/>
      <c r="AG2722" s="72" t="s">
        <v>352</v>
      </c>
      <c r="AH2722" s="72">
        <v>43299</v>
      </c>
      <c r="AI2722" s="30">
        <v>0</v>
      </c>
      <c r="AJ2722" s="72" t="s">
        <v>15368</v>
      </c>
      <c r="AK2722" s="72" t="s">
        <v>15369</v>
      </c>
      <c r="AL2722" s="70">
        <v>43301</v>
      </c>
      <c r="AM2722" s="70"/>
      <c r="AN2722" s="70"/>
      <c r="AO2722" s="70"/>
      <c r="AP2722" s="73" t="e">
        <f>MID(VLOOKUP(K2722,#REF!,2,FALSE),1,2)</f>
        <v>#REF!</v>
      </c>
      <c r="AQ2722" s="72">
        <f>DATE(2018,7,18)</f>
        <v>43299</v>
      </c>
      <c r="AR2722" s="82">
        <f t="shared" si="225"/>
        <v>18</v>
      </c>
      <c r="AS2722" s="83">
        <f t="shared" si="226"/>
        <v>7</v>
      </c>
      <c r="AT2722" s="84">
        <f t="shared" si="227"/>
        <v>2018</v>
      </c>
      <c r="AU2722" s="88">
        <f>DATE(2018,7,20)</f>
        <v>43301</v>
      </c>
      <c r="AV2722" s="88">
        <f>DATE(2018,7,18)</f>
        <v>43299</v>
      </c>
      <c r="AW2722" s="87">
        <f t="shared" si="231"/>
        <v>2</v>
      </c>
      <c r="AX2722" s="86"/>
      <c r="AY2722" s="83"/>
      <c r="AZ2722" s="84"/>
      <c r="BA2722" s="86"/>
      <c r="BB2722" s="86" t="s">
        <v>13115</v>
      </c>
    </row>
    <row r="2723" spans="1:54" ht="36.75" customHeight="1">
      <c r="A2723" s="30"/>
      <c r="B2723" s="30" t="s">
        <v>55</v>
      </c>
      <c r="C2723" s="69" t="str">
        <f t="shared" si="228"/>
        <v>Closed</v>
      </c>
      <c r="D2723" s="27" t="s">
        <v>15370</v>
      </c>
      <c r="E2723" s="29" t="s">
        <v>15371</v>
      </c>
      <c r="F2723" s="30" t="s">
        <v>423</v>
      </c>
      <c r="G2723" s="72">
        <f>DATE(2018,7,20)</f>
        <v>43301</v>
      </c>
      <c r="H2723" s="80">
        <v>1.4659722222222222</v>
      </c>
      <c r="I2723" s="30" t="s">
        <v>198</v>
      </c>
      <c r="J2723" s="72" t="s">
        <v>15372</v>
      </c>
      <c r="K2723" s="30" t="s">
        <v>425</v>
      </c>
      <c r="L2723" s="30" t="s">
        <v>12545</v>
      </c>
      <c r="M2723" s="30" t="s">
        <v>63</v>
      </c>
      <c r="N2723" s="30" t="s">
        <v>89</v>
      </c>
      <c r="O2723" s="30" t="s">
        <v>77</v>
      </c>
      <c r="P2723" s="72" t="s">
        <v>7362</v>
      </c>
      <c r="Q2723" s="72" t="s">
        <v>4551</v>
      </c>
      <c r="R2723" s="72" t="s">
        <v>3103</v>
      </c>
      <c r="S2723" s="30">
        <v>0</v>
      </c>
      <c r="T2723" s="232">
        <v>0</v>
      </c>
      <c r="U2723" s="30">
        <v>0</v>
      </c>
      <c r="V2723" s="232">
        <v>0</v>
      </c>
      <c r="W2723" s="30">
        <v>0</v>
      </c>
      <c r="X2723" s="30">
        <v>0</v>
      </c>
      <c r="Y2723" s="30">
        <v>0</v>
      </c>
      <c r="Z2723" s="232">
        <v>0</v>
      </c>
      <c r="AA2723" s="30">
        <v>0</v>
      </c>
      <c r="AB2723" s="30">
        <v>0</v>
      </c>
      <c r="AC2723" s="30">
        <v>0</v>
      </c>
      <c r="AD2723" s="30">
        <v>0</v>
      </c>
      <c r="AE2723" s="72" t="s">
        <v>92</v>
      </c>
      <c r="AF2723" s="72"/>
      <c r="AG2723" s="72" t="s">
        <v>133</v>
      </c>
      <c r="AH2723" s="72">
        <v>43301</v>
      </c>
      <c r="AI2723" s="30">
        <v>0</v>
      </c>
      <c r="AJ2723" s="72" t="s">
        <v>15373</v>
      </c>
      <c r="AK2723" s="72" t="s">
        <v>15374</v>
      </c>
      <c r="AL2723" s="70">
        <v>43305</v>
      </c>
      <c r="AM2723" s="70"/>
      <c r="AN2723" s="70"/>
      <c r="AO2723" s="70"/>
      <c r="AP2723" s="73" t="e">
        <f>MID(VLOOKUP(K2723,#REF!,2,FALSE),1,2)</f>
        <v>#REF!</v>
      </c>
      <c r="AQ2723" s="72">
        <f>DATE(2018,7,20)</f>
        <v>43301</v>
      </c>
      <c r="AR2723" s="82">
        <f t="shared" si="225"/>
        <v>20</v>
      </c>
      <c r="AS2723" s="83">
        <f t="shared" si="226"/>
        <v>7</v>
      </c>
      <c r="AT2723" s="84">
        <f t="shared" si="227"/>
        <v>2018</v>
      </c>
      <c r="AU2723" s="88">
        <f>DATE(2018,7,24)</f>
        <v>43305</v>
      </c>
      <c r="AV2723" s="88">
        <f>DATE(2018,7,20)</f>
        <v>43301</v>
      </c>
      <c r="AW2723" s="87">
        <f t="shared" si="231"/>
        <v>4</v>
      </c>
      <c r="AX2723" s="86"/>
      <c r="AY2723" s="83"/>
      <c r="AZ2723" s="84"/>
      <c r="BA2723" s="86"/>
      <c r="BB2723" s="86" t="s">
        <v>13115</v>
      </c>
    </row>
    <row r="2724" spans="1:54" ht="36.75" customHeight="1">
      <c r="A2724" s="30"/>
      <c r="B2724" s="30" t="s">
        <v>55</v>
      </c>
      <c r="C2724" s="69" t="str">
        <f t="shared" si="228"/>
        <v>Closed</v>
      </c>
      <c r="D2724" s="27" t="s">
        <v>15375</v>
      </c>
      <c r="E2724" s="29" t="s">
        <v>15376</v>
      </c>
      <c r="F2724" s="30" t="s">
        <v>423</v>
      </c>
      <c r="G2724" s="72">
        <f>DATE(2018,7,20)</f>
        <v>43301</v>
      </c>
      <c r="H2724" s="80">
        <v>1.9576388888888889</v>
      </c>
      <c r="I2724" s="30" t="s">
        <v>198</v>
      </c>
      <c r="J2724" s="72" t="s">
        <v>15377</v>
      </c>
      <c r="K2724" s="30" t="s">
        <v>425</v>
      </c>
      <c r="L2724" s="30" t="s">
        <v>15378</v>
      </c>
      <c r="M2724" s="30" t="s">
        <v>63</v>
      </c>
      <c r="N2724" s="30" t="s">
        <v>142</v>
      </c>
      <c r="O2724" s="30" t="s">
        <v>64</v>
      </c>
      <c r="P2724" s="72" t="s">
        <v>15379</v>
      </c>
      <c r="Q2724" s="72" t="s">
        <v>10689</v>
      </c>
      <c r="R2724" s="72" t="s">
        <v>3103</v>
      </c>
      <c r="S2724" s="30">
        <v>0</v>
      </c>
      <c r="T2724" s="232">
        <v>0</v>
      </c>
      <c r="U2724" s="30">
        <v>0</v>
      </c>
      <c r="V2724" s="232">
        <v>0</v>
      </c>
      <c r="W2724" s="30">
        <v>0</v>
      </c>
      <c r="X2724" s="30">
        <v>0</v>
      </c>
      <c r="Y2724" s="30">
        <v>0</v>
      </c>
      <c r="Z2724" s="232">
        <v>0</v>
      </c>
      <c r="AA2724" s="30">
        <v>0</v>
      </c>
      <c r="AB2724" s="30">
        <v>0</v>
      </c>
      <c r="AC2724" s="30">
        <v>0</v>
      </c>
      <c r="AD2724" s="30">
        <v>0</v>
      </c>
      <c r="AE2724" s="72" t="s">
        <v>92</v>
      </c>
      <c r="AF2724" s="72"/>
      <c r="AG2724" s="72" t="s">
        <v>133</v>
      </c>
      <c r="AH2724" s="72">
        <v>43301</v>
      </c>
      <c r="AI2724" s="30">
        <v>0</v>
      </c>
      <c r="AJ2724" s="72" t="s">
        <v>15380</v>
      </c>
      <c r="AK2724" s="72" t="s">
        <v>15381</v>
      </c>
      <c r="AL2724" s="70">
        <v>43305</v>
      </c>
      <c r="AM2724" s="70"/>
      <c r="AN2724" s="70"/>
      <c r="AO2724" s="70"/>
      <c r="AP2724" s="73" t="e">
        <f>MID(VLOOKUP(K2724,#REF!,2,FALSE),1,2)</f>
        <v>#REF!</v>
      </c>
      <c r="AQ2724" s="72">
        <f>DATE(2018,7,20)</f>
        <v>43301</v>
      </c>
      <c r="AR2724" s="82">
        <f t="shared" si="225"/>
        <v>20</v>
      </c>
      <c r="AS2724" s="83">
        <f t="shared" si="226"/>
        <v>7</v>
      </c>
      <c r="AT2724" s="84">
        <f t="shared" si="227"/>
        <v>2018</v>
      </c>
      <c r="AU2724" s="88">
        <f>DATE(2018,7,24)</f>
        <v>43305</v>
      </c>
      <c r="AV2724" s="88">
        <f>DATE(2018,7,20)</f>
        <v>43301</v>
      </c>
      <c r="AW2724" s="87">
        <f t="shared" si="231"/>
        <v>4</v>
      </c>
      <c r="AX2724" s="86"/>
      <c r="AY2724" s="83"/>
      <c r="AZ2724" s="84"/>
      <c r="BA2724" s="86"/>
      <c r="BB2724" s="86" t="s">
        <v>13115</v>
      </c>
    </row>
    <row r="2725" spans="1:54" ht="36.75" customHeight="1">
      <c r="A2725" s="30"/>
      <c r="B2725" s="30" t="s">
        <v>55</v>
      </c>
      <c r="C2725" s="69" t="str">
        <f t="shared" si="228"/>
        <v>Closed</v>
      </c>
      <c r="D2725" s="27" t="s">
        <v>15382</v>
      </c>
      <c r="E2725" s="29" t="s">
        <v>15383</v>
      </c>
      <c r="F2725" s="30" t="s">
        <v>233</v>
      </c>
      <c r="G2725" s="72">
        <f>DATE(2018,7,20)</f>
        <v>43301</v>
      </c>
      <c r="H2725" s="80">
        <v>1.4548611111111112</v>
      </c>
      <c r="I2725" s="30" t="s">
        <v>278</v>
      </c>
      <c r="J2725" s="72" t="s">
        <v>15384</v>
      </c>
      <c r="K2725" s="30" t="s">
        <v>235</v>
      </c>
      <c r="L2725" s="30" t="s">
        <v>15385</v>
      </c>
      <c r="M2725" s="30" t="s">
        <v>63</v>
      </c>
      <c r="N2725" s="30" t="s">
        <v>89</v>
      </c>
      <c r="O2725" s="30" t="s">
        <v>64</v>
      </c>
      <c r="P2725" s="72" t="s">
        <v>65</v>
      </c>
      <c r="Q2725" s="72" t="s">
        <v>1073</v>
      </c>
      <c r="R2725" s="72" t="s">
        <v>235</v>
      </c>
      <c r="S2725" s="30">
        <v>0</v>
      </c>
      <c r="T2725" s="232">
        <v>0</v>
      </c>
      <c r="U2725" s="30">
        <v>0</v>
      </c>
      <c r="V2725" s="232">
        <v>0</v>
      </c>
      <c r="W2725" s="30">
        <v>0</v>
      </c>
      <c r="X2725" s="30">
        <v>0</v>
      </c>
      <c r="Y2725" s="30">
        <v>0</v>
      </c>
      <c r="Z2725" s="232">
        <v>0</v>
      </c>
      <c r="AA2725" s="30">
        <v>0</v>
      </c>
      <c r="AB2725" s="30">
        <v>0</v>
      </c>
      <c r="AC2725" s="30">
        <v>0</v>
      </c>
      <c r="AD2725" s="30">
        <v>0</v>
      </c>
      <c r="AE2725" s="72" t="s">
        <v>92</v>
      </c>
      <c r="AF2725" s="72"/>
      <c r="AG2725" s="72" t="s">
        <v>133</v>
      </c>
      <c r="AH2725" s="72">
        <v>43318</v>
      </c>
      <c r="AI2725" s="30">
        <v>5</v>
      </c>
      <c r="AJ2725" s="72" t="s">
        <v>15386</v>
      </c>
      <c r="AK2725" s="72" t="s">
        <v>15387</v>
      </c>
      <c r="AL2725" s="70">
        <v>43341</v>
      </c>
      <c r="AM2725" s="70"/>
      <c r="AN2725" s="70"/>
      <c r="AO2725" s="70"/>
      <c r="AP2725" s="73" t="e">
        <f>MID(VLOOKUP(K2725,#REF!,2,FALSE),1,2)</f>
        <v>#REF!</v>
      </c>
      <c r="AQ2725" s="72">
        <f>DATE(2018,7,20)</f>
        <v>43301</v>
      </c>
      <c r="AR2725" s="82">
        <f t="shared" si="225"/>
        <v>20</v>
      </c>
      <c r="AS2725" s="83">
        <f t="shared" si="226"/>
        <v>7</v>
      </c>
      <c r="AT2725" s="84">
        <f t="shared" si="227"/>
        <v>2018</v>
      </c>
      <c r="AU2725" s="86"/>
      <c r="AV2725" s="86"/>
      <c r="AW2725" s="87">
        <f t="shared" si="231"/>
        <v>0</v>
      </c>
      <c r="AX2725" s="86"/>
      <c r="AY2725" s="83"/>
      <c r="AZ2725" s="84"/>
      <c r="BA2725" s="86"/>
      <c r="BB2725" s="86"/>
    </row>
    <row r="2726" spans="1:54" ht="36.75" customHeight="1">
      <c r="A2726" s="30"/>
      <c r="B2726" s="30" t="s">
        <v>55</v>
      </c>
      <c r="C2726" s="69" t="str">
        <f t="shared" si="228"/>
        <v>Closed</v>
      </c>
      <c r="D2726" s="27" t="s">
        <v>15388</v>
      </c>
      <c r="E2726" s="29" t="s">
        <v>15389</v>
      </c>
      <c r="F2726" s="30" t="s">
        <v>835</v>
      </c>
      <c r="G2726" s="72">
        <f>DATE(2018,7,21)</f>
        <v>43302</v>
      </c>
      <c r="H2726" s="80">
        <v>1.6305555555555555</v>
      </c>
      <c r="I2726" s="30" t="s">
        <v>73</v>
      </c>
      <c r="J2726" s="72" t="s">
        <v>15390</v>
      </c>
      <c r="K2726" s="30" t="s">
        <v>837</v>
      </c>
      <c r="L2726" s="30" t="s">
        <v>15391</v>
      </c>
      <c r="M2726" s="30" t="s">
        <v>63</v>
      </c>
      <c r="N2726" s="30" t="s">
        <v>99</v>
      </c>
      <c r="O2726" s="30" t="s">
        <v>77</v>
      </c>
      <c r="P2726" s="72" t="s">
        <v>165</v>
      </c>
      <c r="Q2726" s="72" t="s">
        <v>2162</v>
      </c>
      <c r="R2726" s="72" t="s">
        <v>840</v>
      </c>
      <c r="S2726" s="30">
        <v>0</v>
      </c>
      <c r="T2726" s="232">
        <v>0</v>
      </c>
      <c r="U2726" s="30">
        <v>0</v>
      </c>
      <c r="V2726" s="232">
        <v>0</v>
      </c>
      <c r="W2726" s="30">
        <v>0</v>
      </c>
      <c r="X2726" s="30">
        <v>0</v>
      </c>
      <c r="Y2726" s="30">
        <v>0</v>
      </c>
      <c r="Z2726" s="232">
        <v>0</v>
      </c>
      <c r="AA2726" s="30">
        <v>0</v>
      </c>
      <c r="AB2726" s="30">
        <v>0</v>
      </c>
      <c r="AC2726" s="30">
        <v>0</v>
      </c>
      <c r="AD2726" s="30">
        <v>0</v>
      </c>
      <c r="AE2726" s="72" t="s">
        <v>92</v>
      </c>
      <c r="AF2726" s="72"/>
      <c r="AG2726" s="72" t="s">
        <v>352</v>
      </c>
      <c r="AH2726" s="72">
        <v>43302</v>
      </c>
      <c r="AI2726" s="30">
        <v>0</v>
      </c>
      <c r="AJ2726" s="72" t="s">
        <v>15392</v>
      </c>
      <c r="AK2726" s="72" t="s">
        <v>15393</v>
      </c>
      <c r="AL2726" s="70">
        <v>43304</v>
      </c>
      <c r="AM2726" s="70"/>
      <c r="AN2726" s="70"/>
      <c r="AO2726" s="70"/>
      <c r="AP2726" s="73" t="e">
        <f>MID(VLOOKUP(K2726,#REF!,2,FALSE),1,2)</f>
        <v>#REF!</v>
      </c>
      <c r="AQ2726" s="72">
        <f>DATE(2018,7,21)</f>
        <v>43302</v>
      </c>
      <c r="AR2726" s="82">
        <f t="shared" si="225"/>
        <v>21</v>
      </c>
      <c r="AS2726" s="83">
        <f t="shared" si="226"/>
        <v>7</v>
      </c>
      <c r="AT2726" s="84">
        <f t="shared" si="227"/>
        <v>2018</v>
      </c>
      <c r="AU2726" s="86"/>
      <c r="AV2726" s="86"/>
      <c r="AW2726" s="87">
        <f t="shared" si="231"/>
        <v>0</v>
      </c>
      <c r="AX2726" s="86"/>
      <c r="AY2726" s="83"/>
      <c r="AZ2726" s="84"/>
      <c r="BA2726" s="86"/>
      <c r="BB2726" s="86"/>
    </row>
    <row r="2727" spans="1:54" ht="36.75" customHeight="1">
      <c r="A2727" s="30"/>
      <c r="B2727" s="30" t="s">
        <v>55</v>
      </c>
      <c r="C2727" s="69" t="str">
        <f t="shared" si="228"/>
        <v>Closed</v>
      </c>
      <c r="D2727" s="27" t="s">
        <v>15394</v>
      </c>
      <c r="E2727" s="29" t="s">
        <v>15395</v>
      </c>
      <c r="F2727" s="30" t="s">
        <v>423</v>
      </c>
      <c r="G2727" s="72">
        <f>DATE(2018,7,26)</f>
        <v>43307</v>
      </c>
      <c r="H2727" s="80">
        <v>1.1083333333333334</v>
      </c>
      <c r="I2727" s="30" t="s">
        <v>278</v>
      </c>
      <c r="J2727" s="72" t="s">
        <v>15396</v>
      </c>
      <c r="K2727" s="30" t="s">
        <v>425</v>
      </c>
      <c r="L2727" s="30" t="s">
        <v>15397</v>
      </c>
      <c r="M2727" s="30" t="s">
        <v>63</v>
      </c>
      <c r="N2727" s="30" t="s">
        <v>142</v>
      </c>
      <c r="O2727" s="30" t="s">
        <v>77</v>
      </c>
      <c r="P2727" s="72" t="s">
        <v>65</v>
      </c>
      <c r="Q2727" s="72" t="s">
        <v>4551</v>
      </c>
      <c r="R2727" s="72" t="s">
        <v>3103</v>
      </c>
      <c r="S2727" s="30">
        <v>0</v>
      </c>
      <c r="T2727" s="232">
        <v>0</v>
      </c>
      <c r="U2727" s="30">
        <v>0</v>
      </c>
      <c r="V2727" s="232">
        <v>0</v>
      </c>
      <c r="W2727" s="30">
        <v>0</v>
      </c>
      <c r="X2727" s="30">
        <v>0</v>
      </c>
      <c r="Y2727" s="30">
        <v>0</v>
      </c>
      <c r="Z2727" s="232">
        <v>1</v>
      </c>
      <c r="AA2727" s="30">
        <v>0</v>
      </c>
      <c r="AB2727" s="30">
        <v>0</v>
      </c>
      <c r="AC2727" s="30">
        <v>0</v>
      </c>
      <c r="AD2727" s="30">
        <v>1</v>
      </c>
      <c r="AE2727" s="72" t="s">
        <v>92</v>
      </c>
      <c r="AF2727" s="72"/>
      <c r="AG2727" s="72" t="s">
        <v>133</v>
      </c>
      <c r="AH2727" s="72">
        <v>43308</v>
      </c>
      <c r="AI2727" s="30">
        <v>0</v>
      </c>
      <c r="AJ2727" s="72" t="s">
        <v>15398</v>
      </c>
      <c r="AK2727" s="72" t="s">
        <v>15399</v>
      </c>
      <c r="AL2727" s="70">
        <v>43309</v>
      </c>
      <c r="AM2727" s="70"/>
      <c r="AN2727" s="70"/>
      <c r="AO2727" s="70"/>
      <c r="AP2727" s="73" t="e">
        <f>MID(VLOOKUP(K2727,#REF!,2,FALSE),1,2)</f>
        <v>#REF!</v>
      </c>
      <c r="AQ2727" s="72">
        <f>DATE(2018,7,26)</f>
        <v>43307</v>
      </c>
      <c r="AR2727" s="82">
        <f t="shared" si="225"/>
        <v>26</v>
      </c>
      <c r="AS2727" s="83">
        <f t="shared" si="226"/>
        <v>7</v>
      </c>
      <c r="AT2727" s="84">
        <f t="shared" si="227"/>
        <v>2018</v>
      </c>
      <c r="AU2727" s="88">
        <f>DATE(2018,7,28)</f>
        <v>43309</v>
      </c>
      <c r="AV2727" s="88">
        <f>DATE(2018,7,27)</f>
        <v>43308</v>
      </c>
      <c r="AW2727" s="87">
        <f t="shared" si="231"/>
        <v>1</v>
      </c>
      <c r="AX2727" s="86"/>
      <c r="AY2727" s="83"/>
      <c r="AZ2727" s="84"/>
      <c r="BA2727" s="86"/>
      <c r="BB2727" s="86" t="s">
        <v>13115</v>
      </c>
    </row>
    <row r="2728" spans="1:54" ht="36.75" customHeight="1">
      <c r="A2728" s="30"/>
      <c r="B2728" s="30" t="s">
        <v>55</v>
      </c>
      <c r="C2728" s="69" t="str">
        <f t="shared" si="228"/>
        <v>Closed</v>
      </c>
      <c r="D2728" s="27" t="s">
        <v>15400</v>
      </c>
      <c r="E2728" s="29" t="s">
        <v>15401</v>
      </c>
      <c r="F2728" s="30" t="s">
        <v>835</v>
      </c>
      <c r="G2728" s="72">
        <f>DATE(2018,7,26)</f>
        <v>43307</v>
      </c>
      <c r="H2728" s="80">
        <v>1.6020833333333333</v>
      </c>
      <c r="I2728" s="30" t="s">
        <v>104</v>
      </c>
      <c r="J2728" s="72" t="s">
        <v>15402</v>
      </c>
      <c r="K2728" s="30" t="s">
        <v>837</v>
      </c>
      <c r="L2728" s="30" t="s">
        <v>14747</v>
      </c>
      <c r="M2728" s="30" t="s">
        <v>63</v>
      </c>
      <c r="N2728" s="30" t="s">
        <v>142</v>
      </c>
      <c r="O2728" s="30" t="s">
        <v>77</v>
      </c>
      <c r="P2728" s="72" t="s">
        <v>78</v>
      </c>
      <c r="Q2728" s="72" t="s">
        <v>6581</v>
      </c>
      <c r="R2728" s="72" t="s">
        <v>840</v>
      </c>
      <c r="S2728" s="30">
        <v>0</v>
      </c>
      <c r="T2728" s="232">
        <v>0</v>
      </c>
      <c r="U2728" s="30">
        <v>0</v>
      </c>
      <c r="V2728" s="232">
        <v>0</v>
      </c>
      <c r="W2728" s="30">
        <v>0</v>
      </c>
      <c r="X2728" s="30">
        <v>0</v>
      </c>
      <c r="Y2728" s="30">
        <v>0</v>
      </c>
      <c r="Z2728" s="232">
        <v>0</v>
      </c>
      <c r="AA2728" s="30">
        <v>0</v>
      </c>
      <c r="AB2728" s="30">
        <v>0</v>
      </c>
      <c r="AC2728" s="30">
        <v>0</v>
      </c>
      <c r="AD2728" s="30">
        <v>0</v>
      </c>
      <c r="AE2728" s="72" t="s">
        <v>92</v>
      </c>
      <c r="AF2728" s="72"/>
      <c r="AG2728" s="72" t="s">
        <v>352</v>
      </c>
      <c r="AH2728" s="72">
        <v>43308</v>
      </c>
      <c r="AI2728" s="30">
        <v>0</v>
      </c>
      <c r="AJ2728" s="72" t="s">
        <v>15403</v>
      </c>
      <c r="AK2728" s="72" t="s">
        <v>15404</v>
      </c>
      <c r="AL2728" s="70">
        <v>43426</v>
      </c>
      <c r="AM2728" s="70"/>
      <c r="AN2728" s="70"/>
      <c r="AO2728" s="70"/>
      <c r="AP2728" s="73" t="e">
        <f>MID(VLOOKUP(K2728,#REF!,2,FALSE),1,2)</f>
        <v>#REF!</v>
      </c>
      <c r="AQ2728" s="72">
        <f>DATE(2018,7,26)</f>
        <v>43307</v>
      </c>
      <c r="AR2728" s="82">
        <f t="shared" si="225"/>
        <v>26</v>
      </c>
      <c r="AS2728" s="84">
        <f t="shared" si="226"/>
        <v>7</v>
      </c>
      <c r="AT2728" s="104">
        <f t="shared" si="227"/>
        <v>2018</v>
      </c>
      <c r="AU2728" s="86"/>
      <c r="AV2728" s="87"/>
      <c r="AW2728" s="86"/>
      <c r="AX2728" s="82"/>
      <c r="AY2728" s="84"/>
      <c r="AZ2728" s="104"/>
      <c r="BA2728" s="86"/>
      <c r="BB2728" s="86"/>
    </row>
    <row r="2729" spans="1:54" ht="36.75" customHeight="1">
      <c r="A2729" s="30"/>
      <c r="B2729" s="30" t="s">
        <v>55</v>
      </c>
      <c r="C2729" s="69" t="str">
        <f t="shared" si="228"/>
        <v>Closed</v>
      </c>
      <c r="D2729" s="27" t="s">
        <v>15405</v>
      </c>
      <c r="E2729" s="29" t="s">
        <v>15406</v>
      </c>
      <c r="F2729" s="30" t="s">
        <v>582</v>
      </c>
      <c r="G2729" s="72">
        <f>DATE(2018,7,30)</f>
        <v>43311</v>
      </c>
      <c r="H2729" s="80">
        <v>1.2159722222222222</v>
      </c>
      <c r="I2729" s="30" t="s">
        <v>73</v>
      </c>
      <c r="J2729" s="72" t="s">
        <v>15407</v>
      </c>
      <c r="K2729" s="30" t="s">
        <v>584</v>
      </c>
      <c r="L2729" s="30" t="s">
        <v>15408</v>
      </c>
      <c r="M2729" s="30" t="s">
        <v>63</v>
      </c>
      <c r="N2729" s="30" t="s">
        <v>89</v>
      </c>
      <c r="O2729" s="30" t="s">
        <v>77</v>
      </c>
      <c r="P2729" s="72" t="s">
        <v>165</v>
      </c>
      <c r="Q2729" s="72" t="s">
        <v>4487</v>
      </c>
      <c r="R2729" s="72" t="s">
        <v>587</v>
      </c>
      <c r="S2729" s="30">
        <v>0</v>
      </c>
      <c r="T2729" s="232">
        <v>0</v>
      </c>
      <c r="U2729" s="30">
        <v>0</v>
      </c>
      <c r="V2729" s="232">
        <v>0</v>
      </c>
      <c r="W2729" s="30">
        <v>0</v>
      </c>
      <c r="X2729" s="30">
        <v>0</v>
      </c>
      <c r="Y2729" s="30">
        <v>0</v>
      </c>
      <c r="Z2729" s="232">
        <v>0</v>
      </c>
      <c r="AA2729" s="30">
        <v>0</v>
      </c>
      <c r="AB2729" s="30">
        <v>0</v>
      </c>
      <c r="AC2729" s="30">
        <v>0</v>
      </c>
      <c r="AD2729" s="30">
        <v>0</v>
      </c>
      <c r="AE2729" s="72" t="s">
        <v>394</v>
      </c>
      <c r="AF2729" s="72"/>
      <c r="AG2729" s="72" t="s">
        <v>589</v>
      </c>
      <c r="AH2729" s="72">
        <v>43312</v>
      </c>
      <c r="AI2729" s="30">
        <v>0</v>
      </c>
      <c r="AJ2729" s="72" t="s">
        <v>15409</v>
      </c>
      <c r="AK2729" s="72" t="s">
        <v>1233</v>
      </c>
      <c r="AL2729" s="70">
        <v>43314</v>
      </c>
      <c r="AM2729" s="70"/>
      <c r="AN2729" s="70"/>
      <c r="AO2729" s="70"/>
      <c r="AP2729" s="73" t="e">
        <f>MID(VLOOKUP(K2729,#REF!,2,FALSE),1,2)</f>
        <v>#REF!</v>
      </c>
      <c r="AQ2729" s="72">
        <f>DATE(2018,7,30)</f>
        <v>43311</v>
      </c>
      <c r="AR2729" s="82">
        <f t="shared" si="225"/>
        <v>30</v>
      </c>
      <c r="AS2729" s="83">
        <f t="shared" si="226"/>
        <v>7</v>
      </c>
      <c r="AT2729" s="84">
        <f t="shared" si="227"/>
        <v>2018</v>
      </c>
      <c r="AU2729" s="88">
        <f>DATE(2018,8,2)</f>
        <v>43314</v>
      </c>
      <c r="AV2729" s="88">
        <f>DATE(2018,7,31)</f>
        <v>43312</v>
      </c>
      <c r="AW2729" s="87">
        <f t="shared" ref="AW2729:AW2745" si="232">AU2729-AV2729</f>
        <v>2</v>
      </c>
      <c r="AX2729" s="86"/>
      <c r="AY2729" s="83"/>
      <c r="AZ2729" s="84"/>
      <c r="BA2729" s="86"/>
      <c r="BB2729" s="86"/>
    </row>
    <row r="2730" spans="1:54" ht="36.75" customHeight="1">
      <c r="A2730" s="30"/>
      <c r="B2730" s="30" t="s">
        <v>55</v>
      </c>
      <c r="C2730" s="69" t="str">
        <f t="shared" si="228"/>
        <v>Closed</v>
      </c>
      <c r="D2730" s="27" t="s">
        <v>15410</v>
      </c>
      <c r="E2730" s="29" t="s">
        <v>15411</v>
      </c>
      <c r="F2730" s="30" t="s">
        <v>423</v>
      </c>
      <c r="G2730" s="72">
        <f>DATE(2018,7,31)</f>
        <v>43312</v>
      </c>
      <c r="H2730" s="80">
        <v>1.5645833333333332</v>
      </c>
      <c r="I2730" s="30" t="s">
        <v>116</v>
      </c>
      <c r="J2730" s="72" t="s">
        <v>15412</v>
      </c>
      <c r="K2730" s="30" t="s">
        <v>425</v>
      </c>
      <c r="L2730" s="30" t="s">
        <v>15413</v>
      </c>
      <c r="M2730" s="30" t="s">
        <v>63</v>
      </c>
      <c r="N2730" s="30" t="s">
        <v>99</v>
      </c>
      <c r="O2730" s="30" t="s">
        <v>64</v>
      </c>
      <c r="P2730" s="72" t="s">
        <v>165</v>
      </c>
      <c r="Q2730" s="72" t="s">
        <v>4551</v>
      </c>
      <c r="R2730" s="72" t="s">
        <v>3103</v>
      </c>
      <c r="S2730" s="30">
        <v>0</v>
      </c>
      <c r="T2730" s="232">
        <v>0</v>
      </c>
      <c r="U2730" s="30">
        <v>0</v>
      </c>
      <c r="V2730" s="232">
        <v>0</v>
      </c>
      <c r="W2730" s="30">
        <v>0</v>
      </c>
      <c r="X2730" s="30">
        <v>0</v>
      </c>
      <c r="Y2730" s="30">
        <v>0</v>
      </c>
      <c r="Z2730" s="232">
        <v>0</v>
      </c>
      <c r="AA2730" s="30">
        <v>0</v>
      </c>
      <c r="AB2730" s="30">
        <v>0</v>
      </c>
      <c r="AC2730" s="30">
        <v>0</v>
      </c>
      <c r="AD2730" s="30">
        <v>0</v>
      </c>
      <c r="AE2730" s="72" t="s">
        <v>394</v>
      </c>
      <c r="AF2730" s="72"/>
      <c r="AG2730" s="72" t="s">
        <v>82</v>
      </c>
      <c r="AH2730" s="72">
        <v>43312</v>
      </c>
      <c r="AI2730" s="30">
        <v>2</v>
      </c>
      <c r="AJ2730" s="72" t="s">
        <v>15414</v>
      </c>
      <c r="AK2730" s="72" t="s">
        <v>15415</v>
      </c>
      <c r="AL2730" s="70">
        <v>43315</v>
      </c>
      <c r="AM2730" s="70"/>
      <c r="AN2730" s="70"/>
      <c r="AO2730" s="70"/>
      <c r="AP2730" s="73" t="e">
        <f>MID(VLOOKUP(K2730,#REF!,2,FALSE),1,2)</f>
        <v>#REF!</v>
      </c>
      <c r="AQ2730" s="72">
        <f>DATE(2018,7,31)</f>
        <v>43312</v>
      </c>
      <c r="AR2730" s="82">
        <f t="shared" si="225"/>
        <v>31</v>
      </c>
      <c r="AS2730" s="83">
        <f t="shared" si="226"/>
        <v>7</v>
      </c>
      <c r="AT2730" s="84">
        <f t="shared" si="227"/>
        <v>2018</v>
      </c>
      <c r="AU2730" s="88">
        <f>DATE(2018,8,3)</f>
        <v>43315</v>
      </c>
      <c r="AV2730" s="88">
        <f>DATE(2018,7,31)</f>
        <v>43312</v>
      </c>
      <c r="AW2730" s="87">
        <f t="shared" si="232"/>
        <v>3</v>
      </c>
      <c r="AX2730" s="86"/>
      <c r="AY2730" s="83"/>
      <c r="AZ2730" s="84"/>
      <c r="BA2730" s="86"/>
      <c r="BB2730" s="86" t="s">
        <v>13115</v>
      </c>
    </row>
    <row r="2731" spans="1:54" ht="36.75" customHeight="1">
      <c r="A2731" s="30"/>
      <c r="B2731" s="30" t="s">
        <v>55</v>
      </c>
      <c r="C2731" s="69" t="str">
        <f t="shared" si="228"/>
        <v>Closed</v>
      </c>
      <c r="D2731" s="27" t="s">
        <v>15416</v>
      </c>
      <c r="E2731" s="29" t="s">
        <v>15417</v>
      </c>
      <c r="F2731" s="30" t="s">
        <v>423</v>
      </c>
      <c r="G2731" s="72">
        <f>DATE(2018,8,1)</f>
        <v>43313</v>
      </c>
      <c r="H2731" s="80">
        <v>1.3652777777777778</v>
      </c>
      <c r="I2731" s="30" t="s">
        <v>116</v>
      </c>
      <c r="J2731" s="72" t="s">
        <v>15418</v>
      </c>
      <c r="K2731" s="30" t="s">
        <v>425</v>
      </c>
      <c r="L2731" s="30" t="s">
        <v>15419</v>
      </c>
      <c r="M2731" s="30" t="s">
        <v>63</v>
      </c>
      <c r="N2731" s="30" t="s">
        <v>99</v>
      </c>
      <c r="O2731" s="30" t="s">
        <v>64</v>
      </c>
      <c r="P2731" s="72" t="s">
        <v>65</v>
      </c>
      <c r="Q2731" s="72" t="s">
        <v>4551</v>
      </c>
      <c r="R2731" s="72" t="s">
        <v>3103</v>
      </c>
      <c r="S2731" s="30">
        <v>0</v>
      </c>
      <c r="T2731" s="232">
        <v>0</v>
      </c>
      <c r="U2731" s="30">
        <v>1</v>
      </c>
      <c r="V2731" s="232">
        <v>0</v>
      </c>
      <c r="W2731" s="30">
        <v>0</v>
      </c>
      <c r="X2731" s="30">
        <v>1</v>
      </c>
      <c r="Y2731" s="30">
        <v>0</v>
      </c>
      <c r="Z2731" s="232">
        <v>0</v>
      </c>
      <c r="AA2731" s="30">
        <v>0</v>
      </c>
      <c r="AB2731" s="30">
        <v>0</v>
      </c>
      <c r="AC2731" s="30">
        <v>0</v>
      </c>
      <c r="AD2731" s="30">
        <v>0</v>
      </c>
      <c r="AE2731" s="72" t="s">
        <v>92</v>
      </c>
      <c r="AF2731" s="72"/>
      <c r="AG2731" s="72" t="s">
        <v>874</v>
      </c>
      <c r="AH2731" s="72">
        <v>43108</v>
      </c>
      <c r="AI2731" s="30">
        <v>0</v>
      </c>
      <c r="AJ2731" s="72" t="s">
        <v>11986</v>
      </c>
      <c r="AK2731" s="72" t="s">
        <v>15109</v>
      </c>
      <c r="AL2731" s="70">
        <v>43315</v>
      </c>
      <c r="AM2731" s="70"/>
      <c r="AN2731" s="70"/>
      <c r="AO2731" s="70"/>
      <c r="AP2731" s="73" t="e">
        <f>MID(VLOOKUP(K2731,#REF!,2,FALSE),1,2)</f>
        <v>#REF!</v>
      </c>
      <c r="AQ2731" s="72">
        <f>DATE(2018,8,1)</f>
        <v>43313</v>
      </c>
      <c r="AR2731" s="82">
        <f t="shared" si="225"/>
        <v>1</v>
      </c>
      <c r="AS2731" s="83">
        <f t="shared" si="226"/>
        <v>8</v>
      </c>
      <c r="AT2731" s="84">
        <f t="shared" si="227"/>
        <v>2018</v>
      </c>
      <c r="AU2731" s="88">
        <f>DATE(2018,8,3)</f>
        <v>43315</v>
      </c>
      <c r="AV2731" s="88">
        <f>DATE(2018,8,1)</f>
        <v>43313</v>
      </c>
      <c r="AW2731" s="87">
        <f t="shared" si="232"/>
        <v>2</v>
      </c>
      <c r="AX2731" s="86"/>
      <c r="AY2731" s="83"/>
      <c r="AZ2731" s="84"/>
      <c r="BA2731" s="86"/>
      <c r="BB2731" s="86" t="s">
        <v>13115</v>
      </c>
    </row>
    <row r="2732" spans="1:54" ht="36.75" customHeight="1">
      <c r="A2732" s="30"/>
      <c r="B2732" s="30" t="s">
        <v>55</v>
      </c>
      <c r="C2732" s="69" t="str">
        <f t="shared" si="228"/>
        <v>Closed</v>
      </c>
      <c r="D2732" s="27" t="s">
        <v>15420</v>
      </c>
      <c r="E2732" s="29" t="s">
        <v>15421</v>
      </c>
      <c r="F2732" s="30" t="s">
        <v>2336</v>
      </c>
      <c r="G2732" s="72">
        <f>DATE(2018,8,2)</f>
        <v>43314</v>
      </c>
      <c r="H2732" s="80">
        <v>1.6875</v>
      </c>
      <c r="I2732" s="30" t="s">
        <v>116</v>
      </c>
      <c r="J2732" s="72" t="s">
        <v>15422</v>
      </c>
      <c r="K2732" s="30" t="s">
        <v>2338</v>
      </c>
      <c r="L2732" s="30" t="s">
        <v>15423</v>
      </c>
      <c r="M2732" s="30" t="s">
        <v>63</v>
      </c>
      <c r="N2732" s="30" t="s">
        <v>142</v>
      </c>
      <c r="O2732" s="30" t="s">
        <v>64</v>
      </c>
      <c r="P2732" s="72" t="s">
        <v>65</v>
      </c>
      <c r="Q2732" s="72" t="s">
        <v>2945</v>
      </c>
      <c r="R2732" s="72" t="s">
        <v>2341</v>
      </c>
      <c r="S2732" s="30">
        <v>0</v>
      </c>
      <c r="T2732" s="232">
        <v>0</v>
      </c>
      <c r="U2732" s="30">
        <v>1</v>
      </c>
      <c r="V2732" s="232">
        <v>0</v>
      </c>
      <c r="W2732" s="30">
        <v>0</v>
      </c>
      <c r="X2732" s="30">
        <v>1</v>
      </c>
      <c r="Y2732" s="30">
        <v>0</v>
      </c>
      <c r="Z2732" s="232">
        <v>0</v>
      </c>
      <c r="AA2732" s="30">
        <v>0</v>
      </c>
      <c r="AB2732" s="30">
        <v>0</v>
      </c>
      <c r="AC2732" s="30">
        <v>0</v>
      </c>
      <c r="AD2732" s="30">
        <v>0</v>
      </c>
      <c r="AE2732" s="72" t="s">
        <v>92</v>
      </c>
      <c r="AF2732" s="72"/>
      <c r="AG2732" s="72" t="s">
        <v>82</v>
      </c>
      <c r="AH2732" s="72">
        <v>43319</v>
      </c>
      <c r="AI2732" s="30">
        <v>6</v>
      </c>
      <c r="AJ2732" s="72" t="s">
        <v>15424</v>
      </c>
      <c r="AK2732" s="72" t="s">
        <v>15425</v>
      </c>
      <c r="AL2732" s="70">
        <v>43333</v>
      </c>
      <c r="AM2732" s="70"/>
      <c r="AN2732" s="70"/>
      <c r="AO2732" s="70"/>
      <c r="AP2732" s="73" t="e">
        <f>MID(VLOOKUP(K2732,#REF!,2,FALSE),1,2)</f>
        <v>#REF!</v>
      </c>
      <c r="AQ2732" s="72">
        <f>DATE(2018,8,2)</f>
        <v>43314</v>
      </c>
      <c r="AR2732" s="82">
        <f t="shared" si="225"/>
        <v>2</v>
      </c>
      <c r="AS2732" s="83">
        <f t="shared" si="226"/>
        <v>8</v>
      </c>
      <c r="AT2732" s="84">
        <f t="shared" si="227"/>
        <v>2018</v>
      </c>
      <c r="AU2732" s="86"/>
      <c r="AV2732" s="86"/>
      <c r="AW2732" s="87">
        <f t="shared" si="232"/>
        <v>0</v>
      </c>
      <c r="AX2732" s="86"/>
      <c r="AY2732" s="83"/>
      <c r="AZ2732" s="84"/>
      <c r="BA2732" s="86"/>
      <c r="BB2732" s="86"/>
    </row>
    <row r="2733" spans="1:54" ht="36.75" customHeight="1">
      <c r="A2733" s="30"/>
      <c r="B2733" s="30" t="s">
        <v>55</v>
      </c>
      <c r="C2733" s="69" t="str">
        <f t="shared" si="228"/>
        <v>Closed</v>
      </c>
      <c r="D2733" s="27" t="s">
        <v>15426</v>
      </c>
      <c r="E2733" s="29" t="s">
        <v>15427</v>
      </c>
      <c r="F2733" s="30" t="s">
        <v>1572</v>
      </c>
      <c r="G2733" s="72">
        <f>DATE(2018,8,5)</f>
        <v>43317</v>
      </c>
      <c r="H2733" s="80">
        <v>1.9138888888888888</v>
      </c>
      <c r="I2733" s="30" t="s">
        <v>73</v>
      </c>
      <c r="J2733" s="72" t="s">
        <v>15428</v>
      </c>
      <c r="K2733" s="30" t="s">
        <v>1574</v>
      </c>
      <c r="L2733" s="30" t="s">
        <v>15429</v>
      </c>
      <c r="M2733" s="30" t="s">
        <v>63</v>
      </c>
      <c r="N2733" s="30" t="s">
        <v>142</v>
      </c>
      <c r="O2733" s="30" t="s">
        <v>77</v>
      </c>
      <c r="P2733" s="72" t="s">
        <v>78</v>
      </c>
      <c r="Q2733" s="72" t="s">
        <v>1584</v>
      </c>
      <c r="R2733" s="72" t="s">
        <v>6434</v>
      </c>
      <c r="S2733" s="30">
        <v>0</v>
      </c>
      <c r="T2733" s="232">
        <v>0</v>
      </c>
      <c r="U2733" s="30">
        <v>0</v>
      </c>
      <c r="V2733" s="232">
        <v>0</v>
      </c>
      <c r="W2733" s="30">
        <v>0</v>
      </c>
      <c r="X2733" s="30">
        <v>0</v>
      </c>
      <c r="Y2733" s="30">
        <v>0</v>
      </c>
      <c r="Z2733" s="232">
        <v>0</v>
      </c>
      <c r="AA2733" s="30">
        <v>0</v>
      </c>
      <c r="AB2733" s="30">
        <v>0</v>
      </c>
      <c r="AC2733" s="30">
        <v>0</v>
      </c>
      <c r="AD2733" s="30">
        <v>0</v>
      </c>
      <c r="AE2733" s="72" t="s">
        <v>92</v>
      </c>
      <c r="AF2733" s="72"/>
      <c r="AG2733" s="72" t="s">
        <v>133</v>
      </c>
      <c r="AH2733" s="72">
        <v>43318</v>
      </c>
      <c r="AI2733" s="30">
        <v>1</v>
      </c>
      <c r="AJ2733" s="72" t="s">
        <v>15430</v>
      </c>
      <c r="AK2733" s="72" t="s">
        <v>15431</v>
      </c>
      <c r="AL2733" s="70">
        <v>43319</v>
      </c>
      <c r="AM2733" s="70"/>
      <c r="AN2733" s="70"/>
      <c r="AO2733" s="70"/>
      <c r="AP2733" s="73" t="e">
        <f>MID(VLOOKUP(K2733,#REF!,2,FALSE),1,2)</f>
        <v>#REF!</v>
      </c>
      <c r="AQ2733" s="72">
        <f>DATE(2018,8,5)</f>
        <v>43317</v>
      </c>
      <c r="AR2733" s="82">
        <f t="shared" si="225"/>
        <v>5</v>
      </c>
      <c r="AS2733" s="83">
        <f t="shared" si="226"/>
        <v>8</v>
      </c>
      <c r="AT2733" s="84">
        <f t="shared" si="227"/>
        <v>2018</v>
      </c>
      <c r="AU2733" s="86"/>
      <c r="AV2733" s="86"/>
      <c r="AW2733" s="87">
        <f t="shared" si="232"/>
        <v>0</v>
      </c>
      <c r="AX2733" s="86"/>
      <c r="AY2733" s="83"/>
      <c r="AZ2733" s="84"/>
      <c r="BA2733" s="86"/>
      <c r="BB2733" s="86"/>
    </row>
    <row r="2734" spans="1:54" ht="36.75" customHeight="1">
      <c r="A2734" s="30"/>
      <c r="B2734" s="30" t="s">
        <v>55</v>
      </c>
      <c r="C2734" s="69" t="str">
        <f t="shared" si="228"/>
        <v>Closed</v>
      </c>
      <c r="D2734" s="27" t="s">
        <v>15432</v>
      </c>
      <c r="E2734" s="29" t="s">
        <v>15433</v>
      </c>
      <c r="F2734" s="30" t="s">
        <v>124</v>
      </c>
      <c r="G2734" s="72">
        <f>DATE(2018,8,8)</f>
        <v>43320</v>
      </c>
      <c r="H2734" s="80">
        <v>1.4618055555555556</v>
      </c>
      <c r="I2734" s="30" t="s">
        <v>5494</v>
      </c>
      <c r="J2734" s="72" t="s">
        <v>15434</v>
      </c>
      <c r="K2734" s="30" t="s">
        <v>127</v>
      </c>
      <c r="L2734" s="30" t="s">
        <v>15435</v>
      </c>
      <c r="M2734" s="30" t="s">
        <v>63</v>
      </c>
      <c r="N2734" s="30" t="s">
        <v>99</v>
      </c>
      <c r="O2734" s="30" t="s">
        <v>86</v>
      </c>
      <c r="P2734" s="72" t="s">
        <v>86</v>
      </c>
      <c r="Q2734" s="72" t="s">
        <v>6242</v>
      </c>
      <c r="R2734" s="72" t="s">
        <v>167</v>
      </c>
      <c r="S2734" s="30">
        <v>0</v>
      </c>
      <c r="T2734" s="232">
        <v>0</v>
      </c>
      <c r="U2734" s="30">
        <v>0</v>
      </c>
      <c r="V2734" s="232">
        <v>0</v>
      </c>
      <c r="W2734" s="30">
        <v>0</v>
      </c>
      <c r="X2734" s="30">
        <v>0</v>
      </c>
      <c r="Y2734" s="30">
        <v>0</v>
      </c>
      <c r="Z2734" s="232">
        <v>0</v>
      </c>
      <c r="AA2734" s="30">
        <v>0</v>
      </c>
      <c r="AB2734" s="30">
        <v>0</v>
      </c>
      <c r="AC2734" s="30">
        <v>0</v>
      </c>
      <c r="AD2734" s="30">
        <v>0</v>
      </c>
      <c r="AE2734" s="72" t="s">
        <v>394</v>
      </c>
      <c r="AF2734" s="72"/>
      <c r="AG2734" s="72" t="s">
        <v>82</v>
      </c>
      <c r="AH2734" s="72">
        <v>43326</v>
      </c>
      <c r="AI2734" s="30">
        <v>2</v>
      </c>
      <c r="AJ2734" s="72" t="s">
        <v>15436</v>
      </c>
      <c r="AK2734" s="72" t="s">
        <v>68</v>
      </c>
      <c r="AL2734" s="70">
        <v>43327</v>
      </c>
      <c r="AM2734" s="70"/>
      <c r="AN2734" s="70"/>
      <c r="AO2734" s="70"/>
      <c r="AP2734" s="73" t="e">
        <f>MID(VLOOKUP(K2734,#REF!,2,FALSE),1,2)</f>
        <v>#REF!</v>
      </c>
      <c r="AQ2734" s="72">
        <f>DATE(2018,8,8)</f>
        <v>43320</v>
      </c>
      <c r="AR2734" s="82">
        <f t="shared" si="225"/>
        <v>8</v>
      </c>
      <c r="AS2734" s="83">
        <f t="shared" si="226"/>
        <v>8</v>
      </c>
      <c r="AT2734" s="84">
        <f t="shared" si="227"/>
        <v>2018</v>
      </c>
      <c r="AU2734" s="86"/>
      <c r="AV2734" s="86"/>
      <c r="AW2734" s="87">
        <f t="shared" si="232"/>
        <v>0</v>
      </c>
      <c r="AX2734" s="86"/>
      <c r="AY2734" s="83"/>
      <c r="AZ2734" s="84"/>
      <c r="BA2734" s="86"/>
      <c r="BB2734" s="86"/>
    </row>
    <row r="2735" spans="1:54" ht="36.75" customHeight="1">
      <c r="A2735" s="30"/>
      <c r="B2735" s="30" t="s">
        <v>55</v>
      </c>
      <c r="C2735" s="69" t="str">
        <f t="shared" si="228"/>
        <v>Closed</v>
      </c>
      <c r="D2735" s="27" t="s">
        <v>15437</v>
      </c>
      <c r="E2735" s="29" t="s">
        <v>15438</v>
      </c>
      <c r="F2735" s="30" t="s">
        <v>1572</v>
      </c>
      <c r="G2735" s="72">
        <f>DATE(2018,8,9)</f>
        <v>43321</v>
      </c>
      <c r="H2735" s="80">
        <v>1.9166666666666665</v>
      </c>
      <c r="I2735" s="30" t="s">
        <v>487</v>
      </c>
      <c r="J2735" s="72" t="s">
        <v>15439</v>
      </c>
      <c r="K2735" s="30" t="s">
        <v>1574</v>
      </c>
      <c r="L2735" s="30" t="s">
        <v>15440</v>
      </c>
      <c r="M2735" s="30" t="s">
        <v>63</v>
      </c>
      <c r="N2735" s="30" t="s">
        <v>99</v>
      </c>
      <c r="O2735" s="30" t="s">
        <v>64</v>
      </c>
      <c r="P2735" s="72" t="s">
        <v>78</v>
      </c>
      <c r="Q2735" s="72" t="s">
        <v>6093</v>
      </c>
      <c r="R2735" s="72" t="s">
        <v>6434</v>
      </c>
      <c r="S2735" s="30">
        <v>0</v>
      </c>
      <c r="T2735" s="232">
        <v>0</v>
      </c>
      <c r="U2735" s="30">
        <v>0</v>
      </c>
      <c r="V2735" s="232">
        <v>0</v>
      </c>
      <c r="W2735" s="30">
        <v>0</v>
      </c>
      <c r="X2735" s="30">
        <v>0</v>
      </c>
      <c r="Y2735" s="30">
        <v>0</v>
      </c>
      <c r="Z2735" s="232">
        <v>0</v>
      </c>
      <c r="AA2735" s="30">
        <v>0</v>
      </c>
      <c r="AB2735" s="30">
        <v>0</v>
      </c>
      <c r="AC2735" s="30">
        <v>0</v>
      </c>
      <c r="AD2735" s="30">
        <v>0</v>
      </c>
      <c r="AE2735" s="72" t="s">
        <v>92</v>
      </c>
      <c r="AF2735" s="72"/>
      <c r="AG2735" s="72" t="s">
        <v>1507</v>
      </c>
      <c r="AH2735" s="72">
        <v>43322</v>
      </c>
      <c r="AI2735" s="30">
        <v>3</v>
      </c>
      <c r="AJ2735" s="72" t="s">
        <v>15441</v>
      </c>
      <c r="AK2735" s="72" t="s">
        <v>15442</v>
      </c>
      <c r="AL2735" s="70">
        <v>43326</v>
      </c>
      <c r="AM2735" s="70"/>
      <c r="AN2735" s="70"/>
      <c r="AO2735" s="70"/>
      <c r="AP2735" s="73" t="e">
        <f>MID(VLOOKUP(K2735,#REF!,2,FALSE),1,2)</f>
        <v>#REF!</v>
      </c>
      <c r="AQ2735" s="72">
        <f>DATE(2018,8,9)</f>
        <v>43321</v>
      </c>
      <c r="AR2735" s="82">
        <f t="shared" si="225"/>
        <v>9</v>
      </c>
      <c r="AS2735" s="83">
        <f t="shared" si="226"/>
        <v>8</v>
      </c>
      <c r="AT2735" s="84">
        <f t="shared" si="227"/>
        <v>2018</v>
      </c>
      <c r="AU2735" s="86"/>
      <c r="AV2735" s="86"/>
      <c r="AW2735" s="87">
        <f t="shared" si="232"/>
        <v>0</v>
      </c>
      <c r="AX2735" s="86"/>
      <c r="AY2735" s="83"/>
      <c r="AZ2735" s="84"/>
      <c r="BA2735" s="86"/>
      <c r="BB2735" s="86"/>
    </row>
    <row r="2736" spans="1:54" ht="36.75" customHeight="1">
      <c r="A2736" s="30"/>
      <c r="B2736" s="30" t="s">
        <v>55</v>
      </c>
      <c r="C2736" s="69" t="str">
        <f t="shared" si="228"/>
        <v>Closed</v>
      </c>
      <c r="D2736" s="27" t="s">
        <v>15443</v>
      </c>
      <c r="E2736" s="29" t="s">
        <v>15444</v>
      </c>
      <c r="F2736" s="30" t="s">
        <v>197</v>
      </c>
      <c r="G2736" s="72">
        <f>DATE(2018,8,11)</f>
        <v>43323</v>
      </c>
      <c r="H2736" s="80">
        <v>1.8138888888888891</v>
      </c>
      <c r="I2736" s="30" t="s">
        <v>73</v>
      </c>
      <c r="J2736" s="72" t="s">
        <v>15445</v>
      </c>
      <c r="K2736" s="30" t="s">
        <v>200</v>
      </c>
      <c r="L2736" s="30" t="s">
        <v>15446</v>
      </c>
      <c r="M2736" s="30" t="s">
        <v>63</v>
      </c>
      <c r="N2736" s="30" t="s">
        <v>99</v>
      </c>
      <c r="O2736" s="30" t="s">
        <v>77</v>
      </c>
      <c r="P2736" s="72" t="s">
        <v>78</v>
      </c>
      <c r="Q2736" s="72" t="s">
        <v>6274</v>
      </c>
      <c r="R2736" s="72" t="s">
        <v>203</v>
      </c>
      <c r="S2736" s="30">
        <v>0</v>
      </c>
      <c r="T2736" s="232">
        <v>0</v>
      </c>
      <c r="U2736" s="30">
        <v>0</v>
      </c>
      <c r="V2736" s="232">
        <v>0</v>
      </c>
      <c r="W2736" s="30">
        <v>0</v>
      </c>
      <c r="X2736" s="30">
        <v>0</v>
      </c>
      <c r="Y2736" s="30">
        <v>0</v>
      </c>
      <c r="Z2736" s="232">
        <v>0</v>
      </c>
      <c r="AA2736" s="30">
        <v>0</v>
      </c>
      <c r="AB2736" s="30">
        <v>0</v>
      </c>
      <c r="AC2736" s="30">
        <v>0</v>
      </c>
      <c r="AD2736" s="30">
        <v>0</v>
      </c>
      <c r="AE2736" s="72" t="s">
        <v>145</v>
      </c>
      <c r="AF2736" s="72"/>
      <c r="AG2736" s="72" t="s">
        <v>82</v>
      </c>
      <c r="AH2736" s="72">
        <v>43432</v>
      </c>
      <c r="AI2736" s="30">
        <v>0</v>
      </c>
      <c r="AJ2736" s="72" t="s">
        <v>15447</v>
      </c>
      <c r="AK2736" s="72" t="s">
        <v>15448</v>
      </c>
      <c r="AL2736" s="70">
        <v>43432</v>
      </c>
      <c r="AM2736" s="70"/>
      <c r="AN2736" s="70"/>
      <c r="AO2736" s="70"/>
      <c r="AP2736" s="73" t="e">
        <f>MID(VLOOKUP(K2736,#REF!,2,FALSE),1,2)</f>
        <v>#REF!</v>
      </c>
      <c r="AQ2736" s="72">
        <f>DATE(2018,8,11)</f>
        <v>43323</v>
      </c>
      <c r="AR2736" s="82">
        <f t="shared" si="225"/>
        <v>11</v>
      </c>
      <c r="AS2736" s="83">
        <f t="shared" si="226"/>
        <v>8</v>
      </c>
      <c r="AT2736" s="84">
        <f t="shared" si="227"/>
        <v>2018</v>
      </c>
      <c r="AU2736" s="86"/>
      <c r="AV2736" s="86"/>
      <c r="AW2736" s="87">
        <f t="shared" si="232"/>
        <v>0</v>
      </c>
      <c r="AX2736" s="86"/>
      <c r="AY2736" s="83"/>
      <c r="AZ2736" s="84"/>
      <c r="BA2736" s="86"/>
      <c r="BB2736" s="86"/>
    </row>
    <row r="2737" spans="1:54" ht="36.75" customHeight="1">
      <c r="A2737" s="30"/>
      <c r="B2737" s="30" t="s">
        <v>55</v>
      </c>
      <c r="C2737" s="69" t="str">
        <f t="shared" si="228"/>
        <v>Closed</v>
      </c>
      <c r="D2737" s="27" t="s">
        <v>15449</v>
      </c>
      <c r="E2737" s="29" t="s">
        <v>15450</v>
      </c>
      <c r="F2737" s="30" t="s">
        <v>1938</v>
      </c>
      <c r="G2737" s="72">
        <f>DATE(2018,8,12)</f>
        <v>43324</v>
      </c>
      <c r="H2737" s="80">
        <v>0</v>
      </c>
      <c r="I2737" s="30" t="s">
        <v>5494</v>
      </c>
      <c r="J2737" s="72" t="s">
        <v>15451</v>
      </c>
      <c r="K2737" s="30" t="s">
        <v>1940</v>
      </c>
      <c r="L2737" s="30" t="s">
        <v>15452</v>
      </c>
      <c r="M2737" s="30" t="s">
        <v>63</v>
      </c>
      <c r="N2737" s="30" t="s">
        <v>142</v>
      </c>
      <c r="O2737" s="30" t="s">
        <v>77</v>
      </c>
      <c r="P2737" s="72" t="s">
        <v>6902</v>
      </c>
      <c r="Q2737" s="72" t="s">
        <v>1942</v>
      </c>
      <c r="R2737" s="72" t="s">
        <v>1940</v>
      </c>
      <c r="S2737" s="30">
        <v>0</v>
      </c>
      <c r="T2737" s="232">
        <v>0</v>
      </c>
      <c r="U2737" s="30">
        <v>0</v>
      </c>
      <c r="V2737" s="232">
        <v>0</v>
      </c>
      <c r="W2737" s="30">
        <v>0</v>
      </c>
      <c r="X2737" s="30">
        <v>0</v>
      </c>
      <c r="Y2737" s="30">
        <v>0</v>
      </c>
      <c r="Z2737" s="232">
        <v>0</v>
      </c>
      <c r="AA2737" s="30">
        <v>0</v>
      </c>
      <c r="AB2737" s="30">
        <v>0</v>
      </c>
      <c r="AC2737" s="30">
        <v>0</v>
      </c>
      <c r="AD2737" s="30">
        <v>0</v>
      </c>
      <c r="AE2737" s="72" t="s">
        <v>92</v>
      </c>
      <c r="AF2737" s="72"/>
      <c r="AG2737" s="72" t="s">
        <v>10511</v>
      </c>
      <c r="AH2737" s="72">
        <v>43334</v>
      </c>
      <c r="AI2737" s="30">
        <v>4</v>
      </c>
      <c r="AJ2737" s="72" t="s">
        <v>15453</v>
      </c>
      <c r="AK2737" s="72" t="s">
        <v>15454</v>
      </c>
      <c r="AL2737" s="70">
        <v>43334</v>
      </c>
      <c r="AM2737" s="70"/>
      <c r="AN2737" s="70"/>
      <c r="AO2737" s="70"/>
      <c r="AP2737" s="73" t="e">
        <f>MID(VLOOKUP(K2737,#REF!,2,FALSE),1,2)</f>
        <v>#REF!</v>
      </c>
      <c r="AQ2737" s="72">
        <f>DATE(2018,8,12)</f>
        <v>43324</v>
      </c>
      <c r="AR2737" s="82">
        <f t="shared" si="225"/>
        <v>12</v>
      </c>
      <c r="AS2737" s="83">
        <f t="shared" si="226"/>
        <v>8</v>
      </c>
      <c r="AT2737" s="84">
        <f t="shared" si="227"/>
        <v>2018</v>
      </c>
      <c r="AU2737" s="86"/>
      <c r="AV2737" s="86"/>
      <c r="AW2737" s="87">
        <f t="shared" si="232"/>
        <v>0</v>
      </c>
      <c r="AX2737" s="86"/>
      <c r="AY2737" s="83"/>
      <c r="AZ2737" s="84"/>
      <c r="BA2737" s="86"/>
      <c r="BB2737" s="86"/>
    </row>
    <row r="2738" spans="1:54" ht="36.75" customHeight="1">
      <c r="A2738" s="30"/>
      <c r="B2738" s="30" t="s">
        <v>55</v>
      </c>
      <c r="C2738" s="69" t="str">
        <f t="shared" si="228"/>
        <v>Closed</v>
      </c>
      <c r="D2738" s="27" t="s">
        <v>15455</v>
      </c>
      <c r="E2738" s="29" t="s">
        <v>15456</v>
      </c>
      <c r="F2738" s="30" t="s">
        <v>1572</v>
      </c>
      <c r="G2738" s="72">
        <f>DATE(2018,8,12)</f>
        <v>43324</v>
      </c>
      <c r="H2738" s="80">
        <v>1.3451388888888889</v>
      </c>
      <c r="I2738" s="30" t="s">
        <v>73</v>
      </c>
      <c r="J2738" s="72" t="s">
        <v>15457</v>
      </c>
      <c r="K2738" s="30" t="s">
        <v>1574</v>
      </c>
      <c r="L2738" s="30" t="s">
        <v>15458</v>
      </c>
      <c r="M2738" s="30" t="s">
        <v>63</v>
      </c>
      <c r="N2738" s="30" t="s">
        <v>142</v>
      </c>
      <c r="O2738" s="30" t="s">
        <v>64</v>
      </c>
      <c r="P2738" s="72" t="s">
        <v>78</v>
      </c>
      <c r="Q2738" s="72" t="s">
        <v>4920</v>
      </c>
      <c r="R2738" s="72" t="s">
        <v>6434</v>
      </c>
      <c r="S2738" s="30">
        <v>0</v>
      </c>
      <c r="T2738" s="232">
        <v>0</v>
      </c>
      <c r="U2738" s="30">
        <v>0</v>
      </c>
      <c r="V2738" s="232">
        <v>0</v>
      </c>
      <c r="W2738" s="30">
        <v>0</v>
      </c>
      <c r="X2738" s="30">
        <v>0</v>
      </c>
      <c r="Y2738" s="30">
        <v>0</v>
      </c>
      <c r="Z2738" s="232">
        <v>0</v>
      </c>
      <c r="AA2738" s="30">
        <v>0</v>
      </c>
      <c r="AB2738" s="30">
        <v>0</v>
      </c>
      <c r="AC2738" s="30">
        <v>0</v>
      </c>
      <c r="AD2738" s="30">
        <v>0</v>
      </c>
      <c r="AE2738" s="72" t="s">
        <v>145</v>
      </c>
      <c r="AF2738" s="72"/>
      <c r="AG2738" s="72" t="s">
        <v>82</v>
      </c>
      <c r="AH2738" s="72">
        <v>43325</v>
      </c>
      <c r="AI2738" s="30">
        <v>2</v>
      </c>
      <c r="AJ2738" s="72" t="s">
        <v>15459</v>
      </c>
      <c r="AK2738" s="72" t="s">
        <v>15460</v>
      </c>
      <c r="AL2738" s="70">
        <v>43326</v>
      </c>
      <c r="AM2738" s="70"/>
      <c r="AN2738" s="70"/>
      <c r="AO2738" s="70"/>
      <c r="AP2738" s="73" t="e">
        <f>MID(VLOOKUP(K2738,#REF!,2,FALSE),1,2)</f>
        <v>#REF!</v>
      </c>
      <c r="AQ2738" s="72">
        <f>DATE(2018,8,12)</f>
        <v>43324</v>
      </c>
      <c r="AR2738" s="82">
        <f t="shared" si="225"/>
        <v>12</v>
      </c>
      <c r="AS2738" s="83">
        <f t="shared" si="226"/>
        <v>8</v>
      </c>
      <c r="AT2738" s="84">
        <f t="shared" si="227"/>
        <v>2018</v>
      </c>
      <c r="AU2738" s="86"/>
      <c r="AV2738" s="86"/>
      <c r="AW2738" s="87">
        <f t="shared" si="232"/>
        <v>0</v>
      </c>
      <c r="AX2738" s="86"/>
      <c r="AY2738" s="83"/>
      <c r="AZ2738" s="84"/>
      <c r="BA2738" s="86"/>
      <c r="BB2738" s="86"/>
    </row>
    <row r="2739" spans="1:54" ht="36.75" customHeight="1">
      <c r="A2739" s="30"/>
      <c r="B2739" s="30" t="s">
        <v>55</v>
      </c>
      <c r="C2739" s="69" t="str">
        <f t="shared" si="228"/>
        <v>Closed</v>
      </c>
      <c r="D2739" s="27" t="s">
        <v>15461</v>
      </c>
      <c r="E2739" s="29" t="s">
        <v>15462</v>
      </c>
      <c r="F2739" s="30" t="s">
        <v>423</v>
      </c>
      <c r="G2739" s="72">
        <f>DATE(2018,8,15)</f>
        <v>43327</v>
      </c>
      <c r="H2739" s="80">
        <v>1.5013888888888889</v>
      </c>
      <c r="I2739" s="30" t="s">
        <v>73</v>
      </c>
      <c r="J2739" s="72" t="s">
        <v>15463</v>
      </c>
      <c r="K2739" s="30" t="s">
        <v>425</v>
      </c>
      <c r="L2739" s="30" t="s">
        <v>15153</v>
      </c>
      <c r="M2739" s="30" t="s">
        <v>63</v>
      </c>
      <c r="N2739" s="30" t="s">
        <v>99</v>
      </c>
      <c r="O2739" s="30" t="s">
        <v>77</v>
      </c>
      <c r="P2739" s="72" t="s">
        <v>78</v>
      </c>
      <c r="Q2739" s="72" t="s">
        <v>2582</v>
      </c>
      <c r="R2739" s="72" t="s">
        <v>3103</v>
      </c>
      <c r="S2739" s="30">
        <v>0</v>
      </c>
      <c r="T2739" s="232">
        <v>0</v>
      </c>
      <c r="U2739" s="30">
        <v>0</v>
      </c>
      <c r="V2739" s="232">
        <v>0</v>
      </c>
      <c r="W2739" s="30">
        <v>0</v>
      </c>
      <c r="X2739" s="30">
        <v>0</v>
      </c>
      <c r="Y2739" s="30">
        <v>0</v>
      </c>
      <c r="Z2739" s="232">
        <v>0</v>
      </c>
      <c r="AA2739" s="30">
        <v>0</v>
      </c>
      <c r="AB2739" s="30">
        <v>0</v>
      </c>
      <c r="AC2739" s="30">
        <v>0</v>
      </c>
      <c r="AD2739" s="30">
        <v>0</v>
      </c>
      <c r="AE2739" s="72" t="s">
        <v>92</v>
      </c>
      <c r="AF2739" s="72"/>
      <c r="AG2739" s="72" t="s">
        <v>133</v>
      </c>
      <c r="AH2739" s="72">
        <v>43327</v>
      </c>
      <c r="AI2739" s="30">
        <v>0</v>
      </c>
      <c r="AJ2739" s="72" t="s">
        <v>15464</v>
      </c>
      <c r="AK2739" s="72" t="s">
        <v>15465</v>
      </c>
      <c r="AL2739" s="70">
        <v>43332</v>
      </c>
      <c r="AM2739" s="70"/>
      <c r="AN2739" s="70"/>
      <c r="AO2739" s="70"/>
      <c r="AP2739" s="73" t="e">
        <f>MID(VLOOKUP(K2739,#REF!,2,FALSE),1,2)</f>
        <v>#REF!</v>
      </c>
      <c r="AQ2739" s="72">
        <f>DATE(2018,8,15)</f>
        <v>43327</v>
      </c>
      <c r="AR2739" s="82">
        <f t="shared" si="225"/>
        <v>15</v>
      </c>
      <c r="AS2739" s="83">
        <f t="shared" si="226"/>
        <v>8</v>
      </c>
      <c r="AT2739" s="84">
        <f t="shared" si="227"/>
        <v>2018</v>
      </c>
      <c r="AU2739" s="88">
        <f>DATE(2018,8,20)</f>
        <v>43332</v>
      </c>
      <c r="AV2739" s="88">
        <f>DATE(2018,8,15)</f>
        <v>43327</v>
      </c>
      <c r="AW2739" s="87">
        <f t="shared" si="232"/>
        <v>5</v>
      </c>
      <c r="AX2739" s="86"/>
      <c r="AY2739" s="83"/>
      <c r="AZ2739" s="84"/>
      <c r="BA2739" s="86"/>
      <c r="BB2739" s="86" t="s">
        <v>13115</v>
      </c>
    </row>
    <row r="2740" spans="1:54" ht="36.75" customHeight="1">
      <c r="A2740" s="30"/>
      <c r="B2740" s="30" t="s">
        <v>55</v>
      </c>
      <c r="C2740" s="69" t="str">
        <f t="shared" si="228"/>
        <v>Closed</v>
      </c>
      <c r="D2740" s="27" t="s">
        <v>15466</v>
      </c>
      <c r="E2740" s="29" t="s">
        <v>15467</v>
      </c>
      <c r="F2740" s="30" t="s">
        <v>15071</v>
      </c>
      <c r="G2740" s="72">
        <f>DATE(2018,8,16)</f>
        <v>43328</v>
      </c>
      <c r="H2740" s="80">
        <v>1.0888888888888888</v>
      </c>
      <c r="I2740" s="30" t="s">
        <v>73</v>
      </c>
      <c r="J2740" s="72" t="s">
        <v>15468</v>
      </c>
      <c r="K2740" s="30" t="s">
        <v>13441</v>
      </c>
      <c r="L2740" s="30" t="s">
        <v>15469</v>
      </c>
      <c r="M2740" s="30" t="s">
        <v>63</v>
      </c>
      <c r="N2740" s="30" t="s">
        <v>89</v>
      </c>
      <c r="O2740" s="30" t="s">
        <v>77</v>
      </c>
      <c r="P2740" s="72" t="s">
        <v>78</v>
      </c>
      <c r="Q2740" s="72" t="s">
        <v>15470</v>
      </c>
      <c r="R2740" s="72" t="s">
        <v>15471</v>
      </c>
      <c r="S2740" s="30">
        <v>0</v>
      </c>
      <c r="T2740" s="232">
        <v>0</v>
      </c>
      <c r="U2740" s="30">
        <v>0</v>
      </c>
      <c r="V2740" s="232">
        <v>0</v>
      </c>
      <c r="W2740" s="30">
        <v>0</v>
      </c>
      <c r="X2740" s="30">
        <v>0</v>
      </c>
      <c r="Y2740" s="30">
        <v>0</v>
      </c>
      <c r="Z2740" s="232">
        <v>0</v>
      </c>
      <c r="AA2740" s="30">
        <v>0</v>
      </c>
      <c r="AB2740" s="30">
        <v>0</v>
      </c>
      <c r="AC2740" s="30">
        <v>0</v>
      </c>
      <c r="AD2740" s="30">
        <v>0</v>
      </c>
      <c r="AE2740" s="72" t="s">
        <v>145</v>
      </c>
      <c r="AF2740" s="72" t="s">
        <v>15076</v>
      </c>
      <c r="AG2740" s="72" t="s">
        <v>6459</v>
      </c>
      <c r="AH2740" s="72">
        <v>43328</v>
      </c>
      <c r="AI2740" s="30">
        <v>0</v>
      </c>
      <c r="AJ2740" s="72" t="s">
        <v>15472</v>
      </c>
      <c r="AK2740" s="72" t="s">
        <v>15473</v>
      </c>
      <c r="AL2740" s="70">
        <v>43343</v>
      </c>
      <c r="AM2740" s="70"/>
      <c r="AN2740" s="70">
        <v>44571</v>
      </c>
      <c r="AO2740" s="70">
        <v>44285</v>
      </c>
      <c r="AP2740" s="73" t="e">
        <f>MID(VLOOKUP(K2740,#REF!,2,FALSE),1,2)</f>
        <v>#REF!</v>
      </c>
      <c r="AQ2740" s="72">
        <f>DATE(2018,8,16)</f>
        <v>43328</v>
      </c>
      <c r="AR2740" s="82">
        <f t="shared" si="225"/>
        <v>16</v>
      </c>
      <c r="AS2740" s="83">
        <f t="shared" si="226"/>
        <v>8</v>
      </c>
      <c r="AT2740" s="84">
        <f t="shared" si="227"/>
        <v>2018</v>
      </c>
      <c r="AU2740" s="88">
        <f>DATE(2018,8,31)</f>
        <v>43343</v>
      </c>
      <c r="AV2740" s="88">
        <f>DATE(2018,8,16)</f>
        <v>43328</v>
      </c>
      <c r="AW2740" s="87">
        <f t="shared" si="232"/>
        <v>15</v>
      </c>
      <c r="AX2740" s="88">
        <f>DATE(2018,8,31)</f>
        <v>43343</v>
      </c>
      <c r="AY2740" s="83">
        <f>MONTH(AX2740)</f>
        <v>8</v>
      </c>
      <c r="AZ2740" s="84">
        <f>YEAR(AX2740)</f>
        <v>2018</v>
      </c>
      <c r="BA2740" s="88">
        <f>DATE(2018,8,27)</f>
        <v>43339</v>
      </c>
      <c r="BB2740" s="86"/>
    </row>
    <row r="2741" spans="1:54" ht="36.75" customHeight="1">
      <c r="A2741" s="30"/>
      <c r="B2741" s="30" t="s">
        <v>55</v>
      </c>
      <c r="C2741" s="69" t="str">
        <f t="shared" si="228"/>
        <v>Closed</v>
      </c>
      <c r="D2741" s="27" t="s">
        <v>15474</v>
      </c>
      <c r="E2741" s="29" t="s">
        <v>15475</v>
      </c>
      <c r="F2741" s="30" t="s">
        <v>423</v>
      </c>
      <c r="G2741" s="72">
        <f>DATE(2018,8,16)</f>
        <v>43328</v>
      </c>
      <c r="H2741" s="80">
        <v>1.7888888888888888</v>
      </c>
      <c r="I2741" s="30" t="s">
        <v>116</v>
      </c>
      <c r="J2741" s="72" t="s">
        <v>15476</v>
      </c>
      <c r="K2741" s="30" t="s">
        <v>425</v>
      </c>
      <c r="L2741" s="30" t="s">
        <v>15477</v>
      </c>
      <c r="M2741" s="30" t="s">
        <v>63</v>
      </c>
      <c r="N2741" s="30" t="s">
        <v>99</v>
      </c>
      <c r="O2741" s="30" t="s">
        <v>77</v>
      </c>
      <c r="P2741" s="72" t="s">
        <v>165</v>
      </c>
      <c r="Q2741" s="72" t="s">
        <v>4551</v>
      </c>
      <c r="R2741" s="72" t="s">
        <v>3103</v>
      </c>
      <c r="S2741" s="30">
        <v>0</v>
      </c>
      <c r="T2741" s="232">
        <v>0</v>
      </c>
      <c r="U2741" s="30">
        <v>0</v>
      </c>
      <c r="V2741" s="232">
        <v>0</v>
      </c>
      <c r="W2741" s="30">
        <v>0</v>
      </c>
      <c r="X2741" s="30">
        <v>0</v>
      </c>
      <c r="Y2741" s="30">
        <v>0</v>
      </c>
      <c r="Z2741" s="232">
        <v>0</v>
      </c>
      <c r="AA2741" s="30">
        <v>0</v>
      </c>
      <c r="AB2741" s="30">
        <v>0</v>
      </c>
      <c r="AC2741" s="30">
        <v>0</v>
      </c>
      <c r="AD2741" s="30">
        <v>0</v>
      </c>
      <c r="AE2741" s="72" t="s">
        <v>92</v>
      </c>
      <c r="AF2741" s="72"/>
      <c r="AG2741" s="72" t="s">
        <v>874</v>
      </c>
      <c r="AH2741" s="72">
        <v>43328</v>
      </c>
      <c r="AI2741" s="30">
        <v>1</v>
      </c>
      <c r="AJ2741" s="72" t="s">
        <v>11986</v>
      </c>
      <c r="AK2741" s="72" t="s">
        <v>15478</v>
      </c>
      <c r="AL2741" s="70">
        <v>43332</v>
      </c>
      <c r="AM2741" s="70"/>
      <c r="AN2741" s="70"/>
      <c r="AO2741" s="70"/>
      <c r="AP2741" s="73" t="e">
        <f>MID(VLOOKUP(K2741,#REF!,2,FALSE),1,2)</f>
        <v>#REF!</v>
      </c>
      <c r="AQ2741" s="72">
        <f>DATE(2018,8,16)</f>
        <v>43328</v>
      </c>
      <c r="AR2741" s="82">
        <f t="shared" ref="AR2741:AR2804" si="233">DAY(AQ2741)</f>
        <v>16</v>
      </c>
      <c r="AS2741" s="83">
        <f t="shared" ref="AS2741:AS2804" si="234">MONTH(AQ2741)</f>
        <v>8</v>
      </c>
      <c r="AT2741" s="84">
        <f t="shared" ref="AT2741:AT2804" si="235">YEAR(AQ2741)</f>
        <v>2018</v>
      </c>
      <c r="AU2741" s="88">
        <f>DATE(2018,8,20)</f>
        <v>43332</v>
      </c>
      <c r="AV2741" s="88">
        <f>DATE(2018,8,16)</f>
        <v>43328</v>
      </c>
      <c r="AW2741" s="87">
        <f t="shared" si="232"/>
        <v>4</v>
      </c>
      <c r="AX2741" s="86"/>
      <c r="AY2741" s="83"/>
      <c r="AZ2741" s="84"/>
      <c r="BA2741" s="86"/>
      <c r="BB2741" s="86" t="s">
        <v>13115</v>
      </c>
    </row>
    <row r="2742" spans="1:54" ht="36.75" customHeight="1">
      <c r="A2742" s="30"/>
      <c r="B2742" s="30" t="s">
        <v>55</v>
      </c>
      <c r="C2742" s="69" t="str">
        <f t="shared" si="228"/>
        <v>Closed</v>
      </c>
      <c r="D2742" s="27" t="s">
        <v>15479</v>
      </c>
      <c r="E2742" s="29" t="s">
        <v>15480</v>
      </c>
      <c r="F2742" s="30" t="s">
        <v>423</v>
      </c>
      <c r="G2742" s="72">
        <f>DATE(2018,8,17)</f>
        <v>43329</v>
      </c>
      <c r="H2742" s="80">
        <v>1.7402777777777776</v>
      </c>
      <c r="I2742" s="30" t="s">
        <v>73</v>
      </c>
      <c r="J2742" s="72" t="s">
        <v>15481</v>
      </c>
      <c r="K2742" s="30" t="s">
        <v>425</v>
      </c>
      <c r="L2742" s="30" t="s">
        <v>15482</v>
      </c>
      <c r="M2742" s="30" t="s">
        <v>63</v>
      </c>
      <c r="N2742" s="30" t="s">
        <v>99</v>
      </c>
      <c r="O2742" s="30" t="s">
        <v>77</v>
      </c>
      <c r="P2742" s="72" t="s">
        <v>78</v>
      </c>
      <c r="Q2742" s="72" t="s">
        <v>2582</v>
      </c>
      <c r="R2742" s="72" t="s">
        <v>3103</v>
      </c>
      <c r="S2742" s="30">
        <v>0</v>
      </c>
      <c r="T2742" s="232">
        <v>0</v>
      </c>
      <c r="U2742" s="30">
        <v>0</v>
      </c>
      <c r="V2742" s="232">
        <v>0</v>
      </c>
      <c r="W2742" s="30">
        <v>0</v>
      </c>
      <c r="X2742" s="30">
        <v>0</v>
      </c>
      <c r="Y2742" s="30">
        <v>0</v>
      </c>
      <c r="Z2742" s="232">
        <v>0</v>
      </c>
      <c r="AA2742" s="30">
        <v>0</v>
      </c>
      <c r="AB2742" s="30">
        <v>0</v>
      </c>
      <c r="AC2742" s="30">
        <v>0</v>
      </c>
      <c r="AD2742" s="30">
        <v>0</v>
      </c>
      <c r="AE2742" s="72" t="s">
        <v>92</v>
      </c>
      <c r="AF2742" s="72"/>
      <c r="AG2742" s="72" t="s">
        <v>133</v>
      </c>
      <c r="AH2742" s="72">
        <v>43329</v>
      </c>
      <c r="AI2742" s="30">
        <v>0</v>
      </c>
      <c r="AJ2742" s="72" t="s">
        <v>15483</v>
      </c>
      <c r="AK2742" s="72" t="s">
        <v>15484</v>
      </c>
      <c r="AL2742" s="70">
        <v>43332</v>
      </c>
      <c r="AM2742" s="70"/>
      <c r="AN2742" s="70"/>
      <c r="AO2742" s="70"/>
      <c r="AP2742" s="73" t="e">
        <f>MID(VLOOKUP(K2742,#REF!,2,FALSE),1,2)</f>
        <v>#REF!</v>
      </c>
      <c r="AQ2742" s="72">
        <f>DATE(2018,8,17)</f>
        <v>43329</v>
      </c>
      <c r="AR2742" s="82">
        <f t="shared" si="233"/>
        <v>17</v>
      </c>
      <c r="AS2742" s="83">
        <f t="shared" si="234"/>
        <v>8</v>
      </c>
      <c r="AT2742" s="84">
        <f t="shared" si="235"/>
        <v>2018</v>
      </c>
      <c r="AU2742" s="88">
        <f>DATE(2018,8,20)</f>
        <v>43332</v>
      </c>
      <c r="AV2742" s="88">
        <f>DATE(2018,8,17)</f>
        <v>43329</v>
      </c>
      <c r="AW2742" s="87">
        <f t="shared" si="232"/>
        <v>3</v>
      </c>
      <c r="AX2742" s="86"/>
      <c r="AY2742" s="83"/>
      <c r="AZ2742" s="84"/>
      <c r="BA2742" s="86"/>
      <c r="BB2742" s="86" t="s">
        <v>13115</v>
      </c>
    </row>
    <row r="2743" spans="1:54" ht="36.75" customHeight="1">
      <c r="A2743" s="30"/>
      <c r="B2743" s="30" t="s">
        <v>55</v>
      </c>
      <c r="C2743" s="69" t="str">
        <f t="shared" si="228"/>
        <v>Closed</v>
      </c>
      <c r="D2743" s="27" t="s">
        <v>15485</v>
      </c>
      <c r="E2743" s="29" t="s">
        <v>15486</v>
      </c>
      <c r="F2743" s="30" t="s">
        <v>1938</v>
      </c>
      <c r="G2743" s="72">
        <f>DATE(2018,8,17)</f>
        <v>43329</v>
      </c>
      <c r="H2743" s="80">
        <v>0</v>
      </c>
      <c r="I2743" s="30" t="s">
        <v>116</v>
      </c>
      <c r="J2743" s="72" t="s">
        <v>15487</v>
      </c>
      <c r="K2743" s="30" t="s">
        <v>1940</v>
      </c>
      <c r="L2743" s="30" t="s">
        <v>15488</v>
      </c>
      <c r="M2743" s="30" t="s">
        <v>63</v>
      </c>
      <c r="N2743" s="30" t="s">
        <v>142</v>
      </c>
      <c r="O2743" s="30" t="s">
        <v>64</v>
      </c>
      <c r="P2743" s="72" t="s">
        <v>165</v>
      </c>
      <c r="Q2743" s="72" t="s">
        <v>1942</v>
      </c>
      <c r="R2743" s="72" t="s">
        <v>1940</v>
      </c>
      <c r="S2743" s="30">
        <v>0</v>
      </c>
      <c r="T2743" s="232">
        <v>0</v>
      </c>
      <c r="U2743" s="30">
        <v>0</v>
      </c>
      <c r="V2743" s="232">
        <v>0</v>
      </c>
      <c r="W2743" s="30">
        <v>0</v>
      </c>
      <c r="X2743" s="30">
        <v>0</v>
      </c>
      <c r="Y2743" s="30">
        <v>0</v>
      </c>
      <c r="Z2743" s="232">
        <v>0</v>
      </c>
      <c r="AA2743" s="30">
        <v>0</v>
      </c>
      <c r="AB2743" s="30">
        <v>0</v>
      </c>
      <c r="AC2743" s="30">
        <v>0</v>
      </c>
      <c r="AD2743" s="30">
        <v>0</v>
      </c>
      <c r="AE2743" s="72" t="s">
        <v>394</v>
      </c>
      <c r="AF2743" s="72"/>
      <c r="AG2743" s="72" t="s">
        <v>10511</v>
      </c>
      <c r="AH2743" s="72">
        <v>43333</v>
      </c>
      <c r="AI2743" s="30">
        <v>3</v>
      </c>
      <c r="AJ2743" s="72" t="s">
        <v>15489</v>
      </c>
      <c r="AK2743" s="72" t="s">
        <v>15490</v>
      </c>
      <c r="AL2743" s="70">
        <v>43334</v>
      </c>
      <c r="AM2743" s="70"/>
      <c r="AN2743" s="70"/>
      <c r="AO2743" s="70"/>
      <c r="AP2743" s="73" t="e">
        <f>MID(VLOOKUP(K2743,#REF!,2,FALSE),1,2)</f>
        <v>#REF!</v>
      </c>
      <c r="AQ2743" s="72">
        <f>DATE(2018,8,17)</f>
        <v>43329</v>
      </c>
      <c r="AR2743" s="82">
        <f t="shared" si="233"/>
        <v>17</v>
      </c>
      <c r="AS2743" s="83">
        <f t="shared" si="234"/>
        <v>8</v>
      </c>
      <c r="AT2743" s="84">
        <f t="shared" si="235"/>
        <v>2018</v>
      </c>
      <c r="AU2743" s="86"/>
      <c r="AV2743" s="86"/>
      <c r="AW2743" s="87">
        <f t="shared" si="232"/>
        <v>0</v>
      </c>
      <c r="AX2743" s="86"/>
      <c r="AY2743" s="83"/>
      <c r="AZ2743" s="84"/>
      <c r="BA2743" s="86"/>
      <c r="BB2743" s="86"/>
    </row>
    <row r="2744" spans="1:54" ht="36.75" customHeight="1">
      <c r="A2744" s="30"/>
      <c r="B2744" s="30" t="s">
        <v>55</v>
      </c>
      <c r="C2744" s="69" t="str">
        <f t="shared" si="228"/>
        <v>Closed</v>
      </c>
      <c r="D2744" s="27" t="s">
        <v>15491</v>
      </c>
      <c r="E2744" s="29" t="s">
        <v>15492</v>
      </c>
      <c r="F2744" s="30" t="s">
        <v>233</v>
      </c>
      <c r="G2744" s="72">
        <f>DATE(2018,8,17)</f>
        <v>43329</v>
      </c>
      <c r="H2744" s="80">
        <v>1.5388888888888888</v>
      </c>
      <c r="I2744" s="30" t="s">
        <v>2418</v>
      </c>
      <c r="J2744" s="72" t="s">
        <v>15493</v>
      </c>
      <c r="K2744" s="30" t="s">
        <v>235</v>
      </c>
      <c r="L2744" s="30" t="s">
        <v>15494</v>
      </c>
      <c r="M2744" s="30" t="s">
        <v>63</v>
      </c>
      <c r="N2744" s="30" t="s">
        <v>142</v>
      </c>
      <c r="O2744" s="30" t="s">
        <v>64</v>
      </c>
      <c r="P2744" s="72" t="s">
        <v>165</v>
      </c>
      <c r="Q2744" s="72" t="s">
        <v>2174</v>
      </c>
      <c r="R2744" s="72" t="s">
        <v>235</v>
      </c>
      <c r="S2744" s="30">
        <v>0</v>
      </c>
      <c r="T2744" s="232">
        <v>0</v>
      </c>
      <c r="U2744" s="30">
        <v>0</v>
      </c>
      <c r="V2744" s="232">
        <v>0</v>
      </c>
      <c r="W2744" s="30">
        <v>0</v>
      </c>
      <c r="X2744" s="30">
        <v>0</v>
      </c>
      <c r="Y2744" s="30">
        <v>0</v>
      </c>
      <c r="Z2744" s="232">
        <v>0</v>
      </c>
      <c r="AA2744" s="30">
        <v>0</v>
      </c>
      <c r="AB2744" s="30">
        <v>0</v>
      </c>
      <c r="AC2744" s="30">
        <v>0</v>
      </c>
      <c r="AD2744" s="30">
        <v>0</v>
      </c>
      <c r="AE2744" s="72" t="s">
        <v>92</v>
      </c>
      <c r="AF2744" s="72"/>
      <c r="AG2744" s="72" t="s">
        <v>133</v>
      </c>
      <c r="AH2744" s="72">
        <v>43346</v>
      </c>
      <c r="AI2744" s="30">
        <v>1</v>
      </c>
      <c r="AJ2744" s="72" t="s">
        <v>15495</v>
      </c>
      <c r="AK2744" s="72" t="s">
        <v>15496</v>
      </c>
      <c r="AL2744" s="70">
        <v>43360</v>
      </c>
      <c r="AM2744" s="70"/>
      <c r="AN2744" s="70"/>
      <c r="AO2744" s="70"/>
      <c r="AP2744" s="73" t="e">
        <f>MID(VLOOKUP(K2744,#REF!,2,FALSE),1,2)</f>
        <v>#REF!</v>
      </c>
      <c r="AQ2744" s="72">
        <f>DATE(2018,8,17)</f>
        <v>43329</v>
      </c>
      <c r="AR2744" s="82">
        <f t="shared" si="233"/>
        <v>17</v>
      </c>
      <c r="AS2744" s="83">
        <f t="shared" si="234"/>
        <v>8</v>
      </c>
      <c r="AT2744" s="84">
        <f t="shared" si="235"/>
        <v>2018</v>
      </c>
      <c r="AU2744" s="86"/>
      <c r="AV2744" s="86"/>
      <c r="AW2744" s="87">
        <f t="shared" si="232"/>
        <v>0</v>
      </c>
      <c r="AX2744" s="86"/>
      <c r="AY2744" s="83"/>
      <c r="AZ2744" s="84"/>
      <c r="BA2744" s="86"/>
      <c r="BB2744" s="86"/>
    </row>
    <row r="2745" spans="1:54" ht="36.75" customHeight="1">
      <c r="A2745" s="30"/>
      <c r="B2745" s="30" t="s">
        <v>55</v>
      </c>
      <c r="C2745" s="69" t="str">
        <f t="shared" si="228"/>
        <v>Closed</v>
      </c>
      <c r="D2745" s="27" t="s">
        <v>15497</v>
      </c>
      <c r="E2745" s="29" t="s">
        <v>15498</v>
      </c>
      <c r="F2745" s="30" t="s">
        <v>2336</v>
      </c>
      <c r="G2745" s="72">
        <f>DATE(2018,8,23)</f>
        <v>43335</v>
      </c>
      <c r="H2745" s="80">
        <v>1.4701388888888889</v>
      </c>
      <c r="I2745" s="30" t="s">
        <v>116</v>
      </c>
      <c r="J2745" s="72" t="s">
        <v>15499</v>
      </c>
      <c r="K2745" s="30" t="s">
        <v>2338</v>
      </c>
      <c r="L2745" s="30" t="s">
        <v>15500</v>
      </c>
      <c r="M2745" s="30" t="s">
        <v>63</v>
      </c>
      <c r="N2745" s="30" t="s">
        <v>99</v>
      </c>
      <c r="O2745" s="30" t="s">
        <v>64</v>
      </c>
      <c r="P2745" s="72" t="s">
        <v>165</v>
      </c>
      <c r="Q2745" s="72" t="s">
        <v>13517</v>
      </c>
      <c r="R2745" s="72" t="s">
        <v>2341</v>
      </c>
      <c r="S2745" s="30">
        <v>0</v>
      </c>
      <c r="T2745" s="232">
        <v>0</v>
      </c>
      <c r="U2745" s="30">
        <v>1</v>
      </c>
      <c r="V2745" s="232">
        <v>0</v>
      </c>
      <c r="W2745" s="30">
        <v>0</v>
      </c>
      <c r="X2745" s="30">
        <v>1</v>
      </c>
      <c r="Y2745" s="30">
        <v>0</v>
      </c>
      <c r="Z2745" s="232">
        <v>0</v>
      </c>
      <c r="AA2745" s="30">
        <v>0</v>
      </c>
      <c r="AB2745" s="30">
        <v>0</v>
      </c>
      <c r="AC2745" s="30">
        <v>0</v>
      </c>
      <c r="AD2745" s="30">
        <v>0</v>
      </c>
      <c r="AE2745" s="72" t="s">
        <v>92</v>
      </c>
      <c r="AF2745" s="72"/>
      <c r="AG2745" s="72" t="s">
        <v>82</v>
      </c>
      <c r="AH2745" s="72">
        <v>43341</v>
      </c>
      <c r="AI2745" s="30">
        <v>12</v>
      </c>
      <c r="AJ2745" s="72" t="s">
        <v>15501</v>
      </c>
      <c r="AK2745" s="72" t="s">
        <v>15502</v>
      </c>
      <c r="AL2745" s="70">
        <v>43343</v>
      </c>
      <c r="AM2745" s="70"/>
      <c r="AN2745" s="70"/>
      <c r="AO2745" s="70"/>
      <c r="AP2745" s="73" t="e">
        <f>MID(VLOOKUP(K2745,#REF!,2,FALSE),1,2)</f>
        <v>#REF!</v>
      </c>
      <c r="AQ2745" s="72">
        <f>DATE(2018,8,23)</f>
        <v>43335</v>
      </c>
      <c r="AR2745" s="82">
        <f t="shared" si="233"/>
        <v>23</v>
      </c>
      <c r="AS2745" s="83">
        <f t="shared" si="234"/>
        <v>8</v>
      </c>
      <c r="AT2745" s="84">
        <f t="shared" si="235"/>
        <v>2018</v>
      </c>
      <c r="AU2745" s="86"/>
      <c r="AV2745" s="86"/>
      <c r="AW2745" s="87">
        <f t="shared" si="232"/>
        <v>0</v>
      </c>
      <c r="AX2745" s="86"/>
      <c r="AY2745" s="83"/>
      <c r="AZ2745" s="84"/>
      <c r="BA2745" s="86"/>
      <c r="BB2745" s="86"/>
    </row>
    <row r="2746" spans="1:54" ht="36.75" customHeight="1">
      <c r="A2746" s="30"/>
      <c r="B2746" s="30" t="s">
        <v>55</v>
      </c>
      <c r="C2746" s="69" t="str">
        <f t="shared" si="228"/>
        <v>Closed</v>
      </c>
      <c r="D2746" s="27" t="s">
        <v>15503</v>
      </c>
      <c r="E2746" s="29" t="s">
        <v>15504</v>
      </c>
      <c r="F2746" s="30" t="s">
        <v>115</v>
      </c>
      <c r="G2746" s="72">
        <f>DATE(2018,8,24)</f>
        <v>43336</v>
      </c>
      <c r="H2746" s="80">
        <v>1.7486111111111109</v>
      </c>
      <c r="I2746" s="30" t="s">
        <v>73</v>
      </c>
      <c r="J2746" s="72" t="s">
        <v>15505</v>
      </c>
      <c r="K2746" s="30" t="s">
        <v>118</v>
      </c>
      <c r="L2746" s="30" t="s">
        <v>15506</v>
      </c>
      <c r="M2746" s="30" t="s">
        <v>63</v>
      </c>
      <c r="N2746" s="30" t="s">
        <v>89</v>
      </c>
      <c r="O2746" s="30" t="s">
        <v>77</v>
      </c>
      <c r="P2746" s="72" t="s">
        <v>462</v>
      </c>
      <c r="Q2746" s="72" t="s">
        <v>120</v>
      </c>
      <c r="R2746" s="72" t="s">
        <v>121</v>
      </c>
      <c r="S2746" s="30">
        <v>0</v>
      </c>
      <c r="T2746" s="232">
        <v>0</v>
      </c>
      <c r="U2746" s="30">
        <v>0</v>
      </c>
      <c r="V2746" s="232">
        <v>0</v>
      </c>
      <c r="W2746" s="30">
        <v>0</v>
      </c>
      <c r="X2746" s="30">
        <v>0</v>
      </c>
      <c r="Y2746" s="30">
        <v>0</v>
      </c>
      <c r="Z2746" s="232">
        <v>0</v>
      </c>
      <c r="AA2746" s="30">
        <v>0</v>
      </c>
      <c r="AB2746" s="30">
        <v>0</v>
      </c>
      <c r="AC2746" s="30">
        <v>0</v>
      </c>
      <c r="AD2746" s="30">
        <v>0</v>
      </c>
      <c r="AE2746" s="72" t="s">
        <v>394</v>
      </c>
      <c r="AF2746" s="72"/>
      <c r="AG2746" s="72" t="s">
        <v>133</v>
      </c>
      <c r="AH2746" s="72">
        <v>43339</v>
      </c>
      <c r="AI2746" s="30">
        <v>1</v>
      </c>
      <c r="AJ2746" s="72" t="s">
        <v>15507</v>
      </c>
      <c r="AK2746" s="72" t="s">
        <v>15508</v>
      </c>
      <c r="AL2746" s="70">
        <v>43509</v>
      </c>
      <c r="AM2746" s="70"/>
      <c r="AN2746" s="70"/>
      <c r="AO2746" s="70"/>
      <c r="AP2746" s="73" t="e">
        <f>MID(VLOOKUP(K2746,#REF!,2,FALSE),1,2)</f>
        <v>#REF!</v>
      </c>
      <c r="AQ2746" s="72">
        <f>DATE(2018,8,24)</f>
        <v>43336</v>
      </c>
      <c r="AR2746" s="82">
        <f t="shared" si="233"/>
        <v>24</v>
      </c>
      <c r="AS2746" s="83">
        <f t="shared" si="234"/>
        <v>8</v>
      </c>
      <c r="AT2746" s="84">
        <f t="shared" si="235"/>
        <v>2018</v>
      </c>
      <c r="AU2746" s="86"/>
      <c r="AV2746" s="86"/>
      <c r="AW2746" s="87"/>
      <c r="AX2746" s="86"/>
      <c r="AY2746" s="83"/>
      <c r="AZ2746" s="84"/>
      <c r="BA2746" s="86"/>
      <c r="BB2746" s="86"/>
    </row>
    <row r="2747" spans="1:54" ht="36.75" customHeight="1">
      <c r="A2747" s="30"/>
      <c r="B2747" s="30" t="s">
        <v>55</v>
      </c>
      <c r="C2747" s="69" t="str">
        <f t="shared" si="228"/>
        <v>Closed</v>
      </c>
      <c r="D2747" s="27" t="s">
        <v>15509</v>
      </c>
      <c r="E2747" s="29" t="s">
        <v>15510</v>
      </c>
      <c r="F2747" s="30" t="s">
        <v>835</v>
      </c>
      <c r="G2747" s="72">
        <f>DATE(2018,8,24)</f>
        <v>43336</v>
      </c>
      <c r="H2747" s="80">
        <v>1.3784722222222223</v>
      </c>
      <c r="I2747" s="30" t="s">
        <v>104</v>
      </c>
      <c r="J2747" s="72" t="s">
        <v>15511</v>
      </c>
      <c r="K2747" s="30" t="s">
        <v>837</v>
      </c>
      <c r="L2747" s="30" t="s">
        <v>15512</v>
      </c>
      <c r="M2747" s="30" t="s">
        <v>63</v>
      </c>
      <c r="N2747" s="30" t="s">
        <v>89</v>
      </c>
      <c r="O2747" s="30" t="s">
        <v>77</v>
      </c>
      <c r="P2747" s="72" t="s">
        <v>5324</v>
      </c>
      <c r="Q2747" s="72" t="s">
        <v>2162</v>
      </c>
      <c r="R2747" s="72" t="s">
        <v>840</v>
      </c>
      <c r="S2747" s="30">
        <v>0</v>
      </c>
      <c r="T2747" s="232">
        <v>0</v>
      </c>
      <c r="U2747" s="30">
        <v>0</v>
      </c>
      <c r="V2747" s="232">
        <v>0</v>
      </c>
      <c r="W2747" s="30">
        <v>0</v>
      </c>
      <c r="X2747" s="30">
        <v>0</v>
      </c>
      <c r="Y2747" s="30">
        <v>0</v>
      </c>
      <c r="Z2747" s="232">
        <v>0</v>
      </c>
      <c r="AA2747" s="30">
        <v>0</v>
      </c>
      <c r="AB2747" s="30">
        <v>0</v>
      </c>
      <c r="AC2747" s="30">
        <v>0</v>
      </c>
      <c r="AD2747" s="30">
        <v>0</v>
      </c>
      <c r="AE2747" s="72" t="s">
        <v>92</v>
      </c>
      <c r="AF2747" s="72"/>
      <c r="AG2747" s="72" t="s">
        <v>352</v>
      </c>
      <c r="AH2747" s="72">
        <v>43336</v>
      </c>
      <c r="AI2747" s="30">
        <v>0</v>
      </c>
      <c r="AJ2747" s="72" t="s">
        <v>15333</v>
      </c>
      <c r="AK2747" s="72" t="s">
        <v>68</v>
      </c>
      <c r="AL2747" s="70">
        <v>43621</v>
      </c>
      <c r="AM2747" s="70"/>
      <c r="AN2747" s="70"/>
      <c r="AO2747" s="70"/>
      <c r="AP2747" s="73" t="e">
        <f>MID(VLOOKUP(K2747,#REF!,2,FALSE),1,2)</f>
        <v>#REF!</v>
      </c>
      <c r="AQ2747" s="72">
        <f>DATE(2019,8,24)</f>
        <v>43701</v>
      </c>
      <c r="AR2747" s="82">
        <f t="shared" si="233"/>
        <v>24</v>
      </c>
      <c r="AS2747" s="84">
        <f t="shared" si="234"/>
        <v>8</v>
      </c>
      <c r="AT2747" s="104">
        <f t="shared" si="235"/>
        <v>2019</v>
      </c>
      <c r="AU2747" s="86"/>
      <c r="AV2747" s="87"/>
      <c r="AW2747" s="86"/>
      <c r="AX2747" s="82"/>
      <c r="AY2747" s="84"/>
      <c r="AZ2747" s="104"/>
      <c r="BA2747" s="86"/>
      <c r="BB2747" s="86"/>
    </row>
    <row r="2748" spans="1:54" ht="36.75" customHeight="1">
      <c r="A2748" s="30"/>
      <c r="B2748" s="30" t="s">
        <v>55</v>
      </c>
      <c r="C2748" s="69" t="str">
        <f t="shared" si="228"/>
        <v>Closed</v>
      </c>
      <c r="D2748" s="27" t="s">
        <v>15513</v>
      </c>
      <c r="E2748" s="29" t="s">
        <v>15514</v>
      </c>
      <c r="F2748" s="30" t="s">
        <v>1572</v>
      </c>
      <c r="G2748" s="72">
        <f>DATE(2018,8,25)</f>
        <v>43337</v>
      </c>
      <c r="H2748" s="80">
        <v>1.2361111111111112</v>
      </c>
      <c r="I2748" s="30" t="s">
        <v>125</v>
      </c>
      <c r="J2748" s="72" t="s">
        <v>15515</v>
      </c>
      <c r="K2748" s="30" t="s">
        <v>1574</v>
      </c>
      <c r="L2748" s="30" t="s">
        <v>15516</v>
      </c>
      <c r="M2748" s="30" t="s">
        <v>63</v>
      </c>
      <c r="N2748" s="30" t="s">
        <v>142</v>
      </c>
      <c r="O2748" s="30" t="s">
        <v>77</v>
      </c>
      <c r="P2748" s="72" t="s">
        <v>78</v>
      </c>
      <c r="Q2748" s="72" t="s">
        <v>2655</v>
      </c>
      <c r="R2748" s="72" t="s">
        <v>6434</v>
      </c>
      <c r="S2748" s="30">
        <v>0</v>
      </c>
      <c r="T2748" s="232">
        <v>0</v>
      </c>
      <c r="U2748" s="30">
        <v>0</v>
      </c>
      <c r="V2748" s="232">
        <v>0</v>
      </c>
      <c r="W2748" s="30">
        <v>0</v>
      </c>
      <c r="X2748" s="30">
        <v>0</v>
      </c>
      <c r="Y2748" s="30">
        <v>0</v>
      </c>
      <c r="Z2748" s="232">
        <v>0</v>
      </c>
      <c r="AA2748" s="30">
        <v>0</v>
      </c>
      <c r="AB2748" s="30">
        <v>0</v>
      </c>
      <c r="AC2748" s="30">
        <v>0</v>
      </c>
      <c r="AD2748" s="30">
        <v>0</v>
      </c>
      <c r="AE2748" s="72" t="s">
        <v>394</v>
      </c>
      <c r="AF2748" s="72"/>
      <c r="AG2748" s="72" t="s">
        <v>133</v>
      </c>
      <c r="AH2748" s="72">
        <v>43339</v>
      </c>
      <c r="AI2748" s="30">
        <v>1</v>
      </c>
      <c r="AJ2748" s="72" t="s">
        <v>15517</v>
      </c>
      <c r="AK2748" s="72" t="s">
        <v>15518</v>
      </c>
      <c r="AL2748" s="70">
        <v>43340</v>
      </c>
      <c r="AM2748" s="70"/>
      <c r="AN2748" s="70"/>
      <c r="AO2748" s="70"/>
      <c r="AP2748" s="73" t="e">
        <f>MID(VLOOKUP(K2748,#REF!,2,FALSE),1,2)</f>
        <v>#REF!</v>
      </c>
      <c r="AQ2748" s="72">
        <f>DATE(2018,8,25)</f>
        <v>43337</v>
      </c>
      <c r="AR2748" s="82">
        <f t="shared" si="233"/>
        <v>25</v>
      </c>
      <c r="AS2748" s="83">
        <f t="shared" si="234"/>
        <v>8</v>
      </c>
      <c r="AT2748" s="84">
        <f t="shared" si="235"/>
        <v>2018</v>
      </c>
      <c r="AU2748" s="86"/>
      <c r="AV2748" s="86"/>
      <c r="AW2748" s="87">
        <f>AU2748-AV2748</f>
        <v>0</v>
      </c>
      <c r="AX2748" s="86"/>
      <c r="AY2748" s="83"/>
      <c r="AZ2748" s="84"/>
      <c r="BA2748" s="86"/>
      <c r="BB2748" s="86"/>
    </row>
    <row r="2749" spans="1:54" ht="36.75" customHeight="1">
      <c r="A2749" s="30"/>
      <c r="B2749" s="30" t="s">
        <v>55</v>
      </c>
      <c r="C2749" s="69" t="str">
        <f t="shared" si="228"/>
        <v>Closed</v>
      </c>
      <c r="D2749" s="27" t="s">
        <v>15519</v>
      </c>
      <c r="E2749" s="29" t="s">
        <v>15520</v>
      </c>
      <c r="F2749" s="30" t="s">
        <v>233</v>
      </c>
      <c r="G2749" s="72">
        <f>DATE(2018,9,1)</f>
        <v>43344</v>
      </c>
      <c r="H2749" s="80">
        <v>1.375</v>
      </c>
      <c r="I2749" s="30" t="s">
        <v>5494</v>
      </c>
      <c r="J2749" s="72" t="s">
        <v>15521</v>
      </c>
      <c r="K2749" s="30" t="s">
        <v>235</v>
      </c>
      <c r="L2749" s="30" t="s">
        <v>15522</v>
      </c>
      <c r="M2749" s="30" t="s">
        <v>129</v>
      </c>
      <c r="N2749" s="30" t="s">
        <v>99</v>
      </c>
      <c r="O2749" s="30" t="s">
        <v>64</v>
      </c>
      <c r="P2749" s="72" t="s">
        <v>129</v>
      </c>
      <c r="Q2749" s="72" t="s">
        <v>683</v>
      </c>
      <c r="R2749" s="72" t="s">
        <v>235</v>
      </c>
      <c r="S2749" s="30">
        <v>0</v>
      </c>
      <c r="T2749" s="232">
        <v>0</v>
      </c>
      <c r="U2749" s="30">
        <v>0</v>
      </c>
      <c r="V2749" s="232">
        <v>0</v>
      </c>
      <c r="W2749" s="30">
        <v>0</v>
      </c>
      <c r="X2749" s="30">
        <v>0</v>
      </c>
      <c r="Y2749" s="30">
        <v>0</v>
      </c>
      <c r="Z2749" s="232">
        <v>0</v>
      </c>
      <c r="AA2749" s="30">
        <v>0</v>
      </c>
      <c r="AB2749" s="30">
        <v>0</v>
      </c>
      <c r="AC2749" s="30">
        <v>0</v>
      </c>
      <c r="AD2749" s="30">
        <v>0</v>
      </c>
      <c r="AE2749" s="72" t="s">
        <v>92</v>
      </c>
      <c r="AF2749" s="72"/>
      <c r="AG2749" s="72" t="s">
        <v>133</v>
      </c>
      <c r="AH2749" s="72">
        <v>43360</v>
      </c>
      <c r="AI2749" s="30">
        <v>4</v>
      </c>
      <c r="AJ2749" s="72" t="s">
        <v>15523</v>
      </c>
      <c r="AK2749" s="72" t="s">
        <v>15524</v>
      </c>
      <c r="AL2749" s="70">
        <v>43375</v>
      </c>
      <c r="AM2749" s="70"/>
      <c r="AN2749" s="70"/>
      <c r="AO2749" s="70"/>
      <c r="AP2749" s="73" t="e">
        <f>MID(VLOOKUP(K2749,#REF!,2,FALSE),1,2)</f>
        <v>#REF!</v>
      </c>
      <c r="AQ2749" s="72">
        <f>DATE(2018,9,1)</f>
        <v>43344</v>
      </c>
      <c r="AR2749" s="82">
        <f t="shared" si="233"/>
        <v>1</v>
      </c>
      <c r="AS2749" s="83">
        <f t="shared" si="234"/>
        <v>9</v>
      </c>
      <c r="AT2749" s="84">
        <f t="shared" si="235"/>
        <v>2018</v>
      </c>
      <c r="AU2749" s="86"/>
      <c r="AV2749" s="86"/>
      <c r="AW2749" s="87">
        <f>AU2749-AV2749</f>
        <v>0</v>
      </c>
      <c r="AX2749" s="86"/>
      <c r="AY2749" s="83"/>
      <c r="AZ2749" s="84"/>
      <c r="BA2749" s="86"/>
      <c r="BB2749" s="86"/>
    </row>
    <row r="2750" spans="1:54" ht="36.75" customHeight="1">
      <c r="A2750" s="30"/>
      <c r="B2750" s="30" t="s">
        <v>55</v>
      </c>
      <c r="C2750" s="69" t="str">
        <f t="shared" si="228"/>
        <v>Closed</v>
      </c>
      <c r="D2750" s="27" t="s">
        <v>15525</v>
      </c>
      <c r="E2750" s="29" t="s">
        <v>15526</v>
      </c>
      <c r="F2750" s="30" t="s">
        <v>115</v>
      </c>
      <c r="G2750" s="72">
        <f>DATE(2018,9,3)</f>
        <v>43346</v>
      </c>
      <c r="H2750" s="80">
        <v>1.7791666666666668</v>
      </c>
      <c r="I2750" s="30" t="s">
        <v>116</v>
      </c>
      <c r="J2750" s="72" t="s">
        <v>15527</v>
      </c>
      <c r="K2750" s="30" t="s">
        <v>118</v>
      </c>
      <c r="L2750" s="30" t="s">
        <v>15528</v>
      </c>
      <c r="M2750" s="30" t="s">
        <v>63</v>
      </c>
      <c r="N2750" s="30" t="s">
        <v>142</v>
      </c>
      <c r="O2750" s="30" t="s">
        <v>64</v>
      </c>
      <c r="P2750" s="72" t="s">
        <v>165</v>
      </c>
      <c r="Q2750" s="72" t="s">
        <v>120</v>
      </c>
      <c r="R2750" s="72" t="s">
        <v>121</v>
      </c>
      <c r="S2750" s="30">
        <v>0</v>
      </c>
      <c r="T2750" s="232">
        <v>0</v>
      </c>
      <c r="U2750" s="30">
        <v>1</v>
      </c>
      <c r="V2750" s="232">
        <v>0</v>
      </c>
      <c r="W2750" s="30">
        <v>0</v>
      </c>
      <c r="X2750" s="30">
        <v>1</v>
      </c>
      <c r="Y2750" s="30">
        <v>0</v>
      </c>
      <c r="Z2750" s="232">
        <v>0</v>
      </c>
      <c r="AA2750" s="30">
        <v>0</v>
      </c>
      <c r="AB2750" s="30">
        <v>0</v>
      </c>
      <c r="AC2750" s="30">
        <v>0</v>
      </c>
      <c r="AD2750" s="30">
        <v>0</v>
      </c>
      <c r="AE2750" s="72" t="s">
        <v>92</v>
      </c>
      <c r="AF2750" s="72"/>
      <c r="AG2750" s="72" t="s">
        <v>352</v>
      </c>
      <c r="AH2750" s="72">
        <v>43354</v>
      </c>
      <c r="AI2750" s="30">
        <v>3</v>
      </c>
      <c r="AJ2750" s="72" t="s">
        <v>15529</v>
      </c>
      <c r="AK2750" s="72" t="s">
        <v>15530</v>
      </c>
      <c r="AL2750" s="70">
        <v>43509</v>
      </c>
      <c r="AM2750" s="70"/>
      <c r="AN2750" s="70"/>
      <c r="AO2750" s="70"/>
      <c r="AP2750" s="73" t="e">
        <f>MID(VLOOKUP(K2750,#REF!,2,FALSE),1,2)</f>
        <v>#REF!</v>
      </c>
      <c r="AQ2750" s="72">
        <f>DATE(2018,9,3)</f>
        <v>43346</v>
      </c>
      <c r="AR2750" s="82">
        <f t="shared" si="233"/>
        <v>3</v>
      </c>
      <c r="AS2750" s="83">
        <f t="shared" si="234"/>
        <v>9</v>
      </c>
      <c r="AT2750" s="84">
        <f t="shared" si="235"/>
        <v>2018</v>
      </c>
      <c r="AU2750" s="86"/>
      <c r="AV2750" s="86"/>
      <c r="AW2750" s="87"/>
      <c r="AX2750" s="86"/>
      <c r="AY2750" s="83"/>
      <c r="AZ2750" s="84"/>
      <c r="BA2750" s="86"/>
      <c r="BB2750" s="86"/>
    </row>
    <row r="2751" spans="1:54" ht="36.75" customHeight="1">
      <c r="A2751" s="30"/>
      <c r="B2751" s="30" t="s">
        <v>55</v>
      </c>
      <c r="C2751" s="69" t="str">
        <f t="shared" si="228"/>
        <v>Closed</v>
      </c>
      <c r="D2751" s="27" t="s">
        <v>15531</v>
      </c>
      <c r="E2751" s="29" t="s">
        <v>15532</v>
      </c>
      <c r="F2751" s="30" t="s">
        <v>233</v>
      </c>
      <c r="G2751" s="72">
        <f>DATE(2018,9,4)</f>
        <v>43347</v>
      </c>
      <c r="H2751" s="80">
        <v>1.15625</v>
      </c>
      <c r="I2751" s="30" t="s">
        <v>278</v>
      </c>
      <c r="J2751" s="72" t="s">
        <v>15533</v>
      </c>
      <c r="K2751" s="30" t="s">
        <v>235</v>
      </c>
      <c r="L2751" s="30" t="s">
        <v>15534</v>
      </c>
      <c r="M2751" s="30" t="s">
        <v>63</v>
      </c>
      <c r="N2751" s="30" t="s">
        <v>89</v>
      </c>
      <c r="O2751" s="30" t="s">
        <v>90</v>
      </c>
      <c r="P2751" s="72" t="s">
        <v>78</v>
      </c>
      <c r="Q2751" s="72" t="s">
        <v>4042</v>
      </c>
      <c r="R2751" s="72" t="s">
        <v>235</v>
      </c>
      <c r="S2751" s="30">
        <v>0</v>
      </c>
      <c r="T2751" s="232">
        <v>0</v>
      </c>
      <c r="U2751" s="30">
        <v>0</v>
      </c>
      <c r="V2751" s="232">
        <v>0</v>
      </c>
      <c r="W2751" s="30">
        <v>0</v>
      </c>
      <c r="X2751" s="30">
        <v>0</v>
      </c>
      <c r="Y2751" s="30">
        <v>0</v>
      </c>
      <c r="Z2751" s="232">
        <v>1</v>
      </c>
      <c r="AA2751" s="30">
        <v>0</v>
      </c>
      <c r="AB2751" s="30">
        <v>0</v>
      </c>
      <c r="AC2751" s="30">
        <v>0</v>
      </c>
      <c r="AD2751" s="30">
        <v>1</v>
      </c>
      <c r="AE2751" s="72" t="s">
        <v>92</v>
      </c>
      <c r="AF2751" s="72"/>
      <c r="AG2751" s="72" t="s">
        <v>133</v>
      </c>
      <c r="AH2751" s="72">
        <v>43353</v>
      </c>
      <c r="AI2751" s="30">
        <v>2</v>
      </c>
      <c r="AJ2751" s="72" t="s">
        <v>15535</v>
      </c>
      <c r="AK2751" s="72" t="s">
        <v>15536</v>
      </c>
      <c r="AL2751" s="70">
        <v>43368</v>
      </c>
      <c r="AM2751" s="70"/>
      <c r="AN2751" s="70"/>
      <c r="AO2751" s="70"/>
      <c r="AP2751" s="73" t="e">
        <f>MID(VLOOKUP(K2751,#REF!,2,FALSE),1,2)</f>
        <v>#REF!</v>
      </c>
      <c r="AQ2751" s="72">
        <f>DATE(2018,9,4)</f>
        <v>43347</v>
      </c>
      <c r="AR2751" s="82">
        <f t="shared" si="233"/>
        <v>4</v>
      </c>
      <c r="AS2751" s="83">
        <f t="shared" si="234"/>
        <v>9</v>
      </c>
      <c r="AT2751" s="84">
        <f t="shared" si="235"/>
        <v>2018</v>
      </c>
      <c r="AU2751" s="86"/>
      <c r="AV2751" s="86"/>
      <c r="AW2751" s="87">
        <f t="shared" ref="AW2751:AW2760" si="236">AU2751-AV2751</f>
        <v>0</v>
      </c>
      <c r="AX2751" s="86"/>
      <c r="AY2751" s="83"/>
      <c r="AZ2751" s="84"/>
      <c r="BA2751" s="86"/>
      <c r="BB2751" s="86"/>
    </row>
    <row r="2752" spans="1:54" ht="36.75" customHeight="1">
      <c r="A2752" s="30"/>
      <c r="B2752" s="30" t="s">
        <v>55</v>
      </c>
      <c r="C2752" s="69" t="str">
        <f t="shared" si="228"/>
        <v>Closed</v>
      </c>
      <c r="D2752" s="27" t="s">
        <v>15537</v>
      </c>
      <c r="E2752" s="29" t="s">
        <v>15538</v>
      </c>
      <c r="F2752" s="30" t="s">
        <v>124</v>
      </c>
      <c r="G2752" s="72">
        <f>DATE(2018,9,5)</f>
        <v>43348</v>
      </c>
      <c r="H2752" s="80">
        <v>0</v>
      </c>
      <c r="I2752" s="30" t="s">
        <v>15539</v>
      </c>
      <c r="J2752" s="72" t="s">
        <v>15540</v>
      </c>
      <c r="K2752" s="30" t="s">
        <v>127</v>
      </c>
      <c r="L2752" s="30" t="s">
        <v>15541</v>
      </c>
      <c r="M2752" s="30" t="s">
        <v>63</v>
      </c>
      <c r="N2752" s="30" t="s">
        <v>142</v>
      </c>
      <c r="O2752" s="30" t="s">
        <v>77</v>
      </c>
      <c r="P2752" s="72" t="s">
        <v>86</v>
      </c>
      <c r="Q2752" s="72" t="s">
        <v>229</v>
      </c>
      <c r="R2752" s="72" t="s">
        <v>167</v>
      </c>
      <c r="S2752" s="30">
        <v>0</v>
      </c>
      <c r="T2752" s="232">
        <v>0</v>
      </c>
      <c r="U2752" s="30">
        <v>0</v>
      </c>
      <c r="V2752" s="232">
        <v>0</v>
      </c>
      <c r="W2752" s="30">
        <v>0</v>
      </c>
      <c r="X2752" s="30">
        <v>0</v>
      </c>
      <c r="Y2752" s="30">
        <v>0</v>
      </c>
      <c r="Z2752" s="232">
        <v>0</v>
      </c>
      <c r="AA2752" s="30">
        <v>0</v>
      </c>
      <c r="AB2752" s="30">
        <v>0</v>
      </c>
      <c r="AC2752" s="30">
        <v>0</v>
      </c>
      <c r="AD2752" s="30">
        <v>0</v>
      </c>
      <c r="AE2752" s="72" t="s">
        <v>92</v>
      </c>
      <c r="AF2752" s="72"/>
      <c r="AG2752" s="72" t="s">
        <v>133</v>
      </c>
      <c r="AH2752" s="72">
        <v>43369</v>
      </c>
      <c r="AI2752" s="30">
        <v>0</v>
      </c>
      <c r="AJ2752" s="72" t="s">
        <v>15542</v>
      </c>
      <c r="AK2752" s="72" t="s">
        <v>68</v>
      </c>
      <c r="AL2752" s="70">
        <v>43377</v>
      </c>
      <c r="AM2752" s="70"/>
      <c r="AN2752" s="70"/>
      <c r="AO2752" s="70"/>
      <c r="AP2752" s="73" t="e">
        <f>MID(VLOOKUP(K2752,#REF!,2,FALSE),1,2)</f>
        <v>#REF!</v>
      </c>
      <c r="AQ2752" s="72">
        <f>DATE(2018,9,5)</f>
        <v>43348</v>
      </c>
      <c r="AR2752" s="82">
        <f t="shared" si="233"/>
        <v>5</v>
      </c>
      <c r="AS2752" s="83">
        <f t="shared" si="234"/>
        <v>9</v>
      </c>
      <c r="AT2752" s="84">
        <f t="shared" si="235"/>
        <v>2018</v>
      </c>
      <c r="AU2752" s="86"/>
      <c r="AV2752" s="86"/>
      <c r="AW2752" s="87">
        <f t="shared" si="236"/>
        <v>0</v>
      </c>
      <c r="AX2752" s="86"/>
      <c r="AY2752" s="83"/>
      <c r="AZ2752" s="84"/>
      <c r="BA2752" s="86"/>
      <c r="BB2752" s="86"/>
    </row>
    <row r="2753" spans="1:54" ht="36.75" customHeight="1">
      <c r="A2753" s="30"/>
      <c r="B2753" s="30" t="s">
        <v>55</v>
      </c>
      <c r="C2753" s="69" t="str">
        <f t="shared" si="228"/>
        <v>Closed</v>
      </c>
      <c r="D2753" s="27" t="s">
        <v>15543</v>
      </c>
      <c r="E2753" s="29" t="s">
        <v>15544</v>
      </c>
      <c r="F2753" s="30" t="s">
        <v>1770</v>
      </c>
      <c r="G2753" s="72">
        <f>DATE(2018,9,6)</f>
        <v>43349</v>
      </c>
      <c r="H2753" s="80">
        <v>1.2854166666666667</v>
      </c>
      <c r="I2753" s="30" t="s">
        <v>59</v>
      </c>
      <c r="J2753" s="72" t="s">
        <v>15545</v>
      </c>
      <c r="K2753" s="30" t="s">
        <v>1772</v>
      </c>
      <c r="L2753" s="30" t="s">
        <v>15546</v>
      </c>
      <c r="M2753" s="30" t="s">
        <v>63</v>
      </c>
      <c r="N2753" s="30" t="s">
        <v>142</v>
      </c>
      <c r="O2753" s="30" t="s">
        <v>64</v>
      </c>
      <c r="P2753" s="72" t="s">
        <v>6941</v>
      </c>
      <c r="Q2753" s="72" t="s">
        <v>1774</v>
      </c>
      <c r="R2753" s="72" t="s">
        <v>1775</v>
      </c>
      <c r="S2753" s="30">
        <v>0</v>
      </c>
      <c r="T2753" s="232">
        <v>0</v>
      </c>
      <c r="U2753" s="30">
        <v>0</v>
      </c>
      <c r="V2753" s="232">
        <v>0</v>
      </c>
      <c r="W2753" s="30">
        <v>0</v>
      </c>
      <c r="X2753" s="30">
        <v>0</v>
      </c>
      <c r="Y2753" s="30">
        <v>0</v>
      </c>
      <c r="Z2753" s="232">
        <v>0</v>
      </c>
      <c r="AA2753" s="30">
        <v>0</v>
      </c>
      <c r="AB2753" s="30">
        <v>0</v>
      </c>
      <c r="AC2753" s="30">
        <v>0</v>
      </c>
      <c r="AD2753" s="30">
        <v>0</v>
      </c>
      <c r="AE2753" s="72" t="s">
        <v>92</v>
      </c>
      <c r="AF2753" s="72"/>
      <c r="AG2753" s="72" t="s">
        <v>589</v>
      </c>
      <c r="AH2753" s="72">
        <v>43367</v>
      </c>
      <c r="AI2753" s="30">
        <v>4</v>
      </c>
      <c r="AJ2753" s="72" t="s">
        <v>15547</v>
      </c>
      <c r="AK2753" s="72" t="s">
        <v>15548</v>
      </c>
      <c r="AL2753" s="70">
        <v>43378</v>
      </c>
      <c r="AM2753" s="70"/>
      <c r="AN2753" s="70"/>
      <c r="AO2753" s="70"/>
      <c r="AP2753" s="73" t="e">
        <f>MID(VLOOKUP(K2753,#REF!,2,FALSE),1,2)</f>
        <v>#REF!</v>
      </c>
      <c r="AQ2753" s="72">
        <f>DATE(2018,9,6)</f>
        <v>43349</v>
      </c>
      <c r="AR2753" s="82">
        <f t="shared" si="233"/>
        <v>6</v>
      </c>
      <c r="AS2753" s="83">
        <f t="shared" si="234"/>
        <v>9</v>
      </c>
      <c r="AT2753" s="84">
        <f t="shared" si="235"/>
        <v>2018</v>
      </c>
      <c r="AU2753" s="88">
        <f>DATE(2018,10,5)</f>
        <v>43378</v>
      </c>
      <c r="AV2753" s="88">
        <f>DATE(2018,9,24)</f>
        <v>43367</v>
      </c>
      <c r="AW2753" s="87">
        <f t="shared" si="236"/>
        <v>11</v>
      </c>
      <c r="AX2753" s="86"/>
      <c r="AY2753" s="83"/>
      <c r="AZ2753" s="84"/>
      <c r="BA2753" s="86"/>
      <c r="BB2753" s="86" t="s">
        <v>13115</v>
      </c>
    </row>
    <row r="2754" spans="1:54" ht="36.75" customHeight="1">
      <c r="A2754" s="30"/>
      <c r="B2754" s="30" t="s">
        <v>55</v>
      </c>
      <c r="C2754" s="69" t="str">
        <f t="shared" ref="C2754:C2817" si="237">IF(B2754="Notification","Open",IF(B2754="Interim Statement","In progress","Closed"))</f>
        <v>Closed</v>
      </c>
      <c r="D2754" s="27" t="s">
        <v>15549</v>
      </c>
      <c r="E2754" s="29" t="s">
        <v>15550</v>
      </c>
      <c r="F2754" s="30" t="s">
        <v>423</v>
      </c>
      <c r="G2754" s="72">
        <f>DATE(2018,9,7)</f>
        <v>43350</v>
      </c>
      <c r="H2754" s="80">
        <v>1.8673611111111112</v>
      </c>
      <c r="I2754" s="30" t="s">
        <v>73</v>
      </c>
      <c r="J2754" s="72" t="s">
        <v>15551</v>
      </c>
      <c r="K2754" s="30" t="s">
        <v>425</v>
      </c>
      <c r="L2754" s="30" t="s">
        <v>12719</v>
      </c>
      <c r="M2754" s="30" t="s">
        <v>63</v>
      </c>
      <c r="N2754" s="30" t="s">
        <v>142</v>
      </c>
      <c r="O2754" s="30" t="s">
        <v>77</v>
      </c>
      <c r="P2754" s="72" t="s">
        <v>86</v>
      </c>
      <c r="Q2754" s="72" t="s">
        <v>4551</v>
      </c>
      <c r="R2754" s="72" t="s">
        <v>3103</v>
      </c>
      <c r="S2754" s="30">
        <v>0</v>
      </c>
      <c r="T2754" s="232">
        <v>0</v>
      </c>
      <c r="U2754" s="30">
        <v>0</v>
      </c>
      <c r="V2754" s="232">
        <v>0</v>
      </c>
      <c r="W2754" s="30">
        <v>0</v>
      </c>
      <c r="X2754" s="30">
        <v>0</v>
      </c>
      <c r="Y2754" s="30">
        <v>0</v>
      </c>
      <c r="Z2754" s="232">
        <v>0</v>
      </c>
      <c r="AA2754" s="30">
        <v>0</v>
      </c>
      <c r="AB2754" s="30">
        <v>0</v>
      </c>
      <c r="AC2754" s="30">
        <v>0</v>
      </c>
      <c r="AD2754" s="30">
        <v>0</v>
      </c>
      <c r="AE2754" s="72" t="s">
        <v>394</v>
      </c>
      <c r="AF2754" s="72"/>
      <c r="AG2754" s="72" t="s">
        <v>82</v>
      </c>
      <c r="AH2754" s="72">
        <v>43290</v>
      </c>
      <c r="AI2754" s="30">
        <v>1</v>
      </c>
      <c r="AJ2754" s="72" t="s">
        <v>15552</v>
      </c>
      <c r="AK2754" s="72" t="s">
        <v>15553</v>
      </c>
      <c r="AL2754" s="70">
        <v>43354</v>
      </c>
      <c r="AM2754" s="70"/>
      <c r="AN2754" s="70"/>
      <c r="AO2754" s="70"/>
      <c r="AP2754" s="73" t="e">
        <f>MID(VLOOKUP(K2754,#REF!,2,FALSE),1,2)</f>
        <v>#REF!</v>
      </c>
      <c r="AQ2754" s="72">
        <f>DATE(2018,9,7)</f>
        <v>43350</v>
      </c>
      <c r="AR2754" s="82">
        <f t="shared" si="233"/>
        <v>7</v>
      </c>
      <c r="AS2754" s="83">
        <f t="shared" si="234"/>
        <v>9</v>
      </c>
      <c r="AT2754" s="84">
        <f t="shared" si="235"/>
        <v>2018</v>
      </c>
      <c r="AU2754" s="88">
        <f>DATE(2018,9,11)</f>
        <v>43354</v>
      </c>
      <c r="AV2754" s="88">
        <f>DATE(2018,9,7)</f>
        <v>43350</v>
      </c>
      <c r="AW2754" s="87">
        <f t="shared" si="236"/>
        <v>4</v>
      </c>
      <c r="AX2754" s="86"/>
      <c r="AY2754" s="83"/>
      <c r="AZ2754" s="84"/>
      <c r="BA2754" s="86"/>
      <c r="BB2754" s="86" t="s">
        <v>13115</v>
      </c>
    </row>
    <row r="2755" spans="1:54" ht="36.75" customHeight="1">
      <c r="A2755" s="30"/>
      <c r="B2755" s="30" t="s">
        <v>55</v>
      </c>
      <c r="C2755" s="69" t="str">
        <f t="shared" si="237"/>
        <v>Closed</v>
      </c>
      <c r="D2755" s="27" t="s">
        <v>15554</v>
      </c>
      <c r="E2755" s="29" t="s">
        <v>15555</v>
      </c>
      <c r="F2755" s="30" t="s">
        <v>233</v>
      </c>
      <c r="G2755" s="72">
        <f>DATE(2018,9,7)</f>
        <v>43350</v>
      </c>
      <c r="H2755" s="80">
        <v>1.5854166666666667</v>
      </c>
      <c r="I2755" s="30" t="s">
        <v>278</v>
      </c>
      <c r="J2755" s="72" t="s">
        <v>15556</v>
      </c>
      <c r="K2755" s="30" t="s">
        <v>235</v>
      </c>
      <c r="L2755" s="30" t="s">
        <v>15557</v>
      </c>
      <c r="M2755" s="30" t="s">
        <v>63</v>
      </c>
      <c r="N2755" s="30" t="s">
        <v>89</v>
      </c>
      <c r="O2755" s="30" t="s">
        <v>77</v>
      </c>
      <c r="P2755" s="72" t="s">
        <v>165</v>
      </c>
      <c r="Q2755" s="72" t="s">
        <v>469</v>
      </c>
      <c r="R2755" s="72" t="s">
        <v>235</v>
      </c>
      <c r="S2755" s="30">
        <v>0</v>
      </c>
      <c r="T2755" s="232">
        <v>0</v>
      </c>
      <c r="U2755" s="30">
        <v>0</v>
      </c>
      <c r="V2755" s="232">
        <v>0</v>
      </c>
      <c r="W2755" s="30">
        <v>0</v>
      </c>
      <c r="X2755" s="30">
        <v>0</v>
      </c>
      <c r="Y2755" s="30">
        <v>0</v>
      </c>
      <c r="Z2755" s="232">
        <v>0</v>
      </c>
      <c r="AA2755" s="30">
        <v>0</v>
      </c>
      <c r="AB2755" s="30">
        <v>0</v>
      </c>
      <c r="AC2755" s="30">
        <v>0</v>
      </c>
      <c r="AD2755" s="30">
        <v>0</v>
      </c>
      <c r="AE2755" s="72" t="s">
        <v>92</v>
      </c>
      <c r="AF2755" s="72"/>
      <c r="AG2755" s="72" t="s">
        <v>133</v>
      </c>
      <c r="AH2755" s="72">
        <v>43360</v>
      </c>
      <c r="AI2755" s="30">
        <v>2</v>
      </c>
      <c r="AJ2755" s="72" t="s">
        <v>15558</v>
      </c>
      <c r="AK2755" s="72" t="s">
        <v>15559</v>
      </c>
      <c r="AL2755" s="70">
        <v>43375</v>
      </c>
      <c r="AM2755" s="70"/>
      <c r="AN2755" s="70"/>
      <c r="AO2755" s="70"/>
      <c r="AP2755" s="73" t="e">
        <f>MID(VLOOKUP(K2755,#REF!,2,FALSE),1,2)</f>
        <v>#REF!</v>
      </c>
      <c r="AQ2755" s="72">
        <f>DATE(2018,9,7)</f>
        <v>43350</v>
      </c>
      <c r="AR2755" s="82">
        <f t="shared" si="233"/>
        <v>7</v>
      </c>
      <c r="AS2755" s="83">
        <f t="shared" si="234"/>
        <v>9</v>
      </c>
      <c r="AT2755" s="84">
        <f t="shared" si="235"/>
        <v>2018</v>
      </c>
      <c r="AU2755" s="86"/>
      <c r="AV2755" s="86"/>
      <c r="AW2755" s="87">
        <f t="shared" si="236"/>
        <v>0</v>
      </c>
      <c r="AX2755" s="86"/>
      <c r="AY2755" s="83"/>
      <c r="AZ2755" s="84"/>
      <c r="BA2755" s="86"/>
      <c r="BB2755" s="86"/>
    </row>
    <row r="2756" spans="1:54" ht="36.75" customHeight="1">
      <c r="A2756" s="30"/>
      <c r="B2756" s="30" t="s">
        <v>55</v>
      </c>
      <c r="C2756" s="69" t="str">
        <f t="shared" si="237"/>
        <v>Closed</v>
      </c>
      <c r="D2756" s="27" t="s">
        <v>15560</v>
      </c>
      <c r="E2756" s="29" t="s">
        <v>15561</v>
      </c>
      <c r="F2756" s="30" t="s">
        <v>1572</v>
      </c>
      <c r="G2756" s="72">
        <f>DATE(2018,9,9)</f>
        <v>43352</v>
      </c>
      <c r="H2756" s="80">
        <v>1.4375</v>
      </c>
      <c r="I2756" s="30" t="s">
        <v>104</v>
      </c>
      <c r="J2756" s="72" t="s">
        <v>15562</v>
      </c>
      <c r="K2756" s="30" t="s">
        <v>1574</v>
      </c>
      <c r="L2756" s="30" t="s">
        <v>15563</v>
      </c>
      <c r="M2756" s="30" t="s">
        <v>63</v>
      </c>
      <c r="N2756" s="30" t="s">
        <v>142</v>
      </c>
      <c r="O2756" s="30" t="s">
        <v>77</v>
      </c>
      <c r="P2756" s="72" t="s">
        <v>6941</v>
      </c>
      <c r="Q2756" s="72" t="s">
        <v>2413</v>
      </c>
      <c r="R2756" s="72" t="s">
        <v>6434</v>
      </c>
      <c r="S2756" s="30">
        <v>0</v>
      </c>
      <c r="T2756" s="232">
        <v>0</v>
      </c>
      <c r="U2756" s="30">
        <v>0</v>
      </c>
      <c r="V2756" s="232">
        <v>0</v>
      </c>
      <c r="W2756" s="30">
        <v>0</v>
      </c>
      <c r="X2756" s="30">
        <v>0</v>
      </c>
      <c r="Y2756" s="30">
        <v>0</v>
      </c>
      <c r="Z2756" s="232">
        <v>0</v>
      </c>
      <c r="AA2756" s="30">
        <v>0</v>
      </c>
      <c r="AB2756" s="30">
        <v>0</v>
      </c>
      <c r="AC2756" s="30">
        <v>0</v>
      </c>
      <c r="AD2756" s="30">
        <v>0</v>
      </c>
      <c r="AE2756" s="72" t="s">
        <v>92</v>
      </c>
      <c r="AF2756" s="72"/>
      <c r="AG2756" s="72" t="s">
        <v>1507</v>
      </c>
      <c r="AH2756" s="72">
        <v>43353</v>
      </c>
      <c r="AI2756" s="30">
        <v>1</v>
      </c>
      <c r="AJ2756" s="72" t="s">
        <v>15564</v>
      </c>
      <c r="AK2756" s="72" t="s">
        <v>15565</v>
      </c>
      <c r="AL2756" s="70">
        <v>43357</v>
      </c>
      <c r="AM2756" s="70"/>
      <c r="AN2756" s="70"/>
      <c r="AO2756" s="70"/>
      <c r="AP2756" s="73" t="e">
        <f>MID(VLOOKUP(K2756,#REF!,2,FALSE),1,2)</f>
        <v>#REF!</v>
      </c>
      <c r="AQ2756" s="72">
        <f>DATE(2018,9,9)</f>
        <v>43352</v>
      </c>
      <c r="AR2756" s="82">
        <f t="shared" si="233"/>
        <v>9</v>
      </c>
      <c r="AS2756" s="83">
        <f t="shared" si="234"/>
        <v>9</v>
      </c>
      <c r="AT2756" s="84">
        <f t="shared" si="235"/>
        <v>2018</v>
      </c>
      <c r="AU2756" s="86"/>
      <c r="AV2756" s="86"/>
      <c r="AW2756" s="87">
        <f t="shared" si="236"/>
        <v>0</v>
      </c>
      <c r="AX2756" s="86"/>
      <c r="AY2756" s="83"/>
      <c r="AZ2756" s="84"/>
      <c r="BA2756" s="86"/>
      <c r="BB2756" s="86"/>
    </row>
    <row r="2757" spans="1:54" ht="36.75" customHeight="1">
      <c r="A2757" s="30"/>
      <c r="B2757" s="30" t="s">
        <v>55</v>
      </c>
      <c r="C2757" s="69" t="str">
        <f t="shared" si="237"/>
        <v>Closed</v>
      </c>
      <c r="D2757" s="27" t="s">
        <v>15566</v>
      </c>
      <c r="E2757" s="29" t="s">
        <v>15567</v>
      </c>
      <c r="F2757" s="30" t="s">
        <v>1572</v>
      </c>
      <c r="G2757" s="72">
        <f>DATE(2018,9,11)</f>
        <v>43354</v>
      </c>
      <c r="H2757" s="80">
        <v>1.6631944444444444</v>
      </c>
      <c r="I2757" s="30" t="s">
        <v>5494</v>
      </c>
      <c r="J2757" s="72" t="s">
        <v>15568</v>
      </c>
      <c r="K2757" s="30" t="s">
        <v>1574</v>
      </c>
      <c r="L2757" s="30" t="s">
        <v>15569</v>
      </c>
      <c r="M2757" s="30" t="s">
        <v>63</v>
      </c>
      <c r="N2757" s="30" t="s">
        <v>142</v>
      </c>
      <c r="O2757" s="30" t="s">
        <v>77</v>
      </c>
      <c r="P2757" s="72" t="s">
        <v>78</v>
      </c>
      <c r="Q2757" s="72" t="s">
        <v>15570</v>
      </c>
      <c r="R2757" s="72" t="s">
        <v>6434</v>
      </c>
      <c r="S2757" s="30">
        <v>0</v>
      </c>
      <c r="T2757" s="232">
        <v>0</v>
      </c>
      <c r="U2757" s="30">
        <v>0</v>
      </c>
      <c r="V2757" s="232">
        <v>0</v>
      </c>
      <c r="W2757" s="30">
        <v>0</v>
      </c>
      <c r="X2757" s="30">
        <v>0</v>
      </c>
      <c r="Y2757" s="30">
        <v>0</v>
      </c>
      <c r="Z2757" s="232">
        <v>0</v>
      </c>
      <c r="AA2757" s="30">
        <v>0</v>
      </c>
      <c r="AB2757" s="30">
        <v>0</v>
      </c>
      <c r="AC2757" s="30">
        <v>0</v>
      </c>
      <c r="AD2757" s="30">
        <v>0</v>
      </c>
      <c r="AE2757" s="72" t="s">
        <v>92</v>
      </c>
      <c r="AF2757" s="72"/>
      <c r="AG2757" s="72" t="s">
        <v>1507</v>
      </c>
      <c r="AH2757" s="72">
        <v>43356</v>
      </c>
      <c r="AI2757" s="30">
        <v>1</v>
      </c>
      <c r="AJ2757" s="72" t="s">
        <v>15571</v>
      </c>
      <c r="AK2757" s="72" t="s">
        <v>15572</v>
      </c>
      <c r="AL2757" s="70">
        <v>43357</v>
      </c>
      <c r="AM2757" s="70"/>
      <c r="AN2757" s="70"/>
      <c r="AO2757" s="70"/>
      <c r="AP2757" s="73" t="e">
        <f>MID(VLOOKUP(K2757,#REF!,2,FALSE),1,2)</f>
        <v>#REF!</v>
      </c>
      <c r="AQ2757" s="72">
        <f>DATE(2018,9,11)</f>
        <v>43354</v>
      </c>
      <c r="AR2757" s="82">
        <f t="shared" si="233"/>
        <v>11</v>
      </c>
      <c r="AS2757" s="83">
        <f t="shared" si="234"/>
        <v>9</v>
      </c>
      <c r="AT2757" s="84">
        <f t="shared" si="235"/>
        <v>2018</v>
      </c>
      <c r="AU2757" s="86"/>
      <c r="AV2757" s="86"/>
      <c r="AW2757" s="87">
        <f t="shared" si="236"/>
        <v>0</v>
      </c>
      <c r="AX2757" s="86"/>
      <c r="AY2757" s="83"/>
      <c r="AZ2757" s="84"/>
      <c r="BA2757" s="86"/>
      <c r="BB2757" s="86"/>
    </row>
    <row r="2758" spans="1:54" ht="36.75" customHeight="1">
      <c r="A2758" s="30"/>
      <c r="B2758" s="30" t="s">
        <v>55</v>
      </c>
      <c r="C2758" s="69" t="str">
        <f t="shared" si="237"/>
        <v>Closed</v>
      </c>
      <c r="D2758" s="27" t="s">
        <v>15573</v>
      </c>
      <c r="E2758" s="29" t="s">
        <v>15574</v>
      </c>
      <c r="F2758" s="30" t="s">
        <v>233</v>
      </c>
      <c r="G2758" s="72">
        <f>DATE(2018,9,11)</f>
        <v>43354</v>
      </c>
      <c r="H2758" s="80">
        <v>1.5069444444444444</v>
      </c>
      <c r="I2758" s="30" t="s">
        <v>278</v>
      </c>
      <c r="J2758" s="72" t="s">
        <v>15575</v>
      </c>
      <c r="K2758" s="30" t="s">
        <v>235</v>
      </c>
      <c r="L2758" s="30" t="s">
        <v>15576</v>
      </c>
      <c r="M2758" s="30" t="s">
        <v>255</v>
      </c>
      <c r="N2758" s="30" t="s">
        <v>142</v>
      </c>
      <c r="O2758" s="30" t="s">
        <v>86</v>
      </c>
      <c r="P2758" s="72" t="s">
        <v>6552</v>
      </c>
      <c r="Q2758" s="72" t="s">
        <v>718</v>
      </c>
      <c r="R2758" s="72" t="s">
        <v>235</v>
      </c>
      <c r="S2758" s="30">
        <v>0</v>
      </c>
      <c r="T2758" s="232">
        <v>0</v>
      </c>
      <c r="U2758" s="30">
        <v>1</v>
      </c>
      <c r="V2758" s="232">
        <v>0</v>
      </c>
      <c r="W2758" s="30">
        <v>0</v>
      </c>
      <c r="X2758" s="30">
        <v>1</v>
      </c>
      <c r="Y2758" s="30">
        <v>0</v>
      </c>
      <c r="Z2758" s="232">
        <v>0</v>
      </c>
      <c r="AA2758" s="30">
        <v>0</v>
      </c>
      <c r="AB2758" s="30">
        <v>0</v>
      </c>
      <c r="AC2758" s="30">
        <v>0</v>
      </c>
      <c r="AD2758" s="30">
        <v>0</v>
      </c>
      <c r="AE2758" s="72" t="s">
        <v>92</v>
      </c>
      <c r="AF2758" s="72"/>
      <c r="AG2758" s="72" t="s">
        <v>82</v>
      </c>
      <c r="AH2758" s="72">
        <v>43360</v>
      </c>
      <c r="AI2758" s="30">
        <v>4</v>
      </c>
      <c r="AJ2758" s="72" t="s">
        <v>15577</v>
      </c>
      <c r="AK2758" s="72" t="s">
        <v>15578</v>
      </c>
      <c r="AL2758" s="70">
        <v>43389</v>
      </c>
      <c r="AM2758" s="70"/>
      <c r="AN2758" s="70"/>
      <c r="AO2758" s="70"/>
      <c r="AP2758" s="73" t="e">
        <f>MID(VLOOKUP(K2758,#REF!,2,FALSE),1,2)</f>
        <v>#REF!</v>
      </c>
      <c r="AQ2758" s="72">
        <f>DATE(2018,11,9)</f>
        <v>43413</v>
      </c>
      <c r="AR2758" s="82">
        <f t="shared" si="233"/>
        <v>9</v>
      </c>
      <c r="AS2758" s="83">
        <f t="shared" si="234"/>
        <v>11</v>
      </c>
      <c r="AT2758" s="84">
        <f t="shared" si="235"/>
        <v>2018</v>
      </c>
      <c r="AU2758" s="86"/>
      <c r="AV2758" s="86"/>
      <c r="AW2758" s="87">
        <f t="shared" si="236"/>
        <v>0</v>
      </c>
      <c r="AX2758" s="86"/>
      <c r="AY2758" s="83"/>
      <c r="AZ2758" s="84"/>
      <c r="BA2758" s="86"/>
      <c r="BB2758" s="86"/>
    </row>
    <row r="2759" spans="1:54" ht="36.75" customHeight="1">
      <c r="A2759" s="30"/>
      <c r="B2759" s="30" t="s">
        <v>55</v>
      </c>
      <c r="C2759" s="69" t="str">
        <f t="shared" si="237"/>
        <v>Closed</v>
      </c>
      <c r="D2759" s="27" t="s">
        <v>15579</v>
      </c>
      <c r="E2759" s="29" t="s">
        <v>15580</v>
      </c>
      <c r="F2759" s="30" t="s">
        <v>197</v>
      </c>
      <c r="G2759" s="72">
        <f>DATE(2018,9,18)</f>
        <v>43361</v>
      </c>
      <c r="H2759" s="80">
        <v>1.3374999999999999</v>
      </c>
      <c r="I2759" s="30" t="s">
        <v>9026</v>
      </c>
      <c r="J2759" s="72" t="s">
        <v>15581</v>
      </c>
      <c r="K2759" s="30" t="s">
        <v>200</v>
      </c>
      <c r="L2759" s="30" t="s">
        <v>15582</v>
      </c>
      <c r="M2759" s="30" t="s">
        <v>63</v>
      </c>
      <c r="N2759" s="30" t="s">
        <v>99</v>
      </c>
      <c r="O2759" s="30" t="s">
        <v>64</v>
      </c>
      <c r="P2759" s="72" t="s">
        <v>165</v>
      </c>
      <c r="Q2759" s="72" t="s">
        <v>13190</v>
      </c>
      <c r="R2759" s="72" t="s">
        <v>15583</v>
      </c>
      <c r="S2759" s="30">
        <v>0</v>
      </c>
      <c r="T2759" s="232">
        <v>0</v>
      </c>
      <c r="U2759" s="30">
        <v>1</v>
      </c>
      <c r="V2759" s="232">
        <v>0</v>
      </c>
      <c r="W2759" s="30">
        <v>0</v>
      </c>
      <c r="X2759" s="30">
        <v>1</v>
      </c>
      <c r="Y2759" s="30">
        <v>0</v>
      </c>
      <c r="Z2759" s="232">
        <v>0</v>
      </c>
      <c r="AA2759" s="30">
        <v>10</v>
      </c>
      <c r="AB2759" s="30">
        <v>0</v>
      </c>
      <c r="AC2759" s="30">
        <v>0</v>
      </c>
      <c r="AD2759" s="30">
        <v>10</v>
      </c>
      <c r="AE2759" s="72" t="s">
        <v>92</v>
      </c>
      <c r="AF2759" s="72"/>
      <c r="AG2759" s="72" t="s">
        <v>589</v>
      </c>
      <c r="AH2759" s="72">
        <v>43371</v>
      </c>
      <c r="AI2759" s="30">
        <v>0</v>
      </c>
      <c r="AJ2759" s="72" t="s">
        <v>15584</v>
      </c>
      <c r="AK2759" s="72" t="s">
        <v>15585</v>
      </c>
      <c r="AL2759" s="70">
        <v>43371</v>
      </c>
      <c r="AM2759" s="70"/>
      <c r="AN2759" s="70"/>
      <c r="AO2759" s="70"/>
      <c r="AP2759" s="73" t="e">
        <f>MID(VLOOKUP(K2759,#REF!,2,FALSE),1,2)</f>
        <v>#REF!</v>
      </c>
      <c r="AQ2759" s="72">
        <f>DATE(2018,9,18)</f>
        <v>43361</v>
      </c>
      <c r="AR2759" s="82">
        <f t="shared" si="233"/>
        <v>18</v>
      </c>
      <c r="AS2759" s="83">
        <f t="shared" si="234"/>
        <v>9</v>
      </c>
      <c r="AT2759" s="84">
        <f t="shared" si="235"/>
        <v>2018</v>
      </c>
      <c r="AU2759" s="88">
        <f>DATE(2018,9,28)</f>
        <v>43371</v>
      </c>
      <c r="AV2759" s="88">
        <f>DATE(2018,9,28)</f>
        <v>43371</v>
      </c>
      <c r="AW2759" s="87">
        <f t="shared" si="236"/>
        <v>0</v>
      </c>
      <c r="AX2759" s="86"/>
      <c r="AY2759" s="83"/>
      <c r="AZ2759" s="84"/>
      <c r="BA2759" s="86"/>
      <c r="BB2759" s="86" t="s">
        <v>13115</v>
      </c>
    </row>
    <row r="2760" spans="1:54" ht="36.75" customHeight="1">
      <c r="A2760" s="30"/>
      <c r="B2760" s="30" t="s">
        <v>55</v>
      </c>
      <c r="C2760" s="69" t="str">
        <f t="shared" si="237"/>
        <v>Closed</v>
      </c>
      <c r="D2760" s="27" t="s">
        <v>15586</v>
      </c>
      <c r="E2760" s="29" t="s">
        <v>15587</v>
      </c>
      <c r="F2760" s="30" t="s">
        <v>423</v>
      </c>
      <c r="G2760" s="72">
        <f>DATE(2018,9,18)</f>
        <v>43361</v>
      </c>
      <c r="H2760" s="80">
        <v>1.336111111111111</v>
      </c>
      <c r="I2760" s="30" t="s">
        <v>116</v>
      </c>
      <c r="J2760" s="72" t="s">
        <v>15588</v>
      </c>
      <c r="K2760" s="30" t="s">
        <v>425</v>
      </c>
      <c r="L2760" s="30" t="s">
        <v>15589</v>
      </c>
      <c r="M2760" s="30" t="s">
        <v>63</v>
      </c>
      <c r="N2760" s="30" t="s">
        <v>99</v>
      </c>
      <c r="O2760" s="30" t="s">
        <v>77</v>
      </c>
      <c r="P2760" s="72" t="s">
        <v>165</v>
      </c>
      <c r="Q2760" s="72" t="s">
        <v>4551</v>
      </c>
      <c r="R2760" s="72" t="s">
        <v>3103</v>
      </c>
      <c r="S2760" s="30">
        <v>0</v>
      </c>
      <c r="T2760" s="232">
        <v>0</v>
      </c>
      <c r="U2760" s="30">
        <v>0</v>
      </c>
      <c r="V2760" s="232">
        <v>0</v>
      </c>
      <c r="W2760" s="30">
        <v>0</v>
      </c>
      <c r="X2760" s="30">
        <v>0</v>
      </c>
      <c r="Y2760" s="30">
        <v>0</v>
      </c>
      <c r="Z2760" s="232">
        <v>0</v>
      </c>
      <c r="AA2760" s="30">
        <v>0</v>
      </c>
      <c r="AB2760" s="30">
        <v>0</v>
      </c>
      <c r="AC2760" s="30">
        <v>0</v>
      </c>
      <c r="AD2760" s="30">
        <v>0</v>
      </c>
      <c r="AE2760" s="72" t="s">
        <v>92</v>
      </c>
      <c r="AF2760" s="72"/>
      <c r="AG2760" s="72" t="s">
        <v>874</v>
      </c>
      <c r="AH2760" s="72">
        <v>43362</v>
      </c>
      <c r="AI2760" s="30">
        <v>1</v>
      </c>
      <c r="AJ2760" s="72" t="s">
        <v>15590</v>
      </c>
      <c r="AK2760" s="72" t="s">
        <v>15591</v>
      </c>
      <c r="AL2760" s="70">
        <v>43362</v>
      </c>
      <c r="AM2760" s="70"/>
      <c r="AN2760" s="70"/>
      <c r="AO2760" s="70"/>
      <c r="AP2760" s="73" t="e">
        <f>MID(VLOOKUP(K2760,#REF!,2,FALSE),1,2)</f>
        <v>#REF!</v>
      </c>
      <c r="AQ2760" s="72">
        <f>DATE(2018,9,18)</f>
        <v>43361</v>
      </c>
      <c r="AR2760" s="82">
        <f t="shared" si="233"/>
        <v>18</v>
      </c>
      <c r="AS2760" s="83">
        <f t="shared" si="234"/>
        <v>9</v>
      </c>
      <c r="AT2760" s="84">
        <f t="shared" si="235"/>
        <v>2018</v>
      </c>
      <c r="AU2760" s="88">
        <f>DATE(2018,9,19)</f>
        <v>43362</v>
      </c>
      <c r="AV2760" s="88">
        <f>DATE(2018,9,19)</f>
        <v>43362</v>
      </c>
      <c r="AW2760" s="87">
        <f t="shared" si="236"/>
        <v>0</v>
      </c>
      <c r="AX2760" s="86"/>
      <c r="AY2760" s="83"/>
      <c r="AZ2760" s="84"/>
      <c r="BA2760" s="86"/>
      <c r="BB2760" s="86" t="s">
        <v>13115</v>
      </c>
    </row>
    <row r="2761" spans="1:54" ht="36.75" customHeight="1">
      <c r="A2761" s="30"/>
      <c r="B2761" s="30" t="s">
        <v>55</v>
      </c>
      <c r="C2761" s="69" t="str">
        <f t="shared" si="237"/>
        <v>Closed</v>
      </c>
      <c r="D2761" s="27" t="s">
        <v>15592</v>
      </c>
      <c r="E2761" s="29" t="s">
        <v>15593</v>
      </c>
      <c r="F2761" s="30" t="s">
        <v>835</v>
      </c>
      <c r="G2761" s="72">
        <f>DATE(2018,9,18)</f>
        <v>43361</v>
      </c>
      <c r="H2761" s="80">
        <v>1.6701388888888888</v>
      </c>
      <c r="I2761" s="30" t="s">
        <v>5494</v>
      </c>
      <c r="J2761" s="72" t="s">
        <v>15594</v>
      </c>
      <c r="K2761" s="30" t="s">
        <v>837</v>
      </c>
      <c r="L2761" s="30" t="s">
        <v>15595</v>
      </c>
      <c r="M2761" s="30" t="s">
        <v>63</v>
      </c>
      <c r="N2761" s="30" t="s">
        <v>99</v>
      </c>
      <c r="O2761" s="30" t="s">
        <v>77</v>
      </c>
      <c r="P2761" s="72" t="s">
        <v>165</v>
      </c>
      <c r="Q2761" s="72" t="s">
        <v>2162</v>
      </c>
      <c r="R2761" s="72" t="s">
        <v>840</v>
      </c>
      <c r="S2761" s="30">
        <v>0</v>
      </c>
      <c r="T2761" s="232">
        <v>0</v>
      </c>
      <c r="U2761" s="30">
        <v>0</v>
      </c>
      <c r="V2761" s="232">
        <v>0</v>
      </c>
      <c r="W2761" s="30">
        <v>0</v>
      </c>
      <c r="X2761" s="30">
        <v>0</v>
      </c>
      <c r="Y2761" s="30">
        <v>0</v>
      </c>
      <c r="Z2761" s="232">
        <v>0</v>
      </c>
      <c r="AA2761" s="30">
        <v>0</v>
      </c>
      <c r="AB2761" s="30">
        <v>0</v>
      </c>
      <c r="AC2761" s="30">
        <v>0</v>
      </c>
      <c r="AD2761" s="30">
        <v>0</v>
      </c>
      <c r="AE2761" s="72" t="s">
        <v>92</v>
      </c>
      <c r="AF2761" s="72"/>
      <c r="AG2761" s="72" t="s">
        <v>352</v>
      </c>
      <c r="AH2761" s="72">
        <v>43399</v>
      </c>
      <c r="AI2761" s="30">
        <v>0</v>
      </c>
      <c r="AJ2761" s="72" t="s">
        <v>15596</v>
      </c>
      <c r="AK2761" s="72" t="s">
        <v>15597</v>
      </c>
      <c r="AL2761" s="70">
        <v>43426</v>
      </c>
      <c r="AM2761" s="70"/>
      <c r="AN2761" s="70"/>
      <c r="AO2761" s="70"/>
      <c r="AP2761" s="73" t="e">
        <f>MID(VLOOKUP(K2761,#REF!,2,FALSE),1,2)</f>
        <v>#REF!</v>
      </c>
      <c r="AQ2761" s="72">
        <f>DATE(2018,9,18)</f>
        <v>43361</v>
      </c>
      <c r="AR2761" s="82">
        <f t="shared" si="233"/>
        <v>18</v>
      </c>
      <c r="AS2761" s="84">
        <f t="shared" si="234"/>
        <v>9</v>
      </c>
      <c r="AT2761" s="104">
        <f t="shared" si="235"/>
        <v>2018</v>
      </c>
      <c r="AU2761" s="86"/>
      <c r="AV2761" s="87"/>
      <c r="AW2761" s="86"/>
      <c r="AX2761" s="82"/>
      <c r="AY2761" s="84"/>
      <c r="AZ2761" s="104"/>
      <c r="BA2761" s="86"/>
      <c r="BB2761" s="86"/>
    </row>
    <row r="2762" spans="1:54" ht="36.75" customHeight="1">
      <c r="A2762" s="30"/>
      <c r="B2762" s="30" t="s">
        <v>2124</v>
      </c>
      <c r="C2762" s="69" t="str">
        <f t="shared" si="237"/>
        <v>Open</v>
      </c>
      <c r="D2762" s="27" t="s">
        <v>15598</v>
      </c>
      <c r="E2762" s="29" t="s">
        <v>15599</v>
      </c>
      <c r="F2762" s="30" t="s">
        <v>13439</v>
      </c>
      <c r="G2762" s="72">
        <f>DATE(2018,9,19)</f>
        <v>43362</v>
      </c>
      <c r="H2762" s="80">
        <v>1.1805555555555556</v>
      </c>
      <c r="I2762" s="30" t="s">
        <v>5494</v>
      </c>
      <c r="J2762" s="72" t="s">
        <v>15600</v>
      </c>
      <c r="K2762" s="30" t="s">
        <v>13441</v>
      </c>
      <c r="L2762" s="30" t="s">
        <v>15601</v>
      </c>
      <c r="M2762" s="30" t="s">
        <v>63</v>
      </c>
      <c r="N2762" s="30" t="s">
        <v>142</v>
      </c>
      <c r="O2762" s="30" t="s">
        <v>64</v>
      </c>
      <c r="P2762" s="72" t="s">
        <v>78</v>
      </c>
      <c r="Q2762" s="72" t="s">
        <v>15602</v>
      </c>
      <c r="R2762" s="72" t="s">
        <v>13444</v>
      </c>
      <c r="S2762" s="30">
        <v>0</v>
      </c>
      <c r="T2762" s="232">
        <v>0</v>
      </c>
      <c r="U2762" s="30">
        <v>0</v>
      </c>
      <c r="V2762" s="232">
        <v>0</v>
      </c>
      <c r="W2762" s="30">
        <v>0</v>
      </c>
      <c r="X2762" s="30">
        <v>0</v>
      </c>
      <c r="Y2762" s="30">
        <v>0</v>
      </c>
      <c r="Z2762" s="232">
        <v>0</v>
      </c>
      <c r="AA2762" s="30">
        <v>0</v>
      </c>
      <c r="AB2762" s="30">
        <v>0</v>
      </c>
      <c r="AC2762" s="30">
        <v>0</v>
      </c>
      <c r="AD2762" s="30">
        <v>0</v>
      </c>
      <c r="AE2762" s="72" t="s">
        <v>92</v>
      </c>
      <c r="AF2762" s="72"/>
      <c r="AG2762" s="72" t="s">
        <v>82</v>
      </c>
      <c r="AH2762" s="72">
        <v>43368</v>
      </c>
      <c r="AI2762" s="30">
        <v>0</v>
      </c>
      <c r="AJ2762" s="72" t="s">
        <v>15603</v>
      </c>
      <c r="AK2762" s="72" t="s">
        <v>68</v>
      </c>
      <c r="AL2762" s="70">
        <v>43389</v>
      </c>
      <c r="AM2762" s="70"/>
      <c r="AN2762" s="70"/>
      <c r="AO2762" s="70"/>
      <c r="AP2762" s="73" t="e">
        <f>MID(VLOOKUP(K2762,#REF!,2,FALSE),1,2)</f>
        <v>#REF!</v>
      </c>
      <c r="AQ2762" s="72">
        <f>DATE(2018,9,19)</f>
        <v>43362</v>
      </c>
      <c r="AR2762" s="82">
        <f t="shared" si="233"/>
        <v>19</v>
      </c>
      <c r="AS2762" s="83">
        <f t="shared" si="234"/>
        <v>9</v>
      </c>
      <c r="AT2762" s="84">
        <f t="shared" si="235"/>
        <v>2018</v>
      </c>
      <c r="AU2762" s="86"/>
      <c r="AV2762" s="86"/>
      <c r="AW2762" s="87">
        <f t="shared" ref="AW2762:AW2773" si="238">AU2762-AV2762</f>
        <v>0</v>
      </c>
      <c r="AX2762" s="86"/>
      <c r="AY2762" s="83"/>
      <c r="AZ2762" s="84"/>
      <c r="BA2762" s="86"/>
      <c r="BB2762" s="86"/>
    </row>
    <row r="2763" spans="1:54" ht="36.75" customHeight="1">
      <c r="A2763" s="30"/>
      <c r="B2763" s="30" t="s">
        <v>55</v>
      </c>
      <c r="C2763" s="69" t="str">
        <f t="shared" si="237"/>
        <v>Closed</v>
      </c>
      <c r="D2763" s="27" t="s">
        <v>15604</v>
      </c>
      <c r="E2763" s="29" t="s">
        <v>15605</v>
      </c>
      <c r="F2763" s="30" t="s">
        <v>233</v>
      </c>
      <c r="G2763" s="72">
        <f>DATE(2018,9,19)</f>
        <v>43362</v>
      </c>
      <c r="H2763" s="80">
        <v>1.10625</v>
      </c>
      <c r="I2763" s="30" t="s">
        <v>198</v>
      </c>
      <c r="J2763" s="72" t="s">
        <v>15606</v>
      </c>
      <c r="K2763" s="30" t="s">
        <v>235</v>
      </c>
      <c r="L2763" s="30" t="s">
        <v>15607</v>
      </c>
      <c r="M2763" s="30" t="s">
        <v>63</v>
      </c>
      <c r="N2763" s="30" t="s">
        <v>142</v>
      </c>
      <c r="O2763" s="30" t="s">
        <v>64</v>
      </c>
      <c r="P2763" s="72" t="s">
        <v>301</v>
      </c>
      <c r="Q2763" s="72" t="s">
        <v>718</v>
      </c>
      <c r="R2763" s="72" t="s">
        <v>235</v>
      </c>
      <c r="S2763" s="30">
        <v>0</v>
      </c>
      <c r="T2763" s="232">
        <v>0</v>
      </c>
      <c r="U2763" s="30">
        <v>0</v>
      </c>
      <c r="V2763" s="232">
        <v>0</v>
      </c>
      <c r="W2763" s="30">
        <v>0</v>
      </c>
      <c r="X2763" s="30">
        <v>0</v>
      </c>
      <c r="Y2763" s="30">
        <v>0</v>
      </c>
      <c r="Z2763" s="232">
        <v>2</v>
      </c>
      <c r="AA2763" s="30">
        <v>0</v>
      </c>
      <c r="AB2763" s="30">
        <v>0</v>
      </c>
      <c r="AC2763" s="30">
        <v>0</v>
      </c>
      <c r="AD2763" s="30">
        <v>2</v>
      </c>
      <c r="AE2763" s="72" t="s">
        <v>92</v>
      </c>
      <c r="AF2763" s="72"/>
      <c r="AG2763" s="72" t="s">
        <v>133</v>
      </c>
      <c r="AH2763" s="72">
        <v>43367</v>
      </c>
      <c r="AI2763" s="30">
        <v>2</v>
      </c>
      <c r="AJ2763" s="72" t="s">
        <v>15608</v>
      </c>
      <c r="AK2763" s="72" t="s">
        <v>15609</v>
      </c>
      <c r="AL2763" s="70">
        <v>43409</v>
      </c>
      <c r="AM2763" s="70"/>
      <c r="AN2763" s="70"/>
      <c r="AO2763" s="70"/>
      <c r="AP2763" s="73" t="e">
        <f>MID(VLOOKUP(K2763,#REF!,2,FALSE),1,2)</f>
        <v>#REF!</v>
      </c>
      <c r="AQ2763" s="72">
        <f>DATE(2018,9,19)</f>
        <v>43362</v>
      </c>
      <c r="AR2763" s="82">
        <f t="shared" si="233"/>
        <v>19</v>
      </c>
      <c r="AS2763" s="83">
        <f t="shared" si="234"/>
        <v>9</v>
      </c>
      <c r="AT2763" s="84">
        <f t="shared" si="235"/>
        <v>2018</v>
      </c>
      <c r="AU2763" s="86"/>
      <c r="AV2763" s="86"/>
      <c r="AW2763" s="87">
        <f t="shared" si="238"/>
        <v>0</v>
      </c>
      <c r="AX2763" s="86"/>
      <c r="AY2763" s="83"/>
      <c r="AZ2763" s="84"/>
      <c r="BA2763" s="86"/>
      <c r="BB2763" s="86"/>
    </row>
    <row r="2764" spans="1:54" ht="36.75" customHeight="1">
      <c r="A2764" s="30"/>
      <c r="B2764" s="30" t="s">
        <v>55</v>
      </c>
      <c r="C2764" s="69" t="str">
        <f t="shared" si="237"/>
        <v>Closed</v>
      </c>
      <c r="D2764" s="27" t="s">
        <v>15610</v>
      </c>
      <c r="E2764" s="29" t="s">
        <v>15611</v>
      </c>
      <c r="F2764" s="30" t="s">
        <v>423</v>
      </c>
      <c r="G2764" s="72">
        <f>DATE(2018,9,21)</f>
        <v>43364</v>
      </c>
      <c r="H2764" s="80">
        <v>1.3104166666666668</v>
      </c>
      <c r="I2764" s="30" t="s">
        <v>2078</v>
      </c>
      <c r="J2764" s="72" t="s">
        <v>15612</v>
      </c>
      <c r="K2764" s="30" t="s">
        <v>425</v>
      </c>
      <c r="L2764" s="30" t="s">
        <v>15613</v>
      </c>
      <c r="M2764" s="30" t="s">
        <v>63</v>
      </c>
      <c r="N2764" s="30" t="s">
        <v>142</v>
      </c>
      <c r="O2764" s="30" t="s">
        <v>77</v>
      </c>
      <c r="P2764" s="72" t="s">
        <v>5845</v>
      </c>
      <c r="Q2764" s="72" t="s">
        <v>10689</v>
      </c>
      <c r="R2764" s="72" t="s">
        <v>3103</v>
      </c>
      <c r="S2764" s="30">
        <v>0</v>
      </c>
      <c r="T2764" s="232">
        <v>0</v>
      </c>
      <c r="U2764" s="30">
        <v>0</v>
      </c>
      <c r="V2764" s="232">
        <v>0</v>
      </c>
      <c r="W2764" s="30">
        <v>0</v>
      </c>
      <c r="X2764" s="30">
        <v>0</v>
      </c>
      <c r="Y2764" s="30">
        <v>0</v>
      </c>
      <c r="Z2764" s="232">
        <v>0</v>
      </c>
      <c r="AA2764" s="30">
        <v>0</v>
      </c>
      <c r="AB2764" s="30">
        <v>0</v>
      </c>
      <c r="AC2764" s="30">
        <v>0</v>
      </c>
      <c r="AD2764" s="30">
        <v>0</v>
      </c>
      <c r="AE2764" s="72" t="s">
        <v>92</v>
      </c>
      <c r="AF2764" s="72"/>
      <c r="AG2764" s="72" t="s">
        <v>874</v>
      </c>
      <c r="AH2764" s="72">
        <v>43364</v>
      </c>
      <c r="AI2764" s="30">
        <v>0</v>
      </c>
      <c r="AJ2764" s="72" t="s">
        <v>15614</v>
      </c>
      <c r="AK2764" s="72" t="s">
        <v>15615</v>
      </c>
      <c r="AL2764" s="70">
        <v>43367</v>
      </c>
      <c r="AM2764" s="70"/>
      <c r="AN2764" s="70"/>
      <c r="AO2764" s="70"/>
      <c r="AP2764" s="73" t="e">
        <f>MID(VLOOKUP(K2764,#REF!,2,FALSE),1,2)</f>
        <v>#REF!</v>
      </c>
      <c r="AQ2764" s="72">
        <f>DATE(2018,9,21)</f>
        <v>43364</v>
      </c>
      <c r="AR2764" s="82">
        <f t="shared" si="233"/>
        <v>21</v>
      </c>
      <c r="AS2764" s="83">
        <f t="shared" si="234"/>
        <v>9</v>
      </c>
      <c r="AT2764" s="84">
        <f t="shared" si="235"/>
        <v>2018</v>
      </c>
      <c r="AU2764" s="88">
        <f>DATE(2018,9,24)</f>
        <v>43367</v>
      </c>
      <c r="AV2764" s="88">
        <f>DATE(2018,9,21)</f>
        <v>43364</v>
      </c>
      <c r="AW2764" s="87">
        <f t="shared" si="238"/>
        <v>3</v>
      </c>
      <c r="AX2764" s="86"/>
      <c r="AY2764" s="83"/>
      <c r="AZ2764" s="84"/>
      <c r="BA2764" s="86"/>
      <c r="BB2764" s="86" t="s">
        <v>13115</v>
      </c>
    </row>
    <row r="2765" spans="1:54" ht="36.75" customHeight="1">
      <c r="A2765" s="30"/>
      <c r="B2765" s="30" t="s">
        <v>55</v>
      </c>
      <c r="C2765" s="69" t="str">
        <f t="shared" si="237"/>
        <v>Closed</v>
      </c>
      <c r="D2765" s="27" t="s">
        <v>15616</v>
      </c>
      <c r="E2765" s="29" t="s">
        <v>15617</v>
      </c>
      <c r="F2765" s="30" t="s">
        <v>423</v>
      </c>
      <c r="G2765" s="72">
        <f>DATE(2018,9,21)</f>
        <v>43364</v>
      </c>
      <c r="H2765" s="80">
        <v>1.8013888888888889</v>
      </c>
      <c r="I2765" s="30" t="s">
        <v>156</v>
      </c>
      <c r="J2765" s="72" t="s">
        <v>15618</v>
      </c>
      <c r="K2765" s="30" t="s">
        <v>425</v>
      </c>
      <c r="L2765" s="30" t="s">
        <v>15619</v>
      </c>
      <c r="M2765" s="30" t="s">
        <v>63</v>
      </c>
      <c r="N2765" s="30" t="s">
        <v>99</v>
      </c>
      <c r="O2765" s="30" t="s">
        <v>64</v>
      </c>
      <c r="P2765" s="72" t="s">
        <v>165</v>
      </c>
      <c r="Q2765" s="72" t="s">
        <v>4551</v>
      </c>
      <c r="R2765" s="72" t="s">
        <v>3103</v>
      </c>
      <c r="S2765" s="30">
        <v>0</v>
      </c>
      <c r="T2765" s="232">
        <v>0</v>
      </c>
      <c r="U2765" s="30">
        <v>0</v>
      </c>
      <c r="V2765" s="232">
        <v>0</v>
      </c>
      <c r="W2765" s="30">
        <v>0</v>
      </c>
      <c r="X2765" s="30">
        <v>0</v>
      </c>
      <c r="Y2765" s="30">
        <v>0</v>
      </c>
      <c r="Z2765" s="232">
        <v>0</v>
      </c>
      <c r="AA2765" s="30">
        <v>0</v>
      </c>
      <c r="AB2765" s="30">
        <v>0</v>
      </c>
      <c r="AC2765" s="30">
        <v>0</v>
      </c>
      <c r="AD2765" s="30">
        <v>0</v>
      </c>
      <c r="AE2765" s="72" t="s">
        <v>92</v>
      </c>
      <c r="AF2765" s="72"/>
      <c r="AG2765" s="72" t="s">
        <v>874</v>
      </c>
      <c r="AH2765" s="72">
        <v>43364</v>
      </c>
      <c r="AI2765" s="30">
        <v>1</v>
      </c>
      <c r="AJ2765" s="72" t="s">
        <v>15620</v>
      </c>
      <c r="AK2765" s="72" t="s">
        <v>14001</v>
      </c>
      <c r="AL2765" s="70">
        <v>43367</v>
      </c>
      <c r="AM2765" s="70"/>
      <c r="AN2765" s="70"/>
      <c r="AO2765" s="70"/>
      <c r="AP2765" s="73" t="e">
        <f>MID(VLOOKUP(K2765,#REF!,2,FALSE),1,2)</f>
        <v>#REF!</v>
      </c>
      <c r="AQ2765" s="72">
        <f>DATE(2018,9,21)</f>
        <v>43364</v>
      </c>
      <c r="AR2765" s="82">
        <f t="shared" si="233"/>
        <v>21</v>
      </c>
      <c r="AS2765" s="83">
        <f t="shared" si="234"/>
        <v>9</v>
      </c>
      <c r="AT2765" s="84">
        <f t="shared" si="235"/>
        <v>2018</v>
      </c>
      <c r="AU2765" s="88">
        <f>DATE(2018,9,7)</f>
        <v>43350</v>
      </c>
      <c r="AV2765" s="88">
        <f>DATE(2018,7,18)</f>
        <v>43299</v>
      </c>
      <c r="AW2765" s="87">
        <f t="shared" si="238"/>
        <v>51</v>
      </c>
      <c r="AX2765" s="86"/>
      <c r="AY2765" s="83"/>
      <c r="AZ2765" s="84"/>
      <c r="BA2765" s="86"/>
      <c r="BB2765" s="86"/>
    </row>
    <row r="2766" spans="1:54" ht="36.75" customHeight="1">
      <c r="A2766" s="30"/>
      <c r="B2766" s="30" t="s">
        <v>55</v>
      </c>
      <c r="C2766" s="69" t="str">
        <f t="shared" si="237"/>
        <v>Closed</v>
      </c>
      <c r="D2766" s="27" t="s">
        <v>15621</v>
      </c>
      <c r="E2766" s="29" t="s">
        <v>15622</v>
      </c>
      <c r="F2766" s="30" t="s">
        <v>423</v>
      </c>
      <c r="G2766" s="72">
        <f>DATE(2018,9,21)</f>
        <v>43364</v>
      </c>
      <c r="H2766" s="80">
        <v>1.8986111111111112</v>
      </c>
      <c r="I2766" s="30" t="s">
        <v>198</v>
      </c>
      <c r="J2766" s="72" t="s">
        <v>15623</v>
      </c>
      <c r="K2766" s="30" t="s">
        <v>425</v>
      </c>
      <c r="L2766" s="30" t="s">
        <v>15624</v>
      </c>
      <c r="M2766" s="30" t="s">
        <v>63</v>
      </c>
      <c r="N2766" s="30" t="s">
        <v>142</v>
      </c>
      <c r="O2766" s="30" t="s">
        <v>77</v>
      </c>
      <c r="P2766" s="72" t="s">
        <v>15625</v>
      </c>
      <c r="Q2766" s="72" t="s">
        <v>4551</v>
      </c>
      <c r="R2766" s="72" t="s">
        <v>3103</v>
      </c>
      <c r="S2766" s="30">
        <v>0</v>
      </c>
      <c r="T2766" s="232">
        <v>0</v>
      </c>
      <c r="U2766" s="30">
        <v>0</v>
      </c>
      <c r="V2766" s="232">
        <v>0</v>
      </c>
      <c r="W2766" s="30">
        <v>0</v>
      </c>
      <c r="X2766" s="30">
        <v>0</v>
      </c>
      <c r="Y2766" s="30">
        <v>0</v>
      </c>
      <c r="Z2766" s="232">
        <v>2</v>
      </c>
      <c r="AA2766" s="30">
        <v>0</v>
      </c>
      <c r="AB2766" s="30">
        <v>0</v>
      </c>
      <c r="AC2766" s="30">
        <v>0</v>
      </c>
      <c r="AD2766" s="30">
        <v>2</v>
      </c>
      <c r="AE2766" s="72" t="s">
        <v>92</v>
      </c>
      <c r="AF2766" s="72"/>
      <c r="AG2766" s="72" t="s">
        <v>133</v>
      </c>
      <c r="AH2766" s="72">
        <v>43364</v>
      </c>
      <c r="AI2766" s="30">
        <v>0</v>
      </c>
      <c r="AJ2766" s="72" t="s">
        <v>15626</v>
      </c>
      <c r="AK2766" s="72" t="s">
        <v>15627</v>
      </c>
      <c r="AL2766" s="70">
        <v>43367</v>
      </c>
      <c r="AM2766" s="70"/>
      <c r="AN2766" s="70"/>
      <c r="AO2766" s="70"/>
      <c r="AP2766" s="73" t="e">
        <f>MID(VLOOKUP(K2766,#REF!,2,FALSE),1,2)</f>
        <v>#REF!</v>
      </c>
      <c r="AQ2766" s="72">
        <f>DATE(2018,9,21)</f>
        <v>43364</v>
      </c>
      <c r="AR2766" s="82">
        <f t="shared" si="233"/>
        <v>21</v>
      </c>
      <c r="AS2766" s="83">
        <f t="shared" si="234"/>
        <v>9</v>
      </c>
      <c r="AT2766" s="84">
        <f t="shared" si="235"/>
        <v>2018</v>
      </c>
      <c r="AU2766" s="88">
        <f>DATE(2018,9,24)</f>
        <v>43367</v>
      </c>
      <c r="AV2766" s="88">
        <f>DATE(2018,9,21)</f>
        <v>43364</v>
      </c>
      <c r="AW2766" s="87">
        <f t="shared" si="238"/>
        <v>3</v>
      </c>
      <c r="AX2766" s="86"/>
      <c r="AY2766" s="83"/>
      <c r="AZ2766" s="84"/>
      <c r="BA2766" s="86"/>
      <c r="BB2766" s="86"/>
    </row>
    <row r="2767" spans="1:54" ht="36.75" customHeight="1">
      <c r="A2767" s="30"/>
      <c r="B2767" s="30" t="s">
        <v>55</v>
      </c>
      <c r="C2767" s="69" t="str">
        <f t="shared" si="237"/>
        <v>Closed</v>
      </c>
      <c r="D2767" s="27" t="s">
        <v>15628</v>
      </c>
      <c r="E2767" s="29" t="s">
        <v>15629</v>
      </c>
      <c r="F2767" s="30" t="s">
        <v>1572</v>
      </c>
      <c r="G2767" s="72">
        <f>DATE(2018,9,21)</f>
        <v>43364</v>
      </c>
      <c r="H2767" s="80">
        <v>1.90625</v>
      </c>
      <c r="I2767" s="30" t="s">
        <v>73</v>
      </c>
      <c r="J2767" s="72" t="s">
        <v>15630</v>
      </c>
      <c r="K2767" s="30" t="s">
        <v>1574</v>
      </c>
      <c r="L2767" s="30" t="s">
        <v>15631</v>
      </c>
      <c r="M2767" s="30" t="s">
        <v>63</v>
      </c>
      <c r="N2767" s="30" t="s">
        <v>142</v>
      </c>
      <c r="O2767" s="30" t="s">
        <v>64</v>
      </c>
      <c r="P2767" s="72" t="s">
        <v>78</v>
      </c>
      <c r="Q2767" s="72" t="s">
        <v>15570</v>
      </c>
      <c r="R2767" s="72" t="s">
        <v>6434</v>
      </c>
      <c r="S2767" s="30">
        <v>0</v>
      </c>
      <c r="T2767" s="232">
        <v>0</v>
      </c>
      <c r="U2767" s="30">
        <v>0</v>
      </c>
      <c r="V2767" s="232">
        <v>0</v>
      </c>
      <c r="W2767" s="30">
        <v>0</v>
      </c>
      <c r="X2767" s="30">
        <v>0</v>
      </c>
      <c r="Y2767" s="30">
        <v>0</v>
      </c>
      <c r="Z2767" s="232">
        <v>0</v>
      </c>
      <c r="AA2767" s="30">
        <v>0</v>
      </c>
      <c r="AB2767" s="30">
        <v>0</v>
      </c>
      <c r="AC2767" s="30">
        <v>0</v>
      </c>
      <c r="AD2767" s="30">
        <v>0</v>
      </c>
      <c r="AE2767" s="72" t="s">
        <v>394</v>
      </c>
      <c r="AF2767" s="72"/>
      <c r="AG2767" s="72" t="s">
        <v>133</v>
      </c>
      <c r="AH2767" s="72">
        <v>43367</v>
      </c>
      <c r="AI2767" s="30">
        <v>1</v>
      </c>
      <c r="AJ2767" s="72" t="s">
        <v>15632</v>
      </c>
      <c r="AK2767" s="72" t="s">
        <v>15633</v>
      </c>
      <c r="AL2767" s="70">
        <v>43368</v>
      </c>
      <c r="AM2767" s="70"/>
      <c r="AN2767" s="70"/>
      <c r="AO2767" s="70"/>
      <c r="AP2767" s="73" t="e">
        <f>MID(VLOOKUP(K2767,#REF!,2,FALSE),1,2)</f>
        <v>#REF!</v>
      </c>
      <c r="AQ2767" s="72">
        <f>DATE(2018,9,21)</f>
        <v>43364</v>
      </c>
      <c r="AR2767" s="82">
        <f t="shared" si="233"/>
        <v>21</v>
      </c>
      <c r="AS2767" s="83">
        <f t="shared" si="234"/>
        <v>9</v>
      </c>
      <c r="AT2767" s="84">
        <f t="shared" si="235"/>
        <v>2018</v>
      </c>
      <c r="AU2767" s="86"/>
      <c r="AV2767" s="86"/>
      <c r="AW2767" s="87">
        <f t="shared" si="238"/>
        <v>0</v>
      </c>
      <c r="AX2767" s="86"/>
      <c r="AY2767" s="83"/>
      <c r="AZ2767" s="84"/>
      <c r="BA2767" s="86"/>
      <c r="BB2767" s="86"/>
    </row>
    <row r="2768" spans="1:54" ht="36.75" customHeight="1">
      <c r="A2768" s="30"/>
      <c r="B2768" s="30" t="s">
        <v>55</v>
      </c>
      <c r="C2768" s="69" t="str">
        <f t="shared" si="237"/>
        <v>Closed</v>
      </c>
      <c r="D2768" s="27" t="s">
        <v>15634</v>
      </c>
      <c r="E2768" s="29" t="s">
        <v>15635</v>
      </c>
      <c r="F2768" s="30" t="s">
        <v>423</v>
      </c>
      <c r="G2768" s="72">
        <f>DATE(2018,9,24)</f>
        <v>43367</v>
      </c>
      <c r="H2768" s="80">
        <v>1.6902777777777778</v>
      </c>
      <c r="I2768" s="30" t="s">
        <v>73</v>
      </c>
      <c r="J2768" s="72" t="s">
        <v>15636</v>
      </c>
      <c r="K2768" s="30" t="s">
        <v>425</v>
      </c>
      <c r="L2768" s="30" t="s">
        <v>15637</v>
      </c>
      <c r="M2768" s="30" t="s">
        <v>63</v>
      </c>
      <c r="N2768" s="30" t="s">
        <v>99</v>
      </c>
      <c r="O2768" s="30" t="s">
        <v>64</v>
      </c>
      <c r="P2768" s="72" t="s">
        <v>78</v>
      </c>
      <c r="Q2768" s="72" t="s">
        <v>11865</v>
      </c>
      <c r="R2768" s="72" t="s">
        <v>3103</v>
      </c>
      <c r="S2768" s="30">
        <v>0</v>
      </c>
      <c r="T2768" s="232">
        <v>0</v>
      </c>
      <c r="U2768" s="30">
        <v>0</v>
      </c>
      <c r="V2768" s="232">
        <v>0</v>
      </c>
      <c r="W2768" s="30">
        <v>0</v>
      </c>
      <c r="X2768" s="30">
        <v>0</v>
      </c>
      <c r="Y2768" s="30">
        <v>0</v>
      </c>
      <c r="Z2768" s="232">
        <v>0</v>
      </c>
      <c r="AA2768" s="30">
        <v>0</v>
      </c>
      <c r="AB2768" s="30">
        <v>0</v>
      </c>
      <c r="AC2768" s="30">
        <v>0</v>
      </c>
      <c r="AD2768" s="30">
        <v>0</v>
      </c>
      <c r="AE2768" s="72" t="s">
        <v>92</v>
      </c>
      <c r="AF2768" s="72"/>
      <c r="AG2768" s="72" t="s">
        <v>352</v>
      </c>
      <c r="AH2768" s="72">
        <v>43367</v>
      </c>
      <c r="AI2768" s="30">
        <v>0</v>
      </c>
      <c r="AJ2768" s="72" t="s">
        <v>15638</v>
      </c>
      <c r="AK2768" s="72" t="s">
        <v>15639</v>
      </c>
      <c r="AL2768" s="70">
        <v>43369</v>
      </c>
      <c r="AM2768" s="70"/>
      <c r="AN2768" s="70"/>
      <c r="AO2768" s="70"/>
      <c r="AP2768" s="73" t="e">
        <f>MID(VLOOKUP(K2768,#REF!,2,FALSE),1,2)</f>
        <v>#REF!</v>
      </c>
      <c r="AQ2768" s="72">
        <f>DATE(2018,9,24)</f>
        <v>43367</v>
      </c>
      <c r="AR2768" s="82">
        <f t="shared" si="233"/>
        <v>24</v>
      </c>
      <c r="AS2768" s="83">
        <f t="shared" si="234"/>
        <v>9</v>
      </c>
      <c r="AT2768" s="84">
        <f t="shared" si="235"/>
        <v>2018</v>
      </c>
      <c r="AU2768" s="88">
        <f>DATE(2018,9,26)</f>
        <v>43369</v>
      </c>
      <c r="AV2768" s="88">
        <f>DATE(2018,9,24)</f>
        <v>43367</v>
      </c>
      <c r="AW2768" s="87">
        <f t="shared" si="238"/>
        <v>2</v>
      </c>
      <c r="AX2768" s="86"/>
      <c r="AY2768" s="83"/>
      <c r="AZ2768" s="84"/>
      <c r="BA2768" s="86"/>
      <c r="BB2768" s="86"/>
    </row>
    <row r="2769" spans="1:56" ht="36.75" customHeight="1">
      <c r="A2769" s="30"/>
      <c r="B2769" s="30" t="s">
        <v>55</v>
      </c>
      <c r="C2769" s="69" t="str">
        <f t="shared" si="237"/>
        <v>Closed</v>
      </c>
      <c r="D2769" s="27" t="s">
        <v>15640</v>
      </c>
      <c r="E2769" s="29" t="s">
        <v>15641</v>
      </c>
      <c r="F2769" s="30" t="s">
        <v>1572</v>
      </c>
      <c r="G2769" s="72">
        <f>DATE(2018,9,27)</f>
        <v>43370</v>
      </c>
      <c r="H2769" s="80">
        <v>1.9444444444444446</v>
      </c>
      <c r="I2769" s="30" t="s">
        <v>73</v>
      </c>
      <c r="J2769" s="72" t="s">
        <v>15642</v>
      </c>
      <c r="K2769" s="30" t="s">
        <v>1574</v>
      </c>
      <c r="L2769" s="30" t="s">
        <v>9074</v>
      </c>
      <c r="M2769" s="30" t="s">
        <v>63</v>
      </c>
      <c r="N2769" s="30" t="s">
        <v>142</v>
      </c>
      <c r="O2769" s="30" t="s">
        <v>77</v>
      </c>
      <c r="P2769" s="72" t="s">
        <v>78</v>
      </c>
      <c r="Q2769" s="72" t="s">
        <v>2655</v>
      </c>
      <c r="R2769" s="72" t="s">
        <v>6434</v>
      </c>
      <c r="S2769" s="30">
        <v>0</v>
      </c>
      <c r="T2769" s="232">
        <v>0</v>
      </c>
      <c r="U2769" s="30">
        <v>0</v>
      </c>
      <c r="V2769" s="232">
        <v>0</v>
      </c>
      <c r="W2769" s="30">
        <v>0</v>
      </c>
      <c r="X2769" s="30">
        <v>0</v>
      </c>
      <c r="Y2769" s="30">
        <v>0</v>
      </c>
      <c r="Z2769" s="232">
        <v>0</v>
      </c>
      <c r="AA2769" s="30">
        <v>0</v>
      </c>
      <c r="AB2769" s="30">
        <v>0</v>
      </c>
      <c r="AC2769" s="30">
        <v>0</v>
      </c>
      <c r="AD2769" s="30">
        <v>0</v>
      </c>
      <c r="AE2769" s="72" t="s">
        <v>92</v>
      </c>
      <c r="AF2769" s="72"/>
      <c r="AG2769" s="72" t="s">
        <v>133</v>
      </c>
      <c r="AH2769" s="72">
        <v>43371</v>
      </c>
      <c r="AI2769" s="30">
        <v>2</v>
      </c>
      <c r="AJ2769" s="72" t="s">
        <v>15643</v>
      </c>
      <c r="AK2769" s="72" t="s">
        <v>15644</v>
      </c>
      <c r="AL2769" s="70">
        <v>43378</v>
      </c>
      <c r="AM2769" s="70"/>
      <c r="AN2769" s="70"/>
      <c r="AO2769" s="70"/>
      <c r="AP2769" s="73" t="e">
        <f>MID(VLOOKUP(K2769,#REF!,2,FALSE),1,2)</f>
        <v>#REF!</v>
      </c>
      <c r="AQ2769" s="72">
        <f>DATE(2018,9,27)</f>
        <v>43370</v>
      </c>
      <c r="AR2769" s="82">
        <f t="shared" si="233"/>
        <v>27</v>
      </c>
      <c r="AS2769" s="83">
        <f t="shared" si="234"/>
        <v>9</v>
      </c>
      <c r="AT2769" s="84">
        <f t="shared" si="235"/>
        <v>2018</v>
      </c>
      <c r="AU2769" s="86"/>
      <c r="AV2769" s="86"/>
      <c r="AW2769" s="87">
        <f t="shared" si="238"/>
        <v>0</v>
      </c>
      <c r="AX2769" s="86"/>
      <c r="AY2769" s="83"/>
      <c r="AZ2769" s="84"/>
      <c r="BA2769" s="86"/>
      <c r="BB2769" s="86"/>
    </row>
    <row r="2770" spans="1:56" ht="36.75" customHeight="1">
      <c r="A2770" s="30"/>
      <c r="B2770" s="30" t="s">
        <v>55</v>
      </c>
      <c r="C2770" s="69" t="str">
        <f t="shared" si="237"/>
        <v>Closed</v>
      </c>
      <c r="D2770" s="27" t="s">
        <v>15645</v>
      </c>
      <c r="E2770" s="29" t="s">
        <v>15646</v>
      </c>
      <c r="F2770" s="30" t="s">
        <v>835</v>
      </c>
      <c r="G2770" s="72">
        <f>DATE(2018,9,28)</f>
        <v>43371</v>
      </c>
      <c r="H2770" s="80">
        <v>1.5874999999999999</v>
      </c>
      <c r="I2770" s="30" t="s">
        <v>116</v>
      </c>
      <c r="J2770" s="72" t="s">
        <v>15647</v>
      </c>
      <c r="K2770" s="30" t="s">
        <v>837</v>
      </c>
      <c r="L2770" s="30" t="s">
        <v>15648</v>
      </c>
      <c r="M2770" s="30" t="s">
        <v>63</v>
      </c>
      <c r="N2770" s="30" t="s">
        <v>142</v>
      </c>
      <c r="O2770" s="30" t="s">
        <v>64</v>
      </c>
      <c r="P2770" s="72" t="s">
        <v>6941</v>
      </c>
      <c r="Q2770" s="72" t="s">
        <v>837</v>
      </c>
      <c r="R2770" s="72" t="s">
        <v>840</v>
      </c>
      <c r="S2770" s="30">
        <v>0</v>
      </c>
      <c r="T2770" s="232">
        <v>0</v>
      </c>
      <c r="U2770" s="30">
        <v>0</v>
      </c>
      <c r="V2770" s="232">
        <v>0</v>
      </c>
      <c r="W2770" s="30">
        <v>0</v>
      </c>
      <c r="X2770" s="30">
        <v>0</v>
      </c>
      <c r="Y2770" s="30">
        <v>0</v>
      </c>
      <c r="Z2770" s="232">
        <v>0</v>
      </c>
      <c r="AA2770" s="30">
        <v>3</v>
      </c>
      <c r="AB2770" s="30">
        <v>0</v>
      </c>
      <c r="AC2770" s="30">
        <v>0</v>
      </c>
      <c r="AD2770" s="30">
        <v>3</v>
      </c>
      <c r="AE2770" s="72" t="s">
        <v>92</v>
      </c>
      <c r="AF2770" s="72"/>
      <c r="AG2770" s="72" t="s">
        <v>352</v>
      </c>
      <c r="AH2770" s="72">
        <v>43374</v>
      </c>
      <c r="AI2770" s="30">
        <v>0</v>
      </c>
      <c r="AJ2770" s="72" t="s">
        <v>15649</v>
      </c>
      <c r="AK2770" s="72" t="s">
        <v>15650</v>
      </c>
      <c r="AL2770" s="70">
        <v>43374</v>
      </c>
      <c r="AM2770" s="70"/>
      <c r="AN2770" s="70"/>
      <c r="AO2770" s="70"/>
      <c r="AP2770" s="73" t="e">
        <f>MID(VLOOKUP(K2770,#REF!,2,FALSE),1,2)</f>
        <v>#REF!</v>
      </c>
      <c r="AQ2770" s="72">
        <f>DATE(2018,9,28)</f>
        <v>43371</v>
      </c>
      <c r="AR2770" s="82">
        <f t="shared" si="233"/>
        <v>28</v>
      </c>
      <c r="AS2770" s="83">
        <f t="shared" si="234"/>
        <v>9</v>
      </c>
      <c r="AT2770" s="84">
        <f t="shared" si="235"/>
        <v>2018</v>
      </c>
      <c r="AU2770" s="86"/>
      <c r="AV2770" s="86"/>
      <c r="AW2770" s="87">
        <f t="shared" si="238"/>
        <v>0</v>
      </c>
      <c r="AX2770" s="86"/>
      <c r="AY2770" s="83"/>
      <c r="AZ2770" s="84"/>
      <c r="BA2770" s="86"/>
      <c r="BB2770" s="86"/>
    </row>
    <row r="2771" spans="1:56" ht="36.75" customHeight="1">
      <c r="A2771" s="30"/>
      <c r="B2771" s="30" t="s">
        <v>55</v>
      </c>
      <c r="C2771" s="69" t="str">
        <f t="shared" si="237"/>
        <v>Closed</v>
      </c>
      <c r="D2771" s="27" t="s">
        <v>15651</v>
      </c>
      <c r="E2771" s="29" t="s">
        <v>15652</v>
      </c>
      <c r="F2771" s="30" t="s">
        <v>6455</v>
      </c>
      <c r="G2771" s="72">
        <f>DATE(2018,10,1)</f>
        <v>43374</v>
      </c>
      <c r="H2771" s="80">
        <v>1.6909722222222223</v>
      </c>
      <c r="I2771" s="30" t="s">
        <v>73</v>
      </c>
      <c r="J2771" s="72" t="s">
        <v>15653</v>
      </c>
      <c r="K2771" s="30" t="s">
        <v>584</v>
      </c>
      <c r="L2771" s="30" t="s">
        <v>15654</v>
      </c>
      <c r="M2771" s="30" t="s">
        <v>63</v>
      </c>
      <c r="N2771" s="30" t="s">
        <v>142</v>
      </c>
      <c r="O2771" s="30" t="s">
        <v>77</v>
      </c>
      <c r="P2771" s="72" t="s">
        <v>78</v>
      </c>
      <c r="Q2771" s="72" t="s">
        <v>15655</v>
      </c>
      <c r="R2771" s="72" t="s">
        <v>587</v>
      </c>
      <c r="S2771" s="30">
        <v>0</v>
      </c>
      <c r="T2771" s="232">
        <v>0</v>
      </c>
      <c r="U2771" s="30">
        <v>0</v>
      </c>
      <c r="V2771" s="232">
        <v>0</v>
      </c>
      <c r="W2771" s="30">
        <v>0</v>
      </c>
      <c r="X2771" s="30">
        <v>0</v>
      </c>
      <c r="Y2771" s="30">
        <v>0</v>
      </c>
      <c r="Z2771" s="232">
        <v>0</v>
      </c>
      <c r="AA2771" s="30">
        <v>0</v>
      </c>
      <c r="AB2771" s="30">
        <v>0</v>
      </c>
      <c r="AC2771" s="30">
        <v>0</v>
      </c>
      <c r="AD2771" s="30">
        <v>0</v>
      </c>
      <c r="AE2771" s="72" t="s">
        <v>394</v>
      </c>
      <c r="AF2771" s="72" t="s">
        <v>15656</v>
      </c>
      <c r="AG2771" s="72" t="s">
        <v>8859</v>
      </c>
      <c r="AH2771" s="72">
        <v>43376</v>
      </c>
      <c r="AI2771" s="30">
        <v>0</v>
      </c>
      <c r="AJ2771" s="72" t="s">
        <v>15657</v>
      </c>
      <c r="AK2771" s="72" t="s">
        <v>10569</v>
      </c>
      <c r="AL2771" s="70">
        <v>43403</v>
      </c>
      <c r="AM2771" s="70"/>
      <c r="AN2771" s="70">
        <v>44658</v>
      </c>
      <c r="AO2771" s="70">
        <v>44658</v>
      </c>
      <c r="AP2771" s="73" t="e">
        <f>MID(VLOOKUP(K2771,#REF!,2,FALSE),1,2)</f>
        <v>#REF!</v>
      </c>
      <c r="AQ2771" s="72">
        <f>DATE(2018,10,1)</f>
        <v>43374</v>
      </c>
      <c r="AR2771" s="82">
        <f t="shared" si="233"/>
        <v>1</v>
      </c>
      <c r="AS2771" s="83">
        <f t="shared" si="234"/>
        <v>10</v>
      </c>
      <c r="AT2771" s="84">
        <f t="shared" si="235"/>
        <v>2018</v>
      </c>
      <c r="AU2771" s="86"/>
      <c r="AV2771" s="86"/>
      <c r="AW2771" s="87">
        <f t="shared" si="238"/>
        <v>0</v>
      </c>
      <c r="AX2771" s="86"/>
      <c r="AY2771" s="83"/>
      <c r="AZ2771" s="84"/>
      <c r="BA2771" s="86"/>
      <c r="BB2771" s="86"/>
    </row>
    <row r="2772" spans="1:56" ht="36.75" customHeight="1">
      <c r="A2772" s="30"/>
      <c r="B2772" s="30" t="s">
        <v>55</v>
      </c>
      <c r="C2772" s="69" t="str">
        <f t="shared" si="237"/>
        <v>Closed</v>
      </c>
      <c r="D2772" s="27" t="s">
        <v>15658</v>
      </c>
      <c r="E2772" s="29" t="s">
        <v>15659</v>
      </c>
      <c r="F2772" s="30" t="s">
        <v>1572</v>
      </c>
      <c r="G2772" s="72">
        <f>DATE(2018,10,1)</f>
        <v>43374</v>
      </c>
      <c r="H2772" s="80">
        <v>1.4201388888888888</v>
      </c>
      <c r="I2772" s="30" t="s">
        <v>86</v>
      </c>
      <c r="J2772" s="72" t="s">
        <v>15660</v>
      </c>
      <c r="K2772" s="30" t="s">
        <v>1574</v>
      </c>
      <c r="L2772" s="30" t="s">
        <v>15661</v>
      </c>
      <c r="M2772" s="30" t="s">
        <v>63</v>
      </c>
      <c r="N2772" s="30" t="s">
        <v>142</v>
      </c>
      <c r="O2772" s="30" t="s">
        <v>77</v>
      </c>
      <c r="P2772" s="72" t="s">
        <v>6941</v>
      </c>
      <c r="Q2772" s="72" t="s">
        <v>2413</v>
      </c>
      <c r="R2772" s="72" t="s">
        <v>6434</v>
      </c>
      <c r="S2772" s="30">
        <v>0</v>
      </c>
      <c r="T2772" s="232">
        <v>0</v>
      </c>
      <c r="U2772" s="30">
        <v>0</v>
      </c>
      <c r="V2772" s="232">
        <v>0</v>
      </c>
      <c r="W2772" s="30">
        <v>0</v>
      </c>
      <c r="X2772" s="30">
        <v>0</v>
      </c>
      <c r="Y2772" s="30">
        <v>0</v>
      </c>
      <c r="Z2772" s="232">
        <v>0</v>
      </c>
      <c r="AA2772" s="30">
        <v>0</v>
      </c>
      <c r="AB2772" s="30">
        <v>0</v>
      </c>
      <c r="AC2772" s="30">
        <v>0</v>
      </c>
      <c r="AD2772" s="30">
        <v>0</v>
      </c>
      <c r="AE2772" s="72" t="s">
        <v>92</v>
      </c>
      <c r="AF2772" s="72"/>
      <c r="AG2772" s="72" t="s">
        <v>1507</v>
      </c>
      <c r="AH2772" s="72">
        <v>43375</v>
      </c>
      <c r="AI2772" s="30">
        <v>1</v>
      </c>
      <c r="AJ2772" s="72" t="s">
        <v>15662</v>
      </c>
      <c r="AK2772" s="72" t="s">
        <v>15663</v>
      </c>
      <c r="AL2772" s="70">
        <v>43378</v>
      </c>
      <c r="AM2772" s="70"/>
      <c r="AN2772" s="70"/>
      <c r="AO2772" s="70"/>
      <c r="AP2772" s="73" t="e">
        <f>MID(VLOOKUP(K2772,#REF!,2,FALSE),1,2)</f>
        <v>#REF!</v>
      </c>
      <c r="AQ2772" s="72">
        <f>DATE(2018,10,4)</f>
        <v>43377</v>
      </c>
      <c r="AR2772" s="82">
        <f t="shared" si="233"/>
        <v>4</v>
      </c>
      <c r="AS2772" s="83">
        <f t="shared" si="234"/>
        <v>10</v>
      </c>
      <c r="AT2772" s="84">
        <f t="shared" si="235"/>
        <v>2018</v>
      </c>
      <c r="AU2772" s="86"/>
      <c r="AV2772" s="86"/>
      <c r="AW2772" s="87">
        <f t="shared" si="238"/>
        <v>0</v>
      </c>
      <c r="AX2772" s="86"/>
      <c r="AY2772" s="83"/>
      <c r="AZ2772" s="84"/>
      <c r="BA2772" s="86"/>
      <c r="BB2772" s="86"/>
    </row>
    <row r="2773" spans="1:56" ht="36.75" customHeight="1">
      <c r="A2773" s="30"/>
      <c r="B2773" s="30" t="s">
        <v>55</v>
      </c>
      <c r="C2773" s="69" t="str">
        <f t="shared" si="237"/>
        <v>Closed</v>
      </c>
      <c r="D2773" s="27" t="s">
        <v>15664</v>
      </c>
      <c r="E2773" s="29" t="s">
        <v>15665</v>
      </c>
      <c r="F2773" s="30" t="s">
        <v>1572</v>
      </c>
      <c r="G2773" s="72">
        <f>DATE(2018,10,4)</f>
        <v>43377</v>
      </c>
      <c r="H2773" s="80">
        <v>1.6958333333333333</v>
      </c>
      <c r="I2773" s="30" t="s">
        <v>86</v>
      </c>
      <c r="J2773" s="72" t="s">
        <v>15666</v>
      </c>
      <c r="K2773" s="30" t="s">
        <v>1574</v>
      </c>
      <c r="L2773" s="30" t="s">
        <v>15667</v>
      </c>
      <c r="M2773" s="30" t="s">
        <v>63</v>
      </c>
      <c r="N2773" s="30" t="s">
        <v>99</v>
      </c>
      <c r="O2773" s="30" t="s">
        <v>77</v>
      </c>
      <c r="P2773" s="72" t="s">
        <v>6941</v>
      </c>
      <c r="Q2773" s="72" t="s">
        <v>2413</v>
      </c>
      <c r="R2773" s="72" t="s">
        <v>6434</v>
      </c>
      <c r="S2773" s="30">
        <v>0</v>
      </c>
      <c r="T2773" s="232">
        <v>0</v>
      </c>
      <c r="U2773" s="30">
        <v>0</v>
      </c>
      <c r="V2773" s="232">
        <v>0</v>
      </c>
      <c r="W2773" s="30">
        <v>0</v>
      </c>
      <c r="X2773" s="30">
        <v>0</v>
      </c>
      <c r="Y2773" s="30">
        <v>0</v>
      </c>
      <c r="Z2773" s="232">
        <v>0</v>
      </c>
      <c r="AA2773" s="30">
        <v>0</v>
      </c>
      <c r="AB2773" s="30">
        <v>0</v>
      </c>
      <c r="AC2773" s="30">
        <v>0</v>
      </c>
      <c r="AD2773" s="30">
        <v>0</v>
      </c>
      <c r="AE2773" s="72" t="s">
        <v>92</v>
      </c>
      <c r="AF2773" s="72"/>
      <c r="AG2773" s="72" t="s">
        <v>133</v>
      </c>
      <c r="AH2773" s="72">
        <v>43378</v>
      </c>
      <c r="AI2773" s="30">
        <v>1</v>
      </c>
      <c r="AJ2773" s="72" t="s">
        <v>15668</v>
      </c>
      <c r="AK2773" s="72" t="s">
        <v>15669</v>
      </c>
      <c r="AL2773" s="70">
        <v>43384</v>
      </c>
      <c r="AM2773" s="70"/>
      <c r="AN2773" s="70"/>
      <c r="AO2773" s="70"/>
      <c r="AP2773" s="73" t="e">
        <f>MID(VLOOKUP(K2773,#REF!,2,FALSE),1,2)</f>
        <v>#REF!</v>
      </c>
      <c r="AQ2773" s="72">
        <f>DATE(2018,5,10)</f>
        <v>43230</v>
      </c>
      <c r="AR2773" s="82">
        <f t="shared" si="233"/>
        <v>10</v>
      </c>
      <c r="AS2773" s="83">
        <f t="shared" si="234"/>
        <v>5</v>
      </c>
      <c r="AT2773" s="84">
        <f t="shared" si="235"/>
        <v>2018</v>
      </c>
      <c r="AU2773" s="86"/>
      <c r="AV2773" s="86"/>
      <c r="AW2773" s="87">
        <f t="shared" si="238"/>
        <v>0</v>
      </c>
      <c r="AX2773" s="86"/>
      <c r="AY2773" s="83"/>
      <c r="AZ2773" s="84"/>
      <c r="BA2773" s="86"/>
      <c r="BB2773" s="86"/>
    </row>
    <row r="2774" spans="1:56" s="25" customFormat="1" ht="36.75" customHeight="1">
      <c r="A2774" s="30"/>
      <c r="B2774" s="30" t="s">
        <v>55</v>
      </c>
      <c r="C2774" s="69" t="str">
        <f t="shared" si="237"/>
        <v>Closed</v>
      </c>
      <c r="D2774" s="27" t="s">
        <v>15670</v>
      </c>
      <c r="E2774" s="29" t="s">
        <v>15671</v>
      </c>
      <c r="F2774" s="30" t="s">
        <v>835</v>
      </c>
      <c r="G2774" s="72">
        <f>DATE(2018,10,5)</f>
        <v>43378</v>
      </c>
      <c r="H2774" s="80">
        <v>1.8381944444444445</v>
      </c>
      <c r="I2774" s="30" t="s">
        <v>278</v>
      </c>
      <c r="J2774" s="72" t="s">
        <v>15672</v>
      </c>
      <c r="K2774" s="30" t="s">
        <v>837</v>
      </c>
      <c r="L2774" s="30" t="s">
        <v>15673</v>
      </c>
      <c r="M2774" s="30" t="s">
        <v>63</v>
      </c>
      <c r="N2774" s="30" t="s">
        <v>99</v>
      </c>
      <c r="O2774" s="30" t="s">
        <v>77</v>
      </c>
      <c r="P2774" s="72" t="s">
        <v>6941</v>
      </c>
      <c r="Q2774" s="72" t="s">
        <v>837</v>
      </c>
      <c r="R2774" s="72" t="s">
        <v>837</v>
      </c>
      <c r="S2774" s="30">
        <v>1</v>
      </c>
      <c r="T2774" s="232">
        <v>0</v>
      </c>
      <c r="U2774" s="30">
        <v>0</v>
      </c>
      <c r="V2774" s="232">
        <v>0</v>
      </c>
      <c r="W2774" s="30">
        <v>0</v>
      </c>
      <c r="X2774" s="30">
        <v>1</v>
      </c>
      <c r="Y2774" s="30">
        <v>0</v>
      </c>
      <c r="Z2774" s="232">
        <v>0</v>
      </c>
      <c r="AA2774" s="30">
        <v>0</v>
      </c>
      <c r="AB2774" s="30">
        <v>0</v>
      </c>
      <c r="AC2774" s="30">
        <v>0</v>
      </c>
      <c r="AD2774" s="30">
        <v>0</v>
      </c>
      <c r="AE2774" s="72" t="s">
        <v>92</v>
      </c>
      <c r="AF2774" s="72"/>
      <c r="AG2774" s="72" t="s">
        <v>82</v>
      </c>
      <c r="AH2774" s="72">
        <v>43384</v>
      </c>
      <c r="AI2774" s="30">
        <v>2</v>
      </c>
      <c r="AJ2774" s="72" t="s">
        <v>15674</v>
      </c>
      <c r="AK2774" s="72" t="s">
        <v>1233</v>
      </c>
      <c r="AL2774" s="70">
        <v>43389</v>
      </c>
      <c r="AM2774" s="70"/>
      <c r="AN2774" s="70"/>
      <c r="AO2774" s="70"/>
      <c r="AP2774" s="73" t="e">
        <f>MID(VLOOKUP(K2774,#REF!,2,FALSE),1,2)</f>
        <v>#REF!</v>
      </c>
      <c r="AQ2774" s="72">
        <f>DATE(2018,10,12)</f>
        <v>43385</v>
      </c>
      <c r="AR2774" s="82">
        <f t="shared" si="233"/>
        <v>12</v>
      </c>
      <c r="AS2774" s="83">
        <f t="shared" si="234"/>
        <v>10</v>
      </c>
      <c r="AT2774" s="84">
        <f t="shared" si="235"/>
        <v>2018</v>
      </c>
      <c r="AU2774" s="86"/>
      <c r="AV2774" s="86"/>
      <c r="AW2774" s="87"/>
      <c r="AX2774" s="86"/>
      <c r="AY2774" s="83"/>
      <c r="AZ2774" s="84"/>
      <c r="BA2774" s="86"/>
      <c r="BB2774" s="86"/>
      <c r="BD2774" s="68"/>
    </row>
    <row r="2775" spans="1:56" s="25" customFormat="1" ht="36.75" customHeight="1">
      <c r="A2775" s="30"/>
      <c r="B2775" s="30" t="s">
        <v>55</v>
      </c>
      <c r="C2775" s="69" t="str">
        <f t="shared" si="237"/>
        <v>Closed</v>
      </c>
      <c r="D2775" s="27" t="s">
        <v>15675</v>
      </c>
      <c r="E2775" s="29" t="s">
        <v>15676</v>
      </c>
      <c r="F2775" s="30" t="s">
        <v>582</v>
      </c>
      <c r="G2775" s="72">
        <f>DATE(2018,10,12)</f>
        <v>43385</v>
      </c>
      <c r="H2775" s="80">
        <v>1.2645833333333334</v>
      </c>
      <c r="I2775" s="30" t="s">
        <v>125</v>
      </c>
      <c r="J2775" s="72" t="s">
        <v>15677</v>
      </c>
      <c r="K2775" s="30" t="s">
        <v>584</v>
      </c>
      <c r="L2775" s="30" t="s">
        <v>15678</v>
      </c>
      <c r="M2775" s="30" t="s">
        <v>63</v>
      </c>
      <c r="N2775" s="30" t="s">
        <v>142</v>
      </c>
      <c r="O2775" s="30" t="s">
        <v>64</v>
      </c>
      <c r="P2775" s="72" t="s">
        <v>462</v>
      </c>
      <c r="Q2775" s="72" t="s">
        <v>4830</v>
      </c>
      <c r="R2775" s="72" t="s">
        <v>587</v>
      </c>
      <c r="S2775" s="30">
        <v>0</v>
      </c>
      <c r="T2775" s="232">
        <v>0</v>
      </c>
      <c r="U2775" s="30">
        <v>0</v>
      </c>
      <c r="V2775" s="232">
        <v>0</v>
      </c>
      <c r="W2775" s="30">
        <v>0</v>
      </c>
      <c r="X2775" s="30">
        <v>0</v>
      </c>
      <c r="Y2775" s="30">
        <v>0</v>
      </c>
      <c r="Z2775" s="232">
        <v>0</v>
      </c>
      <c r="AA2775" s="30">
        <v>0</v>
      </c>
      <c r="AB2775" s="30">
        <v>0</v>
      </c>
      <c r="AC2775" s="30">
        <v>0</v>
      </c>
      <c r="AD2775" s="30">
        <v>0</v>
      </c>
      <c r="AE2775" s="72" t="s">
        <v>145</v>
      </c>
      <c r="AF2775" s="72"/>
      <c r="AG2775" s="72" t="s">
        <v>82</v>
      </c>
      <c r="AH2775" s="72">
        <v>43388</v>
      </c>
      <c r="AI2775" s="30">
        <v>2</v>
      </c>
      <c r="AJ2775" s="72" t="s">
        <v>15679</v>
      </c>
      <c r="AK2775" s="72" t="s">
        <v>1233</v>
      </c>
      <c r="AL2775" s="70">
        <v>43475</v>
      </c>
      <c r="AM2775" s="70"/>
      <c r="AN2775" s="70"/>
      <c r="AO2775" s="70"/>
      <c r="AP2775" s="73" t="e">
        <f>MID(VLOOKUP(K2775,#REF!,2,FALSE),1,2)</f>
        <v>#REF!</v>
      </c>
      <c r="AQ2775" s="72">
        <f>DATE(2018,10,13)</f>
        <v>43386</v>
      </c>
      <c r="AR2775" s="82">
        <f t="shared" si="233"/>
        <v>13</v>
      </c>
      <c r="AS2775" s="83">
        <f t="shared" si="234"/>
        <v>10</v>
      </c>
      <c r="AT2775" s="84">
        <f t="shared" si="235"/>
        <v>2018</v>
      </c>
      <c r="AU2775" s="86"/>
      <c r="AV2775" s="86"/>
      <c r="AW2775" s="87">
        <f>AU2775-AV2775</f>
        <v>0</v>
      </c>
      <c r="AX2775" s="86"/>
      <c r="AY2775" s="83"/>
      <c r="AZ2775" s="84"/>
      <c r="BA2775" s="86"/>
      <c r="BB2775" s="86"/>
      <c r="BD2775" s="68"/>
    </row>
    <row r="2776" spans="1:56" s="25" customFormat="1" ht="36.75" customHeight="1">
      <c r="A2776" s="30"/>
      <c r="B2776" s="30" t="s">
        <v>55</v>
      </c>
      <c r="C2776" s="69" t="str">
        <f t="shared" si="237"/>
        <v>Closed</v>
      </c>
      <c r="D2776" s="27" t="s">
        <v>15680</v>
      </c>
      <c r="E2776" s="29" t="s">
        <v>15681</v>
      </c>
      <c r="F2776" s="30" t="s">
        <v>9789</v>
      </c>
      <c r="G2776" s="72">
        <f>DATE(2018,10,13)</f>
        <v>43386</v>
      </c>
      <c r="H2776" s="80">
        <v>1.6111111111111112</v>
      </c>
      <c r="I2776" s="30" t="s">
        <v>9026</v>
      </c>
      <c r="J2776" s="265" t="s">
        <v>15682</v>
      </c>
      <c r="K2776" s="30" t="s">
        <v>9791</v>
      </c>
      <c r="L2776" s="30" t="s">
        <v>15683</v>
      </c>
      <c r="M2776" s="30" t="s">
        <v>63</v>
      </c>
      <c r="N2776" s="30" t="s">
        <v>99</v>
      </c>
      <c r="O2776" s="30" t="s">
        <v>64</v>
      </c>
      <c r="P2776" s="72" t="s">
        <v>6941</v>
      </c>
      <c r="Q2776" s="72" t="s">
        <v>9960</v>
      </c>
      <c r="R2776" s="72" t="s">
        <v>9794</v>
      </c>
      <c r="S2776" s="30">
        <v>0</v>
      </c>
      <c r="T2776" s="232">
        <v>0</v>
      </c>
      <c r="U2776" s="30">
        <v>0</v>
      </c>
      <c r="V2776" s="232">
        <v>0</v>
      </c>
      <c r="W2776" s="30">
        <v>0</v>
      </c>
      <c r="X2776" s="30">
        <v>0</v>
      </c>
      <c r="Y2776" s="30">
        <v>0</v>
      </c>
      <c r="Z2776" s="232">
        <v>0</v>
      </c>
      <c r="AA2776" s="30">
        <v>0</v>
      </c>
      <c r="AB2776" s="30">
        <v>0</v>
      </c>
      <c r="AC2776" s="30">
        <v>0</v>
      </c>
      <c r="AD2776" s="30">
        <v>0</v>
      </c>
      <c r="AE2776" s="72" t="s">
        <v>92</v>
      </c>
      <c r="AF2776" s="72"/>
      <c r="AG2776" s="72" t="s">
        <v>589</v>
      </c>
      <c r="AH2776" s="72">
        <v>43390</v>
      </c>
      <c r="AI2776" s="30">
        <v>7</v>
      </c>
      <c r="AJ2776" s="72" t="s">
        <v>15684</v>
      </c>
      <c r="AK2776" s="72" t="s">
        <v>15685</v>
      </c>
      <c r="AL2776" s="70">
        <v>43392</v>
      </c>
      <c r="AM2776" s="70"/>
      <c r="AN2776" s="70"/>
      <c r="AO2776" s="70"/>
      <c r="AP2776" s="73" t="e">
        <f>MID(VLOOKUP(K2776,#REF!,2,FALSE),1,2)</f>
        <v>#REF!</v>
      </c>
      <c r="AQ2776" s="72">
        <f>DATE(2018,10,17)</f>
        <v>43390</v>
      </c>
      <c r="AR2776" s="82">
        <f t="shared" si="233"/>
        <v>17</v>
      </c>
      <c r="AS2776" s="83">
        <f t="shared" si="234"/>
        <v>10</v>
      </c>
      <c r="AT2776" s="84">
        <f t="shared" si="235"/>
        <v>2018</v>
      </c>
      <c r="AU2776" s="86"/>
      <c r="AV2776" s="86"/>
      <c r="AW2776" s="87"/>
      <c r="AX2776" s="86"/>
      <c r="AY2776" s="83"/>
      <c r="AZ2776" s="84"/>
      <c r="BA2776" s="86"/>
      <c r="BB2776" s="86"/>
      <c r="BD2776" s="68"/>
    </row>
    <row r="2777" spans="1:56" s="25" customFormat="1" ht="36.75" customHeight="1">
      <c r="A2777" s="30"/>
      <c r="B2777" s="30" t="s">
        <v>55</v>
      </c>
      <c r="C2777" s="69" t="str">
        <f t="shared" si="237"/>
        <v>Closed</v>
      </c>
      <c r="D2777" s="27" t="s">
        <v>15686</v>
      </c>
      <c r="E2777" s="29" t="s">
        <v>15687</v>
      </c>
      <c r="F2777" s="30" t="s">
        <v>377</v>
      </c>
      <c r="G2777" s="72">
        <f>DATE(2018,10,17)</f>
        <v>43390</v>
      </c>
      <c r="H2777" s="80">
        <v>1.7673611111111112</v>
      </c>
      <c r="I2777" s="30" t="s">
        <v>125</v>
      </c>
      <c r="J2777" s="72" t="s">
        <v>15688</v>
      </c>
      <c r="K2777" s="30" t="s">
        <v>379</v>
      </c>
      <c r="L2777" s="30" t="s">
        <v>15689</v>
      </c>
      <c r="M2777" s="30" t="s">
        <v>63</v>
      </c>
      <c r="N2777" s="30" t="s">
        <v>99</v>
      </c>
      <c r="O2777" s="30" t="s">
        <v>64</v>
      </c>
      <c r="P2777" s="72" t="s">
        <v>78</v>
      </c>
      <c r="Q2777" s="72" t="s">
        <v>3909</v>
      </c>
      <c r="R2777" s="72" t="s">
        <v>382</v>
      </c>
      <c r="S2777" s="30">
        <v>0</v>
      </c>
      <c r="T2777" s="232">
        <v>0</v>
      </c>
      <c r="U2777" s="30">
        <v>0</v>
      </c>
      <c r="V2777" s="232">
        <v>0</v>
      </c>
      <c r="W2777" s="30">
        <v>0</v>
      </c>
      <c r="X2777" s="30">
        <v>0</v>
      </c>
      <c r="Y2777" s="30">
        <v>0</v>
      </c>
      <c r="Z2777" s="232">
        <v>0</v>
      </c>
      <c r="AA2777" s="30">
        <v>0</v>
      </c>
      <c r="AB2777" s="30">
        <v>0</v>
      </c>
      <c r="AC2777" s="30">
        <v>0</v>
      </c>
      <c r="AD2777" s="30">
        <v>0</v>
      </c>
      <c r="AE2777" s="72" t="s">
        <v>394</v>
      </c>
      <c r="AF2777" s="72"/>
      <c r="AG2777" s="72" t="s">
        <v>82</v>
      </c>
      <c r="AH2777" s="72">
        <v>43423</v>
      </c>
      <c r="AI2777" s="30">
        <v>5</v>
      </c>
      <c r="AJ2777" s="72" t="s">
        <v>15690</v>
      </c>
      <c r="AK2777" s="72" t="s">
        <v>15691</v>
      </c>
      <c r="AL2777" s="70">
        <v>43598</v>
      </c>
      <c r="AM2777" s="70"/>
      <c r="AN2777" s="70"/>
      <c r="AO2777" s="70"/>
      <c r="AP2777" s="73" t="e">
        <f>MID(VLOOKUP(K2777,#REF!,2,FALSE),1,2)</f>
        <v>#REF!</v>
      </c>
      <c r="AQ2777" s="72">
        <f>DATE(2018,10,19)</f>
        <v>43392</v>
      </c>
      <c r="AR2777" s="82">
        <f t="shared" si="233"/>
        <v>19</v>
      </c>
      <c r="AS2777" s="83">
        <f t="shared" si="234"/>
        <v>10</v>
      </c>
      <c r="AT2777" s="84">
        <f t="shared" si="235"/>
        <v>2018</v>
      </c>
      <c r="AU2777" s="86"/>
      <c r="AV2777" s="86"/>
      <c r="AW2777" s="87">
        <f t="shared" ref="AW2777:AW2788" si="239">AU2777-AV2777</f>
        <v>0</v>
      </c>
      <c r="AX2777" s="86"/>
      <c r="AY2777" s="83"/>
      <c r="AZ2777" s="84"/>
      <c r="BA2777" s="86"/>
      <c r="BB2777" s="86"/>
      <c r="BD2777" s="68"/>
    </row>
    <row r="2778" spans="1:56" s="25" customFormat="1" ht="36.75" customHeight="1">
      <c r="A2778" s="30"/>
      <c r="B2778" s="30" t="s">
        <v>55</v>
      </c>
      <c r="C2778" s="69" t="str">
        <f t="shared" si="237"/>
        <v>Closed</v>
      </c>
      <c r="D2778" s="27" t="s">
        <v>15692</v>
      </c>
      <c r="E2778" s="29" t="s">
        <v>15693</v>
      </c>
      <c r="F2778" s="30" t="s">
        <v>233</v>
      </c>
      <c r="G2778" s="72">
        <f>DATE(2018,10,19)</f>
        <v>43392</v>
      </c>
      <c r="H2778" s="80">
        <v>1.6090277777777779</v>
      </c>
      <c r="I2778" s="30" t="s">
        <v>2078</v>
      </c>
      <c r="J2778" s="72" t="s">
        <v>15694</v>
      </c>
      <c r="K2778" s="30" t="s">
        <v>235</v>
      </c>
      <c r="L2778" s="30" t="s">
        <v>15695</v>
      </c>
      <c r="M2778" s="30" t="s">
        <v>63</v>
      </c>
      <c r="N2778" s="30" t="s">
        <v>142</v>
      </c>
      <c r="O2778" s="30" t="s">
        <v>64</v>
      </c>
      <c r="P2778" s="72" t="s">
        <v>462</v>
      </c>
      <c r="Q2778" s="72" t="s">
        <v>718</v>
      </c>
      <c r="R2778" s="72" t="s">
        <v>235</v>
      </c>
      <c r="S2778" s="30">
        <v>0</v>
      </c>
      <c r="T2778" s="232">
        <v>0</v>
      </c>
      <c r="U2778" s="30">
        <v>0</v>
      </c>
      <c r="V2778" s="232">
        <v>0</v>
      </c>
      <c r="W2778" s="30">
        <v>0</v>
      </c>
      <c r="X2778" s="30">
        <v>0</v>
      </c>
      <c r="Y2778" s="30">
        <v>0</v>
      </c>
      <c r="Z2778" s="232">
        <v>0</v>
      </c>
      <c r="AA2778" s="30">
        <v>0</v>
      </c>
      <c r="AB2778" s="30">
        <v>0</v>
      </c>
      <c r="AC2778" s="30">
        <v>0</v>
      </c>
      <c r="AD2778" s="30">
        <v>0</v>
      </c>
      <c r="AE2778" s="72" t="s">
        <v>92</v>
      </c>
      <c r="AF2778" s="72"/>
      <c r="AG2778" s="72" t="s">
        <v>133</v>
      </c>
      <c r="AH2778" s="72">
        <v>43423</v>
      </c>
      <c r="AI2778" s="30">
        <v>5</v>
      </c>
      <c r="AJ2778" s="72" t="s">
        <v>15696</v>
      </c>
      <c r="AK2778" s="72" t="s">
        <v>15697</v>
      </c>
      <c r="AL2778" s="70">
        <v>43445</v>
      </c>
      <c r="AM2778" s="70"/>
      <c r="AN2778" s="70"/>
      <c r="AO2778" s="70"/>
      <c r="AP2778" s="73" t="e">
        <f>MID(VLOOKUP(K2778,#REF!,2,FALSE),1,2)</f>
        <v>#REF!</v>
      </c>
      <c r="AQ2778" s="72">
        <f>DATE(2018,10,21)</f>
        <v>43394</v>
      </c>
      <c r="AR2778" s="82">
        <f t="shared" si="233"/>
        <v>21</v>
      </c>
      <c r="AS2778" s="83">
        <f t="shared" si="234"/>
        <v>10</v>
      </c>
      <c r="AT2778" s="84">
        <f t="shared" si="235"/>
        <v>2018</v>
      </c>
      <c r="AU2778" s="86"/>
      <c r="AV2778" s="86"/>
      <c r="AW2778" s="87">
        <f t="shared" si="239"/>
        <v>0</v>
      </c>
      <c r="AX2778" s="86"/>
      <c r="AY2778" s="83"/>
      <c r="AZ2778" s="84"/>
      <c r="BA2778" s="86"/>
      <c r="BB2778" s="86"/>
      <c r="BD2778" s="68"/>
    </row>
    <row r="2779" spans="1:56" s="25" customFormat="1" ht="36.75" customHeight="1">
      <c r="A2779" s="30"/>
      <c r="B2779" s="30" t="s">
        <v>55</v>
      </c>
      <c r="C2779" s="69" t="str">
        <f t="shared" si="237"/>
        <v>Closed</v>
      </c>
      <c r="D2779" s="27" t="s">
        <v>15698</v>
      </c>
      <c r="E2779" s="29" t="s">
        <v>15699</v>
      </c>
      <c r="F2779" s="30" t="s">
        <v>9789</v>
      </c>
      <c r="G2779" s="72">
        <f>DATE(2018,10,21)</f>
        <v>43394</v>
      </c>
      <c r="H2779" s="80">
        <v>1.3055555555555556</v>
      </c>
      <c r="I2779" s="30" t="s">
        <v>73</v>
      </c>
      <c r="J2779" s="265" t="s">
        <v>15700</v>
      </c>
      <c r="K2779" s="30" t="s">
        <v>9791</v>
      </c>
      <c r="L2779" s="30" t="s">
        <v>15701</v>
      </c>
      <c r="M2779" s="30" t="s">
        <v>63</v>
      </c>
      <c r="N2779" s="30" t="s">
        <v>99</v>
      </c>
      <c r="O2779" s="30" t="s">
        <v>64</v>
      </c>
      <c r="P2779" s="72" t="s">
        <v>6941</v>
      </c>
      <c r="Q2779" s="72" t="s">
        <v>9960</v>
      </c>
      <c r="R2779" s="72" t="s">
        <v>9794</v>
      </c>
      <c r="S2779" s="30">
        <v>0</v>
      </c>
      <c r="T2779" s="232">
        <v>0</v>
      </c>
      <c r="U2779" s="30">
        <v>0</v>
      </c>
      <c r="V2779" s="232">
        <v>0</v>
      </c>
      <c r="W2779" s="30">
        <v>0</v>
      </c>
      <c r="X2779" s="30">
        <v>0</v>
      </c>
      <c r="Y2779" s="30">
        <v>0</v>
      </c>
      <c r="Z2779" s="232">
        <v>0</v>
      </c>
      <c r="AA2779" s="30">
        <v>0</v>
      </c>
      <c r="AB2779" s="30">
        <v>0</v>
      </c>
      <c r="AC2779" s="30">
        <v>0</v>
      </c>
      <c r="AD2779" s="30">
        <v>0</v>
      </c>
      <c r="AE2779" s="72" t="s">
        <v>92</v>
      </c>
      <c r="AF2779" s="72"/>
      <c r="AG2779" s="72" t="s">
        <v>133</v>
      </c>
      <c r="AH2779" s="72">
        <v>43398</v>
      </c>
      <c r="AI2779" s="30">
        <v>2</v>
      </c>
      <c r="AJ2779" s="72" t="s">
        <v>15702</v>
      </c>
      <c r="AK2779" s="72" t="s">
        <v>15703</v>
      </c>
      <c r="AL2779" s="70">
        <v>43406</v>
      </c>
      <c r="AM2779" s="70"/>
      <c r="AN2779" s="70"/>
      <c r="AO2779" s="70"/>
      <c r="AP2779" s="73" t="e">
        <f>MID(VLOOKUP(K2779,#REF!,2,FALSE),1,2)</f>
        <v>#REF!</v>
      </c>
      <c r="AQ2779" s="72">
        <f>DATE(2018,10,21)</f>
        <v>43394</v>
      </c>
      <c r="AR2779" s="82">
        <f t="shared" si="233"/>
        <v>21</v>
      </c>
      <c r="AS2779" s="83">
        <f t="shared" si="234"/>
        <v>10</v>
      </c>
      <c r="AT2779" s="84">
        <f t="shared" si="235"/>
        <v>2018</v>
      </c>
      <c r="AU2779" s="86"/>
      <c r="AV2779" s="86"/>
      <c r="AW2779" s="87">
        <f t="shared" si="239"/>
        <v>0</v>
      </c>
      <c r="AX2779" s="86"/>
      <c r="AY2779" s="83"/>
      <c r="AZ2779" s="84"/>
      <c r="BA2779" s="86"/>
      <c r="BB2779" s="86"/>
      <c r="BD2779" s="68"/>
    </row>
    <row r="2780" spans="1:56" s="25" customFormat="1" ht="36.75" customHeight="1">
      <c r="A2780" s="30"/>
      <c r="B2780" s="30" t="s">
        <v>55</v>
      </c>
      <c r="C2780" s="69" t="str">
        <f t="shared" si="237"/>
        <v>Closed</v>
      </c>
      <c r="D2780" s="27" t="s">
        <v>15704</v>
      </c>
      <c r="E2780" s="29" t="s">
        <v>15705</v>
      </c>
      <c r="F2780" s="30" t="s">
        <v>124</v>
      </c>
      <c r="G2780" s="72">
        <f>DATE(2018,10,21)</f>
        <v>43394</v>
      </c>
      <c r="H2780" s="80">
        <v>1.5208333333333335</v>
      </c>
      <c r="I2780" s="30" t="s">
        <v>487</v>
      </c>
      <c r="J2780" s="72" t="s">
        <v>15706</v>
      </c>
      <c r="K2780" s="30" t="s">
        <v>127</v>
      </c>
      <c r="L2780" s="30" t="s">
        <v>15707</v>
      </c>
      <c r="M2780" s="30" t="s">
        <v>63</v>
      </c>
      <c r="N2780" s="30" t="s">
        <v>99</v>
      </c>
      <c r="O2780" s="30" t="s">
        <v>6875</v>
      </c>
      <c r="P2780" s="72" t="s">
        <v>15708</v>
      </c>
      <c r="Q2780" s="72" t="s">
        <v>15709</v>
      </c>
      <c r="R2780" s="72" t="s">
        <v>167</v>
      </c>
      <c r="S2780" s="30">
        <v>0</v>
      </c>
      <c r="T2780" s="232">
        <v>0</v>
      </c>
      <c r="U2780" s="30">
        <v>0</v>
      </c>
      <c r="V2780" s="232">
        <v>0</v>
      </c>
      <c r="W2780" s="30">
        <v>0</v>
      </c>
      <c r="X2780" s="30">
        <v>0</v>
      </c>
      <c r="Y2780" s="30">
        <v>0</v>
      </c>
      <c r="Z2780" s="232">
        <v>0</v>
      </c>
      <c r="AA2780" s="30">
        <v>0</v>
      </c>
      <c r="AB2780" s="30">
        <v>0</v>
      </c>
      <c r="AC2780" s="30">
        <v>0</v>
      </c>
      <c r="AD2780" s="30">
        <v>0</v>
      </c>
      <c r="AE2780" s="72" t="s">
        <v>92</v>
      </c>
      <c r="AF2780" s="72"/>
      <c r="AG2780" s="72" t="s">
        <v>589</v>
      </c>
      <c r="AH2780" s="72">
        <v>43402</v>
      </c>
      <c r="AI2780" s="30">
        <v>1</v>
      </c>
      <c r="AJ2780" s="72" t="s">
        <v>15710</v>
      </c>
      <c r="AK2780" s="72" t="s">
        <v>68</v>
      </c>
      <c r="AL2780" s="70">
        <v>43409</v>
      </c>
      <c r="AM2780" s="70"/>
      <c r="AN2780" s="70"/>
      <c r="AO2780" s="70"/>
      <c r="AP2780" s="73" t="e">
        <f>MID(VLOOKUP(K2780,#REF!,2,FALSE),1,2)</f>
        <v>#REF!</v>
      </c>
      <c r="AQ2780" s="72">
        <f>DATE(2018,10,23)</f>
        <v>43396</v>
      </c>
      <c r="AR2780" s="82">
        <f t="shared" si="233"/>
        <v>23</v>
      </c>
      <c r="AS2780" s="83">
        <f t="shared" si="234"/>
        <v>10</v>
      </c>
      <c r="AT2780" s="84">
        <f t="shared" si="235"/>
        <v>2018</v>
      </c>
      <c r="AU2780" s="86"/>
      <c r="AV2780" s="86"/>
      <c r="AW2780" s="87">
        <f t="shared" si="239"/>
        <v>0</v>
      </c>
      <c r="AX2780" s="86"/>
      <c r="AY2780" s="83"/>
      <c r="AZ2780" s="84"/>
      <c r="BA2780" s="86"/>
      <c r="BB2780" s="86"/>
      <c r="BD2780" s="68"/>
    </row>
    <row r="2781" spans="1:56" s="25" customFormat="1" ht="36.75" customHeight="1">
      <c r="A2781" s="30"/>
      <c r="B2781" s="30" t="s">
        <v>55</v>
      </c>
      <c r="C2781" s="69" t="str">
        <f t="shared" si="237"/>
        <v>Closed</v>
      </c>
      <c r="D2781" s="27" t="s">
        <v>15711</v>
      </c>
      <c r="E2781" s="29" t="s">
        <v>15712</v>
      </c>
      <c r="F2781" s="30" t="s">
        <v>423</v>
      </c>
      <c r="G2781" s="72">
        <f>DATE(2018,10,23)</f>
        <v>43396</v>
      </c>
      <c r="H2781" s="80">
        <v>1.3729166666666666</v>
      </c>
      <c r="I2781" s="30" t="s">
        <v>104</v>
      </c>
      <c r="J2781" s="72" t="s">
        <v>15713</v>
      </c>
      <c r="K2781" s="30" t="s">
        <v>425</v>
      </c>
      <c r="L2781" s="30" t="s">
        <v>15714</v>
      </c>
      <c r="M2781" s="30" t="s">
        <v>63</v>
      </c>
      <c r="N2781" s="30" t="s">
        <v>99</v>
      </c>
      <c r="O2781" s="30" t="s">
        <v>77</v>
      </c>
      <c r="P2781" s="72" t="s">
        <v>165</v>
      </c>
      <c r="Q2781" s="72" t="s">
        <v>4551</v>
      </c>
      <c r="R2781" s="72" t="s">
        <v>3103</v>
      </c>
      <c r="S2781" s="30">
        <v>0</v>
      </c>
      <c r="T2781" s="232">
        <v>0</v>
      </c>
      <c r="U2781" s="30">
        <v>0</v>
      </c>
      <c r="V2781" s="232">
        <v>0</v>
      </c>
      <c r="W2781" s="30">
        <v>0</v>
      </c>
      <c r="X2781" s="30">
        <v>0</v>
      </c>
      <c r="Y2781" s="30">
        <v>0</v>
      </c>
      <c r="Z2781" s="232">
        <v>0</v>
      </c>
      <c r="AA2781" s="30">
        <v>0</v>
      </c>
      <c r="AB2781" s="30">
        <v>0</v>
      </c>
      <c r="AC2781" s="30">
        <v>0</v>
      </c>
      <c r="AD2781" s="30">
        <v>0</v>
      </c>
      <c r="AE2781" s="72" t="s">
        <v>92</v>
      </c>
      <c r="AF2781" s="72"/>
      <c r="AG2781" s="72" t="s">
        <v>352</v>
      </c>
      <c r="AH2781" s="72">
        <v>43396</v>
      </c>
      <c r="AI2781" s="30">
        <v>1</v>
      </c>
      <c r="AJ2781" s="72" t="s">
        <v>15715</v>
      </c>
      <c r="AK2781" s="72" t="s">
        <v>15716</v>
      </c>
      <c r="AL2781" s="70">
        <v>43398</v>
      </c>
      <c r="AM2781" s="70"/>
      <c r="AN2781" s="70"/>
      <c r="AO2781" s="70"/>
      <c r="AP2781" s="73" t="e">
        <f>MID(VLOOKUP(K2781,#REF!,2,FALSE),1,2)</f>
        <v>#REF!</v>
      </c>
      <c r="AQ2781" s="72">
        <f>DATE(2018,5,25)</f>
        <v>43245</v>
      </c>
      <c r="AR2781" s="82">
        <f t="shared" si="233"/>
        <v>25</v>
      </c>
      <c r="AS2781" s="83">
        <f t="shared" si="234"/>
        <v>5</v>
      </c>
      <c r="AT2781" s="84">
        <f t="shared" si="235"/>
        <v>2018</v>
      </c>
      <c r="AU2781" s="86"/>
      <c r="AV2781" s="86"/>
      <c r="AW2781" s="87">
        <f t="shared" si="239"/>
        <v>0</v>
      </c>
      <c r="AX2781" s="86"/>
      <c r="AY2781" s="83"/>
      <c r="AZ2781" s="84"/>
      <c r="BA2781" s="86"/>
      <c r="BB2781" s="86"/>
      <c r="BD2781" s="68"/>
    </row>
    <row r="2782" spans="1:56" s="25" customFormat="1" ht="36.75" customHeight="1">
      <c r="A2782" s="30"/>
      <c r="B2782" s="30" t="s">
        <v>55</v>
      </c>
      <c r="C2782" s="69" t="str">
        <f t="shared" si="237"/>
        <v>Closed</v>
      </c>
      <c r="D2782" s="27" t="s">
        <v>15717</v>
      </c>
      <c r="E2782" s="29" t="s">
        <v>15718</v>
      </c>
      <c r="F2782" s="30" t="s">
        <v>835</v>
      </c>
      <c r="G2782" s="72">
        <f>DATE(2018,10,25)</f>
        <v>43398</v>
      </c>
      <c r="H2782" s="80">
        <v>1.7291666666666665</v>
      </c>
      <c r="I2782" s="30" t="s">
        <v>116</v>
      </c>
      <c r="J2782" s="72" t="s">
        <v>15719</v>
      </c>
      <c r="K2782" s="30" t="s">
        <v>837</v>
      </c>
      <c r="L2782" s="30" t="s">
        <v>15720</v>
      </c>
      <c r="M2782" s="30" t="s">
        <v>63</v>
      </c>
      <c r="N2782" s="30" t="s">
        <v>99</v>
      </c>
      <c r="O2782" s="30" t="s">
        <v>64</v>
      </c>
      <c r="P2782" s="72" t="s">
        <v>165</v>
      </c>
      <c r="Q2782" s="72" t="s">
        <v>837</v>
      </c>
      <c r="R2782" s="72" t="s">
        <v>837</v>
      </c>
      <c r="S2782" s="30">
        <v>0</v>
      </c>
      <c r="T2782" s="232">
        <v>0</v>
      </c>
      <c r="U2782" s="30">
        <v>4</v>
      </c>
      <c r="V2782" s="232">
        <v>0</v>
      </c>
      <c r="W2782" s="30">
        <v>0</v>
      </c>
      <c r="X2782" s="30">
        <v>4</v>
      </c>
      <c r="Y2782" s="30">
        <v>0</v>
      </c>
      <c r="Z2782" s="232">
        <v>0</v>
      </c>
      <c r="AA2782" s="30">
        <v>0</v>
      </c>
      <c r="AB2782" s="30">
        <v>0</v>
      </c>
      <c r="AC2782" s="30">
        <v>0</v>
      </c>
      <c r="AD2782" s="30">
        <v>0</v>
      </c>
      <c r="AE2782" s="72" t="s">
        <v>92</v>
      </c>
      <c r="AF2782" s="72"/>
      <c r="AG2782" s="72" t="s">
        <v>2083</v>
      </c>
      <c r="AH2782" s="72">
        <v>43399</v>
      </c>
      <c r="AI2782" s="30">
        <v>0</v>
      </c>
      <c r="AJ2782" s="72" t="s">
        <v>15721</v>
      </c>
      <c r="AK2782" s="72" t="s">
        <v>1233</v>
      </c>
      <c r="AL2782" s="70">
        <v>43402</v>
      </c>
      <c r="AM2782" s="70"/>
      <c r="AN2782" s="70"/>
      <c r="AO2782" s="70"/>
      <c r="AP2782" s="73" t="e">
        <f>MID(VLOOKUP(K2782,#REF!,2,FALSE),1,2)</f>
        <v>#REF!</v>
      </c>
      <c r="AQ2782" s="72">
        <f>DATE(2018,10,25)</f>
        <v>43398</v>
      </c>
      <c r="AR2782" s="82">
        <f t="shared" si="233"/>
        <v>25</v>
      </c>
      <c r="AS2782" s="83">
        <f t="shared" si="234"/>
        <v>10</v>
      </c>
      <c r="AT2782" s="84">
        <f t="shared" si="235"/>
        <v>2018</v>
      </c>
      <c r="AU2782" s="86"/>
      <c r="AV2782" s="86"/>
      <c r="AW2782" s="87">
        <f t="shared" si="239"/>
        <v>0</v>
      </c>
      <c r="AX2782" s="86"/>
      <c r="AY2782" s="83"/>
      <c r="AZ2782" s="84"/>
      <c r="BA2782" s="86"/>
      <c r="BB2782" s="86"/>
      <c r="BD2782" s="68"/>
    </row>
    <row r="2783" spans="1:56" s="25" customFormat="1" ht="36.75" customHeight="1">
      <c r="A2783" s="30"/>
      <c r="B2783" s="30" t="s">
        <v>55</v>
      </c>
      <c r="C2783" s="69" t="str">
        <f t="shared" si="237"/>
        <v>Closed</v>
      </c>
      <c r="D2783" s="27" t="s">
        <v>15722</v>
      </c>
      <c r="E2783" s="29" t="s">
        <v>15723</v>
      </c>
      <c r="F2783" s="30" t="s">
        <v>1572</v>
      </c>
      <c r="G2783" s="72">
        <f>DATE(2018,10,25)</f>
        <v>43398</v>
      </c>
      <c r="H2783" s="80">
        <v>1.4791666666666667</v>
      </c>
      <c r="I2783" s="30" t="s">
        <v>73</v>
      </c>
      <c r="J2783" s="72" t="s">
        <v>15724</v>
      </c>
      <c r="K2783" s="30" t="s">
        <v>1574</v>
      </c>
      <c r="L2783" s="30" t="s">
        <v>15725</v>
      </c>
      <c r="M2783" s="30" t="s">
        <v>63</v>
      </c>
      <c r="N2783" s="30" t="s">
        <v>99</v>
      </c>
      <c r="O2783" s="30" t="s">
        <v>77</v>
      </c>
      <c r="P2783" s="72" t="s">
        <v>78</v>
      </c>
      <c r="Q2783" s="72" t="s">
        <v>15570</v>
      </c>
      <c r="R2783" s="72" t="s">
        <v>6434</v>
      </c>
      <c r="S2783" s="30">
        <v>0</v>
      </c>
      <c r="T2783" s="232">
        <v>0</v>
      </c>
      <c r="U2783" s="30">
        <v>0</v>
      </c>
      <c r="V2783" s="232">
        <v>0</v>
      </c>
      <c r="W2783" s="30">
        <v>0</v>
      </c>
      <c r="X2783" s="30">
        <v>0</v>
      </c>
      <c r="Y2783" s="30">
        <v>0</v>
      </c>
      <c r="Z2783" s="232">
        <v>0</v>
      </c>
      <c r="AA2783" s="30">
        <v>0</v>
      </c>
      <c r="AB2783" s="30">
        <v>0</v>
      </c>
      <c r="AC2783" s="30">
        <v>0</v>
      </c>
      <c r="AD2783" s="30">
        <v>0</v>
      </c>
      <c r="AE2783" s="72" t="s">
        <v>92</v>
      </c>
      <c r="AF2783" s="72"/>
      <c r="AG2783" s="72" t="s">
        <v>133</v>
      </c>
      <c r="AH2783" s="72">
        <v>43399</v>
      </c>
      <c r="AI2783" s="30">
        <v>0</v>
      </c>
      <c r="AJ2783" s="72" t="s">
        <v>15726</v>
      </c>
      <c r="AK2783" s="72" t="s">
        <v>1233</v>
      </c>
      <c r="AL2783" s="70">
        <v>43403</v>
      </c>
      <c r="AM2783" s="70"/>
      <c r="AN2783" s="70"/>
      <c r="AO2783" s="70"/>
      <c r="AP2783" s="73" t="e">
        <f>MID(VLOOKUP(K2783,#REF!,2,FALSE),1,2)</f>
        <v>#REF!</v>
      </c>
      <c r="AQ2783" s="72">
        <f>DATE(2018,10,28)</f>
        <v>43401</v>
      </c>
      <c r="AR2783" s="82">
        <f t="shared" si="233"/>
        <v>28</v>
      </c>
      <c r="AS2783" s="83">
        <f t="shared" si="234"/>
        <v>10</v>
      </c>
      <c r="AT2783" s="84">
        <f t="shared" si="235"/>
        <v>2018</v>
      </c>
      <c r="AU2783" s="86"/>
      <c r="AV2783" s="86"/>
      <c r="AW2783" s="87">
        <f t="shared" si="239"/>
        <v>0</v>
      </c>
      <c r="AX2783" s="86"/>
      <c r="AY2783" s="83"/>
      <c r="AZ2783" s="84"/>
      <c r="BA2783" s="86"/>
      <c r="BB2783" s="86"/>
      <c r="BD2783" s="68"/>
    </row>
    <row r="2784" spans="1:56" s="25" customFormat="1" ht="36.75" customHeight="1">
      <c r="A2784" s="30"/>
      <c r="B2784" s="30" t="s">
        <v>55</v>
      </c>
      <c r="C2784" s="69" t="str">
        <f t="shared" si="237"/>
        <v>Closed</v>
      </c>
      <c r="D2784" s="27" t="s">
        <v>15727</v>
      </c>
      <c r="E2784" s="29" t="s">
        <v>15728</v>
      </c>
      <c r="F2784" s="30" t="s">
        <v>423</v>
      </c>
      <c r="G2784" s="72">
        <f>DATE(2018,10,28)</f>
        <v>43401</v>
      </c>
      <c r="H2784" s="80">
        <v>1.5944444444444446</v>
      </c>
      <c r="I2784" s="30" t="s">
        <v>116</v>
      </c>
      <c r="J2784" s="72" t="s">
        <v>15729</v>
      </c>
      <c r="K2784" s="30" t="s">
        <v>425</v>
      </c>
      <c r="L2784" s="30" t="s">
        <v>15730</v>
      </c>
      <c r="M2784" s="30" t="s">
        <v>63</v>
      </c>
      <c r="N2784" s="30" t="s">
        <v>99</v>
      </c>
      <c r="O2784" s="30" t="s">
        <v>64</v>
      </c>
      <c r="P2784" s="72" t="s">
        <v>165</v>
      </c>
      <c r="Q2784" s="72" t="s">
        <v>4551</v>
      </c>
      <c r="R2784" s="72" t="s">
        <v>3103</v>
      </c>
      <c r="S2784" s="30">
        <v>0</v>
      </c>
      <c r="T2784" s="232">
        <v>0</v>
      </c>
      <c r="U2784" s="30">
        <v>1</v>
      </c>
      <c r="V2784" s="232">
        <v>0</v>
      </c>
      <c r="W2784" s="30">
        <v>0</v>
      </c>
      <c r="X2784" s="30">
        <v>1</v>
      </c>
      <c r="Y2784" s="30">
        <v>0</v>
      </c>
      <c r="Z2784" s="232">
        <v>0</v>
      </c>
      <c r="AA2784" s="30">
        <v>1</v>
      </c>
      <c r="AB2784" s="30">
        <v>0</v>
      </c>
      <c r="AC2784" s="30">
        <v>0</v>
      </c>
      <c r="AD2784" s="30">
        <v>1</v>
      </c>
      <c r="AE2784" s="72" t="s">
        <v>92</v>
      </c>
      <c r="AF2784" s="72"/>
      <c r="AG2784" s="72" t="s">
        <v>874</v>
      </c>
      <c r="AH2784" s="72">
        <v>43401</v>
      </c>
      <c r="AI2784" s="30">
        <v>0</v>
      </c>
      <c r="AJ2784" s="72" t="s">
        <v>15731</v>
      </c>
      <c r="AK2784" s="72" t="s">
        <v>15732</v>
      </c>
      <c r="AL2784" s="70">
        <v>43402</v>
      </c>
      <c r="AM2784" s="70"/>
      <c r="AN2784" s="70"/>
      <c r="AO2784" s="70"/>
      <c r="AP2784" s="73" t="e">
        <f>MID(VLOOKUP(K2784,#REF!,2,FALSE),1,2)</f>
        <v>#REF!</v>
      </c>
      <c r="AQ2784" s="72">
        <f>DATE(2018,5,11)</f>
        <v>43231</v>
      </c>
      <c r="AR2784" s="82">
        <f t="shared" si="233"/>
        <v>11</v>
      </c>
      <c r="AS2784" s="83">
        <f t="shared" si="234"/>
        <v>5</v>
      </c>
      <c r="AT2784" s="84">
        <f t="shared" si="235"/>
        <v>2018</v>
      </c>
      <c r="AU2784" s="86"/>
      <c r="AV2784" s="86"/>
      <c r="AW2784" s="87">
        <f t="shared" si="239"/>
        <v>0</v>
      </c>
      <c r="AX2784" s="86"/>
      <c r="AY2784" s="83"/>
      <c r="AZ2784" s="84"/>
      <c r="BA2784" s="86"/>
      <c r="BB2784" s="86"/>
      <c r="BD2784" s="68"/>
    </row>
    <row r="2785" spans="1:56" s="25" customFormat="1" ht="36.75" customHeight="1">
      <c r="A2785" s="30"/>
      <c r="B2785" s="30" t="s">
        <v>55</v>
      </c>
      <c r="C2785" s="69" t="str">
        <f t="shared" si="237"/>
        <v>Closed</v>
      </c>
      <c r="D2785" s="27" t="s">
        <v>15733</v>
      </c>
      <c r="E2785" s="29" t="s">
        <v>15734</v>
      </c>
      <c r="F2785" s="30" t="s">
        <v>423</v>
      </c>
      <c r="G2785" s="72">
        <f>DATE(2018,11,5)</f>
        <v>43409</v>
      </c>
      <c r="H2785" s="80">
        <v>1.6131944444444444</v>
      </c>
      <c r="I2785" s="30" t="s">
        <v>116</v>
      </c>
      <c r="J2785" s="72" t="s">
        <v>15735</v>
      </c>
      <c r="K2785" s="30" t="s">
        <v>425</v>
      </c>
      <c r="L2785" s="30" t="s">
        <v>15736</v>
      </c>
      <c r="M2785" s="30" t="s">
        <v>63</v>
      </c>
      <c r="N2785" s="30" t="s">
        <v>99</v>
      </c>
      <c r="O2785" s="30" t="s">
        <v>64</v>
      </c>
      <c r="P2785" s="72" t="s">
        <v>165</v>
      </c>
      <c r="Q2785" s="72" t="s">
        <v>4551</v>
      </c>
      <c r="R2785" s="72" t="s">
        <v>3103</v>
      </c>
      <c r="S2785" s="30">
        <v>0</v>
      </c>
      <c r="T2785" s="232">
        <v>0</v>
      </c>
      <c r="U2785" s="30">
        <v>1</v>
      </c>
      <c r="V2785" s="232">
        <v>0</v>
      </c>
      <c r="W2785" s="30">
        <v>0</v>
      </c>
      <c r="X2785" s="30">
        <v>1</v>
      </c>
      <c r="Y2785" s="30">
        <v>0</v>
      </c>
      <c r="Z2785" s="232">
        <v>0</v>
      </c>
      <c r="AA2785" s="30">
        <v>0</v>
      </c>
      <c r="AB2785" s="30">
        <v>0</v>
      </c>
      <c r="AC2785" s="30">
        <v>0</v>
      </c>
      <c r="AD2785" s="30">
        <v>0</v>
      </c>
      <c r="AE2785" s="72" t="s">
        <v>92</v>
      </c>
      <c r="AF2785" s="72"/>
      <c r="AG2785" s="72" t="s">
        <v>874</v>
      </c>
      <c r="AH2785" s="72">
        <v>43231</v>
      </c>
      <c r="AI2785" s="30">
        <v>1</v>
      </c>
      <c r="AJ2785" s="72" t="s">
        <v>15108</v>
      </c>
      <c r="AK2785" s="72" t="s">
        <v>15737</v>
      </c>
      <c r="AL2785" s="70">
        <v>43413</v>
      </c>
      <c r="AM2785" s="70"/>
      <c r="AN2785" s="70"/>
      <c r="AO2785" s="70"/>
      <c r="AP2785" s="73" t="e">
        <f>MID(VLOOKUP(K2785,#REF!,2,FALSE),1,2)</f>
        <v>#REF!</v>
      </c>
      <c r="AQ2785" s="72">
        <f>DATE(2018,6,11)</f>
        <v>43262</v>
      </c>
      <c r="AR2785" s="82">
        <f t="shared" si="233"/>
        <v>11</v>
      </c>
      <c r="AS2785" s="83">
        <f t="shared" si="234"/>
        <v>6</v>
      </c>
      <c r="AT2785" s="84">
        <f t="shared" si="235"/>
        <v>2018</v>
      </c>
      <c r="AU2785" s="86"/>
      <c r="AV2785" s="86"/>
      <c r="AW2785" s="87">
        <f t="shared" si="239"/>
        <v>0</v>
      </c>
      <c r="AX2785" s="86"/>
      <c r="AY2785" s="83"/>
      <c r="AZ2785" s="84"/>
      <c r="BA2785" s="86"/>
      <c r="BB2785" s="86"/>
      <c r="BD2785" s="68"/>
    </row>
    <row r="2786" spans="1:56" s="25" customFormat="1" ht="36.75" customHeight="1">
      <c r="A2786" s="30"/>
      <c r="B2786" s="30" t="s">
        <v>55</v>
      </c>
      <c r="C2786" s="69" t="str">
        <f t="shared" si="237"/>
        <v>Closed</v>
      </c>
      <c r="D2786" s="27" t="s">
        <v>15738</v>
      </c>
      <c r="E2786" s="29" t="s">
        <v>15739</v>
      </c>
      <c r="F2786" s="30" t="s">
        <v>233</v>
      </c>
      <c r="G2786" s="72">
        <f>DATE(2018,11,6)</f>
        <v>43410</v>
      </c>
      <c r="H2786" s="80">
        <v>1.0194444444444444</v>
      </c>
      <c r="I2786" s="30" t="s">
        <v>278</v>
      </c>
      <c r="J2786" s="72" t="s">
        <v>15740</v>
      </c>
      <c r="K2786" s="30" t="s">
        <v>235</v>
      </c>
      <c r="L2786" s="30" t="s">
        <v>15741</v>
      </c>
      <c r="M2786" s="30" t="s">
        <v>63</v>
      </c>
      <c r="N2786" s="30" t="s">
        <v>89</v>
      </c>
      <c r="O2786" s="30" t="s">
        <v>64</v>
      </c>
      <c r="P2786" s="72" t="s">
        <v>6941</v>
      </c>
      <c r="Q2786" s="72" t="s">
        <v>469</v>
      </c>
      <c r="R2786" s="72" t="s">
        <v>235</v>
      </c>
      <c r="S2786" s="30">
        <v>0</v>
      </c>
      <c r="T2786" s="232">
        <v>1</v>
      </c>
      <c r="U2786" s="30">
        <v>0</v>
      </c>
      <c r="V2786" s="232">
        <v>0</v>
      </c>
      <c r="W2786" s="30">
        <v>0</v>
      </c>
      <c r="X2786" s="30">
        <v>1</v>
      </c>
      <c r="Y2786" s="30">
        <v>0</v>
      </c>
      <c r="Z2786" s="232">
        <v>0</v>
      </c>
      <c r="AA2786" s="30">
        <v>0</v>
      </c>
      <c r="AB2786" s="30">
        <v>0</v>
      </c>
      <c r="AC2786" s="30">
        <v>0</v>
      </c>
      <c r="AD2786" s="30">
        <v>0</v>
      </c>
      <c r="AE2786" s="72" t="s">
        <v>92</v>
      </c>
      <c r="AF2786" s="72"/>
      <c r="AG2786" s="72" t="s">
        <v>82</v>
      </c>
      <c r="AH2786" s="72">
        <v>43416</v>
      </c>
      <c r="AI2786" s="30">
        <v>2</v>
      </c>
      <c r="AJ2786" s="72" t="s">
        <v>15742</v>
      </c>
      <c r="AK2786" s="72" t="s">
        <v>15743</v>
      </c>
      <c r="AL2786" s="70">
        <v>43430</v>
      </c>
      <c r="AM2786" s="70"/>
      <c r="AN2786" s="70"/>
      <c r="AO2786" s="70"/>
      <c r="AP2786" s="73" t="e">
        <f>MID(VLOOKUP(K2786,#REF!,2,FALSE),1,2)</f>
        <v>#REF!</v>
      </c>
      <c r="AQ2786" s="72">
        <f>DATE(2018,7,11)</f>
        <v>43292</v>
      </c>
      <c r="AR2786" s="82">
        <f t="shared" si="233"/>
        <v>11</v>
      </c>
      <c r="AS2786" s="83">
        <f t="shared" si="234"/>
        <v>7</v>
      </c>
      <c r="AT2786" s="84">
        <f t="shared" si="235"/>
        <v>2018</v>
      </c>
      <c r="AU2786" s="86"/>
      <c r="AV2786" s="86"/>
      <c r="AW2786" s="87">
        <f t="shared" si="239"/>
        <v>0</v>
      </c>
      <c r="AX2786" s="86"/>
      <c r="AY2786" s="83"/>
      <c r="AZ2786" s="84"/>
      <c r="BA2786" s="86"/>
      <c r="BB2786" s="86"/>
      <c r="BD2786" s="68"/>
    </row>
    <row r="2787" spans="1:56" s="25" customFormat="1" ht="36.75" customHeight="1">
      <c r="A2787" s="30"/>
      <c r="B2787" s="30" t="s">
        <v>55</v>
      </c>
      <c r="C2787" s="69" t="str">
        <f t="shared" si="237"/>
        <v>Closed</v>
      </c>
      <c r="D2787" s="27" t="s">
        <v>15744</v>
      </c>
      <c r="E2787" s="29" t="s">
        <v>15745</v>
      </c>
      <c r="F2787" s="30" t="s">
        <v>1572</v>
      </c>
      <c r="G2787" s="72">
        <f>DATE(2018,11,7)</f>
        <v>43411</v>
      </c>
      <c r="H2787" s="80">
        <v>1.8958333333333335</v>
      </c>
      <c r="I2787" s="30" t="s">
        <v>73</v>
      </c>
      <c r="J2787" s="72" t="s">
        <v>15746</v>
      </c>
      <c r="K2787" s="30" t="s">
        <v>1574</v>
      </c>
      <c r="L2787" s="30" t="s">
        <v>11371</v>
      </c>
      <c r="M2787" s="30" t="s">
        <v>63</v>
      </c>
      <c r="N2787" s="30" t="s">
        <v>142</v>
      </c>
      <c r="O2787" s="30" t="s">
        <v>77</v>
      </c>
      <c r="P2787" s="72" t="s">
        <v>6941</v>
      </c>
      <c r="Q2787" s="72" t="s">
        <v>2413</v>
      </c>
      <c r="R2787" s="72" t="s">
        <v>6434</v>
      </c>
      <c r="S2787" s="30">
        <v>0</v>
      </c>
      <c r="T2787" s="232">
        <v>0</v>
      </c>
      <c r="U2787" s="30">
        <v>0</v>
      </c>
      <c r="V2787" s="232">
        <v>0</v>
      </c>
      <c r="W2787" s="30">
        <v>0</v>
      </c>
      <c r="X2787" s="30">
        <v>0</v>
      </c>
      <c r="Y2787" s="30">
        <v>0</v>
      </c>
      <c r="Z2787" s="232">
        <v>0</v>
      </c>
      <c r="AA2787" s="30">
        <v>0</v>
      </c>
      <c r="AB2787" s="30">
        <v>0</v>
      </c>
      <c r="AC2787" s="30">
        <v>0</v>
      </c>
      <c r="AD2787" s="30">
        <v>0</v>
      </c>
      <c r="AE2787" s="72" t="s">
        <v>92</v>
      </c>
      <c r="AF2787" s="72"/>
      <c r="AG2787" s="72" t="s">
        <v>133</v>
      </c>
      <c r="AH2787" s="72">
        <v>43412</v>
      </c>
      <c r="AI2787" s="30">
        <v>0</v>
      </c>
      <c r="AJ2787" s="72" t="s">
        <v>15747</v>
      </c>
      <c r="AK2787" s="72" t="s">
        <v>15748</v>
      </c>
      <c r="AL2787" s="70">
        <v>43420</v>
      </c>
      <c r="AM2787" s="70"/>
      <c r="AN2787" s="70"/>
      <c r="AO2787" s="70"/>
      <c r="AP2787" s="73" t="e">
        <f>MID(VLOOKUP(K2787,#REF!,2,FALSE),1,2)</f>
        <v>#REF!</v>
      </c>
      <c r="AQ2787" s="72">
        <f>DATE(2018,11,9)</f>
        <v>43413</v>
      </c>
      <c r="AR2787" s="82">
        <f t="shared" si="233"/>
        <v>9</v>
      </c>
      <c r="AS2787" s="83">
        <f t="shared" si="234"/>
        <v>11</v>
      </c>
      <c r="AT2787" s="84">
        <f t="shared" si="235"/>
        <v>2018</v>
      </c>
      <c r="AU2787" s="86"/>
      <c r="AV2787" s="86"/>
      <c r="AW2787" s="87">
        <f t="shared" si="239"/>
        <v>0</v>
      </c>
      <c r="AX2787" s="86"/>
      <c r="AY2787" s="83"/>
      <c r="AZ2787" s="84"/>
      <c r="BA2787" s="86"/>
      <c r="BB2787" s="86"/>
      <c r="BD2787" s="68"/>
    </row>
    <row r="2788" spans="1:56" s="25" customFormat="1" ht="36.75" customHeight="1">
      <c r="A2788" s="30"/>
      <c r="B2788" s="30" t="s">
        <v>2124</v>
      </c>
      <c r="C2788" s="69" t="str">
        <f t="shared" si="237"/>
        <v>Open</v>
      </c>
      <c r="D2788" s="27" t="s">
        <v>15749</v>
      </c>
      <c r="E2788" s="29" t="s">
        <v>15750</v>
      </c>
      <c r="F2788" s="30" t="s">
        <v>594</v>
      </c>
      <c r="G2788" s="72">
        <f>DATE(2018,11,9)</f>
        <v>43413</v>
      </c>
      <c r="H2788" s="80">
        <v>1.7041666666666666</v>
      </c>
      <c r="I2788" s="30" t="s">
        <v>7482</v>
      </c>
      <c r="J2788" s="72" t="s">
        <v>15751</v>
      </c>
      <c r="K2788" s="30" t="s">
        <v>596</v>
      </c>
      <c r="L2788" s="30" t="s">
        <v>15752</v>
      </c>
      <c r="M2788" s="30" t="s">
        <v>63</v>
      </c>
      <c r="N2788" s="30" t="s">
        <v>89</v>
      </c>
      <c r="O2788" s="30" t="s">
        <v>77</v>
      </c>
      <c r="P2788" s="72" t="s">
        <v>65</v>
      </c>
      <c r="Q2788" s="72" t="s">
        <v>10529</v>
      </c>
      <c r="R2788" s="72" t="s">
        <v>12074</v>
      </c>
      <c r="S2788" s="30">
        <v>0</v>
      </c>
      <c r="T2788" s="232">
        <v>0</v>
      </c>
      <c r="U2788" s="30">
        <v>0</v>
      </c>
      <c r="V2788" s="232">
        <v>0</v>
      </c>
      <c r="W2788" s="30">
        <v>0</v>
      </c>
      <c r="X2788" s="30">
        <v>0</v>
      </c>
      <c r="Y2788" s="30">
        <v>0</v>
      </c>
      <c r="Z2788" s="232">
        <v>0</v>
      </c>
      <c r="AA2788" s="30">
        <v>0</v>
      </c>
      <c r="AB2788" s="30">
        <v>0</v>
      </c>
      <c r="AC2788" s="30">
        <v>0</v>
      </c>
      <c r="AD2788" s="30">
        <v>0</v>
      </c>
      <c r="AE2788" s="72" t="s">
        <v>92</v>
      </c>
      <c r="AF2788" s="72"/>
      <c r="AG2788" s="72" t="s">
        <v>133</v>
      </c>
      <c r="AH2788" s="72">
        <v>43434</v>
      </c>
      <c r="AI2788" s="30">
        <v>0</v>
      </c>
      <c r="AJ2788" s="72" t="s">
        <v>68</v>
      </c>
      <c r="AK2788" s="72" t="s">
        <v>68</v>
      </c>
      <c r="AL2788" s="70">
        <v>43441</v>
      </c>
      <c r="AM2788" s="70"/>
      <c r="AN2788" s="70"/>
      <c r="AO2788" s="70"/>
      <c r="AP2788" s="73" t="e">
        <f>MID(VLOOKUP(K2788,#REF!,2,FALSE),1,2)</f>
        <v>#REF!</v>
      </c>
      <c r="AQ2788" s="72">
        <f>DATE(2018,11,11)</f>
        <v>43415</v>
      </c>
      <c r="AR2788" s="82">
        <f t="shared" si="233"/>
        <v>11</v>
      </c>
      <c r="AS2788" s="83">
        <f t="shared" si="234"/>
        <v>11</v>
      </c>
      <c r="AT2788" s="84">
        <f t="shared" si="235"/>
        <v>2018</v>
      </c>
      <c r="AU2788" s="86"/>
      <c r="AV2788" s="86"/>
      <c r="AW2788" s="87">
        <f t="shared" si="239"/>
        <v>0</v>
      </c>
      <c r="AX2788" s="86"/>
      <c r="AY2788" s="83"/>
      <c r="AZ2788" s="84"/>
      <c r="BA2788" s="86"/>
      <c r="BB2788" s="86"/>
      <c r="BD2788" s="68"/>
    </row>
    <row r="2789" spans="1:56" s="25" customFormat="1" ht="36.75" customHeight="1">
      <c r="A2789" s="30"/>
      <c r="B2789" s="30" t="s">
        <v>55</v>
      </c>
      <c r="C2789" s="69" t="str">
        <f t="shared" si="237"/>
        <v>Closed</v>
      </c>
      <c r="D2789" s="27" t="s">
        <v>15753</v>
      </c>
      <c r="E2789" s="29" t="s">
        <v>15754</v>
      </c>
      <c r="F2789" s="30" t="s">
        <v>1572</v>
      </c>
      <c r="G2789" s="72">
        <f>DATE(2018,11,11)</f>
        <v>43415</v>
      </c>
      <c r="H2789" s="80">
        <v>1.4652777777777777</v>
      </c>
      <c r="I2789" s="30" t="s">
        <v>86</v>
      </c>
      <c r="J2789" s="72" t="s">
        <v>15755</v>
      </c>
      <c r="K2789" s="30" t="s">
        <v>1574</v>
      </c>
      <c r="L2789" s="30" t="s">
        <v>15756</v>
      </c>
      <c r="M2789" s="30" t="s">
        <v>63</v>
      </c>
      <c r="N2789" s="30" t="s">
        <v>142</v>
      </c>
      <c r="O2789" s="30" t="s">
        <v>64</v>
      </c>
      <c r="P2789" s="72" t="s">
        <v>78</v>
      </c>
      <c r="Q2789" s="72" t="s">
        <v>15757</v>
      </c>
      <c r="R2789" s="72" t="s">
        <v>6434</v>
      </c>
      <c r="S2789" s="30">
        <v>0</v>
      </c>
      <c r="T2789" s="232">
        <v>0</v>
      </c>
      <c r="U2789" s="30">
        <v>0</v>
      </c>
      <c r="V2789" s="232">
        <v>0</v>
      </c>
      <c r="W2789" s="30">
        <v>0</v>
      </c>
      <c r="X2789" s="30">
        <v>0</v>
      </c>
      <c r="Y2789" s="30">
        <v>0</v>
      </c>
      <c r="Z2789" s="232">
        <v>0</v>
      </c>
      <c r="AA2789" s="30">
        <v>0</v>
      </c>
      <c r="AB2789" s="30">
        <v>0</v>
      </c>
      <c r="AC2789" s="30">
        <v>0</v>
      </c>
      <c r="AD2789" s="30">
        <v>0</v>
      </c>
      <c r="AE2789" s="72" t="s">
        <v>92</v>
      </c>
      <c r="AF2789" s="72"/>
      <c r="AG2789" s="72" t="s">
        <v>1507</v>
      </c>
      <c r="AH2789" s="72">
        <v>43420</v>
      </c>
      <c r="AI2789" s="30">
        <v>0</v>
      </c>
      <c r="AJ2789" s="72" t="s">
        <v>15758</v>
      </c>
      <c r="AK2789" s="72" t="s">
        <v>1233</v>
      </c>
      <c r="AL2789" s="70">
        <v>43424</v>
      </c>
      <c r="AM2789" s="70"/>
      <c r="AN2789" s="70"/>
      <c r="AO2789" s="70"/>
      <c r="AP2789" s="73" t="e">
        <f>MID(VLOOKUP(K2789,#REF!,2,FALSE),1,2)</f>
        <v>#REF!</v>
      </c>
      <c r="AQ2789" s="72">
        <f>DATE(2018,11,14)</f>
        <v>43418</v>
      </c>
      <c r="AR2789" s="82">
        <f t="shared" si="233"/>
        <v>14</v>
      </c>
      <c r="AS2789" s="83">
        <f t="shared" si="234"/>
        <v>11</v>
      </c>
      <c r="AT2789" s="84">
        <f t="shared" si="235"/>
        <v>2018</v>
      </c>
      <c r="AU2789" s="86"/>
      <c r="AV2789" s="86"/>
      <c r="AW2789" s="87"/>
      <c r="AX2789" s="86"/>
      <c r="AY2789" s="83"/>
      <c r="AZ2789" s="84"/>
      <c r="BA2789" s="86"/>
      <c r="BB2789" s="86"/>
      <c r="BD2789" s="68"/>
    </row>
    <row r="2790" spans="1:56" s="25" customFormat="1" ht="36.75" customHeight="1">
      <c r="A2790" s="30"/>
      <c r="B2790" s="30" t="s">
        <v>55</v>
      </c>
      <c r="C2790" s="69" t="str">
        <f t="shared" si="237"/>
        <v>Closed</v>
      </c>
      <c r="D2790" s="27" t="s">
        <v>15759</v>
      </c>
      <c r="E2790" s="29" t="s">
        <v>15760</v>
      </c>
      <c r="F2790" s="30" t="s">
        <v>624</v>
      </c>
      <c r="G2790" s="72">
        <f>DATE(2018,11,14)</f>
        <v>43418</v>
      </c>
      <c r="H2790" s="80">
        <v>0</v>
      </c>
      <c r="I2790" s="30" t="s">
        <v>104</v>
      </c>
      <c r="J2790" s="72" t="s">
        <v>4610</v>
      </c>
      <c r="K2790" s="30" t="s">
        <v>626</v>
      </c>
      <c r="L2790" s="30" t="s">
        <v>15761</v>
      </c>
      <c r="M2790" s="30" t="s">
        <v>63</v>
      </c>
      <c r="N2790" s="30" t="s">
        <v>142</v>
      </c>
      <c r="O2790" s="30" t="s">
        <v>77</v>
      </c>
      <c r="P2790" s="72" t="s">
        <v>6902</v>
      </c>
      <c r="Q2790" s="72" t="s">
        <v>7181</v>
      </c>
      <c r="R2790" s="72" t="s">
        <v>629</v>
      </c>
      <c r="S2790" s="30">
        <v>0</v>
      </c>
      <c r="T2790" s="232">
        <v>0</v>
      </c>
      <c r="U2790" s="30">
        <v>0</v>
      </c>
      <c r="V2790" s="232">
        <v>0</v>
      </c>
      <c r="W2790" s="30">
        <v>0</v>
      </c>
      <c r="X2790" s="30">
        <v>0</v>
      </c>
      <c r="Y2790" s="30">
        <v>0</v>
      </c>
      <c r="Z2790" s="232">
        <v>0</v>
      </c>
      <c r="AA2790" s="30">
        <v>0</v>
      </c>
      <c r="AB2790" s="30">
        <v>0</v>
      </c>
      <c r="AC2790" s="30">
        <v>0</v>
      </c>
      <c r="AD2790" s="30">
        <v>0</v>
      </c>
      <c r="AE2790" s="72" t="s">
        <v>92</v>
      </c>
      <c r="AF2790" s="72"/>
      <c r="AG2790" s="72" t="s">
        <v>352</v>
      </c>
      <c r="AH2790" s="72">
        <v>43418</v>
      </c>
      <c r="AI2790" s="30">
        <v>1</v>
      </c>
      <c r="AJ2790" s="72" t="s">
        <v>7952</v>
      </c>
      <c r="AK2790" s="72" t="s">
        <v>68</v>
      </c>
      <c r="AL2790" s="70">
        <v>43515</v>
      </c>
      <c r="AM2790" s="70"/>
      <c r="AN2790" s="70"/>
      <c r="AO2790" s="70"/>
      <c r="AP2790" s="73" t="e">
        <f>MID(VLOOKUP(K2790,#REF!,2,FALSE),1,2)</f>
        <v>#REF!</v>
      </c>
      <c r="AQ2790" s="72">
        <f>DATE(2018,11,15)</f>
        <v>43419</v>
      </c>
      <c r="AR2790" s="82">
        <f t="shared" si="233"/>
        <v>15</v>
      </c>
      <c r="AS2790" s="83">
        <f t="shared" si="234"/>
        <v>11</v>
      </c>
      <c r="AT2790" s="84">
        <f t="shared" si="235"/>
        <v>2018</v>
      </c>
      <c r="AU2790" s="86"/>
      <c r="AV2790" s="86"/>
      <c r="AW2790" s="87"/>
      <c r="AX2790" s="86"/>
      <c r="AY2790" s="83"/>
      <c r="AZ2790" s="84"/>
      <c r="BA2790" s="86"/>
      <c r="BB2790" s="86"/>
      <c r="BD2790" s="68"/>
    </row>
    <row r="2791" spans="1:56" s="25" customFormat="1" ht="36.75" customHeight="1">
      <c r="A2791" s="30"/>
      <c r="B2791" s="30" t="s">
        <v>55</v>
      </c>
      <c r="C2791" s="69" t="str">
        <f t="shared" si="237"/>
        <v>Closed</v>
      </c>
      <c r="D2791" s="27" t="s">
        <v>15762</v>
      </c>
      <c r="E2791" s="29" t="s">
        <v>15763</v>
      </c>
      <c r="F2791" s="30" t="s">
        <v>423</v>
      </c>
      <c r="G2791" s="72">
        <f>DATE(2018,11,15)</f>
        <v>43419</v>
      </c>
      <c r="H2791" s="80">
        <v>1.9298611111111112</v>
      </c>
      <c r="I2791" s="30" t="s">
        <v>198</v>
      </c>
      <c r="J2791" s="72" t="s">
        <v>15764</v>
      </c>
      <c r="K2791" s="30" t="s">
        <v>425</v>
      </c>
      <c r="L2791" s="30" t="s">
        <v>15765</v>
      </c>
      <c r="M2791" s="30" t="s">
        <v>63</v>
      </c>
      <c r="N2791" s="30" t="s">
        <v>99</v>
      </c>
      <c r="O2791" s="30" t="s">
        <v>86</v>
      </c>
      <c r="P2791" s="72" t="s">
        <v>15766</v>
      </c>
      <c r="Q2791" s="72" t="s">
        <v>15767</v>
      </c>
      <c r="R2791" s="72" t="s">
        <v>15767</v>
      </c>
      <c r="S2791" s="30">
        <v>0</v>
      </c>
      <c r="T2791" s="232">
        <v>0</v>
      </c>
      <c r="U2791" s="30">
        <v>0</v>
      </c>
      <c r="V2791" s="232">
        <v>0</v>
      </c>
      <c r="W2791" s="30">
        <v>0</v>
      </c>
      <c r="X2791" s="30">
        <v>0</v>
      </c>
      <c r="Y2791" s="30">
        <v>0</v>
      </c>
      <c r="Z2791" s="232">
        <v>0</v>
      </c>
      <c r="AA2791" s="30">
        <v>0</v>
      </c>
      <c r="AB2791" s="30">
        <v>0</v>
      </c>
      <c r="AC2791" s="30">
        <v>0</v>
      </c>
      <c r="AD2791" s="30">
        <v>0</v>
      </c>
      <c r="AE2791" s="72" t="s">
        <v>394</v>
      </c>
      <c r="AF2791" s="72"/>
      <c r="AG2791" s="72" t="s">
        <v>133</v>
      </c>
      <c r="AH2791" s="72">
        <v>43771</v>
      </c>
      <c r="AI2791" s="30">
        <v>0</v>
      </c>
      <c r="AJ2791" s="72" t="s">
        <v>15768</v>
      </c>
      <c r="AK2791" s="72" t="s">
        <v>15769</v>
      </c>
      <c r="AL2791" s="70">
        <v>43507</v>
      </c>
      <c r="AM2791" s="70"/>
      <c r="AN2791" s="70"/>
      <c r="AO2791" s="70"/>
      <c r="AP2791" s="73" t="e">
        <f>MID(VLOOKUP(K2791,#REF!,2,FALSE),1,2)</f>
        <v>#REF!</v>
      </c>
      <c r="AQ2791" s="72">
        <f>DATE(2018,11,16)</f>
        <v>43420</v>
      </c>
      <c r="AR2791" s="82">
        <f t="shared" si="233"/>
        <v>16</v>
      </c>
      <c r="AS2791" s="83">
        <f t="shared" si="234"/>
        <v>11</v>
      </c>
      <c r="AT2791" s="84">
        <f t="shared" si="235"/>
        <v>2018</v>
      </c>
      <c r="AU2791" s="86"/>
      <c r="AV2791" s="86"/>
      <c r="AW2791" s="87">
        <f t="shared" ref="AW2791:AW2799" si="240">AU2791-AV2791</f>
        <v>0</v>
      </c>
      <c r="AX2791" s="86"/>
      <c r="AY2791" s="83"/>
      <c r="AZ2791" s="84"/>
      <c r="BA2791" s="86"/>
      <c r="BB2791" s="86"/>
      <c r="BD2791" s="68"/>
    </row>
    <row r="2792" spans="1:56" s="25" customFormat="1" ht="36.75" customHeight="1">
      <c r="A2792" s="30"/>
      <c r="B2792" s="30" t="s">
        <v>55</v>
      </c>
      <c r="C2792" s="69" t="str">
        <f t="shared" si="237"/>
        <v>Closed</v>
      </c>
      <c r="D2792" s="27" t="s">
        <v>15770</v>
      </c>
      <c r="E2792" s="29" t="s">
        <v>15771</v>
      </c>
      <c r="F2792" s="30" t="s">
        <v>1572</v>
      </c>
      <c r="G2792" s="72">
        <f>DATE(2018,11,16)</f>
        <v>43420</v>
      </c>
      <c r="H2792" s="80">
        <v>1.4965277777777777</v>
      </c>
      <c r="I2792" s="30" t="s">
        <v>73</v>
      </c>
      <c r="J2792" s="72" t="s">
        <v>15772</v>
      </c>
      <c r="K2792" s="30" t="s">
        <v>1574</v>
      </c>
      <c r="L2792" s="30" t="s">
        <v>15773</v>
      </c>
      <c r="M2792" s="30" t="s">
        <v>63</v>
      </c>
      <c r="N2792" s="30" t="s">
        <v>142</v>
      </c>
      <c r="O2792" s="30" t="s">
        <v>64</v>
      </c>
      <c r="P2792" s="72" t="s">
        <v>301</v>
      </c>
      <c r="Q2792" s="72" t="s">
        <v>6434</v>
      </c>
      <c r="R2792" s="72" t="s">
        <v>6434</v>
      </c>
      <c r="S2792" s="30">
        <v>0</v>
      </c>
      <c r="T2792" s="232">
        <v>0</v>
      </c>
      <c r="U2792" s="30">
        <v>0</v>
      </c>
      <c r="V2792" s="232">
        <v>0</v>
      </c>
      <c r="W2792" s="30">
        <v>0</v>
      </c>
      <c r="X2792" s="30">
        <v>0</v>
      </c>
      <c r="Y2792" s="30">
        <v>0</v>
      </c>
      <c r="Z2792" s="232">
        <v>0</v>
      </c>
      <c r="AA2792" s="30">
        <v>0</v>
      </c>
      <c r="AB2792" s="30">
        <v>0</v>
      </c>
      <c r="AC2792" s="30">
        <v>0</v>
      </c>
      <c r="AD2792" s="30">
        <v>0</v>
      </c>
      <c r="AE2792" s="72" t="s">
        <v>92</v>
      </c>
      <c r="AF2792" s="72"/>
      <c r="AG2792" s="72" t="s">
        <v>133</v>
      </c>
      <c r="AH2792" s="72">
        <v>43423</v>
      </c>
      <c r="AI2792" s="30">
        <v>1</v>
      </c>
      <c r="AJ2792" s="72" t="s">
        <v>15774</v>
      </c>
      <c r="AK2792" s="72" t="s">
        <v>15775</v>
      </c>
      <c r="AL2792" s="70">
        <v>43426</v>
      </c>
      <c r="AM2792" s="70"/>
      <c r="AN2792" s="70"/>
      <c r="AO2792" s="70"/>
      <c r="AP2792" s="73" t="e">
        <f>MID(VLOOKUP(K2792,#REF!,2,FALSE),1,2)</f>
        <v>#REF!</v>
      </c>
      <c r="AQ2792" s="72">
        <f>DATE(2018,11,17)</f>
        <v>43421</v>
      </c>
      <c r="AR2792" s="82">
        <f t="shared" si="233"/>
        <v>17</v>
      </c>
      <c r="AS2792" s="83">
        <f t="shared" si="234"/>
        <v>11</v>
      </c>
      <c r="AT2792" s="84">
        <f t="shared" si="235"/>
        <v>2018</v>
      </c>
      <c r="AU2792" s="86"/>
      <c r="AV2792" s="86"/>
      <c r="AW2792" s="87">
        <f t="shared" si="240"/>
        <v>0</v>
      </c>
      <c r="AX2792" s="86"/>
      <c r="AY2792" s="83"/>
      <c r="AZ2792" s="84"/>
      <c r="BA2792" s="86"/>
      <c r="BB2792" s="86"/>
      <c r="BD2792" s="68"/>
    </row>
    <row r="2793" spans="1:56" s="25" customFormat="1" ht="36.75" customHeight="1">
      <c r="A2793" s="30"/>
      <c r="B2793" s="30" t="s">
        <v>55</v>
      </c>
      <c r="C2793" s="69" t="str">
        <f t="shared" si="237"/>
        <v>Closed</v>
      </c>
      <c r="D2793" s="27" t="s">
        <v>15776</v>
      </c>
      <c r="E2793" s="29" t="s">
        <v>15777</v>
      </c>
      <c r="F2793" s="30" t="s">
        <v>2336</v>
      </c>
      <c r="G2793" s="72">
        <f>DATE(2018,11,17)</f>
        <v>43421</v>
      </c>
      <c r="H2793" s="80">
        <v>1.4930555555555556</v>
      </c>
      <c r="I2793" s="30" t="s">
        <v>116</v>
      </c>
      <c r="J2793" s="72" t="s">
        <v>15778</v>
      </c>
      <c r="K2793" s="30" t="s">
        <v>2338</v>
      </c>
      <c r="L2793" s="30" t="s">
        <v>15779</v>
      </c>
      <c r="M2793" s="30" t="s">
        <v>63</v>
      </c>
      <c r="N2793" s="30" t="s">
        <v>99</v>
      </c>
      <c r="O2793" s="30" t="s">
        <v>64</v>
      </c>
      <c r="P2793" s="72"/>
      <c r="Q2793" s="72" t="s">
        <v>2338</v>
      </c>
      <c r="R2793" s="72" t="s">
        <v>15780</v>
      </c>
      <c r="S2793" s="30">
        <v>0</v>
      </c>
      <c r="T2793" s="232">
        <v>0</v>
      </c>
      <c r="U2793" s="30">
        <v>2</v>
      </c>
      <c r="V2793" s="232">
        <v>0</v>
      </c>
      <c r="W2793" s="30">
        <v>0</v>
      </c>
      <c r="X2793" s="30">
        <v>2</v>
      </c>
      <c r="Y2793" s="30">
        <v>0</v>
      </c>
      <c r="Z2793" s="232">
        <v>0</v>
      </c>
      <c r="AA2793" s="30">
        <v>0</v>
      </c>
      <c r="AB2793" s="30">
        <v>0</v>
      </c>
      <c r="AC2793" s="30">
        <v>0</v>
      </c>
      <c r="AD2793" s="30">
        <v>0</v>
      </c>
      <c r="AE2793" s="72" t="s">
        <v>92</v>
      </c>
      <c r="AF2793" s="72"/>
      <c r="AG2793" s="72" t="s">
        <v>82</v>
      </c>
      <c r="AH2793" s="72">
        <v>43426</v>
      </c>
      <c r="AI2793" s="30">
        <v>6</v>
      </c>
      <c r="AJ2793" s="72" t="s">
        <v>15781</v>
      </c>
      <c r="AK2793" s="72" t="s">
        <v>15782</v>
      </c>
      <c r="AL2793" s="70">
        <v>43430</v>
      </c>
      <c r="AM2793" s="70"/>
      <c r="AN2793" s="70"/>
      <c r="AO2793" s="70"/>
      <c r="AP2793" s="73" t="e">
        <f>MID(VLOOKUP(K2793,#REF!,2,FALSE),1,2)</f>
        <v>#REF!</v>
      </c>
      <c r="AQ2793" s="72">
        <f>DATE(2018,11,18)</f>
        <v>43422</v>
      </c>
      <c r="AR2793" s="82">
        <f t="shared" si="233"/>
        <v>18</v>
      </c>
      <c r="AS2793" s="83">
        <f t="shared" si="234"/>
        <v>11</v>
      </c>
      <c r="AT2793" s="84">
        <f t="shared" si="235"/>
        <v>2018</v>
      </c>
      <c r="AU2793" s="86"/>
      <c r="AV2793" s="86"/>
      <c r="AW2793" s="87">
        <f t="shared" si="240"/>
        <v>0</v>
      </c>
      <c r="AX2793" s="86"/>
      <c r="AY2793" s="83"/>
      <c r="AZ2793" s="84"/>
      <c r="BA2793" s="86"/>
      <c r="BB2793" s="86"/>
      <c r="BD2793" s="68"/>
    </row>
    <row r="2794" spans="1:56" s="25" customFormat="1" ht="36.75" customHeight="1">
      <c r="A2794" s="30"/>
      <c r="B2794" s="30" t="s">
        <v>55</v>
      </c>
      <c r="C2794" s="69" t="str">
        <f t="shared" si="237"/>
        <v>Closed</v>
      </c>
      <c r="D2794" s="27" t="s">
        <v>15783</v>
      </c>
      <c r="E2794" s="29" t="s">
        <v>15784</v>
      </c>
      <c r="F2794" s="30" t="s">
        <v>423</v>
      </c>
      <c r="G2794" s="72">
        <f>DATE(2018,11,18)</f>
        <v>43422</v>
      </c>
      <c r="H2794" s="80">
        <v>1.8944444444444444</v>
      </c>
      <c r="I2794" s="30" t="s">
        <v>73</v>
      </c>
      <c r="J2794" s="72" t="s">
        <v>15785</v>
      </c>
      <c r="K2794" s="30" t="s">
        <v>425</v>
      </c>
      <c r="L2794" s="30" t="s">
        <v>11446</v>
      </c>
      <c r="M2794" s="30" t="s">
        <v>63</v>
      </c>
      <c r="N2794" s="30" t="s">
        <v>142</v>
      </c>
      <c r="O2794" s="30" t="s">
        <v>77</v>
      </c>
      <c r="P2794" s="72" t="s">
        <v>78</v>
      </c>
      <c r="Q2794" s="72" t="s">
        <v>5199</v>
      </c>
      <c r="R2794" s="72" t="s">
        <v>3103</v>
      </c>
      <c r="S2794" s="30">
        <v>0</v>
      </c>
      <c r="T2794" s="232">
        <v>0</v>
      </c>
      <c r="U2794" s="30">
        <v>0</v>
      </c>
      <c r="V2794" s="232">
        <v>0</v>
      </c>
      <c r="W2794" s="30">
        <v>0</v>
      </c>
      <c r="X2794" s="30">
        <v>0</v>
      </c>
      <c r="Y2794" s="30">
        <v>0</v>
      </c>
      <c r="Z2794" s="232">
        <v>0</v>
      </c>
      <c r="AA2794" s="30">
        <v>0</v>
      </c>
      <c r="AB2794" s="30">
        <v>0</v>
      </c>
      <c r="AC2794" s="30">
        <v>0</v>
      </c>
      <c r="AD2794" s="30">
        <v>0</v>
      </c>
      <c r="AE2794" s="72" t="s">
        <v>394</v>
      </c>
      <c r="AF2794" s="72"/>
      <c r="AG2794" s="72" t="s">
        <v>82</v>
      </c>
      <c r="AH2794" s="72">
        <v>43422</v>
      </c>
      <c r="AI2794" s="30">
        <v>1</v>
      </c>
      <c r="AJ2794" s="72" t="s">
        <v>15786</v>
      </c>
      <c r="AK2794" s="72" t="s">
        <v>15787</v>
      </c>
      <c r="AL2794" s="70">
        <v>43426</v>
      </c>
      <c r="AM2794" s="70"/>
      <c r="AN2794" s="70"/>
      <c r="AO2794" s="70"/>
      <c r="AP2794" s="73" t="e">
        <f>MID(VLOOKUP(K2794,#REF!,2,FALSE),1,2)</f>
        <v>#REF!</v>
      </c>
      <c r="AQ2794" s="72">
        <f>DATE(2018,11,18)</f>
        <v>43422</v>
      </c>
      <c r="AR2794" s="82">
        <f t="shared" si="233"/>
        <v>18</v>
      </c>
      <c r="AS2794" s="83">
        <f t="shared" si="234"/>
        <v>11</v>
      </c>
      <c r="AT2794" s="84">
        <f t="shared" si="235"/>
        <v>2018</v>
      </c>
      <c r="AU2794" s="86"/>
      <c r="AV2794" s="86"/>
      <c r="AW2794" s="87">
        <f t="shared" si="240"/>
        <v>0</v>
      </c>
      <c r="AX2794" s="86"/>
      <c r="AY2794" s="83"/>
      <c r="AZ2794" s="84"/>
      <c r="BA2794" s="86"/>
      <c r="BB2794" s="86"/>
      <c r="BD2794" s="68"/>
    </row>
    <row r="2795" spans="1:56" s="25" customFormat="1" ht="36.75" customHeight="1">
      <c r="A2795" s="30"/>
      <c r="B2795" s="30" t="s">
        <v>55</v>
      </c>
      <c r="C2795" s="69" t="str">
        <f t="shared" si="237"/>
        <v>Closed</v>
      </c>
      <c r="D2795" s="27" t="s">
        <v>15788</v>
      </c>
      <c r="E2795" s="29" t="s">
        <v>15789</v>
      </c>
      <c r="F2795" s="30" t="s">
        <v>1572</v>
      </c>
      <c r="G2795" s="72">
        <f>DATE(2018,11,18)</f>
        <v>43422</v>
      </c>
      <c r="H2795" s="80">
        <v>1.9270833333333335</v>
      </c>
      <c r="I2795" s="30" t="s">
        <v>125</v>
      </c>
      <c r="J2795" s="72" t="s">
        <v>15790</v>
      </c>
      <c r="K2795" s="30" t="s">
        <v>1574</v>
      </c>
      <c r="L2795" s="30" t="s">
        <v>15791</v>
      </c>
      <c r="M2795" s="30" t="s">
        <v>63</v>
      </c>
      <c r="N2795" s="30" t="s">
        <v>99</v>
      </c>
      <c r="O2795" s="30" t="s">
        <v>64</v>
      </c>
      <c r="P2795" s="72" t="s">
        <v>6941</v>
      </c>
      <c r="Q2795" s="72" t="s">
        <v>2413</v>
      </c>
      <c r="R2795" s="72" t="s">
        <v>6434</v>
      </c>
      <c r="S2795" s="30">
        <v>0</v>
      </c>
      <c r="T2795" s="232">
        <v>0</v>
      </c>
      <c r="U2795" s="30">
        <v>0</v>
      </c>
      <c r="V2795" s="232">
        <v>0</v>
      </c>
      <c r="W2795" s="30">
        <v>0</v>
      </c>
      <c r="X2795" s="30">
        <v>0</v>
      </c>
      <c r="Y2795" s="30">
        <v>0</v>
      </c>
      <c r="Z2795" s="232">
        <v>0</v>
      </c>
      <c r="AA2795" s="30">
        <v>0</v>
      </c>
      <c r="AB2795" s="30">
        <v>0</v>
      </c>
      <c r="AC2795" s="30">
        <v>0</v>
      </c>
      <c r="AD2795" s="30">
        <v>0</v>
      </c>
      <c r="AE2795" s="72" t="s">
        <v>394</v>
      </c>
      <c r="AF2795" s="72"/>
      <c r="AG2795" s="72" t="s">
        <v>133</v>
      </c>
      <c r="AH2795" s="72">
        <v>43423</v>
      </c>
      <c r="AI2795" s="30">
        <v>3</v>
      </c>
      <c r="AJ2795" s="72" t="s">
        <v>15792</v>
      </c>
      <c r="AK2795" s="72" t="s">
        <v>15793</v>
      </c>
      <c r="AL2795" s="70">
        <v>43427</v>
      </c>
      <c r="AM2795" s="70"/>
      <c r="AN2795" s="70"/>
      <c r="AO2795" s="70"/>
      <c r="AP2795" s="73" t="e">
        <f>MID(VLOOKUP(K2795,#REF!,2,FALSE),1,2)</f>
        <v>#REF!</v>
      </c>
      <c r="AQ2795" s="72">
        <f>DATE(2018,11,20)</f>
        <v>43424</v>
      </c>
      <c r="AR2795" s="82">
        <f t="shared" si="233"/>
        <v>20</v>
      </c>
      <c r="AS2795" s="83">
        <f t="shared" si="234"/>
        <v>11</v>
      </c>
      <c r="AT2795" s="84">
        <f t="shared" si="235"/>
        <v>2018</v>
      </c>
      <c r="AU2795" s="86"/>
      <c r="AV2795" s="86"/>
      <c r="AW2795" s="87">
        <f t="shared" si="240"/>
        <v>0</v>
      </c>
      <c r="AX2795" s="86"/>
      <c r="AY2795" s="83"/>
      <c r="AZ2795" s="84"/>
      <c r="BA2795" s="86"/>
      <c r="BB2795" s="86"/>
      <c r="BD2795" s="68"/>
    </row>
    <row r="2796" spans="1:56" s="25" customFormat="1" ht="36.75" customHeight="1">
      <c r="A2796" s="30"/>
      <c r="B2796" s="30" t="s">
        <v>55</v>
      </c>
      <c r="C2796" s="69" t="str">
        <f t="shared" si="237"/>
        <v>Closed</v>
      </c>
      <c r="D2796" s="27" t="s">
        <v>15794</v>
      </c>
      <c r="E2796" s="29" t="s">
        <v>15795</v>
      </c>
      <c r="F2796" s="30" t="s">
        <v>423</v>
      </c>
      <c r="G2796" s="72">
        <f>DATE(2018,11,20)</f>
        <v>43424</v>
      </c>
      <c r="H2796" s="80">
        <v>1.2041666666666666</v>
      </c>
      <c r="I2796" s="30" t="s">
        <v>198</v>
      </c>
      <c r="J2796" s="72" t="s">
        <v>15796</v>
      </c>
      <c r="K2796" s="30" t="s">
        <v>425</v>
      </c>
      <c r="L2796" s="30" t="s">
        <v>15797</v>
      </c>
      <c r="M2796" s="30" t="s">
        <v>63</v>
      </c>
      <c r="N2796" s="30" t="s">
        <v>142</v>
      </c>
      <c r="O2796" s="30" t="s">
        <v>64</v>
      </c>
      <c r="P2796" s="72" t="s">
        <v>78</v>
      </c>
      <c r="Q2796" s="72" t="s">
        <v>2582</v>
      </c>
      <c r="R2796" s="72" t="s">
        <v>3103</v>
      </c>
      <c r="S2796" s="30">
        <v>0</v>
      </c>
      <c r="T2796" s="232">
        <v>0</v>
      </c>
      <c r="U2796" s="30">
        <v>0</v>
      </c>
      <c r="V2796" s="232">
        <v>0</v>
      </c>
      <c r="W2796" s="30">
        <v>0</v>
      </c>
      <c r="X2796" s="30">
        <v>0</v>
      </c>
      <c r="Y2796" s="30">
        <v>0</v>
      </c>
      <c r="Z2796" s="232">
        <v>0</v>
      </c>
      <c r="AA2796" s="30">
        <v>0</v>
      </c>
      <c r="AB2796" s="30">
        <v>0</v>
      </c>
      <c r="AC2796" s="30">
        <v>0</v>
      </c>
      <c r="AD2796" s="30">
        <v>0</v>
      </c>
      <c r="AE2796" s="72" t="s">
        <v>92</v>
      </c>
      <c r="AF2796" s="72"/>
      <c r="AG2796" s="72" t="s">
        <v>133</v>
      </c>
      <c r="AH2796" s="72">
        <v>43424</v>
      </c>
      <c r="AI2796" s="30">
        <v>0</v>
      </c>
      <c r="AJ2796" s="72" t="s">
        <v>15798</v>
      </c>
      <c r="AK2796" s="72" t="s">
        <v>15799</v>
      </c>
      <c r="AL2796" s="70">
        <v>43426</v>
      </c>
      <c r="AM2796" s="70"/>
      <c r="AN2796" s="70"/>
      <c r="AO2796" s="70"/>
      <c r="AP2796" s="73" t="e">
        <f>MID(VLOOKUP(K2796,#REF!,2,FALSE),1,2)</f>
        <v>#REF!</v>
      </c>
      <c r="AQ2796" s="72">
        <f>DATE(2018,11,20)</f>
        <v>43424</v>
      </c>
      <c r="AR2796" s="82">
        <f t="shared" si="233"/>
        <v>20</v>
      </c>
      <c r="AS2796" s="83">
        <f t="shared" si="234"/>
        <v>11</v>
      </c>
      <c r="AT2796" s="84">
        <f t="shared" si="235"/>
        <v>2018</v>
      </c>
      <c r="AU2796" s="86"/>
      <c r="AV2796" s="86"/>
      <c r="AW2796" s="87">
        <f t="shared" si="240"/>
        <v>0</v>
      </c>
      <c r="AX2796" s="86"/>
      <c r="AY2796" s="83"/>
      <c r="AZ2796" s="84"/>
      <c r="BA2796" s="86"/>
      <c r="BB2796" s="86"/>
      <c r="BD2796" s="68"/>
    </row>
    <row r="2797" spans="1:56" s="25" customFormat="1" ht="36.75" customHeight="1">
      <c r="A2797" s="30"/>
      <c r="B2797" s="30" t="s">
        <v>55</v>
      </c>
      <c r="C2797" s="69" t="str">
        <f t="shared" si="237"/>
        <v>Closed</v>
      </c>
      <c r="D2797" s="27" t="s">
        <v>15800</v>
      </c>
      <c r="E2797" s="29" t="s">
        <v>15801</v>
      </c>
      <c r="F2797" s="30" t="s">
        <v>638</v>
      </c>
      <c r="G2797" s="72">
        <f>DATE(2018,11,20)</f>
        <v>43424</v>
      </c>
      <c r="H2797" s="80">
        <v>1.2611111111111111</v>
      </c>
      <c r="I2797" s="30" t="s">
        <v>73</v>
      </c>
      <c r="J2797" s="72" t="s">
        <v>15802</v>
      </c>
      <c r="K2797" s="30" t="s">
        <v>640</v>
      </c>
      <c r="L2797" s="30" t="s">
        <v>15803</v>
      </c>
      <c r="M2797" s="30" t="s">
        <v>63</v>
      </c>
      <c r="N2797" s="30" t="s">
        <v>142</v>
      </c>
      <c r="O2797" s="30" t="s">
        <v>64</v>
      </c>
      <c r="P2797" s="72" t="s">
        <v>6902</v>
      </c>
      <c r="Q2797" s="72" t="s">
        <v>1185</v>
      </c>
      <c r="R2797" s="72" t="s">
        <v>643</v>
      </c>
      <c r="S2797" s="30">
        <v>1</v>
      </c>
      <c r="T2797" s="232">
        <v>0</v>
      </c>
      <c r="U2797" s="30">
        <v>0</v>
      </c>
      <c r="V2797" s="232">
        <v>0</v>
      </c>
      <c r="W2797" s="30">
        <v>0</v>
      </c>
      <c r="X2797" s="30">
        <v>1</v>
      </c>
      <c r="Y2797" s="30">
        <v>4</v>
      </c>
      <c r="Z2797" s="232">
        <v>1</v>
      </c>
      <c r="AA2797" s="30">
        <v>0</v>
      </c>
      <c r="AB2797" s="30">
        <v>0</v>
      </c>
      <c r="AC2797" s="30">
        <v>0</v>
      </c>
      <c r="AD2797" s="30">
        <v>5</v>
      </c>
      <c r="AE2797" s="72" t="s">
        <v>92</v>
      </c>
      <c r="AF2797" s="72"/>
      <c r="AG2797" s="72" t="s">
        <v>82</v>
      </c>
      <c r="AH2797" s="72">
        <v>43424</v>
      </c>
      <c r="AI2797" s="30">
        <v>4</v>
      </c>
      <c r="AJ2797" s="72" t="s">
        <v>15804</v>
      </c>
      <c r="AK2797" s="72" t="s">
        <v>15805</v>
      </c>
      <c r="AL2797" s="70">
        <v>43432</v>
      </c>
      <c r="AM2797" s="70"/>
      <c r="AN2797" s="70"/>
      <c r="AO2797" s="70"/>
      <c r="AP2797" s="73" t="e">
        <f>MID(VLOOKUP(K2797,#REF!,2,FALSE),1,2)</f>
        <v>#REF!</v>
      </c>
      <c r="AQ2797" s="72">
        <f>DATE(2018,11,22)</f>
        <v>43426</v>
      </c>
      <c r="AR2797" s="82">
        <f t="shared" si="233"/>
        <v>22</v>
      </c>
      <c r="AS2797" s="83">
        <f t="shared" si="234"/>
        <v>11</v>
      </c>
      <c r="AT2797" s="84">
        <f t="shared" si="235"/>
        <v>2018</v>
      </c>
      <c r="AU2797" s="86"/>
      <c r="AV2797" s="86"/>
      <c r="AW2797" s="87">
        <f t="shared" si="240"/>
        <v>0</v>
      </c>
      <c r="AX2797" s="86"/>
      <c r="AY2797" s="83"/>
      <c r="AZ2797" s="84"/>
      <c r="BA2797" s="86"/>
      <c r="BB2797" s="86"/>
      <c r="BD2797" s="68"/>
    </row>
    <row r="2798" spans="1:56" s="25" customFormat="1" ht="36.75" customHeight="1">
      <c r="A2798" s="30"/>
      <c r="B2798" s="30" t="s">
        <v>55</v>
      </c>
      <c r="C2798" s="69" t="str">
        <f t="shared" si="237"/>
        <v>Closed</v>
      </c>
      <c r="D2798" s="27" t="s">
        <v>15806</v>
      </c>
      <c r="E2798" s="29" t="s">
        <v>15807</v>
      </c>
      <c r="F2798" s="30" t="s">
        <v>423</v>
      </c>
      <c r="G2798" s="72">
        <f>DATE(2018,11,22)</f>
        <v>43426</v>
      </c>
      <c r="H2798" s="80">
        <v>1.5812499999999998</v>
      </c>
      <c r="I2798" s="30" t="s">
        <v>198</v>
      </c>
      <c r="J2798" s="72" t="s">
        <v>15808</v>
      </c>
      <c r="K2798" s="30" t="s">
        <v>425</v>
      </c>
      <c r="L2798" s="30" t="s">
        <v>15809</v>
      </c>
      <c r="M2798" s="30" t="s">
        <v>255</v>
      </c>
      <c r="N2798" s="30" t="s">
        <v>142</v>
      </c>
      <c r="O2798" s="30" t="s">
        <v>64</v>
      </c>
      <c r="P2798" s="72" t="s">
        <v>6552</v>
      </c>
      <c r="Q2798" s="72" t="s">
        <v>6553</v>
      </c>
      <c r="R2798" s="72" t="s">
        <v>6554</v>
      </c>
      <c r="S2798" s="30">
        <v>0</v>
      </c>
      <c r="T2798" s="232">
        <v>0</v>
      </c>
      <c r="U2798" s="30">
        <v>0</v>
      </c>
      <c r="V2798" s="232">
        <v>0</v>
      </c>
      <c r="W2798" s="30">
        <v>0</v>
      </c>
      <c r="X2798" s="30">
        <v>0</v>
      </c>
      <c r="Y2798" s="30">
        <v>0</v>
      </c>
      <c r="Z2798" s="232">
        <v>0</v>
      </c>
      <c r="AA2798" s="30">
        <v>0</v>
      </c>
      <c r="AB2798" s="30">
        <v>0</v>
      </c>
      <c r="AC2798" s="30">
        <v>0</v>
      </c>
      <c r="AD2798" s="30">
        <v>0</v>
      </c>
      <c r="AE2798" s="72" t="s">
        <v>92</v>
      </c>
      <c r="AF2798" s="72"/>
      <c r="AG2798" s="72" t="s">
        <v>133</v>
      </c>
      <c r="AH2798" s="72">
        <v>43426</v>
      </c>
      <c r="AI2798" s="30">
        <v>0</v>
      </c>
      <c r="AJ2798" s="72" t="s">
        <v>15810</v>
      </c>
      <c r="AK2798" s="72" t="s">
        <v>15811</v>
      </c>
      <c r="AL2798" s="70">
        <v>43431</v>
      </c>
      <c r="AM2798" s="70"/>
      <c r="AN2798" s="70"/>
      <c r="AO2798" s="70"/>
      <c r="AP2798" s="73" t="e">
        <f>MID(VLOOKUP(K2798,#REF!,2,FALSE),1,2)</f>
        <v>#REF!</v>
      </c>
      <c r="AQ2798" s="72">
        <f>DATE(2018,11,22)</f>
        <v>43426</v>
      </c>
      <c r="AR2798" s="82">
        <f t="shared" si="233"/>
        <v>22</v>
      </c>
      <c r="AS2798" s="83">
        <f t="shared" si="234"/>
        <v>11</v>
      </c>
      <c r="AT2798" s="84">
        <f t="shared" si="235"/>
        <v>2018</v>
      </c>
      <c r="AU2798" s="86"/>
      <c r="AV2798" s="86"/>
      <c r="AW2798" s="87">
        <f t="shared" si="240"/>
        <v>0</v>
      </c>
      <c r="AX2798" s="86"/>
      <c r="AY2798" s="83"/>
      <c r="AZ2798" s="84"/>
      <c r="BA2798" s="86"/>
      <c r="BB2798" s="86"/>
      <c r="BD2798" s="68"/>
    </row>
    <row r="2799" spans="1:56" s="25" customFormat="1" ht="36.75" customHeight="1">
      <c r="A2799" s="30"/>
      <c r="B2799" s="30" t="s">
        <v>55</v>
      </c>
      <c r="C2799" s="69" t="str">
        <f t="shared" si="237"/>
        <v>Closed</v>
      </c>
      <c r="D2799" s="27" t="s">
        <v>15812</v>
      </c>
      <c r="E2799" s="29" t="s">
        <v>15813</v>
      </c>
      <c r="F2799" s="30" t="s">
        <v>423</v>
      </c>
      <c r="G2799" s="72">
        <f>DATE(2018,11,22)</f>
        <v>43426</v>
      </c>
      <c r="H2799" s="80">
        <v>1.9388888888888891</v>
      </c>
      <c r="I2799" s="30" t="s">
        <v>73</v>
      </c>
      <c r="J2799" s="72" t="s">
        <v>15814</v>
      </c>
      <c r="K2799" s="30" t="s">
        <v>425</v>
      </c>
      <c r="L2799" s="30" t="s">
        <v>15815</v>
      </c>
      <c r="M2799" s="30" t="s">
        <v>63</v>
      </c>
      <c r="N2799" s="30" t="s">
        <v>99</v>
      </c>
      <c r="O2799" s="30" t="s">
        <v>77</v>
      </c>
      <c r="P2799" s="72" t="s">
        <v>91</v>
      </c>
      <c r="Q2799" s="72" t="s">
        <v>4551</v>
      </c>
      <c r="R2799" s="72" t="s">
        <v>3103</v>
      </c>
      <c r="S2799" s="30">
        <v>0</v>
      </c>
      <c r="T2799" s="232">
        <v>0</v>
      </c>
      <c r="U2799" s="30">
        <v>0</v>
      </c>
      <c r="V2799" s="232">
        <v>0</v>
      </c>
      <c r="W2799" s="30">
        <v>0</v>
      </c>
      <c r="X2799" s="30">
        <v>0</v>
      </c>
      <c r="Y2799" s="30">
        <v>0</v>
      </c>
      <c r="Z2799" s="232">
        <v>0</v>
      </c>
      <c r="AA2799" s="30">
        <v>0</v>
      </c>
      <c r="AB2799" s="30">
        <v>0</v>
      </c>
      <c r="AC2799" s="30">
        <v>0</v>
      </c>
      <c r="AD2799" s="30">
        <v>0</v>
      </c>
      <c r="AE2799" s="72" t="s">
        <v>394</v>
      </c>
      <c r="AF2799" s="72"/>
      <c r="AG2799" s="72" t="s">
        <v>352</v>
      </c>
      <c r="AH2799" s="72">
        <v>43426</v>
      </c>
      <c r="AI2799" s="30">
        <v>1</v>
      </c>
      <c r="AJ2799" s="72" t="s">
        <v>15816</v>
      </c>
      <c r="AK2799" s="72" t="s">
        <v>15817</v>
      </c>
      <c r="AL2799" s="70">
        <v>43431</v>
      </c>
      <c r="AM2799" s="70"/>
      <c r="AN2799" s="70"/>
      <c r="AO2799" s="70"/>
      <c r="AP2799" s="73" t="e">
        <f>MID(VLOOKUP(K2799,#REF!,2,FALSE),1,2)</f>
        <v>#REF!</v>
      </c>
      <c r="AQ2799" s="72">
        <f>DATE(2018,11,23)</f>
        <v>43427</v>
      </c>
      <c r="AR2799" s="82">
        <f t="shared" si="233"/>
        <v>23</v>
      </c>
      <c r="AS2799" s="83">
        <f t="shared" si="234"/>
        <v>11</v>
      </c>
      <c r="AT2799" s="84">
        <f t="shared" si="235"/>
        <v>2018</v>
      </c>
      <c r="AU2799" s="86"/>
      <c r="AV2799" s="86"/>
      <c r="AW2799" s="87">
        <f t="shared" si="240"/>
        <v>0</v>
      </c>
      <c r="AX2799" s="86"/>
      <c r="AY2799" s="83"/>
      <c r="AZ2799" s="84"/>
      <c r="BA2799" s="86"/>
      <c r="BB2799" s="86"/>
      <c r="BD2799" s="68"/>
    </row>
    <row r="2800" spans="1:56" s="25" customFormat="1" ht="36.75" customHeight="1">
      <c r="A2800" s="30"/>
      <c r="B2800" s="30" t="s">
        <v>55</v>
      </c>
      <c r="C2800" s="69" t="str">
        <f t="shared" si="237"/>
        <v>Closed</v>
      </c>
      <c r="D2800" s="27" t="s">
        <v>15818</v>
      </c>
      <c r="E2800" s="29" t="s">
        <v>15819</v>
      </c>
      <c r="F2800" s="30" t="s">
        <v>1572</v>
      </c>
      <c r="G2800" s="72">
        <f>DATE(2018,11,23)</f>
        <v>43427</v>
      </c>
      <c r="H2800" s="80">
        <v>1.5638888888888889</v>
      </c>
      <c r="I2800" s="30" t="s">
        <v>73</v>
      </c>
      <c r="J2800" s="72" t="s">
        <v>15820</v>
      </c>
      <c r="K2800" s="30" t="s">
        <v>1574</v>
      </c>
      <c r="L2800" s="30" t="s">
        <v>15821</v>
      </c>
      <c r="M2800" s="30" t="s">
        <v>63</v>
      </c>
      <c r="N2800" s="30" t="s">
        <v>142</v>
      </c>
      <c r="O2800" s="30" t="s">
        <v>64</v>
      </c>
      <c r="P2800" s="72" t="s">
        <v>78</v>
      </c>
      <c r="Q2800" s="72" t="s">
        <v>2655</v>
      </c>
      <c r="R2800" s="72" t="s">
        <v>6434</v>
      </c>
      <c r="S2800" s="30">
        <v>0</v>
      </c>
      <c r="T2800" s="232">
        <v>0</v>
      </c>
      <c r="U2800" s="30">
        <v>0</v>
      </c>
      <c r="V2800" s="232">
        <v>0</v>
      </c>
      <c r="W2800" s="30">
        <v>0</v>
      </c>
      <c r="X2800" s="30">
        <v>0</v>
      </c>
      <c r="Y2800" s="30">
        <v>0</v>
      </c>
      <c r="Z2800" s="232">
        <v>0</v>
      </c>
      <c r="AA2800" s="30">
        <v>0</v>
      </c>
      <c r="AB2800" s="30">
        <v>0</v>
      </c>
      <c r="AC2800" s="30">
        <v>0</v>
      </c>
      <c r="AD2800" s="30">
        <v>0</v>
      </c>
      <c r="AE2800" s="72" t="s">
        <v>92</v>
      </c>
      <c r="AF2800" s="72"/>
      <c r="AG2800" s="72" t="s">
        <v>133</v>
      </c>
      <c r="AH2800" s="72">
        <v>43432</v>
      </c>
      <c r="AI2800" s="30">
        <v>1</v>
      </c>
      <c r="AJ2800" s="72" t="s">
        <v>15822</v>
      </c>
      <c r="AK2800" s="72" t="s">
        <v>15823</v>
      </c>
      <c r="AL2800" s="70">
        <v>43431</v>
      </c>
      <c r="AM2800" s="70"/>
      <c r="AN2800" s="70"/>
      <c r="AO2800" s="70"/>
      <c r="AP2800" s="73" t="e">
        <f>MID(VLOOKUP(K2800,#REF!,2,FALSE),1,2)</f>
        <v>#REF!</v>
      </c>
      <c r="AQ2800" s="72">
        <f>DATE(2018,11,29)</f>
        <v>43433</v>
      </c>
      <c r="AR2800" s="82">
        <f t="shared" si="233"/>
        <v>29</v>
      </c>
      <c r="AS2800" s="83">
        <f t="shared" si="234"/>
        <v>11</v>
      </c>
      <c r="AT2800" s="84">
        <f t="shared" si="235"/>
        <v>2018</v>
      </c>
      <c r="AU2800" s="86"/>
      <c r="AV2800" s="86"/>
      <c r="AW2800" s="87"/>
      <c r="AX2800" s="86"/>
      <c r="AY2800" s="83"/>
      <c r="AZ2800" s="84"/>
      <c r="BA2800" s="86"/>
      <c r="BB2800" s="86"/>
      <c r="BD2800" s="68"/>
    </row>
    <row r="2801" spans="1:56" s="25" customFormat="1" ht="36.75" customHeight="1">
      <c r="A2801" s="30"/>
      <c r="B2801" s="30" t="s">
        <v>55</v>
      </c>
      <c r="C2801" s="69" t="str">
        <f t="shared" si="237"/>
        <v>Closed</v>
      </c>
      <c r="D2801" s="27" t="s">
        <v>15824</v>
      </c>
      <c r="E2801" s="29" t="s">
        <v>15825</v>
      </c>
      <c r="F2801" s="30" t="s">
        <v>124</v>
      </c>
      <c r="G2801" s="72">
        <f>DATE(2018,11,29)</f>
        <v>43433</v>
      </c>
      <c r="H2801" s="80">
        <v>0</v>
      </c>
      <c r="I2801" s="30" t="s">
        <v>116</v>
      </c>
      <c r="J2801" s="72" t="s">
        <v>15826</v>
      </c>
      <c r="K2801" s="30" t="s">
        <v>127</v>
      </c>
      <c r="L2801" s="30" t="s">
        <v>15827</v>
      </c>
      <c r="M2801" s="30" t="s">
        <v>63</v>
      </c>
      <c r="N2801" s="30" t="s">
        <v>99</v>
      </c>
      <c r="O2801" s="30" t="s">
        <v>64</v>
      </c>
      <c r="P2801" s="72" t="s">
        <v>165</v>
      </c>
      <c r="Q2801" s="72" t="s">
        <v>229</v>
      </c>
      <c r="R2801" s="72" t="s">
        <v>167</v>
      </c>
      <c r="S2801" s="30">
        <v>0</v>
      </c>
      <c r="T2801" s="232">
        <v>0</v>
      </c>
      <c r="U2801" s="30">
        <v>1</v>
      </c>
      <c r="V2801" s="232">
        <v>0</v>
      </c>
      <c r="W2801" s="30">
        <v>0</v>
      </c>
      <c r="X2801" s="30">
        <v>1</v>
      </c>
      <c r="Y2801" s="30">
        <v>0</v>
      </c>
      <c r="Z2801" s="232">
        <v>0</v>
      </c>
      <c r="AA2801" s="30">
        <v>0</v>
      </c>
      <c r="AB2801" s="30">
        <v>0</v>
      </c>
      <c r="AC2801" s="30">
        <v>0</v>
      </c>
      <c r="AD2801" s="30">
        <v>0</v>
      </c>
      <c r="AE2801" s="72" t="s">
        <v>92</v>
      </c>
      <c r="AF2801" s="72"/>
      <c r="AG2801" s="72" t="s">
        <v>82</v>
      </c>
      <c r="AH2801" s="72">
        <v>43437</v>
      </c>
      <c r="AI2801" s="30">
        <v>1</v>
      </c>
      <c r="AJ2801" s="72" t="s">
        <v>15828</v>
      </c>
      <c r="AK2801" s="72" t="s">
        <v>68</v>
      </c>
      <c r="AL2801" s="70">
        <v>43452</v>
      </c>
      <c r="AM2801" s="70"/>
      <c r="AN2801" s="70"/>
      <c r="AO2801" s="70"/>
      <c r="AP2801" s="73" t="e">
        <f>MID(VLOOKUP(K2801,#REF!,2,FALSE),1,2)</f>
        <v>#REF!</v>
      </c>
      <c r="AQ2801" s="72">
        <f>DATE(2018,12,1)</f>
        <v>43435</v>
      </c>
      <c r="AR2801" s="82">
        <f t="shared" si="233"/>
        <v>1</v>
      </c>
      <c r="AS2801" s="83">
        <f t="shared" si="234"/>
        <v>12</v>
      </c>
      <c r="AT2801" s="84">
        <f t="shared" si="235"/>
        <v>2018</v>
      </c>
      <c r="AU2801" s="86"/>
      <c r="AV2801" s="86"/>
      <c r="AW2801" s="87"/>
      <c r="AX2801" s="86"/>
      <c r="AY2801" s="83"/>
      <c r="AZ2801" s="84"/>
      <c r="BA2801" s="86"/>
      <c r="BB2801" s="86"/>
      <c r="BD2801" s="68"/>
    </row>
    <row r="2802" spans="1:56" s="25" customFormat="1" ht="36.75" customHeight="1">
      <c r="A2802" s="30"/>
      <c r="B2802" s="30" t="s">
        <v>55</v>
      </c>
      <c r="C2802" s="69" t="str">
        <f t="shared" si="237"/>
        <v>Closed</v>
      </c>
      <c r="D2802" s="27" t="s">
        <v>15829</v>
      </c>
      <c r="E2802" s="29" t="s">
        <v>15830</v>
      </c>
      <c r="F2802" s="30" t="s">
        <v>233</v>
      </c>
      <c r="G2802" s="72">
        <f>DATE(2018,12,1)</f>
        <v>43435</v>
      </c>
      <c r="H2802" s="80">
        <v>1.9243055555555557</v>
      </c>
      <c r="I2802" s="30" t="s">
        <v>278</v>
      </c>
      <c r="J2802" s="72" t="s">
        <v>15831</v>
      </c>
      <c r="K2802" s="30" t="s">
        <v>235</v>
      </c>
      <c r="L2802" s="30" t="s">
        <v>15832</v>
      </c>
      <c r="M2802" s="30" t="s">
        <v>63</v>
      </c>
      <c r="N2802" s="30" t="s">
        <v>142</v>
      </c>
      <c r="O2802" s="30" t="s">
        <v>64</v>
      </c>
      <c r="P2802" s="72" t="s">
        <v>462</v>
      </c>
      <c r="Q2802" s="72" t="s">
        <v>1428</v>
      </c>
      <c r="R2802" s="72" t="s">
        <v>235</v>
      </c>
      <c r="S2802" s="30">
        <v>1</v>
      </c>
      <c r="T2802" s="232">
        <v>0</v>
      </c>
      <c r="U2802" s="30">
        <v>0</v>
      </c>
      <c r="V2802" s="232">
        <v>0</v>
      </c>
      <c r="W2802" s="30">
        <v>0</v>
      </c>
      <c r="X2802" s="30">
        <v>1</v>
      </c>
      <c r="Y2802" s="30">
        <v>0</v>
      </c>
      <c r="Z2802" s="232">
        <v>0</v>
      </c>
      <c r="AA2802" s="30">
        <v>0</v>
      </c>
      <c r="AB2802" s="30">
        <v>0</v>
      </c>
      <c r="AC2802" s="30">
        <v>0</v>
      </c>
      <c r="AD2802" s="30">
        <v>0</v>
      </c>
      <c r="AE2802" s="72" t="s">
        <v>92</v>
      </c>
      <c r="AF2802" s="72"/>
      <c r="AG2802" s="72" t="s">
        <v>82</v>
      </c>
      <c r="AH2802" s="72">
        <v>43451</v>
      </c>
      <c r="AI2802" s="30">
        <v>4</v>
      </c>
      <c r="AJ2802" s="72" t="s">
        <v>15833</v>
      </c>
      <c r="AK2802" s="72" t="s">
        <v>15834</v>
      </c>
      <c r="AL2802" s="70">
        <v>43479</v>
      </c>
      <c r="AM2802" s="70"/>
      <c r="AN2802" s="70"/>
      <c r="AO2802" s="70"/>
      <c r="AP2802" s="73" t="e">
        <f>MID(VLOOKUP(K2802,#REF!,2,FALSE),1,2)</f>
        <v>#REF!</v>
      </c>
      <c r="AQ2802" s="72">
        <f>DATE(2018,12,2)</f>
        <v>43436</v>
      </c>
      <c r="AR2802" s="82">
        <f t="shared" si="233"/>
        <v>2</v>
      </c>
      <c r="AS2802" s="83">
        <f t="shared" si="234"/>
        <v>12</v>
      </c>
      <c r="AT2802" s="84">
        <f t="shared" si="235"/>
        <v>2018</v>
      </c>
      <c r="AU2802" s="86"/>
      <c r="AV2802" s="86"/>
      <c r="AW2802" s="87"/>
      <c r="AX2802" s="86"/>
      <c r="AY2802" s="83"/>
      <c r="AZ2802" s="84"/>
      <c r="BA2802" s="86"/>
      <c r="BB2802" s="86"/>
      <c r="BD2802" s="68"/>
    </row>
    <row r="2803" spans="1:56" s="25" customFormat="1" ht="36.75" customHeight="1">
      <c r="A2803" s="30"/>
      <c r="B2803" s="30" t="s">
        <v>55</v>
      </c>
      <c r="C2803" s="69" t="str">
        <f t="shared" si="237"/>
        <v>Closed</v>
      </c>
      <c r="D2803" s="27" t="s">
        <v>15835</v>
      </c>
      <c r="E2803" s="29" t="s">
        <v>15836</v>
      </c>
      <c r="F2803" s="30" t="s">
        <v>233</v>
      </c>
      <c r="G2803" s="72">
        <f>DATE(2018,12,2)</f>
        <v>43436</v>
      </c>
      <c r="H2803" s="80">
        <v>1.9826388888888888</v>
      </c>
      <c r="I2803" s="30" t="s">
        <v>278</v>
      </c>
      <c r="J2803" s="72" t="s">
        <v>15837</v>
      </c>
      <c r="K2803" s="30" t="s">
        <v>235</v>
      </c>
      <c r="L2803" s="30" t="s">
        <v>15838</v>
      </c>
      <c r="M2803" s="30" t="s">
        <v>63</v>
      </c>
      <c r="N2803" s="30" t="s">
        <v>89</v>
      </c>
      <c r="O2803" s="30" t="s">
        <v>64</v>
      </c>
      <c r="P2803" s="72" t="s">
        <v>165</v>
      </c>
      <c r="Q2803" s="72" t="s">
        <v>469</v>
      </c>
      <c r="R2803" s="72" t="s">
        <v>235</v>
      </c>
      <c r="S2803" s="30">
        <v>0</v>
      </c>
      <c r="T2803" s="232">
        <v>0</v>
      </c>
      <c r="U2803" s="30">
        <v>0</v>
      </c>
      <c r="V2803" s="232">
        <v>0</v>
      </c>
      <c r="W2803" s="30">
        <v>0</v>
      </c>
      <c r="X2803" s="30">
        <v>0</v>
      </c>
      <c r="Y2803" s="30">
        <v>0</v>
      </c>
      <c r="Z2803" s="232">
        <v>0</v>
      </c>
      <c r="AA2803" s="30">
        <v>0</v>
      </c>
      <c r="AB2803" s="30">
        <v>0</v>
      </c>
      <c r="AC2803" s="30">
        <v>0</v>
      </c>
      <c r="AD2803" s="30">
        <v>0</v>
      </c>
      <c r="AE2803" s="72" t="s">
        <v>92</v>
      </c>
      <c r="AF2803" s="72"/>
      <c r="AG2803" s="72" t="s">
        <v>133</v>
      </c>
      <c r="AH2803" s="72">
        <v>43458</v>
      </c>
      <c r="AI2803" s="30">
        <v>2</v>
      </c>
      <c r="AJ2803" s="72" t="s">
        <v>15839</v>
      </c>
      <c r="AK2803" s="72" t="s">
        <v>15840</v>
      </c>
      <c r="AL2803" s="70">
        <v>43479</v>
      </c>
      <c r="AM2803" s="70"/>
      <c r="AN2803" s="70"/>
      <c r="AO2803" s="70"/>
      <c r="AP2803" s="73" t="e">
        <f>MID(VLOOKUP(K2803,#REF!,2,FALSE),1,2)</f>
        <v>#REF!</v>
      </c>
      <c r="AQ2803" s="72">
        <f>DATE(2018,12,7)</f>
        <v>43441</v>
      </c>
      <c r="AR2803" s="82">
        <f t="shared" si="233"/>
        <v>7</v>
      </c>
      <c r="AS2803" s="83">
        <f t="shared" si="234"/>
        <v>12</v>
      </c>
      <c r="AT2803" s="84">
        <f t="shared" si="235"/>
        <v>2018</v>
      </c>
      <c r="AU2803" s="86"/>
      <c r="AV2803" s="86"/>
      <c r="AW2803" s="87"/>
      <c r="AX2803" s="86"/>
      <c r="AY2803" s="83"/>
      <c r="AZ2803" s="84"/>
      <c r="BA2803" s="86"/>
      <c r="BB2803" s="86"/>
      <c r="BD2803" s="68"/>
    </row>
    <row r="2804" spans="1:56" s="25" customFormat="1" ht="36.75" customHeight="1">
      <c r="A2804" s="30"/>
      <c r="B2804" s="30" t="s">
        <v>55</v>
      </c>
      <c r="C2804" s="69" t="str">
        <f t="shared" si="237"/>
        <v>Closed</v>
      </c>
      <c r="D2804" s="27" t="s">
        <v>15841</v>
      </c>
      <c r="E2804" s="29" t="s">
        <v>15842</v>
      </c>
      <c r="F2804" s="30" t="s">
        <v>377</v>
      </c>
      <c r="G2804" s="72">
        <f>DATE(2018,12,7)</f>
        <v>43441</v>
      </c>
      <c r="H2804" s="125">
        <v>1.0048611111111112</v>
      </c>
      <c r="I2804" s="30" t="s">
        <v>156</v>
      </c>
      <c r="J2804" s="72" t="s">
        <v>15843</v>
      </c>
      <c r="K2804" s="30" t="s">
        <v>379</v>
      </c>
      <c r="L2804" s="30" t="s">
        <v>15844</v>
      </c>
      <c r="M2804" s="30" t="s">
        <v>63</v>
      </c>
      <c r="N2804" s="30" t="s">
        <v>142</v>
      </c>
      <c r="O2804" s="30" t="s">
        <v>77</v>
      </c>
      <c r="P2804" s="72" t="s">
        <v>78</v>
      </c>
      <c r="Q2804" s="72" t="s">
        <v>3909</v>
      </c>
      <c r="R2804" s="72" t="s">
        <v>382</v>
      </c>
      <c r="S2804" s="30">
        <v>0</v>
      </c>
      <c r="T2804" s="232">
        <v>0</v>
      </c>
      <c r="U2804" s="30">
        <v>0</v>
      </c>
      <c r="V2804" s="232">
        <v>0</v>
      </c>
      <c r="W2804" s="30">
        <v>0</v>
      </c>
      <c r="X2804" s="30">
        <v>0</v>
      </c>
      <c r="Y2804" s="30">
        <v>0</v>
      </c>
      <c r="Z2804" s="232">
        <v>0</v>
      </c>
      <c r="AA2804" s="30">
        <v>0</v>
      </c>
      <c r="AB2804" s="30">
        <v>0</v>
      </c>
      <c r="AC2804" s="30">
        <v>3</v>
      </c>
      <c r="AD2804" s="30">
        <v>3</v>
      </c>
      <c r="AE2804" s="72" t="s">
        <v>92</v>
      </c>
      <c r="AF2804" s="72"/>
      <c r="AG2804" s="72" t="s">
        <v>589</v>
      </c>
      <c r="AH2804" s="72">
        <v>43448</v>
      </c>
      <c r="AI2804" s="30">
        <v>2</v>
      </c>
      <c r="AJ2804" s="72" t="s">
        <v>68</v>
      </c>
      <c r="AK2804" s="72" t="s">
        <v>68</v>
      </c>
      <c r="AL2804" s="70">
        <v>43605</v>
      </c>
      <c r="AM2804" s="70"/>
      <c r="AN2804" s="70"/>
      <c r="AO2804" s="70"/>
      <c r="AP2804" s="73" t="e">
        <f>MID(VLOOKUP(K2804,#REF!,2,FALSE),1,2)</f>
        <v>#REF!</v>
      </c>
      <c r="AQ2804" s="72">
        <f>DATE(2018,12,10)</f>
        <v>43444</v>
      </c>
      <c r="AR2804" s="82">
        <f t="shared" si="233"/>
        <v>10</v>
      </c>
      <c r="AS2804" s="83">
        <f t="shared" si="234"/>
        <v>12</v>
      </c>
      <c r="AT2804" s="84">
        <f t="shared" si="235"/>
        <v>2018</v>
      </c>
      <c r="AU2804" s="86"/>
      <c r="AV2804" s="86"/>
      <c r="AW2804" s="87">
        <f>AU2804-AV2804</f>
        <v>0</v>
      </c>
      <c r="AX2804" s="86"/>
      <c r="AY2804" s="83"/>
      <c r="AZ2804" s="84"/>
      <c r="BA2804" s="86"/>
      <c r="BB2804" s="86"/>
      <c r="BD2804" s="68"/>
    </row>
    <row r="2805" spans="1:56" s="25" customFormat="1" ht="36.75" customHeight="1">
      <c r="A2805" s="30"/>
      <c r="B2805" s="30" t="s">
        <v>55</v>
      </c>
      <c r="C2805" s="69" t="str">
        <f t="shared" si="237"/>
        <v>Closed</v>
      </c>
      <c r="D2805" s="27" t="s">
        <v>15845</v>
      </c>
      <c r="E2805" s="29" t="s">
        <v>15846</v>
      </c>
      <c r="F2805" s="30" t="s">
        <v>9789</v>
      </c>
      <c r="G2805" s="72">
        <f>DATE(2018,12,10)</f>
        <v>43444</v>
      </c>
      <c r="H2805" s="80">
        <v>1.2854166666666667</v>
      </c>
      <c r="I2805" s="30" t="s">
        <v>73</v>
      </c>
      <c r="J2805" s="265" t="s">
        <v>15847</v>
      </c>
      <c r="K2805" s="30" t="s">
        <v>9791</v>
      </c>
      <c r="L2805" s="30" t="s">
        <v>15848</v>
      </c>
      <c r="M2805" s="30" t="s">
        <v>63</v>
      </c>
      <c r="N2805" s="30" t="s">
        <v>99</v>
      </c>
      <c r="O2805" s="30" t="s">
        <v>77</v>
      </c>
      <c r="P2805" s="72" t="s">
        <v>78</v>
      </c>
      <c r="Q2805" s="72" t="s">
        <v>10257</v>
      </c>
      <c r="R2805" s="72" t="s">
        <v>9794</v>
      </c>
      <c r="S2805" s="30">
        <v>0</v>
      </c>
      <c r="T2805" s="232">
        <v>0</v>
      </c>
      <c r="U2805" s="30">
        <v>0</v>
      </c>
      <c r="V2805" s="232">
        <v>0</v>
      </c>
      <c r="W2805" s="30">
        <v>0</v>
      </c>
      <c r="X2805" s="30">
        <v>0</v>
      </c>
      <c r="Y2805" s="30">
        <v>0</v>
      </c>
      <c r="Z2805" s="232">
        <v>0</v>
      </c>
      <c r="AA2805" s="30">
        <v>0</v>
      </c>
      <c r="AB2805" s="30">
        <v>0</v>
      </c>
      <c r="AC2805" s="30">
        <v>0</v>
      </c>
      <c r="AD2805" s="30">
        <v>0</v>
      </c>
      <c r="AE2805" s="72" t="s">
        <v>92</v>
      </c>
      <c r="AF2805" s="72"/>
      <c r="AG2805" s="72" t="s">
        <v>82</v>
      </c>
      <c r="AH2805" s="72">
        <v>43388</v>
      </c>
      <c r="AI2805" s="30">
        <v>0</v>
      </c>
      <c r="AJ2805" s="72" t="s">
        <v>15849</v>
      </c>
      <c r="AK2805" s="72" t="s">
        <v>15850</v>
      </c>
      <c r="AL2805" s="70">
        <v>43392</v>
      </c>
      <c r="AM2805" s="70"/>
      <c r="AN2805" s="70"/>
      <c r="AO2805" s="70"/>
      <c r="AP2805" s="73" t="e">
        <f>MID(VLOOKUP(K2805,#REF!,2,FALSE),1,2)</f>
        <v>#REF!</v>
      </c>
      <c r="AQ2805" s="72">
        <f>DATE(2018,11,12)</f>
        <v>43416</v>
      </c>
      <c r="AR2805" s="82">
        <f t="shared" ref="AR2805:AR2868" si="241">DAY(AQ2805)</f>
        <v>12</v>
      </c>
      <c r="AS2805" s="83">
        <f t="shared" ref="AS2805:AS2868" si="242">MONTH(AQ2805)</f>
        <v>11</v>
      </c>
      <c r="AT2805" s="84">
        <f t="shared" ref="AT2805:AT2868" si="243">YEAR(AQ2805)</f>
        <v>2018</v>
      </c>
      <c r="AU2805" s="86"/>
      <c r="AV2805" s="86"/>
      <c r="AW2805" s="87">
        <f>AU2805-AV2805</f>
        <v>0</v>
      </c>
      <c r="AX2805" s="86"/>
      <c r="AY2805" s="83"/>
      <c r="AZ2805" s="84"/>
      <c r="BA2805" s="86"/>
      <c r="BB2805" s="86"/>
      <c r="BD2805" s="68"/>
    </row>
    <row r="2806" spans="1:56" s="25" customFormat="1" ht="36.75" customHeight="1">
      <c r="A2806" s="30"/>
      <c r="B2806" s="30" t="s">
        <v>55</v>
      </c>
      <c r="C2806" s="69" t="str">
        <f t="shared" si="237"/>
        <v>Closed</v>
      </c>
      <c r="D2806" s="27" t="s">
        <v>15851</v>
      </c>
      <c r="E2806" s="29" t="s">
        <v>15852</v>
      </c>
      <c r="F2806" s="30" t="s">
        <v>423</v>
      </c>
      <c r="G2806" s="72">
        <f>DATE(2018,12,11)</f>
        <v>43445</v>
      </c>
      <c r="H2806" s="80">
        <v>1.3472222222222223</v>
      </c>
      <c r="I2806" s="30" t="s">
        <v>198</v>
      </c>
      <c r="J2806" s="72" t="s">
        <v>15853</v>
      </c>
      <c r="K2806" s="30" t="s">
        <v>425</v>
      </c>
      <c r="L2806" s="30" t="s">
        <v>15854</v>
      </c>
      <c r="M2806" s="30" t="s">
        <v>63</v>
      </c>
      <c r="N2806" s="30" t="s">
        <v>99</v>
      </c>
      <c r="O2806" s="30" t="s">
        <v>77</v>
      </c>
      <c r="P2806" s="72" t="s">
        <v>8025</v>
      </c>
      <c r="Q2806" s="72" t="s">
        <v>10689</v>
      </c>
      <c r="R2806" s="72" t="s">
        <v>3103</v>
      </c>
      <c r="S2806" s="30">
        <v>0</v>
      </c>
      <c r="T2806" s="232">
        <v>0</v>
      </c>
      <c r="U2806" s="30">
        <v>0</v>
      </c>
      <c r="V2806" s="232">
        <v>0</v>
      </c>
      <c r="W2806" s="30">
        <v>0</v>
      </c>
      <c r="X2806" s="30">
        <v>0</v>
      </c>
      <c r="Y2806" s="30">
        <v>0</v>
      </c>
      <c r="Z2806" s="232">
        <v>0</v>
      </c>
      <c r="AA2806" s="30">
        <v>0</v>
      </c>
      <c r="AB2806" s="30">
        <v>0</v>
      </c>
      <c r="AC2806" s="30">
        <v>0</v>
      </c>
      <c r="AD2806" s="30">
        <v>0</v>
      </c>
      <c r="AE2806" s="72" t="s">
        <v>92</v>
      </c>
      <c r="AF2806" s="72"/>
      <c r="AG2806" s="72" t="s">
        <v>133</v>
      </c>
      <c r="AH2806" s="72">
        <v>43416</v>
      </c>
      <c r="AI2806" s="30">
        <v>0</v>
      </c>
      <c r="AJ2806" s="72" t="s">
        <v>15855</v>
      </c>
      <c r="AK2806" s="72" t="s">
        <v>15856</v>
      </c>
      <c r="AL2806" s="70">
        <v>43447</v>
      </c>
      <c r="AM2806" s="70"/>
      <c r="AN2806" s="70"/>
      <c r="AO2806" s="70"/>
      <c r="AP2806" s="73" t="e">
        <f>MID(VLOOKUP(K2806,#REF!,2,FALSE),1,2)</f>
        <v>#REF!</v>
      </c>
      <c r="AQ2806" s="72">
        <f>DATE(2018,11,12)</f>
        <v>43416</v>
      </c>
      <c r="AR2806" s="82">
        <f t="shared" si="241"/>
        <v>12</v>
      </c>
      <c r="AS2806" s="83">
        <f t="shared" si="242"/>
        <v>11</v>
      </c>
      <c r="AT2806" s="84">
        <f t="shared" si="243"/>
        <v>2018</v>
      </c>
      <c r="AU2806" s="86"/>
      <c r="AV2806" s="86"/>
      <c r="AW2806" s="87">
        <f>AU2806-AV2806</f>
        <v>0</v>
      </c>
      <c r="AX2806" s="86"/>
      <c r="AY2806" s="83"/>
      <c r="AZ2806" s="84"/>
      <c r="BA2806" s="86"/>
      <c r="BB2806" s="86"/>
      <c r="BD2806" s="68"/>
    </row>
    <row r="2807" spans="1:56" s="25" customFormat="1" ht="36.75" customHeight="1">
      <c r="A2807" s="30"/>
      <c r="B2807" s="30" t="s">
        <v>55</v>
      </c>
      <c r="C2807" s="69" t="str">
        <f t="shared" si="237"/>
        <v>Closed</v>
      </c>
      <c r="D2807" s="27" t="s">
        <v>15857</v>
      </c>
      <c r="E2807" s="29" t="s">
        <v>15858</v>
      </c>
      <c r="F2807" s="30" t="s">
        <v>1572</v>
      </c>
      <c r="G2807" s="72">
        <f>DATE(2018,12,11)</f>
        <v>43445</v>
      </c>
      <c r="H2807" s="80">
        <v>1.5208333333333335</v>
      </c>
      <c r="I2807" s="30" t="s">
        <v>6775</v>
      </c>
      <c r="J2807" s="72" t="s">
        <v>15859</v>
      </c>
      <c r="K2807" s="30" t="s">
        <v>1574</v>
      </c>
      <c r="L2807" s="30" t="s">
        <v>15860</v>
      </c>
      <c r="M2807" s="30" t="s">
        <v>63</v>
      </c>
      <c r="N2807" s="30" t="s">
        <v>142</v>
      </c>
      <c r="O2807" s="30" t="s">
        <v>77</v>
      </c>
      <c r="P2807" s="72" t="s">
        <v>6941</v>
      </c>
      <c r="Q2807" s="72" t="s">
        <v>2413</v>
      </c>
      <c r="R2807" s="72" t="s">
        <v>6434</v>
      </c>
      <c r="S2807" s="30">
        <v>0</v>
      </c>
      <c r="T2807" s="232">
        <v>0</v>
      </c>
      <c r="U2807" s="30">
        <v>0</v>
      </c>
      <c r="V2807" s="232">
        <v>0</v>
      </c>
      <c r="W2807" s="30">
        <v>0</v>
      </c>
      <c r="X2807" s="30">
        <v>0</v>
      </c>
      <c r="Y2807" s="30">
        <v>0</v>
      </c>
      <c r="Z2807" s="232">
        <v>0</v>
      </c>
      <c r="AA2807" s="30">
        <v>0</v>
      </c>
      <c r="AB2807" s="30">
        <v>0</v>
      </c>
      <c r="AC2807" s="30">
        <v>0</v>
      </c>
      <c r="AD2807" s="30">
        <v>0</v>
      </c>
      <c r="AE2807" s="72" t="s">
        <v>92</v>
      </c>
      <c r="AF2807" s="72"/>
      <c r="AG2807" s="72" t="s">
        <v>1507</v>
      </c>
      <c r="AH2807" s="72">
        <v>43446</v>
      </c>
      <c r="AI2807" s="30">
        <v>0</v>
      </c>
      <c r="AJ2807" s="72" t="s">
        <v>15861</v>
      </c>
      <c r="AK2807" s="72" t="s">
        <v>15862</v>
      </c>
      <c r="AL2807" s="70">
        <v>43450</v>
      </c>
      <c r="AM2807" s="70"/>
      <c r="AN2807" s="70"/>
      <c r="AO2807" s="70"/>
      <c r="AP2807" s="73" t="e">
        <f>MID(VLOOKUP(K2807,#REF!,2,FALSE),1,2)</f>
        <v>#REF!</v>
      </c>
      <c r="AQ2807" s="72">
        <f>DATE(2018,12,12)</f>
        <v>43446</v>
      </c>
      <c r="AR2807" s="82">
        <f t="shared" si="241"/>
        <v>12</v>
      </c>
      <c r="AS2807" s="83">
        <f t="shared" si="242"/>
        <v>12</v>
      </c>
      <c r="AT2807" s="84">
        <f t="shared" si="243"/>
        <v>2018</v>
      </c>
      <c r="AU2807" s="86"/>
      <c r="AV2807" s="86"/>
      <c r="AW2807" s="87"/>
      <c r="AX2807" s="86"/>
      <c r="AY2807" s="83"/>
      <c r="AZ2807" s="84"/>
      <c r="BA2807" s="86"/>
      <c r="BB2807" s="86"/>
      <c r="BD2807" s="68"/>
    </row>
    <row r="2808" spans="1:56" s="25" customFormat="1" ht="36.75" customHeight="1">
      <c r="A2808" s="30"/>
      <c r="B2808" s="30" t="s">
        <v>55</v>
      </c>
      <c r="C2808" s="69" t="str">
        <f t="shared" si="237"/>
        <v>Closed</v>
      </c>
      <c r="D2808" s="27" t="s">
        <v>15863</v>
      </c>
      <c r="E2808" s="29" t="s">
        <v>15864</v>
      </c>
      <c r="F2808" s="30" t="s">
        <v>58</v>
      </c>
      <c r="G2808" s="72">
        <f>DATE(2018,12,12)</f>
        <v>43446</v>
      </c>
      <c r="H2808" s="80">
        <v>1.2013888888888888</v>
      </c>
      <c r="I2808" s="30" t="s">
        <v>116</v>
      </c>
      <c r="J2808" s="72" t="s">
        <v>15865</v>
      </c>
      <c r="K2808" s="30" t="s">
        <v>61</v>
      </c>
      <c r="L2808" s="30" t="s">
        <v>15866</v>
      </c>
      <c r="M2808" s="30" t="s">
        <v>63</v>
      </c>
      <c r="N2808" s="30" t="s">
        <v>99</v>
      </c>
      <c r="O2808" s="30" t="s">
        <v>64</v>
      </c>
      <c r="P2808" s="72" t="s">
        <v>78</v>
      </c>
      <c r="Q2808" s="72" t="s">
        <v>66</v>
      </c>
      <c r="R2808" s="72" t="s">
        <v>67</v>
      </c>
      <c r="S2808" s="30">
        <v>0</v>
      </c>
      <c r="T2808" s="232">
        <v>0</v>
      </c>
      <c r="U2808" s="30">
        <v>1</v>
      </c>
      <c r="V2808" s="232">
        <v>0</v>
      </c>
      <c r="W2808" s="30">
        <v>0</v>
      </c>
      <c r="X2808" s="30">
        <v>1</v>
      </c>
      <c r="Y2808" s="30">
        <v>0</v>
      </c>
      <c r="Z2808" s="232">
        <v>0</v>
      </c>
      <c r="AA2808" s="30">
        <v>0</v>
      </c>
      <c r="AB2808" s="30">
        <v>0</v>
      </c>
      <c r="AC2808" s="30">
        <v>0</v>
      </c>
      <c r="AD2808" s="30">
        <v>0</v>
      </c>
      <c r="AE2808" s="72" t="s">
        <v>145</v>
      </c>
      <c r="AF2808" s="72"/>
      <c r="AG2808" s="72" t="s">
        <v>82</v>
      </c>
      <c r="AH2808" s="72">
        <v>43448</v>
      </c>
      <c r="AI2808" s="30">
        <v>8</v>
      </c>
      <c r="AJ2808" s="72" t="s">
        <v>15867</v>
      </c>
      <c r="AK2808" s="72" t="s">
        <v>15868</v>
      </c>
      <c r="AL2808" s="70">
        <v>43453</v>
      </c>
      <c r="AM2808" s="70"/>
      <c r="AN2808" s="70"/>
      <c r="AO2808" s="70"/>
      <c r="AP2808" s="73" t="e">
        <f>MID(VLOOKUP(K2808,#REF!,2,FALSE),1,2)</f>
        <v>#REF!</v>
      </c>
      <c r="AQ2808" s="72">
        <f>DATE(2018,12,13)</f>
        <v>43447</v>
      </c>
      <c r="AR2808" s="82">
        <f t="shared" si="241"/>
        <v>13</v>
      </c>
      <c r="AS2808" s="83">
        <f t="shared" si="242"/>
        <v>12</v>
      </c>
      <c r="AT2808" s="84">
        <f t="shared" si="243"/>
        <v>2018</v>
      </c>
      <c r="AU2808" s="86"/>
      <c r="AV2808" s="86"/>
      <c r="AW2808" s="87">
        <f>AU2808-AV2808</f>
        <v>0</v>
      </c>
      <c r="AX2808" s="86"/>
      <c r="AY2808" s="83"/>
      <c r="AZ2808" s="84"/>
      <c r="BA2808" s="86"/>
      <c r="BB2808" s="86"/>
      <c r="BD2808" s="68"/>
    </row>
    <row r="2809" spans="1:56" s="25" customFormat="1" ht="36.75" customHeight="1">
      <c r="A2809" s="30"/>
      <c r="B2809" s="30" t="s">
        <v>55</v>
      </c>
      <c r="C2809" s="69" t="str">
        <f t="shared" si="237"/>
        <v>Closed</v>
      </c>
      <c r="D2809" s="27" t="s">
        <v>15869</v>
      </c>
      <c r="E2809" s="29" t="s">
        <v>15870</v>
      </c>
      <c r="F2809" s="30" t="s">
        <v>423</v>
      </c>
      <c r="G2809" s="72">
        <f>DATE(2018,12,13)</f>
        <v>43447</v>
      </c>
      <c r="H2809" s="80">
        <v>1.5513888888888889</v>
      </c>
      <c r="I2809" s="30" t="s">
        <v>278</v>
      </c>
      <c r="J2809" s="72" t="s">
        <v>15871</v>
      </c>
      <c r="K2809" s="30" t="s">
        <v>425</v>
      </c>
      <c r="L2809" s="30" t="s">
        <v>15872</v>
      </c>
      <c r="M2809" s="30" t="s">
        <v>63</v>
      </c>
      <c r="N2809" s="30" t="s">
        <v>142</v>
      </c>
      <c r="O2809" s="30" t="s">
        <v>64</v>
      </c>
      <c r="P2809" s="72" t="s">
        <v>65</v>
      </c>
      <c r="Q2809" s="72" t="s">
        <v>4551</v>
      </c>
      <c r="R2809" s="72" t="s">
        <v>3103</v>
      </c>
      <c r="S2809" s="30">
        <v>1</v>
      </c>
      <c r="T2809" s="232">
        <v>0</v>
      </c>
      <c r="U2809" s="30">
        <v>0</v>
      </c>
      <c r="V2809" s="232">
        <v>0</v>
      </c>
      <c r="W2809" s="30">
        <v>0</v>
      </c>
      <c r="X2809" s="30">
        <v>1</v>
      </c>
      <c r="Y2809" s="30">
        <v>0</v>
      </c>
      <c r="Z2809" s="232">
        <v>0</v>
      </c>
      <c r="AA2809" s="30">
        <v>0</v>
      </c>
      <c r="AB2809" s="30">
        <v>0</v>
      </c>
      <c r="AC2809" s="30">
        <v>0</v>
      </c>
      <c r="AD2809" s="30">
        <v>0</v>
      </c>
      <c r="AE2809" s="72" t="s">
        <v>92</v>
      </c>
      <c r="AF2809" s="72"/>
      <c r="AG2809" s="72" t="s">
        <v>133</v>
      </c>
      <c r="AH2809" s="72">
        <v>43447</v>
      </c>
      <c r="AI2809" s="30">
        <v>0</v>
      </c>
      <c r="AJ2809" s="72" t="s">
        <v>15873</v>
      </c>
      <c r="AK2809" s="72" t="s">
        <v>15874</v>
      </c>
      <c r="AL2809" s="70">
        <v>43451</v>
      </c>
      <c r="AM2809" s="70"/>
      <c r="AN2809" s="70"/>
      <c r="AO2809" s="70"/>
      <c r="AP2809" s="73" t="e">
        <f>MID(VLOOKUP(K2809,#REF!,2,FALSE),1,2)</f>
        <v>#REF!</v>
      </c>
      <c r="AQ2809" s="72">
        <f>DATE(2018,12,14)</f>
        <v>43448</v>
      </c>
      <c r="AR2809" s="82">
        <f t="shared" si="241"/>
        <v>14</v>
      </c>
      <c r="AS2809" s="83">
        <f t="shared" si="242"/>
        <v>12</v>
      </c>
      <c r="AT2809" s="84">
        <f t="shared" si="243"/>
        <v>2018</v>
      </c>
      <c r="AU2809" s="86"/>
      <c r="AV2809" s="86"/>
      <c r="AW2809" s="87"/>
      <c r="AX2809" s="86"/>
      <c r="AY2809" s="83"/>
      <c r="AZ2809" s="84"/>
      <c r="BA2809" s="86"/>
      <c r="BB2809" s="86"/>
      <c r="BD2809" s="68"/>
    </row>
    <row r="2810" spans="1:56" s="25" customFormat="1" ht="36.75" customHeight="1">
      <c r="A2810" s="98" t="s">
        <v>4910</v>
      </c>
      <c r="B2810" s="30" t="s">
        <v>55</v>
      </c>
      <c r="C2810" s="69" t="str">
        <f t="shared" si="237"/>
        <v>Closed</v>
      </c>
      <c r="D2810" s="27" t="s">
        <v>15875</v>
      </c>
      <c r="E2810" s="29" t="s">
        <v>15876</v>
      </c>
      <c r="F2810" s="30" t="s">
        <v>423</v>
      </c>
      <c r="G2810" s="72">
        <f>DATE(2018,12,14)</f>
        <v>43448</v>
      </c>
      <c r="H2810" s="80">
        <v>1.2124999999999999</v>
      </c>
      <c r="I2810" s="30" t="s">
        <v>73</v>
      </c>
      <c r="J2810" s="72" t="s">
        <v>15877</v>
      </c>
      <c r="K2810" s="30" t="s">
        <v>425</v>
      </c>
      <c r="L2810" s="30" t="s">
        <v>15878</v>
      </c>
      <c r="M2810" s="30" t="s">
        <v>63</v>
      </c>
      <c r="N2810" s="30" t="s">
        <v>142</v>
      </c>
      <c r="O2810" s="30" t="s">
        <v>77</v>
      </c>
      <c r="P2810" s="72" t="s">
        <v>78</v>
      </c>
      <c r="Q2810" s="72" t="s">
        <v>2582</v>
      </c>
      <c r="R2810" s="72" t="s">
        <v>3103</v>
      </c>
      <c r="S2810" s="30">
        <v>0</v>
      </c>
      <c r="T2810" s="232">
        <v>0</v>
      </c>
      <c r="U2810" s="30">
        <v>0</v>
      </c>
      <c r="V2810" s="232">
        <v>0</v>
      </c>
      <c r="W2810" s="30">
        <v>0</v>
      </c>
      <c r="X2810" s="30">
        <v>0</v>
      </c>
      <c r="Y2810" s="30">
        <v>0</v>
      </c>
      <c r="Z2810" s="232">
        <v>0</v>
      </c>
      <c r="AA2810" s="30">
        <v>0</v>
      </c>
      <c r="AB2810" s="30">
        <v>0</v>
      </c>
      <c r="AC2810" s="30">
        <v>0</v>
      </c>
      <c r="AD2810" s="30">
        <v>0</v>
      </c>
      <c r="AE2810" s="72" t="s">
        <v>92</v>
      </c>
      <c r="AF2810" s="72"/>
      <c r="AG2810" s="72" t="s">
        <v>133</v>
      </c>
      <c r="AH2810" s="72">
        <v>43448</v>
      </c>
      <c r="AI2810" s="30">
        <v>0</v>
      </c>
      <c r="AJ2810" s="72" t="s">
        <v>68</v>
      </c>
      <c r="AK2810" s="72" t="s">
        <v>68</v>
      </c>
      <c r="AL2810" s="70">
        <v>43453</v>
      </c>
      <c r="AM2810" s="70"/>
      <c r="AN2810" s="70"/>
      <c r="AO2810" s="70"/>
      <c r="AP2810" s="73" t="e">
        <f>MID(VLOOKUP(K2810,#REF!,2,FALSE),1,2)</f>
        <v>#REF!</v>
      </c>
      <c r="AQ2810" s="72">
        <f>DATE(2018,12,17)</f>
        <v>43451</v>
      </c>
      <c r="AR2810" s="82">
        <f t="shared" si="241"/>
        <v>17</v>
      </c>
      <c r="AS2810" s="83">
        <f t="shared" si="242"/>
        <v>12</v>
      </c>
      <c r="AT2810" s="84">
        <f t="shared" si="243"/>
        <v>2018</v>
      </c>
      <c r="AU2810" s="86"/>
      <c r="AV2810" s="86"/>
      <c r="AW2810" s="87"/>
      <c r="AX2810" s="86"/>
      <c r="AY2810" s="83"/>
      <c r="AZ2810" s="84"/>
      <c r="BA2810" s="86"/>
      <c r="BB2810" s="86"/>
      <c r="BD2810" s="68"/>
    </row>
    <row r="2811" spans="1:56" s="25" customFormat="1" ht="36.75" customHeight="1">
      <c r="A2811" s="30"/>
      <c r="B2811" s="30" t="s">
        <v>55</v>
      </c>
      <c r="C2811" s="69" t="str">
        <f t="shared" si="237"/>
        <v>Closed</v>
      </c>
      <c r="D2811" s="27" t="s">
        <v>15879</v>
      </c>
      <c r="E2811" s="29" t="s">
        <v>15880</v>
      </c>
      <c r="F2811" s="30" t="s">
        <v>124</v>
      </c>
      <c r="G2811" s="72">
        <f>DATE(2018,12,17)</f>
        <v>43451</v>
      </c>
      <c r="H2811" s="80">
        <v>1.125</v>
      </c>
      <c r="I2811" s="30" t="s">
        <v>125</v>
      </c>
      <c r="J2811" s="72" t="s">
        <v>15881</v>
      </c>
      <c r="K2811" s="30" t="s">
        <v>127</v>
      </c>
      <c r="L2811" s="30" t="s">
        <v>15882</v>
      </c>
      <c r="M2811" s="30" t="s">
        <v>129</v>
      </c>
      <c r="N2811" s="30" t="s">
        <v>142</v>
      </c>
      <c r="O2811" s="30" t="s">
        <v>64</v>
      </c>
      <c r="P2811" s="72" t="s">
        <v>301</v>
      </c>
      <c r="Q2811" s="72" t="s">
        <v>10119</v>
      </c>
      <c r="R2811" s="72" t="s">
        <v>131</v>
      </c>
      <c r="S2811" s="30">
        <v>0</v>
      </c>
      <c r="T2811" s="232">
        <v>0</v>
      </c>
      <c r="U2811" s="30">
        <v>0</v>
      </c>
      <c r="V2811" s="232">
        <v>0</v>
      </c>
      <c r="W2811" s="30">
        <v>0</v>
      </c>
      <c r="X2811" s="30">
        <v>0</v>
      </c>
      <c r="Y2811" s="30">
        <v>0</v>
      </c>
      <c r="Z2811" s="232">
        <v>0</v>
      </c>
      <c r="AA2811" s="30">
        <v>0</v>
      </c>
      <c r="AB2811" s="30">
        <v>0</v>
      </c>
      <c r="AC2811" s="30">
        <v>0</v>
      </c>
      <c r="AD2811" s="30">
        <v>0</v>
      </c>
      <c r="AE2811" s="72" t="s">
        <v>92</v>
      </c>
      <c r="AF2811" s="72"/>
      <c r="AG2811" s="72" t="s">
        <v>367</v>
      </c>
      <c r="AH2811" s="72">
        <v>43452</v>
      </c>
      <c r="AI2811" s="30">
        <v>1</v>
      </c>
      <c r="AJ2811" s="72" t="s">
        <v>15883</v>
      </c>
      <c r="AK2811" s="72" t="s">
        <v>15884</v>
      </c>
      <c r="AL2811" s="70">
        <v>43453</v>
      </c>
      <c r="AM2811" s="70"/>
      <c r="AN2811" s="70"/>
      <c r="AO2811" s="70"/>
      <c r="AP2811" s="73" t="e">
        <f>MID(VLOOKUP(K2811,#REF!,2,FALSE),1,2)</f>
        <v>#REF!</v>
      </c>
      <c r="AQ2811" s="72">
        <f>DATE(2018,12,18)</f>
        <v>43452</v>
      </c>
      <c r="AR2811" s="82">
        <f t="shared" si="241"/>
        <v>18</v>
      </c>
      <c r="AS2811" s="83">
        <f t="shared" si="242"/>
        <v>12</v>
      </c>
      <c r="AT2811" s="84">
        <f t="shared" si="243"/>
        <v>2018</v>
      </c>
      <c r="AU2811" s="86"/>
      <c r="AV2811" s="86"/>
      <c r="AW2811" s="87"/>
      <c r="AX2811" s="86"/>
      <c r="AY2811" s="83"/>
      <c r="AZ2811" s="84"/>
      <c r="BA2811" s="86"/>
      <c r="BB2811" s="86"/>
      <c r="BD2811" s="68"/>
    </row>
    <row r="2812" spans="1:56" s="25" customFormat="1" ht="36.75" customHeight="1">
      <c r="A2812" s="30"/>
      <c r="B2812" s="30" t="s">
        <v>55</v>
      </c>
      <c r="C2812" s="69" t="str">
        <f t="shared" si="237"/>
        <v>Closed</v>
      </c>
      <c r="D2812" s="27" t="s">
        <v>15885</v>
      </c>
      <c r="E2812" s="29" t="s">
        <v>15886</v>
      </c>
      <c r="F2812" s="30" t="s">
        <v>1572</v>
      </c>
      <c r="G2812" s="72">
        <f>DATE(2018,12,18)</f>
        <v>43452</v>
      </c>
      <c r="H2812" s="80">
        <v>1.8090277777777777</v>
      </c>
      <c r="I2812" s="30" t="s">
        <v>9026</v>
      </c>
      <c r="J2812" s="72" t="s">
        <v>15887</v>
      </c>
      <c r="K2812" s="30" t="s">
        <v>1574</v>
      </c>
      <c r="L2812" s="30" t="s">
        <v>15888</v>
      </c>
      <c r="M2812" s="30" t="s">
        <v>63</v>
      </c>
      <c r="N2812" s="30" t="s">
        <v>99</v>
      </c>
      <c r="O2812" s="30" t="s">
        <v>64</v>
      </c>
      <c r="P2812" s="72" t="s">
        <v>78</v>
      </c>
      <c r="Q2812" s="72" t="s">
        <v>6093</v>
      </c>
      <c r="R2812" s="72" t="s">
        <v>6434</v>
      </c>
      <c r="S2812" s="30">
        <v>0</v>
      </c>
      <c r="T2812" s="232">
        <v>0</v>
      </c>
      <c r="U2812" s="30">
        <v>0</v>
      </c>
      <c r="V2812" s="232">
        <v>0</v>
      </c>
      <c r="W2812" s="30">
        <v>0</v>
      </c>
      <c r="X2812" s="30">
        <v>0</v>
      </c>
      <c r="Y2812" s="30">
        <v>0</v>
      </c>
      <c r="Z2812" s="232">
        <v>0</v>
      </c>
      <c r="AA2812" s="30">
        <v>0</v>
      </c>
      <c r="AB2812" s="30">
        <v>0</v>
      </c>
      <c r="AC2812" s="30">
        <v>0</v>
      </c>
      <c r="AD2812" s="30">
        <v>0</v>
      </c>
      <c r="AE2812" s="72" t="s">
        <v>92</v>
      </c>
      <c r="AF2812" s="72"/>
      <c r="AG2812" s="72" t="s">
        <v>133</v>
      </c>
      <c r="AH2812" s="72">
        <v>43453</v>
      </c>
      <c r="AI2812" s="30">
        <v>1</v>
      </c>
      <c r="AJ2812" s="72" t="s">
        <v>15889</v>
      </c>
      <c r="AK2812" s="72" t="s">
        <v>15890</v>
      </c>
      <c r="AL2812" s="70">
        <v>43454</v>
      </c>
      <c r="AM2812" s="70"/>
      <c r="AN2812" s="70"/>
      <c r="AO2812" s="70"/>
      <c r="AP2812" s="73" t="e">
        <f>MID(VLOOKUP(K2812,#REF!,2,FALSE),1,2)</f>
        <v>#REF!</v>
      </c>
      <c r="AQ2812" s="72">
        <f>DATE(2018,12,19)</f>
        <v>43453</v>
      </c>
      <c r="AR2812" s="82">
        <f t="shared" si="241"/>
        <v>19</v>
      </c>
      <c r="AS2812" s="83">
        <f t="shared" si="242"/>
        <v>12</v>
      </c>
      <c r="AT2812" s="84">
        <f t="shared" si="243"/>
        <v>2018</v>
      </c>
      <c r="AU2812" s="86"/>
      <c r="AV2812" s="86"/>
      <c r="AW2812" s="87"/>
      <c r="AX2812" s="86"/>
      <c r="AY2812" s="83"/>
      <c r="AZ2812" s="84"/>
      <c r="BA2812" s="86"/>
      <c r="BB2812" s="86"/>
      <c r="BD2812" s="68"/>
    </row>
    <row r="2813" spans="1:56" s="25" customFormat="1" ht="36.75" customHeight="1">
      <c r="A2813" s="30"/>
      <c r="B2813" s="30" t="s">
        <v>55</v>
      </c>
      <c r="C2813" s="69" t="str">
        <f t="shared" si="237"/>
        <v>Closed</v>
      </c>
      <c r="D2813" s="27" t="s">
        <v>15891</v>
      </c>
      <c r="E2813" s="29" t="s">
        <v>15892</v>
      </c>
      <c r="F2813" s="30" t="s">
        <v>2336</v>
      </c>
      <c r="G2813" s="72">
        <f>DATE(2018,12,19)</f>
        <v>43453</v>
      </c>
      <c r="H2813" s="80">
        <v>1.6062500000000002</v>
      </c>
      <c r="I2813" s="30" t="s">
        <v>116</v>
      </c>
      <c r="J2813" s="72" t="s">
        <v>15893</v>
      </c>
      <c r="K2813" s="30" t="s">
        <v>2338</v>
      </c>
      <c r="L2813" s="30" t="s">
        <v>15894</v>
      </c>
      <c r="M2813" s="30" t="s">
        <v>63</v>
      </c>
      <c r="N2813" s="30" t="s">
        <v>99</v>
      </c>
      <c r="O2813" s="30" t="s">
        <v>64</v>
      </c>
      <c r="P2813" s="72" t="s">
        <v>165</v>
      </c>
      <c r="Q2813" s="72" t="s">
        <v>13517</v>
      </c>
      <c r="R2813" s="72" t="s">
        <v>2341</v>
      </c>
      <c r="S2813" s="30">
        <v>0</v>
      </c>
      <c r="T2813" s="232">
        <v>0</v>
      </c>
      <c r="U2813" s="30">
        <v>3</v>
      </c>
      <c r="V2813" s="232">
        <v>0</v>
      </c>
      <c r="W2813" s="30">
        <v>0</v>
      </c>
      <c r="X2813" s="30">
        <v>3</v>
      </c>
      <c r="Y2813" s="30">
        <v>0</v>
      </c>
      <c r="Z2813" s="232">
        <v>0</v>
      </c>
      <c r="AA2813" s="30">
        <v>0</v>
      </c>
      <c r="AB2813" s="30">
        <v>0</v>
      </c>
      <c r="AC2813" s="30">
        <v>0</v>
      </c>
      <c r="AD2813" s="30">
        <v>0</v>
      </c>
      <c r="AE2813" s="72" t="s">
        <v>92</v>
      </c>
      <c r="AF2813" s="72"/>
      <c r="AG2813" s="72" t="s">
        <v>82</v>
      </c>
      <c r="AH2813" s="72">
        <v>43455</v>
      </c>
      <c r="AI2813" s="30">
        <v>7</v>
      </c>
      <c r="AJ2813" s="72" t="s">
        <v>15895</v>
      </c>
      <c r="AK2813" s="72" t="s">
        <v>15896</v>
      </c>
      <c r="AL2813" s="70">
        <v>43455</v>
      </c>
      <c r="AM2813" s="70"/>
      <c r="AN2813" s="70"/>
      <c r="AO2813" s="70"/>
      <c r="AP2813" s="73" t="e">
        <f>MID(VLOOKUP(K2813,#REF!,2,FALSE),1,2)</f>
        <v>#REF!</v>
      </c>
      <c r="AQ2813" s="72">
        <f>DATE(2018,12,22)</f>
        <v>43456</v>
      </c>
      <c r="AR2813" s="82">
        <f t="shared" si="241"/>
        <v>22</v>
      </c>
      <c r="AS2813" s="83">
        <f t="shared" si="242"/>
        <v>12</v>
      </c>
      <c r="AT2813" s="84">
        <f t="shared" si="243"/>
        <v>2018</v>
      </c>
      <c r="AU2813" s="86"/>
      <c r="AV2813" s="86"/>
      <c r="AW2813" s="87"/>
      <c r="AX2813" s="86"/>
      <c r="AY2813" s="83"/>
      <c r="AZ2813" s="84"/>
      <c r="BA2813" s="86"/>
      <c r="BB2813" s="86"/>
      <c r="BD2813" s="68"/>
    </row>
    <row r="2814" spans="1:56" s="25" customFormat="1" ht="36.75" customHeight="1">
      <c r="A2814" s="30"/>
      <c r="B2814" s="30" t="s">
        <v>55</v>
      </c>
      <c r="C2814" s="69" t="str">
        <f t="shared" si="237"/>
        <v>Closed</v>
      </c>
      <c r="D2814" s="27" t="s">
        <v>15897</v>
      </c>
      <c r="E2814" s="29" t="s">
        <v>15898</v>
      </c>
      <c r="F2814" s="30" t="s">
        <v>1572</v>
      </c>
      <c r="G2814" s="72">
        <f>DATE(2018,12,22)</f>
        <v>43456</v>
      </c>
      <c r="H2814" s="80">
        <v>1.0833333333333333</v>
      </c>
      <c r="I2814" s="30" t="s">
        <v>73</v>
      </c>
      <c r="J2814" s="72" t="s">
        <v>15899</v>
      </c>
      <c r="K2814" s="30" t="s">
        <v>1574</v>
      </c>
      <c r="L2814" s="30" t="s">
        <v>15900</v>
      </c>
      <c r="M2814" s="30" t="s">
        <v>63</v>
      </c>
      <c r="N2814" s="30" t="s">
        <v>99</v>
      </c>
      <c r="O2814" s="30" t="s">
        <v>64</v>
      </c>
      <c r="P2814" s="72" t="s">
        <v>78</v>
      </c>
      <c r="Q2814" s="72" t="s">
        <v>15901</v>
      </c>
      <c r="R2814" s="72" t="s">
        <v>6434</v>
      </c>
      <c r="S2814" s="30">
        <v>0</v>
      </c>
      <c r="T2814" s="232">
        <v>0</v>
      </c>
      <c r="U2814" s="30">
        <v>0</v>
      </c>
      <c r="V2814" s="232">
        <v>0</v>
      </c>
      <c r="W2814" s="30">
        <v>0</v>
      </c>
      <c r="X2814" s="30">
        <v>0</v>
      </c>
      <c r="Y2814" s="30">
        <v>0</v>
      </c>
      <c r="Z2814" s="232">
        <v>0</v>
      </c>
      <c r="AA2814" s="30">
        <v>0</v>
      </c>
      <c r="AB2814" s="30">
        <v>0</v>
      </c>
      <c r="AC2814" s="30">
        <v>0</v>
      </c>
      <c r="AD2814" s="30">
        <v>0</v>
      </c>
      <c r="AE2814" s="72" t="s">
        <v>394</v>
      </c>
      <c r="AF2814" s="72"/>
      <c r="AG2814" s="72" t="s">
        <v>133</v>
      </c>
      <c r="AH2814" s="72">
        <v>43461</v>
      </c>
      <c r="AI2814" s="30">
        <v>0</v>
      </c>
      <c r="AJ2814" s="72" t="s">
        <v>15902</v>
      </c>
      <c r="AK2814" s="72" t="s">
        <v>1233</v>
      </c>
      <c r="AL2814" s="70">
        <v>43462</v>
      </c>
      <c r="AM2814" s="70"/>
      <c r="AN2814" s="70"/>
      <c r="AO2814" s="70"/>
      <c r="AP2814" s="73" t="e">
        <f>MID(VLOOKUP(K2814,#REF!,2,FALSE),1,2)</f>
        <v>#REF!</v>
      </c>
      <c r="AQ2814" s="72">
        <f>DATE(2018,12,23)</f>
        <v>43457</v>
      </c>
      <c r="AR2814" s="82">
        <f t="shared" si="241"/>
        <v>23</v>
      </c>
      <c r="AS2814" s="83">
        <f t="shared" si="242"/>
        <v>12</v>
      </c>
      <c r="AT2814" s="84">
        <f t="shared" si="243"/>
        <v>2018</v>
      </c>
      <c r="AU2814" s="86"/>
      <c r="AV2814" s="86"/>
      <c r="AW2814" s="87"/>
      <c r="AX2814" s="86"/>
      <c r="AY2814" s="83"/>
      <c r="AZ2814" s="84"/>
      <c r="BA2814" s="86"/>
      <c r="BB2814" s="86"/>
      <c r="BD2814" s="68"/>
    </row>
    <row r="2815" spans="1:56" s="25" customFormat="1" ht="36.75" customHeight="1">
      <c r="A2815" s="30"/>
      <c r="B2815" s="30" t="s">
        <v>55</v>
      </c>
      <c r="C2815" s="69" t="str">
        <f t="shared" si="237"/>
        <v>Closed</v>
      </c>
      <c r="D2815" s="27" t="s">
        <v>15903</v>
      </c>
      <c r="E2815" s="29" t="s">
        <v>15904</v>
      </c>
      <c r="F2815" s="30" t="s">
        <v>835</v>
      </c>
      <c r="G2815" s="72">
        <f>DATE(2018,12,23)</f>
        <v>43457</v>
      </c>
      <c r="H2815" s="80">
        <v>1.4152777777777779</v>
      </c>
      <c r="I2815" s="30" t="s">
        <v>73</v>
      </c>
      <c r="J2815" s="72" t="s">
        <v>15905</v>
      </c>
      <c r="K2815" s="30" t="s">
        <v>837</v>
      </c>
      <c r="L2815" s="30" t="s">
        <v>14668</v>
      </c>
      <c r="M2815" s="30" t="s">
        <v>255</v>
      </c>
      <c r="N2815" s="30" t="s">
        <v>99</v>
      </c>
      <c r="O2815" s="30" t="s">
        <v>64</v>
      </c>
      <c r="P2815" s="72" t="s">
        <v>6552</v>
      </c>
      <c r="Q2815" s="72" t="s">
        <v>4210</v>
      </c>
      <c r="R2815" s="72" t="s">
        <v>4210</v>
      </c>
      <c r="S2815" s="30">
        <v>0</v>
      </c>
      <c r="T2815" s="232">
        <v>0</v>
      </c>
      <c r="U2815" s="30">
        <v>0</v>
      </c>
      <c r="V2815" s="232">
        <v>0</v>
      </c>
      <c r="W2815" s="30">
        <v>0</v>
      </c>
      <c r="X2815" s="30">
        <v>0</v>
      </c>
      <c r="Y2815" s="30">
        <v>0</v>
      </c>
      <c r="Z2815" s="232">
        <v>0</v>
      </c>
      <c r="AA2815" s="30">
        <v>0</v>
      </c>
      <c r="AB2815" s="30">
        <v>0</v>
      </c>
      <c r="AC2815" s="30">
        <v>0</v>
      </c>
      <c r="AD2815" s="30">
        <v>0</v>
      </c>
      <c r="AE2815" s="72" t="s">
        <v>92</v>
      </c>
      <c r="AF2815" s="72"/>
      <c r="AG2815" s="72" t="s">
        <v>367</v>
      </c>
      <c r="AH2815" s="72">
        <v>43518</v>
      </c>
      <c r="AI2815" s="30">
        <v>0</v>
      </c>
      <c r="AJ2815" s="72" t="s">
        <v>15906</v>
      </c>
      <c r="AK2815" s="72" t="s">
        <v>15907</v>
      </c>
      <c r="AL2815" s="70">
        <v>43524</v>
      </c>
      <c r="AM2815" s="70"/>
      <c r="AN2815" s="70"/>
      <c r="AO2815" s="70"/>
      <c r="AP2815" s="73" t="e">
        <f>MID(VLOOKUP(K2815,#REF!,2,FALSE),1,2)</f>
        <v>#REF!</v>
      </c>
      <c r="AQ2815" s="72">
        <f>DATE(2018,12,23)</f>
        <v>43457</v>
      </c>
      <c r="AR2815" s="82">
        <f t="shared" si="241"/>
        <v>23</v>
      </c>
      <c r="AS2815" s="83">
        <f t="shared" si="242"/>
        <v>12</v>
      </c>
      <c r="AT2815" s="84">
        <f t="shared" si="243"/>
        <v>2018</v>
      </c>
      <c r="AU2815" s="86"/>
      <c r="AV2815" s="86"/>
      <c r="AW2815" s="87"/>
      <c r="AX2815" s="86"/>
      <c r="AY2815" s="83"/>
      <c r="AZ2815" s="84"/>
      <c r="BA2815" s="86"/>
      <c r="BB2815" s="86"/>
      <c r="BD2815" s="68"/>
    </row>
    <row r="2816" spans="1:56" s="25" customFormat="1" ht="36.75" customHeight="1">
      <c r="A2816" s="30"/>
      <c r="B2816" s="30" t="s">
        <v>55</v>
      </c>
      <c r="C2816" s="69" t="str">
        <f t="shared" si="237"/>
        <v>Closed</v>
      </c>
      <c r="D2816" s="27" t="s">
        <v>15908</v>
      </c>
      <c r="E2816" s="29" t="s">
        <v>15909</v>
      </c>
      <c r="F2816" s="30" t="s">
        <v>1572</v>
      </c>
      <c r="G2816" s="72">
        <f>DATE(2018,12,23)</f>
        <v>43457</v>
      </c>
      <c r="H2816" s="80">
        <v>1.3055555555555556</v>
      </c>
      <c r="I2816" s="30" t="s">
        <v>73</v>
      </c>
      <c r="J2816" s="72" t="s">
        <v>15910</v>
      </c>
      <c r="K2816" s="30" t="s">
        <v>1574</v>
      </c>
      <c r="L2816" s="30" t="s">
        <v>15911</v>
      </c>
      <c r="M2816" s="30" t="s">
        <v>63</v>
      </c>
      <c r="N2816" s="30" t="s">
        <v>142</v>
      </c>
      <c r="O2816" s="30" t="s">
        <v>64</v>
      </c>
      <c r="P2816" s="72" t="s">
        <v>6941</v>
      </c>
      <c r="Q2816" s="72" t="s">
        <v>2413</v>
      </c>
      <c r="R2816" s="72" t="s">
        <v>6434</v>
      </c>
      <c r="S2816" s="30">
        <v>0</v>
      </c>
      <c r="T2816" s="232">
        <v>0</v>
      </c>
      <c r="U2816" s="30">
        <v>0</v>
      </c>
      <c r="V2816" s="232">
        <v>0</v>
      </c>
      <c r="W2816" s="30">
        <v>0</v>
      </c>
      <c r="X2816" s="30">
        <v>0</v>
      </c>
      <c r="Y2816" s="30">
        <v>1</v>
      </c>
      <c r="Z2816" s="232">
        <v>0</v>
      </c>
      <c r="AA2816" s="30">
        <v>0</v>
      </c>
      <c r="AB2816" s="30">
        <v>0</v>
      </c>
      <c r="AC2816" s="30">
        <v>0</v>
      </c>
      <c r="AD2816" s="30">
        <v>1</v>
      </c>
      <c r="AE2816" s="72" t="s">
        <v>394</v>
      </c>
      <c r="AF2816" s="72"/>
      <c r="AG2816" s="72" t="s">
        <v>133</v>
      </c>
      <c r="AH2816" s="72">
        <v>43461</v>
      </c>
      <c r="AI2816" s="30">
        <v>1</v>
      </c>
      <c r="AJ2816" s="72" t="s">
        <v>15912</v>
      </c>
      <c r="AK2816" s="72" t="s">
        <v>15913</v>
      </c>
      <c r="AL2816" s="70">
        <v>43462</v>
      </c>
      <c r="AM2816" s="70"/>
      <c r="AN2816" s="70"/>
      <c r="AO2816" s="70"/>
      <c r="AP2816" s="73" t="e">
        <f>MID(VLOOKUP(K2816,#REF!,2,FALSE),1,2)</f>
        <v>#REF!</v>
      </c>
      <c r="AQ2816" s="72">
        <f>DATE(2018,12,26)</f>
        <v>43460</v>
      </c>
      <c r="AR2816" s="82">
        <f t="shared" si="241"/>
        <v>26</v>
      </c>
      <c r="AS2816" s="83">
        <f t="shared" si="242"/>
        <v>12</v>
      </c>
      <c r="AT2816" s="84">
        <f t="shared" si="243"/>
        <v>2018</v>
      </c>
      <c r="AU2816" s="86"/>
      <c r="AV2816" s="86"/>
      <c r="AW2816" s="87"/>
      <c r="AX2816" s="86"/>
      <c r="AY2816" s="83"/>
      <c r="AZ2816" s="84"/>
      <c r="BA2816" s="86"/>
      <c r="BB2816" s="86"/>
      <c r="BD2816" s="68"/>
    </row>
    <row r="2817" spans="1:56" s="25" customFormat="1" ht="36.75" customHeight="1">
      <c r="A2817" s="30"/>
      <c r="B2817" s="30" t="s">
        <v>55</v>
      </c>
      <c r="C2817" s="69" t="str">
        <f t="shared" si="237"/>
        <v>Closed</v>
      </c>
      <c r="D2817" s="27" t="s">
        <v>15914</v>
      </c>
      <c r="E2817" s="29" t="s">
        <v>15915</v>
      </c>
      <c r="F2817" s="30" t="s">
        <v>1572</v>
      </c>
      <c r="G2817" s="72">
        <f>DATE(2018,12,26)</f>
        <v>43460</v>
      </c>
      <c r="H2817" s="80">
        <v>1.0229166666666667</v>
      </c>
      <c r="I2817" s="30" t="s">
        <v>73</v>
      </c>
      <c r="J2817" s="72" t="s">
        <v>15916</v>
      </c>
      <c r="K2817" s="30" t="s">
        <v>1574</v>
      </c>
      <c r="L2817" s="30" t="s">
        <v>15917</v>
      </c>
      <c r="M2817" s="30" t="s">
        <v>63</v>
      </c>
      <c r="N2817" s="30" t="s">
        <v>99</v>
      </c>
      <c r="O2817" s="30" t="s">
        <v>64</v>
      </c>
      <c r="P2817" s="72" t="s">
        <v>78</v>
      </c>
      <c r="Q2817" s="72" t="s">
        <v>2655</v>
      </c>
      <c r="R2817" s="72" t="s">
        <v>6434</v>
      </c>
      <c r="S2817" s="30">
        <v>0</v>
      </c>
      <c r="T2817" s="232">
        <v>0</v>
      </c>
      <c r="U2817" s="30">
        <v>0</v>
      </c>
      <c r="V2817" s="232">
        <v>0</v>
      </c>
      <c r="W2817" s="30">
        <v>0</v>
      </c>
      <c r="X2817" s="30">
        <v>0</v>
      </c>
      <c r="Y2817" s="30">
        <v>0</v>
      </c>
      <c r="Z2817" s="232">
        <v>0</v>
      </c>
      <c r="AA2817" s="30">
        <v>0</v>
      </c>
      <c r="AB2817" s="30">
        <v>0</v>
      </c>
      <c r="AC2817" s="30">
        <v>0</v>
      </c>
      <c r="AD2817" s="30">
        <v>0</v>
      </c>
      <c r="AE2817" s="72" t="s">
        <v>92</v>
      </c>
      <c r="AF2817" s="72"/>
      <c r="AG2817" s="72" t="s">
        <v>133</v>
      </c>
      <c r="AH2817" s="72">
        <v>43461</v>
      </c>
      <c r="AI2817" s="30">
        <v>0</v>
      </c>
      <c r="AJ2817" s="72" t="s">
        <v>15918</v>
      </c>
      <c r="AK2817" s="72" t="s">
        <v>15919</v>
      </c>
      <c r="AL2817" s="70">
        <v>43462</v>
      </c>
      <c r="AM2817" s="70"/>
      <c r="AN2817" s="70"/>
      <c r="AO2817" s="70"/>
      <c r="AP2817" s="73" t="e">
        <f>MID(VLOOKUP(K2817,#REF!,2,FALSE),1,2)</f>
        <v>#REF!</v>
      </c>
      <c r="AQ2817" s="72">
        <f>DATE(2019,1,3)</f>
        <v>43468</v>
      </c>
      <c r="AR2817" s="82">
        <f t="shared" si="241"/>
        <v>3</v>
      </c>
      <c r="AS2817" s="83">
        <f t="shared" si="242"/>
        <v>1</v>
      </c>
      <c r="AT2817" s="84">
        <f t="shared" si="243"/>
        <v>2019</v>
      </c>
      <c r="AU2817" s="86"/>
      <c r="AV2817" s="86"/>
      <c r="AW2817" s="87"/>
      <c r="AX2817" s="86"/>
      <c r="AY2817" s="83"/>
      <c r="AZ2817" s="84"/>
      <c r="BA2817" s="86"/>
      <c r="BB2817" s="86"/>
      <c r="BD2817" s="68"/>
    </row>
    <row r="2818" spans="1:56" s="25" customFormat="1" ht="36.75" customHeight="1">
      <c r="A2818" s="30"/>
      <c r="B2818" s="30" t="s">
        <v>55</v>
      </c>
      <c r="C2818" s="69" t="str">
        <f t="shared" ref="C2818:C2881" si="244">IF(B2818="Notification","Open",IF(B2818="Interim Statement","In progress","Closed"))</f>
        <v>Closed</v>
      </c>
      <c r="D2818" s="27" t="s">
        <v>15920</v>
      </c>
      <c r="E2818" s="29" t="s">
        <v>15921</v>
      </c>
      <c r="F2818" s="30" t="s">
        <v>451</v>
      </c>
      <c r="G2818" s="72">
        <f>DATE(2019,1,2)</f>
        <v>43467</v>
      </c>
      <c r="H2818" s="80">
        <v>1.3125</v>
      </c>
      <c r="I2818" s="30" t="s">
        <v>5494</v>
      </c>
      <c r="J2818" s="72" t="s">
        <v>15922</v>
      </c>
      <c r="K2818" s="30" t="s">
        <v>453</v>
      </c>
      <c r="L2818" s="30" t="s">
        <v>15923</v>
      </c>
      <c r="M2818" s="30" t="s">
        <v>63</v>
      </c>
      <c r="N2818" s="30" t="s">
        <v>142</v>
      </c>
      <c r="O2818" s="30" t="s">
        <v>64</v>
      </c>
      <c r="P2818" s="72" t="s">
        <v>5845</v>
      </c>
      <c r="Q2818" s="72" t="s">
        <v>15924</v>
      </c>
      <c r="R2818" s="72" t="s">
        <v>572</v>
      </c>
      <c r="S2818" s="30">
        <v>8</v>
      </c>
      <c r="T2818" s="232">
        <v>0</v>
      </c>
      <c r="U2818" s="30">
        <v>0</v>
      </c>
      <c r="V2818" s="232">
        <v>0</v>
      </c>
      <c r="W2818" s="30">
        <v>0</v>
      </c>
      <c r="X2818" s="30">
        <v>8</v>
      </c>
      <c r="Y2818" s="30">
        <v>4</v>
      </c>
      <c r="Z2818" s="232">
        <v>0</v>
      </c>
      <c r="AA2818" s="30">
        <v>0</v>
      </c>
      <c r="AB2818" s="30">
        <v>0</v>
      </c>
      <c r="AC2818" s="30">
        <v>0</v>
      </c>
      <c r="AD2818" s="30">
        <v>4</v>
      </c>
      <c r="AE2818" s="72" t="s">
        <v>145</v>
      </c>
      <c r="AF2818" s="72"/>
      <c r="AG2818" s="72" t="s">
        <v>82</v>
      </c>
      <c r="AH2818" s="72">
        <v>43467</v>
      </c>
      <c r="AI2818" s="30">
        <v>4</v>
      </c>
      <c r="AJ2818" s="72" t="s">
        <v>15925</v>
      </c>
      <c r="AK2818" s="72" t="s">
        <v>15926</v>
      </c>
      <c r="AL2818" s="70">
        <v>43476</v>
      </c>
      <c r="AM2818" s="70"/>
      <c r="AN2818" s="70"/>
      <c r="AO2818" s="70">
        <v>43817</v>
      </c>
      <c r="AP2818" s="73" t="e">
        <f>MID(VLOOKUP(K2818,#REF!,2,FALSE),1,2)</f>
        <v>#REF!</v>
      </c>
      <c r="AQ2818" s="72">
        <f>DATE(2019,1,4)</f>
        <v>43469</v>
      </c>
      <c r="AR2818" s="82">
        <f t="shared" si="241"/>
        <v>4</v>
      </c>
      <c r="AS2818" s="83">
        <f t="shared" si="242"/>
        <v>1</v>
      </c>
      <c r="AT2818" s="84">
        <f t="shared" si="243"/>
        <v>2019</v>
      </c>
      <c r="AU2818" s="86"/>
      <c r="AV2818" s="86"/>
      <c r="AW2818" s="87"/>
      <c r="AX2818" s="86"/>
      <c r="AY2818" s="83"/>
      <c r="AZ2818" s="84"/>
      <c r="BA2818" s="86"/>
      <c r="BB2818" s="86"/>
      <c r="BD2818" s="68"/>
    </row>
    <row r="2819" spans="1:56" s="25" customFormat="1" ht="36.75" customHeight="1">
      <c r="A2819" s="30"/>
      <c r="B2819" s="30" t="s">
        <v>55</v>
      </c>
      <c r="C2819" s="69" t="str">
        <f t="shared" si="244"/>
        <v>Closed</v>
      </c>
      <c r="D2819" s="27" t="s">
        <v>15927</v>
      </c>
      <c r="E2819" s="29" t="s">
        <v>15928</v>
      </c>
      <c r="F2819" s="30" t="s">
        <v>1572</v>
      </c>
      <c r="G2819" s="72">
        <f>DATE(2019,1,3)</f>
        <v>43468</v>
      </c>
      <c r="H2819" s="80">
        <v>1.5520833333333335</v>
      </c>
      <c r="I2819" s="30" t="s">
        <v>73</v>
      </c>
      <c r="J2819" s="72" t="s">
        <v>15929</v>
      </c>
      <c r="K2819" s="30" t="s">
        <v>1574</v>
      </c>
      <c r="L2819" s="30" t="s">
        <v>11908</v>
      </c>
      <c r="M2819" s="30" t="s">
        <v>63</v>
      </c>
      <c r="N2819" s="30" t="s">
        <v>142</v>
      </c>
      <c r="O2819" s="30" t="s">
        <v>77</v>
      </c>
      <c r="P2819" s="72" t="s">
        <v>78</v>
      </c>
      <c r="Q2819" s="72" t="s">
        <v>2655</v>
      </c>
      <c r="R2819" s="72" t="s">
        <v>6434</v>
      </c>
      <c r="S2819" s="30">
        <v>0</v>
      </c>
      <c r="T2819" s="232">
        <v>0</v>
      </c>
      <c r="U2819" s="30">
        <v>0</v>
      </c>
      <c r="V2819" s="232">
        <v>0</v>
      </c>
      <c r="W2819" s="30">
        <v>0</v>
      </c>
      <c r="X2819" s="30">
        <v>0</v>
      </c>
      <c r="Y2819" s="30">
        <v>0</v>
      </c>
      <c r="Z2819" s="232">
        <v>0</v>
      </c>
      <c r="AA2819" s="30">
        <v>0</v>
      </c>
      <c r="AB2819" s="30">
        <v>0</v>
      </c>
      <c r="AC2819" s="30">
        <v>0</v>
      </c>
      <c r="AD2819" s="30">
        <v>0</v>
      </c>
      <c r="AE2819" s="72" t="s">
        <v>92</v>
      </c>
      <c r="AF2819" s="72"/>
      <c r="AG2819" s="72" t="s">
        <v>133</v>
      </c>
      <c r="AH2819" s="72">
        <v>43468</v>
      </c>
      <c r="AI2819" s="30">
        <v>3</v>
      </c>
      <c r="AJ2819" s="72" t="s">
        <v>15930</v>
      </c>
      <c r="AK2819" s="72" t="s">
        <v>15931</v>
      </c>
      <c r="AL2819" s="70">
        <v>43473</v>
      </c>
      <c r="AM2819" s="70"/>
      <c r="AN2819" s="70"/>
      <c r="AO2819" s="70"/>
      <c r="AP2819" s="73" t="e">
        <f>MID(VLOOKUP(K2819,#REF!,2,FALSE),1,2)</f>
        <v>#REF!</v>
      </c>
      <c r="AQ2819" s="72">
        <f>DATE(2019,1,8)</f>
        <v>43473</v>
      </c>
      <c r="AR2819" s="82">
        <f t="shared" si="241"/>
        <v>8</v>
      </c>
      <c r="AS2819" s="83">
        <f t="shared" si="242"/>
        <v>1</v>
      </c>
      <c r="AT2819" s="84">
        <f t="shared" si="243"/>
        <v>2019</v>
      </c>
      <c r="AU2819" s="86"/>
      <c r="AV2819" s="86"/>
      <c r="AW2819" s="87"/>
      <c r="AX2819" s="86"/>
      <c r="AY2819" s="83"/>
      <c r="AZ2819" s="84"/>
      <c r="BA2819" s="86"/>
      <c r="BB2819" s="86"/>
      <c r="BD2819" s="68"/>
    </row>
    <row r="2820" spans="1:56" s="25" customFormat="1" ht="36.75" customHeight="1">
      <c r="A2820" s="30"/>
      <c r="B2820" s="30" t="s">
        <v>55</v>
      </c>
      <c r="C2820" s="69" t="str">
        <f t="shared" si="244"/>
        <v>Closed</v>
      </c>
      <c r="D2820" s="27" t="s">
        <v>15932</v>
      </c>
      <c r="E2820" s="29" t="s">
        <v>15933</v>
      </c>
      <c r="F2820" s="30" t="s">
        <v>835</v>
      </c>
      <c r="G2820" s="72">
        <f>DATE(2019,1,4)</f>
        <v>43469</v>
      </c>
      <c r="H2820" s="80">
        <v>1.0604166666666666</v>
      </c>
      <c r="I2820" s="30" t="s">
        <v>156</v>
      </c>
      <c r="J2820" s="72" t="s">
        <v>15934</v>
      </c>
      <c r="K2820" s="30" t="s">
        <v>837</v>
      </c>
      <c r="L2820" s="30" t="s">
        <v>15935</v>
      </c>
      <c r="M2820" s="30" t="s">
        <v>63</v>
      </c>
      <c r="N2820" s="30" t="s">
        <v>99</v>
      </c>
      <c r="O2820" s="30" t="s">
        <v>77</v>
      </c>
      <c r="P2820" s="72" t="s">
        <v>381</v>
      </c>
      <c r="Q2820" s="72" t="s">
        <v>2162</v>
      </c>
      <c r="R2820" s="72" t="s">
        <v>840</v>
      </c>
      <c r="S2820" s="30">
        <v>0</v>
      </c>
      <c r="T2820" s="232">
        <v>0</v>
      </c>
      <c r="U2820" s="30">
        <v>0</v>
      </c>
      <c r="V2820" s="232">
        <v>0</v>
      </c>
      <c r="W2820" s="30">
        <v>0</v>
      </c>
      <c r="X2820" s="30">
        <v>0</v>
      </c>
      <c r="Y2820" s="30">
        <v>0</v>
      </c>
      <c r="Z2820" s="232">
        <v>1</v>
      </c>
      <c r="AA2820" s="30">
        <v>0</v>
      </c>
      <c r="AB2820" s="30">
        <v>0</v>
      </c>
      <c r="AC2820" s="30">
        <v>0</v>
      </c>
      <c r="AD2820" s="30">
        <v>1</v>
      </c>
      <c r="AE2820" s="72" t="s">
        <v>92</v>
      </c>
      <c r="AF2820" s="72"/>
      <c r="AG2820" s="72" t="s">
        <v>133</v>
      </c>
      <c r="AH2820" s="72">
        <v>43485</v>
      </c>
      <c r="AI2820" s="30">
        <v>2</v>
      </c>
      <c r="AJ2820" s="72" t="s">
        <v>15936</v>
      </c>
      <c r="AK2820" s="72" t="s">
        <v>68</v>
      </c>
      <c r="AL2820" s="70">
        <v>43493</v>
      </c>
      <c r="AM2820" s="70"/>
      <c r="AN2820" s="70"/>
      <c r="AO2820" s="70"/>
      <c r="AP2820" s="73" t="e">
        <f>MID(VLOOKUP(K2820,#REF!,2,FALSE),1,2)</f>
        <v>#REF!</v>
      </c>
      <c r="AQ2820" s="72">
        <f>DATE(2019,1,9)</f>
        <v>43474</v>
      </c>
      <c r="AR2820" s="82">
        <f t="shared" si="241"/>
        <v>9</v>
      </c>
      <c r="AS2820" s="83">
        <f t="shared" si="242"/>
        <v>1</v>
      </c>
      <c r="AT2820" s="84">
        <f t="shared" si="243"/>
        <v>2019</v>
      </c>
      <c r="AU2820" s="86"/>
      <c r="AV2820" s="86"/>
      <c r="AW2820" s="87"/>
      <c r="AX2820" s="86"/>
      <c r="AY2820" s="83"/>
      <c r="AZ2820" s="84"/>
      <c r="BA2820" s="86"/>
      <c r="BB2820" s="86"/>
      <c r="BD2820" s="68"/>
    </row>
    <row r="2821" spans="1:56" s="25" customFormat="1" ht="36.75" customHeight="1">
      <c r="A2821" s="30"/>
      <c r="B2821" s="30" t="s">
        <v>55</v>
      </c>
      <c r="C2821" s="69" t="str">
        <f t="shared" si="244"/>
        <v>Closed</v>
      </c>
      <c r="D2821" s="27" t="s">
        <v>15937</v>
      </c>
      <c r="E2821" s="29" t="s">
        <v>15938</v>
      </c>
      <c r="F2821" s="30" t="s">
        <v>1572</v>
      </c>
      <c r="G2821" s="72">
        <f>DATE(2019,1,8)</f>
        <v>43473</v>
      </c>
      <c r="H2821" s="80">
        <v>1.2972222222222223</v>
      </c>
      <c r="I2821" s="30" t="s">
        <v>2418</v>
      </c>
      <c r="J2821" s="72" t="s">
        <v>15939</v>
      </c>
      <c r="K2821" s="30" t="s">
        <v>1574</v>
      </c>
      <c r="L2821" s="30" t="s">
        <v>15940</v>
      </c>
      <c r="M2821" s="30" t="s">
        <v>63</v>
      </c>
      <c r="N2821" s="30" t="s">
        <v>99</v>
      </c>
      <c r="O2821" s="30" t="s">
        <v>77</v>
      </c>
      <c r="P2821" s="72" t="s">
        <v>6941</v>
      </c>
      <c r="Q2821" s="72" t="s">
        <v>2413</v>
      </c>
      <c r="R2821" s="72" t="s">
        <v>6434</v>
      </c>
      <c r="S2821" s="30">
        <v>0</v>
      </c>
      <c r="T2821" s="232">
        <v>0</v>
      </c>
      <c r="U2821" s="30">
        <v>0</v>
      </c>
      <c r="V2821" s="232">
        <v>0</v>
      </c>
      <c r="W2821" s="30">
        <v>0</v>
      </c>
      <c r="X2821" s="30">
        <v>0</v>
      </c>
      <c r="Y2821" s="30">
        <v>0</v>
      </c>
      <c r="Z2821" s="232">
        <v>0</v>
      </c>
      <c r="AA2821" s="30">
        <v>0</v>
      </c>
      <c r="AB2821" s="30">
        <v>0</v>
      </c>
      <c r="AC2821" s="30">
        <v>0</v>
      </c>
      <c r="AD2821" s="30">
        <v>0</v>
      </c>
      <c r="AE2821" s="72" t="s">
        <v>92</v>
      </c>
      <c r="AF2821" s="72"/>
      <c r="AG2821" s="72" t="s">
        <v>352</v>
      </c>
      <c r="AH2821" s="72">
        <v>43476</v>
      </c>
      <c r="AI2821" s="30">
        <v>2</v>
      </c>
      <c r="AJ2821" s="72" t="s">
        <v>15941</v>
      </c>
      <c r="AK2821" s="72" t="s">
        <v>15942</v>
      </c>
      <c r="AL2821" s="70">
        <v>43479</v>
      </c>
      <c r="AM2821" s="70"/>
      <c r="AN2821" s="70"/>
      <c r="AO2821" s="70"/>
      <c r="AP2821" s="73" t="e">
        <f>MID(VLOOKUP(K2821,#REF!,2,FALSE),1,2)</f>
        <v>#REF!</v>
      </c>
      <c r="AQ2821" s="72">
        <f>DATE(2019,1,10)</f>
        <v>43475</v>
      </c>
      <c r="AR2821" s="82">
        <f t="shared" si="241"/>
        <v>10</v>
      </c>
      <c r="AS2821" s="83">
        <f t="shared" si="242"/>
        <v>1</v>
      </c>
      <c r="AT2821" s="84">
        <f t="shared" si="243"/>
        <v>2019</v>
      </c>
      <c r="AU2821" s="86"/>
      <c r="AV2821" s="86"/>
      <c r="AW2821" s="87"/>
      <c r="AX2821" s="86"/>
      <c r="AY2821" s="83"/>
      <c r="AZ2821" s="84"/>
      <c r="BA2821" s="86"/>
      <c r="BB2821" s="86"/>
      <c r="BD2821" s="68"/>
    </row>
    <row r="2822" spans="1:56" s="25" customFormat="1" ht="36.75" customHeight="1">
      <c r="A2822" s="30"/>
      <c r="B2822" s="30" t="s">
        <v>55</v>
      </c>
      <c r="C2822" s="69" t="str">
        <f t="shared" si="244"/>
        <v>Closed</v>
      </c>
      <c r="D2822" s="27" t="s">
        <v>15943</v>
      </c>
      <c r="E2822" s="29" t="s">
        <v>15944</v>
      </c>
      <c r="F2822" s="30" t="s">
        <v>423</v>
      </c>
      <c r="G2822" s="72">
        <f>DATE(2019,1,9)</f>
        <v>43474</v>
      </c>
      <c r="H2822" s="80">
        <v>1.3756944444444446</v>
      </c>
      <c r="I2822" s="30" t="s">
        <v>2078</v>
      </c>
      <c r="J2822" s="72" t="s">
        <v>15945</v>
      </c>
      <c r="K2822" s="30" t="s">
        <v>425</v>
      </c>
      <c r="L2822" s="30" t="s">
        <v>15946</v>
      </c>
      <c r="M2822" s="30" t="s">
        <v>63</v>
      </c>
      <c r="N2822" s="30" t="s">
        <v>142</v>
      </c>
      <c r="O2822" s="30" t="s">
        <v>77</v>
      </c>
      <c r="P2822" s="72" t="s">
        <v>165</v>
      </c>
      <c r="Q2822" s="72" t="s">
        <v>4551</v>
      </c>
      <c r="R2822" s="72" t="s">
        <v>3103</v>
      </c>
      <c r="S2822" s="30">
        <v>0</v>
      </c>
      <c r="T2822" s="232">
        <v>0</v>
      </c>
      <c r="U2822" s="30">
        <v>0</v>
      </c>
      <c r="V2822" s="232">
        <v>0</v>
      </c>
      <c r="W2822" s="30">
        <v>0</v>
      </c>
      <c r="X2822" s="30">
        <v>0</v>
      </c>
      <c r="Y2822" s="30">
        <v>0</v>
      </c>
      <c r="Z2822" s="232">
        <v>0</v>
      </c>
      <c r="AA2822" s="30">
        <v>0</v>
      </c>
      <c r="AB2822" s="30">
        <v>0</v>
      </c>
      <c r="AC2822" s="30">
        <v>0</v>
      </c>
      <c r="AD2822" s="30">
        <v>0</v>
      </c>
      <c r="AE2822" s="72" t="s">
        <v>92</v>
      </c>
      <c r="AF2822" s="72"/>
      <c r="AG2822" s="72" t="s">
        <v>133</v>
      </c>
      <c r="AH2822" s="72">
        <v>43739</v>
      </c>
      <c r="AI2822" s="30">
        <v>0</v>
      </c>
      <c r="AJ2822" s="72" t="s">
        <v>15947</v>
      </c>
      <c r="AK2822" s="72" t="s">
        <v>15948</v>
      </c>
      <c r="AL2822" s="70">
        <v>43476</v>
      </c>
      <c r="AM2822" s="70"/>
      <c r="AN2822" s="70"/>
      <c r="AO2822" s="70"/>
      <c r="AP2822" s="73" t="e">
        <f>MID(VLOOKUP(K2822,#REF!,2,FALSE),1,2)</f>
        <v>#REF!</v>
      </c>
      <c r="AQ2822" s="72">
        <f>DATE(2019,1,10)</f>
        <v>43475</v>
      </c>
      <c r="AR2822" s="82">
        <f t="shared" si="241"/>
        <v>10</v>
      </c>
      <c r="AS2822" s="83">
        <f t="shared" si="242"/>
        <v>1</v>
      </c>
      <c r="AT2822" s="84">
        <f t="shared" si="243"/>
        <v>2019</v>
      </c>
      <c r="AU2822" s="86"/>
      <c r="AV2822" s="86"/>
      <c r="AW2822" s="87"/>
      <c r="AX2822" s="86"/>
      <c r="AY2822" s="83"/>
      <c r="AZ2822" s="84"/>
      <c r="BA2822" s="86"/>
      <c r="BB2822" s="86"/>
      <c r="BD2822" s="68"/>
    </row>
    <row r="2823" spans="1:56" s="25" customFormat="1" ht="36.75" customHeight="1">
      <c r="A2823" s="30"/>
      <c r="B2823" s="30" t="s">
        <v>55</v>
      </c>
      <c r="C2823" s="69" t="str">
        <f t="shared" si="244"/>
        <v>Closed</v>
      </c>
      <c r="D2823" s="27" t="s">
        <v>15949</v>
      </c>
      <c r="E2823" s="29" t="s">
        <v>15950</v>
      </c>
      <c r="F2823" s="30" t="s">
        <v>423</v>
      </c>
      <c r="G2823" s="72">
        <f>DATE(2019,1,10)</f>
        <v>43475</v>
      </c>
      <c r="H2823" s="80">
        <v>1.273611111111111</v>
      </c>
      <c r="I2823" s="30" t="s">
        <v>156</v>
      </c>
      <c r="J2823" s="72" t="s">
        <v>15951</v>
      </c>
      <c r="K2823" s="30" t="s">
        <v>425</v>
      </c>
      <c r="L2823" s="30" t="s">
        <v>15952</v>
      </c>
      <c r="M2823" s="30" t="s">
        <v>63</v>
      </c>
      <c r="N2823" s="30" t="s">
        <v>99</v>
      </c>
      <c r="O2823" s="30" t="s">
        <v>77</v>
      </c>
      <c r="P2823" s="72" t="s">
        <v>165</v>
      </c>
      <c r="Q2823" s="72" t="s">
        <v>4551</v>
      </c>
      <c r="R2823" s="72" t="s">
        <v>3103</v>
      </c>
      <c r="S2823" s="30">
        <v>0</v>
      </c>
      <c r="T2823" s="232">
        <v>0</v>
      </c>
      <c r="U2823" s="30">
        <v>0</v>
      </c>
      <c r="V2823" s="232">
        <v>0</v>
      </c>
      <c r="W2823" s="30">
        <v>0</v>
      </c>
      <c r="X2823" s="30">
        <v>0</v>
      </c>
      <c r="Y2823" s="30">
        <v>0</v>
      </c>
      <c r="Z2823" s="232">
        <v>0</v>
      </c>
      <c r="AA2823" s="30">
        <v>0</v>
      </c>
      <c r="AB2823" s="30">
        <v>0</v>
      </c>
      <c r="AC2823" s="30">
        <v>0</v>
      </c>
      <c r="AD2823" s="30">
        <v>0</v>
      </c>
      <c r="AE2823" s="72" t="s">
        <v>92</v>
      </c>
      <c r="AF2823" s="72"/>
      <c r="AG2823" s="72" t="s">
        <v>133</v>
      </c>
      <c r="AH2823" s="72">
        <v>43739</v>
      </c>
      <c r="AI2823" s="30">
        <v>0</v>
      </c>
      <c r="AJ2823" s="72" t="s">
        <v>15953</v>
      </c>
      <c r="AK2823" s="72" t="s">
        <v>15954</v>
      </c>
      <c r="AL2823" s="70">
        <v>43480</v>
      </c>
      <c r="AM2823" s="70"/>
      <c r="AN2823" s="70"/>
      <c r="AO2823" s="70"/>
      <c r="AP2823" s="73" t="e">
        <f>MID(VLOOKUP(K2823,#REF!,2,FALSE),1,2)</f>
        <v>#REF!</v>
      </c>
      <c r="AQ2823" s="72">
        <f>DATE(2019,1,16)</f>
        <v>43481</v>
      </c>
      <c r="AR2823" s="82">
        <f t="shared" si="241"/>
        <v>16</v>
      </c>
      <c r="AS2823" s="83">
        <f t="shared" si="242"/>
        <v>1</v>
      </c>
      <c r="AT2823" s="84">
        <f t="shared" si="243"/>
        <v>2019</v>
      </c>
      <c r="AU2823" s="86"/>
      <c r="AV2823" s="86"/>
      <c r="AW2823" s="87"/>
      <c r="AX2823" s="86"/>
      <c r="AY2823" s="83"/>
      <c r="AZ2823" s="84"/>
      <c r="BA2823" s="86"/>
      <c r="BB2823" s="86"/>
      <c r="BD2823" s="68"/>
    </row>
    <row r="2824" spans="1:56" s="25" customFormat="1" ht="36.75" customHeight="1">
      <c r="A2824" s="30"/>
      <c r="B2824" s="30" t="s">
        <v>55</v>
      </c>
      <c r="C2824" s="69" t="str">
        <f t="shared" si="244"/>
        <v>Closed</v>
      </c>
      <c r="D2824" s="27" t="s">
        <v>15955</v>
      </c>
      <c r="E2824" s="29" t="s">
        <v>15956</v>
      </c>
      <c r="F2824" s="30" t="s">
        <v>1572</v>
      </c>
      <c r="G2824" s="72">
        <f>DATE(2019,1,10)</f>
        <v>43475</v>
      </c>
      <c r="H2824" s="80">
        <v>1.1666666666666667</v>
      </c>
      <c r="I2824" s="30" t="s">
        <v>125</v>
      </c>
      <c r="J2824" s="72" t="s">
        <v>15957</v>
      </c>
      <c r="K2824" s="30" t="s">
        <v>1574</v>
      </c>
      <c r="L2824" s="30" t="s">
        <v>15958</v>
      </c>
      <c r="M2824" s="30" t="s">
        <v>63</v>
      </c>
      <c r="N2824" s="30" t="s">
        <v>142</v>
      </c>
      <c r="O2824" s="30" t="s">
        <v>77</v>
      </c>
      <c r="P2824" s="72" t="s">
        <v>78</v>
      </c>
      <c r="Q2824" s="72" t="s">
        <v>6093</v>
      </c>
      <c r="R2824" s="72" t="s">
        <v>6434</v>
      </c>
      <c r="S2824" s="30">
        <v>0</v>
      </c>
      <c r="T2824" s="232">
        <v>0</v>
      </c>
      <c r="U2824" s="30">
        <v>0</v>
      </c>
      <c r="V2824" s="232">
        <v>0</v>
      </c>
      <c r="W2824" s="30">
        <v>0</v>
      </c>
      <c r="X2824" s="30">
        <v>0</v>
      </c>
      <c r="Y2824" s="30">
        <v>0</v>
      </c>
      <c r="Z2824" s="232">
        <v>0</v>
      </c>
      <c r="AA2824" s="30">
        <v>0</v>
      </c>
      <c r="AB2824" s="30">
        <v>0</v>
      </c>
      <c r="AC2824" s="30">
        <v>0</v>
      </c>
      <c r="AD2824" s="30">
        <v>0</v>
      </c>
      <c r="AE2824" s="72" t="s">
        <v>394</v>
      </c>
      <c r="AF2824" s="72"/>
      <c r="AG2824" s="72" t="s">
        <v>133</v>
      </c>
      <c r="AH2824" s="72">
        <v>43476</v>
      </c>
      <c r="AI2824" s="30">
        <v>1</v>
      </c>
      <c r="AJ2824" s="72" t="s">
        <v>15959</v>
      </c>
      <c r="AK2824" s="72" t="s">
        <v>15960</v>
      </c>
      <c r="AL2824" s="70">
        <v>43479</v>
      </c>
      <c r="AM2824" s="70"/>
      <c r="AN2824" s="70"/>
      <c r="AO2824" s="70"/>
      <c r="AP2824" s="73" t="e">
        <f>MID(VLOOKUP(K2824,#REF!,2,FALSE),1,2)</f>
        <v>#REF!</v>
      </c>
      <c r="AQ2824" s="72">
        <f>DATE(2019,1,18)</f>
        <v>43483</v>
      </c>
      <c r="AR2824" s="82">
        <f t="shared" si="241"/>
        <v>18</v>
      </c>
      <c r="AS2824" s="83">
        <f t="shared" si="242"/>
        <v>1</v>
      </c>
      <c r="AT2824" s="84">
        <f t="shared" si="243"/>
        <v>2019</v>
      </c>
      <c r="AU2824" s="86"/>
      <c r="AV2824" s="86"/>
      <c r="AW2824" s="87"/>
      <c r="AX2824" s="86"/>
      <c r="AY2824" s="83"/>
      <c r="AZ2824" s="84"/>
      <c r="BA2824" s="86"/>
      <c r="BB2824" s="86"/>
      <c r="BD2824" s="68"/>
    </row>
    <row r="2825" spans="1:56" s="25" customFormat="1" ht="36.75" customHeight="1">
      <c r="A2825" s="30"/>
      <c r="B2825" s="30" t="s">
        <v>55</v>
      </c>
      <c r="C2825" s="69" t="str">
        <f t="shared" si="244"/>
        <v>Closed</v>
      </c>
      <c r="D2825" s="27" t="s">
        <v>15961</v>
      </c>
      <c r="E2825" s="29" t="s">
        <v>15962</v>
      </c>
      <c r="F2825" s="30" t="s">
        <v>124</v>
      </c>
      <c r="G2825" s="72">
        <f>DATE(2019,1,16)</f>
        <v>43481</v>
      </c>
      <c r="H2825" s="80">
        <v>1.4979166666666666</v>
      </c>
      <c r="I2825" s="30" t="s">
        <v>487</v>
      </c>
      <c r="J2825" s="72" t="s">
        <v>15963</v>
      </c>
      <c r="K2825" s="30" t="s">
        <v>127</v>
      </c>
      <c r="L2825" s="30" t="s">
        <v>15964</v>
      </c>
      <c r="M2825" s="30" t="s">
        <v>63</v>
      </c>
      <c r="N2825" s="30" t="s">
        <v>99</v>
      </c>
      <c r="O2825" s="30" t="s">
        <v>64</v>
      </c>
      <c r="P2825" s="72" t="s">
        <v>381</v>
      </c>
      <c r="Q2825" s="72" t="s">
        <v>401</v>
      </c>
      <c r="R2825" s="72" t="s">
        <v>167</v>
      </c>
      <c r="S2825" s="30">
        <v>0</v>
      </c>
      <c r="T2825" s="232">
        <v>0</v>
      </c>
      <c r="U2825" s="30">
        <v>0</v>
      </c>
      <c r="V2825" s="232">
        <v>0</v>
      </c>
      <c r="W2825" s="30">
        <v>0</v>
      </c>
      <c r="X2825" s="30">
        <v>0</v>
      </c>
      <c r="Y2825" s="30">
        <v>0</v>
      </c>
      <c r="Z2825" s="232">
        <v>0</v>
      </c>
      <c r="AA2825" s="30">
        <v>0</v>
      </c>
      <c r="AB2825" s="30">
        <v>0</v>
      </c>
      <c r="AC2825" s="30">
        <v>0</v>
      </c>
      <c r="AD2825" s="30">
        <v>0</v>
      </c>
      <c r="AE2825" s="72" t="s">
        <v>92</v>
      </c>
      <c r="AF2825" s="72"/>
      <c r="AG2825" s="72" t="s">
        <v>133</v>
      </c>
      <c r="AH2825" s="72">
        <v>43486</v>
      </c>
      <c r="AI2825" s="30">
        <v>1</v>
      </c>
      <c r="AJ2825" s="72" t="s">
        <v>15965</v>
      </c>
      <c r="AK2825" s="72" t="s">
        <v>68</v>
      </c>
      <c r="AL2825" s="70">
        <v>43493</v>
      </c>
      <c r="AM2825" s="70"/>
      <c r="AN2825" s="70"/>
      <c r="AO2825" s="70"/>
      <c r="AP2825" s="73" t="e">
        <f>MID(VLOOKUP(K2825,#REF!,2,FALSE),1,2)</f>
        <v>#REF!</v>
      </c>
      <c r="AQ2825" s="72">
        <f>DATE(2019,1,18)</f>
        <v>43483</v>
      </c>
      <c r="AR2825" s="82">
        <f t="shared" si="241"/>
        <v>18</v>
      </c>
      <c r="AS2825" s="83">
        <f t="shared" si="242"/>
        <v>1</v>
      </c>
      <c r="AT2825" s="84">
        <f t="shared" si="243"/>
        <v>2019</v>
      </c>
      <c r="AU2825" s="86"/>
      <c r="AV2825" s="86"/>
      <c r="AW2825" s="87"/>
      <c r="AX2825" s="86"/>
      <c r="AY2825" s="83"/>
      <c r="AZ2825" s="84"/>
      <c r="BA2825" s="86"/>
      <c r="BB2825" s="86"/>
      <c r="BD2825" s="68"/>
    </row>
    <row r="2826" spans="1:56" s="25" customFormat="1" ht="36.75" customHeight="1">
      <c r="A2826" s="30"/>
      <c r="B2826" s="30" t="s">
        <v>55</v>
      </c>
      <c r="C2826" s="69" t="str">
        <f t="shared" si="244"/>
        <v>Closed</v>
      </c>
      <c r="D2826" s="27" t="s">
        <v>15966</v>
      </c>
      <c r="E2826" s="29" t="s">
        <v>15967</v>
      </c>
      <c r="F2826" s="30" t="s">
        <v>423</v>
      </c>
      <c r="G2826" s="72">
        <f>DATE(2019,1,18)</f>
        <v>43483</v>
      </c>
      <c r="H2826" s="80">
        <v>1.5756944444444443</v>
      </c>
      <c r="I2826" s="30" t="s">
        <v>2078</v>
      </c>
      <c r="J2826" s="72" t="s">
        <v>15968</v>
      </c>
      <c r="K2826" s="30" t="s">
        <v>425</v>
      </c>
      <c r="L2826" s="30" t="s">
        <v>15969</v>
      </c>
      <c r="M2826" s="30" t="s">
        <v>63</v>
      </c>
      <c r="N2826" s="30" t="s">
        <v>142</v>
      </c>
      <c r="O2826" s="30" t="s">
        <v>77</v>
      </c>
      <c r="P2826" s="72" t="s">
        <v>86</v>
      </c>
      <c r="Q2826" s="72" t="s">
        <v>2582</v>
      </c>
      <c r="R2826" s="72" t="s">
        <v>3103</v>
      </c>
      <c r="S2826" s="30">
        <v>0</v>
      </c>
      <c r="T2826" s="232">
        <v>0</v>
      </c>
      <c r="U2826" s="30">
        <v>0</v>
      </c>
      <c r="V2826" s="232">
        <v>0</v>
      </c>
      <c r="W2826" s="30">
        <v>0</v>
      </c>
      <c r="X2826" s="30">
        <v>0</v>
      </c>
      <c r="Y2826" s="30">
        <v>0</v>
      </c>
      <c r="Z2826" s="232">
        <v>0</v>
      </c>
      <c r="AA2826" s="30">
        <v>0</v>
      </c>
      <c r="AB2826" s="30">
        <v>0</v>
      </c>
      <c r="AC2826" s="30">
        <v>0</v>
      </c>
      <c r="AD2826" s="30">
        <v>0</v>
      </c>
      <c r="AE2826" s="72" t="s">
        <v>92</v>
      </c>
      <c r="AF2826" s="72"/>
      <c r="AG2826" s="72" t="s">
        <v>133</v>
      </c>
      <c r="AH2826" s="72">
        <v>43483</v>
      </c>
      <c r="AI2826" s="30">
        <v>0</v>
      </c>
      <c r="AJ2826" s="72" t="s">
        <v>15970</v>
      </c>
      <c r="AK2826" s="72" t="s">
        <v>15971</v>
      </c>
      <c r="AL2826" s="70">
        <v>43488</v>
      </c>
      <c r="AM2826" s="70"/>
      <c r="AN2826" s="70"/>
      <c r="AO2826" s="70"/>
      <c r="AP2826" s="73" t="e">
        <f>MID(VLOOKUP(K2826,#REF!,2,FALSE),1,2)</f>
        <v>#REF!</v>
      </c>
      <c r="AQ2826" s="72">
        <f>DATE(2019,1,19)</f>
        <v>43484</v>
      </c>
      <c r="AR2826" s="82">
        <f t="shared" si="241"/>
        <v>19</v>
      </c>
      <c r="AS2826" s="83">
        <f t="shared" si="242"/>
        <v>1</v>
      </c>
      <c r="AT2826" s="84">
        <f t="shared" si="243"/>
        <v>2019</v>
      </c>
      <c r="AU2826" s="86"/>
      <c r="AV2826" s="86"/>
      <c r="AW2826" s="87"/>
      <c r="AX2826" s="86"/>
      <c r="AY2826" s="83"/>
      <c r="AZ2826" s="84"/>
      <c r="BA2826" s="86"/>
      <c r="BB2826" s="86"/>
      <c r="BD2826" s="68"/>
    </row>
    <row r="2827" spans="1:56" s="25" customFormat="1" ht="36.75" customHeight="1">
      <c r="A2827" s="30"/>
      <c r="B2827" s="30" t="s">
        <v>55</v>
      </c>
      <c r="C2827" s="69" t="str">
        <f t="shared" si="244"/>
        <v>Closed</v>
      </c>
      <c r="D2827" s="27" t="s">
        <v>15972</v>
      </c>
      <c r="E2827" s="29" t="s">
        <v>15973</v>
      </c>
      <c r="F2827" s="30" t="s">
        <v>9789</v>
      </c>
      <c r="G2827" s="72">
        <f>DATE(2019,1,18)</f>
        <v>43483</v>
      </c>
      <c r="H2827" s="80">
        <v>1.84375</v>
      </c>
      <c r="I2827" s="30" t="s">
        <v>73</v>
      </c>
      <c r="J2827" s="265" t="s">
        <v>15974</v>
      </c>
      <c r="K2827" s="30" t="s">
        <v>9791</v>
      </c>
      <c r="L2827" s="30" t="s">
        <v>15975</v>
      </c>
      <c r="M2827" s="30" t="s">
        <v>63</v>
      </c>
      <c r="N2827" s="30" t="s">
        <v>99</v>
      </c>
      <c r="O2827" s="30" t="s">
        <v>77</v>
      </c>
      <c r="P2827" s="72" t="s">
        <v>91</v>
      </c>
      <c r="Q2827" s="72" t="s">
        <v>9960</v>
      </c>
      <c r="R2827" s="72" t="s">
        <v>9794</v>
      </c>
      <c r="S2827" s="30">
        <v>0</v>
      </c>
      <c r="T2827" s="232">
        <v>0</v>
      </c>
      <c r="U2827" s="30">
        <v>0</v>
      </c>
      <c r="V2827" s="232">
        <v>0</v>
      </c>
      <c r="W2827" s="30">
        <v>0</v>
      </c>
      <c r="X2827" s="30">
        <v>0</v>
      </c>
      <c r="Y2827" s="30">
        <v>0</v>
      </c>
      <c r="Z2827" s="232">
        <v>0</v>
      </c>
      <c r="AA2827" s="30">
        <v>0</v>
      </c>
      <c r="AB2827" s="30">
        <v>0</v>
      </c>
      <c r="AC2827" s="30">
        <v>0</v>
      </c>
      <c r="AD2827" s="30">
        <v>0</v>
      </c>
      <c r="AE2827" s="72" t="s">
        <v>92</v>
      </c>
      <c r="AF2827" s="72"/>
      <c r="AG2827" s="72" t="s">
        <v>589</v>
      </c>
      <c r="AH2827" s="72">
        <v>43489</v>
      </c>
      <c r="AI2827" s="30">
        <v>0</v>
      </c>
      <c r="AJ2827" s="72" t="s">
        <v>15976</v>
      </c>
      <c r="AK2827" s="72" t="s">
        <v>15977</v>
      </c>
      <c r="AL2827" s="70">
        <v>43495</v>
      </c>
      <c r="AM2827" s="70"/>
      <c r="AN2827" s="70"/>
      <c r="AO2827" s="70"/>
      <c r="AP2827" s="73" t="e">
        <f>MID(VLOOKUP(K2827,#REF!,2,FALSE),1,2)</f>
        <v>#REF!</v>
      </c>
      <c r="AQ2827" s="72">
        <f>DATE(2019,1,22)</f>
        <v>43487</v>
      </c>
      <c r="AR2827" s="82">
        <f t="shared" si="241"/>
        <v>22</v>
      </c>
      <c r="AS2827" s="83">
        <f t="shared" si="242"/>
        <v>1</v>
      </c>
      <c r="AT2827" s="84">
        <f t="shared" si="243"/>
        <v>2019</v>
      </c>
      <c r="AU2827" s="86"/>
      <c r="AV2827" s="86"/>
      <c r="AW2827" s="87"/>
      <c r="AX2827" s="86"/>
      <c r="AY2827" s="83"/>
      <c r="AZ2827" s="84"/>
      <c r="BA2827" s="86"/>
      <c r="BB2827" s="86"/>
      <c r="BD2827" s="68"/>
    </row>
    <row r="2828" spans="1:56" s="25" customFormat="1" ht="36.75" customHeight="1">
      <c r="A2828" s="30"/>
      <c r="B2828" s="30" t="s">
        <v>55</v>
      </c>
      <c r="C2828" s="69" t="str">
        <f t="shared" si="244"/>
        <v>Closed</v>
      </c>
      <c r="D2828" s="27" t="s">
        <v>15978</v>
      </c>
      <c r="E2828" s="29" t="s">
        <v>15979</v>
      </c>
      <c r="F2828" s="30" t="s">
        <v>1572</v>
      </c>
      <c r="G2828" s="72">
        <f>DATE(2019,1,19)</f>
        <v>43484</v>
      </c>
      <c r="H2828" s="80">
        <v>1.7361111111111112</v>
      </c>
      <c r="I2828" s="30" t="s">
        <v>73</v>
      </c>
      <c r="J2828" s="72" t="s">
        <v>15980</v>
      </c>
      <c r="K2828" s="30" t="s">
        <v>1574</v>
      </c>
      <c r="L2828" s="30" t="s">
        <v>15981</v>
      </c>
      <c r="M2828" s="30" t="s">
        <v>63</v>
      </c>
      <c r="N2828" s="30" t="s">
        <v>99</v>
      </c>
      <c r="O2828" s="30" t="s">
        <v>64</v>
      </c>
      <c r="P2828" s="72" t="s">
        <v>6941</v>
      </c>
      <c r="Q2828" s="72" t="s">
        <v>2413</v>
      </c>
      <c r="R2828" s="72" t="s">
        <v>6434</v>
      </c>
      <c r="S2828" s="30">
        <v>0</v>
      </c>
      <c r="T2828" s="232">
        <v>0</v>
      </c>
      <c r="U2828" s="30">
        <v>0</v>
      </c>
      <c r="V2828" s="232">
        <v>0</v>
      </c>
      <c r="W2828" s="30">
        <v>0</v>
      </c>
      <c r="X2828" s="30">
        <v>0</v>
      </c>
      <c r="Y2828" s="30">
        <v>0</v>
      </c>
      <c r="Z2828" s="232">
        <v>0</v>
      </c>
      <c r="AA2828" s="30">
        <v>0</v>
      </c>
      <c r="AB2828" s="30">
        <v>0</v>
      </c>
      <c r="AC2828" s="30">
        <v>0</v>
      </c>
      <c r="AD2828" s="30">
        <v>0</v>
      </c>
      <c r="AE2828" s="72" t="s">
        <v>92</v>
      </c>
      <c r="AF2828" s="72"/>
      <c r="AG2828" s="72" t="s">
        <v>133</v>
      </c>
      <c r="AH2828" s="72">
        <v>43487</v>
      </c>
      <c r="AI2828" s="30">
        <v>4</v>
      </c>
      <c r="AJ2828" s="72" t="s">
        <v>15982</v>
      </c>
      <c r="AK2828" s="72" t="s">
        <v>15983</v>
      </c>
      <c r="AL2828" s="70">
        <v>43488</v>
      </c>
      <c r="AM2828" s="70"/>
      <c r="AN2828" s="70"/>
      <c r="AO2828" s="70"/>
      <c r="AP2828" s="73" t="e">
        <f>MID(VLOOKUP(K2828,#REF!,2,FALSE),1,2)</f>
        <v>#REF!</v>
      </c>
      <c r="AQ2828" s="72">
        <f>DATE(2019,1,26)</f>
        <v>43491</v>
      </c>
      <c r="AR2828" s="82">
        <f t="shared" si="241"/>
        <v>26</v>
      </c>
      <c r="AS2828" s="83">
        <f t="shared" si="242"/>
        <v>1</v>
      </c>
      <c r="AT2828" s="84">
        <f t="shared" si="243"/>
        <v>2019</v>
      </c>
      <c r="AU2828" s="86"/>
      <c r="AV2828" s="86"/>
      <c r="AW2828" s="87"/>
      <c r="AX2828" s="86"/>
      <c r="AY2828" s="83"/>
      <c r="AZ2828" s="84"/>
      <c r="BA2828" s="86"/>
      <c r="BB2828" s="86"/>
      <c r="BD2828" s="68"/>
    </row>
    <row r="2829" spans="1:56" s="25" customFormat="1" ht="36.75" customHeight="1">
      <c r="A2829" s="98" t="s">
        <v>4910</v>
      </c>
      <c r="B2829" s="30" t="s">
        <v>55</v>
      </c>
      <c r="C2829" s="69" t="str">
        <f t="shared" si="244"/>
        <v>Closed</v>
      </c>
      <c r="D2829" s="27" t="s">
        <v>15984</v>
      </c>
      <c r="E2829" s="29" t="s">
        <v>15985</v>
      </c>
      <c r="F2829" s="30" t="s">
        <v>423</v>
      </c>
      <c r="G2829" s="72">
        <f>DATE(2019,1,22)</f>
        <v>43487</v>
      </c>
      <c r="H2829" s="80">
        <v>1.325</v>
      </c>
      <c r="I2829" s="30" t="s">
        <v>116</v>
      </c>
      <c r="J2829" s="72" t="s">
        <v>15986</v>
      </c>
      <c r="K2829" s="30" t="s">
        <v>425</v>
      </c>
      <c r="L2829" s="30" t="s">
        <v>15987</v>
      </c>
      <c r="M2829" s="30" t="s">
        <v>63</v>
      </c>
      <c r="N2829" s="30" t="s">
        <v>99</v>
      </c>
      <c r="O2829" s="30" t="s">
        <v>64</v>
      </c>
      <c r="P2829" s="72" t="s">
        <v>165</v>
      </c>
      <c r="Q2829" s="72" t="s">
        <v>4551</v>
      </c>
      <c r="R2829" s="72" t="s">
        <v>3103</v>
      </c>
      <c r="S2829" s="30">
        <v>0</v>
      </c>
      <c r="T2829" s="232">
        <v>0</v>
      </c>
      <c r="U2829" s="30">
        <v>0</v>
      </c>
      <c r="V2829" s="232">
        <v>0</v>
      </c>
      <c r="W2829" s="30">
        <v>0</v>
      </c>
      <c r="X2829" s="30">
        <v>0</v>
      </c>
      <c r="Y2829" s="30">
        <v>0</v>
      </c>
      <c r="Z2829" s="232">
        <v>0</v>
      </c>
      <c r="AA2829" s="30">
        <v>0</v>
      </c>
      <c r="AB2829" s="30">
        <v>0</v>
      </c>
      <c r="AC2829" s="30">
        <v>0</v>
      </c>
      <c r="AD2829" s="30">
        <v>0</v>
      </c>
      <c r="AE2829" s="72" t="s">
        <v>394</v>
      </c>
      <c r="AF2829" s="72"/>
      <c r="AG2829" s="72" t="s">
        <v>874</v>
      </c>
      <c r="AH2829" s="72">
        <v>43487</v>
      </c>
      <c r="AI2829" s="30">
        <v>1</v>
      </c>
      <c r="AJ2829" s="72" t="s">
        <v>68</v>
      </c>
      <c r="AK2829" s="72" t="s">
        <v>68</v>
      </c>
      <c r="AL2829" s="70">
        <v>43491</v>
      </c>
      <c r="AM2829" s="70"/>
      <c r="AN2829" s="70"/>
      <c r="AO2829" s="70"/>
      <c r="AP2829" s="73" t="e">
        <f>MID(VLOOKUP(K2829,#REF!,2,FALSE),1,2)</f>
        <v>#REF!</v>
      </c>
      <c r="AQ2829" s="72">
        <f>DATE(2019,1,26)</f>
        <v>43491</v>
      </c>
      <c r="AR2829" s="82">
        <f t="shared" si="241"/>
        <v>26</v>
      </c>
      <c r="AS2829" s="83">
        <f t="shared" si="242"/>
        <v>1</v>
      </c>
      <c r="AT2829" s="84">
        <f t="shared" si="243"/>
        <v>2019</v>
      </c>
      <c r="AU2829" s="86"/>
      <c r="AV2829" s="86"/>
      <c r="AW2829" s="87"/>
      <c r="AX2829" s="86"/>
      <c r="AY2829" s="83"/>
      <c r="AZ2829" s="84"/>
      <c r="BA2829" s="86"/>
      <c r="BB2829" s="86"/>
      <c r="BD2829" s="68"/>
    </row>
    <row r="2830" spans="1:56" s="25" customFormat="1" ht="36.75" customHeight="1">
      <c r="A2830" s="30"/>
      <c r="B2830" s="30" t="s">
        <v>55</v>
      </c>
      <c r="C2830" s="69" t="str">
        <f t="shared" si="244"/>
        <v>Closed</v>
      </c>
      <c r="D2830" s="27" t="s">
        <v>15988</v>
      </c>
      <c r="E2830" s="29" t="s">
        <v>15989</v>
      </c>
      <c r="F2830" s="30" t="s">
        <v>2601</v>
      </c>
      <c r="G2830" s="72">
        <f>DATE(2019,1,26)</f>
        <v>43491</v>
      </c>
      <c r="H2830" s="80">
        <v>1.7743055555555554</v>
      </c>
      <c r="I2830" s="30" t="s">
        <v>73</v>
      </c>
      <c r="J2830" s="72" t="s">
        <v>15990</v>
      </c>
      <c r="K2830" s="30" t="s">
        <v>2603</v>
      </c>
      <c r="L2830" s="30" t="s">
        <v>15991</v>
      </c>
      <c r="M2830" s="30" t="s">
        <v>63</v>
      </c>
      <c r="N2830" s="30" t="s">
        <v>99</v>
      </c>
      <c r="O2830" s="30" t="s">
        <v>64</v>
      </c>
      <c r="P2830" s="72" t="s">
        <v>78</v>
      </c>
      <c r="Q2830" s="72" t="s">
        <v>13611</v>
      </c>
      <c r="R2830" s="72" t="s">
        <v>2606</v>
      </c>
      <c r="S2830" s="30">
        <v>0</v>
      </c>
      <c r="T2830" s="232">
        <v>0</v>
      </c>
      <c r="U2830" s="30">
        <v>0</v>
      </c>
      <c r="V2830" s="232">
        <v>0</v>
      </c>
      <c r="W2830" s="30">
        <v>0</v>
      </c>
      <c r="X2830" s="30">
        <v>0</v>
      </c>
      <c r="Y2830" s="30">
        <v>0</v>
      </c>
      <c r="Z2830" s="232">
        <v>0</v>
      </c>
      <c r="AA2830" s="30">
        <v>0</v>
      </c>
      <c r="AB2830" s="30">
        <v>0</v>
      </c>
      <c r="AC2830" s="30">
        <v>0</v>
      </c>
      <c r="AD2830" s="30">
        <v>0</v>
      </c>
      <c r="AE2830" s="72" t="s">
        <v>145</v>
      </c>
      <c r="AF2830" s="72"/>
      <c r="AG2830" s="72" t="s">
        <v>133</v>
      </c>
      <c r="AH2830" s="72">
        <v>43494</v>
      </c>
      <c r="AI2830" s="30">
        <v>3</v>
      </c>
      <c r="AJ2830" s="72" t="s">
        <v>15992</v>
      </c>
      <c r="AK2830" s="72" t="s">
        <v>15993</v>
      </c>
      <c r="AL2830" s="70">
        <v>43501</v>
      </c>
      <c r="AM2830" s="70"/>
      <c r="AN2830" s="70"/>
      <c r="AO2830" s="70"/>
      <c r="AP2830" s="73" t="e">
        <f>MID(VLOOKUP(K2830,#REF!,2,FALSE),1,2)</f>
        <v>#REF!</v>
      </c>
      <c r="AQ2830" s="72">
        <f>DATE(2019,1,27)</f>
        <v>43492</v>
      </c>
      <c r="AR2830" s="82">
        <f t="shared" si="241"/>
        <v>27</v>
      </c>
      <c r="AS2830" s="83">
        <f t="shared" si="242"/>
        <v>1</v>
      </c>
      <c r="AT2830" s="84">
        <f t="shared" si="243"/>
        <v>2019</v>
      </c>
      <c r="AU2830" s="86"/>
      <c r="AV2830" s="86"/>
      <c r="AW2830" s="87"/>
      <c r="AX2830" s="86"/>
      <c r="AY2830" s="83"/>
      <c r="AZ2830" s="84"/>
      <c r="BA2830" s="86"/>
      <c r="BB2830" s="86"/>
      <c r="BD2830" s="68"/>
    </row>
    <row r="2831" spans="1:56" s="25" customFormat="1" ht="36.75" customHeight="1">
      <c r="A2831" s="30"/>
      <c r="B2831" s="30" t="s">
        <v>55</v>
      </c>
      <c r="C2831" s="69" t="str">
        <f t="shared" si="244"/>
        <v>Closed</v>
      </c>
      <c r="D2831" s="27" t="s">
        <v>15994</v>
      </c>
      <c r="E2831" s="29" t="s">
        <v>15995</v>
      </c>
      <c r="F2831" s="30" t="s">
        <v>1572</v>
      </c>
      <c r="G2831" s="72">
        <f>DATE(2019,1,26)</f>
        <v>43491</v>
      </c>
      <c r="H2831" s="80">
        <v>1.4125000000000001</v>
      </c>
      <c r="I2831" s="30" t="s">
        <v>198</v>
      </c>
      <c r="J2831" s="72" t="s">
        <v>15996</v>
      </c>
      <c r="K2831" s="30" t="s">
        <v>1574</v>
      </c>
      <c r="L2831" s="30" t="s">
        <v>15997</v>
      </c>
      <c r="M2831" s="30" t="s">
        <v>129</v>
      </c>
      <c r="N2831" s="30" t="s">
        <v>99</v>
      </c>
      <c r="O2831" s="30" t="s">
        <v>86</v>
      </c>
      <c r="P2831" s="72" t="s">
        <v>91</v>
      </c>
      <c r="Q2831" s="72" t="s">
        <v>5490</v>
      </c>
      <c r="R2831" s="72" t="s">
        <v>5490</v>
      </c>
      <c r="S2831" s="30">
        <v>0</v>
      </c>
      <c r="T2831" s="232">
        <v>0</v>
      </c>
      <c r="U2831" s="30">
        <v>0</v>
      </c>
      <c r="V2831" s="232">
        <v>0</v>
      </c>
      <c r="W2831" s="30">
        <v>0</v>
      </c>
      <c r="X2831" s="30">
        <v>0</v>
      </c>
      <c r="Y2831" s="30">
        <v>0</v>
      </c>
      <c r="Z2831" s="232">
        <v>0</v>
      </c>
      <c r="AA2831" s="30">
        <v>0</v>
      </c>
      <c r="AB2831" s="30">
        <v>0</v>
      </c>
      <c r="AC2831" s="30">
        <v>0</v>
      </c>
      <c r="AD2831" s="30">
        <v>0</v>
      </c>
      <c r="AE2831" s="72" t="s">
        <v>145</v>
      </c>
      <c r="AF2831" s="72"/>
      <c r="AG2831" s="72" t="s">
        <v>1507</v>
      </c>
      <c r="AH2831" s="72">
        <v>43493</v>
      </c>
      <c r="AI2831" s="30">
        <v>2</v>
      </c>
      <c r="AJ2831" s="72" t="s">
        <v>15998</v>
      </c>
      <c r="AK2831" s="72" t="s">
        <v>15999</v>
      </c>
      <c r="AL2831" s="70">
        <v>43493</v>
      </c>
      <c r="AM2831" s="70"/>
      <c r="AN2831" s="70"/>
      <c r="AO2831" s="70"/>
      <c r="AP2831" s="73" t="e">
        <f>MID(VLOOKUP(K2831,#REF!,2,FALSE),1,2)</f>
        <v>#REF!</v>
      </c>
      <c r="AQ2831" s="72">
        <f>DATE(2019,1,27)</f>
        <v>43492</v>
      </c>
      <c r="AR2831" s="82">
        <f t="shared" si="241"/>
        <v>27</v>
      </c>
      <c r="AS2831" s="83">
        <f t="shared" si="242"/>
        <v>1</v>
      </c>
      <c r="AT2831" s="84">
        <f t="shared" si="243"/>
        <v>2019</v>
      </c>
      <c r="AU2831" s="86"/>
      <c r="AV2831" s="86"/>
      <c r="AW2831" s="87"/>
      <c r="AX2831" s="86"/>
      <c r="AY2831" s="83"/>
      <c r="AZ2831" s="84"/>
      <c r="BA2831" s="86"/>
      <c r="BB2831" s="86"/>
      <c r="BD2831" s="68"/>
    </row>
    <row r="2832" spans="1:56" s="25" customFormat="1" ht="36.75" customHeight="1">
      <c r="A2832" s="30"/>
      <c r="B2832" s="30" t="s">
        <v>55</v>
      </c>
      <c r="C2832" s="69" t="str">
        <f t="shared" si="244"/>
        <v>Closed</v>
      </c>
      <c r="D2832" s="27" t="s">
        <v>16000</v>
      </c>
      <c r="E2832" s="29" t="s">
        <v>16001</v>
      </c>
      <c r="F2832" s="30" t="s">
        <v>423</v>
      </c>
      <c r="G2832" s="72">
        <f>DATE(2019,1,27)</f>
        <v>43492</v>
      </c>
      <c r="H2832" s="80">
        <v>1.2437499999999999</v>
      </c>
      <c r="I2832" s="30" t="s">
        <v>73</v>
      </c>
      <c r="J2832" s="72" t="s">
        <v>16002</v>
      </c>
      <c r="K2832" s="30" t="s">
        <v>425</v>
      </c>
      <c r="L2832" s="30" t="s">
        <v>16003</v>
      </c>
      <c r="M2832" s="30" t="s">
        <v>63</v>
      </c>
      <c r="N2832" s="30" t="s">
        <v>99</v>
      </c>
      <c r="O2832" s="30" t="s">
        <v>77</v>
      </c>
      <c r="P2832" s="72" t="s">
        <v>165</v>
      </c>
      <c r="Q2832" s="72" t="s">
        <v>12713</v>
      </c>
      <c r="R2832" s="72" t="s">
        <v>12713</v>
      </c>
      <c r="S2832" s="30">
        <v>0</v>
      </c>
      <c r="T2832" s="232">
        <v>0</v>
      </c>
      <c r="U2832" s="30">
        <v>0</v>
      </c>
      <c r="V2832" s="232">
        <v>0</v>
      </c>
      <c r="W2832" s="30">
        <v>0</v>
      </c>
      <c r="X2832" s="30">
        <v>0</v>
      </c>
      <c r="Y2832" s="30">
        <v>0</v>
      </c>
      <c r="Z2832" s="232">
        <v>0</v>
      </c>
      <c r="AA2832" s="30">
        <v>0</v>
      </c>
      <c r="AB2832" s="30">
        <v>0</v>
      </c>
      <c r="AC2832" s="30">
        <v>0</v>
      </c>
      <c r="AD2832" s="30">
        <v>0</v>
      </c>
      <c r="AE2832" s="72" t="s">
        <v>92</v>
      </c>
      <c r="AF2832" s="72"/>
      <c r="AG2832" s="72" t="s">
        <v>352</v>
      </c>
      <c r="AH2832" s="72">
        <v>43492</v>
      </c>
      <c r="AI2832" s="30">
        <v>0</v>
      </c>
      <c r="AJ2832" s="72" t="s">
        <v>16004</v>
      </c>
      <c r="AK2832" s="72" t="s">
        <v>16005</v>
      </c>
      <c r="AL2832" s="70">
        <v>43495</v>
      </c>
      <c r="AM2832" s="70"/>
      <c r="AN2832" s="70"/>
      <c r="AO2832" s="70"/>
      <c r="AP2832" s="73" t="e">
        <f>MID(VLOOKUP(K2832,#REF!,2,FALSE),1,2)</f>
        <v>#REF!</v>
      </c>
      <c r="AQ2832" s="72">
        <f>DATE(2019,1,31)</f>
        <v>43496</v>
      </c>
      <c r="AR2832" s="82">
        <f t="shared" si="241"/>
        <v>31</v>
      </c>
      <c r="AS2832" s="83">
        <f t="shared" si="242"/>
        <v>1</v>
      </c>
      <c r="AT2832" s="84">
        <f t="shared" si="243"/>
        <v>2019</v>
      </c>
      <c r="AU2832" s="86"/>
      <c r="AV2832" s="86"/>
      <c r="AW2832" s="87"/>
      <c r="AX2832" s="86"/>
      <c r="AY2832" s="83"/>
      <c r="AZ2832" s="84"/>
      <c r="BA2832" s="86"/>
      <c r="BB2832" s="86"/>
      <c r="BD2832" s="68"/>
    </row>
    <row r="2833" spans="1:56" s="25" customFormat="1" ht="36.75" customHeight="1">
      <c r="A2833" s="30"/>
      <c r="B2833" s="30" t="s">
        <v>55</v>
      </c>
      <c r="C2833" s="69" t="str">
        <f t="shared" si="244"/>
        <v>Closed</v>
      </c>
      <c r="D2833" s="27" t="s">
        <v>16006</v>
      </c>
      <c r="E2833" s="29" t="s">
        <v>16007</v>
      </c>
      <c r="F2833" s="30" t="s">
        <v>1572</v>
      </c>
      <c r="G2833" s="72">
        <f>DATE(2019,1,27)</f>
        <v>43492</v>
      </c>
      <c r="H2833" s="80">
        <v>1.6145833333333335</v>
      </c>
      <c r="I2833" s="30" t="s">
        <v>73</v>
      </c>
      <c r="J2833" s="72" t="s">
        <v>16008</v>
      </c>
      <c r="K2833" s="30" t="s">
        <v>1574</v>
      </c>
      <c r="L2833" s="30" t="s">
        <v>16009</v>
      </c>
      <c r="M2833" s="30" t="s">
        <v>63</v>
      </c>
      <c r="N2833" s="30" t="s">
        <v>99</v>
      </c>
      <c r="O2833" s="30" t="s">
        <v>64</v>
      </c>
      <c r="P2833" s="72" t="s">
        <v>6941</v>
      </c>
      <c r="Q2833" s="72" t="s">
        <v>16010</v>
      </c>
      <c r="R2833" s="72" t="s">
        <v>2561</v>
      </c>
      <c r="S2833" s="30">
        <v>0</v>
      </c>
      <c r="T2833" s="232">
        <v>0</v>
      </c>
      <c r="U2833" s="30">
        <v>0</v>
      </c>
      <c r="V2833" s="232">
        <v>0</v>
      </c>
      <c r="W2833" s="30">
        <v>0</v>
      </c>
      <c r="X2833" s="30">
        <v>0</v>
      </c>
      <c r="Y2833" s="30">
        <v>0</v>
      </c>
      <c r="Z2833" s="232">
        <v>0</v>
      </c>
      <c r="AA2833" s="30">
        <v>0</v>
      </c>
      <c r="AB2833" s="30">
        <v>0</v>
      </c>
      <c r="AC2833" s="30">
        <v>0</v>
      </c>
      <c r="AD2833" s="30">
        <v>0</v>
      </c>
      <c r="AE2833" s="72" t="s">
        <v>92</v>
      </c>
      <c r="AF2833" s="72"/>
      <c r="AG2833" s="72" t="s">
        <v>133</v>
      </c>
      <c r="AH2833" s="72">
        <v>43493</v>
      </c>
      <c r="AI2833" s="30">
        <v>0</v>
      </c>
      <c r="AJ2833" s="72" t="s">
        <v>16011</v>
      </c>
      <c r="AK2833" s="72" t="s">
        <v>16012</v>
      </c>
      <c r="AL2833" s="70">
        <v>43494</v>
      </c>
      <c r="AM2833" s="70"/>
      <c r="AN2833" s="70"/>
      <c r="AO2833" s="70"/>
      <c r="AP2833" s="73" t="e">
        <f>MID(VLOOKUP(K2833,#REF!,2,FALSE),1,2)</f>
        <v>#REF!</v>
      </c>
      <c r="AQ2833" s="72">
        <f>DATE(2019,1,31)</f>
        <v>43496</v>
      </c>
      <c r="AR2833" s="82">
        <f t="shared" si="241"/>
        <v>31</v>
      </c>
      <c r="AS2833" s="83">
        <f t="shared" si="242"/>
        <v>1</v>
      </c>
      <c r="AT2833" s="84">
        <f t="shared" si="243"/>
        <v>2019</v>
      </c>
      <c r="AU2833" s="86"/>
      <c r="AV2833" s="86"/>
      <c r="AW2833" s="87"/>
      <c r="AX2833" s="86"/>
      <c r="AY2833" s="83"/>
      <c r="AZ2833" s="84"/>
      <c r="BA2833" s="86"/>
      <c r="BB2833" s="86"/>
      <c r="BD2833" s="68"/>
    </row>
    <row r="2834" spans="1:56" s="25" customFormat="1" ht="36.75" customHeight="1">
      <c r="A2834" s="30"/>
      <c r="B2834" s="30" t="s">
        <v>55</v>
      </c>
      <c r="C2834" s="69" t="str">
        <f t="shared" si="244"/>
        <v>Closed</v>
      </c>
      <c r="D2834" s="27" t="s">
        <v>16013</v>
      </c>
      <c r="E2834" s="29" t="s">
        <v>16014</v>
      </c>
      <c r="F2834" s="30" t="s">
        <v>5427</v>
      </c>
      <c r="G2834" s="72">
        <f>DATE(2019,1,31)</f>
        <v>43496</v>
      </c>
      <c r="H2834" s="80">
        <v>1.9076388888888891</v>
      </c>
      <c r="I2834" s="30" t="s">
        <v>6600</v>
      </c>
      <c r="J2834" s="72" t="s">
        <v>16015</v>
      </c>
      <c r="K2834" s="30" t="s">
        <v>596</v>
      </c>
      <c r="L2834" s="30" t="s">
        <v>16016</v>
      </c>
      <c r="M2834" s="30" t="s">
        <v>63</v>
      </c>
      <c r="N2834" s="30" t="s">
        <v>99</v>
      </c>
      <c r="O2834" s="30" t="s">
        <v>64</v>
      </c>
      <c r="P2834" s="72" t="s">
        <v>165</v>
      </c>
      <c r="Q2834" s="72" t="s">
        <v>10529</v>
      </c>
      <c r="R2834" s="72" t="s">
        <v>12074</v>
      </c>
      <c r="S2834" s="30">
        <v>0</v>
      </c>
      <c r="T2834" s="232">
        <v>0</v>
      </c>
      <c r="U2834" s="30">
        <v>0</v>
      </c>
      <c r="V2834" s="232">
        <v>0</v>
      </c>
      <c r="W2834" s="30">
        <v>0</v>
      </c>
      <c r="X2834" s="30">
        <v>0</v>
      </c>
      <c r="Y2834" s="30">
        <v>0</v>
      </c>
      <c r="Z2834" s="232">
        <v>0</v>
      </c>
      <c r="AA2834" s="30">
        <v>0</v>
      </c>
      <c r="AB2834" s="30">
        <v>0</v>
      </c>
      <c r="AC2834" s="30">
        <v>0</v>
      </c>
      <c r="AD2834" s="30">
        <v>0</v>
      </c>
      <c r="AE2834" s="72" t="s">
        <v>92</v>
      </c>
      <c r="AF2834" s="72"/>
      <c r="AG2834" s="72" t="s">
        <v>133</v>
      </c>
      <c r="AH2834" s="72">
        <v>43587</v>
      </c>
      <c r="AI2834" s="30">
        <v>0</v>
      </c>
      <c r="AJ2834" s="72" t="s">
        <v>16017</v>
      </c>
      <c r="AK2834" s="72" t="s">
        <v>16018</v>
      </c>
      <c r="AL2834" s="70">
        <v>43561</v>
      </c>
      <c r="AM2834" s="70"/>
      <c r="AN2834" s="70"/>
      <c r="AO2834" s="70"/>
      <c r="AP2834" s="73" t="e">
        <f>MID(VLOOKUP(K2834,#REF!,2,FALSE),1,2)</f>
        <v>#REF!</v>
      </c>
      <c r="AQ2834" s="72">
        <f>DATE(2019,2,1)</f>
        <v>43497</v>
      </c>
      <c r="AR2834" s="82">
        <f t="shared" si="241"/>
        <v>1</v>
      </c>
      <c r="AS2834" s="83">
        <f t="shared" si="242"/>
        <v>2</v>
      </c>
      <c r="AT2834" s="84">
        <f t="shared" si="243"/>
        <v>2019</v>
      </c>
      <c r="AU2834" s="86"/>
      <c r="AV2834" s="86"/>
      <c r="AW2834" s="87"/>
      <c r="AX2834" s="86"/>
      <c r="AY2834" s="83"/>
      <c r="AZ2834" s="84"/>
      <c r="BA2834" s="86"/>
      <c r="BB2834" s="86"/>
      <c r="BD2834" s="68"/>
    </row>
    <row r="2835" spans="1:56" s="25" customFormat="1" ht="36.75" customHeight="1">
      <c r="A2835" s="30"/>
      <c r="B2835" s="30" t="s">
        <v>55</v>
      </c>
      <c r="C2835" s="69" t="str">
        <f t="shared" si="244"/>
        <v>Closed</v>
      </c>
      <c r="D2835" s="27" t="s">
        <v>16019</v>
      </c>
      <c r="E2835" s="29" t="s">
        <v>16020</v>
      </c>
      <c r="F2835" s="30" t="s">
        <v>1572</v>
      </c>
      <c r="G2835" s="72">
        <f>DATE(2019,1,31)</f>
        <v>43496</v>
      </c>
      <c r="H2835" s="80">
        <v>1.0902777777777777</v>
      </c>
      <c r="I2835" s="30" t="s">
        <v>5494</v>
      </c>
      <c r="J2835" s="72" t="s">
        <v>16021</v>
      </c>
      <c r="K2835" s="30" t="s">
        <v>1574</v>
      </c>
      <c r="L2835" s="30" t="s">
        <v>16022</v>
      </c>
      <c r="M2835" s="30" t="s">
        <v>63</v>
      </c>
      <c r="N2835" s="30" t="s">
        <v>99</v>
      </c>
      <c r="O2835" s="30" t="s">
        <v>64</v>
      </c>
      <c r="P2835" s="72" t="s">
        <v>6941</v>
      </c>
      <c r="Q2835" s="72" t="s">
        <v>2413</v>
      </c>
      <c r="R2835" s="72" t="s">
        <v>6434</v>
      </c>
      <c r="S2835" s="30">
        <v>0</v>
      </c>
      <c r="T2835" s="232">
        <v>0</v>
      </c>
      <c r="U2835" s="30">
        <v>0</v>
      </c>
      <c r="V2835" s="232">
        <v>0</v>
      </c>
      <c r="W2835" s="30">
        <v>0</v>
      </c>
      <c r="X2835" s="30">
        <v>0</v>
      </c>
      <c r="Y2835" s="30">
        <v>0</v>
      </c>
      <c r="Z2835" s="232">
        <v>0</v>
      </c>
      <c r="AA2835" s="30">
        <v>0</v>
      </c>
      <c r="AB2835" s="30">
        <v>0</v>
      </c>
      <c r="AC2835" s="30">
        <v>0</v>
      </c>
      <c r="AD2835" s="30">
        <v>0</v>
      </c>
      <c r="AE2835" s="72" t="s">
        <v>394</v>
      </c>
      <c r="AF2835" s="72"/>
      <c r="AG2835" s="72" t="s">
        <v>1507</v>
      </c>
      <c r="AH2835" s="72">
        <v>43496</v>
      </c>
      <c r="AI2835" s="30">
        <v>2</v>
      </c>
      <c r="AJ2835" s="72" t="s">
        <v>16023</v>
      </c>
      <c r="AK2835" s="72" t="s">
        <v>16024</v>
      </c>
      <c r="AL2835" s="70">
        <v>43497</v>
      </c>
      <c r="AM2835" s="70"/>
      <c r="AN2835" s="70"/>
      <c r="AO2835" s="70"/>
      <c r="AP2835" s="73" t="e">
        <f>MID(VLOOKUP(K2835,#REF!,2,FALSE),1,2)</f>
        <v>#REF!</v>
      </c>
      <c r="AQ2835" s="72">
        <f>DATE(2019,2,3)</f>
        <v>43499</v>
      </c>
      <c r="AR2835" s="82">
        <f t="shared" si="241"/>
        <v>3</v>
      </c>
      <c r="AS2835" s="83">
        <f t="shared" si="242"/>
        <v>2</v>
      </c>
      <c r="AT2835" s="84">
        <f t="shared" si="243"/>
        <v>2019</v>
      </c>
      <c r="AU2835" s="86"/>
      <c r="AV2835" s="86"/>
      <c r="AW2835" s="87"/>
      <c r="AX2835" s="86"/>
      <c r="AY2835" s="83"/>
      <c r="AZ2835" s="84"/>
      <c r="BA2835" s="86"/>
      <c r="BB2835" s="86"/>
      <c r="BD2835" s="68"/>
    </row>
    <row r="2836" spans="1:56" s="25" customFormat="1" ht="36.75" customHeight="1">
      <c r="A2836" s="30"/>
      <c r="B2836" s="30" t="s">
        <v>55</v>
      </c>
      <c r="C2836" s="69" t="str">
        <f t="shared" si="244"/>
        <v>Closed</v>
      </c>
      <c r="D2836" s="27" t="s">
        <v>16025</v>
      </c>
      <c r="E2836" s="29" t="s">
        <v>16026</v>
      </c>
      <c r="F2836" s="30" t="s">
        <v>1572</v>
      </c>
      <c r="G2836" s="72">
        <f>DATE(2019,2,3)</f>
        <v>43499</v>
      </c>
      <c r="H2836" s="80">
        <v>1.3229166666666667</v>
      </c>
      <c r="I2836" s="30" t="s">
        <v>73</v>
      </c>
      <c r="J2836" s="72" t="s">
        <v>16027</v>
      </c>
      <c r="K2836" s="30" t="s">
        <v>1574</v>
      </c>
      <c r="L2836" s="30" t="s">
        <v>16028</v>
      </c>
      <c r="M2836" s="30" t="s">
        <v>63</v>
      </c>
      <c r="N2836" s="30" t="s">
        <v>142</v>
      </c>
      <c r="O2836" s="30" t="s">
        <v>64</v>
      </c>
      <c r="P2836" s="72" t="s">
        <v>165</v>
      </c>
      <c r="Q2836" s="72" t="s">
        <v>2413</v>
      </c>
      <c r="R2836" s="72" t="s">
        <v>6434</v>
      </c>
      <c r="S2836" s="30">
        <v>0</v>
      </c>
      <c r="T2836" s="232">
        <v>0</v>
      </c>
      <c r="U2836" s="30">
        <v>0</v>
      </c>
      <c r="V2836" s="232">
        <v>0</v>
      </c>
      <c r="W2836" s="30">
        <v>0</v>
      </c>
      <c r="X2836" s="30">
        <v>0</v>
      </c>
      <c r="Y2836" s="30">
        <v>0</v>
      </c>
      <c r="Z2836" s="232">
        <v>0</v>
      </c>
      <c r="AA2836" s="30">
        <v>0</v>
      </c>
      <c r="AB2836" s="30">
        <v>0</v>
      </c>
      <c r="AC2836" s="30">
        <v>0</v>
      </c>
      <c r="AD2836" s="30">
        <v>0</v>
      </c>
      <c r="AE2836" s="72" t="s">
        <v>92</v>
      </c>
      <c r="AF2836" s="72"/>
      <c r="AG2836" s="72" t="s">
        <v>133</v>
      </c>
      <c r="AH2836" s="72">
        <v>43528</v>
      </c>
      <c r="AI2836" s="30">
        <v>0</v>
      </c>
      <c r="AJ2836" s="72" t="s">
        <v>16029</v>
      </c>
      <c r="AK2836" s="72" t="s">
        <v>16030</v>
      </c>
      <c r="AL2836" s="70">
        <v>43533</v>
      </c>
      <c r="AM2836" s="70"/>
      <c r="AN2836" s="70"/>
      <c r="AO2836" s="70"/>
      <c r="AP2836" s="73" t="e">
        <f>MID(VLOOKUP(K2836,#REF!,2,FALSE),1,2)</f>
        <v>#REF!</v>
      </c>
      <c r="AQ2836" s="72">
        <f>DATE(2019,2,3)</f>
        <v>43499</v>
      </c>
      <c r="AR2836" s="82">
        <f t="shared" si="241"/>
        <v>3</v>
      </c>
      <c r="AS2836" s="83">
        <f t="shared" si="242"/>
        <v>2</v>
      </c>
      <c r="AT2836" s="84">
        <f t="shared" si="243"/>
        <v>2019</v>
      </c>
      <c r="AU2836" s="86"/>
      <c r="AV2836" s="86"/>
      <c r="AW2836" s="87"/>
      <c r="AX2836" s="86"/>
      <c r="AY2836" s="83"/>
      <c r="AZ2836" s="84"/>
      <c r="BA2836" s="86"/>
      <c r="BB2836" s="86"/>
      <c r="BD2836" s="68"/>
    </row>
    <row r="2837" spans="1:56" s="25" customFormat="1" ht="36.75" customHeight="1">
      <c r="A2837" s="30"/>
      <c r="B2837" s="30" t="s">
        <v>55</v>
      </c>
      <c r="C2837" s="69" t="str">
        <f t="shared" si="244"/>
        <v>Closed</v>
      </c>
      <c r="D2837" s="27" t="s">
        <v>16031</v>
      </c>
      <c r="E2837" s="29" t="s">
        <v>16032</v>
      </c>
      <c r="F2837" s="30" t="s">
        <v>1572</v>
      </c>
      <c r="G2837" s="72">
        <f>DATE(2019,2,3)</f>
        <v>43499</v>
      </c>
      <c r="H2837" s="80">
        <v>1.53125</v>
      </c>
      <c r="I2837" s="30" t="s">
        <v>73</v>
      </c>
      <c r="J2837" s="72" t="s">
        <v>16033</v>
      </c>
      <c r="K2837" s="30" t="s">
        <v>1574</v>
      </c>
      <c r="L2837" s="30" t="s">
        <v>16034</v>
      </c>
      <c r="M2837" s="30" t="s">
        <v>63</v>
      </c>
      <c r="N2837" s="30" t="s">
        <v>142</v>
      </c>
      <c r="O2837" s="30" t="s">
        <v>77</v>
      </c>
      <c r="P2837" s="72" t="s">
        <v>65</v>
      </c>
      <c r="Q2837" s="72" t="s">
        <v>2413</v>
      </c>
      <c r="R2837" s="72" t="s">
        <v>6434</v>
      </c>
      <c r="S2837" s="30">
        <v>0</v>
      </c>
      <c r="T2837" s="232">
        <v>0</v>
      </c>
      <c r="U2837" s="30">
        <v>0</v>
      </c>
      <c r="V2837" s="232">
        <v>0</v>
      </c>
      <c r="W2837" s="30">
        <v>0</v>
      </c>
      <c r="X2837" s="30">
        <v>0</v>
      </c>
      <c r="Y2837" s="30">
        <v>0</v>
      </c>
      <c r="Z2837" s="232">
        <v>0</v>
      </c>
      <c r="AA2837" s="30">
        <v>0</v>
      </c>
      <c r="AB2837" s="30">
        <v>0</v>
      </c>
      <c r="AC2837" s="30">
        <v>0</v>
      </c>
      <c r="AD2837" s="30">
        <v>0</v>
      </c>
      <c r="AE2837" s="72" t="s">
        <v>92</v>
      </c>
      <c r="AF2837" s="72"/>
      <c r="AG2837" s="72" t="s">
        <v>133</v>
      </c>
      <c r="AH2837" s="72">
        <v>43528</v>
      </c>
      <c r="AI2837" s="30">
        <v>3</v>
      </c>
      <c r="AJ2837" s="72" t="s">
        <v>16035</v>
      </c>
      <c r="AK2837" s="72" t="s">
        <v>16036</v>
      </c>
      <c r="AL2837" s="70">
        <v>43533</v>
      </c>
      <c r="AM2837" s="70"/>
      <c r="AN2837" s="70"/>
      <c r="AO2837" s="70"/>
      <c r="AP2837" s="73" t="e">
        <f>MID(VLOOKUP(K2837,#REF!,2,FALSE),1,2)</f>
        <v>#REF!</v>
      </c>
      <c r="AQ2837" s="72">
        <f>DATE(2019,2,5)</f>
        <v>43501</v>
      </c>
      <c r="AR2837" s="82">
        <f t="shared" si="241"/>
        <v>5</v>
      </c>
      <c r="AS2837" s="83">
        <f t="shared" si="242"/>
        <v>2</v>
      </c>
      <c r="AT2837" s="84">
        <f t="shared" si="243"/>
        <v>2019</v>
      </c>
      <c r="AU2837" s="86"/>
      <c r="AV2837" s="86"/>
      <c r="AW2837" s="87"/>
      <c r="AX2837" s="86"/>
      <c r="AY2837" s="83"/>
      <c r="AZ2837" s="84"/>
      <c r="BA2837" s="86"/>
      <c r="BB2837" s="86"/>
      <c r="BD2837" s="68"/>
    </row>
    <row r="2838" spans="1:56" s="25" customFormat="1" ht="36.75" customHeight="1">
      <c r="A2838" s="30"/>
      <c r="B2838" s="30" t="s">
        <v>55</v>
      </c>
      <c r="C2838" s="69" t="str">
        <f t="shared" si="244"/>
        <v>Closed</v>
      </c>
      <c r="D2838" s="27" t="s">
        <v>16037</v>
      </c>
      <c r="E2838" s="29" t="s">
        <v>16038</v>
      </c>
      <c r="F2838" s="30" t="s">
        <v>1572</v>
      </c>
      <c r="G2838" s="72">
        <f>DATE(2019,2,5)</f>
        <v>43501</v>
      </c>
      <c r="H2838" s="80">
        <v>1.1333333333333333</v>
      </c>
      <c r="I2838" s="30" t="s">
        <v>73</v>
      </c>
      <c r="J2838" s="72" t="s">
        <v>16039</v>
      </c>
      <c r="K2838" s="30" t="s">
        <v>1574</v>
      </c>
      <c r="L2838" s="30" t="s">
        <v>15725</v>
      </c>
      <c r="M2838" s="30" t="s">
        <v>63</v>
      </c>
      <c r="N2838" s="30" t="s">
        <v>99</v>
      </c>
      <c r="O2838" s="30" t="s">
        <v>77</v>
      </c>
      <c r="P2838" s="72" t="s">
        <v>78</v>
      </c>
      <c r="Q2838" s="72" t="s">
        <v>6093</v>
      </c>
      <c r="R2838" s="72" t="s">
        <v>6434</v>
      </c>
      <c r="S2838" s="30">
        <v>0</v>
      </c>
      <c r="T2838" s="232">
        <v>0</v>
      </c>
      <c r="U2838" s="30">
        <v>0</v>
      </c>
      <c r="V2838" s="232">
        <v>0</v>
      </c>
      <c r="W2838" s="30">
        <v>0</v>
      </c>
      <c r="X2838" s="30">
        <v>0</v>
      </c>
      <c r="Y2838" s="30">
        <v>0</v>
      </c>
      <c r="Z2838" s="232">
        <v>0</v>
      </c>
      <c r="AA2838" s="30">
        <v>0</v>
      </c>
      <c r="AB2838" s="30">
        <v>0</v>
      </c>
      <c r="AC2838" s="30">
        <v>0</v>
      </c>
      <c r="AD2838" s="30">
        <v>0</v>
      </c>
      <c r="AE2838" s="72" t="s">
        <v>92</v>
      </c>
      <c r="AF2838" s="72"/>
      <c r="AG2838" s="72" t="s">
        <v>133</v>
      </c>
      <c r="AH2838" s="72">
        <v>43504</v>
      </c>
      <c r="AI2838" s="30">
        <v>0</v>
      </c>
      <c r="AJ2838" s="72" t="s">
        <v>16040</v>
      </c>
      <c r="AK2838" s="72" t="s">
        <v>16041</v>
      </c>
      <c r="AL2838" s="70">
        <v>43507</v>
      </c>
      <c r="AM2838" s="70"/>
      <c r="AN2838" s="70"/>
      <c r="AO2838" s="70"/>
      <c r="AP2838" s="73" t="e">
        <f>MID(VLOOKUP(K2838,#REF!,2,FALSE),1,2)</f>
        <v>#REF!</v>
      </c>
      <c r="AQ2838" s="72">
        <f>DATE(2019,2,6)</f>
        <v>43502</v>
      </c>
      <c r="AR2838" s="82">
        <f t="shared" si="241"/>
        <v>6</v>
      </c>
      <c r="AS2838" s="83">
        <f t="shared" si="242"/>
        <v>2</v>
      </c>
      <c r="AT2838" s="84">
        <f t="shared" si="243"/>
        <v>2019</v>
      </c>
      <c r="AU2838" s="86"/>
      <c r="AV2838" s="86"/>
      <c r="AW2838" s="87"/>
      <c r="AX2838" s="86"/>
      <c r="AY2838" s="83"/>
      <c r="AZ2838" s="84"/>
      <c r="BA2838" s="86"/>
      <c r="BB2838" s="86"/>
      <c r="BD2838" s="68"/>
    </row>
    <row r="2839" spans="1:56" s="25" customFormat="1" ht="36.75" customHeight="1">
      <c r="A2839" s="30"/>
      <c r="B2839" s="30" t="s">
        <v>55</v>
      </c>
      <c r="C2839" s="69" t="str">
        <f t="shared" si="244"/>
        <v>Closed</v>
      </c>
      <c r="D2839" s="27" t="s">
        <v>16042</v>
      </c>
      <c r="E2839" s="29" t="s">
        <v>16043</v>
      </c>
      <c r="F2839" s="30" t="s">
        <v>582</v>
      </c>
      <c r="G2839" s="72">
        <f>DATE(2019,2,6)</f>
        <v>43502</v>
      </c>
      <c r="H2839" s="80">
        <v>1.9791666666666665</v>
      </c>
      <c r="I2839" s="30" t="s">
        <v>125</v>
      </c>
      <c r="J2839" s="72" t="s">
        <v>16044</v>
      </c>
      <c r="K2839" s="30" t="s">
        <v>584</v>
      </c>
      <c r="L2839" s="30" t="s">
        <v>16045</v>
      </c>
      <c r="M2839" s="30" t="s">
        <v>63</v>
      </c>
      <c r="N2839" s="30" t="s">
        <v>142</v>
      </c>
      <c r="O2839" s="30" t="s">
        <v>77</v>
      </c>
      <c r="P2839" s="72" t="s">
        <v>78</v>
      </c>
      <c r="Q2839" s="72" t="s">
        <v>16046</v>
      </c>
      <c r="R2839" s="72" t="s">
        <v>587</v>
      </c>
      <c r="S2839" s="30">
        <v>0</v>
      </c>
      <c r="T2839" s="232">
        <v>0</v>
      </c>
      <c r="U2839" s="30">
        <v>0</v>
      </c>
      <c r="V2839" s="232">
        <v>0</v>
      </c>
      <c r="W2839" s="30">
        <v>0</v>
      </c>
      <c r="X2839" s="30">
        <v>0</v>
      </c>
      <c r="Y2839" s="30">
        <v>0</v>
      </c>
      <c r="Z2839" s="232">
        <v>0</v>
      </c>
      <c r="AA2839" s="30">
        <v>0</v>
      </c>
      <c r="AB2839" s="30">
        <v>0</v>
      </c>
      <c r="AC2839" s="30">
        <v>0</v>
      </c>
      <c r="AD2839" s="30">
        <v>0</v>
      </c>
      <c r="AE2839" s="72" t="s">
        <v>394</v>
      </c>
      <c r="AF2839" s="72" t="s">
        <v>16047</v>
      </c>
      <c r="AG2839" s="72" t="s">
        <v>6459</v>
      </c>
      <c r="AH2839" s="72">
        <v>43504</v>
      </c>
      <c r="AI2839" s="30">
        <v>0</v>
      </c>
      <c r="AJ2839" s="72" t="s">
        <v>16048</v>
      </c>
      <c r="AK2839" s="72" t="s">
        <v>68</v>
      </c>
      <c r="AL2839" s="70">
        <v>43507</v>
      </c>
      <c r="AM2839" s="70"/>
      <c r="AN2839" s="70"/>
      <c r="AO2839" s="70"/>
      <c r="AP2839" s="73" t="e">
        <f>MID(VLOOKUP(K2839,#REF!,2,FALSE),1,2)</f>
        <v>#REF!</v>
      </c>
      <c r="AQ2839" s="72">
        <f>DATE(2019,2,6)</f>
        <v>43502</v>
      </c>
      <c r="AR2839" s="82">
        <f t="shared" si="241"/>
        <v>6</v>
      </c>
      <c r="AS2839" s="83">
        <f t="shared" si="242"/>
        <v>2</v>
      </c>
      <c r="AT2839" s="84">
        <f t="shared" si="243"/>
        <v>2019</v>
      </c>
      <c r="AU2839" s="86"/>
      <c r="AV2839" s="86"/>
      <c r="AW2839" s="87"/>
      <c r="AX2839" s="86"/>
      <c r="AY2839" s="83"/>
      <c r="AZ2839" s="84"/>
      <c r="BA2839" s="86"/>
      <c r="BB2839" s="86"/>
      <c r="BD2839" s="68"/>
    </row>
    <row r="2840" spans="1:56" s="25" customFormat="1" ht="36.75" customHeight="1">
      <c r="A2840" s="30"/>
      <c r="B2840" s="30" t="s">
        <v>55</v>
      </c>
      <c r="C2840" s="69" t="str">
        <f t="shared" si="244"/>
        <v>Closed</v>
      </c>
      <c r="D2840" s="27" t="s">
        <v>16049</v>
      </c>
      <c r="E2840" s="29" t="s">
        <v>16050</v>
      </c>
      <c r="F2840" s="30" t="s">
        <v>233</v>
      </c>
      <c r="G2840" s="72">
        <f>DATE(2019,2,6)</f>
        <v>43502</v>
      </c>
      <c r="H2840" s="80">
        <v>1.413888888888889</v>
      </c>
      <c r="I2840" s="30" t="s">
        <v>116</v>
      </c>
      <c r="J2840" s="72" t="s">
        <v>16051</v>
      </c>
      <c r="K2840" s="30" t="s">
        <v>235</v>
      </c>
      <c r="L2840" s="30" t="s">
        <v>16052</v>
      </c>
      <c r="M2840" s="30" t="s">
        <v>63</v>
      </c>
      <c r="N2840" s="30" t="s">
        <v>142</v>
      </c>
      <c r="O2840" s="30" t="s">
        <v>64</v>
      </c>
      <c r="P2840" s="72" t="s">
        <v>165</v>
      </c>
      <c r="Q2840" s="72" t="s">
        <v>4659</v>
      </c>
      <c r="R2840" s="72" t="s">
        <v>235</v>
      </c>
      <c r="S2840" s="30">
        <v>0</v>
      </c>
      <c r="T2840" s="232">
        <v>0</v>
      </c>
      <c r="U2840" s="30">
        <v>1</v>
      </c>
      <c r="V2840" s="232">
        <v>0</v>
      </c>
      <c r="W2840" s="30">
        <v>0</v>
      </c>
      <c r="X2840" s="30">
        <v>1</v>
      </c>
      <c r="Y2840" s="30">
        <v>0</v>
      </c>
      <c r="Z2840" s="232">
        <v>0</v>
      </c>
      <c r="AA2840" s="30">
        <v>0</v>
      </c>
      <c r="AB2840" s="30">
        <v>0</v>
      </c>
      <c r="AC2840" s="30">
        <v>0</v>
      </c>
      <c r="AD2840" s="30">
        <v>0</v>
      </c>
      <c r="AE2840" s="72" t="s">
        <v>92</v>
      </c>
      <c r="AF2840" s="72"/>
      <c r="AG2840" s="72" t="s">
        <v>82</v>
      </c>
      <c r="AH2840" s="72">
        <v>43507</v>
      </c>
      <c r="AI2840" s="30">
        <v>1</v>
      </c>
      <c r="AJ2840" s="72" t="s">
        <v>16053</v>
      </c>
      <c r="AK2840" s="72" t="s">
        <v>16054</v>
      </c>
      <c r="AL2840" s="70">
        <v>43521</v>
      </c>
      <c r="AM2840" s="70"/>
      <c r="AN2840" s="70"/>
      <c r="AO2840" s="70"/>
      <c r="AP2840" s="73" t="e">
        <f>MID(VLOOKUP(K2840,#REF!,2,FALSE),1,2)</f>
        <v>#REF!</v>
      </c>
      <c r="AQ2840" s="72">
        <f>DATE(2019,2,7)</f>
        <v>43503</v>
      </c>
      <c r="AR2840" s="82">
        <f t="shared" si="241"/>
        <v>7</v>
      </c>
      <c r="AS2840" s="84">
        <f t="shared" si="242"/>
        <v>2</v>
      </c>
      <c r="AT2840" s="104">
        <f t="shared" si="243"/>
        <v>2019</v>
      </c>
      <c r="AU2840" s="86"/>
      <c r="AV2840" s="87"/>
      <c r="AW2840" s="86"/>
      <c r="AX2840" s="82"/>
      <c r="AY2840" s="84"/>
      <c r="AZ2840" s="104"/>
      <c r="BA2840" s="86"/>
      <c r="BB2840" s="86"/>
      <c r="BD2840" s="68"/>
    </row>
    <row r="2841" spans="1:56" s="25" customFormat="1" ht="36.75" customHeight="1">
      <c r="A2841" s="30"/>
      <c r="B2841" s="30" t="s">
        <v>55</v>
      </c>
      <c r="C2841" s="69" t="str">
        <f t="shared" si="244"/>
        <v>Closed</v>
      </c>
      <c r="D2841" s="27" t="s">
        <v>16055</v>
      </c>
      <c r="E2841" s="29" t="s">
        <v>16056</v>
      </c>
      <c r="F2841" s="30" t="s">
        <v>138</v>
      </c>
      <c r="G2841" s="72">
        <f>DATE(2019,2,7)</f>
        <v>43503</v>
      </c>
      <c r="H2841" s="80">
        <v>1.7868055555555555</v>
      </c>
      <c r="I2841" s="30" t="s">
        <v>198</v>
      </c>
      <c r="J2841" s="72" t="s">
        <v>16057</v>
      </c>
      <c r="K2841" s="30" t="s">
        <v>140</v>
      </c>
      <c r="L2841" s="30" t="s">
        <v>16058</v>
      </c>
      <c r="M2841" s="30" t="s">
        <v>63</v>
      </c>
      <c r="N2841" s="30" t="s">
        <v>89</v>
      </c>
      <c r="O2841" s="30" t="s">
        <v>77</v>
      </c>
      <c r="P2841" s="72" t="s">
        <v>91</v>
      </c>
      <c r="Q2841" s="72" t="s">
        <v>16059</v>
      </c>
      <c r="R2841" s="72" t="s">
        <v>4934</v>
      </c>
      <c r="S2841" s="30">
        <v>0</v>
      </c>
      <c r="T2841" s="232">
        <v>0</v>
      </c>
      <c r="U2841" s="30">
        <v>0</v>
      </c>
      <c r="V2841" s="232">
        <v>0</v>
      </c>
      <c r="W2841" s="30">
        <v>0</v>
      </c>
      <c r="X2841" s="30">
        <v>0</v>
      </c>
      <c r="Y2841" s="30">
        <v>0</v>
      </c>
      <c r="Z2841" s="232">
        <v>0</v>
      </c>
      <c r="AA2841" s="30">
        <v>0</v>
      </c>
      <c r="AB2841" s="30">
        <v>0</v>
      </c>
      <c r="AC2841" s="30">
        <v>0</v>
      </c>
      <c r="AD2841" s="30">
        <v>0</v>
      </c>
      <c r="AE2841" s="72" t="s">
        <v>394</v>
      </c>
      <c r="AF2841" s="72"/>
      <c r="AG2841" s="72" t="s">
        <v>10511</v>
      </c>
      <c r="AH2841" s="72">
        <v>43511</v>
      </c>
      <c r="AI2841" s="30">
        <v>5</v>
      </c>
      <c r="AJ2841" s="72" t="s">
        <v>16060</v>
      </c>
      <c r="AK2841" s="72" t="s">
        <v>16061</v>
      </c>
      <c r="AL2841" s="70">
        <v>43515</v>
      </c>
      <c r="AM2841" s="70"/>
      <c r="AN2841" s="70"/>
      <c r="AO2841" s="70"/>
      <c r="AP2841" s="73" t="e">
        <f>MID(VLOOKUP(K2841,#REF!,2,FALSE),1,2)</f>
        <v>#REF!</v>
      </c>
      <c r="AQ2841" s="72">
        <f>DATE(2019,2,8)</f>
        <v>43504</v>
      </c>
      <c r="AR2841" s="82">
        <f t="shared" si="241"/>
        <v>8</v>
      </c>
      <c r="AS2841" s="83">
        <f t="shared" si="242"/>
        <v>2</v>
      </c>
      <c r="AT2841" s="84">
        <f t="shared" si="243"/>
        <v>2019</v>
      </c>
      <c r="AU2841" s="86"/>
      <c r="AV2841" s="86"/>
      <c r="AW2841" s="87"/>
      <c r="AX2841" s="86"/>
      <c r="AY2841" s="83"/>
      <c r="AZ2841" s="84"/>
      <c r="BA2841" s="86"/>
      <c r="BB2841" s="86"/>
      <c r="BD2841" s="68"/>
    </row>
    <row r="2842" spans="1:56" s="25" customFormat="1" ht="36.75" customHeight="1">
      <c r="A2842" s="30"/>
      <c r="B2842" s="30" t="s">
        <v>55</v>
      </c>
      <c r="C2842" s="69" t="str">
        <f t="shared" si="244"/>
        <v>Closed</v>
      </c>
      <c r="D2842" s="27" t="s">
        <v>16062</v>
      </c>
      <c r="E2842" s="29" t="s">
        <v>16063</v>
      </c>
      <c r="F2842" s="30" t="s">
        <v>638</v>
      </c>
      <c r="G2842" s="72">
        <f>DATE(2019,2,8)</f>
        <v>43504</v>
      </c>
      <c r="H2842" s="80">
        <v>1.7638888888888888</v>
      </c>
      <c r="I2842" s="30" t="s">
        <v>198</v>
      </c>
      <c r="J2842" s="72" t="s">
        <v>16064</v>
      </c>
      <c r="K2842" s="30" t="s">
        <v>640</v>
      </c>
      <c r="L2842" s="30" t="s">
        <v>16065</v>
      </c>
      <c r="M2842" s="30" t="s">
        <v>63</v>
      </c>
      <c r="N2842" s="30" t="s">
        <v>142</v>
      </c>
      <c r="O2842" s="30" t="s">
        <v>64</v>
      </c>
      <c r="P2842" s="72" t="s">
        <v>6973</v>
      </c>
      <c r="Q2842" s="72" t="s">
        <v>1185</v>
      </c>
      <c r="R2842" s="72" t="s">
        <v>643</v>
      </c>
      <c r="S2842" s="30">
        <v>0</v>
      </c>
      <c r="T2842" s="232">
        <v>1</v>
      </c>
      <c r="U2842" s="30">
        <v>0</v>
      </c>
      <c r="V2842" s="232" t="s">
        <v>68</v>
      </c>
      <c r="W2842" s="30">
        <v>0</v>
      </c>
      <c r="X2842" s="30">
        <v>1</v>
      </c>
      <c r="Y2842" s="30">
        <v>18</v>
      </c>
      <c r="Z2842" s="232">
        <v>1</v>
      </c>
      <c r="AA2842" s="30">
        <v>0</v>
      </c>
      <c r="AB2842" s="30">
        <v>0</v>
      </c>
      <c r="AC2842" s="30">
        <v>0</v>
      </c>
      <c r="AD2842" s="30">
        <v>19</v>
      </c>
      <c r="AE2842" s="72" t="s">
        <v>92</v>
      </c>
      <c r="AF2842" s="72" t="s">
        <v>16066</v>
      </c>
      <c r="AG2842" s="72" t="s">
        <v>6459</v>
      </c>
      <c r="AH2842" s="72">
        <v>43504</v>
      </c>
      <c r="AI2842" s="30">
        <v>7</v>
      </c>
      <c r="AJ2842" s="72" t="s">
        <v>16067</v>
      </c>
      <c r="AK2842" s="72" t="s">
        <v>16068</v>
      </c>
      <c r="AL2842" s="70">
        <v>43521</v>
      </c>
      <c r="AM2842" s="70"/>
      <c r="AN2842" s="70"/>
      <c r="AO2842" s="70"/>
      <c r="AP2842" s="73" t="e">
        <f>MID(VLOOKUP(K2842,#REF!,2,FALSE),1,2)</f>
        <v>#REF!</v>
      </c>
      <c r="AQ2842" s="72">
        <f>DATE(2019,2,8)</f>
        <v>43504</v>
      </c>
      <c r="AR2842" s="82">
        <f t="shared" si="241"/>
        <v>8</v>
      </c>
      <c r="AS2842" s="83">
        <f t="shared" si="242"/>
        <v>2</v>
      </c>
      <c r="AT2842" s="84">
        <f t="shared" si="243"/>
        <v>2019</v>
      </c>
      <c r="AU2842" s="86"/>
      <c r="AV2842" s="86"/>
      <c r="AW2842" s="87"/>
      <c r="AX2842" s="86"/>
      <c r="AY2842" s="83"/>
      <c r="AZ2842" s="84"/>
      <c r="BA2842" s="86"/>
      <c r="BB2842" s="86"/>
      <c r="BD2842" s="68"/>
    </row>
    <row r="2843" spans="1:56" s="25" customFormat="1" ht="36.75" customHeight="1">
      <c r="A2843" s="30"/>
      <c r="B2843" s="30" t="s">
        <v>55</v>
      </c>
      <c r="C2843" s="69" t="str">
        <f t="shared" si="244"/>
        <v>Closed</v>
      </c>
      <c r="D2843" s="27" t="s">
        <v>16069</v>
      </c>
      <c r="E2843" s="29" t="s">
        <v>16070</v>
      </c>
      <c r="F2843" s="30" t="s">
        <v>2547</v>
      </c>
      <c r="G2843" s="72">
        <f>DATE(2019,2,8)</f>
        <v>43504</v>
      </c>
      <c r="H2843" s="80">
        <v>1.2979166666666666</v>
      </c>
      <c r="I2843" s="30" t="s">
        <v>278</v>
      </c>
      <c r="J2843" s="72" t="s">
        <v>16071</v>
      </c>
      <c r="K2843" s="30" t="s">
        <v>2549</v>
      </c>
      <c r="L2843" s="30" t="s">
        <v>16072</v>
      </c>
      <c r="M2843" s="30" t="s">
        <v>63</v>
      </c>
      <c r="N2843" s="30" t="s">
        <v>142</v>
      </c>
      <c r="O2843" s="30" t="s">
        <v>77</v>
      </c>
      <c r="P2843" s="72" t="s">
        <v>165</v>
      </c>
      <c r="Q2843" s="72" t="s">
        <v>16073</v>
      </c>
      <c r="R2843" s="72" t="s">
        <v>10304</v>
      </c>
      <c r="S2843" s="30">
        <v>0</v>
      </c>
      <c r="T2843" s="232">
        <v>1</v>
      </c>
      <c r="U2843" s="30">
        <v>0</v>
      </c>
      <c r="V2843" s="232">
        <v>0</v>
      </c>
      <c r="W2843" s="30">
        <v>0</v>
      </c>
      <c r="X2843" s="30">
        <v>1</v>
      </c>
      <c r="Y2843" s="30">
        <v>0</v>
      </c>
      <c r="Z2843" s="232">
        <v>0</v>
      </c>
      <c r="AA2843" s="30">
        <v>0</v>
      </c>
      <c r="AB2843" s="30">
        <v>0</v>
      </c>
      <c r="AC2843" s="30">
        <v>0</v>
      </c>
      <c r="AD2843" s="30">
        <v>0</v>
      </c>
      <c r="AE2843" s="72" t="s">
        <v>92</v>
      </c>
      <c r="AF2843" s="72"/>
      <c r="AG2843" s="72" t="s">
        <v>589</v>
      </c>
      <c r="AH2843" s="72">
        <v>43507</v>
      </c>
      <c r="AI2843" s="30">
        <v>3</v>
      </c>
      <c r="AJ2843" s="72" t="s">
        <v>16074</v>
      </c>
      <c r="AK2843" s="72" t="s">
        <v>16075</v>
      </c>
      <c r="AL2843" s="70">
        <v>43514</v>
      </c>
      <c r="AM2843" s="70"/>
      <c r="AN2843" s="70"/>
      <c r="AO2843" s="70"/>
      <c r="AP2843" s="73" t="e">
        <f>MID(VLOOKUP(K2843,#REF!,2,FALSE),1,2)</f>
        <v>#REF!</v>
      </c>
      <c r="AQ2843" s="72">
        <f>DATE(2019,2,10)</f>
        <v>43506</v>
      </c>
      <c r="AR2843" s="82">
        <f t="shared" si="241"/>
        <v>10</v>
      </c>
      <c r="AS2843" s="83">
        <f t="shared" si="242"/>
        <v>2</v>
      </c>
      <c r="AT2843" s="84">
        <f t="shared" si="243"/>
        <v>2019</v>
      </c>
      <c r="AU2843" s="86"/>
      <c r="AV2843" s="86"/>
      <c r="AW2843" s="87"/>
      <c r="AX2843" s="86"/>
      <c r="AY2843" s="83"/>
      <c r="AZ2843" s="84"/>
      <c r="BA2843" s="86"/>
      <c r="BB2843" s="86"/>
      <c r="BD2843" s="68"/>
    </row>
    <row r="2844" spans="1:56" s="25" customFormat="1" ht="36.75" customHeight="1">
      <c r="A2844" s="30"/>
      <c r="B2844" s="30" t="s">
        <v>55</v>
      </c>
      <c r="C2844" s="69" t="str">
        <f t="shared" si="244"/>
        <v>Closed</v>
      </c>
      <c r="D2844" s="27" t="s">
        <v>16076</v>
      </c>
      <c r="E2844" s="29" t="s">
        <v>16077</v>
      </c>
      <c r="F2844" s="30" t="s">
        <v>1572</v>
      </c>
      <c r="G2844" s="72">
        <f>DATE(2019,2,10)</f>
        <v>43506</v>
      </c>
      <c r="H2844" s="80">
        <v>1.5555555555555556</v>
      </c>
      <c r="I2844" s="30" t="s">
        <v>73</v>
      </c>
      <c r="J2844" s="72" t="s">
        <v>16078</v>
      </c>
      <c r="K2844" s="30" t="s">
        <v>1574</v>
      </c>
      <c r="L2844" s="30" t="s">
        <v>16079</v>
      </c>
      <c r="M2844" s="30" t="s">
        <v>63</v>
      </c>
      <c r="N2844" s="30" t="s">
        <v>99</v>
      </c>
      <c r="O2844" s="30" t="s">
        <v>64</v>
      </c>
      <c r="P2844" s="72" t="s">
        <v>6941</v>
      </c>
      <c r="Q2844" s="72" t="s">
        <v>2413</v>
      </c>
      <c r="R2844" s="72" t="s">
        <v>6434</v>
      </c>
      <c r="S2844" s="30">
        <v>0</v>
      </c>
      <c r="T2844" s="232">
        <v>0</v>
      </c>
      <c r="U2844" s="30">
        <v>0</v>
      </c>
      <c r="V2844" s="232">
        <v>0</v>
      </c>
      <c r="W2844" s="30">
        <v>0</v>
      </c>
      <c r="X2844" s="30">
        <v>0</v>
      </c>
      <c r="Y2844" s="30">
        <v>0</v>
      </c>
      <c r="Z2844" s="232">
        <v>0</v>
      </c>
      <c r="AA2844" s="30">
        <v>0</v>
      </c>
      <c r="AB2844" s="30">
        <v>0</v>
      </c>
      <c r="AC2844" s="30">
        <v>0</v>
      </c>
      <c r="AD2844" s="30">
        <v>0</v>
      </c>
      <c r="AE2844" s="72" t="s">
        <v>92</v>
      </c>
      <c r="AF2844" s="72"/>
      <c r="AG2844" s="72" t="s">
        <v>133</v>
      </c>
      <c r="AH2844" s="72">
        <v>43507</v>
      </c>
      <c r="AI2844" s="30">
        <v>2</v>
      </c>
      <c r="AJ2844" s="72" t="s">
        <v>16080</v>
      </c>
      <c r="AK2844" s="72" t="s">
        <v>16081</v>
      </c>
      <c r="AL2844" s="70">
        <v>43511</v>
      </c>
      <c r="AM2844" s="70"/>
      <c r="AN2844" s="70"/>
      <c r="AO2844" s="70"/>
      <c r="AP2844" s="73" t="e">
        <f>MID(VLOOKUP(K2844,#REF!,2,FALSE),1,2)</f>
        <v>#REF!</v>
      </c>
      <c r="AQ2844" s="72">
        <f>DATE(2019,2,11)</f>
        <v>43507</v>
      </c>
      <c r="AR2844" s="82">
        <f t="shared" si="241"/>
        <v>11</v>
      </c>
      <c r="AS2844" s="83">
        <f t="shared" si="242"/>
        <v>2</v>
      </c>
      <c r="AT2844" s="84">
        <f t="shared" si="243"/>
        <v>2019</v>
      </c>
      <c r="AU2844" s="86"/>
      <c r="AV2844" s="86"/>
      <c r="AW2844" s="87"/>
      <c r="AX2844" s="86"/>
      <c r="AY2844" s="83"/>
      <c r="AZ2844" s="84"/>
      <c r="BA2844" s="86"/>
      <c r="BB2844" s="86"/>
      <c r="BD2844" s="68"/>
    </row>
    <row r="2845" spans="1:56" s="25" customFormat="1" ht="36.75" customHeight="1">
      <c r="A2845" s="30"/>
      <c r="B2845" s="30" t="s">
        <v>55</v>
      </c>
      <c r="C2845" s="69" t="str">
        <f t="shared" si="244"/>
        <v>Closed</v>
      </c>
      <c r="D2845" s="27" t="s">
        <v>16082</v>
      </c>
      <c r="E2845" s="29" t="s">
        <v>16083</v>
      </c>
      <c r="F2845" s="30" t="s">
        <v>14753</v>
      </c>
      <c r="G2845" s="72">
        <f>DATE(2019,2,11)</f>
        <v>43507</v>
      </c>
      <c r="H2845" s="80">
        <v>1.2486111111111111</v>
      </c>
      <c r="I2845" s="30" t="s">
        <v>4610</v>
      </c>
      <c r="J2845" s="72" t="s">
        <v>16084</v>
      </c>
      <c r="K2845" s="30" t="s">
        <v>1772</v>
      </c>
      <c r="L2845" s="30" t="s">
        <v>16085</v>
      </c>
      <c r="M2845" s="30" t="s">
        <v>63</v>
      </c>
      <c r="N2845" s="30" t="s">
        <v>142</v>
      </c>
      <c r="O2845" s="30" t="s">
        <v>64</v>
      </c>
      <c r="P2845" s="72" t="s">
        <v>86</v>
      </c>
      <c r="Q2845" s="72" t="s">
        <v>16086</v>
      </c>
      <c r="R2845" s="72" t="s">
        <v>1775</v>
      </c>
      <c r="S2845" s="30">
        <v>0</v>
      </c>
      <c r="T2845" s="232">
        <v>0</v>
      </c>
      <c r="U2845" s="30">
        <v>0</v>
      </c>
      <c r="V2845" s="232">
        <v>0</v>
      </c>
      <c r="W2845" s="30">
        <v>0</v>
      </c>
      <c r="X2845" s="30">
        <v>0</v>
      </c>
      <c r="Y2845" s="30">
        <v>0</v>
      </c>
      <c r="Z2845" s="232">
        <v>0</v>
      </c>
      <c r="AA2845" s="30">
        <v>0</v>
      </c>
      <c r="AB2845" s="30">
        <v>0</v>
      </c>
      <c r="AC2845" s="30">
        <v>0</v>
      </c>
      <c r="AD2845" s="30">
        <v>0</v>
      </c>
      <c r="AE2845" s="72" t="s">
        <v>92</v>
      </c>
      <c r="AF2845" s="72" t="s">
        <v>16087</v>
      </c>
      <c r="AG2845" s="72" t="s">
        <v>8859</v>
      </c>
      <c r="AH2845" s="72">
        <v>43544</v>
      </c>
      <c r="AI2845" s="30">
        <v>8</v>
      </c>
      <c r="AJ2845" s="72" t="s">
        <v>16088</v>
      </c>
      <c r="AK2845" s="72" t="s">
        <v>16089</v>
      </c>
      <c r="AL2845" s="70">
        <v>43581</v>
      </c>
      <c r="AM2845" s="70"/>
      <c r="AN2845" s="70">
        <v>44166</v>
      </c>
      <c r="AO2845" s="70">
        <v>44096</v>
      </c>
      <c r="AP2845" s="73" t="e">
        <f>MID(VLOOKUP(K2845,#REF!,2,FALSE),1,2)</f>
        <v>#REF!</v>
      </c>
      <c r="AQ2845" s="72">
        <f>DATE(2019,2,15)</f>
        <v>43511</v>
      </c>
      <c r="AR2845" s="82">
        <f t="shared" si="241"/>
        <v>15</v>
      </c>
      <c r="AS2845" s="83">
        <f t="shared" si="242"/>
        <v>2</v>
      </c>
      <c r="AT2845" s="84">
        <f t="shared" si="243"/>
        <v>2019</v>
      </c>
      <c r="AU2845" s="86"/>
      <c r="AV2845" s="86"/>
      <c r="AW2845" s="87"/>
      <c r="AX2845" s="86"/>
      <c r="AY2845" s="83"/>
      <c r="AZ2845" s="84"/>
      <c r="BA2845" s="86"/>
      <c r="BB2845" s="86"/>
      <c r="BD2845" s="68"/>
    </row>
    <row r="2846" spans="1:56" s="25" customFormat="1" ht="36.75" customHeight="1">
      <c r="A2846" s="30"/>
      <c r="B2846" s="30" t="s">
        <v>55</v>
      </c>
      <c r="C2846" s="69" t="str">
        <f t="shared" si="244"/>
        <v>Closed</v>
      </c>
      <c r="D2846" s="27" t="s">
        <v>16090</v>
      </c>
      <c r="E2846" s="29" t="s">
        <v>16091</v>
      </c>
      <c r="F2846" s="30" t="s">
        <v>423</v>
      </c>
      <c r="G2846" s="72">
        <f>DATE(2019,2,15)</f>
        <v>43511</v>
      </c>
      <c r="H2846" s="80">
        <v>1.2006944444444445</v>
      </c>
      <c r="I2846" s="30" t="s">
        <v>73</v>
      </c>
      <c r="J2846" s="72" t="s">
        <v>16092</v>
      </c>
      <c r="K2846" s="30" t="s">
        <v>425</v>
      </c>
      <c r="L2846" s="30" t="s">
        <v>16093</v>
      </c>
      <c r="M2846" s="30" t="s">
        <v>63</v>
      </c>
      <c r="N2846" s="30" t="s">
        <v>99</v>
      </c>
      <c r="O2846" s="30" t="s">
        <v>77</v>
      </c>
      <c r="P2846" s="72" t="s">
        <v>165</v>
      </c>
      <c r="Q2846" s="72" t="s">
        <v>12713</v>
      </c>
      <c r="R2846" s="72" t="s">
        <v>12713</v>
      </c>
      <c r="S2846" s="30">
        <v>0</v>
      </c>
      <c r="T2846" s="232">
        <v>0</v>
      </c>
      <c r="U2846" s="30">
        <v>0</v>
      </c>
      <c r="V2846" s="232">
        <v>0</v>
      </c>
      <c r="W2846" s="30">
        <v>0</v>
      </c>
      <c r="X2846" s="30">
        <v>0</v>
      </c>
      <c r="Y2846" s="30">
        <v>0</v>
      </c>
      <c r="Z2846" s="232">
        <v>0</v>
      </c>
      <c r="AA2846" s="30">
        <v>0</v>
      </c>
      <c r="AB2846" s="30">
        <v>0</v>
      </c>
      <c r="AC2846" s="30">
        <v>0</v>
      </c>
      <c r="AD2846" s="30">
        <v>0</v>
      </c>
      <c r="AE2846" s="72" t="s">
        <v>92</v>
      </c>
      <c r="AF2846" s="72"/>
      <c r="AG2846" s="72" t="s">
        <v>352</v>
      </c>
      <c r="AH2846" s="72">
        <v>43511</v>
      </c>
      <c r="AI2846" s="30">
        <v>0</v>
      </c>
      <c r="AJ2846" s="72" t="s">
        <v>16094</v>
      </c>
      <c r="AK2846" s="72" t="s">
        <v>16095</v>
      </c>
      <c r="AL2846" s="70">
        <v>43514</v>
      </c>
      <c r="AM2846" s="70"/>
      <c r="AN2846" s="72"/>
      <c r="AO2846" s="72"/>
      <c r="AP2846" s="73" t="e">
        <f>MID(VLOOKUP(K2846,#REF!,2,FALSE),1,2)</f>
        <v>#REF!</v>
      </c>
      <c r="AQ2846" s="72">
        <f>DATE(2019,2,15)</f>
        <v>43511</v>
      </c>
      <c r="AR2846" s="82">
        <f t="shared" si="241"/>
        <v>15</v>
      </c>
      <c r="AS2846" s="83">
        <f t="shared" si="242"/>
        <v>2</v>
      </c>
      <c r="AT2846" s="84">
        <f t="shared" si="243"/>
        <v>2019</v>
      </c>
      <c r="AU2846" s="86"/>
      <c r="AV2846" s="86"/>
      <c r="AW2846" s="87"/>
      <c r="AX2846" s="86"/>
      <c r="AY2846" s="83"/>
      <c r="AZ2846" s="84"/>
      <c r="BA2846" s="86"/>
      <c r="BB2846" s="86"/>
      <c r="BD2846" s="68"/>
    </row>
    <row r="2847" spans="1:56" s="25" customFormat="1" ht="36.75" customHeight="1">
      <c r="A2847" s="30"/>
      <c r="B2847" s="30" t="s">
        <v>55</v>
      </c>
      <c r="C2847" s="69" t="str">
        <f t="shared" si="244"/>
        <v>Closed</v>
      </c>
      <c r="D2847" s="37" t="s">
        <v>16096</v>
      </c>
      <c r="E2847" s="29" t="s">
        <v>16097</v>
      </c>
      <c r="F2847" s="30" t="s">
        <v>6455</v>
      </c>
      <c r="G2847" s="72">
        <f>DATE(2019,2,15)</f>
        <v>43511</v>
      </c>
      <c r="H2847" s="80">
        <v>1.0638888888888889</v>
      </c>
      <c r="I2847" s="30" t="s">
        <v>156</v>
      </c>
      <c r="J2847" s="72" t="s">
        <v>16098</v>
      </c>
      <c r="K2847" s="30" t="s">
        <v>584</v>
      </c>
      <c r="L2847" s="30" t="s">
        <v>14122</v>
      </c>
      <c r="M2847" s="30" t="s">
        <v>63</v>
      </c>
      <c r="N2847" s="30" t="s">
        <v>89</v>
      </c>
      <c r="O2847" s="30" t="s">
        <v>77</v>
      </c>
      <c r="P2847" s="72" t="s">
        <v>78</v>
      </c>
      <c r="Q2847" s="72" t="s">
        <v>16099</v>
      </c>
      <c r="R2847" s="72" t="s">
        <v>587</v>
      </c>
      <c r="S2847" s="30">
        <v>0</v>
      </c>
      <c r="T2847" s="232">
        <v>0</v>
      </c>
      <c r="U2847" s="30">
        <v>0</v>
      </c>
      <c r="V2847" s="232">
        <v>0</v>
      </c>
      <c r="W2847" s="30">
        <v>0</v>
      </c>
      <c r="X2847" s="30">
        <v>0</v>
      </c>
      <c r="Y2847" s="30">
        <v>0</v>
      </c>
      <c r="Z2847" s="232">
        <v>0</v>
      </c>
      <c r="AA2847" s="30">
        <v>0</v>
      </c>
      <c r="AB2847" s="30">
        <v>0</v>
      </c>
      <c r="AC2847" s="30">
        <v>0</v>
      </c>
      <c r="AD2847" s="30">
        <v>0</v>
      </c>
      <c r="AE2847" s="72" t="s">
        <v>145</v>
      </c>
      <c r="AF2847" s="72" t="s">
        <v>16100</v>
      </c>
      <c r="AG2847" s="72" t="s">
        <v>6459</v>
      </c>
      <c r="AH2847" s="72">
        <v>43511</v>
      </c>
      <c r="AI2847" s="30">
        <v>0</v>
      </c>
      <c r="AJ2847" s="72" t="s">
        <v>16101</v>
      </c>
      <c r="AK2847" s="72" t="s">
        <v>16102</v>
      </c>
      <c r="AL2847" s="70">
        <v>43599</v>
      </c>
      <c r="AM2847" s="70">
        <v>44978</v>
      </c>
      <c r="AN2847" s="70">
        <v>45275</v>
      </c>
      <c r="AO2847" s="70">
        <v>45217</v>
      </c>
      <c r="AP2847" s="73" t="e">
        <f>MID(VLOOKUP(K2847,#REF!,2,FALSE),1,2)</f>
        <v>#REF!</v>
      </c>
      <c r="AQ2847" s="72">
        <f>DATE(2019,2,16)</f>
        <v>43512</v>
      </c>
      <c r="AR2847" s="82">
        <f t="shared" si="241"/>
        <v>16</v>
      </c>
      <c r="AS2847" s="83">
        <f t="shared" si="242"/>
        <v>2</v>
      </c>
      <c r="AT2847" s="84">
        <f t="shared" si="243"/>
        <v>2019</v>
      </c>
      <c r="AU2847" s="86"/>
      <c r="AV2847" s="86"/>
      <c r="AW2847" s="87"/>
      <c r="AX2847" s="86"/>
      <c r="AY2847" s="83"/>
      <c r="AZ2847" s="84"/>
      <c r="BA2847" s="86"/>
      <c r="BB2847" s="86"/>
      <c r="BD2847" s="68"/>
    </row>
    <row r="2848" spans="1:56" s="25" customFormat="1" ht="36.75" customHeight="1">
      <c r="A2848" s="30"/>
      <c r="B2848" s="30" t="s">
        <v>55</v>
      </c>
      <c r="C2848" s="69" t="str">
        <f t="shared" si="244"/>
        <v>Closed</v>
      </c>
      <c r="D2848" s="27" t="s">
        <v>16103</v>
      </c>
      <c r="E2848" s="29" t="s">
        <v>16104</v>
      </c>
      <c r="F2848" s="30" t="s">
        <v>2601</v>
      </c>
      <c r="G2848" s="72">
        <f>DATE(2019,2,16)</f>
        <v>43512</v>
      </c>
      <c r="H2848" s="80">
        <v>1.1770833333333333</v>
      </c>
      <c r="I2848" s="30" t="s">
        <v>73</v>
      </c>
      <c r="J2848" s="72" t="s">
        <v>16105</v>
      </c>
      <c r="K2848" s="30" t="s">
        <v>2603</v>
      </c>
      <c r="L2848" s="30" t="s">
        <v>16106</v>
      </c>
      <c r="M2848" s="30" t="s">
        <v>63</v>
      </c>
      <c r="N2848" s="30" t="s">
        <v>142</v>
      </c>
      <c r="O2848" s="30" t="s">
        <v>77</v>
      </c>
      <c r="P2848" s="72" t="s">
        <v>78</v>
      </c>
      <c r="Q2848" s="72" t="s">
        <v>13049</v>
      </c>
      <c r="R2848" s="72" t="s">
        <v>2606</v>
      </c>
      <c r="S2848" s="30">
        <v>0</v>
      </c>
      <c r="T2848" s="232">
        <v>0</v>
      </c>
      <c r="U2848" s="30">
        <v>0</v>
      </c>
      <c r="V2848" s="232">
        <v>0</v>
      </c>
      <c r="W2848" s="30">
        <v>0</v>
      </c>
      <c r="X2848" s="30">
        <v>0</v>
      </c>
      <c r="Y2848" s="30">
        <v>0</v>
      </c>
      <c r="Z2848" s="232">
        <v>0</v>
      </c>
      <c r="AA2848" s="30">
        <v>0</v>
      </c>
      <c r="AB2848" s="30">
        <v>0</v>
      </c>
      <c r="AC2848" s="30">
        <v>0</v>
      </c>
      <c r="AD2848" s="30">
        <v>0</v>
      </c>
      <c r="AE2848" s="72" t="s">
        <v>394</v>
      </c>
      <c r="AF2848" s="72"/>
      <c r="AG2848" s="72" t="s">
        <v>133</v>
      </c>
      <c r="AH2848" s="72">
        <v>43514</v>
      </c>
      <c r="AI2848" s="30">
        <v>4</v>
      </c>
      <c r="AJ2848" s="72" t="s">
        <v>16107</v>
      </c>
      <c r="AK2848" s="72" t="s">
        <v>68</v>
      </c>
      <c r="AL2848" s="70">
        <v>43515</v>
      </c>
      <c r="AM2848" s="70"/>
      <c r="AN2848" s="70"/>
      <c r="AO2848" s="70"/>
      <c r="AP2848" s="73" t="e">
        <f>MID(VLOOKUP(K2848,#REF!,2,FALSE),1,2)</f>
        <v>#REF!</v>
      </c>
      <c r="AQ2848" s="72">
        <f>DATE(2019,2,16)</f>
        <v>43512</v>
      </c>
      <c r="AR2848" s="82">
        <f t="shared" si="241"/>
        <v>16</v>
      </c>
      <c r="AS2848" s="83">
        <f t="shared" si="242"/>
        <v>2</v>
      </c>
      <c r="AT2848" s="84">
        <f t="shared" si="243"/>
        <v>2019</v>
      </c>
      <c r="AU2848" s="86"/>
      <c r="AV2848" s="86"/>
      <c r="AW2848" s="87"/>
      <c r="AX2848" s="86"/>
      <c r="AY2848" s="83"/>
      <c r="AZ2848" s="84"/>
      <c r="BA2848" s="86"/>
      <c r="BB2848" s="86"/>
      <c r="BD2848" s="68"/>
    </row>
    <row r="2849" spans="1:56" s="25" customFormat="1" ht="36.75" customHeight="1">
      <c r="A2849" s="30"/>
      <c r="B2849" s="30" t="s">
        <v>55</v>
      </c>
      <c r="C2849" s="69" t="str">
        <f t="shared" si="244"/>
        <v>Closed</v>
      </c>
      <c r="D2849" s="27" t="s">
        <v>16108</v>
      </c>
      <c r="E2849" s="29" t="s">
        <v>16109</v>
      </c>
      <c r="F2849" s="30" t="s">
        <v>835</v>
      </c>
      <c r="G2849" s="72">
        <f>DATE(2019,2,16)</f>
        <v>43512</v>
      </c>
      <c r="H2849" s="80">
        <v>1.3458333333333334</v>
      </c>
      <c r="I2849" s="30" t="s">
        <v>73</v>
      </c>
      <c r="J2849" s="72" t="s">
        <v>16110</v>
      </c>
      <c r="K2849" s="30" t="s">
        <v>837</v>
      </c>
      <c r="L2849" s="30" t="s">
        <v>16111</v>
      </c>
      <c r="M2849" s="30" t="s">
        <v>255</v>
      </c>
      <c r="N2849" s="30" t="s">
        <v>99</v>
      </c>
      <c r="O2849" s="30" t="s">
        <v>64</v>
      </c>
      <c r="P2849" s="72" t="s">
        <v>6552</v>
      </c>
      <c r="Q2849" s="72" t="s">
        <v>4210</v>
      </c>
      <c r="R2849" s="72" t="s">
        <v>4210</v>
      </c>
      <c r="S2849" s="30">
        <v>0</v>
      </c>
      <c r="T2849" s="232">
        <v>0</v>
      </c>
      <c r="U2849" s="30">
        <v>0</v>
      </c>
      <c r="V2849" s="232">
        <v>0</v>
      </c>
      <c r="W2849" s="30">
        <v>0</v>
      </c>
      <c r="X2849" s="30">
        <v>0</v>
      </c>
      <c r="Y2849" s="30">
        <v>0</v>
      </c>
      <c r="Z2849" s="232">
        <v>0</v>
      </c>
      <c r="AA2849" s="30">
        <v>0</v>
      </c>
      <c r="AB2849" s="30">
        <v>0</v>
      </c>
      <c r="AC2849" s="30">
        <v>0</v>
      </c>
      <c r="AD2849" s="30">
        <v>0</v>
      </c>
      <c r="AE2849" s="72" t="s">
        <v>92</v>
      </c>
      <c r="AF2849" s="72"/>
      <c r="AG2849" s="72" t="s">
        <v>367</v>
      </c>
      <c r="AH2849" s="72">
        <v>43529</v>
      </c>
      <c r="AI2849" s="30">
        <v>0</v>
      </c>
      <c r="AJ2849" s="72" t="s">
        <v>16112</v>
      </c>
      <c r="AK2849" s="72" t="s">
        <v>15907</v>
      </c>
      <c r="AL2849" s="70">
        <v>43535</v>
      </c>
      <c r="AM2849" s="70"/>
      <c r="AN2849" s="70"/>
      <c r="AO2849" s="70"/>
      <c r="AP2849" s="73" t="e">
        <f>MID(VLOOKUP(K2849,#REF!,2,FALSE),1,2)</f>
        <v>#REF!</v>
      </c>
      <c r="AQ2849" s="72">
        <f>DATE(2019,2,16)</f>
        <v>43512</v>
      </c>
      <c r="AR2849" s="82">
        <f t="shared" si="241"/>
        <v>16</v>
      </c>
      <c r="AS2849" s="83">
        <f t="shared" si="242"/>
        <v>2</v>
      </c>
      <c r="AT2849" s="84">
        <f t="shared" si="243"/>
        <v>2019</v>
      </c>
      <c r="AU2849" s="86"/>
      <c r="AV2849" s="86"/>
      <c r="AW2849" s="87"/>
      <c r="AX2849" s="86"/>
      <c r="AY2849" s="83"/>
      <c r="AZ2849" s="84"/>
      <c r="BA2849" s="86"/>
      <c r="BB2849" s="86"/>
      <c r="BD2849" s="68"/>
    </row>
    <row r="2850" spans="1:56" s="25" customFormat="1" ht="36.75" customHeight="1">
      <c r="A2850" s="30"/>
      <c r="B2850" s="30" t="s">
        <v>55</v>
      </c>
      <c r="C2850" s="69" t="str">
        <f t="shared" si="244"/>
        <v>Closed</v>
      </c>
      <c r="D2850" s="27" t="s">
        <v>16113</v>
      </c>
      <c r="E2850" s="29" t="s">
        <v>16114</v>
      </c>
      <c r="F2850" s="30" t="s">
        <v>835</v>
      </c>
      <c r="G2850" s="72">
        <f>DATE(2019,2,16)</f>
        <v>43512</v>
      </c>
      <c r="H2850" s="80">
        <v>1.3458333333333334</v>
      </c>
      <c r="I2850" s="30" t="s">
        <v>73</v>
      </c>
      <c r="J2850" s="72" t="s">
        <v>16115</v>
      </c>
      <c r="K2850" s="30" t="s">
        <v>837</v>
      </c>
      <c r="L2850" s="30" t="s">
        <v>7796</v>
      </c>
      <c r="M2850" s="30" t="s">
        <v>255</v>
      </c>
      <c r="N2850" s="30" t="s">
        <v>99</v>
      </c>
      <c r="O2850" s="30" t="s">
        <v>64</v>
      </c>
      <c r="P2850" s="72" t="s">
        <v>6552</v>
      </c>
      <c r="Q2850" s="72" t="s">
        <v>4210</v>
      </c>
      <c r="R2850" s="72" t="s">
        <v>4210</v>
      </c>
      <c r="S2850" s="30">
        <v>0</v>
      </c>
      <c r="T2850" s="232">
        <v>0</v>
      </c>
      <c r="U2850" s="30">
        <v>0</v>
      </c>
      <c r="V2850" s="232">
        <v>0</v>
      </c>
      <c r="W2850" s="30">
        <v>0</v>
      </c>
      <c r="X2850" s="30">
        <v>0</v>
      </c>
      <c r="Y2850" s="30">
        <v>0</v>
      </c>
      <c r="Z2850" s="232">
        <v>0</v>
      </c>
      <c r="AA2850" s="30">
        <v>0</v>
      </c>
      <c r="AB2850" s="30">
        <v>0</v>
      </c>
      <c r="AC2850" s="30">
        <v>0</v>
      </c>
      <c r="AD2850" s="30">
        <v>0</v>
      </c>
      <c r="AE2850" s="72" t="s">
        <v>92</v>
      </c>
      <c r="AF2850" s="72"/>
      <c r="AG2850" s="72" t="s">
        <v>589</v>
      </c>
      <c r="AH2850" s="72">
        <v>43514</v>
      </c>
      <c r="AI2850" s="30">
        <v>0</v>
      </c>
      <c r="AJ2850" s="72" t="s">
        <v>16116</v>
      </c>
      <c r="AK2850" s="72" t="s">
        <v>16117</v>
      </c>
      <c r="AL2850" s="70">
        <v>43612</v>
      </c>
      <c r="AM2850" s="70"/>
      <c r="AN2850" s="70">
        <v>45012</v>
      </c>
      <c r="AO2850" s="70">
        <v>43711</v>
      </c>
      <c r="AP2850" s="73" t="e">
        <f>MID(VLOOKUP(K2850,#REF!,2,FALSE),1,2)</f>
        <v>#REF!</v>
      </c>
      <c r="AQ2850" s="72">
        <f>DATE(2019,2,16)</f>
        <v>43512</v>
      </c>
      <c r="AR2850" s="82">
        <f t="shared" si="241"/>
        <v>16</v>
      </c>
      <c r="AS2850" s="84">
        <f t="shared" si="242"/>
        <v>2</v>
      </c>
      <c r="AT2850" s="104">
        <f t="shared" si="243"/>
        <v>2019</v>
      </c>
      <c r="AU2850" s="86"/>
      <c r="AV2850" s="87"/>
      <c r="AW2850" s="86"/>
      <c r="AX2850" s="82"/>
      <c r="AY2850" s="84"/>
      <c r="AZ2850" s="104"/>
      <c r="BA2850" s="86"/>
      <c r="BB2850" s="86"/>
      <c r="BD2850" s="68"/>
    </row>
    <row r="2851" spans="1:56" s="25" customFormat="1" ht="36.75" customHeight="1">
      <c r="A2851" s="30"/>
      <c r="B2851" s="30" t="s">
        <v>55</v>
      </c>
      <c r="C2851" s="69" t="str">
        <f t="shared" si="244"/>
        <v>Closed</v>
      </c>
      <c r="D2851" s="27" t="s">
        <v>16118</v>
      </c>
      <c r="E2851" s="29" t="s">
        <v>16119</v>
      </c>
      <c r="F2851" s="30" t="s">
        <v>624</v>
      </c>
      <c r="G2851" s="72">
        <f>DATE(2019,2,16)</f>
        <v>43512</v>
      </c>
      <c r="H2851" s="102">
        <v>1.7736111111111112</v>
      </c>
      <c r="I2851" s="30" t="s">
        <v>73</v>
      </c>
      <c r="J2851" s="72" t="s">
        <v>73</v>
      </c>
      <c r="K2851" s="30" t="s">
        <v>626</v>
      </c>
      <c r="L2851" s="30" t="s">
        <v>14618</v>
      </c>
      <c r="M2851" s="30" t="s">
        <v>63</v>
      </c>
      <c r="N2851" s="30" t="s">
        <v>142</v>
      </c>
      <c r="O2851" s="30" t="s">
        <v>77</v>
      </c>
      <c r="P2851" s="72" t="s">
        <v>78</v>
      </c>
      <c r="Q2851" s="72" t="s">
        <v>16120</v>
      </c>
      <c r="R2851" s="72" t="s">
        <v>629</v>
      </c>
      <c r="S2851" s="30">
        <v>0</v>
      </c>
      <c r="T2851" s="232">
        <v>0</v>
      </c>
      <c r="U2851" s="30">
        <v>0</v>
      </c>
      <c r="V2851" s="232">
        <v>0</v>
      </c>
      <c r="W2851" s="30">
        <v>0</v>
      </c>
      <c r="X2851" s="30">
        <v>0</v>
      </c>
      <c r="Y2851" s="30">
        <v>0</v>
      </c>
      <c r="Z2851" s="232">
        <v>0</v>
      </c>
      <c r="AA2851" s="30">
        <v>0</v>
      </c>
      <c r="AB2851" s="30">
        <v>0</v>
      </c>
      <c r="AC2851" s="30">
        <v>0</v>
      </c>
      <c r="AD2851" s="30">
        <v>0</v>
      </c>
      <c r="AE2851" s="72" t="s">
        <v>145</v>
      </c>
      <c r="AF2851" s="72"/>
      <c r="AG2851" s="72" t="s">
        <v>133</v>
      </c>
      <c r="AH2851" s="72">
        <v>43733</v>
      </c>
      <c r="AI2851" s="30">
        <v>0</v>
      </c>
      <c r="AJ2851" s="72" t="s">
        <v>16121</v>
      </c>
      <c r="AK2851" s="72" t="s">
        <v>68</v>
      </c>
      <c r="AL2851" s="70">
        <v>43993</v>
      </c>
      <c r="AM2851" s="70"/>
      <c r="AN2851" s="70"/>
      <c r="AO2851" s="70"/>
      <c r="AP2851" s="73" t="e">
        <f>MID(VLOOKUP(K2851,#REF!,2,FALSE),1,2)</f>
        <v>#REF!</v>
      </c>
      <c r="AQ2851" s="72">
        <f>DATE(2019,2,19)</f>
        <v>43515</v>
      </c>
      <c r="AR2851" s="82">
        <f t="shared" si="241"/>
        <v>19</v>
      </c>
      <c r="AS2851" s="83">
        <f t="shared" si="242"/>
        <v>2</v>
      </c>
      <c r="AT2851" s="84">
        <f t="shared" si="243"/>
        <v>2019</v>
      </c>
      <c r="AU2851" s="86"/>
      <c r="AV2851" s="86"/>
      <c r="AW2851" s="87"/>
      <c r="AX2851" s="86"/>
      <c r="AY2851" s="83"/>
      <c r="AZ2851" s="84"/>
      <c r="BA2851" s="86"/>
      <c r="BB2851" s="86"/>
      <c r="BD2851" s="68"/>
    </row>
    <row r="2852" spans="1:56" s="25" customFormat="1" ht="36.75" customHeight="1">
      <c r="A2852" s="30"/>
      <c r="B2852" s="30" t="s">
        <v>55</v>
      </c>
      <c r="C2852" s="69" t="str">
        <f t="shared" si="244"/>
        <v>Closed</v>
      </c>
      <c r="D2852" s="27" t="s">
        <v>16122</v>
      </c>
      <c r="E2852" s="29" t="s">
        <v>16123</v>
      </c>
      <c r="F2852" s="30" t="s">
        <v>423</v>
      </c>
      <c r="G2852" s="72">
        <f>DATE(2019,2,19)</f>
        <v>43515</v>
      </c>
      <c r="H2852" s="80">
        <v>1.3840277777777779</v>
      </c>
      <c r="I2852" s="30" t="s">
        <v>2078</v>
      </c>
      <c r="J2852" s="72" t="s">
        <v>16124</v>
      </c>
      <c r="K2852" s="30" t="s">
        <v>425</v>
      </c>
      <c r="L2852" s="30" t="s">
        <v>16125</v>
      </c>
      <c r="M2852" s="30" t="s">
        <v>63</v>
      </c>
      <c r="N2852" s="30" t="s">
        <v>99</v>
      </c>
      <c r="O2852" s="30" t="s">
        <v>64</v>
      </c>
      <c r="P2852" s="72" t="s">
        <v>165</v>
      </c>
      <c r="Q2852" s="72" t="s">
        <v>4551</v>
      </c>
      <c r="R2852" s="72" t="s">
        <v>3103</v>
      </c>
      <c r="S2852" s="30">
        <v>0</v>
      </c>
      <c r="T2852" s="232">
        <v>0</v>
      </c>
      <c r="U2852" s="30">
        <v>0</v>
      </c>
      <c r="V2852" s="232">
        <v>0</v>
      </c>
      <c r="W2852" s="30">
        <v>0</v>
      </c>
      <c r="X2852" s="30">
        <v>0</v>
      </c>
      <c r="Y2852" s="30">
        <v>0</v>
      </c>
      <c r="Z2852" s="232">
        <v>0</v>
      </c>
      <c r="AA2852" s="30">
        <v>0</v>
      </c>
      <c r="AB2852" s="30">
        <v>0</v>
      </c>
      <c r="AC2852" s="30">
        <v>0</v>
      </c>
      <c r="AD2852" s="30">
        <v>0</v>
      </c>
      <c r="AE2852" s="72" t="s">
        <v>92</v>
      </c>
      <c r="AF2852" s="72"/>
      <c r="AG2852" s="72" t="s">
        <v>133</v>
      </c>
      <c r="AH2852" s="72">
        <v>43515</v>
      </c>
      <c r="AI2852" s="30">
        <v>0</v>
      </c>
      <c r="AJ2852" s="72" t="s">
        <v>16126</v>
      </c>
      <c r="AK2852" s="72" t="s">
        <v>16127</v>
      </c>
      <c r="AL2852" s="70">
        <v>43516</v>
      </c>
      <c r="AM2852" s="70"/>
      <c r="AN2852" s="70"/>
      <c r="AO2852" s="70"/>
      <c r="AP2852" s="73" t="e">
        <f>MID(VLOOKUP(K2852,#REF!,2,FALSE),1,2)</f>
        <v>#REF!</v>
      </c>
      <c r="AQ2852" s="72">
        <f>DATE(2019,2,22)</f>
        <v>43518</v>
      </c>
      <c r="AR2852" s="82">
        <f t="shared" si="241"/>
        <v>22</v>
      </c>
      <c r="AS2852" s="83">
        <f t="shared" si="242"/>
        <v>2</v>
      </c>
      <c r="AT2852" s="84">
        <f t="shared" si="243"/>
        <v>2019</v>
      </c>
      <c r="AU2852" s="86"/>
      <c r="AV2852" s="86"/>
      <c r="AW2852" s="87"/>
      <c r="AX2852" s="86"/>
      <c r="AY2852" s="83"/>
      <c r="AZ2852" s="84"/>
      <c r="BA2852" s="86"/>
      <c r="BB2852" s="86"/>
      <c r="BD2852" s="68"/>
    </row>
    <row r="2853" spans="1:56" s="25" customFormat="1" ht="36.75" customHeight="1">
      <c r="A2853" s="30"/>
      <c r="B2853" s="30" t="s">
        <v>55</v>
      </c>
      <c r="C2853" s="69" t="str">
        <f t="shared" si="244"/>
        <v>Closed</v>
      </c>
      <c r="D2853" s="27" t="s">
        <v>16128</v>
      </c>
      <c r="E2853" s="29" t="s">
        <v>16129</v>
      </c>
      <c r="F2853" s="30" t="s">
        <v>423</v>
      </c>
      <c r="G2853" s="72">
        <f>DATE(2019,2,22)</f>
        <v>43518</v>
      </c>
      <c r="H2853" s="80">
        <v>1.8055555555555554</v>
      </c>
      <c r="I2853" s="30" t="s">
        <v>104</v>
      </c>
      <c r="J2853" s="72" t="s">
        <v>16130</v>
      </c>
      <c r="K2853" s="30" t="s">
        <v>425</v>
      </c>
      <c r="L2853" s="30" t="s">
        <v>16131</v>
      </c>
      <c r="M2853" s="30" t="s">
        <v>63</v>
      </c>
      <c r="N2853" s="30" t="s">
        <v>142</v>
      </c>
      <c r="O2853" s="30" t="s">
        <v>77</v>
      </c>
      <c r="P2853" s="72" t="s">
        <v>5324</v>
      </c>
      <c r="Q2853" s="72" t="s">
        <v>4551</v>
      </c>
      <c r="R2853" s="72" t="s">
        <v>3103</v>
      </c>
      <c r="S2853" s="30">
        <v>0</v>
      </c>
      <c r="T2853" s="232">
        <v>0</v>
      </c>
      <c r="U2853" s="30">
        <v>0</v>
      </c>
      <c r="V2853" s="232">
        <v>0</v>
      </c>
      <c r="W2853" s="30">
        <v>0</v>
      </c>
      <c r="X2853" s="30">
        <v>0</v>
      </c>
      <c r="Y2853" s="30">
        <v>0</v>
      </c>
      <c r="Z2853" s="232">
        <v>0</v>
      </c>
      <c r="AA2853" s="30">
        <v>0</v>
      </c>
      <c r="AB2853" s="30">
        <v>0</v>
      </c>
      <c r="AC2853" s="30">
        <v>0</v>
      </c>
      <c r="AD2853" s="30">
        <v>0</v>
      </c>
      <c r="AE2853" s="72" t="s">
        <v>92</v>
      </c>
      <c r="AF2853" s="72"/>
      <c r="AG2853" s="72" t="s">
        <v>874</v>
      </c>
      <c r="AH2853" s="72">
        <v>43518</v>
      </c>
      <c r="AI2853" s="30">
        <v>0</v>
      </c>
      <c r="AJ2853" s="72" t="s">
        <v>16132</v>
      </c>
      <c r="AK2853" s="72" t="s">
        <v>16133</v>
      </c>
      <c r="AL2853" s="70">
        <v>43522</v>
      </c>
      <c r="AM2853" s="70"/>
      <c r="AN2853" s="70"/>
      <c r="AO2853" s="70"/>
      <c r="AP2853" s="73" t="e">
        <f>MID(VLOOKUP(K2853,#REF!,2,FALSE),1,2)</f>
        <v>#REF!</v>
      </c>
      <c r="AQ2853" s="72">
        <f>DATE(2019,2,23)</f>
        <v>43519</v>
      </c>
      <c r="AR2853" s="82">
        <f t="shared" si="241"/>
        <v>23</v>
      </c>
      <c r="AS2853" s="83">
        <f t="shared" si="242"/>
        <v>2</v>
      </c>
      <c r="AT2853" s="84">
        <f t="shared" si="243"/>
        <v>2019</v>
      </c>
      <c r="AU2853" s="86"/>
      <c r="AV2853" s="86"/>
      <c r="AW2853" s="87"/>
      <c r="AX2853" s="86"/>
      <c r="AY2853" s="83"/>
      <c r="AZ2853" s="84"/>
      <c r="BA2853" s="86"/>
      <c r="BB2853" s="86"/>
      <c r="BD2853" s="68"/>
    </row>
    <row r="2854" spans="1:56" s="25" customFormat="1" ht="36.75" customHeight="1">
      <c r="A2854" s="30"/>
      <c r="B2854" s="30" t="s">
        <v>55</v>
      </c>
      <c r="C2854" s="69" t="str">
        <f t="shared" si="244"/>
        <v>Closed</v>
      </c>
      <c r="D2854" s="27" t="s">
        <v>16134</v>
      </c>
      <c r="E2854" s="29" t="s">
        <v>16135</v>
      </c>
      <c r="F2854" s="30" t="s">
        <v>423</v>
      </c>
      <c r="G2854" s="72">
        <f>DATE(2019,2,23)</f>
        <v>43519</v>
      </c>
      <c r="H2854" s="80">
        <v>1.2375</v>
      </c>
      <c r="I2854" s="30" t="s">
        <v>198</v>
      </c>
      <c r="J2854" s="72" t="s">
        <v>16136</v>
      </c>
      <c r="K2854" s="30" t="s">
        <v>425</v>
      </c>
      <c r="L2854" s="30" t="s">
        <v>15624</v>
      </c>
      <c r="M2854" s="30" t="s">
        <v>63</v>
      </c>
      <c r="N2854" s="30" t="s">
        <v>142</v>
      </c>
      <c r="O2854" s="30" t="s">
        <v>77</v>
      </c>
      <c r="P2854" s="72" t="s">
        <v>91</v>
      </c>
      <c r="Q2854" s="72" t="s">
        <v>4551</v>
      </c>
      <c r="R2854" s="72" t="s">
        <v>3103</v>
      </c>
      <c r="S2854" s="30">
        <v>0</v>
      </c>
      <c r="T2854" s="232">
        <v>0</v>
      </c>
      <c r="U2854" s="30">
        <v>0</v>
      </c>
      <c r="V2854" s="232">
        <v>0</v>
      </c>
      <c r="W2854" s="30">
        <v>0</v>
      </c>
      <c r="X2854" s="30">
        <v>0</v>
      </c>
      <c r="Y2854" s="30">
        <v>0</v>
      </c>
      <c r="Z2854" s="232">
        <v>0</v>
      </c>
      <c r="AA2854" s="30">
        <v>0</v>
      </c>
      <c r="AB2854" s="30">
        <v>0</v>
      </c>
      <c r="AC2854" s="30">
        <v>0</v>
      </c>
      <c r="AD2854" s="30">
        <v>0</v>
      </c>
      <c r="AE2854" s="72" t="s">
        <v>394</v>
      </c>
      <c r="AF2854" s="72"/>
      <c r="AG2854" s="72" t="s">
        <v>16137</v>
      </c>
      <c r="AH2854" s="72">
        <v>43519</v>
      </c>
      <c r="AI2854" s="30">
        <v>1</v>
      </c>
      <c r="AJ2854" s="72" t="s">
        <v>16138</v>
      </c>
      <c r="AK2854" s="72" t="s">
        <v>16139</v>
      </c>
      <c r="AL2854" s="70">
        <v>43522</v>
      </c>
      <c r="AM2854" s="70"/>
      <c r="AN2854" s="70"/>
      <c r="AO2854" s="70"/>
      <c r="AP2854" s="73" t="e">
        <f>MID(VLOOKUP(K2854,#REF!,2,FALSE),1,2)</f>
        <v>#REF!</v>
      </c>
      <c r="AQ2854" s="72">
        <f>DATE(2019,2,24)</f>
        <v>43520</v>
      </c>
      <c r="AR2854" s="82">
        <f t="shared" si="241"/>
        <v>24</v>
      </c>
      <c r="AS2854" s="83">
        <f t="shared" si="242"/>
        <v>2</v>
      </c>
      <c r="AT2854" s="84">
        <f t="shared" si="243"/>
        <v>2019</v>
      </c>
      <c r="AU2854" s="86"/>
      <c r="AV2854" s="86"/>
      <c r="AW2854" s="87"/>
      <c r="AX2854" s="86"/>
      <c r="AY2854" s="83"/>
      <c r="AZ2854" s="84"/>
      <c r="BA2854" s="86"/>
      <c r="BB2854" s="86"/>
      <c r="BD2854" s="68"/>
    </row>
    <row r="2855" spans="1:56" s="25" customFormat="1" ht="36.75" customHeight="1">
      <c r="A2855" s="30"/>
      <c r="B2855" s="30" t="s">
        <v>55</v>
      </c>
      <c r="C2855" s="69" t="str">
        <f t="shared" si="244"/>
        <v>Closed</v>
      </c>
      <c r="D2855" s="27" t="s">
        <v>16140</v>
      </c>
      <c r="E2855" s="29" t="s">
        <v>16141</v>
      </c>
      <c r="F2855" s="30" t="s">
        <v>124</v>
      </c>
      <c r="G2855" s="72">
        <f>DATE(2019,2,24)</f>
        <v>43520</v>
      </c>
      <c r="H2855" s="80">
        <v>1.7083333333333335</v>
      </c>
      <c r="I2855" s="30" t="s">
        <v>10375</v>
      </c>
      <c r="J2855" s="72" t="s">
        <v>16142</v>
      </c>
      <c r="K2855" s="30" t="s">
        <v>127</v>
      </c>
      <c r="L2855" s="30" t="s">
        <v>16143</v>
      </c>
      <c r="M2855" s="30" t="s">
        <v>63</v>
      </c>
      <c r="N2855" s="30" t="s">
        <v>89</v>
      </c>
      <c r="O2855" s="30" t="s">
        <v>90</v>
      </c>
      <c r="P2855" s="72" t="s">
        <v>86</v>
      </c>
      <c r="Q2855" s="72" t="s">
        <v>229</v>
      </c>
      <c r="R2855" s="72" t="s">
        <v>167</v>
      </c>
      <c r="S2855" s="30">
        <v>0</v>
      </c>
      <c r="T2855" s="232">
        <v>0</v>
      </c>
      <c r="U2855" s="30">
        <v>0</v>
      </c>
      <c r="V2855" s="232">
        <v>1</v>
      </c>
      <c r="W2855" s="30">
        <v>0</v>
      </c>
      <c r="X2855" s="30">
        <v>1</v>
      </c>
      <c r="Y2855" s="30">
        <v>0</v>
      </c>
      <c r="Z2855" s="232">
        <v>0</v>
      </c>
      <c r="AA2855" s="30">
        <v>0</v>
      </c>
      <c r="AB2855" s="30">
        <v>2</v>
      </c>
      <c r="AC2855" s="30">
        <v>0</v>
      </c>
      <c r="AD2855" s="30">
        <v>2</v>
      </c>
      <c r="AE2855" s="72" t="s">
        <v>92</v>
      </c>
      <c r="AF2855" s="72"/>
      <c r="AG2855" s="72" t="s">
        <v>82</v>
      </c>
      <c r="AH2855" s="72">
        <v>43528</v>
      </c>
      <c r="AI2855" s="30">
        <v>2</v>
      </c>
      <c r="AJ2855" s="72" t="s">
        <v>16144</v>
      </c>
      <c r="AK2855" s="72" t="s">
        <v>68</v>
      </c>
      <c r="AL2855" s="70">
        <v>43539</v>
      </c>
      <c r="AM2855" s="70"/>
      <c r="AN2855" s="70"/>
      <c r="AO2855" s="70"/>
      <c r="AP2855" s="73" t="e">
        <f>MID(VLOOKUP(K2855,#REF!,2,FALSE),1,2)</f>
        <v>#REF!</v>
      </c>
      <c r="AQ2855" s="72">
        <f>DATE(2019,2,25)</f>
        <v>43521</v>
      </c>
      <c r="AR2855" s="82">
        <f t="shared" si="241"/>
        <v>25</v>
      </c>
      <c r="AS2855" s="83">
        <f t="shared" si="242"/>
        <v>2</v>
      </c>
      <c r="AT2855" s="84">
        <f t="shared" si="243"/>
        <v>2019</v>
      </c>
      <c r="AU2855" s="86"/>
      <c r="AV2855" s="86"/>
      <c r="AW2855" s="87"/>
      <c r="AX2855" s="86"/>
      <c r="AY2855" s="83"/>
      <c r="AZ2855" s="84"/>
      <c r="BA2855" s="86"/>
      <c r="BB2855" s="86"/>
      <c r="BD2855" s="68"/>
    </row>
    <row r="2856" spans="1:56" s="25" customFormat="1" ht="36.75" customHeight="1">
      <c r="A2856" s="30"/>
      <c r="B2856" s="30" t="s">
        <v>55</v>
      </c>
      <c r="C2856" s="69" t="str">
        <f t="shared" si="244"/>
        <v>Closed</v>
      </c>
      <c r="D2856" s="27" t="s">
        <v>16145</v>
      </c>
      <c r="E2856" s="29" t="s">
        <v>16146</v>
      </c>
      <c r="F2856" s="30" t="s">
        <v>582</v>
      </c>
      <c r="G2856" s="72">
        <f>DATE(2019,2,25)</f>
        <v>43521</v>
      </c>
      <c r="H2856" s="80">
        <v>1.3125</v>
      </c>
      <c r="I2856" s="30" t="s">
        <v>73</v>
      </c>
      <c r="J2856" s="72" t="s">
        <v>16147</v>
      </c>
      <c r="K2856" s="30" t="s">
        <v>584</v>
      </c>
      <c r="L2856" s="30" t="s">
        <v>16148</v>
      </c>
      <c r="M2856" s="30" t="s">
        <v>63</v>
      </c>
      <c r="N2856" s="30" t="s">
        <v>142</v>
      </c>
      <c r="O2856" s="30" t="s">
        <v>77</v>
      </c>
      <c r="P2856" s="72" t="s">
        <v>78</v>
      </c>
      <c r="Q2856" s="72" t="s">
        <v>16149</v>
      </c>
      <c r="R2856" s="72" t="s">
        <v>587</v>
      </c>
      <c r="S2856" s="30">
        <v>0</v>
      </c>
      <c r="T2856" s="232">
        <v>0</v>
      </c>
      <c r="U2856" s="30">
        <v>0</v>
      </c>
      <c r="V2856" s="232">
        <v>0</v>
      </c>
      <c r="W2856" s="30">
        <v>0</v>
      </c>
      <c r="X2856" s="30">
        <v>0</v>
      </c>
      <c r="Y2856" s="30">
        <v>0</v>
      </c>
      <c r="Z2856" s="232">
        <v>0</v>
      </c>
      <c r="AA2856" s="30">
        <v>0</v>
      </c>
      <c r="AB2856" s="30">
        <v>0</v>
      </c>
      <c r="AC2856" s="30">
        <v>0</v>
      </c>
      <c r="AD2856" s="30">
        <v>0</v>
      </c>
      <c r="AE2856" s="72" t="s">
        <v>394</v>
      </c>
      <c r="AF2856" s="72"/>
      <c r="AG2856" s="72" t="s">
        <v>82</v>
      </c>
      <c r="AH2856" s="72">
        <v>43525</v>
      </c>
      <c r="AI2856" s="30">
        <v>0</v>
      </c>
      <c r="AJ2856" s="72" t="s">
        <v>16150</v>
      </c>
      <c r="AK2856" s="72" t="s">
        <v>1233</v>
      </c>
      <c r="AL2856" s="70">
        <v>43525</v>
      </c>
      <c r="AM2856" s="70"/>
      <c r="AN2856" s="70"/>
      <c r="AO2856" s="70"/>
      <c r="AP2856" s="73" t="e">
        <f>MID(VLOOKUP(K2856,#REF!,2,FALSE),1,2)</f>
        <v>#REF!</v>
      </c>
      <c r="AQ2856" s="72">
        <f>DATE(2019,2,26)</f>
        <v>43522</v>
      </c>
      <c r="AR2856" s="82">
        <f t="shared" si="241"/>
        <v>26</v>
      </c>
      <c r="AS2856" s="83">
        <f t="shared" si="242"/>
        <v>2</v>
      </c>
      <c r="AT2856" s="84">
        <f t="shared" si="243"/>
        <v>2019</v>
      </c>
      <c r="AU2856" s="86"/>
      <c r="AV2856" s="86"/>
      <c r="AW2856" s="87"/>
      <c r="AX2856" s="86"/>
      <c r="AY2856" s="83"/>
      <c r="AZ2856" s="84"/>
      <c r="BA2856" s="86"/>
      <c r="BB2856" s="86"/>
      <c r="BD2856" s="68"/>
    </row>
    <row r="2857" spans="1:56" s="25" customFormat="1" ht="36.75" customHeight="1">
      <c r="A2857" s="30"/>
      <c r="B2857" s="30" t="s">
        <v>55</v>
      </c>
      <c r="C2857" s="69" t="str">
        <f t="shared" si="244"/>
        <v>Closed</v>
      </c>
      <c r="D2857" s="27" t="s">
        <v>16151</v>
      </c>
      <c r="E2857" s="29" t="s">
        <v>16152</v>
      </c>
      <c r="F2857" s="30" t="s">
        <v>423</v>
      </c>
      <c r="G2857" s="72">
        <f>DATE(2019,2,26)</f>
        <v>43522</v>
      </c>
      <c r="H2857" s="80">
        <v>1.5090277777777779</v>
      </c>
      <c r="I2857" s="30" t="s">
        <v>198</v>
      </c>
      <c r="J2857" s="72" t="s">
        <v>16153</v>
      </c>
      <c r="K2857" s="30" t="s">
        <v>425</v>
      </c>
      <c r="L2857" s="30" t="s">
        <v>16154</v>
      </c>
      <c r="M2857" s="30" t="s">
        <v>63</v>
      </c>
      <c r="N2857" s="30" t="s">
        <v>99</v>
      </c>
      <c r="O2857" s="30" t="s">
        <v>77</v>
      </c>
      <c r="P2857" s="72" t="s">
        <v>1912</v>
      </c>
      <c r="Q2857" s="72" t="s">
        <v>4551</v>
      </c>
      <c r="R2857" s="72" t="s">
        <v>3103</v>
      </c>
      <c r="S2857" s="30">
        <v>0</v>
      </c>
      <c r="T2857" s="232">
        <v>0</v>
      </c>
      <c r="U2857" s="30">
        <v>0</v>
      </c>
      <c r="V2857" s="232">
        <v>0</v>
      </c>
      <c r="W2857" s="30">
        <v>0</v>
      </c>
      <c r="X2857" s="30">
        <v>0</v>
      </c>
      <c r="Y2857" s="30">
        <v>0</v>
      </c>
      <c r="Z2857" s="232">
        <v>0</v>
      </c>
      <c r="AA2857" s="30">
        <v>0</v>
      </c>
      <c r="AB2857" s="30">
        <v>0</v>
      </c>
      <c r="AC2857" s="30">
        <v>0</v>
      </c>
      <c r="AD2857" s="30">
        <v>0</v>
      </c>
      <c r="AE2857" s="72" t="s">
        <v>92</v>
      </c>
      <c r="AF2857" s="72"/>
      <c r="AG2857" s="72" t="s">
        <v>352</v>
      </c>
      <c r="AH2857" s="72">
        <v>43522</v>
      </c>
      <c r="AI2857" s="30">
        <v>0</v>
      </c>
      <c r="AJ2857" s="72" t="s">
        <v>16155</v>
      </c>
      <c r="AK2857" s="72" t="s">
        <v>16156</v>
      </c>
      <c r="AL2857" s="70">
        <v>43525</v>
      </c>
      <c r="AM2857" s="70"/>
      <c r="AN2857" s="70"/>
      <c r="AO2857" s="70"/>
      <c r="AP2857" s="73" t="e">
        <f>MID(VLOOKUP(K2857,#REF!,2,FALSE),1,2)</f>
        <v>#REF!</v>
      </c>
      <c r="AQ2857" s="72">
        <f>DATE(2019,2,27)</f>
        <v>43523</v>
      </c>
      <c r="AR2857" s="82">
        <f t="shared" si="241"/>
        <v>27</v>
      </c>
      <c r="AS2857" s="83">
        <f t="shared" si="242"/>
        <v>2</v>
      </c>
      <c r="AT2857" s="84">
        <f t="shared" si="243"/>
        <v>2019</v>
      </c>
      <c r="AU2857" s="86"/>
      <c r="AV2857" s="86"/>
      <c r="AW2857" s="87"/>
      <c r="AX2857" s="86"/>
      <c r="AY2857" s="83"/>
      <c r="AZ2857" s="84"/>
      <c r="BA2857" s="86"/>
      <c r="BB2857" s="86"/>
      <c r="BD2857" s="68"/>
    </row>
    <row r="2858" spans="1:56" s="25" customFormat="1" ht="36.75" customHeight="1">
      <c r="A2858" s="30"/>
      <c r="B2858" s="30" t="s">
        <v>55</v>
      </c>
      <c r="C2858" s="69" t="str">
        <f t="shared" si="244"/>
        <v>Closed</v>
      </c>
      <c r="D2858" s="27" t="s">
        <v>16157</v>
      </c>
      <c r="E2858" s="29" t="s">
        <v>16158</v>
      </c>
      <c r="F2858" s="30" t="s">
        <v>423</v>
      </c>
      <c r="G2858" s="72">
        <f>DATE(2019,2,27)</f>
        <v>43523</v>
      </c>
      <c r="H2858" s="80">
        <v>1.3597222222222223</v>
      </c>
      <c r="I2858" s="30" t="s">
        <v>198</v>
      </c>
      <c r="J2858" s="72" t="s">
        <v>16159</v>
      </c>
      <c r="K2858" s="30" t="s">
        <v>425</v>
      </c>
      <c r="L2858" s="30" t="s">
        <v>13066</v>
      </c>
      <c r="M2858" s="30" t="s">
        <v>63</v>
      </c>
      <c r="N2858" s="30" t="s">
        <v>142</v>
      </c>
      <c r="O2858" s="30" t="s">
        <v>77</v>
      </c>
      <c r="P2858" s="72" t="s">
        <v>12362</v>
      </c>
      <c r="Q2858" s="72" t="s">
        <v>16160</v>
      </c>
      <c r="R2858" s="72" t="s">
        <v>3103</v>
      </c>
      <c r="S2858" s="30">
        <v>0</v>
      </c>
      <c r="T2858" s="232">
        <v>0</v>
      </c>
      <c r="U2858" s="30">
        <v>0</v>
      </c>
      <c r="V2858" s="232">
        <v>0</v>
      </c>
      <c r="W2858" s="30">
        <v>0</v>
      </c>
      <c r="X2858" s="30">
        <v>0</v>
      </c>
      <c r="Y2858" s="30">
        <v>0</v>
      </c>
      <c r="Z2858" s="232">
        <v>0</v>
      </c>
      <c r="AA2858" s="30">
        <v>0</v>
      </c>
      <c r="AB2858" s="30">
        <v>0</v>
      </c>
      <c r="AC2858" s="30">
        <v>0</v>
      </c>
      <c r="AD2858" s="30">
        <v>0</v>
      </c>
      <c r="AE2858" s="72" t="s">
        <v>394</v>
      </c>
      <c r="AF2858" s="72"/>
      <c r="AG2858" s="72" t="s">
        <v>874</v>
      </c>
      <c r="AH2858" s="72">
        <v>43523</v>
      </c>
      <c r="AI2858" s="30">
        <v>0</v>
      </c>
      <c r="AJ2858" s="72" t="s">
        <v>16161</v>
      </c>
      <c r="AK2858" s="72" t="s">
        <v>16162</v>
      </c>
      <c r="AL2858" s="70">
        <v>43525</v>
      </c>
      <c r="AM2858" s="70"/>
      <c r="AN2858" s="70"/>
      <c r="AO2858" s="70"/>
      <c r="AP2858" s="73" t="e">
        <f>MID(VLOOKUP(K2858,#REF!,2,FALSE),1,2)</f>
        <v>#REF!</v>
      </c>
      <c r="AQ2858" s="72">
        <f>DATE(2019,3,1)</f>
        <v>43525</v>
      </c>
      <c r="AR2858" s="82">
        <f t="shared" si="241"/>
        <v>1</v>
      </c>
      <c r="AS2858" s="84">
        <f t="shared" si="242"/>
        <v>3</v>
      </c>
      <c r="AT2858" s="104">
        <f t="shared" si="243"/>
        <v>2019</v>
      </c>
      <c r="AU2858" s="86"/>
      <c r="AV2858" s="87"/>
      <c r="AW2858" s="86"/>
      <c r="AX2858" s="82"/>
      <c r="AY2858" s="84"/>
      <c r="AZ2858" s="104"/>
      <c r="BA2858" s="86"/>
      <c r="BB2858" s="86"/>
      <c r="BD2858" s="68"/>
    </row>
    <row r="2859" spans="1:56" s="25" customFormat="1" ht="36.75" customHeight="1">
      <c r="A2859" s="30"/>
      <c r="B2859" s="30" t="s">
        <v>55</v>
      </c>
      <c r="C2859" s="69" t="str">
        <f t="shared" si="244"/>
        <v>Closed</v>
      </c>
      <c r="D2859" s="27" t="s">
        <v>16163</v>
      </c>
      <c r="E2859" s="29" t="s">
        <v>16164</v>
      </c>
      <c r="F2859" s="30" t="s">
        <v>835</v>
      </c>
      <c r="G2859" s="72">
        <f>DATE(2019,3,1)</f>
        <v>43525</v>
      </c>
      <c r="H2859" s="80">
        <v>1.6173611111111112</v>
      </c>
      <c r="I2859" s="30" t="s">
        <v>104</v>
      </c>
      <c r="J2859" s="72" t="s">
        <v>16165</v>
      </c>
      <c r="K2859" s="30" t="s">
        <v>837</v>
      </c>
      <c r="L2859" s="30" t="s">
        <v>15241</v>
      </c>
      <c r="M2859" s="30" t="s">
        <v>63</v>
      </c>
      <c r="N2859" s="30" t="s">
        <v>142</v>
      </c>
      <c r="O2859" s="30" t="s">
        <v>77</v>
      </c>
      <c r="P2859" s="72" t="s">
        <v>6941</v>
      </c>
      <c r="Q2859" s="72" t="s">
        <v>839</v>
      </c>
      <c r="R2859" s="72" t="s">
        <v>840</v>
      </c>
      <c r="S2859" s="30">
        <v>0</v>
      </c>
      <c r="T2859" s="232">
        <v>0</v>
      </c>
      <c r="U2859" s="30">
        <v>0</v>
      </c>
      <c r="V2859" s="232">
        <v>0</v>
      </c>
      <c r="W2859" s="30">
        <v>0</v>
      </c>
      <c r="X2859" s="30">
        <v>0</v>
      </c>
      <c r="Y2859" s="30">
        <v>0</v>
      </c>
      <c r="Z2859" s="232">
        <v>0</v>
      </c>
      <c r="AA2859" s="30">
        <v>0</v>
      </c>
      <c r="AB2859" s="30">
        <v>0</v>
      </c>
      <c r="AC2859" s="30">
        <v>0</v>
      </c>
      <c r="AD2859" s="30">
        <v>0</v>
      </c>
      <c r="AE2859" s="72" t="s">
        <v>92</v>
      </c>
      <c r="AF2859" s="72"/>
      <c r="AG2859" s="72" t="s">
        <v>10511</v>
      </c>
      <c r="AH2859" s="72">
        <v>43769</v>
      </c>
      <c r="AI2859" s="30">
        <v>0</v>
      </c>
      <c r="AJ2859" s="72" t="s">
        <v>16166</v>
      </c>
      <c r="AK2859" s="72" t="s">
        <v>16167</v>
      </c>
      <c r="AL2859" s="70">
        <v>43776</v>
      </c>
      <c r="AM2859" s="70"/>
      <c r="AN2859" s="70">
        <v>45012</v>
      </c>
      <c r="AO2859" s="70">
        <v>44026</v>
      </c>
      <c r="AP2859" s="73" t="e">
        <f>MID(VLOOKUP(K2859,#REF!,2,FALSE),1,2)</f>
        <v>#REF!</v>
      </c>
      <c r="AQ2859" s="72">
        <f>DATE(2019,3,2)</f>
        <v>43526</v>
      </c>
      <c r="AR2859" s="82">
        <f t="shared" si="241"/>
        <v>2</v>
      </c>
      <c r="AS2859" s="83">
        <f t="shared" si="242"/>
        <v>3</v>
      </c>
      <c r="AT2859" s="84">
        <f t="shared" si="243"/>
        <v>2019</v>
      </c>
      <c r="AU2859" s="86"/>
      <c r="AV2859" s="86"/>
      <c r="AW2859" s="87"/>
      <c r="AX2859" s="86"/>
      <c r="AY2859" s="83"/>
      <c r="AZ2859" s="84"/>
      <c r="BA2859" s="86"/>
      <c r="BB2859" s="86"/>
      <c r="BD2859" s="68"/>
    </row>
    <row r="2860" spans="1:56" s="25" customFormat="1" ht="36.75" customHeight="1">
      <c r="A2860" s="30"/>
      <c r="B2860" s="30" t="s">
        <v>55</v>
      </c>
      <c r="C2860" s="69" t="str">
        <f t="shared" si="244"/>
        <v>Closed</v>
      </c>
      <c r="D2860" s="27" t="s">
        <v>16168</v>
      </c>
      <c r="E2860" s="29" t="s">
        <v>16169</v>
      </c>
      <c r="F2860" s="30" t="s">
        <v>423</v>
      </c>
      <c r="G2860" s="72">
        <f>DATE(2019,3,2)</f>
        <v>43526</v>
      </c>
      <c r="H2860" s="80">
        <v>1.3756944444444446</v>
      </c>
      <c r="I2860" s="30" t="s">
        <v>104</v>
      </c>
      <c r="J2860" s="72" t="s">
        <v>16170</v>
      </c>
      <c r="K2860" s="30" t="s">
        <v>425</v>
      </c>
      <c r="L2860" s="30" t="s">
        <v>16171</v>
      </c>
      <c r="M2860" s="30" t="s">
        <v>63</v>
      </c>
      <c r="N2860" s="30" t="s">
        <v>89</v>
      </c>
      <c r="O2860" s="30" t="s">
        <v>77</v>
      </c>
      <c r="P2860" s="72" t="s">
        <v>16172</v>
      </c>
      <c r="Q2860" s="72" t="s">
        <v>16173</v>
      </c>
      <c r="R2860" s="72" t="s">
        <v>3103</v>
      </c>
      <c r="S2860" s="30">
        <v>0</v>
      </c>
      <c r="T2860" s="232">
        <v>0</v>
      </c>
      <c r="U2860" s="30">
        <v>0</v>
      </c>
      <c r="V2860" s="232">
        <v>0</v>
      </c>
      <c r="W2860" s="30">
        <v>0</v>
      </c>
      <c r="X2860" s="30">
        <v>0</v>
      </c>
      <c r="Y2860" s="30">
        <v>0</v>
      </c>
      <c r="Z2860" s="232">
        <v>0</v>
      </c>
      <c r="AA2860" s="30">
        <v>0</v>
      </c>
      <c r="AB2860" s="30">
        <v>0</v>
      </c>
      <c r="AC2860" s="30">
        <v>0</v>
      </c>
      <c r="AD2860" s="30">
        <v>0</v>
      </c>
      <c r="AE2860" s="72" t="s">
        <v>92</v>
      </c>
      <c r="AF2860" s="72"/>
      <c r="AG2860" s="72" t="s">
        <v>874</v>
      </c>
      <c r="AH2860" s="72">
        <v>43499</v>
      </c>
      <c r="AI2860" s="30">
        <v>0</v>
      </c>
      <c r="AJ2860" s="72" t="s">
        <v>16174</v>
      </c>
      <c r="AK2860" s="72" t="s">
        <v>16175</v>
      </c>
      <c r="AL2860" s="70">
        <v>43529</v>
      </c>
      <c r="AM2860" s="70"/>
      <c r="AN2860" s="70"/>
      <c r="AO2860" s="70"/>
      <c r="AP2860" s="73" t="e">
        <f>MID(VLOOKUP(K2860,#REF!,2,FALSE),1,2)</f>
        <v>#REF!</v>
      </c>
      <c r="AQ2860" s="72">
        <f>DATE(2019,3,4)</f>
        <v>43528</v>
      </c>
      <c r="AR2860" s="82">
        <f t="shared" si="241"/>
        <v>4</v>
      </c>
      <c r="AS2860" s="83">
        <f t="shared" si="242"/>
        <v>3</v>
      </c>
      <c r="AT2860" s="84">
        <f t="shared" si="243"/>
        <v>2019</v>
      </c>
      <c r="AU2860" s="86"/>
      <c r="AV2860" s="86"/>
      <c r="AW2860" s="87"/>
      <c r="AX2860" s="86"/>
      <c r="AY2860" s="83"/>
      <c r="AZ2860" s="84"/>
      <c r="BA2860" s="86"/>
      <c r="BB2860" s="86"/>
      <c r="BD2860" s="68"/>
    </row>
    <row r="2861" spans="1:56" s="25" customFormat="1" ht="36.75" customHeight="1">
      <c r="A2861" s="30"/>
      <c r="B2861" s="30" t="s">
        <v>55</v>
      </c>
      <c r="C2861" s="69" t="str">
        <f t="shared" si="244"/>
        <v>Closed</v>
      </c>
      <c r="D2861" s="27" t="s">
        <v>16176</v>
      </c>
      <c r="E2861" s="29" t="s">
        <v>16177</v>
      </c>
      <c r="F2861" s="30" t="s">
        <v>423</v>
      </c>
      <c r="G2861" s="72">
        <f>DATE(2019,3,4)</f>
        <v>43528</v>
      </c>
      <c r="H2861" s="80">
        <v>1.5131944444444443</v>
      </c>
      <c r="I2861" s="30" t="s">
        <v>198</v>
      </c>
      <c r="J2861" s="72" t="s">
        <v>16178</v>
      </c>
      <c r="K2861" s="30" t="s">
        <v>425</v>
      </c>
      <c r="L2861" s="30" t="s">
        <v>16179</v>
      </c>
      <c r="M2861" s="30" t="s">
        <v>63</v>
      </c>
      <c r="N2861" s="30" t="s">
        <v>99</v>
      </c>
      <c r="O2861" s="30" t="s">
        <v>64</v>
      </c>
      <c r="P2861" s="72" t="s">
        <v>8025</v>
      </c>
      <c r="Q2861" s="72" t="s">
        <v>10689</v>
      </c>
      <c r="R2861" s="72" t="s">
        <v>3103</v>
      </c>
      <c r="S2861" s="30">
        <v>0</v>
      </c>
      <c r="T2861" s="232">
        <v>0</v>
      </c>
      <c r="U2861" s="30">
        <v>0</v>
      </c>
      <c r="V2861" s="232">
        <v>0</v>
      </c>
      <c r="W2861" s="30">
        <v>0</v>
      </c>
      <c r="X2861" s="30">
        <v>0</v>
      </c>
      <c r="Y2861" s="30">
        <v>0</v>
      </c>
      <c r="Z2861" s="232">
        <v>0</v>
      </c>
      <c r="AA2861" s="30">
        <v>0</v>
      </c>
      <c r="AB2861" s="30">
        <v>0</v>
      </c>
      <c r="AC2861" s="30">
        <v>0</v>
      </c>
      <c r="AD2861" s="30">
        <v>0</v>
      </c>
      <c r="AE2861" s="72" t="s">
        <v>92</v>
      </c>
      <c r="AF2861" s="72"/>
      <c r="AG2861" s="72" t="s">
        <v>133</v>
      </c>
      <c r="AH2861" s="72">
        <v>43558</v>
      </c>
      <c r="AI2861" s="30">
        <v>1</v>
      </c>
      <c r="AJ2861" s="72" t="s">
        <v>16180</v>
      </c>
      <c r="AK2861" s="72" t="s">
        <v>16181</v>
      </c>
      <c r="AL2861" s="70">
        <v>43529</v>
      </c>
      <c r="AM2861" s="70"/>
      <c r="AN2861" s="70"/>
      <c r="AO2861" s="70"/>
      <c r="AP2861" s="73" t="e">
        <f>MID(VLOOKUP(K2861,#REF!,2,FALSE),1,2)</f>
        <v>#REF!</v>
      </c>
      <c r="AQ2861" s="72">
        <f>DATE(2019,3,5)</f>
        <v>43529</v>
      </c>
      <c r="AR2861" s="82">
        <f t="shared" si="241"/>
        <v>5</v>
      </c>
      <c r="AS2861" s="83">
        <f t="shared" si="242"/>
        <v>3</v>
      </c>
      <c r="AT2861" s="84">
        <f t="shared" si="243"/>
        <v>2019</v>
      </c>
      <c r="AU2861" s="86"/>
      <c r="AV2861" s="86"/>
      <c r="AW2861" s="87"/>
      <c r="AX2861" s="86"/>
      <c r="AY2861" s="83"/>
      <c r="AZ2861" s="84"/>
      <c r="BA2861" s="86"/>
      <c r="BB2861" s="86"/>
      <c r="BD2861" s="68"/>
    </row>
    <row r="2862" spans="1:56" s="25" customFormat="1" ht="36.75" customHeight="1">
      <c r="A2862" s="30"/>
      <c r="B2862" s="30" t="s">
        <v>55</v>
      </c>
      <c r="C2862" s="69" t="str">
        <f t="shared" si="244"/>
        <v>Closed</v>
      </c>
      <c r="D2862" s="27" t="s">
        <v>16182</v>
      </c>
      <c r="E2862" s="29" t="s">
        <v>16183</v>
      </c>
      <c r="F2862" s="30" t="s">
        <v>423</v>
      </c>
      <c r="G2862" s="72">
        <f>DATE(2019,3,5)</f>
        <v>43529</v>
      </c>
      <c r="H2862" s="80">
        <v>1.3333333333333333</v>
      </c>
      <c r="I2862" s="30" t="s">
        <v>198</v>
      </c>
      <c r="J2862" s="72" t="s">
        <v>16184</v>
      </c>
      <c r="K2862" s="30" t="s">
        <v>425</v>
      </c>
      <c r="L2862" s="30" t="s">
        <v>15397</v>
      </c>
      <c r="M2862" s="30" t="s">
        <v>63</v>
      </c>
      <c r="N2862" s="30" t="s">
        <v>142</v>
      </c>
      <c r="O2862" s="30" t="s">
        <v>77</v>
      </c>
      <c r="P2862" s="72" t="s">
        <v>165</v>
      </c>
      <c r="Q2862" s="72" t="s">
        <v>4551</v>
      </c>
      <c r="R2862" s="72" t="s">
        <v>3103</v>
      </c>
      <c r="S2862" s="30">
        <v>0</v>
      </c>
      <c r="T2862" s="232">
        <v>0</v>
      </c>
      <c r="U2862" s="30">
        <v>0</v>
      </c>
      <c r="V2862" s="232">
        <v>0</v>
      </c>
      <c r="W2862" s="30">
        <v>0</v>
      </c>
      <c r="X2862" s="30">
        <v>0</v>
      </c>
      <c r="Y2862" s="30">
        <v>0</v>
      </c>
      <c r="Z2862" s="232">
        <v>0</v>
      </c>
      <c r="AA2862" s="30">
        <v>0</v>
      </c>
      <c r="AB2862" s="30">
        <v>0</v>
      </c>
      <c r="AC2862" s="30">
        <v>0</v>
      </c>
      <c r="AD2862" s="30">
        <v>0</v>
      </c>
      <c r="AE2862" s="72" t="s">
        <v>92</v>
      </c>
      <c r="AF2862" s="72"/>
      <c r="AG2862" s="72" t="s">
        <v>82</v>
      </c>
      <c r="AH2862" s="72">
        <v>43588</v>
      </c>
      <c r="AI2862" s="30">
        <v>0</v>
      </c>
      <c r="AJ2862" s="72" t="s">
        <v>16185</v>
      </c>
      <c r="AK2862" s="72" t="s">
        <v>16186</v>
      </c>
      <c r="AL2862" s="70">
        <v>43531</v>
      </c>
      <c r="AM2862" s="70"/>
      <c r="AN2862" s="70"/>
      <c r="AO2862" s="70"/>
      <c r="AP2862" s="73" t="e">
        <f>MID(VLOOKUP(K2862,#REF!,2,FALSE),1,2)</f>
        <v>#REF!</v>
      </c>
      <c r="AQ2862" s="72">
        <f>DATE(2019,3,7)</f>
        <v>43531</v>
      </c>
      <c r="AR2862" s="82">
        <f t="shared" si="241"/>
        <v>7</v>
      </c>
      <c r="AS2862" s="83">
        <f t="shared" si="242"/>
        <v>3</v>
      </c>
      <c r="AT2862" s="84">
        <f t="shared" si="243"/>
        <v>2019</v>
      </c>
      <c r="AU2862" s="86"/>
      <c r="AV2862" s="86"/>
      <c r="AW2862" s="87"/>
      <c r="AX2862" s="86"/>
      <c r="AY2862" s="83"/>
      <c r="AZ2862" s="84"/>
      <c r="BA2862" s="86"/>
      <c r="BB2862" s="86"/>
      <c r="BD2862" s="68"/>
    </row>
    <row r="2863" spans="1:56" s="25" customFormat="1" ht="36.75" customHeight="1">
      <c r="A2863" s="30"/>
      <c r="B2863" s="30" t="s">
        <v>55</v>
      </c>
      <c r="C2863" s="69" t="str">
        <f t="shared" si="244"/>
        <v>Closed</v>
      </c>
      <c r="D2863" s="27" t="s">
        <v>16187</v>
      </c>
      <c r="E2863" s="29" t="s">
        <v>16188</v>
      </c>
      <c r="F2863" s="30" t="s">
        <v>2336</v>
      </c>
      <c r="G2863" s="72">
        <f>DATE(2019,3,7)</f>
        <v>43531</v>
      </c>
      <c r="H2863" s="80">
        <v>1.3680555555555556</v>
      </c>
      <c r="I2863" s="30" t="s">
        <v>116</v>
      </c>
      <c r="J2863" s="72" t="s">
        <v>16189</v>
      </c>
      <c r="K2863" s="30" t="s">
        <v>2338</v>
      </c>
      <c r="L2863" s="30" t="s">
        <v>16190</v>
      </c>
      <c r="M2863" s="30" t="s">
        <v>63</v>
      </c>
      <c r="N2863" s="30" t="s">
        <v>142</v>
      </c>
      <c r="O2863" s="30" t="s">
        <v>64</v>
      </c>
      <c r="P2863" s="72" t="s">
        <v>301</v>
      </c>
      <c r="Q2863" s="72" t="s">
        <v>2338</v>
      </c>
      <c r="R2863" s="72" t="s">
        <v>2341</v>
      </c>
      <c r="S2863" s="30">
        <v>0</v>
      </c>
      <c r="T2863" s="232">
        <v>0</v>
      </c>
      <c r="U2863" s="30">
        <v>1</v>
      </c>
      <c r="V2863" s="232">
        <v>0</v>
      </c>
      <c r="W2863" s="30">
        <v>0</v>
      </c>
      <c r="X2863" s="30">
        <v>1</v>
      </c>
      <c r="Y2863" s="30">
        <v>0</v>
      </c>
      <c r="Z2863" s="232">
        <v>0</v>
      </c>
      <c r="AA2863" s="30">
        <v>0</v>
      </c>
      <c r="AB2863" s="30">
        <v>0</v>
      </c>
      <c r="AC2863" s="30">
        <v>0</v>
      </c>
      <c r="AD2863" s="30">
        <v>0</v>
      </c>
      <c r="AE2863" s="72" t="s">
        <v>92</v>
      </c>
      <c r="AF2863" s="72"/>
      <c r="AG2863" s="72" t="s">
        <v>82</v>
      </c>
      <c r="AH2863" s="72">
        <v>43654</v>
      </c>
      <c r="AI2863" s="30">
        <v>6</v>
      </c>
      <c r="AJ2863" s="72" t="s">
        <v>16191</v>
      </c>
      <c r="AK2863" s="72" t="s">
        <v>16192</v>
      </c>
      <c r="AL2863" s="70">
        <v>43654</v>
      </c>
      <c r="AM2863" s="70"/>
      <c r="AN2863" s="70"/>
      <c r="AO2863" s="70"/>
      <c r="AP2863" s="73" t="e">
        <f>MID(VLOOKUP(K2863,#REF!,2,FALSE),1,2)</f>
        <v>#REF!</v>
      </c>
      <c r="AQ2863" s="72">
        <f>DATE(2019,3,8)</f>
        <v>43532</v>
      </c>
      <c r="AR2863" s="82">
        <f t="shared" si="241"/>
        <v>8</v>
      </c>
      <c r="AS2863" s="83">
        <f t="shared" si="242"/>
        <v>3</v>
      </c>
      <c r="AT2863" s="84">
        <f t="shared" si="243"/>
        <v>2019</v>
      </c>
      <c r="AU2863" s="86"/>
      <c r="AV2863" s="86"/>
      <c r="AW2863" s="87"/>
      <c r="AX2863" s="86"/>
      <c r="AY2863" s="83"/>
      <c r="AZ2863" s="84"/>
      <c r="BA2863" s="86"/>
      <c r="BB2863" s="86"/>
      <c r="BD2863" s="68"/>
    </row>
    <row r="2864" spans="1:56" s="25" customFormat="1" ht="36.75" customHeight="1">
      <c r="A2864" s="30"/>
      <c r="B2864" s="30" t="s">
        <v>55</v>
      </c>
      <c r="C2864" s="69" t="str">
        <f t="shared" si="244"/>
        <v>Closed</v>
      </c>
      <c r="D2864" s="27" t="s">
        <v>16193</v>
      </c>
      <c r="E2864" s="29" t="s">
        <v>16194</v>
      </c>
      <c r="F2864" s="30" t="s">
        <v>1572</v>
      </c>
      <c r="G2864" s="72">
        <f>DATE(2019,3,8)</f>
        <v>43532</v>
      </c>
      <c r="H2864" s="80">
        <v>1.8743055555555554</v>
      </c>
      <c r="I2864" s="30" t="s">
        <v>73</v>
      </c>
      <c r="J2864" s="72" t="s">
        <v>16195</v>
      </c>
      <c r="K2864" s="30" t="s">
        <v>1574</v>
      </c>
      <c r="L2864" s="30" t="s">
        <v>16196</v>
      </c>
      <c r="M2864" s="30" t="s">
        <v>63</v>
      </c>
      <c r="N2864" s="30" t="s">
        <v>99</v>
      </c>
      <c r="O2864" s="30" t="s">
        <v>77</v>
      </c>
      <c r="P2864" s="72" t="s">
        <v>6941</v>
      </c>
      <c r="Q2864" s="72" t="s">
        <v>2413</v>
      </c>
      <c r="R2864" s="72" t="s">
        <v>6434</v>
      </c>
      <c r="S2864" s="30">
        <v>0</v>
      </c>
      <c r="T2864" s="232">
        <v>0</v>
      </c>
      <c r="U2864" s="30">
        <v>0</v>
      </c>
      <c r="V2864" s="232">
        <v>0</v>
      </c>
      <c r="W2864" s="30">
        <v>0</v>
      </c>
      <c r="X2864" s="30">
        <v>0</v>
      </c>
      <c r="Y2864" s="30">
        <v>0</v>
      </c>
      <c r="Z2864" s="232">
        <v>0</v>
      </c>
      <c r="AA2864" s="30">
        <v>0</v>
      </c>
      <c r="AB2864" s="30">
        <v>0</v>
      </c>
      <c r="AC2864" s="30">
        <v>0</v>
      </c>
      <c r="AD2864" s="30">
        <v>0</v>
      </c>
      <c r="AE2864" s="72" t="s">
        <v>92</v>
      </c>
      <c r="AF2864" s="72"/>
      <c r="AG2864" s="72" t="s">
        <v>133</v>
      </c>
      <c r="AH2864" s="72">
        <v>43535</v>
      </c>
      <c r="AI2864" s="30">
        <v>6</v>
      </c>
      <c r="AJ2864" s="72" t="s">
        <v>16197</v>
      </c>
      <c r="AK2864" s="72" t="s">
        <v>16198</v>
      </c>
      <c r="AL2864" s="70">
        <v>43535</v>
      </c>
      <c r="AM2864" s="70"/>
      <c r="AN2864" s="70"/>
      <c r="AO2864" s="70"/>
      <c r="AP2864" s="73" t="e">
        <f>MID(VLOOKUP(K2864,#REF!,2,FALSE),1,2)</f>
        <v>#REF!</v>
      </c>
      <c r="AQ2864" s="72">
        <f>DATE(2019,3,11)</f>
        <v>43535</v>
      </c>
      <c r="AR2864" s="82">
        <f t="shared" si="241"/>
        <v>11</v>
      </c>
      <c r="AS2864" s="83">
        <f t="shared" si="242"/>
        <v>3</v>
      </c>
      <c r="AT2864" s="84">
        <f t="shared" si="243"/>
        <v>2019</v>
      </c>
      <c r="AU2864" s="86"/>
      <c r="AV2864" s="86"/>
      <c r="AW2864" s="87"/>
      <c r="AX2864" s="86"/>
      <c r="AY2864" s="83"/>
      <c r="AZ2864" s="84"/>
      <c r="BA2864" s="86"/>
      <c r="BB2864" s="86"/>
      <c r="BD2864" s="68"/>
    </row>
    <row r="2865" spans="1:56" s="25" customFormat="1" ht="36.75" customHeight="1">
      <c r="A2865" s="30"/>
      <c r="B2865" s="30" t="s">
        <v>55</v>
      </c>
      <c r="C2865" s="69" t="str">
        <f t="shared" si="244"/>
        <v>Closed</v>
      </c>
      <c r="D2865" s="27" t="s">
        <v>16199</v>
      </c>
      <c r="E2865" s="29" t="s">
        <v>16200</v>
      </c>
      <c r="F2865" s="30" t="s">
        <v>423</v>
      </c>
      <c r="G2865" s="72">
        <f>DATE(2019,3,11)</f>
        <v>43535</v>
      </c>
      <c r="H2865" s="80">
        <v>1.3506944444444444</v>
      </c>
      <c r="I2865" s="30" t="s">
        <v>2078</v>
      </c>
      <c r="J2865" s="72" t="s">
        <v>16201</v>
      </c>
      <c r="K2865" s="30" t="s">
        <v>425</v>
      </c>
      <c r="L2865" s="30" t="s">
        <v>16202</v>
      </c>
      <c r="M2865" s="30" t="s">
        <v>63</v>
      </c>
      <c r="N2865" s="30" t="s">
        <v>99</v>
      </c>
      <c r="O2865" s="30" t="s">
        <v>77</v>
      </c>
      <c r="P2865" s="72" t="s">
        <v>2551</v>
      </c>
      <c r="Q2865" s="72" t="s">
        <v>2582</v>
      </c>
      <c r="R2865" s="72" t="s">
        <v>3103</v>
      </c>
      <c r="S2865" s="30">
        <v>0</v>
      </c>
      <c r="T2865" s="232">
        <v>0</v>
      </c>
      <c r="U2865" s="30">
        <v>0</v>
      </c>
      <c r="V2865" s="232">
        <v>0</v>
      </c>
      <c r="W2865" s="30">
        <v>0</v>
      </c>
      <c r="X2865" s="30">
        <v>0</v>
      </c>
      <c r="Y2865" s="30">
        <v>0</v>
      </c>
      <c r="Z2865" s="232">
        <v>0</v>
      </c>
      <c r="AA2865" s="30">
        <v>0</v>
      </c>
      <c r="AB2865" s="30">
        <v>0</v>
      </c>
      <c r="AC2865" s="30">
        <v>0</v>
      </c>
      <c r="AD2865" s="30">
        <v>0</v>
      </c>
      <c r="AE2865" s="72" t="s">
        <v>92</v>
      </c>
      <c r="AF2865" s="72"/>
      <c r="AG2865" s="72" t="s">
        <v>352</v>
      </c>
      <c r="AH2865" s="72">
        <v>43772</v>
      </c>
      <c r="AI2865" s="30">
        <v>0</v>
      </c>
      <c r="AJ2865" s="72" t="s">
        <v>16203</v>
      </c>
      <c r="AK2865" s="72" t="s">
        <v>16204</v>
      </c>
      <c r="AL2865" s="70">
        <v>43538</v>
      </c>
      <c r="AM2865" s="70"/>
      <c r="AN2865" s="70"/>
      <c r="AO2865" s="70"/>
      <c r="AP2865" s="73" t="e">
        <f>MID(VLOOKUP(K2865,#REF!,2,FALSE),1,2)</f>
        <v>#REF!</v>
      </c>
      <c r="AQ2865" s="72">
        <f>DATE(2019,3,12)</f>
        <v>43536</v>
      </c>
      <c r="AR2865" s="82">
        <f t="shared" si="241"/>
        <v>12</v>
      </c>
      <c r="AS2865" s="83">
        <f t="shared" si="242"/>
        <v>3</v>
      </c>
      <c r="AT2865" s="84">
        <f t="shared" si="243"/>
        <v>2019</v>
      </c>
      <c r="AU2865" s="86"/>
      <c r="AV2865" s="86"/>
      <c r="AW2865" s="87"/>
      <c r="AX2865" s="86"/>
      <c r="AY2865" s="83"/>
      <c r="AZ2865" s="84"/>
      <c r="BA2865" s="86"/>
      <c r="BB2865" s="86"/>
      <c r="BD2865" s="68"/>
    </row>
    <row r="2866" spans="1:56" s="25" customFormat="1" ht="36.75" customHeight="1">
      <c r="A2866" s="30"/>
      <c r="B2866" s="30" t="s">
        <v>55</v>
      </c>
      <c r="C2866" s="69" t="str">
        <f t="shared" si="244"/>
        <v>Closed</v>
      </c>
      <c r="D2866" s="27" t="s">
        <v>16205</v>
      </c>
      <c r="E2866" s="29" t="s">
        <v>16206</v>
      </c>
      <c r="F2866" s="30" t="s">
        <v>233</v>
      </c>
      <c r="G2866" s="72">
        <f>DATE(2019,3,12)</f>
        <v>43536</v>
      </c>
      <c r="H2866" s="80">
        <v>1.9548611111111112</v>
      </c>
      <c r="I2866" s="30" t="s">
        <v>278</v>
      </c>
      <c r="J2866" s="72" t="s">
        <v>16207</v>
      </c>
      <c r="K2866" s="30" t="s">
        <v>235</v>
      </c>
      <c r="L2866" s="30" t="s">
        <v>16208</v>
      </c>
      <c r="M2866" s="30" t="s">
        <v>255</v>
      </c>
      <c r="N2866" s="30" t="s">
        <v>142</v>
      </c>
      <c r="O2866" s="30" t="s">
        <v>77</v>
      </c>
      <c r="P2866" s="72" t="s">
        <v>6552</v>
      </c>
      <c r="Q2866" s="72" t="s">
        <v>316</v>
      </c>
      <c r="R2866" s="72" t="s">
        <v>235</v>
      </c>
      <c r="S2866" s="30">
        <v>0</v>
      </c>
      <c r="T2866" s="232">
        <v>0</v>
      </c>
      <c r="U2866" s="30">
        <v>0</v>
      </c>
      <c r="V2866" s="232">
        <v>0</v>
      </c>
      <c r="W2866" s="30">
        <v>0</v>
      </c>
      <c r="X2866" s="30">
        <v>0</v>
      </c>
      <c r="Y2866" s="30">
        <v>0</v>
      </c>
      <c r="Z2866" s="232">
        <v>0</v>
      </c>
      <c r="AA2866" s="30">
        <v>0</v>
      </c>
      <c r="AB2866" s="30">
        <v>0</v>
      </c>
      <c r="AC2866" s="30">
        <v>0</v>
      </c>
      <c r="AD2866" s="30">
        <v>0</v>
      </c>
      <c r="AE2866" s="72" t="s">
        <v>92</v>
      </c>
      <c r="AF2866" s="72"/>
      <c r="AG2866" s="72" t="s">
        <v>133</v>
      </c>
      <c r="AH2866" s="72">
        <v>43563</v>
      </c>
      <c r="AI2866" s="30">
        <v>4</v>
      </c>
      <c r="AJ2866" s="72" t="s">
        <v>16209</v>
      </c>
      <c r="AK2866" s="72" t="s">
        <v>16210</v>
      </c>
      <c r="AL2866" s="70">
        <v>43585</v>
      </c>
      <c r="AM2866" s="70"/>
      <c r="AN2866" s="70"/>
      <c r="AO2866" s="70"/>
      <c r="AP2866" s="73" t="e">
        <f>MID(VLOOKUP(K2866,#REF!,2,FALSE),1,2)</f>
        <v>#REF!</v>
      </c>
      <c r="AQ2866" s="72">
        <f>DATE(2019,3,13)</f>
        <v>43537</v>
      </c>
      <c r="AR2866" s="82">
        <f t="shared" si="241"/>
        <v>13</v>
      </c>
      <c r="AS2866" s="83">
        <f t="shared" si="242"/>
        <v>3</v>
      </c>
      <c r="AT2866" s="84">
        <f t="shared" si="243"/>
        <v>2019</v>
      </c>
      <c r="AU2866" s="86"/>
      <c r="AV2866" s="86"/>
      <c r="AW2866" s="87"/>
      <c r="AX2866" s="86"/>
      <c r="AY2866" s="83"/>
      <c r="AZ2866" s="84"/>
      <c r="BA2866" s="86"/>
      <c r="BB2866" s="86"/>
      <c r="BD2866" s="68"/>
    </row>
    <row r="2867" spans="1:56" s="25" customFormat="1" ht="36.75" customHeight="1">
      <c r="A2867" s="30"/>
      <c r="B2867" s="30" t="s">
        <v>55</v>
      </c>
      <c r="C2867" s="69" t="str">
        <f t="shared" si="244"/>
        <v>Closed</v>
      </c>
      <c r="D2867" s="27" t="s">
        <v>16211</v>
      </c>
      <c r="E2867" s="29" t="s">
        <v>16212</v>
      </c>
      <c r="F2867" s="30" t="s">
        <v>233</v>
      </c>
      <c r="G2867" s="72">
        <f>DATE(2019,3,13)</f>
        <v>43537</v>
      </c>
      <c r="H2867" s="80">
        <v>1.504861111111111</v>
      </c>
      <c r="I2867" s="30" t="s">
        <v>2418</v>
      </c>
      <c r="J2867" s="72" t="s">
        <v>16213</v>
      </c>
      <c r="K2867" s="30" t="s">
        <v>235</v>
      </c>
      <c r="L2867" s="30" t="s">
        <v>16214</v>
      </c>
      <c r="M2867" s="30" t="s">
        <v>63</v>
      </c>
      <c r="N2867" s="30" t="s">
        <v>142</v>
      </c>
      <c r="O2867" s="30" t="s">
        <v>86</v>
      </c>
      <c r="P2867" s="72" t="s">
        <v>165</v>
      </c>
      <c r="Q2867" s="72" t="s">
        <v>16215</v>
      </c>
      <c r="R2867" s="72" t="s">
        <v>235</v>
      </c>
      <c r="S2867" s="30">
        <v>0</v>
      </c>
      <c r="T2867" s="232">
        <v>0</v>
      </c>
      <c r="U2867" s="30">
        <v>0</v>
      </c>
      <c r="V2867" s="232">
        <v>0</v>
      </c>
      <c r="W2867" s="30">
        <v>0</v>
      </c>
      <c r="X2867" s="30">
        <v>0</v>
      </c>
      <c r="Y2867" s="30">
        <v>0</v>
      </c>
      <c r="Z2867" s="232">
        <v>0</v>
      </c>
      <c r="AA2867" s="30">
        <v>0</v>
      </c>
      <c r="AB2867" s="30">
        <v>0</v>
      </c>
      <c r="AC2867" s="30">
        <v>0</v>
      </c>
      <c r="AD2867" s="30">
        <v>0</v>
      </c>
      <c r="AE2867" s="72" t="s">
        <v>92</v>
      </c>
      <c r="AF2867" s="72"/>
      <c r="AG2867" s="72" t="s">
        <v>133</v>
      </c>
      <c r="AH2867" s="72">
        <v>43549</v>
      </c>
      <c r="AI2867" s="30">
        <v>0</v>
      </c>
      <c r="AJ2867" s="72" t="s">
        <v>16216</v>
      </c>
      <c r="AK2867" s="72" t="s">
        <v>16217</v>
      </c>
      <c r="AL2867" s="70">
        <v>43585</v>
      </c>
      <c r="AM2867" s="70"/>
      <c r="AN2867" s="70"/>
      <c r="AO2867" s="70"/>
      <c r="AP2867" s="73" t="e">
        <f>MID(VLOOKUP(K2867,#REF!,2,FALSE),1,2)</f>
        <v>#REF!</v>
      </c>
      <c r="AQ2867" s="72">
        <f>DATE(2019,3,14)</f>
        <v>43538</v>
      </c>
      <c r="AR2867" s="82">
        <f t="shared" si="241"/>
        <v>14</v>
      </c>
      <c r="AS2867" s="83">
        <f t="shared" si="242"/>
        <v>3</v>
      </c>
      <c r="AT2867" s="84">
        <f t="shared" si="243"/>
        <v>2019</v>
      </c>
      <c r="AU2867" s="86"/>
      <c r="AV2867" s="86"/>
      <c r="AW2867" s="87"/>
      <c r="AX2867" s="86"/>
      <c r="AY2867" s="83"/>
      <c r="AZ2867" s="84"/>
      <c r="BA2867" s="86"/>
      <c r="BB2867" s="86"/>
      <c r="BD2867" s="68"/>
    </row>
    <row r="2868" spans="1:56" s="25" customFormat="1" ht="36.75" customHeight="1">
      <c r="A2868" s="30"/>
      <c r="B2868" s="30" t="s">
        <v>55</v>
      </c>
      <c r="C2868" s="69" t="str">
        <f t="shared" si="244"/>
        <v>Closed</v>
      </c>
      <c r="D2868" s="27" t="s">
        <v>16218</v>
      </c>
      <c r="E2868" s="29" t="s">
        <v>16219</v>
      </c>
      <c r="F2868" s="30" t="s">
        <v>423</v>
      </c>
      <c r="G2868" s="72">
        <f>DATE(2019,3,14)</f>
        <v>43538</v>
      </c>
      <c r="H2868" s="80">
        <v>1.5868055555555556</v>
      </c>
      <c r="I2868" s="30" t="s">
        <v>278</v>
      </c>
      <c r="J2868" s="72" t="s">
        <v>16220</v>
      </c>
      <c r="K2868" s="30" t="s">
        <v>425</v>
      </c>
      <c r="L2868" s="30" t="s">
        <v>16221</v>
      </c>
      <c r="M2868" s="30" t="s">
        <v>63</v>
      </c>
      <c r="N2868" s="30" t="s">
        <v>142</v>
      </c>
      <c r="O2868" s="30" t="s">
        <v>77</v>
      </c>
      <c r="P2868" s="72" t="s">
        <v>91</v>
      </c>
      <c r="Q2868" s="72" t="s">
        <v>2582</v>
      </c>
      <c r="R2868" s="72" t="s">
        <v>3103</v>
      </c>
      <c r="S2868" s="30">
        <v>0</v>
      </c>
      <c r="T2868" s="232">
        <v>0</v>
      </c>
      <c r="U2868" s="30">
        <v>0</v>
      </c>
      <c r="V2868" s="232">
        <v>0</v>
      </c>
      <c r="W2868" s="30">
        <v>0</v>
      </c>
      <c r="X2868" s="30">
        <v>0</v>
      </c>
      <c r="Y2868" s="30">
        <v>0</v>
      </c>
      <c r="Z2868" s="232">
        <v>1</v>
      </c>
      <c r="AA2868" s="30">
        <v>0</v>
      </c>
      <c r="AB2868" s="30">
        <v>0</v>
      </c>
      <c r="AC2868" s="30">
        <v>0</v>
      </c>
      <c r="AD2868" s="30">
        <v>1</v>
      </c>
      <c r="AE2868" s="72" t="s">
        <v>92</v>
      </c>
      <c r="AF2868" s="72"/>
      <c r="AG2868" s="72" t="s">
        <v>133</v>
      </c>
      <c r="AH2868" s="72">
        <v>43538</v>
      </c>
      <c r="AI2868" s="30">
        <v>0</v>
      </c>
      <c r="AJ2868" s="72" t="s">
        <v>16222</v>
      </c>
      <c r="AK2868" s="72" t="s">
        <v>16223</v>
      </c>
      <c r="AL2868" s="70">
        <v>43539</v>
      </c>
      <c r="AM2868" s="70"/>
      <c r="AN2868" s="70"/>
      <c r="AO2868" s="70"/>
      <c r="AP2868" s="73" t="e">
        <f>MID(VLOOKUP(K2868,#REF!,2,FALSE),1,2)</f>
        <v>#REF!</v>
      </c>
      <c r="AQ2868" s="72">
        <f>DATE(2019,3,14)</f>
        <v>43538</v>
      </c>
      <c r="AR2868" s="82">
        <f t="shared" si="241"/>
        <v>14</v>
      </c>
      <c r="AS2868" s="83">
        <f t="shared" si="242"/>
        <v>3</v>
      </c>
      <c r="AT2868" s="84">
        <f t="shared" si="243"/>
        <v>2019</v>
      </c>
      <c r="AU2868" s="86"/>
      <c r="AV2868" s="86"/>
      <c r="AW2868" s="87"/>
      <c r="AX2868" s="86"/>
      <c r="AY2868" s="83"/>
      <c r="AZ2868" s="84"/>
      <c r="BA2868" s="86"/>
      <c r="BB2868" s="86"/>
      <c r="BD2868" s="68"/>
    </row>
    <row r="2869" spans="1:56" s="25" customFormat="1" ht="36.75" customHeight="1">
      <c r="A2869" s="30"/>
      <c r="B2869" s="30" t="s">
        <v>55</v>
      </c>
      <c r="C2869" s="69" t="str">
        <f t="shared" si="244"/>
        <v>Closed</v>
      </c>
      <c r="D2869" s="27" t="s">
        <v>16224</v>
      </c>
      <c r="E2869" s="29" t="s">
        <v>16225</v>
      </c>
      <c r="F2869" s="30" t="s">
        <v>1572</v>
      </c>
      <c r="G2869" s="72">
        <f>DATE(2019,3,14)</f>
        <v>43538</v>
      </c>
      <c r="H2869" s="80">
        <v>1.3888888888888888</v>
      </c>
      <c r="I2869" s="30" t="s">
        <v>73</v>
      </c>
      <c r="J2869" s="72" t="s">
        <v>16226</v>
      </c>
      <c r="K2869" s="30" t="s">
        <v>1574</v>
      </c>
      <c r="L2869" s="30" t="s">
        <v>16227</v>
      </c>
      <c r="M2869" s="30" t="s">
        <v>63</v>
      </c>
      <c r="N2869" s="30" t="s">
        <v>142</v>
      </c>
      <c r="O2869" s="30" t="s">
        <v>77</v>
      </c>
      <c r="P2869" s="72" t="s">
        <v>78</v>
      </c>
      <c r="Q2869" s="72" t="s">
        <v>15570</v>
      </c>
      <c r="R2869" s="72" t="s">
        <v>6434</v>
      </c>
      <c r="S2869" s="30">
        <v>0</v>
      </c>
      <c r="T2869" s="232">
        <v>0</v>
      </c>
      <c r="U2869" s="30">
        <v>0</v>
      </c>
      <c r="V2869" s="232">
        <v>0</v>
      </c>
      <c r="W2869" s="30">
        <v>0</v>
      </c>
      <c r="X2869" s="30">
        <v>0</v>
      </c>
      <c r="Y2869" s="30">
        <v>0</v>
      </c>
      <c r="Z2869" s="232">
        <v>0</v>
      </c>
      <c r="AA2869" s="30">
        <v>0</v>
      </c>
      <c r="AB2869" s="30">
        <v>0</v>
      </c>
      <c r="AC2869" s="30">
        <v>0</v>
      </c>
      <c r="AD2869" s="30">
        <v>0</v>
      </c>
      <c r="AE2869" s="72" t="s">
        <v>394</v>
      </c>
      <c r="AF2869" s="72"/>
      <c r="AG2869" s="72" t="s">
        <v>133</v>
      </c>
      <c r="AH2869" s="72">
        <v>43539</v>
      </c>
      <c r="AI2869" s="30">
        <v>1</v>
      </c>
      <c r="AJ2869" s="72" t="s">
        <v>16228</v>
      </c>
      <c r="AK2869" s="72" t="s">
        <v>16229</v>
      </c>
      <c r="AL2869" s="70">
        <v>43539</v>
      </c>
      <c r="AM2869" s="70"/>
      <c r="AN2869" s="70"/>
      <c r="AO2869" s="70"/>
      <c r="AP2869" s="73" t="e">
        <f>MID(VLOOKUP(K2869,#REF!,2,FALSE),1,2)</f>
        <v>#REF!</v>
      </c>
      <c r="AQ2869" s="72">
        <f>DATE(2019,3,17)</f>
        <v>43541</v>
      </c>
      <c r="AR2869" s="82">
        <f t="shared" ref="AR2869:AR2932" si="245">DAY(AQ2869)</f>
        <v>17</v>
      </c>
      <c r="AS2869" s="83">
        <f t="shared" ref="AS2869:AS2932" si="246">MONTH(AQ2869)</f>
        <v>3</v>
      </c>
      <c r="AT2869" s="84">
        <f t="shared" ref="AT2869:AT2932" si="247">YEAR(AQ2869)</f>
        <v>2019</v>
      </c>
      <c r="AU2869" s="86"/>
      <c r="AV2869" s="86"/>
      <c r="AW2869" s="87"/>
      <c r="AX2869" s="86"/>
      <c r="AY2869" s="83"/>
      <c r="AZ2869" s="84"/>
      <c r="BA2869" s="86"/>
      <c r="BB2869" s="86"/>
      <c r="BD2869" s="68"/>
    </row>
    <row r="2870" spans="1:56" s="25" customFormat="1" ht="36.75" customHeight="1">
      <c r="A2870" s="30"/>
      <c r="B2870" s="30" t="s">
        <v>55</v>
      </c>
      <c r="C2870" s="69" t="str">
        <f t="shared" si="244"/>
        <v>Closed</v>
      </c>
      <c r="D2870" s="27" t="s">
        <v>16230</v>
      </c>
      <c r="E2870" s="29" t="s">
        <v>16231</v>
      </c>
      <c r="F2870" s="30" t="s">
        <v>2336</v>
      </c>
      <c r="G2870" s="72">
        <f>DATE(2019,3,17)</f>
        <v>43541</v>
      </c>
      <c r="H2870" s="80">
        <v>1.9090277777777778</v>
      </c>
      <c r="I2870" s="30" t="s">
        <v>73</v>
      </c>
      <c r="J2870" s="72" t="s">
        <v>16232</v>
      </c>
      <c r="K2870" s="30" t="s">
        <v>2338</v>
      </c>
      <c r="L2870" s="30" t="s">
        <v>16233</v>
      </c>
      <c r="M2870" s="30" t="s">
        <v>63</v>
      </c>
      <c r="N2870" s="30" t="s">
        <v>142</v>
      </c>
      <c r="O2870" s="30" t="s">
        <v>64</v>
      </c>
      <c r="P2870" s="72" t="s">
        <v>78</v>
      </c>
      <c r="Q2870" s="72" t="s">
        <v>2338</v>
      </c>
      <c r="R2870" s="72" t="s">
        <v>2341</v>
      </c>
      <c r="S2870" s="30">
        <v>0</v>
      </c>
      <c r="T2870" s="232">
        <v>0</v>
      </c>
      <c r="U2870" s="30">
        <v>0</v>
      </c>
      <c r="V2870" s="232">
        <v>0</v>
      </c>
      <c r="W2870" s="30">
        <v>0</v>
      </c>
      <c r="X2870" s="30">
        <v>0</v>
      </c>
      <c r="Y2870" s="30">
        <v>0</v>
      </c>
      <c r="Z2870" s="232">
        <v>0</v>
      </c>
      <c r="AA2870" s="30">
        <v>0</v>
      </c>
      <c r="AB2870" s="30">
        <v>0</v>
      </c>
      <c r="AC2870" s="30">
        <v>0</v>
      </c>
      <c r="AD2870" s="30">
        <v>0</v>
      </c>
      <c r="AE2870" s="72" t="s">
        <v>394</v>
      </c>
      <c r="AF2870" s="72"/>
      <c r="AG2870" s="72" t="s">
        <v>589</v>
      </c>
      <c r="AH2870" s="72">
        <v>43545</v>
      </c>
      <c r="AI2870" s="30">
        <v>13</v>
      </c>
      <c r="AJ2870" s="72" t="s">
        <v>16234</v>
      </c>
      <c r="AK2870" s="72" t="s">
        <v>16235</v>
      </c>
      <c r="AL2870" s="70">
        <v>43549</v>
      </c>
      <c r="AM2870" s="70"/>
      <c r="AN2870" s="70"/>
      <c r="AO2870" s="70"/>
      <c r="AP2870" s="73" t="e">
        <f>MID(VLOOKUP(K2870,#REF!,2,FALSE),1,2)</f>
        <v>#REF!</v>
      </c>
      <c r="AQ2870" s="72">
        <f>DATE(2019,3,21)</f>
        <v>43545</v>
      </c>
      <c r="AR2870" s="82">
        <f t="shared" si="245"/>
        <v>21</v>
      </c>
      <c r="AS2870" s="83">
        <f t="shared" si="246"/>
        <v>3</v>
      </c>
      <c r="AT2870" s="84">
        <f t="shared" si="247"/>
        <v>2019</v>
      </c>
      <c r="AU2870" s="86"/>
      <c r="AV2870" s="86"/>
      <c r="AW2870" s="87"/>
      <c r="AX2870" s="86"/>
      <c r="AY2870" s="83"/>
      <c r="AZ2870" s="84"/>
      <c r="BA2870" s="86"/>
      <c r="BB2870" s="86"/>
      <c r="BD2870" s="68"/>
    </row>
    <row r="2871" spans="1:56" s="25" customFormat="1" ht="36.75" customHeight="1">
      <c r="A2871" s="30"/>
      <c r="B2871" s="30" t="s">
        <v>55</v>
      </c>
      <c r="C2871" s="69" t="str">
        <f t="shared" si="244"/>
        <v>Closed</v>
      </c>
      <c r="D2871" s="27" t="s">
        <v>16236</v>
      </c>
      <c r="E2871" s="29" t="s">
        <v>16237</v>
      </c>
      <c r="F2871" s="30" t="s">
        <v>835</v>
      </c>
      <c r="G2871" s="72">
        <f>DATE(2019,3,21)</f>
        <v>43545</v>
      </c>
      <c r="H2871" s="80">
        <v>1.8472222222222223</v>
      </c>
      <c r="I2871" s="30" t="s">
        <v>73</v>
      </c>
      <c r="J2871" s="72" t="s">
        <v>16238</v>
      </c>
      <c r="K2871" s="30" t="s">
        <v>837</v>
      </c>
      <c r="L2871" s="30" t="s">
        <v>16239</v>
      </c>
      <c r="M2871" s="30" t="s">
        <v>63</v>
      </c>
      <c r="N2871" s="30" t="s">
        <v>99</v>
      </c>
      <c r="O2871" s="30" t="s">
        <v>77</v>
      </c>
      <c r="P2871" s="72" t="s">
        <v>78</v>
      </c>
      <c r="Q2871" s="72" t="s">
        <v>11481</v>
      </c>
      <c r="R2871" s="72" t="s">
        <v>840</v>
      </c>
      <c r="S2871" s="30">
        <v>0</v>
      </c>
      <c r="T2871" s="232">
        <v>0</v>
      </c>
      <c r="U2871" s="30">
        <v>0</v>
      </c>
      <c r="V2871" s="232">
        <v>0</v>
      </c>
      <c r="W2871" s="30">
        <v>0</v>
      </c>
      <c r="X2871" s="30">
        <v>0</v>
      </c>
      <c r="Y2871" s="30">
        <v>0</v>
      </c>
      <c r="Z2871" s="232">
        <v>0</v>
      </c>
      <c r="AA2871" s="30">
        <v>0</v>
      </c>
      <c r="AB2871" s="30">
        <v>0</v>
      </c>
      <c r="AC2871" s="30">
        <v>0</v>
      </c>
      <c r="AD2871" s="30">
        <v>0</v>
      </c>
      <c r="AE2871" s="72" t="s">
        <v>92</v>
      </c>
      <c r="AF2871" s="72"/>
      <c r="AG2871" s="72" t="s">
        <v>352</v>
      </c>
      <c r="AH2871" s="72">
        <v>43545</v>
      </c>
      <c r="AI2871" s="30">
        <v>0</v>
      </c>
      <c r="AJ2871" s="72" t="s">
        <v>13682</v>
      </c>
      <c r="AK2871" s="72" t="s">
        <v>68</v>
      </c>
      <c r="AL2871" s="70">
        <v>43557</v>
      </c>
      <c r="AM2871" s="70"/>
      <c r="AN2871" s="70"/>
      <c r="AO2871" s="70"/>
      <c r="AP2871" s="73" t="e">
        <f>MID(VLOOKUP(K2871,#REF!,2,FALSE),1,2)</f>
        <v>#REF!</v>
      </c>
      <c r="AQ2871" s="72">
        <f>DATE(2019,3,23)</f>
        <v>43547</v>
      </c>
      <c r="AR2871" s="82">
        <f t="shared" si="245"/>
        <v>23</v>
      </c>
      <c r="AS2871" s="83">
        <f t="shared" si="246"/>
        <v>3</v>
      </c>
      <c r="AT2871" s="84">
        <f t="shared" si="247"/>
        <v>2019</v>
      </c>
      <c r="AU2871" s="86"/>
      <c r="AV2871" s="86"/>
      <c r="AW2871" s="87"/>
      <c r="AX2871" s="86"/>
      <c r="AY2871" s="83"/>
      <c r="AZ2871" s="84"/>
      <c r="BA2871" s="86"/>
      <c r="BB2871" s="86"/>
      <c r="BD2871" s="68"/>
    </row>
    <row r="2872" spans="1:56" s="25" customFormat="1" ht="36.75" customHeight="1">
      <c r="A2872" s="30"/>
      <c r="B2872" s="30" t="s">
        <v>55</v>
      </c>
      <c r="C2872" s="69" t="str">
        <f t="shared" si="244"/>
        <v>Closed</v>
      </c>
      <c r="D2872" s="27" t="s">
        <v>16240</v>
      </c>
      <c r="E2872" s="29" t="s">
        <v>16241</v>
      </c>
      <c r="F2872" s="30" t="s">
        <v>1572</v>
      </c>
      <c r="G2872" s="72">
        <f>DATE(2019,3,23)</f>
        <v>43547</v>
      </c>
      <c r="H2872" s="80">
        <v>1.4201388888888888</v>
      </c>
      <c r="I2872" s="30" t="s">
        <v>73</v>
      </c>
      <c r="J2872" s="72" t="s">
        <v>16242</v>
      </c>
      <c r="K2872" s="30" t="s">
        <v>1574</v>
      </c>
      <c r="L2872" s="30" t="s">
        <v>16243</v>
      </c>
      <c r="M2872" s="30" t="s">
        <v>63</v>
      </c>
      <c r="N2872" s="30" t="s">
        <v>142</v>
      </c>
      <c r="O2872" s="30" t="s">
        <v>64</v>
      </c>
      <c r="P2872" s="72" t="s">
        <v>78</v>
      </c>
      <c r="Q2872" s="72" t="s">
        <v>16244</v>
      </c>
      <c r="R2872" s="72" t="s">
        <v>6434</v>
      </c>
      <c r="S2872" s="30">
        <v>0</v>
      </c>
      <c r="T2872" s="232">
        <v>0</v>
      </c>
      <c r="U2872" s="30">
        <v>0</v>
      </c>
      <c r="V2872" s="232">
        <v>0</v>
      </c>
      <c r="W2872" s="30">
        <v>0</v>
      </c>
      <c r="X2872" s="30">
        <v>0</v>
      </c>
      <c r="Y2872" s="30">
        <v>0</v>
      </c>
      <c r="Z2872" s="232">
        <v>0</v>
      </c>
      <c r="AA2872" s="30">
        <v>0</v>
      </c>
      <c r="AB2872" s="30">
        <v>0</v>
      </c>
      <c r="AC2872" s="30">
        <v>0</v>
      </c>
      <c r="AD2872" s="30">
        <v>0</v>
      </c>
      <c r="AE2872" s="72" t="s">
        <v>92</v>
      </c>
      <c r="AF2872" s="72"/>
      <c r="AG2872" s="72" t="s">
        <v>133</v>
      </c>
      <c r="AH2872" s="72">
        <v>43549</v>
      </c>
      <c r="AI2872" s="30">
        <v>0</v>
      </c>
      <c r="AJ2872" s="72" t="s">
        <v>16245</v>
      </c>
      <c r="AK2872" s="72" t="s">
        <v>16246</v>
      </c>
      <c r="AL2872" s="70">
        <v>43551</v>
      </c>
      <c r="AM2872" s="70"/>
      <c r="AN2872" s="70"/>
      <c r="AO2872" s="70"/>
      <c r="AP2872" s="73" t="e">
        <f>MID(VLOOKUP(K2872,#REF!,2,FALSE),1,2)</f>
        <v>#REF!</v>
      </c>
      <c r="AQ2872" s="72">
        <f>DATE(2019,3,26)</f>
        <v>43550</v>
      </c>
      <c r="AR2872" s="82">
        <f t="shared" si="245"/>
        <v>26</v>
      </c>
      <c r="AS2872" s="83">
        <f t="shared" si="246"/>
        <v>3</v>
      </c>
      <c r="AT2872" s="84">
        <f t="shared" si="247"/>
        <v>2019</v>
      </c>
      <c r="AU2872" s="86"/>
      <c r="AV2872" s="86"/>
      <c r="AW2872" s="87"/>
      <c r="AX2872" s="86"/>
      <c r="AY2872" s="83"/>
      <c r="AZ2872" s="84"/>
      <c r="BA2872" s="86"/>
      <c r="BB2872" s="86"/>
      <c r="BD2872" s="68"/>
    </row>
    <row r="2873" spans="1:56" s="25" customFormat="1" ht="36.75" customHeight="1">
      <c r="A2873" s="30"/>
      <c r="B2873" s="30" t="s">
        <v>55</v>
      </c>
      <c r="C2873" s="69" t="str">
        <f t="shared" si="244"/>
        <v>Closed</v>
      </c>
      <c r="D2873" s="27" t="s">
        <v>16247</v>
      </c>
      <c r="E2873" s="29" t="s">
        <v>16248</v>
      </c>
      <c r="F2873" s="30" t="s">
        <v>124</v>
      </c>
      <c r="G2873" s="72">
        <f>DATE(2019,3,26)</f>
        <v>43550</v>
      </c>
      <c r="H2873" s="80">
        <v>0</v>
      </c>
      <c r="I2873" s="30" t="s">
        <v>86</v>
      </c>
      <c r="J2873" s="72" t="s">
        <v>16249</v>
      </c>
      <c r="K2873" s="30" t="s">
        <v>127</v>
      </c>
      <c r="L2873" s="30" t="s">
        <v>16250</v>
      </c>
      <c r="M2873" s="30" t="s">
        <v>63</v>
      </c>
      <c r="N2873" s="30" t="s">
        <v>99</v>
      </c>
      <c r="O2873" s="30" t="s">
        <v>64</v>
      </c>
      <c r="P2873" s="72" t="s">
        <v>65</v>
      </c>
      <c r="Q2873" s="72" t="s">
        <v>229</v>
      </c>
      <c r="R2873" s="72" t="s">
        <v>167</v>
      </c>
      <c r="S2873" s="30">
        <v>0</v>
      </c>
      <c r="T2873" s="232">
        <v>0</v>
      </c>
      <c r="U2873" s="30">
        <v>0</v>
      </c>
      <c r="V2873" s="232">
        <v>0</v>
      </c>
      <c r="W2873" s="30">
        <v>0</v>
      </c>
      <c r="X2873" s="30">
        <v>0</v>
      </c>
      <c r="Y2873" s="30">
        <v>0</v>
      </c>
      <c r="Z2873" s="232">
        <v>0</v>
      </c>
      <c r="AA2873" s="30">
        <v>0</v>
      </c>
      <c r="AB2873" s="30">
        <v>0</v>
      </c>
      <c r="AC2873" s="30">
        <v>0</v>
      </c>
      <c r="AD2873" s="30">
        <v>0</v>
      </c>
      <c r="AE2873" s="72" t="s">
        <v>92</v>
      </c>
      <c r="AF2873" s="72"/>
      <c r="AG2873" s="72" t="s">
        <v>589</v>
      </c>
      <c r="AH2873" s="72">
        <v>43556</v>
      </c>
      <c r="AI2873" s="30">
        <v>1</v>
      </c>
      <c r="AJ2873" s="72" t="s">
        <v>16251</v>
      </c>
      <c r="AK2873" s="72" t="s">
        <v>68</v>
      </c>
      <c r="AL2873" s="70">
        <v>43563</v>
      </c>
      <c r="AM2873" s="70"/>
      <c r="AN2873" s="70"/>
      <c r="AO2873" s="70"/>
      <c r="AP2873" s="73" t="e">
        <f>MID(VLOOKUP(K2873,#REF!,2,FALSE),1,2)</f>
        <v>#REF!</v>
      </c>
      <c r="AQ2873" s="72">
        <f>DATE(2019,3,28)</f>
        <v>43552</v>
      </c>
      <c r="AR2873" s="82">
        <f t="shared" si="245"/>
        <v>28</v>
      </c>
      <c r="AS2873" s="83">
        <f t="shared" si="246"/>
        <v>3</v>
      </c>
      <c r="AT2873" s="84">
        <f t="shared" si="247"/>
        <v>2019</v>
      </c>
      <c r="AU2873" s="86"/>
      <c r="AV2873" s="86"/>
      <c r="AW2873" s="87"/>
      <c r="AX2873" s="86"/>
      <c r="AY2873" s="83"/>
      <c r="AZ2873" s="84"/>
      <c r="BA2873" s="86"/>
      <c r="BB2873" s="86"/>
      <c r="BD2873" s="68"/>
    </row>
    <row r="2874" spans="1:56" s="25" customFormat="1" ht="36.75" customHeight="1">
      <c r="A2874" s="30"/>
      <c r="B2874" s="30" t="s">
        <v>55</v>
      </c>
      <c r="C2874" s="69" t="str">
        <f t="shared" si="244"/>
        <v>Closed</v>
      </c>
      <c r="D2874" s="27" t="s">
        <v>16252</v>
      </c>
      <c r="E2874" s="29" t="s">
        <v>16253</v>
      </c>
      <c r="F2874" s="30" t="s">
        <v>377</v>
      </c>
      <c r="G2874" s="72">
        <f>DATE(2019,3,28)</f>
        <v>43552</v>
      </c>
      <c r="H2874" s="80">
        <v>1.776388888888889</v>
      </c>
      <c r="I2874" s="30" t="s">
        <v>198</v>
      </c>
      <c r="J2874" s="72" t="s">
        <v>16254</v>
      </c>
      <c r="K2874" s="30" t="s">
        <v>379</v>
      </c>
      <c r="L2874" s="30" t="s">
        <v>16255</v>
      </c>
      <c r="M2874" s="30" t="s">
        <v>63</v>
      </c>
      <c r="N2874" s="30" t="s">
        <v>99</v>
      </c>
      <c r="O2874" s="30" t="s">
        <v>64</v>
      </c>
      <c r="P2874" s="72" t="s">
        <v>165</v>
      </c>
      <c r="Q2874" s="72" t="s">
        <v>8472</v>
      </c>
      <c r="R2874" s="72" t="s">
        <v>379</v>
      </c>
      <c r="S2874" s="30">
        <v>0</v>
      </c>
      <c r="T2874" s="232">
        <v>0</v>
      </c>
      <c r="U2874" s="30">
        <v>0</v>
      </c>
      <c r="V2874" s="232">
        <v>0</v>
      </c>
      <c r="W2874" s="30">
        <v>0</v>
      </c>
      <c r="X2874" s="30">
        <v>0</v>
      </c>
      <c r="Y2874" s="30">
        <v>0</v>
      </c>
      <c r="Z2874" s="232">
        <v>0</v>
      </c>
      <c r="AA2874" s="30">
        <v>0</v>
      </c>
      <c r="AB2874" s="30">
        <v>0</v>
      </c>
      <c r="AC2874" s="30">
        <v>0</v>
      </c>
      <c r="AD2874" s="30">
        <v>0</v>
      </c>
      <c r="AE2874" s="72" t="s">
        <v>92</v>
      </c>
      <c r="AF2874" s="72"/>
      <c r="AG2874" s="72" t="s">
        <v>133</v>
      </c>
      <c r="AH2874" s="72">
        <v>43552</v>
      </c>
      <c r="AI2874" s="30">
        <v>6</v>
      </c>
      <c r="AJ2874" s="72" t="s">
        <v>16256</v>
      </c>
      <c r="AK2874" s="72" t="s">
        <v>16257</v>
      </c>
      <c r="AL2874" s="70">
        <v>43613</v>
      </c>
      <c r="AM2874" s="70"/>
      <c r="AN2874" s="70"/>
      <c r="AO2874" s="70"/>
      <c r="AP2874" s="73" t="e">
        <f>MID(VLOOKUP(K2874,#REF!,2,FALSE),1,2)</f>
        <v>#REF!</v>
      </c>
      <c r="AQ2874" s="72">
        <f>DATE(2019,3,29)</f>
        <v>43553</v>
      </c>
      <c r="AR2874" s="82">
        <f t="shared" si="245"/>
        <v>29</v>
      </c>
      <c r="AS2874" s="83">
        <f t="shared" si="246"/>
        <v>3</v>
      </c>
      <c r="AT2874" s="84">
        <f t="shared" si="247"/>
        <v>2019</v>
      </c>
      <c r="AU2874" s="86"/>
      <c r="AV2874" s="86"/>
      <c r="AW2874" s="87"/>
      <c r="AX2874" s="86"/>
      <c r="AY2874" s="83"/>
      <c r="AZ2874" s="84"/>
      <c r="BA2874" s="86"/>
      <c r="BB2874" s="86"/>
      <c r="BD2874" s="68"/>
    </row>
    <row r="2875" spans="1:56" s="25" customFormat="1" ht="36.75" customHeight="1">
      <c r="A2875" s="30"/>
      <c r="B2875" s="30" t="s">
        <v>55</v>
      </c>
      <c r="C2875" s="69" t="str">
        <f t="shared" si="244"/>
        <v>Closed</v>
      </c>
      <c r="D2875" s="27" t="s">
        <v>16258</v>
      </c>
      <c r="E2875" s="29" t="s">
        <v>16259</v>
      </c>
      <c r="F2875" s="30" t="s">
        <v>423</v>
      </c>
      <c r="G2875" s="72">
        <f>DATE(2019,3,29)</f>
        <v>43553</v>
      </c>
      <c r="H2875" s="80">
        <v>1.4520833333333334</v>
      </c>
      <c r="I2875" s="30" t="s">
        <v>73</v>
      </c>
      <c r="J2875" s="72" t="s">
        <v>16260</v>
      </c>
      <c r="K2875" s="30" t="s">
        <v>425</v>
      </c>
      <c r="L2875" s="30" t="s">
        <v>16261</v>
      </c>
      <c r="M2875" s="30" t="s">
        <v>63</v>
      </c>
      <c r="N2875" s="30" t="s">
        <v>99</v>
      </c>
      <c r="O2875" s="30" t="s">
        <v>77</v>
      </c>
      <c r="P2875" s="72" t="s">
        <v>381</v>
      </c>
      <c r="Q2875" s="72" t="s">
        <v>2582</v>
      </c>
      <c r="R2875" s="72" t="s">
        <v>3103</v>
      </c>
      <c r="S2875" s="30">
        <v>0</v>
      </c>
      <c r="T2875" s="232">
        <v>0</v>
      </c>
      <c r="U2875" s="30">
        <v>0</v>
      </c>
      <c r="V2875" s="232">
        <v>0</v>
      </c>
      <c r="W2875" s="30">
        <v>0</v>
      </c>
      <c r="X2875" s="30">
        <v>0</v>
      </c>
      <c r="Y2875" s="30">
        <v>0</v>
      </c>
      <c r="Z2875" s="232">
        <v>0</v>
      </c>
      <c r="AA2875" s="30">
        <v>0</v>
      </c>
      <c r="AB2875" s="30">
        <v>0</v>
      </c>
      <c r="AC2875" s="30">
        <v>0</v>
      </c>
      <c r="AD2875" s="30">
        <v>0</v>
      </c>
      <c r="AE2875" s="72" t="s">
        <v>92</v>
      </c>
      <c r="AF2875" s="72"/>
      <c r="AG2875" s="72" t="s">
        <v>352</v>
      </c>
      <c r="AH2875" s="72">
        <v>43553</v>
      </c>
      <c r="AI2875" s="30">
        <v>1</v>
      </c>
      <c r="AJ2875" s="72" t="s">
        <v>16262</v>
      </c>
      <c r="AK2875" s="72" t="s">
        <v>16263</v>
      </c>
      <c r="AL2875" s="70">
        <v>43558</v>
      </c>
      <c r="AM2875" s="70"/>
      <c r="AN2875" s="70"/>
      <c r="AO2875" s="70"/>
      <c r="AP2875" s="73" t="e">
        <f>MID(VLOOKUP(K2875,#REF!,2,FALSE),1,2)</f>
        <v>#REF!</v>
      </c>
      <c r="AQ2875" s="72">
        <f>DATE(2019,3,29)</f>
        <v>43553</v>
      </c>
      <c r="AR2875" s="82">
        <f t="shared" si="245"/>
        <v>29</v>
      </c>
      <c r="AS2875" s="83">
        <f t="shared" si="246"/>
        <v>3</v>
      </c>
      <c r="AT2875" s="84">
        <f t="shared" si="247"/>
        <v>2019</v>
      </c>
      <c r="AU2875" s="86"/>
      <c r="AV2875" s="86"/>
      <c r="AW2875" s="87"/>
      <c r="AX2875" s="86"/>
      <c r="AY2875" s="83"/>
      <c r="AZ2875" s="84"/>
      <c r="BA2875" s="86"/>
      <c r="BB2875" s="86"/>
      <c r="BD2875" s="68"/>
    </row>
    <row r="2876" spans="1:56" s="25" customFormat="1" ht="36.75" customHeight="1">
      <c r="A2876" s="30"/>
      <c r="B2876" s="30" t="s">
        <v>55</v>
      </c>
      <c r="C2876" s="69" t="str">
        <f t="shared" si="244"/>
        <v>Closed</v>
      </c>
      <c r="D2876" s="27" t="s">
        <v>16264</v>
      </c>
      <c r="E2876" s="29" t="s">
        <v>16265</v>
      </c>
      <c r="F2876" s="30" t="s">
        <v>423</v>
      </c>
      <c r="G2876" s="72">
        <f>DATE(2019,3,29)</f>
        <v>43553</v>
      </c>
      <c r="H2876" s="80">
        <v>1.7208333333333332</v>
      </c>
      <c r="I2876" s="30" t="s">
        <v>73</v>
      </c>
      <c r="J2876" s="72" t="s">
        <v>16266</v>
      </c>
      <c r="K2876" s="30" t="s">
        <v>425</v>
      </c>
      <c r="L2876" s="30" t="s">
        <v>15305</v>
      </c>
      <c r="M2876" s="30" t="s">
        <v>63</v>
      </c>
      <c r="N2876" s="30" t="s">
        <v>142</v>
      </c>
      <c r="O2876" s="30" t="s">
        <v>77</v>
      </c>
      <c r="P2876" s="72" t="s">
        <v>381</v>
      </c>
      <c r="Q2876" s="72" t="s">
        <v>4551</v>
      </c>
      <c r="R2876" s="72" t="s">
        <v>16267</v>
      </c>
      <c r="S2876" s="30">
        <v>0</v>
      </c>
      <c r="T2876" s="232">
        <v>0</v>
      </c>
      <c r="U2876" s="30">
        <v>0</v>
      </c>
      <c r="V2876" s="232">
        <v>0</v>
      </c>
      <c r="W2876" s="30">
        <v>0</v>
      </c>
      <c r="X2876" s="30">
        <v>0</v>
      </c>
      <c r="Y2876" s="30">
        <v>0</v>
      </c>
      <c r="Z2876" s="232">
        <v>0</v>
      </c>
      <c r="AA2876" s="30">
        <v>0</v>
      </c>
      <c r="AB2876" s="30">
        <v>0</v>
      </c>
      <c r="AC2876" s="30">
        <v>0</v>
      </c>
      <c r="AD2876" s="30">
        <v>0</v>
      </c>
      <c r="AE2876" s="72" t="s">
        <v>92</v>
      </c>
      <c r="AF2876" s="72"/>
      <c r="AG2876" s="72" t="s">
        <v>133</v>
      </c>
      <c r="AH2876" s="72">
        <v>43553</v>
      </c>
      <c r="AI2876" s="30">
        <v>1</v>
      </c>
      <c r="AJ2876" s="72" t="s">
        <v>16268</v>
      </c>
      <c r="AK2876" s="72" t="s">
        <v>16269</v>
      </c>
      <c r="AL2876" s="70">
        <v>43558</v>
      </c>
      <c r="AM2876" s="70"/>
      <c r="AN2876" s="70"/>
      <c r="AO2876" s="70"/>
      <c r="AP2876" s="73" t="e">
        <f>MID(VLOOKUP(K2876,#REF!,2,FALSE),1,2)</f>
        <v>#REF!</v>
      </c>
      <c r="AQ2876" s="72">
        <f>DATE(2019,3,29)</f>
        <v>43553</v>
      </c>
      <c r="AR2876" s="82">
        <f t="shared" si="245"/>
        <v>29</v>
      </c>
      <c r="AS2876" s="83">
        <f t="shared" si="246"/>
        <v>3</v>
      </c>
      <c r="AT2876" s="84">
        <f t="shared" si="247"/>
        <v>2019</v>
      </c>
      <c r="AU2876" s="86"/>
      <c r="AV2876" s="86"/>
      <c r="AW2876" s="87"/>
      <c r="AX2876" s="86"/>
      <c r="AY2876" s="83"/>
      <c r="AZ2876" s="84"/>
      <c r="BA2876" s="86"/>
      <c r="BB2876" s="86"/>
      <c r="BD2876" s="68"/>
    </row>
    <row r="2877" spans="1:56" s="25" customFormat="1" ht="36.75" customHeight="1">
      <c r="A2877" s="30"/>
      <c r="B2877" s="30" t="s">
        <v>55</v>
      </c>
      <c r="C2877" s="69" t="str">
        <f t="shared" si="244"/>
        <v>Closed</v>
      </c>
      <c r="D2877" s="27" t="s">
        <v>16270</v>
      </c>
      <c r="E2877" s="29" t="s">
        <v>16271</v>
      </c>
      <c r="F2877" s="30" t="s">
        <v>1572</v>
      </c>
      <c r="G2877" s="72">
        <f>DATE(2019,3,29)</f>
        <v>43553</v>
      </c>
      <c r="H2877" s="80">
        <v>1.2326388888888888</v>
      </c>
      <c r="I2877" s="30" t="s">
        <v>73</v>
      </c>
      <c r="J2877" s="72" t="s">
        <v>16272</v>
      </c>
      <c r="K2877" s="30" t="s">
        <v>1574</v>
      </c>
      <c r="L2877" s="30" t="s">
        <v>16273</v>
      </c>
      <c r="M2877" s="30" t="s">
        <v>63</v>
      </c>
      <c r="N2877" s="30" t="s">
        <v>142</v>
      </c>
      <c r="O2877" s="30" t="s">
        <v>77</v>
      </c>
      <c r="P2877" s="72" t="s">
        <v>6941</v>
      </c>
      <c r="Q2877" s="72" t="s">
        <v>2413</v>
      </c>
      <c r="R2877" s="72" t="s">
        <v>6434</v>
      </c>
      <c r="S2877" s="30">
        <v>0</v>
      </c>
      <c r="T2877" s="232">
        <v>0</v>
      </c>
      <c r="U2877" s="30">
        <v>0</v>
      </c>
      <c r="V2877" s="232">
        <v>0</v>
      </c>
      <c r="W2877" s="30">
        <v>0</v>
      </c>
      <c r="X2877" s="30">
        <v>0</v>
      </c>
      <c r="Y2877" s="30">
        <v>0</v>
      </c>
      <c r="Z2877" s="232">
        <v>0</v>
      </c>
      <c r="AA2877" s="30">
        <v>0</v>
      </c>
      <c r="AB2877" s="30">
        <v>0</v>
      </c>
      <c r="AC2877" s="30">
        <v>0</v>
      </c>
      <c r="AD2877" s="30">
        <v>0</v>
      </c>
      <c r="AE2877" s="72" t="s">
        <v>92</v>
      </c>
      <c r="AF2877" s="72"/>
      <c r="AG2877" s="72" t="s">
        <v>133</v>
      </c>
      <c r="AH2877" s="72">
        <v>43556</v>
      </c>
      <c r="AI2877" s="30">
        <v>8</v>
      </c>
      <c r="AJ2877" s="72" t="s">
        <v>16274</v>
      </c>
      <c r="AK2877" s="72" t="s">
        <v>16275</v>
      </c>
      <c r="AL2877" s="70">
        <v>43558</v>
      </c>
      <c r="AM2877" s="70"/>
      <c r="AN2877" s="70"/>
      <c r="AO2877" s="70"/>
      <c r="AP2877" s="73" t="e">
        <f>MID(VLOOKUP(K2877,#REF!,2,FALSE),1,2)</f>
        <v>#REF!</v>
      </c>
      <c r="AQ2877" s="72">
        <f>DATE(2019,4,1)</f>
        <v>43556</v>
      </c>
      <c r="AR2877" s="82">
        <f t="shared" si="245"/>
        <v>1</v>
      </c>
      <c r="AS2877" s="83">
        <f t="shared" si="246"/>
        <v>4</v>
      </c>
      <c r="AT2877" s="84">
        <f t="shared" si="247"/>
        <v>2019</v>
      </c>
      <c r="AU2877" s="86"/>
      <c r="AV2877" s="86"/>
      <c r="AW2877" s="87"/>
      <c r="AX2877" s="86"/>
      <c r="AY2877" s="83"/>
      <c r="AZ2877" s="84"/>
      <c r="BA2877" s="86"/>
      <c r="BB2877" s="86"/>
      <c r="BD2877" s="68"/>
    </row>
    <row r="2878" spans="1:56" s="25" customFormat="1" ht="36.75" customHeight="1">
      <c r="A2878" s="30"/>
      <c r="B2878" s="30" t="s">
        <v>55</v>
      </c>
      <c r="C2878" s="69" t="str">
        <f t="shared" si="244"/>
        <v>Closed</v>
      </c>
      <c r="D2878" s="27" t="s">
        <v>16276</v>
      </c>
      <c r="E2878" s="29" t="s">
        <v>16277</v>
      </c>
      <c r="F2878" s="30" t="s">
        <v>423</v>
      </c>
      <c r="G2878" s="72">
        <f>DATE(2019,4,1)</f>
        <v>43556</v>
      </c>
      <c r="H2878" s="80">
        <v>1.5708333333333333</v>
      </c>
      <c r="I2878" s="30" t="s">
        <v>198</v>
      </c>
      <c r="J2878" s="72" t="s">
        <v>16278</v>
      </c>
      <c r="K2878" s="30" t="s">
        <v>425</v>
      </c>
      <c r="L2878" s="30" t="s">
        <v>16279</v>
      </c>
      <c r="M2878" s="30" t="s">
        <v>255</v>
      </c>
      <c r="N2878" s="30" t="s">
        <v>99</v>
      </c>
      <c r="O2878" s="30" t="s">
        <v>64</v>
      </c>
      <c r="P2878" s="72" t="s">
        <v>16280</v>
      </c>
      <c r="Q2878" s="72" t="s">
        <v>16281</v>
      </c>
      <c r="R2878" s="72" t="s">
        <v>16281</v>
      </c>
      <c r="S2878" s="30">
        <v>0</v>
      </c>
      <c r="T2878" s="232">
        <v>0</v>
      </c>
      <c r="U2878" s="30">
        <v>0</v>
      </c>
      <c r="V2878" s="232">
        <v>0</v>
      </c>
      <c r="W2878" s="30">
        <v>0</v>
      </c>
      <c r="X2878" s="30">
        <v>0</v>
      </c>
      <c r="Y2878" s="30">
        <v>13</v>
      </c>
      <c r="Z2878" s="232">
        <v>2</v>
      </c>
      <c r="AA2878" s="30">
        <v>0</v>
      </c>
      <c r="AB2878" s="30">
        <v>0</v>
      </c>
      <c r="AC2878" s="30">
        <v>0</v>
      </c>
      <c r="AD2878" s="30">
        <v>15</v>
      </c>
      <c r="AE2878" s="72" t="s">
        <v>92</v>
      </c>
      <c r="AF2878" s="72" t="s">
        <v>16282</v>
      </c>
      <c r="AG2878" s="72" t="s">
        <v>16283</v>
      </c>
      <c r="AH2878" s="72">
        <v>43556</v>
      </c>
      <c r="AI2878" s="30">
        <v>1</v>
      </c>
      <c r="AJ2878" s="72" t="s">
        <v>16284</v>
      </c>
      <c r="AK2878" s="72" t="s">
        <v>16285</v>
      </c>
      <c r="AL2878" s="70">
        <v>43558</v>
      </c>
      <c r="AM2878" s="70"/>
      <c r="AN2878" s="70"/>
      <c r="AO2878" s="70"/>
      <c r="AP2878" s="73" t="e">
        <f>MID(VLOOKUP(K2878,#REF!,2,FALSE),1,2)</f>
        <v>#REF!</v>
      </c>
      <c r="AQ2878" s="72">
        <f>DATE(2019,4,2)</f>
        <v>43557</v>
      </c>
      <c r="AR2878" s="82">
        <f t="shared" si="245"/>
        <v>2</v>
      </c>
      <c r="AS2878" s="83">
        <f t="shared" si="246"/>
        <v>4</v>
      </c>
      <c r="AT2878" s="84">
        <f t="shared" si="247"/>
        <v>2019</v>
      </c>
      <c r="AU2878" s="86"/>
      <c r="AV2878" s="86"/>
      <c r="AW2878" s="87"/>
      <c r="AX2878" s="86"/>
      <c r="AY2878" s="83"/>
      <c r="AZ2878" s="84"/>
      <c r="BA2878" s="86"/>
      <c r="BB2878" s="86"/>
      <c r="BD2878" s="68"/>
    </row>
    <row r="2879" spans="1:56" s="25" customFormat="1" ht="36.75" customHeight="1">
      <c r="A2879" s="30"/>
      <c r="B2879" s="30" t="s">
        <v>55</v>
      </c>
      <c r="C2879" s="69" t="str">
        <f t="shared" si="244"/>
        <v>Closed</v>
      </c>
      <c r="D2879" s="27" t="s">
        <v>16286</v>
      </c>
      <c r="E2879" s="29" t="s">
        <v>16287</v>
      </c>
      <c r="F2879" s="30" t="s">
        <v>6455</v>
      </c>
      <c r="G2879" s="72">
        <f>DATE(2019,4,2)</f>
        <v>43557</v>
      </c>
      <c r="H2879" s="80">
        <v>1.8097222222222222</v>
      </c>
      <c r="I2879" s="30" t="s">
        <v>73</v>
      </c>
      <c r="J2879" s="72" t="s">
        <v>16288</v>
      </c>
      <c r="K2879" s="30" t="s">
        <v>584</v>
      </c>
      <c r="L2879" s="30" t="s">
        <v>16289</v>
      </c>
      <c r="M2879" s="30" t="s">
        <v>63</v>
      </c>
      <c r="N2879" s="30" t="s">
        <v>142</v>
      </c>
      <c r="O2879" s="30" t="s">
        <v>77</v>
      </c>
      <c r="P2879" s="72" t="s">
        <v>165</v>
      </c>
      <c r="Q2879" s="72" t="s">
        <v>4487</v>
      </c>
      <c r="R2879" s="72" t="s">
        <v>587</v>
      </c>
      <c r="S2879" s="30">
        <v>0</v>
      </c>
      <c r="T2879" s="232">
        <v>0</v>
      </c>
      <c r="U2879" s="30">
        <v>0</v>
      </c>
      <c r="V2879" s="232">
        <v>0</v>
      </c>
      <c r="W2879" s="30">
        <v>0</v>
      </c>
      <c r="X2879" s="30">
        <v>0</v>
      </c>
      <c r="Y2879" s="30">
        <v>0</v>
      </c>
      <c r="Z2879" s="232">
        <v>0</v>
      </c>
      <c r="AA2879" s="30">
        <v>0</v>
      </c>
      <c r="AB2879" s="30">
        <v>0</v>
      </c>
      <c r="AC2879" s="30">
        <v>0</v>
      </c>
      <c r="AD2879" s="30">
        <v>0</v>
      </c>
      <c r="AE2879" s="72" t="s">
        <v>92</v>
      </c>
      <c r="AF2879" s="72" t="s">
        <v>16290</v>
      </c>
      <c r="AG2879" s="72" t="s">
        <v>8859</v>
      </c>
      <c r="AH2879" s="72">
        <v>43560</v>
      </c>
      <c r="AI2879" s="30">
        <v>0</v>
      </c>
      <c r="AJ2879" s="72" t="s">
        <v>16291</v>
      </c>
      <c r="AK2879" s="72" t="s">
        <v>68</v>
      </c>
      <c r="AL2879" s="70">
        <v>43579</v>
      </c>
      <c r="AM2879" s="70">
        <v>44652</v>
      </c>
      <c r="AN2879" s="70">
        <v>44861</v>
      </c>
      <c r="AO2879" s="70">
        <v>44847</v>
      </c>
      <c r="AP2879" s="73" t="e">
        <f>MID(VLOOKUP(K2879,#REF!,2,FALSE),1,2)</f>
        <v>#REF!</v>
      </c>
      <c r="AQ2879" s="72">
        <f>DATE(2019,4,5)</f>
        <v>43560</v>
      </c>
      <c r="AR2879" s="82">
        <f t="shared" si="245"/>
        <v>5</v>
      </c>
      <c r="AS2879" s="83">
        <f t="shared" si="246"/>
        <v>4</v>
      </c>
      <c r="AT2879" s="84">
        <f t="shared" si="247"/>
        <v>2019</v>
      </c>
      <c r="AU2879" s="86"/>
      <c r="AV2879" s="86"/>
      <c r="AW2879" s="87"/>
      <c r="AX2879" s="86"/>
      <c r="AY2879" s="83"/>
      <c r="AZ2879" s="84"/>
      <c r="BA2879" s="86"/>
      <c r="BB2879" s="86"/>
      <c r="BD2879" s="68"/>
    </row>
    <row r="2880" spans="1:56" s="25" customFormat="1" ht="36.75" customHeight="1">
      <c r="A2880" s="30"/>
      <c r="B2880" s="30" t="s">
        <v>55</v>
      </c>
      <c r="C2880" s="69" t="str">
        <f t="shared" si="244"/>
        <v>Closed</v>
      </c>
      <c r="D2880" s="27" t="s">
        <v>16292</v>
      </c>
      <c r="E2880" s="29" t="s">
        <v>16293</v>
      </c>
      <c r="F2880" s="30" t="s">
        <v>582</v>
      </c>
      <c r="G2880" s="72">
        <f>DATE(2019,4,5)</f>
        <v>43560</v>
      </c>
      <c r="H2880" s="80">
        <v>1.4791666666666667</v>
      </c>
      <c r="I2880" s="30" t="s">
        <v>198</v>
      </c>
      <c r="J2880" s="72" t="s">
        <v>16294</v>
      </c>
      <c r="K2880" s="30" t="s">
        <v>584</v>
      </c>
      <c r="L2880" s="30" t="s">
        <v>11925</v>
      </c>
      <c r="M2880" s="30" t="s">
        <v>63</v>
      </c>
      <c r="N2880" s="30" t="s">
        <v>142</v>
      </c>
      <c r="O2880" s="30" t="s">
        <v>77</v>
      </c>
      <c r="P2880" s="72" t="s">
        <v>78</v>
      </c>
      <c r="Q2880" s="72" t="s">
        <v>586</v>
      </c>
      <c r="R2880" s="72" t="s">
        <v>587</v>
      </c>
      <c r="S2880" s="30">
        <v>0</v>
      </c>
      <c r="T2880" s="232">
        <v>0</v>
      </c>
      <c r="U2880" s="30">
        <v>0</v>
      </c>
      <c r="V2880" s="232">
        <v>0</v>
      </c>
      <c r="W2880" s="30">
        <v>0</v>
      </c>
      <c r="X2880" s="30">
        <v>0</v>
      </c>
      <c r="Y2880" s="30">
        <v>0</v>
      </c>
      <c r="Z2880" s="232">
        <v>0</v>
      </c>
      <c r="AA2880" s="30">
        <v>0</v>
      </c>
      <c r="AB2880" s="30">
        <v>0</v>
      </c>
      <c r="AC2880" s="30">
        <v>0</v>
      </c>
      <c r="AD2880" s="30">
        <v>0</v>
      </c>
      <c r="AE2880" s="72" t="s">
        <v>394</v>
      </c>
      <c r="AF2880" s="72"/>
      <c r="AG2880" s="72" t="s">
        <v>589</v>
      </c>
      <c r="AH2880" s="72">
        <v>43563</v>
      </c>
      <c r="AI2880" s="30">
        <v>0</v>
      </c>
      <c r="AJ2880" s="72" t="s">
        <v>16295</v>
      </c>
      <c r="AK2880" s="72" t="s">
        <v>1233</v>
      </c>
      <c r="AL2880" s="70">
        <v>43571</v>
      </c>
      <c r="AM2880" s="70"/>
      <c r="AN2880" s="70"/>
      <c r="AO2880" s="70"/>
      <c r="AP2880" s="73" t="e">
        <f>MID(VLOOKUP(K2880,#REF!,2,FALSE),1,2)</f>
        <v>#REF!</v>
      </c>
      <c r="AQ2880" s="72">
        <f>DATE(2019,4,6)</f>
        <v>43561</v>
      </c>
      <c r="AR2880" s="82">
        <f t="shared" si="245"/>
        <v>6</v>
      </c>
      <c r="AS2880" s="83">
        <f t="shared" si="246"/>
        <v>4</v>
      </c>
      <c r="AT2880" s="84">
        <f t="shared" si="247"/>
        <v>2019</v>
      </c>
      <c r="AU2880" s="86"/>
      <c r="AV2880" s="86"/>
      <c r="AW2880" s="87"/>
      <c r="AX2880" s="86"/>
      <c r="AY2880" s="83"/>
      <c r="AZ2880" s="84"/>
      <c r="BA2880" s="86"/>
      <c r="BB2880" s="86"/>
      <c r="BD2880" s="68"/>
    </row>
    <row r="2881" spans="1:56" s="25" customFormat="1" ht="36.75" customHeight="1">
      <c r="A2881" s="30"/>
      <c r="B2881" s="30" t="s">
        <v>55</v>
      </c>
      <c r="C2881" s="69" t="str">
        <f t="shared" si="244"/>
        <v>Closed</v>
      </c>
      <c r="D2881" s="27" t="s">
        <v>16296</v>
      </c>
      <c r="E2881" s="29" t="s">
        <v>16297</v>
      </c>
      <c r="F2881" s="30" t="s">
        <v>1572</v>
      </c>
      <c r="G2881" s="72">
        <f>DATE(2019,4,6)</f>
        <v>43561</v>
      </c>
      <c r="H2881" s="80">
        <v>1.5131944444444443</v>
      </c>
      <c r="I2881" s="30" t="s">
        <v>125</v>
      </c>
      <c r="J2881" s="72" t="s">
        <v>16298</v>
      </c>
      <c r="K2881" s="30" t="s">
        <v>1574</v>
      </c>
      <c r="L2881" s="30" t="s">
        <v>16299</v>
      </c>
      <c r="M2881" s="30" t="s">
        <v>63</v>
      </c>
      <c r="N2881" s="30" t="s">
        <v>99</v>
      </c>
      <c r="O2881" s="30" t="s">
        <v>77</v>
      </c>
      <c r="P2881" s="72" t="s">
        <v>165</v>
      </c>
      <c r="Q2881" s="72" t="s">
        <v>16010</v>
      </c>
      <c r="R2881" s="72" t="s">
        <v>2561</v>
      </c>
      <c r="S2881" s="30">
        <v>0</v>
      </c>
      <c r="T2881" s="232">
        <v>0</v>
      </c>
      <c r="U2881" s="30">
        <v>0</v>
      </c>
      <c r="V2881" s="232">
        <v>0</v>
      </c>
      <c r="W2881" s="30">
        <v>0</v>
      </c>
      <c r="X2881" s="30">
        <v>0</v>
      </c>
      <c r="Y2881" s="30">
        <v>0</v>
      </c>
      <c r="Z2881" s="232">
        <v>0</v>
      </c>
      <c r="AA2881" s="30">
        <v>0</v>
      </c>
      <c r="AB2881" s="30">
        <v>0</v>
      </c>
      <c r="AC2881" s="30">
        <v>0</v>
      </c>
      <c r="AD2881" s="30">
        <v>0</v>
      </c>
      <c r="AE2881" s="72" t="s">
        <v>92</v>
      </c>
      <c r="AF2881" s="72"/>
      <c r="AG2881" s="72" t="s">
        <v>133</v>
      </c>
      <c r="AH2881" s="72">
        <v>43563</v>
      </c>
      <c r="AI2881" s="30">
        <v>2</v>
      </c>
      <c r="AJ2881" s="72" t="s">
        <v>16300</v>
      </c>
      <c r="AK2881" s="72" t="s">
        <v>16301</v>
      </c>
      <c r="AL2881" s="70">
        <v>43564</v>
      </c>
      <c r="AM2881" s="70"/>
      <c r="AN2881" s="70"/>
      <c r="AO2881" s="70"/>
      <c r="AP2881" s="73" t="e">
        <f>MID(VLOOKUP(K2881,#REF!,2,FALSE),1,2)</f>
        <v>#REF!</v>
      </c>
      <c r="AQ2881" s="72">
        <f>DATE(2019,4,9)</f>
        <v>43564</v>
      </c>
      <c r="AR2881" s="82">
        <f t="shared" si="245"/>
        <v>9</v>
      </c>
      <c r="AS2881" s="83">
        <f t="shared" si="246"/>
        <v>4</v>
      </c>
      <c r="AT2881" s="84">
        <f t="shared" si="247"/>
        <v>2019</v>
      </c>
      <c r="AU2881" s="86"/>
      <c r="AV2881" s="86"/>
      <c r="AW2881" s="87"/>
      <c r="AX2881" s="86"/>
      <c r="AY2881" s="83"/>
      <c r="AZ2881" s="84"/>
      <c r="BA2881" s="86"/>
      <c r="BB2881" s="86"/>
      <c r="BD2881" s="68"/>
    </row>
    <row r="2882" spans="1:56" ht="36.75" customHeight="1">
      <c r="A2882" s="30"/>
      <c r="B2882" s="30" t="s">
        <v>55</v>
      </c>
      <c r="C2882" s="69" t="str">
        <f t="shared" ref="C2882:C2945" si="248">IF(B2882="Notification","Open",IF(B2882="Interim Statement","In progress","Closed"))</f>
        <v>Closed</v>
      </c>
      <c r="D2882" s="27" t="s">
        <v>16302</v>
      </c>
      <c r="E2882" s="29" t="s">
        <v>16303</v>
      </c>
      <c r="F2882" s="30" t="s">
        <v>2601</v>
      </c>
      <c r="G2882" s="72">
        <f>DATE(2019,4,9)</f>
        <v>43564</v>
      </c>
      <c r="H2882" s="80">
        <v>1.7916666666666665</v>
      </c>
      <c r="I2882" s="30" t="s">
        <v>125</v>
      </c>
      <c r="J2882" s="72" t="s">
        <v>16304</v>
      </c>
      <c r="K2882" s="30" t="s">
        <v>2603</v>
      </c>
      <c r="L2882" s="30" t="s">
        <v>16305</v>
      </c>
      <c r="M2882" s="30" t="s">
        <v>63</v>
      </c>
      <c r="N2882" s="30" t="s">
        <v>99</v>
      </c>
      <c r="O2882" s="30" t="s">
        <v>64</v>
      </c>
      <c r="P2882" s="72" t="s">
        <v>462</v>
      </c>
      <c r="Q2882" s="72" t="s">
        <v>6342</v>
      </c>
      <c r="R2882" s="72" t="s">
        <v>2606</v>
      </c>
      <c r="S2882" s="30">
        <v>0</v>
      </c>
      <c r="T2882" s="232">
        <v>0</v>
      </c>
      <c r="U2882" s="30">
        <v>0</v>
      </c>
      <c r="V2882" s="232">
        <v>0</v>
      </c>
      <c r="W2882" s="30">
        <v>0</v>
      </c>
      <c r="X2882" s="30">
        <v>0</v>
      </c>
      <c r="Y2882" s="30">
        <v>0</v>
      </c>
      <c r="Z2882" s="232">
        <v>0</v>
      </c>
      <c r="AA2882" s="30">
        <v>0</v>
      </c>
      <c r="AB2882" s="30">
        <v>0</v>
      </c>
      <c r="AC2882" s="30">
        <v>0</v>
      </c>
      <c r="AD2882" s="30">
        <v>0</v>
      </c>
      <c r="AE2882" s="72" t="s">
        <v>92</v>
      </c>
      <c r="AF2882" s="72"/>
      <c r="AG2882" s="72" t="s">
        <v>133</v>
      </c>
      <c r="AH2882" s="72">
        <v>43565</v>
      </c>
      <c r="AI2882" s="30">
        <v>4</v>
      </c>
      <c r="AJ2882" s="72" t="s">
        <v>16306</v>
      </c>
      <c r="AK2882" s="72" t="s">
        <v>16307</v>
      </c>
      <c r="AL2882" s="70">
        <v>43570</v>
      </c>
      <c r="AM2882" s="70"/>
      <c r="AN2882" s="70"/>
      <c r="AO2882" s="70"/>
      <c r="AP2882" s="73" t="e">
        <f>MID(VLOOKUP(K2882,#REF!,2,FALSE),1,2)</f>
        <v>#REF!</v>
      </c>
      <c r="AQ2882" s="72">
        <f>DATE(2019,4,11)</f>
        <v>43566</v>
      </c>
      <c r="AR2882" s="82">
        <f t="shared" si="245"/>
        <v>11</v>
      </c>
      <c r="AS2882" s="83">
        <f t="shared" si="246"/>
        <v>4</v>
      </c>
      <c r="AT2882" s="84">
        <f t="shared" si="247"/>
        <v>2019</v>
      </c>
      <c r="AU2882" s="86"/>
      <c r="AV2882" s="86"/>
      <c r="AW2882" s="87"/>
      <c r="AX2882" s="86"/>
      <c r="AY2882" s="83"/>
      <c r="AZ2882" s="84"/>
      <c r="BA2882" s="86"/>
      <c r="BB2882" s="86"/>
    </row>
    <row r="2883" spans="1:56" ht="36.75" customHeight="1">
      <c r="A2883" s="30"/>
      <c r="B2883" s="30" t="s">
        <v>55</v>
      </c>
      <c r="C2883" s="69" t="str">
        <f t="shared" si="248"/>
        <v>Closed</v>
      </c>
      <c r="D2883" s="27" t="s">
        <v>16308</v>
      </c>
      <c r="E2883" s="29" t="s">
        <v>16309</v>
      </c>
      <c r="F2883" s="30" t="s">
        <v>16310</v>
      </c>
      <c r="G2883" s="72">
        <f>DATE(2019,4,11)</f>
        <v>43566</v>
      </c>
      <c r="H2883" s="80">
        <v>1.8854166666666665</v>
      </c>
      <c r="I2883" s="30" t="s">
        <v>116</v>
      </c>
      <c r="J2883" s="72" t="s">
        <v>16311</v>
      </c>
      <c r="K2883" s="30" t="s">
        <v>118</v>
      </c>
      <c r="L2883" s="30" t="s">
        <v>16312</v>
      </c>
      <c r="M2883" s="30" t="s">
        <v>63</v>
      </c>
      <c r="N2883" s="30" t="s">
        <v>142</v>
      </c>
      <c r="O2883" s="30" t="s">
        <v>64</v>
      </c>
      <c r="P2883" s="72" t="s">
        <v>165</v>
      </c>
      <c r="Q2883" s="72" t="s">
        <v>16313</v>
      </c>
      <c r="R2883" s="72" t="s">
        <v>16314</v>
      </c>
      <c r="S2883" s="30">
        <v>0</v>
      </c>
      <c r="T2883" s="232">
        <v>0</v>
      </c>
      <c r="U2883" s="30">
        <v>0</v>
      </c>
      <c r="V2883" s="232">
        <v>0</v>
      </c>
      <c r="W2883" s="30">
        <v>0</v>
      </c>
      <c r="X2883" s="30">
        <v>0</v>
      </c>
      <c r="Y2883" s="30">
        <v>0</v>
      </c>
      <c r="Z2883" s="232">
        <v>0</v>
      </c>
      <c r="AA2883" s="30">
        <v>2</v>
      </c>
      <c r="AB2883" s="30">
        <v>0</v>
      </c>
      <c r="AC2883" s="30">
        <v>0</v>
      </c>
      <c r="AD2883" s="30">
        <v>2</v>
      </c>
      <c r="AE2883" s="72" t="s">
        <v>92</v>
      </c>
      <c r="AF2883" s="72" t="s">
        <v>16315</v>
      </c>
      <c r="AG2883" s="72" t="s">
        <v>8859</v>
      </c>
      <c r="AH2883" s="72">
        <v>43574</v>
      </c>
      <c r="AI2883" s="30">
        <v>0</v>
      </c>
      <c r="AJ2883" s="72" t="s">
        <v>16316</v>
      </c>
      <c r="AK2883" s="72" t="s">
        <v>10556</v>
      </c>
      <c r="AL2883" s="70">
        <v>43613</v>
      </c>
      <c r="AM2883" s="70"/>
      <c r="AN2883" s="70">
        <v>44543</v>
      </c>
      <c r="AO2883" s="70">
        <v>44439</v>
      </c>
      <c r="AP2883" s="73" t="e">
        <f>MID(VLOOKUP(K2883,#REF!,2,FALSE),1,2)</f>
        <v>#REF!</v>
      </c>
      <c r="AQ2883" s="72">
        <f>DATE(2019,4,12)</f>
        <v>43567</v>
      </c>
      <c r="AR2883" s="82">
        <f t="shared" si="245"/>
        <v>12</v>
      </c>
      <c r="AS2883" s="83">
        <f t="shared" si="246"/>
        <v>4</v>
      </c>
      <c r="AT2883" s="84">
        <f t="shared" si="247"/>
        <v>2019</v>
      </c>
      <c r="AU2883" s="86"/>
      <c r="AV2883" s="86"/>
      <c r="AW2883" s="87"/>
      <c r="AX2883" s="86"/>
      <c r="AY2883" s="83"/>
      <c r="AZ2883" s="84"/>
      <c r="BA2883" s="86"/>
      <c r="BB2883" s="86"/>
    </row>
    <row r="2884" spans="1:56" ht="36.75" customHeight="1">
      <c r="A2884" s="30"/>
      <c r="B2884" s="30" t="s">
        <v>55</v>
      </c>
      <c r="C2884" s="69" t="str">
        <f t="shared" si="248"/>
        <v>Closed</v>
      </c>
      <c r="D2884" s="27" t="s">
        <v>16317</v>
      </c>
      <c r="E2884" s="29" t="s">
        <v>16318</v>
      </c>
      <c r="F2884" s="30" t="s">
        <v>6455</v>
      </c>
      <c r="G2884" s="72">
        <f>DATE(2019,4,12)</f>
        <v>43567</v>
      </c>
      <c r="H2884" s="80">
        <v>1.3597222222222223</v>
      </c>
      <c r="I2884" s="30" t="s">
        <v>73</v>
      </c>
      <c r="J2884" s="72" t="s">
        <v>16319</v>
      </c>
      <c r="K2884" s="30" t="s">
        <v>584</v>
      </c>
      <c r="L2884" s="30" t="s">
        <v>16320</v>
      </c>
      <c r="M2884" s="30" t="s">
        <v>63</v>
      </c>
      <c r="N2884" s="30" t="s">
        <v>142</v>
      </c>
      <c r="O2884" s="30" t="s">
        <v>77</v>
      </c>
      <c r="P2884" s="72" t="s">
        <v>165</v>
      </c>
      <c r="Q2884" s="72" t="s">
        <v>12027</v>
      </c>
      <c r="R2884" s="72" t="s">
        <v>587</v>
      </c>
      <c r="S2884" s="30">
        <v>0</v>
      </c>
      <c r="T2884" s="232">
        <v>0</v>
      </c>
      <c r="U2884" s="30">
        <v>0</v>
      </c>
      <c r="V2884" s="232">
        <v>0</v>
      </c>
      <c r="W2884" s="30">
        <v>0</v>
      </c>
      <c r="X2884" s="30">
        <v>0</v>
      </c>
      <c r="Y2884" s="30">
        <v>0</v>
      </c>
      <c r="Z2884" s="232">
        <v>0</v>
      </c>
      <c r="AA2884" s="30">
        <v>0</v>
      </c>
      <c r="AB2884" s="30">
        <v>0</v>
      </c>
      <c r="AC2884" s="30">
        <v>0</v>
      </c>
      <c r="AD2884" s="30">
        <v>0</v>
      </c>
      <c r="AE2884" s="72" t="s">
        <v>92</v>
      </c>
      <c r="AF2884" s="72" t="s">
        <v>16321</v>
      </c>
      <c r="AG2884" s="72" t="s">
        <v>8859</v>
      </c>
      <c r="AH2884" s="72">
        <v>43570</v>
      </c>
      <c r="AI2884" s="30">
        <v>0</v>
      </c>
      <c r="AJ2884" s="72" t="s">
        <v>16322</v>
      </c>
      <c r="AK2884" s="72" t="s">
        <v>68</v>
      </c>
      <c r="AL2884" s="70">
        <v>43579</v>
      </c>
      <c r="AM2884" s="70">
        <v>44650</v>
      </c>
      <c r="AN2884" s="70">
        <v>44861</v>
      </c>
      <c r="AO2884" s="70">
        <v>44847</v>
      </c>
      <c r="AP2884" s="73" t="e">
        <f>MID(VLOOKUP(K2884,#REF!,2,FALSE),1,2)</f>
        <v>#REF!</v>
      </c>
      <c r="AQ2884" s="72">
        <f>DATE(2019,4,13)</f>
        <v>43568</v>
      </c>
      <c r="AR2884" s="82">
        <f t="shared" si="245"/>
        <v>13</v>
      </c>
      <c r="AS2884" s="83">
        <f t="shared" si="246"/>
        <v>4</v>
      </c>
      <c r="AT2884" s="84">
        <f t="shared" si="247"/>
        <v>2019</v>
      </c>
      <c r="AU2884" s="86"/>
      <c r="AV2884" s="86"/>
      <c r="AW2884" s="87"/>
      <c r="AX2884" s="86"/>
      <c r="AY2884" s="83"/>
      <c r="AZ2884" s="84"/>
      <c r="BA2884" s="86"/>
      <c r="BB2884" s="86"/>
    </row>
    <row r="2885" spans="1:56" ht="36.75" customHeight="1">
      <c r="A2885" s="30"/>
      <c r="B2885" s="30" t="s">
        <v>55</v>
      </c>
      <c r="C2885" s="69" t="str">
        <f t="shared" si="248"/>
        <v>Closed</v>
      </c>
      <c r="D2885" s="27" t="s">
        <v>16323</v>
      </c>
      <c r="E2885" s="29" t="s">
        <v>16324</v>
      </c>
      <c r="F2885" s="30" t="s">
        <v>423</v>
      </c>
      <c r="G2885" s="72">
        <f>DATE(2019,4,13)</f>
        <v>43568</v>
      </c>
      <c r="H2885" s="80">
        <v>1.2340277777777777</v>
      </c>
      <c r="I2885" s="30" t="s">
        <v>198</v>
      </c>
      <c r="J2885" s="72" t="s">
        <v>16325</v>
      </c>
      <c r="K2885" s="30" t="s">
        <v>425</v>
      </c>
      <c r="L2885" s="30" t="s">
        <v>16326</v>
      </c>
      <c r="M2885" s="30" t="s">
        <v>63</v>
      </c>
      <c r="N2885" s="30" t="s">
        <v>142</v>
      </c>
      <c r="O2885" s="30" t="s">
        <v>6875</v>
      </c>
      <c r="P2885" s="72" t="s">
        <v>15625</v>
      </c>
      <c r="Q2885" s="72" t="s">
        <v>2582</v>
      </c>
      <c r="R2885" s="72" t="s">
        <v>16327</v>
      </c>
      <c r="S2885" s="30">
        <v>0</v>
      </c>
      <c r="T2885" s="232">
        <v>0</v>
      </c>
      <c r="U2885" s="30">
        <v>0</v>
      </c>
      <c r="V2885" s="232">
        <v>0</v>
      </c>
      <c r="W2885" s="30">
        <v>0</v>
      </c>
      <c r="X2885" s="30">
        <v>0</v>
      </c>
      <c r="Y2885" s="30">
        <v>0</v>
      </c>
      <c r="Z2885" s="232">
        <v>0</v>
      </c>
      <c r="AA2885" s="30">
        <v>0</v>
      </c>
      <c r="AB2885" s="30">
        <v>0</v>
      </c>
      <c r="AC2885" s="30">
        <v>0</v>
      </c>
      <c r="AD2885" s="30">
        <v>0</v>
      </c>
      <c r="AE2885" s="72" t="s">
        <v>394</v>
      </c>
      <c r="AF2885" s="72"/>
      <c r="AG2885" s="72" t="s">
        <v>133</v>
      </c>
      <c r="AH2885" s="72">
        <v>43568</v>
      </c>
      <c r="AI2885" s="30">
        <v>0</v>
      </c>
      <c r="AJ2885" s="72" t="s">
        <v>16328</v>
      </c>
      <c r="AK2885" s="72" t="s">
        <v>16329</v>
      </c>
      <c r="AL2885" s="70">
        <v>43570</v>
      </c>
      <c r="AM2885" s="70"/>
      <c r="AN2885" s="70"/>
      <c r="AO2885" s="70"/>
      <c r="AP2885" s="73" t="e">
        <f>MID(VLOOKUP(K2885,#REF!,2,FALSE),1,2)</f>
        <v>#REF!</v>
      </c>
      <c r="AQ2885" s="72">
        <f>DATE(2019,4,13)</f>
        <v>43568</v>
      </c>
      <c r="AR2885" s="82">
        <f t="shared" si="245"/>
        <v>13</v>
      </c>
      <c r="AS2885" s="84">
        <f t="shared" si="246"/>
        <v>4</v>
      </c>
      <c r="AT2885" s="104">
        <f t="shared" si="247"/>
        <v>2019</v>
      </c>
      <c r="AU2885" s="86"/>
      <c r="AV2885" s="87"/>
      <c r="AW2885" s="86"/>
      <c r="AX2885" s="82"/>
      <c r="AY2885" s="84"/>
      <c r="AZ2885" s="104"/>
      <c r="BA2885" s="86"/>
      <c r="BB2885" s="86"/>
    </row>
    <row r="2886" spans="1:56" ht="36.75" customHeight="1">
      <c r="A2886" s="30"/>
      <c r="B2886" s="30" t="s">
        <v>55</v>
      </c>
      <c r="C2886" s="69" t="str">
        <f t="shared" si="248"/>
        <v>Closed</v>
      </c>
      <c r="D2886" s="27" t="s">
        <v>16330</v>
      </c>
      <c r="E2886" s="29" t="s">
        <v>16331</v>
      </c>
      <c r="F2886" s="30" t="s">
        <v>582</v>
      </c>
      <c r="G2886" s="72">
        <f>DATE(2019,4,13)</f>
        <v>43568</v>
      </c>
      <c r="H2886" s="80">
        <v>1.557638888888889</v>
      </c>
      <c r="I2886" s="30" t="s">
        <v>198</v>
      </c>
      <c r="J2886" s="72" t="s">
        <v>16332</v>
      </c>
      <c r="K2886" s="30" t="s">
        <v>584</v>
      </c>
      <c r="L2886" s="30" t="s">
        <v>16333</v>
      </c>
      <c r="M2886" s="30" t="s">
        <v>63</v>
      </c>
      <c r="N2886" s="30" t="s">
        <v>142</v>
      </c>
      <c r="O2886" s="30" t="s">
        <v>77</v>
      </c>
      <c r="P2886" s="72" t="s">
        <v>165</v>
      </c>
      <c r="Q2886" s="72" t="s">
        <v>16334</v>
      </c>
      <c r="R2886" s="72" t="s">
        <v>587</v>
      </c>
      <c r="S2886" s="30">
        <v>0</v>
      </c>
      <c r="T2886" s="232">
        <v>0</v>
      </c>
      <c r="U2886" s="30">
        <v>0</v>
      </c>
      <c r="V2886" s="232">
        <v>0</v>
      </c>
      <c r="W2886" s="30">
        <v>0</v>
      </c>
      <c r="X2886" s="30">
        <v>0</v>
      </c>
      <c r="Y2886" s="30">
        <v>0</v>
      </c>
      <c r="Z2886" s="232">
        <v>0</v>
      </c>
      <c r="AA2886" s="30">
        <v>0</v>
      </c>
      <c r="AB2886" s="30">
        <v>0</v>
      </c>
      <c r="AC2886" s="30">
        <v>0</v>
      </c>
      <c r="AD2886" s="30">
        <v>0</v>
      </c>
      <c r="AE2886" s="72" t="s">
        <v>394</v>
      </c>
      <c r="AF2886" s="72"/>
      <c r="AG2886" s="72" t="s">
        <v>589</v>
      </c>
      <c r="AH2886" s="72">
        <v>43570</v>
      </c>
      <c r="AI2886" s="30">
        <v>0</v>
      </c>
      <c r="AJ2886" s="72" t="s">
        <v>16335</v>
      </c>
      <c r="AK2886" s="72" t="s">
        <v>1233</v>
      </c>
      <c r="AL2886" s="70">
        <v>43724</v>
      </c>
      <c r="AM2886" s="70"/>
      <c r="AN2886" s="70"/>
      <c r="AO2886" s="70"/>
      <c r="AP2886" s="73" t="e">
        <f>MID(VLOOKUP(K2886,#REF!,2,FALSE),1,2)</f>
        <v>#REF!</v>
      </c>
      <c r="AQ2886" s="72">
        <f>DATE(2019,4,16)</f>
        <v>43571</v>
      </c>
      <c r="AR2886" s="82">
        <f t="shared" si="245"/>
        <v>16</v>
      </c>
      <c r="AS2886" s="83">
        <f t="shared" si="246"/>
        <v>4</v>
      </c>
      <c r="AT2886" s="84">
        <f t="shared" si="247"/>
        <v>2019</v>
      </c>
      <c r="AU2886" s="86"/>
      <c r="AV2886" s="86"/>
      <c r="AW2886" s="87"/>
      <c r="AX2886" s="86"/>
      <c r="AY2886" s="83"/>
      <c r="AZ2886" s="84"/>
      <c r="BA2886" s="86"/>
      <c r="BB2886" s="86"/>
    </row>
    <row r="2887" spans="1:56" ht="36.75" customHeight="1">
      <c r="A2887" s="30"/>
      <c r="B2887" s="30" t="s">
        <v>55</v>
      </c>
      <c r="C2887" s="69" t="str">
        <f t="shared" si="248"/>
        <v>Closed</v>
      </c>
      <c r="D2887" s="27" t="s">
        <v>16336</v>
      </c>
      <c r="E2887" s="29" t="s">
        <v>16337</v>
      </c>
      <c r="F2887" s="30" t="s">
        <v>233</v>
      </c>
      <c r="G2887" s="72">
        <f>DATE(2019,4,16)</f>
        <v>43571</v>
      </c>
      <c r="H2887" s="80">
        <v>1.3888888888888888</v>
      </c>
      <c r="I2887" s="30" t="s">
        <v>487</v>
      </c>
      <c r="J2887" s="72" t="s">
        <v>16338</v>
      </c>
      <c r="K2887" s="30" t="s">
        <v>235</v>
      </c>
      <c r="L2887" s="30" t="s">
        <v>16339</v>
      </c>
      <c r="M2887" s="30" t="s">
        <v>9919</v>
      </c>
      <c r="N2887" s="30" t="s">
        <v>142</v>
      </c>
      <c r="O2887" s="30" t="s">
        <v>64</v>
      </c>
      <c r="P2887" s="72" t="s">
        <v>7982</v>
      </c>
      <c r="Q2887" s="72" t="s">
        <v>2779</v>
      </c>
      <c r="R2887" s="72" t="s">
        <v>235</v>
      </c>
      <c r="S2887" s="30">
        <v>0</v>
      </c>
      <c r="T2887" s="232">
        <v>0</v>
      </c>
      <c r="U2887" s="30">
        <v>0</v>
      </c>
      <c r="V2887" s="232">
        <v>0</v>
      </c>
      <c r="W2887" s="30">
        <v>0</v>
      </c>
      <c r="X2887" s="30">
        <v>0</v>
      </c>
      <c r="Y2887" s="30">
        <v>0</v>
      </c>
      <c r="Z2887" s="232">
        <v>0</v>
      </c>
      <c r="AA2887" s="30">
        <v>0</v>
      </c>
      <c r="AB2887" s="30">
        <v>0</v>
      </c>
      <c r="AC2887" s="30">
        <v>0</v>
      </c>
      <c r="AD2887" s="30">
        <v>0</v>
      </c>
      <c r="AE2887" s="72" t="s">
        <v>92</v>
      </c>
      <c r="AF2887" s="72"/>
      <c r="AG2887" s="72" t="s">
        <v>133</v>
      </c>
      <c r="AH2887" s="72">
        <v>43584</v>
      </c>
      <c r="AI2887" s="30">
        <v>4</v>
      </c>
      <c r="AJ2887" s="72" t="s">
        <v>16340</v>
      </c>
      <c r="AK2887" s="72" t="s">
        <v>16341</v>
      </c>
      <c r="AL2887" s="70">
        <v>43592</v>
      </c>
      <c r="AM2887" s="70"/>
      <c r="AN2887" s="70"/>
      <c r="AO2887" s="70"/>
      <c r="AP2887" s="73" t="e">
        <f>MID(VLOOKUP(K2887,#REF!,2,FALSE),1,2)</f>
        <v>#REF!</v>
      </c>
      <c r="AQ2887" s="72">
        <f>DATE(2019,4,19)</f>
        <v>43574</v>
      </c>
      <c r="AR2887" s="82">
        <f t="shared" si="245"/>
        <v>19</v>
      </c>
      <c r="AS2887" s="83">
        <f t="shared" si="246"/>
        <v>4</v>
      </c>
      <c r="AT2887" s="84">
        <f t="shared" si="247"/>
        <v>2019</v>
      </c>
      <c r="AU2887" s="86"/>
      <c r="AV2887" s="86"/>
      <c r="AW2887" s="87"/>
      <c r="AX2887" s="86"/>
      <c r="AY2887" s="83"/>
      <c r="AZ2887" s="84"/>
      <c r="BA2887" s="86"/>
      <c r="BB2887" s="86"/>
    </row>
    <row r="2888" spans="1:56" ht="36.75" customHeight="1">
      <c r="A2888" s="30"/>
      <c r="B2888" s="30" t="s">
        <v>55</v>
      </c>
      <c r="C2888" s="69" t="str">
        <f t="shared" si="248"/>
        <v>Closed</v>
      </c>
      <c r="D2888" s="27" t="s">
        <v>16342</v>
      </c>
      <c r="E2888" s="29" t="s">
        <v>16343</v>
      </c>
      <c r="F2888" s="30" t="s">
        <v>423</v>
      </c>
      <c r="G2888" s="72">
        <f>DATE(2019,4,19)</f>
        <v>43574</v>
      </c>
      <c r="H2888" s="80">
        <v>1.08125</v>
      </c>
      <c r="I2888" s="30" t="s">
        <v>278</v>
      </c>
      <c r="J2888" s="72" t="s">
        <v>16344</v>
      </c>
      <c r="K2888" s="30" t="s">
        <v>425</v>
      </c>
      <c r="L2888" s="30" t="s">
        <v>11635</v>
      </c>
      <c r="M2888" s="30" t="s">
        <v>63</v>
      </c>
      <c r="N2888" s="30" t="s">
        <v>142</v>
      </c>
      <c r="O2888" s="30" t="s">
        <v>77</v>
      </c>
      <c r="P2888" s="72" t="s">
        <v>8025</v>
      </c>
      <c r="Q2888" s="72" t="s">
        <v>16345</v>
      </c>
      <c r="R2888" s="72" t="s">
        <v>3103</v>
      </c>
      <c r="S2888" s="30">
        <v>1</v>
      </c>
      <c r="T2888" s="232">
        <v>0</v>
      </c>
      <c r="U2888" s="30">
        <v>0</v>
      </c>
      <c r="V2888" s="232">
        <v>0</v>
      </c>
      <c r="W2888" s="30">
        <v>0</v>
      </c>
      <c r="X2888" s="30">
        <v>1</v>
      </c>
      <c r="Y2888" s="30">
        <v>0</v>
      </c>
      <c r="Z2888" s="232">
        <v>0</v>
      </c>
      <c r="AA2888" s="30">
        <v>0</v>
      </c>
      <c r="AB2888" s="30">
        <v>0</v>
      </c>
      <c r="AC2888" s="30">
        <v>0</v>
      </c>
      <c r="AD2888" s="30">
        <v>0</v>
      </c>
      <c r="AE2888" s="72" t="s">
        <v>92</v>
      </c>
      <c r="AF2888" s="72"/>
      <c r="AG2888" s="72" t="s">
        <v>133</v>
      </c>
      <c r="AH2888" s="72">
        <v>43580</v>
      </c>
      <c r="AI2888" s="30">
        <v>0</v>
      </c>
      <c r="AJ2888" s="72" t="s">
        <v>16346</v>
      </c>
      <c r="AK2888" s="72" t="s">
        <v>16347</v>
      </c>
      <c r="AL2888" s="70">
        <v>43580</v>
      </c>
      <c r="AM2888" s="70"/>
      <c r="AN2888" s="70"/>
      <c r="AO2888" s="70"/>
      <c r="AP2888" s="73" t="e">
        <f>MID(VLOOKUP(K2888,#REF!,2,FALSE),1,2)</f>
        <v>#REF!</v>
      </c>
      <c r="AQ2888" s="72">
        <f>DATE(2019,4,19)</f>
        <v>43574</v>
      </c>
      <c r="AR2888" s="82">
        <f t="shared" si="245"/>
        <v>19</v>
      </c>
      <c r="AS2888" s="83">
        <f t="shared" si="246"/>
        <v>4</v>
      </c>
      <c r="AT2888" s="84">
        <f t="shared" si="247"/>
        <v>2019</v>
      </c>
      <c r="AU2888" s="86"/>
      <c r="AV2888" s="86"/>
      <c r="AW2888" s="87"/>
      <c r="AX2888" s="86"/>
      <c r="AY2888" s="83"/>
      <c r="AZ2888" s="84"/>
      <c r="BA2888" s="86"/>
      <c r="BB2888" s="86"/>
    </row>
    <row r="2889" spans="1:56" ht="36.75" customHeight="1">
      <c r="A2889" s="30"/>
      <c r="B2889" s="30" t="s">
        <v>2124</v>
      </c>
      <c r="C2889" s="69" t="str">
        <f t="shared" si="248"/>
        <v>Open</v>
      </c>
      <c r="D2889" s="27" t="s">
        <v>16348</v>
      </c>
      <c r="E2889" s="29" t="s">
        <v>16349</v>
      </c>
      <c r="F2889" s="30" t="s">
        <v>594</v>
      </c>
      <c r="G2889" s="72">
        <f>DATE(2019,4,19)</f>
        <v>43574</v>
      </c>
      <c r="H2889" s="80">
        <v>1.1708333333333334</v>
      </c>
      <c r="I2889" s="30" t="s">
        <v>487</v>
      </c>
      <c r="J2889" s="72" t="s">
        <v>16350</v>
      </c>
      <c r="K2889" s="30" t="s">
        <v>596</v>
      </c>
      <c r="L2889" s="30" t="s">
        <v>16351</v>
      </c>
      <c r="M2889" s="30" t="s">
        <v>63</v>
      </c>
      <c r="N2889" s="30" t="s">
        <v>142</v>
      </c>
      <c r="O2889" s="30" t="s">
        <v>77</v>
      </c>
      <c r="P2889" s="72" t="s">
        <v>86</v>
      </c>
      <c r="Q2889" s="72" t="s">
        <v>596</v>
      </c>
      <c r="R2889" s="72" t="s">
        <v>12074</v>
      </c>
      <c r="S2889" s="30">
        <v>0</v>
      </c>
      <c r="T2889" s="232">
        <v>0</v>
      </c>
      <c r="U2889" s="30">
        <v>0</v>
      </c>
      <c r="V2889" s="232">
        <v>0</v>
      </c>
      <c r="W2889" s="30">
        <v>0</v>
      </c>
      <c r="X2889" s="30">
        <v>0</v>
      </c>
      <c r="Y2889" s="30">
        <v>0</v>
      </c>
      <c r="Z2889" s="232">
        <v>0</v>
      </c>
      <c r="AA2889" s="30">
        <v>0</v>
      </c>
      <c r="AB2889" s="30">
        <v>0</v>
      </c>
      <c r="AC2889" s="30">
        <v>0</v>
      </c>
      <c r="AD2889" s="30">
        <v>0</v>
      </c>
      <c r="AE2889" s="72" t="s">
        <v>92</v>
      </c>
      <c r="AF2889" s="72"/>
      <c r="AG2889" s="72" t="s">
        <v>133</v>
      </c>
      <c r="AH2889" s="72">
        <v>43598</v>
      </c>
      <c r="AI2889" s="30">
        <v>0</v>
      </c>
      <c r="AJ2889" s="72" t="s">
        <v>68</v>
      </c>
      <c r="AK2889" s="72" t="s">
        <v>68</v>
      </c>
      <c r="AL2889" s="70">
        <v>43619</v>
      </c>
      <c r="AM2889" s="70"/>
      <c r="AN2889" s="70"/>
      <c r="AO2889" s="70"/>
      <c r="AP2889" s="73" t="e">
        <f>MID(VLOOKUP(K2889,#REF!,2,FALSE),1,2)</f>
        <v>#REF!</v>
      </c>
      <c r="AQ2889" s="72">
        <f>DATE(2019,4,20)</f>
        <v>43575</v>
      </c>
      <c r="AR2889" s="82">
        <f t="shared" si="245"/>
        <v>20</v>
      </c>
      <c r="AS2889" s="84">
        <f t="shared" si="246"/>
        <v>4</v>
      </c>
      <c r="AT2889" s="104">
        <f t="shared" si="247"/>
        <v>2019</v>
      </c>
      <c r="AU2889" s="86"/>
      <c r="AV2889" s="87"/>
      <c r="AW2889" s="86"/>
      <c r="AX2889" s="82"/>
      <c r="AY2889" s="84"/>
      <c r="AZ2889" s="104"/>
      <c r="BA2889" s="86"/>
      <c r="BB2889" s="86"/>
    </row>
    <row r="2890" spans="1:56" ht="36.75" customHeight="1">
      <c r="A2890" s="98" t="s">
        <v>4910</v>
      </c>
      <c r="B2890" s="30" t="s">
        <v>55</v>
      </c>
      <c r="C2890" s="69" t="str">
        <f t="shared" si="248"/>
        <v>Closed</v>
      </c>
      <c r="D2890" s="27" t="s">
        <v>16352</v>
      </c>
      <c r="E2890" s="29" t="s">
        <v>16353</v>
      </c>
      <c r="F2890" s="30" t="s">
        <v>638</v>
      </c>
      <c r="G2890" s="72">
        <f>DATE(2019,4,20)</f>
        <v>43575</v>
      </c>
      <c r="H2890" s="80">
        <v>1.838888888888889</v>
      </c>
      <c r="I2890" s="30" t="s">
        <v>2078</v>
      </c>
      <c r="J2890" s="72" t="s">
        <v>16354</v>
      </c>
      <c r="K2890" s="30" t="s">
        <v>640</v>
      </c>
      <c r="L2890" s="30" t="s">
        <v>16355</v>
      </c>
      <c r="M2890" s="30" t="s">
        <v>63</v>
      </c>
      <c r="N2890" s="30" t="s">
        <v>89</v>
      </c>
      <c r="O2890" s="30" t="s">
        <v>77</v>
      </c>
      <c r="P2890" s="72" t="s">
        <v>6902</v>
      </c>
      <c r="Q2890" s="72" t="s">
        <v>1185</v>
      </c>
      <c r="R2890" s="72" t="s">
        <v>643</v>
      </c>
      <c r="S2890" s="30">
        <v>0</v>
      </c>
      <c r="T2890" s="232">
        <v>0</v>
      </c>
      <c r="U2890" s="30">
        <v>0</v>
      </c>
      <c r="V2890" s="232">
        <v>0</v>
      </c>
      <c r="W2890" s="30">
        <v>0</v>
      </c>
      <c r="X2890" s="30">
        <v>0</v>
      </c>
      <c r="Y2890" s="30">
        <v>0</v>
      </c>
      <c r="Z2890" s="232">
        <v>0</v>
      </c>
      <c r="AA2890" s="30">
        <v>0</v>
      </c>
      <c r="AB2890" s="30">
        <v>0</v>
      </c>
      <c r="AC2890" s="30">
        <v>0</v>
      </c>
      <c r="AD2890" s="30">
        <v>0</v>
      </c>
      <c r="AE2890" s="72" t="s">
        <v>92</v>
      </c>
      <c r="AF2890" s="72"/>
      <c r="AG2890" s="72" t="s">
        <v>1683</v>
      </c>
      <c r="AH2890" s="72">
        <v>43942</v>
      </c>
      <c r="AI2890" s="30">
        <v>3</v>
      </c>
      <c r="AJ2890" s="72" t="s">
        <v>68</v>
      </c>
      <c r="AK2890" s="72" t="s">
        <v>68</v>
      </c>
      <c r="AL2890" s="70">
        <v>43944</v>
      </c>
      <c r="AM2890" s="70"/>
      <c r="AN2890" s="70"/>
      <c r="AO2890" s="70"/>
      <c r="AP2890" s="73" t="e">
        <f>MID(VLOOKUP(K2890,#REF!,2,FALSE),1,2)</f>
        <v>#REF!</v>
      </c>
      <c r="AQ2890" s="72">
        <f>DATE(2019,4,20)</f>
        <v>43575</v>
      </c>
      <c r="AR2890" s="82">
        <f t="shared" si="245"/>
        <v>20</v>
      </c>
      <c r="AS2890" s="83">
        <f t="shared" si="246"/>
        <v>4</v>
      </c>
      <c r="AT2890" s="84">
        <f t="shared" si="247"/>
        <v>2019</v>
      </c>
      <c r="AU2890" s="86"/>
      <c r="AV2890" s="86"/>
      <c r="AW2890" s="87"/>
      <c r="AX2890" s="86"/>
      <c r="AY2890" s="83"/>
      <c r="AZ2890" s="84"/>
      <c r="BA2890" s="86"/>
      <c r="BB2890" s="86"/>
    </row>
    <row r="2891" spans="1:56" ht="36.75" customHeight="1">
      <c r="A2891" s="30"/>
      <c r="B2891" s="30" t="s">
        <v>55</v>
      </c>
      <c r="C2891" s="69" t="str">
        <f t="shared" si="248"/>
        <v>Closed</v>
      </c>
      <c r="D2891" s="27" t="s">
        <v>16356</v>
      </c>
      <c r="E2891" s="29" t="s">
        <v>16357</v>
      </c>
      <c r="F2891" s="30" t="s">
        <v>1572</v>
      </c>
      <c r="G2891" s="72">
        <f>DATE(2019,4,20)</f>
        <v>43575</v>
      </c>
      <c r="H2891" s="80">
        <v>1.1944444444444444</v>
      </c>
      <c r="I2891" s="30" t="s">
        <v>73</v>
      </c>
      <c r="J2891" s="72" t="s">
        <v>16358</v>
      </c>
      <c r="K2891" s="30" t="s">
        <v>1574</v>
      </c>
      <c r="L2891" s="30" t="s">
        <v>16359</v>
      </c>
      <c r="M2891" s="30" t="s">
        <v>63</v>
      </c>
      <c r="N2891" s="30" t="s">
        <v>99</v>
      </c>
      <c r="O2891" s="30" t="s">
        <v>64</v>
      </c>
      <c r="P2891" s="72" t="s">
        <v>78</v>
      </c>
      <c r="Q2891" s="72" t="s">
        <v>6093</v>
      </c>
      <c r="R2891" s="72" t="s">
        <v>4920</v>
      </c>
      <c r="S2891" s="30">
        <v>0</v>
      </c>
      <c r="T2891" s="232">
        <v>0</v>
      </c>
      <c r="U2891" s="30">
        <v>0</v>
      </c>
      <c r="V2891" s="232">
        <v>0</v>
      </c>
      <c r="W2891" s="30">
        <v>0</v>
      </c>
      <c r="X2891" s="30">
        <v>0</v>
      </c>
      <c r="Y2891" s="30">
        <v>0</v>
      </c>
      <c r="Z2891" s="232">
        <v>0</v>
      </c>
      <c r="AA2891" s="30">
        <v>0</v>
      </c>
      <c r="AB2891" s="30">
        <v>0</v>
      </c>
      <c r="AC2891" s="30">
        <v>0</v>
      </c>
      <c r="AD2891" s="30">
        <v>0</v>
      </c>
      <c r="AE2891" s="72" t="s">
        <v>92</v>
      </c>
      <c r="AF2891" s="72"/>
      <c r="AG2891" s="72" t="s">
        <v>133</v>
      </c>
      <c r="AH2891" s="72">
        <v>43577</v>
      </c>
      <c r="AI2891" s="30">
        <v>1</v>
      </c>
      <c r="AJ2891" s="72" t="s">
        <v>16360</v>
      </c>
      <c r="AK2891" s="72" t="s">
        <v>16361</v>
      </c>
      <c r="AL2891" s="70">
        <v>43579</v>
      </c>
      <c r="AM2891" s="70"/>
      <c r="AN2891" s="70"/>
      <c r="AO2891" s="70"/>
      <c r="AP2891" s="73" t="e">
        <f>MID(VLOOKUP(K2891,#REF!,2,FALSE),1,2)</f>
        <v>#REF!</v>
      </c>
      <c r="AQ2891" s="72">
        <f>DATE(2019,4,20)</f>
        <v>43575</v>
      </c>
      <c r="AR2891" s="82">
        <f t="shared" si="245"/>
        <v>20</v>
      </c>
      <c r="AS2891" s="83">
        <f t="shared" si="246"/>
        <v>4</v>
      </c>
      <c r="AT2891" s="84">
        <f t="shared" si="247"/>
        <v>2019</v>
      </c>
      <c r="AU2891" s="86"/>
      <c r="AV2891" s="86"/>
      <c r="AW2891" s="87"/>
      <c r="AX2891" s="86"/>
      <c r="AY2891" s="83"/>
      <c r="AZ2891" s="84"/>
      <c r="BA2891" s="86"/>
      <c r="BB2891" s="86"/>
    </row>
    <row r="2892" spans="1:56" ht="36.75" customHeight="1">
      <c r="A2892" s="30"/>
      <c r="B2892" s="30" t="s">
        <v>55</v>
      </c>
      <c r="C2892" s="69" t="str">
        <f t="shared" si="248"/>
        <v>Closed</v>
      </c>
      <c r="D2892" s="27" t="s">
        <v>16362</v>
      </c>
      <c r="E2892" s="29" t="s">
        <v>16363</v>
      </c>
      <c r="F2892" s="30" t="s">
        <v>233</v>
      </c>
      <c r="G2892" s="72">
        <f>DATE(2019,4,20)</f>
        <v>43575</v>
      </c>
      <c r="H2892" s="80">
        <v>1.7979166666666666</v>
      </c>
      <c r="I2892" s="30" t="s">
        <v>2078</v>
      </c>
      <c r="J2892" s="72" t="s">
        <v>16364</v>
      </c>
      <c r="K2892" s="30" t="s">
        <v>235</v>
      </c>
      <c r="L2892" s="30" t="s">
        <v>12660</v>
      </c>
      <c r="M2892" s="30" t="s">
        <v>63</v>
      </c>
      <c r="N2892" s="30" t="s">
        <v>89</v>
      </c>
      <c r="O2892" s="30" t="s">
        <v>64</v>
      </c>
      <c r="P2892" s="72" t="s">
        <v>301</v>
      </c>
      <c r="Q2892" s="72" t="s">
        <v>16365</v>
      </c>
      <c r="R2892" s="72" t="s">
        <v>235</v>
      </c>
      <c r="S2892" s="30">
        <v>0</v>
      </c>
      <c r="T2892" s="232">
        <v>0</v>
      </c>
      <c r="U2892" s="30">
        <v>0</v>
      </c>
      <c r="V2892" s="232">
        <v>0</v>
      </c>
      <c r="W2892" s="30">
        <v>0</v>
      </c>
      <c r="X2892" s="30">
        <v>0</v>
      </c>
      <c r="Y2892" s="30">
        <v>0</v>
      </c>
      <c r="Z2892" s="232">
        <v>0</v>
      </c>
      <c r="AA2892" s="30">
        <v>0</v>
      </c>
      <c r="AB2892" s="30">
        <v>0</v>
      </c>
      <c r="AC2892" s="30">
        <v>0</v>
      </c>
      <c r="AD2892" s="30">
        <v>0</v>
      </c>
      <c r="AE2892" s="72" t="s">
        <v>92</v>
      </c>
      <c r="AF2892" s="72"/>
      <c r="AG2892" s="72" t="s">
        <v>133</v>
      </c>
      <c r="AH2892" s="72">
        <v>43584</v>
      </c>
      <c r="AI2892" s="30">
        <v>4</v>
      </c>
      <c r="AJ2892" s="72" t="s">
        <v>16366</v>
      </c>
      <c r="AK2892" s="72" t="s">
        <v>16367</v>
      </c>
      <c r="AL2892" s="70">
        <v>43598</v>
      </c>
      <c r="AM2892" s="70"/>
      <c r="AN2892" s="70"/>
      <c r="AO2892" s="70"/>
      <c r="AP2892" s="73" t="e">
        <f>MID(VLOOKUP(K2892,#REF!,2,FALSE),1,2)</f>
        <v>#REF!</v>
      </c>
      <c r="AQ2892" s="72">
        <f>DATE(2019,4,21)</f>
        <v>43576</v>
      </c>
      <c r="AR2892" s="82">
        <f t="shared" si="245"/>
        <v>21</v>
      </c>
      <c r="AS2892" s="83">
        <f t="shared" si="246"/>
        <v>4</v>
      </c>
      <c r="AT2892" s="84">
        <f t="shared" si="247"/>
        <v>2019</v>
      </c>
      <c r="AU2892" s="86"/>
      <c r="AV2892" s="86"/>
      <c r="AW2892" s="87"/>
      <c r="AX2892" s="86"/>
      <c r="AY2892" s="83"/>
      <c r="AZ2892" s="84"/>
      <c r="BA2892" s="86"/>
      <c r="BB2892" s="86"/>
    </row>
    <row r="2893" spans="1:56" ht="36.75" customHeight="1">
      <c r="A2893" s="30"/>
      <c r="B2893" s="30" t="s">
        <v>55</v>
      </c>
      <c r="C2893" s="69" t="str">
        <f t="shared" si="248"/>
        <v>Closed</v>
      </c>
      <c r="D2893" s="27" t="s">
        <v>16368</v>
      </c>
      <c r="E2893" s="29" t="s">
        <v>16369</v>
      </c>
      <c r="F2893" s="30" t="s">
        <v>1572</v>
      </c>
      <c r="G2893" s="72">
        <f>DATE(2019,4,21)</f>
        <v>43576</v>
      </c>
      <c r="H2893" s="80">
        <v>1.9097222222222223</v>
      </c>
      <c r="I2893" s="30" t="s">
        <v>73</v>
      </c>
      <c r="J2893" s="72" t="s">
        <v>16370</v>
      </c>
      <c r="K2893" s="30" t="s">
        <v>1574</v>
      </c>
      <c r="L2893" s="30" t="s">
        <v>16371</v>
      </c>
      <c r="M2893" s="30" t="s">
        <v>63</v>
      </c>
      <c r="N2893" s="30" t="s">
        <v>99</v>
      </c>
      <c r="O2893" s="30" t="s">
        <v>64</v>
      </c>
      <c r="P2893" s="72" t="s">
        <v>78</v>
      </c>
      <c r="Q2893" s="72" t="s">
        <v>15901</v>
      </c>
      <c r="R2893" s="72" t="s">
        <v>2561</v>
      </c>
      <c r="S2893" s="30">
        <v>0</v>
      </c>
      <c r="T2893" s="232">
        <v>0</v>
      </c>
      <c r="U2893" s="30">
        <v>0</v>
      </c>
      <c r="V2893" s="232">
        <v>0</v>
      </c>
      <c r="W2893" s="30">
        <v>0</v>
      </c>
      <c r="X2893" s="30">
        <v>0</v>
      </c>
      <c r="Y2893" s="30">
        <v>0</v>
      </c>
      <c r="Z2893" s="232">
        <v>0</v>
      </c>
      <c r="AA2893" s="30">
        <v>0</v>
      </c>
      <c r="AB2893" s="30">
        <v>0</v>
      </c>
      <c r="AC2893" s="30">
        <v>0</v>
      </c>
      <c r="AD2893" s="30">
        <v>0</v>
      </c>
      <c r="AE2893" s="72" t="s">
        <v>92</v>
      </c>
      <c r="AF2893" s="72"/>
      <c r="AG2893" s="72" t="s">
        <v>133</v>
      </c>
      <c r="AH2893" s="72">
        <v>43577</v>
      </c>
      <c r="AI2893" s="30">
        <v>2</v>
      </c>
      <c r="AJ2893" s="72" t="s">
        <v>16372</v>
      </c>
      <c r="AK2893" s="72" t="s">
        <v>16373</v>
      </c>
      <c r="AL2893" s="70">
        <v>43579</v>
      </c>
      <c r="AM2893" s="70"/>
      <c r="AN2893" s="70"/>
      <c r="AO2893" s="70"/>
      <c r="AP2893" s="73" t="e">
        <f>MID(VLOOKUP(K2893,#REF!,2,FALSE),1,2)</f>
        <v>#REF!</v>
      </c>
      <c r="AQ2893" s="72">
        <f>DATE(2019,5,5)</f>
        <v>43590</v>
      </c>
      <c r="AR2893" s="82">
        <f t="shared" si="245"/>
        <v>5</v>
      </c>
      <c r="AS2893" s="83">
        <f t="shared" si="246"/>
        <v>5</v>
      </c>
      <c r="AT2893" s="84">
        <f t="shared" si="247"/>
        <v>2019</v>
      </c>
      <c r="AU2893" s="86"/>
      <c r="AV2893" s="86"/>
      <c r="AW2893" s="87"/>
      <c r="AX2893" s="86"/>
      <c r="AY2893" s="83"/>
      <c r="AZ2893" s="84"/>
      <c r="BA2893" s="86"/>
      <c r="BB2893" s="86"/>
    </row>
    <row r="2894" spans="1:56" ht="36.75" customHeight="1">
      <c r="A2894" s="30"/>
      <c r="B2894" s="30" t="s">
        <v>55</v>
      </c>
      <c r="C2894" s="69" t="str">
        <f t="shared" si="248"/>
        <v>Closed</v>
      </c>
      <c r="D2894" s="27" t="s">
        <v>16374</v>
      </c>
      <c r="E2894" s="29" t="s">
        <v>16375</v>
      </c>
      <c r="F2894" s="30" t="s">
        <v>9789</v>
      </c>
      <c r="G2894" s="72">
        <f>DATE(2019,5,5)</f>
        <v>43590</v>
      </c>
      <c r="H2894" s="80">
        <v>1.6631944444444444</v>
      </c>
      <c r="I2894" s="30" t="s">
        <v>5494</v>
      </c>
      <c r="J2894" s="265" t="s">
        <v>16376</v>
      </c>
      <c r="K2894" s="30" t="s">
        <v>9791</v>
      </c>
      <c r="L2894" s="30" t="s">
        <v>16377</v>
      </c>
      <c r="M2894" s="30" t="s">
        <v>63</v>
      </c>
      <c r="N2894" s="30" t="s">
        <v>99</v>
      </c>
      <c r="O2894" s="30" t="s">
        <v>77</v>
      </c>
      <c r="P2894" s="72" t="s">
        <v>78</v>
      </c>
      <c r="Q2894" s="72" t="s">
        <v>10257</v>
      </c>
      <c r="R2894" s="72" t="s">
        <v>9794</v>
      </c>
      <c r="S2894" s="30">
        <v>0</v>
      </c>
      <c r="T2894" s="232">
        <v>0</v>
      </c>
      <c r="U2894" s="30">
        <v>0</v>
      </c>
      <c r="V2894" s="232">
        <v>0</v>
      </c>
      <c r="W2894" s="30">
        <v>0</v>
      </c>
      <c r="X2894" s="30">
        <v>0</v>
      </c>
      <c r="Y2894" s="30">
        <v>0</v>
      </c>
      <c r="Z2894" s="232">
        <v>0</v>
      </c>
      <c r="AA2894" s="30">
        <v>0</v>
      </c>
      <c r="AB2894" s="30">
        <v>0</v>
      </c>
      <c r="AC2894" s="30">
        <v>0</v>
      </c>
      <c r="AD2894" s="30">
        <v>0</v>
      </c>
      <c r="AE2894" s="72" t="s">
        <v>92</v>
      </c>
      <c r="AF2894" s="72"/>
      <c r="AG2894" s="72" t="s">
        <v>589</v>
      </c>
      <c r="AH2894" s="72">
        <v>43598</v>
      </c>
      <c r="AI2894" s="30">
        <v>2</v>
      </c>
      <c r="AJ2894" s="72" t="s">
        <v>16378</v>
      </c>
      <c r="AK2894" s="72" t="s">
        <v>16379</v>
      </c>
      <c r="AL2894" s="70">
        <v>43606</v>
      </c>
      <c r="AM2894" s="70"/>
      <c r="AN2894" s="70"/>
      <c r="AO2894" s="70"/>
      <c r="AP2894" s="73" t="e">
        <f>MID(VLOOKUP(K2894,#REF!,2,FALSE),1,2)</f>
        <v>#REF!</v>
      </c>
      <c r="AQ2894" s="72">
        <f>DATE(2019,5,6)</f>
        <v>43591</v>
      </c>
      <c r="AR2894" s="82">
        <f t="shared" si="245"/>
        <v>6</v>
      </c>
      <c r="AS2894" s="83">
        <f t="shared" si="246"/>
        <v>5</v>
      </c>
      <c r="AT2894" s="84">
        <f t="shared" si="247"/>
        <v>2019</v>
      </c>
      <c r="AU2894" s="86"/>
      <c r="AV2894" s="86"/>
      <c r="AW2894" s="87"/>
      <c r="AX2894" s="86"/>
      <c r="AY2894" s="83"/>
      <c r="AZ2894" s="84"/>
      <c r="BA2894" s="86"/>
      <c r="BB2894" s="86"/>
    </row>
    <row r="2895" spans="1:56" ht="36.75" customHeight="1">
      <c r="A2895" s="30"/>
      <c r="B2895" s="30" t="s">
        <v>55</v>
      </c>
      <c r="C2895" s="69" t="str">
        <f t="shared" si="248"/>
        <v>Closed</v>
      </c>
      <c r="D2895" s="27" t="s">
        <v>16380</v>
      </c>
      <c r="E2895" s="29" t="s">
        <v>16381</v>
      </c>
      <c r="F2895" s="30" t="s">
        <v>233</v>
      </c>
      <c r="G2895" s="72">
        <f>DATE(2019,5,6)</f>
        <v>43591</v>
      </c>
      <c r="H2895" s="80">
        <v>1.8958333333333335</v>
      </c>
      <c r="I2895" s="30" t="s">
        <v>73</v>
      </c>
      <c r="J2895" s="72" t="s">
        <v>16382</v>
      </c>
      <c r="K2895" s="30" t="s">
        <v>235</v>
      </c>
      <c r="L2895" s="30" t="s">
        <v>16383</v>
      </c>
      <c r="M2895" s="30" t="s">
        <v>63</v>
      </c>
      <c r="N2895" s="30" t="s">
        <v>142</v>
      </c>
      <c r="O2895" s="30" t="s">
        <v>64</v>
      </c>
      <c r="P2895" s="72" t="s">
        <v>78</v>
      </c>
      <c r="Q2895" s="72" t="s">
        <v>2759</v>
      </c>
      <c r="R2895" s="72" t="s">
        <v>235</v>
      </c>
      <c r="S2895" s="30">
        <v>0</v>
      </c>
      <c r="T2895" s="232">
        <v>0</v>
      </c>
      <c r="U2895" s="30">
        <v>0</v>
      </c>
      <c r="V2895" s="232">
        <v>0</v>
      </c>
      <c r="W2895" s="30">
        <v>0</v>
      </c>
      <c r="X2895" s="30">
        <v>0</v>
      </c>
      <c r="Y2895" s="30">
        <v>0</v>
      </c>
      <c r="Z2895" s="232">
        <v>0</v>
      </c>
      <c r="AA2895" s="30">
        <v>0</v>
      </c>
      <c r="AB2895" s="30">
        <v>0</v>
      </c>
      <c r="AC2895" s="30">
        <v>0</v>
      </c>
      <c r="AD2895" s="30">
        <v>0</v>
      </c>
      <c r="AE2895" s="72" t="s">
        <v>92</v>
      </c>
      <c r="AF2895" s="72"/>
      <c r="AG2895" s="72" t="s">
        <v>133</v>
      </c>
      <c r="AH2895" s="72">
        <v>43619</v>
      </c>
      <c r="AI2895" s="30">
        <v>4</v>
      </c>
      <c r="AJ2895" s="72" t="s">
        <v>16384</v>
      </c>
      <c r="AK2895" s="72" t="s">
        <v>16385</v>
      </c>
      <c r="AL2895" s="70">
        <v>43628</v>
      </c>
      <c r="AM2895" s="70"/>
      <c r="AN2895" s="70"/>
      <c r="AO2895" s="70"/>
      <c r="AP2895" s="73" t="e">
        <f>MID(VLOOKUP(K2895,#REF!,2,FALSE),1,2)</f>
        <v>#REF!</v>
      </c>
      <c r="AQ2895" s="72">
        <f>DATE(2019,5,7)</f>
        <v>43592</v>
      </c>
      <c r="AR2895" s="82">
        <f t="shared" si="245"/>
        <v>7</v>
      </c>
      <c r="AS2895" s="83">
        <f t="shared" si="246"/>
        <v>5</v>
      </c>
      <c r="AT2895" s="84">
        <f t="shared" si="247"/>
        <v>2019</v>
      </c>
      <c r="AU2895" s="86"/>
      <c r="AV2895" s="86"/>
      <c r="AW2895" s="87"/>
      <c r="AX2895" s="86"/>
      <c r="AY2895" s="83"/>
      <c r="AZ2895" s="84"/>
      <c r="BA2895" s="86"/>
      <c r="BB2895" s="86"/>
    </row>
    <row r="2896" spans="1:56" ht="36.75" customHeight="1">
      <c r="A2896" s="30"/>
      <c r="B2896" s="30" t="s">
        <v>55</v>
      </c>
      <c r="C2896" s="69" t="str">
        <f t="shared" si="248"/>
        <v>Closed</v>
      </c>
      <c r="D2896" s="27" t="s">
        <v>16386</v>
      </c>
      <c r="E2896" s="29" t="s">
        <v>16387</v>
      </c>
      <c r="F2896" s="30" t="s">
        <v>115</v>
      </c>
      <c r="G2896" s="72">
        <f>DATE(2019,5,7)</f>
        <v>43592</v>
      </c>
      <c r="H2896" s="80">
        <v>1.6305555555555555</v>
      </c>
      <c r="I2896" s="30" t="s">
        <v>116</v>
      </c>
      <c r="J2896" s="72" t="s">
        <v>16388</v>
      </c>
      <c r="K2896" s="30" t="s">
        <v>118</v>
      </c>
      <c r="L2896" s="30" t="s">
        <v>16389</v>
      </c>
      <c r="M2896" s="30" t="s">
        <v>63</v>
      </c>
      <c r="N2896" s="30" t="s">
        <v>142</v>
      </c>
      <c r="O2896" s="30" t="s">
        <v>64</v>
      </c>
      <c r="P2896" s="72" t="s">
        <v>165</v>
      </c>
      <c r="Q2896" s="72" t="s">
        <v>120</v>
      </c>
      <c r="R2896" s="72" t="s">
        <v>121</v>
      </c>
      <c r="S2896" s="30">
        <v>0</v>
      </c>
      <c r="T2896" s="232">
        <v>0</v>
      </c>
      <c r="U2896" s="30">
        <v>0</v>
      </c>
      <c r="V2896" s="232">
        <v>0</v>
      </c>
      <c r="W2896" s="30">
        <v>0</v>
      </c>
      <c r="X2896" s="30">
        <v>0</v>
      </c>
      <c r="Y2896" s="30">
        <v>0</v>
      </c>
      <c r="Z2896" s="232">
        <v>0</v>
      </c>
      <c r="AA2896" s="30">
        <v>0</v>
      </c>
      <c r="AB2896" s="30">
        <v>0</v>
      </c>
      <c r="AC2896" s="30">
        <v>0</v>
      </c>
      <c r="AD2896" s="30">
        <v>0</v>
      </c>
      <c r="AE2896" s="72" t="s">
        <v>92</v>
      </c>
      <c r="AF2896" s="72"/>
      <c r="AG2896" s="72" t="s">
        <v>352</v>
      </c>
      <c r="AH2896" s="72">
        <v>43614</v>
      </c>
      <c r="AI2896" s="30">
        <v>4</v>
      </c>
      <c r="AJ2896" s="72" t="s">
        <v>16390</v>
      </c>
      <c r="AK2896" s="72" t="s">
        <v>16391</v>
      </c>
      <c r="AL2896" s="70">
        <v>43662</v>
      </c>
      <c r="AM2896" s="70"/>
      <c r="AN2896" s="70"/>
      <c r="AO2896" s="70"/>
      <c r="AP2896" s="73" t="e">
        <f>MID(VLOOKUP(K2896,#REF!,2,FALSE),1,2)</f>
        <v>#REF!</v>
      </c>
      <c r="AQ2896" s="72">
        <f>DATE(2019,5,7)</f>
        <v>43592</v>
      </c>
      <c r="AR2896" s="82">
        <f t="shared" si="245"/>
        <v>7</v>
      </c>
      <c r="AS2896" s="83">
        <f t="shared" si="246"/>
        <v>5</v>
      </c>
      <c r="AT2896" s="84">
        <f t="shared" si="247"/>
        <v>2019</v>
      </c>
      <c r="AU2896" s="86"/>
      <c r="AV2896" s="86"/>
      <c r="AW2896" s="87"/>
      <c r="AX2896" s="86"/>
      <c r="AY2896" s="83"/>
      <c r="AZ2896" s="84"/>
      <c r="BA2896" s="86"/>
      <c r="BB2896" s="86"/>
    </row>
    <row r="2897" spans="1:54" ht="36.75" customHeight="1">
      <c r="A2897" s="30"/>
      <c r="B2897" s="30" t="s">
        <v>55</v>
      </c>
      <c r="C2897" s="69" t="str">
        <f t="shared" si="248"/>
        <v>Closed</v>
      </c>
      <c r="D2897" s="27" t="s">
        <v>16392</v>
      </c>
      <c r="E2897" s="29" t="s">
        <v>16393</v>
      </c>
      <c r="F2897" s="30" t="s">
        <v>1572</v>
      </c>
      <c r="G2897" s="72">
        <f>DATE(2019,5,7)</f>
        <v>43592</v>
      </c>
      <c r="H2897" s="80">
        <v>1.9833333333333334</v>
      </c>
      <c r="I2897" s="30" t="s">
        <v>125</v>
      </c>
      <c r="J2897" s="72" t="s">
        <v>16394</v>
      </c>
      <c r="K2897" s="30" t="s">
        <v>1574</v>
      </c>
      <c r="L2897" s="30" t="s">
        <v>16395</v>
      </c>
      <c r="M2897" s="30" t="s">
        <v>63</v>
      </c>
      <c r="N2897" s="30" t="s">
        <v>99</v>
      </c>
      <c r="O2897" s="30" t="s">
        <v>77</v>
      </c>
      <c r="P2897" s="72" t="s">
        <v>78</v>
      </c>
      <c r="Q2897" s="72" t="s">
        <v>2655</v>
      </c>
      <c r="R2897" s="72" t="s">
        <v>6434</v>
      </c>
      <c r="S2897" s="30">
        <v>0</v>
      </c>
      <c r="T2897" s="232">
        <v>0</v>
      </c>
      <c r="U2897" s="30">
        <v>0</v>
      </c>
      <c r="V2897" s="232">
        <v>0</v>
      </c>
      <c r="W2897" s="30">
        <v>0</v>
      </c>
      <c r="X2897" s="30">
        <v>0</v>
      </c>
      <c r="Y2897" s="30">
        <v>0</v>
      </c>
      <c r="Z2897" s="232">
        <v>0</v>
      </c>
      <c r="AA2897" s="30">
        <v>0</v>
      </c>
      <c r="AB2897" s="30">
        <v>0</v>
      </c>
      <c r="AC2897" s="30">
        <v>0</v>
      </c>
      <c r="AD2897" s="30">
        <v>0</v>
      </c>
      <c r="AE2897" s="72" t="s">
        <v>394</v>
      </c>
      <c r="AF2897" s="72"/>
      <c r="AG2897" s="72" t="s">
        <v>133</v>
      </c>
      <c r="AH2897" s="72">
        <v>43594</v>
      </c>
      <c r="AI2897" s="30">
        <v>4</v>
      </c>
      <c r="AJ2897" s="72" t="s">
        <v>16396</v>
      </c>
      <c r="AK2897" s="72" t="s">
        <v>16397</v>
      </c>
      <c r="AL2897" s="70">
        <v>43598</v>
      </c>
      <c r="AM2897" s="70"/>
      <c r="AN2897" s="70"/>
      <c r="AO2897" s="70"/>
      <c r="AP2897" s="73" t="e">
        <f>MID(VLOOKUP(K2897,#REF!,2,FALSE),1,2)</f>
        <v>#REF!</v>
      </c>
      <c r="AQ2897" s="72">
        <f>DATE(2019,5,8)</f>
        <v>43593</v>
      </c>
      <c r="AR2897" s="82">
        <f t="shared" si="245"/>
        <v>8</v>
      </c>
      <c r="AS2897" s="83">
        <f t="shared" si="246"/>
        <v>5</v>
      </c>
      <c r="AT2897" s="84">
        <f t="shared" si="247"/>
        <v>2019</v>
      </c>
      <c r="AU2897" s="86"/>
      <c r="AV2897" s="86"/>
      <c r="AW2897" s="87"/>
      <c r="AX2897" s="86"/>
      <c r="AY2897" s="83"/>
      <c r="AZ2897" s="84"/>
      <c r="BA2897" s="86"/>
      <c r="BB2897" s="86"/>
    </row>
    <row r="2898" spans="1:54" ht="36.75" customHeight="1">
      <c r="A2898" s="30"/>
      <c r="B2898" s="30" t="s">
        <v>55</v>
      </c>
      <c r="C2898" s="69" t="str">
        <f t="shared" si="248"/>
        <v>Closed</v>
      </c>
      <c r="D2898" s="27" t="s">
        <v>16398</v>
      </c>
      <c r="E2898" s="29" t="s">
        <v>16399</v>
      </c>
      <c r="F2898" s="30" t="s">
        <v>124</v>
      </c>
      <c r="G2898" s="72">
        <f>DATE(2019,5,8)</f>
        <v>43593</v>
      </c>
      <c r="H2898" s="80">
        <v>1.7645833333333334</v>
      </c>
      <c r="I2898" s="30" t="s">
        <v>73</v>
      </c>
      <c r="J2898" s="72" t="s">
        <v>16400</v>
      </c>
      <c r="K2898" s="30" t="s">
        <v>127</v>
      </c>
      <c r="L2898" s="30" t="s">
        <v>16401</v>
      </c>
      <c r="M2898" s="30" t="s">
        <v>63</v>
      </c>
      <c r="N2898" s="30" t="s">
        <v>89</v>
      </c>
      <c r="O2898" s="30" t="s">
        <v>77</v>
      </c>
      <c r="P2898" s="72" t="s">
        <v>91</v>
      </c>
      <c r="Q2898" s="72" t="s">
        <v>229</v>
      </c>
      <c r="R2898" s="72" t="s">
        <v>167</v>
      </c>
      <c r="S2898" s="30">
        <v>0</v>
      </c>
      <c r="T2898" s="232">
        <v>0</v>
      </c>
      <c r="U2898" s="30">
        <v>0</v>
      </c>
      <c r="V2898" s="232">
        <v>0</v>
      </c>
      <c r="W2898" s="30">
        <v>0</v>
      </c>
      <c r="X2898" s="30">
        <v>0</v>
      </c>
      <c r="Y2898" s="30">
        <v>0</v>
      </c>
      <c r="Z2898" s="232">
        <v>0</v>
      </c>
      <c r="AA2898" s="30">
        <v>0</v>
      </c>
      <c r="AB2898" s="30">
        <v>0</v>
      </c>
      <c r="AC2898" s="30">
        <v>0</v>
      </c>
      <c r="AD2898" s="30">
        <v>0</v>
      </c>
      <c r="AE2898" s="72" t="s">
        <v>394</v>
      </c>
      <c r="AF2898" s="72"/>
      <c r="AG2898" s="72" t="s">
        <v>82</v>
      </c>
      <c r="AH2898" s="72">
        <v>43595</v>
      </c>
      <c r="AI2898" s="30">
        <v>1</v>
      </c>
      <c r="AJ2898" s="72" t="s">
        <v>16402</v>
      </c>
      <c r="AK2898" s="72" t="s">
        <v>16403</v>
      </c>
      <c r="AL2898" s="70">
        <v>43600</v>
      </c>
      <c r="AM2898" s="70"/>
      <c r="AN2898" s="70"/>
      <c r="AO2898" s="70"/>
      <c r="AP2898" s="73" t="e">
        <f>MID(VLOOKUP(K2898,#REF!,2,FALSE),1,2)</f>
        <v>#REF!</v>
      </c>
      <c r="AQ2898" s="72">
        <f>DATE(2019,5,9)</f>
        <v>43594</v>
      </c>
      <c r="AR2898" s="82">
        <f t="shared" si="245"/>
        <v>9</v>
      </c>
      <c r="AS2898" s="83">
        <f t="shared" si="246"/>
        <v>5</v>
      </c>
      <c r="AT2898" s="84">
        <f t="shared" si="247"/>
        <v>2019</v>
      </c>
      <c r="AU2898" s="86"/>
      <c r="AV2898" s="86"/>
      <c r="AW2898" s="87"/>
      <c r="AX2898" s="86"/>
      <c r="AY2898" s="83"/>
      <c r="AZ2898" s="84"/>
      <c r="BA2898" s="86"/>
      <c r="BB2898" s="86"/>
    </row>
    <row r="2899" spans="1:54" ht="36.75" customHeight="1">
      <c r="A2899" s="30"/>
      <c r="B2899" s="30" t="s">
        <v>55</v>
      </c>
      <c r="C2899" s="69" t="str">
        <f t="shared" si="248"/>
        <v>Closed</v>
      </c>
      <c r="D2899" s="27" t="s">
        <v>16404</v>
      </c>
      <c r="E2899" s="29" t="s">
        <v>16405</v>
      </c>
      <c r="F2899" s="30" t="s">
        <v>1770</v>
      </c>
      <c r="G2899" s="72">
        <f>DATE(2019,5,9)</f>
        <v>43594</v>
      </c>
      <c r="H2899" s="80">
        <v>1.3645833333333333</v>
      </c>
      <c r="I2899" s="30" t="s">
        <v>73</v>
      </c>
      <c r="J2899" s="72" t="s">
        <v>16406</v>
      </c>
      <c r="K2899" s="30" t="s">
        <v>1772</v>
      </c>
      <c r="L2899" s="30" t="s">
        <v>16407</v>
      </c>
      <c r="M2899" s="30" t="s">
        <v>63</v>
      </c>
      <c r="N2899" s="30" t="s">
        <v>142</v>
      </c>
      <c r="O2899" s="30" t="s">
        <v>64</v>
      </c>
      <c r="P2899" s="72" t="s">
        <v>78</v>
      </c>
      <c r="Q2899" s="72" t="s">
        <v>8483</v>
      </c>
      <c r="R2899" s="72" t="s">
        <v>1775</v>
      </c>
      <c r="S2899" s="30">
        <v>0</v>
      </c>
      <c r="T2899" s="232">
        <v>0</v>
      </c>
      <c r="U2899" s="30">
        <v>0</v>
      </c>
      <c r="V2899" s="232">
        <v>0</v>
      </c>
      <c r="W2899" s="30">
        <v>0</v>
      </c>
      <c r="X2899" s="30">
        <v>0</v>
      </c>
      <c r="Y2899" s="30">
        <v>0</v>
      </c>
      <c r="Z2899" s="232">
        <v>0</v>
      </c>
      <c r="AA2899" s="30">
        <v>0</v>
      </c>
      <c r="AB2899" s="30">
        <v>0</v>
      </c>
      <c r="AC2899" s="30">
        <v>0</v>
      </c>
      <c r="AD2899" s="30">
        <v>0</v>
      </c>
      <c r="AE2899" s="72" t="s">
        <v>394</v>
      </c>
      <c r="AF2899" s="72"/>
      <c r="AG2899" s="72" t="s">
        <v>5557</v>
      </c>
      <c r="AH2899" s="72">
        <v>43594</v>
      </c>
      <c r="AI2899" s="30">
        <v>0</v>
      </c>
      <c r="AJ2899" s="72" t="s">
        <v>16408</v>
      </c>
      <c r="AK2899" s="72" t="s">
        <v>68</v>
      </c>
      <c r="AL2899" s="70">
        <v>43620</v>
      </c>
      <c r="AM2899" s="70"/>
      <c r="AN2899" s="70"/>
      <c r="AO2899" s="70"/>
      <c r="AP2899" s="73" t="e">
        <f>MID(VLOOKUP(K2899,#REF!,2,FALSE),1,2)</f>
        <v>#REF!</v>
      </c>
      <c r="AQ2899" s="72">
        <f>DATE(2019,5,11)</f>
        <v>43596</v>
      </c>
      <c r="AR2899" s="82">
        <f t="shared" si="245"/>
        <v>11</v>
      </c>
      <c r="AS2899" s="84">
        <f t="shared" si="246"/>
        <v>5</v>
      </c>
      <c r="AT2899" s="104">
        <f t="shared" si="247"/>
        <v>2019</v>
      </c>
      <c r="AU2899" s="86"/>
      <c r="AV2899" s="87"/>
      <c r="AW2899" s="86"/>
      <c r="AX2899" s="82"/>
      <c r="AY2899" s="84"/>
      <c r="AZ2899" s="104"/>
      <c r="BA2899" s="86"/>
      <c r="BB2899" s="86"/>
    </row>
    <row r="2900" spans="1:54" ht="36.75" customHeight="1">
      <c r="A2900" s="30"/>
      <c r="B2900" s="30" t="s">
        <v>55</v>
      </c>
      <c r="C2900" s="69" t="str">
        <f t="shared" si="248"/>
        <v>Closed</v>
      </c>
      <c r="D2900" s="27" t="s">
        <v>16409</v>
      </c>
      <c r="E2900" s="29" t="s">
        <v>16410</v>
      </c>
      <c r="F2900" s="30" t="s">
        <v>835</v>
      </c>
      <c r="G2900" s="72">
        <f>DATE(2019,5,11)</f>
        <v>43596</v>
      </c>
      <c r="H2900" s="80">
        <v>1.4597222222222221</v>
      </c>
      <c r="I2900" s="30" t="s">
        <v>125</v>
      </c>
      <c r="J2900" s="72" t="s">
        <v>16411</v>
      </c>
      <c r="K2900" s="30" t="s">
        <v>837</v>
      </c>
      <c r="L2900" s="30" t="s">
        <v>16412</v>
      </c>
      <c r="M2900" s="30" t="s">
        <v>63</v>
      </c>
      <c r="N2900" s="30" t="s">
        <v>99</v>
      </c>
      <c r="O2900" s="30" t="s">
        <v>64</v>
      </c>
      <c r="P2900" s="72" t="s">
        <v>165</v>
      </c>
      <c r="Q2900" s="72" t="s">
        <v>2162</v>
      </c>
      <c r="R2900" s="72" t="s">
        <v>840</v>
      </c>
      <c r="S2900" s="30">
        <v>0</v>
      </c>
      <c r="T2900" s="232">
        <v>0</v>
      </c>
      <c r="U2900" s="30">
        <v>0</v>
      </c>
      <c r="V2900" s="232">
        <v>0</v>
      </c>
      <c r="W2900" s="30">
        <v>0</v>
      </c>
      <c r="X2900" s="30">
        <v>0</v>
      </c>
      <c r="Y2900" s="30">
        <v>0</v>
      </c>
      <c r="Z2900" s="232">
        <v>0</v>
      </c>
      <c r="AA2900" s="30">
        <v>0</v>
      </c>
      <c r="AB2900" s="30">
        <v>0</v>
      </c>
      <c r="AC2900" s="30">
        <v>0</v>
      </c>
      <c r="AD2900" s="30">
        <v>0</v>
      </c>
      <c r="AE2900" s="72" t="s">
        <v>92</v>
      </c>
      <c r="AF2900" s="72"/>
      <c r="AG2900" s="72" t="s">
        <v>352</v>
      </c>
      <c r="AH2900" s="72">
        <v>43598</v>
      </c>
      <c r="AI2900" s="30">
        <v>0</v>
      </c>
      <c r="AJ2900" s="72" t="s">
        <v>16413</v>
      </c>
      <c r="AK2900" s="72" t="s">
        <v>16414</v>
      </c>
      <c r="AL2900" s="70">
        <v>43608</v>
      </c>
      <c r="AM2900" s="70"/>
      <c r="AN2900" s="70"/>
      <c r="AO2900" s="70"/>
      <c r="AP2900" s="73" t="e">
        <f>MID(VLOOKUP(K2900,#REF!,2,FALSE),1,2)</f>
        <v>#REF!</v>
      </c>
      <c r="AQ2900" s="72">
        <f>DATE(2019,5,13)</f>
        <v>43598</v>
      </c>
      <c r="AR2900" s="82">
        <f t="shared" si="245"/>
        <v>13</v>
      </c>
      <c r="AS2900" s="83">
        <f t="shared" si="246"/>
        <v>5</v>
      </c>
      <c r="AT2900" s="84">
        <f t="shared" si="247"/>
        <v>2019</v>
      </c>
      <c r="AU2900" s="86"/>
      <c r="AV2900" s="86"/>
      <c r="AW2900" s="87"/>
      <c r="AX2900" s="86"/>
      <c r="AY2900" s="83"/>
      <c r="AZ2900" s="84"/>
      <c r="BA2900" s="86"/>
      <c r="BB2900" s="86"/>
    </row>
    <row r="2901" spans="1:54" ht="36.75" customHeight="1">
      <c r="A2901" s="30"/>
      <c r="B2901" s="30" t="s">
        <v>55</v>
      </c>
      <c r="C2901" s="69" t="str">
        <f t="shared" si="248"/>
        <v>Closed</v>
      </c>
      <c r="D2901" s="27" t="s">
        <v>16415</v>
      </c>
      <c r="E2901" s="29" t="s">
        <v>16416</v>
      </c>
      <c r="F2901" s="30" t="s">
        <v>1572</v>
      </c>
      <c r="G2901" s="72">
        <f>DATE(2019,5,13)</f>
        <v>43598</v>
      </c>
      <c r="H2901" s="80">
        <v>1.1805555555555556</v>
      </c>
      <c r="I2901" s="30" t="s">
        <v>73</v>
      </c>
      <c r="J2901" s="72" t="s">
        <v>16417</v>
      </c>
      <c r="K2901" s="30" t="s">
        <v>1574</v>
      </c>
      <c r="L2901" s="30" t="s">
        <v>12229</v>
      </c>
      <c r="M2901" s="30" t="s">
        <v>63</v>
      </c>
      <c r="N2901" s="30" t="s">
        <v>142</v>
      </c>
      <c r="O2901" s="30" t="s">
        <v>77</v>
      </c>
      <c r="P2901" s="72" t="s">
        <v>78</v>
      </c>
      <c r="Q2901" s="72" t="s">
        <v>16418</v>
      </c>
      <c r="R2901" s="72" t="s">
        <v>6434</v>
      </c>
      <c r="S2901" s="30">
        <v>0</v>
      </c>
      <c r="T2901" s="232">
        <v>0</v>
      </c>
      <c r="U2901" s="30">
        <v>0</v>
      </c>
      <c r="V2901" s="232">
        <v>0</v>
      </c>
      <c r="W2901" s="30">
        <v>0</v>
      </c>
      <c r="X2901" s="30">
        <v>0</v>
      </c>
      <c r="Y2901" s="30">
        <v>0</v>
      </c>
      <c r="Z2901" s="232">
        <v>0</v>
      </c>
      <c r="AA2901" s="30">
        <v>0</v>
      </c>
      <c r="AB2901" s="30">
        <v>0</v>
      </c>
      <c r="AC2901" s="30">
        <v>0</v>
      </c>
      <c r="AD2901" s="30">
        <v>0</v>
      </c>
      <c r="AE2901" s="72" t="s">
        <v>92</v>
      </c>
      <c r="AF2901" s="72"/>
      <c r="AG2901" s="72" t="s">
        <v>133</v>
      </c>
      <c r="AH2901" s="72">
        <v>43599</v>
      </c>
      <c r="AI2901" s="30">
        <v>2</v>
      </c>
      <c r="AJ2901" s="72" t="s">
        <v>16419</v>
      </c>
      <c r="AK2901" s="72" t="s">
        <v>16420</v>
      </c>
      <c r="AL2901" s="70">
        <v>43601</v>
      </c>
      <c r="AM2901" s="70"/>
      <c r="AN2901" s="70"/>
      <c r="AO2901" s="70"/>
      <c r="AP2901" s="73" t="e">
        <f>MID(VLOOKUP(K2901,#REF!,2,FALSE),1,2)</f>
        <v>#REF!</v>
      </c>
      <c r="AQ2901" s="72">
        <f>DATE(2019,5,16)</f>
        <v>43601</v>
      </c>
      <c r="AR2901" s="82">
        <f t="shared" si="245"/>
        <v>16</v>
      </c>
      <c r="AS2901" s="83">
        <f t="shared" si="246"/>
        <v>5</v>
      </c>
      <c r="AT2901" s="84">
        <f t="shared" si="247"/>
        <v>2019</v>
      </c>
      <c r="AU2901" s="86"/>
      <c r="AV2901" s="86"/>
      <c r="AW2901" s="87"/>
      <c r="AX2901" s="86"/>
      <c r="AY2901" s="83"/>
      <c r="AZ2901" s="84"/>
      <c r="BA2901" s="86"/>
      <c r="BB2901" s="86"/>
    </row>
    <row r="2902" spans="1:54" ht="36.75" customHeight="1">
      <c r="A2902" s="30"/>
      <c r="B2902" s="30" t="s">
        <v>55</v>
      </c>
      <c r="C2902" s="69" t="str">
        <f t="shared" si="248"/>
        <v>Closed</v>
      </c>
      <c r="D2902" s="27" t="s">
        <v>16421</v>
      </c>
      <c r="E2902" s="29" t="s">
        <v>16422</v>
      </c>
      <c r="F2902" s="30" t="s">
        <v>1572</v>
      </c>
      <c r="G2902" s="72">
        <f>DATE(2019,5,16)</f>
        <v>43601</v>
      </c>
      <c r="H2902" s="80">
        <v>1.7361111111111112</v>
      </c>
      <c r="I2902" s="30" t="s">
        <v>5494</v>
      </c>
      <c r="J2902" s="72" t="s">
        <v>16423</v>
      </c>
      <c r="K2902" s="30" t="s">
        <v>1574</v>
      </c>
      <c r="L2902" s="30" t="s">
        <v>16424</v>
      </c>
      <c r="M2902" s="30" t="s">
        <v>63</v>
      </c>
      <c r="N2902" s="30" t="s">
        <v>99</v>
      </c>
      <c r="O2902" s="30" t="s">
        <v>77</v>
      </c>
      <c r="P2902" s="72" t="s">
        <v>381</v>
      </c>
      <c r="Q2902" s="72" t="s">
        <v>6093</v>
      </c>
      <c r="R2902" s="72" t="s">
        <v>6434</v>
      </c>
      <c r="S2902" s="30">
        <v>0</v>
      </c>
      <c r="T2902" s="232">
        <v>0</v>
      </c>
      <c r="U2902" s="30">
        <v>0</v>
      </c>
      <c r="V2902" s="232">
        <v>0</v>
      </c>
      <c r="W2902" s="30">
        <v>0</v>
      </c>
      <c r="X2902" s="30">
        <v>0</v>
      </c>
      <c r="Y2902" s="30">
        <v>0</v>
      </c>
      <c r="Z2902" s="232">
        <v>0</v>
      </c>
      <c r="AA2902" s="30">
        <v>0</v>
      </c>
      <c r="AB2902" s="30">
        <v>0</v>
      </c>
      <c r="AC2902" s="30">
        <v>0</v>
      </c>
      <c r="AD2902" s="30">
        <v>0</v>
      </c>
      <c r="AE2902" s="72" t="s">
        <v>92</v>
      </c>
      <c r="AF2902" s="72"/>
      <c r="AG2902" s="72" t="s">
        <v>1507</v>
      </c>
      <c r="AH2902" s="72">
        <v>43602</v>
      </c>
      <c r="AI2902" s="30">
        <v>1</v>
      </c>
      <c r="AJ2902" s="72" t="s">
        <v>16425</v>
      </c>
      <c r="AK2902" s="72" t="s">
        <v>16426</v>
      </c>
      <c r="AL2902" s="70">
        <v>43602</v>
      </c>
      <c r="AM2902" s="72"/>
      <c r="AN2902" s="72"/>
      <c r="AO2902" s="72"/>
      <c r="AP2902" s="73" t="e">
        <f>MID(VLOOKUP(K2902,#REF!,2,FALSE),1,2)</f>
        <v>#REF!</v>
      </c>
      <c r="AQ2902" s="72">
        <f>DATE(2019,5,17)</f>
        <v>43602</v>
      </c>
      <c r="AR2902" s="82">
        <f t="shared" si="245"/>
        <v>17</v>
      </c>
      <c r="AS2902" s="83">
        <f t="shared" si="246"/>
        <v>5</v>
      </c>
      <c r="AT2902" s="84">
        <f t="shared" si="247"/>
        <v>2019</v>
      </c>
      <c r="AU2902" s="86"/>
      <c r="AV2902" s="86"/>
      <c r="AW2902" s="87"/>
      <c r="AX2902" s="86"/>
      <c r="AY2902" s="83"/>
      <c r="AZ2902" s="84"/>
      <c r="BA2902" s="86"/>
      <c r="BB2902" s="86"/>
    </row>
    <row r="2903" spans="1:54" ht="36.75" customHeight="1">
      <c r="A2903" s="30"/>
      <c r="B2903" s="30" t="s">
        <v>55</v>
      </c>
      <c r="C2903" s="69" t="str">
        <f t="shared" si="248"/>
        <v>Closed</v>
      </c>
      <c r="D2903" s="37" t="s">
        <v>16427</v>
      </c>
      <c r="E2903" s="29" t="s">
        <v>16428</v>
      </c>
      <c r="F2903" s="30" t="s">
        <v>16429</v>
      </c>
      <c r="G2903" s="72">
        <f>DATE(2019,5,17)</f>
        <v>43602</v>
      </c>
      <c r="H2903" s="80">
        <v>1.8541666666666665</v>
      </c>
      <c r="I2903" s="30" t="s">
        <v>73</v>
      </c>
      <c r="J2903" s="72" t="s">
        <v>16430</v>
      </c>
      <c r="K2903" s="30" t="s">
        <v>425</v>
      </c>
      <c r="L2903" s="30" t="s">
        <v>16431</v>
      </c>
      <c r="M2903" s="30" t="s">
        <v>63</v>
      </c>
      <c r="N2903" s="30" t="s">
        <v>99</v>
      </c>
      <c r="O2903" s="30" t="s">
        <v>64</v>
      </c>
      <c r="P2903" s="72" t="s">
        <v>16432</v>
      </c>
      <c r="Q2903" s="72" t="s">
        <v>16433</v>
      </c>
      <c r="R2903" s="72" t="s">
        <v>16434</v>
      </c>
      <c r="S2903" s="30">
        <v>0</v>
      </c>
      <c r="T2903" s="232">
        <v>0</v>
      </c>
      <c r="U2903" s="30">
        <v>0</v>
      </c>
      <c r="V2903" s="232">
        <v>0</v>
      </c>
      <c r="W2903" s="30">
        <v>0</v>
      </c>
      <c r="X2903" s="30">
        <v>0</v>
      </c>
      <c r="Y2903" s="30">
        <v>0</v>
      </c>
      <c r="Z2903" s="232">
        <v>0</v>
      </c>
      <c r="AA2903" s="30">
        <v>0</v>
      </c>
      <c r="AB2903" s="30">
        <v>0</v>
      </c>
      <c r="AC2903" s="30">
        <v>0</v>
      </c>
      <c r="AD2903" s="30">
        <v>0</v>
      </c>
      <c r="AE2903" s="72" t="s">
        <v>16435</v>
      </c>
      <c r="AF2903" s="72" t="s">
        <v>16436</v>
      </c>
      <c r="AG2903" s="72" t="s">
        <v>16283</v>
      </c>
      <c r="AH2903" s="72">
        <v>43602</v>
      </c>
      <c r="AI2903" s="30">
        <v>0</v>
      </c>
      <c r="AJ2903" s="72" t="s">
        <v>16437</v>
      </c>
      <c r="AK2903" s="72" t="s">
        <v>879</v>
      </c>
      <c r="AL2903" s="70">
        <v>43606</v>
      </c>
      <c r="AM2903" s="70">
        <v>45069</v>
      </c>
      <c r="AN2903" s="70">
        <v>45251</v>
      </c>
      <c r="AO2903" s="70">
        <v>45245</v>
      </c>
      <c r="AP2903" s="73" t="e">
        <f>MID(VLOOKUP(K2903,#REF!,2,FALSE),1,2)</f>
        <v>#REF!</v>
      </c>
      <c r="AQ2903" s="72">
        <f>DATE(2019,5,17)</f>
        <v>43602</v>
      </c>
      <c r="AR2903" s="82">
        <f t="shared" si="245"/>
        <v>17</v>
      </c>
      <c r="AS2903" s="83">
        <f t="shared" si="246"/>
        <v>5</v>
      </c>
      <c r="AT2903" s="84">
        <f t="shared" si="247"/>
        <v>2019</v>
      </c>
      <c r="AU2903" s="86"/>
      <c r="AV2903" s="86"/>
      <c r="AW2903" s="87"/>
      <c r="AX2903" s="86"/>
      <c r="AY2903" s="83"/>
      <c r="AZ2903" s="84"/>
      <c r="BA2903" s="86"/>
      <c r="BB2903" s="86"/>
    </row>
    <row r="2904" spans="1:54" ht="36.75" customHeight="1">
      <c r="A2904" s="30"/>
      <c r="B2904" s="30" t="s">
        <v>55</v>
      </c>
      <c r="C2904" s="69" t="str">
        <f t="shared" si="248"/>
        <v>Closed</v>
      </c>
      <c r="D2904" s="27" t="s">
        <v>16438</v>
      </c>
      <c r="E2904" s="29" t="s">
        <v>16439</v>
      </c>
      <c r="F2904" s="30" t="s">
        <v>233</v>
      </c>
      <c r="G2904" s="72">
        <f>DATE(2019,5,17)</f>
        <v>43602</v>
      </c>
      <c r="H2904" s="80">
        <v>1.7215277777777778</v>
      </c>
      <c r="I2904" s="30" t="s">
        <v>2078</v>
      </c>
      <c r="J2904" s="72" t="s">
        <v>16440</v>
      </c>
      <c r="K2904" s="30" t="s">
        <v>235</v>
      </c>
      <c r="L2904" s="30" t="s">
        <v>16441</v>
      </c>
      <c r="M2904" s="30" t="s">
        <v>255</v>
      </c>
      <c r="N2904" s="30" t="s">
        <v>142</v>
      </c>
      <c r="O2904" s="30" t="s">
        <v>77</v>
      </c>
      <c r="P2904" s="72" t="s">
        <v>6552</v>
      </c>
      <c r="Q2904" s="72" t="s">
        <v>316</v>
      </c>
      <c r="R2904" s="72" t="s">
        <v>235</v>
      </c>
      <c r="S2904" s="30">
        <v>0</v>
      </c>
      <c r="T2904" s="232">
        <v>0</v>
      </c>
      <c r="U2904" s="30">
        <v>0</v>
      </c>
      <c r="V2904" s="232">
        <v>0</v>
      </c>
      <c r="W2904" s="30">
        <v>0</v>
      </c>
      <c r="X2904" s="30">
        <v>0</v>
      </c>
      <c r="Y2904" s="30">
        <v>0</v>
      </c>
      <c r="Z2904" s="232">
        <v>0</v>
      </c>
      <c r="AA2904" s="30">
        <v>0</v>
      </c>
      <c r="AB2904" s="30">
        <v>0</v>
      </c>
      <c r="AC2904" s="30">
        <v>0</v>
      </c>
      <c r="AD2904" s="30">
        <v>0</v>
      </c>
      <c r="AE2904" s="72" t="s">
        <v>92</v>
      </c>
      <c r="AF2904" s="72"/>
      <c r="AG2904" s="72" t="s">
        <v>133</v>
      </c>
      <c r="AH2904" s="72">
        <v>43619</v>
      </c>
      <c r="AI2904" s="30">
        <v>3</v>
      </c>
      <c r="AJ2904" s="72" t="s">
        <v>16442</v>
      </c>
      <c r="AK2904" s="72" t="s">
        <v>16443</v>
      </c>
      <c r="AL2904" s="70">
        <v>43628</v>
      </c>
      <c r="AM2904" s="70"/>
      <c r="AN2904" s="70"/>
      <c r="AO2904" s="70"/>
      <c r="AP2904" s="73" t="e">
        <f>MID(VLOOKUP(K2904,#REF!,2,FALSE),1,2)</f>
        <v>#REF!</v>
      </c>
      <c r="AQ2904" s="72">
        <f>DATE(2019,5,19)</f>
        <v>43604</v>
      </c>
      <c r="AR2904" s="82">
        <f t="shared" si="245"/>
        <v>19</v>
      </c>
      <c r="AS2904" s="83">
        <f t="shared" si="246"/>
        <v>5</v>
      </c>
      <c r="AT2904" s="84">
        <f t="shared" si="247"/>
        <v>2019</v>
      </c>
      <c r="AU2904" s="86"/>
      <c r="AV2904" s="86"/>
      <c r="AW2904" s="87"/>
      <c r="AX2904" s="86"/>
      <c r="AY2904" s="83"/>
      <c r="AZ2904" s="84"/>
      <c r="BA2904" s="86"/>
      <c r="BB2904" s="86"/>
    </row>
    <row r="2905" spans="1:54" ht="36.75" customHeight="1">
      <c r="A2905" s="30"/>
      <c r="B2905" s="30" t="s">
        <v>55</v>
      </c>
      <c r="C2905" s="69" t="str">
        <f t="shared" si="248"/>
        <v>Closed</v>
      </c>
      <c r="D2905" s="27" t="s">
        <v>16444</v>
      </c>
      <c r="E2905" s="29" t="s">
        <v>16445</v>
      </c>
      <c r="F2905" s="30" t="s">
        <v>2336</v>
      </c>
      <c r="G2905" s="72">
        <f>DATE(2019,5,19)</f>
        <v>43604</v>
      </c>
      <c r="H2905" s="80">
        <v>1.6041666666666665</v>
      </c>
      <c r="I2905" s="30" t="s">
        <v>198</v>
      </c>
      <c r="J2905" s="72" t="s">
        <v>16446</v>
      </c>
      <c r="K2905" s="30" t="s">
        <v>2338</v>
      </c>
      <c r="L2905" s="30" t="s">
        <v>16447</v>
      </c>
      <c r="M2905" s="30" t="s">
        <v>63</v>
      </c>
      <c r="N2905" s="30" t="s">
        <v>142</v>
      </c>
      <c r="O2905" s="30" t="s">
        <v>77</v>
      </c>
      <c r="P2905" s="72" t="s">
        <v>78</v>
      </c>
      <c r="Q2905" s="72" t="s">
        <v>2975</v>
      </c>
      <c r="R2905" s="72" t="s">
        <v>2341</v>
      </c>
      <c r="S2905" s="30">
        <v>0</v>
      </c>
      <c r="T2905" s="232">
        <v>0</v>
      </c>
      <c r="U2905" s="30">
        <v>0</v>
      </c>
      <c r="V2905" s="232">
        <v>0</v>
      </c>
      <c r="W2905" s="30">
        <v>0</v>
      </c>
      <c r="X2905" s="30">
        <v>0</v>
      </c>
      <c r="Y2905" s="30">
        <v>0</v>
      </c>
      <c r="Z2905" s="232">
        <v>0</v>
      </c>
      <c r="AA2905" s="30">
        <v>0</v>
      </c>
      <c r="AB2905" s="30">
        <v>0</v>
      </c>
      <c r="AC2905" s="30">
        <v>0</v>
      </c>
      <c r="AD2905" s="30">
        <v>0</v>
      </c>
      <c r="AE2905" s="72" t="s">
        <v>92</v>
      </c>
      <c r="AF2905" s="72"/>
      <c r="AG2905" s="72" t="s">
        <v>589</v>
      </c>
      <c r="AH2905" s="72">
        <v>43606</v>
      </c>
      <c r="AI2905" s="30">
        <v>6</v>
      </c>
      <c r="AJ2905" s="72" t="s">
        <v>16448</v>
      </c>
      <c r="AK2905" s="72" t="s">
        <v>16449</v>
      </c>
      <c r="AL2905" s="70">
        <v>43609</v>
      </c>
      <c r="AM2905" s="70"/>
      <c r="AN2905" s="70"/>
      <c r="AO2905" s="70"/>
      <c r="AP2905" s="73" t="e">
        <f>MID(VLOOKUP(K2905,#REF!,2,FALSE),1,2)</f>
        <v>#REF!</v>
      </c>
      <c r="AQ2905" s="72">
        <f>DATE(2019,5,26)</f>
        <v>43611</v>
      </c>
      <c r="AR2905" s="82">
        <f t="shared" si="245"/>
        <v>26</v>
      </c>
      <c r="AS2905" s="83">
        <f t="shared" si="246"/>
        <v>5</v>
      </c>
      <c r="AT2905" s="84">
        <f t="shared" si="247"/>
        <v>2019</v>
      </c>
      <c r="AU2905" s="86"/>
      <c r="AV2905" s="86"/>
      <c r="AW2905" s="87"/>
      <c r="AX2905" s="86"/>
      <c r="AY2905" s="83"/>
      <c r="AZ2905" s="84"/>
      <c r="BA2905" s="86"/>
      <c r="BB2905" s="86"/>
    </row>
    <row r="2906" spans="1:54" ht="36.75" customHeight="1">
      <c r="A2906" s="30"/>
      <c r="B2906" s="30" t="s">
        <v>55</v>
      </c>
      <c r="C2906" s="69" t="str">
        <f t="shared" si="248"/>
        <v>Closed</v>
      </c>
      <c r="D2906" s="27" t="s">
        <v>16450</v>
      </c>
      <c r="E2906" s="29" t="s">
        <v>16451</v>
      </c>
      <c r="F2906" s="30" t="s">
        <v>377</v>
      </c>
      <c r="G2906" s="72">
        <f>DATE(2019,5,24)</f>
        <v>43609</v>
      </c>
      <c r="H2906" s="80">
        <v>1.3819444444444444</v>
      </c>
      <c r="I2906" s="30" t="s">
        <v>2418</v>
      </c>
      <c r="J2906" s="72" t="s">
        <v>16452</v>
      </c>
      <c r="K2906" s="30" t="s">
        <v>379</v>
      </c>
      <c r="L2906" s="30" t="s">
        <v>16453</v>
      </c>
      <c r="M2906" s="30" t="s">
        <v>63</v>
      </c>
      <c r="N2906" s="30" t="s">
        <v>99</v>
      </c>
      <c r="O2906" s="30" t="s">
        <v>64</v>
      </c>
      <c r="P2906" s="72" t="s">
        <v>6902</v>
      </c>
      <c r="Q2906" s="72" t="s">
        <v>3193</v>
      </c>
      <c r="R2906" s="72" t="s">
        <v>382</v>
      </c>
      <c r="S2906" s="30">
        <v>0</v>
      </c>
      <c r="T2906" s="232">
        <v>0</v>
      </c>
      <c r="U2906" s="30">
        <v>0</v>
      </c>
      <c r="V2906" s="232">
        <v>0</v>
      </c>
      <c r="W2906" s="30">
        <v>0</v>
      </c>
      <c r="X2906" s="30">
        <v>0</v>
      </c>
      <c r="Y2906" s="30">
        <v>0</v>
      </c>
      <c r="Z2906" s="232">
        <v>0</v>
      </c>
      <c r="AA2906" s="30">
        <v>0</v>
      </c>
      <c r="AB2906" s="30">
        <v>0</v>
      </c>
      <c r="AC2906" s="30">
        <v>0</v>
      </c>
      <c r="AD2906" s="30">
        <v>0</v>
      </c>
      <c r="AE2906" s="72" t="s">
        <v>92</v>
      </c>
      <c r="AF2906" s="72"/>
      <c r="AG2906" s="72" t="s">
        <v>352</v>
      </c>
      <c r="AH2906" s="72">
        <v>43647</v>
      </c>
      <c r="AI2906" s="30">
        <v>1</v>
      </c>
      <c r="AJ2906" s="72" t="s">
        <v>16454</v>
      </c>
      <c r="AK2906" s="72" t="s">
        <v>16455</v>
      </c>
      <c r="AL2906" s="70">
        <v>43942</v>
      </c>
      <c r="AM2906" s="70"/>
      <c r="AN2906" s="70"/>
      <c r="AO2906" s="70"/>
      <c r="AP2906" s="73" t="e">
        <f>MID(VLOOKUP(K2906,#REF!,2,FALSE),1,2)</f>
        <v>#REF!</v>
      </c>
      <c r="AQ2906" s="72">
        <f>DATE(2019,5,30)</f>
        <v>43615</v>
      </c>
      <c r="AR2906" s="82">
        <f t="shared" si="245"/>
        <v>30</v>
      </c>
      <c r="AS2906" s="84">
        <f t="shared" si="246"/>
        <v>5</v>
      </c>
      <c r="AT2906" s="104">
        <f t="shared" si="247"/>
        <v>2019</v>
      </c>
      <c r="AU2906" s="86"/>
      <c r="AV2906" s="87"/>
      <c r="AW2906" s="86"/>
      <c r="AX2906" s="82"/>
      <c r="AY2906" s="84"/>
      <c r="AZ2906" s="104"/>
      <c r="BA2906" s="86"/>
      <c r="BB2906" s="86"/>
    </row>
    <row r="2907" spans="1:54" ht="36.75" customHeight="1">
      <c r="A2907" s="30"/>
      <c r="B2907" s="30" t="s">
        <v>55</v>
      </c>
      <c r="C2907" s="69" t="str">
        <f t="shared" si="248"/>
        <v>Closed</v>
      </c>
      <c r="D2907" s="27" t="s">
        <v>16456</v>
      </c>
      <c r="E2907" s="29" t="s">
        <v>16457</v>
      </c>
      <c r="F2907" s="30" t="s">
        <v>1572</v>
      </c>
      <c r="G2907" s="72">
        <f>DATE(2019,5,26)</f>
        <v>43611</v>
      </c>
      <c r="H2907" s="80">
        <v>1.7381944444444444</v>
      </c>
      <c r="I2907" s="30" t="s">
        <v>73</v>
      </c>
      <c r="J2907" s="72" t="s">
        <v>16458</v>
      </c>
      <c r="K2907" s="30" t="s">
        <v>1574</v>
      </c>
      <c r="L2907" s="30" t="s">
        <v>13730</v>
      </c>
      <c r="M2907" s="30" t="s">
        <v>63</v>
      </c>
      <c r="N2907" s="30" t="s">
        <v>142</v>
      </c>
      <c r="O2907" s="30" t="s">
        <v>77</v>
      </c>
      <c r="P2907" s="72" t="s">
        <v>6941</v>
      </c>
      <c r="Q2907" s="72" t="s">
        <v>2413</v>
      </c>
      <c r="R2907" s="72" t="s">
        <v>6434</v>
      </c>
      <c r="S2907" s="30">
        <v>0</v>
      </c>
      <c r="T2907" s="232">
        <v>0</v>
      </c>
      <c r="U2907" s="30">
        <v>0</v>
      </c>
      <c r="V2907" s="232">
        <v>0</v>
      </c>
      <c r="W2907" s="30">
        <v>0</v>
      </c>
      <c r="X2907" s="30">
        <v>0</v>
      </c>
      <c r="Y2907" s="30">
        <v>0</v>
      </c>
      <c r="Z2907" s="232">
        <v>0</v>
      </c>
      <c r="AA2907" s="30">
        <v>0</v>
      </c>
      <c r="AB2907" s="30">
        <v>0</v>
      </c>
      <c r="AC2907" s="30">
        <v>0</v>
      </c>
      <c r="AD2907" s="30">
        <v>0</v>
      </c>
      <c r="AE2907" s="72" t="s">
        <v>92</v>
      </c>
      <c r="AF2907" s="72"/>
      <c r="AG2907" s="72" t="s">
        <v>133</v>
      </c>
      <c r="AH2907" s="72">
        <v>43612</v>
      </c>
      <c r="AI2907" s="30">
        <v>1</v>
      </c>
      <c r="AJ2907" s="72" t="s">
        <v>16459</v>
      </c>
      <c r="AK2907" s="72" t="s">
        <v>16460</v>
      </c>
      <c r="AL2907" s="70">
        <v>43613</v>
      </c>
      <c r="AM2907" s="70"/>
      <c r="AN2907" s="70"/>
      <c r="AO2907" s="70"/>
      <c r="AP2907" s="73" t="e">
        <f>MID(VLOOKUP(K2907,#REF!,2,FALSE),1,2)</f>
        <v>#REF!</v>
      </c>
      <c r="AQ2907" s="72">
        <f>DATE(2019,6,1)</f>
        <v>43617</v>
      </c>
      <c r="AR2907" s="82">
        <f t="shared" si="245"/>
        <v>1</v>
      </c>
      <c r="AS2907" s="83">
        <f t="shared" si="246"/>
        <v>6</v>
      </c>
      <c r="AT2907" s="84">
        <f t="shared" si="247"/>
        <v>2019</v>
      </c>
      <c r="AU2907" s="86"/>
      <c r="AV2907" s="86"/>
      <c r="AW2907" s="87"/>
      <c r="AX2907" s="86"/>
      <c r="AY2907" s="83"/>
      <c r="AZ2907" s="84"/>
      <c r="BA2907" s="86"/>
      <c r="BB2907" s="86"/>
    </row>
    <row r="2908" spans="1:54" ht="36.75" customHeight="1">
      <c r="A2908" s="30"/>
      <c r="B2908" s="30" t="s">
        <v>55</v>
      </c>
      <c r="C2908" s="69" t="str">
        <f t="shared" si="248"/>
        <v>Closed</v>
      </c>
      <c r="D2908" s="27" t="s">
        <v>16461</v>
      </c>
      <c r="E2908" s="29" t="s">
        <v>16462</v>
      </c>
      <c r="F2908" s="30" t="s">
        <v>835</v>
      </c>
      <c r="G2908" s="72">
        <f>DATE(2019,5,30)</f>
        <v>43615</v>
      </c>
      <c r="H2908" s="80">
        <v>1.8298611111111112</v>
      </c>
      <c r="I2908" s="30" t="s">
        <v>104</v>
      </c>
      <c r="J2908" s="72" t="s">
        <v>16463</v>
      </c>
      <c r="K2908" s="30" t="s">
        <v>837</v>
      </c>
      <c r="L2908" s="30" t="s">
        <v>16464</v>
      </c>
      <c r="M2908" s="30" t="s">
        <v>63</v>
      </c>
      <c r="N2908" s="30" t="s">
        <v>142</v>
      </c>
      <c r="O2908" s="30" t="s">
        <v>86</v>
      </c>
      <c r="P2908" s="72" t="s">
        <v>165</v>
      </c>
      <c r="Q2908" s="72" t="s">
        <v>2162</v>
      </c>
      <c r="R2908" s="72" t="s">
        <v>840</v>
      </c>
      <c r="S2908" s="30">
        <v>0</v>
      </c>
      <c r="T2908" s="232">
        <v>0</v>
      </c>
      <c r="U2908" s="30">
        <v>0</v>
      </c>
      <c r="V2908" s="232">
        <v>0</v>
      </c>
      <c r="W2908" s="30">
        <v>0</v>
      </c>
      <c r="X2908" s="30">
        <v>0</v>
      </c>
      <c r="Y2908" s="30">
        <v>0</v>
      </c>
      <c r="Z2908" s="232">
        <v>0</v>
      </c>
      <c r="AA2908" s="30">
        <v>0</v>
      </c>
      <c r="AB2908" s="30">
        <v>0</v>
      </c>
      <c r="AC2908" s="30">
        <v>0</v>
      </c>
      <c r="AD2908" s="30">
        <v>0</v>
      </c>
      <c r="AE2908" s="72" t="s">
        <v>92</v>
      </c>
      <c r="AF2908" s="72"/>
      <c r="AG2908" s="72" t="s">
        <v>133</v>
      </c>
      <c r="AH2908" s="72">
        <v>43619</v>
      </c>
      <c r="AI2908" s="30">
        <v>2</v>
      </c>
      <c r="AJ2908" s="72" t="s">
        <v>16465</v>
      </c>
      <c r="AK2908" s="72" t="s">
        <v>68</v>
      </c>
      <c r="AL2908" s="70">
        <v>43672</v>
      </c>
      <c r="AM2908" s="70"/>
      <c r="AN2908" s="70"/>
      <c r="AO2908" s="70"/>
      <c r="AP2908" s="73" t="e">
        <f>MID(VLOOKUP(K2908,#REF!,2,FALSE),1,2)</f>
        <v>#REF!</v>
      </c>
      <c r="AQ2908" s="72">
        <f>DATE(2019,6,3)</f>
        <v>43619</v>
      </c>
      <c r="AR2908" s="82">
        <f t="shared" si="245"/>
        <v>3</v>
      </c>
      <c r="AS2908" s="84">
        <f t="shared" si="246"/>
        <v>6</v>
      </c>
      <c r="AT2908" s="104">
        <f t="shared" si="247"/>
        <v>2019</v>
      </c>
      <c r="AU2908" s="86"/>
      <c r="AV2908" s="87"/>
      <c r="AW2908" s="86"/>
      <c r="AX2908" s="82"/>
      <c r="AY2908" s="84"/>
      <c r="AZ2908" s="104"/>
      <c r="BA2908" s="86"/>
      <c r="BB2908" s="86"/>
    </row>
    <row r="2909" spans="1:54" ht="36.75" customHeight="1">
      <c r="A2909" s="30"/>
      <c r="B2909" s="30" t="s">
        <v>55</v>
      </c>
      <c r="C2909" s="69" t="str">
        <f t="shared" si="248"/>
        <v>Closed</v>
      </c>
      <c r="D2909" s="27" t="s">
        <v>16466</v>
      </c>
      <c r="E2909" s="29" t="s">
        <v>16467</v>
      </c>
      <c r="F2909" s="30" t="s">
        <v>1572</v>
      </c>
      <c r="G2909" s="72">
        <f>DATE(2019,6,1)</f>
        <v>43617</v>
      </c>
      <c r="H2909" s="80">
        <v>1.5</v>
      </c>
      <c r="I2909" s="30" t="s">
        <v>73</v>
      </c>
      <c r="J2909" s="72" t="s">
        <v>16468</v>
      </c>
      <c r="K2909" s="30" t="s">
        <v>1574</v>
      </c>
      <c r="L2909" s="30" t="s">
        <v>16469</v>
      </c>
      <c r="M2909" s="30" t="s">
        <v>63</v>
      </c>
      <c r="N2909" s="30" t="s">
        <v>99</v>
      </c>
      <c r="O2909" s="30" t="s">
        <v>64</v>
      </c>
      <c r="P2909" s="72" t="s">
        <v>6941</v>
      </c>
      <c r="Q2909" s="72" t="s">
        <v>16010</v>
      </c>
      <c r="R2909" s="72" t="s">
        <v>2561</v>
      </c>
      <c r="S2909" s="30">
        <v>0</v>
      </c>
      <c r="T2909" s="232">
        <v>0</v>
      </c>
      <c r="U2909" s="30">
        <v>0</v>
      </c>
      <c r="V2909" s="232">
        <v>0</v>
      </c>
      <c r="W2909" s="30">
        <v>0</v>
      </c>
      <c r="X2909" s="30">
        <v>0</v>
      </c>
      <c r="Y2909" s="30">
        <v>0</v>
      </c>
      <c r="Z2909" s="232">
        <v>0</v>
      </c>
      <c r="AA2909" s="30">
        <v>0</v>
      </c>
      <c r="AB2909" s="30">
        <v>0</v>
      </c>
      <c r="AC2909" s="30">
        <v>0</v>
      </c>
      <c r="AD2909" s="30">
        <v>0</v>
      </c>
      <c r="AE2909" s="72" t="s">
        <v>92</v>
      </c>
      <c r="AF2909" s="72"/>
      <c r="AG2909" s="72" t="s">
        <v>133</v>
      </c>
      <c r="AH2909" s="72">
        <v>43619</v>
      </c>
      <c r="AI2909" s="30">
        <v>1</v>
      </c>
      <c r="AJ2909" s="72" t="s">
        <v>16470</v>
      </c>
      <c r="AK2909" s="72" t="s">
        <v>16471</v>
      </c>
      <c r="AL2909" s="70">
        <v>43621</v>
      </c>
      <c r="AM2909" s="70"/>
      <c r="AN2909" s="70"/>
      <c r="AO2909" s="70"/>
      <c r="AP2909" s="73" t="e">
        <f>MID(VLOOKUP(K2909,#REF!,2,FALSE),1,2)</f>
        <v>#REF!</v>
      </c>
      <c r="AQ2909" s="72">
        <f>DATE(2019,6,4)</f>
        <v>43620</v>
      </c>
      <c r="AR2909" s="82">
        <f t="shared" si="245"/>
        <v>4</v>
      </c>
      <c r="AS2909" s="83">
        <f t="shared" si="246"/>
        <v>6</v>
      </c>
      <c r="AT2909" s="84">
        <f t="shared" si="247"/>
        <v>2019</v>
      </c>
      <c r="AU2909" s="86"/>
      <c r="AV2909" s="86"/>
      <c r="AW2909" s="87"/>
      <c r="AX2909" s="86"/>
      <c r="AY2909" s="83"/>
      <c r="AZ2909" s="84"/>
      <c r="BA2909" s="86"/>
      <c r="BB2909" s="86"/>
    </row>
    <row r="2910" spans="1:54" ht="36.75" customHeight="1">
      <c r="A2910" s="30"/>
      <c r="B2910" s="30" t="s">
        <v>55</v>
      </c>
      <c r="C2910" s="69" t="str">
        <f t="shared" si="248"/>
        <v>Closed</v>
      </c>
      <c r="D2910" s="27" t="s">
        <v>16472</v>
      </c>
      <c r="E2910" s="29" t="s">
        <v>16473</v>
      </c>
      <c r="F2910" s="30" t="s">
        <v>835</v>
      </c>
      <c r="G2910" s="72">
        <f>DATE(2019,6,3)</f>
        <v>43619</v>
      </c>
      <c r="H2910" s="80">
        <v>1.6749999999999998</v>
      </c>
      <c r="I2910" s="30" t="s">
        <v>73</v>
      </c>
      <c r="J2910" s="72" t="s">
        <v>16474</v>
      </c>
      <c r="K2910" s="30" t="s">
        <v>837</v>
      </c>
      <c r="L2910" s="30" t="s">
        <v>16475</v>
      </c>
      <c r="M2910" s="30" t="s">
        <v>255</v>
      </c>
      <c r="N2910" s="30" t="s">
        <v>99</v>
      </c>
      <c r="O2910" s="30" t="s">
        <v>64</v>
      </c>
      <c r="P2910" s="72" t="s">
        <v>6552</v>
      </c>
      <c r="Q2910" s="72" t="s">
        <v>4210</v>
      </c>
      <c r="R2910" s="72" t="s">
        <v>4210</v>
      </c>
      <c r="S2910" s="30">
        <v>0</v>
      </c>
      <c r="T2910" s="232">
        <v>0</v>
      </c>
      <c r="U2910" s="30">
        <v>0</v>
      </c>
      <c r="V2910" s="232">
        <v>0</v>
      </c>
      <c r="W2910" s="30">
        <v>0</v>
      </c>
      <c r="X2910" s="30">
        <v>0</v>
      </c>
      <c r="Y2910" s="30">
        <v>0</v>
      </c>
      <c r="Z2910" s="232">
        <v>0</v>
      </c>
      <c r="AA2910" s="30">
        <v>0</v>
      </c>
      <c r="AB2910" s="30">
        <v>0</v>
      </c>
      <c r="AC2910" s="30">
        <v>0</v>
      </c>
      <c r="AD2910" s="30">
        <v>0</v>
      </c>
      <c r="AE2910" s="72" t="s">
        <v>92</v>
      </c>
      <c r="AF2910" s="72"/>
      <c r="AG2910" s="72" t="s">
        <v>133</v>
      </c>
      <c r="AH2910" s="72">
        <v>43619</v>
      </c>
      <c r="AI2910" s="30">
        <v>3</v>
      </c>
      <c r="AJ2910" s="72" t="s">
        <v>16476</v>
      </c>
      <c r="AK2910" s="72" t="s">
        <v>68</v>
      </c>
      <c r="AL2910" s="70">
        <v>43663</v>
      </c>
      <c r="AM2910" s="70"/>
      <c r="AN2910" s="70"/>
      <c r="AO2910" s="70"/>
      <c r="AP2910" s="73" t="e">
        <f>MID(VLOOKUP(K2910,#REF!,2,FALSE),1,2)</f>
        <v>#REF!</v>
      </c>
      <c r="AQ2910" s="72">
        <f>DATE(2019,6,7)</f>
        <v>43623</v>
      </c>
      <c r="AR2910" s="82">
        <f t="shared" si="245"/>
        <v>7</v>
      </c>
      <c r="AS2910" s="83">
        <f t="shared" si="246"/>
        <v>6</v>
      </c>
      <c r="AT2910" s="84">
        <f t="shared" si="247"/>
        <v>2019</v>
      </c>
      <c r="AU2910" s="86"/>
      <c r="AV2910" s="86"/>
      <c r="AW2910" s="87"/>
      <c r="AX2910" s="86"/>
      <c r="AY2910" s="83"/>
      <c r="AZ2910" s="84"/>
      <c r="BA2910" s="86"/>
      <c r="BB2910" s="86"/>
    </row>
    <row r="2911" spans="1:54" ht="36.75" customHeight="1">
      <c r="A2911" s="30"/>
      <c r="B2911" s="30" t="s">
        <v>55</v>
      </c>
      <c r="C2911" s="69" t="str">
        <f t="shared" si="248"/>
        <v>Closed</v>
      </c>
      <c r="D2911" s="27" t="s">
        <v>16477</v>
      </c>
      <c r="E2911" s="29" t="s">
        <v>16478</v>
      </c>
      <c r="F2911" s="30" t="s">
        <v>377</v>
      </c>
      <c r="G2911" s="72">
        <f>DATE(2019,6,4)</f>
        <v>43620</v>
      </c>
      <c r="H2911" s="80">
        <v>1.8430555555555554</v>
      </c>
      <c r="I2911" s="30" t="s">
        <v>73</v>
      </c>
      <c r="J2911" s="72" t="s">
        <v>16479</v>
      </c>
      <c r="K2911" s="30" t="s">
        <v>379</v>
      </c>
      <c r="L2911" s="30" t="s">
        <v>16480</v>
      </c>
      <c r="M2911" s="30" t="s">
        <v>63</v>
      </c>
      <c r="N2911" s="30" t="s">
        <v>99</v>
      </c>
      <c r="O2911" s="30" t="s">
        <v>77</v>
      </c>
      <c r="P2911" s="72" t="s">
        <v>165</v>
      </c>
      <c r="Q2911" s="72" t="s">
        <v>379</v>
      </c>
      <c r="R2911" s="72" t="s">
        <v>382</v>
      </c>
      <c r="S2911" s="30">
        <v>0</v>
      </c>
      <c r="T2911" s="232">
        <v>0</v>
      </c>
      <c r="U2911" s="30">
        <v>0</v>
      </c>
      <c r="V2911" s="232">
        <v>0</v>
      </c>
      <c r="W2911" s="30">
        <v>0</v>
      </c>
      <c r="X2911" s="30">
        <v>0</v>
      </c>
      <c r="Y2911" s="30">
        <v>0</v>
      </c>
      <c r="Z2911" s="232">
        <v>0</v>
      </c>
      <c r="AA2911" s="30">
        <v>0</v>
      </c>
      <c r="AB2911" s="30">
        <v>0</v>
      </c>
      <c r="AC2911" s="30">
        <v>0</v>
      </c>
      <c r="AD2911" s="30">
        <v>0</v>
      </c>
      <c r="AE2911" s="72" t="s">
        <v>92</v>
      </c>
      <c r="AF2911" s="72"/>
      <c r="AG2911" s="72" t="s">
        <v>11442</v>
      </c>
      <c r="AH2911" s="72">
        <v>43565</v>
      </c>
      <c r="AI2911" s="30">
        <v>5</v>
      </c>
      <c r="AJ2911" s="72" t="s">
        <v>16481</v>
      </c>
      <c r="AK2911" s="72" t="s">
        <v>16482</v>
      </c>
      <c r="AL2911" s="70">
        <v>43686</v>
      </c>
      <c r="AM2911" s="70"/>
      <c r="AN2911" s="70"/>
      <c r="AO2911" s="70"/>
      <c r="AP2911" s="73" t="e">
        <f>MID(VLOOKUP(K2911,#REF!,2,FALSE),1,2)</f>
        <v>#REF!</v>
      </c>
      <c r="AQ2911" s="72">
        <f>DATE(2019,6,13)</f>
        <v>43629</v>
      </c>
      <c r="AR2911" s="82">
        <f t="shared" si="245"/>
        <v>13</v>
      </c>
      <c r="AS2911" s="83">
        <f t="shared" si="246"/>
        <v>6</v>
      </c>
      <c r="AT2911" s="84">
        <f t="shared" si="247"/>
        <v>2019</v>
      </c>
      <c r="AU2911" s="86"/>
      <c r="AV2911" s="86"/>
      <c r="AW2911" s="87"/>
      <c r="AX2911" s="86"/>
      <c r="AY2911" s="83"/>
      <c r="AZ2911" s="84"/>
      <c r="BA2911" s="86"/>
      <c r="BB2911" s="86"/>
    </row>
    <row r="2912" spans="1:54" ht="36.75" customHeight="1">
      <c r="A2912" s="30"/>
      <c r="B2912" s="30" t="s">
        <v>55</v>
      </c>
      <c r="C2912" s="69" t="str">
        <f t="shared" si="248"/>
        <v>Closed</v>
      </c>
      <c r="D2912" s="27" t="s">
        <v>16483</v>
      </c>
      <c r="E2912" s="29" t="s">
        <v>16484</v>
      </c>
      <c r="F2912" s="30" t="s">
        <v>1572</v>
      </c>
      <c r="G2912" s="72">
        <f>DATE(2019,6,7)</f>
        <v>43623</v>
      </c>
      <c r="H2912" s="80">
        <v>1.9375</v>
      </c>
      <c r="I2912" s="30" t="s">
        <v>73</v>
      </c>
      <c r="J2912" s="72" t="s">
        <v>16485</v>
      </c>
      <c r="K2912" s="30" t="s">
        <v>1574</v>
      </c>
      <c r="L2912" s="30" t="s">
        <v>7944</v>
      </c>
      <c r="M2912" s="30" t="s">
        <v>63</v>
      </c>
      <c r="N2912" s="30" t="s">
        <v>142</v>
      </c>
      <c r="O2912" s="30" t="s">
        <v>77</v>
      </c>
      <c r="P2912" s="72" t="s">
        <v>78</v>
      </c>
      <c r="Q2912" s="72" t="s">
        <v>2655</v>
      </c>
      <c r="R2912" s="72" t="s">
        <v>6434</v>
      </c>
      <c r="S2912" s="30">
        <v>0</v>
      </c>
      <c r="T2912" s="232">
        <v>0</v>
      </c>
      <c r="U2912" s="30">
        <v>0</v>
      </c>
      <c r="V2912" s="232">
        <v>0</v>
      </c>
      <c r="W2912" s="30">
        <v>0</v>
      </c>
      <c r="X2912" s="30">
        <v>0</v>
      </c>
      <c r="Y2912" s="30">
        <v>0</v>
      </c>
      <c r="Z2912" s="232">
        <v>0</v>
      </c>
      <c r="AA2912" s="30">
        <v>0</v>
      </c>
      <c r="AB2912" s="30">
        <v>0</v>
      </c>
      <c r="AC2912" s="30">
        <v>0</v>
      </c>
      <c r="AD2912" s="30">
        <v>0</v>
      </c>
      <c r="AE2912" s="72" t="s">
        <v>92</v>
      </c>
      <c r="AF2912" s="72"/>
      <c r="AG2912" s="72" t="s">
        <v>133</v>
      </c>
      <c r="AH2912" s="72">
        <v>43627</v>
      </c>
      <c r="AI2912" s="30">
        <v>1</v>
      </c>
      <c r="AJ2912" s="72" t="s">
        <v>16486</v>
      </c>
      <c r="AK2912" s="72" t="s">
        <v>16487</v>
      </c>
      <c r="AL2912" s="70">
        <v>43628</v>
      </c>
      <c r="AM2912" s="70"/>
      <c r="AN2912" s="70"/>
      <c r="AO2912" s="70"/>
      <c r="AP2912" s="73" t="e">
        <f>MID(VLOOKUP(K2912,#REF!,2,FALSE),1,2)</f>
        <v>#REF!</v>
      </c>
      <c r="AQ2912" s="72">
        <f>DATE(2019,6,15)</f>
        <v>43631</v>
      </c>
      <c r="AR2912" s="82">
        <f t="shared" si="245"/>
        <v>15</v>
      </c>
      <c r="AS2912" s="83">
        <f t="shared" si="246"/>
        <v>6</v>
      </c>
      <c r="AT2912" s="84">
        <f t="shared" si="247"/>
        <v>2019</v>
      </c>
      <c r="AU2912" s="86"/>
      <c r="AV2912" s="86"/>
      <c r="AW2912" s="87"/>
      <c r="AX2912" s="86"/>
      <c r="AY2912" s="83"/>
      <c r="AZ2912" s="84"/>
      <c r="BA2912" s="86"/>
      <c r="BB2912" s="86"/>
    </row>
    <row r="2913" spans="1:56" ht="36.75" customHeight="1">
      <c r="A2913" s="30"/>
      <c r="B2913" s="30" t="s">
        <v>55</v>
      </c>
      <c r="C2913" s="69" t="str">
        <f t="shared" si="248"/>
        <v>Closed</v>
      </c>
      <c r="D2913" s="27" t="s">
        <v>16488</v>
      </c>
      <c r="E2913" s="29" t="s">
        <v>16489</v>
      </c>
      <c r="F2913" s="30" t="s">
        <v>233</v>
      </c>
      <c r="G2913" s="72">
        <f>DATE(2019,6,13)</f>
        <v>43629</v>
      </c>
      <c r="H2913" s="80">
        <v>1.6743055555555557</v>
      </c>
      <c r="I2913" s="30" t="s">
        <v>156</v>
      </c>
      <c r="J2913" s="72" t="s">
        <v>16490</v>
      </c>
      <c r="K2913" s="30" t="s">
        <v>235</v>
      </c>
      <c r="L2913" s="30" t="s">
        <v>16491</v>
      </c>
      <c r="M2913" s="30" t="s">
        <v>63</v>
      </c>
      <c r="N2913" s="30" t="s">
        <v>142</v>
      </c>
      <c r="O2913" s="30" t="s">
        <v>64</v>
      </c>
      <c r="P2913" s="72" t="s">
        <v>165</v>
      </c>
      <c r="Q2913" s="72" t="s">
        <v>2538</v>
      </c>
      <c r="R2913" s="72" t="s">
        <v>235</v>
      </c>
      <c r="S2913" s="30">
        <v>0</v>
      </c>
      <c r="T2913" s="232">
        <v>0</v>
      </c>
      <c r="U2913" s="30">
        <v>0</v>
      </c>
      <c r="V2913" s="232">
        <v>0</v>
      </c>
      <c r="W2913" s="30">
        <v>0</v>
      </c>
      <c r="X2913" s="30">
        <v>0</v>
      </c>
      <c r="Y2913" s="30">
        <v>0</v>
      </c>
      <c r="Z2913" s="232">
        <v>0</v>
      </c>
      <c r="AA2913" s="30">
        <v>0</v>
      </c>
      <c r="AB2913" s="30">
        <v>0</v>
      </c>
      <c r="AC2913" s="30">
        <v>0</v>
      </c>
      <c r="AD2913" s="30">
        <v>0</v>
      </c>
      <c r="AE2913" s="72" t="s">
        <v>92</v>
      </c>
      <c r="AF2913" s="72"/>
      <c r="AG2913" s="72" t="s">
        <v>133</v>
      </c>
      <c r="AH2913" s="72">
        <v>43640</v>
      </c>
      <c r="AI2913" s="30">
        <v>5</v>
      </c>
      <c r="AJ2913" s="72" t="s">
        <v>16492</v>
      </c>
      <c r="AK2913" s="72" t="s">
        <v>16493</v>
      </c>
      <c r="AL2913" s="70">
        <v>43654</v>
      </c>
      <c r="AM2913" s="70"/>
      <c r="AN2913" s="70"/>
      <c r="AO2913" s="70"/>
      <c r="AP2913" s="73" t="e">
        <f>MID(VLOOKUP(K2913,#REF!,2,FALSE),1,2)</f>
        <v>#REF!</v>
      </c>
      <c r="AQ2913" s="72">
        <f>DATE(2019,6,17)</f>
        <v>43633</v>
      </c>
      <c r="AR2913" s="82">
        <f t="shared" si="245"/>
        <v>17</v>
      </c>
      <c r="AS2913" s="83">
        <f t="shared" si="246"/>
        <v>6</v>
      </c>
      <c r="AT2913" s="84">
        <f t="shared" si="247"/>
        <v>2019</v>
      </c>
      <c r="AU2913" s="86"/>
      <c r="AV2913" s="86"/>
      <c r="AW2913" s="87"/>
      <c r="AX2913" s="86"/>
      <c r="AY2913" s="83"/>
      <c r="AZ2913" s="84"/>
      <c r="BA2913" s="86"/>
      <c r="BB2913" s="86"/>
    </row>
    <row r="2914" spans="1:56" ht="36.75" customHeight="1">
      <c r="A2914" s="30"/>
      <c r="B2914" s="30" t="s">
        <v>55</v>
      </c>
      <c r="C2914" s="69" t="str">
        <f t="shared" si="248"/>
        <v>Closed</v>
      </c>
      <c r="D2914" s="27" t="s">
        <v>16494</v>
      </c>
      <c r="E2914" s="29" t="s">
        <v>16495</v>
      </c>
      <c r="F2914" s="30" t="s">
        <v>2336</v>
      </c>
      <c r="G2914" s="72">
        <f>DATE(2019,6,15)</f>
        <v>43631</v>
      </c>
      <c r="H2914" s="80">
        <v>1.7652777777777779</v>
      </c>
      <c r="I2914" s="30" t="s">
        <v>116</v>
      </c>
      <c r="J2914" s="72" t="s">
        <v>16496</v>
      </c>
      <c r="K2914" s="30" t="s">
        <v>2338</v>
      </c>
      <c r="L2914" s="30" t="s">
        <v>16497</v>
      </c>
      <c r="M2914" s="30" t="s">
        <v>63</v>
      </c>
      <c r="N2914" s="30" t="s">
        <v>142</v>
      </c>
      <c r="O2914" s="30" t="s">
        <v>64</v>
      </c>
      <c r="P2914" s="72" t="s">
        <v>165</v>
      </c>
      <c r="Q2914" s="72" t="s">
        <v>13517</v>
      </c>
      <c r="R2914" s="72" t="s">
        <v>2341</v>
      </c>
      <c r="S2914" s="30">
        <v>0</v>
      </c>
      <c r="T2914" s="232">
        <v>0</v>
      </c>
      <c r="U2914" s="30">
        <v>5</v>
      </c>
      <c r="V2914" s="232">
        <v>0</v>
      </c>
      <c r="W2914" s="30">
        <v>0</v>
      </c>
      <c r="X2914" s="30">
        <v>5</v>
      </c>
      <c r="Y2914" s="30">
        <v>0</v>
      </c>
      <c r="Z2914" s="232">
        <v>0</v>
      </c>
      <c r="AA2914" s="30">
        <v>0</v>
      </c>
      <c r="AB2914" s="30">
        <v>0</v>
      </c>
      <c r="AC2914" s="30">
        <v>0</v>
      </c>
      <c r="AD2914" s="30">
        <v>0</v>
      </c>
      <c r="AE2914" s="72" t="s">
        <v>92</v>
      </c>
      <c r="AF2914" s="72"/>
      <c r="AG2914" s="72" t="s">
        <v>82</v>
      </c>
      <c r="AH2914" s="72">
        <v>43633</v>
      </c>
      <c r="AI2914" s="30">
        <v>8</v>
      </c>
      <c r="AJ2914" s="72" t="s">
        <v>16498</v>
      </c>
      <c r="AK2914" s="72" t="s">
        <v>16499</v>
      </c>
      <c r="AL2914" s="70">
        <v>43634</v>
      </c>
      <c r="AM2914" s="72"/>
      <c r="AN2914" s="70"/>
      <c r="AO2914" s="70"/>
      <c r="AP2914" s="73" t="e">
        <f>MID(VLOOKUP(K2914,#REF!,2,FALSE),1,2)</f>
        <v>#REF!</v>
      </c>
      <c r="AQ2914" s="72">
        <f>DATE(2019,6,18)</f>
        <v>43634</v>
      </c>
      <c r="AR2914" s="82">
        <f t="shared" si="245"/>
        <v>18</v>
      </c>
      <c r="AS2914" s="83">
        <f t="shared" si="246"/>
        <v>6</v>
      </c>
      <c r="AT2914" s="84">
        <f t="shared" si="247"/>
        <v>2019</v>
      </c>
      <c r="AU2914" s="86"/>
      <c r="AV2914" s="86"/>
      <c r="AW2914" s="87"/>
      <c r="AX2914" s="86"/>
      <c r="AY2914" s="83"/>
      <c r="AZ2914" s="84"/>
      <c r="BA2914" s="86"/>
      <c r="BB2914" s="86"/>
    </row>
    <row r="2915" spans="1:56" ht="36.75" customHeight="1">
      <c r="A2915" s="30"/>
      <c r="B2915" s="30" t="s">
        <v>55</v>
      </c>
      <c r="C2915" s="69" t="str">
        <f t="shared" si="248"/>
        <v>Closed</v>
      </c>
      <c r="D2915" s="27" t="s">
        <v>16500</v>
      </c>
      <c r="E2915" s="29" t="s">
        <v>16501</v>
      </c>
      <c r="F2915" s="30" t="s">
        <v>835</v>
      </c>
      <c r="G2915" s="72">
        <f>DATE(2019,6,17)</f>
        <v>43633</v>
      </c>
      <c r="H2915" s="80">
        <v>1.4513888888888888</v>
      </c>
      <c r="I2915" s="30" t="s">
        <v>278</v>
      </c>
      <c r="J2915" s="72" t="s">
        <v>16502</v>
      </c>
      <c r="K2915" s="30" t="s">
        <v>837</v>
      </c>
      <c r="L2915" s="30" t="s">
        <v>16503</v>
      </c>
      <c r="M2915" s="30" t="s">
        <v>63</v>
      </c>
      <c r="N2915" s="30" t="s">
        <v>99</v>
      </c>
      <c r="O2915" s="30" t="s">
        <v>77</v>
      </c>
      <c r="P2915" s="72" t="s">
        <v>65</v>
      </c>
      <c r="Q2915" s="72" t="s">
        <v>2162</v>
      </c>
      <c r="R2915" s="72" t="s">
        <v>840</v>
      </c>
      <c r="S2915" s="30">
        <v>0</v>
      </c>
      <c r="T2915" s="232">
        <v>0</v>
      </c>
      <c r="U2915" s="30">
        <v>0</v>
      </c>
      <c r="V2915" s="232">
        <v>0</v>
      </c>
      <c r="W2915" s="30">
        <v>0</v>
      </c>
      <c r="X2915" s="30">
        <v>0</v>
      </c>
      <c r="Y2915" s="30">
        <v>0</v>
      </c>
      <c r="Z2915" s="232">
        <v>1</v>
      </c>
      <c r="AA2915" s="30">
        <v>0</v>
      </c>
      <c r="AB2915" s="30">
        <v>0</v>
      </c>
      <c r="AC2915" s="30">
        <v>0</v>
      </c>
      <c r="AD2915" s="30">
        <v>1</v>
      </c>
      <c r="AE2915" s="72" t="s">
        <v>92</v>
      </c>
      <c r="AF2915" s="72"/>
      <c r="AG2915" s="72" t="s">
        <v>133</v>
      </c>
      <c r="AH2915" s="72">
        <v>43633</v>
      </c>
      <c r="AI2915" s="30">
        <v>0</v>
      </c>
      <c r="AJ2915" s="72" t="s">
        <v>16504</v>
      </c>
      <c r="AK2915" s="72" t="s">
        <v>68</v>
      </c>
      <c r="AL2915" s="70">
        <v>43636</v>
      </c>
      <c r="AM2915" s="70"/>
      <c r="AN2915" s="70"/>
      <c r="AO2915" s="70"/>
      <c r="AP2915" s="73" t="e">
        <f>MID(VLOOKUP(K2915,#REF!,2,FALSE),1,2)</f>
        <v>#REF!</v>
      </c>
      <c r="AQ2915" s="72">
        <f>DATE(2019,6,18)</f>
        <v>43634</v>
      </c>
      <c r="AR2915" s="82">
        <f t="shared" si="245"/>
        <v>18</v>
      </c>
      <c r="AS2915" s="83">
        <f t="shared" si="246"/>
        <v>6</v>
      </c>
      <c r="AT2915" s="84">
        <f t="shared" si="247"/>
        <v>2019</v>
      </c>
      <c r="AU2915" s="86"/>
      <c r="AV2915" s="86"/>
      <c r="AW2915" s="87"/>
      <c r="AX2915" s="86"/>
      <c r="AY2915" s="83"/>
      <c r="AZ2915" s="84"/>
      <c r="BA2915" s="86"/>
      <c r="BB2915" s="86"/>
    </row>
    <row r="2916" spans="1:56" ht="36.75" customHeight="1">
      <c r="A2916" s="30"/>
      <c r="B2916" s="30" t="s">
        <v>55</v>
      </c>
      <c r="C2916" s="69" t="str">
        <f t="shared" si="248"/>
        <v>Closed</v>
      </c>
      <c r="D2916" s="37" t="s">
        <v>16505</v>
      </c>
      <c r="E2916" s="29" t="s">
        <v>16506</v>
      </c>
      <c r="F2916" s="30" t="s">
        <v>12474</v>
      </c>
      <c r="G2916" s="72">
        <f>DATE(2019,6,18)</f>
        <v>43634</v>
      </c>
      <c r="H2916" s="80">
        <v>1.6180555555555556</v>
      </c>
      <c r="I2916" s="30" t="s">
        <v>73</v>
      </c>
      <c r="J2916" s="72" t="s">
        <v>16507</v>
      </c>
      <c r="K2916" s="30" t="s">
        <v>200</v>
      </c>
      <c r="L2916" s="30" t="s">
        <v>16508</v>
      </c>
      <c r="M2916" s="30" t="s">
        <v>63</v>
      </c>
      <c r="N2916" s="30" t="s">
        <v>142</v>
      </c>
      <c r="O2916" s="30" t="s">
        <v>64</v>
      </c>
      <c r="P2916" s="72" t="s">
        <v>78</v>
      </c>
      <c r="Q2916" s="72" t="s">
        <v>16509</v>
      </c>
      <c r="R2916" s="72" t="s">
        <v>13578</v>
      </c>
      <c r="S2916" s="30">
        <v>0</v>
      </c>
      <c r="T2916" s="232">
        <v>0</v>
      </c>
      <c r="U2916" s="30">
        <v>0</v>
      </c>
      <c r="V2916" s="232">
        <v>0</v>
      </c>
      <c r="W2916" s="30">
        <v>0</v>
      </c>
      <c r="X2916" s="30">
        <v>0</v>
      </c>
      <c r="Y2916" s="30">
        <v>0</v>
      </c>
      <c r="Z2916" s="232">
        <v>0</v>
      </c>
      <c r="AA2916" s="30">
        <v>0</v>
      </c>
      <c r="AB2916" s="30">
        <v>0</v>
      </c>
      <c r="AC2916" s="30">
        <v>0</v>
      </c>
      <c r="AD2916" s="30">
        <v>0</v>
      </c>
      <c r="AE2916" s="72" t="s">
        <v>145</v>
      </c>
      <c r="AF2916" s="72" t="s">
        <v>14032</v>
      </c>
      <c r="AG2916" s="72" t="s">
        <v>14033</v>
      </c>
      <c r="AH2916" s="72">
        <v>43635</v>
      </c>
      <c r="AI2916" s="30">
        <v>0</v>
      </c>
      <c r="AJ2916" s="72" t="s">
        <v>16510</v>
      </c>
      <c r="AK2916" s="72" t="s">
        <v>16511</v>
      </c>
      <c r="AL2916" s="70">
        <v>43643</v>
      </c>
      <c r="AM2916" s="70">
        <v>44721</v>
      </c>
      <c r="AN2916" s="70">
        <v>45504</v>
      </c>
      <c r="AO2916" s="70">
        <v>45504</v>
      </c>
      <c r="AP2916" s="73" t="e">
        <f>MID(VLOOKUP(K2916,#REF!,2,FALSE),1,2)</f>
        <v>#REF!</v>
      </c>
      <c r="AQ2916" s="72">
        <f>DATE(2019,6,20)</f>
        <v>43636</v>
      </c>
      <c r="AR2916" s="82">
        <f t="shared" si="245"/>
        <v>20</v>
      </c>
      <c r="AS2916" s="84">
        <f t="shared" si="246"/>
        <v>6</v>
      </c>
      <c r="AT2916" s="104">
        <f t="shared" si="247"/>
        <v>2019</v>
      </c>
      <c r="AU2916" s="86"/>
      <c r="AV2916" s="87"/>
      <c r="AW2916" s="86"/>
      <c r="AX2916" s="82"/>
      <c r="AY2916" s="84"/>
      <c r="AZ2916" s="104"/>
      <c r="BA2916" s="86"/>
      <c r="BB2916" s="86"/>
    </row>
    <row r="2917" spans="1:56" ht="36.75" customHeight="1">
      <c r="A2917" s="98" t="s">
        <v>4910</v>
      </c>
      <c r="B2917" s="30" t="s">
        <v>55</v>
      </c>
      <c r="C2917" s="69" t="str">
        <f t="shared" si="248"/>
        <v>Closed</v>
      </c>
      <c r="D2917" s="27" t="s">
        <v>16512</v>
      </c>
      <c r="E2917" s="29" t="s">
        <v>16513</v>
      </c>
      <c r="F2917" s="30" t="s">
        <v>9789</v>
      </c>
      <c r="G2917" s="72">
        <f>DATE(2019,6,18)</f>
        <v>43634</v>
      </c>
      <c r="H2917" s="80">
        <v>1.4930555555555556</v>
      </c>
      <c r="I2917" s="30" t="s">
        <v>1040</v>
      </c>
      <c r="J2917" s="265" t="s">
        <v>16514</v>
      </c>
      <c r="K2917" s="30" t="s">
        <v>9791</v>
      </c>
      <c r="L2917" s="30" t="s">
        <v>16515</v>
      </c>
      <c r="M2917" s="30" t="s">
        <v>63</v>
      </c>
      <c r="N2917" s="30" t="s">
        <v>99</v>
      </c>
      <c r="O2917" s="30" t="s">
        <v>64</v>
      </c>
      <c r="P2917" s="72" t="s">
        <v>78</v>
      </c>
      <c r="Q2917" s="72" t="s">
        <v>10257</v>
      </c>
      <c r="R2917" s="72" t="s">
        <v>9794</v>
      </c>
      <c r="S2917" s="30">
        <v>0</v>
      </c>
      <c r="T2917" s="99">
        <v>0</v>
      </c>
      <c r="U2917" s="30">
        <v>0</v>
      </c>
      <c r="V2917" s="99">
        <v>0</v>
      </c>
      <c r="W2917" s="30">
        <v>0</v>
      </c>
      <c r="X2917" s="30">
        <v>0</v>
      </c>
      <c r="Y2917" s="30">
        <v>0</v>
      </c>
      <c r="Z2917" s="99">
        <v>0</v>
      </c>
      <c r="AA2917" s="30">
        <v>0</v>
      </c>
      <c r="AB2917" s="30">
        <v>0</v>
      </c>
      <c r="AC2917" s="30">
        <v>0</v>
      </c>
      <c r="AD2917" s="30">
        <v>0</v>
      </c>
      <c r="AE2917" s="72" t="s">
        <v>92</v>
      </c>
      <c r="AF2917" s="72"/>
      <c r="AG2917" s="72" t="s">
        <v>589</v>
      </c>
      <c r="AH2917" s="72">
        <v>43642</v>
      </c>
      <c r="AI2917" s="30">
        <v>1</v>
      </c>
      <c r="AJ2917" s="72" t="s">
        <v>16516</v>
      </c>
      <c r="AK2917" s="72" t="s">
        <v>16517</v>
      </c>
      <c r="AL2917" s="70">
        <v>43650</v>
      </c>
      <c r="AM2917" s="70"/>
      <c r="AN2917" s="70"/>
      <c r="AO2917" s="70"/>
      <c r="AP2917" s="73" t="e">
        <f>MID(VLOOKUP(K2917,#REF!,2,FALSE),1,2)</f>
        <v>#REF!</v>
      </c>
      <c r="AQ2917" s="72">
        <f>DATE(2019,6,20)</f>
        <v>43636</v>
      </c>
      <c r="AR2917" s="82">
        <f t="shared" si="245"/>
        <v>20</v>
      </c>
      <c r="AS2917" s="83">
        <f t="shared" si="246"/>
        <v>6</v>
      </c>
      <c r="AT2917" s="84">
        <f t="shared" si="247"/>
        <v>2019</v>
      </c>
      <c r="AU2917" s="86"/>
      <c r="AV2917" s="86"/>
      <c r="AW2917" s="87"/>
      <c r="AX2917" s="86"/>
      <c r="AY2917" s="83"/>
      <c r="AZ2917" s="84"/>
      <c r="BA2917" s="86"/>
      <c r="BB2917" s="86"/>
    </row>
    <row r="2918" spans="1:56" ht="36.75" customHeight="1">
      <c r="A2918" s="30"/>
      <c r="B2918" s="30" t="s">
        <v>55</v>
      </c>
      <c r="C2918" s="69" t="str">
        <f t="shared" si="248"/>
        <v>Closed</v>
      </c>
      <c r="D2918" s="27" t="s">
        <v>16518</v>
      </c>
      <c r="E2918" s="29" t="s">
        <v>16519</v>
      </c>
      <c r="F2918" s="30" t="s">
        <v>1770</v>
      </c>
      <c r="G2918" s="72">
        <f>DATE(2019,6,20)</f>
        <v>43636</v>
      </c>
      <c r="H2918" s="80">
        <v>1.9333333333333331</v>
      </c>
      <c r="I2918" s="30" t="s">
        <v>116</v>
      </c>
      <c r="J2918" s="72" t="s">
        <v>16520</v>
      </c>
      <c r="K2918" s="30" t="s">
        <v>1772</v>
      </c>
      <c r="L2918" s="30" t="s">
        <v>16521</v>
      </c>
      <c r="M2918" s="30" t="s">
        <v>63</v>
      </c>
      <c r="N2918" s="30" t="s">
        <v>142</v>
      </c>
      <c r="O2918" s="30" t="s">
        <v>64</v>
      </c>
      <c r="P2918" s="72" t="s">
        <v>78</v>
      </c>
      <c r="Q2918" s="72" t="s">
        <v>16522</v>
      </c>
      <c r="R2918" s="72" t="s">
        <v>1775</v>
      </c>
      <c r="S2918" s="30">
        <v>0</v>
      </c>
      <c r="T2918" s="232">
        <v>0</v>
      </c>
      <c r="U2918" s="30">
        <v>1</v>
      </c>
      <c r="V2918" s="232">
        <v>0</v>
      </c>
      <c r="W2918" s="30">
        <v>0</v>
      </c>
      <c r="X2918" s="30">
        <v>1</v>
      </c>
      <c r="Y2918" s="30">
        <v>0</v>
      </c>
      <c r="Z2918" s="232">
        <v>0</v>
      </c>
      <c r="AA2918" s="30">
        <v>0</v>
      </c>
      <c r="AB2918" s="30">
        <v>0</v>
      </c>
      <c r="AC2918" s="30">
        <v>0</v>
      </c>
      <c r="AD2918" s="30">
        <v>0</v>
      </c>
      <c r="AE2918" s="72" t="s">
        <v>92</v>
      </c>
      <c r="AF2918" s="72" t="s">
        <v>16523</v>
      </c>
      <c r="AG2918" s="72" t="s">
        <v>6459</v>
      </c>
      <c r="AH2918" s="72">
        <v>43637</v>
      </c>
      <c r="AI2918" s="30">
        <v>0</v>
      </c>
      <c r="AJ2918" s="72" t="s">
        <v>16524</v>
      </c>
      <c r="AK2918" s="5" t="s">
        <v>16525</v>
      </c>
      <c r="AL2918" s="21">
        <v>43886</v>
      </c>
      <c r="AM2918" s="22"/>
      <c r="AN2918" s="23"/>
      <c r="AO2918" s="23"/>
      <c r="AP2918" s="73" t="e">
        <f>MID(VLOOKUP(K2918,#REF!,2,FALSE),1,2)</f>
        <v>#REF!</v>
      </c>
      <c r="AQ2918" s="72">
        <f>DATE(2019,6,23)</f>
        <v>43639</v>
      </c>
      <c r="AR2918" s="82">
        <f t="shared" si="245"/>
        <v>23</v>
      </c>
      <c r="AS2918" s="83">
        <f t="shared" si="246"/>
        <v>6</v>
      </c>
      <c r="AT2918" s="84">
        <f t="shared" si="247"/>
        <v>2019</v>
      </c>
      <c r="AU2918" s="86"/>
      <c r="AV2918" s="86"/>
      <c r="AW2918" s="87"/>
      <c r="AX2918" s="86"/>
      <c r="AY2918" s="83"/>
      <c r="AZ2918" s="84"/>
      <c r="BA2918" s="86"/>
      <c r="BB2918" s="86"/>
    </row>
    <row r="2919" spans="1:56" ht="36.75" customHeight="1">
      <c r="A2919" s="30"/>
      <c r="B2919" s="30" t="s">
        <v>55</v>
      </c>
      <c r="C2919" s="69" t="str">
        <f t="shared" si="248"/>
        <v>Closed</v>
      </c>
      <c r="D2919" s="27" t="s">
        <v>16526</v>
      </c>
      <c r="E2919" s="29" t="s">
        <v>16527</v>
      </c>
      <c r="F2919" s="30" t="s">
        <v>1938</v>
      </c>
      <c r="G2919" s="72">
        <f>DATE(2019,6,20)</f>
        <v>43636</v>
      </c>
      <c r="H2919" s="80">
        <v>0</v>
      </c>
      <c r="I2919" s="30" t="s">
        <v>5494</v>
      </c>
      <c r="J2919" s="72" t="s">
        <v>16528</v>
      </c>
      <c r="K2919" s="30" t="s">
        <v>1940</v>
      </c>
      <c r="L2919" s="30" t="s">
        <v>16529</v>
      </c>
      <c r="M2919" s="30" t="s">
        <v>63</v>
      </c>
      <c r="N2919" s="30" t="s">
        <v>142</v>
      </c>
      <c r="O2919" s="30" t="s">
        <v>64</v>
      </c>
      <c r="P2919" s="72" t="s">
        <v>165</v>
      </c>
      <c r="Q2919" s="72" t="s">
        <v>1942</v>
      </c>
      <c r="R2919" s="72" t="s">
        <v>1940</v>
      </c>
      <c r="S2919" s="30">
        <v>0</v>
      </c>
      <c r="T2919" s="232">
        <v>0</v>
      </c>
      <c r="U2919" s="30">
        <v>0</v>
      </c>
      <c r="V2919" s="232">
        <v>0</v>
      </c>
      <c r="W2919" s="30">
        <v>0</v>
      </c>
      <c r="X2919" s="30">
        <v>0</v>
      </c>
      <c r="Y2919" s="30">
        <v>0</v>
      </c>
      <c r="Z2919" s="232">
        <v>0</v>
      </c>
      <c r="AA2919" s="30">
        <v>0</v>
      </c>
      <c r="AB2919" s="30">
        <v>0</v>
      </c>
      <c r="AC2919" s="30">
        <v>0</v>
      </c>
      <c r="AD2919" s="30">
        <v>0</v>
      </c>
      <c r="AE2919" s="72" t="s">
        <v>92</v>
      </c>
      <c r="AF2919" s="72"/>
      <c r="AG2919" s="72" t="s">
        <v>82</v>
      </c>
      <c r="AH2919" s="72">
        <v>43637</v>
      </c>
      <c r="AI2919" s="30">
        <v>2</v>
      </c>
      <c r="AJ2919" s="72" t="s">
        <v>16530</v>
      </c>
      <c r="AK2919" s="72" t="s">
        <v>16531</v>
      </c>
      <c r="AL2919" s="70">
        <v>43648</v>
      </c>
      <c r="AM2919" s="70"/>
      <c r="AN2919" s="70"/>
      <c r="AO2919" s="70"/>
      <c r="AP2919" s="73" t="e">
        <f>MID(VLOOKUP(K2919,#REF!,2,FALSE),1,2)</f>
        <v>#REF!</v>
      </c>
      <c r="AQ2919" s="72">
        <f>DATE(2019,6,24)</f>
        <v>43640</v>
      </c>
      <c r="AR2919" s="82">
        <f t="shared" si="245"/>
        <v>24</v>
      </c>
      <c r="AS2919" s="83">
        <f t="shared" si="246"/>
        <v>6</v>
      </c>
      <c r="AT2919" s="84">
        <f t="shared" si="247"/>
        <v>2019</v>
      </c>
      <c r="AU2919" s="86"/>
      <c r="AV2919" s="86"/>
      <c r="AW2919" s="87"/>
      <c r="AX2919" s="86"/>
      <c r="AY2919" s="83"/>
      <c r="AZ2919" s="84"/>
      <c r="BA2919" s="86"/>
      <c r="BB2919" s="86"/>
    </row>
    <row r="2920" spans="1:56" ht="36.75" customHeight="1">
      <c r="A2920" s="30"/>
      <c r="B2920" s="30" t="s">
        <v>55</v>
      </c>
      <c r="C2920" s="69" t="str">
        <f t="shared" si="248"/>
        <v>Closed</v>
      </c>
      <c r="D2920" s="27" t="s">
        <v>16532</v>
      </c>
      <c r="E2920" s="29" t="s">
        <v>16533</v>
      </c>
      <c r="F2920" s="30" t="s">
        <v>1572</v>
      </c>
      <c r="G2920" s="72">
        <f>DATE(2019,6,23)</f>
        <v>43639</v>
      </c>
      <c r="H2920" s="80">
        <v>1.4895833333333333</v>
      </c>
      <c r="I2920" s="30" t="s">
        <v>73</v>
      </c>
      <c r="J2920" s="72" t="s">
        <v>16534</v>
      </c>
      <c r="K2920" s="30" t="s">
        <v>1574</v>
      </c>
      <c r="L2920" s="30" t="s">
        <v>16535</v>
      </c>
      <c r="M2920" s="30" t="s">
        <v>63</v>
      </c>
      <c r="N2920" s="30" t="s">
        <v>99</v>
      </c>
      <c r="O2920" s="30" t="s">
        <v>77</v>
      </c>
      <c r="P2920" s="72" t="s">
        <v>78</v>
      </c>
      <c r="Q2920" s="72" t="s">
        <v>15570</v>
      </c>
      <c r="R2920" s="72" t="s">
        <v>6434</v>
      </c>
      <c r="S2920" s="30">
        <v>0</v>
      </c>
      <c r="T2920" s="232">
        <v>0</v>
      </c>
      <c r="U2920" s="30">
        <v>0</v>
      </c>
      <c r="V2920" s="232">
        <v>0</v>
      </c>
      <c r="W2920" s="30">
        <v>0</v>
      </c>
      <c r="X2920" s="30">
        <v>0</v>
      </c>
      <c r="Y2920" s="30">
        <v>0</v>
      </c>
      <c r="Z2920" s="232">
        <v>0</v>
      </c>
      <c r="AA2920" s="30">
        <v>0</v>
      </c>
      <c r="AB2920" s="30">
        <v>0</v>
      </c>
      <c r="AC2920" s="30">
        <v>0</v>
      </c>
      <c r="AD2920" s="30">
        <v>0</v>
      </c>
      <c r="AE2920" s="72" t="s">
        <v>92</v>
      </c>
      <c r="AF2920" s="72"/>
      <c r="AG2920" s="72" t="s">
        <v>133</v>
      </c>
      <c r="AH2920" s="72">
        <v>43640</v>
      </c>
      <c r="AI2920" s="30">
        <v>1</v>
      </c>
      <c r="AJ2920" s="72" t="s">
        <v>16536</v>
      </c>
      <c r="AK2920" s="72" t="s">
        <v>16537</v>
      </c>
      <c r="AL2920" s="70">
        <v>43641</v>
      </c>
      <c r="AM2920" s="70"/>
      <c r="AN2920" s="70"/>
      <c r="AO2920" s="70"/>
      <c r="AP2920" s="73" t="e">
        <f>MID(VLOOKUP(K2920,#REF!,2,FALSE),1,2)</f>
        <v>#REF!</v>
      </c>
      <c r="AQ2920" s="72">
        <f>DATE(2019,6,28)</f>
        <v>43644</v>
      </c>
      <c r="AR2920" s="82">
        <f t="shared" si="245"/>
        <v>28</v>
      </c>
      <c r="AS2920" s="83">
        <f t="shared" si="246"/>
        <v>6</v>
      </c>
      <c r="AT2920" s="84">
        <f t="shared" si="247"/>
        <v>2019</v>
      </c>
      <c r="AU2920" s="86"/>
      <c r="AV2920" s="86"/>
      <c r="AW2920" s="87"/>
      <c r="AX2920" s="86"/>
      <c r="AY2920" s="83"/>
      <c r="AZ2920" s="84"/>
      <c r="BA2920" s="86"/>
      <c r="BB2920" s="86"/>
    </row>
    <row r="2921" spans="1:56" ht="36.75" customHeight="1">
      <c r="A2921" s="30"/>
      <c r="B2921" s="30" t="s">
        <v>55</v>
      </c>
      <c r="C2921" s="69" t="str">
        <f t="shared" si="248"/>
        <v>Closed</v>
      </c>
      <c r="D2921" s="27" t="s">
        <v>16538</v>
      </c>
      <c r="E2921" s="29" t="s">
        <v>16539</v>
      </c>
      <c r="F2921" s="30" t="s">
        <v>1572</v>
      </c>
      <c r="G2921" s="72">
        <f>DATE(2019,6,24)</f>
        <v>43640</v>
      </c>
      <c r="H2921" s="80">
        <v>1.1388888888888888</v>
      </c>
      <c r="I2921" s="30" t="s">
        <v>73</v>
      </c>
      <c r="J2921" s="72" t="s">
        <v>16540</v>
      </c>
      <c r="K2921" s="30" t="s">
        <v>1574</v>
      </c>
      <c r="L2921" s="30" t="s">
        <v>16541</v>
      </c>
      <c r="M2921" s="30" t="s">
        <v>63</v>
      </c>
      <c r="N2921" s="30" t="s">
        <v>99</v>
      </c>
      <c r="O2921" s="30" t="s">
        <v>64</v>
      </c>
      <c r="P2921" s="72" t="s">
        <v>6941</v>
      </c>
      <c r="Q2921" s="72" t="s">
        <v>2413</v>
      </c>
      <c r="R2921" s="72" t="s">
        <v>6434</v>
      </c>
      <c r="S2921" s="30">
        <v>0</v>
      </c>
      <c r="T2921" s="232">
        <v>0</v>
      </c>
      <c r="U2921" s="30">
        <v>0</v>
      </c>
      <c r="V2921" s="232">
        <v>0</v>
      </c>
      <c r="W2921" s="30">
        <v>0</v>
      </c>
      <c r="X2921" s="30">
        <v>0</v>
      </c>
      <c r="Y2921" s="30">
        <v>0</v>
      </c>
      <c r="Z2921" s="232">
        <v>0</v>
      </c>
      <c r="AA2921" s="30">
        <v>0</v>
      </c>
      <c r="AB2921" s="30">
        <v>0</v>
      </c>
      <c r="AC2921" s="30">
        <v>0</v>
      </c>
      <c r="AD2921" s="30">
        <v>0</v>
      </c>
      <c r="AE2921" s="72" t="s">
        <v>394</v>
      </c>
      <c r="AF2921" s="72"/>
      <c r="AG2921" s="72" t="s">
        <v>1507</v>
      </c>
      <c r="AH2921" s="72">
        <v>43640</v>
      </c>
      <c r="AI2921" s="30">
        <v>0</v>
      </c>
      <c r="AJ2921" s="72" t="s">
        <v>16542</v>
      </c>
      <c r="AK2921" s="72" t="s">
        <v>1233</v>
      </c>
      <c r="AL2921" s="70">
        <v>43642</v>
      </c>
      <c r="AM2921" s="70"/>
      <c r="AN2921" s="70"/>
      <c r="AO2921" s="70"/>
      <c r="AP2921" s="73" t="e">
        <f>MID(VLOOKUP(K2921,#REF!,2,FALSE),1,2)</f>
        <v>#REF!</v>
      </c>
      <c r="AQ2921" s="72">
        <f>DATE(2019,6,28)</f>
        <v>43644</v>
      </c>
      <c r="AR2921" s="82">
        <f t="shared" si="245"/>
        <v>28</v>
      </c>
      <c r="AS2921" s="83">
        <f t="shared" si="246"/>
        <v>6</v>
      </c>
      <c r="AT2921" s="84">
        <f t="shared" si="247"/>
        <v>2019</v>
      </c>
      <c r="AU2921" s="86"/>
      <c r="AV2921" s="86"/>
      <c r="AW2921" s="87"/>
      <c r="AX2921" s="86"/>
      <c r="AY2921" s="83"/>
      <c r="AZ2921" s="84"/>
      <c r="BA2921" s="86"/>
      <c r="BB2921" s="86"/>
    </row>
    <row r="2922" spans="1:56" ht="36.75" customHeight="1">
      <c r="A2922" s="30"/>
      <c r="B2922" s="30" t="s">
        <v>55</v>
      </c>
      <c r="C2922" s="69" t="str">
        <f t="shared" si="248"/>
        <v>Closed</v>
      </c>
      <c r="D2922" s="27" t="s">
        <v>16543</v>
      </c>
      <c r="E2922" s="29" t="s">
        <v>16544</v>
      </c>
      <c r="F2922" s="30" t="s">
        <v>423</v>
      </c>
      <c r="G2922" s="72">
        <f>DATE(2019,6,28)</f>
        <v>43644</v>
      </c>
      <c r="H2922" s="80">
        <v>1.5354166666666667</v>
      </c>
      <c r="I2922" s="30" t="s">
        <v>73</v>
      </c>
      <c r="J2922" s="72" t="s">
        <v>16545</v>
      </c>
      <c r="K2922" s="30" t="s">
        <v>425</v>
      </c>
      <c r="L2922" s="30" t="s">
        <v>16546</v>
      </c>
      <c r="M2922" s="30" t="s">
        <v>63</v>
      </c>
      <c r="N2922" s="30" t="s">
        <v>99</v>
      </c>
      <c r="O2922" s="30" t="s">
        <v>77</v>
      </c>
      <c r="P2922" s="72" t="s">
        <v>165</v>
      </c>
      <c r="Q2922" s="72" t="s">
        <v>4551</v>
      </c>
      <c r="R2922" s="72" t="s">
        <v>3103</v>
      </c>
      <c r="S2922" s="30">
        <v>0</v>
      </c>
      <c r="T2922" s="232">
        <v>0</v>
      </c>
      <c r="U2922" s="30">
        <v>0</v>
      </c>
      <c r="V2922" s="232">
        <v>0</v>
      </c>
      <c r="W2922" s="30">
        <v>0</v>
      </c>
      <c r="X2922" s="30">
        <v>0</v>
      </c>
      <c r="Y2922" s="30">
        <v>0</v>
      </c>
      <c r="Z2922" s="232">
        <v>0</v>
      </c>
      <c r="AA2922" s="30">
        <v>0</v>
      </c>
      <c r="AB2922" s="30">
        <v>0</v>
      </c>
      <c r="AC2922" s="30">
        <v>0</v>
      </c>
      <c r="AD2922" s="30">
        <v>0</v>
      </c>
      <c r="AE2922" s="72" t="s">
        <v>92</v>
      </c>
      <c r="AF2922" s="72"/>
      <c r="AG2922" s="72" t="s">
        <v>352</v>
      </c>
      <c r="AH2922" s="72">
        <v>43644</v>
      </c>
      <c r="AI2922" s="30">
        <v>1</v>
      </c>
      <c r="AJ2922" s="72" t="s">
        <v>16547</v>
      </c>
      <c r="AK2922" s="72" t="s">
        <v>16548</v>
      </c>
      <c r="AL2922" s="70">
        <v>43647</v>
      </c>
      <c r="AM2922" s="70"/>
      <c r="AN2922" s="70"/>
      <c r="AO2922" s="70"/>
      <c r="AP2922" s="73" t="e">
        <f>MID(VLOOKUP(K2922,#REF!,2,FALSE),1,2)</f>
        <v>#REF!</v>
      </c>
      <c r="AQ2922" s="72">
        <f>DATE(2019,6,29)</f>
        <v>43645</v>
      </c>
      <c r="AR2922" s="82">
        <f t="shared" si="245"/>
        <v>29</v>
      </c>
      <c r="AS2922" s="83">
        <f t="shared" si="246"/>
        <v>6</v>
      </c>
      <c r="AT2922" s="84">
        <f t="shared" si="247"/>
        <v>2019</v>
      </c>
      <c r="AU2922" s="86"/>
      <c r="AV2922" s="86"/>
      <c r="AW2922" s="87"/>
      <c r="AX2922" s="86"/>
      <c r="AY2922" s="83"/>
      <c r="AZ2922" s="84"/>
      <c r="BA2922" s="86"/>
      <c r="BB2922" s="86"/>
    </row>
    <row r="2923" spans="1:56" ht="36.75" customHeight="1">
      <c r="A2923" s="30"/>
      <c r="B2923" s="30" t="s">
        <v>55</v>
      </c>
      <c r="C2923" s="69" t="str">
        <f t="shared" si="248"/>
        <v>Closed</v>
      </c>
      <c r="D2923" s="27" t="s">
        <v>16549</v>
      </c>
      <c r="E2923" s="29" t="s">
        <v>16550</v>
      </c>
      <c r="F2923" s="30" t="s">
        <v>835</v>
      </c>
      <c r="G2923" s="72">
        <f>DATE(2019,6,28)</f>
        <v>43644</v>
      </c>
      <c r="H2923" s="80">
        <v>1.7319444444444443</v>
      </c>
      <c r="I2923" s="30" t="s">
        <v>6872</v>
      </c>
      <c r="J2923" s="72" t="s">
        <v>16551</v>
      </c>
      <c r="K2923" s="30" t="s">
        <v>837</v>
      </c>
      <c r="L2923" s="30" t="s">
        <v>16552</v>
      </c>
      <c r="M2923" s="30" t="s">
        <v>63</v>
      </c>
      <c r="N2923" s="30" t="s">
        <v>142</v>
      </c>
      <c r="O2923" s="30" t="s">
        <v>77</v>
      </c>
      <c r="P2923" s="72" t="s">
        <v>65</v>
      </c>
      <c r="Q2923" s="72" t="s">
        <v>2162</v>
      </c>
      <c r="R2923" s="72" t="s">
        <v>840</v>
      </c>
      <c r="S2923" s="30">
        <v>0</v>
      </c>
      <c r="T2923" s="232">
        <v>0</v>
      </c>
      <c r="U2923" s="30">
        <v>0</v>
      </c>
      <c r="V2923" s="232">
        <v>0</v>
      </c>
      <c r="W2923" s="30">
        <v>0</v>
      </c>
      <c r="X2923" s="30">
        <v>0</v>
      </c>
      <c r="Y2923" s="30">
        <v>0</v>
      </c>
      <c r="Z2923" s="232">
        <v>0</v>
      </c>
      <c r="AA2923" s="30">
        <v>0</v>
      </c>
      <c r="AB2923" s="30">
        <v>0</v>
      </c>
      <c r="AC2923" s="30">
        <v>0</v>
      </c>
      <c r="AD2923" s="30">
        <v>0</v>
      </c>
      <c r="AE2923" s="72" t="s">
        <v>92</v>
      </c>
      <c r="AF2923" s="72"/>
      <c r="AG2923" s="72" t="s">
        <v>133</v>
      </c>
      <c r="AH2923" s="72">
        <v>43644</v>
      </c>
      <c r="AI2923" s="30">
        <v>1</v>
      </c>
      <c r="AJ2923" s="72" t="s">
        <v>16553</v>
      </c>
      <c r="AK2923" s="72" t="s">
        <v>68</v>
      </c>
      <c r="AL2923" s="70">
        <v>43648</v>
      </c>
      <c r="AM2923" s="70"/>
      <c r="AN2923" s="70"/>
      <c r="AO2923" s="70"/>
      <c r="AP2923" s="73" t="e">
        <f>MID(VLOOKUP(K2923,#REF!,2,FALSE),1,2)</f>
        <v>#REF!</v>
      </c>
      <c r="AQ2923" s="72">
        <f>DATE(2019,6,29)</f>
        <v>43645</v>
      </c>
      <c r="AR2923" s="82">
        <f t="shared" si="245"/>
        <v>29</v>
      </c>
      <c r="AS2923" s="83">
        <f t="shared" si="246"/>
        <v>6</v>
      </c>
      <c r="AT2923" s="84">
        <f t="shared" si="247"/>
        <v>2019</v>
      </c>
      <c r="AU2923" s="86"/>
      <c r="AV2923" s="86"/>
      <c r="AW2923" s="87"/>
      <c r="AX2923" s="86"/>
      <c r="AY2923" s="83"/>
      <c r="AZ2923" s="84"/>
      <c r="BA2923" s="86"/>
      <c r="BB2923" s="86"/>
    </row>
    <row r="2924" spans="1:56" ht="36.75" customHeight="1">
      <c r="A2924" s="30"/>
      <c r="B2924" s="30" t="s">
        <v>55</v>
      </c>
      <c r="C2924" s="69" t="str">
        <f t="shared" si="248"/>
        <v>Closed</v>
      </c>
      <c r="D2924" s="27" t="s">
        <v>16554</v>
      </c>
      <c r="E2924" s="29" t="s">
        <v>16555</v>
      </c>
      <c r="F2924" s="30" t="s">
        <v>1572</v>
      </c>
      <c r="G2924" s="72">
        <f>DATE(2019,6,29)</f>
        <v>43645</v>
      </c>
      <c r="H2924" s="80">
        <v>1.6458333333333335</v>
      </c>
      <c r="I2924" s="30" t="s">
        <v>73</v>
      </c>
      <c r="J2924" s="72" t="s">
        <v>16556</v>
      </c>
      <c r="K2924" s="30" t="s">
        <v>1574</v>
      </c>
      <c r="L2924" s="30" t="s">
        <v>7931</v>
      </c>
      <c r="M2924" s="30" t="s">
        <v>63</v>
      </c>
      <c r="N2924" s="30" t="s">
        <v>142</v>
      </c>
      <c r="O2924" s="30" t="s">
        <v>77</v>
      </c>
      <c r="P2924" s="72" t="s">
        <v>78</v>
      </c>
      <c r="Q2924" s="72" t="s">
        <v>2655</v>
      </c>
      <c r="R2924" s="72" t="s">
        <v>6434</v>
      </c>
      <c r="S2924" s="30">
        <v>0</v>
      </c>
      <c r="T2924" s="232">
        <v>0</v>
      </c>
      <c r="U2924" s="30">
        <v>0</v>
      </c>
      <c r="V2924" s="232">
        <v>0</v>
      </c>
      <c r="W2924" s="30">
        <v>0</v>
      </c>
      <c r="X2924" s="30">
        <v>0</v>
      </c>
      <c r="Y2924" s="30">
        <v>0</v>
      </c>
      <c r="Z2924" s="232">
        <v>0</v>
      </c>
      <c r="AA2924" s="30">
        <v>0</v>
      </c>
      <c r="AB2924" s="30">
        <v>0</v>
      </c>
      <c r="AC2924" s="30">
        <v>0</v>
      </c>
      <c r="AD2924" s="30">
        <v>0</v>
      </c>
      <c r="AE2924" s="72" t="s">
        <v>92</v>
      </c>
      <c r="AF2924" s="72"/>
      <c r="AG2924" s="72" t="s">
        <v>133</v>
      </c>
      <c r="AH2924" s="72">
        <v>43647</v>
      </c>
      <c r="AI2924" s="30">
        <v>2</v>
      </c>
      <c r="AJ2924" s="72" t="s">
        <v>16557</v>
      </c>
      <c r="AK2924" s="72" t="s">
        <v>16558</v>
      </c>
      <c r="AL2924" s="70">
        <v>43651</v>
      </c>
      <c r="AM2924" s="70"/>
      <c r="AN2924" s="70"/>
      <c r="AO2924" s="70"/>
      <c r="AP2924" s="73" t="e">
        <f>MID(VLOOKUP(K2924,#REF!,2,FALSE),1,2)</f>
        <v>#REF!</v>
      </c>
      <c r="AQ2924" s="72">
        <f>DATE(2019,6,30)</f>
        <v>43646</v>
      </c>
      <c r="AR2924" s="82">
        <f t="shared" si="245"/>
        <v>30</v>
      </c>
      <c r="AS2924" s="83">
        <f t="shared" si="246"/>
        <v>6</v>
      </c>
      <c r="AT2924" s="84">
        <f t="shared" si="247"/>
        <v>2019</v>
      </c>
      <c r="AU2924" s="86"/>
      <c r="AV2924" s="86"/>
      <c r="AW2924" s="87"/>
      <c r="AX2924" s="86"/>
      <c r="AY2924" s="83"/>
      <c r="AZ2924" s="84"/>
      <c r="BA2924" s="86"/>
      <c r="BB2924" s="86"/>
    </row>
    <row r="2925" spans="1:56" ht="36.75" customHeight="1">
      <c r="A2925" s="30"/>
      <c r="B2925" s="30" t="s">
        <v>55</v>
      </c>
      <c r="C2925" s="69" t="str">
        <f t="shared" si="248"/>
        <v>Closed</v>
      </c>
      <c r="D2925" s="27" t="s">
        <v>16559</v>
      </c>
      <c r="E2925" s="29" t="s">
        <v>16560</v>
      </c>
      <c r="F2925" s="30" t="s">
        <v>1572</v>
      </c>
      <c r="G2925" s="72">
        <f>DATE(2019,6,29)</f>
        <v>43645</v>
      </c>
      <c r="H2925" s="80">
        <v>1.9270833333333335</v>
      </c>
      <c r="I2925" s="30" t="s">
        <v>73</v>
      </c>
      <c r="J2925" s="72" t="s">
        <v>16561</v>
      </c>
      <c r="K2925" s="30" t="s">
        <v>1574</v>
      </c>
      <c r="L2925" s="30" t="s">
        <v>16562</v>
      </c>
      <c r="M2925" s="30" t="s">
        <v>63</v>
      </c>
      <c r="N2925" s="30" t="s">
        <v>99</v>
      </c>
      <c r="O2925" s="30" t="s">
        <v>77</v>
      </c>
      <c r="P2925" s="72" t="s">
        <v>78</v>
      </c>
      <c r="Q2925" s="72" t="s">
        <v>16563</v>
      </c>
      <c r="R2925" s="72" t="s">
        <v>6434</v>
      </c>
      <c r="S2925" s="30">
        <v>0</v>
      </c>
      <c r="T2925" s="232">
        <v>0</v>
      </c>
      <c r="U2925" s="30">
        <v>0</v>
      </c>
      <c r="V2925" s="232">
        <v>0</v>
      </c>
      <c r="W2925" s="30">
        <v>0</v>
      </c>
      <c r="X2925" s="30">
        <v>0</v>
      </c>
      <c r="Y2925" s="30">
        <v>0</v>
      </c>
      <c r="Z2925" s="232">
        <v>0</v>
      </c>
      <c r="AA2925" s="30">
        <v>0</v>
      </c>
      <c r="AB2925" s="30">
        <v>0</v>
      </c>
      <c r="AC2925" s="30">
        <v>0</v>
      </c>
      <c r="AD2925" s="30">
        <v>0</v>
      </c>
      <c r="AE2925" s="72" t="s">
        <v>394</v>
      </c>
      <c r="AF2925" s="72"/>
      <c r="AG2925" s="72" t="s">
        <v>133</v>
      </c>
      <c r="AH2925" s="72">
        <v>43647</v>
      </c>
      <c r="AI2925" s="30">
        <v>2</v>
      </c>
      <c r="AJ2925" s="72" t="s">
        <v>16564</v>
      </c>
      <c r="AK2925" s="72" t="s">
        <v>16565</v>
      </c>
      <c r="AL2925" s="70">
        <v>43651</v>
      </c>
      <c r="AM2925" s="72"/>
      <c r="AN2925" s="70"/>
      <c r="AO2925" s="70"/>
      <c r="AP2925" s="73" t="e">
        <f>MID(VLOOKUP(K2925,#REF!,2,FALSE),1,2)</f>
        <v>#REF!</v>
      </c>
      <c r="AQ2925" s="72">
        <f>DATE(2019,7,1)</f>
        <v>43647</v>
      </c>
      <c r="AR2925" s="82">
        <f t="shared" si="245"/>
        <v>1</v>
      </c>
      <c r="AS2925" s="84">
        <f t="shared" si="246"/>
        <v>7</v>
      </c>
      <c r="AT2925" s="104">
        <f t="shared" si="247"/>
        <v>2019</v>
      </c>
      <c r="AU2925" s="86"/>
      <c r="AV2925" s="87"/>
      <c r="AW2925" s="86"/>
      <c r="AX2925" s="82"/>
      <c r="AY2925" s="84"/>
      <c r="AZ2925" s="104"/>
      <c r="BA2925" s="86"/>
      <c r="BB2925" s="86"/>
    </row>
    <row r="2926" spans="1:56" ht="36.75" customHeight="1">
      <c r="A2926" s="30"/>
      <c r="B2926" s="30" t="s">
        <v>55</v>
      </c>
      <c r="C2926" s="69" t="str">
        <f t="shared" si="248"/>
        <v>Closed</v>
      </c>
      <c r="D2926" s="27" t="s">
        <v>16566</v>
      </c>
      <c r="E2926" s="29" t="s">
        <v>16567</v>
      </c>
      <c r="F2926" s="30" t="s">
        <v>1572</v>
      </c>
      <c r="G2926" s="72">
        <f>DATE(2019,6,30)</f>
        <v>43646</v>
      </c>
      <c r="H2926" s="80">
        <v>1.9861111111111112</v>
      </c>
      <c r="I2926" s="30" t="s">
        <v>73</v>
      </c>
      <c r="J2926" s="72" t="s">
        <v>16568</v>
      </c>
      <c r="K2926" s="30" t="s">
        <v>1574</v>
      </c>
      <c r="L2926" s="30" t="s">
        <v>9712</v>
      </c>
      <c r="M2926" s="30" t="s">
        <v>63</v>
      </c>
      <c r="N2926" s="30" t="s">
        <v>142</v>
      </c>
      <c r="O2926" s="30" t="s">
        <v>64</v>
      </c>
      <c r="P2926" s="72" t="s">
        <v>78</v>
      </c>
      <c r="Q2926" s="72" t="s">
        <v>6093</v>
      </c>
      <c r="R2926" s="72" t="s">
        <v>4920</v>
      </c>
      <c r="S2926" s="30">
        <v>0</v>
      </c>
      <c r="T2926" s="232">
        <v>0</v>
      </c>
      <c r="U2926" s="30">
        <v>0</v>
      </c>
      <c r="V2926" s="232">
        <v>0</v>
      </c>
      <c r="W2926" s="30">
        <v>0</v>
      </c>
      <c r="X2926" s="30">
        <v>0</v>
      </c>
      <c r="Y2926" s="30">
        <v>0</v>
      </c>
      <c r="Z2926" s="232">
        <v>0</v>
      </c>
      <c r="AA2926" s="30">
        <v>0</v>
      </c>
      <c r="AB2926" s="30">
        <v>0</v>
      </c>
      <c r="AC2926" s="30">
        <v>0</v>
      </c>
      <c r="AD2926" s="30">
        <v>0</v>
      </c>
      <c r="AE2926" s="72" t="s">
        <v>92</v>
      </c>
      <c r="AF2926" s="72"/>
      <c r="AG2926" s="72" t="s">
        <v>133</v>
      </c>
      <c r="AH2926" s="72">
        <v>43648</v>
      </c>
      <c r="AI2926" s="30">
        <v>4</v>
      </c>
      <c r="AJ2926" s="72" t="s">
        <v>16569</v>
      </c>
      <c r="AK2926" s="72" t="s">
        <v>16570</v>
      </c>
      <c r="AL2926" s="70">
        <v>43652</v>
      </c>
      <c r="AM2926" s="70"/>
      <c r="AN2926" s="70"/>
      <c r="AO2926" s="70"/>
      <c r="AP2926" s="73" t="e">
        <f>MID(VLOOKUP(K2926,#REF!,2,FALSE),1,2)</f>
        <v>#REF!</v>
      </c>
      <c r="AQ2926" s="72">
        <f>DATE(2019,7,2)</f>
        <v>43648</v>
      </c>
      <c r="AR2926" s="82">
        <f t="shared" si="245"/>
        <v>2</v>
      </c>
      <c r="AS2926" s="84">
        <f t="shared" si="246"/>
        <v>7</v>
      </c>
      <c r="AT2926" s="104">
        <f t="shared" si="247"/>
        <v>2019</v>
      </c>
      <c r="AU2926" s="86"/>
      <c r="AV2926" s="87"/>
      <c r="AW2926" s="86"/>
      <c r="AX2926" s="82"/>
      <c r="AY2926" s="84"/>
      <c r="AZ2926" s="104"/>
      <c r="BA2926" s="86"/>
      <c r="BB2926" s="86"/>
    </row>
    <row r="2927" spans="1:56" ht="36.75" customHeight="1">
      <c r="A2927" s="30"/>
      <c r="B2927" s="30" t="s">
        <v>55</v>
      </c>
      <c r="C2927" s="69" t="str">
        <f t="shared" si="248"/>
        <v>Closed</v>
      </c>
      <c r="D2927" s="37" t="s">
        <v>16571</v>
      </c>
      <c r="E2927" s="29" t="s">
        <v>16572</v>
      </c>
      <c r="F2927" s="30" t="s">
        <v>12474</v>
      </c>
      <c r="G2927" s="72">
        <f>DATE(2019,7,1)</f>
        <v>43647</v>
      </c>
      <c r="H2927" s="80">
        <v>1.6958333333333333</v>
      </c>
      <c r="I2927" s="30" t="s">
        <v>198</v>
      </c>
      <c r="J2927" s="72" t="s">
        <v>16573</v>
      </c>
      <c r="K2927" s="30" t="s">
        <v>200</v>
      </c>
      <c r="L2927" s="30" t="s">
        <v>16574</v>
      </c>
      <c r="M2927" s="30" t="s">
        <v>63</v>
      </c>
      <c r="N2927" s="30" t="s">
        <v>142</v>
      </c>
      <c r="O2927" s="30" t="s">
        <v>77</v>
      </c>
      <c r="P2927" s="72" t="s">
        <v>165</v>
      </c>
      <c r="Q2927" s="72" t="s">
        <v>14564</v>
      </c>
      <c r="R2927" s="72" t="s">
        <v>13578</v>
      </c>
      <c r="S2927" s="30">
        <v>0</v>
      </c>
      <c r="T2927" s="232">
        <v>0</v>
      </c>
      <c r="U2927" s="30">
        <v>0</v>
      </c>
      <c r="V2927" s="232">
        <v>0</v>
      </c>
      <c r="W2927" s="30">
        <v>0</v>
      </c>
      <c r="X2927" s="30">
        <v>0</v>
      </c>
      <c r="Y2927" s="30">
        <v>0</v>
      </c>
      <c r="Z2927" s="232">
        <v>0</v>
      </c>
      <c r="AA2927" s="30">
        <v>0</v>
      </c>
      <c r="AB2927" s="30">
        <v>0</v>
      </c>
      <c r="AC2927" s="30">
        <v>0</v>
      </c>
      <c r="AD2927" s="30">
        <v>0</v>
      </c>
      <c r="AE2927" s="72" t="s">
        <v>145</v>
      </c>
      <c r="AF2927" s="72" t="s">
        <v>14032</v>
      </c>
      <c r="AG2927" s="72" t="s">
        <v>14033</v>
      </c>
      <c r="AH2927" s="72">
        <v>43648</v>
      </c>
      <c r="AI2927" s="30">
        <v>1</v>
      </c>
      <c r="AJ2927" s="72" t="s">
        <v>16575</v>
      </c>
      <c r="AK2927" s="72" t="s">
        <v>16576</v>
      </c>
      <c r="AL2927" s="70">
        <v>43895</v>
      </c>
      <c r="AM2927" s="70">
        <v>44736</v>
      </c>
      <c r="AN2927" s="70">
        <v>45456</v>
      </c>
      <c r="AO2927" s="70">
        <v>45369</v>
      </c>
      <c r="AP2927" s="73" t="e">
        <f>MID(VLOOKUP(K2927,#REF!,2,FALSE),1,2)</f>
        <v>#REF!</v>
      </c>
      <c r="AQ2927" s="72">
        <f>DATE(2019,7,3)</f>
        <v>43649</v>
      </c>
      <c r="AR2927" s="83">
        <f t="shared" si="245"/>
        <v>3</v>
      </c>
      <c r="AS2927" s="83">
        <f t="shared" si="246"/>
        <v>7</v>
      </c>
      <c r="AT2927" s="120">
        <f t="shared" si="247"/>
        <v>2019</v>
      </c>
      <c r="AU2927" s="86"/>
      <c r="AV2927" s="86"/>
      <c r="AW2927" s="87"/>
      <c r="AX2927" s="104"/>
      <c r="AY2927" s="83"/>
      <c r="AZ2927" s="120"/>
      <c r="BA2927" s="86"/>
      <c r="BB2927" s="86"/>
    </row>
    <row r="2928" spans="1:56" s="25" customFormat="1" ht="36.75" customHeight="1">
      <c r="A2928" s="30"/>
      <c r="B2928" s="30" t="s">
        <v>55</v>
      </c>
      <c r="C2928" s="69" t="str">
        <f t="shared" si="248"/>
        <v>Closed</v>
      </c>
      <c r="D2928" s="27" t="s">
        <v>16577</v>
      </c>
      <c r="E2928" s="29" t="s">
        <v>16578</v>
      </c>
      <c r="F2928" s="30" t="s">
        <v>835</v>
      </c>
      <c r="G2928" s="72">
        <f>DATE(2019,7,2)</f>
        <v>43648</v>
      </c>
      <c r="H2928" s="80">
        <v>1.46875</v>
      </c>
      <c r="I2928" s="30" t="s">
        <v>73</v>
      </c>
      <c r="J2928" s="72" t="s">
        <v>16579</v>
      </c>
      <c r="K2928" s="30" t="s">
        <v>837</v>
      </c>
      <c r="L2928" s="30" t="s">
        <v>16580</v>
      </c>
      <c r="M2928" s="30" t="s">
        <v>9919</v>
      </c>
      <c r="N2928" s="30" t="s">
        <v>99</v>
      </c>
      <c r="O2928" s="30" t="s">
        <v>64</v>
      </c>
      <c r="P2928" s="72" t="s">
        <v>165</v>
      </c>
      <c r="Q2928" s="72" t="s">
        <v>839</v>
      </c>
      <c r="R2928" s="72" t="s">
        <v>840</v>
      </c>
      <c r="S2928" s="30">
        <v>0</v>
      </c>
      <c r="T2928" s="232">
        <v>0</v>
      </c>
      <c r="U2928" s="30">
        <v>0</v>
      </c>
      <c r="V2928" s="232">
        <v>0</v>
      </c>
      <c r="W2928" s="30">
        <v>0</v>
      </c>
      <c r="X2928" s="30">
        <v>0</v>
      </c>
      <c r="Y2928" s="30">
        <v>0</v>
      </c>
      <c r="Z2928" s="232">
        <v>0</v>
      </c>
      <c r="AA2928" s="30">
        <v>0</v>
      </c>
      <c r="AB2928" s="30">
        <v>0</v>
      </c>
      <c r="AC2928" s="30">
        <v>0</v>
      </c>
      <c r="AD2928" s="30">
        <v>0</v>
      </c>
      <c r="AE2928" s="72" t="s">
        <v>92</v>
      </c>
      <c r="AF2928" s="72"/>
      <c r="AG2928" s="72" t="s">
        <v>352</v>
      </c>
      <c r="AH2928" s="72">
        <v>43648</v>
      </c>
      <c r="AI2928" s="30">
        <v>0</v>
      </c>
      <c r="AJ2928" s="72" t="s">
        <v>8491</v>
      </c>
      <c r="AK2928" s="72" t="s">
        <v>68</v>
      </c>
      <c r="AL2928" s="70">
        <v>43663</v>
      </c>
      <c r="AM2928" s="70"/>
      <c r="AN2928" s="70"/>
      <c r="AO2928" s="70"/>
      <c r="AP2928" s="73" t="e">
        <f>MID(VLOOKUP(K2928,#REF!,2,FALSE),1,2)</f>
        <v>#REF!</v>
      </c>
      <c r="AQ2928" s="72">
        <f>DATE(2019,7,6)</f>
        <v>43652</v>
      </c>
      <c r="AR2928" s="83">
        <f t="shared" si="245"/>
        <v>6</v>
      </c>
      <c r="AS2928" s="84">
        <f t="shared" si="246"/>
        <v>7</v>
      </c>
      <c r="AT2928" s="86">
        <f t="shared" si="247"/>
        <v>2019</v>
      </c>
      <c r="AU2928" s="86"/>
      <c r="AV2928" s="87"/>
      <c r="AW2928" s="86"/>
      <c r="AX2928" s="83"/>
      <c r="AY2928" s="84"/>
      <c r="AZ2928" s="86"/>
      <c r="BA2928" s="86"/>
      <c r="BB2928" s="86"/>
      <c r="BD2928" s="68"/>
    </row>
    <row r="2929" spans="1:56" s="25" customFormat="1" ht="36.75" customHeight="1">
      <c r="A2929" s="30"/>
      <c r="B2929" s="30" t="s">
        <v>55</v>
      </c>
      <c r="C2929" s="69" t="str">
        <f t="shared" si="248"/>
        <v>Closed</v>
      </c>
      <c r="D2929" s="27" t="s">
        <v>16581</v>
      </c>
      <c r="E2929" s="29" t="s">
        <v>16582</v>
      </c>
      <c r="F2929" s="30" t="s">
        <v>233</v>
      </c>
      <c r="G2929" s="72">
        <f>DATE(2019,7,3)</f>
        <v>43649</v>
      </c>
      <c r="H2929" s="80">
        <v>1.4111111111111112</v>
      </c>
      <c r="I2929" s="30" t="s">
        <v>278</v>
      </c>
      <c r="J2929" s="72" t="s">
        <v>16583</v>
      </c>
      <c r="K2929" s="30" t="s">
        <v>235</v>
      </c>
      <c r="L2929" s="30" t="s">
        <v>16584</v>
      </c>
      <c r="M2929" s="30" t="s">
        <v>63</v>
      </c>
      <c r="N2929" s="30" t="s">
        <v>142</v>
      </c>
      <c r="O2929" s="30" t="s">
        <v>64</v>
      </c>
      <c r="P2929" s="72" t="s">
        <v>6902</v>
      </c>
      <c r="Q2929" s="72" t="s">
        <v>16585</v>
      </c>
      <c r="R2929" s="72" t="s">
        <v>235</v>
      </c>
      <c r="S2929" s="30">
        <v>0</v>
      </c>
      <c r="T2929" s="232">
        <v>2</v>
      </c>
      <c r="U2929" s="30">
        <v>0</v>
      </c>
      <c r="V2929" s="232">
        <v>0</v>
      </c>
      <c r="W2929" s="30">
        <v>0</v>
      </c>
      <c r="X2929" s="30">
        <v>2</v>
      </c>
      <c r="Y2929" s="30">
        <v>0</v>
      </c>
      <c r="Z2929" s="232">
        <v>0</v>
      </c>
      <c r="AA2929" s="30">
        <v>0</v>
      </c>
      <c r="AB2929" s="30">
        <v>0</v>
      </c>
      <c r="AC2929" s="30">
        <v>0</v>
      </c>
      <c r="AD2929" s="30">
        <v>0</v>
      </c>
      <c r="AE2929" s="72" t="s">
        <v>92</v>
      </c>
      <c r="AF2929" s="72"/>
      <c r="AG2929" s="72" t="s">
        <v>82</v>
      </c>
      <c r="AH2929" s="72">
        <v>43649</v>
      </c>
      <c r="AI2929" s="30">
        <v>0</v>
      </c>
      <c r="AJ2929" s="72" t="s">
        <v>16586</v>
      </c>
      <c r="AK2929" s="72" t="s">
        <v>16587</v>
      </c>
      <c r="AL2929" s="70">
        <v>43668</v>
      </c>
      <c r="AM2929" s="70"/>
      <c r="AN2929" s="70"/>
      <c r="AO2929" s="70"/>
      <c r="AP2929" s="73" t="e">
        <f>MID(VLOOKUP(K2929,#REF!,2,FALSE),1,2)</f>
        <v>#REF!</v>
      </c>
      <c r="AQ2929" s="72">
        <f>DATE(2019,7,8)</f>
        <v>43654</v>
      </c>
      <c r="AR2929" s="83">
        <f t="shared" si="245"/>
        <v>8</v>
      </c>
      <c r="AS2929" s="83">
        <f t="shared" si="246"/>
        <v>7</v>
      </c>
      <c r="AT2929" s="120">
        <f t="shared" si="247"/>
        <v>2019</v>
      </c>
      <c r="AU2929" s="86"/>
      <c r="AV2929" s="86"/>
      <c r="AW2929" s="87"/>
      <c r="AX2929" s="104"/>
      <c r="AY2929" s="83"/>
      <c r="AZ2929" s="120"/>
      <c r="BA2929" s="86"/>
      <c r="BB2929" s="86"/>
      <c r="BD2929" s="68"/>
    </row>
    <row r="2930" spans="1:56" s="25" customFormat="1" ht="36.75" customHeight="1">
      <c r="A2930" s="30"/>
      <c r="B2930" s="30" t="s">
        <v>55</v>
      </c>
      <c r="C2930" s="69" t="str">
        <f t="shared" si="248"/>
        <v>Closed</v>
      </c>
      <c r="D2930" s="27" t="s">
        <v>16588</v>
      </c>
      <c r="E2930" s="29" t="s">
        <v>16589</v>
      </c>
      <c r="F2930" s="30" t="s">
        <v>451</v>
      </c>
      <c r="G2930" s="72">
        <f>DATE(2019,7,6)</f>
        <v>43652</v>
      </c>
      <c r="H2930" s="80">
        <v>1.4597222222222221</v>
      </c>
      <c r="I2930" s="30" t="s">
        <v>116</v>
      </c>
      <c r="J2930" s="72" t="s">
        <v>16590</v>
      </c>
      <c r="K2930" s="30" t="s">
        <v>453</v>
      </c>
      <c r="L2930" s="30" t="s">
        <v>16591</v>
      </c>
      <c r="M2930" s="30" t="s">
        <v>255</v>
      </c>
      <c r="N2930" s="30" t="s">
        <v>99</v>
      </c>
      <c r="O2930" s="30" t="s">
        <v>64</v>
      </c>
      <c r="P2930" s="72" t="s">
        <v>6552</v>
      </c>
      <c r="Q2930" s="72" t="s">
        <v>16592</v>
      </c>
      <c r="R2930" s="72" t="s">
        <v>16593</v>
      </c>
      <c r="S2930" s="30">
        <v>0</v>
      </c>
      <c r="T2930" s="232">
        <v>0</v>
      </c>
      <c r="U2930" s="30">
        <v>2</v>
      </c>
      <c r="V2930" s="232">
        <v>0</v>
      </c>
      <c r="W2930" s="30">
        <v>0</v>
      </c>
      <c r="X2930" s="30">
        <v>2</v>
      </c>
      <c r="Y2930" s="30">
        <v>0</v>
      </c>
      <c r="Z2930" s="232">
        <v>0</v>
      </c>
      <c r="AA2930" s="30">
        <v>2</v>
      </c>
      <c r="AB2930" s="30">
        <v>0</v>
      </c>
      <c r="AC2930" s="30">
        <v>0</v>
      </c>
      <c r="AD2930" s="30">
        <v>2</v>
      </c>
      <c r="AE2930" s="72" t="s">
        <v>394</v>
      </c>
      <c r="AF2930" s="72"/>
      <c r="AG2930" s="72" t="s">
        <v>82</v>
      </c>
      <c r="AH2930" s="72">
        <v>43652</v>
      </c>
      <c r="AI2930" s="30">
        <v>0</v>
      </c>
      <c r="AJ2930" s="72" t="s">
        <v>16594</v>
      </c>
      <c r="AK2930" s="72" t="s">
        <v>68</v>
      </c>
      <c r="AL2930" s="70">
        <v>43654</v>
      </c>
      <c r="AM2930" s="70"/>
      <c r="AN2930" s="70"/>
      <c r="AO2930" s="70"/>
      <c r="AP2930" s="73" t="e">
        <f>MID(VLOOKUP(K2930,#REF!,2,FALSE),1,2)</f>
        <v>#REF!</v>
      </c>
      <c r="AQ2930" s="72">
        <f>DATE(2019,7,8)</f>
        <v>43654</v>
      </c>
      <c r="AR2930" s="83">
        <f t="shared" si="245"/>
        <v>8</v>
      </c>
      <c r="AS2930" s="84">
        <f t="shared" si="246"/>
        <v>7</v>
      </c>
      <c r="AT2930" s="86">
        <f t="shared" si="247"/>
        <v>2019</v>
      </c>
      <c r="AU2930" s="86"/>
      <c r="AV2930" s="87"/>
      <c r="AW2930" s="86"/>
      <c r="AX2930" s="83"/>
      <c r="AY2930" s="84"/>
      <c r="AZ2930" s="86"/>
      <c r="BA2930" s="86"/>
      <c r="BB2930" s="86"/>
      <c r="BD2930" s="68"/>
    </row>
    <row r="2931" spans="1:56" s="25" customFormat="1" ht="36.75" customHeight="1">
      <c r="A2931" s="30"/>
      <c r="B2931" s="30" t="s">
        <v>55</v>
      </c>
      <c r="C2931" s="69" t="str">
        <f t="shared" si="248"/>
        <v>Closed</v>
      </c>
      <c r="D2931" s="27" t="s">
        <v>16595</v>
      </c>
      <c r="E2931" s="29" t="s">
        <v>16596</v>
      </c>
      <c r="F2931" s="30" t="s">
        <v>423</v>
      </c>
      <c r="G2931" s="72">
        <f>DATE(2019,7,8)</f>
        <v>43654</v>
      </c>
      <c r="H2931" s="80">
        <v>1.2916666666666667</v>
      </c>
      <c r="I2931" s="30" t="s">
        <v>198</v>
      </c>
      <c r="J2931" s="72" t="s">
        <v>16597</v>
      </c>
      <c r="K2931" s="30" t="s">
        <v>425</v>
      </c>
      <c r="L2931" s="30" t="s">
        <v>14503</v>
      </c>
      <c r="M2931" s="30" t="s">
        <v>63</v>
      </c>
      <c r="N2931" s="30" t="s">
        <v>89</v>
      </c>
      <c r="O2931" s="30" t="s">
        <v>77</v>
      </c>
      <c r="P2931" s="72" t="s">
        <v>3633</v>
      </c>
      <c r="Q2931" s="72" t="s">
        <v>16598</v>
      </c>
      <c r="R2931" s="72" t="s">
        <v>3103</v>
      </c>
      <c r="S2931" s="30">
        <v>0</v>
      </c>
      <c r="T2931" s="232">
        <v>0</v>
      </c>
      <c r="U2931" s="30">
        <v>0</v>
      </c>
      <c r="V2931" s="232">
        <v>0</v>
      </c>
      <c r="W2931" s="30">
        <v>0</v>
      </c>
      <c r="X2931" s="30">
        <v>0</v>
      </c>
      <c r="Y2931" s="30">
        <v>0</v>
      </c>
      <c r="Z2931" s="232">
        <v>0</v>
      </c>
      <c r="AA2931" s="30">
        <v>0</v>
      </c>
      <c r="AB2931" s="30">
        <v>0</v>
      </c>
      <c r="AC2931" s="30">
        <v>0</v>
      </c>
      <c r="AD2931" s="30">
        <v>0</v>
      </c>
      <c r="AE2931" s="72" t="s">
        <v>92</v>
      </c>
      <c r="AF2931" s="72"/>
      <c r="AG2931" s="72" t="s">
        <v>874</v>
      </c>
      <c r="AH2931" s="72">
        <v>43684</v>
      </c>
      <c r="AI2931" s="30">
        <v>0</v>
      </c>
      <c r="AJ2931" s="72" t="s">
        <v>16599</v>
      </c>
      <c r="AK2931" s="72" t="s">
        <v>16600</v>
      </c>
      <c r="AL2931" s="70">
        <v>43656</v>
      </c>
      <c r="AM2931" s="70"/>
      <c r="AN2931" s="70"/>
      <c r="AO2931" s="70"/>
      <c r="AP2931" s="73" t="e">
        <f>MID(VLOOKUP(K2931,#REF!,2,FALSE),1,2)</f>
        <v>#REF!</v>
      </c>
      <c r="AQ2931" s="72">
        <f>DATE(2019,7,8)</f>
        <v>43654</v>
      </c>
      <c r="AR2931" s="83">
        <f t="shared" si="245"/>
        <v>8</v>
      </c>
      <c r="AS2931" s="83">
        <f t="shared" si="246"/>
        <v>7</v>
      </c>
      <c r="AT2931" s="120">
        <f t="shared" si="247"/>
        <v>2019</v>
      </c>
      <c r="AU2931" s="86"/>
      <c r="AV2931" s="86"/>
      <c r="AW2931" s="87"/>
      <c r="AX2931" s="104"/>
      <c r="AY2931" s="83"/>
      <c r="AZ2931" s="120"/>
      <c r="BA2931" s="86"/>
      <c r="BB2931" s="86"/>
      <c r="BD2931" s="68"/>
    </row>
    <row r="2932" spans="1:56" s="25" customFormat="1" ht="36.75" customHeight="1">
      <c r="A2932" s="30"/>
      <c r="B2932" s="30" t="s">
        <v>55</v>
      </c>
      <c r="C2932" s="69" t="str">
        <f t="shared" si="248"/>
        <v>Closed</v>
      </c>
      <c r="D2932" s="27" t="s">
        <v>16601</v>
      </c>
      <c r="E2932" s="29" t="s">
        <v>16602</v>
      </c>
      <c r="F2932" s="30" t="s">
        <v>835</v>
      </c>
      <c r="G2932" s="72">
        <f>DATE(2019,7,8)</f>
        <v>43654</v>
      </c>
      <c r="H2932" s="80">
        <v>1.6736111111111112</v>
      </c>
      <c r="I2932" s="30" t="s">
        <v>73</v>
      </c>
      <c r="J2932" s="72" t="s">
        <v>16603</v>
      </c>
      <c r="K2932" s="30" t="s">
        <v>837</v>
      </c>
      <c r="L2932" s="30" t="s">
        <v>16604</v>
      </c>
      <c r="M2932" s="30" t="s">
        <v>63</v>
      </c>
      <c r="N2932" s="30" t="s">
        <v>142</v>
      </c>
      <c r="O2932" s="30" t="s">
        <v>77</v>
      </c>
      <c r="P2932" s="72" t="s">
        <v>381</v>
      </c>
      <c r="Q2932" s="72" t="s">
        <v>6581</v>
      </c>
      <c r="R2932" s="72" t="s">
        <v>840</v>
      </c>
      <c r="S2932" s="30">
        <v>0</v>
      </c>
      <c r="T2932" s="232">
        <v>0</v>
      </c>
      <c r="U2932" s="30">
        <v>0</v>
      </c>
      <c r="V2932" s="232">
        <v>0</v>
      </c>
      <c r="W2932" s="30">
        <v>0</v>
      </c>
      <c r="X2932" s="30">
        <v>0</v>
      </c>
      <c r="Y2932" s="30">
        <v>0</v>
      </c>
      <c r="Z2932" s="232">
        <v>0</v>
      </c>
      <c r="AA2932" s="30">
        <v>0</v>
      </c>
      <c r="AB2932" s="30">
        <v>0</v>
      </c>
      <c r="AC2932" s="30">
        <v>0</v>
      </c>
      <c r="AD2932" s="30">
        <v>0</v>
      </c>
      <c r="AE2932" s="72" t="s">
        <v>394</v>
      </c>
      <c r="AF2932" s="72"/>
      <c r="AG2932" s="72" t="s">
        <v>133</v>
      </c>
      <c r="AH2932" s="72">
        <v>43654</v>
      </c>
      <c r="AI2932" s="30">
        <v>0</v>
      </c>
      <c r="AJ2932" s="72" t="s">
        <v>16605</v>
      </c>
      <c r="AK2932" s="72" t="s">
        <v>68</v>
      </c>
      <c r="AL2932" s="70">
        <v>43663</v>
      </c>
      <c r="AM2932" s="70"/>
      <c r="AN2932" s="70"/>
      <c r="AO2932" s="70"/>
      <c r="AP2932" s="73" t="e">
        <f>MID(VLOOKUP(K2932,#REF!,2,FALSE),1,2)</f>
        <v>#REF!</v>
      </c>
      <c r="AQ2932" s="72">
        <f>DATE(2019,7,11)</f>
        <v>43657</v>
      </c>
      <c r="AR2932" s="83">
        <f t="shared" si="245"/>
        <v>11</v>
      </c>
      <c r="AS2932" s="84">
        <f t="shared" si="246"/>
        <v>7</v>
      </c>
      <c r="AT2932" s="86">
        <f t="shared" si="247"/>
        <v>2019</v>
      </c>
      <c r="AU2932" s="86"/>
      <c r="AV2932" s="87"/>
      <c r="AW2932" s="86"/>
      <c r="AX2932" s="83"/>
      <c r="AY2932" s="84"/>
      <c r="AZ2932" s="86"/>
      <c r="BA2932" s="86"/>
      <c r="BB2932" s="86"/>
      <c r="BD2932" s="68"/>
    </row>
    <row r="2933" spans="1:56" s="25" customFormat="1" ht="36.75" customHeight="1">
      <c r="A2933" s="30"/>
      <c r="B2933" s="30" t="s">
        <v>55</v>
      </c>
      <c r="C2933" s="69" t="str">
        <f t="shared" si="248"/>
        <v>Closed</v>
      </c>
      <c r="D2933" s="27" t="s">
        <v>16606</v>
      </c>
      <c r="E2933" s="29" t="s">
        <v>16607</v>
      </c>
      <c r="F2933" s="30" t="s">
        <v>1572</v>
      </c>
      <c r="G2933" s="72">
        <f>DATE(2019,7,8)</f>
        <v>43654</v>
      </c>
      <c r="H2933" s="80">
        <v>1.0993055555555555</v>
      </c>
      <c r="I2933" s="30" t="s">
        <v>198</v>
      </c>
      <c r="J2933" s="72" t="s">
        <v>16608</v>
      </c>
      <c r="K2933" s="30" t="s">
        <v>1574</v>
      </c>
      <c r="L2933" s="30" t="s">
        <v>16609</v>
      </c>
      <c r="M2933" s="30" t="s">
        <v>63</v>
      </c>
      <c r="N2933" s="30" t="s">
        <v>142</v>
      </c>
      <c r="O2933" s="30" t="s">
        <v>64</v>
      </c>
      <c r="P2933" s="72" t="s">
        <v>78</v>
      </c>
      <c r="Q2933" s="72" t="s">
        <v>16610</v>
      </c>
      <c r="R2933" s="72" t="s">
        <v>6434</v>
      </c>
      <c r="S2933" s="30">
        <v>0</v>
      </c>
      <c r="T2933" s="232">
        <v>0</v>
      </c>
      <c r="U2933" s="30">
        <v>0</v>
      </c>
      <c r="V2933" s="232">
        <v>0</v>
      </c>
      <c r="W2933" s="30">
        <v>0</v>
      </c>
      <c r="X2933" s="30">
        <v>0</v>
      </c>
      <c r="Y2933" s="30">
        <v>0</v>
      </c>
      <c r="Z2933" s="232">
        <v>0</v>
      </c>
      <c r="AA2933" s="30">
        <v>0</v>
      </c>
      <c r="AB2933" s="30">
        <v>0</v>
      </c>
      <c r="AC2933" s="30">
        <v>0</v>
      </c>
      <c r="AD2933" s="30">
        <v>0</v>
      </c>
      <c r="AE2933" s="72" t="s">
        <v>145</v>
      </c>
      <c r="AF2933" s="72"/>
      <c r="AG2933" s="72" t="s">
        <v>133</v>
      </c>
      <c r="AH2933" s="72">
        <v>43654</v>
      </c>
      <c r="AI2933" s="30">
        <v>2</v>
      </c>
      <c r="AJ2933" s="72" t="s">
        <v>16611</v>
      </c>
      <c r="AK2933" s="72" t="s">
        <v>16612</v>
      </c>
      <c r="AL2933" s="70">
        <v>43659</v>
      </c>
      <c r="AM2933" s="70"/>
      <c r="AN2933" s="70"/>
      <c r="AO2933" s="70"/>
      <c r="AP2933" s="73" t="e">
        <f>MID(VLOOKUP(K2933,#REF!,2,FALSE),1,2)</f>
        <v>#REF!</v>
      </c>
      <c r="AQ2933" s="72">
        <f>DATE(2019,7,13)</f>
        <v>43659</v>
      </c>
      <c r="AR2933" s="83">
        <f t="shared" ref="AR2933:AR2972" si="249">DAY(AQ2933)</f>
        <v>13</v>
      </c>
      <c r="AS2933" s="83">
        <f t="shared" ref="AS2933:AS2972" si="250">MONTH(AQ2933)</f>
        <v>7</v>
      </c>
      <c r="AT2933" s="120">
        <f t="shared" ref="AT2933:AT2972" si="251">YEAR(AQ2933)</f>
        <v>2019</v>
      </c>
      <c r="AU2933" s="86"/>
      <c r="AV2933" s="86"/>
      <c r="AW2933" s="87"/>
      <c r="AX2933" s="104"/>
      <c r="AY2933" s="83"/>
      <c r="AZ2933" s="120"/>
      <c r="BA2933" s="86"/>
      <c r="BB2933" s="86"/>
      <c r="BD2933" s="68"/>
    </row>
    <row r="2934" spans="1:56" s="25" customFormat="1" ht="36.75" customHeight="1">
      <c r="A2934" s="30"/>
      <c r="B2934" s="30" t="s">
        <v>55</v>
      </c>
      <c r="C2934" s="69" t="str">
        <f t="shared" si="248"/>
        <v>Closed</v>
      </c>
      <c r="D2934" s="27" t="s">
        <v>16613</v>
      </c>
      <c r="E2934" s="29" t="s">
        <v>16614</v>
      </c>
      <c r="F2934" s="30" t="s">
        <v>1770</v>
      </c>
      <c r="G2934" s="72">
        <f>DATE(2019,7,11)</f>
        <v>43657</v>
      </c>
      <c r="H2934" s="80">
        <v>1.4097222222222223</v>
      </c>
      <c r="I2934" s="30" t="s">
        <v>73</v>
      </c>
      <c r="J2934" s="72" t="s">
        <v>16615</v>
      </c>
      <c r="K2934" s="30" t="s">
        <v>1772</v>
      </c>
      <c r="L2934" s="30" t="s">
        <v>16616</v>
      </c>
      <c r="M2934" s="30" t="s">
        <v>63</v>
      </c>
      <c r="N2934" s="30" t="s">
        <v>89</v>
      </c>
      <c r="O2934" s="30" t="s">
        <v>77</v>
      </c>
      <c r="P2934" s="72" t="s">
        <v>165</v>
      </c>
      <c r="Q2934" s="72" t="s">
        <v>16086</v>
      </c>
      <c r="R2934" s="72" t="s">
        <v>1775</v>
      </c>
      <c r="S2934" s="30">
        <v>0</v>
      </c>
      <c r="T2934" s="232">
        <v>0</v>
      </c>
      <c r="U2934" s="30">
        <v>0</v>
      </c>
      <c r="V2934" s="232">
        <v>0</v>
      </c>
      <c r="W2934" s="30">
        <v>0</v>
      </c>
      <c r="X2934" s="30">
        <v>0</v>
      </c>
      <c r="Y2934" s="30">
        <v>0</v>
      </c>
      <c r="Z2934" s="232">
        <v>0</v>
      </c>
      <c r="AA2934" s="30">
        <v>0</v>
      </c>
      <c r="AB2934" s="30">
        <v>0</v>
      </c>
      <c r="AC2934" s="30">
        <v>0</v>
      </c>
      <c r="AD2934" s="30">
        <v>0</v>
      </c>
      <c r="AE2934" s="72" t="s">
        <v>92</v>
      </c>
      <c r="AF2934" s="72" t="s">
        <v>16617</v>
      </c>
      <c r="AG2934" s="72" t="s">
        <v>8859</v>
      </c>
      <c r="AH2934" s="72">
        <v>43675</v>
      </c>
      <c r="AI2934" s="30">
        <v>0</v>
      </c>
      <c r="AJ2934" s="72" t="s">
        <v>16618</v>
      </c>
      <c r="AK2934" s="72" t="s">
        <v>16619</v>
      </c>
      <c r="AL2934" s="70">
        <v>43886</v>
      </c>
      <c r="AM2934" s="70">
        <v>44498</v>
      </c>
      <c r="AN2934" s="70">
        <v>45111</v>
      </c>
      <c r="AO2934" s="70">
        <v>45099</v>
      </c>
      <c r="AP2934" s="73" t="e">
        <f>MID(VLOOKUP(K2934,#REF!,2,FALSE),1,2)</f>
        <v>#REF!</v>
      </c>
      <c r="AQ2934" s="72">
        <f>DATE(2019,7,13)</f>
        <v>43659</v>
      </c>
      <c r="AR2934" s="83">
        <f t="shared" si="249"/>
        <v>13</v>
      </c>
      <c r="AS2934" s="84">
        <f t="shared" si="250"/>
        <v>7</v>
      </c>
      <c r="AT2934" s="86">
        <f t="shared" si="251"/>
        <v>2019</v>
      </c>
      <c r="AU2934" s="86"/>
      <c r="AV2934" s="87"/>
      <c r="AW2934" s="86"/>
      <c r="AX2934" s="83"/>
      <c r="AY2934" s="84"/>
      <c r="AZ2934" s="86"/>
      <c r="BA2934" s="86"/>
      <c r="BB2934" s="86"/>
      <c r="BD2934" s="68"/>
    </row>
    <row r="2935" spans="1:56" s="25" customFormat="1" ht="36.75" customHeight="1">
      <c r="A2935" s="30"/>
      <c r="B2935" s="30" t="s">
        <v>55</v>
      </c>
      <c r="C2935" s="69" t="str">
        <f t="shared" si="248"/>
        <v>Closed</v>
      </c>
      <c r="D2935" s="27" t="s">
        <v>16620</v>
      </c>
      <c r="E2935" s="29" t="s">
        <v>16621</v>
      </c>
      <c r="F2935" s="30" t="s">
        <v>423</v>
      </c>
      <c r="G2935" s="72">
        <f>DATE(2019,7,13)</f>
        <v>43659</v>
      </c>
      <c r="H2935" s="80">
        <v>1.6347222222222222</v>
      </c>
      <c r="I2935" s="30" t="s">
        <v>116</v>
      </c>
      <c r="J2935" s="72" t="s">
        <v>16622</v>
      </c>
      <c r="K2935" s="30" t="s">
        <v>425</v>
      </c>
      <c r="L2935" s="30" t="s">
        <v>16623</v>
      </c>
      <c r="M2935" s="30" t="s">
        <v>63</v>
      </c>
      <c r="N2935" s="30" t="s">
        <v>99</v>
      </c>
      <c r="O2935" s="30" t="s">
        <v>64</v>
      </c>
      <c r="P2935" s="72" t="s">
        <v>165</v>
      </c>
      <c r="Q2935" s="72" t="s">
        <v>4551</v>
      </c>
      <c r="R2935" s="72" t="s">
        <v>3103</v>
      </c>
      <c r="S2935" s="30">
        <v>0</v>
      </c>
      <c r="T2935" s="232">
        <v>0</v>
      </c>
      <c r="U2935" s="30">
        <v>1</v>
      </c>
      <c r="V2935" s="232">
        <v>0</v>
      </c>
      <c r="W2935" s="30">
        <v>0</v>
      </c>
      <c r="X2935" s="30">
        <v>1</v>
      </c>
      <c r="Y2935" s="30">
        <v>1</v>
      </c>
      <c r="Z2935" s="232">
        <v>0</v>
      </c>
      <c r="AA2935" s="30">
        <v>1</v>
      </c>
      <c r="AB2935" s="30">
        <v>0</v>
      </c>
      <c r="AC2935" s="30">
        <v>0</v>
      </c>
      <c r="AD2935" s="30">
        <v>2</v>
      </c>
      <c r="AE2935" s="72" t="s">
        <v>394</v>
      </c>
      <c r="AF2935" s="72"/>
      <c r="AG2935" s="72" t="s">
        <v>133</v>
      </c>
      <c r="AH2935" s="72">
        <v>43659</v>
      </c>
      <c r="AI2935" s="30">
        <v>2</v>
      </c>
      <c r="AJ2935" s="72" t="s">
        <v>16624</v>
      </c>
      <c r="AK2935" s="72" t="s">
        <v>15109</v>
      </c>
      <c r="AL2935" s="70">
        <v>43662</v>
      </c>
      <c r="AM2935" s="70"/>
      <c r="AN2935" s="70"/>
      <c r="AO2935" s="70"/>
      <c r="AP2935" s="73" t="e">
        <f>MID(VLOOKUP(K2935,#REF!,2,FALSE),1,2)</f>
        <v>#REF!</v>
      </c>
      <c r="AQ2935" s="72">
        <f>DATE(2019,7,14)</f>
        <v>43660</v>
      </c>
      <c r="AR2935" s="83">
        <f t="shared" si="249"/>
        <v>14</v>
      </c>
      <c r="AS2935" s="83">
        <f t="shared" si="250"/>
        <v>7</v>
      </c>
      <c r="AT2935" s="120">
        <f t="shared" si="251"/>
        <v>2019</v>
      </c>
      <c r="AU2935" s="86"/>
      <c r="AV2935" s="86"/>
      <c r="AW2935" s="87"/>
      <c r="AX2935" s="104"/>
      <c r="AY2935" s="83"/>
      <c r="AZ2935" s="120"/>
      <c r="BA2935" s="86"/>
      <c r="BB2935" s="86"/>
      <c r="BD2935" s="68"/>
    </row>
    <row r="2936" spans="1:56" s="25" customFormat="1" ht="36.75" customHeight="1">
      <c r="A2936" s="30"/>
      <c r="B2936" s="30" t="s">
        <v>55</v>
      </c>
      <c r="C2936" s="69" t="str">
        <f t="shared" si="248"/>
        <v>Closed</v>
      </c>
      <c r="D2936" s="27" t="s">
        <v>16625</v>
      </c>
      <c r="E2936" s="29" t="s">
        <v>16626</v>
      </c>
      <c r="F2936" s="30" t="s">
        <v>835</v>
      </c>
      <c r="G2936" s="72">
        <f>DATE(2019,7,13)</f>
        <v>43659</v>
      </c>
      <c r="H2936" s="80">
        <v>1.5013888888888889</v>
      </c>
      <c r="I2936" s="30" t="s">
        <v>104</v>
      </c>
      <c r="J2936" s="72" t="s">
        <v>16627</v>
      </c>
      <c r="K2936" s="30" t="s">
        <v>837</v>
      </c>
      <c r="L2936" s="30" t="s">
        <v>16628</v>
      </c>
      <c r="M2936" s="30" t="s">
        <v>63</v>
      </c>
      <c r="N2936" s="30" t="s">
        <v>99</v>
      </c>
      <c r="O2936" s="30" t="s">
        <v>77</v>
      </c>
      <c r="P2936" s="72" t="s">
        <v>6941</v>
      </c>
      <c r="Q2936" s="72" t="s">
        <v>839</v>
      </c>
      <c r="R2936" s="72" t="s">
        <v>840</v>
      </c>
      <c r="S2936" s="30">
        <v>0</v>
      </c>
      <c r="T2936" s="232">
        <v>0</v>
      </c>
      <c r="U2936" s="30">
        <v>0</v>
      </c>
      <c r="V2936" s="232">
        <v>0</v>
      </c>
      <c r="W2936" s="30">
        <v>0</v>
      </c>
      <c r="X2936" s="30">
        <v>0</v>
      </c>
      <c r="Y2936" s="30">
        <v>0</v>
      </c>
      <c r="Z2936" s="232">
        <v>0</v>
      </c>
      <c r="AA2936" s="30">
        <v>0</v>
      </c>
      <c r="AB2936" s="30">
        <v>0</v>
      </c>
      <c r="AC2936" s="30">
        <v>0</v>
      </c>
      <c r="AD2936" s="30">
        <v>0</v>
      </c>
      <c r="AE2936" s="72" t="s">
        <v>92</v>
      </c>
      <c r="AF2936" s="72"/>
      <c r="AG2936" s="72" t="s">
        <v>10511</v>
      </c>
      <c r="AH2936" s="72">
        <v>43769</v>
      </c>
      <c r="AI2936" s="30">
        <v>0</v>
      </c>
      <c r="AJ2936" s="72" t="s">
        <v>16629</v>
      </c>
      <c r="AK2936" s="72" t="s">
        <v>16630</v>
      </c>
      <c r="AL2936" s="70">
        <v>43776</v>
      </c>
      <c r="AM2936" s="70"/>
      <c r="AN2936" s="70">
        <v>45012</v>
      </c>
      <c r="AO2936" s="70">
        <v>44026</v>
      </c>
      <c r="AP2936" s="73" t="e">
        <f>MID(VLOOKUP(K2936,#REF!,2,FALSE),1,2)</f>
        <v>#REF!</v>
      </c>
      <c r="AQ2936" s="72">
        <f>DATE(2019,7,15)</f>
        <v>43661</v>
      </c>
      <c r="AR2936" s="83">
        <f t="shared" si="249"/>
        <v>15</v>
      </c>
      <c r="AS2936" s="83">
        <f t="shared" si="250"/>
        <v>7</v>
      </c>
      <c r="AT2936" s="120">
        <f t="shared" si="251"/>
        <v>2019</v>
      </c>
      <c r="AU2936" s="86"/>
      <c r="AV2936" s="86"/>
      <c r="AW2936" s="87"/>
      <c r="AX2936" s="104"/>
      <c r="AY2936" s="83"/>
      <c r="AZ2936" s="120"/>
      <c r="BA2936" s="86"/>
      <c r="BB2936" s="86"/>
      <c r="BD2936" s="68"/>
    </row>
    <row r="2937" spans="1:56" s="25" customFormat="1" ht="36.75" customHeight="1">
      <c r="A2937" s="30"/>
      <c r="B2937" s="30" t="s">
        <v>55</v>
      </c>
      <c r="C2937" s="69" t="str">
        <f t="shared" si="248"/>
        <v>Closed</v>
      </c>
      <c r="D2937" s="27" t="s">
        <v>16631</v>
      </c>
      <c r="E2937" s="29" t="s">
        <v>16632</v>
      </c>
      <c r="F2937" s="30" t="s">
        <v>423</v>
      </c>
      <c r="G2937" s="72">
        <f>DATE(2019,7,14)</f>
        <v>43660</v>
      </c>
      <c r="H2937" s="80">
        <v>1.6194444444444445</v>
      </c>
      <c r="I2937" s="30" t="s">
        <v>116</v>
      </c>
      <c r="J2937" s="72" t="s">
        <v>16633</v>
      </c>
      <c r="K2937" s="30" t="s">
        <v>425</v>
      </c>
      <c r="L2937" s="30" t="s">
        <v>16634</v>
      </c>
      <c r="M2937" s="30" t="s">
        <v>63</v>
      </c>
      <c r="N2937" s="30" t="s">
        <v>99</v>
      </c>
      <c r="O2937" s="30" t="s">
        <v>64</v>
      </c>
      <c r="P2937" s="72" t="s">
        <v>165</v>
      </c>
      <c r="Q2937" s="72" t="s">
        <v>4551</v>
      </c>
      <c r="R2937" s="72" t="s">
        <v>3103</v>
      </c>
      <c r="S2937" s="30">
        <v>0</v>
      </c>
      <c r="T2937" s="232">
        <v>0</v>
      </c>
      <c r="U2937" s="30">
        <v>4</v>
      </c>
      <c r="V2937" s="232">
        <v>0</v>
      </c>
      <c r="W2937" s="30">
        <v>0</v>
      </c>
      <c r="X2937" s="30">
        <v>4</v>
      </c>
      <c r="Y2937" s="30">
        <v>0</v>
      </c>
      <c r="Z2937" s="232">
        <v>0</v>
      </c>
      <c r="AA2937" s="30">
        <v>0</v>
      </c>
      <c r="AB2937" s="30">
        <v>0</v>
      </c>
      <c r="AC2937" s="30">
        <v>0</v>
      </c>
      <c r="AD2937" s="30">
        <v>0</v>
      </c>
      <c r="AE2937" s="72" t="s">
        <v>92</v>
      </c>
      <c r="AF2937" s="72"/>
      <c r="AG2937" s="72" t="s">
        <v>874</v>
      </c>
      <c r="AH2937" s="72">
        <v>43660</v>
      </c>
      <c r="AI2937" s="30">
        <v>0</v>
      </c>
      <c r="AJ2937" s="72" t="s">
        <v>16635</v>
      </c>
      <c r="AK2937" s="72" t="s">
        <v>14129</v>
      </c>
      <c r="AL2937" s="70">
        <v>43662</v>
      </c>
      <c r="AM2937" s="70"/>
      <c r="AN2937" s="70"/>
      <c r="AO2937" s="70"/>
      <c r="AP2937" s="73" t="e">
        <f>MID(VLOOKUP(K2937,#REF!,2,FALSE),1,2)</f>
        <v>#REF!</v>
      </c>
      <c r="AQ2937" s="72">
        <f>DATE(2019,7,16)</f>
        <v>43662</v>
      </c>
      <c r="AR2937" s="83">
        <f t="shared" si="249"/>
        <v>16</v>
      </c>
      <c r="AS2937" s="83">
        <f t="shared" si="250"/>
        <v>7</v>
      </c>
      <c r="AT2937" s="120">
        <f t="shared" si="251"/>
        <v>2019</v>
      </c>
      <c r="AU2937" s="86"/>
      <c r="AV2937" s="86"/>
      <c r="AW2937" s="87"/>
      <c r="AX2937" s="104"/>
      <c r="AY2937" s="83"/>
      <c r="AZ2937" s="120"/>
      <c r="BA2937" s="86"/>
      <c r="BB2937" s="86"/>
      <c r="BD2937" s="68"/>
    </row>
    <row r="2938" spans="1:56" s="25" customFormat="1" ht="36.75" customHeight="1">
      <c r="A2938" s="30"/>
      <c r="B2938" s="30" t="s">
        <v>55</v>
      </c>
      <c r="C2938" s="69" t="str">
        <f t="shared" si="248"/>
        <v>Closed</v>
      </c>
      <c r="D2938" s="27" t="s">
        <v>16636</v>
      </c>
      <c r="E2938" s="29" t="s">
        <v>16637</v>
      </c>
      <c r="F2938" s="30" t="s">
        <v>115</v>
      </c>
      <c r="G2938" s="72">
        <f>DATE(2019,7,15)</f>
        <v>43661</v>
      </c>
      <c r="H2938" s="80">
        <v>1.4041666666666666</v>
      </c>
      <c r="I2938" s="30" t="s">
        <v>116</v>
      </c>
      <c r="J2938" s="72" t="s">
        <v>16638</v>
      </c>
      <c r="K2938" s="30" t="s">
        <v>118</v>
      </c>
      <c r="L2938" s="30" t="s">
        <v>16639</v>
      </c>
      <c r="M2938" s="30" t="s">
        <v>63</v>
      </c>
      <c r="N2938" s="30" t="s">
        <v>142</v>
      </c>
      <c r="O2938" s="30" t="s">
        <v>64</v>
      </c>
      <c r="P2938" s="72" t="s">
        <v>165</v>
      </c>
      <c r="Q2938" s="72" t="s">
        <v>120</v>
      </c>
      <c r="R2938" s="72" t="s">
        <v>121</v>
      </c>
      <c r="S2938" s="30">
        <v>0</v>
      </c>
      <c r="T2938" s="232">
        <v>0</v>
      </c>
      <c r="U2938" s="30">
        <v>4</v>
      </c>
      <c r="V2938" s="232">
        <v>0</v>
      </c>
      <c r="W2938" s="30">
        <v>0</v>
      </c>
      <c r="X2938" s="30">
        <v>4</v>
      </c>
      <c r="Y2938" s="30">
        <v>0</v>
      </c>
      <c r="Z2938" s="232">
        <v>0</v>
      </c>
      <c r="AA2938" s="30">
        <v>0</v>
      </c>
      <c r="AB2938" s="30">
        <v>0</v>
      </c>
      <c r="AC2938" s="30">
        <v>0</v>
      </c>
      <c r="AD2938" s="30">
        <v>0</v>
      </c>
      <c r="AE2938" s="72" t="s">
        <v>92</v>
      </c>
      <c r="AF2938" s="72"/>
      <c r="AG2938" s="72" t="s">
        <v>133</v>
      </c>
      <c r="AH2938" s="72">
        <v>43661</v>
      </c>
      <c r="AI2938" s="30">
        <v>1</v>
      </c>
      <c r="AJ2938" s="72" t="s">
        <v>16640</v>
      </c>
      <c r="AK2938" s="72" t="s">
        <v>16641</v>
      </c>
      <c r="AL2938" s="70">
        <v>43662</v>
      </c>
      <c r="AM2938" s="70"/>
      <c r="AN2938" s="70"/>
      <c r="AO2938" s="70"/>
      <c r="AP2938" s="73" t="e">
        <f>MID(VLOOKUP(K2938,#REF!,2,FALSE),1,2)</f>
        <v>#REF!</v>
      </c>
      <c r="AQ2938" s="72">
        <f>DATE(2019,7,16)</f>
        <v>43662</v>
      </c>
      <c r="AR2938" s="83">
        <f t="shared" si="249"/>
        <v>16</v>
      </c>
      <c r="AS2938" s="84">
        <f t="shared" si="250"/>
        <v>7</v>
      </c>
      <c r="AT2938" s="86">
        <f t="shared" si="251"/>
        <v>2019</v>
      </c>
      <c r="AU2938" s="86"/>
      <c r="AV2938" s="87"/>
      <c r="AW2938" s="86"/>
      <c r="AX2938" s="83"/>
      <c r="AY2938" s="84"/>
      <c r="AZ2938" s="86"/>
      <c r="BA2938" s="86"/>
      <c r="BB2938" s="86"/>
      <c r="BD2938" s="68"/>
    </row>
    <row r="2939" spans="1:56" s="25" customFormat="1" ht="36.75" customHeight="1">
      <c r="A2939" s="30"/>
      <c r="B2939" s="30" t="s">
        <v>55</v>
      </c>
      <c r="C2939" s="69" t="str">
        <f t="shared" si="248"/>
        <v>Closed</v>
      </c>
      <c r="D2939" s="27" t="s">
        <v>16642</v>
      </c>
      <c r="E2939" s="29" t="s">
        <v>16643</v>
      </c>
      <c r="F2939" s="30" t="s">
        <v>423</v>
      </c>
      <c r="G2939" s="72">
        <f>DATE(2019,7,16)</f>
        <v>43662</v>
      </c>
      <c r="H2939" s="80">
        <v>1.3215277777777779</v>
      </c>
      <c r="I2939" s="30" t="s">
        <v>116</v>
      </c>
      <c r="J2939" s="72" t="s">
        <v>16644</v>
      </c>
      <c r="K2939" s="30" t="s">
        <v>425</v>
      </c>
      <c r="L2939" s="30" t="s">
        <v>16645</v>
      </c>
      <c r="M2939" s="30" t="s">
        <v>63</v>
      </c>
      <c r="N2939" s="30" t="s">
        <v>99</v>
      </c>
      <c r="O2939" s="30" t="s">
        <v>64</v>
      </c>
      <c r="P2939" s="72" t="s">
        <v>65</v>
      </c>
      <c r="Q2939" s="72" t="s">
        <v>12583</v>
      </c>
      <c r="R2939" s="72" t="s">
        <v>3103</v>
      </c>
      <c r="S2939" s="30">
        <v>0</v>
      </c>
      <c r="T2939" s="232">
        <v>0</v>
      </c>
      <c r="U2939" s="30">
        <v>0</v>
      </c>
      <c r="V2939" s="232">
        <v>0</v>
      </c>
      <c r="W2939" s="30">
        <v>0</v>
      </c>
      <c r="X2939" s="30">
        <v>0</v>
      </c>
      <c r="Y2939" s="30">
        <v>0</v>
      </c>
      <c r="Z2939" s="232">
        <v>0</v>
      </c>
      <c r="AA2939" s="30">
        <v>0</v>
      </c>
      <c r="AB2939" s="30">
        <v>0</v>
      </c>
      <c r="AC2939" s="30">
        <v>0</v>
      </c>
      <c r="AD2939" s="30">
        <v>0</v>
      </c>
      <c r="AE2939" s="72" t="s">
        <v>394</v>
      </c>
      <c r="AF2939" s="72"/>
      <c r="AG2939" s="72" t="s">
        <v>16137</v>
      </c>
      <c r="AH2939" s="72">
        <v>43662</v>
      </c>
      <c r="AI2939" s="30">
        <v>2</v>
      </c>
      <c r="AJ2939" s="72" t="s">
        <v>15108</v>
      </c>
      <c r="AK2939" s="72" t="s">
        <v>15109</v>
      </c>
      <c r="AL2939" s="70">
        <v>43664</v>
      </c>
      <c r="AM2939" s="70"/>
      <c r="AN2939" s="70"/>
      <c r="AO2939" s="70"/>
      <c r="AP2939" s="73" t="e">
        <f>MID(VLOOKUP(K2939,#REF!,2,FALSE),1,2)</f>
        <v>#REF!</v>
      </c>
      <c r="AQ2939" s="72">
        <f>DATE(2019,7,16)</f>
        <v>43662</v>
      </c>
      <c r="AR2939" s="83">
        <f t="shared" si="249"/>
        <v>16</v>
      </c>
      <c r="AS2939" s="84">
        <f t="shared" si="250"/>
        <v>7</v>
      </c>
      <c r="AT2939" s="86">
        <f t="shared" si="251"/>
        <v>2019</v>
      </c>
      <c r="AU2939" s="86"/>
      <c r="AV2939" s="87"/>
      <c r="AW2939" s="86"/>
      <c r="AX2939" s="83"/>
      <c r="AY2939" s="84"/>
      <c r="AZ2939" s="86"/>
      <c r="BA2939" s="86"/>
      <c r="BB2939" s="86"/>
      <c r="BD2939" s="68"/>
    </row>
    <row r="2940" spans="1:56" s="25" customFormat="1" ht="36.75" customHeight="1">
      <c r="A2940" s="30"/>
      <c r="B2940" s="30" t="s">
        <v>55</v>
      </c>
      <c r="C2940" s="69" t="str">
        <f t="shared" si="248"/>
        <v>Closed</v>
      </c>
      <c r="D2940" s="27" t="s">
        <v>16646</v>
      </c>
      <c r="E2940" s="29" t="s">
        <v>16647</v>
      </c>
      <c r="F2940" s="30" t="s">
        <v>835</v>
      </c>
      <c r="G2940" s="72">
        <f>DATE(2019,7,16)</f>
        <v>43662</v>
      </c>
      <c r="H2940" s="80">
        <v>1.4756944444444444</v>
      </c>
      <c r="I2940" s="30" t="s">
        <v>73</v>
      </c>
      <c r="J2940" s="72" t="s">
        <v>16648</v>
      </c>
      <c r="K2940" s="30" t="s">
        <v>837</v>
      </c>
      <c r="L2940" s="30" t="s">
        <v>16649</v>
      </c>
      <c r="M2940" s="30" t="s">
        <v>63</v>
      </c>
      <c r="N2940" s="30" t="s">
        <v>99</v>
      </c>
      <c r="O2940" s="30" t="s">
        <v>77</v>
      </c>
      <c r="P2940" s="72" t="s">
        <v>165</v>
      </c>
      <c r="Q2940" s="72" t="s">
        <v>839</v>
      </c>
      <c r="R2940" s="72" t="s">
        <v>840</v>
      </c>
      <c r="S2940" s="30">
        <v>0</v>
      </c>
      <c r="T2940" s="232">
        <v>0</v>
      </c>
      <c r="U2940" s="30">
        <v>0</v>
      </c>
      <c r="V2940" s="232">
        <v>0</v>
      </c>
      <c r="W2940" s="30">
        <v>0</v>
      </c>
      <c r="X2940" s="30">
        <v>0</v>
      </c>
      <c r="Y2940" s="30">
        <v>0</v>
      </c>
      <c r="Z2940" s="232">
        <v>0</v>
      </c>
      <c r="AA2940" s="30">
        <v>0</v>
      </c>
      <c r="AB2940" s="30">
        <v>0</v>
      </c>
      <c r="AC2940" s="30">
        <v>0</v>
      </c>
      <c r="AD2940" s="30">
        <v>0</v>
      </c>
      <c r="AE2940" s="72" t="s">
        <v>92</v>
      </c>
      <c r="AF2940" s="72"/>
      <c r="AG2940" s="72" t="s">
        <v>352</v>
      </c>
      <c r="AH2940" s="72">
        <v>43662</v>
      </c>
      <c r="AI2940" s="30">
        <v>0</v>
      </c>
      <c r="AJ2940" s="72" t="s">
        <v>16650</v>
      </c>
      <c r="AK2940" s="72" t="s">
        <v>1233</v>
      </c>
      <c r="AL2940" s="70">
        <v>43663</v>
      </c>
      <c r="AM2940" s="70"/>
      <c r="AN2940" s="70"/>
      <c r="AO2940" s="70"/>
      <c r="AP2940" s="73" t="e">
        <f>MID(VLOOKUP(K2940,#REF!,2,FALSE),1,2)</f>
        <v>#REF!</v>
      </c>
      <c r="AQ2940" s="72">
        <f>DATE(2019,7,17)</f>
        <v>43663</v>
      </c>
      <c r="AR2940" s="83">
        <f t="shared" si="249"/>
        <v>17</v>
      </c>
      <c r="AS2940" s="84">
        <f t="shared" si="250"/>
        <v>7</v>
      </c>
      <c r="AT2940" s="86">
        <f t="shared" si="251"/>
        <v>2019</v>
      </c>
      <c r="AU2940" s="86"/>
      <c r="AV2940" s="87"/>
      <c r="AW2940" s="86"/>
      <c r="AX2940" s="83"/>
      <c r="AY2940" s="84"/>
      <c r="AZ2940" s="86"/>
      <c r="BA2940" s="86"/>
      <c r="BB2940" s="86"/>
      <c r="BD2940" s="68"/>
    </row>
    <row r="2941" spans="1:56" s="25" customFormat="1" ht="36.75" customHeight="1">
      <c r="A2941" s="30"/>
      <c r="B2941" s="30" t="s">
        <v>55</v>
      </c>
      <c r="C2941" s="69" t="str">
        <f t="shared" si="248"/>
        <v>Closed</v>
      </c>
      <c r="D2941" s="27" t="s">
        <v>16651</v>
      </c>
      <c r="E2941" s="29" t="s">
        <v>16652</v>
      </c>
      <c r="F2941" s="30" t="s">
        <v>5427</v>
      </c>
      <c r="G2941" s="72">
        <f>DATE(2019,7,16)</f>
        <v>43662</v>
      </c>
      <c r="H2941" s="80">
        <v>0</v>
      </c>
      <c r="I2941" s="30" t="s">
        <v>278</v>
      </c>
      <c r="J2941" s="72" t="s">
        <v>16653</v>
      </c>
      <c r="K2941" s="30" t="s">
        <v>596</v>
      </c>
      <c r="L2941" s="30" t="s">
        <v>16654</v>
      </c>
      <c r="M2941" s="30" t="s">
        <v>63</v>
      </c>
      <c r="N2941" s="30" t="s">
        <v>142</v>
      </c>
      <c r="O2941" s="30" t="s">
        <v>64</v>
      </c>
      <c r="P2941" s="72" t="s">
        <v>6902</v>
      </c>
      <c r="Q2941" s="72" t="s">
        <v>10529</v>
      </c>
      <c r="R2941" s="72" t="s">
        <v>12074</v>
      </c>
      <c r="S2941" s="30">
        <v>0</v>
      </c>
      <c r="T2941" s="232">
        <v>1</v>
      </c>
      <c r="U2941" s="30">
        <v>0</v>
      </c>
      <c r="V2941" s="232">
        <v>0</v>
      </c>
      <c r="W2941" s="30">
        <v>0</v>
      </c>
      <c r="X2941" s="30">
        <v>1</v>
      </c>
      <c r="Y2941" s="30">
        <v>0</v>
      </c>
      <c r="Z2941" s="232">
        <v>0</v>
      </c>
      <c r="AA2941" s="30">
        <v>0</v>
      </c>
      <c r="AB2941" s="30">
        <v>0</v>
      </c>
      <c r="AC2941" s="30">
        <v>0</v>
      </c>
      <c r="AD2941" s="30">
        <v>0</v>
      </c>
      <c r="AE2941" s="72" t="s">
        <v>92</v>
      </c>
      <c r="AF2941" s="72"/>
      <c r="AG2941" s="72" t="s">
        <v>82</v>
      </c>
      <c r="AH2941" s="72">
        <v>43624</v>
      </c>
      <c r="AI2941" s="30">
        <v>3</v>
      </c>
      <c r="AJ2941" s="72" t="s">
        <v>16655</v>
      </c>
      <c r="AK2941" s="72" t="s">
        <v>16656</v>
      </c>
      <c r="AL2941" s="70">
        <v>43778</v>
      </c>
      <c r="AM2941" s="70"/>
      <c r="AN2941" s="70"/>
      <c r="AO2941" s="70"/>
      <c r="AP2941" s="73" t="e">
        <f>MID(VLOOKUP(K2941,#REF!,2,FALSE),1,2)</f>
        <v>#REF!</v>
      </c>
      <c r="AQ2941" s="72">
        <f>DATE(2019,7,17)</f>
        <v>43663</v>
      </c>
      <c r="AR2941" s="83">
        <f t="shared" si="249"/>
        <v>17</v>
      </c>
      <c r="AS2941" s="84">
        <f t="shared" si="250"/>
        <v>7</v>
      </c>
      <c r="AT2941" s="86">
        <f t="shared" si="251"/>
        <v>2019</v>
      </c>
      <c r="AU2941" s="86"/>
      <c r="AV2941" s="87"/>
      <c r="AW2941" s="86"/>
      <c r="AX2941" s="83"/>
      <c r="AY2941" s="84"/>
      <c r="AZ2941" s="86"/>
      <c r="BA2941" s="86"/>
      <c r="BB2941" s="86"/>
      <c r="BD2941" s="68"/>
    </row>
    <row r="2942" spans="1:56" s="25" customFormat="1" ht="36.75" customHeight="1">
      <c r="A2942" s="30"/>
      <c r="B2942" s="30" t="s">
        <v>2124</v>
      </c>
      <c r="C2942" s="69" t="str">
        <f t="shared" si="248"/>
        <v>Open</v>
      </c>
      <c r="D2942" s="27" t="s">
        <v>16657</v>
      </c>
      <c r="E2942" s="29" t="s">
        <v>16658</v>
      </c>
      <c r="F2942" s="30" t="s">
        <v>594</v>
      </c>
      <c r="G2942" s="72">
        <f>DATE(2019,7,17)</f>
        <v>43663</v>
      </c>
      <c r="H2942" s="80">
        <v>0</v>
      </c>
      <c r="I2942" s="30" t="s">
        <v>73</v>
      </c>
      <c r="J2942" s="72" t="s">
        <v>16659</v>
      </c>
      <c r="K2942" s="30" t="s">
        <v>596</v>
      </c>
      <c r="L2942" s="30" t="s">
        <v>16660</v>
      </c>
      <c r="M2942" s="30" t="s">
        <v>63</v>
      </c>
      <c r="N2942" s="30" t="s">
        <v>142</v>
      </c>
      <c r="O2942" s="30" t="s">
        <v>64</v>
      </c>
      <c r="P2942" s="72" t="s">
        <v>78</v>
      </c>
      <c r="Q2942" s="72" t="s">
        <v>13142</v>
      </c>
      <c r="R2942" s="72" t="s">
        <v>12074</v>
      </c>
      <c r="S2942" s="30">
        <v>0</v>
      </c>
      <c r="T2942" s="232">
        <v>0</v>
      </c>
      <c r="U2942" s="30">
        <v>0</v>
      </c>
      <c r="V2942" s="232">
        <v>0</v>
      </c>
      <c r="W2942" s="30">
        <v>0</v>
      </c>
      <c r="X2942" s="30">
        <v>0</v>
      </c>
      <c r="Y2942" s="30">
        <v>0</v>
      </c>
      <c r="Z2942" s="232">
        <v>0</v>
      </c>
      <c r="AA2942" s="30">
        <v>0</v>
      </c>
      <c r="AB2942" s="30">
        <v>0</v>
      </c>
      <c r="AC2942" s="30">
        <v>0</v>
      </c>
      <c r="AD2942" s="30">
        <v>0</v>
      </c>
      <c r="AE2942" s="72" t="s">
        <v>92</v>
      </c>
      <c r="AF2942" s="72"/>
      <c r="AG2942" s="72" t="s">
        <v>133</v>
      </c>
      <c r="AH2942" s="72">
        <v>43676</v>
      </c>
      <c r="AI2942" s="30">
        <v>0</v>
      </c>
      <c r="AJ2942" s="72" t="s">
        <v>68</v>
      </c>
      <c r="AK2942" s="72" t="s">
        <v>68</v>
      </c>
      <c r="AL2942" s="70">
        <v>43778</v>
      </c>
      <c r="AM2942" s="70"/>
      <c r="AN2942" s="70"/>
      <c r="AO2942" s="70"/>
      <c r="AP2942" s="73" t="e">
        <f>MID(VLOOKUP(K2942,#REF!,2,FALSE),1,2)</f>
        <v>#REF!</v>
      </c>
      <c r="AQ2942" s="72">
        <f>DATE(2019,7,18)</f>
        <v>43664</v>
      </c>
      <c r="AR2942" s="83">
        <f t="shared" si="249"/>
        <v>18</v>
      </c>
      <c r="AS2942" s="83">
        <f t="shared" si="250"/>
        <v>7</v>
      </c>
      <c r="AT2942" s="120">
        <f t="shared" si="251"/>
        <v>2019</v>
      </c>
      <c r="AU2942" s="86"/>
      <c r="AV2942" s="86"/>
      <c r="AW2942" s="87"/>
      <c r="AX2942" s="104"/>
      <c r="AY2942" s="83"/>
      <c r="AZ2942" s="120"/>
      <c r="BA2942" s="86"/>
      <c r="BB2942" s="86"/>
      <c r="BD2942" s="68"/>
    </row>
    <row r="2943" spans="1:56" s="25" customFormat="1" ht="36.75" customHeight="1">
      <c r="A2943" s="30"/>
      <c r="B2943" s="30" t="s">
        <v>2124</v>
      </c>
      <c r="C2943" s="69" t="str">
        <f t="shared" si="248"/>
        <v>Open</v>
      </c>
      <c r="D2943" s="27" t="s">
        <v>16661</v>
      </c>
      <c r="E2943" s="29" t="s">
        <v>16662</v>
      </c>
      <c r="F2943" s="30" t="s">
        <v>594</v>
      </c>
      <c r="G2943" s="72">
        <f>DATE(2019,7,17)</f>
        <v>43663</v>
      </c>
      <c r="H2943" s="80">
        <v>0</v>
      </c>
      <c r="I2943" s="30" t="s">
        <v>2418</v>
      </c>
      <c r="J2943" s="72" t="s">
        <v>16663</v>
      </c>
      <c r="K2943" s="30" t="s">
        <v>596</v>
      </c>
      <c r="L2943" s="30" t="s">
        <v>16664</v>
      </c>
      <c r="M2943" s="30" t="s">
        <v>63</v>
      </c>
      <c r="N2943" s="30" t="s">
        <v>99</v>
      </c>
      <c r="O2943" s="30" t="s">
        <v>64</v>
      </c>
      <c r="P2943" s="72" t="s">
        <v>165</v>
      </c>
      <c r="Q2943" s="72" t="s">
        <v>10529</v>
      </c>
      <c r="R2943" s="72" t="s">
        <v>12074</v>
      </c>
      <c r="S2943" s="30">
        <v>0</v>
      </c>
      <c r="T2943" s="232">
        <v>0</v>
      </c>
      <c r="U2943" s="30">
        <v>0</v>
      </c>
      <c r="V2943" s="232">
        <v>0</v>
      </c>
      <c r="W2943" s="30">
        <v>0</v>
      </c>
      <c r="X2943" s="30">
        <v>0</v>
      </c>
      <c r="Y2943" s="30">
        <v>0</v>
      </c>
      <c r="Z2943" s="232">
        <v>0</v>
      </c>
      <c r="AA2943" s="30">
        <v>0</v>
      </c>
      <c r="AB2943" s="30">
        <v>0</v>
      </c>
      <c r="AC2943" s="30">
        <v>0</v>
      </c>
      <c r="AD2943" s="30">
        <v>0</v>
      </c>
      <c r="AE2943" s="72" t="s">
        <v>92</v>
      </c>
      <c r="AF2943" s="72"/>
      <c r="AG2943" s="72" t="s">
        <v>133</v>
      </c>
      <c r="AH2943" s="72">
        <v>43807</v>
      </c>
      <c r="AI2943" s="30">
        <v>0</v>
      </c>
      <c r="AJ2943" s="72" t="s">
        <v>68</v>
      </c>
      <c r="AK2943" s="72" t="s">
        <v>68</v>
      </c>
      <c r="AL2943" s="70">
        <v>43779</v>
      </c>
      <c r="AM2943" s="70"/>
      <c r="AN2943" s="70"/>
      <c r="AO2943" s="70"/>
      <c r="AP2943" s="73" t="e">
        <f>MID(VLOOKUP(K2943,#REF!,2,FALSE),1,2)</f>
        <v>#REF!</v>
      </c>
      <c r="AQ2943" s="72">
        <f>DATE(2019,7,21)</f>
        <v>43667</v>
      </c>
      <c r="AR2943" s="83">
        <f t="shared" si="249"/>
        <v>21</v>
      </c>
      <c r="AS2943" s="83">
        <f t="shared" si="250"/>
        <v>7</v>
      </c>
      <c r="AT2943" s="120">
        <f t="shared" si="251"/>
        <v>2019</v>
      </c>
      <c r="AU2943" s="86"/>
      <c r="AV2943" s="86"/>
      <c r="AW2943" s="87"/>
      <c r="AX2943" s="104"/>
      <c r="AY2943" s="83"/>
      <c r="AZ2943" s="120"/>
      <c r="BA2943" s="86"/>
      <c r="BB2943" s="86"/>
      <c r="BD2943" s="68"/>
    </row>
    <row r="2944" spans="1:56" s="25" customFormat="1" ht="36.75" customHeight="1">
      <c r="A2944" s="30"/>
      <c r="B2944" s="30" t="s">
        <v>55</v>
      </c>
      <c r="C2944" s="69" t="str">
        <f t="shared" si="248"/>
        <v>Closed</v>
      </c>
      <c r="D2944" s="27" t="s">
        <v>16665</v>
      </c>
      <c r="E2944" s="29" t="s">
        <v>16666</v>
      </c>
      <c r="F2944" s="30" t="s">
        <v>582</v>
      </c>
      <c r="G2944" s="72">
        <f>DATE(2019,7,18)</f>
        <v>43664</v>
      </c>
      <c r="H2944" s="80">
        <v>1.0340277777777778</v>
      </c>
      <c r="I2944" s="30" t="s">
        <v>198</v>
      </c>
      <c r="J2944" s="72" t="s">
        <v>16667</v>
      </c>
      <c r="K2944" s="30" t="s">
        <v>584</v>
      </c>
      <c r="L2944" s="30" t="s">
        <v>16668</v>
      </c>
      <c r="M2944" s="30" t="s">
        <v>63</v>
      </c>
      <c r="N2944" s="30" t="s">
        <v>142</v>
      </c>
      <c r="O2944" s="30" t="s">
        <v>77</v>
      </c>
      <c r="P2944" s="72" t="s">
        <v>78</v>
      </c>
      <c r="Q2944" s="72" t="s">
        <v>16669</v>
      </c>
      <c r="R2944" s="72" t="s">
        <v>587</v>
      </c>
      <c r="S2944" s="30">
        <v>0</v>
      </c>
      <c r="T2944" s="232">
        <v>0</v>
      </c>
      <c r="U2944" s="30">
        <v>0</v>
      </c>
      <c r="V2944" s="232">
        <v>0</v>
      </c>
      <c r="W2944" s="30">
        <v>0</v>
      </c>
      <c r="X2944" s="30">
        <v>0</v>
      </c>
      <c r="Y2944" s="30">
        <v>0</v>
      </c>
      <c r="Z2944" s="232">
        <v>0</v>
      </c>
      <c r="AA2944" s="30">
        <v>0</v>
      </c>
      <c r="AB2944" s="30">
        <v>0</v>
      </c>
      <c r="AC2944" s="30">
        <v>0</v>
      </c>
      <c r="AD2944" s="30">
        <v>0</v>
      </c>
      <c r="AE2944" s="72" t="s">
        <v>92</v>
      </c>
      <c r="AF2944" s="72"/>
      <c r="AG2944" s="72" t="s">
        <v>589</v>
      </c>
      <c r="AH2944" s="72">
        <v>43665</v>
      </c>
      <c r="AI2944" s="30">
        <v>0</v>
      </c>
      <c r="AJ2944" s="72" t="s">
        <v>16670</v>
      </c>
      <c r="AK2944" s="72" t="s">
        <v>1233</v>
      </c>
      <c r="AL2944" s="70">
        <v>43670</v>
      </c>
      <c r="AM2944" s="70"/>
      <c r="AN2944" s="70"/>
      <c r="AO2944" s="70"/>
      <c r="AP2944" s="73" t="e">
        <f>MID(VLOOKUP(K2944,#REF!,2,FALSE),1,2)</f>
        <v>#REF!</v>
      </c>
      <c r="AQ2944" s="72">
        <f>DATE(2019,7,23)</f>
        <v>43669</v>
      </c>
      <c r="AR2944" s="83">
        <f t="shared" si="249"/>
        <v>23</v>
      </c>
      <c r="AS2944" s="84">
        <f t="shared" si="250"/>
        <v>7</v>
      </c>
      <c r="AT2944" s="86">
        <f t="shared" si="251"/>
        <v>2019</v>
      </c>
      <c r="AU2944" s="86"/>
      <c r="AV2944" s="87"/>
      <c r="AW2944" s="86"/>
      <c r="AX2944" s="83"/>
      <c r="AY2944" s="84"/>
      <c r="AZ2944" s="86"/>
      <c r="BA2944" s="86"/>
      <c r="BB2944" s="86"/>
      <c r="BD2944" s="68"/>
    </row>
    <row r="2945" spans="1:56" s="25" customFormat="1" ht="36.75" customHeight="1">
      <c r="A2945" s="30"/>
      <c r="B2945" s="30" t="s">
        <v>55</v>
      </c>
      <c r="C2945" s="69" t="str">
        <f t="shared" si="248"/>
        <v>Closed</v>
      </c>
      <c r="D2945" s="27" t="s">
        <v>16671</v>
      </c>
      <c r="E2945" s="29" t="s">
        <v>16672</v>
      </c>
      <c r="F2945" s="30" t="s">
        <v>423</v>
      </c>
      <c r="G2945" s="72">
        <f>DATE(2019,7,21)</f>
        <v>43667</v>
      </c>
      <c r="H2945" s="80">
        <v>1.5763888888888888</v>
      </c>
      <c r="I2945" s="30" t="s">
        <v>156</v>
      </c>
      <c r="J2945" s="72" t="s">
        <v>16673</v>
      </c>
      <c r="K2945" s="30" t="s">
        <v>425</v>
      </c>
      <c r="L2945" s="30" t="s">
        <v>16674</v>
      </c>
      <c r="M2945" s="30" t="s">
        <v>255</v>
      </c>
      <c r="N2945" s="30" t="s">
        <v>142</v>
      </c>
      <c r="O2945" s="30" t="s">
        <v>64</v>
      </c>
      <c r="P2945" s="72" t="s">
        <v>6552</v>
      </c>
      <c r="Q2945" s="72" t="s">
        <v>6553</v>
      </c>
      <c r="R2945" s="72" t="s">
        <v>6554</v>
      </c>
      <c r="S2945" s="30">
        <v>0</v>
      </c>
      <c r="T2945" s="232">
        <v>0</v>
      </c>
      <c r="U2945" s="30">
        <v>0</v>
      </c>
      <c r="V2945" s="232">
        <v>0</v>
      </c>
      <c r="W2945" s="30">
        <v>1</v>
      </c>
      <c r="X2945" s="30">
        <v>1</v>
      </c>
      <c r="Y2945" s="30">
        <v>0</v>
      </c>
      <c r="Z2945" s="232">
        <v>0</v>
      </c>
      <c r="AA2945" s="30">
        <v>0</v>
      </c>
      <c r="AB2945" s="30">
        <v>0</v>
      </c>
      <c r="AC2945" s="30">
        <v>0</v>
      </c>
      <c r="AD2945" s="30">
        <v>0</v>
      </c>
      <c r="AE2945" s="72" t="s">
        <v>92</v>
      </c>
      <c r="AF2945" s="72"/>
      <c r="AG2945" s="72" t="s">
        <v>352</v>
      </c>
      <c r="AH2945" s="72">
        <v>43671</v>
      </c>
      <c r="AI2945" s="30">
        <v>2</v>
      </c>
      <c r="AJ2945" s="72" t="s">
        <v>16675</v>
      </c>
      <c r="AK2945" s="72" t="s">
        <v>16676</v>
      </c>
      <c r="AL2945" s="70">
        <v>43672</v>
      </c>
      <c r="AM2945" s="70"/>
      <c r="AN2945" s="70"/>
      <c r="AO2945" s="70"/>
      <c r="AP2945" s="73" t="e">
        <f>MID(VLOOKUP(K2945,#REF!,2,FALSE),1,2)</f>
        <v>#REF!</v>
      </c>
      <c r="AQ2945" s="72">
        <f>DATE(2019,7,24)</f>
        <v>43670</v>
      </c>
      <c r="AR2945" s="83">
        <f t="shared" si="249"/>
        <v>24</v>
      </c>
      <c r="AS2945" s="83">
        <f t="shared" si="250"/>
        <v>7</v>
      </c>
      <c r="AT2945" s="120">
        <f t="shared" si="251"/>
        <v>2019</v>
      </c>
      <c r="AU2945" s="86"/>
      <c r="AV2945" s="86"/>
      <c r="AW2945" s="87"/>
      <c r="AX2945" s="104"/>
      <c r="AY2945" s="83"/>
      <c r="AZ2945" s="120"/>
      <c r="BA2945" s="86"/>
      <c r="BB2945" s="86"/>
      <c r="BD2945" s="68"/>
    </row>
    <row r="2946" spans="1:56" ht="36.75" customHeight="1">
      <c r="A2946" s="30"/>
      <c r="B2946" s="30" t="s">
        <v>55</v>
      </c>
      <c r="C2946" s="69" t="str">
        <f t="shared" ref="C2946:C3009" si="252">IF(B2946="Notification","Open",IF(B2946="Interim Statement","In progress","Closed"))</f>
        <v>Closed</v>
      </c>
      <c r="D2946" s="27" t="s">
        <v>16677</v>
      </c>
      <c r="E2946" s="29" t="s">
        <v>16678</v>
      </c>
      <c r="F2946" s="30" t="s">
        <v>835</v>
      </c>
      <c r="G2946" s="72">
        <f>DATE(2019,7,23)</f>
        <v>43669</v>
      </c>
      <c r="H2946" s="80">
        <v>1.9479166666666665</v>
      </c>
      <c r="I2946" s="30" t="s">
        <v>73</v>
      </c>
      <c r="J2946" s="72" t="s">
        <v>16679</v>
      </c>
      <c r="K2946" s="30" t="s">
        <v>837</v>
      </c>
      <c r="L2946" s="30" t="s">
        <v>16680</v>
      </c>
      <c r="M2946" s="30" t="s">
        <v>63</v>
      </c>
      <c r="N2946" s="30" t="s">
        <v>142</v>
      </c>
      <c r="O2946" s="30" t="s">
        <v>77</v>
      </c>
      <c r="P2946" s="72" t="s">
        <v>78</v>
      </c>
      <c r="Q2946" s="72" t="s">
        <v>837</v>
      </c>
      <c r="R2946" s="72" t="s">
        <v>840</v>
      </c>
      <c r="S2946" s="30">
        <v>0</v>
      </c>
      <c r="T2946" s="232">
        <v>0</v>
      </c>
      <c r="U2946" s="30">
        <v>0</v>
      </c>
      <c r="V2946" s="232">
        <v>0</v>
      </c>
      <c r="W2946" s="30">
        <v>0</v>
      </c>
      <c r="X2946" s="30">
        <v>0</v>
      </c>
      <c r="Y2946" s="30">
        <v>0</v>
      </c>
      <c r="Z2946" s="232">
        <v>0</v>
      </c>
      <c r="AA2946" s="30">
        <v>0</v>
      </c>
      <c r="AB2946" s="30">
        <v>0</v>
      </c>
      <c r="AC2946" s="30">
        <v>0</v>
      </c>
      <c r="AD2946" s="30">
        <v>0</v>
      </c>
      <c r="AE2946" s="72" t="s">
        <v>92</v>
      </c>
      <c r="AF2946" s="72"/>
      <c r="AG2946" s="72" t="s">
        <v>16681</v>
      </c>
      <c r="AH2946" s="72">
        <v>43839</v>
      </c>
      <c r="AI2946" s="30">
        <v>0</v>
      </c>
      <c r="AJ2946" s="72" t="s">
        <v>16682</v>
      </c>
      <c r="AK2946" s="72" t="s">
        <v>16683</v>
      </c>
      <c r="AL2946" s="70">
        <v>43844</v>
      </c>
      <c r="AM2946" s="70"/>
      <c r="AN2946" s="70">
        <v>45012</v>
      </c>
      <c r="AO2946" s="70">
        <v>44138</v>
      </c>
      <c r="AP2946" s="73" t="e">
        <f>MID(VLOOKUP(K2946,#REF!,2,FALSE),1,2)</f>
        <v>#REF!</v>
      </c>
      <c r="AQ2946" s="72">
        <f>DATE(2019,7,25)</f>
        <v>43671</v>
      </c>
      <c r="AR2946" s="83">
        <f t="shared" si="249"/>
        <v>25</v>
      </c>
      <c r="AS2946" s="83">
        <f t="shared" si="250"/>
        <v>7</v>
      </c>
      <c r="AT2946" s="120">
        <f t="shared" si="251"/>
        <v>2019</v>
      </c>
      <c r="AU2946" s="86"/>
      <c r="AV2946" s="86"/>
      <c r="AW2946" s="87"/>
      <c r="AX2946" s="104"/>
      <c r="AY2946" s="83"/>
      <c r="AZ2946" s="120"/>
      <c r="BA2946" s="86"/>
      <c r="BB2946" s="86"/>
    </row>
    <row r="2947" spans="1:56" ht="36.75" customHeight="1">
      <c r="A2947" s="98" t="s">
        <v>4910</v>
      </c>
      <c r="B2947" s="30" t="s">
        <v>55</v>
      </c>
      <c r="C2947" s="69" t="str">
        <f t="shared" si="252"/>
        <v>Closed</v>
      </c>
      <c r="D2947" s="27" t="s">
        <v>16684</v>
      </c>
      <c r="E2947" s="29" t="s">
        <v>16685</v>
      </c>
      <c r="F2947" s="30" t="s">
        <v>423</v>
      </c>
      <c r="G2947" s="72">
        <f>DATE(2019,7,24)</f>
        <v>43670</v>
      </c>
      <c r="H2947" s="80">
        <v>1.1930555555555555</v>
      </c>
      <c r="I2947" s="30" t="s">
        <v>156</v>
      </c>
      <c r="J2947" s="72" t="s">
        <v>16686</v>
      </c>
      <c r="K2947" s="30" t="s">
        <v>425</v>
      </c>
      <c r="L2947" s="30" t="s">
        <v>16687</v>
      </c>
      <c r="M2947" s="30" t="s">
        <v>63</v>
      </c>
      <c r="N2947" s="30" t="s">
        <v>99</v>
      </c>
      <c r="O2947" s="30" t="s">
        <v>64</v>
      </c>
      <c r="P2947" s="72" t="s">
        <v>165</v>
      </c>
      <c r="Q2947" s="72" t="s">
        <v>4551</v>
      </c>
      <c r="R2947" s="72" t="s">
        <v>3103</v>
      </c>
      <c r="S2947" s="30">
        <v>0</v>
      </c>
      <c r="T2947" s="232">
        <v>0</v>
      </c>
      <c r="U2947" s="30">
        <v>0</v>
      </c>
      <c r="V2947" s="232">
        <v>0</v>
      </c>
      <c r="W2947" s="30">
        <v>0</v>
      </c>
      <c r="X2947" s="30">
        <v>0</v>
      </c>
      <c r="Y2947" s="30">
        <v>0</v>
      </c>
      <c r="Z2947" s="232">
        <v>0</v>
      </c>
      <c r="AA2947" s="30">
        <v>0</v>
      </c>
      <c r="AB2947" s="30">
        <v>0</v>
      </c>
      <c r="AC2947" s="30">
        <v>0</v>
      </c>
      <c r="AD2947" s="30">
        <v>0</v>
      </c>
      <c r="AE2947" s="72" t="s">
        <v>92</v>
      </c>
      <c r="AF2947" s="72"/>
      <c r="AG2947" s="72" t="s">
        <v>352</v>
      </c>
      <c r="AH2947" s="72">
        <v>43670</v>
      </c>
      <c r="AI2947" s="30">
        <v>2</v>
      </c>
      <c r="AJ2947" s="72" t="s">
        <v>68</v>
      </c>
      <c r="AK2947" s="72" t="s">
        <v>68</v>
      </c>
      <c r="AL2947" s="70">
        <v>43672</v>
      </c>
      <c r="AM2947" s="70"/>
      <c r="AN2947" s="70"/>
      <c r="AO2947" s="70"/>
      <c r="AP2947" s="73" t="e">
        <f>MID(VLOOKUP(K2947,#REF!,2,FALSE),1,2)</f>
        <v>#REF!</v>
      </c>
      <c r="AQ2947" s="72">
        <f>DATE(2019,7,26)</f>
        <v>43672</v>
      </c>
      <c r="AR2947" s="83">
        <f t="shared" si="249"/>
        <v>26</v>
      </c>
      <c r="AS2947" s="84">
        <f t="shared" si="250"/>
        <v>7</v>
      </c>
      <c r="AT2947" s="86">
        <f t="shared" si="251"/>
        <v>2019</v>
      </c>
      <c r="AU2947" s="86"/>
      <c r="AV2947" s="87"/>
      <c r="AW2947" s="86"/>
      <c r="AX2947" s="83"/>
      <c r="AY2947" s="84"/>
      <c r="AZ2947" s="86"/>
      <c r="BA2947" s="86"/>
      <c r="BB2947" s="86"/>
    </row>
    <row r="2948" spans="1:56" ht="36.75" customHeight="1">
      <c r="A2948" s="30"/>
      <c r="B2948" s="30" t="s">
        <v>55</v>
      </c>
      <c r="C2948" s="69" t="str">
        <f t="shared" si="252"/>
        <v>Closed</v>
      </c>
      <c r="D2948" s="27" t="s">
        <v>16688</v>
      </c>
      <c r="E2948" s="29" t="s">
        <v>16689</v>
      </c>
      <c r="F2948" s="30" t="s">
        <v>124</v>
      </c>
      <c r="G2948" s="72">
        <f>DATE(2019,7,25)</f>
        <v>43671</v>
      </c>
      <c r="H2948" s="80">
        <v>1.7270833333333333</v>
      </c>
      <c r="I2948" s="30" t="s">
        <v>73</v>
      </c>
      <c r="J2948" s="72" t="s">
        <v>16690</v>
      </c>
      <c r="K2948" s="30" t="s">
        <v>127</v>
      </c>
      <c r="L2948" s="30" t="s">
        <v>16691</v>
      </c>
      <c r="M2948" s="30" t="s">
        <v>63</v>
      </c>
      <c r="N2948" s="30" t="s">
        <v>99</v>
      </c>
      <c r="O2948" s="30" t="s">
        <v>64</v>
      </c>
      <c r="P2948" s="72" t="s">
        <v>78</v>
      </c>
      <c r="Q2948" s="72" t="s">
        <v>401</v>
      </c>
      <c r="R2948" s="72" t="s">
        <v>167</v>
      </c>
      <c r="S2948" s="30">
        <v>0</v>
      </c>
      <c r="T2948" s="232">
        <v>0</v>
      </c>
      <c r="U2948" s="30">
        <v>0</v>
      </c>
      <c r="V2948" s="232">
        <v>0</v>
      </c>
      <c r="W2948" s="30">
        <v>0</v>
      </c>
      <c r="X2948" s="30">
        <v>0</v>
      </c>
      <c r="Y2948" s="30">
        <v>0</v>
      </c>
      <c r="Z2948" s="232">
        <v>0</v>
      </c>
      <c r="AA2948" s="30">
        <v>0</v>
      </c>
      <c r="AB2948" s="30">
        <v>0</v>
      </c>
      <c r="AC2948" s="30">
        <v>0</v>
      </c>
      <c r="AD2948" s="30">
        <v>0</v>
      </c>
      <c r="AE2948" s="72" t="s">
        <v>394</v>
      </c>
      <c r="AF2948" s="72"/>
      <c r="AG2948" s="72" t="s">
        <v>82</v>
      </c>
      <c r="AH2948" s="72">
        <v>43675</v>
      </c>
      <c r="AI2948" s="30">
        <v>1</v>
      </c>
      <c r="AJ2948" s="72" t="s">
        <v>16692</v>
      </c>
      <c r="AK2948" s="72" t="s">
        <v>16693</v>
      </c>
      <c r="AL2948" s="70">
        <v>43676</v>
      </c>
      <c r="AM2948" s="70"/>
      <c r="AN2948" s="72"/>
      <c r="AO2948" s="72"/>
      <c r="AP2948" s="73" t="e">
        <f>MID(VLOOKUP(K2948,#REF!,2,FALSE),1,2)</f>
        <v>#REF!</v>
      </c>
      <c r="AQ2948" s="72">
        <f>DATE(2019,7,26)</f>
        <v>43672</v>
      </c>
      <c r="AR2948" s="83">
        <f t="shared" si="249"/>
        <v>26</v>
      </c>
      <c r="AS2948" s="84">
        <f t="shared" si="250"/>
        <v>7</v>
      </c>
      <c r="AT2948" s="86">
        <f t="shared" si="251"/>
        <v>2019</v>
      </c>
      <c r="AU2948" s="86"/>
      <c r="AV2948" s="87"/>
      <c r="AW2948" s="86"/>
      <c r="AX2948" s="83"/>
      <c r="AY2948" s="84"/>
      <c r="AZ2948" s="86"/>
      <c r="BA2948" s="86"/>
      <c r="BB2948" s="86"/>
    </row>
    <row r="2949" spans="1:56" ht="36.75" customHeight="1">
      <c r="A2949" s="30"/>
      <c r="B2949" s="30" t="s">
        <v>55</v>
      </c>
      <c r="C2949" s="69" t="str">
        <f t="shared" si="252"/>
        <v>Closed</v>
      </c>
      <c r="D2949" s="27" t="s">
        <v>16694</v>
      </c>
      <c r="E2949" s="29" t="s">
        <v>16695</v>
      </c>
      <c r="F2949" s="30" t="s">
        <v>115</v>
      </c>
      <c r="G2949" s="72">
        <f>DATE(2019,7,26)</f>
        <v>43672</v>
      </c>
      <c r="H2949" s="80">
        <v>1.6944444444444446</v>
      </c>
      <c r="I2949" s="30" t="s">
        <v>86</v>
      </c>
      <c r="J2949" s="72" t="s">
        <v>16696</v>
      </c>
      <c r="K2949" s="30" t="s">
        <v>118</v>
      </c>
      <c r="L2949" s="30" t="s">
        <v>16697</v>
      </c>
      <c r="M2949" s="30" t="s">
        <v>63</v>
      </c>
      <c r="N2949" s="30" t="s">
        <v>142</v>
      </c>
      <c r="O2949" s="30" t="s">
        <v>64</v>
      </c>
      <c r="P2949" s="72" t="s">
        <v>78</v>
      </c>
      <c r="Q2949" s="72" t="s">
        <v>16698</v>
      </c>
      <c r="R2949" s="72" t="s">
        <v>121</v>
      </c>
      <c r="S2949" s="30">
        <v>0</v>
      </c>
      <c r="T2949" s="232">
        <v>0</v>
      </c>
      <c r="U2949" s="30">
        <v>0</v>
      </c>
      <c r="V2949" s="232">
        <v>0</v>
      </c>
      <c r="W2949" s="30">
        <v>0</v>
      </c>
      <c r="X2949" s="30">
        <v>0</v>
      </c>
      <c r="Y2949" s="30">
        <v>0</v>
      </c>
      <c r="Z2949" s="232">
        <v>0</v>
      </c>
      <c r="AA2949" s="30">
        <v>0</v>
      </c>
      <c r="AB2949" s="30">
        <v>0</v>
      </c>
      <c r="AC2949" s="30">
        <v>0</v>
      </c>
      <c r="AD2949" s="30">
        <v>0</v>
      </c>
      <c r="AE2949" s="72" t="s">
        <v>394</v>
      </c>
      <c r="AF2949" s="72"/>
      <c r="AG2949" s="72" t="s">
        <v>133</v>
      </c>
      <c r="AH2949" s="72">
        <v>43679</v>
      </c>
      <c r="AI2949" s="30">
        <v>4</v>
      </c>
      <c r="AJ2949" s="72" t="s">
        <v>16699</v>
      </c>
      <c r="AK2949" s="72" t="s">
        <v>68</v>
      </c>
      <c r="AL2949" s="70">
        <v>43710</v>
      </c>
      <c r="AM2949" s="70"/>
      <c r="AN2949" s="70"/>
      <c r="AO2949" s="70"/>
      <c r="AP2949" s="73" t="e">
        <f>MID(VLOOKUP(K2949,#REF!,2,FALSE),1,2)</f>
        <v>#REF!</v>
      </c>
      <c r="AQ2949" s="72">
        <f>DATE(2019,7,28)</f>
        <v>43674</v>
      </c>
      <c r="AR2949" s="83">
        <f t="shared" si="249"/>
        <v>28</v>
      </c>
      <c r="AS2949" s="83">
        <f t="shared" si="250"/>
        <v>7</v>
      </c>
      <c r="AT2949" s="120">
        <f t="shared" si="251"/>
        <v>2019</v>
      </c>
      <c r="AU2949" s="86"/>
      <c r="AV2949" s="86"/>
      <c r="AW2949" s="87"/>
      <c r="AX2949" s="104"/>
      <c r="AY2949" s="83"/>
      <c r="AZ2949" s="120"/>
      <c r="BA2949" s="86"/>
      <c r="BB2949" s="86"/>
    </row>
    <row r="2950" spans="1:56" ht="36.75" customHeight="1">
      <c r="A2950" s="30"/>
      <c r="B2950" s="30" t="s">
        <v>55</v>
      </c>
      <c r="C2950" s="69" t="str">
        <f t="shared" si="252"/>
        <v>Closed</v>
      </c>
      <c r="D2950" s="27" t="s">
        <v>16700</v>
      </c>
      <c r="E2950" s="29" t="s">
        <v>16701</v>
      </c>
      <c r="F2950" s="30" t="s">
        <v>16702</v>
      </c>
      <c r="G2950" s="72">
        <f>DATE(2019,7,26)</f>
        <v>43672</v>
      </c>
      <c r="H2950" s="80">
        <v>1.1791666666666667</v>
      </c>
      <c r="I2950" s="30" t="s">
        <v>6872</v>
      </c>
      <c r="J2950" s="72" t="s">
        <v>16703</v>
      </c>
      <c r="K2950" s="30" t="s">
        <v>596</v>
      </c>
      <c r="L2950" s="30" t="s">
        <v>16704</v>
      </c>
      <c r="M2950" s="30" t="s">
        <v>63</v>
      </c>
      <c r="N2950" s="30" t="s">
        <v>99</v>
      </c>
      <c r="O2950" s="30" t="s">
        <v>64</v>
      </c>
      <c r="P2950" s="72" t="s">
        <v>78</v>
      </c>
      <c r="Q2950" s="72" t="s">
        <v>13142</v>
      </c>
      <c r="R2950" s="72" t="s">
        <v>12074</v>
      </c>
      <c r="S2950" s="30">
        <v>0</v>
      </c>
      <c r="T2950" s="232">
        <v>0</v>
      </c>
      <c r="U2950" s="30">
        <v>0</v>
      </c>
      <c r="V2950" s="232">
        <v>0</v>
      </c>
      <c r="W2950" s="30">
        <v>0</v>
      </c>
      <c r="X2950" s="30">
        <v>0</v>
      </c>
      <c r="Y2950" s="30">
        <v>0</v>
      </c>
      <c r="Z2950" s="232">
        <v>0</v>
      </c>
      <c r="AA2950" s="30">
        <v>0</v>
      </c>
      <c r="AB2950" s="30">
        <v>0</v>
      </c>
      <c r="AC2950" s="30">
        <v>0</v>
      </c>
      <c r="AD2950" s="30">
        <v>0</v>
      </c>
      <c r="AE2950" s="72" t="s">
        <v>92</v>
      </c>
      <c r="AF2950" s="72" t="s">
        <v>7019</v>
      </c>
      <c r="AG2950" s="72" t="s">
        <v>8859</v>
      </c>
      <c r="AH2950" s="72">
        <v>43774</v>
      </c>
      <c r="AI2950" s="30">
        <v>3</v>
      </c>
      <c r="AJ2950" s="72" t="s">
        <v>16705</v>
      </c>
      <c r="AK2950" s="72" t="s">
        <v>16706</v>
      </c>
      <c r="AL2950" s="70">
        <v>43785</v>
      </c>
      <c r="AM2950" s="70"/>
      <c r="AN2950" s="70">
        <v>44755</v>
      </c>
      <c r="AO2950" s="70">
        <v>44754</v>
      </c>
      <c r="AP2950" s="73" t="e">
        <f>MID(VLOOKUP(K2950,#REF!,2,FALSE),1,2)</f>
        <v>#REF!</v>
      </c>
      <c r="AQ2950" s="72">
        <f>DATE(2019,7,30)</f>
        <v>43676</v>
      </c>
      <c r="AR2950" s="83">
        <f t="shared" si="249"/>
        <v>30</v>
      </c>
      <c r="AS2950" s="83">
        <f t="shared" si="250"/>
        <v>7</v>
      </c>
      <c r="AT2950" s="120">
        <f t="shared" si="251"/>
        <v>2019</v>
      </c>
      <c r="AU2950" s="86"/>
      <c r="AV2950" s="86"/>
      <c r="AW2950" s="87"/>
      <c r="AX2950" s="104"/>
      <c r="AY2950" s="83"/>
      <c r="AZ2950" s="120"/>
      <c r="BA2950" s="86"/>
      <c r="BB2950" s="86"/>
    </row>
    <row r="2951" spans="1:56" ht="36.75" customHeight="1">
      <c r="A2951" s="30"/>
      <c r="B2951" s="30" t="s">
        <v>55</v>
      </c>
      <c r="C2951" s="69" t="str">
        <f t="shared" si="252"/>
        <v>Closed</v>
      </c>
      <c r="D2951" s="27" t="s">
        <v>16707</v>
      </c>
      <c r="E2951" s="29" t="s">
        <v>16708</v>
      </c>
      <c r="F2951" s="30" t="s">
        <v>423</v>
      </c>
      <c r="G2951" s="72">
        <f>DATE(2019,7,28)</f>
        <v>43674</v>
      </c>
      <c r="H2951" s="80">
        <v>1.6888888888888891</v>
      </c>
      <c r="I2951" s="30" t="s">
        <v>73</v>
      </c>
      <c r="J2951" s="72" t="s">
        <v>16709</v>
      </c>
      <c r="K2951" s="30" t="s">
        <v>425</v>
      </c>
      <c r="L2951" s="30" t="s">
        <v>16710</v>
      </c>
      <c r="M2951" s="30" t="s">
        <v>63</v>
      </c>
      <c r="N2951" s="30" t="s">
        <v>99</v>
      </c>
      <c r="O2951" s="30" t="s">
        <v>64</v>
      </c>
      <c r="P2951" s="72" t="s">
        <v>78</v>
      </c>
      <c r="Q2951" s="72" t="s">
        <v>2582</v>
      </c>
      <c r="R2951" s="72" t="s">
        <v>3103</v>
      </c>
      <c r="S2951" s="30">
        <v>0</v>
      </c>
      <c r="T2951" s="232">
        <v>0</v>
      </c>
      <c r="U2951" s="30">
        <v>0</v>
      </c>
      <c r="V2951" s="232">
        <v>0</v>
      </c>
      <c r="W2951" s="30">
        <v>0</v>
      </c>
      <c r="X2951" s="30">
        <v>0</v>
      </c>
      <c r="Y2951" s="30">
        <v>0</v>
      </c>
      <c r="Z2951" s="232">
        <v>0</v>
      </c>
      <c r="AA2951" s="30">
        <v>0</v>
      </c>
      <c r="AB2951" s="30">
        <v>0</v>
      </c>
      <c r="AC2951" s="30">
        <v>0</v>
      </c>
      <c r="AD2951" s="30">
        <v>0</v>
      </c>
      <c r="AE2951" s="72" t="s">
        <v>394</v>
      </c>
      <c r="AF2951" s="72"/>
      <c r="AG2951" s="72" t="s">
        <v>82</v>
      </c>
      <c r="AH2951" s="72">
        <v>43674</v>
      </c>
      <c r="AI2951" s="30">
        <v>1</v>
      </c>
      <c r="AJ2951" s="72" t="s">
        <v>16711</v>
      </c>
      <c r="AK2951" s="72" t="s">
        <v>16712</v>
      </c>
      <c r="AL2951" s="70">
        <v>43676</v>
      </c>
      <c r="AM2951" s="70"/>
      <c r="AN2951" s="70"/>
      <c r="AO2951" s="70"/>
      <c r="AP2951" s="73" t="e">
        <f>MID(VLOOKUP(K2951,#REF!,2,FALSE),1,2)</f>
        <v>#REF!</v>
      </c>
      <c r="AQ2951" s="72">
        <f>DATE(2019,7,30)</f>
        <v>43676</v>
      </c>
      <c r="AR2951" s="83">
        <f t="shared" si="249"/>
        <v>30</v>
      </c>
      <c r="AS2951" s="83">
        <f t="shared" si="250"/>
        <v>7</v>
      </c>
      <c r="AT2951" s="120">
        <f t="shared" si="251"/>
        <v>2019</v>
      </c>
      <c r="AU2951" s="86"/>
      <c r="AV2951" s="86"/>
      <c r="AW2951" s="87"/>
      <c r="AX2951" s="104"/>
      <c r="AY2951" s="83"/>
      <c r="AZ2951" s="120"/>
      <c r="BA2951" s="86"/>
      <c r="BB2951" s="86"/>
    </row>
    <row r="2952" spans="1:56" ht="36.75" customHeight="1">
      <c r="A2952" s="30"/>
      <c r="B2952" s="30" t="s">
        <v>55</v>
      </c>
      <c r="C2952" s="69" t="str">
        <f t="shared" si="252"/>
        <v>Closed</v>
      </c>
      <c r="D2952" s="27" t="s">
        <v>16713</v>
      </c>
      <c r="E2952" s="29" t="s">
        <v>16714</v>
      </c>
      <c r="F2952" s="30" t="s">
        <v>423</v>
      </c>
      <c r="G2952" s="72">
        <f>DATE(2019,7,30)</f>
        <v>43676</v>
      </c>
      <c r="H2952" s="80">
        <v>1.7576388888888888</v>
      </c>
      <c r="I2952" s="30" t="s">
        <v>116</v>
      </c>
      <c r="J2952" s="72" t="s">
        <v>16715</v>
      </c>
      <c r="K2952" s="30" t="s">
        <v>425</v>
      </c>
      <c r="L2952" s="30" t="s">
        <v>16716</v>
      </c>
      <c r="M2952" s="30" t="s">
        <v>63</v>
      </c>
      <c r="N2952" s="30" t="s">
        <v>99</v>
      </c>
      <c r="O2952" s="30" t="s">
        <v>64</v>
      </c>
      <c r="P2952" s="72" t="s">
        <v>165</v>
      </c>
      <c r="Q2952" s="72" t="s">
        <v>4551</v>
      </c>
      <c r="R2952" s="72" t="s">
        <v>3103</v>
      </c>
      <c r="S2952" s="30">
        <v>0</v>
      </c>
      <c r="T2952" s="232">
        <v>0</v>
      </c>
      <c r="U2952" s="30">
        <v>0</v>
      </c>
      <c r="V2952" s="232">
        <v>0</v>
      </c>
      <c r="W2952" s="30">
        <v>0</v>
      </c>
      <c r="X2952" s="30">
        <v>0</v>
      </c>
      <c r="Y2952" s="30">
        <v>0</v>
      </c>
      <c r="Z2952" s="232">
        <v>0</v>
      </c>
      <c r="AA2952" s="30">
        <v>0</v>
      </c>
      <c r="AB2952" s="30">
        <v>0</v>
      </c>
      <c r="AC2952" s="30">
        <v>0</v>
      </c>
      <c r="AD2952" s="30">
        <v>0</v>
      </c>
      <c r="AE2952" s="72" t="s">
        <v>394</v>
      </c>
      <c r="AF2952" s="72"/>
      <c r="AG2952" s="72" t="s">
        <v>82</v>
      </c>
      <c r="AH2952" s="72">
        <v>43676</v>
      </c>
      <c r="AI2952" s="30">
        <v>1</v>
      </c>
      <c r="AJ2952" s="72" t="s">
        <v>16717</v>
      </c>
      <c r="AK2952" s="72" t="s">
        <v>16718</v>
      </c>
      <c r="AL2952" s="70">
        <v>43677</v>
      </c>
      <c r="AM2952" s="70"/>
      <c r="AN2952" s="70"/>
      <c r="AO2952" s="70"/>
      <c r="AP2952" s="73" t="e">
        <f>MID(VLOOKUP(K2952,#REF!,2,FALSE),1,2)</f>
        <v>#REF!</v>
      </c>
      <c r="AQ2952" s="72">
        <f>DATE(2019,7,31)</f>
        <v>43677</v>
      </c>
      <c r="AR2952" s="83">
        <f t="shared" si="249"/>
        <v>31</v>
      </c>
      <c r="AS2952" s="83">
        <f t="shared" si="250"/>
        <v>7</v>
      </c>
      <c r="AT2952" s="120">
        <f t="shared" si="251"/>
        <v>2019</v>
      </c>
      <c r="AU2952" s="86"/>
      <c r="AV2952" s="86"/>
      <c r="AW2952" s="87"/>
      <c r="AX2952" s="104"/>
      <c r="AY2952" s="83"/>
      <c r="AZ2952" s="120"/>
      <c r="BA2952" s="86"/>
      <c r="BB2952" s="86"/>
    </row>
    <row r="2953" spans="1:56" ht="36.75" customHeight="1">
      <c r="A2953" s="30"/>
      <c r="B2953" s="30" t="s">
        <v>55</v>
      </c>
      <c r="C2953" s="69" t="str">
        <f t="shared" si="252"/>
        <v>Closed</v>
      </c>
      <c r="D2953" s="27" t="s">
        <v>16719</v>
      </c>
      <c r="E2953" s="29" t="s">
        <v>16720</v>
      </c>
      <c r="F2953" s="30" t="s">
        <v>2336</v>
      </c>
      <c r="G2953" s="72">
        <f>DATE(2019,7,30)</f>
        <v>43676</v>
      </c>
      <c r="H2953" s="80">
        <v>1.7076388888888889</v>
      </c>
      <c r="I2953" s="30" t="s">
        <v>2078</v>
      </c>
      <c r="J2953" s="72" t="s">
        <v>16721</v>
      </c>
      <c r="K2953" s="30" t="s">
        <v>2338</v>
      </c>
      <c r="L2953" s="30" t="s">
        <v>16722</v>
      </c>
      <c r="M2953" s="30" t="s">
        <v>63</v>
      </c>
      <c r="N2953" s="30" t="s">
        <v>142</v>
      </c>
      <c r="O2953" s="30" t="s">
        <v>64</v>
      </c>
      <c r="P2953" s="72" t="s">
        <v>2931</v>
      </c>
      <c r="Q2953" s="72" t="s">
        <v>16723</v>
      </c>
      <c r="R2953" s="72" t="s">
        <v>2341</v>
      </c>
      <c r="S2953" s="30">
        <v>0</v>
      </c>
      <c r="T2953" s="232">
        <v>0</v>
      </c>
      <c r="U2953" s="30">
        <v>0</v>
      </c>
      <c r="V2953" s="232">
        <v>0</v>
      </c>
      <c r="W2953" s="30">
        <v>0</v>
      </c>
      <c r="X2953" s="30">
        <v>0</v>
      </c>
      <c r="Y2953" s="30">
        <v>0</v>
      </c>
      <c r="Z2953" s="232">
        <v>0</v>
      </c>
      <c r="AA2953" s="30">
        <v>0</v>
      </c>
      <c r="AB2953" s="30">
        <v>0</v>
      </c>
      <c r="AC2953" s="30">
        <v>0</v>
      </c>
      <c r="AD2953" s="30">
        <v>0</v>
      </c>
      <c r="AE2953" s="72" t="s">
        <v>92</v>
      </c>
      <c r="AF2953" s="72"/>
      <c r="AG2953" s="72" t="s">
        <v>11442</v>
      </c>
      <c r="AH2953" s="72">
        <v>43679</v>
      </c>
      <c r="AI2953" s="30">
        <v>8</v>
      </c>
      <c r="AJ2953" s="72" t="s">
        <v>16724</v>
      </c>
      <c r="AK2953" s="72" t="s">
        <v>16725</v>
      </c>
      <c r="AL2953" s="70">
        <v>43682</v>
      </c>
      <c r="AM2953" s="70"/>
      <c r="AN2953" s="70"/>
      <c r="AO2953" s="70"/>
      <c r="AP2953" s="73" t="e">
        <f>MID(VLOOKUP(K2953,#REF!,2,FALSE),1,2)</f>
        <v>#REF!</v>
      </c>
      <c r="AQ2953" s="72">
        <f>DATE(2019,7,31)</f>
        <v>43677</v>
      </c>
      <c r="AR2953" s="83">
        <f t="shared" si="249"/>
        <v>31</v>
      </c>
      <c r="AS2953" s="83">
        <f t="shared" si="250"/>
        <v>7</v>
      </c>
      <c r="AT2953" s="120">
        <f t="shared" si="251"/>
        <v>2019</v>
      </c>
      <c r="AU2953" s="86"/>
      <c r="AV2953" s="86"/>
      <c r="AW2953" s="87"/>
      <c r="AX2953" s="104"/>
      <c r="AY2953" s="83"/>
      <c r="AZ2953" s="120"/>
      <c r="BA2953" s="86"/>
      <c r="BB2953" s="86"/>
    </row>
    <row r="2954" spans="1:56" ht="36.75" customHeight="1">
      <c r="A2954" s="30"/>
      <c r="B2954" s="30" t="s">
        <v>55</v>
      </c>
      <c r="C2954" s="69" t="str">
        <f t="shared" si="252"/>
        <v>Closed</v>
      </c>
      <c r="D2954" s="27" t="s">
        <v>16726</v>
      </c>
      <c r="E2954" s="29" t="s">
        <v>16727</v>
      </c>
      <c r="F2954" s="30" t="s">
        <v>124</v>
      </c>
      <c r="G2954" s="72">
        <f>DATE(2019,7,31)</f>
        <v>43677</v>
      </c>
      <c r="H2954" s="80">
        <v>0</v>
      </c>
      <c r="I2954" s="30" t="s">
        <v>198</v>
      </c>
      <c r="J2954" s="72" t="s">
        <v>16728</v>
      </c>
      <c r="K2954" s="30" t="s">
        <v>127</v>
      </c>
      <c r="L2954" s="30" t="s">
        <v>16729</v>
      </c>
      <c r="M2954" s="30" t="s">
        <v>63</v>
      </c>
      <c r="N2954" s="30" t="s">
        <v>142</v>
      </c>
      <c r="O2954" s="30" t="s">
        <v>77</v>
      </c>
      <c r="P2954" s="72" t="s">
        <v>165</v>
      </c>
      <c r="Q2954" s="72" t="s">
        <v>229</v>
      </c>
      <c r="R2954" s="72" t="s">
        <v>167</v>
      </c>
      <c r="S2954" s="30">
        <v>0</v>
      </c>
      <c r="T2954" s="232">
        <v>0</v>
      </c>
      <c r="U2954" s="30">
        <v>0</v>
      </c>
      <c r="V2954" s="232">
        <v>0</v>
      </c>
      <c r="W2954" s="30">
        <v>0</v>
      </c>
      <c r="X2954" s="30">
        <v>0</v>
      </c>
      <c r="Y2954" s="30">
        <v>0</v>
      </c>
      <c r="Z2954" s="232">
        <v>0</v>
      </c>
      <c r="AA2954" s="30">
        <v>0</v>
      </c>
      <c r="AB2954" s="30">
        <v>0</v>
      </c>
      <c r="AC2954" s="30">
        <v>0</v>
      </c>
      <c r="AD2954" s="30">
        <v>0</v>
      </c>
      <c r="AE2954" s="72" t="s">
        <v>92</v>
      </c>
      <c r="AF2954" s="72"/>
      <c r="AG2954" s="72" t="s">
        <v>133</v>
      </c>
      <c r="AH2954" s="72">
        <v>43679</v>
      </c>
      <c r="AI2954" s="30">
        <v>2</v>
      </c>
      <c r="AJ2954" s="72" t="s">
        <v>16730</v>
      </c>
      <c r="AK2954" s="72" t="s">
        <v>16731</v>
      </c>
      <c r="AL2954" s="70">
        <v>43679</v>
      </c>
      <c r="AM2954" s="70"/>
      <c r="AN2954" s="70"/>
      <c r="AO2954" s="70"/>
      <c r="AP2954" s="73" t="e">
        <f>MID(VLOOKUP(K2954,#REF!,2,FALSE),1,2)</f>
        <v>#REF!</v>
      </c>
      <c r="AQ2954" s="72">
        <f>DATE(2019,8,1)</f>
        <v>43678</v>
      </c>
      <c r="AR2954" s="83">
        <f t="shared" si="249"/>
        <v>1</v>
      </c>
      <c r="AS2954" s="84">
        <f t="shared" si="250"/>
        <v>8</v>
      </c>
      <c r="AT2954" s="86">
        <f t="shared" si="251"/>
        <v>2019</v>
      </c>
      <c r="AU2954" s="86"/>
      <c r="AV2954" s="87"/>
      <c r="AW2954" s="86"/>
      <c r="AX2954" s="83"/>
      <c r="AY2954" s="84"/>
      <c r="AZ2954" s="86"/>
      <c r="BA2954" s="86"/>
      <c r="BB2954" s="86"/>
    </row>
    <row r="2955" spans="1:56" ht="36.75" customHeight="1">
      <c r="A2955" s="30"/>
      <c r="B2955" s="30" t="s">
        <v>55</v>
      </c>
      <c r="C2955" s="69" t="str">
        <f t="shared" si="252"/>
        <v>Closed</v>
      </c>
      <c r="D2955" s="27" t="s">
        <v>16732</v>
      </c>
      <c r="E2955" s="29" t="s">
        <v>16733</v>
      </c>
      <c r="F2955" s="30" t="s">
        <v>1572</v>
      </c>
      <c r="G2955" s="72">
        <f>DATE(2019,7,31)</f>
        <v>43677</v>
      </c>
      <c r="H2955" s="80">
        <v>1.7173611111111109</v>
      </c>
      <c r="I2955" s="30" t="s">
        <v>125</v>
      </c>
      <c r="J2955" s="72" t="s">
        <v>16734</v>
      </c>
      <c r="K2955" s="30" t="s">
        <v>1574</v>
      </c>
      <c r="L2955" s="30" t="s">
        <v>16735</v>
      </c>
      <c r="M2955" s="30" t="s">
        <v>63</v>
      </c>
      <c r="N2955" s="30" t="s">
        <v>99</v>
      </c>
      <c r="O2955" s="30" t="s">
        <v>64</v>
      </c>
      <c r="P2955" s="72" t="s">
        <v>6941</v>
      </c>
      <c r="Q2955" s="72" t="s">
        <v>2413</v>
      </c>
      <c r="R2955" s="72" t="s">
        <v>6434</v>
      </c>
      <c r="S2955" s="30">
        <v>0</v>
      </c>
      <c r="T2955" s="232">
        <v>0</v>
      </c>
      <c r="U2955" s="30">
        <v>0</v>
      </c>
      <c r="V2955" s="232">
        <v>0</v>
      </c>
      <c r="W2955" s="30">
        <v>0</v>
      </c>
      <c r="X2955" s="30">
        <v>0</v>
      </c>
      <c r="Y2955" s="30">
        <v>0</v>
      </c>
      <c r="Z2955" s="232">
        <v>0</v>
      </c>
      <c r="AA2955" s="30">
        <v>0</v>
      </c>
      <c r="AB2955" s="30">
        <v>0</v>
      </c>
      <c r="AC2955" s="30">
        <v>0</v>
      </c>
      <c r="AD2955" s="30">
        <v>0</v>
      </c>
      <c r="AE2955" s="72" t="s">
        <v>92</v>
      </c>
      <c r="AF2955" s="72"/>
      <c r="AG2955" s="72" t="s">
        <v>133</v>
      </c>
      <c r="AH2955" s="72">
        <v>43682</v>
      </c>
      <c r="AI2955" s="30">
        <v>1</v>
      </c>
      <c r="AJ2955" s="72" t="s">
        <v>16736</v>
      </c>
      <c r="AK2955" s="72" t="s">
        <v>16737</v>
      </c>
      <c r="AL2955" s="70">
        <v>43683</v>
      </c>
      <c r="AM2955" s="70"/>
      <c r="AN2955" s="70"/>
      <c r="AO2955" s="70"/>
      <c r="AP2955" s="73" t="e">
        <f>MID(VLOOKUP(K2955,#REF!,2,FALSE),1,2)</f>
        <v>#REF!</v>
      </c>
      <c r="AQ2955" s="72">
        <f>DATE(2019,8,1)</f>
        <v>43678</v>
      </c>
      <c r="AR2955" s="83">
        <f t="shared" si="249"/>
        <v>1</v>
      </c>
      <c r="AS2955" s="84">
        <f t="shared" si="250"/>
        <v>8</v>
      </c>
      <c r="AT2955" s="86">
        <f t="shared" si="251"/>
        <v>2019</v>
      </c>
      <c r="AU2955" s="86"/>
      <c r="AV2955" s="87"/>
      <c r="AW2955" s="86"/>
      <c r="AX2955" s="83"/>
      <c r="AY2955" s="84"/>
      <c r="AZ2955" s="86"/>
      <c r="BA2955" s="86"/>
      <c r="BB2955" s="86"/>
    </row>
    <row r="2956" spans="1:56" ht="36.75" customHeight="1">
      <c r="A2956" s="30"/>
      <c r="B2956" s="30" t="s">
        <v>55</v>
      </c>
      <c r="C2956" s="69" t="str">
        <f t="shared" si="252"/>
        <v>Closed</v>
      </c>
      <c r="D2956" s="27" t="s">
        <v>16738</v>
      </c>
      <c r="E2956" s="29" t="s">
        <v>16739</v>
      </c>
      <c r="F2956" s="30" t="s">
        <v>233</v>
      </c>
      <c r="G2956" s="72">
        <f>DATE(2019,8,1)</f>
        <v>43678</v>
      </c>
      <c r="H2956" s="80">
        <v>1.3118055555555554</v>
      </c>
      <c r="I2956" s="30" t="s">
        <v>2078</v>
      </c>
      <c r="J2956" s="72" t="s">
        <v>16740</v>
      </c>
      <c r="K2956" s="30" t="s">
        <v>235</v>
      </c>
      <c r="L2956" s="30" t="s">
        <v>16741</v>
      </c>
      <c r="M2956" s="30" t="s">
        <v>63</v>
      </c>
      <c r="N2956" s="30" t="s">
        <v>89</v>
      </c>
      <c r="O2956" s="30" t="s">
        <v>64</v>
      </c>
      <c r="P2956" s="72" t="s">
        <v>65</v>
      </c>
      <c r="Q2956" s="72" t="s">
        <v>718</v>
      </c>
      <c r="R2956" s="72" t="s">
        <v>235</v>
      </c>
      <c r="S2956" s="30">
        <v>0</v>
      </c>
      <c r="T2956" s="232">
        <v>0</v>
      </c>
      <c r="U2956" s="30">
        <v>0</v>
      </c>
      <c r="V2956" s="232">
        <v>0</v>
      </c>
      <c r="W2956" s="30">
        <v>0</v>
      </c>
      <c r="X2956" s="30">
        <v>0</v>
      </c>
      <c r="Y2956" s="30">
        <v>0</v>
      </c>
      <c r="Z2956" s="232">
        <v>0</v>
      </c>
      <c r="AA2956" s="30">
        <v>0</v>
      </c>
      <c r="AB2956" s="30">
        <v>0</v>
      </c>
      <c r="AC2956" s="30">
        <v>0</v>
      </c>
      <c r="AD2956" s="30">
        <v>0</v>
      </c>
      <c r="AE2956" s="72" t="s">
        <v>92</v>
      </c>
      <c r="AF2956" s="72"/>
      <c r="AG2956" s="72" t="s">
        <v>133</v>
      </c>
      <c r="AH2956" s="72">
        <v>43682</v>
      </c>
      <c r="AI2956" s="30">
        <v>2</v>
      </c>
      <c r="AJ2956" s="72" t="s">
        <v>16742</v>
      </c>
      <c r="AK2956" s="72" t="s">
        <v>16743</v>
      </c>
      <c r="AL2956" s="70">
        <v>43690</v>
      </c>
      <c r="AM2956" s="70"/>
      <c r="AN2956" s="70"/>
      <c r="AO2956" s="70"/>
      <c r="AP2956" s="73" t="e">
        <f>MID(VLOOKUP(K2956,#REF!,2,FALSE),1,2)</f>
        <v>#REF!</v>
      </c>
      <c r="AQ2956" s="72">
        <f>DATE(2019,8,2)</f>
        <v>43679</v>
      </c>
      <c r="AR2956" s="83">
        <f t="shared" si="249"/>
        <v>2</v>
      </c>
      <c r="AS2956" s="83">
        <f t="shared" si="250"/>
        <v>8</v>
      </c>
      <c r="AT2956" s="120">
        <f t="shared" si="251"/>
        <v>2019</v>
      </c>
      <c r="AU2956" s="86"/>
      <c r="AV2956" s="86"/>
      <c r="AW2956" s="87"/>
      <c r="AX2956" s="104"/>
      <c r="AY2956" s="83"/>
      <c r="AZ2956" s="120"/>
      <c r="BA2956" s="86"/>
      <c r="BB2956" s="86"/>
    </row>
    <row r="2957" spans="1:56" ht="36.75" customHeight="1">
      <c r="A2957" s="30"/>
      <c r="B2957" s="30" t="s">
        <v>55</v>
      </c>
      <c r="C2957" s="69" t="str">
        <f t="shared" si="252"/>
        <v>Closed</v>
      </c>
      <c r="D2957" s="27" t="s">
        <v>16744</v>
      </c>
      <c r="E2957" s="29" t="s">
        <v>16745</v>
      </c>
      <c r="F2957" s="30" t="s">
        <v>2336</v>
      </c>
      <c r="G2957" s="72">
        <f>DATE(2019,8,2)</f>
        <v>43679</v>
      </c>
      <c r="H2957" s="80">
        <v>1.8194444444444446</v>
      </c>
      <c r="I2957" s="30" t="s">
        <v>116</v>
      </c>
      <c r="J2957" s="72" t="s">
        <v>16746</v>
      </c>
      <c r="K2957" s="30" t="s">
        <v>2338</v>
      </c>
      <c r="L2957" s="30" t="s">
        <v>16747</v>
      </c>
      <c r="M2957" s="30" t="s">
        <v>63</v>
      </c>
      <c r="N2957" s="30" t="s">
        <v>99</v>
      </c>
      <c r="O2957" s="30" t="s">
        <v>64</v>
      </c>
      <c r="P2957" s="72" t="s">
        <v>65</v>
      </c>
      <c r="Q2957" s="72" t="s">
        <v>2945</v>
      </c>
      <c r="R2957" s="72" t="s">
        <v>2341</v>
      </c>
      <c r="S2957" s="30">
        <v>0</v>
      </c>
      <c r="T2957" s="232">
        <v>0</v>
      </c>
      <c r="U2957" s="30">
        <v>1</v>
      </c>
      <c r="V2957" s="232">
        <v>0</v>
      </c>
      <c r="W2957" s="30">
        <v>0</v>
      </c>
      <c r="X2957" s="30">
        <v>1</v>
      </c>
      <c r="Y2957" s="30">
        <v>0</v>
      </c>
      <c r="Z2957" s="232">
        <v>0</v>
      </c>
      <c r="AA2957" s="30">
        <v>0</v>
      </c>
      <c r="AB2957" s="30">
        <v>0</v>
      </c>
      <c r="AC2957" s="30">
        <v>0</v>
      </c>
      <c r="AD2957" s="30">
        <v>0</v>
      </c>
      <c r="AE2957" s="72" t="s">
        <v>92</v>
      </c>
      <c r="AF2957" s="72"/>
      <c r="AG2957" s="72" t="s">
        <v>82</v>
      </c>
      <c r="AH2957" s="72">
        <v>43683</v>
      </c>
      <c r="AI2957" s="30">
        <v>5</v>
      </c>
      <c r="AJ2957" s="72" t="s">
        <v>16748</v>
      </c>
      <c r="AK2957" s="72" t="s">
        <v>16749</v>
      </c>
      <c r="AL2957" s="70">
        <v>43683</v>
      </c>
      <c r="AM2957" s="70"/>
      <c r="AN2957" s="70"/>
      <c r="AO2957" s="70"/>
      <c r="AP2957" s="73" t="e">
        <f>MID(VLOOKUP(K2957,#REF!,2,FALSE),1,2)</f>
        <v>#REF!</v>
      </c>
      <c r="AQ2957" s="72">
        <f>DATE(2019,8,6)</f>
        <v>43683</v>
      </c>
      <c r="AR2957" s="83">
        <f t="shared" si="249"/>
        <v>6</v>
      </c>
      <c r="AS2957" s="83">
        <f t="shared" si="250"/>
        <v>8</v>
      </c>
      <c r="AT2957" s="120">
        <f t="shared" si="251"/>
        <v>2019</v>
      </c>
      <c r="AU2957" s="86"/>
      <c r="AV2957" s="86"/>
      <c r="AW2957" s="87"/>
      <c r="AX2957" s="104"/>
      <c r="AY2957" s="83"/>
      <c r="AZ2957" s="120"/>
      <c r="BA2957" s="86"/>
      <c r="BB2957" s="86"/>
    </row>
    <row r="2958" spans="1:56" ht="36.75" customHeight="1">
      <c r="A2958" s="30"/>
      <c r="B2958" s="30" t="s">
        <v>55</v>
      </c>
      <c r="C2958" s="69" t="str">
        <f t="shared" si="252"/>
        <v>Closed</v>
      </c>
      <c r="D2958" s="27" t="s">
        <v>16750</v>
      </c>
      <c r="E2958" s="29" t="s">
        <v>16751</v>
      </c>
      <c r="F2958" s="30" t="s">
        <v>582</v>
      </c>
      <c r="G2958" s="72">
        <f>DATE(2019,8,6)</f>
        <v>43683</v>
      </c>
      <c r="H2958" s="80">
        <v>1.9673611111111109</v>
      </c>
      <c r="I2958" s="30" t="s">
        <v>73</v>
      </c>
      <c r="J2958" s="72" t="s">
        <v>16752</v>
      </c>
      <c r="K2958" s="30" t="s">
        <v>584</v>
      </c>
      <c r="L2958" s="30" t="s">
        <v>16753</v>
      </c>
      <c r="M2958" s="30" t="s">
        <v>63</v>
      </c>
      <c r="N2958" s="30" t="s">
        <v>142</v>
      </c>
      <c r="O2958" s="30" t="s">
        <v>77</v>
      </c>
      <c r="P2958" s="72" t="s">
        <v>165</v>
      </c>
      <c r="Q2958" s="72" t="s">
        <v>16754</v>
      </c>
      <c r="R2958" s="72" t="s">
        <v>587</v>
      </c>
      <c r="S2958" s="30">
        <v>0</v>
      </c>
      <c r="T2958" s="232">
        <v>0</v>
      </c>
      <c r="U2958" s="30">
        <v>0</v>
      </c>
      <c r="V2958" s="232">
        <v>0</v>
      </c>
      <c r="W2958" s="30">
        <v>0</v>
      </c>
      <c r="X2958" s="30">
        <v>0</v>
      </c>
      <c r="Y2958" s="30">
        <v>0</v>
      </c>
      <c r="Z2958" s="232">
        <v>0</v>
      </c>
      <c r="AA2958" s="30">
        <v>0</v>
      </c>
      <c r="AB2958" s="30">
        <v>0</v>
      </c>
      <c r="AC2958" s="30">
        <v>0</v>
      </c>
      <c r="AD2958" s="30">
        <v>0</v>
      </c>
      <c r="AE2958" s="72" t="s">
        <v>92</v>
      </c>
      <c r="AF2958" s="72"/>
      <c r="AG2958" s="72" t="s">
        <v>589</v>
      </c>
      <c r="AH2958" s="72">
        <v>43686</v>
      </c>
      <c r="AI2958" s="30">
        <v>1</v>
      </c>
      <c r="AJ2958" s="72" t="s">
        <v>16755</v>
      </c>
      <c r="AK2958" s="72" t="s">
        <v>1233</v>
      </c>
      <c r="AL2958" s="70">
        <v>43700</v>
      </c>
      <c r="AM2958" s="70"/>
      <c r="AN2958" s="70"/>
      <c r="AO2958" s="70"/>
      <c r="AP2958" s="73" t="e">
        <f>MID(VLOOKUP(K2958,#REF!,2,FALSE),1,2)</f>
        <v>#REF!</v>
      </c>
      <c r="AQ2958" s="72">
        <f>DATE(2019,8,7)</f>
        <v>43684</v>
      </c>
      <c r="AR2958" s="83">
        <f t="shared" si="249"/>
        <v>7</v>
      </c>
      <c r="AS2958" s="83">
        <f t="shared" si="250"/>
        <v>8</v>
      </c>
      <c r="AT2958" s="120">
        <f t="shared" si="251"/>
        <v>2019</v>
      </c>
      <c r="AU2958" s="86"/>
      <c r="AV2958" s="86"/>
      <c r="AW2958" s="87"/>
      <c r="AX2958" s="104"/>
      <c r="AY2958" s="83"/>
      <c r="AZ2958" s="120"/>
      <c r="BA2958" s="86"/>
      <c r="BB2958" s="86"/>
    </row>
    <row r="2959" spans="1:56" ht="36.75" customHeight="1">
      <c r="A2959" s="30"/>
      <c r="B2959" s="30" t="s">
        <v>55</v>
      </c>
      <c r="C2959" s="69" t="str">
        <f t="shared" si="252"/>
        <v>Closed</v>
      </c>
      <c r="D2959" s="27" t="s">
        <v>16756</v>
      </c>
      <c r="E2959" s="29" t="s">
        <v>16757</v>
      </c>
      <c r="F2959" s="30" t="s">
        <v>1572</v>
      </c>
      <c r="G2959" s="72">
        <f>DATE(2019,8,7)</f>
        <v>43684</v>
      </c>
      <c r="H2959" s="80">
        <v>1.6736111111111112</v>
      </c>
      <c r="I2959" s="30" t="s">
        <v>125</v>
      </c>
      <c r="J2959" s="72" t="s">
        <v>16758</v>
      </c>
      <c r="K2959" s="30" t="s">
        <v>1574</v>
      </c>
      <c r="L2959" s="30" t="s">
        <v>16759</v>
      </c>
      <c r="M2959" s="30" t="s">
        <v>63</v>
      </c>
      <c r="N2959" s="30" t="s">
        <v>142</v>
      </c>
      <c r="O2959" s="30" t="s">
        <v>77</v>
      </c>
      <c r="P2959" s="72" t="s">
        <v>6941</v>
      </c>
      <c r="Q2959" s="72" t="s">
        <v>2413</v>
      </c>
      <c r="R2959" s="72" t="s">
        <v>6434</v>
      </c>
      <c r="S2959" s="30">
        <v>0</v>
      </c>
      <c r="T2959" s="232">
        <v>0</v>
      </c>
      <c r="U2959" s="30">
        <v>0</v>
      </c>
      <c r="V2959" s="232">
        <v>0</v>
      </c>
      <c r="W2959" s="30">
        <v>0</v>
      </c>
      <c r="X2959" s="30">
        <v>0</v>
      </c>
      <c r="Y2959" s="30">
        <v>0</v>
      </c>
      <c r="Z2959" s="232">
        <v>0</v>
      </c>
      <c r="AA2959" s="30">
        <v>0</v>
      </c>
      <c r="AB2959" s="30">
        <v>0</v>
      </c>
      <c r="AC2959" s="30">
        <v>0</v>
      </c>
      <c r="AD2959" s="30">
        <v>0</v>
      </c>
      <c r="AE2959" s="72" t="s">
        <v>92</v>
      </c>
      <c r="AF2959" s="72"/>
      <c r="AG2959" s="72" t="s">
        <v>133</v>
      </c>
      <c r="AH2959" s="72">
        <v>43685</v>
      </c>
      <c r="AI2959" s="30">
        <v>2</v>
      </c>
      <c r="AJ2959" s="72" t="s">
        <v>16760</v>
      </c>
      <c r="AK2959" s="72" t="s">
        <v>16761</v>
      </c>
      <c r="AL2959" s="70">
        <v>43685</v>
      </c>
      <c r="AM2959" s="70"/>
      <c r="AN2959" s="70"/>
      <c r="AO2959" s="70"/>
      <c r="AP2959" s="73" t="e">
        <f>MID(VLOOKUP(K2959,#REF!,2,FALSE),1,2)</f>
        <v>#REF!</v>
      </c>
      <c r="AQ2959" s="72">
        <f>DATE(2019,8,8)</f>
        <v>43685</v>
      </c>
      <c r="AR2959" s="83">
        <f t="shared" si="249"/>
        <v>8</v>
      </c>
      <c r="AS2959" s="83">
        <f t="shared" si="250"/>
        <v>8</v>
      </c>
      <c r="AT2959" s="120">
        <f t="shared" si="251"/>
        <v>2019</v>
      </c>
      <c r="AU2959" s="86"/>
      <c r="AV2959" s="86"/>
      <c r="AW2959" s="87"/>
      <c r="AX2959" s="104"/>
      <c r="AY2959" s="83"/>
      <c r="AZ2959" s="120"/>
      <c r="BA2959" s="86"/>
      <c r="BB2959" s="86"/>
    </row>
    <row r="2960" spans="1:56" ht="36.75" customHeight="1">
      <c r="A2960" s="30"/>
      <c r="B2960" s="30" t="s">
        <v>55</v>
      </c>
      <c r="C2960" s="69" t="str">
        <f t="shared" si="252"/>
        <v>Closed</v>
      </c>
      <c r="D2960" s="27" t="s">
        <v>16762</v>
      </c>
      <c r="E2960" s="29" t="s">
        <v>16763</v>
      </c>
      <c r="F2960" s="30" t="s">
        <v>2336</v>
      </c>
      <c r="G2960" s="72">
        <f>DATE(2019,8,8)</f>
        <v>43685</v>
      </c>
      <c r="H2960" s="80">
        <v>1.9708333333333332</v>
      </c>
      <c r="I2960" s="30" t="s">
        <v>73</v>
      </c>
      <c r="J2960" s="72" t="s">
        <v>16764</v>
      </c>
      <c r="K2960" s="30" t="s">
        <v>2338</v>
      </c>
      <c r="L2960" s="30" t="s">
        <v>16765</v>
      </c>
      <c r="M2960" s="30" t="s">
        <v>63</v>
      </c>
      <c r="N2960" s="30" t="s">
        <v>142</v>
      </c>
      <c r="O2960" s="30" t="s">
        <v>64</v>
      </c>
      <c r="P2960" s="72" t="s">
        <v>78</v>
      </c>
      <c r="Q2960" s="72" t="s">
        <v>2975</v>
      </c>
      <c r="R2960" s="72" t="s">
        <v>2341</v>
      </c>
      <c r="S2960" s="30">
        <v>0</v>
      </c>
      <c r="T2960" s="232">
        <v>0</v>
      </c>
      <c r="U2960" s="30">
        <v>0</v>
      </c>
      <c r="V2960" s="232">
        <v>0</v>
      </c>
      <c r="W2960" s="30">
        <v>0</v>
      </c>
      <c r="X2960" s="30">
        <v>0</v>
      </c>
      <c r="Y2960" s="30">
        <v>0</v>
      </c>
      <c r="Z2960" s="232">
        <v>0</v>
      </c>
      <c r="AA2960" s="30">
        <v>0</v>
      </c>
      <c r="AB2960" s="30">
        <v>0</v>
      </c>
      <c r="AC2960" s="30">
        <v>0</v>
      </c>
      <c r="AD2960" s="30">
        <v>0</v>
      </c>
      <c r="AE2960" s="72" t="s">
        <v>394</v>
      </c>
      <c r="AF2960" s="72"/>
      <c r="AG2960" s="72" t="s">
        <v>16766</v>
      </c>
      <c r="AH2960" s="72">
        <v>43706</v>
      </c>
      <c r="AI2960" s="30">
        <v>7</v>
      </c>
      <c r="AJ2960" s="72" t="s">
        <v>16767</v>
      </c>
      <c r="AK2960" s="72" t="s">
        <v>16768</v>
      </c>
      <c r="AL2960" s="70">
        <v>43706</v>
      </c>
      <c r="AM2960" s="70"/>
      <c r="AN2960" s="70"/>
      <c r="AO2960" s="70"/>
      <c r="AP2960" s="73" t="e">
        <f>MID(VLOOKUP(K2960,#REF!,2,FALSE),1,2)</f>
        <v>#REF!</v>
      </c>
      <c r="AQ2960" s="72">
        <f>DATE(2019,8,9)</f>
        <v>43686</v>
      </c>
      <c r="AR2960" s="83">
        <f t="shared" si="249"/>
        <v>9</v>
      </c>
      <c r="AS2960" s="84">
        <f t="shared" si="250"/>
        <v>8</v>
      </c>
      <c r="AT2960" s="86">
        <f t="shared" si="251"/>
        <v>2019</v>
      </c>
      <c r="AU2960" s="86"/>
      <c r="AV2960" s="87"/>
      <c r="AW2960" s="86"/>
      <c r="AX2960" s="83"/>
      <c r="AY2960" s="84"/>
      <c r="AZ2960" s="86"/>
      <c r="BA2960" s="86"/>
      <c r="BB2960" s="86"/>
    </row>
    <row r="2961" spans="1:55" ht="36.75" customHeight="1">
      <c r="A2961" s="30"/>
      <c r="B2961" s="30" t="s">
        <v>55</v>
      </c>
      <c r="C2961" s="69" t="str">
        <f t="shared" si="252"/>
        <v>Closed</v>
      </c>
      <c r="D2961" s="27" t="s">
        <v>16769</v>
      </c>
      <c r="E2961" s="29" t="s">
        <v>16770</v>
      </c>
      <c r="F2961" s="30" t="s">
        <v>835</v>
      </c>
      <c r="G2961" s="72">
        <f>DATE(2019,8,9)</f>
        <v>43686</v>
      </c>
      <c r="H2961" s="80">
        <v>0</v>
      </c>
      <c r="I2961" s="30" t="s">
        <v>2078</v>
      </c>
      <c r="J2961" s="72" t="s">
        <v>16771</v>
      </c>
      <c r="K2961" s="30" t="s">
        <v>837</v>
      </c>
      <c r="L2961" s="30" t="s">
        <v>16772</v>
      </c>
      <c r="M2961" s="30" t="s">
        <v>63</v>
      </c>
      <c r="N2961" s="30" t="s">
        <v>142</v>
      </c>
      <c r="O2961" s="30" t="s">
        <v>77</v>
      </c>
      <c r="P2961" s="72" t="s">
        <v>6941</v>
      </c>
      <c r="Q2961" s="72" t="s">
        <v>839</v>
      </c>
      <c r="R2961" s="72" t="s">
        <v>840</v>
      </c>
      <c r="S2961" s="30">
        <v>0</v>
      </c>
      <c r="T2961" s="232">
        <v>0</v>
      </c>
      <c r="U2961" s="30">
        <v>0</v>
      </c>
      <c r="V2961" s="232">
        <v>0</v>
      </c>
      <c r="W2961" s="30">
        <v>0</v>
      </c>
      <c r="X2961" s="30">
        <v>0</v>
      </c>
      <c r="Y2961" s="30">
        <v>0</v>
      </c>
      <c r="Z2961" s="232">
        <v>0</v>
      </c>
      <c r="AA2961" s="30">
        <v>0</v>
      </c>
      <c r="AB2961" s="30">
        <v>0</v>
      </c>
      <c r="AC2961" s="30">
        <v>0</v>
      </c>
      <c r="AD2961" s="30">
        <v>0</v>
      </c>
      <c r="AE2961" s="72" t="s">
        <v>92</v>
      </c>
      <c r="AF2961" s="72"/>
      <c r="AG2961" s="72" t="s">
        <v>10511</v>
      </c>
      <c r="AH2961" s="72">
        <v>43769</v>
      </c>
      <c r="AI2961" s="30">
        <v>0</v>
      </c>
      <c r="AJ2961" s="72" t="s">
        <v>16773</v>
      </c>
      <c r="AK2961" s="72" t="s">
        <v>16774</v>
      </c>
      <c r="AL2961" s="70">
        <v>43776</v>
      </c>
      <c r="AM2961" s="70"/>
      <c r="AN2961" s="70">
        <v>45012</v>
      </c>
      <c r="AO2961" s="70">
        <v>44138</v>
      </c>
      <c r="AP2961" s="73" t="e">
        <f>MID(VLOOKUP(K2961,#REF!,2,FALSE),1,2)</f>
        <v>#REF!</v>
      </c>
      <c r="AQ2961" s="72">
        <f>DATE(2019,8,11)</f>
        <v>43688</v>
      </c>
      <c r="AR2961" s="83">
        <f t="shared" si="249"/>
        <v>11</v>
      </c>
      <c r="AS2961" s="83">
        <f t="shared" si="250"/>
        <v>8</v>
      </c>
      <c r="AT2961" s="120">
        <f t="shared" si="251"/>
        <v>2019</v>
      </c>
      <c r="AU2961" s="86"/>
      <c r="AV2961" s="86"/>
      <c r="AW2961" s="87"/>
      <c r="AX2961" s="104"/>
      <c r="AY2961" s="83"/>
      <c r="AZ2961" s="120"/>
      <c r="BA2961" s="86"/>
      <c r="BB2961" s="86"/>
    </row>
    <row r="2962" spans="1:55" ht="36.75" customHeight="1">
      <c r="A2962" s="30"/>
      <c r="B2962" s="30" t="s">
        <v>55</v>
      </c>
      <c r="C2962" s="69" t="str">
        <f t="shared" si="252"/>
        <v>Closed</v>
      </c>
      <c r="D2962" s="27" t="s">
        <v>16775</v>
      </c>
      <c r="E2962" s="29" t="s">
        <v>16776</v>
      </c>
      <c r="F2962" s="30" t="s">
        <v>2601</v>
      </c>
      <c r="G2962" s="72">
        <f>DATE(2019,8,11)</f>
        <v>43688</v>
      </c>
      <c r="H2962" s="80">
        <v>1.71875</v>
      </c>
      <c r="I2962" s="30" t="s">
        <v>125</v>
      </c>
      <c r="J2962" s="72" t="s">
        <v>16777</v>
      </c>
      <c r="K2962" s="30" t="s">
        <v>2603</v>
      </c>
      <c r="L2962" s="30" t="s">
        <v>16778</v>
      </c>
      <c r="M2962" s="30" t="s">
        <v>63</v>
      </c>
      <c r="N2962" s="30" t="s">
        <v>142</v>
      </c>
      <c r="O2962" s="30" t="s">
        <v>64</v>
      </c>
      <c r="P2962" s="72" t="s">
        <v>78</v>
      </c>
      <c r="Q2962" s="72" t="s">
        <v>4813</v>
      </c>
      <c r="R2962" s="72" t="s">
        <v>2606</v>
      </c>
      <c r="S2962" s="30">
        <v>0</v>
      </c>
      <c r="T2962" s="232">
        <v>0</v>
      </c>
      <c r="U2962" s="30">
        <v>0</v>
      </c>
      <c r="V2962" s="232">
        <v>0</v>
      </c>
      <c r="W2962" s="30">
        <v>0</v>
      </c>
      <c r="X2962" s="30">
        <v>0</v>
      </c>
      <c r="Y2962" s="30">
        <v>0</v>
      </c>
      <c r="Z2962" s="232">
        <v>0</v>
      </c>
      <c r="AA2962" s="30">
        <v>0</v>
      </c>
      <c r="AB2962" s="30">
        <v>0</v>
      </c>
      <c r="AC2962" s="30">
        <v>0</v>
      </c>
      <c r="AD2962" s="30">
        <v>0</v>
      </c>
      <c r="AE2962" s="72" t="s">
        <v>92</v>
      </c>
      <c r="AF2962" s="72"/>
      <c r="AG2962" s="72" t="s">
        <v>352</v>
      </c>
      <c r="AH2962" s="72">
        <v>43691</v>
      </c>
      <c r="AI2962" s="30">
        <v>4</v>
      </c>
      <c r="AJ2962" s="72" t="s">
        <v>16779</v>
      </c>
      <c r="AK2962" s="72" t="s">
        <v>68</v>
      </c>
      <c r="AL2962" s="70">
        <v>43705</v>
      </c>
      <c r="AM2962" s="70"/>
      <c r="AN2962" s="70"/>
      <c r="AO2962" s="70"/>
      <c r="AP2962" s="73" t="e">
        <f>MID(VLOOKUP(K2962,#REF!,2,FALSE),1,2)</f>
        <v>#REF!</v>
      </c>
      <c r="AQ2962" s="72">
        <f>DATE(2019,8,13)</f>
        <v>43690</v>
      </c>
      <c r="AR2962" s="83">
        <f t="shared" si="249"/>
        <v>13</v>
      </c>
      <c r="AS2962" s="83">
        <f t="shared" si="250"/>
        <v>8</v>
      </c>
      <c r="AT2962" s="120">
        <f t="shared" si="251"/>
        <v>2019</v>
      </c>
      <c r="AU2962" s="86"/>
      <c r="AV2962" s="86"/>
      <c r="AW2962" s="87"/>
      <c r="AX2962" s="104"/>
      <c r="AY2962" s="83"/>
      <c r="AZ2962" s="120"/>
      <c r="BA2962" s="86"/>
      <c r="BB2962" s="86"/>
    </row>
    <row r="2963" spans="1:55" ht="36.75" customHeight="1">
      <c r="A2963" s="30"/>
      <c r="B2963" s="30" t="s">
        <v>55</v>
      </c>
      <c r="C2963" s="69" t="str">
        <f t="shared" si="252"/>
        <v>Closed</v>
      </c>
      <c r="D2963" s="27" t="s">
        <v>16780</v>
      </c>
      <c r="E2963" s="29" t="s">
        <v>16781</v>
      </c>
      <c r="F2963" s="30" t="s">
        <v>582</v>
      </c>
      <c r="G2963" s="72">
        <f>DATE(2019,8,13)</f>
        <v>43690</v>
      </c>
      <c r="H2963" s="80">
        <v>1.7152777777777777</v>
      </c>
      <c r="I2963" s="30" t="s">
        <v>198</v>
      </c>
      <c r="J2963" s="72" t="s">
        <v>16782</v>
      </c>
      <c r="K2963" s="30" t="s">
        <v>584</v>
      </c>
      <c r="L2963" s="30" t="s">
        <v>16783</v>
      </c>
      <c r="M2963" s="30" t="s">
        <v>63</v>
      </c>
      <c r="N2963" s="30" t="s">
        <v>142</v>
      </c>
      <c r="O2963" s="30" t="s">
        <v>77</v>
      </c>
      <c r="P2963" s="72" t="s">
        <v>8025</v>
      </c>
      <c r="Q2963" s="72" t="s">
        <v>16784</v>
      </c>
      <c r="R2963" s="72" t="s">
        <v>587</v>
      </c>
      <c r="S2963" s="30">
        <v>0</v>
      </c>
      <c r="T2963" s="232">
        <v>0</v>
      </c>
      <c r="U2963" s="30">
        <v>0</v>
      </c>
      <c r="V2963" s="232">
        <v>0</v>
      </c>
      <c r="W2963" s="30">
        <v>0</v>
      </c>
      <c r="X2963" s="30">
        <v>0</v>
      </c>
      <c r="Y2963" s="30">
        <v>0</v>
      </c>
      <c r="Z2963" s="232">
        <v>0</v>
      </c>
      <c r="AA2963" s="30">
        <v>0</v>
      </c>
      <c r="AB2963" s="30">
        <v>0</v>
      </c>
      <c r="AC2963" s="30">
        <v>0</v>
      </c>
      <c r="AD2963" s="30">
        <v>0</v>
      </c>
      <c r="AE2963" s="72" t="s">
        <v>394</v>
      </c>
      <c r="AF2963" s="72"/>
      <c r="AG2963" s="72" t="s">
        <v>589</v>
      </c>
      <c r="AH2963" s="72">
        <v>43696</v>
      </c>
      <c r="AI2963" s="30">
        <v>0</v>
      </c>
      <c r="AJ2963" s="72" t="s">
        <v>16785</v>
      </c>
      <c r="AK2963" s="72" t="s">
        <v>1233</v>
      </c>
      <c r="AL2963" s="70">
        <v>43700</v>
      </c>
      <c r="AM2963" s="70"/>
      <c r="AN2963" s="70"/>
      <c r="AO2963" s="70"/>
      <c r="AP2963" s="73" t="e">
        <f>MID(VLOOKUP(K2963,#REF!,2,FALSE),1,2)</f>
        <v>#REF!</v>
      </c>
      <c r="AQ2963" s="72">
        <f>DATE(2019,8,14)</f>
        <v>43691</v>
      </c>
      <c r="AR2963" s="83">
        <f t="shared" si="249"/>
        <v>14</v>
      </c>
      <c r="AS2963" s="83">
        <f t="shared" si="250"/>
        <v>8</v>
      </c>
      <c r="AT2963" s="120">
        <f t="shared" si="251"/>
        <v>2019</v>
      </c>
      <c r="AU2963" s="86"/>
      <c r="AV2963" s="86"/>
      <c r="AW2963" s="87"/>
      <c r="AX2963" s="104"/>
      <c r="AY2963" s="83"/>
      <c r="AZ2963" s="120"/>
      <c r="BA2963" s="86"/>
      <c r="BB2963" s="86"/>
    </row>
    <row r="2964" spans="1:55" ht="36.75" customHeight="1">
      <c r="A2964" s="30"/>
      <c r="B2964" s="30" t="s">
        <v>55</v>
      </c>
      <c r="C2964" s="69" t="str">
        <f t="shared" si="252"/>
        <v>Closed</v>
      </c>
      <c r="D2964" s="27" t="s">
        <v>16786</v>
      </c>
      <c r="E2964" s="29" t="s">
        <v>16787</v>
      </c>
      <c r="F2964" s="30" t="s">
        <v>1572</v>
      </c>
      <c r="G2964" s="72">
        <f>DATE(2019,8,14)</f>
        <v>43691</v>
      </c>
      <c r="H2964" s="80">
        <v>1.2638888888888888</v>
      </c>
      <c r="I2964" s="30" t="s">
        <v>73</v>
      </c>
      <c r="J2964" s="72" t="s">
        <v>16788</v>
      </c>
      <c r="K2964" s="30" t="s">
        <v>1574</v>
      </c>
      <c r="L2964" s="30" t="s">
        <v>16789</v>
      </c>
      <c r="M2964" s="30" t="s">
        <v>63</v>
      </c>
      <c r="N2964" s="30" t="s">
        <v>142</v>
      </c>
      <c r="O2964" s="30" t="s">
        <v>77</v>
      </c>
      <c r="P2964" s="72" t="s">
        <v>78</v>
      </c>
      <c r="Q2964" s="72" t="s">
        <v>16790</v>
      </c>
      <c r="R2964" s="72" t="s">
        <v>6434</v>
      </c>
      <c r="S2964" s="30">
        <v>0</v>
      </c>
      <c r="T2964" s="232">
        <v>0</v>
      </c>
      <c r="U2964" s="30">
        <v>0</v>
      </c>
      <c r="V2964" s="232">
        <v>0</v>
      </c>
      <c r="W2964" s="30">
        <v>0</v>
      </c>
      <c r="X2964" s="30">
        <v>0</v>
      </c>
      <c r="Y2964" s="30">
        <v>0</v>
      </c>
      <c r="Z2964" s="232">
        <v>0</v>
      </c>
      <c r="AA2964" s="30">
        <v>0</v>
      </c>
      <c r="AB2964" s="30">
        <v>0</v>
      </c>
      <c r="AC2964" s="30">
        <v>0</v>
      </c>
      <c r="AD2964" s="30">
        <v>0</v>
      </c>
      <c r="AE2964" s="72" t="s">
        <v>92</v>
      </c>
      <c r="AF2964" s="72"/>
      <c r="AG2964" s="72" t="s">
        <v>133</v>
      </c>
      <c r="AH2964" s="72">
        <v>43697</v>
      </c>
      <c r="AI2964" s="30">
        <v>2</v>
      </c>
      <c r="AJ2964" s="72" t="s">
        <v>16791</v>
      </c>
      <c r="AK2964" s="72" t="s">
        <v>16792</v>
      </c>
      <c r="AL2964" s="70">
        <v>43697</v>
      </c>
      <c r="AM2964" s="70"/>
      <c r="AN2964" s="70"/>
      <c r="AO2964" s="70"/>
      <c r="AP2964" s="73" t="e">
        <f>MID(VLOOKUP(K2964,#REF!,2,FALSE),1,2)</f>
        <v>#REF!</v>
      </c>
      <c r="AQ2964" s="72">
        <f>DATE(2019,8,14)</f>
        <v>43691</v>
      </c>
      <c r="AR2964" s="83">
        <f t="shared" si="249"/>
        <v>14</v>
      </c>
      <c r="AS2964" s="83">
        <f t="shared" si="250"/>
        <v>8</v>
      </c>
      <c r="AT2964" s="120">
        <f t="shared" si="251"/>
        <v>2019</v>
      </c>
      <c r="AU2964" s="86"/>
      <c r="AV2964" s="86"/>
      <c r="AW2964" s="87"/>
      <c r="AX2964" s="104"/>
      <c r="AY2964" s="83"/>
      <c r="AZ2964" s="120"/>
      <c r="BA2964" s="86"/>
      <c r="BB2964" s="86"/>
    </row>
    <row r="2965" spans="1:55" ht="36.75" customHeight="1">
      <c r="A2965" s="30"/>
      <c r="B2965" s="30" t="s">
        <v>55</v>
      </c>
      <c r="C2965" s="69" t="str">
        <f t="shared" si="252"/>
        <v>Closed</v>
      </c>
      <c r="D2965" s="27" t="s">
        <v>16793</v>
      </c>
      <c r="E2965" s="29" t="s">
        <v>16794</v>
      </c>
      <c r="F2965" s="30" t="s">
        <v>1572</v>
      </c>
      <c r="G2965" s="72">
        <f>DATE(2019,8,14)</f>
        <v>43691</v>
      </c>
      <c r="H2965" s="80">
        <v>1.8250000000000002</v>
      </c>
      <c r="I2965" s="30" t="s">
        <v>125</v>
      </c>
      <c r="J2965" s="72" t="s">
        <v>16795</v>
      </c>
      <c r="K2965" s="30" t="s">
        <v>1574</v>
      </c>
      <c r="L2965" s="30" t="s">
        <v>16796</v>
      </c>
      <c r="M2965" s="30" t="s">
        <v>63</v>
      </c>
      <c r="N2965" s="30" t="s">
        <v>99</v>
      </c>
      <c r="O2965" s="30" t="s">
        <v>64</v>
      </c>
      <c r="P2965" s="72" t="s">
        <v>78</v>
      </c>
      <c r="Q2965" s="72" t="s">
        <v>16563</v>
      </c>
      <c r="R2965" s="72" t="s">
        <v>6434</v>
      </c>
      <c r="S2965" s="30">
        <v>0</v>
      </c>
      <c r="T2965" s="232">
        <v>0</v>
      </c>
      <c r="U2965" s="30">
        <v>0</v>
      </c>
      <c r="V2965" s="232">
        <v>0</v>
      </c>
      <c r="W2965" s="30">
        <v>0</v>
      </c>
      <c r="X2965" s="30">
        <v>0</v>
      </c>
      <c r="Y2965" s="30">
        <v>0</v>
      </c>
      <c r="Z2965" s="232">
        <v>0</v>
      </c>
      <c r="AA2965" s="30">
        <v>0</v>
      </c>
      <c r="AB2965" s="30">
        <v>0</v>
      </c>
      <c r="AC2965" s="30">
        <v>0</v>
      </c>
      <c r="AD2965" s="30">
        <v>0</v>
      </c>
      <c r="AE2965" s="72" t="s">
        <v>394</v>
      </c>
      <c r="AF2965" s="72"/>
      <c r="AG2965" s="72" t="s">
        <v>133</v>
      </c>
      <c r="AH2965" s="72">
        <v>43697</v>
      </c>
      <c r="AI2965" s="30">
        <v>2</v>
      </c>
      <c r="AJ2965" s="72" t="s">
        <v>16797</v>
      </c>
      <c r="AK2965" s="72" t="s">
        <v>1233</v>
      </c>
      <c r="AL2965" s="70">
        <v>43697</v>
      </c>
      <c r="AM2965" s="70"/>
      <c r="AN2965" s="70"/>
      <c r="AO2965" s="70"/>
      <c r="AP2965" s="73" t="e">
        <f>MID(VLOOKUP(K2965,#REF!,2,FALSE),1,2)</f>
        <v>#REF!</v>
      </c>
      <c r="AQ2965" s="72">
        <f>DATE(2019,8,18)</f>
        <v>43695</v>
      </c>
      <c r="AR2965" s="83">
        <f t="shared" si="249"/>
        <v>18</v>
      </c>
      <c r="AS2965" s="83">
        <f t="shared" si="250"/>
        <v>8</v>
      </c>
      <c r="AT2965" s="120">
        <f t="shared" si="251"/>
        <v>2019</v>
      </c>
      <c r="AU2965" s="86"/>
      <c r="AV2965" s="86"/>
      <c r="AW2965" s="87"/>
      <c r="AX2965" s="104"/>
      <c r="AY2965" s="83"/>
      <c r="AZ2965" s="120"/>
      <c r="BA2965" s="86"/>
      <c r="BB2965" s="86"/>
    </row>
    <row r="2966" spans="1:55" ht="36.75" customHeight="1">
      <c r="A2966" s="30"/>
      <c r="B2966" s="30" t="s">
        <v>55</v>
      </c>
      <c r="C2966" s="69" t="str">
        <f t="shared" si="252"/>
        <v>Closed</v>
      </c>
      <c r="D2966" s="27" t="s">
        <v>16798</v>
      </c>
      <c r="E2966" s="29" t="s">
        <v>16799</v>
      </c>
      <c r="F2966" s="30" t="s">
        <v>835</v>
      </c>
      <c r="G2966" s="72">
        <f>DATE(2019,8,18)</f>
        <v>43695</v>
      </c>
      <c r="H2966" s="80">
        <v>1.1916666666666667</v>
      </c>
      <c r="I2966" s="30" t="s">
        <v>487</v>
      </c>
      <c r="J2966" s="72" t="s">
        <v>16800</v>
      </c>
      <c r="K2966" s="30" t="s">
        <v>837</v>
      </c>
      <c r="L2966" s="30" t="s">
        <v>16801</v>
      </c>
      <c r="M2966" s="30" t="s">
        <v>63</v>
      </c>
      <c r="N2966" s="30" t="s">
        <v>142</v>
      </c>
      <c r="O2966" s="30" t="s">
        <v>77</v>
      </c>
      <c r="P2966" s="72" t="s">
        <v>301</v>
      </c>
      <c r="Q2966" s="72" t="s">
        <v>5440</v>
      </c>
      <c r="R2966" s="72" t="s">
        <v>840</v>
      </c>
      <c r="S2966" s="30">
        <v>0</v>
      </c>
      <c r="T2966" s="232">
        <v>0</v>
      </c>
      <c r="U2966" s="30">
        <v>0</v>
      </c>
      <c r="V2966" s="232">
        <v>0</v>
      </c>
      <c r="W2966" s="30">
        <v>0</v>
      </c>
      <c r="X2966" s="30">
        <v>0</v>
      </c>
      <c r="Y2966" s="30">
        <v>0</v>
      </c>
      <c r="Z2966" s="232">
        <v>0</v>
      </c>
      <c r="AA2966" s="30">
        <v>0</v>
      </c>
      <c r="AB2966" s="30">
        <v>0</v>
      </c>
      <c r="AC2966" s="30">
        <v>0</v>
      </c>
      <c r="AD2966" s="30">
        <v>0</v>
      </c>
      <c r="AE2966" s="72" t="s">
        <v>92</v>
      </c>
      <c r="AF2966" s="72"/>
      <c r="AG2966" s="72" t="s">
        <v>133</v>
      </c>
      <c r="AH2966" s="72">
        <v>43695</v>
      </c>
      <c r="AI2966" s="30">
        <v>1</v>
      </c>
      <c r="AJ2966" s="72" t="s">
        <v>16802</v>
      </c>
      <c r="AK2966" s="72" t="s">
        <v>68</v>
      </c>
      <c r="AL2966" s="70">
        <v>43703</v>
      </c>
      <c r="AM2966" s="70"/>
      <c r="AN2966" s="70"/>
      <c r="AO2966" s="70"/>
      <c r="AP2966" s="73" t="e">
        <f>MID(VLOOKUP(K2966,#REF!,2,FALSE),1,2)</f>
        <v>#REF!</v>
      </c>
      <c r="AQ2966" s="72">
        <f>DATE(2019,8,19)</f>
        <v>43696</v>
      </c>
      <c r="AR2966" s="83">
        <f t="shared" si="249"/>
        <v>19</v>
      </c>
      <c r="AS2966" s="84">
        <f t="shared" si="250"/>
        <v>8</v>
      </c>
      <c r="AT2966" s="86">
        <f t="shared" si="251"/>
        <v>2019</v>
      </c>
      <c r="AU2966" s="86"/>
      <c r="AV2966" s="87"/>
      <c r="AW2966" s="86"/>
      <c r="AX2966" s="83"/>
      <c r="AY2966" s="84"/>
      <c r="AZ2966" s="86"/>
      <c r="BA2966" s="86"/>
      <c r="BB2966" s="86"/>
    </row>
    <row r="2967" spans="1:55" ht="36.75" customHeight="1">
      <c r="A2967" s="30"/>
      <c r="B2967" s="30" t="s">
        <v>55</v>
      </c>
      <c r="C2967" s="69" t="str">
        <f t="shared" si="252"/>
        <v>Closed</v>
      </c>
      <c r="D2967" s="27" t="s">
        <v>16803</v>
      </c>
      <c r="E2967" s="29" t="s">
        <v>16804</v>
      </c>
      <c r="F2967" s="30" t="s">
        <v>423</v>
      </c>
      <c r="G2967" s="72">
        <f>DATE(2019,8,19)</f>
        <v>43696</v>
      </c>
      <c r="H2967" s="80">
        <v>1.3423611111111111</v>
      </c>
      <c r="I2967" s="30" t="s">
        <v>198</v>
      </c>
      <c r="J2967" s="72" t="s">
        <v>16805</v>
      </c>
      <c r="K2967" s="30" t="s">
        <v>425</v>
      </c>
      <c r="L2967" s="30" t="s">
        <v>16806</v>
      </c>
      <c r="M2967" s="30" t="s">
        <v>63</v>
      </c>
      <c r="N2967" s="30" t="s">
        <v>99</v>
      </c>
      <c r="O2967" s="30" t="s">
        <v>6875</v>
      </c>
      <c r="P2967" s="72" t="s">
        <v>14726</v>
      </c>
      <c r="Q2967" s="72" t="s">
        <v>16807</v>
      </c>
      <c r="R2967" s="72" t="s">
        <v>16807</v>
      </c>
      <c r="S2967" s="30">
        <v>0</v>
      </c>
      <c r="T2967" s="232">
        <v>0</v>
      </c>
      <c r="U2967" s="30">
        <v>0</v>
      </c>
      <c r="V2967" s="232">
        <v>0</v>
      </c>
      <c r="W2967" s="30">
        <v>0</v>
      </c>
      <c r="X2967" s="30">
        <v>0</v>
      </c>
      <c r="Y2967" s="30">
        <v>0</v>
      </c>
      <c r="Z2967" s="232">
        <v>0</v>
      </c>
      <c r="AA2967" s="30">
        <v>0</v>
      </c>
      <c r="AB2967" s="30">
        <v>0</v>
      </c>
      <c r="AC2967" s="30">
        <v>0</v>
      </c>
      <c r="AD2967" s="30">
        <v>0</v>
      </c>
      <c r="AE2967" s="72" t="s">
        <v>394</v>
      </c>
      <c r="AF2967" s="72"/>
      <c r="AG2967" s="72" t="s">
        <v>133</v>
      </c>
      <c r="AH2967" s="72">
        <v>43596</v>
      </c>
      <c r="AI2967" s="30">
        <v>0</v>
      </c>
      <c r="AJ2967" s="72" t="s">
        <v>16808</v>
      </c>
      <c r="AK2967" s="72" t="s">
        <v>16809</v>
      </c>
      <c r="AL2967" s="70">
        <v>43776</v>
      </c>
      <c r="AM2967" s="70"/>
      <c r="AN2967" s="70"/>
      <c r="AO2967" s="70"/>
      <c r="AP2967" s="73" t="e">
        <f>MID(VLOOKUP(K2967,#REF!,2,FALSE),1,2)</f>
        <v>#REF!</v>
      </c>
      <c r="AQ2967" s="72">
        <f>DATE(2019,8,19)</f>
        <v>43696</v>
      </c>
      <c r="AR2967" s="83">
        <f t="shared" si="249"/>
        <v>19</v>
      </c>
      <c r="AS2967" s="83">
        <f t="shared" si="250"/>
        <v>8</v>
      </c>
      <c r="AT2967" s="120">
        <f t="shared" si="251"/>
        <v>2019</v>
      </c>
      <c r="AU2967" s="86"/>
      <c r="AV2967" s="86"/>
      <c r="AW2967" s="87"/>
      <c r="AX2967" s="104"/>
      <c r="AY2967" s="83"/>
      <c r="AZ2967" s="120"/>
      <c r="BA2967" s="86"/>
      <c r="BB2967" s="86"/>
    </row>
    <row r="2968" spans="1:55" ht="36.75" customHeight="1">
      <c r="A2968" s="30"/>
      <c r="B2968" s="30" t="s">
        <v>55</v>
      </c>
      <c r="C2968" s="69" t="str">
        <f t="shared" si="252"/>
        <v>Closed</v>
      </c>
      <c r="D2968" s="27" t="s">
        <v>16810</v>
      </c>
      <c r="E2968" s="29" t="s">
        <v>16811</v>
      </c>
      <c r="F2968" s="30" t="s">
        <v>1572</v>
      </c>
      <c r="G2968" s="72">
        <f>DATE(2019,8,19)</f>
        <v>43696</v>
      </c>
      <c r="H2968" s="80">
        <v>1.3541666666666667</v>
      </c>
      <c r="I2968" s="30" t="s">
        <v>73</v>
      </c>
      <c r="J2968" s="72" t="s">
        <v>16812</v>
      </c>
      <c r="K2968" s="30" t="s">
        <v>1574</v>
      </c>
      <c r="L2968" s="30" t="s">
        <v>16813</v>
      </c>
      <c r="M2968" s="30" t="s">
        <v>63</v>
      </c>
      <c r="N2968" s="30" t="s">
        <v>99</v>
      </c>
      <c r="O2968" s="30" t="s">
        <v>77</v>
      </c>
      <c r="P2968" s="72" t="s">
        <v>91</v>
      </c>
      <c r="Q2968" s="72" t="s">
        <v>2655</v>
      </c>
      <c r="R2968" s="72" t="s">
        <v>6434</v>
      </c>
      <c r="S2968" s="30">
        <v>0</v>
      </c>
      <c r="T2968" s="232">
        <v>0</v>
      </c>
      <c r="U2968" s="30">
        <v>0</v>
      </c>
      <c r="V2968" s="232">
        <v>0</v>
      </c>
      <c r="W2968" s="30">
        <v>0</v>
      </c>
      <c r="X2968" s="30">
        <v>0</v>
      </c>
      <c r="Y2968" s="30">
        <v>0</v>
      </c>
      <c r="Z2968" s="232">
        <v>0</v>
      </c>
      <c r="AA2968" s="30">
        <v>0</v>
      </c>
      <c r="AB2968" s="30">
        <v>0</v>
      </c>
      <c r="AC2968" s="30">
        <v>0</v>
      </c>
      <c r="AD2968" s="30">
        <v>0</v>
      </c>
      <c r="AE2968" s="72" t="s">
        <v>394</v>
      </c>
      <c r="AF2968" s="72"/>
      <c r="AG2968" s="72" t="s">
        <v>1507</v>
      </c>
      <c r="AH2968" s="72">
        <v>43698</v>
      </c>
      <c r="AI2968" s="30">
        <v>4</v>
      </c>
      <c r="AJ2968" s="72" t="s">
        <v>16814</v>
      </c>
      <c r="AK2968" s="72" t="s">
        <v>16815</v>
      </c>
      <c r="AL2968" s="70">
        <v>43698</v>
      </c>
      <c r="AM2968" s="70"/>
      <c r="AN2968" s="70"/>
      <c r="AO2968" s="70"/>
      <c r="AP2968" s="73" t="e">
        <f>MID(VLOOKUP(K2968,#REF!,2,FALSE),1,2)</f>
        <v>#REF!</v>
      </c>
      <c r="AQ2968" s="72">
        <f>DATE(2019,8,19)</f>
        <v>43696</v>
      </c>
      <c r="AR2968" s="83">
        <f t="shared" si="249"/>
        <v>19</v>
      </c>
      <c r="AS2968" s="83">
        <f t="shared" si="250"/>
        <v>8</v>
      </c>
      <c r="AT2968" s="120">
        <f t="shared" si="251"/>
        <v>2019</v>
      </c>
      <c r="AU2968" s="86"/>
      <c r="AV2968" s="86"/>
      <c r="AW2968" s="87"/>
      <c r="AX2968" s="104"/>
      <c r="AY2968" s="83"/>
      <c r="AZ2968" s="120"/>
      <c r="BA2968" s="86"/>
      <c r="BB2968" s="86"/>
    </row>
    <row r="2969" spans="1:55" ht="36.75" customHeight="1">
      <c r="A2969" s="30"/>
      <c r="B2969" s="30" t="s">
        <v>55</v>
      </c>
      <c r="C2969" s="69" t="str">
        <f t="shared" si="252"/>
        <v>Closed</v>
      </c>
      <c r="D2969" s="27" t="s">
        <v>16816</v>
      </c>
      <c r="E2969" s="29" t="s">
        <v>16817</v>
      </c>
      <c r="F2969" s="30" t="s">
        <v>138</v>
      </c>
      <c r="G2969" s="72">
        <f>DATE(2019,8,19)</f>
        <v>43696</v>
      </c>
      <c r="H2969" s="80">
        <v>1.7319444444444443</v>
      </c>
      <c r="I2969" s="30" t="s">
        <v>2264</v>
      </c>
      <c r="J2969" s="72" t="s">
        <v>16818</v>
      </c>
      <c r="K2969" s="30" t="s">
        <v>140</v>
      </c>
      <c r="L2969" s="30" t="s">
        <v>16819</v>
      </c>
      <c r="M2969" s="30" t="s">
        <v>63</v>
      </c>
      <c r="N2969" s="30" t="s">
        <v>89</v>
      </c>
      <c r="O2969" s="30" t="s">
        <v>77</v>
      </c>
      <c r="P2969" s="72" t="s">
        <v>165</v>
      </c>
      <c r="Q2969" s="72" t="s">
        <v>7639</v>
      </c>
      <c r="R2969" s="72" t="s">
        <v>4934</v>
      </c>
      <c r="S2969" s="30">
        <v>0</v>
      </c>
      <c r="T2969" s="232">
        <v>0</v>
      </c>
      <c r="U2969" s="30">
        <v>0</v>
      </c>
      <c r="V2969" s="232">
        <v>0</v>
      </c>
      <c r="W2969" s="30">
        <v>0</v>
      </c>
      <c r="X2969" s="30">
        <v>0</v>
      </c>
      <c r="Y2969" s="30">
        <v>0</v>
      </c>
      <c r="Z2969" s="232">
        <v>0</v>
      </c>
      <c r="AA2969" s="30">
        <v>0</v>
      </c>
      <c r="AB2969" s="30">
        <v>0</v>
      </c>
      <c r="AC2969" s="30">
        <v>0</v>
      </c>
      <c r="AD2969" s="30">
        <v>0</v>
      </c>
      <c r="AE2969" s="72" t="s">
        <v>92</v>
      </c>
      <c r="AF2969" s="72"/>
      <c r="AG2969" s="72" t="s">
        <v>133</v>
      </c>
      <c r="AH2969" s="72">
        <v>43697</v>
      </c>
      <c r="AI2969" s="30">
        <v>0</v>
      </c>
      <c r="AJ2969" s="72" t="s">
        <v>16820</v>
      </c>
      <c r="AK2969" s="72" t="s">
        <v>16821</v>
      </c>
      <c r="AL2969" s="70">
        <v>43703</v>
      </c>
      <c r="AM2969" s="70"/>
      <c r="AN2969" s="70"/>
      <c r="AO2969" s="70"/>
      <c r="AP2969" s="73" t="e">
        <f>MID(VLOOKUP(K2969,#REF!,2,FALSE),1,2)</f>
        <v>#REF!</v>
      </c>
      <c r="AQ2969" s="72">
        <f>DATE(2019,8,20)</f>
        <v>43697</v>
      </c>
      <c r="AR2969" s="83">
        <f t="shared" si="249"/>
        <v>20</v>
      </c>
      <c r="AS2969" s="84">
        <f t="shared" si="250"/>
        <v>8</v>
      </c>
      <c r="AT2969" s="86">
        <f t="shared" si="251"/>
        <v>2019</v>
      </c>
      <c r="AU2969" s="86"/>
      <c r="AV2969" s="87"/>
      <c r="AW2969" s="86"/>
      <c r="AX2969" s="83"/>
      <c r="AY2969" s="84"/>
      <c r="AZ2969" s="86"/>
      <c r="BA2969" s="86"/>
      <c r="BB2969" s="86"/>
    </row>
    <row r="2970" spans="1:55" ht="36.75" customHeight="1">
      <c r="A2970" s="30"/>
      <c r="B2970" s="30" t="s">
        <v>55</v>
      </c>
      <c r="C2970" s="69" t="str">
        <f t="shared" si="252"/>
        <v>Closed</v>
      </c>
      <c r="D2970" s="27" t="s">
        <v>16822</v>
      </c>
      <c r="E2970" s="29" t="s">
        <v>16823</v>
      </c>
      <c r="F2970" s="30" t="s">
        <v>423</v>
      </c>
      <c r="G2970" s="72">
        <f>DATE(2019,8,20)</f>
        <v>43697</v>
      </c>
      <c r="H2970" s="80">
        <v>1.9958333333333331</v>
      </c>
      <c r="I2970" s="30" t="s">
        <v>198</v>
      </c>
      <c r="J2970" s="72" t="s">
        <v>16824</v>
      </c>
      <c r="K2970" s="30" t="s">
        <v>425</v>
      </c>
      <c r="L2970" s="30" t="s">
        <v>16825</v>
      </c>
      <c r="M2970" s="30" t="s">
        <v>63</v>
      </c>
      <c r="N2970" s="30" t="s">
        <v>142</v>
      </c>
      <c r="O2970" s="30" t="s">
        <v>6875</v>
      </c>
      <c r="P2970" s="72"/>
      <c r="Q2970" s="72" t="s">
        <v>5199</v>
      </c>
      <c r="R2970" s="72" t="s">
        <v>16826</v>
      </c>
      <c r="S2970" s="30">
        <v>0</v>
      </c>
      <c r="T2970" s="232">
        <v>0</v>
      </c>
      <c r="U2970" s="30">
        <v>0</v>
      </c>
      <c r="V2970" s="232">
        <v>0</v>
      </c>
      <c r="W2970" s="30">
        <v>0</v>
      </c>
      <c r="X2970" s="30">
        <v>0</v>
      </c>
      <c r="Y2970" s="30">
        <v>0</v>
      </c>
      <c r="Z2970" s="232">
        <v>0</v>
      </c>
      <c r="AA2970" s="30">
        <v>0</v>
      </c>
      <c r="AB2970" s="30">
        <v>0</v>
      </c>
      <c r="AC2970" s="30">
        <v>0</v>
      </c>
      <c r="AD2970" s="30">
        <v>0</v>
      </c>
      <c r="AE2970" s="72" t="s">
        <v>145</v>
      </c>
      <c r="AF2970" s="72"/>
      <c r="AG2970" s="72" t="s">
        <v>82</v>
      </c>
      <c r="AH2970" s="72">
        <v>43812</v>
      </c>
      <c r="AI2970" s="30">
        <v>1</v>
      </c>
      <c r="AJ2970" s="72" t="s">
        <v>16827</v>
      </c>
      <c r="AK2970" s="72" t="s">
        <v>16828</v>
      </c>
      <c r="AL2970" s="70">
        <v>43813</v>
      </c>
      <c r="AM2970" s="70"/>
      <c r="AN2970" s="70"/>
      <c r="AO2970" s="70"/>
      <c r="AP2970" s="73" t="e">
        <f>MID(VLOOKUP(K2970,#REF!,2,FALSE),1,2)</f>
        <v>#REF!</v>
      </c>
      <c r="AQ2970" s="72">
        <f>DATE(2019,8,21)</f>
        <v>43698</v>
      </c>
      <c r="AR2970" s="83">
        <f t="shared" si="249"/>
        <v>21</v>
      </c>
      <c r="AS2970" s="83">
        <f t="shared" si="250"/>
        <v>8</v>
      </c>
      <c r="AT2970" s="120">
        <f t="shared" si="251"/>
        <v>2019</v>
      </c>
      <c r="AU2970" s="86"/>
      <c r="AV2970" s="86"/>
      <c r="AW2970" s="87"/>
      <c r="AX2970" s="104"/>
      <c r="AY2970" s="83"/>
      <c r="AZ2970" s="120"/>
      <c r="BA2970" s="86"/>
      <c r="BB2970" s="86"/>
    </row>
    <row r="2971" spans="1:55" ht="36.75" customHeight="1">
      <c r="A2971" s="30"/>
      <c r="B2971" s="30" t="s">
        <v>55</v>
      </c>
      <c r="C2971" s="69" t="str">
        <f t="shared" si="252"/>
        <v>Closed</v>
      </c>
      <c r="D2971" s="27" t="s">
        <v>16829</v>
      </c>
      <c r="E2971" s="29" t="s">
        <v>16830</v>
      </c>
      <c r="F2971" s="30" t="s">
        <v>423</v>
      </c>
      <c r="G2971" s="72">
        <f>DATE(2019,8,21)</f>
        <v>43698</v>
      </c>
      <c r="H2971" s="80">
        <v>1.8222222222222224</v>
      </c>
      <c r="I2971" s="30" t="s">
        <v>116</v>
      </c>
      <c r="J2971" s="72" t="s">
        <v>16831</v>
      </c>
      <c r="K2971" s="30" t="s">
        <v>425</v>
      </c>
      <c r="L2971" s="30" t="s">
        <v>16832</v>
      </c>
      <c r="M2971" s="30" t="s">
        <v>63</v>
      </c>
      <c r="N2971" s="30" t="s">
        <v>99</v>
      </c>
      <c r="O2971" s="30" t="s">
        <v>64</v>
      </c>
      <c r="P2971" s="72" t="s">
        <v>165</v>
      </c>
      <c r="Q2971" s="72" t="s">
        <v>4551</v>
      </c>
      <c r="R2971" s="72" t="s">
        <v>3103</v>
      </c>
      <c r="S2971" s="30">
        <v>0</v>
      </c>
      <c r="T2971" s="232">
        <v>0</v>
      </c>
      <c r="U2971" s="30">
        <v>0</v>
      </c>
      <c r="V2971" s="232">
        <v>0</v>
      </c>
      <c r="W2971" s="30">
        <v>0</v>
      </c>
      <c r="X2971" s="30">
        <v>0</v>
      </c>
      <c r="Y2971" s="30">
        <v>0</v>
      </c>
      <c r="Z2971" s="232">
        <v>0</v>
      </c>
      <c r="AA2971" s="30">
        <v>0</v>
      </c>
      <c r="AB2971" s="30">
        <v>0</v>
      </c>
      <c r="AC2971" s="30">
        <v>0</v>
      </c>
      <c r="AD2971" s="30">
        <v>0</v>
      </c>
      <c r="AE2971" s="72" t="s">
        <v>92</v>
      </c>
      <c r="AF2971" s="72"/>
      <c r="AG2971" s="72" t="s">
        <v>133</v>
      </c>
      <c r="AH2971" s="72">
        <v>43698</v>
      </c>
      <c r="AI2971" s="30">
        <v>1</v>
      </c>
      <c r="AJ2971" s="72" t="s">
        <v>16833</v>
      </c>
      <c r="AK2971" s="72" t="s">
        <v>16834</v>
      </c>
      <c r="AL2971" s="70">
        <v>43700</v>
      </c>
      <c r="AM2971" s="70"/>
      <c r="AN2971" s="70"/>
      <c r="AO2971" s="70"/>
      <c r="AP2971" s="73" t="e">
        <f>MID(VLOOKUP(K2971,#REF!,2,FALSE),1,2)</f>
        <v>#REF!</v>
      </c>
      <c r="AQ2971" s="72">
        <f>DATE(2019,8,23)</f>
        <v>43700</v>
      </c>
      <c r="AR2971" s="83">
        <f t="shared" si="249"/>
        <v>23</v>
      </c>
      <c r="AS2971" s="83">
        <f t="shared" si="250"/>
        <v>8</v>
      </c>
      <c r="AT2971" s="120">
        <f t="shared" si="251"/>
        <v>2019</v>
      </c>
      <c r="AU2971" s="86"/>
      <c r="AV2971" s="86"/>
      <c r="AW2971" s="87"/>
      <c r="AX2971" s="104"/>
      <c r="AY2971" s="83"/>
      <c r="AZ2971" s="120"/>
      <c r="BA2971" s="86"/>
      <c r="BB2971" s="86"/>
    </row>
    <row r="2972" spans="1:55" ht="36.75" customHeight="1">
      <c r="A2972" s="30"/>
      <c r="B2972" s="30" t="s">
        <v>55</v>
      </c>
      <c r="C2972" s="69" t="str">
        <f t="shared" si="252"/>
        <v>Closed</v>
      </c>
      <c r="D2972" s="27" t="s">
        <v>16835</v>
      </c>
      <c r="E2972" s="29" t="s">
        <v>16836</v>
      </c>
      <c r="F2972" s="30" t="s">
        <v>423</v>
      </c>
      <c r="G2972" s="72">
        <f>DATE(2019,8,23)</f>
        <v>43700</v>
      </c>
      <c r="H2972" s="102">
        <v>1.5173611111111112</v>
      </c>
      <c r="I2972" s="30" t="s">
        <v>116</v>
      </c>
      <c r="J2972" s="72" t="s">
        <v>16837</v>
      </c>
      <c r="K2972" s="30" t="s">
        <v>425</v>
      </c>
      <c r="L2972" s="30" t="s">
        <v>16838</v>
      </c>
      <c r="M2972" s="30" t="s">
        <v>63</v>
      </c>
      <c r="N2972" s="30" t="s">
        <v>99</v>
      </c>
      <c r="O2972" s="30" t="s">
        <v>64</v>
      </c>
      <c r="P2972" s="72" t="s">
        <v>165</v>
      </c>
      <c r="Q2972" s="72" t="s">
        <v>4551</v>
      </c>
      <c r="R2972" s="72" t="s">
        <v>3103</v>
      </c>
      <c r="S2972" s="30">
        <v>0</v>
      </c>
      <c r="T2972" s="232">
        <v>0</v>
      </c>
      <c r="U2972" s="30">
        <v>0</v>
      </c>
      <c r="V2972" s="232">
        <v>0</v>
      </c>
      <c r="W2972" s="30">
        <v>0</v>
      </c>
      <c r="X2972" s="30">
        <v>0</v>
      </c>
      <c r="Y2972" s="30">
        <v>0</v>
      </c>
      <c r="Z2972" s="232">
        <v>0</v>
      </c>
      <c r="AA2972" s="30">
        <v>0</v>
      </c>
      <c r="AB2972" s="30">
        <v>0</v>
      </c>
      <c r="AC2972" s="30">
        <v>0</v>
      </c>
      <c r="AD2972" s="30">
        <v>0</v>
      </c>
      <c r="AE2972" s="72" t="s">
        <v>394</v>
      </c>
      <c r="AF2972" s="72"/>
      <c r="AG2972" s="88" t="s">
        <v>82</v>
      </c>
      <c r="AH2972" s="72">
        <v>43700</v>
      </c>
      <c r="AI2972" s="30">
        <v>1</v>
      </c>
      <c r="AJ2972" s="72" t="s">
        <v>16839</v>
      </c>
      <c r="AK2972" s="72" t="s">
        <v>16840</v>
      </c>
      <c r="AL2972" s="70">
        <v>43703</v>
      </c>
      <c r="AM2972" s="70"/>
      <c r="AN2972" s="70"/>
      <c r="AO2972" s="70"/>
      <c r="AP2972" s="73" t="e">
        <f>MID(VLOOKUP(K2972,#REF!,2,FALSE),1,2)</f>
        <v>#REF!</v>
      </c>
      <c r="AQ2972" s="72">
        <f>DATE(2019,8,23)</f>
        <v>43700</v>
      </c>
      <c r="AR2972" s="83">
        <f t="shared" si="249"/>
        <v>23</v>
      </c>
      <c r="AS2972" s="83">
        <f t="shared" si="250"/>
        <v>8</v>
      </c>
      <c r="AT2972" s="120">
        <f t="shared" si="251"/>
        <v>2019</v>
      </c>
      <c r="AU2972" s="86"/>
      <c r="AV2972" s="86"/>
      <c r="AW2972" s="87"/>
      <c r="AX2972" s="104"/>
      <c r="AY2972" s="83"/>
      <c r="AZ2972" s="120"/>
      <c r="BA2972" s="86"/>
      <c r="BB2972" s="86"/>
    </row>
    <row r="2973" spans="1:55" ht="36.75" customHeight="1">
      <c r="A2973" s="30"/>
      <c r="B2973" s="30" t="s">
        <v>55</v>
      </c>
      <c r="C2973" s="69" t="str">
        <f t="shared" si="252"/>
        <v>Closed</v>
      </c>
      <c r="D2973" s="27" t="s">
        <v>16841</v>
      </c>
      <c r="E2973" s="29" t="s">
        <v>16842</v>
      </c>
      <c r="F2973" s="30" t="s">
        <v>835</v>
      </c>
      <c r="G2973" s="72">
        <f>DATE(2019,8,23)</f>
        <v>43700</v>
      </c>
      <c r="H2973" s="80">
        <v>1.0694444444444444</v>
      </c>
      <c r="I2973" s="30" t="s">
        <v>73</v>
      </c>
      <c r="J2973" s="72" t="s">
        <v>16843</v>
      </c>
      <c r="K2973" s="30" t="s">
        <v>837</v>
      </c>
      <c r="L2973" s="30" t="s">
        <v>16844</v>
      </c>
      <c r="M2973" s="30" t="s">
        <v>63</v>
      </c>
      <c r="N2973" s="30" t="s">
        <v>142</v>
      </c>
      <c r="O2973" s="30" t="s">
        <v>77</v>
      </c>
      <c r="P2973" s="72" t="s">
        <v>78</v>
      </c>
      <c r="Q2973" s="72" t="s">
        <v>16845</v>
      </c>
      <c r="R2973" s="72" t="s">
        <v>840</v>
      </c>
      <c r="S2973" s="30">
        <v>0</v>
      </c>
      <c r="T2973" s="232">
        <v>0</v>
      </c>
      <c r="U2973" s="30">
        <v>0</v>
      </c>
      <c r="V2973" s="232">
        <v>0</v>
      </c>
      <c r="W2973" s="30">
        <v>0</v>
      </c>
      <c r="X2973" s="30">
        <v>0</v>
      </c>
      <c r="Y2973" s="30">
        <v>0</v>
      </c>
      <c r="Z2973" s="232">
        <v>0</v>
      </c>
      <c r="AA2973" s="30">
        <v>0</v>
      </c>
      <c r="AB2973" s="30">
        <v>0</v>
      </c>
      <c r="AC2973" s="30">
        <v>0</v>
      </c>
      <c r="AD2973" s="30">
        <v>0</v>
      </c>
      <c r="AE2973" s="72" t="s">
        <v>92</v>
      </c>
      <c r="AF2973" s="72"/>
      <c r="AG2973" s="72" t="s">
        <v>133</v>
      </c>
      <c r="AH2973" s="72">
        <v>43700</v>
      </c>
      <c r="AI2973" s="30">
        <v>0</v>
      </c>
      <c r="AJ2973" s="72" t="s">
        <v>16846</v>
      </c>
      <c r="AK2973" s="72" t="s">
        <v>16847</v>
      </c>
      <c r="AL2973" s="70">
        <v>43703</v>
      </c>
      <c r="AM2973" s="70"/>
      <c r="AN2973" s="70">
        <v>45012</v>
      </c>
      <c r="AO2973" s="70">
        <v>44180</v>
      </c>
      <c r="AP2973" s="70">
        <v>44430</v>
      </c>
      <c r="AQ2973" s="70">
        <v>44431</v>
      </c>
      <c r="AR2973" s="70">
        <v>44432</v>
      </c>
      <c r="AS2973" s="70">
        <v>44433</v>
      </c>
      <c r="AT2973" s="70">
        <v>44434</v>
      </c>
      <c r="AU2973" s="70">
        <v>44435</v>
      </c>
      <c r="AV2973" s="70">
        <v>44436</v>
      </c>
      <c r="AW2973" s="70">
        <v>44437</v>
      </c>
      <c r="AX2973" s="70">
        <v>44438</v>
      </c>
      <c r="AY2973" s="70">
        <v>44439</v>
      </c>
      <c r="AZ2973" s="70">
        <v>44440</v>
      </c>
      <c r="BA2973" s="70">
        <v>44441</v>
      </c>
      <c r="BB2973" s="70">
        <v>44442</v>
      </c>
      <c r="BC2973" s="70">
        <v>44443</v>
      </c>
    </row>
    <row r="2974" spans="1:55" ht="36.75" customHeight="1">
      <c r="A2974" s="30"/>
      <c r="B2974" s="30" t="s">
        <v>55</v>
      </c>
      <c r="C2974" s="69" t="str">
        <f t="shared" si="252"/>
        <v>Closed</v>
      </c>
      <c r="D2974" s="126" t="s">
        <v>16848</v>
      </c>
      <c r="E2974" s="29" t="s">
        <v>16849</v>
      </c>
      <c r="F2974" s="30" t="s">
        <v>6455</v>
      </c>
      <c r="G2974" s="72">
        <f>DATE(2019,8,24)</f>
        <v>43701</v>
      </c>
      <c r="H2974" s="80">
        <v>1.7743055555555554</v>
      </c>
      <c r="I2974" s="30" t="s">
        <v>73</v>
      </c>
      <c r="J2974" s="72" t="s">
        <v>16850</v>
      </c>
      <c r="K2974" s="30" t="s">
        <v>584</v>
      </c>
      <c r="L2974" s="30" t="s">
        <v>16851</v>
      </c>
      <c r="M2974" s="30" t="s">
        <v>63</v>
      </c>
      <c r="N2974" s="30" t="s">
        <v>142</v>
      </c>
      <c r="O2974" s="30" t="s">
        <v>64</v>
      </c>
      <c r="P2974" s="72" t="s">
        <v>78</v>
      </c>
      <c r="Q2974" s="72" t="s">
        <v>16852</v>
      </c>
      <c r="R2974" s="72" t="s">
        <v>13254</v>
      </c>
      <c r="S2974" s="30">
        <v>0</v>
      </c>
      <c r="T2974" s="232">
        <v>0</v>
      </c>
      <c r="U2974" s="30">
        <v>0</v>
      </c>
      <c r="V2974" s="232">
        <v>0</v>
      </c>
      <c r="W2974" s="30">
        <v>0</v>
      </c>
      <c r="X2974" s="30">
        <v>0</v>
      </c>
      <c r="Y2974" s="30">
        <v>0</v>
      </c>
      <c r="Z2974" s="232">
        <v>0</v>
      </c>
      <c r="AA2974" s="30">
        <v>0</v>
      </c>
      <c r="AB2974" s="30">
        <v>0</v>
      </c>
      <c r="AC2974" s="30">
        <v>0</v>
      </c>
      <c r="AD2974" s="30">
        <v>0</v>
      </c>
      <c r="AE2974" s="72" t="s">
        <v>145</v>
      </c>
      <c r="AF2974" s="72" t="s">
        <v>16853</v>
      </c>
      <c r="AG2974" s="72" t="s">
        <v>6459</v>
      </c>
      <c r="AH2974" s="72">
        <v>43703</v>
      </c>
      <c r="AI2974" s="30">
        <v>0</v>
      </c>
      <c r="AJ2974" s="72" t="s">
        <v>16854</v>
      </c>
      <c r="AK2974" s="72" t="s">
        <v>68</v>
      </c>
      <c r="AL2974" s="70">
        <v>43746</v>
      </c>
      <c r="AM2974" s="70"/>
      <c r="AN2974" s="70">
        <v>44428</v>
      </c>
      <c r="AO2974" s="70">
        <v>44427</v>
      </c>
      <c r="AP2974" s="73" t="e">
        <f>MID(VLOOKUP(K2974,#REF!,2,FALSE),1,2)</f>
        <v>#REF!</v>
      </c>
      <c r="AQ2974" s="72">
        <f>DATE(2019,8,25)</f>
        <v>43702</v>
      </c>
      <c r="AR2974" s="83">
        <f t="shared" ref="AR2974:AR3005" si="253">DAY(AQ2974)</f>
        <v>25</v>
      </c>
      <c r="AS2974" s="84">
        <f t="shared" ref="AS2974:AS3005" si="254">MONTH(AQ2974)</f>
        <v>8</v>
      </c>
      <c r="AT2974" s="86">
        <f t="shared" ref="AT2974:AT3005" si="255">YEAR(AQ2974)</f>
        <v>2019</v>
      </c>
      <c r="AU2974" s="86"/>
      <c r="AV2974" s="87"/>
      <c r="AW2974" s="86"/>
      <c r="AX2974" s="83"/>
      <c r="AY2974" s="84"/>
      <c r="AZ2974" s="86"/>
      <c r="BA2974" s="86"/>
      <c r="BB2974" s="86"/>
    </row>
    <row r="2975" spans="1:55" ht="36.75" customHeight="1">
      <c r="A2975" s="30"/>
      <c r="B2975" s="30" t="s">
        <v>55</v>
      </c>
      <c r="C2975" s="69" t="str">
        <f t="shared" si="252"/>
        <v>Closed</v>
      </c>
      <c r="D2975" s="27" t="s">
        <v>16855</v>
      </c>
      <c r="E2975" s="29" t="s">
        <v>16856</v>
      </c>
      <c r="F2975" s="30" t="s">
        <v>423</v>
      </c>
      <c r="G2975" s="72">
        <f>DATE(2019,8,25)</f>
        <v>43702</v>
      </c>
      <c r="H2975" s="80">
        <v>1.2430555555555556</v>
      </c>
      <c r="I2975" s="30" t="s">
        <v>2078</v>
      </c>
      <c r="J2975" s="72" t="s">
        <v>16857</v>
      </c>
      <c r="K2975" s="30" t="s">
        <v>425</v>
      </c>
      <c r="L2975" s="30" t="s">
        <v>16858</v>
      </c>
      <c r="M2975" s="30" t="s">
        <v>255</v>
      </c>
      <c r="N2975" s="30" t="s">
        <v>142</v>
      </c>
      <c r="O2975" s="30" t="s">
        <v>64</v>
      </c>
      <c r="P2975" s="72" t="s">
        <v>6552</v>
      </c>
      <c r="Q2975" s="72" t="s">
        <v>2883</v>
      </c>
      <c r="R2975" s="72" t="s">
        <v>2883</v>
      </c>
      <c r="S2975" s="30">
        <v>0</v>
      </c>
      <c r="T2975" s="232">
        <v>0</v>
      </c>
      <c r="U2975" s="30">
        <v>0</v>
      </c>
      <c r="V2975" s="232">
        <v>0</v>
      </c>
      <c r="W2975" s="30">
        <v>0</v>
      </c>
      <c r="X2975" s="30">
        <v>0</v>
      </c>
      <c r="Y2975" s="30">
        <v>0</v>
      </c>
      <c r="Z2975" s="232">
        <v>0</v>
      </c>
      <c r="AA2975" s="30">
        <v>0</v>
      </c>
      <c r="AB2975" s="30">
        <v>0</v>
      </c>
      <c r="AC2975" s="30">
        <v>0</v>
      </c>
      <c r="AD2975" s="30">
        <v>0</v>
      </c>
      <c r="AE2975" s="72" t="s">
        <v>92</v>
      </c>
      <c r="AF2975" s="72"/>
      <c r="AG2975" s="72" t="s">
        <v>16859</v>
      </c>
      <c r="AH2975" s="72">
        <v>43712</v>
      </c>
      <c r="AI2975" s="30">
        <v>1</v>
      </c>
      <c r="AJ2975" s="72" t="s">
        <v>16860</v>
      </c>
      <c r="AK2975" s="72" t="s">
        <v>16861</v>
      </c>
      <c r="AL2975" s="70">
        <v>43714</v>
      </c>
      <c r="AM2975" s="70"/>
      <c r="AN2975" s="70"/>
      <c r="AO2975" s="70"/>
      <c r="AP2975" s="73" t="e">
        <f>MID(VLOOKUP(K2975,#REF!,2,FALSE),1,2)</f>
        <v>#REF!</v>
      </c>
      <c r="AQ2975" s="72">
        <f>DATE(2019,8,26)</f>
        <v>43703</v>
      </c>
      <c r="AR2975" s="83">
        <f t="shared" si="253"/>
        <v>26</v>
      </c>
      <c r="AS2975" s="84">
        <f t="shared" si="254"/>
        <v>8</v>
      </c>
      <c r="AT2975" s="86">
        <f t="shared" si="255"/>
        <v>2019</v>
      </c>
      <c r="AU2975" s="86"/>
      <c r="AV2975" s="87"/>
      <c r="AW2975" s="86"/>
      <c r="AX2975" s="83"/>
      <c r="AY2975" s="84"/>
      <c r="AZ2975" s="86"/>
      <c r="BA2975" s="86"/>
      <c r="BB2975" s="86"/>
    </row>
    <row r="2976" spans="1:55" ht="36.75" customHeight="1">
      <c r="A2976" s="30"/>
      <c r="B2976" s="30" t="s">
        <v>55</v>
      </c>
      <c r="C2976" s="69" t="str">
        <f t="shared" si="252"/>
        <v>Closed</v>
      </c>
      <c r="D2976" s="27" t="s">
        <v>16862</v>
      </c>
      <c r="E2976" s="29" t="s">
        <v>16863</v>
      </c>
      <c r="F2976" s="30" t="s">
        <v>124</v>
      </c>
      <c r="G2976" s="72">
        <f>DATE(2019,8,26)</f>
        <v>43703</v>
      </c>
      <c r="H2976" s="80">
        <v>1.8958333333333335</v>
      </c>
      <c r="I2976" s="30" t="s">
        <v>487</v>
      </c>
      <c r="J2976" s="72" t="s">
        <v>16864</v>
      </c>
      <c r="K2976" s="30" t="s">
        <v>127</v>
      </c>
      <c r="L2976" s="30" t="s">
        <v>16865</v>
      </c>
      <c r="M2976" s="30" t="s">
        <v>9919</v>
      </c>
      <c r="N2976" s="30" t="s">
        <v>99</v>
      </c>
      <c r="O2976" s="30" t="s">
        <v>77</v>
      </c>
      <c r="P2976" s="72" t="s">
        <v>7982</v>
      </c>
      <c r="Q2976" s="72" t="s">
        <v>16866</v>
      </c>
      <c r="R2976" s="72" t="s">
        <v>16866</v>
      </c>
      <c r="S2976" s="30">
        <v>0</v>
      </c>
      <c r="T2976" s="232">
        <v>0</v>
      </c>
      <c r="U2976" s="30">
        <v>0</v>
      </c>
      <c r="V2976" s="232">
        <v>0</v>
      </c>
      <c r="W2976" s="30">
        <v>0</v>
      </c>
      <c r="X2976" s="30">
        <v>0</v>
      </c>
      <c r="Y2976" s="30">
        <v>0</v>
      </c>
      <c r="Z2976" s="232">
        <v>0</v>
      </c>
      <c r="AA2976" s="30">
        <v>0</v>
      </c>
      <c r="AB2976" s="30">
        <v>0</v>
      </c>
      <c r="AC2976" s="30">
        <v>0</v>
      </c>
      <c r="AD2976" s="30">
        <v>0</v>
      </c>
      <c r="AE2976" s="72" t="s">
        <v>92</v>
      </c>
      <c r="AF2976" s="72" t="s">
        <v>16867</v>
      </c>
      <c r="AG2976" s="72" t="s">
        <v>13537</v>
      </c>
      <c r="AH2976" s="72">
        <v>43706</v>
      </c>
      <c r="AI2976" s="30">
        <v>0</v>
      </c>
      <c r="AJ2976" s="72" t="s">
        <v>16868</v>
      </c>
      <c r="AK2976" s="72" t="s">
        <v>16869</v>
      </c>
      <c r="AL2976" s="70">
        <v>43706</v>
      </c>
      <c r="AM2976" s="70"/>
      <c r="AN2976" s="70">
        <v>44550</v>
      </c>
      <c r="AO2976" s="70">
        <v>44053</v>
      </c>
      <c r="AP2976" s="73" t="e">
        <f>MID(VLOOKUP(K2976,#REF!,2,FALSE),1,2)</f>
        <v>#REF!</v>
      </c>
      <c r="AQ2976" s="72">
        <f>DATE(2019,8,27)</f>
        <v>43704</v>
      </c>
      <c r="AR2976" s="83">
        <f t="shared" si="253"/>
        <v>27</v>
      </c>
      <c r="AS2976" s="83">
        <f t="shared" si="254"/>
        <v>8</v>
      </c>
      <c r="AT2976" s="120">
        <f t="shared" si="255"/>
        <v>2019</v>
      </c>
      <c r="AU2976" s="86"/>
      <c r="AV2976" s="86"/>
      <c r="AW2976" s="87"/>
      <c r="AX2976" s="104"/>
      <c r="AY2976" s="83"/>
      <c r="AZ2976" s="120"/>
      <c r="BA2976" s="86"/>
      <c r="BB2976" s="86"/>
    </row>
    <row r="2977" spans="1:54" ht="36.75" customHeight="1">
      <c r="A2977" s="30"/>
      <c r="B2977" s="30" t="s">
        <v>55</v>
      </c>
      <c r="C2977" s="69" t="str">
        <f t="shared" si="252"/>
        <v>Closed</v>
      </c>
      <c r="D2977" s="27" t="s">
        <v>16870</v>
      </c>
      <c r="E2977" s="29" t="s">
        <v>16871</v>
      </c>
      <c r="F2977" s="30" t="s">
        <v>835</v>
      </c>
      <c r="G2977" s="72">
        <f>DATE(2019,8,26)</f>
        <v>43703</v>
      </c>
      <c r="H2977" s="80">
        <v>1.7847222222222223</v>
      </c>
      <c r="I2977" s="30" t="s">
        <v>156</v>
      </c>
      <c r="J2977" s="72" t="s">
        <v>16872</v>
      </c>
      <c r="K2977" s="30" t="s">
        <v>837</v>
      </c>
      <c r="L2977" s="30" t="s">
        <v>16873</v>
      </c>
      <c r="M2977" s="30" t="s">
        <v>255</v>
      </c>
      <c r="N2977" s="30" t="s">
        <v>142</v>
      </c>
      <c r="O2977" s="30" t="s">
        <v>64</v>
      </c>
      <c r="P2977" s="72" t="s">
        <v>16280</v>
      </c>
      <c r="Q2977" s="72" t="s">
        <v>4210</v>
      </c>
      <c r="R2977" s="72" t="s">
        <v>4210</v>
      </c>
      <c r="S2977" s="30">
        <v>0</v>
      </c>
      <c r="T2977" s="232">
        <v>0</v>
      </c>
      <c r="U2977" s="30">
        <v>0</v>
      </c>
      <c r="V2977" s="232">
        <v>0</v>
      </c>
      <c r="W2977" s="30">
        <v>0</v>
      </c>
      <c r="X2977" s="30">
        <v>0</v>
      </c>
      <c r="Y2977" s="30">
        <v>0</v>
      </c>
      <c r="Z2977" s="232">
        <v>0</v>
      </c>
      <c r="AA2977" s="30">
        <v>0</v>
      </c>
      <c r="AB2977" s="30">
        <v>0</v>
      </c>
      <c r="AC2977" s="30">
        <v>0</v>
      </c>
      <c r="AD2977" s="30">
        <v>0</v>
      </c>
      <c r="AE2977" s="72" t="s">
        <v>92</v>
      </c>
      <c r="AF2977" s="72"/>
      <c r="AG2977" s="72" t="s">
        <v>589</v>
      </c>
      <c r="AH2977" s="72">
        <v>43704</v>
      </c>
      <c r="AI2977" s="30">
        <v>1</v>
      </c>
      <c r="AJ2977" s="72" t="s">
        <v>16874</v>
      </c>
      <c r="AK2977" s="72" t="s">
        <v>16875</v>
      </c>
      <c r="AL2977" s="70">
        <v>43749</v>
      </c>
      <c r="AM2977" s="70"/>
      <c r="AN2977" s="70"/>
      <c r="AO2977" s="70"/>
      <c r="AP2977" s="73" t="e">
        <f>MID(VLOOKUP(K2977,#REF!,2,FALSE),1,2)</f>
        <v>#REF!</v>
      </c>
      <c r="AQ2977" s="72">
        <f>DATE(2019,8,29)</f>
        <v>43706</v>
      </c>
      <c r="AR2977" s="83">
        <f t="shared" si="253"/>
        <v>29</v>
      </c>
      <c r="AS2977" s="84">
        <f t="shared" si="254"/>
        <v>8</v>
      </c>
      <c r="AT2977" s="86">
        <f t="shared" si="255"/>
        <v>2019</v>
      </c>
      <c r="AU2977" s="86"/>
      <c r="AV2977" s="87"/>
      <c r="AW2977" s="86"/>
      <c r="AX2977" s="83"/>
      <c r="AY2977" s="84"/>
      <c r="AZ2977" s="86"/>
      <c r="BA2977" s="86"/>
      <c r="BB2977" s="86"/>
    </row>
    <row r="2978" spans="1:54" ht="36.75" customHeight="1">
      <c r="A2978" s="30"/>
      <c r="B2978" s="30" t="s">
        <v>55</v>
      </c>
      <c r="C2978" s="69" t="str">
        <f t="shared" si="252"/>
        <v>Closed</v>
      </c>
      <c r="D2978" s="27" t="s">
        <v>16876</v>
      </c>
      <c r="E2978" s="29" t="s">
        <v>16877</v>
      </c>
      <c r="F2978" s="30" t="s">
        <v>1572</v>
      </c>
      <c r="G2978" s="72">
        <f>DATE(2019,8,27)</f>
        <v>43704</v>
      </c>
      <c r="H2978" s="80">
        <v>1.5625</v>
      </c>
      <c r="I2978" s="30" t="s">
        <v>73</v>
      </c>
      <c r="J2978" s="72" t="s">
        <v>16878</v>
      </c>
      <c r="K2978" s="30" t="s">
        <v>1574</v>
      </c>
      <c r="L2978" s="30" t="s">
        <v>9712</v>
      </c>
      <c r="M2978" s="30" t="s">
        <v>63</v>
      </c>
      <c r="N2978" s="30" t="s">
        <v>99</v>
      </c>
      <c r="O2978" s="30" t="s">
        <v>64</v>
      </c>
      <c r="P2978" s="72" t="s">
        <v>381</v>
      </c>
      <c r="Q2978" s="72" t="s">
        <v>16418</v>
      </c>
      <c r="R2978" s="72" t="s">
        <v>4920</v>
      </c>
      <c r="S2978" s="30">
        <v>0</v>
      </c>
      <c r="T2978" s="232">
        <v>0</v>
      </c>
      <c r="U2978" s="30">
        <v>0</v>
      </c>
      <c r="V2978" s="232">
        <v>0</v>
      </c>
      <c r="W2978" s="30">
        <v>0</v>
      </c>
      <c r="X2978" s="30">
        <v>0</v>
      </c>
      <c r="Y2978" s="30">
        <v>0</v>
      </c>
      <c r="Z2978" s="232">
        <v>0</v>
      </c>
      <c r="AA2978" s="30">
        <v>0</v>
      </c>
      <c r="AB2978" s="30">
        <v>0</v>
      </c>
      <c r="AC2978" s="30">
        <v>0</v>
      </c>
      <c r="AD2978" s="30">
        <v>0</v>
      </c>
      <c r="AE2978" s="72" t="s">
        <v>92</v>
      </c>
      <c r="AF2978" s="72"/>
      <c r="AG2978" s="72" t="s">
        <v>133</v>
      </c>
      <c r="AH2978" s="72">
        <v>43705</v>
      </c>
      <c r="AI2978" s="30">
        <v>2</v>
      </c>
      <c r="AJ2978" s="72" t="s">
        <v>16879</v>
      </c>
      <c r="AK2978" s="72" t="s">
        <v>16880</v>
      </c>
      <c r="AL2978" s="70">
        <v>43706</v>
      </c>
      <c r="AM2978" s="70"/>
      <c r="AN2978" s="70"/>
      <c r="AO2978" s="70"/>
      <c r="AP2978" s="73" t="e">
        <f>MID(VLOOKUP(K2978,#REF!,2,FALSE),1,2)</f>
        <v>#REF!</v>
      </c>
      <c r="AQ2978" s="72">
        <f>DATE(2019,8,30)</f>
        <v>43707</v>
      </c>
      <c r="AR2978" s="83">
        <f t="shared" si="253"/>
        <v>30</v>
      </c>
      <c r="AS2978" s="84">
        <f t="shared" si="254"/>
        <v>8</v>
      </c>
      <c r="AT2978" s="86">
        <f t="shared" si="255"/>
        <v>2019</v>
      </c>
      <c r="AU2978" s="86"/>
      <c r="AV2978" s="87"/>
      <c r="AW2978" s="86"/>
      <c r="AX2978" s="83"/>
      <c r="AY2978" s="84"/>
      <c r="AZ2978" s="86"/>
      <c r="BA2978" s="86"/>
      <c r="BB2978" s="86"/>
    </row>
    <row r="2979" spans="1:54" ht="36.75" customHeight="1">
      <c r="A2979" s="30"/>
      <c r="B2979" s="30" t="s">
        <v>55</v>
      </c>
      <c r="C2979" s="69" t="str">
        <f t="shared" si="252"/>
        <v>Closed</v>
      </c>
      <c r="D2979" s="27" t="s">
        <v>16881</v>
      </c>
      <c r="E2979" s="29" t="s">
        <v>16882</v>
      </c>
      <c r="F2979" s="30" t="s">
        <v>423</v>
      </c>
      <c r="G2979" s="72">
        <f>DATE(2019,8,29)</f>
        <v>43706</v>
      </c>
      <c r="H2979" s="80">
        <v>1.6937500000000001</v>
      </c>
      <c r="I2979" s="30" t="s">
        <v>104</v>
      </c>
      <c r="J2979" s="72" t="s">
        <v>16883</v>
      </c>
      <c r="K2979" s="30" t="s">
        <v>425</v>
      </c>
      <c r="L2979" s="30" t="s">
        <v>12719</v>
      </c>
      <c r="M2979" s="30" t="s">
        <v>63</v>
      </c>
      <c r="N2979" s="30" t="s">
        <v>89</v>
      </c>
      <c r="O2979" s="30" t="s">
        <v>77</v>
      </c>
      <c r="P2979" s="72" t="s">
        <v>7362</v>
      </c>
      <c r="Q2979" s="72" t="s">
        <v>4551</v>
      </c>
      <c r="R2979" s="72" t="s">
        <v>3103</v>
      </c>
      <c r="S2979" s="30">
        <v>0</v>
      </c>
      <c r="T2979" s="232">
        <v>0</v>
      </c>
      <c r="U2979" s="30">
        <v>0</v>
      </c>
      <c r="V2979" s="232">
        <v>0</v>
      </c>
      <c r="W2979" s="30">
        <v>0</v>
      </c>
      <c r="X2979" s="30">
        <v>0</v>
      </c>
      <c r="Y2979" s="30">
        <v>0</v>
      </c>
      <c r="Z2979" s="232">
        <v>0</v>
      </c>
      <c r="AA2979" s="30">
        <v>0</v>
      </c>
      <c r="AB2979" s="30">
        <v>0</v>
      </c>
      <c r="AC2979" s="30">
        <v>0</v>
      </c>
      <c r="AD2979" s="30">
        <v>0</v>
      </c>
      <c r="AE2979" s="72" t="s">
        <v>92</v>
      </c>
      <c r="AF2979" s="72"/>
      <c r="AG2979" s="72" t="s">
        <v>13201</v>
      </c>
      <c r="AH2979" s="72">
        <v>43706</v>
      </c>
      <c r="AI2979" s="30">
        <v>0</v>
      </c>
      <c r="AJ2979" s="72" t="s">
        <v>16884</v>
      </c>
      <c r="AK2979" s="72" t="s">
        <v>16885</v>
      </c>
      <c r="AL2979" s="70">
        <v>43710</v>
      </c>
      <c r="AM2979" s="70"/>
      <c r="AN2979" s="70"/>
      <c r="AO2979" s="70"/>
      <c r="AP2979" s="73" t="e">
        <f>MID(VLOOKUP(K2979,#REF!,2,FALSE),1,2)</f>
        <v>#REF!</v>
      </c>
      <c r="AQ2979" s="72">
        <f>DATE(2019,8,31)</f>
        <v>43708</v>
      </c>
      <c r="AR2979" s="83">
        <f t="shared" si="253"/>
        <v>31</v>
      </c>
      <c r="AS2979" s="84">
        <f t="shared" si="254"/>
        <v>8</v>
      </c>
      <c r="AT2979" s="86">
        <f t="shared" si="255"/>
        <v>2019</v>
      </c>
      <c r="AU2979" s="86"/>
      <c r="AV2979" s="87"/>
      <c r="AW2979" s="86"/>
      <c r="AX2979" s="83"/>
      <c r="AY2979" s="84"/>
      <c r="AZ2979" s="86"/>
      <c r="BA2979" s="86"/>
      <c r="BB2979" s="86"/>
    </row>
    <row r="2980" spans="1:54" ht="36.75" customHeight="1">
      <c r="A2980" s="30"/>
      <c r="B2980" s="30" t="s">
        <v>55</v>
      </c>
      <c r="C2980" s="69" t="str">
        <f t="shared" si="252"/>
        <v>Closed</v>
      </c>
      <c r="D2980" s="27" t="s">
        <v>16886</v>
      </c>
      <c r="E2980" s="29" t="s">
        <v>16887</v>
      </c>
      <c r="F2980" s="30" t="s">
        <v>1572</v>
      </c>
      <c r="G2980" s="72">
        <f>DATE(2019,8,30)</f>
        <v>43707</v>
      </c>
      <c r="H2980" s="80">
        <v>1.2152777777777777</v>
      </c>
      <c r="I2980" s="30" t="s">
        <v>73</v>
      </c>
      <c r="J2980" s="72" t="s">
        <v>16888</v>
      </c>
      <c r="K2980" s="30" t="s">
        <v>1574</v>
      </c>
      <c r="L2980" s="30" t="s">
        <v>16535</v>
      </c>
      <c r="M2980" s="30" t="s">
        <v>63</v>
      </c>
      <c r="N2980" s="30" t="s">
        <v>99</v>
      </c>
      <c r="O2980" s="30" t="s">
        <v>77</v>
      </c>
      <c r="P2980" s="72" t="s">
        <v>78</v>
      </c>
      <c r="Q2980" s="72" t="s">
        <v>9075</v>
      </c>
      <c r="R2980" s="72" t="s">
        <v>6434</v>
      </c>
      <c r="S2980" s="30">
        <v>0</v>
      </c>
      <c r="T2980" s="232">
        <v>0</v>
      </c>
      <c r="U2980" s="30">
        <v>0</v>
      </c>
      <c r="V2980" s="232">
        <v>0</v>
      </c>
      <c r="W2980" s="30">
        <v>0</v>
      </c>
      <c r="X2980" s="30">
        <v>0</v>
      </c>
      <c r="Y2980" s="30">
        <v>0</v>
      </c>
      <c r="Z2980" s="232">
        <v>0</v>
      </c>
      <c r="AA2980" s="30">
        <v>0</v>
      </c>
      <c r="AB2980" s="30">
        <v>0</v>
      </c>
      <c r="AC2980" s="30">
        <v>0</v>
      </c>
      <c r="AD2980" s="30">
        <v>0</v>
      </c>
      <c r="AE2980" s="72" t="s">
        <v>92</v>
      </c>
      <c r="AF2980" s="72"/>
      <c r="AG2980" s="72" t="s">
        <v>133</v>
      </c>
      <c r="AH2980" s="72">
        <v>43710</v>
      </c>
      <c r="AI2980" s="30">
        <v>2</v>
      </c>
      <c r="AJ2980" s="72" t="s">
        <v>16889</v>
      </c>
      <c r="AK2980" s="72" t="s">
        <v>16890</v>
      </c>
      <c r="AL2980" s="70">
        <v>43713</v>
      </c>
      <c r="AM2980" s="70"/>
      <c r="AN2980" s="70"/>
      <c r="AO2980" s="70"/>
      <c r="AP2980" s="73" t="e">
        <f>MID(VLOOKUP(K2980,#REF!,2,FALSE),1,2)</f>
        <v>#REF!</v>
      </c>
      <c r="AQ2980" s="72">
        <f>DATE(2019,9,1)</f>
        <v>43709</v>
      </c>
      <c r="AR2980" s="83">
        <f t="shared" si="253"/>
        <v>1</v>
      </c>
      <c r="AS2980" s="84">
        <f t="shared" si="254"/>
        <v>9</v>
      </c>
      <c r="AT2980" s="86">
        <f t="shared" si="255"/>
        <v>2019</v>
      </c>
      <c r="AU2980" s="86"/>
      <c r="AV2980" s="87"/>
      <c r="AW2980" s="86"/>
      <c r="AX2980" s="83"/>
      <c r="AY2980" s="84"/>
      <c r="AZ2980" s="86"/>
      <c r="BA2980" s="86"/>
      <c r="BB2980" s="86"/>
    </row>
    <row r="2981" spans="1:54" ht="36.75" customHeight="1">
      <c r="A2981" s="30"/>
      <c r="B2981" s="30" t="s">
        <v>55</v>
      </c>
      <c r="C2981" s="69" t="str">
        <f t="shared" si="252"/>
        <v>Closed</v>
      </c>
      <c r="D2981" s="27" t="s">
        <v>16891</v>
      </c>
      <c r="E2981" s="29" t="s">
        <v>16892</v>
      </c>
      <c r="F2981" s="30" t="s">
        <v>423</v>
      </c>
      <c r="G2981" s="72">
        <f>DATE(2019,8,31)</f>
        <v>43708</v>
      </c>
      <c r="H2981" s="80">
        <v>1.6486111111111112</v>
      </c>
      <c r="I2981" s="30" t="s">
        <v>73</v>
      </c>
      <c r="J2981" s="72" t="s">
        <v>16893</v>
      </c>
      <c r="K2981" s="30" t="s">
        <v>425</v>
      </c>
      <c r="L2981" s="30" t="s">
        <v>16894</v>
      </c>
      <c r="M2981" s="30" t="s">
        <v>63</v>
      </c>
      <c r="N2981" s="30" t="s">
        <v>99</v>
      </c>
      <c r="O2981" s="30" t="s">
        <v>77</v>
      </c>
      <c r="P2981" s="72" t="s">
        <v>165</v>
      </c>
      <c r="Q2981" s="72" t="s">
        <v>4551</v>
      </c>
      <c r="R2981" s="72" t="s">
        <v>3103</v>
      </c>
      <c r="S2981" s="30">
        <v>0</v>
      </c>
      <c r="T2981" s="232">
        <v>0</v>
      </c>
      <c r="U2981" s="30">
        <v>0</v>
      </c>
      <c r="V2981" s="232">
        <v>0</v>
      </c>
      <c r="W2981" s="30">
        <v>0</v>
      </c>
      <c r="X2981" s="30">
        <v>0</v>
      </c>
      <c r="Y2981" s="30">
        <v>0</v>
      </c>
      <c r="Z2981" s="232">
        <v>0</v>
      </c>
      <c r="AA2981" s="30">
        <v>0</v>
      </c>
      <c r="AB2981" s="30">
        <v>0</v>
      </c>
      <c r="AC2981" s="30">
        <v>0</v>
      </c>
      <c r="AD2981" s="30">
        <v>0</v>
      </c>
      <c r="AE2981" s="72" t="s">
        <v>92</v>
      </c>
      <c r="AF2981" s="72"/>
      <c r="AG2981" s="72" t="s">
        <v>352</v>
      </c>
      <c r="AH2981" s="72">
        <v>43708</v>
      </c>
      <c r="AI2981" s="30">
        <v>0</v>
      </c>
      <c r="AJ2981" s="72" t="s">
        <v>16895</v>
      </c>
      <c r="AK2981" s="72" t="s">
        <v>16896</v>
      </c>
      <c r="AL2981" s="70">
        <v>43710</v>
      </c>
      <c r="AM2981" s="70"/>
      <c r="AN2981" s="70"/>
      <c r="AO2981" s="70"/>
      <c r="AP2981" s="73" t="e">
        <f>MID(VLOOKUP(K2981,#REF!,2,FALSE),1,2)</f>
        <v>#REF!</v>
      </c>
      <c r="AQ2981" s="72">
        <f>DATE(2019,9,1)</f>
        <v>43709</v>
      </c>
      <c r="AR2981" s="83">
        <f t="shared" si="253"/>
        <v>1</v>
      </c>
      <c r="AS2981" s="84">
        <f t="shared" si="254"/>
        <v>9</v>
      </c>
      <c r="AT2981" s="86">
        <f t="shared" si="255"/>
        <v>2019</v>
      </c>
      <c r="AU2981" s="86"/>
      <c r="AV2981" s="87"/>
      <c r="AW2981" s="86"/>
      <c r="AX2981" s="83"/>
      <c r="AY2981" s="84"/>
      <c r="AZ2981" s="86"/>
      <c r="BA2981" s="86"/>
      <c r="BB2981" s="86"/>
    </row>
    <row r="2982" spans="1:54" ht="36.75" customHeight="1">
      <c r="A2982" s="30"/>
      <c r="B2982" s="30" t="s">
        <v>55</v>
      </c>
      <c r="C2982" s="69" t="str">
        <f t="shared" si="252"/>
        <v>Closed</v>
      </c>
      <c r="D2982" s="27" t="s">
        <v>16897</v>
      </c>
      <c r="E2982" s="29" t="s">
        <v>16898</v>
      </c>
      <c r="F2982" s="30" t="s">
        <v>58</v>
      </c>
      <c r="G2982" s="72">
        <f>DATE(2019,9,1)</f>
        <v>43709</v>
      </c>
      <c r="H2982" s="80">
        <v>1</v>
      </c>
      <c r="I2982" s="30" t="s">
        <v>5494</v>
      </c>
      <c r="J2982" s="72" t="s">
        <v>16899</v>
      </c>
      <c r="K2982" s="30" t="s">
        <v>61</v>
      </c>
      <c r="L2982" s="30" t="s">
        <v>16900</v>
      </c>
      <c r="M2982" s="30" t="s">
        <v>63</v>
      </c>
      <c r="N2982" s="30" t="s">
        <v>89</v>
      </c>
      <c r="O2982" s="30" t="s">
        <v>90</v>
      </c>
      <c r="P2982" s="72"/>
      <c r="Q2982" s="72" t="s">
        <v>66</v>
      </c>
      <c r="R2982" s="72" t="s">
        <v>16901</v>
      </c>
      <c r="S2982" s="30">
        <v>0</v>
      </c>
      <c r="T2982" s="232">
        <v>0</v>
      </c>
      <c r="U2982" s="30">
        <v>0</v>
      </c>
      <c r="V2982" s="232">
        <v>0</v>
      </c>
      <c r="W2982" s="30">
        <v>0</v>
      </c>
      <c r="X2982" s="30">
        <v>0</v>
      </c>
      <c r="Y2982" s="30">
        <v>0</v>
      </c>
      <c r="Z2982" s="232">
        <v>0</v>
      </c>
      <c r="AA2982" s="30">
        <v>0</v>
      </c>
      <c r="AB2982" s="30">
        <v>0</v>
      </c>
      <c r="AC2982" s="30">
        <v>0</v>
      </c>
      <c r="AD2982" s="30">
        <v>0</v>
      </c>
      <c r="AE2982" s="72" t="s">
        <v>145</v>
      </c>
      <c r="AF2982" s="72"/>
      <c r="AG2982" s="72" t="s">
        <v>352</v>
      </c>
      <c r="AH2982" s="72">
        <v>43700</v>
      </c>
      <c r="AI2982" s="30">
        <v>9</v>
      </c>
      <c r="AJ2982" s="72" t="s">
        <v>16902</v>
      </c>
      <c r="AK2982" s="72" t="s">
        <v>16903</v>
      </c>
      <c r="AL2982" s="70">
        <v>44105</v>
      </c>
      <c r="AM2982" s="70"/>
      <c r="AN2982" s="70"/>
      <c r="AO2982" s="70"/>
      <c r="AP2982" s="73" t="e">
        <f>MID(VLOOKUP(K2982,#REF!,2,FALSE),1,2)</f>
        <v>#REF!</v>
      </c>
      <c r="AQ2982" s="72">
        <f>DATE(2019,9,6)</f>
        <v>43714</v>
      </c>
      <c r="AR2982" s="83">
        <f t="shared" si="253"/>
        <v>6</v>
      </c>
      <c r="AS2982" s="84">
        <f t="shared" si="254"/>
        <v>9</v>
      </c>
      <c r="AT2982" s="86">
        <f t="shared" si="255"/>
        <v>2019</v>
      </c>
      <c r="AU2982" s="86"/>
      <c r="AV2982" s="87"/>
      <c r="AW2982" s="86"/>
      <c r="AX2982" s="83"/>
      <c r="AY2982" s="84"/>
      <c r="AZ2982" s="86"/>
      <c r="BA2982" s="86"/>
      <c r="BB2982" s="86"/>
    </row>
    <row r="2983" spans="1:54" ht="36.75" customHeight="1">
      <c r="A2983" s="30"/>
      <c r="B2983" s="30" t="s">
        <v>55</v>
      </c>
      <c r="C2983" s="69" t="str">
        <f t="shared" si="252"/>
        <v>Closed</v>
      </c>
      <c r="D2983" s="27" t="s">
        <v>16904</v>
      </c>
      <c r="E2983" s="29" t="s">
        <v>16905</v>
      </c>
      <c r="F2983" s="30" t="s">
        <v>624</v>
      </c>
      <c r="G2983" s="72">
        <f>DATE(2019,9,1)</f>
        <v>43709</v>
      </c>
      <c r="H2983" s="80">
        <v>0</v>
      </c>
      <c r="I2983" s="30" t="s">
        <v>198</v>
      </c>
      <c r="J2983" s="72" t="s">
        <v>198</v>
      </c>
      <c r="K2983" s="30" t="s">
        <v>626</v>
      </c>
      <c r="L2983" s="30" t="s">
        <v>16906</v>
      </c>
      <c r="M2983" s="30" t="s">
        <v>63</v>
      </c>
      <c r="N2983" s="30" t="s">
        <v>89</v>
      </c>
      <c r="O2983" s="30" t="s">
        <v>90</v>
      </c>
      <c r="P2983" s="72" t="s">
        <v>91</v>
      </c>
      <c r="Q2983" s="72" t="s">
        <v>7181</v>
      </c>
      <c r="R2983" s="72" t="s">
        <v>629</v>
      </c>
      <c r="S2983" s="30">
        <v>0</v>
      </c>
      <c r="T2983" s="232">
        <v>0</v>
      </c>
      <c r="U2983" s="30">
        <v>0</v>
      </c>
      <c r="V2983" s="232">
        <v>0</v>
      </c>
      <c r="W2983" s="30">
        <v>0</v>
      </c>
      <c r="X2983" s="30">
        <v>0</v>
      </c>
      <c r="Y2983" s="30">
        <v>0</v>
      </c>
      <c r="Z2983" s="232">
        <v>0</v>
      </c>
      <c r="AA2983" s="30">
        <v>0</v>
      </c>
      <c r="AB2983" s="30">
        <v>0</v>
      </c>
      <c r="AC2983" s="30">
        <v>0</v>
      </c>
      <c r="AD2983" s="30">
        <v>0</v>
      </c>
      <c r="AE2983" s="72" t="s">
        <v>92</v>
      </c>
      <c r="AF2983" s="72"/>
      <c r="AG2983" s="72" t="s">
        <v>395</v>
      </c>
      <c r="AH2983" s="72">
        <v>43888</v>
      </c>
      <c r="AI2983" s="30">
        <v>1</v>
      </c>
      <c r="AJ2983" s="72" t="s">
        <v>16907</v>
      </c>
      <c r="AK2983" s="72" t="s">
        <v>68</v>
      </c>
      <c r="AL2983" s="70">
        <v>44006</v>
      </c>
      <c r="AM2983" s="70"/>
      <c r="AN2983" s="70"/>
      <c r="AO2983" s="70"/>
      <c r="AP2983" s="73" t="e">
        <f>MID(VLOOKUP(K2983,#REF!,2,FALSE),1,2)</f>
        <v>#REF!</v>
      </c>
      <c r="AQ2983" s="72">
        <f>DATE(2019,9,6)</f>
        <v>43714</v>
      </c>
      <c r="AR2983" s="83">
        <f t="shared" si="253"/>
        <v>6</v>
      </c>
      <c r="AS2983" s="84">
        <f t="shared" si="254"/>
        <v>9</v>
      </c>
      <c r="AT2983" s="86">
        <f t="shared" si="255"/>
        <v>2019</v>
      </c>
      <c r="AU2983" s="86"/>
      <c r="AV2983" s="87"/>
      <c r="AW2983" s="86"/>
      <c r="AX2983" s="83"/>
      <c r="AY2983" s="84"/>
      <c r="AZ2983" s="86"/>
      <c r="BA2983" s="86"/>
      <c r="BB2983" s="86"/>
    </row>
    <row r="2984" spans="1:54" ht="36.75" customHeight="1">
      <c r="A2984" s="30"/>
      <c r="B2984" s="30" t="s">
        <v>55</v>
      </c>
      <c r="C2984" s="69" t="str">
        <f t="shared" si="252"/>
        <v>Closed</v>
      </c>
      <c r="D2984" s="27" t="s">
        <v>16908</v>
      </c>
      <c r="E2984" s="29" t="s">
        <v>16909</v>
      </c>
      <c r="F2984" s="30" t="s">
        <v>423</v>
      </c>
      <c r="G2984" s="72">
        <f>DATE(2019,9,6)</f>
        <v>43714</v>
      </c>
      <c r="H2984" s="80">
        <v>1.3993055555555556</v>
      </c>
      <c r="I2984" s="30" t="s">
        <v>116</v>
      </c>
      <c r="J2984" s="72" t="s">
        <v>16910</v>
      </c>
      <c r="K2984" s="30" t="s">
        <v>425</v>
      </c>
      <c r="L2984" s="30" t="s">
        <v>16911</v>
      </c>
      <c r="M2984" s="30" t="s">
        <v>63</v>
      </c>
      <c r="N2984" s="30" t="s">
        <v>142</v>
      </c>
      <c r="O2984" s="30" t="s">
        <v>77</v>
      </c>
      <c r="P2984" s="72" t="s">
        <v>165</v>
      </c>
      <c r="Q2984" s="72" t="s">
        <v>4551</v>
      </c>
      <c r="R2984" s="72" t="s">
        <v>3103</v>
      </c>
      <c r="S2984" s="30">
        <v>0</v>
      </c>
      <c r="T2984" s="232">
        <v>0</v>
      </c>
      <c r="U2984" s="30">
        <v>0</v>
      </c>
      <c r="V2984" s="232">
        <v>0</v>
      </c>
      <c r="W2984" s="30">
        <v>0</v>
      </c>
      <c r="X2984" s="30">
        <v>0</v>
      </c>
      <c r="Y2984" s="30">
        <v>0</v>
      </c>
      <c r="Z2984" s="232">
        <v>0</v>
      </c>
      <c r="AA2984" s="30">
        <v>0</v>
      </c>
      <c r="AB2984" s="30">
        <v>0</v>
      </c>
      <c r="AC2984" s="30">
        <v>0</v>
      </c>
      <c r="AD2984" s="30">
        <v>0</v>
      </c>
      <c r="AE2984" s="72" t="s">
        <v>394</v>
      </c>
      <c r="AF2984" s="72"/>
      <c r="AG2984" s="72" t="s">
        <v>82</v>
      </c>
      <c r="AH2984" s="72">
        <v>43625</v>
      </c>
      <c r="AI2984" s="30">
        <v>2</v>
      </c>
      <c r="AJ2984" s="72" t="s">
        <v>16912</v>
      </c>
      <c r="AK2984" s="72" t="s">
        <v>16913</v>
      </c>
      <c r="AL2984" s="70">
        <v>43717</v>
      </c>
      <c r="AM2984" s="70"/>
      <c r="AN2984" s="70"/>
      <c r="AO2984" s="70"/>
      <c r="AP2984" s="73" t="e">
        <f>MID(VLOOKUP(K2984,#REF!,2,FALSE),1,2)</f>
        <v>#REF!</v>
      </c>
      <c r="AQ2984" s="72">
        <f>DATE(2019,9,8)</f>
        <v>43716</v>
      </c>
      <c r="AR2984" s="83">
        <f t="shared" si="253"/>
        <v>8</v>
      </c>
      <c r="AS2984" s="84">
        <f t="shared" si="254"/>
        <v>9</v>
      </c>
      <c r="AT2984" s="86">
        <f t="shared" si="255"/>
        <v>2019</v>
      </c>
      <c r="AU2984" s="86"/>
      <c r="AV2984" s="87"/>
      <c r="AW2984" s="86"/>
      <c r="AX2984" s="83"/>
      <c r="AY2984" s="84"/>
      <c r="AZ2984" s="86"/>
      <c r="BA2984" s="86"/>
      <c r="BB2984" s="86"/>
    </row>
    <row r="2985" spans="1:54" ht="36.75" customHeight="1">
      <c r="A2985" s="30"/>
      <c r="B2985" s="30" t="s">
        <v>55</v>
      </c>
      <c r="C2985" s="69" t="str">
        <f t="shared" si="252"/>
        <v>Closed</v>
      </c>
      <c r="D2985" s="27" t="s">
        <v>16914</v>
      </c>
      <c r="E2985" s="29" t="s">
        <v>16915</v>
      </c>
      <c r="F2985" s="30" t="s">
        <v>835</v>
      </c>
      <c r="G2985" s="72">
        <f>DATE(2019,9,6)</f>
        <v>43714</v>
      </c>
      <c r="H2985" s="80">
        <v>1.0770833333333334</v>
      </c>
      <c r="I2985" s="30" t="s">
        <v>104</v>
      </c>
      <c r="J2985" s="72" t="s">
        <v>16916</v>
      </c>
      <c r="K2985" s="30" t="s">
        <v>837</v>
      </c>
      <c r="L2985" s="30" t="s">
        <v>16917</v>
      </c>
      <c r="M2985" s="30" t="s">
        <v>63</v>
      </c>
      <c r="N2985" s="30" t="s">
        <v>89</v>
      </c>
      <c r="O2985" s="30" t="s">
        <v>77</v>
      </c>
      <c r="P2985" s="72" t="s">
        <v>78</v>
      </c>
      <c r="Q2985" s="72" t="s">
        <v>16918</v>
      </c>
      <c r="R2985" s="72" t="s">
        <v>840</v>
      </c>
      <c r="S2985" s="30">
        <v>0</v>
      </c>
      <c r="T2985" s="232">
        <v>0</v>
      </c>
      <c r="U2985" s="30">
        <v>0</v>
      </c>
      <c r="V2985" s="232">
        <v>0</v>
      </c>
      <c r="W2985" s="30">
        <v>0</v>
      </c>
      <c r="X2985" s="30">
        <v>0</v>
      </c>
      <c r="Y2985" s="30">
        <v>0</v>
      </c>
      <c r="Z2985" s="232">
        <v>0</v>
      </c>
      <c r="AA2985" s="30">
        <v>0</v>
      </c>
      <c r="AB2985" s="30">
        <v>0</v>
      </c>
      <c r="AC2985" s="30">
        <v>0</v>
      </c>
      <c r="AD2985" s="30">
        <v>0</v>
      </c>
      <c r="AE2985" s="72" t="s">
        <v>92</v>
      </c>
      <c r="AF2985" s="72"/>
      <c r="AG2985" s="72" t="s">
        <v>1507</v>
      </c>
      <c r="AH2985" s="72">
        <v>43714</v>
      </c>
      <c r="AI2985" s="30">
        <v>0</v>
      </c>
      <c r="AJ2985" s="72" t="s">
        <v>16919</v>
      </c>
      <c r="AK2985" s="72" t="s">
        <v>1233</v>
      </c>
      <c r="AL2985" s="70">
        <v>43851</v>
      </c>
      <c r="AM2985" s="70"/>
      <c r="AN2985" s="70"/>
      <c r="AO2985" s="70"/>
      <c r="AP2985" s="73" t="e">
        <f>MID(VLOOKUP(K2985,#REF!,2,FALSE),1,2)</f>
        <v>#REF!</v>
      </c>
      <c r="AQ2985" s="72">
        <f>DATE(2019,9,9)</f>
        <v>43717</v>
      </c>
      <c r="AR2985" s="83">
        <f t="shared" si="253"/>
        <v>9</v>
      </c>
      <c r="AS2985" s="84">
        <f t="shared" si="254"/>
        <v>9</v>
      </c>
      <c r="AT2985" s="86">
        <f t="shared" si="255"/>
        <v>2019</v>
      </c>
      <c r="AU2985" s="86"/>
      <c r="AV2985" s="87"/>
      <c r="AW2985" s="86"/>
      <c r="AX2985" s="83"/>
      <c r="AY2985" s="84"/>
      <c r="AZ2985" s="86"/>
      <c r="BA2985" s="86"/>
      <c r="BB2985" s="86"/>
    </row>
    <row r="2986" spans="1:54" ht="36.75" customHeight="1">
      <c r="A2986" s="30"/>
      <c r="B2986" s="30" t="s">
        <v>55</v>
      </c>
      <c r="C2986" s="69" t="str">
        <f t="shared" si="252"/>
        <v>Closed</v>
      </c>
      <c r="D2986" s="27" t="s">
        <v>16920</v>
      </c>
      <c r="E2986" s="29" t="s">
        <v>16921</v>
      </c>
      <c r="F2986" s="30" t="s">
        <v>1572</v>
      </c>
      <c r="G2986" s="72">
        <f>DATE(2019,9,8)</f>
        <v>43716</v>
      </c>
      <c r="H2986" s="80">
        <v>1.9874999999999998</v>
      </c>
      <c r="I2986" s="30" t="s">
        <v>5494</v>
      </c>
      <c r="J2986" s="72" t="s">
        <v>16922</v>
      </c>
      <c r="K2986" s="30" t="s">
        <v>1574</v>
      </c>
      <c r="L2986" s="30" t="s">
        <v>16923</v>
      </c>
      <c r="M2986" s="30" t="s">
        <v>63</v>
      </c>
      <c r="N2986" s="30" t="s">
        <v>142</v>
      </c>
      <c r="O2986" s="30" t="s">
        <v>64</v>
      </c>
      <c r="P2986" s="72" t="s">
        <v>78</v>
      </c>
      <c r="Q2986" s="72" t="s">
        <v>16244</v>
      </c>
      <c r="R2986" s="72" t="s">
        <v>6434</v>
      </c>
      <c r="S2986" s="30">
        <v>0</v>
      </c>
      <c r="T2986" s="232">
        <v>0</v>
      </c>
      <c r="U2986" s="30">
        <v>0</v>
      </c>
      <c r="V2986" s="232">
        <v>0</v>
      </c>
      <c r="W2986" s="30">
        <v>0</v>
      </c>
      <c r="X2986" s="30">
        <v>0</v>
      </c>
      <c r="Y2986" s="30">
        <v>0</v>
      </c>
      <c r="Z2986" s="232">
        <v>0</v>
      </c>
      <c r="AA2986" s="30">
        <v>0</v>
      </c>
      <c r="AB2986" s="30">
        <v>0</v>
      </c>
      <c r="AC2986" s="30">
        <v>0</v>
      </c>
      <c r="AD2986" s="30">
        <v>0</v>
      </c>
      <c r="AE2986" s="72" t="s">
        <v>92</v>
      </c>
      <c r="AF2986" s="72"/>
      <c r="AG2986" s="72" t="s">
        <v>1507</v>
      </c>
      <c r="AH2986" s="72">
        <v>43718</v>
      </c>
      <c r="AI2986" s="30">
        <v>0</v>
      </c>
      <c r="AJ2986" s="72" t="s">
        <v>16924</v>
      </c>
      <c r="AK2986" s="72" t="s">
        <v>16925</v>
      </c>
      <c r="AL2986" s="70">
        <v>43721</v>
      </c>
      <c r="AM2986" s="70"/>
      <c r="AN2986" s="70"/>
      <c r="AO2986" s="70"/>
      <c r="AP2986" s="73" t="e">
        <f>MID(VLOOKUP(K2986,#REF!,2,FALSE),1,2)</f>
        <v>#REF!</v>
      </c>
      <c r="AQ2986" s="72">
        <f>DATE(2019,9,10)</f>
        <v>43718</v>
      </c>
      <c r="AR2986" s="83">
        <f t="shared" si="253"/>
        <v>10</v>
      </c>
      <c r="AS2986" s="84">
        <f t="shared" si="254"/>
        <v>9</v>
      </c>
      <c r="AT2986" s="86">
        <f t="shared" si="255"/>
        <v>2019</v>
      </c>
      <c r="AU2986" s="86"/>
      <c r="AV2986" s="87"/>
      <c r="AW2986" s="86"/>
      <c r="AX2986" s="83"/>
      <c r="AY2986" s="84"/>
      <c r="AZ2986" s="86"/>
      <c r="BA2986" s="86"/>
      <c r="BB2986" s="86"/>
    </row>
    <row r="2987" spans="1:54" ht="36.75" customHeight="1">
      <c r="A2987" s="30"/>
      <c r="B2987" s="30" t="s">
        <v>55</v>
      </c>
      <c r="C2987" s="69" t="str">
        <f t="shared" si="252"/>
        <v>Closed</v>
      </c>
      <c r="D2987" s="27" t="s">
        <v>16926</v>
      </c>
      <c r="E2987" s="29" t="s">
        <v>16927</v>
      </c>
      <c r="F2987" s="30" t="s">
        <v>835</v>
      </c>
      <c r="G2987" s="72">
        <f>DATE(2019,9,9)</f>
        <v>43717</v>
      </c>
      <c r="H2987" s="80">
        <v>1.6041666666666665</v>
      </c>
      <c r="I2987" s="30" t="s">
        <v>73</v>
      </c>
      <c r="J2987" s="72" t="s">
        <v>16928</v>
      </c>
      <c r="K2987" s="30" t="s">
        <v>837</v>
      </c>
      <c r="L2987" s="30" t="s">
        <v>16929</v>
      </c>
      <c r="M2987" s="30" t="s">
        <v>63</v>
      </c>
      <c r="N2987" s="30" t="s">
        <v>142</v>
      </c>
      <c r="O2987" s="30" t="s">
        <v>77</v>
      </c>
      <c r="P2987" s="72" t="s">
        <v>78</v>
      </c>
      <c r="Q2987" s="72" t="s">
        <v>4708</v>
      </c>
      <c r="R2987" s="72" t="s">
        <v>840</v>
      </c>
      <c r="S2987" s="30">
        <v>0</v>
      </c>
      <c r="T2987" s="232">
        <v>0</v>
      </c>
      <c r="U2987" s="30">
        <v>0</v>
      </c>
      <c r="V2987" s="232">
        <v>0</v>
      </c>
      <c r="W2987" s="30">
        <v>0</v>
      </c>
      <c r="X2987" s="30">
        <v>0</v>
      </c>
      <c r="Y2987" s="30">
        <v>0</v>
      </c>
      <c r="Z2987" s="232">
        <v>0</v>
      </c>
      <c r="AA2987" s="30">
        <v>0</v>
      </c>
      <c r="AB2987" s="30">
        <v>0</v>
      </c>
      <c r="AC2987" s="30">
        <v>0</v>
      </c>
      <c r="AD2987" s="30">
        <v>0</v>
      </c>
      <c r="AE2987" s="72" t="s">
        <v>68</v>
      </c>
      <c r="AF2987" s="72"/>
      <c r="AG2987" s="72" t="s">
        <v>16930</v>
      </c>
      <c r="AH2987" s="72">
        <v>43838</v>
      </c>
      <c r="AI2987" s="30">
        <v>0</v>
      </c>
      <c r="AJ2987" s="72" t="s">
        <v>16931</v>
      </c>
      <c r="AK2987" s="72" t="s">
        <v>16932</v>
      </c>
      <c r="AL2987" s="70">
        <v>43844</v>
      </c>
      <c r="AM2987" s="70"/>
      <c r="AN2987" s="70">
        <v>45012</v>
      </c>
      <c r="AO2987" s="70">
        <v>44180</v>
      </c>
      <c r="AP2987" s="73" t="e">
        <f>MID(VLOOKUP(K2987,#REF!,2,FALSE),1,2)</f>
        <v>#REF!</v>
      </c>
      <c r="AQ2987" s="72">
        <f>DATE(2019,9,11)</f>
        <v>43719</v>
      </c>
      <c r="AR2987" s="83">
        <f t="shared" si="253"/>
        <v>11</v>
      </c>
      <c r="AS2987" s="84">
        <f t="shared" si="254"/>
        <v>9</v>
      </c>
      <c r="AT2987" s="86">
        <f t="shared" si="255"/>
        <v>2019</v>
      </c>
      <c r="AU2987" s="86"/>
      <c r="AV2987" s="87"/>
      <c r="AW2987" s="86"/>
      <c r="AX2987" s="83"/>
      <c r="AY2987" s="84"/>
      <c r="AZ2987" s="86"/>
      <c r="BA2987" s="86"/>
      <c r="BB2987" s="86"/>
    </row>
    <row r="2988" spans="1:54" ht="36.75" customHeight="1">
      <c r="A2988" s="30"/>
      <c r="B2988" s="30" t="s">
        <v>55</v>
      </c>
      <c r="C2988" s="69" t="str">
        <f t="shared" si="252"/>
        <v>Closed</v>
      </c>
      <c r="D2988" s="27" t="s">
        <v>16933</v>
      </c>
      <c r="E2988" s="29" t="s">
        <v>16934</v>
      </c>
      <c r="F2988" s="30" t="s">
        <v>835</v>
      </c>
      <c r="G2988" s="72">
        <f>DATE(2019,9,10)</f>
        <v>43718</v>
      </c>
      <c r="H2988" s="80">
        <v>1.0965277777777778</v>
      </c>
      <c r="I2988" s="30" t="s">
        <v>73</v>
      </c>
      <c r="J2988" s="72" t="s">
        <v>16935</v>
      </c>
      <c r="K2988" s="30" t="s">
        <v>837</v>
      </c>
      <c r="L2988" s="30" t="s">
        <v>16936</v>
      </c>
      <c r="M2988" s="30" t="s">
        <v>63</v>
      </c>
      <c r="N2988" s="30" t="s">
        <v>89</v>
      </c>
      <c r="O2988" s="30" t="s">
        <v>77</v>
      </c>
      <c r="P2988" s="72" t="s">
        <v>165</v>
      </c>
      <c r="Q2988" s="72" t="s">
        <v>840</v>
      </c>
      <c r="R2988" s="72" t="s">
        <v>2162</v>
      </c>
      <c r="S2988" s="30">
        <v>0</v>
      </c>
      <c r="T2988" s="232">
        <v>0</v>
      </c>
      <c r="U2988" s="30">
        <v>0</v>
      </c>
      <c r="V2988" s="232">
        <v>0</v>
      </c>
      <c r="W2988" s="30">
        <v>0</v>
      </c>
      <c r="X2988" s="30">
        <v>0</v>
      </c>
      <c r="Y2988" s="30">
        <v>0</v>
      </c>
      <c r="Z2988" s="232">
        <v>0</v>
      </c>
      <c r="AA2988" s="30">
        <v>0</v>
      </c>
      <c r="AB2988" s="30">
        <v>0</v>
      </c>
      <c r="AC2988" s="30">
        <v>0</v>
      </c>
      <c r="AD2988" s="30">
        <v>0</v>
      </c>
      <c r="AE2988" s="72" t="s">
        <v>92</v>
      </c>
      <c r="AF2988" s="72" t="s">
        <v>16937</v>
      </c>
      <c r="AG2988" s="72" t="s">
        <v>16938</v>
      </c>
      <c r="AH2988" s="72">
        <v>43718</v>
      </c>
      <c r="AI2988" s="30">
        <v>0</v>
      </c>
      <c r="AJ2988" s="72" t="s">
        <v>16939</v>
      </c>
      <c r="AK2988" s="72" t="s">
        <v>68</v>
      </c>
      <c r="AL2988" s="70">
        <v>43851</v>
      </c>
      <c r="AM2988" s="70"/>
      <c r="AN2988" s="70"/>
      <c r="AO2988" s="70"/>
      <c r="AP2988" s="73" t="e">
        <f>MID(VLOOKUP(K2988,#REF!,2,FALSE),1,2)</f>
        <v>#REF!</v>
      </c>
      <c r="AQ2988" s="72">
        <f>DATE(2019,9,12)</f>
        <v>43720</v>
      </c>
      <c r="AR2988" s="83">
        <f t="shared" si="253"/>
        <v>12</v>
      </c>
      <c r="AS2988" s="84">
        <f t="shared" si="254"/>
        <v>9</v>
      </c>
      <c r="AT2988" s="86">
        <f t="shared" si="255"/>
        <v>2019</v>
      </c>
      <c r="AU2988" s="86"/>
      <c r="AV2988" s="87"/>
      <c r="AW2988" s="86"/>
      <c r="AX2988" s="83"/>
      <c r="AY2988" s="84"/>
      <c r="AZ2988" s="86"/>
      <c r="BA2988" s="86"/>
      <c r="BB2988" s="86"/>
    </row>
    <row r="2989" spans="1:54" ht="36.75" customHeight="1">
      <c r="A2989" s="30"/>
      <c r="B2989" s="30" t="s">
        <v>55</v>
      </c>
      <c r="C2989" s="69" t="str">
        <f t="shared" si="252"/>
        <v>Closed</v>
      </c>
      <c r="D2989" s="27" t="s">
        <v>16940</v>
      </c>
      <c r="E2989" s="29" t="s">
        <v>16941</v>
      </c>
      <c r="F2989" s="30" t="s">
        <v>835</v>
      </c>
      <c r="G2989" s="72">
        <f>DATE(2019,9,11)</f>
        <v>43719</v>
      </c>
      <c r="H2989" s="80">
        <v>1.6541666666666668</v>
      </c>
      <c r="I2989" s="30" t="s">
        <v>104</v>
      </c>
      <c r="J2989" s="72" t="s">
        <v>16942</v>
      </c>
      <c r="K2989" s="30" t="s">
        <v>837</v>
      </c>
      <c r="L2989" s="30" t="s">
        <v>16943</v>
      </c>
      <c r="M2989" s="30" t="s">
        <v>63</v>
      </c>
      <c r="N2989" s="30" t="s">
        <v>99</v>
      </c>
      <c r="O2989" s="30" t="s">
        <v>77</v>
      </c>
      <c r="P2989" s="72" t="s">
        <v>165</v>
      </c>
      <c r="Q2989" s="72" t="s">
        <v>2797</v>
      </c>
      <c r="R2989" s="72" t="s">
        <v>2797</v>
      </c>
      <c r="S2989" s="30">
        <v>0</v>
      </c>
      <c r="T2989" s="232">
        <v>0</v>
      </c>
      <c r="U2989" s="30">
        <v>0</v>
      </c>
      <c r="V2989" s="232">
        <v>0</v>
      </c>
      <c r="W2989" s="30">
        <v>0</v>
      </c>
      <c r="X2989" s="30">
        <v>0</v>
      </c>
      <c r="Y2989" s="30">
        <v>0</v>
      </c>
      <c r="Z2989" s="232">
        <v>0</v>
      </c>
      <c r="AA2989" s="30">
        <v>0</v>
      </c>
      <c r="AB2989" s="30">
        <v>0</v>
      </c>
      <c r="AC2989" s="30">
        <v>0</v>
      </c>
      <c r="AD2989" s="30">
        <v>0</v>
      </c>
      <c r="AE2989" s="72" t="s">
        <v>92</v>
      </c>
      <c r="AF2989" s="72"/>
      <c r="AG2989" s="72" t="s">
        <v>352</v>
      </c>
      <c r="AH2989" s="72">
        <v>43719</v>
      </c>
      <c r="AI2989" s="30">
        <v>0</v>
      </c>
      <c r="AJ2989" s="72" t="s">
        <v>16944</v>
      </c>
      <c r="AK2989" s="72" t="s">
        <v>68</v>
      </c>
      <c r="AL2989" s="70">
        <v>43720</v>
      </c>
      <c r="AM2989" s="70"/>
      <c r="AN2989" s="70"/>
      <c r="AO2989" s="70"/>
      <c r="AP2989" s="73" t="e">
        <f>MID(VLOOKUP(K2989,#REF!,2,FALSE),1,2)</f>
        <v>#REF!</v>
      </c>
      <c r="AQ2989" s="72">
        <f>DATE(2019,9,12)</f>
        <v>43720</v>
      </c>
      <c r="AR2989" s="83">
        <f t="shared" si="253"/>
        <v>12</v>
      </c>
      <c r="AS2989" s="84">
        <f t="shared" si="254"/>
        <v>9</v>
      </c>
      <c r="AT2989" s="86">
        <f t="shared" si="255"/>
        <v>2019</v>
      </c>
      <c r="AU2989" s="86"/>
      <c r="AV2989" s="87"/>
      <c r="AW2989" s="86"/>
      <c r="AX2989" s="83"/>
      <c r="AY2989" s="84"/>
      <c r="AZ2989" s="86"/>
      <c r="BA2989" s="86"/>
      <c r="BB2989" s="86"/>
    </row>
    <row r="2990" spans="1:54" ht="36.75" customHeight="1">
      <c r="A2990" s="30"/>
      <c r="B2990" s="30" t="s">
        <v>55</v>
      </c>
      <c r="C2990" s="69" t="str">
        <f t="shared" si="252"/>
        <v>Closed</v>
      </c>
      <c r="D2990" s="27" t="s">
        <v>16945</v>
      </c>
      <c r="E2990" s="29" t="s">
        <v>16946</v>
      </c>
      <c r="F2990" s="30" t="s">
        <v>423</v>
      </c>
      <c r="G2990" s="72">
        <f>DATE(2019,9,12)</f>
        <v>43720</v>
      </c>
      <c r="H2990" s="80">
        <v>1.3958333333333333</v>
      </c>
      <c r="I2990" s="30" t="s">
        <v>116</v>
      </c>
      <c r="J2990" s="72" t="s">
        <v>16947</v>
      </c>
      <c r="K2990" s="30" t="s">
        <v>425</v>
      </c>
      <c r="L2990" s="30" t="s">
        <v>16948</v>
      </c>
      <c r="M2990" s="30" t="s">
        <v>63</v>
      </c>
      <c r="N2990" s="30" t="s">
        <v>99</v>
      </c>
      <c r="O2990" s="30" t="s">
        <v>64</v>
      </c>
      <c r="P2990" s="72" t="s">
        <v>165</v>
      </c>
      <c r="Q2990" s="72" t="s">
        <v>4551</v>
      </c>
      <c r="R2990" s="72" t="s">
        <v>3103</v>
      </c>
      <c r="S2990" s="30">
        <v>0</v>
      </c>
      <c r="T2990" s="232">
        <v>0</v>
      </c>
      <c r="U2990" s="30">
        <v>1</v>
      </c>
      <c r="V2990" s="232">
        <v>0</v>
      </c>
      <c r="W2990" s="30">
        <v>0</v>
      </c>
      <c r="X2990" s="30">
        <v>1</v>
      </c>
      <c r="Y2990" s="30">
        <v>0</v>
      </c>
      <c r="Z2990" s="232">
        <v>0</v>
      </c>
      <c r="AA2990" s="30">
        <v>0</v>
      </c>
      <c r="AB2990" s="30">
        <v>0</v>
      </c>
      <c r="AC2990" s="30">
        <v>0</v>
      </c>
      <c r="AD2990" s="30">
        <v>0</v>
      </c>
      <c r="AE2990" s="72" t="s">
        <v>92</v>
      </c>
      <c r="AF2990" s="72"/>
      <c r="AG2990" s="72" t="s">
        <v>133</v>
      </c>
      <c r="AH2990" s="72">
        <v>43808</v>
      </c>
      <c r="AI2990" s="30">
        <v>1</v>
      </c>
      <c r="AJ2990" s="72" t="s">
        <v>16949</v>
      </c>
      <c r="AK2990" s="72" t="s">
        <v>16950</v>
      </c>
      <c r="AL2990" s="70">
        <v>43723</v>
      </c>
      <c r="AM2990" s="70"/>
      <c r="AN2990" s="70"/>
      <c r="AO2990" s="70"/>
      <c r="AP2990" s="73" t="e">
        <f>MID(VLOOKUP(K2990,#REF!,2,FALSE),1,2)</f>
        <v>#REF!</v>
      </c>
      <c r="AQ2990" s="72">
        <f>DATE(2019,9,13)</f>
        <v>43721</v>
      </c>
      <c r="AR2990" s="83">
        <f t="shared" si="253"/>
        <v>13</v>
      </c>
      <c r="AS2990" s="84">
        <f t="shared" si="254"/>
        <v>9</v>
      </c>
      <c r="AT2990" s="86">
        <f t="shared" si="255"/>
        <v>2019</v>
      </c>
      <c r="AU2990" s="86"/>
      <c r="AV2990" s="87"/>
      <c r="AW2990" s="86"/>
      <c r="AX2990" s="83"/>
      <c r="AY2990" s="84"/>
      <c r="AZ2990" s="86"/>
      <c r="BA2990" s="86"/>
      <c r="BB2990" s="86"/>
    </row>
    <row r="2991" spans="1:54" ht="36.75" customHeight="1">
      <c r="A2991" s="30"/>
      <c r="B2991" s="30" t="s">
        <v>55</v>
      </c>
      <c r="C2991" s="69" t="str">
        <f t="shared" si="252"/>
        <v>Closed</v>
      </c>
      <c r="D2991" s="27" t="s">
        <v>16951</v>
      </c>
      <c r="E2991" s="29" t="s">
        <v>16952</v>
      </c>
      <c r="F2991" s="30" t="s">
        <v>835</v>
      </c>
      <c r="G2991" s="72">
        <f>DATE(2019,9,12)</f>
        <v>43720</v>
      </c>
      <c r="H2991" s="80">
        <v>1.5680555555555555</v>
      </c>
      <c r="I2991" s="30" t="s">
        <v>278</v>
      </c>
      <c r="J2991" s="72" t="s">
        <v>16953</v>
      </c>
      <c r="K2991" s="30" t="s">
        <v>837</v>
      </c>
      <c r="L2991" s="30" t="s">
        <v>16954</v>
      </c>
      <c r="M2991" s="30" t="s">
        <v>63</v>
      </c>
      <c r="N2991" s="30" t="s">
        <v>142</v>
      </c>
      <c r="O2991" s="30" t="s">
        <v>77</v>
      </c>
      <c r="P2991" s="72" t="s">
        <v>78</v>
      </c>
      <c r="Q2991" s="72" t="s">
        <v>4708</v>
      </c>
      <c r="R2991" s="72" t="s">
        <v>840</v>
      </c>
      <c r="S2991" s="30">
        <v>0</v>
      </c>
      <c r="T2991" s="232">
        <v>0</v>
      </c>
      <c r="U2991" s="30">
        <v>0</v>
      </c>
      <c r="V2991" s="232">
        <v>0</v>
      </c>
      <c r="W2991" s="30">
        <v>0</v>
      </c>
      <c r="X2991" s="30">
        <v>0</v>
      </c>
      <c r="Y2991" s="30">
        <v>1</v>
      </c>
      <c r="Z2991" s="232">
        <v>0</v>
      </c>
      <c r="AA2991" s="30">
        <v>0</v>
      </c>
      <c r="AB2991" s="30">
        <v>0</v>
      </c>
      <c r="AC2991" s="30">
        <v>0</v>
      </c>
      <c r="AD2991" s="30">
        <v>1</v>
      </c>
      <c r="AE2991" s="72" t="s">
        <v>92</v>
      </c>
      <c r="AF2991" s="72"/>
      <c r="AG2991" s="72" t="s">
        <v>11890</v>
      </c>
      <c r="AH2991" s="72">
        <v>43720</v>
      </c>
      <c r="AI2991" s="30">
        <v>0</v>
      </c>
      <c r="AJ2991" s="72" t="s">
        <v>16955</v>
      </c>
      <c r="AK2991" s="72" t="s">
        <v>68</v>
      </c>
      <c r="AL2991" s="70">
        <v>43724</v>
      </c>
      <c r="AM2991" s="70"/>
      <c r="AN2991" s="70">
        <v>45012</v>
      </c>
      <c r="AO2991" s="70">
        <v>43906</v>
      </c>
      <c r="AP2991" s="73" t="e">
        <f>MID(VLOOKUP(K2991,#REF!,2,FALSE),1,2)</f>
        <v>#REF!</v>
      </c>
      <c r="AQ2991" s="72">
        <f>DATE(2019,9,15)</f>
        <v>43723</v>
      </c>
      <c r="AR2991" s="83">
        <f t="shared" si="253"/>
        <v>15</v>
      </c>
      <c r="AS2991" s="84">
        <f t="shared" si="254"/>
        <v>9</v>
      </c>
      <c r="AT2991" s="86">
        <f t="shared" si="255"/>
        <v>2019</v>
      </c>
      <c r="AU2991" s="86"/>
      <c r="AV2991" s="87"/>
      <c r="AW2991" s="86"/>
      <c r="AX2991" s="83"/>
      <c r="AY2991" s="84"/>
      <c r="AZ2991" s="86"/>
      <c r="BA2991" s="86"/>
      <c r="BB2991" s="86"/>
    </row>
    <row r="2992" spans="1:54" ht="36.75" customHeight="1">
      <c r="A2992" s="30"/>
      <c r="B2992" s="30" t="s">
        <v>55</v>
      </c>
      <c r="C2992" s="69" t="str">
        <f t="shared" si="252"/>
        <v>Closed</v>
      </c>
      <c r="D2992" s="27" t="s">
        <v>16956</v>
      </c>
      <c r="E2992" s="29" t="s">
        <v>16957</v>
      </c>
      <c r="F2992" s="30" t="s">
        <v>835</v>
      </c>
      <c r="G2992" s="72">
        <f>DATE(2019,9,13)</f>
        <v>43721</v>
      </c>
      <c r="H2992" s="80">
        <v>1.2798611111111111</v>
      </c>
      <c r="I2992" s="30" t="s">
        <v>104</v>
      </c>
      <c r="J2992" s="72" t="s">
        <v>16958</v>
      </c>
      <c r="K2992" s="30" t="s">
        <v>837</v>
      </c>
      <c r="L2992" s="30" t="s">
        <v>11122</v>
      </c>
      <c r="M2992" s="30" t="s">
        <v>63</v>
      </c>
      <c r="N2992" s="30" t="s">
        <v>142</v>
      </c>
      <c r="O2992" s="30" t="s">
        <v>77</v>
      </c>
      <c r="P2992" s="72" t="s">
        <v>165</v>
      </c>
      <c r="Q2992" s="72" t="s">
        <v>2162</v>
      </c>
      <c r="R2992" s="72" t="s">
        <v>840</v>
      </c>
      <c r="S2992" s="30">
        <v>0</v>
      </c>
      <c r="T2992" s="232">
        <v>0</v>
      </c>
      <c r="U2992" s="30">
        <v>0</v>
      </c>
      <c r="V2992" s="232">
        <v>0</v>
      </c>
      <c r="W2992" s="30">
        <v>0</v>
      </c>
      <c r="X2992" s="30">
        <v>0</v>
      </c>
      <c r="Y2992" s="30">
        <v>0</v>
      </c>
      <c r="Z2992" s="232">
        <v>0</v>
      </c>
      <c r="AA2992" s="30">
        <v>0</v>
      </c>
      <c r="AB2992" s="30">
        <v>0</v>
      </c>
      <c r="AC2992" s="30">
        <v>0</v>
      </c>
      <c r="AD2992" s="30">
        <v>0</v>
      </c>
      <c r="AE2992" s="72" t="s">
        <v>92</v>
      </c>
      <c r="AF2992" s="72" t="s">
        <v>16959</v>
      </c>
      <c r="AG2992" s="72" t="s">
        <v>13537</v>
      </c>
      <c r="AH2992" s="72">
        <v>43721</v>
      </c>
      <c r="AI2992" s="30">
        <v>0</v>
      </c>
      <c r="AJ2992" s="72" t="s">
        <v>16960</v>
      </c>
      <c r="AK2992" s="72" t="s">
        <v>16961</v>
      </c>
      <c r="AL2992" s="70">
        <v>43725</v>
      </c>
      <c r="AM2992" s="70"/>
      <c r="AN2992" s="70"/>
      <c r="AO2992" s="70"/>
      <c r="AP2992" s="73" t="e">
        <f>MID(VLOOKUP(K2992,#REF!,2,FALSE),1,2)</f>
        <v>#REF!</v>
      </c>
      <c r="AQ2992" s="72">
        <f>DATE(2019,9,16)</f>
        <v>43724</v>
      </c>
      <c r="AR2992" s="83">
        <f t="shared" si="253"/>
        <v>16</v>
      </c>
      <c r="AS2992" s="84">
        <f t="shared" si="254"/>
        <v>9</v>
      </c>
      <c r="AT2992" s="86">
        <f t="shared" si="255"/>
        <v>2019</v>
      </c>
      <c r="AU2992" s="86"/>
      <c r="AV2992" s="87"/>
      <c r="AW2992" s="86"/>
      <c r="AX2992" s="83"/>
      <c r="AY2992" s="84"/>
      <c r="AZ2992" s="86"/>
      <c r="BA2992" s="86"/>
      <c r="BB2992" s="86"/>
    </row>
    <row r="2993" spans="1:54" ht="36.75" customHeight="1">
      <c r="A2993" s="30"/>
      <c r="B2993" s="30" t="s">
        <v>55</v>
      </c>
      <c r="C2993" s="69" t="str">
        <f t="shared" si="252"/>
        <v>Closed</v>
      </c>
      <c r="D2993" s="27" t="s">
        <v>16962</v>
      </c>
      <c r="E2993" s="29" t="s">
        <v>16963</v>
      </c>
      <c r="F2993" s="30" t="s">
        <v>115</v>
      </c>
      <c r="G2993" s="72">
        <f>DATE(2019,9,15)</f>
        <v>43723</v>
      </c>
      <c r="H2993" s="80">
        <v>1.9624999999999999</v>
      </c>
      <c r="I2993" s="30" t="s">
        <v>116</v>
      </c>
      <c r="J2993" s="72" t="s">
        <v>16964</v>
      </c>
      <c r="K2993" s="30" t="s">
        <v>118</v>
      </c>
      <c r="L2993" s="30" t="s">
        <v>16965</v>
      </c>
      <c r="M2993" s="30" t="s">
        <v>63</v>
      </c>
      <c r="N2993" s="30" t="s">
        <v>142</v>
      </c>
      <c r="O2993" s="30" t="s">
        <v>64</v>
      </c>
      <c r="P2993" s="72" t="s">
        <v>6902</v>
      </c>
      <c r="Q2993" s="72" t="s">
        <v>120</v>
      </c>
      <c r="R2993" s="72" t="s">
        <v>121</v>
      </c>
      <c r="S2993" s="30">
        <v>0</v>
      </c>
      <c r="T2993" s="232">
        <v>0</v>
      </c>
      <c r="U2993" s="30">
        <v>0</v>
      </c>
      <c r="V2993" s="232">
        <v>0</v>
      </c>
      <c r="W2993" s="30">
        <v>0</v>
      </c>
      <c r="X2993" s="30">
        <v>0</v>
      </c>
      <c r="Y2993" s="30">
        <v>0</v>
      </c>
      <c r="Z2993" s="232">
        <v>0</v>
      </c>
      <c r="AA2993" s="30">
        <v>0</v>
      </c>
      <c r="AB2993" s="30">
        <v>0</v>
      </c>
      <c r="AC2993" s="30">
        <v>0</v>
      </c>
      <c r="AD2993" s="30">
        <v>0</v>
      </c>
      <c r="AE2993" s="72" t="s">
        <v>394</v>
      </c>
      <c r="AF2993" s="72"/>
      <c r="AG2993" s="72" t="s">
        <v>352</v>
      </c>
      <c r="AH2993" s="72">
        <v>43733</v>
      </c>
      <c r="AI2993" s="30">
        <v>4</v>
      </c>
      <c r="AJ2993" s="72" t="s">
        <v>68</v>
      </c>
      <c r="AK2993" s="72" t="s">
        <v>68</v>
      </c>
      <c r="AL2993" s="70">
        <v>43759</v>
      </c>
      <c r="AM2993" s="70"/>
      <c r="AN2993" s="70"/>
      <c r="AO2993" s="70"/>
      <c r="AP2993" s="73" t="e">
        <f>MID(VLOOKUP(K2993,#REF!,2,FALSE),1,2)</f>
        <v>#REF!</v>
      </c>
      <c r="AQ2993" s="72">
        <f>DATE(2019,9,17)</f>
        <v>43725</v>
      </c>
      <c r="AR2993" s="83">
        <f t="shared" si="253"/>
        <v>17</v>
      </c>
      <c r="AS2993" s="84">
        <f t="shared" si="254"/>
        <v>9</v>
      </c>
      <c r="AT2993" s="86">
        <f t="shared" si="255"/>
        <v>2019</v>
      </c>
      <c r="AU2993" s="86"/>
      <c r="AV2993" s="87"/>
      <c r="AW2993" s="86"/>
      <c r="AX2993" s="83"/>
      <c r="AY2993" s="84"/>
      <c r="AZ2993" s="86"/>
      <c r="BA2993" s="86"/>
      <c r="BB2993" s="86"/>
    </row>
    <row r="2994" spans="1:54" ht="36.75" customHeight="1">
      <c r="A2994" s="30"/>
      <c r="B2994" s="30" t="s">
        <v>55</v>
      </c>
      <c r="C2994" s="69" t="str">
        <f t="shared" si="252"/>
        <v>Closed</v>
      </c>
      <c r="D2994" s="27" t="s">
        <v>16966</v>
      </c>
      <c r="E2994" s="29" t="s">
        <v>16967</v>
      </c>
      <c r="F2994" s="30" t="s">
        <v>1572</v>
      </c>
      <c r="G2994" s="72">
        <f>DATE(2019,9,16)</f>
        <v>43724</v>
      </c>
      <c r="H2994" s="80">
        <v>1.5541666666666667</v>
      </c>
      <c r="I2994" s="30" t="s">
        <v>73</v>
      </c>
      <c r="J2994" s="72" t="s">
        <v>16968</v>
      </c>
      <c r="K2994" s="30" t="s">
        <v>1574</v>
      </c>
      <c r="L2994" s="30" t="s">
        <v>16789</v>
      </c>
      <c r="M2994" s="30" t="s">
        <v>63</v>
      </c>
      <c r="N2994" s="30" t="s">
        <v>142</v>
      </c>
      <c r="O2994" s="30" t="s">
        <v>77</v>
      </c>
      <c r="P2994" s="72" t="s">
        <v>78</v>
      </c>
      <c r="Q2994" s="72" t="s">
        <v>9075</v>
      </c>
      <c r="R2994" s="72" t="s">
        <v>6434</v>
      </c>
      <c r="S2994" s="30">
        <v>0</v>
      </c>
      <c r="T2994" s="232">
        <v>0</v>
      </c>
      <c r="U2994" s="30">
        <v>0</v>
      </c>
      <c r="V2994" s="232">
        <v>0</v>
      </c>
      <c r="W2994" s="30">
        <v>0</v>
      </c>
      <c r="X2994" s="30">
        <v>0</v>
      </c>
      <c r="Y2994" s="30">
        <v>0</v>
      </c>
      <c r="Z2994" s="232">
        <v>0</v>
      </c>
      <c r="AA2994" s="30">
        <v>0</v>
      </c>
      <c r="AB2994" s="30">
        <v>0</v>
      </c>
      <c r="AC2994" s="30">
        <v>0</v>
      </c>
      <c r="AD2994" s="30">
        <v>0</v>
      </c>
      <c r="AE2994" s="72" t="s">
        <v>92</v>
      </c>
      <c r="AF2994" s="72"/>
      <c r="AG2994" s="72" t="s">
        <v>133</v>
      </c>
      <c r="AH2994" s="72">
        <v>43724</v>
      </c>
      <c r="AI2994" s="30">
        <v>1</v>
      </c>
      <c r="AJ2994" s="72" t="s">
        <v>16969</v>
      </c>
      <c r="AK2994" s="72" t="s">
        <v>16970</v>
      </c>
      <c r="AL2994" s="70">
        <v>43726</v>
      </c>
      <c r="AM2994" s="70"/>
      <c r="AN2994" s="70"/>
      <c r="AO2994" s="70"/>
      <c r="AP2994" s="73" t="e">
        <f>MID(VLOOKUP(K2994,#REF!,2,FALSE),1,2)</f>
        <v>#REF!</v>
      </c>
      <c r="AQ2994" s="72">
        <f>DATE(2019,9,17)</f>
        <v>43725</v>
      </c>
      <c r="AR2994" s="83">
        <f t="shared" si="253"/>
        <v>17</v>
      </c>
      <c r="AS2994" s="84">
        <f t="shared" si="254"/>
        <v>9</v>
      </c>
      <c r="AT2994" s="86">
        <f t="shared" si="255"/>
        <v>2019</v>
      </c>
      <c r="AU2994" s="86"/>
      <c r="AV2994" s="87"/>
      <c r="AW2994" s="86"/>
      <c r="AX2994" s="83"/>
      <c r="AY2994" s="84"/>
      <c r="AZ2994" s="86"/>
      <c r="BA2994" s="86"/>
      <c r="BB2994" s="86"/>
    </row>
    <row r="2995" spans="1:54" ht="36.75" customHeight="1">
      <c r="A2995" s="30"/>
      <c r="B2995" s="30" t="s">
        <v>55</v>
      </c>
      <c r="C2995" s="69" t="str">
        <f t="shared" si="252"/>
        <v>Closed</v>
      </c>
      <c r="D2995" s="27" t="s">
        <v>16971</v>
      </c>
      <c r="E2995" s="29" t="s">
        <v>16972</v>
      </c>
      <c r="F2995" s="30" t="s">
        <v>423</v>
      </c>
      <c r="G2995" s="72">
        <f>DATE(2019,9,17)</f>
        <v>43725</v>
      </c>
      <c r="H2995" s="80">
        <v>1.3416666666666666</v>
      </c>
      <c r="I2995" s="30" t="s">
        <v>73</v>
      </c>
      <c r="J2995" s="72" t="s">
        <v>16973</v>
      </c>
      <c r="K2995" s="30" t="s">
        <v>425</v>
      </c>
      <c r="L2995" s="30" t="s">
        <v>16974</v>
      </c>
      <c r="M2995" s="30" t="s">
        <v>255</v>
      </c>
      <c r="N2995" s="30" t="s">
        <v>142</v>
      </c>
      <c r="O2995" s="30" t="s">
        <v>64</v>
      </c>
      <c r="P2995" s="72" t="s">
        <v>6552</v>
      </c>
      <c r="Q2995" s="72" t="s">
        <v>16975</v>
      </c>
      <c r="R2995" s="72" t="s">
        <v>16975</v>
      </c>
      <c r="S2995" s="30">
        <v>0</v>
      </c>
      <c r="T2995" s="232">
        <v>0</v>
      </c>
      <c r="U2995" s="30">
        <v>0</v>
      </c>
      <c r="V2995" s="232">
        <v>0</v>
      </c>
      <c r="W2995" s="30">
        <v>0</v>
      </c>
      <c r="X2995" s="30">
        <v>0</v>
      </c>
      <c r="Y2995" s="30">
        <v>0</v>
      </c>
      <c r="Z2995" s="232">
        <v>0</v>
      </c>
      <c r="AA2995" s="30">
        <v>0</v>
      </c>
      <c r="AB2995" s="30">
        <v>0</v>
      </c>
      <c r="AC2995" s="30">
        <v>0</v>
      </c>
      <c r="AD2995" s="30">
        <v>0</v>
      </c>
      <c r="AE2995" s="72" t="s">
        <v>92</v>
      </c>
      <c r="AF2995" s="72" t="s">
        <v>16976</v>
      </c>
      <c r="AG2995" s="72" t="s">
        <v>12480</v>
      </c>
      <c r="AH2995" s="72">
        <v>43725</v>
      </c>
      <c r="AI2995" s="30">
        <v>0</v>
      </c>
      <c r="AJ2995" s="72" t="s">
        <v>16977</v>
      </c>
      <c r="AK2995" s="72" t="s">
        <v>16978</v>
      </c>
      <c r="AL2995" s="70">
        <v>43726</v>
      </c>
      <c r="AM2995" s="70"/>
      <c r="AN2995" s="70"/>
      <c r="AO2995" s="70"/>
      <c r="AP2995" s="73" t="e">
        <f>MID(VLOOKUP(K2995,#REF!,2,FALSE),1,2)</f>
        <v>#REF!</v>
      </c>
      <c r="AQ2995" s="72">
        <f>DATE(2019,9,22)</f>
        <v>43730</v>
      </c>
      <c r="AR2995" s="83">
        <f t="shared" si="253"/>
        <v>22</v>
      </c>
      <c r="AS2995" s="84">
        <f t="shared" si="254"/>
        <v>9</v>
      </c>
      <c r="AT2995" s="86">
        <f t="shared" si="255"/>
        <v>2019</v>
      </c>
      <c r="AU2995" s="86"/>
      <c r="AV2995" s="87"/>
      <c r="AW2995" s="86"/>
      <c r="AX2995" s="83"/>
      <c r="AY2995" s="84"/>
      <c r="AZ2995" s="86"/>
      <c r="BA2995" s="86"/>
      <c r="BB2995" s="86"/>
    </row>
    <row r="2996" spans="1:54" ht="36.75" customHeight="1">
      <c r="A2996" s="30"/>
      <c r="B2996" s="30" t="s">
        <v>55</v>
      </c>
      <c r="C2996" s="69" t="str">
        <f t="shared" si="252"/>
        <v>Closed</v>
      </c>
      <c r="D2996" s="27" t="s">
        <v>16979</v>
      </c>
      <c r="E2996" s="29" t="s">
        <v>16980</v>
      </c>
      <c r="F2996" s="30" t="s">
        <v>1572</v>
      </c>
      <c r="G2996" s="72">
        <f>DATE(2019,9,17)</f>
        <v>43725</v>
      </c>
      <c r="H2996" s="80">
        <v>1.5416666666666665</v>
      </c>
      <c r="I2996" s="30" t="s">
        <v>125</v>
      </c>
      <c r="J2996" s="72" t="s">
        <v>16981</v>
      </c>
      <c r="K2996" s="30" t="s">
        <v>1574</v>
      </c>
      <c r="L2996" s="30" t="s">
        <v>16982</v>
      </c>
      <c r="M2996" s="30" t="s">
        <v>63</v>
      </c>
      <c r="N2996" s="30" t="s">
        <v>142</v>
      </c>
      <c r="O2996" s="30" t="s">
        <v>64</v>
      </c>
      <c r="P2996" s="72" t="s">
        <v>78</v>
      </c>
      <c r="Q2996" s="72" t="s">
        <v>2655</v>
      </c>
      <c r="R2996" s="72" t="s">
        <v>6434</v>
      </c>
      <c r="S2996" s="30">
        <v>0</v>
      </c>
      <c r="T2996" s="232">
        <v>0</v>
      </c>
      <c r="U2996" s="30">
        <v>0</v>
      </c>
      <c r="V2996" s="232">
        <v>0</v>
      </c>
      <c r="W2996" s="30">
        <v>0</v>
      </c>
      <c r="X2996" s="30">
        <v>0</v>
      </c>
      <c r="Y2996" s="30">
        <v>0</v>
      </c>
      <c r="Z2996" s="232">
        <v>0</v>
      </c>
      <c r="AA2996" s="30">
        <v>0</v>
      </c>
      <c r="AB2996" s="30">
        <v>0</v>
      </c>
      <c r="AC2996" s="30">
        <v>0</v>
      </c>
      <c r="AD2996" s="30">
        <v>0</v>
      </c>
      <c r="AE2996" s="72" t="s">
        <v>394</v>
      </c>
      <c r="AF2996" s="72"/>
      <c r="AG2996" s="72" t="s">
        <v>133</v>
      </c>
      <c r="AH2996" s="72">
        <v>43726</v>
      </c>
      <c r="AI2996" s="30">
        <v>1</v>
      </c>
      <c r="AJ2996" s="72" t="s">
        <v>16983</v>
      </c>
      <c r="AK2996" s="72" t="s">
        <v>16984</v>
      </c>
      <c r="AL2996" s="70">
        <v>43728</v>
      </c>
      <c r="AM2996" s="70"/>
      <c r="AN2996" s="70"/>
      <c r="AO2996" s="70"/>
      <c r="AP2996" s="73" t="e">
        <f>MID(VLOOKUP(K2996,#REF!,2,FALSE),1,2)</f>
        <v>#REF!</v>
      </c>
      <c r="AQ2996" s="72">
        <f>DATE(2019,9,23)</f>
        <v>43731</v>
      </c>
      <c r="AR2996" s="83">
        <f t="shared" si="253"/>
        <v>23</v>
      </c>
      <c r="AS2996" s="84">
        <f t="shared" si="254"/>
        <v>9</v>
      </c>
      <c r="AT2996" s="86">
        <f t="shared" si="255"/>
        <v>2019</v>
      </c>
      <c r="AU2996" s="86"/>
      <c r="AV2996" s="87"/>
      <c r="AW2996" s="86"/>
      <c r="AX2996" s="83"/>
      <c r="AY2996" s="84"/>
      <c r="AZ2996" s="86"/>
      <c r="BA2996" s="86"/>
      <c r="BB2996" s="86"/>
    </row>
    <row r="2997" spans="1:54" ht="36.75" customHeight="1">
      <c r="A2997" s="30"/>
      <c r="B2997" s="30" t="s">
        <v>55</v>
      </c>
      <c r="C2997" s="69" t="str">
        <f t="shared" si="252"/>
        <v>Closed</v>
      </c>
      <c r="D2997" s="27" t="s">
        <v>16985</v>
      </c>
      <c r="E2997" s="29" t="s">
        <v>16986</v>
      </c>
      <c r="F2997" s="30" t="s">
        <v>1572</v>
      </c>
      <c r="G2997" s="72">
        <f>DATE(2019,9,22)</f>
        <v>43730</v>
      </c>
      <c r="H2997" s="80">
        <v>1.0416666666666667</v>
      </c>
      <c r="I2997" s="30" t="s">
        <v>73</v>
      </c>
      <c r="J2997" s="72" t="s">
        <v>16987</v>
      </c>
      <c r="K2997" s="30" t="s">
        <v>1574</v>
      </c>
      <c r="L2997" s="30" t="s">
        <v>9712</v>
      </c>
      <c r="M2997" s="30" t="s">
        <v>63</v>
      </c>
      <c r="N2997" s="30" t="s">
        <v>99</v>
      </c>
      <c r="O2997" s="30" t="s">
        <v>64</v>
      </c>
      <c r="P2997" s="72" t="s">
        <v>78</v>
      </c>
      <c r="Q2997" s="72" t="s">
        <v>16418</v>
      </c>
      <c r="R2997" s="72" t="s">
        <v>4920</v>
      </c>
      <c r="S2997" s="30">
        <v>0</v>
      </c>
      <c r="T2997" s="232">
        <v>0</v>
      </c>
      <c r="U2997" s="30">
        <v>0</v>
      </c>
      <c r="V2997" s="232">
        <v>0</v>
      </c>
      <c r="W2997" s="30">
        <v>0</v>
      </c>
      <c r="X2997" s="30">
        <v>0</v>
      </c>
      <c r="Y2997" s="30">
        <v>0</v>
      </c>
      <c r="Z2997" s="232">
        <v>0</v>
      </c>
      <c r="AA2997" s="30">
        <v>0</v>
      </c>
      <c r="AB2997" s="30">
        <v>0</v>
      </c>
      <c r="AC2997" s="30">
        <v>0</v>
      </c>
      <c r="AD2997" s="30">
        <v>0</v>
      </c>
      <c r="AE2997" s="72" t="s">
        <v>394</v>
      </c>
      <c r="AF2997" s="72"/>
      <c r="AG2997" s="72" t="s">
        <v>133</v>
      </c>
      <c r="AH2997" s="72">
        <v>43731</v>
      </c>
      <c r="AI2997" s="30">
        <v>3</v>
      </c>
      <c r="AJ2997" s="72" t="s">
        <v>16988</v>
      </c>
      <c r="AK2997" s="72" t="s">
        <v>16989</v>
      </c>
      <c r="AL2997" s="70">
        <v>43736</v>
      </c>
      <c r="AM2997" s="70"/>
      <c r="AN2997" s="70"/>
      <c r="AO2997" s="70"/>
      <c r="AP2997" s="73" t="e">
        <f>MID(VLOOKUP(K2997,#REF!,2,FALSE),1,2)</f>
        <v>#REF!</v>
      </c>
      <c r="AQ2997" s="72">
        <f>DATE(2019,9,24)</f>
        <v>43732</v>
      </c>
      <c r="AR2997" s="83">
        <f t="shared" si="253"/>
        <v>24</v>
      </c>
      <c r="AS2997" s="84">
        <f t="shared" si="254"/>
        <v>9</v>
      </c>
      <c r="AT2997" s="86">
        <f t="shared" si="255"/>
        <v>2019</v>
      </c>
      <c r="AU2997" s="86"/>
      <c r="AV2997" s="87"/>
      <c r="AW2997" s="86"/>
      <c r="AX2997" s="83"/>
      <c r="AY2997" s="84"/>
      <c r="AZ2997" s="86"/>
      <c r="BA2997" s="86"/>
      <c r="BB2997" s="86"/>
    </row>
    <row r="2998" spans="1:54" ht="36.75" customHeight="1">
      <c r="A2998" s="30"/>
      <c r="B2998" s="30" t="s">
        <v>55</v>
      </c>
      <c r="C2998" s="69" t="str">
        <f t="shared" si="252"/>
        <v>Closed</v>
      </c>
      <c r="D2998" s="27" t="s">
        <v>16990</v>
      </c>
      <c r="E2998" s="29" t="s">
        <v>16991</v>
      </c>
      <c r="F2998" s="30" t="s">
        <v>9789</v>
      </c>
      <c r="G2998" s="72">
        <f>DATE(2019,9,23)</f>
        <v>43731</v>
      </c>
      <c r="H2998" s="80">
        <v>1.3472222222222223</v>
      </c>
      <c r="I2998" s="30" t="s">
        <v>116</v>
      </c>
      <c r="J2998" s="265" t="s">
        <v>16992</v>
      </c>
      <c r="K2998" s="30" t="s">
        <v>9791</v>
      </c>
      <c r="L2998" s="30" t="s">
        <v>16993</v>
      </c>
      <c r="M2998" s="30" t="s">
        <v>63</v>
      </c>
      <c r="N2998" s="30" t="s">
        <v>99</v>
      </c>
      <c r="O2998" s="30" t="s">
        <v>64</v>
      </c>
      <c r="P2998" s="72" t="s">
        <v>301</v>
      </c>
      <c r="Q2998" s="72" t="s">
        <v>9838</v>
      </c>
      <c r="R2998" s="72" t="s">
        <v>9794</v>
      </c>
      <c r="S2998" s="30">
        <v>0</v>
      </c>
      <c r="T2998" s="232">
        <v>0</v>
      </c>
      <c r="U2998" s="30">
        <v>0</v>
      </c>
      <c r="V2998" s="232">
        <v>0</v>
      </c>
      <c r="W2998" s="30">
        <v>0</v>
      </c>
      <c r="X2998" s="30">
        <v>0</v>
      </c>
      <c r="Y2998" s="30">
        <v>0</v>
      </c>
      <c r="Z2998" s="232">
        <v>0</v>
      </c>
      <c r="AA2998" s="30">
        <v>1</v>
      </c>
      <c r="AB2998" s="30">
        <v>0</v>
      </c>
      <c r="AC2998" s="30">
        <v>0</v>
      </c>
      <c r="AD2998" s="30">
        <v>1</v>
      </c>
      <c r="AE2998" s="72" t="s">
        <v>92</v>
      </c>
      <c r="AF2998" s="72"/>
      <c r="AG2998" s="72" t="s">
        <v>589</v>
      </c>
      <c r="AH2998" s="72">
        <v>43748</v>
      </c>
      <c r="AI2998" s="30">
        <v>0</v>
      </c>
      <c r="AJ2998" s="72" t="s">
        <v>16994</v>
      </c>
      <c r="AK2998" s="72" t="s">
        <v>16995</v>
      </c>
      <c r="AL2998" s="70">
        <v>43759</v>
      </c>
      <c r="AM2998" s="70"/>
      <c r="AN2998" s="70"/>
      <c r="AO2998" s="70"/>
      <c r="AP2998" s="73" t="e">
        <f>MID(VLOOKUP(K2998,#REF!,2,FALSE),1,2)</f>
        <v>#REF!</v>
      </c>
      <c r="AQ2998" s="72">
        <f>DATE(2019,9,25)</f>
        <v>43733</v>
      </c>
      <c r="AR2998" s="83">
        <f t="shared" si="253"/>
        <v>25</v>
      </c>
      <c r="AS2998" s="84">
        <f t="shared" si="254"/>
        <v>9</v>
      </c>
      <c r="AT2998" s="86">
        <f t="shared" si="255"/>
        <v>2019</v>
      </c>
      <c r="AU2998" s="86"/>
      <c r="AV2998" s="87"/>
      <c r="AW2998" s="86"/>
      <c r="AX2998" s="83"/>
      <c r="AY2998" s="84"/>
      <c r="AZ2998" s="86"/>
      <c r="BA2998" s="86"/>
      <c r="BB2998" s="86"/>
    </row>
    <row r="2999" spans="1:54" ht="36.75" customHeight="1">
      <c r="A2999" s="30"/>
      <c r="B2999" s="30" t="s">
        <v>55</v>
      </c>
      <c r="C2999" s="69" t="str">
        <f t="shared" si="252"/>
        <v>Closed</v>
      </c>
      <c r="D2999" s="27" t="s">
        <v>16996</v>
      </c>
      <c r="E2999" s="29" t="s">
        <v>16997</v>
      </c>
      <c r="F2999" s="30" t="s">
        <v>624</v>
      </c>
      <c r="G2999" s="72">
        <f>DATE(2019,9,24)</f>
        <v>43732</v>
      </c>
      <c r="H2999" s="80">
        <v>0</v>
      </c>
      <c r="I2999" s="30" t="s">
        <v>9026</v>
      </c>
      <c r="J2999" s="72" t="s">
        <v>9026</v>
      </c>
      <c r="K2999" s="30" t="s">
        <v>626</v>
      </c>
      <c r="L2999" s="30" t="s">
        <v>16998</v>
      </c>
      <c r="M2999" s="30" t="s">
        <v>63</v>
      </c>
      <c r="N2999" s="30" t="s">
        <v>99</v>
      </c>
      <c r="O2999" s="30" t="s">
        <v>64</v>
      </c>
      <c r="P2999" s="72" t="s">
        <v>78</v>
      </c>
      <c r="Q2999" s="72" t="s">
        <v>11678</v>
      </c>
      <c r="R2999" s="72" t="s">
        <v>629</v>
      </c>
      <c r="S2999" s="30">
        <v>0</v>
      </c>
      <c r="T2999" s="232">
        <v>0</v>
      </c>
      <c r="U2999" s="30">
        <v>3</v>
      </c>
      <c r="V2999" s="232">
        <v>0</v>
      </c>
      <c r="W2999" s="30">
        <v>0</v>
      </c>
      <c r="X2999" s="30">
        <v>3</v>
      </c>
      <c r="Y2999" s="30">
        <v>0</v>
      </c>
      <c r="Z2999" s="232">
        <v>0</v>
      </c>
      <c r="AA2999" s="30">
        <v>0</v>
      </c>
      <c r="AB2999" s="30">
        <v>0</v>
      </c>
      <c r="AC2999" s="30">
        <v>0</v>
      </c>
      <c r="AD2999" s="30">
        <v>0</v>
      </c>
      <c r="AE2999" s="72" t="s">
        <v>92</v>
      </c>
      <c r="AF2999" s="72"/>
      <c r="AG2999" s="72" t="s">
        <v>133</v>
      </c>
      <c r="AH2999" s="72">
        <v>43733</v>
      </c>
      <c r="AI2999" s="30">
        <v>1</v>
      </c>
      <c r="AJ2999" s="72" t="s">
        <v>16999</v>
      </c>
      <c r="AK2999" s="72" t="s">
        <v>68</v>
      </c>
      <c r="AL2999" s="70">
        <v>43787</v>
      </c>
      <c r="AM2999" s="70"/>
      <c r="AN2999" s="70"/>
      <c r="AO2999" s="70"/>
      <c r="AP2999" s="73" t="e">
        <f>MID(VLOOKUP(K2999,#REF!,2,FALSE),1,2)</f>
        <v>#REF!</v>
      </c>
      <c r="AQ2999" s="72">
        <f>DATE(2019,9,30)</f>
        <v>43738</v>
      </c>
      <c r="AR2999" s="83">
        <f t="shared" si="253"/>
        <v>30</v>
      </c>
      <c r="AS2999" s="84">
        <f t="shared" si="254"/>
        <v>9</v>
      </c>
      <c r="AT2999" s="86">
        <f t="shared" si="255"/>
        <v>2019</v>
      </c>
      <c r="AU2999" s="86"/>
      <c r="AV2999" s="87"/>
      <c r="AW2999" s="86"/>
      <c r="AX2999" s="83"/>
      <c r="AY2999" s="84"/>
      <c r="AZ2999" s="86"/>
      <c r="BA2999" s="86"/>
      <c r="BB2999" s="86"/>
    </row>
    <row r="3000" spans="1:54" ht="36.75" customHeight="1">
      <c r="A3000" s="30"/>
      <c r="B3000" s="30" t="s">
        <v>55</v>
      </c>
      <c r="C3000" s="69" t="str">
        <f t="shared" si="252"/>
        <v>Closed</v>
      </c>
      <c r="D3000" s="27" t="s">
        <v>17000</v>
      </c>
      <c r="E3000" s="29" t="s">
        <v>17001</v>
      </c>
      <c r="F3000" s="30" t="s">
        <v>124</v>
      </c>
      <c r="G3000" s="72">
        <f>DATE(2019,9,25)</f>
        <v>43733</v>
      </c>
      <c r="H3000" s="80">
        <v>0</v>
      </c>
      <c r="I3000" s="30" t="s">
        <v>73</v>
      </c>
      <c r="J3000" s="72" t="s">
        <v>17002</v>
      </c>
      <c r="K3000" s="30" t="s">
        <v>127</v>
      </c>
      <c r="L3000" s="30" t="s">
        <v>17003</v>
      </c>
      <c r="M3000" s="30" t="s">
        <v>63</v>
      </c>
      <c r="N3000" s="30" t="s">
        <v>89</v>
      </c>
      <c r="O3000" s="30" t="s">
        <v>77</v>
      </c>
      <c r="P3000" s="72" t="s">
        <v>78</v>
      </c>
      <c r="Q3000" s="72" t="s">
        <v>17004</v>
      </c>
      <c r="R3000" s="72" t="s">
        <v>167</v>
      </c>
      <c r="S3000" s="30">
        <v>0</v>
      </c>
      <c r="T3000" s="232">
        <v>0</v>
      </c>
      <c r="U3000" s="30">
        <v>0</v>
      </c>
      <c r="V3000" s="232">
        <v>0</v>
      </c>
      <c r="W3000" s="30">
        <v>0</v>
      </c>
      <c r="X3000" s="30">
        <v>0</v>
      </c>
      <c r="Y3000" s="30">
        <v>0</v>
      </c>
      <c r="Z3000" s="232">
        <v>0</v>
      </c>
      <c r="AA3000" s="30">
        <v>0</v>
      </c>
      <c r="AB3000" s="30">
        <v>0</v>
      </c>
      <c r="AC3000" s="30">
        <v>0</v>
      </c>
      <c r="AD3000" s="30">
        <v>0</v>
      </c>
      <c r="AE3000" s="72" t="s">
        <v>92</v>
      </c>
      <c r="AF3000" s="72"/>
      <c r="AG3000" s="72" t="s">
        <v>589</v>
      </c>
      <c r="AH3000" s="72">
        <v>43739</v>
      </c>
      <c r="AI3000" s="30">
        <v>1</v>
      </c>
      <c r="AJ3000" s="72" t="s">
        <v>17005</v>
      </c>
      <c r="AK3000" s="72" t="s">
        <v>17006</v>
      </c>
      <c r="AL3000" s="70">
        <v>43747</v>
      </c>
      <c r="AM3000" s="70"/>
      <c r="AN3000" s="70"/>
      <c r="AO3000" s="70"/>
      <c r="AP3000" s="73" t="e">
        <f>MID(VLOOKUP(K3000,#REF!,2,FALSE),1,2)</f>
        <v>#REF!</v>
      </c>
      <c r="AQ3000" s="72">
        <f>DATE(2019,9,30)</f>
        <v>43738</v>
      </c>
      <c r="AR3000" s="83">
        <f t="shared" si="253"/>
        <v>30</v>
      </c>
      <c r="AS3000" s="84">
        <f t="shared" si="254"/>
        <v>9</v>
      </c>
      <c r="AT3000" s="86">
        <f t="shared" si="255"/>
        <v>2019</v>
      </c>
      <c r="AU3000" s="86"/>
      <c r="AV3000" s="87"/>
      <c r="AW3000" s="86"/>
      <c r="AX3000" s="83"/>
      <c r="AY3000" s="84"/>
      <c r="AZ3000" s="86"/>
      <c r="BA3000" s="86"/>
      <c r="BB3000" s="86"/>
    </row>
    <row r="3001" spans="1:54" ht="36.75" customHeight="1">
      <c r="A3001" s="30"/>
      <c r="B3001" s="30" t="s">
        <v>55</v>
      </c>
      <c r="C3001" s="69" t="str">
        <f t="shared" si="252"/>
        <v>Closed</v>
      </c>
      <c r="D3001" s="27" t="s">
        <v>17007</v>
      </c>
      <c r="E3001" s="29" t="s">
        <v>17008</v>
      </c>
      <c r="F3001" s="30" t="s">
        <v>423</v>
      </c>
      <c r="G3001" s="72">
        <f>DATE(2019,9,30)</f>
        <v>43738</v>
      </c>
      <c r="H3001" s="80">
        <v>1.2881944444444444</v>
      </c>
      <c r="I3001" s="30" t="s">
        <v>73</v>
      </c>
      <c r="J3001" s="72" t="s">
        <v>17009</v>
      </c>
      <c r="K3001" s="30" t="s">
        <v>425</v>
      </c>
      <c r="L3001" s="30" t="s">
        <v>17010</v>
      </c>
      <c r="M3001" s="30" t="s">
        <v>63</v>
      </c>
      <c r="N3001" s="30" t="s">
        <v>99</v>
      </c>
      <c r="O3001" s="30" t="s">
        <v>6875</v>
      </c>
      <c r="P3001" s="72" t="s">
        <v>78</v>
      </c>
      <c r="Q3001" s="72" t="s">
        <v>2582</v>
      </c>
      <c r="R3001" s="72" t="s">
        <v>17011</v>
      </c>
      <c r="S3001" s="30">
        <v>0</v>
      </c>
      <c r="T3001" s="232">
        <v>0</v>
      </c>
      <c r="U3001" s="30">
        <v>0</v>
      </c>
      <c r="V3001" s="232">
        <v>0</v>
      </c>
      <c r="W3001" s="30">
        <v>0</v>
      </c>
      <c r="X3001" s="30">
        <v>0</v>
      </c>
      <c r="Y3001" s="30">
        <v>0</v>
      </c>
      <c r="Z3001" s="232">
        <v>0</v>
      </c>
      <c r="AA3001" s="30">
        <v>0</v>
      </c>
      <c r="AB3001" s="30">
        <v>0</v>
      </c>
      <c r="AC3001" s="30">
        <v>0</v>
      </c>
      <c r="AD3001" s="30">
        <v>0</v>
      </c>
      <c r="AE3001" s="72" t="s">
        <v>92</v>
      </c>
      <c r="AF3001" s="72"/>
      <c r="AG3001" s="72" t="s">
        <v>352</v>
      </c>
      <c r="AH3001" s="72">
        <v>43738</v>
      </c>
      <c r="AI3001" s="30">
        <v>0</v>
      </c>
      <c r="AJ3001" s="72" t="s">
        <v>17012</v>
      </c>
      <c r="AK3001" s="72" t="s">
        <v>17013</v>
      </c>
      <c r="AL3001" s="70">
        <v>43741</v>
      </c>
      <c r="AM3001" s="70"/>
      <c r="AN3001" s="70"/>
      <c r="AO3001" s="70"/>
      <c r="AP3001" s="73" t="e">
        <f>MID(VLOOKUP(K3001,#REF!,2,FALSE),1,2)</f>
        <v>#REF!</v>
      </c>
      <c r="AQ3001" s="72">
        <f>DATE(2019,10,1)</f>
        <v>43739</v>
      </c>
      <c r="AR3001" s="83">
        <f t="shared" si="253"/>
        <v>1</v>
      </c>
      <c r="AS3001" s="84">
        <f t="shared" si="254"/>
        <v>10</v>
      </c>
      <c r="AT3001" s="86">
        <f t="shared" si="255"/>
        <v>2019</v>
      </c>
      <c r="AU3001" s="86"/>
      <c r="AV3001" s="87"/>
      <c r="AW3001" s="86"/>
      <c r="AX3001" s="83"/>
      <c r="AY3001" s="84"/>
      <c r="AZ3001" s="86"/>
      <c r="BA3001" s="86"/>
      <c r="BB3001" s="86"/>
    </row>
    <row r="3002" spans="1:54" ht="36.75" customHeight="1">
      <c r="A3002" s="30"/>
      <c r="B3002" s="30" t="s">
        <v>55</v>
      </c>
      <c r="C3002" s="69" t="str">
        <f t="shared" si="252"/>
        <v>Closed</v>
      </c>
      <c r="D3002" s="27" t="s">
        <v>17014</v>
      </c>
      <c r="E3002" s="29" t="s">
        <v>17015</v>
      </c>
      <c r="F3002" s="30" t="s">
        <v>1572</v>
      </c>
      <c r="G3002" s="72">
        <f>DATE(2019,9,30)</f>
        <v>43738</v>
      </c>
      <c r="H3002" s="80">
        <v>1.34375</v>
      </c>
      <c r="I3002" s="30" t="s">
        <v>73</v>
      </c>
      <c r="J3002" s="72" t="s">
        <v>17016</v>
      </c>
      <c r="K3002" s="30" t="s">
        <v>1574</v>
      </c>
      <c r="L3002" s="30" t="s">
        <v>17017</v>
      </c>
      <c r="M3002" s="30" t="s">
        <v>63</v>
      </c>
      <c r="N3002" s="30" t="s">
        <v>99</v>
      </c>
      <c r="O3002" s="30" t="s">
        <v>64</v>
      </c>
      <c r="P3002" s="72" t="s">
        <v>78</v>
      </c>
      <c r="Q3002" s="72" t="s">
        <v>2655</v>
      </c>
      <c r="R3002" s="72" t="s">
        <v>6434</v>
      </c>
      <c r="S3002" s="30">
        <v>0</v>
      </c>
      <c r="T3002" s="232">
        <v>0</v>
      </c>
      <c r="U3002" s="30">
        <v>0</v>
      </c>
      <c r="V3002" s="232">
        <v>0</v>
      </c>
      <c r="W3002" s="30">
        <v>0</v>
      </c>
      <c r="X3002" s="30">
        <v>0</v>
      </c>
      <c r="Y3002" s="30">
        <v>0</v>
      </c>
      <c r="Z3002" s="232">
        <v>0</v>
      </c>
      <c r="AA3002" s="30">
        <v>0</v>
      </c>
      <c r="AB3002" s="30">
        <v>0</v>
      </c>
      <c r="AC3002" s="30">
        <v>0</v>
      </c>
      <c r="AD3002" s="30">
        <v>0</v>
      </c>
      <c r="AE3002" s="72" t="s">
        <v>394</v>
      </c>
      <c r="AF3002" s="72"/>
      <c r="AG3002" s="72" t="s">
        <v>133</v>
      </c>
      <c r="AH3002" s="72">
        <v>43739</v>
      </c>
      <c r="AI3002" s="30">
        <v>1</v>
      </c>
      <c r="AJ3002" s="72" t="s">
        <v>17018</v>
      </c>
      <c r="AK3002" s="72" t="s">
        <v>17019</v>
      </c>
      <c r="AL3002" s="70">
        <v>43743</v>
      </c>
      <c r="AM3002" s="70"/>
      <c r="AN3002" s="70"/>
      <c r="AO3002" s="70"/>
      <c r="AP3002" s="73" t="e">
        <f>MID(VLOOKUP(K3002,#REF!,2,FALSE),1,2)</f>
        <v>#REF!</v>
      </c>
      <c r="AQ3002" s="72">
        <f>DATE(2019,10,2)</f>
        <v>43740</v>
      </c>
      <c r="AR3002" s="83">
        <f t="shared" si="253"/>
        <v>2</v>
      </c>
      <c r="AS3002" s="84">
        <f t="shared" si="254"/>
        <v>10</v>
      </c>
      <c r="AT3002" s="86">
        <f t="shared" si="255"/>
        <v>2019</v>
      </c>
      <c r="AU3002" s="86"/>
      <c r="AV3002" s="87"/>
      <c r="AW3002" s="86"/>
      <c r="AX3002" s="83"/>
      <c r="AY3002" s="84"/>
      <c r="AZ3002" s="86"/>
      <c r="BA3002" s="86"/>
      <c r="BB3002" s="86"/>
    </row>
    <row r="3003" spans="1:54" ht="36.75" customHeight="1">
      <c r="A3003" s="30"/>
      <c r="B3003" s="30" t="s">
        <v>55</v>
      </c>
      <c r="C3003" s="69" t="str">
        <f t="shared" si="252"/>
        <v>Closed</v>
      </c>
      <c r="D3003" s="27" t="s">
        <v>17020</v>
      </c>
      <c r="E3003" s="29" t="s">
        <v>17021</v>
      </c>
      <c r="F3003" s="30" t="s">
        <v>423</v>
      </c>
      <c r="G3003" s="72">
        <f>DATE(2019,10,1)</f>
        <v>43739</v>
      </c>
      <c r="H3003" s="80">
        <v>1.3131944444444446</v>
      </c>
      <c r="I3003" s="30" t="s">
        <v>116</v>
      </c>
      <c r="J3003" s="72" t="s">
        <v>17022</v>
      </c>
      <c r="K3003" s="30" t="s">
        <v>425</v>
      </c>
      <c r="L3003" s="30" t="s">
        <v>17023</v>
      </c>
      <c r="M3003" s="30" t="s">
        <v>63</v>
      </c>
      <c r="N3003" s="30" t="s">
        <v>99</v>
      </c>
      <c r="O3003" s="30" t="s">
        <v>64</v>
      </c>
      <c r="P3003" s="72" t="s">
        <v>165</v>
      </c>
      <c r="Q3003" s="72" t="s">
        <v>4551</v>
      </c>
      <c r="R3003" s="72" t="s">
        <v>3103</v>
      </c>
      <c r="S3003" s="30">
        <v>0</v>
      </c>
      <c r="T3003" s="232">
        <v>0</v>
      </c>
      <c r="U3003" s="30">
        <v>2</v>
      </c>
      <c r="V3003" s="232">
        <v>0</v>
      </c>
      <c r="W3003" s="30">
        <v>0</v>
      </c>
      <c r="X3003" s="30">
        <v>2</v>
      </c>
      <c r="Y3003" s="30">
        <v>0</v>
      </c>
      <c r="Z3003" s="232">
        <v>0</v>
      </c>
      <c r="AA3003" s="30">
        <v>0</v>
      </c>
      <c r="AB3003" s="30">
        <v>0</v>
      </c>
      <c r="AC3003" s="30">
        <v>0</v>
      </c>
      <c r="AD3003" s="30">
        <v>0</v>
      </c>
      <c r="AE3003" s="72" t="s">
        <v>92</v>
      </c>
      <c r="AF3003" s="72"/>
      <c r="AG3003" s="72" t="s">
        <v>874</v>
      </c>
      <c r="AH3003" s="72">
        <v>43475</v>
      </c>
      <c r="AI3003" s="30">
        <v>1</v>
      </c>
      <c r="AJ3003" s="72" t="s">
        <v>15108</v>
      </c>
      <c r="AK3003" s="72" t="s">
        <v>15109</v>
      </c>
      <c r="AL3003" s="70">
        <v>43741</v>
      </c>
      <c r="AM3003" s="70"/>
      <c r="AN3003" s="70"/>
      <c r="AO3003" s="70"/>
      <c r="AP3003" s="73" t="e">
        <f>MID(VLOOKUP(K3003,#REF!,2,FALSE),1,2)</f>
        <v>#REF!</v>
      </c>
      <c r="AQ3003" s="72">
        <f>DATE(2019,10,7)</f>
        <v>43745</v>
      </c>
      <c r="AR3003" s="83">
        <f t="shared" si="253"/>
        <v>7</v>
      </c>
      <c r="AS3003" s="84">
        <f t="shared" si="254"/>
        <v>10</v>
      </c>
      <c r="AT3003" s="86">
        <f t="shared" si="255"/>
        <v>2019</v>
      </c>
      <c r="AU3003" s="86"/>
      <c r="AV3003" s="87"/>
      <c r="AW3003" s="86"/>
      <c r="AX3003" s="83"/>
      <c r="AY3003" s="84"/>
      <c r="AZ3003" s="86"/>
      <c r="BA3003" s="86"/>
      <c r="BB3003" s="86"/>
    </row>
    <row r="3004" spans="1:54" ht="36.75" customHeight="1">
      <c r="A3004" s="30"/>
      <c r="B3004" s="30" t="s">
        <v>55</v>
      </c>
      <c r="C3004" s="69" t="str">
        <f t="shared" si="252"/>
        <v>Closed</v>
      </c>
      <c r="D3004" s="27" t="s">
        <v>17024</v>
      </c>
      <c r="E3004" s="29" t="s">
        <v>17025</v>
      </c>
      <c r="F3004" s="30" t="s">
        <v>423</v>
      </c>
      <c r="G3004" s="72">
        <f>DATE(2019,10,2)</f>
        <v>43740</v>
      </c>
      <c r="H3004" s="80">
        <v>1.75</v>
      </c>
      <c r="I3004" s="30" t="s">
        <v>73</v>
      </c>
      <c r="J3004" s="72" t="s">
        <v>17026</v>
      </c>
      <c r="K3004" s="30" t="s">
        <v>425</v>
      </c>
      <c r="L3004" s="30" t="s">
        <v>17027</v>
      </c>
      <c r="M3004" s="30" t="s">
        <v>63</v>
      </c>
      <c r="N3004" s="30" t="s">
        <v>99</v>
      </c>
      <c r="O3004" s="30" t="s">
        <v>77</v>
      </c>
      <c r="P3004" s="72" t="s">
        <v>165</v>
      </c>
      <c r="Q3004" s="72" t="s">
        <v>4551</v>
      </c>
      <c r="R3004" s="72" t="s">
        <v>3103</v>
      </c>
      <c r="S3004" s="30">
        <v>0</v>
      </c>
      <c r="T3004" s="232">
        <v>0</v>
      </c>
      <c r="U3004" s="30">
        <v>0</v>
      </c>
      <c r="V3004" s="232">
        <v>0</v>
      </c>
      <c r="W3004" s="30">
        <v>0</v>
      </c>
      <c r="X3004" s="30">
        <v>0</v>
      </c>
      <c r="Y3004" s="30">
        <v>0</v>
      </c>
      <c r="Z3004" s="232">
        <v>0</v>
      </c>
      <c r="AA3004" s="30">
        <v>0</v>
      </c>
      <c r="AB3004" s="30">
        <v>0</v>
      </c>
      <c r="AC3004" s="30">
        <v>0</v>
      </c>
      <c r="AD3004" s="30">
        <v>0</v>
      </c>
      <c r="AE3004" s="72" t="s">
        <v>92</v>
      </c>
      <c r="AF3004" s="72"/>
      <c r="AG3004" s="72" t="s">
        <v>352</v>
      </c>
      <c r="AH3004" s="72">
        <v>43506</v>
      </c>
      <c r="AI3004" s="30">
        <v>0</v>
      </c>
      <c r="AJ3004" s="72" t="s">
        <v>17028</v>
      </c>
      <c r="AK3004" s="72" t="s">
        <v>17029</v>
      </c>
      <c r="AL3004" s="70">
        <v>43741</v>
      </c>
      <c r="AM3004" s="70"/>
      <c r="AN3004" s="70"/>
      <c r="AO3004" s="70"/>
      <c r="AP3004" s="73" t="e">
        <f>MID(VLOOKUP(K3004,#REF!,2,FALSE),1,2)</f>
        <v>#REF!</v>
      </c>
      <c r="AQ3004" s="72">
        <f>DATE(2019,10,14)</f>
        <v>43752</v>
      </c>
      <c r="AR3004" s="83">
        <f t="shared" si="253"/>
        <v>14</v>
      </c>
      <c r="AS3004" s="84">
        <f t="shared" si="254"/>
        <v>10</v>
      </c>
      <c r="AT3004" s="86">
        <f t="shared" si="255"/>
        <v>2019</v>
      </c>
      <c r="AU3004" s="86"/>
      <c r="AV3004" s="87"/>
      <c r="AW3004" s="86"/>
      <c r="AX3004" s="83"/>
      <c r="AY3004" s="84"/>
      <c r="AZ3004" s="86"/>
      <c r="BA3004" s="86"/>
      <c r="BB3004" s="86"/>
    </row>
    <row r="3005" spans="1:54" ht="36.75" customHeight="1">
      <c r="A3005" s="30"/>
      <c r="B3005" s="30" t="s">
        <v>55</v>
      </c>
      <c r="C3005" s="69" t="str">
        <f t="shared" si="252"/>
        <v>Closed</v>
      </c>
      <c r="D3005" s="27" t="s">
        <v>17030</v>
      </c>
      <c r="E3005" s="29" t="s">
        <v>17031</v>
      </c>
      <c r="F3005" s="30" t="s">
        <v>1572</v>
      </c>
      <c r="G3005" s="72">
        <f>DATE(2019,10,7)</f>
        <v>43745</v>
      </c>
      <c r="H3005" s="80">
        <v>1.28125</v>
      </c>
      <c r="I3005" s="30" t="s">
        <v>73</v>
      </c>
      <c r="J3005" s="72" t="s">
        <v>17032</v>
      </c>
      <c r="K3005" s="30" t="s">
        <v>1574</v>
      </c>
      <c r="L3005" s="30" t="s">
        <v>17033</v>
      </c>
      <c r="M3005" s="30" t="s">
        <v>63</v>
      </c>
      <c r="N3005" s="30" t="s">
        <v>142</v>
      </c>
      <c r="O3005" s="30" t="s">
        <v>77</v>
      </c>
      <c r="P3005" s="72" t="s">
        <v>78</v>
      </c>
      <c r="Q3005" s="72" t="s">
        <v>9075</v>
      </c>
      <c r="R3005" s="72" t="s">
        <v>6434</v>
      </c>
      <c r="S3005" s="30">
        <v>0</v>
      </c>
      <c r="T3005" s="232">
        <v>0</v>
      </c>
      <c r="U3005" s="30">
        <v>0</v>
      </c>
      <c r="V3005" s="232">
        <v>0</v>
      </c>
      <c r="W3005" s="30">
        <v>0</v>
      </c>
      <c r="X3005" s="30">
        <v>0</v>
      </c>
      <c r="Y3005" s="30">
        <v>0</v>
      </c>
      <c r="Z3005" s="232">
        <v>0</v>
      </c>
      <c r="AA3005" s="30">
        <v>0</v>
      </c>
      <c r="AB3005" s="30">
        <v>0</v>
      </c>
      <c r="AC3005" s="30">
        <v>0</v>
      </c>
      <c r="AD3005" s="30">
        <v>0</v>
      </c>
      <c r="AE3005" s="72" t="s">
        <v>92</v>
      </c>
      <c r="AF3005" s="72"/>
      <c r="AG3005" s="72" t="s">
        <v>133</v>
      </c>
      <c r="AH3005" s="72">
        <v>43745</v>
      </c>
      <c r="AI3005" s="30">
        <v>3</v>
      </c>
      <c r="AJ3005" s="72" t="s">
        <v>17034</v>
      </c>
      <c r="AK3005" s="72" t="s">
        <v>17035</v>
      </c>
      <c r="AL3005" s="70">
        <v>43747</v>
      </c>
      <c r="AM3005" s="70"/>
      <c r="AN3005" s="70"/>
      <c r="AO3005" s="70"/>
      <c r="AP3005" s="73" t="e">
        <f>MID(VLOOKUP(K3005,#REF!,2,FALSE),1,2)</f>
        <v>#REF!</v>
      </c>
      <c r="AQ3005" s="72">
        <f>DATE(2019,10,15)</f>
        <v>43753</v>
      </c>
      <c r="AR3005" s="83">
        <f t="shared" si="253"/>
        <v>15</v>
      </c>
      <c r="AS3005" s="84">
        <f t="shared" si="254"/>
        <v>10</v>
      </c>
      <c r="AT3005" s="86">
        <f t="shared" si="255"/>
        <v>2019</v>
      </c>
      <c r="AU3005" s="86"/>
      <c r="AV3005" s="87"/>
      <c r="AW3005" s="86"/>
      <c r="AX3005" s="83"/>
      <c r="AY3005" s="84"/>
      <c r="AZ3005" s="86"/>
      <c r="BA3005" s="86"/>
      <c r="BB3005" s="86"/>
    </row>
    <row r="3006" spans="1:54" ht="36.75" customHeight="1">
      <c r="A3006" s="30"/>
      <c r="B3006" s="30" t="s">
        <v>55</v>
      </c>
      <c r="C3006" s="69" t="str">
        <f t="shared" si="252"/>
        <v>Closed</v>
      </c>
      <c r="D3006" s="27" t="s">
        <v>17036</v>
      </c>
      <c r="E3006" s="29" t="s">
        <v>17037</v>
      </c>
      <c r="F3006" s="30" t="s">
        <v>2601</v>
      </c>
      <c r="G3006" s="72">
        <f>DATE(2019,10,14)</f>
        <v>43752</v>
      </c>
      <c r="H3006" s="80">
        <v>1.3097222222222222</v>
      </c>
      <c r="I3006" s="30" t="s">
        <v>198</v>
      </c>
      <c r="J3006" s="72" t="s">
        <v>17038</v>
      </c>
      <c r="K3006" s="30" t="s">
        <v>2603</v>
      </c>
      <c r="L3006" s="30" t="s">
        <v>17039</v>
      </c>
      <c r="M3006" s="30" t="s">
        <v>63</v>
      </c>
      <c r="N3006" s="30" t="s">
        <v>89</v>
      </c>
      <c r="O3006" s="30" t="s">
        <v>77</v>
      </c>
      <c r="P3006" s="72" t="s">
        <v>91</v>
      </c>
      <c r="Q3006" s="72" t="s">
        <v>4813</v>
      </c>
      <c r="R3006" s="72" t="s">
        <v>2606</v>
      </c>
      <c r="S3006" s="30">
        <v>0</v>
      </c>
      <c r="T3006" s="232">
        <v>0</v>
      </c>
      <c r="U3006" s="30">
        <v>0</v>
      </c>
      <c r="V3006" s="232">
        <v>0</v>
      </c>
      <c r="W3006" s="30">
        <v>0</v>
      </c>
      <c r="X3006" s="30">
        <v>0</v>
      </c>
      <c r="Y3006" s="30">
        <v>0</v>
      </c>
      <c r="Z3006" s="232">
        <v>2</v>
      </c>
      <c r="AA3006" s="30">
        <v>0</v>
      </c>
      <c r="AB3006" s="30">
        <v>0</v>
      </c>
      <c r="AC3006" s="30">
        <v>0</v>
      </c>
      <c r="AD3006" s="30">
        <v>2</v>
      </c>
      <c r="AE3006" s="72" t="s">
        <v>92</v>
      </c>
      <c r="AF3006" s="72"/>
      <c r="AG3006" s="72" t="s">
        <v>133</v>
      </c>
      <c r="AH3006" s="72">
        <v>43762</v>
      </c>
      <c r="AI3006" s="30">
        <v>4</v>
      </c>
      <c r="AJ3006" s="72" t="s">
        <v>17040</v>
      </c>
      <c r="AK3006" s="72" t="s">
        <v>17041</v>
      </c>
      <c r="AL3006" s="70">
        <v>43768</v>
      </c>
      <c r="AM3006" s="70"/>
      <c r="AN3006" s="72"/>
      <c r="AO3006" s="72"/>
      <c r="AP3006" s="73" t="e">
        <f>MID(VLOOKUP(K3006,#REF!,2,FALSE),1,2)</f>
        <v>#REF!</v>
      </c>
      <c r="AQ3006" s="72">
        <f>DATE(2019,10,16)</f>
        <v>43754</v>
      </c>
      <c r="AR3006" s="83">
        <f t="shared" ref="AR3006:AR3037" si="256">DAY(AQ3006)</f>
        <v>16</v>
      </c>
      <c r="AS3006" s="84">
        <f t="shared" ref="AS3006:AS3037" si="257">MONTH(AQ3006)</f>
        <v>10</v>
      </c>
      <c r="AT3006" s="86">
        <f t="shared" ref="AT3006:AT3037" si="258">YEAR(AQ3006)</f>
        <v>2019</v>
      </c>
      <c r="AU3006" s="86"/>
      <c r="AV3006" s="87"/>
      <c r="AW3006" s="86"/>
      <c r="AX3006" s="83"/>
      <c r="AY3006" s="84"/>
      <c r="AZ3006" s="86"/>
      <c r="BA3006" s="86"/>
      <c r="BB3006" s="86"/>
    </row>
    <row r="3007" spans="1:54" ht="36.75" customHeight="1">
      <c r="A3007" s="30"/>
      <c r="B3007" s="30" t="s">
        <v>55</v>
      </c>
      <c r="C3007" s="69" t="str">
        <f t="shared" si="252"/>
        <v>Closed</v>
      </c>
      <c r="D3007" s="27" t="s">
        <v>17042</v>
      </c>
      <c r="E3007" s="29" t="s">
        <v>17043</v>
      </c>
      <c r="F3007" s="30" t="s">
        <v>1572</v>
      </c>
      <c r="G3007" s="72">
        <f>DATE(2019,10,15)</f>
        <v>43753</v>
      </c>
      <c r="H3007" s="80">
        <v>1.5486111111111112</v>
      </c>
      <c r="I3007" s="30" t="s">
        <v>73</v>
      </c>
      <c r="J3007" s="72" t="s">
        <v>17044</v>
      </c>
      <c r="K3007" s="30" t="s">
        <v>1574</v>
      </c>
      <c r="L3007" s="30" t="s">
        <v>17045</v>
      </c>
      <c r="M3007" s="30" t="s">
        <v>63</v>
      </c>
      <c r="N3007" s="30" t="s">
        <v>142</v>
      </c>
      <c r="O3007" s="30" t="s">
        <v>64</v>
      </c>
      <c r="P3007" s="72" t="s">
        <v>78</v>
      </c>
      <c r="Q3007" s="72" t="s">
        <v>1574</v>
      </c>
      <c r="R3007" s="72" t="s">
        <v>6434</v>
      </c>
      <c r="S3007" s="30">
        <v>0</v>
      </c>
      <c r="T3007" s="232">
        <v>0</v>
      </c>
      <c r="U3007" s="30">
        <v>0</v>
      </c>
      <c r="V3007" s="232">
        <v>0</v>
      </c>
      <c r="W3007" s="30">
        <v>0</v>
      </c>
      <c r="X3007" s="30">
        <v>0</v>
      </c>
      <c r="Y3007" s="30">
        <v>0</v>
      </c>
      <c r="Z3007" s="232">
        <v>0</v>
      </c>
      <c r="AA3007" s="30">
        <v>0</v>
      </c>
      <c r="AB3007" s="30">
        <v>0</v>
      </c>
      <c r="AC3007" s="30">
        <v>0</v>
      </c>
      <c r="AD3007" s="30">
        <v>0</v>
      </c>
      <c r="AE3007" s="72" t="s">
        <v>394</v>
      </c>
      <c r="AF3007" s="72"/>
      <c r="AG3007" s="72" t="s">
        <v>133</v>
      </c>
      <c r="AH3007" s="72">
        <v>43754</v>
      </c>
      <c r="AI3007" s="30">
        <v>1</v>
      </c>
      <c r="AJ3007" s="72" t="s">
        <v>17046</v>
      </c>
      <c r="AK3007" s="72" t="s">
        <v>17047</v>
      </c>
      <c r="AL3007" s="70">
        <v>43755</v>
      </c>
      <c r="AM3007" s="70"/>
      <c r="AN3007" s="70"/>
      <c r="AO3007" s="70"/>
      <c r="AP3007" s="73" t="e">
        <f>MID(VLOOKUP(K3007,#REF!,2,FALSE),1,2)</f>
        <v>#REF!</v>
      </c>
      <c r="AQ3007" s="72">
        <f>DATE(2019,10,17)</f>
        <v>43755</v>
      </c>
      <c r="AR3007" s="83">
        <f t="shared" si="256"/>
        <v>17</v>
      </c>
      <c r="AS3007" s="84">
        <f t="shared" si="257"/>
        <v>10</v>
      </c>
      <c r="AT3007" s="86">
        <f t="shared" si="258"/>
        <v>2019</v>
      </c>
      <c r="AU3007" s="86"/>
      <c r="AV3007" s="87"/>
      <c r="AW3007" s="86"/>
      <c r="AX3007" s="83"/>
      <c r="AY3007" s="84"/>
      <c r="AZ3007" s="86"/>
      <c r="BA3007" s="86"/>
      <c r="BB3007" s="86"/>
    </row>
    <row r="3008" spans="1:54" ht="36.75" customHeight="1">
      <c r="A3008" s="30"/>
      <c r="B3008" s="30" t="s">
        <v>55</v>
      </c>
      <c r="C3008" s="69" t="str">
        <f t="shared" si="252"/>
        <v>Closed</v>
      </c>
      <c r="D3008" s="27" t="s">
        <v>17048</v>
      </c>
      <c r="E3008" s="29" t="s">
        <v>17049</v>
      </c>
      <c r="F3008" s="30" t="s">
        <v>16310</v>
      </c>
      <c r="G3008" s="72">
        <f>DATE(2019,10,16)</f>
        <v>43754</v>
      </c>
      <c r="H3008" s="80">
        <v>1.6763888888888889</v>
      </c>
      <c r="I3008" s="30" t="s">
        <v>116</v>
      </c>
      <c r="J3008" s="72" t="s">
        <v>17050</v>
      </c>
      <c r="K3008" s="30" t="s">
        <v>118</v>
      </c>
      <c r="L3008" s="30" t="s">
        <v>17051</v>
      </c>
      <c r="M3008" s="30" t="s">
        <v>63</v>
      </c>
      <c r="N3008" s="30" t="s">
        <v>142</v>
      </c>
      <c r="O3008" s="30" t="s">
        <v>64</v>
      </c>
      <c r="P3008" s="72" t="s">
        <v>165</v>
      </c>
      <c r="Q3008" s="72" t="s">
        <v>16313</v>
      </c>
      <c r="R3008" s="72" t="s">
        <v>16314</v>
      </c>
      <c r="S3008" s="30">
        <v>0</v>
      </c>
      <c r="T3008" s="232">
        <v>0</v>
      </c>
      <c r="U3008" s="30">
        <v>0</v>
      </c>
      <c r="V3008" s="232">
        <v>0</v>
      </c>
      <c r="W3008" s="30">
        <v>0</v>
      </c>
      <c r="X3008" s="30">
        <v>0</v>
      </c>
      <c r="Y3008" s="30">
        <v>0</v>
      </c>
      <c r="Z3008" s="232">
        <v>0</v>
      </c>
      <c r="AA3008" s="30">
        <v>0</v>
      </c>
      <c r="AB3008" s="30">
        <v>0</v>
      </c>
      <c r="AC3008" s="30">
        <v>0</v>
      </c>
      <c r="AD3008" s="30">
        <v>0</v>
      </c>
      <c r="AE3008" s="72" t="s">
        <v>394</v>
      </c>
      <c r="AF3008" s="72" t="s">
        <v>17052</v>
      </c>
      <c r="AG3008" s="72" t="s">
        <v>8859</v>
      </c>
      <c r="AH3008" s="72">
        <v>43756</v>
      </c>
      <c r="AI3008" s="30">
        <v>2</v>
      </c>
      <c r="AJ3008" s="72" t="s">
        <v>17053</v>
      </c>
      <c r="AK3008" s="72" t="s">
        <v>17054</v>
      </c>
      <c r="AL3008" s="70">
        <v>43759</v>
      </c>
      <c r="AM3008" s="70"/>
      <c r="AN3008" s="70">
        <v>44553</v>
      </c>
      <c r="AO3008" s="70">
        <v>44550</v>
      </c>
      <c r="AP3008" s="73" t="e">
        <f>MID(VLOOKUP(K3008,#REF!,2,FALSE),1,2)</f>
        <v>#REF!</v>
      </c>
      <c r="AQ3008" s="72">
        <f>DATE(2019,10,19)</f>
        <v>43757</v>
      </c>
      <c r="AR3008" s="83">
        <f t="shared" si="256"/>
        <v>19</v>
      </c>
      <c r="AS3008" s="84">
        <f t="shared" si="257"/>
        <v>10</v>
      </c>
      <c r="AT3008" s="86">
        <f t="shared" si="258"/>
        <v>2019</v>
      </c>
      <c r="AU3008" s="86"/>
      <c r="AV3008" s="87"/>
      <c r="AW3008" s="86"/>
      <c r="AX3008" s="83"/>
      <c r="AY3008" s="84"/>
      <c r="AZ3008" s="86"/>
      <c r="BA3008" s="86"/>
      <c r="BB3008" s="86"/>
    </row>
    <row r="3009" spans="1:54" ht="36.75" customHeight="1">
      <c r="A3009" s="30"/>
      <c r="B3009" s="30" t="s">
        <v>55</v>
      </c>
      <c r="C3009" s="69" t="str">
        <f t="shared" si="252"/>
        <v>Closed</v>
      </c>
      <c r="D3009" s="27" t="s">
        <v>17055</v>
      </c>
      <c r="E3009" s="29" t="s">
        <v>17056</v>
      </c>
      <c r="F3009" s="30" t="s">
        <v>17057</v>
      </c>
      <c r="G3009" s="72">
        <f>DATE(2019,10,16)</f>
        <v>43754</v>
      </c>
      <c r="H3009" s="80">
        <v>1.5763888888888888</v>
      </c>
      <c r="I3009" s="30" t="s">
        <v>5494</v>
      </c>
      <c r="J3009" s="72" t="s">
        <v>17058</v>
      </c>
      <c r="K3009" s="30" t="s">
        <v>2338</v>
      </c>
      <c r="L3009" s="30" t="s">
        <v>17059</v>
      </c>
      <c r="M3009" s="30" t="s">
        <v>63</v>
      </c>
      <c r="N3009" s="30" t="s">
        <v>142</v>
      </c>
      <c r="O3009" s="30" t="s">
        <v>77</v>
      </c>
      <c r="P3009" s="72" t="s">
        <v>86</v>
      </c>
      <c r="Q3009" s="72" t="s">
        <v>17060</v>
      </c>
      <c r="R3009" s="72" t="s">
        <v>2341</v>
      </c>
      <c r="S3009" s="30">
        <v>0</v>
      </c>
      <c r="T3009" s="232">
        <v>0</v>
      </c>
      <c r="U3009" s="30">
        <v>0</v>
      </c>
      <c r="V3009" s="232">
        <v>0</v>
      </c>
      <c r="W3009" s="30">
        <v>0</v>
      </c>
      <c r="X3009" s="30">
        <v>0</v>
      </c>
      <c r="Y3009" s="30">
        <v>0</v>
      </c>
      <c r="Z3009" s="232">
        <v>0</v>
      </c>
      <c r="AA3009" s="30">
        <v>0</v>
      </c>
      <c r="AB3009" s="30">
        <v>0</v>
      </c>
      <c r="AC3009" s="30">
        <v>0</v>
      </c>
      <c r="AD3009" s="30">
        <v>0</v>
      </c>
      <c r="AE3009" s="72" t="s">
        <v>394</v>
      </c>
      <c r="AF3009" s="72" t="s">
        <v>17061</v>
      </c>
      <c r="AG3009" s="72" t="s">
        <v>17062</v>
      </c>
      <c r="AH3009" s="72">
        <v>44105</v>
      </c>
      <c r="AI3009" s="30">
        <v>9</v>
      </c>
      <c r="AJ3009" s="72" t="s">
        <v>17063</v>
      </c>
      <c r="AK3009" s="72" t="s">
        <v>17064</v>
      </c>
      <c r="AL3009" s="70">
        <v>44105</v>
      </c>
      <c r="AM3009" s="70"/>
      <c r="AN3009" s="70">
        <v>44987</v>
      </c>
      <c r="AO3009" s="70">
        <v>44959</v>
      </c>
      <c r="AP3009" s="73" t="e">
        <f>MID(VLOOKUP(K3009,#REF!,2,FALSE),1,2)</f>
        <v>#REF!</v>
      </c>
      <c r="AQ3009" s="72">
        <f>DATE(2019,10,19)</f>
        <v>43757</v>
      </c>
      <c r="AR3009" s="83">
        <f t="shared" si="256"/>
        <v>19</v>
      </c>
      <c r="AS3009" s="84">
        <f t="shared" si="257"/>
        <v>10</v>
      </c>
      <c r="AT3009" s="86">
        <f t="shared" si="258"/>
        <v>2019</v>
      </c>
      <c r="AU3009" s="86"/>
      <c r="AV3009" s="87"/>
      <c r="AW3009" s="86"/>
      <c r="AX3009" s="83"/>
      <c r="AY3009" s="84"/>
      <c r="AZ3009" s="86"/>
      <c r="BA3009" s="86"/>
      <c r="BB3009" s="86"/>
    </row>
    <row r="3010" spans="1:54" ht="36.75" customHeight="1">
      <c r="A3010" s="30"/>
      <c r="B3010" s="30" t="s">
        <v>55</v>
      </c>
      <c r="C3010" s="69" t="str">
        <f t="shared" ref="C3010:C3073" si="259">IF(B3010="Notification","Open",IF(B3010="Interim Statement","In progress","Closed"))</f>
        <v>Closed</v>
      </c>
      <c r="D3010" s="27" t="s">
        <v>17065</v>
      </c>
      <c r="E3010" s="29" t="s">
        <v>17066</v>
      </c>
      <c r="F3010" s="30" t="s">
        <v>1572</v>
      </c>
      <c r="G3010" s="72">
        <f>DATE(2019,10,17)</f>
        <v>43755</v>
      </c>
      <c r="H3010" s="80">
        <v>1.3194444444444444</v>
      </c>
      <c r="I3010" s="30" t="s">
        <v>125</v>
      </c>
      <c r="J3010" s="72" t="s">
        <v>17067</v>
      </c>
      <c r="K3010" s="30" t="s">
        <v>1574</v>
      </c>
      <c r="L3010" s="30" t="s">
        <v>17068</v>
      </c>
      <c r="M3010" s="30" t="s">
        <v>63</v>
      </c>
      <c r="N3010" s="30" t="s">
        <v>142</v>
      </c>
      <c r="O3010" s="30" t="s">
        <v>64</v>
      </c>
      <c r="P3010" s="72" t="s">
        <v>6941</v>
      </c>
      <c r="Q3010" s="72" t="s">
        <v>2413</v>
      </c>
      <c r="R3010" s="72" t="s">
        <v>6434</v>
      </c>
      <c r="S3010" s="30">
        <v>0</v>
      </c>
      <c r="T3010" s="232">
        <v>0</v>
      </c>
      <c r="U3010" s="30">
        <v>0</v>
      </c>
      <c r="V3010" s="232">
        <v>0</v>
      </c>
      <c r="W3010" s="30">
        <v>0</v>
      </c>
      <c r="X3010" s="30">
        <v>0</v>
      </c>
      <c r="Y3010" s="30">
        <v>0</v>
      </c>
      <c r="Z3010" s="232">
        <v>0</v>
      </c>
      <c r="AA3010" s="30">
        <v>0</v>
      </c>
      <c r="AB3010" s="30">
        <v>0</v>
      </c>
      <c r="AC3010" s="30">
        <v>0</v>
      </c>
      <c r="AD3010" s="30">
        <v>0</v>
      </c>
      <c r="AE3010" s="72" t="s">
        <v>92</v>
      </c>
      <c r="AF3010" s="72"/>
      <c r="AG3010" s="72" t="s">
        <v>133</v>
      </c>
      <c r="AH3010" s="72">
        <v>43755</v>
      </c>
      <c r="AI3010" s="30">
        <v>0</v>
      </c>
      <c r="AJ3010" s="72" t="s">
        <v>17069</v>
      </c>
      <c r="AK3010" s="72" t="s">
        <v>17070</v>
      </c>
      <c r="AL3010" s="70">
        <v>43755</v>
      </c>
      <c r="AM3010" s="70"/>
      <c r="AN3010" s="70"/>
      <c r="AO3010" s="70"/>
      <c r="AP3010" s="73" t="e">
        <f>MID(VLOOKUP(K3010,#REF!,2,FALSE),1,2)</f>
        <v>#REF!</v>
      </c>
      <c r="AQ3010" s="72">
        <f>DATE(2019,10,20)</f>
        <v>43758</v>
      </c>
      <c r="AR3010" s="83">
        <f t="shared" si="256"/>
        <v>20</v>
      </c>
      <c r="AS3010" s="84">
        <f t="shared" si="257"/>
        <v>10</v>
      </c>
      <c r="AT3010" s="86">
        <f t="shared" si="258"/>
        <v>2019</v>
      </c>
      <c r="AU3010" s="86"/>
      <c r="AV3010" s="87"/>
      <c r="AW3010" s="86"/>
      <c r="AX3010" s="83"/>
      <c r="AY3010" s="84"/>
      <c r="AZ3010" s="86"/>
      <c r="BA3010" s="86"/>
      <c r="BB3010" s="86"/>
    </row>
    <row r="3011" spans="1:54" ht="36.75" customHeight="1">
      <c r="A3011" s="30"/>
      <c r="B3011" s="30" t="s">
        <v>55</v>
      </c>
      <c r="C3011" s="69" t="str">
        <f t="shared" si="259"/>
        <v>Closed</v>
      </c>
      <c r="D3011" s="27" t="s">
        <v>17071</v>
      </c>
      <c r="E3011" s="29" t="s">
        <v>17072</v>
      </c>
      <c r="F3011" s="30" t="s">
        <v>6455</v>
      </c>
      <c r="G3011" s="72">
        <f>DATE(2019,10,19)</f>
        <v>43757</v>
      </c>
      <c r="H3011" s="80">
        <v>1.8361111111111112</v>
      </c>
      <c r="I3011" s="30" t="s">
        <v>125</v>
      </c>
      <c r="J3011" s="72" t="s">
        <v>17073</v>
      </c>
      <c r="K3011" s="30" t="s">
        <v>584</v>
      </c>
      <c r="L3011" s="30" t="s">
        <v>17074</v>
      </c>
      <c r="M3011" s="30" t="s">
        <v>63</v>
      </c>
      <c r="N3011" s="30" t="s">
        <v>142</v>
      </c>
      <c r="O3011" s="30" t="s">
        <v>64</v>
      </c>
      <c r="P3011" s="72" t="s">
        <v>165</v>
      </c>
      <c r="Q3011" s="72" t="s">
        <v>17075</v>
      </c>
      <c r="R3011" s="72" t="s">
        <v>587</v>
      </c>
      <c r="S3011" s="30">
        <v>0</v>
      </c>
      <c r="T3011" s="232">
        <v>0</v>
      </c>
      <c r="U3011" s="30">
        <v>0</v>
      </c>
      <c r="V3011" s="232">
        <v>0</v>
      </c>
      <c r="W3011" s="30">
        <v>0</v>
      </c>
      <c r="X3011" s="30">
        <v>0</v>
      </c>
      <c r="Y3011" s="30">
        <v>0</v>
      </c>
      <c r="Z3011" s="232">
        <v>0</v>
      </c>
      <c r="AA3011" s="30">
        <v>0</v>
      </c>
      <c r="AB3011" s="30">
        <v>0</v>
      </c>
      <c r="AC3011" s="30">
        <v>0</v>
      </c>
      <c r="AD3011" s="30">
        <v>0</v>
      </c>
      <c r="AE3011" s="72" t="s">
        <v>394</v>
      </c>
      <c r="AF3011" s="72" t="s">
        <v>17076</v>
      </c>
      <c r="AG3011" s="72" t="s">
        <v>8859</v>
      </c>
      <c r="AH3011" s="72">
        <v>43759</v>
      </c>
      <c r="AI3011" s="30">
        <v>1</v>
      </c>
      <c r="AJ3011" s="72" t="s">
        <v>17077</v>
      </c>
      <c r="AK3011" s="72" t="s">
        <v>10569</v>
      </c>
      <c r="AL3011" s="70">
        <v>43854</v>
      </c>
      <c r="AM3011" s="70"/>
      <c r="AN3011" s="70">
        <v>44883</v>
      </c>
      <c r="AO3011" s="70">
        <v>44867</v>
      </c>
      <c r="AP3011" s="73" t="e">
        <f>MID(VLOOKUP(K3011,#REF!,2,FALSE),1,2)</f>
        <v>#REF!</v>
      </c>
      <c r="AQ3011" s="72">
        <f>DATE(2019,10,24)</f>
        <v>43762</v>
      </c>
      <c r="AR3011" s="83">
        <f t="shared" si="256"/>
        <v>24</v>
      </c>
      <c r="AS3011" s="84">
        <f t="shared" si="257"/>
        <v>10</v>
      </c>
      <c r="AT3011" s="86">
        <f t="shared" si="258"/>
        <v>2019</v>
      </c>
      <c r="AU3011" s="86"/>
      <c r="AV3011" s="87"/>
      <c r="AW3011" s="86"/>
      <c r="AX3011" s="83"/>
      <c r="AY3011" s="84"/>
      <c r="AZ3011" s="86"/>
      <c r="BA3011" s="86"/>
      <c r="BB3011" s="86"/>
    </row>
    <row r="3012" spans="1:54" ht="36.75" customHeight="1">
      <c r="A3012" s="98" t="s">
        <v>4910</v>
      </c>
      <c r="B3012" s="30" t="s">
        <v>55</v>
      </c>
      <c r="C3012" s="69" t="str">
        <f t="shared" si="259"/>
        <v>Closed</v>
      </c>
      <c r="D3012" s="27" t="s">
        <v>17078</v>
      </c>
      <c r="E3012" s="29" t="s">
        <v>17079</v>
      </c>
      <c r="F3012" s="30" t="s">
        <v>9789</v>
      </c>
      <c r="G3012" s="72">
        <f>DATE(2019,10,19)</f>
        <v>43757</v>
      </c>
      <c r="H3012" s="80">
        <v>1.0659722222222223</v>
      </c>
      <c r="I3012" s="30" t="s">
        <v>8503</v>
      </c>
      <c r="J3012" s="265" t="s">
        <v>17080</v>
      </c>
      <c r="K3012" s="30" t="s">
        <v>9791</v>
      </c>
      <c r="L3012" s="30" t="s">
        <v>17081</v>
      </c>
      <c r="M3012" s="30" t="s">
        <v>63</v>
      </c>
      <c r="N3012" s="30" t="s">
        <v>99</v>
      </c>
      <c r="O3012" s="30" t="s">
        <v>64</v>
      </c>
      <c r="P3012" s="72" t="s">
        <v>78</v>
      </c>
      <c r="Q3012" s="72" t="s">
        <v>10257</v>
      </c>
      <c r="R3012" s="72" t="s">
        <v>9794</v>
      </c>
      <c r="S3012" s="30">
        <v>0</v>
      </c>
      <c r="T3012" s="232">
        <v>0</v>
      </c>
      <c r="U3012" s="30">
        <v>0</v>
      </c>
      <c r="V3012" s="232">
        <v>0</v>
      </c>
      <c r="W3012" s="30">
        <v>0</v>
      </c>
      <c r="X3012" s="30">
        <v>0</v>
      </c>
      <c r="Y3012" s="30">
        <v>0</v>
      </c>
      <c r="Z3012" s="232">
        <v>0</v>
      </c>
      <c r="AA3012" s="30">
        <v>0</v>
      </c>
      <c r="AB3012" s="30">
        <v>0</v>
      </c>
      <c r="AC3012" s="30">
        <v>0</v>
      </c>
      <c r="AD3012" s="30">
        <v>0</v>
      </c>
      <c r="AE3012" s="72" t="s">
        <v>92</v>
      </c>
      <c r="AF3012" s="72"/>
      <c r="AG3012" s="72" t="s">
        <v>589</v>
      </c>
      <c r="AH3012" s="72">
        <v>43761</v>
      </c>
      <c r="AI3012" s="30">
        <v>1</v>
      </c>
      <c r="AJ3012" s="72" t="s">
        <v>17082</v>
      </c>
      <c r="AK3012" s="72" t="s">
        <v>17083</v>
      </c>
      <c r="AL3012" s="70">
        <v>43763</v>
      </c>
      <c r="AM3012" s="70"/>
      <c r="AN3012" s="70"/>
      <c r="AO3012" s="70"/>
      <c r="AP3012" s="73" t="e">
        <f>MID(VLOOKUP(K3012,#REF!,2,FALSE),1,2)</f>
        <v>#REF!</v>
      </c>
      <c r="AQ3012" s="72">
        <f>DATE(2019,10,27)</f>
        <v>43765</v>
      </c>
      <c r="AR3012" s="83">
        <f t="shared" si="256"/>
        <v>27</v>
      </c>
      <c r="AS3012" s="84">
        <f t="shared" si="257"/>
        <v>10</v>
      </c>
      <c r="AT3012" s="86">
        <f t="shared" si="258"/>
        <v>2019</v>
      </c>
      <c r="AU3012" s="86"/>
      <c r="AV3012" s="87"/>
      <c r="AW3012" s="86"/>
      <c r="AX3012" s="83"/>
      <c r="AY3012" s="84"/>
      <c r="AZ3012" s="86"/>
      <c r="BA3012" s="86"/>
      <c r="BB3012" s="86"/>
    </row>
    <row r="3013" spans="1:54" ht="36.75" customHeight="1">
      <c r="A3013" s="30"/>
      <c r="B3013" s="30" t="s">
        <v>55</v>
      </c>
      <c r="C3013" s="69" t="str">
        <f t="shared" si="259"/>
        <v>Closed</v>
      </c>
      <c r="D3013" s="27" t="s">
        <v>17084</v>
      </c>
      <c r="E3013" s="29" t="s">
        <v>17085</v>
      </c>
      <c r="F3013" s="30" t="s">
        <v>423</v>
      </c>
      <c r="G3013" s="72">
        <f>DATE(2019,10,20)</f>
        <v>43758</v>
      </c>
      <c r="H3013" s="80">
        <v>1.0888888888888888</v>
      </c>
      <c r="I3013" s="30" t="s">
        <v>116</v>
      </c>
      <c r="J3013" s="72" t="s">
        <v>17086</v>
      </c>
      <c r="K3013" s="30" t="s">
        <v>425</v>
      </c>
      <c r="L3013" s="30" t="s">
        <v>17087</v>
      </c>
      <c r="M3013" s="30" t="s">
        <v>63</v>
      </c>
      <c r="N3013" s="30" t="s">
        <v>142</v>
      </c>
      <c r="O3013" s="30" t="s">
        <v>64</v>
      </c>
      <c r="P3013" s="72" t="s">
        <v>65</v>
      </c>
      <c r="Q3013" s="72" t="s">
        <v>4551</v>
      </c>
      <c r="R3013" s="72" t="s">
        <v>3103</v>
      </c>
      <c r="S3013" s="30">
        <v>0</v>
      </c>
      <c r="T3013" s="232">
        <v>0</v>
      </c>
      <c r="U3013" s="30">
        <v>0</v>
      </c>
      <c r="V3013" s="232">
        <v>0</v>
      </c>
      <c r="W3013" s="30">
        <v>0</v>
      </c>
      <c r="X3013" s="30">
        <v>0</v>
      </c>
      <c r="Y3013" s="30">
        <v>0</v>
      </c>
      <c r="Z3013" s="232">
        <v>0</v>
      </c>
      <c r="AA3013" s="30">
        <v>0</v>
      </c>
      <c r="AB3013" s="30">
        <v>0</v>
      </c>
      <c r="AC3013" s="30">
        <v>0</v>
      </c>
      <c r="AD3013" s="30">
        <v>0</v>
      </c>
      <c r="AE3013" s="72" t="s">
        <v>394</v>
      </c>
      <c r="AF3013" s="72"/>
      <c r="AG3013" s="72" t="s">
        <v>82</v>
      </c>
      <c r="AH3013" s="72">
        <v>43817</v>
      </c>
      <c r="AI3013" s="30">
        <v>1</v>
      </c>
      <c r="AJ3013" s="72" t="s">
        <v>17088</v>
      </c>
      <c r="AK3013" s="72" t="s">
        <v>17089</v>
      </c>
      <c r="AL3013" s="70">
        <v>43818</v>
      </c>
      <c r="AM3013" s="70"/>
      <c r="AN3013" s="70"/>
      <c r="AO3013" s="70"/>
      <c r="AP3013" s="73" t="e">
        <f>MID(VLOOKUP(K3013,#REF!,2,FALSE),1,2)</f>
        <v>#REF!</v>
      </c>
      <c r="AQ3013" s="72">
        <f>DATE(2019,10,28)</f>
        <v>43766</v>
      </c>
      <c r="AR3013" s="83">
        <f t="shared" si="256"/>
        <v>28</v>
      </c>
      <c r="AS3013" s="84">
        <f t="shared" si="257"/>
        <v>10</v>
      </c>
      <c r="AT3013" s="86">
        <f t="shared" si="258"/>
        <v>2019</v>
      </c>
      <c r="AU3013" s="86"/>
      <c r="AV3013" s="87"/>
      <c r="AW3013" s="86"/>
      <c r="AX3013" s="83"/>
      <c r="AY3013" s="84"/>
      <c r="AZ3013" s="86"/>
      <c r="BA3013" s="86"/>
      <c r="BB3013" s="86"/>
    </row>
    <row r="3014" spans="1:54" ht="36.75" customHeight="1">
      <c r="A3014" s="30"/>
      <c r="B3014" s="30" t="s">
        <v>55</v>
      </c>
      <c r="C3014" s="69" t="str">
        <f t="shared" si="259"/>
        <v>Closed</v>
      </c>
      <c r="D3014" s="27" t="s">
        <v>17090</v>
      </c>
      <c r="E3014" s="29" t="s">
        <v>17091</v>
      </c>
      <c r="F3014" s="30" t="s">
        <v>582</v>
      </c>
      <c r="G3014" s="72">
        <f>DATE(2019,10,24)</f>
        <v>43762</v>
      </c>
      <c r="H3014" s="80">
        <v>1.6118055555555557</v>
      </c>
      <c r="I3014" s="30" t="s">
        <v>487</v>
      </c>
      <c r="J3014" s="72" t="s">
        <v>17092</v>
      </c>
      <c r="K3014" s="30" t="s">
        <v>584</v>
      </c>
      <c r="L3014" s="30" t="s">
        <v>17093</v>
      </c>
      <c r="M3014" s="30" t="s">
        <v>63</v>
      </c>
      <c r="N3014" s="30" t="s">
        <v>99</v>
      </c>
      <c r="O3014" s="30" t="s">
        <v>64</v>
      </c>
      <c r="P3014" s="72" t="s">
        <v>165</v>
      </c>
      <c r="Q3014" s="72" t="s">
        <v>10962</v>
      </c>
      <c r="R3014" s="72" t="s">
        <v>587</v>
      </c>
      <c r="S3014" s="30">
        <v>0</v>
      </c>
      <c r="T3014" s="232">
        <v>0</v>
      </c>
      <c r="U3014" s="30">
        <v>0</v>
      </c>
      <c r="V3014" s="232">
        <v>0</v>
      </c>
      <c r="W3014" s="30">
        <v>0</v>
      </c>
      <c r="X3014" s="30">
        <v>0</v>
      </c>
      <c r="Y3014" s="30">
        <v>0</v>
      </c>
      <c r="Z3014" s="232">
        <v>0</v>
      </c>
      <c r="AA3014" s="30">
        <v>0</v>
      </c>
      <c r="AB3014" s="30">
        <v>0</v>
      </c>
      <c r="AC3014" s="30">
        <v>0</v>
      </c>
      <c r="AD3014" s="30">
        <v>0</v>
      </c>
      <c r="AE3014" s="72" t="s">
        <v>92</v>
      </c>
      <c r="AF3014" s="72"/>
      <c r="AG3014" s="72" t="s">
        <v>589</v>
      </c>
      <c r="AH3014" s="72">
        <v>43763</v>
      </c>
      <c r="AI3014" s="30">
        <v>0</v>
      </c>
      <c r="AJ3014" s="72" t="s">
        <v>17094</v>
      </c>
      <c r="AK3014" s="72" t="s">
        <v>1233</v>
      </c>
      <c r="AL3014" s="70">
        <v>43847</v>
      </c>
      <c r="AM3014" s="70"/>
      <c r="AN3014" s="70"/>
      <c r="AO3014" s="70"/>
      <c r="AP3014" s="73" t="e">
        <f>MID(VLOOKUP(K3014,#REF!,2,FALSE),1,2)</f>
        <v>#REF!</v>
      </c>
      <c r="AQ3014" s="72">
        <f>DATE(2019,11,3)</f>
        <v>43772</v>
      </c>
      <c r="AR3014" s="83">
        <f t="shared" si="256"/>
        <v>3</v>
      </c>
      <c r="AS3014" s="84">
        <f t="shared" si="257"/>
        <v>11</v>
      </c>
      <c r="AT3014" s="86">
        <f t="shared" si="258"/>
        <v>2019</v>
      </c>
      <c r="AU3014" s="86"/>
      <c r="AV3014" s="87"/>
      <c r="AW3014" s="86"/>
      <c r="AX3014" s="83"/>
      <c r="AY3014" s="84"/>
      <c r="AZ3014" s="86"/>
      <c r="BA3014" s="86"/>
      <c r="BB3014" s="86"/>
    </row>
    <row r="3015" spans="1:54" ht="36.75" customHeight="1">
      <c r="A3015" s="30"/>
      <c r="B3015" s="30" t="s">
        <v>55</v>
      </c>
      <c r="C3015" s="69" t="str">
        <f t="shared" si="259"/>
        <v>Closed</v>
      </c>
      <c r="D3015" s="27" t="s">
        <v>17095</v>
      </c>
      <c r="E3015" s="29" t="s">
        <v>17096</v>
      </c>
      <c r="F3015" s="30" t="s">
        <v>1572</v>
      </c>
      <c r="G3015" s="72">
        <f>DATE(2019,10,27)</f>
        <v>43765</v>
      </c>
      <c r="H3015" s="80">
        <v>1.8333333333333335</v>
      </c>
      <c r="I3015" s="30" t="s">
        <v>125</v>
      </c>
      <c r="J3015" s="72" t="s">
        <v>17097</v>
      </c>
      <c r="K3015" s="30" t="s">
        <v>1574</v>
      </c>
      <c r="L3015" s="30" t="s">
        <v>17098</v>
      </c>
      <c r="M3015" s="30" t="s">
        <v>63</v>
      </c>
      <c r="N3015" s="30" t="s">
        <v>142</v>
      </c>
      <c r="O3015" s="30" t="s">
        <v>77</v>
      </c>
      <c r="P3015" s="72" t="s">
        <v>78</v>
      </c>
      <c r="Q3015" s="72" t="s">
        <v>9075</v>
      </c>
      <c r="R3015" s="72" t="s">
        <v>6434</v>
      </c>
      <c r="S3015" s="30">
        <v>0</v>
      </c>
      <c r="T3015" s="232">
        <v>0</v>
      </c>
      <c r="U3015" s="30">
        <v>0</v>
      </c>
      <c r="V3015" s="232">
        <v>0</v>
      </c>
      <c r="W3015" s="30">
        <v>0</v>
      </c>
      <c r="X3015" s="30">
        <v>0</v>
      </c>
      <c r="Y3015" s="30">
        <v>0</v>
      </c>
      <c r="Z3015" s="232">
        <v>0</v>
      </c>
      <c r="AA3015" s="30">
        <v>0</v>
      </c>
      <c r="AB3015" s="30">
        <v>0</v>
      </c>
      <c r="AC3015" s="30">
        <v>0</v>
      </c>
      <c r="AD3015" s="30">
        <v>0</v>
      </c>
      <c r="AE3015" s="72" t="s">
        <v>92</v>
      </c>
      <c r="AF3015" s="72"/>
      <c r="AG3015" s="72" t="s">
        <v>133</v>
      </c>
      <c r="AH3015" s="72">
        <v>43768</v>
      </c>
      <c r="AI3015" s="30">
        <v>1</v>
      </c>
      <c r="AJ3015" s="72" t="s">
        <v>17099</v>
      </c>
      <c r="AK3015" s="72" t="s">
        <v>17100</v>
      </c>
      <c r="AL3015" s="70">
        <v>43769</v>
      </c>
      <c r="AM3015" s="70"/>
      <c r="AN3015" s="70"/>
      <c r="AO3015" s="70"/>
      <c r="AP3015" s="73" t="e">
        <f>MID(VLOOKUP(K3015,#REF!,2,FALSE),1,2)</f>
        <v>#REF!</v>
      </c>
      <c r="AQ3015" s="72">
        <f>DATE(2019,11,5)</f>
        <v>43774</v>
      </c>
      <c r="AR3015" s="83">
        <f t="shared" si="256"/>
        <v>5</v>
      </c>
      <c r="AS3015" s="84">
        <f t="shared" si="257"/>
        <v>11</v>
      </c>
      <c r="AT3015" s="86">
        <f t="shared" si="258"/>
        <v>2019</v>
      </c>
      <c r="AU3015" s="86"/>
      <c r="AV3015" s="87"/>
      <c r="AW3015" s="86"/>
      <c r="AX3015" s="83"/>
      <c r="AY3015" s="84"/>
      <c r="AZ3015" s="86"/>
      <c r="BA3015" s="86"/>
      <c r="BB3015" s="86"/>
    </row>
    <row r="3016" spans="1:54" ht="36.75" customHeight="1">
      <c r="A3016" s="98" t="s">
        <v>4910</v>
      </c>
      <c r="B3016" s="30" t="s">
        <v>55</v>
      </c>
      <c r="C3016" s="69" t="str">
        <f t="shared" si="259"/>
        <v>Closed</v>
      </c>
      <c r="D3016" s="27" t="s">
        <v>17101</v>
      </c>
      <c r="E3016" s="29" t="s">
        <v>17102</v>
      </c>
      <c r="F3016" s="30" t="s">
        <v>2336</v>
      </c>
      <c r="G3016" s="72">
        <f>DATE(2019,10,28)</f>
        <v>43766</v>
      </c>
      <c r="H3016" s="127">
        <v>1.5381944444444444</v>
      </c>
      <c r="I3016" s="30" t="s">
        <v>278</v>
      </c>
      <c r="J3016" s="72" t="s">
        <v>17103</v>
      </c>
      <c r="K3016" s="30" t="s">
        <v>2338</v>
      </c>
      <c r="L3016" s="30" t="s">
        <v>17104</v>
      </c>
      <c r="M3016" s="30" t="s">
        <v>63</v>
      </c>
      <c r="N3016" s="30" t="s">
        <v>142</v>
      </c>
      <c r="O3016" s="30" t="s">
        <v>77</v>
      </c>
      <c r="P3016" s="72" t="s">
        <v>65</v>
      </c>
      <c r="Q3016" s="72" t="s">
        <v>2945</v>
      </c>
      <c r="R3016" s="72" t="s">
        <v>2341</v>
      </c>
      <c r="S3016" s="30">
        <v>0</v>
      </c>
      <c r="T3016" s="99">
        <v>1</v>
      </c>
      <c r="U3016" s="30">
        <v>0</v>
      </c>
      <c r="V3016" s="99">
        <v>0</v>
      </c>
      <c r="W3016" s="30">
        <v>0</v>
      </c>
      <c r="X3016" s="30">
        <v>1</v>
      </c>
      <c r="Y3016" s="30">
        <v>0</v>
      </c>
      <c r="Z3016" s="99">
        <v>0</v>
      </c>
      <c r="AA3016" s="30">
        <v>0</v>
      </c>
      <c r="AB3016" s="30">
        <v>0</v>
      </c>
      <c r="AC3016" s="30">
        <v>0</v>
      </c>
      <c r="AD3016" s="30">
        <v>0</v>
      </c>
      <c r="AE3016" s="30" t="s">
        <v>92</v>
      </c>
      <c r="AF3016" s="72"/>
      <c r="AG3016" s="30" t="s">
        <v>82</v>
      </c>
      <c r="AH3016" s="72">
        <v>43773</v>
      </c>
      <c r="AI3016" s="30">
        <v>7</v>
      </c>
      <c r="AJ3016" s="72" t="s">
        <v>68</v>
      </c>
      <c r="AK3016" s="72" t="s">
        <v>68</v>
      </c>
      <c r="AL3016" s="70">
        <v>43780</v>
      </c>
      <c r="AM3016" s="70"/>
      <c r="AN3016" s="70"/>
      <c r="AO3016" s="70"/>
      <c r="AP3016" s="73" t="e">
        <f>MID(VLOOKUP(K3016,#REF!,2,FALSE),1,2)</f>
        <v>#REF!</v>
      </c>
      <c r="AQ3016" s="72">
        <f>DATE(2019,11,5)</f>
        <v>43774</v>
      </c>
      <c r="AR3016" s="83">
        <f t="shared" si="256"/>
        <v>5</v>
      </c>
      <c r="AS3016" s="84">
        <f t="shared" si="257"/>
        <v>11</v>
      </c>
      <c r="AT3016" s="86">
        <f t="shared" si="258"/>
        <v>2019</v>
      </c>
      <c r="AU3016" s="86"/>
      <c r="AV3016" s="87"/>
      <c r="AW3016" s="86"/>
      <c r="AX3016" s="83"/>
      <c r="AY3016" s="84"/>
      <c r="AZ3016" s="86"/>
      <c r="BA3016" s="86"/>
      <c r="BB3016" s="86"/>
    </row>
    <row r="3017" spans="1:54" ht="36.75" customHeight="1">
      <c r="A3017" s="98" t="s">
        <v>4910</v>
      </c>
      <c r="B3017" s="30" t="s">
        <v>55</v>
      </c>
      <c r="C3017" s="69" t="str">
        <f t="shared" si="259"/>
        <v>Closed</v>
      </c>
      <c r="D3017" s="27" t="s">
        <v>17105</v>
      </c>
      <c r="E3017" s="29" t="s">
        <v>17106</v>
      </c>
      <c r="F3017" s="30" t="s">
        <v>423</v>
      </c>
      <c r="G3017" s="72">
        <f>DATE(2019,11,3)</f>
        <v>43772</v>
      </c>
      <c r="H3017" s="80">
        <v>1.6680555555555556</v>
      </c>
      <c r="I3017" s="30" t="s">
        <v>73</v>
      </c>
      <c r="J3017" s="72" t="s">
        <v>17107</v>
      </c>
      <c r="K3017" s="30" t="s">
        <v>425</v>
      </c>
      <c r="L3017" s="30" t="s">
        <v>17108</v>
      </c>
      <c r="M3017" s="30" t="s">
        <v>63</v>
      </c>
      <c r="N3017" s="30" t="s">
        <v>142</v>
      </c>
      <c r="O3017" s="30" t="s">
        <v>77</v>
      </c>
      <c r="P3017" s="72" t="s">
        <v>78</v>
      </c>
      <c r="Q3017" s="72" t="s">
        <v>2582</v>
      </c>
      <c r="R3017" s="72" t="s">
        <v>3103</v>
      </c>
      <c r="S3017" s="30">
        <v>0</v>
      </c>
      <c r="T3017" s="232">
        <v>0</v>
      </c>
      <c r="U3017" s="30">
        <v>0</v>
      </c>
      <c r="V3017" s="232">
        <v>0</v>
      </c>
      <c r="W3017" s="30">
        <v>0</v>
      </c>
      <c r="X3017" s="30">
        <v>0</v>
      </c>
      <c r="Y3017" s="30">
        <v>0</v>
      </c>
      <c r="Z3017" s="232">
        <v>0</v>
      </c>
      <c r="AA3017" s="30">
        <v>0</v>
      </c>
      <c r="AB3017" s="30">
        <v>0</v>
      </c>
      <c r="AC3017" s="30">
        <v>0</v>
      </c>
      <c r="AD3017" s="30">
        <v>0</v>
      </c>
      <c r="AE3017" s="72" t="s">
        <v>394</v>
      </c>
      <c r="AF3017" s="72"/>
      <c r="AG3017" s="72" t="s">
        <v>82</v>
      </c>
      <c r="AH3017" s="72">
        <v>43535</v>
      </c>
      <c r="AI3017" s="30">
        <v>1</v>
      </c>
      <c r="AJ3017" s="72" t="s">
        <v>68</v>
      </c>
      <c r="AK3017" s="72" t="s">
        <v>68</v>
      </c>
      <c r="AL3017" s="70">
        <v>43773</v>
      </c>
      <c r="AM3017" s="70"/>
      <c r="AN3017" s="70"/>
      <c r="AO3017" s="70"/>
      <c r="AP3017" s="73" t="e">
        <f>MID(VLOOKUP(K3017,#REF!,2,FALSE),1,2)</f>
        <v>#REF!</v>
      </c>
      <c r="AQ3017" s="72">
        <f>DATE(2019,11,7)</f>
        <v>43776</v>
      </c>
      <c r="AR3017" s="83">
        <f t="shared" si="256"/>
        <v>7</v>
      </c>
      <c r="AS3017" s="84">
        <f t="shared" si="257"/>
        <v>11</v>
      </c>
      <c r="AT3017" s="86">
        <f t="shared" si="258"/>
        <v>2019</v>
      </c>
      <c r="AU3017" s="86"/>
      <c r="AV3017" s="87"/>
      <c r="AW3017" s="86"/>
      <c r="AX3017" s="83"/>
      <c r="AY3017" s="84"/>
      <c r="AZ3017" s="86"/>
      <c r="BA3017" s="86"/>
      <c r="BB3017" s="86"/>
    </row>
    <row r="3018" spans="1:54" ht="36.75" customHeight="1">
      <c r="A3018" s="98" t="s">
        <v>4910</v>
      </c>
      <c r="B3018" s="30" t="s">
        <v>55</v>
      </c>
      <c r="C3018" s="69" t="str">
        <f t="shared" si="259"/>
        <v>Closed</v>
      </c>
      <c r="D3018" s="27" t="s">
        <v>17109</v>
      </c>
      <c r="E3018" s="29" t="s">
        <v>17110</v>
      </c>
      <c r="F3018" s="30" t="s">
        <v>423</v>
      </c>
      <c r="G3018" s="72">
        <f>DATE(2019,11,5)</f>
        <v>43774</v>
      </c>
      <c r="H3018" s="80">
        <v>1.59375</v>
      </c>
      <c r="I3018" s="30" t="s">
        <v>2078</v>
      </c>
      <c r="J3018" s="72" t="s">
        <v>17111</v>
      </c>
      <c r="K3018" s="30" t="s">
        <v>425</v>
      </c>
      <c r="L3018" s="30" t="s">
        <v>17112</v>
      </c>
      <c r="M3018" s="30" t="s">
        <v>63</v>
      </c>
      <c r="N3018" s="30" t="s">
        <v>99</v>
      </c>
      <c r="O3018" s="30" t="s">
        <v>64</v>
      </c>
      <c r="P3018" s="72" t="s">
        <v>1912</v>
      </c>
      <c r="Q3018" s="72" t="s">
        <v>10689</v>
      </c>
      <c r="R3018" s="72" t="s">
        <v>3103</v>
      </c>
      <c r="S3018" s="30">
        <v>0</v>
      </c>
      <c r="T3018" s="99">
        <v>0</v>
      </c>
      <c r="U3018" s="30">
        <v>0</v>
      </c>
      <c r="V3018" s="99">
        <v>0</v>
      </c>
      <c r="W3018" s="30">
        <v>0</v>
      </c>
      <c r="X3018" s="30">
        <v>0</v>
      </c>
      <c r="Y3018" s="30">
        <v>0</v>
      </c>
      <c r="Z3018" s="99">
        <v>0</v>
      </c>
      <c r="AA3018" s="30">
        <v>0</v>
      </c>
      <c r="AB3018" s="30">
        <v>0</v>
      </c>
      <c r="AC3018" s="30">
        <v>0</v>
      </c>
      <c r="AD3018" s="30">
        <v>0</v>
      </c>
      <c r="AE3018" s="30" t="s">
        <v>92</v>
      </c>
      <c r="AF3018" s="72"/>
      <c r="AG3018" s="72" t="s">
        <v>133</v>
      </c>
      <c r="AH3018" s="72">
        <v>43596</v>
      </c>
      <c r="AI3018" s="30">
        <v>1</v>
      </c>
      <c r="AJ3018" s="72" t="s">
        <v>68</v>
      </c>
      <c r="AK3018" s="72" t="s">
        <v>68</v>
      </c>
      <c r="AL3018" s="70">
        <v>43776</v>
      </c>
      <c r="AM3018" s="70"/>
      <c r="AN3018" s="70"/>
      <c r="AO3018" s="70"/>
      <c r="AP3018" s="73" t="e">
        <f>MID(VLOOKUP(K3018,#REF!,2,FALSE),1,2)</f>
        <v>#REF!</v>
      </c>
      <c r="AQ3018" s="72">
        <f>DATE(2019,11,11)</f>
        <v>43780</v>
      </c>
      <c r="AR3018" s="83">
        <f t="shared" si="256"/>
        <v>11</v>
      </c>
      <c r="AS3018" s="84">
        <f t="shared" si="257"/>
        <v>11</v>
      </c>
      <c r="AT3018" s="86">
        <f t="shared" si="258"/>
        <v>2019</v>
      </c>
      <c r="AU3018" s="86"/>
      <c r="AV3018" s="87"/>
      <c r="AW3018" s="86"/>
      <c r="AX3018" s="83"/>
      <c r="AY3018" s="84"/>
      <c r="AZ3018" s="86"/>
      <c r="BA3018" s="86"/>
      <c r="BB3018" s="86"/>
    </row>
    <row r="3019" spans="1:54" ht="36.75" customHeight="1">
      <c r="A3019" s="30"/>
      <c r="B3019" s="30" t="s">
        <v>55</v>
      </c>
      <c r="C3019" s="69" t="str">
        <f t="shared" si="259"/>
        <v>Closed</v>
      </c>
      <c r="D3019" s="27" t="s">
        <v>17113</v>
      </c>
      <c r="E3019" s="29" t="s">
        <v>17114</v>
      </c>
      <c r="F3019" s="30" t="s">
        <v>1572</v>
      </c>
      <c r="G3019" s="72">
        <f>DATE(2019,11,5)</f>
        <v>43774</v>
      </c>
      <c r="H3019" s="80">
        <v>1.8888888888888888</v>
      </c>
      <c r="I3019" s="30" t="s">
        <v>73</v>
      </c>
      <c r="J3019" s="72" t="s">
        <v>17115</v>
      </c>
      <c r="K3019" s="30" t="s">
        <v>1574</v>
      </c>
      <c r="L3019" s="30" t="s">
        <v>17116</v>
      </c>
      <c r="M3019" s="30" t="s">
        <v>63</v>
      </c>
      <c r="N3019" s="30" t="s">
        <v>99</v>
      </c>
      <c r="O3019" s="30" t="s">
        <v>64</v>
      </c>
      <c r="P3019" s="72" t="s">
        <v>78</v>
      </c>
      <c r="Q3019" s="72" t="s">
        <v>4920</v>
      </c>
      <c r="R3019" s="72" t="s">
        <v>6434</v>
      </c>
      <c r="S3019" s="30">
        <v>0</v>
      </c>
      <c r="T3019" s="232">
        <v>0</v>
      </c>
      <c r="U3019" s="30">
        <v>0</v>
      </c>
      <c r="V3019" s="232">
        <v>0</v>
      </c>
      <c r="W3019" s="30">
        <v>0</v>
      </c>
      <c r="X3019" s="30">
        <v>0</v>
      </c>
      <c r="Y3019" s="30">
        <v>0</v>
      </c>
      <c r="Z3019" s="232">
        <v>0</v>
      </c>
      <c r="AA3019" s="30">
        <v>0</v>
      </c>
      <c r="AB3019" s="30">
        <v>0</v>
      </c>
      <c r="AC3019" s="30">
        <v>0</v>
      </c>
      <c r="AD3019" s="30">
        <v>0</v>
      </c>
      <c r="AE3019" s="72" t="s">
        <v>92</v>
      </c>
      <c r="AF3019" s="72"/>
      <c r="AG3019" s="72" t="s">
        <v>133</v>
      </c>
      <c r="AH3019" s="72">
        <v>43775</v>
      </c>
      <c r="AI3019" s="30">
        <v>0</v>
      </c>
      <c r="AJ3019" s="72" t="s">
        <v>17117</v>
      </c>
      <c r="AK3019" s="72" t="s">
        <v>17118</v>
      </c>
      <c r="AL3019" s="70">
        <v>43776</v>
      </c>
      <c r="AM3019" s="70"/>
      <c r="AN3019" s="70"/>
      <c r="AO3019" s="70"/>
      <c r="AP3019" s="73" t="e">
        <f>MID(VLOOKUP(K3019,#REF!,2,FALSE),1,2)</f>
        <v>#REF!</v>
      </c>
      <c r="AQ3019" s="72">
        <f>DATE(2019,11,12)</f>
        <v>43781</v>
      </c>
      <c r="AR3019" s="83">
        <f t="shared" si="256"/>
        <v>12</v>
      </c>
      <c r="AS3019" s="84">
        <f t="shared" si="257"/>
        <v>11</v>
      </c>
      <c r="AT3019" s="86">
        <f t="shared" si="258"/>
        <v>2019</v>
      </c>
      <c r="AU3019" s="86"/>
      <c r="AV3019" s="87"/>
      <c r="AW3019" s="86"/>
      <c r="AX3019" s="83"/>
      <c r="AY3019" s="84"/>
      <c r="AZ3019" s="86"/>
      <c r="BA3019" s="86"/>
      <c r="BB3019" s="86"/>
    </row>
    <row r="3020" spans="1:54" ht="36.75" customHeight="1">
      <c r="A3020" s="30"/>
      <c r="B3020" s="30" t="s">
        <v>55</v>
      </c>
      <c r="C3020" s="69" t="str">
        <f t="shared" si="259"/>
        <v>Closed</v>
      </c>
      <c r="D3020" s="27" t="s">
        <v>17119</v>
      </c>
      <c r="E3020" s="29" t="s">
        <v>17120</v>
      </c>
      <c r="F3020" s="30" t="s">
        <v>124</v>
      </c>
      <c r="G3020" s="72">
        <f>DATE(2019,11,7)</f>
        <v>43776</v>
      </c>
      <c r="H3020" s="102">
        <v>1.125</v>
      </c>
      <c r="I3020" s="30" t="s">
        <v>73</v>
      </c>
      <c r="J3020" s="72" t="s">
        <v>17121</v>
      </c>
      <c r="K3020" s="30" t="s">
        <v>127</v>
      </c>
      <c r="L3020" s="30" t="s">
        <v>17122</v>
      </c>
      <c r="M3020" s="30" t="s">
        <v>63</v>
      </c>
      <c r="N3020" s="30" t="s">
        <v>89</v>
      </c>
      <c r="O3020" s="30" t="s">
        <v>77</v>
      </c>
      <c r="P3020" s="72" t="s">
        <v>78</v>
      </c>
      <c r="Q3020" s="72" t="s">
        <v>401</v>
      </c>
      <c r="R3020" s="72" t="s">
        <v>167</v>
      </c>
      <c r="S3020" s="30">
        <v>0</v>
      </c>
      <c r="T3020" s="232">
        <v>0</v>
      </c>
      <c r="U3020" s="30">
        <v>0</v>
      </c>
      <c r="V3020" s="232">
        <v>0</v>
      </c>
      <c r="W3020" s="30">
        <v>0</v>
      </c>
      <c r="X3020" s="30">
        <v>0</v>
      </c>
      <c r="Y3020" s="30">
        <v>0</v>
      </c>
      <c r="Z3020" s="232">
        <v>0</v>
      </c>
      <c r="AA3020" s="30">
        <v>0</v>
      </c>
      <c r="AB3020" s="30">
        <v>0</v>
      </c>
      <c r="AC3020" s="30">
        <v>0</v>
      </c>
      <c r="AD3020" s="30">
        <v>0</v>
      </c>
      <c r="AE3020" s="72" t="s">
        <v>394</v>
      </c>
      <c r="AF3020" s="72"/>
      <c r="AG3020" s="88" t="s">
        <v>82</v>
      </c>
      <c r="AH3020" s="72">
        <v>43780</v>
      </c>
      <c r="AI3020" s="30">
        <v>3</v>
      </c>
      <c r="AJ3020" s="72" t="s">
        <v>17123</v>
      </c>
      <c r="AK3020" s="72" t="s">
        <v>68</v>
      </c>
      <c r="AL3020" s="70">
        <v>43782</v>
      </c>
      <c r="AM3020" s="70"/>
      <c r="AN3020" s="70"/>
      <c r="AO3020" s="70"/>
      <c r="AP3020" s="73" t="e">
        <f>MID(VLOOKUP(K3020,#REF!,2,FALSE),1,2)</f>
        <v>#REF!</v>
      </c>
      <c r="AQ3020" s="72">
        <f>DATE(2019,11,13)</f>
        <v>43782</v>
      </c>
      <c r="AR3020" s="83">
        <f t="shared" si="256"/>
        <v>13</v>
      </c>
      <c r="AS3020" s="84">
        <f t="shared" si="257"/>
        <v>11</v>
      </c>
      <c r="AT3020" s="86">
        <f t="shared" si="258"/>
        <v>2019</v>
      </c>
      <c r="AU3020" s="86"/>
      <c r="AV3020" s="87"/>
      <c r="AW3020" s="86"/>
      <c r="AX3020" s="83"/>
      <c r="AY3020" s="84"/>
      <c r="AZ3020" s="86"/>
      <c r="BA3020" s="86"/>
      <c r="BB3020" s="86"/>
    </row>
    <row r="3021" spans="1:54" ht="36.75" customHeight="1">
      <c r="A3021" s="30"/>
      <c r="B3021" s="30" t="s">
        <v>55</v>
      </c>
      <c r="C3021" s="69" t="str">
        <f t="shared" si="259"/>
        <v>Closed</v>
      </c>
      <c r="D3021" s="27" t="s">
        <v>17124</v>
      </c>
      <c r="E3021" s="29" t="s">
        <v>17125</v>
      </c>
      <c r="F3021" s="30" t="s">
        <v>835</v>
      </c>
      <c r="G3021" s="72">
        <f>DATE(2019,11,11)</f>
        <v>43780</v>
      </c>
      <c r="H3021" s="102">
        <v>1.3958333333333333</v>
      </c>
      <c r="I3021" s="30" t="s">
        <v>73</v>
      </c>
      <c r="J3021" s="72" t="s">
        <v>17126</v>
      </c>
      <c r="K3021" s="30" t="s">
        <v>837</v>
      </c>
      <c r="L3021" s="30" t="s">
        <v>17127</v>
      </c>
      <c r="M3021" s="30" t="s">
        <v>63</v>
      </c>
      <c r="N3021" s="30" t="s">
        <v>89</v>
      </c>
      <c r="O3021" s="30" t="s">
        <v>77</v>
      </c>
      <c r="P3021" s="72" t="s">
        <v>78</v>
      </c>
      <c r="Q3021" s="72" t="s">
        <v>6560</v>
      </c>
      <c r="R3021" s="72" t="s">
        <v>840</v>
      </c>
      <c r="S3021" s="30">
        <v>0</v>
      </c>
      <c r="T3021" s="232">
        <v>0</v>
      </c>
      <c r="U3021" s="30">
        <v>0</v>
      </c>
      <c r="V3021" s="232">
        <v>0</v>
      </c>
      <c r="W3021" s="30">
        <v>0</v>
      </c>
      <c r="X3021" s="30">
        <v>0</v>
      </c>
      <c r="Y3021" s="30">
        <v>0</v>
      </c>
      <c r="Z3021" s="232">
        <v>0</v>
      </c>
      <c r="AA3021" s="30">
        <v>0</v>
      </c>
      <c r="AB3021" s="30">
        <v>0</v>
      </c>
      <c r="AC3021" s="30">
        <v>0</v>
      </c>
      <c r="AD3021" s="30">
        <v>0</v>
      </c>
      <c r="AE3021" s="72" t="s">
        <v>92</v>
      </c>
      <c r="AF3021" s="72"/>
      <c r="AG3021" s="88" t="s">
        <v>352</v>
      </c>
      <c r="AH3021" s="72">
        <v>43780</v>
      </c>
      <c r="AI3021" s="30">
        <v>1</v>
      </c>
      <c r="AJ3021" s="72" t="s">
        <v>17128</v>
      </c>
      <c r="AK3021" s="72" t="s">
        <v>17129</v>
      </c>
      <c r="AL3021" s="70">
        <v>43851</v>
      </c>
      <c r="AM3021" s="70"/>
      <c r="AN3021" s="70">
        <v>45012</v>
      </c>
      <c r="AO3021" s="70">
        <v>44180</v>
      </c>
      <c r="AP3021" s="73" t="e">
        <f>MID(VLOOKUP(K3021,#REF!,2,FALSE),1,2)</f>
        <v>#REF!</v>
      </c>
      <c r="AQ3021" s="72">
        <f>DATE(2019,11,14)</f>
        <v>43783</v>
      </c>
      <c r="AR3021" s="83">
        <f t="shared" si="256"/>
        <v>14</v>
      </c>
      <c r="AS3021" s="84">
        <f t="shared" si="257"/>
        <v>11</v>
      </c>
      <c r="AT3021" s="86">
        <f t="shared" si="258"/>
        <v>2019</v>
      </c>
      <c r="AU3021" s="86"/>
      <c r="AV3021" s="87"/>
      <c r="AW3021" s="86"/>
      <c r="AX3021" s="83"/>
      <c r="AY3021" s="84"/>
      <c r="AZ3021" s="86"/>
      <c r="BA3021" s="86"/>
      <c r="BB3021" s="86"/>
    </row>
    <row r="3022" spans="1:54" ht="36.75" customHeight="1">
      <c r="A3022" s="30"/>
      <c r="B3022" s="30" t="s">
        <v>55</v>
      </c>
      <c r="C3022" s="69" t="str">
        <f t="shared" si="259"/>
        <v>Closed</v>
      </c>
      <c r="D3022" s="27" t="s">
        <v>17130</v>
      </c>
      <c r="E3022" s="29" t="s">
        <v>17131</v>
      </c>
      <c r="F3022" s="30" t="s">
        <v>2601</v>
      </c>
      <c r="G3022" s="72">
        <f>DATE(2019,11,12)</f>
        <v>43781</v>
      </c>
      <c r="H3022" s="80">
        <v>1.2805555555555554</v>
      </c>
      <c r="I3022" s="30" t="s">
        <v>116</v>
      </c>
      <c r="J3022" s="72" t="s">
        <v>17132</v>
      </c>
      <c r="K3022" s="30" t="s">
        <v>2603</v>
      </c>
      <c r="L3022" s="30" t="s">
        <v>17133</v>
      </c>
      <c r="M3022" s="30" t="s">
        <v>63</v>
      </c>
      <c r="N3022" s="30" t="s">
        <v>99</v>
      </c>
      <c r="O3022" s="30" t="s">
        <v>64</v>
      </c>
      <c r="P3022" s="72" t="s">
        <v>165</v>
      </c>
      <c r="Q3022" s="72" t="s">
        <v>6342</v>
      </c>
      <c r="R3022" s="72" t="s">
        <v>2606</v>
      </c>
      <c r="S3022" s="30">
        <v>0</v>
      </c>
      <c r="T3022" s="99">
        <v>0</v>
      </c>
      <c r="U3022" s="30">
        <v>1</v>
      </c>
      <c r="V3022" s="99">
        <v>0</v>
      </c>
      <c r="W3022" s="30">
        <v>0</v>
      </c>
      <c r="X3022" s="30">
        <v>1</v>
      </c>
      <c r="Y3022" s="30">
        <v>0</v>
      </c>
      <c r="Z3022" s="99">
        <v>0</v>
      </c>
      <c r="AA3022" s="30">
        <v>2</v>
      </c>
      <c r="AB3022" s="30">
        <v>0</v>
      </c>
      <c r="AC3022" s="30">
        <v>0</v>
      </c>
      <c r="AD3022" s="30">
        <v>2</v>
      </c>
      <c r="AE3022" s="72" t="s">
        <v>92</v>
      </c>
      <c r="AF3022" s="72"/>
      <c r="AG3022" s="72" t="s">
        <v>352</v>
      </c>
      <c r="AH3022" s="72">
        <v>43782</v>
      </c>
      <c r="AI3022" s="30">
        <v>4</v>
      </c>
      <c r="AJ3022" s="72" t="s">
        <v>68</v>
      </c>
      <c r="AK3022" s="72" t="s">
        <v>68</v>
      </c>
      <c r="AL3022" s="70">
        <v>43789</v>
      </c>
      <c r="AM3022" s="70"/>
      <c r="AN3022" s="70"/>
      <c r="AO3022" s="70"/>
      <c r="AP3022" s="73" t="e">
        <f>MID(VLOOKUP(K3022,#REF!,2,FALSE),1,2)</f>
        <v>#REF!</v>
      </c>
      <c r="AQ3022" s="72">
        <f>DATE(2019,11,18)</f>
        <v>43787</v>
      </c>
      <c r="AR3022" s="83">
        <f t="shared" si="256"/>
        <v>18</v>
      </c>
      <c r="AS3022" s="84">
        <f t="shared" si="257"/>
        <v>11</v>
      </c>
      <c r="AT3022" s="86">
        <f t="shared" si="258"/>
        <v>2019</v>
      </c>
      <c r="AU3022" s="86"/>
      <c r="AV3022" s="87"/>
      <c r="AW3022" s="86"/>
      <c r="AX3022" s="83"/>
      <c r="AY3022" s="84"/>
      <c r="AZ3022" s="86"/>
      <c r="BA3022" s="86"/>
      <c r="BB3022" s="86"/>
    </row>
    <row r="3023" spans="1:54" ht="36.75" customHeight="1">
      <c r="A3023" s="30" t="s">
        <v>4910</v>
      </c>
      <c r="B3023" s="30" t="s">
        <v>55</v>
      </c>
      <c r="C3023" s="69" t="str">
        <f t="shared" si="259"/>
        <v>Closed</v>
      </c>
      <c r="D3023" s="27" t="s">
        <v>17134</v>
      </c>
      <c r="E3023" s="29" t="s">
        <v>17135</v>
      </c>
      <c r="F3023" s="30" t="s">
        <v>233</v>
      </c>
      <c r="G3023" s="72">
        <f>DATE(2019,11,13)</f>
        <v>43782</v>
      </c>
      <c r="H3023" s="80">
        <v>1.9097222222222223</v>
      </c>
      <c r="I3023" s="30" t="s">
        <v>198</v>
      </c>
      <c r="J3023" s="72" t="s">
        <v>17136</v>
      </c>
      <c r="K3023" s="30" t="s">
        <v>235</v>
      </c>
      <c r="L3023" s="30" t="s">
        <v>17137</v>
      </c>
      <c r="M3023" s="30" t="s">
        <v>63</v>
      </c>
      <c r="N3023" s="30" t="s">
        <v>99</v>
      </c>
      <c r="O3023" s="30" t="s">
        <v>6875</v>
      </c>
      <c r="P3023" s="72" t="s">
        <v>165</v>
      </c>
      <c r="Q3023" s="72" t="s">
        <v>1073</v>
      </c>
      <c r="R3023" s="72" t="s">
        <v>235</v>
      </c>
      <c r="S3023" s="30">
        <v>0</v>
      </c>
      <c r="T3023" s="232">
        <v>0</v>
      </c>
      <c r="U3023" s="30">
        <v>0</v>
      </c>
      <c r="V3023" s="232">
        <v>0</v>
      </c>
      <c r="W3023" s="30">
        <v>0</v>
      </c>
      <c r="X3023" s="30">
        <v>0</v>
      </c>
      <c r="Y3023" s="30">
        <v>0</v>
      </c>
      <c r="Z3023" s="232">
        <v>0</v>
      </c>
      <c r="AA3023" s="30">
        <v>0</v>
      </c>
      <c r="AB3023" s="30">
        <v>0</v>
      </c>
      <c r="AC3023" s="30">
        <v>0</v>
      </c>
      <c r="AD3023" s="30">
        <v>0</v>
      </c>
      <c r="AE3023" s="72" t="s">
        <v>92</v>
      </c>
      <c r="AF3023" s="72"/>
      <c r="AG3023" s="72" t="s">
        <v>133</v>
      </c>
      <c r="AH3023" s="72">
        <v>43787</v>
      </c>
      <c r="AI3023" s="30">
        <v>0</v>
      </c>
      <c r="AJ3023" s="72" t="s">
        <v>17138</v>
      </c>
      <c r="AK3023" s="72" t="s">
        <v>17139</v>
      </c>
      <c r="AL3023" s="70">
        <v>43809</v>
      </c>
      <c r="AM3023" s="70"/>
      <c r="AN3023" s="70"/>
      <c r="AO3023" s="70"/>
      <c r="AP3023" s="73" t="e">
        <f>MID(VLOOKUP(K3023,#REF!,2,FALSE),1,2)</f>
        <v>#REF!</v>
      </c>
      <c r="AQ3023" s="72">
        <f>DATE(2019,11,19)</f>
        <v>43788</v>
      </c>
      <c r="AR3023" s="83">
        <f t="shared" si="256"/>
        <v>19</v>
      </c>
      <c r="AS3023" s="84">
        <f t="shared" si="257"/>
        <v>11</v>
      </c>
      <c r="AT3023" s="86">
        <f t="shared" si="258"/>
        <v>2019</v>
      </c>
      <c r="AU3023" s="86"/>
      <c r="AV3023" s="87"/>
      <c r="AW3023" s="86"/>
      <c r="AX3023" s="83"/>
      <c r="AY3023" s="84"/>
      <c r="AZ3023" s="86"/>
      <c r="BA3023" s="86"/>
      <c r="BB3023" s="86"/>
    </row>
    <row r="3024" spans="1:54" ht="36.75" customHeight="1">
      <c r="A3024" s="30"/>
      <c r="B3024" s="30" t="s">
        <v>55</v>
      </c>
      <c r="C3024" s="69" t="str">
        <f t="shared" si="259"/>
        <v>Closed</v>
      </c>
      <c r="D3024" s="27" t="s">
        <v>17140</v>
      </c>
      <c r="E3024" s="29" t="s">
        <v>17141</v>
      </c>
      <c r="F3024" s="30" t="s">
        <v>835</v>
      </c>
      <c r="G3024" s="72">
        <f>DATE(2019,11,14)</f>
        <v>43783</v>
      </c>
      <c r="H3024" s="80">
        <v>1.5604166666666668</v>
      </c>
      <c r="I3024" s="30" t="s">
        <v>104</v>
      </c>
      <c r="J3024" s="72" t="s">
        <v>17142</v>
      </c>
      <c r="K3024" s="30" t="s">
        <v>837</v>
      </c>
      <c r="L3024" s="30" t="s">
        <v>17143</v>
      </c>
      <c r="M3024" s="30" t="s">
        <v>63</v>
      </c>
      <c r="N3024" s="30" t="s">
        <v>142</v>
      </c>
      <c r="O3024" s="30" t="s">
        <v>77</v>
      </c>
      <c r="P3024" s="72" t="s">
        <v>165</v>
      </c>
      <c r="Q3024" s="72" t="s">
        <v>2162</v>
      </c>
      <c r="R3024" s="72" t="s">
        <v>840</v>
      </c>
      <c r="S3024" s="30">
        <v>0</v>
      </c>
      <c r="T3024" s="232">
        <v>0</v>
      </c>
      <c r="U3024" s="30">
        <v>0</v>
      </c>
      <c r="V3024" s="232">
        <v>0</v>
      </c>
      <c r="W3024" s="30">
        <v>0</v>
      </c>
      <c r="X3024" s="30">
        <v>0</v>
      </c>
      <c r="Y3024" s="30">
        <v>0</v>
      </c>
      <c r="Z3024" s="232">
        <v>0</v>
      </c>
      <c r="AA3024" s="30">
        <v>0</v>
      </c>
      <c r="AB3024" s="30">
        <v>0</v>
      </c>
      <c r="AC3024" s="30">
        <v>0</v>
      </c>
      <c r="AD3024" s="30">
        <v>0</v>
      </c>
      <c r="AE3024" s="72" t="s">
        <v>92</v>
      </c>
      <c r="AF3024" s="72" t="s">
        <v>16959</v>
      </c>
      <c r="AG3024" s="72" t="s">
        <v>13537</v>
      </c>
      <c r="AH3024" s="72">
        <v>43784</v>
      </c>
      <c r="AI3024" s="30">
        <v>0</v>
      </c>
      <c r="AJ3024" s="72" t="s">
        <v>17144</v>
      </c>
      <c r="AK3024" s="72" t="s">
        <v>17145</v>
      </c>
      <c r="AL3024" s="70">
        <v>43787</v>
      </c>
      <c r="AM3024" s="70"/>
      <c r="AN3024" s="70"/>
      <c r="AO3024" s="70"/>
      <c r="AP3024" s="73" t="e">
        <f>MID(VLOOKUP(K3024,#REF!,2,FALSE),1,2)</f>
        <v>#REF!</v>
      </c>
      <c r="AQ3024" s="72">
        <f>DATE(2019,11,22)</f>
        <v>43791</v>
      </c>
      <c r="AR3024" s="83">
        <f t="shared" si="256"/>
        <v>22</v>
      </c>
      <c r="AS3024" s="84">
        <f t="shared" si="257"/>
        <v>11</v>
      </c>
      <c r="AT3024" s="86">
        <f t="shared" si="258"/>
        <v>2019</v>
      </c>
      <c r="AU3024" s="86"/>
      <c r="AV3024" s="87"/>
      <c r="AW3024" s="86"/>
      <c r="AX3024" s="83"/>
      <c r="AY3024" s="84"/>
      <c r="AZ3024" s="86"/>
      <c r="BA3024" s="86"/>
      <c r="BB3024" s="86"/>
    </row>
    <row r="3025" spans="1:54" ht="36.75" customHeight="1">
      <c r="A3025" s="30"/>
      <c r="B3025" s="30" t="s">
        <v>55</v>
      </c>
      <c r="C3025" s="69" t="str">
        <f t="shared" si="259"/>
        <v>Closed</v>
      </c>
      <c r="D3025" s="27" t="s">
        <v>17146</v>
      </c>
      <c r="E3025" s="29" t="s">
        <v>17147</v>
      </c>
      <c r="F3025" s="30" t="s">
        <v>423</v>
      </c>
      <c r="G3025" s="72">
        <f>DATE(2019,11,18)</f>
        <v>43787</v>
      </c>
      <c r="H3025" s="80">
        <v>1.8055555555555554</v>
      </c>
      <c r="I3025" s="30" t="s">
        <v>104</v>
      </c>
      <c r="J3025" s="72" t="s">
        <v>17148</v>
      </c>
      <c r="K3025" s="30" t="s">
        <v>425</v>
      </c>
      <c r="L3025" s="30" t="s">
        <v>17149</v>
      </c>
      <c r="M3025" s="30" t="s">
        <v>63</v>
      </c>
      <c r="N3025" s="30" t="s">
        <v>99</v>
      </c>
      <c r="O3025" s="30" t="s">
        <v>77</v>
      </c>
      <c r="P3025" s="72" t="s">
        <v>9806</v>
      </c>
      <c r="Q3025" s="72" t="s">
        <v>17150</v>
      </c>
      <c r="R3025" s="72" t="s">
        <v>3103</v>
      </c>
      <c r="S3025" s="30">
        <v>0</v>
      </c>
      <c r="T3025" s="232">
        <v>0</v>
      </c>
      <c r="U3025" s="30">
        <v>0</v>
      </c>
      <c r="V3025" s="232">
        <v>0</v>
      </c>
      <c r="W3025" s="30">
        <v>0</v>
      </c>
      <c r="X3025" s="30">
        <v>0</v>
      </c>
      <c r="Y3025" s="30">
        <v>0</v>
      </c>
      <c r="Z3025" s="232">
        <v>0</v>
      </c>
      <c r="AA3025" s="30">
        <v>0</v>
      </c>
      <c r="AB3025" s="30">
        <v>0</v>
      </c>
      <c r="AC3025" s="30">
        <v>0</v>
      </c>
      <c r="AD3025" s="30">
        <v>0</v>
      </c>
      <c r="AE3025" s="72" t="s">
        <v>92</v>
      </c>
      <c r="AF3025" s="72"/>
      <c r="AG3025" s="72" t="s">
        <v>352</v>
      </c>
      <c r="AH3025" s="72">
        <v>43787</v>
      </c>
      <c r="AI3025" s="30">
        <v>0</v>
      </c>
      <c r="AJ3025" s="72" t="s">
        <v>17151</v>
      </c>
      <c r="AK3025" s="72" t="s">
        <v>17152</v>
      </c>
      <c r="AL3025" s="70">
        <v>43789</v>
      </c>
      <c r="AM3025" s="70"/>
      <c r="AN3025" s="70"/>
      <c r="AO3025" s="70"/>
      <c r="AP3025" s="73" t="e">
        <f>MID(VLOOKUP(K3025,#REF!,2,FALSE),1,2)</f>
        <v>#REF!</v>
      </c>
      <c r="AQ3025" s="72">
        <f>DATE(2019,11,24)</f>
        <v>43793</v>
      </c>
      <c r="AR3025" s="83">
        <f t="shared" si="256"/>
        <v>24</v>
      </c>
      <c r="AS3025" s="84">
        <f t="shared" si="257"/>
        <v>11</v>
      </c>
      <c r="AT3025" s="86">
        <f t="shared" si="258"/>
        <v>2019</v>
      </c>
      <c r="AU3025" s="86"/>
      <c r="AV3025" s="87"/>
      <c r="AW3025" s="86"/>
      <c r="AX3025" s="83"/>
      <c r="AY3025" s="84"/>
      <c r="AZ3025" s="86"/>
      <c r="BA3025" s="86"/>
      <c r="BB3025" s="86"/>
    </row>
    <row r="3026" spans="1:54" ht="36.75" customHeight="1">
      <c r="A3026" s="30"/>
      <c r="B3026" s="30" t="s">
        <v>55</v>
      </c>
      <c r="C3026" s="69" t="str">
        <f t="shared" si="259"/>
        <v>Closed</v>
      </c>
      <c r="D3026" s="27" t="s">
        <v>17153</v>
      </c>
      <c r="E3026" s="29" t="s">
        <v>17154</v>
      </c>
      <c r="F3026" s="30" t="s">
        <v>1572</v>
      </c>
      <c r="G3026" s="72">
        <f>DATE(2019,11,19)</f>
        <v>43788</v>
      </c>
      <c r="H3026" s="80">
        <v>1.5798611111111112</v>
      </c>
      <c r="I3026" s="30" t="s">
        <v>73</v>
      </c>
      <c r="J3026" s="72" t="s">
        <v>17155</v>
      </c>
      <c r="K3026" s="30" t="s">
        <v>1574</v>
      </c>
      <c r="L3026" s="30" t="s">
        <v>17156</v>
      </c>
      <c r="M3026" s="30" t="s">
        <v>63</v>
      </c>
      <c r="N3026" s="30" t="s">
        <v>142</v>
      </c>
      <c r="O3026" s="30" t="s">
        <v>77</v>
      </c>
      <c r="P3026" s="72" t="s">
        <v>6941</v>
      </c>
      <c r="Q3026" s="72" t="s">
        <v>1574</v>
      </c>
      <c r="R3026" s="72" t="s">
        <v>6434</v>
      </c>
      <c r="S3026" s="30">
        <v>0</v>
      </c>
      <c r="T3026" s="232">
        <v>0</v>
      </c>
      <c r="U3026" s="30">
        <v>0</v>
      </c>
      <c r="V3026" s="232">
        <v>0</v>
      </c>
      <c r="W3026" s="30">
        <v>0</v>
      </c>
      <c r="X3026" s="30">
        <v>0</v>
      </c>
      <c r="Y3026" s="30">
        <v>0</v>
      </c>
      <c r="Z3026" s="232">
        <v>0</v>
      </c>
      <c r="AA3026" s="30">
        <v>0</v>
      </c>
      <c r="AB3026" s="30">
        <v>0</v>
      </c>
      <c r="AC3026" s="30">
        <v>0</v>
      </c>
      <c r="AD3026" s="30">
        <v>0</v>
      </c>
      <c r="AE3026" s="72" t="s">
        <v>92</v>
      </c>
      <c r="AF3026" s="72"/>
      <c r="AG3026" s="72" t="s">
        <v>133</v>
      </c>
      <c r="AH3026" s="72">
        <v>43790</v>
      </c>
      <c r="AI3026" s="30">
        <v>0</v>
      </c>
      <c r="AJ3026" s="72" t="s">
        <v>17157</v>
      </c>
      <c r="AK3026" s="72" t="s">
        <v>17158</v>
      </c>
      <c r="AL3026" s="70">
        <v>43791</v>
      </c>
      <c r="AM3026" s="70"/>
      <c r="AN3026" s="70"/>
      <c r="AO3026" s="70"/>
      <c r="AP3026" s="73" t="e">
        <f>MID(VLOOKUP(K3026,#REF!,2,FALSE),1,2)</f>
        <v>#REF!</v>
      </c>
      <c r="AQ3026" s="72">
        <f>DATE(2019,11,26)</f>
        <v>43795</v>
      </c>
      <c r="AR3026" s="83">
        <f t="shared" si="256"/>
        <v>26</v>
      </c>
      <c r="AS3026" s="84">
        <f t="shared" si="257"/>
        <v>11</v>
      </c>
      <c r="AT3026" s="86">
        <f t="shared" si="258"/>
        <v>2019</v>
      </c>
      <c r="AU3026" s="86"/>
      <c r="AV3026" s="87"/>
      <c r="AW3026" s="86"/>
      <c r="AX3026" s="83"/>
      <c r="AY3026" s="84"/>
      <c r="AZ3026" s="86"/>
      <c r="BA3026" s="86"/>
      <c r="BB3026" s="86"/>
    </row>
    <row r="3027" spans="1:54" ht="36.75" customHeight="1">
      <c r="A3027" s="30"/>
      <c r="B3027" s="30" t="s">
        <v>55</v>
      </c>
      <c r="C3027" s="69" t="str">
        <f t="shared" si="259"/>
        <v>Closed</v>
      </c>
      <c r="D3027" s="27" t="s">
        <v>17159</v>
      </c>
      <c r="E3027" s="29" t="s">
        <v>17160</v>
      </c>
      <c r="F3027" s="30" t="s">
        <v>6455</v>
      </c>
      <c r="G3027" s="72">
        <f>DATE(2019,11,22)</f>
        <v>43791</v>
      </c>
      <c r="H3027" s="80">
        <v>1.6736111111111112</v>
      </c>
      <c r="I3027" s="30" t="s">
        <v>73</v>
      </c>
      <c r="J3027" s="72" t="s">
        <v>17161</v>
      </c>
      <c r="K3027" s="30" t="s">
        <v>584</v>
      </c>
      <c r="L3027" s="30" t="s">
        <v>17162</v>
      </c>
      <c r="M3027" s="30" t="s">
        <v>63</v>
      </c>
      <c r="N3027" s="30" t="s">
        <v>142</v>
      </c>
      <c r="O3027" s="30" t="s">
        <v>77</v>
      </c>
      <c r="P3027" s="72" t="s">
        <v>165</v>
      </c>
      <c r="Q3027" s="72" t="s">
        <v>17163</v>
      </c>
      <c r="R3027" s="72" t="s">
        <v>9852</v>
      </c>
      <c r="S3027" s="30">
        <v>0</v>
      </c>
      <c r="T3027" s="232">
        <v>0</v>
      </c>
      <c r="U3027" s="30">
        <v>0</v>
      </c>
      <c r="V3027" s="232">
        <v>0</v>
      </c>
      <c r="W3027" s="30">
        <v>0</v>
      </c>
      <c r="X3027" s="30">
        <v>0</v>
      </c>
      <c r="Y3027" s="30">
        <v>0</v>
      </c>
      <c r="Z3027" s="232">
        <v>0</v>
      </c>
      <c r="AA3027" s="30">
        <v>0</v>
      </c>
      <c r="AB3027" s="30">
        <v>0</v>
      </c>
      <c r="AC3027" s="30">
        <v>0</v>
      </c>
      <c r="AD3027" s="30">
        <v>0</v>
      </c>
      <c r="AE3027" s="72" t="s">
        <v>145</v>
      </c>
      <c r="AF3027" s="72" t="s">
        <v>17164</v>
      </c>
      <c r="AG3027" s="72" t="s">
        <v>8859</v>
      </c>
      <c r="AH3027" s="72">
        <v>43794</v>
      </c>
      <c r="AI3027" s="30">
        <v>0</v>
      </c>
      <c r="AJ3027" s="72" t="s">
        <v>17165</v>
      </c>
      <c r="AK3027" s="72" t="s">
        <v>68</v>
      </c>
      <c r="AL3027" s="70">
        <v>43847</v>
      </c>
      <c r="AM3027" s="70"/>
      <c r="AN3027" s="70">
        <v>44833</v>
      </c>
      <c r="AO3027" s="70">
        <v>44739</v>
      </c>
      <c r="AP3027" s="73" t="e">
        <f>MID(VLOOKUP(K3027,#REF!,2,FALSE),1,2)</f>
        <v>#REF!</v>
      </c>
      <c r="AQ3027" s="72">
        <f>DATE(2019,11,27)</f>
        <v>43796</v>
      </c>
      <c r="AR3027" s="83">
        <f t="shared" si="256"/>
        <v>27</v>
      </c>
      <c r="AS3027" s="84">
        <f t="shared" si="257"/>
        <v>11</v>
      </c>
      <c r="AT3027" s="86">
        <f t="shared" si="258"/>
        <v>2019</v>
      </c>
      <c r="AU3027" s="86"/>
      <c r="AV3027" s="87"/>
      <c r="AW3027" s="86"/>
      <c r="AX3027" s="83"/>
      <c r="AY3027" s="84"/>
      <c r="AZ3027" s="86"/>
      <c r="BA3027" s="86"/>
      <c r="BB3027" s="86"/>
    </row>
    <row r="3028" spans="1:54" ht="36.75" customHeight="1">
      <c r="A3028" s="30" t="s">
        <v>4910</v>
      </c>
      <c r="B3028" s="30" t="s">
        <v>55</v>
      </c>
      <c r="C3028" s="69" t="str">
        <f t="shared" si="259"/>
        <v>Closed</v>
      </c>
      <c r="D3028" s="27" t="s">
        <v>17166</v>
      </c>
      <c r="E3028" s="29" t="s">
        <v>17167</v>
      </c>
      <c r="F3028" s="30" t="s">
        <v>233</v>
      </c>
      <c r="G3028" s="72">
        <f>DATE(2019,11,24)</f>
        <v>43793</v>
      </c>
      <c r="H3028" s="80">
        <v>1.8263888888888888</v>
      </c>
      <c r="I3028" s="30" t="s">
        <v>2418</v>
      </c>
      <c r="J3028" s="72" t="s">
        <v>17168</v>
      </c>
      <c r="K3028" s="30" t="s">
        <v>235</v>
      </c>
      <c r="L3028" s="30" t="s">
        <v>17169</v>
      </c>
      <c r="M3028" s="30" t="s">
        <v>63</v>
      </c>
      <c r="N3028" s="30" t="s">
        <v>142</v>
      </c>
      <c r="O3028" s="30" t="s">
        <v>86</v>
      </c>
      <c r="P3028" s="72" t="s">
        <v>165</v>
      </c>
      <c r="Q3028" s="72" t="s">
        <v>718</v>
      </c>
      <c r="R3028" s="72" t="s">
        <v>235</v>
      </c>
      <c r="S3028" s="30">
        <v>0</v>
      </c>
      <c r="T3028" s="232">
        <v>0</v>
      </c>
      <c r="U3028" s="30">
        <v>0</v>
      </c>
      <c r="V3028" s="232">
        <v>0</v>
      </c>
      <c r="W3028" s="30">
        <v>0</v>
      </c>
      <c r="X3028" s="30">
        <v>0</v>
      </c>
      <c r="Y3028" s="30">
        <v>0</v>
      </c>
      <c r="Z3028" s="232">
        <v>0</v>
      </c>
      <c r="AA3028" s="30">
        <v>0</v>
      </c>
      <c r="AB3028" s="30">
        <v>0</v>
      </c>
      <c r="AC3028" s="30">
        <v>0</v>
      </c>
      <c r="AD3028" s="30">
        <v>0</v>
      </c>
      <c r="AE3028" s="72" t="s">
        <v>92</v>
      </c>
      <c r="AF3028" s="72"/>
      <c r="AG3028" s="72" t="s">
        <v>133</v>
      </c>
      <c r="AH3028" s="72">
        <v>43801</v>
      </c>
      <c r="AI3028" s="30">
        <v>0</v>
      </c>
      <c r="AJ3028" s="72" t="s">
        <v>68</v>
      </c>
      <c r="AK3028" s="72" t="s">
        <v>68</v>
      </c>
      <c r="AL3028" s="70">
        <v>43809</v>
      </c>
      <c r="AM3028" s="70"/>
      <c r="AN3028" s="70"/>
      <c r="AO3028" s="70"/>
      <c r="AP3028" s="73" t="e">
        <f>MID(VLOOKUP(K3028,#REF!,2,FALSE),1,2)</f>
        <v>#REF!</v>
      </c>
      <c r="AQ3028" s="72">
        <f>DATE(2019,11,28)</f>
        <v>43797</v>
      </c>
      <c r="AR3028" s="83">
        <f t="shared" si="256"/>
        <v>28</v>
      </c>
      <c r="AS3028" s="84">
        <f t="shared" si="257"/>
        <v>11</v>
      </c>
      <c r="AT3028" s="86">
        <f t="shared" si="258"/>
        <v>2019</v>
      </c>
      <c r="AU3028" s="86"/>
      <c r="AV3028" s="87"/>
      <c r="AW3028" s="86"/>
      <c r="AX3028" s="83"/>
      <c r="AY3028" s="84"/>
      <c r="AZ3028" s="86"/>
      <c r="BA3028" s="86"/>
      <c r="BB3028" s="86"/>
    </row>
    <row r="3029" spans="1:54" ht="36.75" customHeight="1">
      <c r="A3029" s="30"/>
      <c r="B3029" s="30" t="s">
        <v>55</v>
      </c>
      <c r="C3029" s="69" t="str">
        <f t="shared" si="259"/>
        <v>Closed</v>
      </c>
      <c r="D3029" s="27" t="s">
        <v>17170</v>
      </c>
      <c r="E3029" s="29" t="s">
        <v>17171</v>
      </c>
      <c r="F3029" s="30" t="s">
        <v>1572</v>
      </c>
      <c r="G3029" s="72">
        <f>DATE(2019,11,26)</f>
        <v>43795</v>
      </c>
      <c r="H3029" s="80">
        <v>1.6930555555555555</v>
      </c>
      <c r="I3029" s="30" t="s">
        <v>125</v>
      </c>
      <c r="J3029" s="72" t="s">
        <v>17172</v>
      </c>
      <c r="K3029" s="30" t="s">
        <v>1574</v>
      </c>
      <c r="L3029" s="30" t="s">
        <v>17173</v>
      </c>
      <c r="M3029" s="30" t="s">
        <v>63</v>
      </c>
      <c r="N3029" s="30" t="s">
        <v>142</v>
      </c>
      <c r="O3029" s="30" t="s">
        <v>64</v>
      </c>
      <c r="P3029" s="72" t="s">
        <v>6941</v>
      </c>
      <c r="Q3029" s="72" t="s">
        <v>2413</v>
      </c>
      <c r="R3029" s="72" t="s">
        <v>6434</v>
      </c>
      <c r="S3029" s="30">
        <v>0</v>
      </c>
      <c r="T3029" s="232">
        <v>0</v>
      </c>
      <c r="U3029" s="30">
        <v>0</v>
      </c>
      <c r="V3029" s="232">
        <v>0</v>
      </c>
      <c r="W3029" s="30">
        <v>0</v>
      </c>
      <c r="X3029" s="30">
        <v>0</v>
      </c>
      <c r="Y3029" s="30">
        <v>0</v>
      </c>
      <c r="Z3029" s="232">
        <v>0</v>
      </c>
      <c r="AA3029" s="30">
        <v>0</v>
      </c>
      <c r="AB3029" s="30">
        <v>0</v>
      </c>
      <c r="AC3029" s="30">
        <v>0</v>
      </c>
      <c r="AD3029" s="30">
        <v>0</v>
      </c>
      <c r="AE3029" s="72" t="s">
        <v>394</v>
      </c>
      <c r="AF3029" s="72"/>
      <c r="AG3029" s="72" t="s">
        <v>133</v>
      </c>
      <c r="AH3029" s="72">
        <v>43797</v>
      </c>
      <c r="AI3029" s="30">
        <v>0</v>
      </c>
      <c r="AJ3029" s="72" t="s">
        <v>17174</v>
      </c>
      <c r="AK3029" s="72" t="s">
        <v>17175</v>
      </c>
      <c r="AL3029" s="70">
        <v>43797</v>
      </c>
      <c r="AM3029" s="70"/>
      <c r="AN3029" s="70"/>
      <c r="AO3029" s="70"/>
      <c r="AP3029" s="73" t="e">
        <f>MID(VLOOKUP(K3029,#REF!,2,FALSE),1,2)</f>
        <v>#REF!</v>
      </c>
      <c r="AQ3029" s="72">
        <f>DATE(2019,12,3)</f>
        <v>43802</v>
      </c>
      <c r="AR3029" s="83">
        <f t="shared" si="256"/>
        <v>3</v>
      </c>
      <c r="AS3029" s="84">
        <f t="shared" si="257"/>
        <v>12</v>
      </c>
      <c r="AT3029" s="86">
        <f t="shared" si="258"/>
        <v>2019</v>
      </c>
      <c r="AU3029" s="86"/>
      <c r="AV3029" s="87"/>
      <c r="AW3029" s="86"/>
      <c r="AX3029" s="83"/>
      <c r="AY3029" s="84"/>
      <c r="AZ3029" s="86"/>
      <c r="BA3029" s="86"/>
      <c r="BB3029" s="86"/>
    </row>
    <row r="3030" spans="1:54" ht="36.75" customHeight="1">
      <c r="A3030" s="30"/>
      <c r="B3030" s="30" t="s">
        <v>55</v>
      </c>
      <c r="C3030" s="69" t="str">
        <f t="shared" si="259"/>
        <v>Closed</v>
      </c>
      <c r="D3030" s="27" t="s">
        <v>17176</v>
      </c>
      <c r="E3030" s="29" t="s">
        <v>17177</v>
      </c>
      <c r="F3030" s="30" t="s">
        <v>423</v>
      </c>
      <c r="G3030" s="72">
        <f>DATE(2019,11,27)</f>
        <v>43796</v>
      </c>
      <c r="H3030" s="80">
        <v>1.8368055555555554</v>
      </c>
      <c r="I3030" s="30" t="s">
        <v>104</v>
      </c>
      <c r="J3030" s="72" t="s">
        <v>17178</v>
      </c>
      <c r="K3030" s="30" t="s">
        <v>425</v>
      </c>
      <c r="L3030" s="30" t="s">
        <v>17179</v>
      </c>
      <c r="M3030" s="30" t="s">
        <v>63</v>
      </c>
      <c r="N3030" s="30" t="s">
        <v>89</v>
      </c>
      <c r="O3030" s="30" t="s">
        <v>77</v>
      </c>
      <c r="P3030" s="72" t="s">
        <v>553</v>
      </c>
      <c r="Q3030" s="72" t="s">
        <v>5052</v>
      </c>
      <c r="R3030" s="72" t="s">
        <v>3103</v>
      </c>
      <c r="S3030" s="30">
        <v>0</v>
      </c>
      <c r="T3030" s="232">
        <v>0</v>
      </c>
      <c r="U3030" s="30">
        <v>0</v>
      </c>
      <c r="V3030" s="232">
        <v>0</v>
      </c>
      <c r="W3030" s="30">
        <v>0</v>
      </c>
      <c r="X3030" s="30">
        <v>0</v>
      </c>
      <c r="Y3030" s="30">
        <v>0</v>
      </c>
      <c r="Z3030" s="232">
        <v>0</v>
      </c>
      <c r="AA3030" s="30">
        <v>0</v>
      </c>
      <c r="AB3030" s="30">
        <v>0</v>
      </c>
      <c r="AC3030" s="30">
        <v>0</v>
      </c>
      <c r="AD3030" s="30">
        <v>0</v>
      </c>
      <c r="AE3030" s="72" t="s">
        <v>92</v>
      </c>
      <c r="AF3030" s="72"/>
      <c r="AG3030" s="72" t="s">
        <v>352</v>
      </c>
      <c r="AH3030" s="72">
        <v>43796</v>
      </c>
      <c r="AI3030" s="30">
        <v>1</v>
      </c>
      <c r="AJ3030" s="72" t="s">
        <v>17180</v>
      </c>
      <c r="AK3030" s="72" t="s">
        <v>17181</v>
      </c>
      <c r="AL3030" s="70">
        <v>43798</v>
      </c>
      <c r="AM3030" s="70"/>
      <c r="AN3030" s="70"/>
      <c r="AO3030" s="70"/>
      <c r="AP3030" s="73" t="e">
        <f>MID(VLOOKUP(K3030,#REF!,2,FALSE),1,2)</f>
        <v>#REF!</v>
      </c>
      <c r="AQ3030" s="72">
        <f>DATE(2019,12,7)</f>
        <v>43806</v>
      </c>
      <c r="AR3030" s="83">
        <f t="shared" si="256"/>
        <v>7</v>
      </c>
      <c r="AS3030" s="84">
        <f t="shared" si="257"/>
        <v>12</v>
      </c>
      <c r="AT3030" s="86">
        <f t="shared" si="258"/>
        <v>2019</v>
      </c>
      <c r="AU3030" s="86"/>
      <c r="AV3030" s="87"/>
      <c r="AW3030" s="86"/>
      <c r="AX3030" s="83"/>
      <c r="AY3030" s="84"/>
      <c r="AZ3030" s="86"/>
      <c r="BA3030" s="86"/>
      <c r="BB3030" s="86"/>
    </row>
    <row r="3031" spans="1:54" ht="36.75" customHeight="1">
      <c r="A3031" s="30"/>
      <c r="B3031" s="30" t="s">
        <v>55</v>
      </c>
      <c r="C3031" s="69" t="str">
        <f t="shared" si="259"/>
        <v>Closed</v>
      </c>
      <c r="D3031" s="27" t="s">
        <v>17182</v>
      </c>
      <c r="E3031" s="29" t="s">
        <v>17183</v>
      </c>
      <c r="F3031" s="30" t="s">
        <v>835</v>
      </c>
      <c r="G3031" s="72">
        <f>DATE(2019,11,28)</f>
        <v>43797</v>
      </c>
      <c r="H3031" s="80">
        <v>1.9354166666666668</v>
      </c>
      <c r="I3031" s="30" t="s">
        <v>104</v>
      </c>
      <c r="J3031" s="72" t="s">
        <v>17184</v>
      </c>
      <c r="K3031" s="30" t="s">
        <v>837</v>
      </c>
      <c r="L3031" s="30" t="s">
        <v>17185</v>
      </c>
      <c r="M3031" s="30" t="s">
        <v>63</v>
      </c>
      <c r="N3031" s="30" t="s">
        <v>142</v>
      </c>
      <c r="O3031" s="30" t="s">
        <v>77</v>
      </c>
      <c r="P3031" s="72" t="s">
        <v>78</v>
      </c>
      <c r="Q3031" s="72" t="s">
        <v>4708</v>
      </c>
      <c r="R3031" s="72" t="s">
        <v>4708</v>
      </c>
      <c r="S3031" s="30">
        <v>0</v>
      </c>
      <c r="T3031" s="232">
        <v>0</v>
      </c>
      <c r="U3031" s="30">
        <v>0</v>
      </c>
      <c r="V3031" s="232">
        <v>0</v>
      </c>
      <c r="W3031" s="30">
        <v>0</v>
      </c>
      <c r="X3031" s="30">
        <v>0</v>
      </c>
      <c r="Y3031" s="30">
        <v>0</v>
      </c>
      <c r="Z3031" s="232">
        <v>0</v>
      </c>
      <c r="AA3031" s="30">
        <v>0</v>
      </c>
      <c r="AB3031" s="30">
        <v>0</v>
      </c>
      <c r="AC3031" s="30">
        <v>0</v>
      </c>
      <c r="AD3031" s="30">
        <v>0</v>
      </c>
      <c r="AE3031" s="72" t="s">
        <v>92</v>
      </c>
      <c r="AF3031" s="72"/>
      <c r="AG3031" s="72" t="s">
        <v>7495</v>
      </c>
      <c r="AH3031" s="72">
        <v>43798</v>
      </c>
      <c r="AI3031" s="30">
        <v>0</v>
      </c>
      <c r="AJ3031" s="72" t="s">
        <v>17186</v>
      </c>
      <c r="AK3031" s="72" t="s">
        <v>17187</v>
      </c>
      <c r="AL3031" s="70">
        <v>43804</v>
      </c>
      <c r="AM3031" s="70"/>
      <c r="AN3031" s="70">
        <v>45012</v>
      </c>
      <c r="AO3031" s="70">
        <v>44138</v>
      </c>
      <c r="AP3031" s="73" t="e">
        <f>MID(VLOOKUP(K3031,#REF!,2,FALSE),1,2)</f>
        <v>#REF!</v>
      </c>
      <c r="AQ3031" s="72">
        <f>DATE(2019,12,9)</f>
        <v>43808</v>
      </c>
      <c r="AR3031" s="83">
        <f t="shared" si="256"/>
        <v>9</v>
      </c>
      <c r="AS3031" s="84">
        <f t="shared" si="257"/>
        <v>12</v>
      </c>
      <c r="AT3031" s="86">
        <f t="shared" si="258"/>
        <v>2019</v>
      </c>
      <c r="AU3031" s="86"/>
      <c r="AV3031" s="87"/>
      <c r="AW3031" s="86"/>
      <c r="AX3031" s="83"/>
      <c r="AY3031" s="84"/>
      <c r="AZ3031" s="86"/>
      <c r="BA3031" s="86"/>
      <c r="BB3031" s="86"/>
    </row>
    <row r="3032" spans="1:54" ht="36.75" customHeight="1">
      <c r="A3032" s="98" t="s">
        <v>4910</v>
      </c>
      <c r="B3032" s="30" t="s">
        <v>55</v>
      </c>
      <c r="C3032" s="69" t="str">
        <f t="shared" si="259"/>
        <v>Closed</v>
      </c>
      <c r="D3032" s="27" t="s">
        <v>17188</v>
      </c>
      <c r="E3032" s="29" t="s">
        <v>17189</v>
      </c>
      <c r="F3032" s="30" t="s">
        <v>9789</v>
      </c>
      <c r="G3032" s="72">
        <f>DATE(2019,12,3)</f>
        <v>43802</v>
      </c>
      <c r="H3032" s="80">
        <v>1.2569444444444444</v>
      </c>
      <c r="I3032" s="30" t="s">
        <v>73</v>
      </c>
      <c r="J3032" s="265" t="s">
        <v>17190</v>
      </c>
      <c r="K3032" s="30" t="s">
        <v>9791</v>
      </c>
      <c r="L3032" s="30" t="s">
        <v>17191</v>
      </c>
      <c r="M3032" s="30" t="s">
        <v>63</v>
      </c>
      <c r="N3032" s="30" t="s">
        <v>142</v>
      </c>
      <c r="O3032" s="30" t="s">
        <v>77</v>
      </c>
      <c r="P3032" s="72" t="s">
        <v>6941</v>
      </c>
      <c r="Q3032" s="72" t="s">
        <v>9960</v>
      </c>
      <c r="R3032" s="72" t="s">
        <v>9794</v>
      </c>
      <c r="S3032" s="30">
        <v>0</v>
      </c>
      <c r="T3032" s="99">
        <v>0</v>
      </c>
      <c r="U3032" s="30">
        <v>0</v>
      </c>
      <c r="V3032" s="99">
        <v>0</v>
      </c>
      <c r="W3032" s="30">
        <v>0</v>
      </c>
      <c r="X3032" s="30">
        <v>0</v>
      </c>
      <c r="Y3032" s="30">
        <v>0</v>
      </c>
      <c r="Z3032" s="99">
        <v>0</v>
      </c>
      <c r="AA3032" s="30">
        <v>0</v>
      </c>
      <c r="AB3032" s="30">
        <v>0</v>
      </c>
      <c r="AC3032" s="30">
        <v>0</v>
      </c>
      <c r="AD3032" s="30">
        <v>0</v>
      </c>
      <c r="AE3032" s="72" t="s">
        <v>92</v>
      </c>
      <c r="AF3032" s="72"/>
      <c r="AG3032" s="72" t="s">
        <v>589</v>
      </c>
      <c r="AH3032" s="72">
        <v>43803</v>
      </c>
      <c r="AI3032" s="30">
        <v>1</v>
      </c>
      <c r="AJ3032" s="72" t="s">
        <v>17192</v>
      </c>
      <c r="AK3032" s="72" t="s">
        <v>17193</v>
      </c>
      <c r="AL3032" s="70">
        <v>43805</v>
      </c>
      <c r="AM3032" s="70"/>
      <c r="AN3032" s="70"/>
      <c r="AO3032" s="70"/>
      <c r="AP3032" s="73" t="e">
        <f>MID(VLOOKUP(K3032,#REF!,2,FALSE),1,2)</f>
        <v>#REF!</v>
      </c>
      <c r="AQ3032" s="72">
        <f>DATE(2019,12,9)</f>
        <v>43808</v>
      </c>
      <c r="AR3032" s="83">
        <f t="shared" si="256"/>
        <v>9</v>
      </c>
      <c r="AS3032" s="84">
        <f t="shared" si="257"/>
        <v>12</v>
      </c>
      <c r="AT3032" s="86">
        <f t="shared" si="258"/>
        <v>2019</v>
      </c>
      <c r="AU3032" s="86"/>
      <c r="AV3032" s="87"/>
      <c r="AW3032" s="86"/>
      <c r="AX3032" s="83"/>
      <c r="AY3032" s="84"/>
      <c r="AZ3032" s="86"/>
      <c r="BA3032" s="86"/>
      <c r="BB3032" s="86"/>
    </row>
    <row r="3033" spans="1:54" ht="36.75" customHeight="1">
      <c r="A3033" s="98" t="s">
        <v>4910</v>
      </c>
      <c r="B3033" s="30" t="s">
        <v>55</v>
      </c>
      <c r="C3033" s="69" t="str">
        <f t="shared" si="259"/>
        <v>Closed</v>
      </c>
      <c r="D3033" s="27" t="s">
        <v>17194</v>
      </c>
      <c r="E3033" s="29" t="s">
        <v>17195</v>
      </c>
      <c r="F3033" s="30" t="s">
        <v>124</v>
      </c>
      <c r="G3033" s="72">
        <f>DATE(2019,12,7)</f>
        <v>43806</v>
      </c>
      <c r="H3033" s="80">
        <v>1.6694444444444443</v>
      </c>
      <c r="I3033" s="30" t="s">
        <v>156</v>
      </c>
      <c r="J3033" s="72" t="s">
        <v>17196</v>
      </c>
      <c r="K3033" s="30" t="s">
        <v>127</v>
      </c>
      <c r="L3033" s="30" t="s">
        <v>17197</v>
      </c>
      <c r="M3033" s="30" t="s">
        <v>63</v>
      </c>
      <c r="N3033" s="30" t="s">
        <v>99</v>
      </c>
      <c r="O3033" s="30" t="s">
        <v>64</v>
      </c>
      <c r="P3033" s="72" t="s">
        <v>78</v>
      </c>
      <c r="Q3033" s="72" t="s">
        <v>401</v>
      </c>
      <c r="R3033" s="72" t="s">
        <v>167</v>
      </c>
      <c r="S3033" s="30">
        <v>0</v>
      </c>
      <c r="T3033" s="99">
        <v>1</v>
      </c>
      <c r="U3033" s="30">
        <v>0</v>
      </c>
      <c r="V3033" s="99">
        <v>0</v>
      </c>
      <c r="W3033" s="30">
        <v>0</v>
      </c>
      <c r="X3033" s="30">
        <v>1</v>
      </c>
      <c r="Y3033" s="30">
        <v>0</v>
      </c>
      <c r="Z3033" s="99">
        <v>0</v>
      </c>
      <c r="AA3033" s="30">
        <v>0</v>
      </c>
      <c r="AB3033" s="30">
        <v>0</v>
      </c>
      <c r="AC3033" s="30">
        <v>0</v>
      </c>
      <c r="AD3033" s="30">
        <v>0</v>
      </c>
      <c r="AE3033" s="72" t="s">
        <v>394</v>
      </c>
      <c r="AF3033" s="72"/>
      <c r="AG3033" s="72" t="s">
        <v>82</v>
      </c>
      <c r="AH3033" s="72">
        <v>43810</v>
      </c>
      <c r="AI3033" s="30">
        <v>2</v>
      </c>
      <c r="AJ3033" s="72" t="s">
        <v>68</v>
      </c>
      <c r="AK3033" s="72" t="s">
        <v>68</v>
      </c>
      <c r="AL3033" s="70">
        <v>43816</v>
      </c>
      <c r="AM3033" s="70"/>
      <c r="AN3033" s="70"/>
      <c r="AO3033" s="70"/>
      <c r="AP3033" s="73" t="e">
        <f>MID(VLOOKUP(K3033,#REF!,2,FALSE),1,2)</f>
        <v>#REF!</v>
      </c>
      <c r="AQ3033" s="72">
        <f>DATE(2019,12,9)</f>
        <v>43808</v>
      </c>
      <c r="AR3033" s="83">
        <f t="shared" si="256"/>
        <v>9</v>
      </c>
      <c r="AS3033" s="84">
        <f t="shared" si="257"/>
        <v>12</v>
      </c>
      <c r="AT3033" s="86">
        <f t="shared" si="258"/>
        <v>2019</v>
      </c>
      <c r="AU3033" s="86"/>
      <c r="AV3033" s="87"/>
      <c r="AW3033" s="86"/>
      <c r="AX3033" s="83"/>
      <c r="AY3033" s="84"/>
      <c r="AZ3033" s="86"/>
      <c r="BA3033" s="86"/>
      <c r="BB3033" s="86"/>
    </row>
    <row r="3034" spans="1:54" ht="36.75" customHeight="1">
      <c r="A3034" s="98" t="s">
        <v>4910</v>
      </c>
      <c r="B3034" s="30" t="s">
        <v>55</v>
      </c>
      <c r="C3034" s="69" t="str">
        <f t="shared" si="259"/>
        <v>Closed</v>
      </c>
      <c r="D3034" s="27" t="s">
        <v>17198</v>
      </c>
      <c r="E3034" s="29" t="s">
        <v>17199</v>
      </c>
      <c r="F3034" s="30" t="s">
        <v>423</v>
      </c>
      <c r="G3034" s="72">
        <f>DATE(2019,12,9)</f>
        <v>43808</v>
      </c>
      <c r="H3034" s="80">
        <v>1.3770833333333334</v>
      </c>
      <c r="I3034" s="30" t="s">
        <v>156</v>
      </c>
      <c r="J3034" s="72" t="s">
        <v>17200</v>
      </c>
      <c r="K3034" s="30" t="s">
        <v>425</v>
      </c>
      <c r="L3034" s="30" t="s">
        <v>17201</v>
      </c>
      <c r="M3034" s="30" t="s">
        <v>63</v>
      </c>
      <c r="N3034" s="30" t="s">
        <v>142</v>
      </c>
      <c r="O3034" s="30" t="s">
        <v>77</v>
      </c>
      <c r="P3034" s="72" t="s">
        <v>65</v>
      </c>
      <c r="Q3034" s="72" t="s">
        <v>4551</v>
      </c>
      <c r="R3034" s="72" t="s">
        <v>3103</v>
      </c>
      <c r="S3034" s="30">
        <v>0</v>
      </c>
      <c r="T3034" s="232">
        <v>0</v>
      </c>
      <c r="U3034" s="30">
        <v>0</v>
      </c>
      <c r="V3034" s="232">
        <v>0</v>
      </c>
      <c r="W3034" s="30">
        <v>0</v>
      </c>
      <c r="X3034" s="30">
        <v>0</v>
      </c>
      <c r="Y3034" s="30">
        <v>0</v>
      </c>
      <c r="Z3034" s="232">
        <v>0</v>
      </c>
      <c r="AA3034" s="30">
        <v>0</v>
      </c>
      <c r="AB3034" s="30">
        <v>0</v>
      </c>
      <c r="AC3034" s="30">
        <v>0</v>
      </c>
      <c r="AD3034" s="30">
        <v>0</v>
      </c>
      <c r="AE3034" s="72" t="s">
        <v>394</v>
      </c>
      <c r="AF3034" s="72"/>
      <c r="AG3034" s="72" t="s">
        <v>82</v>
      </c>
      <c r="AH3034" s="72">
        <v>43781</v>
      </c>
      <c r="AI3034" s="30">
        <v>1</v>
      </c>
      <c r="AJ3034" s="72" t="s">
        <v>68</v>
      </c>
      <c r="AK3034" s="72" t="s">
        <v>68</v>
      </c>
      <c r="AL3034" s="70">
        <v>43811</v>
      </c>
      <c r="AM3034" s="70"/>
      <c r="AN3034" s="70"/>
      <c r="AO3034" s="70"/>
      <c r="AP3034" s="73" t="e">
        <f>MID(VLOOKUP(K3034,#REF!,2,FALSE),1,2)</f>
        <v>#REF!</v>
      </c>
      <c r="AQ3034" s="72">
        <f>DATE(2019,12,14)</f>
        <v>43813</v>
      </c>
      <c r="AR3034" s="83">
        <f t="shared" si="256"/>
        <v>14</v>
      </c>
      <c r="AS3034" s="84">
        <f t="shared" si="257"/>
        <v>12</v>
      </c>
      <c r="AT3034" s="86">
        <f t="shared" si="258"/>
        <v>2019</v>
      </c>
      <c r="AU3034" s="86"/>
      <c r="AV3034" s="87"/>
      <c r="AW3034" s="86"/>
      <c r="AX3034" s="83"/>
      <c r="AY3034" s="84"/>
      <c r="AZ3034" s="86"/>
      <c r="BA3034" s="86"/>
      <c r="BB3034" s="86"/>
    </row>
    <row r="3035" spans="1:54" ht="36.75" customHeight="1">
      <c r="A3035" s="30"/>
      <c r="B3035" s="30" t="s">
        <v>55</v>
      </c>
      <c r="C3035" s="69" t="str">
        <f t="shared" si="259"/>
        <v>Closed</v>
      </c>
      <c r="D3035" s="27" t="s">
        <v>17202</v>
      </c>
      <c r="E3035" s="29" t="s">
        <v>17203</v>
      </c>
      <c r="F3035" s="30" t="s">
        <v>638</v>
      </c>
      <c r="G3035" s="72">
        <f>DATE(2019,12,9)</f>
        <v>43808</v>
      </c>
      <c r="H3035" s="80">
        <v>1.6958333333333333</v>
      </c>
      <c r="I3035" s="30" t="s">
        <v>104</v>
      </c>
      <c r="J3035" s="72" t="s">
        <v>17204</v>
      </c>
      <c r="K3035" s="30" t="s">
        <v>640</v>
      </c>
      <c r="L3035" s="30" t="s">
        <v>17205</v>
      </c>
      <c r="M3035" s="30" t="s">
        <v>63</v>
      </c>
      <c r="N3035" s="30" t="s">
        <v>142</v>
      </c>
      <c r="O3035" s="30" t="s">
        <v>77</v>
      </c>
      <c r="P3035" s="72" t="s">
        <v>6902</v>
      </c>
      <c r="Q3035" s="72" t="s">
        <v>1185</v>
      </c>
      <c r="R3035" s="72" t="s">
        <v>643</v>
      </c>
      <c r="S3035" s="30">
        <v>0</v>
      </c>
      <c r="T3035" s="232">
        <v>0</v>
      </c>
      <c r="U3035" s="30">
        <v>0</v>
      </c>
      <c r="V3035" s="232">
        <v>0</v>
      </c>
      <c r="W3035" s="30">
        <v>0</v>
      </c>
      <c r="X3035" s="30">
        <v>0</v>
      </c>
      <c r="Y3035" s="30">
        <v>0</v>
      </c>
      <c r="Z3035" s="232">
        <v>0</v>
      </c>
      <c r="AA3035" s="30">
        <v>0</v>
      </c>
      <c r="AB3035" s="30">
        <v>0</v>
      </c>
      <c r="AC3035" s="30">
        <v>0</v>
      </c>
      <c r="AD3035" s="30">
        <v>0</v>
      </c>
      <c r="AE3035" s="72" t="s">
        <v>92</v>
      </c>
      <c r="AF3035" s="72"/>
      <c r="AG3035" s="72" t="s">
        <v>133</v>
      </c>
      <c r="AH3035" s="72">
        <v>43816</v>
      </c>
      <c r="AI3035" s="30">
        <v>0</v>
      </c>
      <c r="AJ3035" s="72" t="s">
        <v>17206</v>
      </c>
      <c r="AK3035" s="72" t="s">
        <v>68</v>
      </c>
      <c r="AL3035" s="70">
        <v>43853</v>
      </c>
      <c r="AM3035" s="70"/>
      <c r="AN3035" s="70"/>
      <c r="AO3035" s="70"/>
      <c r="AP3035" s="73" t="e">
        <f>MID(VLOOKUP(K3035,#REF!,2,FALSE),1,2)</f>
        <v>#REF!</v>
      </c>
      <c r="AQ3035" s="72">
        <f>DATE(2019,12,18)</f>
        <v>43817</v>
      </c>
      <c r="AR3035" s="83">
        <f t="shared" si="256"/>
        <v>18</v>
      </c>
      <c r="AS3035" s="84">
        <f t="shared" si="257"/>
        <v>12</v>
      </c>
      <c r="AT3035" s="86">
        <f t="shared" si="258"/>
        <v>2019</v>
      </c>
      <c r="AU3035" s="86"/>
      <c r="AV3035" s="87"/>
      <c r="AW3035" s="86"/>
      <c r="AX3035" s="83"/>
      <c r="AY3035" s="84"/>
      <c r="AZ3035" s="86"/>
      <c r="BA3035" s="86"/>
      <c r="BB3035" s="86"/>
    </row>
    <row r="3036" spans="1:54" ht="36.75" customHeight="1">
      <c r="A3036" s="30"/>
      <c r="B3036" s="30" t="s">
        <v>55</v>
      </c>
      <c r="C3036" s="69" t="str">
        <f t="shared" si="259"/>
        <v>Closed</v>
      </c>
      <c r="D3036" s="27" t="s">
        <v>17207</v>
      </c>
      <c r="E3036" s="29" t="s">
        <v>17208</v>
      </c>
      <c r="F3036" s="30" t="s">
        <v>58</v>
      </c>
      <c r="G3036" s="72">
        <f>DATE(2019,12,9)</f>
        <v>43808</v>
      </c>
      <c r="H3036" s="80">
        <v>1.625</v>
      </c>
      <c r="I3036" s="30" t="s">
        <v>156</v>
      </c>
      <c r="J3036" s="72" t="s">
        <v>17209</v>
      </c>
      <c r="K3036" s="30" t="s">
        <v>61</v>
      </c>
      <c r="L3036" s="30" t="s">
        <v>17210</v>
      </c>
      <c r="M3036" s="30" t="s">
        <v>63</v>
      </c>
      <c r="N3036" s="30" t="s">
        <v>99</v>
      </c>
      <c r="O3036" s="30" t="s">
        <v>64</v>
      </c>
      <c r="P3036" s="72" t="s">
        <v>78</v>
      </c>
      <c r="Q3036" s="72" t="s">
        <v>66</v>
      </c>
      <c r="R3036" s="72" t="s">
        <v>67</v>
      </c>
      <c r="S3036" s="30">
        <v>0</v>
      </c>
      <c r="T3036" s="232">
        <v>0</v>
      </c>
      <c r="U3036" s="30">
        <v>0</v>
      </c>
      <c r="V3036" s="232">
        <v>0</v>
      </c>
      <c r="W3036" s="30">
        <v>0</v>
      </c>
      <c r="X3036" s="30">
        <v>0</v>
      </c>
      <c r="Y3036" s="30">
        <v>0</v>
      </c>
      <c r="Z3036" s="232">
        <v>0</v>
      </c>
      <c r="AA3036" s="30">
        <v>0</v>
      </c>
      <c r="AB3036" s="30">
        <v>0</v>
      </c>
      <c r="AC3036" s="30">
        <v>0</v>
      </c>
      <c r="AD3036" s="30">
        <v>0</v>
      </c>
      <c r="AE3036" s="72" t="s">
        <v>92</v>
      </c>
      <c r="AF3036" s="72"/>
      <c r="AG3036" s="72" t="s">
        <v>133</v>
      </c>
      <c r="AH3036" s="72">
        <v>43817</v>
      </c>
      <c r="AI3036" s="30">
        <v>4</v>
      </c>
      <c r="AJ3036" s="72" t="s">
        <v>17211</v>
      </c>
      <c r="AK3036" s="72" t="s">
        <v>17212</v>
      </c>
      <c r="AL3036" s="70">
        <v>43830</v>
      </c>
      <c r="AM3036" s="70"/>
      <c r="AN3036" s="70"/>
      <c r="AO3036" s="70"/>
      <c r="AP3036" s="73" t="e">
        <f>MID(VLOOKUP(K3036,#REF!,2,FALSE),1,2)</f>
        <v>#REF!</v>
      </c>
      <c r="AQ3036" s="72">
        <f>DATE(2019,12,18)</f>
        <v>43817</v>
      </c>
      <c r="AR3036" s="83">
        <f t="shared" si="256"/>
        <v>18</v>
      </c>
      <c r="AS3036" s="84">
        <f t="shared" si="257"/>
        <v>12</v>
      </c>
      <c r="AT3036" s="86">
        <f t="shared" si="258"/>
        <v>2019</v>
      </c>
      <c r="AU3036" s="86"/>
      <c r="AV3036" s="87"/>
      <c r="AW3036" s="86"/>
      <c r="AX3036" s="83"/>
      <c r="AY3036" s="84"/>
      <c r="AZ3036" s="86"/>
      <c r="BA3036" s="86"/>
      <c r="BB3036" s="86"/>
    </row>
    <row r="3037" spans="1:54" ht="36.75" customHeight="1">
      <c r="A3037" s="30"/>
      <c r="B3037" s="30" t="s">
        <v>55</v>
      </c>
      <c r="C3037" s="69" t="str">
        <f t="shared" si="259"/>
        <v>Closed</v>
      </c>
      <c r="D3037" s="27" t="s">
        <v>17213</v>
      </c>
      <c r="E3037" s="29" t="s">
        <v>17214</v>
      </c>
      <c r="F3037" s="30" t="s">
        <v>233</v>
      </c>
      <c r="G3037" s="72">
        <f>DATE(2019,12,14)</f>
        <v>43813</v>
      </c>
      <c r="H3037" s="80">
        <v>1.8333333333333335</v>
      </c>
      <c r="I3037" s="30" t="s">
        <v>278</v>
      </c>
      <c r="J3037" s="72" t="s">
        <v>17215</v>
      </c>
      <c r="K3037" s="30" t="s">
        <v>235</v>
      </c>
      <c r="L3037" s="30" t="s">
        <v>17216</v>
      </c>
      <c r="M3037" s="30" t="s">
        <v>63</v>
      </c>
      <c r="N3037" s="30" t="s">
        <v>89</v>
      </c>
      <c r="O3037" s="30" t="s">
        <v>90</v>
      </c>
      <c r="P3037" s="72" t="s">
        <v>91</v>
      </c>
      <c r="Q3037" s="72"/>
      <c r="R3037" s="72" t="s">
        <v>235</v>
      </c>
      <c r="S3037" s="30">
        <v>0</v>
      </c>
      <c r="T3037" s="232">
        <v>1</v>
      </c>
      <c r="U3037" s="30">
        <v>0</v>
      </c>
      <c r="V3037" s="232">
        <v>0</v>
      </c>
      <c r="W3037" s="30">
        <v>0</v>
      </c>
      <c r="X3037" s="30">
        <v>1</v>
      </c>
      <c r="Y3037" s="30">
        <v>0</v>
      </c>
      <c r="Z3037" s="232">
        <v>0</v>
      </c>
      <c r="AA3037" s="30">
        <v>0</v>
      </c>
      <c r="AB3037" s="30">
        <v>0</v>
      </c>
      <c r="AC3037" s="30">
        <v>0</v>
      </c>
      <c r="AD3037" s="30">
        <v>0</v>
      </c>
      <c r="AE3037" s="72" t="s">
        <v>92</v>
      </c>
      <c r="AF3037" s="72"/>
      <c r="AG3037" s="72" t="s">
        <v>133</v>
      </c>
      <c r="AH3037" s="72">
        <v>43815</v>
      </c>
      <c r="AI3037" s="30">
        <v>2</v>
      </c>
      <c r="AJ3037" s="72" t="s">
        <v>17217</v>
      </c>
      <c r="AK3037" s="72" t="s">
        <v>17218</v>
      </c>
      <c r="AL3037" s="70">
        <v>43823</v>
      </c>
      <c r="AM3037" s="70"/>
      <c r="AN3037" s="70"/>
      <c r="AO3037" s="70">
        <v>44105</v>
      </c>
      <c r="AP3037" s="73" t="e">
        <f>MID(VLOOKUP(K3037,#REF!,2,FALSE),1,2)</f>
        <v>#REF!</v>
      </c>
      <c r="AQ3037" s="72">
        <f>DATE(2019,12,20)</f>
        <v>43819</v>
      </c>
      <c r="AR3037" s="83">
        <f t="shared" si="256"/>
        <v>20</v>
      </c>
      <c r="AS3037" s="84">
        <f t="shared" si="257"/>
        <v>12</v>
      </c>
      <c r="AT3037" s="86">
        <f t="shared" si="258"/>
        <v>2019</v>
      </c>
      <c r="AU3037" s="86"/>
      <c r="AV3037" s="87"/>
      <c r="AW3037" s="86"/>
      <c r="AX3037" s="83"/>
      <c r="AY3037" s="84"/>
      <c r="AZ3037" s="86"/>
      <c r="BA3037" s="86"/>
      <c r="BB3037" s="86"/>
    </row>
    <row r="3038" spans="1:54" ht="36.75" customHeight="1">
      <c r="A3038" s="30"/>
      <c r="B3038" s="30" t="s">
        <v>55</v>
      </c>
      <c r="C3038" s="69" t="str">
        <f t="shared" si="259"/>
        <v>Closed</v>
      </c>
      <c r="D3038" s="27" t="s">
        <v>17219</v>
      </c>
      <c r="E3038" s="29" t="s">
        <v>17220</v>
      </c>
      <c r="F3038" s="30" t="s">
        <v>6455</v>
      </c>
      <c r="G3038" s="72">
        <f>DATE(2019,12,18)</f>
        <v>43817</v>
      </c>
      <c r="H3038" s="80">
        <v>1.0208333333333333</v>
      </c>
      <c r="I3038" s="30" t="s">
        <v>198</v>
      </c>
      <c r="J3038" s="72" t="s">
        <v>17221</v>
      </c>
      <c r="K3038" s="30" t="s">
        <v>584</v>
      </c>
      <c r="L3038" s="30" t="s">
        <v>17222</v>
      </c>
      <c r="M3038" s="30" t="s">
        <v>63</v>
      </c>
      <c r="N3038" s="30" t="s">
        <v>142</v>
      </c>
      <c r="O3038" s="30" t="s">
        <v>77</v>
      </c>
      <c r="P3038" s="72" t="s">
        <v>78</v>
      </c>
      <c r="Q3038" s="72" t="s">
        <v>17223</v>
      </c>
      <c r="R3038" s="72" t="s">
        <v>587</v>
      </c>
      <c r="S3038" s="30">
        <v>0</v>
      </c>
      <c r="T3038" s="232">
        <v>0</v>
      </c>
      <c r="U3038" s="30">
        <v>0</v>
      </c>
      <c r="V3038" s="232">
        <v>0</v>
      </c>
      <c r="W3038" s="30">
        <v>0</v>
      </c>
      <c r="X3038" s="30">
        <v>0</v>
      </c>
      <c r="Y3038" s="30">
        <v>6</v>
      </c>
      <c r="Z3038" s="232">
        <v>0</v>
      </c>
      <c r="AA3038" s="30">
        <v>0</v>
      </c>
      <c r="AB3038" s="30">
        <v>0</v>
      </c>
      <c r="AC3038" s="30">
        <v>0</v>
      </c>
      <c r="AD3038" s="30">
        <v>6</v>
      </c>
      <c r="AE3038" s="72" t="s">
        <v>394</v>
      </c>
      <c r="AF3038" s="72" t="s">
        <v>17224</v>
      </c>
      <c r="AG3038" s="72" t="s">
        <v>8859</v>
      </c>
      <c r="AH3038" s="72">
        <v>43818</v>
      </c>
      <c r="AI3038" s="30">
        <v>0</v>
      </c>
      <c r="AJ3038" s="72" t="s">
        <v>17225</v>
      </c>
      <c r="AK3038" s="72" t="s">
        <v>68</v>
      </c>
      <c r="AL3038" s="70">
        <v>43847</v>
      </c>
      <c r="AM3038" s="70"/>
      <c r="AN3038" s="70">
        <v>44963</v>
      </c>
      <c r="AO3038" s="70">
        <v>44963</v>
      </c>
      <c r="AP3038" s="73" t="e">
        <f>MID(VLOOKUP(K3038,#REF!,2,FALSE),1,2)</f>
        <v>#REF!</v>
      </c>
      <c r="AQ3038" s="72">
        <f>DATE(2019,12,20)</f>
        <v>43819</v>
      </c>
      <c r="AR3038" s="83">
        <f t="shared" ref="AR3038:AR3069" si="260">DAY(AQ3038)</f>
        <v>20</v>
      </c>
      <c r="AS3038" s="84">
        <f t="shared" ref="AS3038:AS3069" si="261">MONTH(AQ3038)</f>
        <v>12</v>
      </c>
      <c r="AT3038" s="86">
        <f t="shared" ref="AT3038:AT3069" si="262">YEAR(AQ3038)</f>
        <v>2019</v>
      </c>
      <c r="AU3038" s="86"/>
      <c r="AV3038" s="87"/>
      <c r="AW3038" s="86"/>
      <c r="AX3038" s="83"/>
      <c r="AY3038" s="84"/>
      <c r="AZ3038" s="86"/>
      <c r="BA3038" s="86"/>
      <c r="BB3038" s="86"/>
    </row>
    <row r="3039" spans="1:54" ht="36.75" customHeight="1">
      <c r="A3039" s="98" t="s">
        <v>4910</v>
      </c>
      <c r="B3039" s="30" t="s">
        <v>55</v>
      </c>
      <c r="C3039" s="69" t="str">
        <f t="shared" si="259"/>
        <v>Closed</v>
      </c>
      <c r="D3039" s="27" t="s">
        <v>17226</v>
      </c>
      <c r="E3039" s="29" t="s">
        <v>17227</v>
      </c>
      <c r="F3039" s="30" t="s">
        <v>1572</v>
      </c>
      <c r="G3039" s="72">
        <f>DATE(2019,12,18)</f>
        <v>43817</v>
      </c>
      <c r="H3039" s="80">
        <v>1.6493055555555556</v>
      </c>
      <c r="I3039" s="30" t="s">
        <v>198</v>
      </c>
      <c r="J3039" s="72" t="s">
        <v>17228</v>
      </c>
      <c r="K3039" s="30" t="s">
        <v>1574</v>
      </c>
      <c r="L3039" s="30" t="s">
        <v>17229</v>
      </c>
      <c r="M3039" s="30" t="s">
        <v>63</v>
      </c>
      <c r="N3039" s="30" t="s">
        <v>142</v>
      </c>
      <c r="O3039" s="30" t="s">
        <v>77</v>
      </c>
      <c r="P3039" s="72" t="s">
        <v>10154</v>
      </c>
      <c r="Q3039" s="72" t="s">
        <v>17230</v>
      </c>
      <c r="R3039" s="72" t="s">
        <v>6434</v>
      </c>
      <c r="S3039" s="30">
        <v>0</v>
      </c>
      <c r="T3039" s="99">
        <v>0</v>
      </c>
      <c r="U3039" s="30">
        <v>0</v>
      </c>
      <c r="V3039" s="99">
        <v>0</v>
      </c>
      <c r="W3039" s="30">
        <v>0</v>
      </c>
      <c r="X3039" s="30">
        <v>0</v>
      </c>
      <c r="Y3039" s="30">
        <v>0</v>
      </c>
      <c r="Z3039" s="99">
        <v>0</v>
      </c>
      <c r="AA3039" s="30">
        <v>0</v>
      </c>
      <c r="AB3039" s="30">
        <v>0</v>
      </c>
      <c r="AC3039" s="30">
        <v>0</v>
      </c>
      <c r="AD3039" s="30">
        <v>0</v>
      </c>
      <c r="AE3039" s="72" t="s">
        <v>145</v>
      </c>
      <c r="AF3039" s="72"/>
      <c r="AG3039" s="72" t="s">
        <v>82</v>
      </c>
      <c r="AH3039" s="72">
        <v>43818</v>
      </c>
      <c r="AI3039" s="30">
        <v>9</v>
      </c>
      <c r="AJ3039" s="72" t="s">
        <v>68</v>
      </c>
      <c r="AK3039" s="72" t="s">
        <v>68</v>
      </c>
      <c r="AL3039" s="70">
        <v>43818</v>
      </c>
      <c r="AM3039" s="70"/>
      <c r="AN3039" s="70"/>
      <c r="AO3039" s="70"/>
      <c r="AP3039" s="73" t="e">
        <f>MID(VLOOKUP(K3039,#REF!,2,FALSE),1,2)</f>
        <v>#REF!</v>
      </c>
      <c r="AQ3039" s="72">
        <f>DATE(2019,12,22)</f>
        <v>43821</v>
      </c>
      <c r="AR3039" s="83">
        <f t="shared" si="260"/>
        <v>22</v>
      </c>
      <c r="AS3039" s="84">
        <f t="shared" si="261"/>
        <v>12</v>
      </c>
      <c r="AT3039" s="86">
        <f t="shared" si="262"/>
        <v>2019</v>
      </c>
      <c r="AU3039" s="86"/>
      <c r="AV3039" s="87"/>
      <c r="AW3039" s="86"/>
      <c r="AX3039" s="83"/>
      <c r="AY3039" s="84"/>
      <c r="AZ3039" s="86"/>
      <c r="BA3039" s="86"/>
      <c r="BB3039" s="86"/>
    </row>
    <row r="3040" spans="1:54" ht="36.75" customHeight="1">
      <c r="A3040" s="98" t="s">
        <v>4910</v>
      </c>
      <c r="B3040" s="30" t="s">
        <v>55</v>
      </c>
      <c r="C3040" s="69" t="str">
        <f t="shared" si="259"/>
        <v>Closed</v>
      </c>
      <c r="D3040" s="27" t="s">
        <v>17231</v>
      </c>
      <c r="E3040" s="29" t="s">
        <v>17232</v>
      </c>
      <c r="F3040" s="30" t="s">
        <v>1572</v>
      </c>
      <c r="G3040" s="72">
        <f>DATE(2019,12,20)</f>
        <v>43819</v>
      </c>
      <c r="H3040" s="80">
        <v>1.4895833333333333</v>
      </c>
      <c r="I3040" s="30" t="s">
        <v>73</v>
      </c>
      <c r="J3040" s="72" t="s">
        <v>17233</v>
      </c>
      <c r="K3040" s="30" t="s">
        <v>1574</v>
      </c>
      <c r="L3040" s="30" t="s">
        <v>12416</v>
      </c>
      <c r="M3040" s="30" t="s">
        <v>63</v>
      </c>
      <c r="N3040" s="30" t="s">
        <v>99</v>
      </c>
      <c r="O3040" s="30" t="s">
        <v>77</v>
      </c>
      <c r="P3040" s="72" t="s">
        <v>78</v>
      </c>
      <c r="Q3040" s="72" t="s">
        <v>2655</v>
      </c>
      <c r="R3040" s="72" t="s">
        <v>6434</v>
      </c>
      <c r="S3040" s="30">
        <v>0</v>
      </c>
      <c r="T3040" s="99">
        <v>0</v>
      </c>
      <c r="U3040" s="30">
        <v>0</v>
      </c>
      <c r="V3040" s="99">
        <v>0</v>
      </c>
      <c r="W3040" s="30">
        <v>0</v>
      </c>
      <c r="X3040" s="30">
        <v>0</v>
      </c>
      <c r="Y3040" s="30">
        <v>0</v>
      </c>
      <c r="Z3040" s="99">
        <v>0</v>
      </c>
      <c r="AA3040" s="30">
        <v>0</v>
      </c>
      <c r="AB3040" s="30">
        <v>0</v>
      </c>
      <c r="AC3040" s="30">
        <v>0</v>
      </c>
      <c r="AD3040" s="30">
        <v>0</v>
      </c>
      <c r="AE3040" s="72" t="s">
        <v>394</v>
      </c>
      <c r="AF3040" s="72"/>
      <c r="AG3040" s="72" t="s">
        <v>133</v>
      </c>
      <c r="AH3040" s="72">
        <v>43822</v>
      </c>
      <c r="AI3040" s="30">
        <v>4</v>
      </c>
      <c r="AJ3040" s="72" t="s">
        <v>68</v>
      </c>
      <c r="AK3040" s="72" t="s">
        <v>68</v>
      </c>
      <c r="AL3040" s="70">
        <v>43822</v>
      </c>
      <c r="AM3040" s="70"/>
      <c r="AN3040" s="70"/>
      <c r="AO3040" s="70"/>
      <c r="AP3040" s="73" t="e">
        <f>MID(VLOOKUP(K3040,#REF!,2,FALSE),1,2)</f>
        <v>#REF!</v>
      </c>
      <c r="AQ3040" s="72">
        <f>DATE(2019,12,22)</f>
        <v>43821</v>
      </c>
      <c r="AR3040" s="83">
        <f t="shared" si="260"/>
        <v>22</v>
      </c>
      <c r="AS3040" s="84">
        <f t="shared" si="261"/>
        <v>12</v>
      </c>
      <c r="AT3040" s="86">
        <f t="shared" si="262"/>
        <v>2019</v>
      </c>
      <c r="AU3040" s="86"/>
      <c r="AV3040" s="87"/>
      <c r="AW3040" s="86"/>
      <c r="AX3040" s="83"/>
      <c r="AY3040" s="84"/>
      <c r="AZ3040" s="86"/>
      <c r="BA3040" s="86"/>
      <c r="BB3040" s="86"/>
    </row>
    <row r="3041" spans="1:54" ht="36.75" customHeight="1">
      <c r="A3041" s="98" t="s">
        <v>4910</v>
      </c>
      <c r="B3041" s="30" t="s">
        <v>55</v>
      </c>
      <c r="C3041" s="69" t="str">
        <f t="shared" si="259"/>
        <v>Closed</v>
      </c>
      <c r="D3041" s="27" t="s">
        <v>17234</v>
      </c>
      <c r="E3041" s="29" t="s">
        <v>17235</v>
      </c>
      <c r="F3041" s="30" t="s">
        <v>1572</v>
      </c>
      <c r="G3041" s="72">
        <f>DATE(2019,12,20)</f>
        <v>43819</v>
      </c>
      <c r="H3041" s="80">
        <v>1.7361111111111112</v>
      </c>
      <c r="I3041" s="30" t="s">
        <v>73</v>
      </c>
      <c r="J3041" s="72" t="s">
        <v>17236</v>
      </c>
      <c r="K3041" s="30" t="s">
        <v>1574</v>
      </c>
      <c r="L3041" s="30" t="s">
        <v>17017</v>
      </c>
      <c r="M3041" s="30" t="s">
        <v>63</v>
      </c>
      <c r="N3041" s="30" t="s">
        <v>99</v>
      </c>
      <c r="O3041" s="30" t="s">
        <v>64</v>
      </c>
      <c r="P3041" s="72" t="s">
        <v>78</v>
      </c>
      <c r="Q3041" s="72" t="s">
        <v>1584</v>
      </c>
      <c r="R3041" s="72" t="s">
        <v>6434</v>
      </c>
      <c r="S3041" s="30">
        <v>0</v>
      </c>
      <c r="T3041" s="99">
        <v>0</v>
      </c>
      <c r="U3041" s="30">
        <v>0</v>
      </c>
      <c r="V3041" s="99">
        <v>0</v>
      </c>
      <c r="W3041" s="30">
        <v>0</v>
      </c>
      <c r="X3041" s="30">
        <v>0</v>
      </c>
      <c r="Y3041" s="30">
        <v>0</v>
      </c>
      <c r="Z3041" s="99">
        <v>0</v>
      </c>
      <c r="AA3041" s="30">
        <v>0</v>
      </c>
      <c r="AB3041" s="30">
        <v>0</v>
      </c>
      <c r="AC3041" s="30">
        <v>0</v>
      </c>
      <c r="AD3041" s="30">
        <v>0</v>
      </c>
      <c r="AE3041" s="72" t="s">
        <v>92</v>
      </c>
      <c r="AF3041" s="72"/>
      <c r="AG3041" s="72" t="s">
        <v>133</v>
      </c>
      <c r="AH3041" s="72">
        <v>43822</v>
      </c>
      <c r="AI3041" s="30">
        <v>2</v>
      </c>
      <c r="AJ3041" s="72" t="s">
        <v>68</v>
      </c>
      <c r="AK3041" s="72" t="s">
        <v>68</v>
      </c>
      <c r="AL3041" s="70">
        <v>43822</v>
      </c>
      <c r="AM3041" s="70"/>
      <c r="AN3041" s="70"/>
      <c r="AO3041" s="70"/>
      <c r="AP3041" s="73" t="e">
        <f>MID(VLOOKUP(K3041,#REF!,2,FALSE),1,2)</f>
        <v>#REF!</v>
      </c>
      <c r="AQ3041" s="72">
        <f>DATE(2020,1,11)</f>
        <v>43841</v>
      </c>
      <c r="AR3041" s="83">
        <f t="shared" si="260"/>
        <v>11</v>
      </c>
      <c r="AS3041" s="84">
        <f t="shared" si="261"/>
        <v>1</v>
      </c>
      <c r="AT3041" s="86">
        <f t="shared" si="262"/>
        <v>2020</v>
      </c>
      <c r="AU3041" s="86"/>
      <c r="AV3041" s="87"/>
      <c r="AW3041" s="86"/>
      <c r="AX3041" s="83"/>
      <c r="AY3041" s="84"/>
      <c r="AZ3041" s="86"/>
      <c r="BA3041" s="86"/>
      <c r="BB3041" s="86"/>
    </row>
    <row r="3042" spans="1:54" ht="36.75" customHeight="1">
      <c r="A3042" s="30"/>
      <c r="B3042" s="30" t="s">
        <v>55</v>
      </c>
      <c r="C3042" s="69" t="str">
        <f t="shared" si="259"/>
        <v>Closed</v>
      </c>
      <c r="D3042" s="27" t="s">
        <v>17237</v>
      </c>
      <c r="E3042" s="29" t="s">
        <v>17238</v>
      </c>
      <c r="F3042" s="30" t="s">
        <v>115</v>
      </c>
      <c r="G3042" s="72">
        <f>DATE(2019,12,22)</f>
        <v>43821</v>
      </c>
      <c r="H3042" s="80">
        <v>1.6979166666666665</v>
      </c>
      <c r="I3042" s="30" t="s">
        <v>59</v>
      </c>
      <c r="J3042" s="72" t="s">
        <v>17239</v>
      </c>
      <c r="K3042" s="30" t="s">
        <v>118</v>
      </c>
      <c r="L3042" s="30" t="s">
        <v>17240</v>
      </c>
      <c r="M3042" s="30" t="s">
        <v>63</v>
      </c>
      <c r="N3042" s="30" t="s">
        <v>142</v>
      </c>
      <c r="O3042" s="30" t="s">
        <v>64</v>
      </c>
      <c r="P3042" s="72" t="s">
        <v>462</v>
      </c>
      <c r="Q3042" s="72" t="s">
        <v>16313</v>
      </c>
      <c r="R3042" s="72" t="s">
        <v>16314</v>
      </c>
      <c r="S3042" s="30">
        <v>0</v>
      </c>
      <c r="T3042" s="232">
        <v>0</v>
      </c>
      <c r="U3042" s="30">
        <v>0</v>
      </c>
      <c r="V3042" s="232">
        <v>0</v>
      </c>
      <c r="W3042" s="30">
        <v>0</v>
      </c>
      <c r="X3042" s="30">
        <v>0</v>
      </c>
      <c r="Y3042" s="30">
        <v>0</v>
      </c>
      <c r="Z3042" s="232">
        <v>0</v>
      </c>
      <c r="AA3042" s="30">
        <v>0</v>
      </c>
      <c r="AB3042" s="30">
        <v>0</v>
      </c>
      <c r="AC3042" s="30">
        <v>0</v>
      </c>
      <c r="AD3042" s="30">
        <v>0</v>
      </c>
      <c r="AE3042" s="72" t="s">
        <v>92</v>
      </c>
      <c r="AF3042" s="72" t="s">
        <v>17241</v>
      </c>
      <c r="AG3042" s="72" t="s">
        <v>8859</v>
      </c>
      <c r="AH3042" s="72">
        <v>43836</v>
      </c>
      <c r="AI3042" s="30">
        <v>4</v>
      </c>
      <c r="AJ3042" s="72" t="s">
        <v>17242</v>
      </c>
      <c r="AK3042" s="72" t="s">
        <v>17243</v>
      </c>
      <c r="AL3042" s="70">
        <v>43840</v>
      </c>
      <c r="AM3042" s="70"/>
      <c r="AN3042" s="70"/>
      <c r="AO3042" s="70"/>
      <c r="AP3042" s="73" t="e">
        <f>MID(VLOOKUP(K3042,#REF!,2,FALSE),1,2)</f>
        <v>#REF!</v>
      </c>
      <c r="AQ3042" s="72">
        <f>DATE(2020,1,11)</f>
        <v>43841</v>
      </c>
      <c r="AR3042" s="83">
        <f t="shared" si="260"/>
        <v>11</v>
      </c>
      <c r="AS3042" s="84">
        <f t="shared" si="261"/>
        <v>1</v>
      </c>
      <c r="AT3042" s="86">
        <f t="shared" si="262"/>
        <v>2020</v>
      </c>
      <c r="AU3042" s="86"/>
      <c r="AV3042" s="87"/>
      <c r="AW3042" s="86"/>
      <c r="AX3042" s="83"/>
      <c r="AY3042" s="84"/>
      <c r="AZ3042" s="86"/>
      <c r="BA3042" s="86"/>
      <c r="BB3042" s="86"/>
    </row>
    <row r="3043" spans="1:54" ht="36.75" customHeight="1">
      <c r="A3043" s="98" t="s">
        <v>4910</v>
      </c>
      <c r="B3043" s="30" t="s">
        <v>55</v>
      </c>
      <c r="C3043" s="69" t="str">
        <f t="shared" si="259"/>
        <v>Closed</v>
      </c>
      <c r="D3043" s="27" t="s">
        <v>17244</v>
      </c>
      <c r="E3043" s="29" t="s">
        <v>17245</v>
      </c>
      <c r="F3043" s="30" t="s">
        <v>1572</v>
      </c>
      <c r="G3043" s="72">
        <f>DATE(2019,12,22)</f>
        <v>43821</v>
      </c>
      <c r="H3043" s="102">
        <v>1.2256944444444444</v>
      </c>
      <c r="I3043" s="30" t="s">
        <v>487</v>
      </c>
      <c r="J3043" s="72" t="s">
        <v>17246</v>
      </c>
      <c r="K3043" s="30" t="s">
        <v>1574</v>
      </c>
      <c r="L3043" s="30" t="s">
        <v>17247</v>
      </c>
      <c r="M3043" s="30" t="s">
        <v>63</v>
      </c>
      <c r="N3043" s="30" t="s">
        <v>142</v>
      </c>
      <c r="O3043" s="30" t="s">
        <v>77</v>
      </c>
      <c r="P3043" s="72" t="s">
        <v>86</v>
      </c>
      <c r="Q3043" s="72" t="s">
        <v>17248</v>
      </c>
      <c r="R3043" s="72" t="s">
        <v>6434</v>
      </c>
      <c r="S3043" s="30">
        <v>0</v>
      </c>
      <c r="T3043" s="232">
        <v>0</v>
      </c>
      <c r="U3043" s="30">
        <v>0</v>
      </c>
      <c r="V3043" s="232">
        <v>0</v>
      </c>
      <c r="W3043" s="30">
        <v>0</v>
      </c>
      <c r="X3043" s="30">
        <v>0</v>
      </c>
      <c r="Y3043" s="30">
        <v>0</v>
      </c>
      <c r="Z3043" s="232">
        <v>0</v>
      </c>
      <c r="AA3043" s="30">
        <v>0</v>
      </c>
      <c r="AB3043" s="30">
        <v>0</v>
      </c>
      <c r="AC3043" s="30">
        <v>0</v>
      </c>
      <c r="AD3043" s="30">
        <v>0</v>
      </c>
      <c r="AE3043" s="72" t="s">
        <v>92</v>
      </c>
      <c r="AF3043" s="72"/>
      <c r="AG3043" s="88" t="s">
        <v>1507</v>
      </c>
      <c r="AH3043" s="72">
        <v>43822</v>
      </c>
      <c r="AI3043" s="30">
        <v>1</v>
      </c>
      <c r="AJ3043" s="72" t="s">
        <v>68</v>
      </c>
      <c r="AK3043" s="72" t="s">
        <v>68</v>
      </c>
      <c r="AL3043" s="70">
        <v>43822</v>
      </c>
      <c r="AM3043" s="70"/>
      <c r="AN3043" s="70"/>
      <c r="AO3043" s="70"/>
      <c r="AP3043" s="73" t="e">
        <f>MID(VLOOKUP(K3043,#REF!,2,FALSE),1,2)</f>
        <v>#REF!</v>
      </c>
      <c r="AQ3043" s="72">
        <f>DATE(2020,1,15)</f>
        <v>43845</v>
      </c>
      <c r="AR3043" s="83">
        <f t="shared" si="260"/>
        <v>15</v>
      </c>
      <c r="AS3043" s="84">
        <f t="shared" si="261"/>
        <v>1</v>
      </c>
      <c r="AT3043" s="86">
        <f t="shared" si="262"/>
        <v>2020</v>
      </c>
      <c r="AU3043" s="86"/>
      <c r="AV3043" s="87"/>
      <c r="AW3043" s="86"/>
      <c r="AX3043" s="83"/>
      <c r="AY3043" s="84"/>
      <c r="AZ3043" s="86"/>
      <c r="BA3043" s="86"/>
      <c r="BB3043" s="86"/>
    </row>
    <row r="3044" spans="1:54" ht="36.75" customHeight="1">
      <c r="A3044" s="98" t="s">
        <v>4910</v>
      </c>
      <c r="B3044" s="30" t="s">
        <v>55</v>
      </c>
      <c r="C3044" s="69" t="str">
        <f t="shared" si="259"/>
        <v>Closed</v>
      </c>
      <c r="D3044" s="27" t="s">
        <v>17249</v>
      </c>
      <c r="E3044" s="29" t="s">
        <v>17250</v>
      </c>
      <c r="F3044" s="30" t="s">
        <v>1938</v>
      </c>
      <c r="G3044" s="72">
        <f>DATE(2020,1,11)</f>
        <v>43841</v>
      </c>
      <c r="H3044" s="80">
        <v>0</v>
      </c>
      <c r="I3044" s="30" t="s">
        <v>156</v>
      </c>
      <c r="J3044" s="72" t="s">
        <v>17251</v>
      </c>
      <c r="K3044" s="30" t="s">
        <v>1940</v>
      </c>
      <c r="L3044" s="30" t="s">
        <v>17252</v>
      </c>
      <c r="M3044" s="30" t="s">
        <v>63</v>
      </c>
      <c r="N3044" s="30" t="s">
        <v>99</v>
      </c>
      <c r="O3044" s="30" t="s">
        <v>64</v>
      </c>
      <c r="P3044" s="72" t="s">
        <v>165</v>
      </c>
      <c r="Q3044" s="72" t="s">
        <v>1942</v>
      </c>
      <c r="R3044" s="72" t="s">
        <v>1940</v>
      </c>
      <c r="S3044" s="30">
        <v>0</v>
      </c>
      <c r="T3044" s="232">
        <v>0</v>
      </c>
      <c r="U3044" s="30">
        <v>0</v>
      </c>
      <c r="V3044" s="232">
        <v>0</v>
      </c>
      <c r="W3044" s="30">
        <v>0</v>
      </c>
      <c r="X3044" s="30">
        <v>0</v>
      </c>
      <c r="Y3044" s="30">
        <v>0</v>
      </c>
      <c r="Z3044" s="232">
        <v>0</v>
      </c>
      <c r="AA3044" s="30">
        <v>0</v>
      </c>
      <c r="AB3044" s="30">
        <v>0</v>
      </c>
      <c r="AC3044" s="30">
        <v>0</v>
      </c>
      <c r="AD3044" s="30">
        <v>0</v>
      </c>
      <c r="AE3044" s="72" t="s">
        <v>92</v>
      </c>
      <c r="AF3044" s="72"/>
      <c r="AG3044" s="72" t="s">
        <v>82</v>
      </c>
      <c r="AH3044" s="72">
        <v>43847</v>
      </c>
      <c r="AI3044" s="30">
        <v>4</v>
      </c>
      <c r="AJ3044" s="72" t="s">
        <v>68</v>
      </c>
      <c r="AK3044" s="72" t="s">
        <v>68</v>
      </c>
      <c r="AL3044" s="70">
        <v>43895</v>
      </c>
      <c r="AM3044" s="70"/>
      <c r="AN3044" s="70"/>
      <c r="AO3044" s="70"/>
      <c r="AP3044" s="73" t="e">
        <f>MID(VLOOKUP(K3044,#REF!,2,FALSE),1,2)</f>
        <v>#REF!</v>
      </c>
      <c r="AQ3044" s="72">
        <f>DATE(2020,1,17)</f>
        <v>43847</v>
      </c>
      <c r="AR3044" s="83">
        <f t="shared" si="260"/>
        <v>17</v>
      </c>
      <c r="AS3044" s="84">
        <f t="shared" si="261"/>
        <v>1</v>
      </c>
      <c r="AT3044" s="86">
        <f t="shared" si="262"/>
        <v>2020</v>
      </c>
      <c r="AU3044" s="86"/>
      <c r="AV3044" s="87"/>
      <c r="AW3044" s="86"/>
      <c r="AX3044" s="83"/>
      <c r="AY3044" s="84"/>
      <c r="AZ3044" s="86"/>
      <c r="BA3044" s="86"/>
      <c r="BB3044" s="86"/>
    </row>
    <row r="3045" spans="1:54" ht="36.75" customHeight="1">
      <c r="A3045" s="98" t="s">
        <v>4910</v>
      </c>
      <c r="B3045" s="30" t="s">
        <v>55</v>
      </c>
      <c r="C3045" s="69" t="str">
        <f t="shared" si="259"/>
        <v>Closed</v>
      </c>
      <c r="D3045" s="27" t="s">
        <v>17253</v>
      </c>
      <c r="E3045" s="29" t="s">
        <v>17254</v>
      </c>
      <c r="F3045" s="30" t="s">
        <v>2336</v>
      </c>
      <c r="G3045" s="72">
        <f>DATE(2020,1,11)</f>
        <v>43841</v>
      </c>
      <c r="H3045" s="128">
        <v>1.1909722222222223</v>
      </c>
      <c r="I3045" s="30" t="s">
        <v>278</v>
      </c>
      <c r="J3045" s="72" t="s">
        <v>17255</v>
      </c>
      <c r="K3045" s="30" t="s">
        <v>2338</v>
      </c>
      <c r="L3045" s="30" t="s">
        <v>17256</v>
      </c>
      <c r="M3045" s="30" t="s">
        <v>63</v>
      </c>
      <c r="N3045" s="30" t="s">
        <v>142</v>
      </c>
      <c r="O3045" s="30" t="s">
        <v>64</v>
      </c>
      <c r="P3045" s="72" t="s">
        <v>301</v>
      </c>
      <c r="Q3045" s="72" t="s">
        <v>17257</v>
      </c>
      <c r="R3045" s="72" t="s">
        <v>2341</v>
      </c>
      <c r="S3045" s="30">
        <v>0</v>
      </c>
      <c r="T3045" s="99">
        <v>1</v>
      </c>
      <c r="U3045" s="30">
        <v>0</v>
      </c>
      <c r="V3045" s="99">
        <v>0</v>
      </c>
      <c r="W3045" s="30">
        <v>0</v>
      </c>
      <c r="X3045" s="30">
        <v>1</v>
      </c>
      <c r="Y3045" s="30">
        <v>0</v>
      </c>
      <c r="Z3045" s="99">
        <v>0</v>
      </c>
      <c r="AA3045" s="30">
        <v>0</v>
      </c>
      <c r="AB3045" s="30">
        <v>0</v>
      </c>
      <c r="AC3045" s="30">
        <v>0</v>
      </c>
      <c r="AD3045" s="30">
        <v>0</v>
      </c>
      <c r="AE3045" s="72" t="s">
        <v>92</v>
      </c>
      <c r="AF3045" s="72"/>
      <c r="AG3045" s="30" t="s">
        <v>13201</v>
      </c>
      <c r="AH3045" s="72">
        <v>43857</v>
      </c>
      <c r="AI3045" s="30">
        <v>10</v>
      </c>
      <c r="AJ3045" s="72" t="s">
        <v>68</v>
      </c>
      <c r="AK3045" s="72" t="s">
        <v>68</v>
      </c>
      <c r="AL3045" s="70">
        <v>43858</v>
      </c>
      <c r="AM3045" s="70"/>
      <c r="AN3045" s="70"/>
      <c r="AO3045" s="70"/>
      <c r="AP3045" s="73" t="e">
        <f>MID(VLOOKUP(K3045,#REF!,2,FALSE),1,2)</f>
        <v>#REF!</v>
      </c>
      <c r="AQ3045" s="72">
        <f>DATE(2020,1,22)</f>
        <v>43852</v>
      </c>
      <c r="AR3045" s="83">
        <f t="shared" si="260"/>
        <v>22</v>
      </c>
      <c r="AS3045" s="84">
        <f t="shared" si="261"/>
        <v>1</v>
      </c>
      <c r="AT3045" s="86">
        <f t="shared" si="262"/>
        <v>2020</v>
      </c>
      <c r="AU3045" s="86"/>
      <c r="AV3045" s="87"/>
      <c r="AW3045" s="86"/>
      <c r="AX3045" s="83"/>
      <c r="AY3045" s="84"/>
      <c r="AZ3045" s="86"/>
      <c r="BA3045" s="86"/>
      <c r="BB3045" s="86"/>
    </row>
    <row r="3046" spans="1:54" ht="36.75" customHeight="1">
      <c r="A3046" s="30"/>
      <c r="B3046" s="30" t="s">
        <v>55</v>
      </c>
      <c r="C3046" s="69" t="str">
        <f t="shared" si="259"/>
        <v>Closed</v>
      </c>
      <c r="D3046" s="27" t="s">
        <v>17258</v>
      </c>
      <c r="E3046" s="29" t="s">
        <v>17259</v>
      </c>
      <c r="F3046" s="30" t="s">
        <v>835</v>
      </c>
      <c r="G3046" s="72">
        <f>DATE(2020,1,15)</f>
        <v>43845</v>
      </c>
      <c r="H3046" s="80">
        <v>1.2451388888888888</v>
      </c>
      <c r="I3046" s="30" t="s">
        <v>125</v>
      </c>
      <c r="J3046" s="72" t="s">
        <v>17260</v>
      </c>
      <c r="K3046" s="30" t="s">
        <v>837</v>
      </c>
      <c r="L3046" s="30" t="s">
        <v>17261</v>
      </c>
      <c r="M3046" s="30" t="s">
        <v>63</v>
      </c>
      <c r="N3046" s="30" t="s">
        <v>142</v>
      </c>
      <c r="O3046" s="30" t="s">
        <v>77</v>
      </c>
      <c r="P3046" s="72" t="s">
        <v>6902</v>
      </c>
      <c r="Q3046" s="72" t="s">
        <v>2162</v>
      </c>
      <c r="R3046" s="72" t="s">
        <v>840</v>
      </c>
      <c r="S3046" s="30">
        <v>0</v>
      </c>
      <c r="T3046" s="232">
        <v>0</v>
      </c>
      <c r="U3046" s="30">
        <v>0</v>
      </c>
      <c r="V3046" s="232">
        <v>0</v>
      </c>
      <c r="W3046" s="30">
        <v>0</v>
      </c>
      <c r="X3046" s="30">
        <v>0</v>
      </c>
      <c r="Y3046" s="30">
        <v>0</v>
      </c>
      <c r="Z3046" s="232">
        <v>0</v>
      </c>
      <c r="AA3046" s="30">
        <v>0</v>
      </c>
      <c r="AB3046" s="30">
        <v>0</v>
      </c>
      <c r="AC3046" s="30">
        <v>0</v>
      </c>
      <c r="AD3046" s="30">
        <v>0</v>
      </c>
      <c r="AE3046" s="72" t="s">
        <v>92</v>
      </c>
      <c r="AF3046" s="72" t="s">
        <v>17262</v>
      </c>
      <c r="AG3046" s="72" t="s">
        <v>8859</v>
      </c>
      <c r="AH3046" s="72">
        <v>43846</v>
      </c>
      <c r="AI3046" s="30">
        <v>1</v>
      </c>
      <c r="AJ3046" s="72" t="s">
        <v>17263</v>
      </c>
      <c r="AK3046" s="72" t="s">
        <v>17264</v>
      </c>
      <c r="AL3046" s="70">
        <v>43850</v>
      </c>
      <c r="AM3046" s="70"/>
      <c r="AN3046" s="70"/>
      <c r="AO3046" s="70"/>
      <c r="AP3046" s="73" t="e">
        <f>MID(VLOOKUP(K3046,#REF!,2,FALSE),1,2)</f>
        <v>#REF!</v>
      </c>
      <c r="AQ3046" s="72">
        <f>DATE(2020,1,23)</f>
        <v>43853</v>
      </c>
      <c r="AR3046" s="83">
        <f t="shared" si="260"/>
        <v>23</v>
      </c>
      <c r="AS3046" s="84">
        <f t="shared" si="261"/>
        <v>1</v>
      </c>
      <c r="AT3046" s="86">
        <f t="shared" si="262"/>
        <v>2020</v>
      </c>
      <c r="AU3046" s="86"/>
      <c r="AV3046" s="87"/>
      <c r="AW3046" s="86"/>
      <c r="AX3046" s="83"/>
      <c r="AY3046" s="84"/>
      <c r="AZ3046" s="86"/>
      <c r="BA3046" s="86"/>
      <c r="BB3046" s="86"/>
    </row>
    <row r="3047" spans="1:54" ht="36.75" customHeight="1">
      <c r="A3047" s="30"/>
      <c r="B3047" s="30" t="s">
        <v>55</v>
      </c>
      <c r="C3047" s="69" t="str">
        <f t="shared" si="259"/>
        <v>Closed</v>
      </c>
      <c r="D3047" s="27" t="s">
        <v>17265</v>
      </c>
      <c r="E3047" s="29" t="s">
        <v>17266</v>
      </c>
      <c r="F3047" s="30" t="s">
        <v>423</v>
      </c>
      <c r="G3047" s="72">
        <f>DATE(2020,1,17)</f>
        <v>43847</v>
      </c>
      <c r="H3047" s="80">
        <v>1.2409722222222221</v>
      </c>
      <c r="I3047" s="30" t="s">
        <v>73</v>
      </c>
      <c r="J3047" s="72" t="s">
        <v>17267</v>
      </c>
      <c r="K3047" s="30" t="s">
        <v>425</v>
      </c>
      <c r="L3047" s="30" t="s">
        <v>17268</v>
      </c>
      <c r="M3047" s="30" t="s">
        <v>63</v>
      </c>
      <c r="N3047" s="30" t="s">
        <v>99</v>
      </c>
      <c r="O3047" s="30" t="s">
        <v>77</v>
      </c>
      <c r="P3047" s="72" t="s">
        <v>165</v>
      </c>
      <c r="Q3047" s="72" t="s">
        <v>12583</v>
      </c>
      <c r="R3047" s="72" t="s">
        <v>3103</v>
      </c>
      <c r="S3047" s="30">
        <v>0</v>
      </c>
      <c r="T3047" s="232">
        <v>0</v>
      </c>
      <c r="U3047" s="30">
        <v>0</v>
      </c>
      <c r="V3047" s="232">
        <v>0</v>
      </c>
      <c r="W3047" s="30">
        <v>0</v>
      </c>
      <c r="X3047" s="30">
        <v>0</v>
      </c>
      <c r="Y3047" s="30">
        <v>0</v>
      </c>
      <c r="Z3047" s="232">
        <v>0</v>
      </c>
      <c r="AA3047" s="30">
        <v>0</v>
      </c>
      <c r="AB3047" s="30">
        <v>0</v>
      </c>
      <c r="AC3047" s="30">
        <v>0</v>
      </c>
      <c r="AD3047" s="30">
        <v>0</v>
      </c>
      <c r="AE3047" s="72" t="s">
        <v>92</v>
      </c>
      <c r="AF3047" s="72"/>
      <c r="AG3047" s="72" t="s">
        <v>352</v>
      </c>
      <c r="AH3047" s="72">
        <v>43847</v>
      </c>
      <c r="AI3047" s="30">
        <v>1</v>
      </c>
      <c r="AJ3047" s="72" t="s">
        <v>17269</v>
      </c>
      <c r="AK3047" s="72" t="s">
        <v>17270</v>
      </c>
      <c r="AL3047" s="70">
        <v>43850</v>
      </c>
      <c r="AM3047" s="70"/>
      <c r="AN3047" s="70"/>
      <c r="AO3047" s="70"/>
      <c r="AP3047" s="73" t="e">
        <f>MID(VLOOKUP(K3047,#REF!,2,FALSE),1,2)</f>
        <v>#REF!</v>
      </c>
      <c r="AQ3047" s="72">
        <f>DATE(2020,1,23)</f>
        <v>43853</v>
      </c>
      <c r="AR3047" s="83">
        <f t="shared" si="260"/>
        <v>23</v>
      </c>
      <c r="AS3047" s="84">
        <f t="shared" si="261"/>
        <v>1</v>
      </c>
      <c r="AT3047" s="86">
        <f t="shared" si="262"/>
        <v>2020</v>
      </c>
      <c r="AU3047" s="86"/>
      <c r="AV3047" s="87"/>
      <c r="AW3047" s="86"/>
      <c r="AX3047" s="83"/>
      <c r="AY3047" s="84"/>
      <c r="AZ3047" s="86"/>
      <c r="BA3047" s="86"/>
      <c r="BB3047" s="86"/>
    </row>
    <row r="3048" spans="1:54" ht="36.75" customHeight="1">
      <c r="A3048" s="30"/>
      <c r="B3048" s="30" t="s">
        <v>55</v>
      </c>
      <c r="C3048" s="69" t="str">
        <f t="shared" si="259"/>
        <v>Closed</v>
      </c>
      <c r="D3048" s="37" t="s">
        <v>17271</v>
      </c>
      <c r="E3048" s="29" t="s">
        <v>17272</v>
      </c>
      <c r="F3048" s="30" t="s">
        <v>6455</v>
      </c>
      <c r="G3048" s="72">
        <f>DATE(2020,1,22)</f>
        <v>43852</v>
      </c>
      <c r="H3048" s="80">
        <v>1.6986111111111111</v>
      </c>
      <c r="I3048" s="30" t="s">
        <v>2264</v>
      </c>
      <c r="J3048" s="72" t="s">
        <v>17273</v>
      </c>
      <c r="K3048" s="30" t="s">
        <v>584</v>
      </c>
      <c r="L3048" s="30" t="s">
        <v>17274</v>
      </c>
      <c r="M3048" s="30" t="s">
        <v>63</v>
      </c>
      <c r="N3048" s="30" t="s">
        <v>99</v>
      </c>
      <c r="O3048" s="30" t="s">
        <v>64</v>
      </c>
      <c r="P3048" s="72" t="s">
        <v>165</v>
      </c>
      <c r="Q3048" s="72" t="s">
        <v>4487</v>
      </c>
      <c r="R3048" s="72" t="s">
        <v>17275</v>
      </c>
      <c r="S3048" s="30">
        <v>0</v>
      </c>
      <c r="T3048" s="232">
        <v>0</v>
      </c>
      <c r="U3048" s="30">
        <v>0</v>
      </c>
      <c r="V3048" s="232">
        <v>0</v>
      </c>
      <c r="W3048" s="30">
        <v>0</v>
      </c>
      <c r="X3048" s="30">
        <v>0</v>
      </c>
      <c r="Y3048" s="30">
        <v>0</v>
      </c>
      <c r="Z3048" s="232">
        <v>0</v>
      </c>
      <c r="AA3048" s="30">
        <v>0</v>
      </c>
      <c r="AB3048" s="30">
        <v>0</v>
      </c>
      <c r="AC3048" s="30">
        <v>0</v>
      </c>
      <c r="AD3048" s="30">
        <v>0</v>
      </c>
      <c r="AE3048" s="72" t="s">
        <v>92</v>
      </c>
      <c r="AF3048" s="72" t="s">
        <v>17276</v>
      </c>
      <c r="AG3048" s="72" t="s">
        <v>14033</v>
      </c>
      <c r="AH3048" s="72">
        <v>43852</v>
      </c>
      <c r="AI3048" s="30">
        <v>1</v>
      </c>
      <c r="AJ3048" s="72" t="s">
        <v>17277</v>
      </c>
      <c r="AK3048" s="72" t="s">
        <v>17278</v>
      </c>
      <c r="AL3048" s="70">
        <v>43886</v>
      </c>
      <c r="AM3048" s="70">
        <v>44978</v>
      </c>
      <c r="AN3048" s="70">
        <v>45331</v>
      </c>
      <c r="AO3048" s="70">
        <v>45309</v>
      </c>
      <c r="AP3048" s="73" t="e">
        <f>MID(VLOOKUP(K3048,#REF!,2,FALSE),1,2)</f>
        <v>#REF!</v>
      </c>
      <c r="AQ3048" s="72">
        <f>DATE(2020,1,23)</f>
        <v>43853</v>
      </c>
      <c r="AR3048" s="83">
        <f t="shared" si="260"/>
        <v>23</v>
      </c>
      <c r="AS3048" s="84">
        <f t="shared" si="261"/>
        <v>1</v>
      </c>
      <c r="AT3048" s="86">
        <f t="shared" si="262"/>
        <v>2020</v>
      </c>
      <c r="AU3048" s="86"/>
      <c r="AV3048" s="87"/>
      <c r="AW3048" s="86"/>
      <c r="AX3048" s="83"/>
      <c r="AY3048" s="84"/>
      <c r="AZ3048" s="86"/>
      <c r="BA3048" s="86"/>
      <c r="BB3048" s="86"/>
    </row>
    <row r="3049" spans="1:54" ht="36.75" customHeight="1">
      <c r="A3049" s="98" t="s">
        <v>4910</v>
      </c>
      <c r="B3049" s="30" t="s">
        <v>55</v>
      </c>
      <c r="C3049" s="69" t="str">
        <f t="shared" si="259"/>
        <v>Closed</v>
      </c>
      <c r="D3049" s="27" t="s">
        <v>17279</v>
      </c>
      <c r="E3049" s="29" t="s">
        <v>17280</v>
      </c>
      <c r="F3049" s="30" t="s">
        <v>582</v>
      </c>
      <c r="G3049" s="72">
        <f>DATE(2020,1,23)</f>
        <v>43853</v>
      </c>
      <c r="H3049" s="80">
        <v>1.8333333333333335</v>
      </c>
      <c r="I3049" s="30" t="s">
        <v>73</v>
      </c>
      <c r="J3049" s="72" t="s">
        <v>17281</v>
      </c>
      <c r="K3049" s="30" t="s">
        <v>584</v>
      </c>
      <c r="L3049" s="30" t="s">
        <v>17282</v>
      </c>
      <c r="M3049" s="30" t="s">
        <v>63</v>
      </c>
      <c r="N3049" s="30" t="s">
        <v>89</v>
      </c>
      <c r="O3049" s="30" t="s">
        <v>77</v>
      </c>
      <c r="P3049" s="72" t="s">
        <v>65</v>
      </c>
      <c r="Q3049" s="72" t="s">
        <v>2021</v>
      </c>
      <c r="R3049" s="72" t="s">
        <v>587</v>
      </c>
      <c r="S3049" s="30">
        <v>0</v>
      </c>
      <c r="T3049" s="99">
        <v>0</v>
      </c>
      <c r="U3049" s="30">
        <v>0</v>
      </c>
      <c r="V3049" s="99">
        <v>0</v>
      </c>
      <c r="W3049" s="30">
        <v>0</v>
      </c>
      <c r="X3049" s="30">
        <v>0</v>
      </c>
      <c r="Y3049" s="30">
        <v>0</v>
      </c>
      <c r="Z3049" s="99">
        <v>0</v>
      </c>
      <c r="AA3049" s="30">
        <v>0</v>
      </c>
      <c r="AB3049" s="30">
        <v>0</v>
      </c>
      <c r="AC3049" s="30">
        <v>0</v>
      </c>
      <c r="AD3049" s="30">
        <v>0</v>
      </c>
      <c r="AE3049" s="72" t="s">
        <v>394</v>
      </c>
      <c r="AF3049" s="72"/>
      <c r="AG3049" s="72" t="s">
        <v>589</v>
      </c>
      <c r="AH3049" s="72">
        <v>43854</v>
      </c>
      <c r="AI3049" s="30">
        <v>0</v>
      </c>
      <c r="AJ3049" s="72" t="s">
        <v>68</v>
      </c>
      <c r="AK3049" s="72" t="s">
        <v>68</v>
      </c>
      <c r="AL3049" s="70">
        <v>43858</v>
      </c>
      <c r="AM3049" s="70"/>
      <c r="AN3049" s="70"/>
      <c r="AO3049" s="70"/>
      <c r="AP3049" s="73" t="e">
        <f>MID(VLOOKUP(K3049,#REF!,2,FALSE),1,2)</f>
        <v>#REF!</v>
      </c>
      <c r="AQ3049" s="72">
        <f>DATE(2020,1,23)</f>
        <v>43853</v>
      </c>
      <c r="AR3049" s="83">
        <f t="shared" si="260"/>
        <v>23</v>
      </c>
      <c r="AS3049" s="84">
        <f t="shared" si="261"/>
        <v>1</v>
      </c>
      <c r="AT3049" s="86">
        <f t="shared" si="262"/>
        <v>2020</v>
      </c>
      <c r="AU3049" s="86"/>
      <c r="AV3049" s="87"/>
      <c r="AW3049" s="86"/>
      <c r="AX3049" s="83"/>
      <c r="AY3049" s="84"/>
      <c r="AZ3049" s="86"/>
      <c r="BA3049" s="86"/>
      <c r="BB3049" s="86"/>
    </row>
    <row r="3050" spans="1:54" ht="36.75" customHeight="1">
      <c r="A3050" s="30"/>
      <c r="B3050" s="30" t="s">
        <v>55</v>
      </c>
      <c r="C3050" s="69" t="str">
        <f t="shared" si="259"/>
        <v>Closed</v>
      </c>
      <c r="D3050" s="37" t="s">
        <v>17283</v>
      </c>
      <c r="E3050" s="29" t="s">
        <v>17284</v>
      </c>
      <c r="F3050" s="30" t="s">
        <v>6455</v>
      </c>
      <c r="G3050" s="72">
        <f>DATE(2020,1,23)</f>
        <v>43853</v>
      </c>
      <c r="H3050" s="80">
        <v>1.6027777777777779</v>
      </c>
      <c r="I3050" s="30" t="s">
        <v>198</v>
      </c>
      <c r="J3050" s="72" t="s">
        <v>17285</v>
      </c>
      <c r="K3050" s="30" t="s">
        <v>584</v>
      </c>
      <c r="L3050" s="30" t="s">
        <v>17286</v>
      </c>
      <c r="M3050" s="30" t="s">
        <v>63</v>
      </c>
      <c r="N3050" s="30" t="s">
        <v>89</v>
      </c>
      <c r="O3050" s="30" t="s">
        <v>77</v>
      </c>
      <c r="P3050" s="72" t="s">
        <v>65</v>
      </c>
      <c r="Q3050" s="72" t="s">
        <v>4830</v>
      </c>
      <c r="R3050" s="72" t="s">
        <v>587</v>
      </c>
      <c r="S3050" s="30">
        <v>0</v>
      </c>
      <c r="T3050" s="232">
        <v>0</v>
      </c>
      <c r="U3050" s="30">
        <v>0</v>
      </c>
      <c r="V3050" s="232">
        <v>0</v>
      </c>
      <c r="W3050" s="30">
        <v>0</v>
      </c>
      <c r="X3050" s="30">
        <v>0</v>
      </c>
      <c r="Y3050" s="30">
        <v>0</v>
      </c>
      <c r="Z3050" s="232">
        <v>0</v>
      </c>
      <c r="AA3050" s="30">
        <v>0</v>
      </c>
      <c r="AB3050" s="30">
        <v>0</v>
      </c>
      <c r="AC3050" s="30">
        <v>0</v>
      </c>
      <c r="AD3050" s="30">
        <v>0</v>
      </c>
      <c r="AE3050" s="72" t="s">
        <v>92</v>
      </c>
      <c r="AF3050" s="72" t="s">
        <v>17287</v>
      </c>
      <c r="AG3050" s="72" t="s">
        <v>8859</v>
      </c>
      <c r="AH3050" s="72">
        <v>43853</v>
      </c>
      <c r="AI3050" s="30">
        <v>0</v>
      </c>
      <c r="AJ3050" s="72" t="s">
        <v>4610</v>
      </c>
      <c r="AK3050" s="72" t="s">
        <v>68</v>
      </c>
      <c r="AL3050" s="70">
        <v>43861</v>
      </c>
      <c r="AM3050" s="70">
        <v>44978</v>
      </c>
      <c r="AN3050" s="70">
        <v>45275</v>
      </c>
      <c r="AO3050" s="70">
        <v>45274</v>
      </c>
      <c r="AP3050" s="73" t="e">
        <f>MID(VLOOKUP(K3050,#REF!,2,FALSE),1,2)</f>
        <v>#REF!</v>
      </c>
      <c r="AQ3050" s="72">
        <f>DATE(2020,1,24)</f>
        <v>43854</v>
      </c>
      <c r="AR3050" s="83">
        <f t="shared" si="260"/>
        <v>24</v>
      </c>
      <c r="AS3050" s="84">
        <f t="shared" si="261"/>
        <v>1</v>
      </c>
      <c r="AT3050" s="86">
        <f t="shared" si="262"/>
        <v>2020</v>
      </c>
      <c r="AU3050" s="86"/>
      <c r="AV3050" s="87"/>
      <c r="AW3050" s="86"/>
      <c r="AX3050" s="83"/>
      <c r="AY3050" s="84"/>
      <c r="AZ3050" s="86"/>
      <c r="BA3050" s="86"/>
      <c r="BB3050" s="86"/>
    </row>
    <row r="3051" spans="1:54" ht="36.75" customHeight="1">
      <c r="A3051" s="30"/>
      <c r="B3051" s="30" t="s">
        <v>55</v>
      </c>
      <c r="C3051" s="69" t="str">
        <f t="shared" si="259"/>
        <v>Closed</v>
      </c>
      <c r="D3051" s="27" t="s">
        <v>17288</v>
      </c>
      <c r="E3051" s="29" t="s">
        <v>17289</v>
      </c>
      <c r="F3051" s="30" t="s">
        <v>594</v>
      </c>
      <c r="G3051" s="72">
        <f>DATE(2020,1,23)</f>
        <v>43853</v>
      </c>
      <c r="H3051" s="80">
        <v>1.9097222222222223</v>
      </c>
      <c r="I3051" s="30" t="s">
        <v>278</v>
      </c>
      <c r="J3051" s="72" t="s">
        <v>17290</v>
      </c>
      <c r="K3051" s="30" t="s">
        <v>596</v>
      </c>
      <c r="L3051" s="30" t="s">
        <v>17291</v>
      </c>
      <c r="M3051" s="30" t="s">
        <v>63</v>
      </c>
      <c r="N3051" s="30" t="s">
        <v>142</v>
      </c>
      <c r="O3051" s="30" t="s">
        <v>77</v>
      </c>
      <c r="P3051" s="72" t="s">
        <v>65</v>
      </c>
      <c r="Q3051" s="72" t="s">
        <v>17292</v>
      </c>
      <c r="R3051" s="72" t="s">
        <v>17293</v>
      </c>
      <c r="S3051" s="30">
        <v>1</v>
      </c>
      <c r="T3051" s="232">
        <v>0</v>
      </c>
      <c r="U3051" s="30">
        <v>0</v>
      </c>
      <c r="V3051" s="232">
        <v>0</v>
      </c>
      <c r="W3051" s="30">
        <v>0</v>
      </c>
      <c r="X3051" s="30">
        <v>1</v>
      </c>
      <c r="Y3051" s="30">
        <v>0</v>
      </c>
      <c r="Z3051" s="232">
        <v>0</v>
      </c>
      <c r="AA3051" s="30">
        <v>0</v>
      </c>
      <c r="AB3051" s="30">
        <v>0</v>
      </c>
      <c r="AC3051" s="30">
        <v>0</v>
      </c>
      <c r="AD3051" s="30">
        <v>0</v>
      </c>
      <c r="AE3051" s="72" t="s">
        <v>92</v>
      </c>
      <c r="AF3051" s="72" t="s">
        <v>7019</v>
      </c>
      <c r="AG3051" s="72" t="s">
        <v>6459</v>
      </c>
      <c r="AH3051" s="72">
        <v>43860</v>
      </c>
      <c r="AI3051" s="30">
        <v>1</v>
      </c>
      <c r="AJ3051" s="72" t="s">
        <v>17294</v>
      </c>
      <c r="AK3051" s="72" t="s">
        <v>17295</v>
      </c>
      <c r="AL3051" s="70">
        <v>43873</v>
      </c>
      <c r="AM3051" s="70"/>
      <c r="AN3051" s="70">
        <v>44585</v>
      </c>
      <c r="AO3051" s="70">
        <v>44567</v>
      </c>
      <c r="AP3051" s="73" t="e">
        <f>MID(VLOOKUP(K3051,#REF!,2,FALSE),1,2)</f>
        <v>#REF!</v>
      </c>
      <c r="AQ3051" s="72">
        <f>DATE(2020,1,24)</f>
        <v>43854</v>
      </c>
      <c r="AR3051" s="83">
        <f t="shared" si="260"/>
        <v>24</v>
      </c>
      <c r="AS3051" s="84">
        <f t="shared" si="261"/>
        <v>1</v>
      </c>
      <c r="AT3051" s="86">
        <f t="shared" si="262"/>
        <v>2020</v>
      </c>
      <c r="AU3051" s="86"/>
      <c r="AV3051" s="87"/>
      <c r="AW3051" s="86"/>
      <c r="AX3051" s="83"/>
      <c r="AY3051" s="84"/>
      <c r="AZ3051" s="86"/>
      <c r="BA3051" s="86"/>
      <c r="BB3051" s="86"/>
    </row>
    <row r="3052" spans="1:54" ht="36.75" customHeight="1">
      <c r="A3052" s="30" t="s">
        <v>4910</v>
      </c>
      <c r="B3052" s="30" t="s">
        <v>55</v>
      </c>
      <c r="C3052" s="69" t="str">
        <f t="shared" si="259"/>
        <v>Closed</v>
      </c>
      <c r="D3052" s="27" t="s">
        <v>17296</v>
      </c>
      <c r="E3052" s="29" t="s">
        <v>17297</v>
      </c>
      <c r="F3052" s="30" t="s">
        <v>233</v>
      </c>
      <c r="G3052" s="72">
        <f>DATE(2020,1,23)</f>
        <v>43853</v>
      </c>
      <c r="H3052" s="80">
        <v>1.2534722222222223</v>
      </c>
      <c r="I3052" s="30" t="s">
        <v>73</v>
      </c>
      <c r="J3052" s="72" t="s">
        <v>17298</v>
      </c>
      <c r="K3052" s="30" t="s">
        <v>235</v>
      </c>
      <c r="L3052" s="30" t="s">
        <v>17299</v>
      </c>
      <c r="M3052" s="30" t="s">
        <v>63</v>
      </c>
      <c r="N3052" s="30" t="s">
        <v>142</v>
      </c>
      <c r="O3052" s="30" t="s">
        <v>86</v>
      </c>
      <c r="P3052" s="72" t="s">
        <v>78</v>
      </c>
      <c r="Q3052" s="72" t="s">
        <v>4042</v>
      </c>
      <c r="R3052" s="72" t="s">
        <v>235</v>
      </c>
      <c r="S3052" s="30">
        <v>0</v>
      </c>
      <c r="T3052" s="232">
        <v>0</v>
      </c>
      <c r="U3052" s="30">
        <v>0</v>
      </c>
      <c r="V3052" s="232">
        <v>0</v>
      </c>
      <c r="W3052" s="30">
        <v>0</v>
      </c>
      <c r="X3052" s="30">
        <v>0</v>
      </c>
      <c r="Y3052" s="30">
        <v>0</v>
      </c>
      <c r="Z3052" s="232">
        <v>0</v>
      </c>
      <c r="AA3052" s="30">
        <v>0</v>
      </c>
      <c r="AB3052" s="30">
        <v>0</v>
      </c>
      <c r="AC3052" s="30">
        <v>0</v>
      </c>
      <c r="AD3052" s="30">
        <v>0</v>
      </c>
      <c r="AE3052" s="72" t="s">
        <v>145</v>
      </c>
      <c r="AF3052" s="72"/>
      <c r="AG3052" s="72" t="s">
        <v>82</v>
      </c>
      <c r="AH3052" s="72">
        <v>43857</v>
      </c>
      <c r="AI3052" s="30">
        <v>0</v>
      </c>
      <c r="AJ3052" s="72" t="s">
        <v>17300</v>
      </c>
      <c r="AK3052" s="72" t="s">
        <v>17301</v>
      </c>
      <c r="AL3052" s="70">
        <v>43866</v>
      </c>
      <c r="AM3052" s="70"/>
      <c r="AN3052" s="70"/>
      <c r="AO3052" s="70"/>
      <c r="AP3052" s="73" t="e">
        <f>MID(VLOOKUP(K3052,#REF!,2,FALSE),1,2)</f>
        <v>#REF!</v>
      </c>
      <c r="AQ3052" s="72">
        <f>DATE(2020,1,25)</f>
        <v>43855</v>
      </c>
      <c r="AR3052" s="83">
        <f t="shared" si="260"/>
        <v>25</v>
      </c>
      <c r="AS3052" s="84">
        <f t="shared" si="261"/>
        <v>1</v>
      </c>
      <c r="AT3052" s="86">
        <f t="shared" si="262"/>
        <v>2020</v>
      </c>
      <c r="AU3052" s="86"/>
      <c r="AV3052" s="87"/>
      <c r="AW3052" s="86"/>
      <c r="AX3052" s="83"/>
      <c r="AY3052" s="84"/>
      <c r="AZ3052" s="86"/>
      <c r="BA3052" s="86"/>
      <c r="BB3052" s="86"/>
    </row>
    <row r="3053" spans="1:54" ht="36.75" customHeight="1">
      <c r="A3053" s="30"/>
      <c r="B3053" s="30" t="s">
        <v>55</v>
      </c>
      <c r="C3053" s="69" t="str">
        <f t="shared" si="259"/>
        <v>Closed</v>
      </c>
      <c r="D3053" s="27" t="s">
        <v>17302</v>
      </c>
      <c r="E3053" s="29" t="s">
        <v>17303</v>
      </c>
      <c r="F3053" s="30" t="s">
        <v>638</v>
      </c>
      <c r="G3053" s="72">
        <f>DATE(2020,1,24)</f>
        <v>43854</v>
      </c>
      <c r="H3053" s="125">
        <v>1.7965277777777779</v>
      </c>
      <c r="I3053" s="30" t="s">
        <v>73</v>
      </c>
      <c r="J3053" s="72" t="s">
        <v>17304</v>
      </c>
      <c r="K3053" s="30" t="s">
        <v>640</v>
      </c>
      <c r="L3053" s="30" t="s">
        <v>17305</v>
      </c>
      <c r="M3053" s="30" t="s">
        <v>63</v>
      </c>
      <c r="N3053" s="30" t="s">
        <v>99</v>
      </c>
      <c r="O3053" s="30" t="s">
        <v>86</v>
      </c>
      <c r="P3053" s="72" t="s">
        <v>65</v>
      </c>
      <c r="Q3053" s="72" t="s">
        <v>1185</v>
      </c>
      <c r="R3053" s="72" t="s">
        <v>643</v>
      </c>
      <c r="S3053" s="30">
        <v>0</v>
      </c>
      <c r="T3053" s="99">
        <v>0</v>
      </c>
      <c r="U3053" s="30">
        <v>0</v>
      </c>
      <c r="V3053" s="99">
        <v>0</v>
      </c>
      <c r="W3053" s="30">
        <v>0</v>
      </c>
      <c r="X3053" s="30">
        <v>0</v>
      </c>
      <c r="Y3053" s="30">
        <v>0</v>
      </c>
      <c r="Z3053" s="99">
        <v>0</v>
      </c>
      <c r="AA3053" s="30">
        <v>0</v>
      </c>
      <c r="AB3053" s="30">
        <v>0</v>
      </c>
      <c r="AC3053" s="30">
        <v>0</v>
      </c>
      <c r="AD3053" s="30">
        <v>0</v>
      </c>
      <c r="AE3053" s="72" t="s">
        <v>92</v>
      </c>
      <c r="AF3053" s="72"/>
      <c r="AG3053" s="30" t="s">
        <v>352</v>
      </c>
      <c r="AH3053" s="72">
        <v>43879</v>
      </c>
      <c r="AI3053" s="30">
        <v>3</v>
      </c>
      <c r="AJ3053" s="72" t="s">
        <v>68</v>
      </c>
      <c r="AK3053" s="72" t="s">
        <v>68</v>
      </c>
      <c r="AL3053" s="70">
        <v>43885</v>
      </c>
      <c r="AM3053" s="70"/>
      <c r="AN3053" s="70"/>
      <c r="AO3053" s="70"/>
      <c r="AP3053" s="73" t="e">
        <f>MID(VLOOKUP(K3053,#REF!,2,FALSE),1,2)</f>
        <v>#REF!</v>
      </c>
      <c r="AQ3053" s="72">
        <f>DATE(2020,1,25)</f>
        <v>43855</v>
      </c>
      <c r="AR3053" s="83">
        <f t="shared" si="260"/>
        <v>25</v>
      </c>
      <c r="AS3053" s="84">
        <f t="shared" si="261"/>
        <v>1</v>
      </c>
      <c r="AT3053" s="86">
        <f t="shared" si="262"/>
        <v>2020</v>
      </c>
      <c r="AU3053" s="86"/>
      <c r="AV3053" s="87"/>
      <c r="AW3053" s="86"/>
      <c r="AX3053" s="83"/>
      <c r="AY3053" s="84"/>
      <c r="AZ3053" s="86"/>
      <c r="BA3053" s="86"/>
      <c r="BB3053" s="86"/>
    </row>
    <row r="3054" spans="1:54" ht="36.75" customHeight="1">
      <c r="A3054" s="98" t="s">
        <v>4910</v>
      </c>
      <c r="B3054" s="30" t="s">
        <v>55</v>
      </c>
      <c r="C3054" s="69" t="str">
        <f t="shared" si="259"/>
        <v>Closed</v>
      </c>
      <c r="D3054" s="27" t="s">
        <v>17306</v>
      </c>
      <c r="E3054" s="29" t="s">
        <v>17307</v>
      </c>
      <c r="F3054" s="30" t="s">
        <v>1572</v>
      </c>
      <c r="G3054" s="72">
        <f>DATE(2020,1,24)</f>
        <v>43854</v>
      </c>
      <c r="H3054" s="125">
        <v>1.7951388888888888</v>
      </c>
      <c r="I3054" s="30" t="s">
        <v>73</v>
      </c>
      <c r="J3054" s="72" t="s">
        <v>17308</v>
      </c>
      <c r="K3054" s="30" t="s">
        <v>1574</v>
      </c>
      <c r="L3054" s="30" t="s">
        <v>7931</v>
      </c>
      <c r="M3054" s="30" t="s">
        <v>63</v>
      </c>
      <c r="N3054" s="30" t="s">
        <v>142</v>
      </c>
      <c r="O3054" s="30" t="s">
        <v>77</v>
      </c>
      <c r="P3054" s="72" t="s">
        <v>78</v>
      </c>
      <c r="Q3054" s="72" t="s">
        <v>15570</v>
      </c>
      <c r="R3054" s="72" t="s">
        <v>6434</v>
      </c>
      <c r="S3054" s="30">
        <v>0</v>
      </c>
      <c r="T3054" s="99">
        <v>0</v>
      </c>
      <c r="U3054" s="30">
        <v>0</v>
      </c>
      <c r="V3054" s="99">
        <v>0</v>
      </c>
      <c r="W3054" s="30">
        <v>0</v>
      </c>
      <c r="X3054" s="30">
        <v>0</v>
      </c>
      <c r="Y3054" s="30">
        <v>0</v>
      </c>
      <c r="Z3054" s="99">
        <v>0</v>
      </c>
      <c r="AA3054" s="30">
        <v>0</v>
      </c>
      <c r="AB3054" s="30">
        <v>0</v>
      </c>
      <c r="AC3054" s="30">
        <v>0</v>
      </c>
      <c r="AD3054" s="30">
        <v>0</v>
      </c>
      <c r="AE3054" s="72" t="s">
        <v>92</v>
      </c>
      <c r="AF3054" s="72"/>
      <c r="AG3054" s="30" t="s">
        <v>133</v>
      </c>
      <c r="AH3054" s="72">
        <v>43858</v>
      </c>
      <c r="AI3054" s="30">
        <v>1</v>
      </c>
      <c r="AJ3054" s="72" t="s">
        <v>68</v>
      </c>
      <c r="AK3054" s="72" t="s">
        <v>68</v>
      </c>
      <c r="AL3054" s="70">
        <v>43859</v>
      </c>
      <c r="AM3054" s="70"/>
      <c r="AN3054" s="70"/>
      <c r="AO3054" s="70"/>
      <c r="AP3054" s="73" t="e">
        <f>MID(VLOOKUP(K3054,#REF!,2,FALSE),1,2)</f>
        <v>#REF!</v>
      </c>
      <c r="AQ3054" s="72">
        <f>DATE(2020,1,28)</f>
        <v>43858</v>
      </c>
      <c r="AR3054" s="83">
        <f t="shared" si="260"/>
        <v>28</v>
      </c>
      <c r="AS3054" s="84">
        <f t="shared" si="261"/>
        <v>1</v>
      </c>
      <c r="AT3054" s="86">
        <f t="shared" si="262"/>
        <v>2020</v>
      </c>
      <c r="AU3054" s="86"/>
      <c r="AV3054" s="87"/>
      <c r="AW3054" s="86"/>
      <c r="AX3054" s="83"/>
      <c r="AY3054" s="84"/>
      <c r="AZ3054" s="86"/>
      <c r="BA3054" s="86"/>
      <c r="BB3054" s="86"/>
    </row>
    <row r="3055" spans="1:54" ht="36.75" customHeight="1">
      <c r="A3055" s="98" t="s">
        <v>4910</v>
      </c>
      <c r="B3055" s="30" t="s">
        <v>55</v>
      </c>
      <c r="C3055" s="69" t="str">
        <f t="shared" si="259"/>
        <v>Closed</v>
      </c>
      <c r="D3055" s="27" t="s">
        <v>17309</v>
      </c>
      <c r="E3055" s="29" t="s">
        <v>17310</v>
      </c>
      <c r="F3055" s="30" t="s">
        <v>1572</v>
      </c>
      <c r="G3055" s="72">
        <f>DATE(2020,1,25)</f>
        <v>43855</v>
      </c>
      <c r="H3055" s="80">
        <v>1.9930555555555554</v>
      </c>
      <c r="I3055" s="30" t="s">
        <v>125</v>
      </c>
      <c r="J3055" s="72" t="s">
        <v>17311</v>
      </c>
      <c r="K3055" s="30" t="s">
        <v>1574</v>
      </c>
      <c r="L3055" s="30" t="s">
        <v>17312</v>
      </c>
      <c r="M3055" s="30" t="s">
        <v>63</v>
      </c>
      <c r="N3055" s="30" t="s">
        <v>142</v>
      </c>
      <c r="O3055" s="30" t="s">
        <v>64</v>
      </c>
      <c r="P3055" s="72" t="s">
        <v>78</v>
      </c>
      <c r="Q3055" s="72" t="s">
        <v>6093</v>
      </c>
      <c r="R3055" s="72" t="s">
        <v>6434</v>
      </c>
      <c r="S3055" s="30">
        <v>0</v>
      </c>
      <c r="T3055" s="232">
        <v>0</v>
      </c>
      <c r="U3055" s="30">
        <v>0</v>
      </c>
      <c r="V3055" s="232">
        <v>0</v>
      </c>
      <c r="W3055" s="30">
        <v>0</v>
      </c>
      <c r="X3055" s="30">
        <v>0</v>
      </c>
      <c r="Y3055" s="30">
        <v>0</v>
      </c>
      <c r="Z3055" s="232">
        <v>0</v>
      </c>
      <c r="AA3055" s="30">
        <v>0</v>
      </c>
      <c r="AB3055" s="30">
        <v>0</v>
      </c>
      <c r="AC3055" s="30">
        <v>0</v>
      </c>
      <c r="AD3055" s="30">
        <v>0</v>
      </c>
      <c r="AE3055" s="72" t="s">
        <v>394</v>
      </c>
      <c r="AF3055" s="72"/>
      <c r="AG3055" s="72" t="s">
        <v>133</v>
      </c>
      <c r="AH3055" s="72">
        <v>43858</v>
      </c>
      <c r="AI3055" s="30">
        <v>5</v>
      </c>
      <c r="AJ3055" s="72" t="s">
        <v>68</v>
      </c>
      <c r="AK3055" s="72" t="s">
        <v>68</v>
      </c>
      <c r="AL3055" s="70">
        <v>43859</v>
      </c>
      <c r="AM3055" s="70"/>
      <c r="AN3055" s="70"/>
      <c r="AO3055" s="70"/>
      <c r="AP3055" s="73" t="e">
        <f>MID(VLOOKUP(K3055,#REF!,2,FALSE),1,2)</f>
        <v>#REF!</v>
      </c>
      <c r="AQ3055" s="72">
        <f>DATE(2020,1,28)</f>
        <v>43858</v>
      </c>
      <c r="AR3055" s="83">
        <f t="shared" si="260"/>
        <v>28</v>
      </c>
      <c r="AS3055" s="84">
        <f t="shared" si="261"/>
        <v>1</v>
      </c>
      <c r="AT3055" s="86">
        <f t="shared" si="262"/>
        <v>2020</v>
      </c>
      <c r="AU3055" s="86"/>
      <c r="AV3055" s="87"/>
      <c r="AW3055" s="86"/>
      <c r="AX3055" s="83"/>
      <c r="AY3055" s="84"/>
      <c r="AZ3055" s="86"/>
      <c r="BA3055" s="86"/>
      <c r="BB3055" s="86"/>
    </row>
    <row r="3056" spans="1:54" ht="36.75" customHeight="1">
      <c r="A3056" s="30"/>
      <c r="B3056" s="30" t="s">
        <v>55</v>
      </c>
      <c r="C3056" s="69" t="str">
        <f t="shared" si="259"/>
        <v>Closed</v>
      </c>
      <c r="D3056" s="27" t="s">
        <v>17313</v>
      </c>
      <c r="E3056" s="29" t="s">
        <v>17314</v>
      </c>
      <c r="F3056" s="30" t="s">
        <v>233</v>
      </c>
      <c r="G3056" s="72">
        <f>DATE(2020,1,25)</f>
        <v>43855</v>
      </c>
      <c r="H3056" s="80">
        <v>1.4875</v>
      </c>
      <c r="I3056" s="30" t="s">
        <v>198</v>
      </c>
      <c r="J3056" s="72" t="s">
        <v>17315</v>
      </c>
      <c r="K3056" s="30" t="s">
        <v>235</v>
      </c>
      <c r="L3056" s="30" t="s">
        <v>17316</v>
      </c>
      <c r="M3056" s="30" t="s">
        <v>63</v>
      </c>
      <c r="N3056" s="30" t="s">
        <v>142</v>
      </c>
      <c r="O3056" s="30" t="s">
        <v>64</v>
      </c>
      <c r="P3056" s="72" t="s">
        <v>86</v>
      </c>
      <c r="Q3056" s="72" t="s">
        <v>718</v>
      </c>
      <c r="R3056" s="72" t="s">
        <v>235</v>
      </c>
      <c r="S3056" s="30">
        <v>0</v>
      </c>
      <c r="T3056" s="232">
        <v>0</v>
      </c>
      <c r="U3056" s="30">
        <v>0</v>
      </c>
      <c r="V3056" s="232">
        <v>0</v>
      </c>
      <c r="W3056" s="30">
        <v>0</v>
      </c>
      <c r="X3056" s="30">
        <v>0</v>
      </c>
      <c r="Y3056" s="30">
        <v>0</v>
      </c>
      <c r="Z3056" s="232">
        <v>0</v>
      </c>
      <c r="AA3056" s="30">
        <v>0</v>
      </c>
      <c r="AB3056" s="30">
        <v>0</v>
      </c>
      <c r="AC3056" s="30">
        <v>0</v>
      </c>
      <c r="AD3056" s="30">
        <v>0</v>
      </c>
      <c r="AE3056" s="72" t="s">
        <v>92</v>
      </c>
      <c r="AF3056" s="72"/>
      <c r="AG3056" s="72" t="s">
        <v>133</v>
      </c>
      <c r="AH3056" s="72">
        <v>43871</v>
      </c>
      <c r="AI3056" s="30">
        <v>5</v>
      </c>
      <c r="AJ3056" s="72" t="s">
        <v>17317</v>
      </c>
      <c r="AK3056" s="72" t="s">
        <v>17318</v>
      </c>
      <c r="AL3056" s="70">
        <v>43879</v>
      </c>
      <c r="AM3056" s="70"/>
      <c r="AN3056" s="70"/>
      <c r="AO3056" s="70"/>
      <c r="AP3056" s="73" t="e">
        <f>MID(VLOOKUP(K3056,#REF!,2,FALSE),1,2)</f>
        <v>#REF!</v>
      </c>
      <c r="AQ3056" s="72">
        <f>DATE(2020,1,28)</f>
        <v>43858</v>
      </c>
      <c r="AR3056" s="83">
        <f t="shared" si="260"/>
        <v>28</v>
      </c>
      <c r="AS3056" s="84">
        <f t="shared" si="261"/>
        <v>1</v>
      </c>
      <c r="AT3056" s="86">
        <f t="shared" si="262"/>
        <v>2020</v>
      </c>
      <c r="AU3056" s="86"/>
      <c r="AV3056" s="87"/>
      <c r="AW3056" s="86"/>
      <c r="AX3056" s="83"/>
      <c r="AY3056" s="84"/>
      <c r="AZ3056" s="86"/>
      <c r="BA3056" s="86"/>
      <c r="BB3056" s="86"/>
    </row>
    <row r="3057" spans="1:54" ht="36.75" customHeight="1">
      <c r="A3057" s="30"/>
      <c r="B3057" s="30" t="s">
        <v>55</v>
      </c>
      <c r="C3057" s="69" t="str">
        <f t="shared" si="259"/>
        <v>Closed</v>
      </c>
      <c r="D3057" s="27" t="s">
        <v>17319</v>
      </c>
      <c r="E3057" s="29" t="s">
        <v>17320</v>
      </c>
      <c r="F3057" s="30" t="s">
        <v>835</v>
      </c>
      <c r="G3057" s="72">
        <f>DATE(2020,1,28)</f>
        <v>43858</v>
      </c>
      <c r="H3057" s="80">
        <v>1.3895833333333334</v>
      </c>
      <c r="I3057" s="30" t="s">
        <v>104</v>
      </c>
      <c r="J3057" s="72" t="s">
        <v>17321</v>
      </c>
      <c r="K3057" s="30" t="s">
        <v>837</v>
      </c>
      <c r="L3057" s="30" t="s">
        <v>17322</v>
      </c>
      <c r="M3057" s="30" t="s">
        <v>63</v>
      </c>
      <c r="N3057" s="30" t="s">
        <v>99</v>
      </c>
      <c r="O3057" s="30" t="s">
        <v>64</v>
      </c>
      <c r="P3057" s="72" t="s">
        <v>65</v>
      </c>
      <c r="Q3057" s="72" t="s">
        <v>2162</v>
      </c>
      <c r="R3057" s="72" t="s">
        <v>840</v>
      </c>
      <c r="S3057" s="30">
        <v>0</v>
      </c>
      <c r="T3057" s="232">
        <v>0</v>
      </c>
      <c r="U3057" s="30">
        <v>0</v>
      </c>
      <c r="V3057" s="232">
        <v>0</v>
      </c>
      <c r="W3057" s="30">
        <v>0</v>
      </c>
      <c r="X3057" s="30">
        <v>0</v>
      </c>
      <c r="Y3057" s="30">
        <v>0</v>
      </c>
      <c r="Z3057" s="232">
        <v>0</v>
      </c>
      <c r="AA3057" s="30">
        <v>0</v>
      </c>
      <c r="AB3057" s="30">
        <v>0</v>
      </c>
      <c r="AC3057" s="30">
        <v>0</v>
      </c>
      <c r="AD3057" s="30">
        <v>0</v>
      </c>
      <c r="AE3057" s="72" t="s">
        <v>92</v>
      </c>
      <c r="AF3057" s="72" t="s">
        <v>16959</v>
      </c>
      <c r="AG3057" s="72" t="s">
        <v>13537</v>
      </c>
      <c r="AH3057" s="72">
        <v>43868</v>
      </c>
      <c r="AI3057" s="30">
        <v>0</v>
      </c>
      <c r="AJ3057" s="72" t="s">
        <v>17323</v>
      </c>
      <c r="AK3057" s="72" t="s">
        <v>17324</v>
      </c>
      <c r="AL3057" s="70">
        <v>43874</v>
      </c>
      <c r="AM3057" s="70"/>
      <c r="AN3057" s="70"/>
      <c r="AO3057" s="70"/>
      <c r="AP3057" s="73" t="e">
        <f>MID(VLOOKUP(K3057,#REF!,2,FALSE),1,2)</f>
        <v>#REF!</v>
      </c>
      <c r="AQ3057" s="72">
        <f>DATE(2020,1,29)</f>
        <v>43859</v>
      </c>
      <c r="AR3057" s="83">
        <f t="shared" si="260"/>
        <v>29</v>
      </c>
      <c r="AS3057" s="84">
        <f t="shared" si="261"/>
        <v>1</v>
      </c>
      <c r="AT3057" s="86">
        <f t="shared" si="262"/>
        <v>2020</v>
      </c>
      <c r="AU3057" s="86"/>
      <c r="AV3057" s="87"/>
      <c r="AW3057" s="86"/>
      <c r="AX3057" s="83"/>
      <c r="AY3057" s="84"/>
      <c r="AZ3057" s="86"/>
      <c r="BA3057" s="86"/>
      <c r="BB3057" s="86"/>
    </row>
    <row r="3058" spans="1:54" ht="36.75" customHeight="1">
      <c r="A3058" s="98" t="s">
        <v>4910</v>
      </c>
      <c r="B3058" s="30" t="s">
        <v>55</v>
      </c>
      <c r="C3058" s="69" t="str">
        <f t="shared" si="259"/>
        <v>Closed</v>
      </c>
      <c r="D3058" s="27" t="s">
        <v>17325</v>
      </c>
      <c r="E3058" s="29" t="s">
        <v>17326</v>
      </c>
      <c r="F3058" s="30" t="s">
        <v>124</v>
      </c>
      <c r="G3058" s="72">
        <f>DATE(2020,1,28)</f>
        <v>43858</v>
      </c>
      <c r="H3058" s="80">
        <v>1.8888888888888888</v>
      </c>
      <c r="I3058" s="30" t="s">
        <v>116</v>
      </c>
      <c r="J3058" s="72" t="s">
        <v>17327</v>
      </c>
      <c r="K3058" s="30" t="s">
        <v>127</v>
      </c>
      <c r="L3058" s="30" t="s">
        <v>17328</v>
      </c>
      <c r="M3058" s="30" t="s">
        <v>63</v>
      </c>
      <c r="N3058" s="30" t="s">
        <v>99</v>
      </c>
      <c r="O3058" s="30" t="s">
        <v>77</v>
      </c>
      <c r="P3058" s="72" t="s">
        <v>6941</v>
      </c>
      <c r="Q3058" s="72" t="s">
        <v>229</v>
      </c>
      <c r="R3058" s="72" t="s">
        <v>167</v>
      </c>
      <c r="S3058" s="30">
        <v>0</v>
      </c>
      <c r="T3058" s="232">
        <v>0</v>
      </c>
      <c r="U3058" s="30">
        <v>1</v>
      </c>
      <c r="V3058" s="232">
        <v>0</v>
      </c>
      <c r="W3058" s="30">
        <v>0</v>
      </c>
      <c r="X3058" s="30">
        <v>1</v>
      </c>
      <c r="Y3058" s="30">
        <v>0</v>
      </c>
      <c r="Z3058" s="232">
        <v>0</v>
      </c>
      <c r="AA3058" s="30">
        <v>0</v>
      </c>
      <c r="AB3058" s="30">
        <v>0</v>
      </c>
      <c r="AC3058" s="30">
        <v>0</v>
      </c>
      <c r="AD3058" s="30">
        <v>0</v>
      </c>
      <c r="AE3058" s="72" t="s">
        <v>92</v>
      </c>
      <c r="AF3058" s="72"/>
      <c r="AG3058" s="72" t="s">
        <v>82</v>
      </c>
      <c r="AH3058" s="72">
        <v>43859</v>
      </c>
      <c r="AI3058" s="30">
        <v>1</v>
      </c>
      <c r="AJ3058" s="72" t="s">
        <v>68</v>
      </c>
      <c r="AK3058" s="72" t="s">
        <v>68</v>
      </c>
      <c r="AL3058" s="70">
        <v>43860</v>
      </c>
      <c r="AM3058" s="70"/>
      <c r="AN3058" s="70"/>
      <c r="AO3058" s="70"/>
      <c r="AP3058" s="73" t="e">
        <f>MID(VLOOKUP(K3058,#REF!,2,FALSE),1,2)</f>
        <v>#REF!</v>
      </c>
      <c r="AQ3058" s="72">
        <f>DATE(2020,1,29)</f>
        <v>43859</v>
      </c>
      <c r="AR3058" s="83">
        <f t="shared" si="260"/>
        <v>29</v>
      </c>
      <c r="AS3058" s="84">
        <f t="shared" si="261"/>
        <v>1</v>
      </c>
      <c r="AT3058" s="86">
        <f t="shared" si="262"/>
        <v>2020</v>
      </c>
      <c r="AU3058" s="86"/>
      <c r="AV3058" s="87"/>
      <c r="AW3058" s="86"/>
      <c r="AX3058" s="83"/>
      <c r="AY3058" s="84"/>
      <c r="AZ3058" s="86"/>
      <c r="BA3058" s="86"/>
      <c r="BB3058" s="86"/>
    </row>
    <row r="3059" spans="1:54" ht="36.75" customHeight="1">
      <c r="A3059" s="30"/>
      <c r="B3059" s="30" t="s">
        <v>55</v>
      </c>
      <c r="C3059" s="69" t="str">
        <f t="shared" si="259"/>
        <v>Closed</v>
      </c>
      <c r="D3059" s="27" t="s">
        <v>17329</v>
      </c>
      <c r="E3059" s="29" t="s">
        <v>17330</v>
      </c>
      <c r="F3059" s="30" t="s">
        <v>233</v>
      </c>
      <c r="G3059" s="72">
        <f>DATE(2020,1,28)</f>
        <v>43858</v>
      </c>
      <c r="H3059" s="80">
        <v>1.4805555555555556</v>
      </c>
      <c r="I3059" s="30" t="s">
        <v>73</v>
      </c>
      <c r="J3059" s="72" t="s">
        <v>17331</v>
      </c>
      <c r="K3059" s="30" t="s">
        <v>235</v>
      </c>
      <c r="L3059" s="30" t="s">
        <v>17332</v>
      </c>
      <c r="M3059" s="30" t="s">
        <v>63</v>
      </c>
      <c r="N3059" s="30" t="s">
        <v>89</v>
      </c>
      <c r="O3059" s="30" t="s">
        <v>64</v>
      </c>
      <c r="P3059" s="72" t="s">
        <v>78</v>
      </c>
      <c r="Q3059" s="72" t="s">
        <v>434</v>
      </c>
      <c r="R3059" s="72" t="s">
        <v>235</v>
      </c>
      <c r="S3059" s="30">
        <v>0</v>
      </c>
      <c r="T3059" s="232">
        <v>0</v>
      </c>
      <c r="U3059" s="30">
        <v>0</v>
      </c>
      <c r="V3059" s="232">
        <v>0</v>
      </c>
      <c r="W3059" s="30">
        <v>0</v>
      </c>
      <c r="X3059" s="30">
        <v>0</v>
      </c>
      <c r="Y3059" s="30">
        <v>0</v>
      </c>
      <c r="Z3059" s="232">
        <v>0</v>
      </c>
      <c r="AA3059" s="30">
        <v>0</v>
      </c>
      <c r="AB3059" s="30">
        <v>0</v>
      </c>
      <c r="AC3059" s="30">
        <v>0</v>
      </c>
      <c r="AD3059" s="30">
        <v>0</v>
      </c>
      <c r="AE3059" s="72" t="s">
        <v>394</v>
      </c>
      <c r="AF3059" s="72"/>
      <c r="AG3059" s="72" t="s">
        <v>133</v>
      </c>
      <c r="AH3059" s="72">
        <v>43864</v>
      </c>
      <c r="AI3059" s="30">
        <v>2</v>
      </c>
      <c r="AJ3059" s="72" t="s">
        <v>17333</v>
      </c>
      <c r="AK3059" s="72" t="s">
        <v>17334</v>
      </c>
      <c r="AL3059" s="70">
        <v>43873</v>
      </c>
      <c r="AM3059" s="70"/>
      <c r="AN3059" s="70"/>
      <c r="AO3059" s="70">
        <v>44256</v>
      </c>
      <c r="AP3059" s="73" t="e">
        <f>MID(VLOOKUP(K3059,#REF!,2,FALSE),1,2)</f>
        <v>#REF!</v>
      </c>
      <c r="AQ3059" s="72">
        <f>DATE(2020,2,1)</f>
        <v>43862</v>
      </c>
      <c r="AR3059" s="83">
        <f t="shared" si="260"/>
        <v>1</v>
      </c>
      <c r="AS3059" s="84">
        <f t="shared" si="261"/>
        <v>2</v>
      </c>
      <c r="AT3059" s="86">
        <f t="shared" si="262"/>
        <v>2020</v>
      </c>
      <c r="AU3059" s="86"/>
      <c r="AV3059" s="87"/>
      <c r="AW3059" s="86"/>
      <c r="AX3059" s="83"/>
      <c r="AY3059" s="84"/>
      <c r="AZ3059" s="86"/>
      <c r="BA3059" s="86"/>
      <c r="BB3059" s="86"/>
    </row>
    <row r="3060" spans="1:54" ht="36.75" customHeight="1">
      <c r="A3060" s="98" t="s">
        <v>4910</v>
      </c>
      <c r="B3060" s="30" t="s">
        <v>55</v>
      </c>
      <c r="C3060" s="69" t="str">
        <f t="shared" si="259"/>
        <v>Closed</v>
      </c>
      <c r="D3060" s="27" t="s">
        <v>17335</v>
      </c>
      <c r="E3060" s="29" t="s">
        <v>17336</v>
      </c>
      <c r="F3060" s="30" t="s">
        <v>1572</v>
      </c>
      <c r="G3060" s="72">
        <f>DATE(2020,1,29)</f>
        <v>43859</v>
      </c>
      <c r="H3060" s="80">
        <v>1.5916666666666668</v>
      </c>
      <c r="I3060" s="30" t="s">
        <v>73</v>
      </c>
      <c r="J3060" s="72" t="s">
        <v>17337</v>
      </c>
      <c r="K3060" s="30" t="s">
        <v>1574</v>
      </c>
      <c r="L3060" s="30" t="s">
        <v>13720</v>
      </c>
      <c r="M3060" s="30" t="s">
        <v>63</v>
      </c>
      <c r="N3060" s="30" t="s">
        <v>142</v>
      </c>
      <c r="O3060" s="30" t="s">
        <v>77</v>
      </c>
      <c r="P3060" s="72" t="s">
        <v>78</v>
      </c>
      <c r="Q3060" s="72" t="s">
        <v>2655</v>
      </c>
      <c r="R3060" s="72" t="s">
        <v>6434</v>
      </c>
      <c r="S3060" s="30">
        <v>0</v>
      </c>
      <c r="T3060" s="232">
        <v>0</v>
      </c>
      <c r="U3060" s="30">
        <v>0</v>
      </c>
      <c r="V3060" s="232">
        <v>0</v>
      </c>
      <c r="W3060" s="30">
        <v>0</v>
      </c>
      <c r="X3060" s="30">
        <v>0</v>
      </c>
      <c r="Y3060" s="30">
        <v>0</v>
      </c>
      <c r="Z3060" s="232">
        <v>0</v>
      </c>
      <c r="AA3060" s="30">
        <v>0</v>
      </c>
      <c r="AB3060" s="30">
        <v>0</v>
      </c>
      <c r="AC3060" s="30">
        <v>0</v>
      </c>
      <c r="AD3060" s="30">
        <v>0</v>
      </c>
      <c r="AE3060" s="72" t="s">
        <v>92</v>
      </c>
      <c r="AF3060" s="72"/>
      <c r="AG3060" s="72" t="s">
        <v>133</v>
      </c>
      <c r="AH3060" s="72">
        <v>43861</v>
      </c>
      <c r="AI3060" s="30">
        <v>1</v>
      </c>
      <c r="AJ3060" s="72" t="s">
        <v>68</v>
      </c>
      <c r="AK3060" s="72" t="s">
        <v>68</v>
      </c>
      <c r="AL3060" s="70">
        <v>43863</v>
      </c>
      <c r="AM3060" s="70"/>
      <c r="AN3060" s="70"/>
      <c r="AO3060" s="70"/>
      <c r="AP3060" s="73" t="e">
        <f>MID(VLOOKUP(K3060,#REF!,2,FALSE),1,2)</f>
        <v>#REF!</v>
      </c>
      <c r="AQ3060" s="72">
        <f>DATE(2020,2,1)</f>
        <v>43862</v>
      </c>
      <c r="AR3060" s="83">
        <f t="shared" si="260"/>
        <v>1</v>
      </c>
      <c r="AS3060" s="84">
        <f t="shared" si="261"/>
        <v>2</v>
      </c>
      <c r="AT3060" s="86">
        <f t="shared" si="262"/>
        <v>2020</v>
      </c>
      <c r="AU3060" s="86"/>
      <c r="AV3060" s="87"/>
      <c r="AW3060" s="86"/>
      <c r="AX3060" s="83"/>
      <c r="AY3060" s="84"/>
      <c r="AZ3060" s="86"/>
      <c r="BA3060" s="86"/>
      <c r="BB3060" s="86"/>
    </row>
    <row r="3061" spans="1:54" ht="36.75" customHeight="1">
      <c r="A3061" s="98" t="s">
        <v>4910</v>
      </c>
      <c r="B3061" s="30" t="s">
        <v>55</v>
      </c>
      <c r="C3061" s="69" t="str">
        <f t="shared" si="259"/>
        <v>Closed</v>
      </c>
      <c r="D3061" s="27" t="s">
        <v>17338</v>
      </c>
      <c r="E3061" s="29" t="s">
        <v>17339</v>
      </c>
      <c r="F3061" s="30" t="s">
        <v>1572</v>
      </c>
      <c r="G3061" s="72">
        <f>DATE(2020,1,29)</f>
        <v>43859</v>
      </c>
      <c r="H3061" s="80">
        <v>1.7604166666666665</v>
      </c>
      <c r="I3061" s="30" t="s">
        <v>73</v>
      </c>
      <c r="J3061" s="72" t="s">
        <v>17340</v>
      </c>
      <c r="K3061" s="30" t="s">
        <v>1574</v>
      </c>
      <c r="L3061" s="30" t="s">
        <v>17341</v>
      </c>
      <c r="M3061" s="30" t="s">
        <v>63</v>
      </c>
      <c r="N3061" s="30" t="s">
        <v>99</v>
      </c>
      <c r="O3061" s="30" t="s">
        <v>64</v>
      </c>
      <c r="P3061" s="72" t="s">
        <v>78</v>
      </c>
      <c r="Q3061" s="72" t="s">
        <v>2655</v>
      </c>
      <c r="R3061" s="72" t="s">
        <v>6434</v>
      </c>
      <c r="S3061" s="30">
        <v>0</v>
      </c>
      <c r="T3061" s="232">
        <v>0</v>
      </c>
      <c r="U3061" s="30">
        <v>0</v>
      </c>
      <c r="V3061" s="232">
        <v>0</v>
      </c>
      <c r="W3061" s="30">
        <v>0</v>
      </c>
      <c r="X3061" s="30">
        <v>0</v>
      </c>
      <c r="Y3061" s="30">
        <v>0</v>
      </c>
      <c r="Z3061" s="232">
        <v>0</v>
      </c>
      <c r="AA3061" s="30">
        <v>0</v>
      </c>
      <c r="AB3061" s="30">
        <v>0</v>
      </c>
      <c r="AC3061" s="30">
        <v>0</v>
      </c>
      <c r="AD3061" s="30">
        <v>0</v>
      </c>
      <c r="AE3061" s="72" t="s">
        <v>92</v>
      </c>
      <c r="AF3061" s="72"/>
      <c r="AG3061" s="72" t="s">
        <v>133</v>
      </c>
      <c r="AH3061" s="72">
        <v>43861</v>
      </c>
      <c r="AI3061" s="30">
        <v>1</v>
      </c>
      <c r="AJ3061" s="72" t="s">
        <v>68</v>
      </c>
      <c r="AK3061" s="72" t="s">
        <v>68</v>
      </c>
      <c r="AL3061" s="70">
        <v>43863</v>
      </c>
      <c r="AM3061" s="70"/>
      <c r="AN3061" s="70"/>
      <c r="AO3061" s="70"/>
      <c r="AP3061" s="73" t="e">
        <f>MID(VLOOKUP(K3061,#REF!,2,FALSE),1,2)</f>
        <v>#REF!</v>
      </c>
      <c r="AQ3061" s="72">
        <f>DATE(2020,2,2)</f>
        <v>43863</v>
      </c>
      <c r="AR3061" s="83">
        <f t="shared" si="260"/>
        <v>2</v>
      </c>
      <c r="AS3061" s="84">
        <f t="shared" si="261"/>
        <v>2</v>
      </c>
      <c r="AT3061" s="86">
        <f t="shared" si="262"/>
        <v>2020</v>
      </c>
      <c r="AU3061" s="86"/>
      <c r="AV3061" s="87"/>
      <c r="AW3061" s="86"/>
      <c r="AX3061" s="83"/>
      <c r="AY3061" s="84"/>
      <c r="AZ3061" s="86"/>
      <c r="BA3061" s="86"/>
      <c r="BB3061" s="86"/>
    </row>
    <row r="3062" spans="1:54" ht="36.75" customHeight="1">
      <c r="A3062" s="30"/>
      <c r="B3062" s="30" t="s">
        <v>55</v>
      </c>
      <c r="C3062" s="69" t="str">
        <f t="shared" si="259"/>
        <v>Closed</v>
      </c>
      <c r="D3062" s="27" t="s">
        <v>17342</v>
      </c>
      <c r="E3062" s="29" t="s">
        <v>17343</v>
      </c>
      <c r="F3062" s="30" t="s">
        <v>17344</v>
      </c>
      <c r="G3062" s="72">
        <f>DATE(2020,2,1)</f>
        <v>43862</v>
      </c>
      <c r="H3062" s="80">
        <v>0</v>
      </c>
      <c r="I3062" s="30" t="s">
        <v>10375</v>
      </c>
      <c r="J3062" s="72" t="s">
        <v>17345</v>
      </c>
      <c r="K3062" s="30" t="s">
        <v>127</v>
      </c>
      <c r="L3062" s="30" t="s">
        <v>17346</v>
      </c>
      <c r="M3062" s="30" t="s">
        <v>63</v>
      </c>
      <c r="N3062" s="30" t="s">
        <v>142</v>
      </c>
      <c r="O3062" s="30" t="s">
        <v>64</v>
      </c>
      <c r="P3062" s="72" t="s">
        <v>86</v>
      </c>
      <c r="Q3062" s="72" t="s">
        <v>17347</v>
      </c>
      <c r="R3062" s="72" t="s">
        <v>167</v>
      </c>
      <c r="S3062" s="30">
        <v>0</v>
      </c>
      <c r="T3062" s="232">
        <v>0</v>
      </c>
      <c r="U3062" s="30">
        <v>0</v>
      </c>
      <c r="V3062" s="232">
        <v>0</v>
      </c>
      <c r="W3062" s="30">
        <v>0</v>
      </c>
      <c r="X3062" s="30">
        <v>0</v>
      </c>
      <c r="Y3062" s="30">
        <v>0</v>
      </c>
      <c r="Z3062" s="232">
        <v>3</v>
      </c>
      <c r="AA3062" s="30">
        <v>0</v>
      </c>
      <c r="AB3062" s="30">
        <v>0</v>
      </c>
      <c r="AC3062" s="30">
        <v>0</v>
      </c>
      <c r="AD3062" s="30">
        <v>3</v>
      </c>
      <c r="AE3062" s="72" t="s">
        <v>92</v>
      </c>
      <c r="AF3062" s="72"/>
      <c r="AG3062" s="72" t="s">
        <v>352</v>
      </c>
      <c r="AH3062" s="72">
        <v>43862</v>
      </c>
      <c r="AI3062" s="30">
        <v>4</v>
      </c>
      <c r="AJ3062" s="72" t="s">
        <v>68</v>
      </c>
      <c r="AK3062" s="72" t="s">
        <v>17348</v>
      </c>
      <c r="AL3062" s="70">
        <v>43882</v>
      </c>
      <c r="AM3062" s="70"/>
      <c r="AN3062" s="70">
        <v>44551</v>
      </c>
      <c r="AO3062" s="70">
        <v>44273</v>
      </c>
      <c r="AP3062" s="73" t="e">
        <f>MID(VLOOKUP(K3062,#REF!,2,FALSE),1,2)</f>
        <v>#REF!</v>
      </c>
      <c r="AQ3062" s="72">
        <f>DATE(2020,2,3)</f>
        <v>43864</v>
      </c>
      <c r="AR3062" s="83">
        <f t="shared" si="260"/>
        <v>3</v>
      </c>
      <c r="AS3062" s="84">
        <f t="shared" si="261"/>
        <v>2</v>
      </c>
      <c r="AT3062" s="86">
        <f t="shared" si="262"/>
        <v>2020</v>
      </c>
      <c r="AU3062" s="86"/>
      <c r="AV3062" s="87"/>
      <c r="AW3062" s="86"/>
      <c r="AX3062" s="83"/>
      <c r="AY3062" s="84"/>
      <c r="AZ3062" s="86"/>
      <c r="BA3062" s="86"/>
      <c r="BB3062" s="86"/>
    </row>
    <row r="3063" spans="1:54" ht="36.75" customHeight="1">
      <c r="A3063" s="30"/>
      <c r="B3063" s="30" t="s">
        <v>2124</v>
      </c>
      <c r="C3063" s="69" t="str">
        <f t="shared" si="259"/>
        <v>Open</v>
      </c>
      <c r="D3063" s="27" t="s">
        <v>17349</v>
      </c>
      <c r="E3063" s="29" t="s">
        <v>17350</v>
      </c>
      <c r="F3063" s="30" t="s">
        <v>594</v>
      </c>
      <c r="G3063" s="72">
        <f>DATE(2020,2,1)</f>
        <v>43862</v>
      </c>
      <c r="H3063" s="80">
        <v>1.3798611111111112</v>
      </c>
      <c r="I3063" s="30" t="s">
        <v>73</v>
      </c>
      <c r="J3063" s="72" t="s">
        <v>17351</v>
      </c>
      <c r="K3063" s="30" t="s">
        <v>596</v>
      </c>
      <c r="L3063" s="30" t="s">
        <v>17352</v>
      </c>
      <c r="M3063" s="30" t="s">
        <v>63</v>
      </c>
      <c r="N3063" s="30" t="s">
        <v>99</v>
      </c>
      <c r="O3063" s="30" t="s">
        <v>64</v>
      </c>
      <c r="P3063" s="72" t="s">
        <v>78</v>
      </c>
      <c r="Q3063" s="72" t="s">
        <v>13142</v>
      </c>
      <c r="R3063" s="72" t="s">
        <v>12074</v>
      </c>
      <c r="S3063" s="30">
        <v>0</v>
      </c>
      <c r="T3063" s="232">
        <v>0</v>
      </c>
      <c r="U3063" s="30">
        <v>0</v>
      </c>
      <c r="V3063" s="232">
        <v>0</v>
      </c>
      <c r="W3063" s="30">
        <v>0</v>
      </c>
      <c r="X3063" s="30">
        <v>0</v>
      </c>
      <c r="Y3063" s="30">
        <v>0</v>
      </c>
      <c r="Z3063" s="232">
        <v>0</v>
      </c>
      <c r="AA3063" s="30">
        <v>0</v>
      </c>
      <c r="AB3063" s="30">
        <v>0</v>
      </c>
      <c r="AC3063" s="30">
        <v>0</v>
      </c>
      <c r="AD3063" s="30">
        <v>0</v>
      </c>
      <c r="AE3063" s="72" t="s">
        <v>92</v>
      </c>
      <c r="AF3063" s="72"/>
      <c r="AG3063" s="72" t="s">
        <v>133</v>
      </c>
      <c r="AH3063" s="72">
        <v>43923</v>
      </c>
      <c r="AI3063" s="30">
        <v>0</v>
      </c>
      <c r="AJ3063" s="72" t="s">
        <v>68</v>
      </c>
      <c r="AK3063" s="72" t="s">
        <v>68</v>
      </c>
      <c r="AL3063" s="70">
        <v>43873</v>
      </c>
      <c r="AM3063" s="70"/>
      <c r="AN3063" s="70"/>
      <c r="AO3063" s="70"/>
      <c r="AP3063" s="73" t="e">
        <f>MID(VLOOKUP(K3063,#REF!,2,FALSE),1,2)</f>
        <v>#REF!</v>
      </c>
      <c r="AQ3063" s="72">
        <f>DATE(2020,2,4)</f>
        <v>43865</v>
      </c>
      <c r="AR3063" s="83">
        <f t="shared" si="260"/>
        <v>4</v>
      </c>
      <c r="AS3063" s="84">
        <f t="shared" si="261"/>
        <v>2</v>
      </c>
      <c r="AT3063" s="86">
        <f t="shared" si="262"/>
        <v>2020</v>
      </c>
      <c r="AU3063" s="86"/>
      <c r="AV3063" s="87"/>
      <c r="AW3063" s="86"/>
      <c r="AX3063" s="83"/>
      <c r="AY3063" s="84"/>
      <c r="AZ3063" s="86"/>
      <c r="BA3063" s="86"/>
      <c r="BB3063" s="86"/>
    </row>
    <row r="3064" spans="1:54" ht="36.75" customHeight="1">
      <c r="A3064" s="98" t="s">
        <v>4910</v>
      </c>
      <c r="B3064" s="30" t="s">
        <v>55</v>
      </c>
      <c r="C3064" s="69" t="str">
        <f t="shared" si="259"/>
        <v>Closed</v>
      </c>
      <c r="D3064" s="27" t="s">
        <v>17353</v>
      </c>
      <c r="E3064" s="29" t="s">
        <v>17354</v>
      </c>
      <c r="F3064" s="30" t="s">
        <v>1572</v>
      </c>
      <c r="G3064" s="72">
        <f>DATE(2020,2,2)</f>
        <v>43863</v>
      </c>
      <c r="H3064" s="80">
        <v>1.4479166666666667</v>
      </c>
      <c r="I3064" s="30" t="s">
        <v>73</v>
      </c>
      <c r="J3064" s="72" t="s">
        <v>17355</v>
      </c>
      <c r="K3064" s="30" t="s">
        <v>1574</v>
      </c>
      <c r="L3064" s="30" t="s">
        <v>7931</v>
      </c>
      <c r="M3064" s="30" t="s">
        <v>63</v>
      </c>
      <c r="N3064" s="30" t="s">
        <v>142</v>
      </c>
      <c r="O3064" s="30" t="s">
        <v>77</v>
      </c>
      <c r="P3064" s="72" t="s">
        <v>78</v>
      </c>
      <c r="Q3064" s="72" t="s">
        <v>15570</v>
      </c>
      <c r="R3064" s="72" t="s">
        <v>6434</v>
      </c>
      <c r="S3064" s="30">
        <v>0</v>
      </c>
      <c r="T3064" s="232">
        <v>0</v>
      </c>
      <c r="U3064" s="30">
        <v>0</v>
      </c>
      <c r="V3064" s="232">
        <v>0</v>
      </c>
      <c r="W3064" s="30">
        <v>0</v>
      </c>
      <c r="X3064" s="30">
        <v>0</v>
      </c>
      <c r="Y3064" s="30">
        <v>0</v>
      </c>
      <c r="Z3064" s="232">
        <v>0</v>
      </c>
      <c r="AA3064" s="30">
        <v>0</v>
      </c>
      <c r="AB3064" s="30">
        <v>0</v>
      </c>
      <c r="AC3064" s="30">
        <v>0</v>
      </c>
      <c r="AD3064" s="30">
        <v>0</v>
      </c>
      <c r="AE3064" s="72" t="s">
        <v>92</v>
      </c>
      <c r="AF3064" s="72"/>
      <c r="AG3064" s="72" t="s">
        <v>133</v>
      </c>
      <c r="AH3064" s="72">
        <v>43865</v>
      </c>
      <c r="AI3064" s="30">
        <v>2</v>
      </c>
      <c r="AJ3064" s="72" t="s">
        <v>68</v>
      </c>
      <c r="AK3064" s="72" t="s">
        <v>68</v>
      </c>
      <c r="AL3064" s="70">
        <v>43866</v>
      </c>
      <c r="AM3064" s="70"/>
      <c r="AN3064" s="70"/>
      <c r="AO3064" s="70"/>
      <c r="AP3064" s="73" t="e">
        <f>MID(VLOOKUP(K3064,#REF!,2,FALSE),1,2)</f>
        <v>#REF!</v>
      </c>
      <c r="AQ3064" s="72">
        <f>DATE(2020,2,4)</f>
        <v>43865</v>
      </c>
      <c r="AR3064" s="83">
        <f t="shared" si="260"/>
        <v>4</v>
      </c>
      <c r="AS3064" s="84">
        <f t="shared" si="261"/>
        <v>2</v>
      </c>
      <c r="AT3064" s="86">
        <f t="shared" si="262"/>
        <v>2020</v>
      </c>
      <c r="AU3064" s="86"/>
      <c r="AV3064" s="87"/>
      <c r="AW3064" s="86"/>
      <c r="AX3064" s="83"/>
      <c r="AY3064" s="84"/>
      <c r="AZ3064" s="86"/>
      <c r="BA3064" s="86"/>
      <c r="BB3064" s="86"/>
    </row>
    <row r="3065" spans="1:54" ht="36.75" customHeight="1">
      <c r="A3065" s="30"/>
      <c r="B3065" s="30" t="s">
        <v>55</v>
      </c>
      <c r="C3065" s="69" t="str">
        <f t="shared" si="259"/>
        <v>Closed</v>
      </c>
      <c r="D3065" s="27" t="s">
        <v>17356</v>
      </c>
      <c r="E3065" s="29" t="s">
        <v>17357</v>
      </c>
      <c r="F3065" s="30" t="s">
        <v>835</v>
      </c>
      <c r="G3065" s="72">
        <f>DATE(2020,2,3)</f>
        <v>43864</v>
      </c>
      <c r="H3065" s="80">
        <v>1.8986111111111112</v>
      </c>
      <c r="I3065" s="30" t="s">
        <v>198</v>
      </c>
      <c r="J3065" s="72" t="s">
        <v>17358</v>
      </c>
      <c r="K3065" s="30" t="s">
        <v>837</v>
      </c>
      <c r="L3065" s="30" t="s">
        <v>17359</v>
      </c>
      <c r="M3065" s="30" t="s">
        <v>63</v>
      </c>
      <c r="N3065" s="30" t="s">
        <v>89</v>
      </c>
      <c r="O3065" s="30" t="s">
        <v>77</v>
      </c>
      <c r="P3065" s="72" t="s">
        <v>12362</v>
      </c>
      <c r="Q3065" s="72" t="s">
        <v>17360</v>
      </c>
      <c r="R3065" s="72" t="s">
        <v>840</v>
      </c>
      <c r="S3065" s="30">
        <v>0</v>
      </c>
      <c r="T3065" s="232">
        <v>0</v>
      </c>
      <c r="U3065" s="30">
        <v>0</v>
      </c>
      <c r="V3065" s="232">
        <v>0</v>
      </c>
      <c r="W3065" s="30">
        <v>0</v>
      </c>
      <c r="X3065" s="30">
        <v>0</v>
      </c>
      <c r="Y3065" s="30">
        <v>0</v>
      </c>
      <c r="Z3065" s="232">
        <v>0</v>
      </c>
      <c r="AA3065" s="30">
        <v>0</v>
      </c>
      <c r="AB3065" s="30">
        <v>0</v>
      </c>
      <c r="AC3065" s="30">
        <v>0</v>
      </c>
      <c r="AD3065" s="30">
        <v>0</v>
      </c>
      <c r="AE3065" s="72" t="s">
        <v>92</v>
      </c>
      <c r="AF3065" s="72" t="s">
        <v>17361</v>
      </c>
      <c r="AG3065" s="72" t="s">
        <v>352</v>
      </c>
      <c r="AH3065" s="72">
        <v>43864</v>
      </c>
      <c r="AI3065" s="30">
        <v>0</v>
      </c>
      <c r="AJ3065" s="72" t="s">
        <v>17362</v>
      </c>
      <c r="AK3065" s="72" t="s">
        <v>17363</v>
      </c>
      <c r="AL3065" s="70">
        <v>43923</v>
      </c>
      <c r="AM3065" s="70"/>
      <c r="AN3065" s="70">
        <v>45012</v>
      </c>
      <c r="AO3065" s="70">
        <v>44432</v>
      </c>
      <c r="AP3065" s="73" t="e">
        <f>MID(VLOOKUP(K3065,#REF!,2,FALSE),1,2)</f>
        <v>#REF!</v>
      </c>
      <c r="AQ3065" s="72">
        <f>DATE(2020,2,4)</f>
        <v>43865</v>
      </c>
      <c r="AR3065" s="83">
        <f t="shared" si="260"/>
        <v>4</v>
      </c>
      <c r="AS3065" s="84">
        <f t="shared" si="261"/>
        <v>2</v>
      </c>
      <c r="AT3065" s="86">
        <f t="shared" si="262"/>
        <v>2020</v>
      </c>
      <c r="AU3065" s="86"/>
      <c r="AV3065" s="87"/>
      <c r="AW3065" s="86"/>
      <c r="AX3065" s="83"/>
      <c r="AY3065" s="84"/>
      <c r="AZ3065" s="86"/>
      <c r="BA3065" s="86"/>
      <c r="BB3065" s="86"/>
    </row>
    <row r="3066" spans="1:54" ht="36.75" customHeight="1">
      <c r="A3066" s="30"/>
      <c r="B3066" s="30" t="s">
        <v>55</v>
      </c>
      <c r="C3066" s="69" t="str">
        <f t="shared" si="259"/>
        <v>Closed</v>
      </c>
      <c r="D3066" s="27" t="s">
        <v>17364</v>
      </c>
      <c r="E3066" s="29" t="s">
        <v>17365</v>
      </c>
      <c r="F3066" s="30" t="s">
        <v>16429</v>
      </c>
      <c r="G3066" s="72">
        <f>DATE(2020,2,4)</f>
        <v>43865</v>
      </c>
      <c r="H3066" s="80">
        <v>1.9381944444444446</v>
      </c>
      <c r="I3066" s="30" t="s">
        <v>104</v>
      </c>
      <c r="J3066" s="72" t="s">
        <v>17366</v>
      </c>
      <c r="K3066" s="30" t="s">
        <v>425</v>
      </c>
      <c r="L3066" s="30" t="s">
        <v>17367</v>
      </c>
      <c r="M3066" s="30" t="s">
        <v>63</v>
      </c>
      <c r="N3066" s="30" t="s">
        <v>89</v>
      </c>
      <c r="O3066" s="30" t="s">
        <v>77</v>
      </c>
      <c r="P3066" s="72" t="s">
        <v>7362</v>
      </c>
      <c r="Q3066" s="72" t="s">
        <v>17368</v>
      </c>
      <c r="R3066" s="72" t="s">
        <v>17369</v>
      </c>
      <c r="S3066" s="30">
        <v>0</v>
      </c>
      <c r="T3066" s="232">
        <v>0</v>
      </c>
      <c r="U3066" s="30">
        <v>0</v>
      </c>
      <c r="V3066" s="232">
        <v>0</v>
      </c>
      <c r="W3066" s="30">
        <v>0</v>
      </c>
      <c r="X3066" s="30">
        <v>0</v>
      </c>
      <c r="Y3066" s="30">
        <v>0</v>
      </c>
      <c r="Z3066" s="232">
        <v>0</v>
      </c>
      <c r="AA3066" s="30">
        <v>0</v>
      </c>
      <c r="AB3066" s="30">
        <v>0</v>
      </c>
      <c r="AC3066" s="30">
        <v>0</v>
      </c>
      <c r="AD3066" s="30">
        <v>0</v>
      </c>
      <c r="AE3066" s="30">
        <v>0</v>
      </c>
      <c r="AF3066" s="72"/>
      <c r="AG3066" s="72" t="s">
        <v>17370</v>
      </c>
      <c r="AH3066" s="72">
        <v>43865</v>
      </c>
      <c r="AI3066" s="30">
        <v>0</v>
      </c>
      <c r="AJ3066" s="72" t="s">
        <v>17371</v>
      </c>
      <c r="AK3066" s="72" t="s">
        <v>17372</v>
      </c>
      <c r="AL3066" s="70">
        <v>43872</v>
      </c>
      <c r="AM3066" s="70"/>
      <c r="AN3066" s="72">
        <v>44599</v>
      </c>
      <c r="AO3066" s="70">
        <v>44596</v>
      </c>
      <c r="AP3066" s="73" t="e">
        <f>MID(VLOOKUP(K3066,#REF!,2,FALSE),1,2)</f>
        <v>#REF!</v>
      </c>
      <c r="AQ3066" s="72">
        <f>DATE(2020,2,6)</f>
        <v>43867</v>
      </c>
      <c r="AR3066" s="83">
        <f t="shared" si="260"/>
        <v>6</v>
      </c>
      <c r="AS3066" s="84">
        <f t="shared" si="261"/>
        <v>2</v>
      </c>
      <c r="AT3066" s="86">
        <f t="shared" si="262"/>
        <v>2020</v>
      </c>
      <c r="AU3066" s="86"/>
      <c r="AV3066" s="87"/>
      <c r="AW3066" s="86"/>
      <c r="AX3066" s="83"/>
      <c r="AY3066" s="84"/>
      <c r="AZ3066" s="86"/>
      <c r="BA3066" s="86"/>
      <c r="BB3066" s="86"/>
    </row>
    <row r="3067" spans="1:54" ht="36.75" customHeight="1">
      <c r="A3067" s="30"/>
      <c r="B3067" s="30" t="s">
        <v>55</v>
      </c>
      <c r="C3067" s="69" t="str">
        <f t="shared" si="259"/>
        <v>Closed</v>
      </c>
      <c r="D3067" s="27" t="s">
        <v>17373</v>
      </c>
      <c r="E3067" s="29" t="s">
        <v>17374</v>
      </c>
      <c r="F3067" s="30" t="s">
        <v>6455</v>
      </c>
      <c r="G3067" s="72">
        <f>DATE(2020,2,4)</f>
        <v>43865</v>
      </c>
      <c r="H3067" s="80">
        <v>1.4875</v>
      </c>
      <c r="I3067" s="30" t="s">
        <v>73</v>
      </c>
      <c r="J3067" s="72" t="s">
        <v>17375</v>
      </c>
      <c r="K3067" s="30" t="s">
        <v>584</v>
      </c>
      <c r="L3067" s="30" t="s">
        <v>17376</v>
      </c>
      <c r="M3067" s="30" t="s">
        <v>63</v>
      </c>
      <c r="N3067" s="30" t="s">
        <v>142</v>
      </c>
      <c r="O3067" s="30" t="s">
        <v>77</v>
      </c>
      <c r="P3067" s="72" t="s">
        <v>78</v>
      </c>
      <c r="Q3067" s="72" t="s">
        <v>17377</v>
      </c>
      <c r="R3067" s="72" t="s">
        <v>17378</v>
      </c>
      <c r="S3067" s="30">
        <v>0</v>
      </c>
      <c r="T3067" s="232">
        <v>0</v>
      </c>
      <c r="U3067" s="30">
        <v>0</v>
      </c>
      <c r="V3067" s="232">
        <v>0</v>
      </c>
      <c r="W3067" s="30">
        <v>0</v>
      </c>
      <c r="X3067" s="30">
        <v>0</v>
      </c>
      <c r="Y3067" s="30">
        <v>0</v>
      </c>
      <c r="Z3067" s="232">
        <v>0</v>
      </c>
      <c r="AA3067" s="30">
        <v>0</v>
      </c>
      <c r="AB3067" s="30">
        <v>0</v>
      </c>
      <c r="AC3067" s="30">
        <v>0</v>
      </c>
      <c r="AD3067" s="30">
        <v>0</v>
      </c>
      <c r="AE3067" s="72" t="s">
        <v>394</v>
      </c>
      <c r="AF3067" s="72" t="s">
        <v>17379</v>
      </c>
      <c r="AG3067" s="72" t="s">
        <v>6459</v>
      </c>
      <c r="AH3067" s="72">
        <v>43866</v>
      </c>
      <c r="AI3067" s="30">
        <v>0</v>
      </c>
      <c r="AJ3067" s="72" t="s">
        <v>17380</v>
      </c>
      <c r="AK3067" s="72" t="s">
        <v>68</v>
      </c>
      <c r="AL3067" s="70">
        <v>43894</v>
      </c>
      <c r="AM3067" s="70">
        <v>44958</v>
      </c>
      <c r="AN3067" s="70">
        <v>45041</v>
      </c>
      <c r="AO3067" s="70">
        <v>45027</v>
      </c>
      <c r="AP3067" s="73" t="e">
        <f>MID(VLOOKUP(K3067,#REF!,2,FALSE),1,2)</f>
        <v>#REF!</v>
      </c>
      <c r="AQ3067" s="72">
        <f>DATE(2020,2,6)</f>
        <v>43867</v>
      </c>
      <c r="AR3067" s="83">
        <f t="shared" si="260"/>
        <v>6</v>
      </c>
      <c r="AS3067" s="84">
        <f t="shared" si="261"/>
        <v>2</v>
      </c>
      <c r="AT3067" s="86">
        <f t="shared" si="262"/>
        <v>2020</v>
      </c>
      <c r="AU3067" s="86"/>
      <c r="AV3067" s="87"/>
      <c r="AW3067" s="86"/>
      <c r="AX3067" s="83"/>
      <c r="AY3067" s="84"/>
      <c r="AZ3067" s="86"/>
      <c r="BA3067" s="86"/>
      <c r="BB3067" s="86"/>
    </row>
    <row r="3068" spans="1:54" ht="36.75" customHeight="1">
      <c r="A3068" s="30"/>
      <c r="B3068" s="30" t="s">
        <v>55</v>
      </c>
      <c r="C3068" s="69" t="str">
        <f t="shared" si="259"/>
        <v>Closed</v>
      </c>
      <c r="D3068" s="27" t="s">
        <v>17381</v>
      </c>
      <c r="E3068" s="29" t="s">
        <v>17382</v>
      </c>
      <c r="F3068" s="30" t="s">
        <v>835</v>
      </c>
      <c r="G3068" s="72">
        <f>DATE(2020,2,4)</f>
        <v>43865</v>
      </c>
      <c r="H3068" s="80">
        <v>1.3958333333333333</v>
      </c>
      <c r="I3068" s="30" t="s">
        <v>73</v>
      </c>
      <c r="J3068" s="72" t="s">
        <v>17383</v>
      </c>
      <c r="K3068" s="30" t="s">
        <v>837</v>
      </c>
      <c r="L3068" s="30" t="s">
        <v>17384</v>
      </c>
      <c r="M3068" s="30" t="s">
        <v>63</v>
      </c>
      <c r="N3068" s="30" t="s">
        <v>142</v>
      </c>
      <c r="O3068" s="30" t="s">
        <v>77</v>
      </c>
      <c r="P3068" s="72" t="s">
        <v>6941</v>
      </c>
      <c r="Q3068" s="72" t="s">
        <v>2162</v>
      </c>
      <c r="R3068" s="72" t="s">
        <v>840</v>
      </c>
      <c r="S3068" s="30">
        <v>0</v>
      </c>
      <c r="T3068" s="232">
        <v>0</v>
      </c>
      <c r="U3068" s="30">
        <v>0</v>
      </c>
      <c r="V3068" s="232">
        <v>0</v>
      </c>
      <c r="W3068" s="30">
        <v>0</v>
      </c>
      <c r="X3068" s="30">
        <v>0</v>
      </c>
      <c r="Y3068" s="30">
        <v>0</v>
      </c>
      <c r="Z3068" s="232">
        <v>0</v>
      </c>
      <c r="AA3068" s="30">
        <v>0</v>
      </c>
      <c r="AB3068" s="30">
        <v>0</v>
      </c>
      <c r="AC3068" s="30">
        <v>0</v>
      </c>
      <c r="AD3068" s="30">
        <v>0</v>
      </c>
      <c r="AE3068" s="72" t="s">
        <v>92</v>
      </c>
      <c r="AF3068" s="72" t="s">
        <v>17385</v>
      </c>
      <c r="AG3068" s="72" t="s">
        <v>2083</v>
      </c>
      <c r="AH3068" s="72">
        <v>43865</v>
      </c>
      <c r="AI3068" s="30">
        <v>0</v>
      </c>
      <c r="AJ3068" s="72" t="s">
        <v>17386</v>
      </c>
      <c r="AK3068" s="72" t="s">
        <v>17387</v>
      </c>
      <c r="AL3068" s="70">
        <v>43871</v>
      </c>
      <c r="AM3068" s="70"/>
      <c r="AN3068" s="70">
        <v>45012</v>
      </c>
      <c r="AO3068" s="70">
        <v>44348</v>
      </c>
      <c r="AP3068" s="73" t="e">
        <f>MID(VLOOKUP(K3068,#REF!,2,FALSE),1,2)</f>
        <v>#REF!</v>
      </c>
      <c r="AQ3068" s="72">
        <f>DATE(2020,2,8)</f>
        <v>43869</v>
      </c>
      <c r="AR3068" s="83">
        <f t="shared" si="260"/>
        <v>8</v>
      </c>
      <c r="AS3068" s="84">
        <f t="shared" si="261"/>
        <v>2</v>
      </c>
      <c r="AT3068" s="86">
        <f t="shared" si="262"/>
        <v>2020</v>
      </c>
      <c r="AU3068" s="86"/>
      <c r="AV3068" s="87"/>
      <c r="AW3068" s="86"/>
      <c r="AX3068" s="83"/>
      <c r="AY3068" s="84"/>
      <c r="AZ3068" s="86"/>
      <c r="BA3068" s="86"/>
      <c r="BB3068" s="86"/>
    </row>
    <row r="3069" spans="1:54" ht="36.75" customHeight="1">
      <c r="A3069" s="30"/>
      <c r="B3069" s="30" t="s">
        <v>55</v>
      </c>
      <c r="C3069" s="69" t="str">
        <f t="shared" si="259"/>
        <v>Closed</v>
      </c>
      <c r="D3069" s="27" t="s">
        <v>17388</v>
      </c>
      <c r="E3069" s="29" t="s">
        <v>17389</v>
      </c>
      <c r="F3069" s="30" t="s">
        <v>14753</v>
      </c>
      <c r="G3069" s="72">
        <f>DATE(2020,2,6)</f>
        <v>43867</v>
      </c>
      <c r="H3069" s="80">
        <v>1.5166666666666666</v>
      </c>
      <c r="I3069" s="30" t="s">
        <v>73</v>
      </c>
      <c r="J3069" s="72" t="s">
        <v>17390</v>
      </c>
      <c r="K3069" s="30" t="s">
        <v>1772</v>
      </c>
      <c r="L3069" s="30" t="s">
        <v>17391</v>
      </c>
      <c r="M3069" s="30" t="s">
        <v>63</v>
      </c>
      <c r="N3069" s="30" t="s">
        <v>142</v>
      </c>
      <c r="O3069" s="30" t="s">
        <v>64</v>
      </c>
      <c r="P3069" s="72" t="s">
        <v>78</v>
      </c>
      <c r="Q3069" s="72" t="s">
        <v>14755</v>
      </c>
      <c r="R3069" s="72" t="s">
        <v>1775</v>
      </c>
      <c r="S3069" s="30">
        <v>0</v>
      </c>
      <c r="T3069" s="232">
        <v>0</v>
      </c>
      <c r="U3069" s="30">
        <v>0</v>
      </c>
      <c r="V3069" s="232">
        <v>0</v>
      </c>
      <c r="W3069" s="30">
        <v>0</v>
      </c>
      <c r="X3069" s="30">
        <v>0</v>
      </c>
      <c r="Y3069" s="30">
        <v>0</v>
      </c>
      <c r="Z3069" s="232">
        <v>0</v>
      </c>
      <c r="AA3069" s="30">
        <v>0</v>
      </c>
      <c r="AB3069" s="30">
        <v>0</v>
      </c>
      <c r="AC3069" s="30">
        <v>0</v>
      </c>
      <c r="AD3069" s="30">
        <v>0</v>
      </c>
      <c r="AE3069" s="72" t="s">
        <v>145</v>
      </c>
      <c r="AF3069" s="72" t="s">
        <v>17392</v>
      </c>
      <c r="AG3069" s="72" t="s">
        <v>6459</v>
      </c>
      <c r="AH3069" s="72">
        <v>43872</v>
      </c>
      <c r="AI3069" s="30">
        <v>2</v>
      </c>
      <c r="AJ3069" s="72" t="s">
        <v>17393</v>
      </c>
      <c r="AK3069" s="72" t="s">
        <v>17394</v>
      </c>
      <c r="AL3069" s="70">
        <v>43881</v>
      </c>
      <c r="AM3069" s="70"/>
      <c r="AN3069" s="70">
        <v>44540</v>
      </c>
      <c r="AO3069" s="70">
        <v>44533</v>
      </c>
      <c r="AP3069" s="73" t="e">
        <f>MID(VLOOKUP(K3069,#REF!,2,FALSE),1,2)</f>
        <v>#REF!</v>
      </c>
      <c r="AQ3069" s="72">
        <f>DATE(2020,2,11)</f>
        <v>43872</v>
      </c>
      <c r="AR3069" s="83">
        <f t="shared" si="260"/>
        <v>11</v>
      </c>
      <c r="AS3069" s="84">
        <f t="shared" si="261"/>
        <v>2</v>
      </c>
      <c r="AT3069" s="86">
        <f t="shared" si="262"/>
        <v>2020</v>
      </c>
      <c r="AU3069" s="86"/>
      <c r="AV3069" s="87"/>
      <c r="AW3069" s="86"/>
      <c r="AX3069" s="83"/>
      <c r="AY3069" s="84"/>
      <c r="AZ3069" s="86"/>
      <c r="BA3069" s="86"/>
      <c r="BB3069" s="86"/>
    </row>
    <row r="3070" spans="1:54" ht="36.75" customHeight="1">
      <c r="A3070" s="30"/>
      <c r="B3070" s="30" t="s">
        <v>55</v>
      </c>
      <c r="C3070" s="69" t="str">
        <f t="shared" si="259"/>
        <v>Closed</v>
      </c>
      <c r="D3070" s="27" t="s">
        <v>17395</v>
      </c>
      <c r="E3070" s="29" t="s">
        <v>17396</v>
      </c>
      <c r="F3070" s="30" t="s">
        <v>377</v>
      </c>
      <c r="G3070" s="72">
        <f>DATE(2020,2,6)</f>
        <v>43867</v>
      </c>
      <c r="H3070" s="80">
        <v>1.2291666666666667</v>
      </c>
      <c r="I3070" s="30" t="s">
        <v>73</v>
      </c>
      <c r="J3070" s="72" t="s">
        <v>17397</v>
      </c>
      <c r="K3070" s="30" t="s">
        <v>379</v>
      </c>
      <c r="L3070" s="30" t="s">
        <v>17398</v>
      </c>
      <c r="M3070" s="30" t="s">
        <v>63</v>
      </c>
      <c r="N3070" s="30" t="s">
        <v>142</v>
      </c>
      <c r="O3070" s="30" t="s">
        <v>64</v>
      </c>
      <c r="P3070" s="72" t="s">
        <v>462</v>
      </c>
      <c r="Q3070" s="72" t="s">
        <v>17399</v>
      </c>
      <c r="R3070" s="72" t="s">
        <v>17400</v>
      </c>
      <c r="S3070" s="30">
        <v>0</v>
      </c>
      <c r="T3070" s="232">
        <v>2</v>
      </c>
      <c r="U3070" s="30">
        <v>0</v>
      </c>
      <c r="V3070" s="232">
        <v>0</v>
      </c>
      <c r="W3070" s="30">
        <v>0</v>
      </c>
      <c r="X3070" s="30">
        <v>2</v>
      </c>
      <c r="Y3070" s="30">
        <v>0</v>
      </c>
      <c r="Z3070" s="232">
        <v>1</v>
      </c>
      <c r="AA3070" s="30">
        <v>0</v>
      </c>
      <c r="AB3070" s="30">
        <v>0</v>
      </c>
      <c r="AC3070" s="30">
        <v>0</v>
      </c>
      <c r="AD3070" s="30">
        <v>1</v>
      </c>
      <c r="AE3070" s="72" t="s">
        <v>145</v>
      </c>
      <c r="AF3070" s="72" t="s">
        <v>17401</v>
      </c>
      <c r="AG3070" s="72" t="s">
        <v>6459</v>
      </c>
      <c r="AH3070" s="72">
        <v>43867</v>
      </c>
      <c r="AI3070" s="30">
        <v>5</v>
      </c>
      <c r="AJ3070" s="72" t="s">
        <v>17402</v>
      </c>
      <c r="AK3070" s="72" t="s">
        <v>17403</v>
      </c>
      <c r="AL3070" s="70">
        <v>43871</v>
      </c>
      <c r="AM3070" s="70"/>
      <c r="AN3070" s="70">
        <v>44610</v>
      </c>
      <c r="AO3070" s="70">
        <v>44589</v>
      </c>
      <c r="AP3070" s="73" t="e">
        <f>MID(VLOOKUP(K3070,#REF!,2,FALSE),1,2)</f>
        <v>#REF!</v>
      </c>
      <c r="AQ3070" s="72">
        <f>DATE(2020,2,12)</f>
        <v>43873</v>
      </c>
      <c r="AR3070" s="83">
        <f t="shared" ref="AR3070:AR3091" si="263">DAY(AQ3070)</f>
        <v>12</v>
      </c>
      <c r="AS3070" s="84">
        <f t="shared" ref="AS3070:AS3091" si="264">MONTH(AQ3070)</f>
        <v>2</v>
      </c>
      <c r="AT3070" s="86">
        <f t="shared" ref="AT3070:AT3091" si="265">YEAR(AQ3070)</f>
        <v>2020</v>
      </c>
      <c r="AU3070" s="86"/>
      <c r="AV3070" s="87"/>
      <c r="AW3070" s="86"/>
      <c r="AX3070" s="83"/>
      <c r="AY3070" s="84"/>
      <c r="AZ3070" s="86"/>
      <c r="BA3070" s="86"/>
      <c r="BB3070" s="86"/>
    </row>
    <row r="3071" spans="1:54" ht="36.75" customHeight="1">
      <c r="A3071" s="98" t="s">
        <v>4910</v>
      </c>
      <c r="B3071" s="30" t="s">
        <v>55</v>
      </c>
      <c r="C3071" s="69" t="str">
        <f t="shared" si="259"/>
        <v>Closed</v>
      </c>
      <c r="D3071" s="27" t="s">
        <v>17404</v>
      </c>
      <c r="E3071" s="29" t="s">
        <v>17405</v>
      </c>
      <c r="F3071" s="30" t="s">
        <v>1572</v>
      </c>
      <c r="G3071" s="72">
        <f>DATE(2020,2,8)</f>
        <v>43869</v>
      </c>
      <c r="H3071" s="80">
        <v>1.3631944444444444</v>
      </c>
      <c r="I3071" s="30" t="s">
        <v>73</v>
      </c>
      <c r="J3071" s="72" t="s">
        <v>17406</v>
      </c>
      <c r="K3071" s="30" t="s">
        <v>1574</v>
      </c>
      <c r="L3071" s="30" t="s">
        <v>17407</v>
      </c>
      <c r="M3071" s="30" t="s">
        <v>63</v>
      </c>
      <c r="N3071" s="30" t="s">
        <v>99</v>
      </c>
      <c r="O3071" s="30" t="s">
        <v>64</v>
      </c>
      <c r="P3071" s="72" t="s">
        <v>6941</v>
      </c>
      <c r="Q3071" s="72" t="s">
        <v>2413</v>
      </c>
      <c r="R3071" s="72" t="s">
        <v>6434</v>
      </c>
      <c r="S3071" s="30">
        <v>0</v>
      </c>
      <c r="T3071" s="232">
        <v>0</v>
      </c>
      <c r="U3071" s="30">
        <v>0</v>
      </c>
      <c r="V3071" s="232">
        <v>0</v>
      </c>
      <c r="W3071" s="30">
        <v>0</v>
      </c>
      <c r="X3071" s="30">
        <v>0</v>
      </c>
      <c r="Y3071" s="30">
        <v>0</v>
      </c>
      <c r="Z3071" s="232">
        <v>0</v>
      </c>
      <c r="AA3071" s="30">
        <v>0</v>
      </c>
      <c r="AB3071" s="30">
        <v>0</v>
      </c>
      <c r="AC3071" s="30">
        <v>0</v>
      </c>
      <c r="AD3071" s="30">
        <v>0</v>
      </c>
      <c r="AE3071" s="72" t="s">
        <v>92</v>
      </c>
      <c r="AF3071" s="72"/>
      <c r="AG3071" s="72" t="s">
        <v>133</v>
      </c>
      <c r="AH3071" s="72">
        <v>43871</v>
      </c>
      <c r="AI3071" s="30">
        <v>3</v>
      </c>
      <c r="AJ3071" s="72" t="s">
        <v>68</v>
      </c>
      <c r="AK3071" s="72" t="s">
        <v>68</v>
      </c>
      <c r="AL3071" s="70">
        <v>43872</v>
      </c>
      <c r="AM3071" s="70"/>
      <c r="AN3071" s="70"/>
      <c r="AO3071" s="70"/>
      <c r="AP3071" s="73" t="e">
        <f>MID(VLOOKUP(K3071,#REF!,2,FALSE),1,2)</f>
        <v>#REF!</v>
      </c>
      <c r="AQ3071" s="72">
        <f>DATE(2020,2,16)</f>
        <v>43877</v>
      </c>
      <c r="AR3071" s="83">
        <f t="shared" si="263"/>
        <v>16</v>
      </c>
      <c r="AS3071" s="84">
        <f t="shared" si="264"/>
        <v>2</v>
      </c>
      <c r="AT3071" s="86">
        <f t="shared" si="265"/>
        <v>2020</v>
      </c>
      <c r="AU3071" s="86"/>
      <c r="AV3071" s="87"/>
      <c r="AW3071" s="86"/>
      <c r="AX3071" s="83"/>
      <c r="AY3071" s="84"/>
      <c r="AZ3071" s="86"/>
      <c r="BA3071" s="86"/>
      <c r="BB3071" s="86"/>
    </row>
    <row r="3072" spans="1:54" ht="36.75" customHeight="1">
      <c r="A3072" s="30"/>
      <c r="B3072" s="30" t="s">
        <v>55</v>
      </c>
      <c r="C3072" s="69" t="str">
        <f t="shared" si="259"/>
        <v>Closed</v>
      </c>
      <c r="D3072" s="27" t="s">
        <v>17408</v>
      </c>
      <c r="E3072" s="29" t="s">
        <v>17409</v>
      </c>
      <c r="F3072" s="30" t="s">
        <v>835</v>
      </c>
      <c r="G3072" s="72">
        <f>DATE(2020,2,11)</f>
        <v>43872</v>
      </c>
      <c r="H3072" s="80">
        <v>1.7743055555555554</v>
      </c>
      <c r="I3072" s="30" t="s">
        <v>116</v>
      </c>
      <c r="J3072" s="72" t="s">
        <v>17410</v>
      </c>
      <c r="K3072" s="30" t="s">
        <v>837</v>
      </c>
      <c r="L3072" s="30" t="s">
        <v>17411</v>
      </c>
      <c r="M3072" s="30" t="s">
        <v>63</v>
      </c>
      <c r="N3072" s="30" t="s">
        <v>142</v>
      </c>
      <c r="O3072" s="30" t="s">
        <v>64</v>
      </c>
      <c r="P3072" s="72" t="s">
        <v>78</v>
      </c>
      <c r="Q3072" s="72" t="s">
        <v>1397</v>
      </c>
      <c r="R3072" s="72" t="s">
        <v>840</v>
      </c>
      <c r="S3072" s="30">
        <v>0</v>
      </c>
      <c r="T3072" s="232">
        <v>0</v>
      </c>
      <c r="U3072" s="30">
        <v>0</v>
      </c>
      <c r="V3072" s="232">
        <v>0</v>
      </c>
      <c r="W3072" s="30">
        <v>0</v>
      </c>
      <c r="X3072" s="30">
        <v>0</v>
      </c>
      <c r="Y3072" s="30">
        <v>0</v>
      </c>
      <c r="Z3072" s="232">
        <v>0</v>
      </c>
      <c r="AA3072" s="30">
        <v>0</v>
      </c>
      <c r="AB3072" s="30">
        <v>0</v>
      </c>
      <c r="AC3072" s="30">
        <v>0</v>
      </c>
      <c r="AD3072" s="30">
        <v>0</v>
      </c>
      <c r="AE3072" s="72" t="s">
        <v>92</v>
      </c>
      <c r="AF3072" s="72"/>
      <c r="AG3072" s="72" t="s">
        <v>352</v>
      </c>
      <c r="AH3072" s="72">
        <v>44025</v>
      </c>
      <c r="AI3072" s="30">
        <v>1</v>
      </c>
      <c r="AJ3072" s="72" t="s">
        <v>17412</v>
      </c>
      <c r="AK3072" s="72" t="s">
        <v>17413</v>
      </c>
      <c r="AL3072" s="70">
        <v>44108</v>
      </c>
      <c r="AM3072" s="70"/>
      <c r="AN3072" s="70">
        <v>45012</v>
      </c>
      <c r="AO3072" s="70">
        <v>44180</v>
      </c>
      <c r="AP3072" s="73" t="e">
        <f>MID(VLOOKUP(K3072,#REF!,2,FALSE),1,2)</f>
        <v>#REF!</v>
      </c>
      <c r="AQ3072" s="72">
        <f>DATE(2020,2,16)</f>
        <v>43877</v>
      </c>
      <c r="AR3072" s="83">
        <f t="shared" si="263"/>
        <v>16</v>
      </c>
      <c r="AS3072" s="84">
        <f t="shared" si="264"/>
        <v>2</v>
      </c>
      <c r="AT3072" s="86">
        <f t="shared" si="265"/>
        <v>2020</v>
      </c>
      <c r="AU3072" s="86"/>
      <c r="AV3072" s="87"/>
      <c r="AW3072" s="86"/>
      <c r="AX3072" s="83"/>
      <c r="AY3072" s="84"/>
      <c r="AZ3072" s="86"/>
      <c r="BA3072" s="86"/>
      <c r="BB3072" s="86"/>
    </row>
    <row r="3073" spans="1:54" ht="36.75" customHeight="1">
      <c r="A3073" s="98" t="s">
        <v>4910</v>
      </c>
      <c r="B3073" s="30" t="s">
        <v>55</v>
      </c>
      <c r="C3073" s="69" t="str">
        <f t="shared" si="259"/>
        <v>Closed</v>
      </c>
      <c r="D3073" s="27" t="s">
        <v>17414</v>
      </c>
      <c r="E3073" s="29" t="s">
        <v>17415</v>
      </c>
      <c r="F3073" s="30" t="s">
        <v>1572</v>
      </c>
      <c r="G3073" s="72">
        <f>DATE(2020,2,12)</f>
        <v>43873</v>
      </c>
      <c r="H3073" s="80">
        <v>1.5381944444444444</v>
      </c>
      <c r="I3073" s="30" t="s">
        <v>73</v>
      </c>
      <c r="J3073" s="72" t="s">
        <v>17416</v>
      </c>
      <c r="K3073" s="30" t="s">
        <v>1574</v>
      </c>
      <c r="L3073" s="30" t="s">
        <v>15661</v>
      </c>
      <c r="M3073" s="30" t="s">
        <v>63</v>
      </c>
      <c r="N3073" s="30" t="s">
        <v>142</v>
      </c>
      <c r="O3073" s="30" t="s">
        <v>77</v>
      </c>
      <c r="P3073" s="72" t="s">
        <v>78</v>
      </c>
      <c r="Q3073" s="72" t="s">
        <v>16244</v>
      </c>
      <c r="R3073" s="72" t="s">
        <v>6434</v>
      </c>
      <c r="S3073" s="30">
        <v>0</v>
      </c>
      <c r="T3073" s="232">
        <v>0</v>
      </c>
      <c r="U3073" s="30">
        <v>0</v>
      </c>
      <c r="V3073" s="232">
        <v>0</v>
      </c>
      <c r="W3073" s="30">
        <v>0</v>
      </c>
      <c r="X3073" s="30">
        <v>0</v>
      </c>
      <c r="Y3073" s="30">
        <v>0</v>
      </c>
      <c r="Z3073" s="232">
        <v>0</v>
      </c>
      <c r="AA3073" s="30">
        <v>0</v>
      </c>
      <c r="AB3073" s="30">
        <v>0</v>
      </c>
      <c r="AC3073" s="30">
        <v>0</v>
      </c>
      <c r="AD3073" s="30">
        <v>0</v>
      </c>
      <c r="AE3073" s="72" t="s">
        <v>394</v>
      </c>
      <c r="AF3073" s="72"/>
      <c r="AG3073" s="72" t="s">
        <v>133</v>
      </c>
      <c r="AH3073" s="72">
        <v>43874</v>
      </c>
      <c r="AI3073" s="30">
        <v>0</v>
      </c>
      <c r="AJ3073" s="72" t="s">
        <v>68</v>
      </c>
      <c r="AK3073" s="72" t="s">
        <v>68</v>
      </c>
      <c r="AL3073" s="70">
        <v>43875</v>
      </c>
      <c r="AM3073" s="70"/>
      <c r="AN3073" s="70"/>
      <c r="AO3073" s="70"/>
      <c r="AP3073" s="73" t="e">
        <f>MID(VLOOKUP(K3073,#REF!,2,FALSE),1,2)</f>
        <v>#REF!</v>
      </c>
      <c r="AQ3073" s="72">
        <f>DATE(2020,2,17)</f>
        <v>43878</v>
      </c>
      <c r="AR3073" s="83">
        <f t="shared" si="263"/>
        <v>17</v>
      </c>
      <c r="AS3073" s="84">
        <f t="shared" si="264"/>
        <v>2</v>
      </c>
      <c r="AT3073" s="86">
        <f t="shared" si="265"/>
        <v>2020</v>
      </c>
      <c r="AU3073" s="86"/>
      <c r="AV3073" s="87"/>
      <c r="AW3073" s="86"/>
      <c r="AX3073" s="83"/>
      <c r="AY3073" s="84"/>
      <c r="AZ3073" s="86"/>
      <c r="BA3073" s="86"/>
      <c r="BB3073" s="86"/>
    </row>
    <row r="3074" spans="1:54" ht="36.75" customHeight="1">
      <c r="A3074" s="30"/>
      <c r="B3074" s="30" t="s">
        <v>55</v>
      </c>
      <c r="C3074" s="69" t="str">
        <f t="shared" ref="C3074:C3137" si="266">IF(B3074="Notification","Open",IF(B3074="Interim Statement","In progress","Closed"))</f>
        <v>Closed</v>
      </c>
      <c r="D3074" s="27" t="s">
        <v>17417</v>
      </c>
      <c r="E3074" s="29" t="s">
        <v>17418</v>
      </c>
      <c r="F3074" s="30" t="s">
        <v>6455</v>
      </c>
      <c r="G3074" s="72">
        <f>DATE(2020,2,16)</f>
        <v>43877</v>
      </c>
      <c r="H3074" s="102">
        <v>1.9180555555555556</v>
      </c>
      <c r="I3074" s="30" t="s">
        <v>198</v>
      </c>
      <c r="J3074" s="72" t="s">
        <v>17419</v>
      </c>
      <c r="K3074" s="30" t="s">
        <v>584</v>
      </c>
      <c r="L3074" s="30" t="s">
        <v>17420</v>
      </c>
      <c r="M3074" s="30" t="s">
        <v>63</v>
      </c>
      <c r="N3074" s="30" t="s">
        <v>142</v>
      </c>
      <c r="O3074" s="30" t="s">
        <v>77</v>
      </c>
      <c r="P3074" s="72" t="s">
        <v>78</v>
      </c>
      <c r="Q3074" s="72" t="s">
        <v>17421</v>
      </c>
      <c r="R3074" s="72" t="s">
        <v>587</v>
      </c>
      <c r="S3074" s="30">
        <v>0</v>
      </c>
      <c r="T3074" s="232">
        <v>0</v>
      </c>
      <c r="U3074" s="30">
        <v>0</v>
      </c>
      <c r="V3074" s="232">
        <v>0</v>
      </c>
      <c r="W3074" s="30">
        <v>0</v>
      </c>
      <c r="X3074" s="30">
        <v>0</v>
      </c>
      <c r="Y3074" s="30">
        <v>0</v>
      </c>
      <c r="Z3074" s="232">
        <v>0</v>
      </c>
      <c r="AA3074" s="30">
        <v>0</v>
      </c>
      <c r="AB3074" s="30">
        <v>0</v>
      </c>
      <c r="AC3074" s="30">
        <v>0</v>
      </c>
      <c r="AD3074" s="30">
        <v>0</v>
      </c>
      <c r="AE3074" s="72" t="s">
        <v>394</v>
      </c>
      <c r="AF3074" s="72" t="s">
        <v>17422</v>
      </c>
      <c r="AG3074" s="88" t="s">
        <v>8859</v>
      </c>
      <c r="AH3074" s="72">
        <v>43878</v>
      </c>
      <c r="AI3074" s="30">
        <v>1</v>
      </c>
      <c r="AJ3074" s="72" t="s">
        <v>17423</v>
      </c>
      <c r="AK3074" s="72" t="s">
        <v>17424</v>
      </c>
      <c r="AL3074" s="70">
        <v>43888</v>
      </c>
      <c r="AM3074" s="70">
        <v>45344</v>
      </c>
      <c r="AN3074" s="70">
        <v>45678</v>
      </c>
      <c r="AO3074" s="70">
        <v>45664</v>
      </c>
      <c r="AP3074" s="73" t="e">
        <f>MID(VLOOKUP(K3074,#REF!,2,FALSE),1,2)</f>
        <v>#REF!</v>
      </c>
      <c r="AQ3074" s="72">
        <f>DATE(2020,2,17)</f>
        <v>43878</v>
      </c>
      <c r="AR3074" s="83">
        <f t="shared" si="263"/>
        <v>17</v>
      </c>
      <c r="AS3074" s="84">
        <f t="shared" si="264"/>
        <v>2</v>
      </c>
      <c r="AT3074" s="86">
        <f t="shared" si="265"/>
        <v>2020</v>
      </c>
      <c r="AU3074" s="86"/>
      <c r="AV3074" s="87"/>
      <c r="AW3074" s="86"/>
      <c r="AX3074" s="83"/>
      <c r="AY3074" s="84"/>
      <c r="AZ3074" s="86"/>
      <c r="BA3074" s="86"/>
      <c r="BB3074" s="86"/>
    </row>
    <row r="3075" spans="1:54" ht="36.75" customHeight="1">
      <c r="A3075" s="30"/>
      <c r="B3075" s="30" t="s">
        <v>55</v>
      </c>
      <c r="C3075" s="69" t="str">
        <f t="shared" si="266"/>
        <v>Closed</v>
      </c>
      <c r="D3075" s="27" t="s">
        <v>17425</v>
      </c>
      <c r="E3075" s="29" t="s">
        <v>17426</v>
      </c>
      <c r="F3075" s="30" t="s">
        <v>835</v>
      </c>
      <c r="G3075" s="72">
        <f>DATE(2020,2,16)</f>
        <v>43877</v>
      </c>
      <c r="H3075" s="80">
        <v>1.3791666666666667</v>
      </c>
      <c r="I3075" s="30" t="s">
        <v>116</v>
      </c>
      <c r="J3075" s="72" t="s">
        <v>17427</v>
      </c>
      <c r="K3075" s="30" t="s">
        <v>837</v>
      </c>
      <c r="L3075" s="30" t="s">
        <v>17428</v>
      </c>
      <c r="M3075" s="30" t="s">
        <v>63</v>
      </c>
      <c r="N3075" s="30" t="s">
        <v>99</v>
      </c>
      <c r="O3075" s="30" t="s">
        <v>77</v>
      </c>
      <c r="P3075" s="72" t="s">
        <v>65</v>
      </c>
      <c r="Q3075" s="72" t="s">
        <v>2162</v>
      </c>
      <c r="R3075" s="72" t="s">
        <v>840</v>
      </c>
      <c r="S3075" s="30">
        <v>0</v>
      </c>
      <c r="T3075" s="232">
        <v>0</v>
      </c>
      <c r="U3075" s="30">
        <v>2</v>
      </c>
      <c r="V3075" s="232">
        <v>0</v>
      </c>
      <c r="W3075" s="30">
        <v>0</v>
      </c>
      <c r="X3075" s="30">
        <v>2</v>
      </c>
      <c r="Y3075" s="30">
        <v>0</v>
      </c>
      <c r="Z3075" s="232">
        <v>0</v>
      </c>
      <c r="AA3075" s="30">
        <v>1</v>
      </c>
      <c r="AB3075" s="30">
        <v>0</v>
      </c>
      <c r="AC3075" s="30">
        <v>0</v>
      </c>
      <c r="AD3075" s="30">
        <v>1</v>
      </c>
      <c r="AE3075" s="72" t="s">
        <v>92</v>
      </c>
      <c r="AF3075" s="72"/>
      <c r="AG3075" s="72" t="s">
        <v>589</v>
      </c>
      <c r="AH3075" s="72">
        <v>43878</v>
      </c>
      <c r="AI3075" s="30">
        <v>0</v>
      </c>
      <c r="AJ3075" s="72" t="s">
        <v>17429</v>
      </c>
      <c r="AK3075" s="72" t="s">
        <v>1233</v>
      </c>
      <c r="AL3075" s="70">
        <v>43878</v>
      </c>
      <c r="AM3075" s="70"/>
      <c r="AN3075" s="70"/>
      <c r="AO3075" s="70"/>
      <c r="AP3075" s="73" t="e">
        <f>MID(VLOOKUP(K3075,#REF!,2,FALSE),1,2)</f>
        <v>#REF!</v>
      </c>
      <c r="AQ3075" s="72">
        <f>DATE(2020,2,17)</f>
        <v>43878</v>
      </c>
      <c r="AR3075" s="83">
        <f t="shared" si="263"/>
        <v>17</v>
      </c>
      <c r="AS3075" s="84">
        <f t="shared" si="264"/>
        <v>2</v>
      </c>
      <c r="AT3075" s="86">
        <f t="shared" si="265"/>
        <v>2020</v>
      </c>
      <c r="AU3075" s="86"/>
      <c r="AV3075" s="87"/>
      <c r="AW3075" s="86"/>
      <c r="AX3075" s="83"/>
      <c r="AY3075" s="84"/>
      <c r="AZ3075" s="86"/>
      <c r="BA3075" s="86"/>
      <c r="BB3075" s="86"/>
    </row>
    <row r="3076" spans="1:54" ht="36.75" customHeight="1">
      <c r="A3076" s="98" t="s">
        <v>4910</v>
      </c>
      <c r="B3076" s="30" t="s">
        <v>55</v>
      </c>
      <c r="C3076" s="69" t="str">
        <f t="shared" si="266"/>
        <v>Closed</v>
      </c>
      <c r="D3076" s="27" t="s">
        <v>17430</v>
      </c>
      <c r="E3076" s="29" t="s">
        <v>17431</v>
      </c>
      <c r="F3076" s="30" t="s">
        <v>423</v>
      </c>
      <c r="G3076" s="72">
        <f>DATE(2020,2,17)</f>
        <v>43878</v>
      </c>
      <c r="H3076" s="80">
        <v>1.3493055555555555</v>
      </c>
      <c r="I3076" s="30" t="s">
        <v>198</v>
      </c>
      <c r="J3076" s="72" t="s">
        <v>17432</v>
      </c>
      <c r="K3076" s="30" t="s">
        <v>425</v>
      </c>
      <c r="L3076" s="30" t="s">
        <v>17433</v>
      </c>
      <c r="M3076" s="30" t="s">
        <v>255</v>
      </c>
      <c r="N3076" s="30" t="s">
        <v>142</v>
      </c>
      <c r="O3076" s="30" t="s">
        <v>64</v>
      </c>
      <c r="P3076" s="72" t="s">
        <v>6552</v>
      </c>
      <c r="Q3076" s="72" t="s">
        <v>2715</v>
      </c>
      <c r="R3076" s="72" t="s">
        <v>2715</v>
      </c>
      <c r="S3076" s="30">
        <v>0</v>
      </c>
      <c r="T3076" s="232">
        <v>0</v>
      </c>
      <c r="U3076" s="30">
        <v>0</v>
      </c>
      <c r="V3076" s="232">
        <v>0</v>
      </c>
      <c r="W3076" s="30">
        <v>0</v>
      </c>
      <c r="X3076" s="30">
        <v>0</v>
      </c>
      <c r="Y3076" s="30">
        <v>0</v>
      </c>
      <c r="Z3076" s="232">
        <v>1</v>
      </c>
      <c r="AA3076" s="30">
        <v>0</v>
      </c>
      <c r="AB3076" s="30">
        <v>0</v>
      </c>
      <c r="AC3076" s="30">
        <v>0</v>
      </c>
      <c r="AD3076" s="30">
        <v>1</v>
      </c>
      <c r="AE3076" s="72" t="s">
        <v>92</v>
      </c>
      <c r="AF3076" s="72"/>
      <c r="AG3076" s="72" t="s">
        <v>133</v>
      </c>
      <c r="AH3076" s="72">
        <v>43878</v>
      </c>
      <c r="AI3076" s="30">
        <v>0</v>
      </c>
      <c r="AJ3076" s="72" t="s">
        <v>68</v>
      </c>
      <c r="AK3076" s="72" t="s">
        <v>68</v>
      </c>
      <c r="AL3076" s="70">
        <v>43880</v>
      </c>
      <c r="AM3076" s="70"/>
      <c r="AN3076" s="70"/>
      <c r="AO3076" s="70"/>
      <c r="AP3076" s="73" t="e">
        <f>MID(VLOOKUP(K3076,#REF!,2,FALSE),1,2)</f>
        <v>#REF!</v>
      </c>
      <c r="AQ3076" s="72">
        <f>DATE(2020,2,17)</f>
        <v>43878</v>
      </c>
      <c r="AR3076" s="83">
        <f t="shared" si="263"/>
        <v>17</v>
      </c>
      <c r="AS3076" s="84">
        <f t="shared" si="264"/>
        <v>2</v>
      </c>
      <c r="AT3076" s="86">
        <f t="shared" si="265"/>
        <v>2020</v>
      </c>
      <c r="AU3076" s="86"/>
      <c r="AV3076" s="87"/>
      <c r="AW3076" s="86"/>
      <c r="AX3076" s="83"/>
      <c r="AY3076" s="84"/>
      <c r="AZ3076" s="86"/>
      <c r="BA3076" s="86"/>
      <c r="BB3076" s="86"/>
    </row>
    <row r="3077" spans="1:54" ht="36.75" customHeight="1">
      <c r="A3077" s="30"/>
      <c r="B3077" s="30" t="s">
        <v>55</v>
      </c>
      <c r="C3077" s="69" t="str">
        <f t="shared" si="266"/>
        <v>Closed</v>
      </c>
      <c r="D3077" s="27" t="s">
        <v>17434</v>
      </c>
      <c r="E3077" s="29" t="s">
        <v>17435</v>
      </c>
      <c r="F3077" s="30" t="s">
        <v>2336</v>
      </c>
      <c r="G3077" s="72">
        <f>DATE(2020,2,17)</f>
        <v>43878</v>
      </c>
      <c r="H3077" s="80">
        <v>1.8145833333333332</v>
      </c>
      <c r="I3077" s="30" t="s">
        <v>116</v>
      </c>
      <c r="J3077" s="72" t="s">
        <v>17436</v>
      </c>
      <c r="K3077" s="30" t="s">
        <v>2338</v>
      </c>
      <c r="L3077" s="30" t="s">
        <v>17437</v>
      </c>
      <c r="M3077" s="30" t="s">
        <v>63</v>
      </c>
      <c r="N3077" s="30" t="s">
        <v>99</v>
      </c>
      <c r="O3077" s="30" t="s">
        <v>64</v>
      </c>
      <c r="P3077" s="72" t="s">
        <v>165</v>
      </c>
      <c r="Q3077" s="72" t="s">
        <v>17438</v>
      </c>
      <c r="R3077" s="72" t="s">
        <v>2341</v>
      </c>
      <c r="S3077" s="30">
        <v>0</v>
      </c>
      <c r="T3077" s="232">
        <v>0</v>
      </c>
      <c r="U3077" s="30">
        <v>0</v>
      </c>
      <c r="V3077" s="232">
        <v>0</v>
      </c>
      <c r="W3077" s="30">
        <v>0</v>
      </c>
      <c r="X3077" s="30">
        <v>0</v>
      </c>
      <c r="Y3077" s="30">
        <v>0</v>
      </c>
      <c r="Z3077" s="232">
        <v>0</v>
      </c>
      <c r="AA3077" s="30">
        <v>0</v>
      </c>
      <c r="AB3077" s="30">
        <v>0</v>
      </c>
      <c r="AC3077" s="30">
        <v>0</v>
      </c>
      <c r="AD3077" s="30">
        <v>0</v>
      </c>
      <c r="AE3077" s="72" t="s">
        <v>92</v>
      </c>
      <c r="AF3077" s="72"/>
      <c r="AG3077" s="72" t="s">
        <v>12381</v>
      </c>
      <c r="AH3077" s="72">
        <v>43887</v>
      </c>
      <c r="AI3077" s="30">
        <v>8</v>
      </c>
      <c r="AJ3077" s="72" t="s">
        <v>17439</v>
      </c>
      <c r="AK3077" s="72" t="s">
        <v>17440</v>
      </c>
      <c r="AL3077" s="70">
        <v>43889</v>
      </c>
      <c r="AM3077" s="70"/>
      <c r="AN3077" s="70"/>
      <c r="AO3077" s="70"/>
      <c r="AP3077" s="73" t="e">
        <f>MID(VLOOKUP(K3077,#REF!,2,FALSE),1,2)</f>
        <v>#REF!</v>
      </c>
      <c r="AQ3077" s="72">
        <f>DATE(2020,2,18)</f>
        <v>43879</v>
      </c>
      <c r="AR3077" s="83">
        <f t="shared" si="263"/>
        <v>18</v>
      </c>
      <c r="AS3077" s="84">
        <f t="shared" si="264"/>
        <v>2</v>
      </c>
      <c r="AT3077" s="86">
        <f t="shared" si="265"/>
        <v>2020</v>
      </c>
      <c r="AU3077" s="86"/>
      <c r="AV3077" s="87"/>
      <c r="AW3077" s="86"/>
      <c r="AX3077" s="83"/>
      <c r="AY3077" s="84"/>
      <c r="AZ3077" s="86"/>
      <c r="BA3077" s="86"/>
      <c r="BB3077" s="86"/>
    </row>
    <row r="3078" spans="1:54" ht="36.75" customHeight="1">
      <c r="A3078" s="98" t="s">
        <v>4910</v>
      </c>
      <c r="B3078" s="30" t="s">
        <v>55</v>
      </c>
      <c r="C3078" s="69" t="str">
        <f t="shared" si="266"/>
        <v>Closed</v>
      </c>
      <c r="D3078" s="27" t="s">
        <v>17441</v>
      </c>
      <c r="E3078" s="29" t="s">
        <v>17442</v>
      </c>
      <c r="F3078" s="30" t="s">
        <v>1572</v>
      </c>
      <c r="G3078" s="72">
        <f>DATE(2020,2,17)</f>
        <v>43878</v>
      </c>
      <c r="H3078" s="80">
        <v>1.1041666666666667</v>
      </c>
      <c r="I3078" s="30" t="s">
        <v>73</v>
      </c>
      <c r="J3078" s="72" t="s">
        <v>17443</v>
      </c>
      <c r="K3078" s="30" t="s">
        <v>1574</v>
      </c>
      <c r="L3078" s="30" t="s">
        <v>17444</v>
      </c>
      <c r="M3078" s="30" t="s">
        <v>63</v>
      </c>
      <c r="N3078" s="30" t="s">
        <v>142</v>
      </c>
      <c r="O3078" s="30" t="s">
        <v>64</v>
      </c>
      <c r="P3078" s="72" t="s">
        <v>78</v>
      </c>
      <c r="Q3078" s="72" t="s">
        <v>17445</v>
      </c>
      <c r="R3078" s="72" t="s">
        <v>6434</v>
      </c>
      <c r="S3078" s="30">
        <v>0</v>
      </c>
      <c r="T3078" s="232">
        <v>0</v>
      </c>
      <c r="U3078" s="30">
        <v>0</v>
      </c>
      <c r="V3078" s="232">
        <v>0</v>
      </c>
      <c r="W3078" s="30">
        <v>0</v>
      </c>
      <c r="X3078" s="30">
        <v>0</v>
      </c>
      <c r="Y3078" s="30">
        <v>0</v>
      </c>
      <c r="Z3078" s="232">
        <v>0</v>
      </c>
      <c r="AA3078" s="30">
        <v>0</v>
      </c>
      <c r="AB3078" s="30">
        <v>0</v>
      </c>
      <c r="AC3078" s="30">
        <v>0</v>
      </c>
      <c r="AD3078" s="30">
        <v>0</v>
      </c>
      <c r="AE3078" s="72" t="s">
        <v>394</v>
      </c>
      <c r="AF3078" s="72"/>
      <c r="AG3078" s="72" t="s">
        <v>133</v>
      </c>
      <c r="AH3078" s="72">
        <v>43879</v>
      </c>
      <c r="AI3078" s="30">
        <v>4</v>
      </c>
      <c r="AJ3078" s="72" t="s">
        <v>68</v>
      </c>
      <c r="AK3078" s="72" t="s">
        <v>68</v>
      </c>
      <c r="AL3078" s="70">
        <v>43880</v>
      </c>
      <c r="AM3078" s="70"/>
      <c r="AN3078" s="70"/>
      <c r="AO3078" s="70"/>
      <c r="AP3078" s="73" t="e">
        <f>MID(VLOOKUP(K3078,#REF!,2,FALSE),1,2)</f>
        <v>#REF!</v>
      </c>
      <c r="AQ3078" s="72">
        <f>DATE(2020,2,21)</f>
        <v>43882</v>
      </c>
      <c r="AR3078" s="83">
        <f t="shared" si="263"/>
        <v>21</v>
      </c>
      <c r="AS3078" s="84">
        <f t="shared" si="264"/>
        <v>2</v>
      </c>
      <c r="AT3078" s="86">
        <f t="shared" si="265"/>
        <v>2020</v>
      </c>
      <c r="AU3078" s="86"/>
      <c r="AV3078" s="87"/>
      <c r="AW3078" s="86"/>
      <c r="AX3078" s="83"/>
      <c r="AY3078" s="84"/>
      <c r="AZ3078" s="86"/>
      <c r="BA3078" s="86"/>
      <c r="BB3078" s="86"/>
    </row>
    <row r="3079" spans="1:54" ht="36.75" customHeight="1">
      <c r="A3079" s="98" t="s">
        <v>4910</v>
      </c>
      <c r="B3079" s="30" t="s">
        <v>55</v>
      </c>
      <c r="C3079" s="69" t="str">
        <f t="shared" si="266"/>
        <v>Closed</v>
      </c>
      <c r="D3079" s="27" t="s">
        <v>17446</v>
      </c>
      <c r="E3079" s="29" t="s">
        <v>17447</v>
      </c>
      <c r="F3079" s="30" t="s">
        <v>1572</v>
      </c>
      <c r="G3079" s="72">
        <f>DATE(2020,2,17)</f>
        <v>43878</v>
      </c>
      <c r="H3079" s="80">
        <v>1.7048611111111112</v>
      </c>
      <c r="I3079" s="30" t="s">
        <v>73</v>
      </c>
      <c r="J3079" s="72" t="s">
        <v>17448</v>
      </c>
      <c r="K3079" s="30" t="s">
        <v>1574</v>
      </c>
      <c r="L3079" s="30" t="s">
        <v>17449</v>
      </c>
      <c r="M3079" s="30" t="s">
        <v>63</v>
      </c>
      <c r="N3079" s="30" t="s">
        <v>99</v>
      </c>
      <c r="O3079" s="30" t="s">
        <v>64</v>
      </c>
      <c r="P3079" s="72" t="s">
        <v>78</v>
      </c>
      <c r="Q3079" s="72" t="s">
        <v>15570</v>
      </c>
      <c r="R3079" s="72" t="s">
        <v>2561</v>
      </c>
      <c r="S3079" s="30">
        <v>0</v>
      </c>
      <c r="T3079" s="232">
        <v>0</v>
      </c>
      <c r="U3079" s="30">
        <v>0</v>
      </c>
      <c r="V3079" s="232">
        <v>0</v>
      </c>
      <c r="W3079" s="30">
        <v>0</v>
      </c>
      <c r="X3079" s="30">
        <v>0</v>
      </c>
      <c r="Y3079" s="30">
        <v>0</v>
      </c>
      <c r="Z3079" s="232">
        <v>0</v>
      </c>
      <c r="AA3079" s="30">
        <v>0</v>
      </c>
      <c r="AB3079" s="30">
        <v>0</v>
      </c>
      <c r="AC3079" s="30">
        <v>0</v>
      </c>
      <c r="AD3079" s="30">
        <v>0</v>
      </c>
      <c r="AE3079" s="72" t="s">
        <v>92</v>
      </c>
      <c r="AF3079" s="72"/>
      <c r="AG3079" s="72" t="s">
        <v>133</v>
      </c>
      <c r="AH3079" s="72">
        <v>43879</v>
      </c>
      <c r="AI3079" s="30">
        <v>1</v>
      </c>
      <c r="AJ3079" s="72" t="s">
        <v>68</v>
      </c>
      <c r="AK3079" s="72" t="s">
        <v>68</v>
      </c>
      <c r="AL3079" s="70">
        <v>43880</v>
      </c>
      <c r="AM3079" s="70"/>
      <c r="AN3079" s="70"/>
      <c r="AO3079" s="70"/>
      <c r="AP3079" s="73" t="e">
        <f>MID(VLOOKUP(K3079,#REF!,2,FALSE),1,2)</f>
        <v>#REF!</v>
      </c>
      <c r="AQ3079" s="72">
        <f>DATE(2020,2,21)</f>
        <v>43882</v>
      </c>
      <c r="AR3079" s="83">
        <f t="shared" si="263"/>
        <v>21</v>
      </c>
      <c r="AS3079" s="84">
        <f t="shared" si="264"/>
        <v>2</v>
      </c>
      <c r="AT3079" s="104">
        <f t="shared" si="265"/>
        <v>2020</v>
      </c>
      <c r="AU3079" s="86"/>
      <c r="AV3079" s="87"/>
      <c r="AW3079" s="86"/>
      <c r="AX3079" s="83"/>
      <c r="AY3079" s="84"/>
      <c r="AZ3079" s="86"/>
      <c r="BA3079" s="86"/>
      <c r="BB3079" s="86"/>
    </row>
    <row r="3080" spans="1:54" ht="36.75" customHeight="1">
      <c r="A3080" s="98" t="s">
        <v>4910</v>
      </c>
      <c r="B3080" s="30" t="s">
        <v>55</v>
      </c>
      <c r="C3080" s="69" t="str">
        <f t="shared" si="266"/>
        <v>Closed</v>
      </c>
      <c r="D3080" s="27" t="s">
        <v>17450</v>
      </c>
      <c r="E3080" s="29" t="s">
        <v>17451</v>
      </c>
      <c r="F3080" s="30" t="s">
        <v>423</v>
      </c>
      <c r="G3080" s="72">
        <f>DATE(2020,2,18)</f>
        <v>43879</v>
      </c>
      <c r="H3080" s="80">
        <v>1.4520833333333334</v>
      </c>
      <c r="I3080" s="30" t="s">
        <v>278</v>
      </c>
      <c r="J3080" s="72" t="s">
        <v>17452</v>
      </c>
      <c r="K3080" s="30" t="s">
        <v>425</v>
      </c>
      <c r="L3080" s="30" t="s">
        <v>17453</v>
      </c>
      <c r="M3080" s="30" t="s">
        <v>63</v>
      </c>
      <c r="N3080" s="30" t="s">
        <v>142</v>
      </c>
      <c r="O3080" s="30" t="s">
        <v>64</v>
      </c>
      <c r="P3080" s="72" t="s">
        <v>78</v>
      </c>
      <c r="Q3080" s="72" t="s">
        <v>2582</v>
      </c>
      <c r="R3080" s="72" t="s">
        <v>3103</v>
      </c>
      <c r="S3080" s="30">
        <v>0</v>
      </c>
      <c r="T3080" s="99">
        <v>1</v>
      </c>
      <c r="U3080" s="30">
        <v>0</v>
      </c>
      <c r="V3080" s="99">
        <v>0</v>
      </c>
      <c r="W3080" s="30">
        <v>0</v>
      </c>
      <c r="X3080" s="30">
        <v>1</v>
      </c>
      <c r="Y3080" s="30">
        <v>0</v>
      </c>
      <c r="Z3080" s="99">
        <v>0</v>
      </c>
      <c r="AA3080" s="30">
        <v>0</v>
      </c>
      <c r="AB3080" s="30">
        <v>0</v>
      </c>
      <c r="AC3080" s="30">
        <v>0</v>
      </c>
      <c r="AD3080" s="30">
        <v>0</v>
      </c>
      <c r="AE3080" s="30" t="s">
        <v>92</v>
      </c>
      <c r="AF3080" s="72"/>
      <c r="AG3080" s="72" t="s">
        <v>133</v>
      </c>
      <c r="AH3080" s="72">
        <v>43880</v>
      </c>
      <c r="AI3080" s="30">
        <v>0</v>
      </c>
      <c r="AJ3080" s="72" t="s">
        <v>68</v>
      </c>
      <c r="AK3080" s="72" t="s">
        <v>68</v>
      </c>
      <c r="AL3080" s="70">
        <v>43882</v>
      </c>
      <c r="AM3080" s="70"/>
      <c r="AN3080" s="70"/>
      <c r="AO3080" s="70"/>
      <c r="AP3080" s="73" t="e">
        <f>MID(VLOOKUP(K3080,#REF!,2,FALSE),1,2)</f>
        <v>#REF!</v>
      </c>
      <c r="AQ3080" s="72">
        <f>DATE(2020,2,21)</f>
        <v>43882</v>
      </c>
      <c r="AR3080" s="83">
        <f t="shared" si="263"/>
        <v>21</v>
      </c>
      <c r="AS3080" s="84">
        <f t="shared" si="264"/>
        <v>2</v>
      </c>
      <c r="AT3080" s="86">
        <f t="shared" si="265"/>
        <v>2020</v>
      </c>
      <c r="AU3080" s="86"/>
      <c r="AV3080" s="87"/>
      <c r="AW3080" s="86"/>
      <c r="AX3080" s="83"/>
      <c r="AY3080" s="84"/>
      <c r="AZ3080" s="86"/>
      <c r="BA3080" s="86"/>
      <c r="BB3080" s="86"/>
    </row>
    <row r="3081" spans="1:54" ht="36.75" customHeight="1">
      <c r="A3081" s="30"/>
      <c r="B3081" s="30" t="s">
        <v>55</v>
      </c>
      <c r="C3081" s="69" t="str">
        <f t="shared" si="266"/>
        <v>Closed</v>
      </c>
      <c r="D3081" s="27" t="s">
        <v>17454</v>
      </c>
      <c r="E3081" s="29" t="s">
        <v>17455</v>
      </c>
      <c r="F3081" s="30" t="s">
        <v>423</v>
      </c>
      <c r="G3081" s="72">
        <f>DATE(2020,2,21)</f>
        <v>43882</v>
      </c>
      <c r="H3081" s="80">
        <v>1.6326388888888888</v>
      </c>
      <c r="I3081" s="30" t="s">
        <v>116</v>
      </c>
      <c r="J3081" s="72" t="s">
        <v>17456</v>
      </c>
      <c r="K3081" s="30" t="s">
        <v>425</v>
      </c>
      <c r="L3081" s="30" t="s">
        <v>17457</v>
      </c>
      <c r="M3081" s="30" t="s">
        <v>63</v>
      </c>
      <c r="N3081" s="30" t="s">
        <v>99</v>
      </c>
      <c r="O3081" s="30" t="s">
        <v>64</v>
      </c>
      <c r="P3081" s="72" t="s">
        <v>165</v>
      </c>
      <c r="Q3081" s="72" t="s">
        <v>4551</v>
      </c>
      <c r="R3081" s="72" t="s">
        <v>3103</v>
      </c>
      <c r="S3081" s="30">
        <v>0</v>
      </c>
      <c r="T3081" s="232">
        <v>0</v>
      </c>
      <c r="U3081" s="30">
        <v>0</v>
      </c>
      <c r="V3081" s="232">
        <v>0</v>
      </c>
      <c r="W3081" s="30">
        <v>0</v>
      </c>
      <c r="X3081" s="30">
        <v>0</v>
      </c>
      <c r="Y3081" s="30">
        <v>0</v>
      </c>
      <c r="Z3081" s="232">
        <v>1</v>
      </c>
      <c r="AA3081" s="30">
        <v>0</v>
      </c>
      <c r="AB3081" s="30">
        <v>0</v>
      </c>
      <c r="AC3081" s="30">
        <v>0</v>
      </c>
      <c r="AD3081" s="30">
        <v>1</v>
      </c>
      <c r="AE3081" s="72" t="s">
        <v>92</v>
      </c>
      <c r="AF3081" s="72"/>
      <c r="AG3081" s="72" t="s">
        <v>874</v>
      </c>
      <c r="AH3081" s="72">
        <v>43882</v>
      </c>
      <c r="AI3081" s="30">
        <v>1</v>
      </c>
      <c r="AJ3081" s="72" t="s">
        <v>17458</v>
      </c>
      <c r="AK3081" s="72" t="s">
        <v>17459</v>
      </c>
      <c r="AL3081" s="70">
        <v>43885</v>
      </c>
      <c r="AM3081" s="70"/>
      <c r="AN3081" s="70"/>
      <c r="AO3081" s="70"/>
      <c r="AP3081" s="73" t="e">
        <f>MID(VLOOKUP(K3081,#REF!,2,FALSE),1,2)</f>
        <v>#REF!</v>
      </c>
      <c r="AQ3081" s="72">
        <f>DATE(2020,2,21)</f>
        <v>43882</v>
      </c>
      <c r="AR3081" s="83">
        <f t="shared" si="263"/>
        <v>21</v>
      </c>
      <c r="AS3081" s="84">
        <f t="shared" si="264"/>
        <v>2</v>
      </c>
      <c r="AT3081" s="86">
        <f t="shared" si="265"/>
        <v>2020</v>
      </c>
      <c r="AU3081" s="86"/>
      <c r="AV3081" s="87"/>
      <c r="AW3081" s="86"/>
      <c r="AX3081" s="83"/>
      <c r="AY3081" s="84"/>
      <c r="AZ3081" s="86"/>
      <c r="BA3081" s="86"/>
      <c r="BB3081" s="86"/>
    </row>
    <row r="3082" spans="1:54" ht="36.75" customHeight="1">
      <c r="A3082" s="98" t="s">
        <v>4910</v>
      </c>
      <c r="B3082" s="30" t="s">
        <v>55</v>
      </c>
      <c r="C3082" s="69" t="str">
        <f t="shared" si="266"/>
        <v>Closed</v>
      </c>
      <c r="D3082" s="27" t="s">
        <v>17460</v>
      </c>
      <c r="E3082" s="29" t="s">
        <v>17461</v>
      </c>
      <c r="F3082" s="30" t="s">
        <v>423</v>
      </c>
      <c r="G3082" s="72">
        <f>DATE(2020,2,21)</f>
        <v>43882</v>
      </c>
      <c r="H3082" s="80">
        <v>1.4895833333333333</v>
      </c>
      <c r="I3082" s="30" t="s">
        <v>116</v>
      </c>
      <c r="J3082" s="72" t="s">
        <v>17462</v>
      </c>
      <c r="K3082" s="30" t="s">
        <v>425</v>
      </c>
      <c r="L3082" s="30" t="s">
        <v>17463</v>
      </c>
      <c r="M3082" s="30" t="s">
        <v>63</v>
      </c>
      <c r="N3082" s="30" t="s">
        <v>99</v>
      </c>
      <c r="O3082" s="30" t="s">
        <v>64</v>
      </c>
      <c r="P3082" s="72" t="s">
        <v>165</v>
      </c>
      <c r="Q3082" s="72" t="s">
        <v>4551</v>
      </c>
      <c r="R3082" s="72" t="s">
        <v>3103</v>
      </c>
      <c r="S3082" s="30">
        <v>0</v>
      </c>
      <c r="T3082" s="232">
        <v>0</v>
      </c>
      <c r="U3082" s="30">
        <v>0</v>
      </c>
      <c r="V3082" s="232">
        <v>0</v>
      </c>
      <c r="W3082" s="30">
        <v>0</v>
      </c>
      <c r="X3082" s="30">
        <v>0</v>
      </c>
      <c r="Y3082" s="30">
        <v>0</v>
      </c>
      <c r="Z3082" s="232">
        <v>0</v>
      </c>
      <c r="AA3082" s="30">
        <v>0</v>
      </c>
      <c r="AB3082" s="30">
        <v>0</v>
      </c>
      <c r="AC3082" s="30">
        <v>0</v>
      </c>
      <c r="AD3082" s="30">
        <v>0</v>
      </c>
      <c r="AE3082" s="72" t="s">
        <v>394</v>
      </c>
      <c r="AF3082" s="72"/>
      <c r="AG3082" s="72" t="s">
        <v>82</v>
      </c>
      <c r="AH3082" s="72">
        <v>43882</v>
      </c>
      <c r="AI3082" s="30">
        <v>3</v>
      </c>
      <c r="AJ3082" s="72" t="s">
        <v>68</v>
      </c>
      <c r="AK3082" s="72" t="s">
        <v>68</v>
      </c>
      <c r="AL3082" s="70">
        <v>43886</v>
      </c>
      <c r="AM3082" s="70"/>
      <c r="AN3082" s="70"/>
      <c r="AO3082" s="70"/>
      <c r="AP3082" s="73" t="e">
        <f>MID(VLOOKUP(K3082,#REF!,2,FALSE),1,2)</f>
        <v>#REF!</v>
      </c>
      <c r="AQ3082" s="72">
        <f>DATE(2020,2,25)</f>
        <v>43886</v>
      </c>
      <c r="AR3082" s="83">
        <f t="shared" si="263"/>
        <v>25</v>
      </c>
      <c r="AS3082" s="84">
        <f t="shared" si="264"/>
        <v>2</v>
      </c>
      <c r="AT3082" s="86">
        <f t="shared" si="265"/>
        <v>2020</v>
      </c>
      <c r="AU3082" s="86"/>
      <c r="AV3082" s="87"/>
      <c r="AW3082" s="86"/>
      <c r="AX3082" s="83"/>
      <c r="AY3082" s="84"/>
      <c r="AZ3082" s="86"/>
      <c r="BA3082" s="86"/>
      <c r="BB3082" s="86"/>
    </row>
    <row r="3083" spans="1:54" ht="36.75" customHeight="1">
      <c r="A3083" s="30"/>
      <c r="B3083" s="30" t="s">
        <v>55</v>
      </c>
      <c r="C3083" s="69" t="str">
        <f t="shared" si="266"/>
        <v>Closed</v>
      </c>
      <c r="D3083" s="27" t="s">
        <v>17464</v>
      </c>
      <c r="E3083" s="29" t="s">
        <v>17465</v>
      </c>
      <c r="F3083" s="30" t="s">
        <v>835</v>
      </c>
      <c r="G3083" s="72">
        <f>DATE(2020,2,21)</f>
        <v>43882</v>
      </c>
      <c r="H3083" s="80">
        <v>1.6277777777777778</v>
      </c>
      <c r="I3083" s="30" t="s">
        <v>104</v>
      </c>
      <c r="J3083" s="72" t="s">
        <v>17466</v>
      </c>
      <c r="K3083" s="30" t="s">
        <v>837</v>
      </c>
      <c r="L3083" s="30" t="s">
        <v>17467</v>
      </c>
      <c r="M3083" s="30" t="s">
        <v>63</v>
      </c>
      <c r="N3083" s="30" t="s">
        <v>99</v>
      </c>
      <c r="O3083" s="30" t="s">
        <v>77</v>
      </c>
      <c r="P3083" s="72" t="s">
        <v>381</v>
      </c>
      <c r="Q3083" s="72" t="s">
        <v>17468</v>
      </c>
      <c r="R3083" s="72" t="s">
        <v>840</v>
      </c>
      <c r="S3083" s="30">
        <v>0</v>
      </c>
      <c r="T3083" s="232">
        <v>0</v>
      </c>
      <c r="U3083" s="30">
        <v>0</v>
      </c>
      <c r="V3083" s="232">
        <v>0</v>
      </c>
      <c r="W3083" s="30">
        <v>0</v>
      </c>
      <c r="X3083" s="30">
        <v>0</v>
      </c>
      <c r="Y3083" s="30">
        <v>0</v>
      </c>
      <c r="Z3083" s="232">
        <v>0</v>
      </c>
      <c r="AA3083" s="30">
        <v>0</v>
      </c>
      <c r="AB3083" s="30">
        <v>0</v>
      </c>
      <c r="AC3083" s="30">
        <v>0</v>
      </c>
      <c r="AD3083" s="30">
        <v>0</v>
      </c>
      <c r="AE3083" s="72" t="s">
        <v>92</v>
      </c>
      <c r="AF3083" s="72" t="s">
        <v>17469</v>
      </c>
      <c r="AG3083" s="72" t="s">
        <v>2083</v>
      </c>
      <c r="AH3083" s="72">
        <v>43885</v>
      </c>
      <c r="AI3083" s="30">
        <v>0</v>
      </c>
      <c r="AJ3083" s="72" t="s">
        <v>17470</v>
      </c>
      <c r="AK3083" s="72" t="s">
        <v>68</v>
      </c>
      <c r="AL3083" s="70">
        <v>43885</v>
      </c>
      <c r="AM3083" s="70"/>
      <c r="AN3083" s="70">
        <v>45012</v>
      </c>
      <c r="AO3083" s="70">
        <v>44348</v>
      </c>
      <c r="AP3083" s="73" t="e">
        <f>MID(VLOOKUP(K3083,#REF!,2,FALSE),1,2)</f>
        <v>#REF!</v>
      </c>
      <c r="AQ3083" s="72">
        <f>DATE(2020,2,25)</f>
        <v>43886</v>
      </c>
      <c r="AR3083" s="83">
        <f t="shared" si="263"/>
        <v>25</v>
      </c>
      <c r="AS3083" s="84">
        <f t="shared" si="264"/>
        <v>2</v>
      </c>
      <c r="AT3083" s="86">
        <f t="shared" si="265"/>
        <v>2020</v>
      </c>
      <c r="AU3083" s="86"/>
      <c r="AV3083" s="87"/>
      <c r="AW3083" s="86"/>
      <c r="AX3083" s="83"/>
      <c r="AY3083" s="84"/>
      <c r="AZ3083" s="86"/>
      <c r="BA3083" s="86"/>
      <c r="BB3083" s="86"/>
    </row>
    <row r="3084" spans="1:54" ht="36.75" customHeight="1">
      <c r="A3084" s="98" t="s">
        <v>4910</v>
      </c>
      <c r="B3084" s="30" t="s">
        <v>55</v>
      </c>
      <c r="C3084" s="69" t="str">
        <f t="shared" si="266"/>
        <v>Closed</v>
      </c>
      <c r="D3084" s="27" t="s">
        <v>17471</v>
      </c>
      <c r="E3084" s="29" t="s">
        <v>17472</v>
      </c>
      <c r="F3084" s="30" t="s">
        <v>1572</v>
      </c>
      <c r="G3084" s="72">
        <f>DATE(2020,2,21)</f>
        <v>43882</v>
      </c>
      <c r="H3084" s="125">
        <v>1.0104166666666667</v>
      </c>
      <c r="I3084" s="30" t="s">
        <v>2078</v>
      </c>
      <c r="J3084" s="72" t="s">
        <v>17473</v>
      </c>
      <c r="K3084" s="30" t="s">
        <v>1574</v>
      </c>
      <c r="L3084" s="30" t="s">
        <v>17474</v>
      </c>
      <c r="M3084" s="30" t="s">
        <v>63</v>
      </c>
      <c r="N3084" s="30" t="s">
        <v>142</v>
      </c>
      <c r="O3084" s="30" t="s">
        <v>77</v>
      </c>
      <c r="P3084" s="72" t="s">
        <v>78</v>
      </c>
      <c r="Q3084" s="72" t="s">
        <v>2655</v>
      </c>
      <c r="R3084" s="72" t="s">
        <v>6434</v>
      </c>
      <c r="S3084" s="30">
        <v>0</v>
      </c>
      <c r="T3084" s="99">
        <v>0</v>
      </c>
      <c r="U3084" s="30">
        <v>0</v>
      </c>
      <c r="V3084" s="99">
        <v>0</v>
      </c>
      <c r="W3084" s="30">
        <v>0</v>
      </c>
      <c r="X3084" s="30">
        <v>0</v>
      </c>
      <c r="Y3084" s="30">
        <v>0</v>
      </c>
      <c r="Z3084" s="99">
        <v>0</v>
      </c>
      <c r="AA3084" s="30">
        <v>0</v>
      </c>
      <c r="AB3084" s="30">
        <v>0</v>
      </c>
      <c r="AC3084" s="30">
        <v>0</v>
      </c>
      <c r="AD3084" s="30">
        <v>0</v>
      </c>
      <c r="AE3084" s="72" t="s">
        <v>92</v>
      </c>
      <c r="AF3084" s="72"/>
      <c r="AG3084" s="30" t="s">
        <v>1507</v>
      </c>
      <c r="AH3084" s="72">
        <v>43882</v>
      </c>
      <c r="AI3084" s="30">
        <v>0</v>
      </c>
      <c r="AJ3084" s="72" t="s">
        <v>68</v>
      </c>
      <c r="AK3084" s="72" t="s">
        <v>68</v>
      </c>
      <c r="AL3084" s="70">
        <v>43882</v>
      </c>
      <c r="AM3084" s="70"/>
      <c r="AN3084" s="70"/>
      <c r="AO3084" s="70"/>
      <c r="AP3084" s="73" t="e">
        <f>MID(VLOOKUP(K3084,#REF!,2,FALSE),1,2)</f>
        <v>#REF!</v>
      </c>
      <c r="AQ3084" s="72">
        <f>DATE(2020,2,26)</f>
        <v>43887</v>
      </c>
      <c r="AR3084" s="83">
        <f t="shared" si="263"/>
        <v>26</v>
      </c>
      <c r="AS3084" s="84">
        <f t="shared" si="264"/>
        <v>2</v>
      </c>
      <c r="AT3084" s="86">
        <f t="shared" si="265"/>
        <v>2020</v>
      </c>
      <c r="AU3084" s="86"/>
      <c r="AV3084" s="87"/>
      <c r="AW3084" s="86"/>
      <c r="AX3084" s="83"/>
      <c r="AY3084" s="84"/>
      <c r="AZ3084" s="86"/>
      <c r="BA3084" s="86"/>
      <c r="BB3084" s="86"/>
    </row>
    <row r="3085" spans="1:54" ht="36.75" customHeight="1">
      <c r="A3085" s="30"/>
      <c r="B3085" s="30" t="s">
        <v>55</v>
      </c>
      <c r="C3085" s="69" t="str">
        <f t="shared" si="266"/>
        <v>Closed</v>
      </c>
      <c r="D3085" s="27" t="s">
        <v>17475</v>
      </c>
      <c r="E3085" s="29" t="s">
        <v>17476</v>
      </c>
      <c r="F3085" s="30" t="s">
        <v>582</v>
      </c>
      <c r="G3085" s="72">
        <f>DATE(2020,2,25)</f>
        <v>43886</v>
      </c>
      <c r="H3085" s="80">
        <v>1.4569444444444444</v>
      </c>
      <c r="I3085" s="30" t="s">
        <v>156</v>
      </c>
      <c r="J3085" s="72" t="s">
        <v>17477</v>
      </c>
      <c r="K3085" s="30" t="s">
        <v>584</v>
      </c>
      <c r="L3085" s="30" t="s">
        <v>17478</v>
      </c>
      <c r="M3085" s="30" t="s">
        <v>63</v>
      </c>
      <c r="N3085" s="30" t="s">
        <v>142</v>
      </c>
      <c r="O3085" s="30" t="s">
        <v>64</v>
      </c>
      <c r="P3085" s="72" t="s">
        <v>381</v>
      </c>
      <c r="Q3085" s="72" t="s">
        <v>17479</v>
      </c>
      <c r="R3085" s="72" t="s">
        <v>13254</v>
      </c>
      <c r="S3085" s="30">
        <v>0</v>
      </c>
      <c r="T3085" s="232">
        <v>0</v>
      </c>
      <c r="U3085" s="30">
        <v>0</v>
      </c>
      <c r="V3085" s="232">
        <v>0</v>
      </c>
      <c r="W3085" s="30">
        <v>0</v>
      </c>
      <c r="X3085" s="30">
        <v>0</v>
      </c>
      <c r="Y3085" s="30">
        <v>0</v>
      </c>
      <c r="Z3085" s="232">
        <v>0</v>
      </c>
      <c r="AA3085" s="30">
        <v>0</v>
      </c>
      <c r="AB3085" s="30">
        <v>0</v>
      </c>
      <c r="AC3085" s="30">
        <v>0</v>
      </c>
      <c r="AD3085" s="30">
        <v>0</v>
      </c>
      <c r="AE3085" s="72" t="s">
        <v>92</v>
      </c>
      <c r="AF3085" s="72" t="s">
        <v>17480</v>
      </c>
      <c r="AG3085" s="72" t="s">
        <v>8859</v>
      </c>
      <c r="AH3085" s="72">
        <v>43887</v>
      </c>
      <c r="AI3085" s="30">
        <v>0</v>
      </c>
      <c r="AJ3085" s="72" t="s">
        <v>17481</v>
      </c>
      <c r="AK3085" s="72" t="s">
        <v>68</v>
      </c>
      <c r="AL3085" s="70">
        <v>43894</v>
      </c>
      <c r="AM3085" s="70"/>
      <c r="AN3085" s="70"/>
      <c r="AO3085" s="70"/>
      <c r="AP3085" s="73" t="e">
        <f>MID(VLOOKUP(K3085,#REF!,2,FALSE),1,2)</f>
        <v>#REF!</v>
      </c>
      <c r="AQ3085" s="72">
        <f>DATE(2020,2,27)</f>
        <v>43888</v>
      </c>
      <c r="AR3085" s="83">
        <f t="shared" si="263"/>
        <v>27</v>
      </c>
      <c r="AS3085" s="84">
        <f t="shared" si="264"/>
        <v>2</v>
      </c>
      <c r="AT3085" s="86">
        <f t="shared" si="265"/>
        <v>2020</v>
      </c>
      <c r="AU3085" s="86"/>
      <c r="AV3085" s="87"/>
      <c r="AW3085" s="86"/>
      <c r="AX3085" s="83"/>
      <c r="AY3085" s="84"/>
      <c r="AZ3085" s="86"/>
      <c r="BA3085" s="86"/>
      <c r="BB3085" s="86"/>
    </row>
    <row r="3086" spans="1:54" ht="36.75" customHeight="1">
      <c r="A3086" s="98" t="s">
        <v>4910</v>
      </c>
      <c r="B3086" s="30" t="s">
        <v>55</v>
      </c>
      <c r="C3086" s="69" t="str">
        <f t="shared" si="266"/>
        <v>Closed</v>
      </c>
      <c r="D3086" s="27" t="s">
        <v>17482</v>
      </c>
      <c r="E3086" s="29" t="s">
        <v>17483</v>
      </c>
      <c r="F3086" s="30" t="s">
        <v>1572</v>
      </c>
      <c r="G3086" s="72">
        <f>DATE(2020,2,25)</f>
        <v>43886</v>
      </c>
      <c r="H3086" s="80">
        <v>1.4409722222222223</v>
      </c>
      <c r="I3086" s="30" t="s">
        <v>198</v>
      </c>
      <c r="J3086" s="72" t="s">
        <v>17484</v>
      </c>
      <c r="K3086" s="30" t="s">
        <v>1574</v>
      </c>
      <c r="L3086" s="30" t="s">
        <v>17485</v>
      </c>
      <c r="M3086" s="30" t="s">
        <v>63</v>
      </c>
      <c r="N3086" s="30" t="s">
        <v>99</v>
      </c>
      <c r="O3086" s="30" t="s">
        <v>77</v>
      </c>
      <c r="P3086" s="72" t="s">
        <v>5599</v>
      </c>
      <c r="Q3086" s="72" t="s">
        <v>17486</v>
      </c>
      <c r="R3086" s="72" t="s">
        <v>6434</v>
      </c>
      <c r="S3086" s="30">
        <v>0</v>
      </c>
      <c r="T3086" s="232">
        <v>0</v>
      </c>
      <c r="U3086" s="30">
        <v>0</v>
      </c>
      <c r="V3086" s="232">
        <v>0</v>
      </c>
      <c r="W3086" s="30">
        <v>0</v>
      </c>
      <c r="X3086" s="30">
        <v>0</v>
      </c>
      <c r="Y3086" s="30">
        <v>0</v>
      </c>
      <c r="Z3086" s="232">
        <v>0</v>
      </c>
      <c r="AA3086" s="30">
        <v>0</v>
      </c>
      <c r="AB3086" s="30">
        <v>0</v>
      </c>
      <c r="AC3086" s="30">
        <v>0</v>
      </c>
      <c r="AD3086" s="30">
        <v>0</v>
      </c>
      <c r="AE3086" s="72" t="s">
        <v>394</v>
      </c>
      <c r="AF3086" s="72"/>
      <c r="AG3086" s="72" t="s">
        <v>133</v>
      </c>
      <c r="AH3086" s="72">
        <v>43888</v>
      </c>
      <c r="AI3086" s="30">
        <v>2</v>
      </c>
      <c r="AJ3086" s="72" t="s">
        <v>68</v>
      </c>
      <c r="AK3086" s="72" t="s">
        <v>68</v>
      </c>
      <c r="AL3086" s="70">
        <v>43892</v>
      </c>
      <c r="AM3086" s="70"/>
      <c r="AN3086" s="70"/>
      <c r="AO3086" s="70"/>
      <c r="AP3086" s="73" t="e">
        <f>MID(VLOOKUP(K3086,#REF!,2,FALSE),1,2)</f>
        <v>#REF!</v>
      </c>
      <c r="AQ3086" s="72">
        <f>DATE(2020,2,28)</f>
        <v>43889</v>
      </c>
      <c r="AR3086" s="83">
        <f t="shared" si="263"/>
        <v>28</v>
      </c>
      <c r="AS3086" s="84">
        <f t="shared" si="264"/>
        <v>2</v>
      </c>
      <c r="AT3086" s="86">
        <f t="shared" si="265"/>
        <v>2020</v>
      </c>
      <c r="AU3086" s="86"/>
      <c r="AV3086" s="87"/>
      <c r="AW3086" s="86"/>
      <c r="AX3086" s="83"/>
      <c r="AY3086" s="84"/>
      <c r="AZ3086" s="86"/>
      <c r="BA3086" s="86"/>
      <c r="BB3086" s="86"/>
    </row>
    <row r="3087" spans="1:54" ht="36.75" customHeight="1">
      <c r="A3087" s="30"/>
      <c r="B3087" s="30" t="s">
        <v>55</v>
      </c>
      <c r="C3087" s="69" t="str">
        <f t="shared" si="266"/>
        <v>Closed</v>
      </c>
      <c r="D3087" s="27" t="s">
        <v>17487</v>
      </c>
      <c r="E3087" s="29" t="s">
        <v>17488</v>
      </c>
      <c r="F3087" s="30" t="s">
        <v>233</v>
      </c>
      <c r="G3087" s="72">
        <f>DATE(2020,2,26)</f>
        <v>43887</v>
      </c>
      <c r="H3087" s="80">
        <v>1.7965277777777779</v>
      </c>
      <c r="I3087" s="30" t="s">
        <v>278</v>
      </c>
      <c r="J3087" s="72" t="s">
        <v>17489</v>
      </c>
      <c r="K3087" s="30" t="s">
        <v>235</v>
      </c>
      <c r="L3087" s="30" t="s">
        <v>17490</v>
      </c>
      <c r="M3087" s="30" t="s">
        <v>63</v>
      </c>
      <c r="N3087" s="30" t="s">
        <v>142</v>
      </c>
      <c r="O3087" s="30" t="s">
        <v>77</v>
      </c>
      <c r="P3087" s="72" t="s">
        <v>165</v>
      </c>
      <c r="Q3087" s="72" t="s">
        <v>1521</v>
      </c>
      <c r="R3087" s="72" t="s">
        <v>235</v>
      </c>
      <c r="S3087" s="30">
        <v>1</v>
      </c>
      <c r="T3087" s="232">
        <v>0</v>
      </c>
      <c r="U3087" s="30">
        <v>0</v>
      </c>
      <c r="V3087" s="232">
        <v>0</v>
      </c>
      <c r="W3087" s="30">
        <v>0</v>
      </c>
      <c r="X3087" s="30">
        <v>1</v>
      </c>
      <c r="Y3087" s="30">
        <v>0</v>
      </c>
      <c r="Z3087" s="232">
        <v>0</v>
      </c>
      <c r="AA3087" s="30">
        <v>0</v>
      </c>
      <c r="AB3087" s="30">
        <v>0</v>
      </c>
      <c r="AC3087" s="30">
        <v>0</v>
      </c>
      <c r="AD3087" s="30">
        <v>0</v>
      </c>
      <c r="AE3087" s="72" t="s">
        <v>92</v>
      </c>
      <c r="AF3087" s="72"/>
      <c r="AG3087" s="72" t="s">
        <v>82</v>
      </c>
      <c r="AH3087" s="72">
        <v>43927</v>
      </c>
      <c r="AI3087" s="30">
        <v>6</v>
      </c>
      <c r="AJ3087" s="72" t="s">
        <v>17491</v>
      </c>
      <c r="AK3087" s="72" t="s">
        <v>17492</v>
      </c>
      <c r="AL3087" s="70">
        <v>43942</v>
      </c>
      <c r="AM3087" s="70"/>
      <c r="AN3087" s="70"/>
      <c r="AO3087" s="70">
        <v>44228</v>
      </c>
      <c r="AP3087" s="73" t="e">
        <f>MID(VLOOKUP(K3087,#REF!,2,FALSE),1,2)</f>
        <v>#REF!</v>
      </c>
      <c r="AQ3087" s="72">
        <f>DATE(2020,2,28)</f>
        <v>43889</v>
      </c>
      <c r="AR3087" s="83">
        <f t="shared" si="263"/>
        <v>28</v>
      </c>
      <c r="AS3087" s="84">
        <f t="shared" si="264"/>
        <v>2</v>
      </c>
      <c r="AT3087" s="86">
        <f t="shared" si="265"/>
        <v>2020</v>
      </c>
      <c r="AU3087" s="86"/>
      <c r="AV3087" s="87"/>
      <c r="AW3087" s="86"/>
      <c r="AX3087" s="83"/>
      <c r="AY3087" s="84"/>
      <c r="AZ3087" s="86"/>
      <c r="BA3087" s="86"/>
      <c r="BB3087" s="86"/>
    </row>
    <row r="3088" spans="1:54" ht="36.75" customHeight="1">
      <c r="A3088" s="98" t="s">
        <v>4910</v>
      </c>
      <c r="B3088" s="30" t="s">
        <v>55</v>
      </c>
      <c r="C3088" s="69" t="str">
        <f t="shared" si="266"/>
        <v>Closed</v>
      </c>
      <c r="D3088" s="27" t="s">
        <v>17493</v>
      </c>
      <c r="E3088" s="29" t="s">
        <v>17494</v>
      </c>
      <c r="F3088" s="30" t="s">
        <v>1572</v>
      </c>
      <c r="G3088" s="72">
        <f>DATE(2020,2,27)</f>
        <v>43888</v>
      </c>
      <c r="H3088" s="80">
        <v>1.1354166666666667</v>
      </c>
      <c r="I3088" s="30" t="s">
        <v>125</v>
      </c>
      <c r="J3088" s="72" t="s">
        <v>17495</v>
      </c>
      <c r="K3088" s="30" t="s">
        <v>1574</v>
      </c>
      <c r="L3088" s="30" t="s">
        <v>17496</v>
      </c>
      <c r="M3088" s="30" t="s">
        <v>63</v>
      </c>
      <c r="N3088" s="30" t="s">
        <v>142</v>
      </c>
      <c r="O3088" s="30" t="s">
        <v>64</v>
      </c>
      <c r="P3088" s="72" t="s">
        <v>78</v>
      </c>
      <c r="Q3088" s="72" t="s">
        <v>2655</v>
      </c>
      <c r="R3088" s="72" t="s">
        <v>6434</v>
      </c>
      <c r="S3088" s="30">
        <v>0</v>
      </c>
      <c r="T3088" s="232">
        <v>0</v>
      </c>
      <c r="U3088" s="30">
        <v>0</v>
      </c>
      <c r="V3088" s="232">
        <v>0</v>
      </c>
      <c r="W3088" s="30">
        <v>0</v>
      </c>
      <c r="X3088" s="30">
        <v>0</v>
      </c>
      <c r="Y3088" s="30">
        <v>0</v>
      </c>
      <c r="Z3088" s="232">
        <v>0</v>
      </c>
      <c r="AA3088" s="30">
        <v>0</v>
      </c>
      <c r="AB3088" s="30">
        <v>0</v>
      </c>
      <c r="AC3088" s="30">
        <v>0</v>
      </c>
      <c r="AD3088" s="30">
        <v>0</v>
      </c>
      <c r="AE3088" s="72" t="s">
        <v>394</v>
      </c>
      <c r="AF3088" s="72"/>
      <c r="AG3088" s="72" t="s">
        <v>133</v>
      </c>
      <c r="AH3088" s="72">
        <v>43889</v>
      </c>
      <c r="AI3088" s="30">
        <v>1</v>
      </c>
      <c r="AJ3088" s="72" t="s">
        <v>68</v>
      </c>
      <c r="AK3088" s="72" t="s">
        <v>68</v>
      </c>
      <c r="AL3088" s="70">
        <v>43892</v>
      </c>
      <c r="AM3088" s="70"/>
      <c r="AN3088" s="72"/>
      <c r="AO3088" s="70"/>
      <c r="AP3088" s="73" t="e">
        <f>MID(VLOOKUP(K3088,#REF!,2,FALSE),1,2)</f>
        <v>#REF!</v>
      </c>
      <c r="AQ3088" s="72">
        <f>DATE(2020,3,2)</f>
        <v>43892</v>
      </c>
      <c r="AR3088" s="83">
        <f t="shared" si="263"/>
        <v>2</v>
      </c>
      <c r="AS3088" s="84">
        <f t="shared" si="264"/>
        <v>3</v>
      </c>
      <c r="AT3088" s="86">
        <f t="shared" si="265"/>
        <v>2020</v>
      </c>
      <c r="AU3088" s="86"/>
      <c r="AV3088" s="87"/>
      <c r="AW3088" s="86"/>
      <c r="AX3088" s="83"/>
      <c r="AY3088" s="84"/>
      <c r="AZ3088" s="86"/>
      <c r="BA3088" s="86"/>
      <c r="BB3088" s="86"/>
    </row>
    <row r="3089" spans="1:54" ht="36.75" customHeight="1">
      <c r="A3089" s="30"/>
      <c r="B3089" s="30" t="s">
        <v>55</v>
      </c>
      <c r="C3089" s="69" t="str">
        <f t="shared" si="266"/>
        <v>Closed</v>
      </c>
      <c r="D3089" s="27" t="s">
        <v>17497</v>
      </c>
      <c r="E3089" s="29" t="s">
        <v>17498</v>
      </c>
      <c r="F3089" s="30" t="s">
        <v>423</v>
      </c>
      <c r="G3089" s="72">
        <f>DATE(2020,2,28)</f>
        <v>43889</v>
      </c>
      <c r="H3089" s="80">
        <v>1.2590277777777779</v>
      </c>
      <c r="I3089" s="30" t="s">
        <v>278</v>
      </c>
      <c r="J3089" s="72" t="s">
        <v>17499</v>
      </c>
      <c r="K3089" s="30" t="s">
        <v>425</v>
      </c>
      <c r="L3089" s="30" t="s">
        <v>17500</v>
      </c>
      <c r="M3089" s="30" t="s">
        <v>63</v>
      </c>
      <c r="N3089" s="30" t="s">
        <v>142</v>
      </c>
      <c r="O3089" s="30" t="s">
        <v>77</v>
      </c>
      <c r="P3089" s="72" t="s">
        <v>165</v>
      </c>
      <c r="Q3089" s="72" t="s">
        <v>4551</v>
      </c>
      <c r="R3089" s="72" t="s">
        <v>3103</v>
      </c>
      <c r="S3089" s="30">
        <v>0</v>
      </c>
      <c r="T3089" s="232">
        <v>1</v>
      </c>
      <c r="U3089" s="30">
        <v>0</v>
      </c>
      <c r="V3089" s="232">
        <v>0</v>
      </c>
      <c r="W3089" s="30">
        <v>0</v>
      </c>
      <c r="X3089" s="30">
        <v>1</v>
      </c>
      <c r="Y3089" s="30">
        <v>0</v>
      </c>
      <c r="Z3089" s="232">
        <v>0</v>
      </c>
      <c r="AA3089" s="30">
        <v>0</v>
      </c>
      <c r="AB3089" s="30">
        <v>0</v>
      </c>
      <c r="AC3089" s="30">
        <v>0</v>
      </c>
      <c r="AD3089" s="30">
        <v>0</v>
      </c>
      <c r="AE3089" s="72" t="s">
        <v>92</v>
      </c>
      <c r="AF3089" s="72"/>
      <c r="AG3089" s="72" t="s">
        <v>874</v>
      </c>
      <c r="AH3089" s="72">
        <v>43889</v>
      </c>
      <c r="AI3089" s="30">
        <v>0</v>
      </c>
      <c r="AJ3089" s="72" t="s">
        <v>17501</v>
      </c>
      <c r="AK3089" s="72" t="s">
        <v>17502</v>
      </c>
      <c r="AL3089" s="70">
        <v>43893</v>
      </c>
      <c r="AM3089" s="70"/>
      <c r="AN3089" s="70"/>
      <c r="AO3089" s="70"/>
      <c r="AP3089" s="73" t="e">
        <f>MID(VLOOKUP(K3089,#REF!,2,FALSE),1,2)</f>
        <v>#REF!</v>
      </c>
      <c r="AQ3089" s="72">
        <f>DATE(2020,3,3)</f>
        <v>43893</v>
      </c>
      <c r="AR3089" s="83">
        <f t="shared" si="263"/>
        <v>3</v>
      </c>
      <c r="AS3089" s="84">
        <f t="shared" si="264"/>
        <v>3</v>
      </c>
      <c r="AT3089" s="86">
        <f t="shared" si="265"/>
        <v>2020</v>
      </c>
      <c r="AU3089" s="86"/>
      <c r="AV3089" s="87"/>
      <c r="AW3089" s="86"/>
      <c r="AX3089" s="83"/>
      <c r="AY3089" s="84"/>
      <c r="AZ3089" s="86"/>
      <c r="BA3089" s="86"/>
      <c r="BB3089" s="86"/>
    </row>
    <row r="3090" spans="1:54" ht="36.75" customHeight="1">
      <c r="A3090" s="30"/>
      <c r="B3090" s="30" t="s">
        <v>55</v>
      </c>
      <c r="C3090" s="69" t="str">
        <f t="shared" si="266"/>
        <v>Closed</v>
      </c>
      <c r="D3090" s="27" t="s">
        <v>17503</v>
      </c>
      <c r="E3090" s="29" t="s">
        <v>17504</v>
      </c>
      <c r="F3090" s="30" t="s">
        <v>423</v>
      </c>
      <c r="G3090" s="72">
        <f>DATE(2020,2,28)</f>
        <v>43889</v>
      </c>
      <c r="H3090" s="80">
        <v>1.3854166666666667</v>
      </c>
      <c r="I3090" s="30" t="s">
        <v>73</v>
      </c>
      <c r="J3090" s="72" t="s">
        <v>17505</v>
      </c>
      <c r="K3090" s="30" t="s">
        <v>425</v>
      </c>
      <c r="L3090" s="30" t="s">
        <v>17506</v>
      </c>
      <c r="M3090" s="30" t="s">
        <v>63</v>
      </c>
      <c r="N3090" s="30" t="s">
        <v>142</v>
      </c>
      <c r="O3090" s="30" t="s">
        <v>77</v>
      </c>
      <c r="P3090" s="72" t="s">
        <v>17507</v>
      </c>
      <c r="Q3090" s="72" t="s">
        <v>7583</v>
      </c>
      <c r="R3090" s="72" t="s">
        <v>3103</v>
      </c>
      <c r="S3090" s="30">
        <v>0</v>
      </c>
      <c r="T3090" s="232">
        <v>0</v>
      </c>
      <c r="U3090" s="30">
        <v>0</v>
      </c>
      <c r="V3090" s="232">
        <v>0</v>
      </c>
      <c r="W3090" s="30">
        <v>0</v>
      </c>
      <c r="X3090" s="30">
        <v>0</v>
      </c>
      <c r="Y3090" s="30">
        <v>0</v>
      </c>
      <c r="Z3090" s="232">
        <v>0</v>
      </c>
      <c r="AA3090" s="30">
        <v>0</v>
      </c>
      <c r="AB3090" s="30">
        <v>0</v>
      </c>
      <c r="AC3090" s="30">
        <v>0</v>
      </c>
      <c r="AD3090" s="30">
        <v>0</v>
      </c>
      <c r="AE3090" s="72" t="s">
        <v>92</v>
      </c>
      <c r="AF3090" s="72"/>
      <c r="AG3090" s="72" t="s">
        <v>133</v>
      </c>
      <c r="AH3090" s="72">
        <v>43889</v>
      </c>
      <c r="AI3090" s="30">
        <v>0</v>
      </c>
      <c r="AJ3090" s="72" t="s">
        <v>17508</v>
      </c>
      <c r="AK3090" s="72" t="s">
        <v>17509</v>
      </c>
      <c r="AL3090" s="70">
        <v>43893</v>
      </c>
      <c r="AM3090" s="70"/>
      <c r="AN3090" s="70"/>
      <c r="AO3090" s="70"/>
      <c r="AP3090" s="73" t="e">
        <f>MID(VLOOKUP(K3090,#REF!,2,FALSE),1,2)</f>
        <v>#REF!</v>
      </c>
      <c r="AQ3090" s="72">
        <f>DATE(2020,3,3)</f>
        <v>43893</v>
      </c>
      <c r="AR3090" s="83">
        <f t="shared" si="263"/>
        <v>3</v>
      </c>
      <c r="AS3090" s="84">
        <f t="shared" si="264"/>
        <v>3</v>
      </c>
      <c r="AT3090" s="86">
        <f t="shared" si="265"/>
        <v>2020</v>
      </c>
      <c r="AU3090" s="86"/>
      <c r="AV3090" s="87"/>
      <c r="AW3090" s="86"/>
      <c r="AX3090" s="83"/>
      <c r="AY3090" s="84"/>
      <c r="AZ3090" s="86"/>
      <c r="BA3090" s="86"/>
      <c r="BB3090" s="86"/>
    </row>
    <row r="3091" spans="1:54" ht="36.75" customHeight="1">
      <c r="A3091" s="30"/>
      <c r="B3091" s="30" t="s">
        <v>55</v>
      </c>
      <c r="C3091" s="69" t="str">
        <f t="shared" si="266"/>
        <v>Closed</v>
      </c>
      <c r="D3091" s="27" t="s">
        <v>17510</v>
      </c>
      <c r="E3091" s="29" t="s">
        <v>17511</v>
      </c>
      <c r="F3091" s="30" t="s">
        <v>17344</v>
      </c>
      <c r="G3091" s="72">
        <f>DATE(2020,3,2)</f>
        <v>43892</v>
      </c>
      <c r="H3091" s="80">
        <v>1.6097222222222221</v>
      </c>
      <c r="I3091" s="30" t="s">
        <v>59</v>
      </c>
      <c r="J3091" s="72" t="s">
        <v>17512</v>
      </c>
      <c r="K3091" s="30" t="s">
        <v>127</v>
      </c>
      <c r="L3091" s="30" t="s">
        <v>17513</v>
      </c>
      <c r="M3091" s="30" t="s">
        <v>129</v>
      </c>
      <c r="N3091" s="30" t="s">
        <v>142</v>
      </c>
      <c r="O3091" s="30" t="s">
        <v>77</v>
      </c>
      <c r="P3091" s="72" t="s">
        <v>129</v>
      </c>
      <c r="Q3091" s="72" t="s">
        <v>10119</v>
      </c>
      <c r="R3091" s="72" t="s">
        <v>17514</v>
      </c>
      <c r="S3091" s="30">
        <v>0</v>
      </c>
      <c r="T3091" s="232">
        <v>0</v>
      </c>
      <c r="U3091" s="30">
        <v>0</v>
      </c>
      <c r="V3091" s="232">
        <v>0</v>
      </c>
      <c r="W3091" s="30">
        <v>0</v>
      </c>
      <c r="X3091" s="30">
        <v>0</v>
      </c>
      <c r="Y3091" s="30">
        <v>0</v>
      </c>
      <c r="Z3091" s="232">
        <v>0</v>
      </c>
      <c r="AA3091" s="30">
        <v>0</v>
      </c>
      <c r="AB3091" s="30">
        <v>0</v>
      </c>
      <c r="AC3091" s="30">
        <v>0</v>
      </c>
      <c r="AD3091" s="30">
        <v>0</v>
      </c>
      <c r="AE3091" s="72" t="s">
        <v>92</v>
      </c>
      <c r="AF3091" s="72" t="s">
        <v>16867</v>
      </c>
      <c r="AG3091" s="72" t="s">
        <v>16938</v>
      </c>
      <c r="AH3091" s="72">
        <v>43907</v>
      </c>
      <c r="AI3091" s="30">
        <v>2</v>
      </c>
      <c r="AJ3091" s="72" t="s">
        <v>17515</v>
      </c>
      <c r="AK3091" s="72" t="s">
        <v>17516</v>
      </c>
      <c r="AL3091" s="72">
        <v>43907</v>
      </c>
      <c r="AM3091" s="70"/>
      <c r="AN3091" s="70">
        <v>44550</v>
      </c>
      <c r="AO3091" s="70">
        <v>44256</v>
      </c>
      <c r="AP3091" s="73" t="e">
        <f>MID(VLOOKUP(K3091,#REF!,2,FALSE),1,2)</f>
        <v>#REF!</v>
      </c>
      <c r="AQ3091" s="72">
        <f>DATE(2020,3,4)</f>
        <v>43894</v>
      </c>
      <c r="AR3091" s="83">
        <f t="shared" si="263"/>
        <v>4</v>
      </c>
      <c r="AS3091" s="84">
        <f t="shared" si="264"/>
        <v>3</v>
      </c>
      <c r="AT3091" s="86">
        <f t="shared" si="265"/>
        <v>2020</v>
      </c>
      <c r="AU3091" s="86"/>
      <c r="AV3091" s="87"/>
      <c r="AW3091" s="86"/>
      <c r="AX3091" s="83"/>
      <c r="AY3091" s="84"/>
      <c r="AZ3091" s="86"/>
      <c r="BA3091" s="86"/>
      <c r="BB3091" s="86"/>
    </row>
    <row r="3092" spans="1:54" ht="36.75" customHeight="1">
      <c r="A3092" s="30"/>
      <c r="B3092" s="30" t="s">
        <v>55</v>
      </c>
      <c r="C3092" s="69" t="str">
        <f t="shared" si="266"/>
        <v>Closed</v>
      </c>
      <c r="D3092" s="27" t="s">
        <v>17517</v>
      </c>
      <c r="E3092" s="29" t="s">
        <v>17518</v>
      </c>
      <c r="F3092" s="30" t="s">
        <v>1770</v>
      </c>
      <c r="G3092" s="72">
        <f>DATE(2020,3,3)</f>
        <v>43893</v>
      </c>
      <c r="H3092" s="80">
        <v>1.682638888888889</v>
      </c>
      <c r="I3092" s="30" t="s">
        <v>9026</v>
      </c>
      <c r="J3092" s="72" t="s">
        <v>17519</v>
      </c>
      <c r="K3092" s="30" t="s">
        <v>1772</v>
      </c>
      <c r="L3092" s="30" t="s">
        <v>17520</v>
      </c>
      <c r="M3092" s="30" t="s">
        <v>63</v>
      </c>
      <c r="N3092" s="30" t="s">
        <v>142</v>
      </c>
      <c r="O3092" s="30" t="s">
        <v>64</v>
      </c>
      <c r="P3092" s="72" t="s">
        <v>86</v>
      </c>
      <c r="Q3092" s="72" t="s">
        <v>879</v>
      </c>
      <c r="R3092" s="72" t="s">
        <v>1775</v>
      </c>
      <c r="S3092" s="30">
        <v>0</v>
      </c>
      <c r="T3092" s="232">
        <v>0</v>
      </c>
      <c r="U3092" s="30">
        <v>0</v>
      </c>
      <c r="V3092" s="232">
        <v>0</v>
      </c>
      <c r="W3092" s="30">
        <v>0</v>
      </c>
      <c r="X3092" s="30">
        <v>0</v>
      </c>
      <c r="Y3092" s="30">
        <v>0</v>
      </c>
      <c r="Z3092" s="232">
        <v>0</v>
      </c>
      <c r="AA3092" s="30">
        <v>0</v>
      </c>
      <c r="AB3092" s="30">
        <v>0</v>
      </c>
      <c r="AC3092" s="30">
        <v>0</v>
      </c>
      <c r="AD3092" s="30">
        <v>0</v>
      </c>
      <c r="AE3092" s="72" t="s">
        <v>92</v>
      </c>
      <c r="AF3092" s="72" t="s">
        <v>17521</v>
      </c>
      <c r="AG3092" s="72" t="s">
        <v>14033</v>
      </c>
      <c r="AH3092" s="72">
        <v>43915</v>
      </c>
      <c r="AI3092" s="30">
        <v>1</v>
      </c>
      <c r="AJ3092" s="72" t="s">
        <v>17522</v>
      </c>
      <c r="AK3092" s="72" t="s">
        <v>17523</v>
      </c>
      <c r="AL3092" s="91">
        <v>43929</v>
      </c>
      <c r="AM3092" s="70"/>
      <c r="AN3092" s="70"/>
      <c r="AO3092" s="70"/>
      <c r="AP3092" s="111"/>
      <c r="AQ3092" s="129"/>
      <c r="AR3092" s="114"/>
      <c r="AS3092" s="114"/>
      <c r="AT3092" s="130"/>
      <c r="AU3092" s="86"/>
      <c r="AV3092" s="86"/>
      <c r="AW3092" s="86"/>
      <c r="AX3092" s="116"/>
      <c r="AY3092" s="116"/>
      <c r="AZ3092" s="106"/>
      <c r="BA3092" s="106"/>
      <c r="BB3092" s="106"/>
    </row>
    <row r="3093" spans="1:54" ht="36.75" customHeight="1">
      <c r="A3093" s="30"/>
      <c r="B3093" s="30" t="s">
        <v>55</v>
      </c>
      <c r="C3093" s="69" t="str">
        <f t="shared" si="266"/>
        <v>Closed</v>
      </c>
      <c r="D3093" s="27" t="s">
        <v>17524</v>
      </c>
      <c r="E3093" s="29" t="s">
        <v>17525</v>
      </c>
      <c r="F3093" s="30" t="s">
        <v>1572</v>
      </c>
      <c r="G3093" s="72">
        <f>DATE(2020,3,3)</f>
        <v>43893</v>
      </c>
      <c r="H3093" s="80">
        <v>1.4027777777777777</v>
      </c>
      <c r="I3093" s="30" t="s">
        <v>5494</v>
      </c>
      <c r="J3093" s="72" t="s">
        <v>17526</v>
      </c>
      <c r="K3093" s="30" t="s">
        <v>1574</v>
      </c>
      <c r="L3093" s="30" t="s">
        <v>17527</v>
      </c>
      <c r="M3093" s="30" t="s">
        <v>63</v>
      </c>
      <c r="N3093" s="30" t="s">
        <v>142</v>
      </c>
      <c r="O3093" s="30" t="s">
        <v>77</v>
      </c>
      <c r="P3093" s="72" t="s">
        <v>6941</v>
      </c>
      <c r="Q3093" s="72" t="s">
        <v>2413</v>
      </c>
      <c r="R3093" s="72" t="s">
        <v>6434</v>
      </c>
      <c r="S3093" s="30">
        <v>0</v>
      </c>
      <c r="T3093" s="232">
        <v>0</v>
      </c>
      <c r="U3093" s="30">
        <v>0</v>
      </c>
      <c r="V3093" s="232">
        <v>0</v>
      </c>
      <c r="W3093" s="30">
        <v>0</v>
      </c>
      <c r="X3093" s="30">
        <v>0</v>
      </c>
      <c r="Y3093" s="30">
        <v>0</v>
      </c>
      <c r="Z3093" s="232">
        <v>0</v>
      </c>
      <c r="AA3093" s="30">
        <v>0</v>
      </c>
      <c r="AB3093" s="30">
        <v>0</v>
      </c>
      <c r="AC3093" s="30">
        <v>0</v>
      </c>
      <c r="AD3093" s="30">
        <v>0</v>
      </c>
      <c r="AE3093" s="72" t="s">
        <v>92</v>
      </c>
      <c r="AF3093" s="72"/>
      <c r="AG3093" s="72" t="s">
        <v>1507</v>
      </c>
      <c r="AH3093" s="72">
        <v>43894</v>
      </c>
      <c r="AI3093" s="30">
        <v>4</v>
      </c>
      <c r="AJ3093" s="72" t="s">
        <v>17528</v>
      </c>
      <c r="AK3093" s="72" t="s">
        <v>17529</v>
      </c>
      <c r="AL3093" s="70">
        <v>43899</v>
      </c>
      <c r="AM3093" s="70"/>
      <c r="AN3093" s="70"/>
      <c r="AO3093" s="70"/>
      <c r="AP3093" s="73" t="e">
        <f>MID(VLOOKUP(K3093,#REF!,2,FALSE),1,2)</f>
        <v>#REF!</v>
      </c>
      <c r="AQ3093" s="72">
        <f>DATE(2020,3,5)</f>
        <v>43895</v>
      </c>
      <c r="AR3093" s="83">
        <f t="shared" ref="AR3093:AR3098" si="267">DAY(AQ3093)</f>
        <v>5</v>
      </c>
      <c r="AS3093" s="84">
        <f t="shared" ref="AS3093:AS3098" si="268">MONTH(AQ3093)</f>
        <v>3</v>
      </c>
      <c r="AT3093" s="86">
        <f t="shared" ref="AT3093:AT3098" si="269">YEAR(AQ3093)</f>
        <v>2020</v>
      </c>
      <c r="AU3093" s="86"/>
      <c r="AV3093" s="87"/>
      <c r="AW3093" s="86"/>
      <c r="AX3093" s="83"/>
      <c r="AY3093" s="84"/>
      <c r="AZ3093" s="86"/>
      <c r="BA3093" s="86"/>
      <c r="BB3093" s="86"/>
    </row>
    <row r="3094" spans="1:54" ht="36.75" customHeight="1">
      <c r="A3094" s="5" t="s">
        <v>12471</v>
      </c>
      <c r="B3094" s="5" t="s">
        <v>55</v>
      </c>
      <c r="C3094" s="69" t="str">
        <f t="shared" si="266"/>
        <v>Closed</v>
      </c>
      <c r="D3094" s="33" t="s">
        <v>17530</v>
      </c>
      <c r="E3094" s="28" t="s">
        <v>17531</v>
      </c>
      <c r="F3094" s="5" t="s">
        <v>17532</v>
      </c>
      <c r="G3094" s="72">
        <f>DATE(2020,3,4)</f>
        <v>43894</v>
      </c>
      <c r="H3094" s="125">
        <v>0.94027777777777777</v>
      </c>
      <c r="I3094" s="5" t="s">
        <v>6775</v>
      </c>
      <c r="J3094" s="72" t="s">
        <v>17533</v>
      </c>
      <c r="K3094" s="5" t="s">
        <v>640</v>
      </c>
      <c r="L3094" s="5" t="s">
        <v>17534</v>
      </c>
      <c r="M3094" s="5" t="s">
        <v>63</v>
      </c>
      <c r="N3094" s="5" t="s">
        <v>99</v>
      </c>
      <c r="O3094" s="5" t="s">
        <v>64</v>
      </c>
      <c r="P3094" s="72" t="s">
        <v>6902</v>
      </c>
      <c r="Q3094" s="72" t="s">
        <v>17535</v>
      </c>
      <c r="R3094" s="72" t="s">
        <v>17536</v>
      </c>
      <c r="S3094" s="5">
        <v>0</v>
      </c>
      <c r="T3094" s="5">
        <v>0</v>
      </c>
      <c r="U3094" s="5">
        <v>0</v>
      </c>
      <c r="V3094" s="5">
        <v>0</v>
      </c>
      <c r="W3094" s="5">
        <v>0</v>
      </c>
      <c r="X3094" s="5">
        <v>0</v>
      </c>
      <c r="Y3094" s="5">
        <v>0</v>
      </c>
      <c r="Z3094" s="5">
        <v>0</v>
      </c>
      <c r="AA3094" s="5">
        <v>0</v>
      </c>
      <c r="AB3094" s="5">
        <v>0</v>
      </c>
      <c r="AC3094" s="5">
        <v>0</v>
      </c>
      <c r="AD3094" s="5">
        <v>0</v>
      </c>
      <c r="AE3094" s="72" t="s">
        <v>17537</v>
      </c>
      <c r="AF3094" s="72" t="s">
        <v>17538</v>
      </c>
      <c r="AG3094" s="30" t="s">
        <v>17539</v>
      </c>
      <c r="AH3094" s="72">
        <v>44124</v>
      </c>
      <c r="AI3094" s="30">
        <v>5</v>
      </c>
      <c r="AJ3094" s="72" t="s">
        <v>17540</v>
      </c>
      <c r="AK3094" s="72" t="s">
        <v>17541</v>
      </c>
      <c r="AL3094" s="70">
        <f>DATE(2021,1,13)</f>
        <v>44209</v>
      </c>
      <c r="AM3094" s="70"/>
      <c r="AN3094" s="70"/>
      <c r="AO3094" s="70"/>
      <c r="AP3094" s="73" t="e">
        <f>MID(VLOOKUP(K3094,#REF!,2,FALSE),1,2)</f>
        <v>#REF!</v>
      </c>
      <c r="AQ3094" s="72">
        <f>DATE(2020,3,5)</f>
        <v>43895</v>
      </c>
      <c r="AR3094" s="83">
        <f t="shared" si="267"/>
        <v>5</v>
      </c>
      <c r="AS3094" s="84">
        <f t="shared" si="268"/>
        <v>3</v>
      </c>
      <c r="AT3094" s="86">
        <f t="shared" si="269"/>
        <v>2020</v>
      </c>
      <c r="AU3094" s="86"/>
      <c r="AV3094" s="87"/>
      <c r="AW3094" s="86"/>
      <c r="AX3094" s="83"/>
      <c r="AY3094" s="84"/>
      <c r="AZ3094" s="86"/>
      <c r="BA3094" s="86"/>
      <c r="BB3094" s="86"/>
    </row>
    <row r="3095" spans="1:54" ht="36.75" customHeight="1">
      <c r="A3095" s="30" t="s">
        <v>12471</v>
      </c>
      <c r="B3095" s="30" t="s">
        <v>55</v>
      </c>
      <c r="C3095" s="69" t="str">
        <f t="shared" si="266"/>
        <v>Closed</v>
      </c>
      <c r="D3095" s="36" t="s">
        <v>17542</v>
      </c>
      <c r="E3095" s="28" t="s">
        <v>17543</v>
      </c>
      <c r="F3095" s="5" t="s">
        <v>12910</v>
      </c>
      <c r="G3095" s="72">
        <f>DATE(2020,3,5)</f>
        <v>43895</v>
      </c>
      <c r="H3095" s="125">
        <v>0.50347222222222221</v>
      </c>
      <c r="I3095" s="5" t="s">
        <v>116</v>
      </c>
      <c r="J3095" s="5" t="s">
        <v>17544</v>
      </c>
      <c r="K3095" s="5" t="s">
        <v>453</v>
      </c>
      <c r="L3095" s="5" t="s">
        <v>17545</v>
      </c>
      <c r="M3095" s="5"/>
      <c r="N3095" s="5"/>
      <c r="O3095" s="5" t="s">
        <v>64</v>
      </c>
      <c r="P3095" s="5" t="s">
        <v>6552</v>
      </c>
      <c r="Q3095" s="5" t="s">
        <v>16592</v>
      </c>
      <c r="R3095" s="5" t="s">
        <v>17546</v>
      </c>
      <c r="S3095" s="5">
        <v>0</v>
      </c>
      <c r="T3095" s="5">
        <v>0</v>
      </c>
      <c r="U3095" s="5">
        <v>0</v>
      </c>
      <c r="V3095" s="5">
        <v>0</v>
      </c>
      <c r="W3095" s="5">
        <v>0</v>
      </c>
      <c r="X3095" s="5">
        <v>0</v>
      </c>
      <c r="Y3095" s="5">
        <v>0</v>
      </c>
      <c r="Z3095" s="5">
        <v>0</v>
      </c>
      <c r="AA3095" s="5">
        <v>1</v>
      </c>
      <c r="AB3095" s="5">
        <v>0</v>
      </c>
      <c r="AC3095" s="5">
        <v>0</v>
      </c>
      <c r="AD3095" s="5">
        <v>1</v>
      </c>
      <c r="AE3095" s="5"/>
      <c r="AF3095" s="5"/>
      <c r="AG3095" s="5"/>
      <c r="AH3095" s="72" t="s">
        <v>68</v>
      </c>
      <c r="AI3095" s="5">
        <v>0</v>
      </c>
      <c r="AJ3095" s="5"/>
      <c r="AK3095" s="5"/>
      <c r="AL3095" s="21">
        <v>44480</v>
      </c>
      <c r="AM3095" s="22"/>
      <c r="AN3095" s="23"/>
      <c r="AO3095" s="23"/>
      <c r="AP3095" s="73" t="e">
        <f>MID(VLOOKUP(K3095,#REF!,2,FALSE),1,2)</f>
        <v>#REF!</v>
      </c>
      <c r="AQ3095" s="72">
        <f>DATE(2020,3,5)</f>
        <v>43895</v>
      </c>
      <c r="AR3095" s="83">
        <f t="shared" si="267"/>
        <v>5</v>
      </c>
      <c r="AS3095" s="84">
        <f t="shared" si="268"/>
        <v>3</v>
      </c>
      <c r="AT3095" s="86">
        <f t="shared" si="269"/>
        <v>2020</v>
      </c>
      <c r="AU3095" s="86"/>
      <c r="AV3095" s="87"/>
      <c r="AW3095" s="86"/>
      <c r="AX3095" s="83"/>
      <c r="AY3095" s="84"/>
      <c r="AZ3095" s="86"/>
      <c r="BA3095" s="86"/>
      <c r="BB3095" s="86"/>
    </row>
    <row r="3096" spans="1:54" ht="36.75" customHeight="1">
      <c r="A3096" s="30"/>
      <c r="B3096" s="30" t="s">
        <v>55</v>
      </c>
      <c r="C3096" s="69" t="str">
        <f t="shared" si="266"/>
        <v>Closed</v>
      </c>
      <c r="D3096" s="27" t="s">
        <v>17547</v>
      </c>
      <c r="E3096" s="29" t="s">
        <v>17548</v>
      </c>
      <c r="F3096" s="30" t="s">
        <v>115</v>
      </c>
      <c r="G3096" s="72">
        <f>DATE(2020,3,5)</f>
        <v>43895</v>
      </c>
      <c r="H3096" s="80">
        <v>1.3138888888888889</v>
      </c>
      <c r="I3096" s="30" t="s">
        <v>73</v>
      </c>
      <c r="J3096" s="72" t="s">
        <v>17549</v>
      </c>
      <c r="K3096" s="30" t="s">
        <v>118</v>
      </c>
      <c r="L3096" s="30" t="s">
        <v>17550</v>
      </c>
      <c r="M3096" s="30" t="s">
        <v>63</v>
      </c>
      <c r="N3096" s="30" t="s">
        <v>142</v>
      </c>
      <c r="O3096" s="30" t="s">
        <v>64</v>
      </c>
      <c r="P3096" s="72" t="s">
        <v>462</v>
      </c>
      <c r="Q3096" s="72" t="s">
        <v>120</v>
      </c>
      <c r="R3096" s="72" t="s">
        <v>121</v>
      </c>
      <c r="S3096" s="30">
        <v>0</v>
      </c>
      <c r="T3096" s="232">
        <v>0</v>
      </c>
      <c r="U3096" s="30">
        <v>0</v>
      </c>
      <c r="V3096" s="232">
        <v>0</v>
      </c>
      <c r="W3096" s="30">
        <v>0</v>
      </c>
      <c r="X3096" s="30">
        <v>0</v>
      </c>
      <c r="Y3096" s="30">
        <v>0</v>
      </c>
      <c r="Z3096" s="232">
        <v>1</v>
      </c>
      <c r="AA3096" s="30">
        <v>0</v>
      </c>
      <c r="AB3096" s="30">
        <v>0</v>
      </c>
      <c r="AC3096" s="30">
        <v>0</v>
      </c>
      <c r="AD3096" s="30">
        <v>1</v>
      </c>
      <c r="AE3096" s="72" t="s">
        <v>145</v>
      </c>
      <c r="AF3096" s="72" t="s">
        <v>17551</v>
      </c>
      <c r="AG3096" s="72" t="s">
        <v>6459</v>
      </c>
      <c r="AH3096" s="72">
        <v>43895</v>
      </c>
      <c r="AI3096" s="30">
        <v>4</v>
      </c>
      <c r="AJ3096" s="72" t="s">
        <v>17552</v>
      </c>
      <c r="AK3096" s="72" t="s">
        <v>17553</v>
      </c>
      <c r="AL3096" s="70">
        <v>43900</v>
      </c>
      <c r="AM3096" s="70"/>
      <c r="AN3096" s="70">
        <v>44586</v>
      </c>
      <c r="AO3096" s="70">
        <v>44582</v>
      </c>
      <c r="AP3096" s="73" t="e">
        <f>MID(VLOOKUP(K3096,#REF!,2,FALSE),1,2)</f>
        <v>#REF!</v>
      </c>
      <c r="AQ3096" s="72">
        <f>DATE(2020,3,6)</f>
        <v>43896</v>
      </c>
      <c r="AR3096" s="83">
        <f t="shared" si="267"/>
        <v>6</v>
      </c>
      <c r="AS3096" s="84">
        <f t="shared" si="268"/>
        <v>3</v>
      </c>
      <c r="AT3096" s="120">
        <f t="shared" si="269"/>
        <v>2020</v>
      </c>
      <c r="AU3096" s="86"/>
      <c r="AV3096" s="87"/>
      <c r="AW3096" s="86"/>
      <c r="AX3096" s="83"/>
      <c r="AY3096" s="84"/>
      <c r="AZ3096" s="86"/>
      <c r="BA3096" s="86"/>
      <c r="BB3096" s="86"/>
    </row>
    <row r="3097" spans="1:54" ht="36.75" customHeight="1">
      <c r="A3097" s="30"/>
      <c r="B3097" s="30" t="s">
        <v>55</v>
      </c>
      <c r="C3097" s="69" t="str">
        <f t="shared" si="266"/>
        <v>Closed</v>
      </c>
      <c r="D3097" s="27" t="s">
        <v>17554</v>
      </c>
      <c r="E3097" s="29" t="s">
        <v>17555</v>
      </c>
      <c r="F3097" s="30" t="s">
        <v>1572</v>
      </c>
      <c r="G3097" s="72">
        <f>DATE(2020,3,5)</f>
        <v>43895</v>
      </c>
      <c r="H3097" s="80">
        <v>1.476388888888889</v>
      </c>
      <c r="I3097" s="30" t="s">
        <v>5494</v>
      </c>
      <c r="J3097" s="72" t="s">
        <v>17556</v>
      </c>
      <c r="K3097" s="30" t="s">
        <v>1574</v>
      </c>
      <c r="L3097" s="30" t="s">
        <v>17557</v>
      </c>
      <c r="M3097" s="30" t="s">
        <v>63</v>
      </c>
      <c r="N3097" s="30" t="s">
        <v>142</v>
      </c>
      <c r="O3097" s="30" t="s">
        <v>77</v>
      </c>
      <c r="P3097" s="72" t="s">
        <v>6941</v>
      </c>
      <c r="Q3097" s="72" t="s">
        <v>2413</v>
      </c>
      <c r="R3097" s="72" t="s">
        <v>6434</v>
      </c>
      <c r="S3097" s="30">
        <v>0</v>
      </c>
      <c r="T3097" s="232">
        <v>0</v>
      </c>
      <c r="U3097" s="30">
        <v>0</v>
      </c>
      <c r="V3097" s="232">
        <v>0</v>
      </c>
      <c r="W3097" s="30">
        <v>0</v>
      </c>
      <c r="X3097" s="30">
        <v>0</v>
      </c>
      <c r="Y3097" s="30">
        <v>0</v>
      </c>
      <c r="Z3097" s="232">
        <v>0</v>
      </c>
      <c r="AA3097" s="30">
        <v>0</v>
      </c>
      <c r="AB3097" s="30">
        <v>0</v>
      </c>
      <c r="AC3097" s="30">
        <v>0</v>
      </c>
      <c r="AD3097" s="30">
        <v>0</v>
      </c>
      <c r="AE3097" s="72" t="s">
        <v>92</v>
      </c>
      <c r="AF3097" s="72"/>
      <c r="AG3097" s="72" t="s">
        <v>1507</v>
      </c>
      <c r="AH3097" s="72">
        <v>43895</v>
      </c>
      <c r="AI3097" s="30">
        <v>0</v>
      </c>
      <c r="AJ3097" s="72" t="s">
        <v>17558</v>
      </c>
      <c r="AK3097" s="72" t="s">
        <v>17559</v>
      </c>
      <c r="AL3097" s="70">
        <v>43899</v>
      </c>
      <c r="AM3097" s="70"/>
      <c r="AN3097" s="70"/>
      <c r="AO3097" s="70"/>
      <c r="AP3097" s="73" t="e">
        <f>MID(VLOOKUP(K3097,#REF!,2,FALSE),1,2)</f>
        <v>#REF!</v>
      </c>
      <c r="AQ3097" s="72">
        <f>DATE(2020,3,9)</f>
        <v>43899</v>
      </c>
      <c r="AR3097" s="83">
        <f t="shared" si="267"/>
        <v>9</v>
      </c>
      <c r="AS3097" s="84">
        <f t="shared" si="268"/>
        <v>3</v>
      </c>
      <c r="AT3097" s="86">
        <f t="shared" si="269"/>
        <v>2020</v>
      </c>
      <c r="AU3097" s="86"/>
      <c r="AV3097" s="87"/>
      <c r="AW3097" s="86"/>
      <c r="AX3097" s="83"/>
      <c r="AY3097" s="84"/>
      <c r="AZ3097" s="86"/>
      <c r="BA3097" s="86"/>
      <c r="BB3097" s="86"/>
    </row>
    <row r="3098" spans="1:54" ht="36.75" customHeight="1">
      <c r="A3098" s="30"/>
      <c r="B3098" s="30" t="s">
        <v>55</v>
      </c>
      <c r="C3098" s="69" t="str">
        <f t="shared" si="266"/>
        <v>Closed</v>
      </c>
      <c r="D3098" s="27" t="s">
        <v>17560</v>
      </c>
      <c r="E3098" s="29" t="s">
        <v>17561</v>
      </c>
      <c r="F3098" s="30" t="s">
        <v>138</v>
      </c>
      <c r="G3098" s="72">
        <f>DATE(2020,3,5)</f>
        <v>43895</v>
      </c>
      <c r="H3098" s="80">
        <v>1.786111111111111</v>
      </c>
      <c r="I3098" s="30" t="s">
        <v>116</v>
      </c>
      <c r="J3098" s="72" t="s">
        <v>17562</v>
      </c>
      <c r="K3098" s="30" t="s">
        <v>140</v>
      </c>
      <c r="L3098" s="30" t="s">
        <v>17563</v>
      </c>
      <c r="M3098" s="30" t="s">
        <v>63</v>
      </c>
      <c r="N3098" s="30" t="s">
        <v>99</v>
      </c>
      <c r="O3098" s="30" t="s">
        <v>64</v>
      </c>
      <c r="P3098" s="72" t="s">
        <v>165</v>
      </c>
      <c r="Q3098" s="72" t="s">
        <v>2034</v>
      </c>
      <c r="R3098" s="72" t="s">
        <v>4934</v>
      </c>
      <c r="S3098" s="30">
        <v>0</v>
      </c>
      <c r="T3098" s="99">
        <v>0</v>
      </c>
      <c r="U3098" s="30">
        <v>0</v>
      </c>
      <c r="V3098" s="99">
        <v>0</v>
      </c>
      <c r="W3098" s="30">
        <v>0</v>
      </c>
      <c r="X3098" s="30">
        <v>0</v>
      </c>
      <c r="Y3098" s="30">
        <v>0</v>
      </c>
      <c r="Z3098" s="99">
        <v>0</v>
      </c>
      <c r="AA3098" s="30">
        <v>0</v>
      </c>
      <c r="AB3098" s="30">
        <v>0</v>
      </c>
      <c r="AC3098" s="30">
        <v>0</v>
      </c>
      <c r="AD3098" s="30">
        <v>0</v>
      </c>
      <c r="AE3098" s="72" t="s">
        <v>394</v>
      </c>
      <c r="AF3098" s="72"/>
      <c r="AG3098" s="72" t="s">
        <v>82</v>
      </c>
      <c r="AH3098" s="72">
        <v>43910</v>
      </c>
      <c r="AI3098" s="30">
        <v>6</v>
      </c>
      <c r="AJ3098" s="72" t="s">
        <v>68</v>
      </c>
      <c r="AK3098" s="72" t="s">
        <v>68</v>
      </c>
      <c r="AL3098" s="70">
        <v>43966</v>
      </c>
      <c r="AM3098" s="70"/>
      <c r="AN3098" s="70"/>
      <c r="AO3098" s="70"/>
      <c r="AP3098" s="73" t="e">
        <f>MID(VLOOKUP(K3098,#REF!,2,FALSE),1,2)</f>
        <v>#REF!</v>
      </c>
      <c r="AQ3098" s="72">
        <f>DATE(2020,3,9)</f>
        <v>43899</v>
      </c>
      <c r="AR3098" s="83">
        <f t="shared" si="267"/>
        <v>9</v>
      </c>
      <c r="AS3098" s="84">
        <f t="shared" si="268"/>
        <v>3</v>
      </c>
      <c r="AT3098" s="86">
        <f t="shared" si="269"/>
        <v>2020</v>
      </c>
      <c r="AU3098" s="86"/>
      <c r="AV3098" s="87"/>
      <c r="AW3098" s="86"/>
      <c r="AX3098" s="83"/>
      <c r="AY3098" s="84"/>
      <c r="AZ3098" s="86"/>
      <c r="BA3098" s="86"/>
      <c r="BB3098" s="86"/>
    </row>
    <row r="3099" spans="1:54" ht="36.75" customHeight="1">
      <c r="A3099" s="98" t="s">
        <v>4910</v>
      </c>
      <c r="B3099" s="30" t="s">
        <v>55</v>
      </c>
      <c r="C3099" s="69" t="str">
        <f t="shared" si="266"/>
        <v>Closed</v>
      </c>
      <c r="D3099" s="27" t="s">
        <v>17564</v>
      </c>
      <c r="E3099" s="29" t="s">
        <v>17565</v>
      </c>
      <c r="F3099" s="30" t="s">
        <v>1572</v>
      </c>
      <c r="G3099" s="72">
        <f>DATE(2020,3,6)</f>
        <v>43896</v>
      </c>
      <c r="H3099" s="80">
        <v>1.6354166666666665</v>
      </c>
      <c r="I3099" s="30" t="s">
        <v>5494</v>
      </c>
      <c r="J3099" s="72" t="s">
        <v>17566</v>
      </c>
      <c r="K3099" s="30" t="s">
        <v>1574</v>
      </c>
      <c r="L3099" s="30" t="s">
        <v>12002</v>
      </c>
      <c r="M3099" s="30" t="s">
        <v>63</v>
      </c>
      <c r="N3099" s="30" t="s">
        <v>142</v>
      </c>
      <c r="O3099" s="30" t="s">
        <v>77</v>
      </c>
      <c r="P3099" s="72" t="s">
        <v>6941</v>
      </c>
      <c r="Q3099" s="72" t="s">
        <v>2413</v>
      </c>
      <c r="R3099" s="72" t="s">
        <v>6434</v>
      </c>
      <c r="S3099" s="30">
        <v>0</v>
      </c>
      <c r="T3099" s="99">
        <v>0</v>
      </c>
      <c r="U3099" s="30">
        <v>0</v>
      </c>
      <c r="V3099" s="99">
        <v>0</v>
      </c>
      <c r="W3099" s="30">
        <v>0</v>
      </c>
      <c r="X3099" s="30">
        <v>0</v>
      </c>
      <c r="Y3099" s="30">
        <v>0</v>
      </c>
      <c r="Z3099" s="99">
        <v>0</v>
      </c>
      <c r="AA3099" s="30">
        <v>0</v>
      </c>
      <c r="AB3099" s="30">
        <v>0</v>
      </c>
      <c r="AC3099" s="30">
        <v>0</v>
      </c>
      <c r="AD3099" s="30">
        <v>0</v>
      </c>
      <c r="AE3099" s="72" t="s">
        <v>92</v>
      </c>
      <c r="AF3099" s="72"/>
      <c r="AG3099" s="72" t="s">
        <v>1507</v>
      </c>
      <c r="AH3099" s="72">
        <v>43899</v>
      </c>
      <c r="AI3099" s="30">
        <v>2</v>
      </c>
      <c r="AJ3099" s="72" t="s">
        <v>68</v>
      </c>
      <c r="AK3099" s="72" t="s">
        <v>68</v>
      </c>
      <c r="AL3099" s="70">
        <v>43899</v>
      </c>
      <c r="AM3099" s="70"/>
      <c r="AN3099" s="70"/>
      <c r="AO3099" s="70"/>
      <c r="AP3099" s="111"/>
      <c r="AQ3099" s="129"/>
      <c r="AR3099" s="114"/>
      <c r="AS3099" s="114"/>
      <c r="AT3099" s="130"/>
      <c r="AU3099" s="86"/>
      <c r="AV3099" s="86"/>
      <c r="AW3099" s="86"/>
      <c r="AX3099" s="116"/>
      <c r="AY3099" s="116"/>
      <c r="AZ3099" s="106"/>
      <c r="BA3099" s="106"/>
      <c r="BB3099" s="106"/>
    </row>
    <row r="3100" spans="1:54" ht="36.75" customHeight="1">
      <c r="A3100" s="98" t="s">
        <v>4910</v>
      </c>
      <c r="B3100" s="30" t="s">
        <v>55</v>
      </c>
      <c r="C3100" s="69" t="str">
        <f t="shared" si="266"/>
        <v>Closed</v>
      </c>
      <c r="D3100" s="27" t="s">
        <v>17567</v>
      </c>
      <c r="E3100" s="29" t="s">
        <v>17568</v>
      </c>
      <c r="F3100" s="30" t="s">
        <v>2336</v>
      </c>
      <c r="G3100" s="72">
        <f>DATE(2020,3,9)</f>
        <v>43899</v>
      </c>
      <c r="H3100" s="80">
        <v>1.1770833333333333</v>
      </c>
      <c r="I3100" s="30" t="s">
        <v>198</v>
      </c>
      <c r="J3100" s="72" t="s">
        <v>17569</v>
      </c>
      <c r="K3100" s="30" t="s">
        <v>2338</v>
      </c>
      <c r="L3100" s="30" t="s">
        <v>17570</v>
      </c>
      <c r="M3100" s="30" t="s">
        <v>63</v>
      </c>
      <c r="N3100" s="30" t="s">
        <v>142</v>
      </c>
      <c r="O3100" s="30" t="s">
        <v>77</v>
      </c>
      <c r="P3100" s="72" t="s">
        <v>17571</v>
      </c>
      <c r="Q3100" s="72" t="s">
        <v>2338</v>
      </c>
      <c r="R3100" s="72" t="s">
        <v>2341</v>
      </c>
      <c r="S3100" s="30">
        <v>0</v>
      </c>
      <c r="T3100" s="232">
        <v>2</v>
      </c>
      <c r="U3100" s="30">
        <v>0</v>
      </c>
      <c r="V3100" s="232">
        <v>0</v>
      </c>
      <c r="W3100" s="30">
        <v>0</v>
      </c>
      <c r="X3100" s="30">
        <v>2</v>
      </c>
      <c r="Y3100" s="30">
        <v>0</v>
      </c>
      <c r="Z3100" s="232">
        <v>0</v>
      </c>
      <c r="AA3100" s="30">
        <v>0</v>
      </c>
      <c r="AB3100" s="30">
        <v>0</v>
      </c>
      <c r="AC3100" s="30">
        <v>0</v>
      </c>
      <c r="AD3100" s="30">
        <v>0</v>
      </c>
      <c r="AE3100" s="72" t="s">
        <v>92</v>
      </c>
      <c r="AF3100" s="72"/>
      <c r="AG3100" s="72" t="s">
        <v>82</v>
      </c>
      <c r="AH3100" s="72">
        <v>43902</v>
      </c>
      <c r="AI3100" s="30">
        <v>7</v>
      </c>
      <c r="AJ3100" s="72" t="s">
        <v>68</v>
      </c>
      <c r="AK3100" s="72" t="s">
        <v>68</v>
      </c>
      <c r="AL3100" s="70">
        <v>43916</v>
      </c>
      <c r="AM3100" s="70"/>
      <c r="AN3100" s="72"/>
      <c r="AO3100" s="72"/>
      <c r="AP3100" s="73" t="e">
        <f>MID(VLOOKUP(K3100,#REF!,2,FALSE),1,2)</f>
        <v>#REF!</v>
      </c>
      <c r="AQ3100" s="72">
        <f>DATE(2020,3,18)</f>
        <v>43908</v>
      </c>
      <c r="AR3100" s="83">
        <f t="shared" ref="AR3100:AR3107" si="270">DAY(AQ3100)</f>
        <v>18</v>
      </c>
      <c r="AS3100" s="84">
        <f t="shared" ref="AS3100:AS3107" si="271">MONTH(AQ3100)</f>
        <v>3</v>
      </c>
      <c r="AT3100" s="86">
        <f t="shared" ref="AT3100:AT3107" si="272">YEAR(AQ3100)</f>
        <v>2020</v>
      </c>
      <c r="AU3100" s="86"/>
      <c r="AV3100" s="87"/>
      <c r="AW3100" s="86"/>
      <c r="AX3100" s="83"/>
      <c r="AY3100" s="84"/>
      <c r="AZ3100" s="86"/>
      <c r="BA3100" s="86"/>
      <c r="BB3100" s="86"/>
    </row>
    <row r="3101" spans="1:54" ht="36.75" customHeight="1">
      <c r="A3101" s="30" t="s">
        <v>4910</v>
      </c>
      <c r="B3101" s="30" t="s">
        <v>55</v>
      </c>
      <c r="C3101" s="69" t="str">
        <f t="shared" si="266"/>
        <v>Closed</v>
      </c>
      <c r="D3101" s="27" t="s">
        <v>17572</v>
      </c>
      <c r="E3101" s="29" t="s">
        <v>17573</v>
      </c>
      <c r="F3101" s="30" t="s">
        <v>233</v>
      </c>
      <c r="G3101" s="72">
        <f>DATE(2020,3,9)</f>
        <v>43899</v>
      </c>
      <c r="H3101" s="102">
        <v>1.3527777777777779</v>
      </c>
      <c r="I3101" s="30" t="s">
        <v>487</v>
      </c>
      <c r="J3101" s="72" t="s">
        <v>17574</v>
      </c>
      <c r="K3101" s="30" t="s">
        <v>235</v>
      </c>
      <c r="L3101" s="30" t="s">
        <v>17575</v>
      </c>
      <c r="M3101" s="30" t="s">
        <v>63</v>
      </c>
      <c r="N3101" s="30" t="s">
        <v>142</v>
      </c>
      <c r="O3101" s="30" t="s">
        <v>64</v>
      </c>
      <c r="P3101" s="72" t="s">
        <v>91</v>
      </c>
      <c r="Q3101" s="72" t="s">
        <v>2759</v>
      </c>
      <c r="R3101" s="72" t="s">
        <v>235</v>
      </c>
      <c r="S3101" s="30">
        <v>0</v>
      </c>
      <c r="T3101" s="232">
        <v>0</v>
      </c>
      <c r="U3101" s="30">
        <v>0</v>
      </c>
      <c r="V3101" s="232">
        <v>0</v>
      </c>
      <c r="W3101" s="30">
        <v>0</v>
      </c>
      <c r="X3101" s="30">
        <v>0</v>
      </c>
      <c r="Y3101" s="30">
        <v>0</v>
      </c>
      <c r="Z3101" s="232">
        <v>0</v>
      </c>
      <c r="AA3101" s="30">
        <v>0</v>
      </c>
      <c r="AB3101" s="30">
        <v>0</v>
      </c>
      <c r="AC3101" s="30">
        <v>0</v>
      </c>
      <c r="AD3101" s="30">
        <v>0</v>
      </c>
      <c r="AE3101" s="72" t="s">
        <v>92</v>
      </c>
      <c r="AF3101" s="72"/>
      <c r="AG3101" s="72" t="s">
        <v>133</v>
      </c>
      <c r="AH3101" s="72">
        <v>43906</v>
      </c>
      <c r="AI3101" s="30">
        <v>0</v>
      </c>
      <c r="AJ3101" s="72" t="s">
        <v>68</v>
      </c>
      <c r="AK3101" s="72" t="s">
        <v>68</v>
      </c>
      <c r="AL3101" s="70">
        <v>43920</v>
      </c>
      <c r="AM3101" s="70"/>
      <c r="AN3101" s="70"/>
      <c r="AO3101" s="70"/>
      <c r="AP3101" s="73" t="e">
        <f>MID(VLOOKUP(K3101,#REF!,2,FALSE),1,2)</f>
        <v>#REF!</v>
      </c>
      <c r="AQ3101" s="72">
        <f>DATE(2020,3,20)</f>
        <v>43910</v>
      </c>
      <c r="AR3101" s="83">
        <f t="shared" si="270"/>
        <v>20</v>
      </c>
      <c r="AS3101" s="84">
        <f t="shared" si="271"/>
        <v>3</v>
      </c>
      <c r="AT3101" s="86">
        <f t="shared" si="272"/>
        <v>2020</v>
      </c>
      <c r="AU3101" s="86"/>
      <c r="AV3101" s="87"/>
      <c r="AW3101" s="86"/>
      <c r="AX3101" s="83"/>
      <c r="AY3101" s="84"/>
      <c r="AZ3101" s="86"/>
      <c r="BA3101" s="86"/>
      <c r="BB3101" s="86"/>
    </row>
    <row r="3102" spans="1:54" ht="36.75" customHeight="1">
      <c r="A3102" s="30" t="s">
        <v>12471</v>
      </c>
      <c r="B3102" s="30" t="s">
        <v>55</v>
      </c>
      <c r="C3102" s="69" t="str">
        <f t="shared" si="266"/>
        <v>Closed</v>
      </c>
      <c r="D3102" s="36" t="s">
        <v>17576</v>
      </c>
      <c r="E3102" s="29" t="s">
        <v>17577</v>
      </c>
      <c r="F3102" s="30" t="s">
        <v>17578</v>
      </c>
      <c r="G3102" s="72">
        <f>DATE(2020,3,15)</f>
        <v>43905</v>
      </c>
      <c r="H3102" s="125">
        <v>0.81874999999999998</v>
      </c>
      <c r="I3102" s="30" t="s">
        <v>104</v>
      </c>
      <c r="J3102" s="30" t="s">
        <v>17579</v>
      </c>
      <c r="K3102" s="30" t="s">
        <v>837</v>
      </c>
      <c r="L3102" s="30" t="s">
        <v>17580</v>
      </c>
      <c r="M3102" s="30" t="s">
        <v>63</v>
      </c>
      <c r="N3102" s="30" t="s">
        <v>89</v>
      </c>
      <c r="O3102" s="30" t="s">
        <v>77</v>
      </c>
      <c r="P3102" s="30" t="s">
        <v>165</v>
      </c>
      <c r="Q3102" s="30" t="s">
        <v>17581</v>
      </c>
      <c r="R3102" s="30" t="s">
        <v>17369</v>
      </c>
      <c r="S3102" s="30">
        <v>0</v>
      </c>
      <c r="T3102" s="30">
        <v>0</v>
      </c>
      <c r="U3102" s="30">
        <v>0</v>
      </c>
      <c r="V3102" s="30">
        <v>0</v>
      </c>
      <c r="W3102" s="30">
        <v>0</v>
      </c>
      <c r="X3102" s="30">
        <v>0</v>
      </c>
      <c r="Y3102" s="30">
        <v>0</v>
      </c>
      <c r="Z3102" s="30">
        <v>0</v>
      </c>
      <c r="AA3102" s="30">
        <v>0</v>
      </c>
      <c r="AB3102" s="30">
        <v>0</v>
      </c>
      <c r="AC3102" s="30">
        <v>0</v>
      </c>
      <c r="AD3102" s="30">
        <v>0</v>
      </c>
      <c r="AE3102" s="72" t="s">
        <v>92</v>
      </c>
      <c r="AF3102" s="30" t="s">
        <v>17469</v>
      </c>
      <c r="AG3102" s="30" t="s">
        <v>17539</v>
      </c>
      <c r="AH3102" s="72">
        <v>43906</v>
      </c>
      <c r="AI3102" s="30">
        <v>0</v>
      </c>
      <c r="AJ3102" s="30" t="s">
        <v>17582</v>
      </c>
      <c r="AK3102" s="30"/>
      <c r="AL3102" s="131" t="s">
        <v>68</v>
      </c>
      <c r="AM3102" s="132"/>
      <c r="AN3102" s="70">
        <v>45012</v>
      </c>
      <c r="AO3102" s="70">
        <v>44530</v>
      </c>
      <c r="AP3102" s="73" t="e">
        <f>MID(VLOOKUP(K3102,#REF!,2,FALSE),1,2)</f>
        <v>#REF!</v>
      </c>
      <c r="AQ3102" s="72">
        <f>DATE(2020,3,20)</f>
        <v>43910</v>
      </c>
      <c r="AR3102" s="83">
        <f t="shared" si="270"/>
        <v>20</v>
      </c>
      <c r="AS3102" s="84">
        <f t="shared" si="271"/>
        <v>3</v>
      </c>
      <c r="AT3102" s="86">
        <f t="shared" si="272"/>
        <v>2020</v>
      </c>
      <c r="AU3102" s="86"/>
      <c r="AV3102" s="87"/>
      <c r="AW3102" s="86"/>
      <c r="AX3102" s="83"/>
      <c r="AY3102" s="84"/>
      <c r="AZ3102" s="86"/>
      <c r="BA3102" s="86"/>
      <c r="BB3102" s="86"/>
    </row>
    <row r="3103" spans="1:54" ht="36.75" customHeight="1">
      <c r="A3103" s="30"/>
      <c r="B3103" s="30" t="s">
        <v>55</v>
      </c>
      <c r="C3103" s="69" t="str">
        <f t="shared" si="266"/>
        <v>Closed</v>
      </c>
      <c r="D3103" s="27" t="s">
        <v>17583</v>
      </c>
      <c r="E3103" s="29" t="s">
        <v>17584</v>
      </c>
      <c r="F3103" s="30" t="s">
        <v>16310</v>
      </c>
      <c r="G3103" s="72">
        <f>DATE(2020,3,18)</f>
        <v>43908</v>
      </c>
      <c r="H3103" s="80">
        <v>1.4013888888888888</v>
      </c>
      <c r="I3103" s="30" t="s">
        <v>278</v>
      </c>
      <c r="J3103" s="72" t="s">
        <v>17585</v>
      </c>
      <c r="K3103" s="30" t="s">
        <v>118</v>
      </c>
      <c r="L3103" s="30" t="s">
        <v>17586</v>
      </c>
      <c r="M3103" s="30" t="s">
        <v>63</v>
      </c>
      <c r="N3103" s="30" t="s">
        <v>89</v>
      </c>
      <c r="O3103" s="30" t="s">
        <v>64</v>
      </c>
      <c r="P3103" s="72" t="s">
        <v>165</v>
      </c>
      <c r="Q3103" s="72" t="s">
        <v>16313</v>
      </c>
      <c r="R3103" s="72" t="s">
        <v>16314</v>
      </c>
      <c r="S3103" s="30">
        <v>0</v>
      </c>
      <c r="T3103" s="232">
        <v>1</v>
      </c>
      <c r="U3103" s="30">
        <v>0</v>
      </c>
      <c r="V3103" s="232">
        <v>0</v>
      </c>
      <c r="W3103" s="30">
        <v>0</v>
      </c>
      <c r="X3103" s="30">
        <v>1</v>
      </c>
      <c r="Y3103" s="30">
        <v>0</v>
      </c>
      <c r="Z3103" s="232">
        <v>1</v>
      </c>
      <c r="AA3103" s="30">
        <v>0</v>
      </c>
      <c r="AB3103" s="30">
        <v>0</v>
      </c>
      <c r="AC3103" s="30">
        <v>0</v>
      </c>
      <c r="AD3103" s="30">
        <v>1</v>
      </c>
      <c r="AE3103" s="72" t="s">
        <v>92</v>
      </c>
      <c r="AF3103" s="72" t="s">
        <v>17587</v>
      </c>
      <c r="AG3103" s="72" t="s">
        <v>6459</v>
      </c>
      <c r="AH3103" s="72">
        <v>43909</v>
      </c>
      <c r="AI3103" s="30">
        <v>4</v>
      </c>
      <c r="AJ3103" s="72" t="s">
        <v>17588</v>
      </c>
      <c r="AK3103" s="72" t="s">
        <v>17589</v>
      </c>
      <c r="AL3103" s="70">
        <v>44085</v>
      </c>
      <c r="AM3103" s="70"/>
      <c r="AN3103" s="70">
        <v>44764</v>
      </c>
      <c r="AO3103" s="70">
        <v>44761</v>
      </c>
      <c r="AP3103" s="73" t="e">
        <f>MID(VLOOKUP(K3103,#REF!,2,FALSE),1,2)</f>
        <v>#REF!</v>
      </c>
      <c r="AQ3103" s="72">
        <f>DATE(2020,3,21)</f>
        <v>43911</v>
      </c>
      <c r="AR3103" s="83">
        <f t="shared" si="270"/>
        <v>21</v>
      </c>
      <c r="AS3103" s="84">
        <f t="shared" si="271"/>
        <v>3</v>
      </c>
      <c r="AT3103" s="86">
        <f t="shared" si="272"/>
        <v>2020</v>
      </c>
      <c r="AU3103" s="86"/>
      <c r="AV3103" s="87"/>
      <c r="AW3103" s="86"/>
      <c r="AX3103" s="83"/>
      <c r="AY3103" s="84"/>
      <c r="AZ3103" s="86"/>
      <c r="BA3103" s="86"/>
      <c r="BB3103" s="86"/>
    </row>
    <row r="3104" spans="1:54" ht="36.75" customHeight="1">
      <c r="A3104" s="98" t="s">
        <v>4910</v>
      </c>
      <c r="B3104" s="30" t="s">
        <v>55</v>
      </c>
      <c r="C3104" s="69" t="str">
        <f t="shared" si="266"/>
        <v>Closed</v>
      </c>
      <c r="D3104" s="27" t="s">
        <v>17590</v>
      </c>
      <c r="E3104" s="29" t="s">
        <v>17591</v>
      </c>
      <c r="F3104" s="30" t="s">
        <v>423</v>
      </c>
      <c r="G3104" s="72">
        <f>DATE(2020,3,20)</f>
        <v>43910</v>
      </c>
      <c r="H3104" s="80">
        <v>1.9513888888888888</v>
      </c>
      <c r="I3104" s="30" t="s">
        <v>198</v>
      </c>
      <c r="J3104" s="72" t="s">
        <v>17592</v>
      </c>
      <c r="K3104" s="30" t="s">
        <v>425</v>
      </c>
      <c r="L3104" s="30" t="s">
        <v>12719</v>
      </c>
      <c r="M3104" s="30" t="s">
        <v>63</v>
      </c>
      <c r="N3104" s="30" t="s">
        <v>89</v>
      </c>
      <c r="O3104" s="30" t="s">
        <v>77</v>
      </c>
      <c r="P3104" s="72" t="s">
        <v>15625</v>
      </c>
      <c r="Q3104" s="72" t="s">
        <v>2582</v>
      </c>
      <c r="R3104" s="72" t="s">
        <v>3103</v>
      </c>
      <c r="S3104" s="30">
        <v>0</v>
      </c>
      <c r="T3104" s="232">
        <v>0</v>
      </c>
      <c r="U3104" s="30">
        <v>0</v>
      </c>
      <c r="V3104" s="232">
        <v>0</v>
      </c>
      <c r="W3104" s="30">
        <v>0</v>
      </c>
      <c r="X3104" s="30">
        <v>0</v>
      </c>
      <c r="Y3104" s="30">
        <v>0</v>
      </c>
      <c r="Z3104" s="232">
        <v>0</v>
      </c>
      <c r="AA3104" s="30">
        <v>0</v>
      </c>
      <c r="AB3104" s="30">
        <v>0</v>
      </c>
      <c r="AC3104" s="30">
        <v>0</v>
      </c>
      <c r="AD3104" s="30">
        <v>0</v>
      </c>
      <c r="AE3104" s="72" t="s">
        <v>394</v>
      </c>
      <c r="AF3104" s="72"/>
      <c r="AG3104" s="72" t="s">
        <v>133</v>
      </c>
      <c r="AH3104" s="72">
        <v>44020</v>
      </c>
      <c r="AI3104" s="30">
        <v>2</v>
      </c>
      <c r="AJ3104" s="72" t="s">
        <v>68</v>
      </c>
      <c r="AK3104" s="72" t="s">
        <v>68</v>
      </c>
      <c r="AL3104" s="70">
        <v>44055</v>
      </c>
      <c r="AM3104" s="70"/>
      <c r="AN3104" s="70"/>
      <c r="AO3104" s="70"/>
      <c r="AP3104" s="73" t="s">
        <v>17593</v>
      </c>
      <c r="AQ3104" s="72">
        <f>DATE(2020,3,22)</f>
        <v>43912</v>
      </c>
      <c r="AR3104" s="83">
        <f t="shared" si="270"/>
        <v>22</v>
      </c>
      <c r="AS3104" s="84">
        <f t="shared" si="271"/>
        <v>3</v>
      </c>
      <c r="AT3104" s="86">
        <f t="shared" si="272"/>
        <v>2020</v>
      </c>
      <c r="AU3104" s="86"/>
      <c r="AV3104" s="87"/>
      <c r="AW3104" s="86"/>
      <c r="AX3104" s="83"/>
      <c r="AY3104" s="84"/>
      <c r="AZ3104" s="86"/>
      <c r="BA3104" s="86"/>
      <c r="BB3104" s="86"/>
    </row>
    <row r="3105" spans="1:54" ht="36.75" customHeight="1">
      <c r="A3105" s="98" t="s">
        <v>4910</v>
      </c>
      <c r="B3105" s="30" t="s">
        <v>55</v>
      </c>
      <c r="C3105" s="69" t="str">
        <f t="shared" si="266"/>
        <v>Closed</v>
      </c>
      <c r="D3105" s="27" t="s">
        <v>17594</v>
      </c>
      <c r="E3105" s="29" t="s">
        <v>17595</v>
      </c>
      <c r="F3105" s="30" t="s">
        <v>9789</v>
      </c>
      <c r="G3105" s="72">
        <f>DATE(2020,3,20)</f>
        <v>43910</v>
      </c>
      <c r="H3105" s="80">
        <v>1.2972222222222223</v>
      </c>
      <c r="I3105" s="30" t="s">
        <v>73</v>
      </c>
      <c r="J3105" s="265" t="s">
        <v>17596</v>
      </c>
      <c r="K3105" s="30" t="s">
        <v>9791</v>
      </c>
      <c r="L3105" s="30" t="s">
        <v>17597</v>
      </c>
      <c r="M3105" s="30" t="s">
        <v>63</v>
      </c>
      <c r="N3105" s="30" t="s">
        <v>89</v>
      </c>
      <c r="O3105" s="30" t="s">
        <v>77</v>
      </c>
      <c r="P3105" s="72" t="s">
        <v>6941</v>
      </c>
      <c r="Q3105" s="72" t="s">
        <v>9960</v>
      </c>
      <c r="R3105" s="72" t="s">
        <v>9794</v>
      </c>
      <c r="S3105" s="30">
        <v>0</v>
      </c>
      <c r="T3105" s="232">
        <v>0</v>
      </c>
      <c r="U3105" s="30">
        <v>0</v>
      </c>
      <c r="V3105" s="232">
        <v>0</v>
      </c>
      <c r="W3105" s="30">
        <v>0</v>
      </c>
      <c r="X3105" s="30">
        <v>0</v>
      </c>
      <c r="Y3105" s="30">
        <v>0</v>
      </c>
      <c r="Z3105" s="232">
        <v>0</v>
      </c>
      <c r="AA3105" s="30">
        <v>0</v>
      </c>
      <c r="AB3105" s="30">
        <v>0</v>
      </c>
      <c r="AC3105" s="30">
        <v>0</v>
      </c>
      <c r="AD3105" s="30">
        <v>0</v>
      </c>
      <c r="AE3105" s="72" t="s">
        <v>92</v>
      </c>
      <c r="AF3105" s="72"/>
      <c r="AG3105" s="72" t="s">
        <v>133</v>
      </c>
      <c r="AH3105" s="72">
        <v>43913</v>
      </c>
      <c r="AI3105" s="30">
        <v>1</v>
      </c>
      <c r="AJ3105" s="72" t="s">
        <v>17598</v>
      </c>
      <c r="AK3105" s="72" t="s">
        <v>17599</v>
      </c>
      <c r="AL3105" s="70">
        <v>43915</v>
      </c>
      <c r="AM3105" s="70"/>
      <c r="AN3105" s="70"/>
      <c r="AO3105" s="70"/>
      <c r="AP3105" s="73" t="e">
        <f>MID(VLOOKUP(K3105,#REF!,2,FALSE),1,2)</f>
        <v>#REF!</v>
      </c>
      <c r="AQ3105" s="72">
        <f>DATE(2020,3,23)</f>
        <v>43913</v>
      </c>
      <c r="AR3105" s="83">
        <f t="shared" si="270"/>
        <v>23</v>
      </c>
      <c r="AS3105" s="84">
        <f t="shared" si="271"/>
        <v>3</v>
      </c>
      <c r="AT3105" s="86">
        <f t="shared" si="272"/>
        <v>2020</v>
      </c>
      <c r="AU3105" s="86"/>
      <c r="AV3105" s="87"/>
      <c r="AW3105" s="86"/>
      <c r="AX3105" s="83"/>
      <c r="AY3105" s="84"/>
      <c r="AZ3105" s="86"/>
      <c r="BA3105" s="86"/>
      <c r="BB3105" s="86"/>
    </row>
    <row r="3106" spans="1:54" ht="36.75" customHeight="1">
      <c r="A3106" s="30"/>
      <c r="B3106" s="30" t="s">
        <v>55</v>
      </c>
      <c r="C3106" s="69" t="str">
        <f t="shared" si="266"/>
        <v>Closed</v>
      </c>
      <c r="D3106" s="27" t="s">
        <v>17600</v>
      </c>
      <c r="E3106" s="29" t="s">
        <v>17601</v>
      </c>
      <c r="F3106" s="30" t="s">
        <v>17578</v>
      </c>
      <c r="G3106" s="72">
        <f>DATE(2020,3,21)</f>
        <v>43911</v>
      </c>
      <c r="H3106" s="80">
        <v>1.0069444444444444</v>
      </c>
      <c r="I3106" s="30" t="s">
        <v>4610</v>
      </c>
      <c r="J3106" s="72" t="s">
        <v>17602</v>
      </c>
      <c r="K3106" s="30" t="s">
        <v>837</v>
      </c>
      <c r="L3106" s="30" t="s">
        <v>17603</v>
      </c>
      <c r="M3106" s="30" t="s">
        <v>63</v>
      </c>
      <c r="N3106" s="30" t="s">
        <v>89</v>
      </c>
      <c r="O3106" s="30" t="s">
        <v>77</v>
      </c>
      <c r="P3106" s="72" t="s">
        <v>78</v>
      </c>
      <c r="Q3106" s="72" t="s">
        <v>840</v>
      </c>
      <c r="R3106" s="72" t="s">
        <v>17604</v>
      </c>
      <c r="S3106" s="30">
        <v>0</v>
      </c>
      <c r="T3106" s="232">
        <v>0</v>
      </c>
      <c r="U3106" s="30">
        <v>0</v>
      </c>
      <c r="V3106" s="232">
        <v>0</v>
      </c>
      <c r="W3106" s="30">
        <v>0</v>
      </c>
      <c r="X3106" s="30">
        <v>0</v>
      </c>
      <c r="Y3106" s="30">
        <v>0</v>
      </c>
      <c r="Z3106" s="232">
        <v>0</v>
      </c>
      <c r="AA3106" s="30">
        <v>0</v>
      </c>
      <c r="AB3106" s="30">
        <v>0</v>
      </c>
      <c r="AC3106" s="30">
        <v>0</v>
      </c>
      <c r="AD3106" s="30">
        <v>0</v>
      </c>
      <c r="AE3106" s="72" t="s">
        <v>92</v>
      </c>
      <c r="AF3106" s="72" t="s">
        <v>879</v>
      </c>
      <c r="AG3106" s="72" t="s">
        <v>13537</v>
      </c>
      <c r="AH3106" s="72">
        <v>43972</v>
      </c>
      <c r="AI3106" s="30">
        <v>3</v>
      </c>
      <c r="AJ3106" s="72" t="s">
        <v>17605</v>
      </c>
      <c r="AK3106" s="72" t="s">
        <v>17606</v>
      </c>
      <c r="AL3106" s="70">
        <v>43976</v>
      </c>
      <c r="AM3106" s="70"/>
      <c r="AN3106" s="70">
        <v>44438</v>
      </c>
      <c r="AO3106" s="70">
        <v>44433</v>
      </c>
      <c r="AP3106" s="73" t="e">
        <f>MID(VLOOKUP(K3106,#REF!,2,FALSE),1,2)</f>
        <v>#REF!</v>
      </c>
      <c r="AQ3106" s="72">
        <f>DATE(2020,3,23)</f>
        <v>43913</v>
      </c>
      <c r="AR3106" s="83">
        <f t="shared" si="270"/>
        <v>23</v>
      </c>
      <c r="AS3106" s="84">
        <f t="shared" si="271"/>
        <v>3</v>
      </c>
      <c r="AT3106" s="86">
        <f t="shared" si="272"/>
        <v>2020</v>
      </c>
      <c r="AU3106" s="86"/>
      <c r="AV3106" s="87"/>
      <c r="AW3106" s="86"/>
      <c r="AX3106" s="83"/>
      <c r="AY3106" s="84"/>
      <c r="AZ3106" s="86"/>
      <c r="BA3106" s="86"/>
      <c r="BB3106" s="86"/>
    </row>
    <row r="3107" spans="1:54" ht="36.75" customHeight="1">
      <c r="A3107" s="5" t="s">
        <v>12471</v>
      </c>
      <c r="B3107" s="5" t="s">
        <v>55</v>
      </c>
      <c r="C3107" s="69" t="str">
        <f t="shared" si="266"/>
        <v>Closed</v>
      </c>
      <c r="D3107" s="33" t="s">
        <v>17607</v>
      </c>
      <c r="E3107" s="28" t="s">
        <v>17608</v>
      </c>
      <c r="F3107" s="5" t="s">
        <v>17578</v>
      </c>
      <c r="G3107" s="72">
        <f>DATE(2020,3,22)</f>
        <v>43912</v>
      </c>
      <c r="H3107" s="125">
        <v>0.40972222222222227</v>
      </c>
      <c r="I3107" s="5" t="s">
        <v>73</v>
      </c>
      <c r="J3107" s="72" t="s">
        <v>17609</v>
      </c>
      <c r="K3107" s="5" t="s">
        <v>837</v>
      </c>
      <c r="L3107" s="5" t="s">
        <v>17610</v>
      </c>
      <c r="M3107" s="5" t="s">
        <v>63</v>
      </c>
      <c r="N3107" s="5" t="s">
        <v>142</v>
      </c>
      <c r="O3107" s="5" t="s">
        <v>77</v>
      </c>
      <c r="P3107" s="72" t="s">
        <v>78</v>
      </c>
      <c r="Q3107" s="72" t="s">
        <v>17611</v>
      </c>
      <c r="R3107" s="72" t="s">
        <v>17612</v>
      </c>
      <c r="S3107" s="5">
        <v>0</v>
      </c>
      <c r="T3107" s="5">
        <v>0</v>
      </c>
      <c r="U3107" s="5">
        <v>0</v>
      </c>
      <c r="V3107" s="5">
        <v>0</v>
      </c>
      <c r="W3107" s="5">
        <v>0</v>
      </c>
      <c r="X3107" s="5">
        <v>0</v>
      </c>
      <c r="Y3107" s="5">
        <v>0</v>
      </c>
      <c r="Z3107" s="5">
        <v>0</v>
      </c>
      <c r="AA3107" s="5">
        <v>0</v>
      </c>
      <c r="AB3107" s="5">
        <v>0</v>
      </c>
      <c r="AC3107" s="5">
        <v>0</v>
      </c>
      <c r="AD3107" s="5">
        <v>0</v>
      </c>
      <c r="AE3107" s="72" t="s">
        <v>17613</v>
      </c>
      <c r="AF3107" s="72" t="s">
        <v>17614</v>
      </c>
      <c r="AG3107" s="30" t="s">
        <v>13537</v>
      </c>
      <c r="AH3107" s="72">
        <v>43912</v>
      </c>
      <c r="AI3107" s="81">
        <v>1</v>
      </c>
      <c r="AJ3107" s="72" t="s">
        <v>17615</v>
      </c>
      <c r="AK3107" s="72" t="s">
        <v>1088</v>
      </c>
      <c r="AL3107" s="70">
        <v>44221</v>
      </c>
      <c r="AM3107" s="70"/>
      <c r="AN3107" s="70">
        <v>44533</v>
      </c>
      <c r="AO3107" s="133">
        <v>44350</v>
      </c>
      <c r="AP3107" s="73" t="e">
        <f>MID(VLOOKUP(K3107,#REF!,2,FALSE),1,2)</f>
        <v>#REF!</v>
      </c>
      <c r="AQ3107" s="72">
        <f>DATE(2020,3,26)</f>
        <v>43916</v>
      </c>
      <c r="AR3107" s="83">
        <f t="shared" si="270"/>
        <v>26</v>
      </c>
      <c r="AS3107" s="84">
        <f t="shared" si="271"/>
        <v>3</v>
      </c>
      <c r="AT3107" s="86">
        <f t="shared" si="272"/>
        <v>2020</v>
      </c>
      <c r="AU3107" s="86"/>
      <c r="AV3107" s="87"/>
      <c r="AW3107" s="86"/>
      <c r="AX3107" s="83"/>
      <c r="AY3107" s="84"/>
      <c r="AZ3107" s="86"/>
      <c r="BA3107" s="86"/>
      <c r="BB3107" s="86"/>
    </row>
    <row r="3108" spans="1:54" ht="36.75" customHeight="1">
      <c r="A3108" s="98" t="s">
        <v>4910</v>
      </c>
      <c r="B3108" s="30" t="s">
        <v>55</v>
      </c>
      <c r="C3108" s="69" t="str">
        <f t="shared" si="266"/>
        <v>Closed</v>
      </c>
      <c r="D3108" s="27" t="s">
        <v>17616</v>
      </c>
      <c r="E3108" s="29" t="s">
        <v>17617</v>
      </c>
      <c r="F3108" s="30" t="s">
        <v>1572</v>
      </c>
      <c r="G3108" s="72">
        <f>DATE(2020,3,23)</f>
        <v>43913</v>
      </c>
      <c r="H3108" s="80">
        <v>1.1666666666666667</v>
      </c>
      <c r="I3108" s="30" t="s">
        <v>125</v>
      </c>
      <c r="J3108" s="72" t="s">
        <v>17618</v>
      </c>
      <c r="K3108" s="30" t="s">
        <v>1574</v>
      </c>
      <c r="L3108" s="30" t="s">
        <v>17619</v>
      </c>
      <c r="M3108" s="30" t="s">
        <v>63</v>
      </c>
      <c r="N3108" s="30" t="s">
        <v>142</v>
      </c>
      <c r="O3108" s="30" t="s">
        <v>64</v>
      </c>
      <c r="P3108" s="72" t="s">
        <v>6941</v>
      </c>
      <c r="Q3108" s="72" t="s">
        <v>2413</v>
      </c>
      <c r="R3108" s="72" t="s">
        <v>6434</v>
      </c>
      <c r="S3108" s="30">
        <v>0</v>
      </c>
      <c r="T3108" s="232">
        <v>0</v>
      </c>
      <c r="U3108" s="30">
        <v>0</v>
      </c>
      <c r="V3108" s="232">
        <v>0</v>
      </c>
      <c r="W3108" s="30">
        <v>0</v>
      </c>
      <c r="X3108" s="30">
        <v>0</v>
      </c>
      <c r="Y3108" s="30">
        <v>0</v>
      </c>
      <c r="Z3108" s="232">
        <v>0</v>
      </c>
      <c r="AA3108" s="30">
        <v>0</v>
      </c>
      <c r="AB3108" s="30">
        <v>0</v>
      </c>
      <c r="AC3108" s="30">
        <v>0</v>
      </c>
      <c r="AD3108" s="30">
        <v>0</v>
      </c>
      <c r="AE3108" s="72" t="s">
        <v>92</v>
      </c>
      <c r="AF3108" s="72"/>
      <c r="AG3108" s="72" t="s">
        <v>133</v>
      </c>
      <c r="AH3108" s="72">
        <v>43913</v>
      </c>
      <c r="AI3108" s="30">
        <v>2</v>
      </c>
      <c r="AJ3108" s="72" t="s">
        <v>68</v>
      </c>
      <c r="AK3108" s="72" t="s">
        <v>68</v>
      </c>
      <c r="AL3108" s="70">
        <v>43915</v>
      </c>
      <c r="AM3108" s="70"/>
      <c r="AN3108" s="70"/>
      <c r="AO3108" s="70"/>
      <c r="AP3108" s="111"/>
      <c r="AQ3108" s="129"/>
      <c r="AR3108" s="114"/>
      <c r="AS3108" s="114"/>
      <c r="AT3108" s="130"/>
      <c r="AU3108" s="86"/>
      <c r="AV3108" s="86"/>
      <c r="AW3108" s="86"/>
      <c r="AX3108" s="116"/>
      <c r="AY3108" s="116"/>
      <c r="AZ3108" s="106"/>
      <c r="BA3108" s="106"/>
      <c r="BB3108" s="106"/>
    </row>
    <row r="3109" spans="1:54" ht="36.75" customHeight="1">
      <c r="A3109" s="30" t="s">
        <v>4910</v>
      </c>
      <c r="B3109" s="30" t="s">
        <v>55</v>
      </c>
      <c r="C3109" s="69" t="str">
        <f t="shared" si="266"/>
        <v>Closed</v>
      </c>
      <c r="D3109" s="27" t="s">
        <v>17620</v>
      </c>
      <c r="E3109" s="29" t="s">
        <v>17621</v>
      </c>
      <c r="F3109" s="30" t="s">
        <v>233</v>
      </c>
      <c r="G3109" s="72">
        <f>DATE(2020,3,23)</f>
        <v>43913</v>
      </c>
      <c r="H3109" s="80">
        <v>1.9513888888888888</v>
      </c>
      <c r="I3109" s="30" t="s">
        <v>198</v>
      </c>
      <c r="J3109" s="72" t="s">
        <v>17622</v>
      </c>
      <c r="K3109" s="30" t="s">
        <v>235</v>
      </c>
      <c r="L3109" s="30" t="s">
        <v>17623</v>
      </c>
      <c r="M3109" s="30" t="s">
        <v>63</v>
      </c>
      <c r="N3109" s="30" t="s">
        <v>142</v>
      </c>
      <c r="O3109" s="30" t="s">
        <v>64</v>
      </c>
      <c r="P3109" s="72" t="s">
        <v>381</v>
      </c>
      <c r="Q3109" s="72" t="s">
        <v>4042</v>
      </c>
      <c r="R3109" s="72" t="s">
        <v>235</v>
      </c>
      <c r="S3109" s="30">
        <v>0</v>
      </c>
      <c r="T3109" s="232">
        <v>0</v>
      </c>
      <c r="U3109" s="30">
        <v>0</v>
      </c>
      <c r="V3109" s="232">
        <v>0</v>
      </c>
      <c r="W3109" s="30">
        <v>0</v>
      </c>
      <c r="X3109" s="30">
        <v>0</v>
      </c>
      <c r="Y3109" s="30">
        <v>0</v>
      </c>
      <c r="Z3109" s="232">
        <v>0</v>
      </c>
      <c r="AA3109" s="30">
        <v>0</v>
      </c>
      <c r="AB3109" s="30">
        <v>0</v>
      </c>
      <c r="AC3109" s="30">
        <v>0</v>
      </c>
      <c r="AD3109" s="30">
        <v>0</v>
      </c>
      <c r="AE3109" s="72" t="s">
        <v>92</v>
      </c>
      <c r="AF3109" s="72"/>
      <c r="AG3109" s="72" t="s">
        <v>133</v>
      </c>
      <c r="AH3109" s="72">
        <v>43920</v>
      </c>
      <c r="AI3109" s="30">
        <v>0</v>
      </c>
      <c r="AJ3109" s="72" t="s">
        <v>17624</v>
      </c>
      <c r="AK3109" s="72" t="s">
        <v>17625</v>
      </c>
      <c r="AL3109" s="70">
        <v>43927</v>
      </c>
      <c r="AM3109" s="70"/>
      <c r="AN3109" s="70"/>
      <c r="AO3109" s="70"/>
      <c r="AP3109" s="73" t="e">
        <f>MID(VLOOKUP(K3109,#REF!,2,FALSE),1,2)</f>
        <v>#REF!</v>
      </c>
      <c r="AQ3109" s="72">
        <f>DATE(2020,4,3)</f>
        <v>43924</v>
      </c>
      <c r="AR3109" s="83">
        <f t="shared" ref="AR3109:AR3126" si="273">DAY(AQ3109)</f>
        <v>3</v>
      </c>
      <c r="AS3109" s="84">
        <f t="shared" ref="AS3109:AS3126" si="274">MONTH(AQ3109)</f>
        <v>4</v>
      </c>
      <c r="AT3109" s="86">
        <f t="shared" ref="AT3109:AT3126" si="275">YEAR(AQ3109)</f>
        <v>2020</v>
      </c>
      <c r="AU3109" s="86"/>
      <c r="AV3109" s="87"/>
      <c r="AW3109" s="86"/>
      <c r="AX3109" s="83"/>
      <c r="AY3109" s="84"/>
      <c r="AZ3109" s="86"/>
      <c r="BA3109" s="86"/>
      <c r="BB3109" s="86"/>
    </row>
    <row r="3110" spans="1:54" ht="36.75" customHeight="1">
      <c r="A3110" s="30"/>
      <c r="B3110" s="30" t="s">
        <v>55</v>
      </c>
      <c r="C3110" s="69" t="str">
        <f t="shared" si="266"/>
        <v>Closed</v>
      </c>
      <c r="D3110" s="27" t="s">
        <v>17626</v>
      </c>
      <c r="E3110" s="29" t="s">
        <v>17627</v>
      </c>
      <c r="F3110" s="30" t="s">
        <v>233</v>
      </c>
      <c r="G3110" s="72">
        <f>DATE(2020,3,26)</f>
        <v>43916</v>
      </c>
      <c r="H3110" s="80">
        <v>1.4583333333333333</v>
      </c>
      <c r="I3110" s="30" t="s">
        <v>104</v>
      </c>
      <c r="J3110" s="72" t="s">
        <v>17628</v>
      </c>
      <c r="K3110" s="30" t="s">
        <v>235</v>
      </c>
      <c r="L3110" s="30" t="s">
        <v>17629</v>
      </c>
      <c r="M3110" s="30" t="s">
        <v>63</v>
      </c>
      <c r="N3110" s="30" t="s">
        <v>89</v>
      </c>
      <c r="O3110" s="30" t="s">
        <v>64</v>
      </c>
      <c r="P3110" s="72" t="s">
        <v>86</v>
      </c>
      <c r="Q3110" s="72" t="s">
        <v>718</v>
      </c>
      <c r="R3110" s="72" t="s">
        <v>235</v>
      </c>
      <c r="S3110" s="30">
        <v>0</v>
      </c>
      <c r="T3110" s="232">
        <v>0</v>
      </c>
      <c r="U3110" s="30">
        <v>0</v>
      </c>
      <c r="V3110" s="232">
        <v>0</v>
      </c>
      <c r="W3110" s="30">
        <v>0</v>
      </c>
      <c r="X3110" s="30">
        <v>0</v>
      </c>
      <c r="Y3110" s="30">
        <v>0</v>
      </c>
      <c r="Z3110" s="232">
        <v>0</v>
      </c>
      <c r="AA3110" s="30">
        <v>0</v>
      </c>
      <c r="AB3110" s="30">
        <v>0</v>
      </c>
      <c r="AC3110" s="30">
        <v>0</v>
      </c>
      <c r="AD3110" s="30">
        <v>0</v>
      </c>
      <c r="AE3110" s="72" t="s">
        <v>92</v>
      </c>
      <c r="AF3110" s="72"/>
      <c r="AG3110" s="72" t="s">
        <v>133</v>
      </c>
      <c r="AH3110" s="72">
        <v>43927</v>
      </c>
      <c r="AI3110" s="30">
        <v>1</v>
      </c>
      <c r="AJ3110" s="72" t="s">
        <v>17630</v>
      </c>
      <c r="AK3110" s="72" t="s">
        <v>17631</v>
      </c>
      <c r="AL3110" s="70">
        <v>43942</v>
      </c>
      <c r="AM3110" s="70"/>
      <c r="AN3110" s="70"/>
      <c r="AO3110" s="70"/>
      <c r="AP3110" s="73" t="e">
        <f>MID(VLOOKUP(K3110,#REF!,2,FALSE),1,2)</f>
        <v>#REF!</v>
      </c>
      <c r="AQ3110" s="72">
        <f>DATE(2020,4,2)</f>
        <v>43923</v>
      </c>
      <c r="AR3110" s="83">
        <f t="shared" si="273"/>
        <v>2</v>
      </c>
      <c r="AS3110" s="84">
        <f t="shared" si="274"/>
        <v>4</v>
      </c>
      <c r="AT3110" s="86">
        <f t="shared" si="275"/>
        <v>2020</v>
      </c>
      <c r="AU3110" s="86"/>
      <c r="AV3110" s="87"/>
      <c r="AW3110" s="86"/>
      <c r="AX3110" s="83"/>
      <c r="AY3110" s="84"/>
      <c r="AZ3110" s="86"/>
      <c r="BA3110" s="86"/>
      <c r="BB3110" s="86"/>
    </row>
    <row r="3111" spans="1:54" ht="36.75" customHeight="1">
      <c r="A3111" s="30" t="s">
        <v>12471</v>
      </c>
      <c r="B3111" s="30" t="s">
        <v>55</v>
      </c>
      <c r="C3111" s="69" t="str">
        <f t="shared" si="266"/>
        <v>Closed</v>
      </c>
      <c r="D3111" s="36" t="s">
        <v>17632</v>
      </c>
      <c r="E3111" s="29" t="s">
        <v>17633</v>
      </c>
      <c r="F3111" s="30" t="s">
        <v>124</v>
      </c>
      <c r="G3111" s="72">
        <f>DATE(2020,3,27)</f>
        <v>43917</v>
      </c>
      <c r="H3111" s="80"/>
      <c r="I3111" s="30" t="s">
        <v>73</v>
      </c>
      <c r="J3111" s="72" t="s">
        <v>17634</v>
      </c>
      <c r="K3111" s="30" t="s">
        <v>127</v>
      </c>
      <c r="L3111" s="30" t="s">
        <v>17635</v>
      </c>
      <c r="M3111" s="30" t="s">
        <v>63</v>
      </c>
      <c r="N3111" s="30" t="s">
        <v>142</v>
      </c>
      <c r="O3111" s="30" t="s">
        <v>77</v>
      </c>
      <c r="P3111" s="72" t="s">
        <v>78</v>
      </c>
      <c r="Q3111" s="72" t="s">
        <v>401</v>
      </c>
      <c r="R3111" s="72" t="s">
        <v>167</v>
      </c>
      <c r="S3111" s="30">
        <v>0</v>
      </c>
      <c r="T3111" s="232">
        <v>0</v>
      </c>
      <c r="U3111" s="30">
        <v>0</v>
      </c>
      <c r="V3111" s="232">
        <v>0</v>
      </c>
      <c r="W3111" s="30">
        <v>0</v>
      </c>
      <c r="X3111" s="30">
        <v>0</v>
      </c>
      <c r="Y3111" s="30">
        <v>0</v>
      </c>
      <c r="Z3111" s="232">
        <v>0</v>
      </c>
      <c r="AA3111" s="30">
        <v>0</v>
      </c>
      <c r="AB3111" s="30">
        <v>0</v>
      </c>
      <c r="AC3111" s="30">
        <v>0</v>
      </c>
      <c r="AD3111" s="30">
        <v>0</v>
      </c>
      <c r="AE3111" s="72" t="s">
        <v>394</v>
      </c>
      <c r="AF3111" s="72"/>
      <c r="AG3111" s="30" t="s">
        <v>17636</v>
      </c>
      <c r="AH3111" s="72" t="s">
        <v>68</v>
      </c>
      <c r="AI3111" s="30">
        <v>3</v>
      </c>
      <c r="AJ3111" s="72" t="s">
        <v>17123</v>
      </c>
      <c r="AK3111" s="72" t="s">
        <v>68</v>
      </c>
      <c r="AL3111" s="70" t="s">
        <v>68</v>
      </c>
      <c r="AM3111" s="70"/>
      <c r="AN3111" s="70"/>
      <c r="AO3111" s="70"/>
      <c r="AP3111" s="73" t="e">
        <f>MID(VLOOKUP(K3111,#REF!,2,FALSE),1,2)</f>
        <v>#REF!</v>
      </c>
      <c r="AQ3111" s="72">
        <f>DATE(2020,4,4)</f>
        <v>43925</v>
      </c>
      <c r="AR3111" s="83">
        <f t="shared" si="273"/>
        <v>4</v>
      </c>
      <c r="AS3111" s="84">
        <f t="shared" si="274"/>
        <v>4</v>
      </c>
      <c r="AT3111" s="86">
        <f t="shared" si="275"/>
        <v>2020</v>
      </c>
      <c r="AU3111" s="86"/>
      <c r="AV3111" s="87"/>
      <c r="AW3111" s="86"/>
      <c r="AX3111" s="83"/>
      <c r="AY3111" s="84"/>
      <c r="AZ3111" s="86"/>
      <c r="BA3111" s="86"/>
      <c r="BB3111" s="86"/>
    </row>
    <row r="3112" spans="1:54" ht="36.75" customHeight="1">
      <c r="A3112" s="30"/>
      <c r="B3112" s="30" t="s">
        <v>55</v>
      </c>
      <c r="C3112" s="69" t="str">
        <f t="shared" si="266"/>
        <v>Closed</v>
      </c>
      <c r="D3112" s="27" t="s">
        <v>17637</v>
      </c>
      <c r="E3112" s="29" t="s">
        <v>17638</v>
      </c>
      <c r="F3112" s="30" t="s">
        <v>582</v>
      </c>
      <c r="G3112" s="72">
        <f>DATE(2020,4,2)</f>
        <v>43923</v>
      </c>
      <c r="H3112" s="80">
        <v>1.8111111111111109</v>
      </c>
      <c r="I3112" s="30" t="s">
        <v>156</v>
      </c>
      <c r="J3112" s="72" t="s">
        <v>17639</v>
      </c>
      <c r="K3112" s="30" t="s">
        <v>584</v>
      </c>
      <c r="L3112" s="30" t="s">
        <v>17640</v>
      </c>
      <c r="M3112" s="30" t="s">
        <v>63</v>
      </c>
      <c r="N3112" s="30" t="s">
        <v>142</v>
      </c>
      <c r="O3112" s="30" t="s">
        <v>64</v>
      </c>
      <c r="P3112" s="72" t="s">
        <v>78</v>
      </c>
      <c r="Q3112" s="72" t="s">
        <v>11099</v>
      </c>
      <c r="R3112" s="72" t="s">
        <v>587</v>
      </c>
      <c r="S3112" s="30">
        <v>0</v>
      </c>
      <c r="T3112" s="232">
        <v>1</v>
      </c>
      <c r="U3112" s="30">
        <v>0</v>
      </c>
      <c r="V3112" s="232">
        <v>0</v>
      </c>
      <c r="W3112" s="30">
        <v>0</v>
      </c>
      <c r="X3112" s="30">
        <v>1</v>
      </c>
      <c r="Y3112" s="30">
        <v>0</v>
      </c>
      <c r="Z3112" s="232">
        <v>0</v>
      </c>
      <c r="AA3112" s="30">
        <v>0</v>
      </c>
      <c r="AB3112" s="30">
        <v>0</v>
      </c>
      <c r="AC3112" s="30">
        <v>2</v>
      </c>
      <c r="AD3112" s="30">
        <v>2</v>
      </c>
      <c r="AE3112" s="72" t="s">
        <v>145</v>
      </c>
      <c r="AF3112" s="72" t="s">
        <v>17641</v>
      </c>
      <c r="AG3112" s="72" t="s">
        <v>6459</v>
      </c>
      <c r="AH3112" s="72">
        <v>43924</v>
      </c>
      <c r="AI3112" s="30">
        <v>1</v>
      </c>
      <c r="AJ3112" s="72" t="s">
        <v>17642</v>
      </c>
      <c r="AK3112" s="72" t="s">
        <v>68</v>
      </c>
      <c r="AL3112" s="70">
        <v>43936</v>
      </c>
      <c r="AM3112" s="70"/>
      <c r="AN3112" s="70"/>
      <c r="AO3112" s="70"/>
      <c r="AP3112" s="73" t="e">
        <f>MID(VLOOKUP(K3112,#REF!,2,FALSE),1,2)</f>
        <v>#REF!</v>
      </c>
      <c r="AQ3112" s="72">
        <f>DATE(2020,4,6)</f>
        <v>43927</v>
      </c>
      <c r="AR3112" s="83">
        <f t="shared" si="273"/>
        <v>6</v>
      </c>
      <c r="AS3112" s="84">
        <f t="shared" si="274"/>
        <v>4</v>
      </c>
      <c r="AT3112" s="86">
        <f t="shared" si="275"/>
        <v>2020</v>
      </c>
      <c r="AU3112" s="86"/>
      <c r="AV3112" s="87"/>
      <c r="AW3112" s="86"/>
      <c r="AX3112" s="83"/>
      <c r="AY3112" s="84"/>
      <c r="AZ3112" s="86"/>
      <c r="BA3112" s="86"/>
      <c r="BB3112" s="45" t="s">
        <v>17643</v>
      </c>
    </row>
    <row r="3113" spans="1:54" ht="36.75" customHeight="1">
      <c r="A3113" s="98" t="s">
        <v>4910</v>
      </c>
      <c r="B3113" s="30" t="s">
        <v>55</v>
      </c>
      <c r="C3113" s="69" t="str">
        <f t="shared" si="266"/>
        <v>Closed</v>
      </c>
      <c r="D3113" s="27" t="s">
        <v>17644</v>
      </c>
      <c r="E3113" s="29" t="s">
        <v>17645</v>
      </c>
      <c r="F3113" s="30" t="s">
        <v>2547</v>
      </c>
      <c r="G3113" s="72">
        <f>DATE(2020,4,2)</f>
        <v>43923</v>
      </c>
      <c r="H3113" s="80">
        <v>1.4479166666666667</v>
      </c>
      <c r="I3113" s="30" t="s">
        <v>6600</v>
      </c>
      <c r="J3113" s="72" t="s">
        <v>17646</v>
      </c>
      <c r="K3113" s="30" t="s">
        <v>2549</v>
      </c>
      <c r="L3113" s="30" t="s">
        <v>16072</v>
      </c>
      <c r="M3113" s="30" t="s">
        <v>63</v>
      </c>
      <c r="N3113" s="30" t="s">
        <v>89</v>
      </c>
      <c r="O3113" s="30" t="s">
        <v>77</v>
      </c>
      <c r="P3113" s="72" t="s">
        <v>78</v>
      </c>
      <c r="Q3113" s="72" t="s">
        <v>3504</v>
      </c>
      <c r="R3113" s="72" t="s">
        <v>10304</v>
      </c>
      <c r="S3113" s="30">
        <v>0</v>
      </c>
      <c r="T3113" s="232">
        <v>0</v>
      </c>
      <c r="U3113" s="30">
        <v>0</v>
      </c>
      <c r="V3113" s="232">
        <v>0</v>
      </c>
      <c r="W3113" s="30">
        <v>0</v>
      </c>
      <c r="X3113" s="30">
        <v>0</v>
      </c>
      <c r="Y3113" s="30">
        <v>0</v>
      </c>
      <c r="Z3113" s="232">
        <v>0</v>
      </c>
      <c r="AA3113" s="30">
        <v>0</v>
      </c>
      <c r="AB3113" s="30">
        <v>0</v>
      </c>
      <c r="AC3113" s="30">
        <v>0</v>
      </c>
      <c r="AD3113" s="30">
        <v>0</v>
      </c>
      <c r="AE3113" s="72" t="s">
        <v>92</v>
      </c>
      <c r="AF3113" s="72"/>
      <c r="AG3113" s="72" t="s">
        <v>589</v>
      </c>
      <c r="AH3113" s="72">
        <v>43944</v>
      </c>
      <c r="AI3113" s="30">
        <v>3</v>
      </c>
      <c r="AJ3113" s="72" t="s">
        <v>68</v>
      </c>
      <c r="AK3113" s="72" t="s">
        <v>68</v>
      </c>
      <c r="AL3113" s="70">
        <v>43949</v>
      </c>
      <c r="AM3113" s="70"/>
      <c r="AN3113" s="70"/>
      <c r="AO3113" s="70"/>
      <c r="AP3113" s="73" t="e">
        <f>MID(VLOOKUP(K3113,#REF!,2,FALSE),1,2)</f>
        <v>#REF!</v>
      </c>
      <c r="AQ3113" s="72">
        <f>DATE(2020,4,7)</f>
        <v>43928</v>
      </c>
      <c r="AR3113" s="83">
        <f t="shared" si="273"/>
        <v>7</v>
      </c>
      <c r="AS3113" s="84">
        <f t="shared" si="274"/>
        <v>4</v>
      </c>
      <c r="AT3113" s="86">
        <f t="shared" si="275"/>
        <v>2020</v>
      </c>
      <c r="AU3113" s="86"/>
      <c r="AV3113" s="87"/>
      <c r="AW3113" s="86"/>
      <c r="AX3113" s="83"/>
      <c r="AY3113" s="84"/>
      <c r="AZ3113" s="86"/>
      <c r="BA3113" s="86"/>
      <c r="BB3113" s="86"/>
    </row>
    <row r="3114" spans="1:54" ht="36.75" customHeight="1">
      <c r="A3114" s="98" t="s">
        <v>4910</v>
      </c>
      <c r="B3114" s="30" t="s">
        <v>55</v>
      </c>
      <c r="C3114" s="69" t="str">
        <f t="shared" si="266"/>
        <v>Closed</v>
      </c>
      <c r="D3114" s="27" t="s">
        <v>17647</v>
      </c>
      <c r="E3114" s="29" t="s">
        <v>45925</v>
      </c>
      <c r="F3114" s="30" t="s">
        <v>2547</v>
      </c>
      <c r="G3114" s="72">
        <f>DATE(2020,4,4)</f>
        <v>43925</v>
      </c>
      <c r="H3114" s="80">
        <v>1.3680555555555556</v>
      </c>
      <c r="I3114" s="30" t="s">
        <v>116</v>
      </c>
      <c r="J3114" s="72" t="s">
        <v>17648</v>
      </c>
      <c r="K3114" s="30" t="s">
        <v>2549</v>
      </c>
      <c r="L3114" s="30" t="s">
        <v>17649</v>
      </c>
      <c r="M3114" s="30" t="s">
        <v>63</v>
      </c>
      <c r="N3114" s="30" t="s">
        <v>99</v>
      </c>
      <c r="O3114" s="30" t="s">
        <v>64</v>
      </c>
      <c r="P3114" s="72" t="s">
        <v>6941</v>
      </c>
      <c r="Q3114" s="72" t="s">
        <v>16073</v>
      </c>
      <c r="R3114" s="72" t="s">
        <v>10304</v>
      </c>
      <c r="S3114" s="30">
        <v>0</v>
      </c>
      <c r="T3114" s="232">
        <v>0</v>
      </c>
      <c r="U3114" s="30">
        <v>0</v>
      </c>
      <c r="V3114" s="232">
        <v>0</v>
      </c>
      <c r="W3114" s="30">
        <v>0</v>
      </c>
      <c r="X3114" s="30">
        <v>0</v>
      </c>
      <c r="Y3114" s="30">
        <v>0</v>
      </c>
      <c r="Z3114" s="232">
        <v>0</v>
      </c>
      <c r="AA3114" s="30">
        <v>0</v>
      </c>
      <c r="AB3114" s="30">
        <v>0</v>
      </c>
      <c r="AC3114" s="30">
        <v>0</v>
      </c>
      <c r="AD3114" s="30">
        <v>0</v>
      </c>
      <c r="AE3114" s="72" t="s">
        <v>68</v>
      </c>
      <c r="AF3114" s="72"/>
      <c r="AG3114" s="72" t="s">
        <v>17650</v>
      </c>
      <c r="AH3114" s="72">
        <v>43930</v>
      </c>
      <c r="AI3114" s="30">
        <v>3</v>
      </c>
      <c r="AJ3114" s="72" t="s">
        <v>68</v>
      </c>
      <c r="AK3114" s="72" t="s">
        <v>68</v>
      </c>
      <c r="AL3114" s="70">
        <v>43937</v>
      </c>
      <c r="AM3114" s="70"/>
      <c r="AN3114" s="70"/>
      <c r="AO3114" s="70"/>
      <c r="AP3114" s="73" t="e">
        <f>MID(VLOOKUP(K3114,#REF!,2,FALSE),1,2)</f>
        <v>#REF!</v>
      </c>
      <c r="AQ3114" s="72">
        <f>DATE(2020,4,8)</f>
        <v>43929</v>
      </c>
      <c r="AR3114" s="83">
        <f t="shared" si="273"/>
        <v>8</v>
      </c>
      <c r="AS3114" s="84">
        <f t="shared" si="274"/>
        <v>4</v>
      </c>
      <c r="AT3114" s="86">
        <f t="shared" si="275"/>
        <v>2020</v>
      </c>
      <c r="AU3114" s="86"/>
      <c r="AV3114" s="87"/>
      <c r="AW3114" s="86"/>
      <c r="AX3114" s="83"/>
      <c r="AY3114" s="84"/>
      <c r="AZ3114" s="86"/>
      <c r="BA3114" s="86"/>
      <c r="BB3114" s="86"/>
    </row>
    <row r="3115" spans="1:54" ht="36.75" customHeight="1">
      <c r="A3115" s="40" t="s">
        <v>4910</v>
      </c>
      <c r="B3115" s="30" t="s">
        <v>55</v>
      </c>
      <c r="C3115" s="69" t="str">
        <f t="shared" si="266"/>
        <v>Closed</v>
      </c>
      <c r="D3115" s="27" t="s">
        <v>17651</v>
      </c>
      <c r="E3115" s="29" t="s">
        <v>17652</v>
      </c>
      <c r="F3115" s="30" t="s">
        <v>1572</v>
      </c>
      <c r="G3115" s="72">
        <f>DATE(2020,4,6)</f>
        <v>43927</v>
      </c>
      <c r="H3115" s="80">
        <v>1.8923611111111112</v>
      </c>
      <c r="I3115" s="30" t="s">
        <v>125</v>
      </c>
      <c r="J3115" s="72" t="s">
        <v>17653</v>
      </c>
      <c r="K3115" s="30" t="s">
        <v>1574</v>
      </c>
      <c r="L3115" s="30" t="s">
        <v>17654</v>
      </c>
      <c r="M3115" s="30" t="s">
        <v>63</v>
      </c>
      <c r="N3115" s="30" t="s">
        <v>142</v>
      </c>
      <c r="O3115" s="30" t="s">
        <v>64</v>
      </c>
      <c r="P3115" s="72" t="s">
        <v>6941</v>
      </c>
      <c r="Q3115" s="72" t="s">
        <v>2413</v>
      </c>
      <c r="R3115" s="72" t="s">
        <v>6434</v>
      </c>
      <c r="S3115" s="30">
        <v>1</v>
      </c>
      <c r="T3115" s="232">
        <v>0</v>
      </c>
      <c r="U3115" s="30">
        <v>0</v>
      </c>
      <c r="V3115" s="232">
        <v>0</v>
      </c>
      <c r="W3115" s="30">
        <v>0</v>
      </c>
      <c r="X3115" s="30">
        <v>1</v>
      </c>
      <c r="Y3115" s="30">
        <v>0</v>
      </c>
      <c r="Z3115" s="232">
        <v>0</v>
      </c>
      <c r="AA3115" s="30">
        <v>0</v>
      </c>
      <c r="AB3115" s="30">
        <v>0</v>
      </c>
      <c r="AC3115" s="30">
        <v>0</v>
      </c>
      <c r="AD3115" s="30">
        <v>0</v>
      </c>
      <c r="AE3115" s="72" t="s">
        <v>145</v>
      </c>
      <c r="AF3115" s="72"/>
      <c r="AG3115" s="72" t="s">
        <v>133</v>
      </c>
      <c r="AH3115" s="72">
        <v>43927</v>
      </c>
      <c r="AI3115" s="30">
        <v>3</v>
      </c>
      <c r="AJ3115" s="72" t="s">
        <v>68</v>
      </c>
      <c r="AK3115" s="72" t="s">
        <v>68</v>
      </c>
      <c r="AL3115" s="70">
        <v>43929</v>
      </c>
      <c r="AM3115" s="70"/>
      <c r="AN3115" s="70"/>
      <c r="AO3115" s="70"/>
      <c r="AP3115" s="73" t="e">
        <f>MID(VLOOKUP(K3115,#REF!,2,FALSE),1,2)</f>
        <v>#REF!</v>
      </c>
      <c r="AQ3115" s="72">
        <f>DATE(2020,4,14)</f>
        <v>43935</v>
      </c>
      <c r="AR3115" s="83">
        <f t="shared" si="273"/>
        <v>14</v>
      </c>
      <c r="AS3115" s="84">
        <f t="shared" si="274"/>
        <v>4</v>
      </c>
      <c r="AT3115" s="86">
        <f t="shared" si="275"/>
        <v>2020</v>
      </c>
      <c r="AU3115" s="86"/>
      <c r="AV3115" s="87"/>
      <c r="AW3115" s="86"/>
      <c r="AX3115" s="83"/>
      <c r="AY3115" s="84"/>
      <c r="AZ3115" s="86"/>
      <c r="BA3115" s="86"/>
      <c r="BB3115" s="86"/>
    </row>
    <row r="3116" spans="1:54" ht="36.75" customHeight="1">
      <c r="A3116" s="30"/>
      <c r="B3116" s="30" t="s">
        <v>55</v>
      </c>
      <c r="C3116" s="69" t="str">
        <f t="shared" si="266"/>
        <v>Closed</v>
      </c>
      <c r="D3116" s="27" t="s">
        <v>17655</v>
      </c>
      <c r="E3116" s="29" t="s">
        <v>17656</v>
      </c>
      <c r="F3116" s="30" t="s">
        <v>835</v>
      </c>
      <c r="G3116" s="72">
        <f>DATE(2020,4,7)</f>
        <v>43928</v>
      </c>
      <c r="H3116" s="102">
        <v>1.6875</v>
      </c>
      <c r="I3116" s="30" t="s">
        <v>104</v>
      </c>
      <c r="J3116" s="72" t="s">
        <v>17657</v>
      </c>
      <c r="K3116" s="30" t="s">
        <v>837</v>
      </c>
      <c r="L3116" s="30" t="s">
        <v>17127</v>
      </c>
      <c r="M3116" s="30" t="s">
        <v>63</v>
      </c>
      <c r="N3116" s="30" t="s">
        <v>99</v>
      </c>
      <c r="O3116" s="30" t="s">
        <v>77</v>
      </c>
      <c r="P3116" s="72" t="s">
        <v>78</v>
      </c>
      <c r="Q3116" s="72" t="s">
        <v>5840</v>
      </c>
      <c r="R3116" s="72" t="s">
        <v>840</v>
      </c>
      <c r="S3116" s="30">
        <v>0</v>
      </c>
      <c r="T3116" s="232">
        <v>0</v>
      </c>
      <c r="U3116" s="30">
        <v>0</v>
      </c>
      <c r="V3116" s="232">
        <v>0</v>
      </c>
      <c r="W3116" s="30">
        <v>0</v>
      </c>
      <c r="X3116" s="30">
        <v>0</v>
      </c>
      <c r="Y3116" s="30">
        <v>0</v>
      </c>
      <c r="Z3116" s="232">
        <v>0</v>
      </c>
      <c r="AA3116" s="30">
        <v>0</v>
      </c>
      <c r="AB3116" s="30">
        <v>0</v>
      </c>
      <c r="AC3116" s="30">
        <v>0</v>
      </c>
      <c r="AD3116" s="30">
        <v>0</v>
      </c>
      <c r="AE3116" s="72" t="s">
        <v>92</v>
      </c>
      <c r="AF3116" s="72" t="s">
        <v>17469</v>
      </c>
      <c r="AG3116" s="88" t="s">
        <v>589</v>
      </c>
      <c r="AH3116" s="72">
        <v>43929</v>
      </c>
      <c r="AI3116" s="30">
        <v>0</v>
      </c>
      <c r="AJ3116" s="72" t="s">
        <v>17658</v>
      </c>
      <c r="AK3116" s="72" t="s">
        <v>17659</v>
      </c>
      <c r="AL3116" s="70">
        <v>43936</v>
      </c>
      <c r="AM3116" s="70"/>
      <c r="AN3116" s="70">
        <v>45012</v>
      </c>
      <c r="AO3116" s="70">
        <v>44432</v>
      </c>
      <c r="AP3116" s="73" t="e">
        <f>MID(VLOOKUP(K3116,#REF!,2,FALSE),1,2)</f>
        <v>#REF!</v>
      </c>
      <c r="AQ3116" s="72">
        <f>DATE(2020,4,15)</f>
        <v>43936</v>
      </c>
      <c r="AR3116" s="83">
        <f t="shared" si="273"/>
        <v>15</v>
      </c>
      <c r="AS3116" s="84">
        <f t="shared" si="274"/>
        <v>4</v>
      </c>
      <c r="AT3116" s="86">
        <f t="shared" si="275"/>
        <v>2020</v>
      </c>
      <c r="AU3116" s="86"/>
      <c r="AV3116" s="87"/>
      <c r="AW3116" s="86"/>
      <c r="AX3116" s="83"/>
      <c r="AY3116" s="84"/>
      <c r="AZ3116" s="86"/>
      <c r="BA3116" s="86"/>
      <c r="BB3116" s="86"/>
    </row>
    <row r="3117" spans="1:54" ht="36.75" customHeight="1">
      <c r="A3117" s="30"/>
      <c r="B3117" s="30" t="s">
        <v>55</v>
      </c>
      <c r="C3117" s="69" t="str">
        <f t="shared" si="266"/>
        <v>Closed</v>
      </c>
      <c r="D3117" s="27" t="s">
        <v>17660</v>
      </c>
      <c r="E3117" s="29" t="s">
        <v>17661</v>
      </c>
      <c r="F3117" s="30" t="s">
        <v>233</v>
      </c>
      <c r="G3117" s="72">
        <f>DATE(2020,4,8)</f>
        <v>43929</v>
      </c>
      <c r="H3117" s="80">
        <v>1.4513888888888888</v>
      </c>
      <c r="I3117" s="30" t="s">
        <v>278</v>
      </c>
      <c r="J3117" s="72" t="s">
        <v>17662</v>
      </c>
      <c r="K3117" s="30" t="s">
        <v>235</v>
      </c>
      <c r="L3117" s="30" t="s">
        <v>17663</v>
      </c>
      <c r="M3117" s="30" t="s">
        <v>63</v>
      </c>
      <c r="N3117" s="30" t="s">
        <v>89</v>
      </c>
      <c r="O3117" s="30" t="s">
        <v>64</v>
      </c>
      <c r="P3117" s="72" t="s">
        <v>165</v>
      </c>
      <c r="Q3117" s="72" t="s">
        <v>10458</v>
      </c>
      <c r="R3117" s="72" t="s">
        <v>235</v>
      </c>
      <c r="S3117" s="30">
        <v>0</v>
      </c>
      <c r="T3117" s="232">
        <v>1</v>
      </c>
      <c r="U3117" s="30">
        <v>0</v>
      </c>
      <c r="V3117" s="232">
        <v>0</v>
      </c>
      <c r="W3117" s="30">
        <v>0</v>
      </c>
      <c r="X3117" s="30">
        <v>1</v>
      </c>
      <c r="Y3117" s="30">
        <v>0</v>
      </c>
      <c r="Z3117" s="232">
        <v>0</v>
      </c>
      <c r="AA3117" s="30">
        <v>0</v>
      </c>
      <c r="AB3117" s="30">
        <v>0</v>
      </c>
      <c r="AC3117" s="30">
        <v>0</v>
      </c>
      <c r="AD3117" s="30">
        <v>0</v>
      </c>
      <c r="AE3117" s="72" t="s">
        <v>92</v>
      </c>
      <c r="AF3117" s="72"/>
      <c r="AG3117" s="72" t="s">
        <v>82</v>
      </c>
      <c r="AH3117" s="72">
        <v>43935</v>
      </c>
      <c r="AI3117" s="30">
        <v>3</v>
      </c>
      <c r="AJ3117" s="72" t="s">
        <v>17664</v>
      </c>
      <c r="AK3117" s="72" t="s">
        <v>17665</v>
      </c>
      <c r="AL3117" s="70">
        <v>43948</v>
      </c>
      <c r="AM3117" s="70"/>
      <c r="AN3117" s="72"/>
      <c r="AO3117" s="72">
        <v>44348</v>
      </c>
      <c r="AP3117" s="73" t="e">
        <f>MID(VLOOKUP(K3117,#REF!,2,FALSE),1,2)</f>
        <v>#REF!</v>
      </c>
      <c r="AQ3117" s="72">
        <f>DATE(2020,4,17)</f>
        <v>43938</v>
      </c>
      <c r="AR3117" s="83">
        <f t="shared" si="273"/>
        <v>17</v>
      </c>
      <c r="AS3117" s="84">
        <f t="shared" si="274"/>
        <v>4</v>
      </c>
      <c r="AT3117" s="86">
        <f t="shared" si="275"/>
        <v>2020</v>
      </c>
      <c r="AU3117" s="86"/>
      <c r="AV3117" s="87"/>
      <c r="AW3117" s="86"/>
      <c r="AX3117" s="83"/>
      <c r="AY3117" s="84"/>
      <c r="AZ3117" s="86"/>
      <c r="BA3117" s="86"/>
      <c r="BB3117" s="86"/>
    </row>
    <row r="3118" spans="1:54" ht="36.75" customHeight="1">
      <c r="A3118" s="30"/>
      <c r="B3118" s="30" t="s">
        <v>55</v>
      </c>
      <c r="C3118" s="69" t="str">
        <f t="shared" si="266"/>
        <v>Closed</v>
      </c>
      <c r="D3118" s="27" t="s">
        <v>17666</v>
      </c>
      <c r="E3118" s="29" t="s">
        <v>17667</v>
      </c>
      <c r="F3118" s="30" t="s">
        <v>1770</v>
      </c>
      <c r="G3118" s="72">
        <f>DATE(2020,4,14)</f>
        <v>43935</v>
      </c>
      <c r="H3118" s="80">
        <v>1.1944444444444444</v>
      </c>
      <c r="I3118" s="30" t="s">
        <v>73</v>
      </c>
      <c r="J3118" s="72" t="s">
        <v>17668</v>
      </c>
      <c r="K3118" s="30" t="s">
        <v>1772</v>
      </c>
      <c r="L3118" s="30" t="s">
        <v>17669</v>
      </c>
      <c r="M3118" s="30" t="s">
        <v>63</v>
      </c>
      <c r="N3118" s="30" t="s">
        <v>142</v>
      </c>
      <c r="O3118" s="30" t="s">
        <v>77</v>
      </c>
      <c r="P3118" s="72" t="s">
        <v>301</v>
      </c>
      <c r="Q3118" s="72" t="s">
        <v>879</v>
      </c>
      <c r="R3118" s="72" t="s">
        <v>1775</v>
      </c>
      <c r="S3118" s="30">
        <v>0</v>
      </c>
      <c r="T3118" s="232">
        <v>0</v>
      </c>
      <c r="U3118" s="30">
        <v>0</v>
      </c>
      <c r="V3118" s="232">
        <v>0</v>
      </c>
      <c r="W3118" s="30">
        <v>0</v>
      </c>
      <c r="X3118" s="30">
        <v>0</v>
      </c>
      <c r="Y3118" s="30">
        <v>0</v>
      </c>
      <c r="Z3118" s="232">
        <v>0</v>
      </c>
      <c r="AA3118" s="30">
        <v>0</v>
      </c>
      <c r="AB3118" s="30">
        <v>0</v>
      </c>
      <c r="AC3118" s="30">
        <v>0</v>
      </c>
      <c r="AD3118" s="30">
        <v>0</v>
      </c>
      <c r="AE3118" s="72" t="s">
        <v>92</v>
      </c>
      <c r="AF3118" s="72" t="s">
        <v>17670</v>
      </c>
      <c r="AG3118" s="72" t="s">
        <v>14033</v>
      </c>
      <c r="AH3118" s="72">
        <v>43941</v>
      </c>
      <c r="AI3118" s="30">
        <v>0</v>
      </c>
      <c r="AJ3118" s="72" t="s">
        <v>17671</v>
      </c>
      <c r="AK3118" s="72" t="s">
        <v>17672</v>
      </c>
      <c r="AL3118" s="70">
        <v>43980</v>
      </c>
      <c r="AM3118" s="70"/>
      <c r="AN3118" s="70"/>
      <c r="AO3118" s="70"/>
      <c r="AP3118" s="73" t="e">
        <f>MID(VLOOKUP(K3118,#REF!,2,FALSE),1,2)</f>
        <v>#REF!</v>
      </c>
      <c r="AQ3118" s="72">
        <f>DATE(2020,4,22)</f>
        <v>43943</v>
      </c>
      <c r="AR3118" s="83">
        <f t="shared" si="273"/>
        <v>22</v>
      </c>
      <c r="AS3118" s="84">
        <f t="shared" si="274"/>
        <v>4</v>
      </c>
      <c r="AT3118" s="86">
        <f t="shared" si="275"/>
        <v>2020</v>
      </c>
      <c r="AU3118" s="86"/>
      <c r="AV3118" s="87"/>
      <c r="AW3118" s="86"/>
      <c r="AX3118" s="83"/>
      <c r="AY3118" s="84"/>
      <c r="AZ3118" s="86"/>
      <c r="BA3118" s="86"/>
      <c r="BB3118" s="86"/>
    </row>
    <row r="3119" spans="1:54" ht="36.75" customHeight="1">
      <c r="A3119" s="30"/>
      <c r="B3119" s="30" t="s">
        <v>55</v>
      </c>
      <c r="C3119" s="69" t="str">
        <f t="shared" si="266"/>
        <v>Closed</v>
      </c>
      <c r="D3119" s="27" t="s">
        <v>17673</v>
      </c>
      <c r="E3119" s="29" t="s">
        <v>17674</v>
      </c>
      <c r="F3119" s="30" t="s">
        <v>6455</v>
      </c>
      <c r="G3119" s="72">
        <f>DATE(2020,4,15)</f>
        <v>43936</v>
      </c>
      <c r="H3119" s="80">
        <v>1.8770833333333332</v>
      </c>
      <c r="I3119" s="30" t="s">
        <v>73</v>
      </c>
      <c r="J3119" s="30" t="s">
        <v>17675</v>
      </c>
      <c r="K3119" s="30" t="s">
        <v>584</v>
      </c>
      <c r="L3119" s="30" t="s">
        <v>17676</v>
      </c>
      <c r="M3119" s="30" t="s">
        <v>63</v>
      </c>
      <c r="N3119" s="30" t="s">
        <v>142</v>
      </c>
      <c r="O3119" s="30" t="s">
        <v>77</v>
      </c>
      <c r="P3119" s="72" t="s">
        <v>165</v>
      </c>
      <c r="Q3119" s="72" t="s">
        <v>1301</v>
      </c>
      <c r="R3119" s="72" t="s">
        <v>587</v>
      </c>
      <c r="S3119" s="30">
        <v>0</v>
      </c>
      <c r="T3119" s="232">
        <v>0</v>
      </c>
      <c r="U3119" s="30">
        <v>0</v>
      </c>
      <c r="V3119" s="232">
        <v>0</v>
      </c>
      <c r="W3119" s="30">
        <v>0</v>
      </c>
      <c r="X3119" s="30">
        <v>0</v>
      </c>
      <c r="Y3119" s="30">
        <v>0</v>
      </c>
      <c r="Z3119" s="232">
        <v>0</v>
      </c>
      <c r="AA3119" s="30">
        <v>0</v>
      </c>
      <c r="AB3119" s="30">
        <v>0</v>
      </c>
      <c r="AC3119" s="30">
        <v>0</v>
      </c>
      <c r="AD3119" s="30">
        <v>0</v>
      </c>
      <c r="AE3119" s="72" t="s">
        <v>394</v>
      </c>
      <c r="AF3119" s="72" t="s">
        <v>17677</v>
      </c>
      <c r="AG3119" s="72" t="s">
        <v>8859</v>
      </c>
      <c r="AH3119" s="72">
        <v>43937</v>
      </c>
      <c r="AI3119" s="30">
        <v>0</v>
      </c>
      <c r="AJ3119" s="72" t="s">
        <v>17678</v>
      </c>
      <c r="AK3119" s="72" t="s">
        <v>17679</v>
      </c>
      <c r="AL3119" s="70">
        <v>43957</v>
      </c>
      <c r="AM3119" s="70">
        <v>45411</v>
      </c>
      <c r="AN3119" s="70">
        <v>45729</v>
      </c>
      <c r="AO3119" s="70">
        <v>45723</v>
      </c>
      <c r="AP3119" s="73" t="e">
        <f>MID(VLOOKUP(K3119,#REF!,2,FALSE),1,2)</f>
        <v>#REF!</v>
      </c>
      <c r="AQ3119" s="72">
        <f>DATE(2020,4,26)</f>
        <v>43947</v>
      </c>
      <c r="AR3119" s="83">
        <f t="shared" si="273"/>
        <v>26</v>
      </c>
      <c r="AS3119" s="84">
        <f t="shared" si="274"/>
        <v>4</v>
      </c>
      <c r="AT3119" s="86">
        <f t="shared" si="275"/>
        <v>2020</v>
      </c>
      <c r="AU3119" s="86"/>
      <c r="AV3119" s="87"/>
      <c r="AW3119" s="86"/>
      <c r="AX3119" s="83"/>
      <c r="AY3119" s="84"/>
      <c r="AZ3119" s="86"/>
      <c r="BA3119" s="86"/>
      <c r="BB3119" s="86"/>
    </row>
    <row r="3120" spans="1:54" ht="36.75" customHeight="1">
      <c r="A3120" s="30"/>
      <c r="B3120" s="30" t="s">
        <v>55</v>
      </c>
      <c r="C3120" s="69" t="str">
        <f t="shared" si="266"/>
        <v>Closed</v>
      </c>
      <c r="D3120" s="27" t="s">
        <v>17680</v>
      </c>
      <c r="E3120" s="29" t="s">
        <v>17681</v>
      </c>
      <c r="F3120" s="30" t="s">
        <v>17682</v>
      </c>
      <c r="G3120" s="72">
        <f>DATE(2020,4,17)</f>
        <v>43938</v>
      </c>
      <c r="H3120" s="80">
        <v>1.6423611111111112</v>
      </c>
      <c r="I3120" s="30" t="s">
        <v>73</v>
      </c>
      <c r="J3120" s="72" t="s">
        <v>17683</v>
      </c>
      <c r="K3120" s="30" t="s">
        <v>1574</v>
      </c>
      <c r="L3120" s="30" t="s">
        <v>17684</v>
      </c>
      <c r="M3120" s="30" t="s">
        <v>63</v>
      </c>
      <c r="N3120" s="30" t="s">
        <v>99</v>
      </c>
      <c r="O3120" s="30" t="s">
        <v>77</v>
      </c>
      <c r="P3120" s="72" t="s">
        <v>381</v>
      </c>
      <c r="Q3120" s="72" t="s">
        <v>17685</v>
      </c>
      <c r="R3120" s="72" t="s">
        <v>17686</v>
      </c>
      <c r="S3120" s="30">
        <v>0</v>
      </c>
      <c r="T3120" s="232">
        <v>0</v>
      </c>
      <c r="U3120" s="30">
        <v>0</v>
      </c>
      <c r="V3120" s="232">
        <v>0</v>
      </c>
      <c r="W3120" s="30">
        <v>0</v>
      </c>
      <c r="X3120" s="30">
        <v>0</v>
      </c>
      <c r="Y3120" s="30">
        <v>0</v>
      </c>
      <c r="Z3120" s="232">
        <v>0</v>
      </c>
      <c r="AA3120" s="30">
        <v>0</v>
      </c>
      <c r="AB3120" s="30">
        <v>0</v>
      </c>
      <c r="AC3120" s="30">
        <v>0</v>
      </c>
      <c r="AD3120" s="30">
        <v>0</v>
      </c>
      <c r="AE3120" s="72" t="s">
        <v>92</v>
      </c>
      <c r="AF3120" s="72" t="s">
        <v>17687</v>
      </c>
      <c r="AG3120" s="72" t="s">
        <v>8859</v>
      </c>
      <c r="AH3120" s="72">
        <v>43943</v>
      </c>
      <c r="AI3120" s="30">
        <v>1</v>
      </c>
      <c r="AJ3120" s="72" t="s">
        <v>17688</v>
      </c>
      <c r="AK3120" s="72" t="s">
        <v>17689</v>
      </c>
      <c r="AL3120" s="70">
        <v>43944</v>
      </c>
      <c r="AM3120" s="70"/>
      <c r="AN3120" s="70">
        <v>44756</v>
      </c>
      <c r="AO3120" s="70">
        <v>44301</v>
      </c>
      <c r="AP3120" s="73" t="e">
        <f>MID(VLOOKUP(K3120,#REF!,2,FALSE),1,2)</f>
        <v>#REF!</v>
      </c>
      <c r="AQ3120" s="72">
        <f>DATE(2020,4,27)</f>
        <v>43948</v>
      </c>
      <c r="AR3120" s="83">
        <f t="shared" si="273"/>
        <v>27</v>
      </c>
      <c r="AS3120" s="84">
        <f t="shared" si="274"/>
        <v>4</v>
      </c>
      <c r="AT3120" s="86">
        <f t="shared" si="275"/>
        <v>2020</v>
      </c>
      <c r="AU3120" s="86"/>
      <c r="AV3120" s="87"/>
      <c r="AW3120" s="86"/>
      <c r="AX3120" s="83"/>
      <c r="AY3120" s="84"/>
      <c r="AZ3120" s="86"/>
      <c r="BA3120" s="86"/>
      <c r="BB3120" s="86"/>
    </row>
    <row r="3121" spans="1:55" ht="36.75" customHeight="1">
      <c r="A3121" s="30"/>
      <c r="B3121" s="30" t="s">
        <v>2124</v>
      </c>
      <c r="C3121" s="69" t="str">
        <f t="shared" si="266"/>
        <v>Open</v>
      </c>
      <c r="D3121" s="27" t="s">
        <v>17690</v>
      </c>
      <c r="E3121" s="29" t="s">
        <v>17691</v>
      </c>
      <c r="F3121" s="30" t="s">
        <v>5427</v>
      </c>
      <c r="G3121" s="72">
        <f>DATE(2020,4,22)</f>
        <v>43943</v>
      </c>
      <c r="H3121" s="80">
        <v>1.7868055555555555</v>
      </c>
      <c r="I3121" s="30" t="s">
        <v>116</v>
      </c>
      <c r="J3121" s="72" t="s">
        <v>17692</v>
      </c>
      <c r="K3121" s="30" t="s">
        <v>596</v>
      </c>
      <c r="L3121" s="30" t="s">
        <v>12958</v>
      </c>
      <c r="M3121" s="30" t="s">
        <v>63</v>
      </c>
      <c r="N3121" s="30" t="s">
        <v>142</v>
      </c>
      <c r="O3121" s="30" t="s">
        <v>64</v>
      </c>
      <c r="P3121" s="72" t="s">
        <v>65</v>
      </c>
      <c r="Q3121" s="72" t="s">
        <v>10529</v>
      </c>
      <c r="R3121" s="72" t="s">
        <v>12074</v>
      </c>
      <c r="S3121" s="30">
        <v>0</v>
      </c>
      <c r="T3121" s="232">
        <v>0</v>
      </c>
      <c r="U3121" s="30">
        <v>1</v>
      </c>
      <c r="V3121" s="232">
        <v>0</v>
      </c>
      <c r="W3121" s="30">
        <v>0</v>
      </c>
      <c r="X3121" s="30">
        <v>1</v>
      </c>
      <c r="Y3121" s="30">
        <v>0</v>
      </c>
      <c r="Z3121" s="232">
        <v>0</v>
      </c>
      <c r="AA3121" s="30">
        <v>0</v>
      </c>
      <c r="AB3121" s="30">
        <v>0</v>
      </c>
      <c r="AC3121" s="30">
        <v>0</v>
      </c>
      <c r="AD3121" s="30">
        <v>0</v>
      </c>
      <c r="AE3121" s="72" t="s">
        <v>394</v>
      </c>
      <c r="AF3121" s="72"/>
      <c r="AG3121" s="72" t="s">
        <v>82</v>
      </c>
      <c r="AH3121" s="72">
        <v>43949</v>
      </c>
      <c r="AI3121" s="30">
        <v>0</v>
      </c>
      <c r="AJ3121" s="72" t="s">
        <v>68</v>
      </c>
      <c r="AK3121" s="72" t="s">
        <v>68</v>
      </c>
      <c r="AL3121" s="70">
        <v>44026</v>
      </c>
      <c r="AM3121" s="70"/>
      <c r="AN3121" s="70"/>
      <c r="AO3121" s="70"/>
      <c r="AP3121" s="73" t="e">
        <f>MID(VLOOKUP(K3121,#REF!,2,FALSE),1,2)</f>
        <v>#REF!</v>
      </c>
      <c r="AQ3121" s="72">
        <f>DATE(2020,4,27)</f>
        <v>43948</v>
      </c>
      <c r="AR3121" s="83">
        <f t="shared" si="273"/>
        <v>27</v>
      </c>
      <c r="AS3121" s="84">
        <f t="shared" si="274"/>
        <v>4</v>
      </c>
      <c r="AT3121" s="86">
        <f t="shared" si="275"/>
        <v>2020</v>
      </c>
      <c r="AU3121" s="86"/>
      <c r="AV3121" s="87"/>
      <c r="AW3121" s="86"/>
      <c r="AX3121" s="83"/>
      <c r="AY3121" s="84"/>
      <c r="AZ3121" s="86"/>
      <c r="BA3121" s="86"/>
      <c r="BB3121" s="86"/>
    </row>
    <row r="3122" spans="1:55" ht="36.75" customHeight="1">
      <c r="A3122" s="30"/>
      <c r="B3122" s="30" t="s">
        <v>55</v>
      </c>
      <c r="C3122" s="69" t="str">
        <f t="shared" si="266"/>
        <v>Closed</v>
      </c>
      <c r="D3122" s="27" t="s">
        <v>17693</v>
      </c>
      <c r="E3122" s="29" t="s">
        <v>17694</v>
      </c>
      <c r="F3122" s="30" t="s">
        <v>9789</v>
      </c>
      <c r="G3122" s="72">
        <f>DATE(2020,4,26)</f>
        <v>43947</v>
      </c>
      <c r="H3122" s="80">
        <v>1.8472222222222223</v>
      </c>
      <c r="I3122" s="30" t="s">
        <v>116</v>
      </c>
      <c r="J3122" s="265" t="s">
        <v>17695</v>
      </c>
      <c r="K3122" s="30" t="s">
        <v>9791</v>
      </c>
      <c r="L3122" s="30" t="s">
        <v>17696</v>
      </c>
      <c r="M3122" s="30" t="s">
        <v>63</v>
      </c>
      <c r="N3122" s="30" t="s">
        <v>142</v>
      </c>
      <c r="O3122" s="30" t="s">
        <v>64</v>
      </c>
      <c r="P3122" s="72" t="s">
        <v>381</v>
      </c>
      <c r="Q3122" s="72" t="s">
        <v>17697</v>
      </c>
      <c r="R3122" s="72" t="s">
        <v>9794</v>
      </c>
      <c r="S3122" s="30">
        <v>0</v>
      </c>
      <c r="T3122" s="99">
        <v>0</v>
      </c>
      <c r="U3122" s="30">
        <v>1</v>
      </c>
      <c r="V3122" s="99">
        <v>0</v>
      </c>
      <c r="W3122" s="30">
        <v>0</v>
      </c>
      <c r="X3122" s="30">
        <v>1</v>
      </c>
      <c r="Y3122" s="30">
        <v>0</v>
      </c>
      <c r="Z3122" s="99">
        <v>0</v>
      </c>
      <c r="AA3122" s="30">
        <v>0</v>
      </c>
      <c r="AB3122" s="30">
        <v>0</v>
      </c>
      <c r="AC3122" s="30">
        <v>0</v>
      </c>
      <c r="AD3122" s="30">
        <v>0</v>
      </c>
      <c r="AE3122" s="72" t="s">
        <v>394</v>
      </c>
      <c r="AF3122" s="72"/>
      <c r="AG3122" s="72" t="s">
        <v>82</v>
      </c>
      <c r="AH3122" s="72">
        <v>43997</v>
      </c>
      <c r="AI3122" s="30">
        <v>0</v>
      </c>
      <c r="AJ3122" s="72" t="s">
        <v>17698</v>
      </c>
      <c r="AK3122" s="72" t="s">
        <v>17699</v>
      </c>
      <c r="AL3122" s="70">
        <v>43999</v>
      </c>
      <c r="AM3122" s="70"/>
      <c r="AN3122" s="70"/>
      <c r="AO3122" s="70"/>
      <c r="AP3122" s="73" t="e">
        <f>MID(VLOOKUP(K3122,#REF!,2,FALSE),1,2)</f>
        <v>#REF!</v>
      </c>
      <c r="AQ3122" s="72">
        <f>DATE(2020,4,29)</f>
        <v>43950</v>
      </c>
      <c r="AR3122" s="83">
        <f t="shared" si="273"/>
        <v>29</v>
      </c>
      <c r="AS3122" s="84">
        <f t="shared" si="274"/>
        <v>4</v>
      </c>
      <c r="AT3122" s="86">
        <f t="shared" si="275"/>
        <v>2020</v>
      </c>
      <c r="AU3122" s="86"/>
      <c r="AV3122" s="87"/>
      <c r="AW3122" s="86"/>
      <c r="AX3122" s="83"/>
      <c r="AY3122" s="84"/>
      <c r="AZ3122" s="86"/>
      <c r="BA3122" s="86"/>
      <c r="BB3122" s="86"/>
    </row>
    <row r="3123" spans="1:55" ht="36.75" customHeight="1">
      <c r="A3123" s="30"/>
      <c r="B3123" s="30" t="s">
        <v>55</v>
      </c>
      <c r="C3123" s="69" t="str">
        <f t="shared" si="266"/>
        <v>Closed</v>
      </c>
      <c r="D3123" s="27" t="s">
        <v>17700</v>
      </c>
      <c r="E3123" s="29" t="s">
        <v>17701</v>
      </c>
      <c r="F3123" s="30" t="s">
        <v>423</v>
      </c>
      <c r="G3123" s="72">
        <f>DATE(2020,4,27)</f>
        <v>43948</v>
      </c>
      <c r="H3123" s="80">
        <v>1.3819444444444444</v>
      </c>
      <c r="I3123" s="30" t="s">
        <v>116</v>
      </c>
      <c r="J3123" s="72" t="s">
        <v>17702</v>
      </c>
      <c r="K3123" s="30" t="s">
        <v>425</v>
      </c>
      <c r="L3123" s="30" t="s">
        <v>17703</v>
      </c>
      <c r="M3123" s="30" t="s">
        <v>63</v>
      </c>
      <c r="N3123" s="30" t="s">
        <v>99</v>
      </c>
      <c r="O3123" s="30" t="s">
        <v>64</v>
      </c>
      <c r="P3123" s="72" t="s">
        <v>165</v>
      </c>
      <c r="Q3123" s="72" t="s">
        <v>4551</v>
      </c>
      <c r="R3123" s="72" t="s">
        <v>3103</v>
      </c>
      <c r="S3123" s="30">
        <v>0</v>
      </c>
      <c r="T3123" s="232">
        <v>0</v>
      </c>
      <c r="U3123" s="30">
        <v>3</v>
      </c>
      <c r="V3123" s="232">
        <v>0</v>
      </c>
      <c r="W3123" s="30">
        <v>0</v>
      </c>
      <c r="X3123" s="30">
        <v>3</v>
      </c>
      <c r="Y3123" s="30">
        <v>0</v>
      </c>
      <c r="Z3123" s="232">
        <v>0</v>
      </c>
      <c r="AA3123" s="30">
        <v>1</v>
      </c>
      <c r="AB3123" s="30">
        <v>0</v>
      </c>
      <c r="AC3123" s="30">
        <v>0</v>
      </c>
      <c r="AD3123" s="30">
        <v>1</v>
      </c>
      <c r="AE3123" s="72" t="s">
        <v>92</v>
      </c>
      <c r="AF3123" s="72"/>
      <c r="AG3123" s="72" t="s">
        <v>133</v>
      </c>
      <c r="AH3123" s="72">
        <v>43948</v>
      </c>
      <c r="AI3123" s="30">
        <v>2</v>
      </c>
      <c r="AJ3123" s="72" t="s">
        <v>17704</v>
      </c>
      <c r="AK3123" s="72" t="s">
        <v>17705</v>
      </c>
      <c r="AL3123" s="70">
        <v>43950</v>
      </c>
      <c r="AM3123" s="70"/>
      <c r="AN3123" s="70"/>
      <c r="AO3123" s="70"/>
      <c r="AP3123" s="73" t="e">
        <f>MID(VLOOKUP(K3123,#REF!,2,FALSE),1,2)</f>
        <v>#REF!</v>
      </c>
      <c r="AQ3123" s="72">
        <f>DATE(2020,4,29)</f>
        <v>43950</v>
      </c>
      <c r="AR3123" s="83">
        <f t="shared" si="273"/>
        <v>29</v>
      </c>
      <c r="AS3123" s="84">
        <f t="shared" si="274"/>
        <v>4</v>
      </c>
      <c r="AT3123" s="86">
        <f t="shared" si="275"/>
        <v>2020</v>
      </c>
      <c r="AU3123" s="86"/>
      <c r="AV3123" s="87"/>
      <c r="AW3123" s="86"/>
      <c r="AX3123" s="83"/>
      <c r="AY3123" s="84"/>
      <c r="AZ3123" s="86"/>
      <c r="BA3123" s="86"/>
      <c r="BB3123" s="86"/>
    </row>
    <row r="3124" spans="1:55" ht="36.75" customHeight="1">
      <c r="A3124" s="30"/>
      <c r="B3124" s="30" t="s">
        <v>55</v>
      </c>
      <c r="C3124" s="69" t="str">
        <f t="shared" si="266"/>
        <v>Closed</v>
      </c>
      <c r="D3124" s="27" t="s">
        <v>17706</v>
      </c>
      <c r="E3124" s="29" t="s">
        <v>17707</v>
      </c>
      <c r="F3124" s="30" t="s">
        <v>835</v>
      </c>
      <c r="G3124" s="72">
        <f>DATE(2020,4,27)</f>
        <v>43948</v>
      </c>
      <c r="H3124" s="80">
        <v>1.3416666666666666</v>
      </c>
      <c r="I3124" s="30" t="s">
        <v>5494</v>
      </c>
      <c r="J3124" s="72" t="s">
        <v>17708</v>
      </c>
      <c r="K3124" s="30" t="s">
        <v>837</v>
      </c>
      <c r="L3124" s="30" t="s">
        <v>17709</v>
      </c>
      <c r="M3124" s="30" t="s">
        <v>255</v>
      </c>
      <c r="N3124" s="30" t="s">
        <v>142</v>
      </c>
      <c r="O3124" s="30" t="s">
        <v>77</v>
      </c>
      <c r="P3124" s="72" t="s">
        <v>6552</v>
      </c>
      <c r="Q3124" s="72" t="s">
        <v>4210</v>
      </c>
      <c r="R3124" s="72" t="s">
        <v>4210</v>
      </c>
      <c r="S3124" s="30">
        <v>0</v>
      </c>
      <c r="T3124" s="232">
        <v>0</v>
      </c>
      <c r="U3124" s="30">
        <v>0</v>
      </c>
      <c r="V3124" s="232">
        <v>0</v>
      </c>
      <c r="W3124" s="30">
        <v>0</v>
      </c>
      <c r="X3124" s="30">
        <v>0</v>
      </c>
      <c r="Y3124" s="30">
        <v>0</v>
      </c>
      <c r="Z3124" s="232">
        <v>0</v>
      </c>
      <c r="AA3124" s="30">
        <v>0</v>
      </c>
      <c r="AB3124" s="30">
        <v>0</v>
      </c>
      <c r="AC3124" s="30">
        <v>0</v>
      </c>
      <c r="AD3124" s="30">
        <v>0</v>
      </c>
      <c r="AE3124" s="72" t="s">
        <v>92</v>
      </c>
      <c r="AF3124" s="72" t="s">
        <v>17710</v>
      </c>
      <c r="AG3124" s="72" t="s">
        <v>589</v>
      </c>
      <c r="AH3124" s="72">
        <v>43949</v>
      </c>
      <c r="AI3124" s="30">
        <v>0</v>
      </c>
      <c r="AJ3124" s="72" t="s">
        <v>17711</v>
      </c>
      <c r="AK3124" s="72" t="s">
        <v>17712</v>
      </c>
      <c r="AL3124" s="70">
        <v>43956</v>
      </c>
      <c r="AM3124" s="70"/>
      <c r="AN3124" s="70">
        <v>45012</v>
      </c>
      <c r="AO3124" s="70">
        <v>44432</v>
      </c>
      <c r="AP3124" s="73" t="e">
        <f>MID(VLOOKUP(K3124,#REF!,2,FALSE),1,2)</f>
        <v>#REF!</v>
      </c>
      <c r="AQ3124" s="72">
        <f>DATE(2020,4,29)</f>
        <v>43950</v>
      </c>
      <c r="AR3124" s="83">
        <f t="shared" si="273"/>
        <v>29</v>
      </c>
      <c r="AS3124" s="84">
        <f t="shared" si="274"/>
        <v>4</v>
      </c>
      <c r="AT3124" s="86">
        <f t="shared" si="275"/>
        <v>2020</v>
      </c>
      <c r="AU3124" s="86"/>
      <c r="AV3124" s="87"/>
      <c r="AW3124" s="86"/>
      <c r="AX3124" s="83"/>
      <c r="AY3124" s="84"/>
      <c r="AZ3124" s="86"/>
      <c r="BA3124" s="86"/>
      <c r="BB3124" s="86"/>
    </row>
    <row r="3125" spans="1:55" ht="36.75" customHeight="1">
      <c r="A3125" s="30"/>
      <c r="B3125" s="30" t="s">
        <v>55</v>
      </c>
      <c r="C3125" s="69" t="str">
        <f t="shared" si="266"/>
        <v>Closed</v>
      </c>
      <c r="D3125" s="27" t="s">
        <v>17713</v>
      </c>
      <c r="E3125" s="29" t="s">
        <v>17714</v>
      </c>
      <c r="F3125" s="30" t="s">
        <v>835</v>
      </c>
      <c r="G3125" s="72">
        <f>DATE(2020,4,29)</f>
        <v>43950</v>
      </c>
      <c r="H3125" s="80">
        <v>1.3618055555555555</v>
      </c>
      <c r="I3125" s="30" t="s">
        <v>104</v>
      </c>
      <c r="J3125" s="72" t="s">
        <v>17715</v>
      </c>
      <c r="K3125" s="30" t="s">
        <v>837</v>
      </c>
      <c r="L3125" s="30" t="s">
        <v>17716</v>
      </c>
      <c r="M3125" s="30" t="s">
        <v>63</v>
      </c>
      <c r="N3125" s="30" t="s">
        <v>142</v>
      </c>
      <c r="O3125" s="30" t="s">
        <v>77</v>
      </c>
      <c r="P3125" s="72" t="s">
        <v>381</v>
      </c>
      <c r="Q3125" s="72" t="s">
        <v>2162</v>
      </c>
      <c r="R3125" s="72" t="s">
        <v>840</v>
      </c>
      <c r="S3125" s="30">
        <v>0</v>
      </c>
      <c r="T3125" s="232">
        <v>0</v>
      </c>
      <c r="U3125" s="30">
        <v>0</v>
      </c>
      <c r="V3125" s="232">
        <v>0</v>
      </c>
      <c r="W3125" s="30">
        <v>0</v>
      </c>
      <c r="X3125" s="30">
        <v>0</v>
      </c>
      <c r="Y3125" s="30">
        <v>0</v>
      </c>
      <c r="Z3125" s="232">
        <v>0</v>
      </c>
      <c r="AA3125" s="30">
        <v>0</v>
      </c>
      <c r="AB3125" s="30">
        <v>0</v>
      </c>
      <c r="AC3125" s="30">
        <v>0</v>
      </c>
      <c r="AD3125" s="30">
        <v>0</v>
      </c>
      <c r="AE3125" s="72" t="s">
        <v>92</v>
      </c>
      <c r="AF3125" s="72"/>
      <c r="AG3125" s="72" t="s">
        <v>589</v>
      </c>
      <c r="AH3125" s="72">
        <v>43957</v>
      </c>
      <c r="AI3125" s="30">
        <v>0</v>
      </c>
      <c r="AJ3125" s="72" t="s">
        <v>17717</v>
      </c>
      <c r="AK3125" s="72" t="s">
        <v>17718</v>
      </c>
      <c r="AL3125" s="70">
        <v>43957</v>
      </c>
      <c r="AM3125" s="70"/>
      <c r="AN3125" s="70">
        <v>45012</v>
      </c>
      <c r="AO3125" s="70">
        <v>44432</v>
      </c>
      <c r="AP3125" s="73" t="e">
        <f>MID(VLOOKUP(K3125,#REF!,2,FALSE),1,2)</f>
        <v>#REF!</v>
      </c>
      <c r="AQ3125" s="72">
        <f>DATE(2020,4,29)</f>
        <v>43950</v>
      </c>
      <c r="AR3125" s="83">
        <f t="shared" si="273"/>
        <v>29</v>
      </c>
      <c r="AS3125" s="84">
        <f t="shared" si="274"/>
        <v>4</v>
      </c>
      <c r="AT3125" s="86">
        <f t="shared" si="275"/>
        <v>2020</v>
      </c>
      <c r="AU3125" s="86"/>
      <c r="AV3125" s="87"/>
      <c r="AW3125" s="86"/>
      <c r="AX3125" s="83"/>
      <c r="AY3125" s="84"/>
      <c r="AZ3125" s="86"/>
      <c r="BA3125" s="86"/>
      <c r="BB3125" s="86"/>
      <c r="BC3125" s="134" t="s">
        <v>17719</v>
      </c>
    </row>
    <row r="3126" spans="1:55" ht="36.75" customHeight="1">
      <c r="A3126" s="98" t="s">
        <v>4910</v>
      </c>
      <c r="B3126" s="30" t="s">
        <v>55</v>
      </c>
      <c r="C3126" s="69" t="str">
        <f t="shared" si="266"/>
        <v>Closed</v>
      </c>
      <c r="D3126" s="27" t="s">
        <v>17720</v>
      </c>
      <c r="E3126" s="29" t="s">
        <v>17721</v>
      </c>
      <c r="F3126" s="30" t="s">
        <v>1938</v>
      </c>
      <c r="G3126" s="72">
        <f>DATE(2020,4,29)</f>
        <v>43950</v>
      </c>
      <c r="H3126" s="80">
        <v>0.56944444444444442</v>
      </c>
      <c r="I3126" s="30" t="s">
        <v>116</v>
      </c>
      <c r="J3126" s="72" t="s">
        <v>17722</v>
      </c>
      <c r="K3126" s="30" t="s">
        <v>1940</v>
      </c>
      <c r="L3126" s="30" t="s">
        <v>17723</v>
      </c>
      <c r="M3126" s="30" t="s">
        <v>63</v>
      </c>
      <c r="N3126" s="30" t="s">
        <v>89</v>
      </c>
      <c r="O3126" s="30" t="s">
        <v>64</v>
      </c>
      <c r="P3126" s="72" t="s">
        <v>165</v>
      </c>
      <c r="Q3126" s="72" t="s">
        <v>17724</v>
      </c>
      <c r="R3126" s="72" t="s">
        <v>17724</v>
      </c>
      <c r="S3126" s="30">
        <v>0</v>
      </c>
      <c r="T3126" s="232">
        <v>0</v>
      </c>
      <c r="U3126" s="30">
        <v>0</v>
      </c>
      <c r="V3126" s="232">
        <v>0</v>
      </c>
      <c r="W3126" s="30">
        <v>0</v>
      </c>
      <c r="X3126" s="30">
        <v>0</v>
      </c>
      <c r="Y3126" s="30">
        <v>0</v>
      </c>
      <c r="Z3126" s="232">
        <v>0</v>
      </c>
      <c r="AA3126" s="30">
        <v>0</v>
      </c>
      <c r="AB3126" s="30">
        <v>0</v>
      </c>
      <c r="AC3126" s="30">
        <v>0</v>
      </c>
      <c r="AD3126" s="30">
        <v>0</v>
      </c>
      <c r="AE3126" s="72" t="s">
        <v>394</v>
      </c>
      <c r="AF3126" s="72" t="s">
        <v>17725</v>
      </c>
      <c r="AG3126" s="72" t="s">
        <v>6459</v>
      </c>
      <c r="AH3126" s="72">
        <v>43956</v>
      </c>
      <c r="AI3126" s="30">
        <v>4</v>
      </c>
      <c r="AJ3126" s="72" t="s">
        <v>68</v>
      </c>
      <c r="AK3126" s="72" t="s">
        <v>68</v>
      </c>
      <c r="AL3126" s="70">
        <v>43957</v>
      </c>
      <c r="AM3126" s="70"/>
      <c r="AN3126" s="70"/>
      <c r="AO3126" s="70"/>
      <c r="AP3126" s="73" t="e">
        <f>MID(VLOOKUP(K3126,#REF!,2,FALSE),1,2)</f>
        <v>#REF!</v>
      </c>
      <c r="AQ3126" s="72">
        <f>DATE(2020,4,29)</f>
        <v>43950</v>
      </c>
      <c r="AR3126" s="83">
        <f t="shared" si="273"/>
        <v>29</v>
      </c>
      <c r="AS3126" s="84">
        <f t="shared" si="274"/>
        <v>4</v>
      </c>
      <c r="AT3126" s="86">
        <f t="shared" si="275"/>
        <v>2020</v>
      </c>
      <c r="AU3126" s="86"/>
      <c r="AV3126" s="87"/>
      <c r="AW3126" s="86"/>
      <c r="AX3126" s="83"/>
      <c r="AY3126" s="84"/>
      <c r="AZ3126" s="86"/>
      <c r="BA3126" s="86"/>
      <c r="BB3126" s="86"/>
    </row>
    <row r="3127" spans="1:55" ht="36.75" customHeight="1">
      <c r="A3127" s="98" t="s">
        <v>4910</v>
      </c>
      <c r="B3127" s="30" t="s">
        <v>55</v>
      </c>
      <c r="C3127" s="69" t="str">
        <f t="shared" si="266"/>
        <v>Closed</v>
      </c>
      <c r="D3127" s="27" t="s">
        <v>17726</v>
      </c>
      <c r="E3127" s="29" t="s">
        <v>17727</v>
      </c>
      <c r="F3127" s="30" t="s">
        <v>17344</v>
      </c>
      <c r="G3127" s="72">
        <f>DATE(2020,4,29)</f>
        <v>43950</v>
      </c>
      <c r="H3127" s="80">
        <v>1.4916666666666667</v>
      </c>
      <c r="I3127" s="30" t="s">
        <v>116</v>
      </c>
      <c r="J3127" s="72" t="s">
        <v>17728</v>
      </c>
      <c r="K3127" s="30" t="s">
        <v>127</v>
      </c>
      <c r="L3127" s="30" t="s">
        <v>17729</v>
      </c>
      <c r="M3127" s="30" t="s">
        <v>63</v>
      </c>
      <c r="N3127" s="30" t="s">
        <v>99</v>
      </c>
      <c r="O3127" s="30" t="s">
        <v>64</v>
      </c>
      <c r="P3127" s="72" t="s">
        <v>165</v>
      </c>
      <c r="Q3127" s="72" t="s">
        <v>167</v>
      </c>
      <c r="R3127" s="72" t="s">
        <v>17730</v>
      </c>
      <c r="S3127" s="30">
        <v>0</v>
      </c>
      <c r="T3127" s="232">
        <v>0</v>
      </c>
      <c r="U3127" s="30">
        <v>0</v>
      </c>
      <c r="V3127" s="232">
        <v>0</v>
      </c>
      <c r="W3127" s="30">
        <v>0</v>
      </c>
      <c r="X3127" s="30">
        <v>0</v>
      </c>
      <c r="Y3127" s="30">
        <v>0</v>
      </c>
      <c r="Z3127" s="232">
        <v>0</v>
      </c>
      <c r="AA3127" s="30">
        <v>0</v>
      </c>
      <c r="AB3127" s="30">
        <v>0</v>
      </c>
      <c r="AC3127" s="30">
        <v>0</v>
      </c>
      <c r="AD3127" s="30">
        <v>0</v>
      </c>
      <c r="AE3127" s="72" t="s">
        <v>145</v>
      </c>
      <c r="AF3127" s="72" t="s">
        <v>17731</v>
      </c>
      <c r="AG3127" s="72" t="s">
        <v>6459</v>
      </c>
      <c r="AH3127" s="72">
        <v>43956</v>
      </c>
      <c r="AI3127" s="30">
        <v>4</v>
      </c>
      <c r="AJ3127" s="72" t="s">
        <v>17732</v>
      </c>
      <c r="AK3127" s="72" t="s">
        <v>17733</v>
      </c>
      <c r="AL3127" s="70">
        <v>43963</v>
      </c>
      <c r="AM3127" s="70"/>
      <c r="AN3127" s="72">
        <v>44547</v>
      </c>
      <c r="AO3127" s="72">
        <v>44314</v>
      </c>
      <c r="AP3127" s="111"/>
      <c r="AQ3127" s="129"/>
      <c r="AR3127" s="114"/>
      <c r="AS3127" s="114"/>
      <c r="AT3127" s="130"/>
      <c r="AU3127" s="86"/>
      <c r="AV3127" s="86"/>
      <c r="AW3127" s="86"/>
      <c r="AX3127" s="116"/>
      <c r="AY3127" s="116"/>
      <c r="AZ3127" s="106"/>
      <c r="BA3127" s="106"/>
      <c r="BB3127" s="106"/>
    </row>
    <row r="3128" spans="1:55" ht="36.75" customHeight="1">
      <c r="A3128" s="98" t="s">
        <v>4910</v>
      </c>
      <c r="B3128" s="30" t="s">
        <v>55</v>
      </c>
      <c r="C3128" s="69" t="str">
        <f t="shared" si="266"/>
        <v>Closed</v>
      </c>
      <c r="D3128" s="27" t="s">
        <v>17734</v>
      </c>
      <c r="E3128" s="29" t="s">
        <v>17735</v>
      </c>
      <c r="F3128" s="30" t="s">
        <v>2336</v>
      </c>
      <c r="G3128" s="72">
        <f>DATE(2020,4,29)</f>
        <v>43950</v>
      </c>
      <c r="H3128" s="127">
        <v>1.7305555555555556</v>
      </c>
      <c r="I3128" s="30" t="s">
        <v>116</v>
      </c>
      <c r="J3128" s="72" t="s">
        <v>17736</v>
      </c>
      <c r="K3128" s="30" t="s">
        <v>2338</v>
      </c>
      <c r="L3128" s="30" t="s">
        <v>17737</v>
      </c>
      <c r="M3128" s="30" t="s">
        <v>63</v>
      </c>
      <c r="N3128" s="30" t="s">
        <v>99</v>
      </c>
      <c r="O3128" s="30" t="s">
        <v>64</v>
      </c>
      <c r="P3128" s="72" t="s">
        <v>165</v>
      </c>
      <c r="Q3128" s="72" t="s">
        <v>17438</v>
      </c>
      <c r="R3128" s="72" t="s">
        <v>2341</v>
      </c>
      <c r="S3128" s="30">
        <v>0</v>
      </c>
      <c r="T3128" s="99">
        <v>0</v>
      </c>
      <c r="U3128" s="30">
        <v>0</v>
      </c>
      <c r="V3128" s="99">
        <v>0</v>
      </c>
      <c r="W3128" s="30">
        <v>0</v>
      </c>
      <c r="X3128" s="30">
        <v>0</v>
      </c>
      <c r="Y3128" s="30">
        <v>1</v>
      </c>
      <c r="Z3128" s="99">
        <v>2</v>
      </c>
      <c r="AA3128" s="30">
        <v>2</v>
      </c>
      <c r="AB3128" s="30">
        <v>0</v>
      </c>
      <c r="AC3128" s="30">
        <v>0</v>
      </c>
      <c r="AD3128" s="30">
        <v>5</v>
      </c>
      <c r="AE3128" s="72" t="s">
        <v>145</v>
      </c>
      <c r="AF3128" s="72"/>
      <c r="AG3128" s="30" t="s">
        <v>82</v>
      </c>
      <c r="AH3128" s="72">
        <v>43956</v>
      </c>
      <c r="AI3128" s="30">
        <v>6</v>
      </c>
      <c r="AJ3128" s="72" t="s">
        <v>68</v>
      </c>
      <c r="AK3128" s="72" t="s">
        <v>68</v>
      </c>
      <c r="AL3128" s="91">
        <v>43958</v>
      </c>
      <c r="AM3128" s="70"/>
      <c r="AN3128" s="70"/>
      <c r="AO3128" s="70"/>
      <c r="AP3128" s="111"/>
      <c r="AQ3128" s="129"/>
      <c r="AR3128" s="114"/>
      <c r="AS3128" s="114"/>
      <c r="AT3128" s="130"/>
      <c r="AU3128" s="86"/>
      <c r="AV3128" s="86"/>
      <c r="AW3128" s="86"/>
      <c r="AX3128" s="116"/>
      <c r="AY3128" s="116"/>
      <c r="AZ3128" s="106"/>
      <c r="BA3128" s="106"/>
      <c r="BB3128" s="106"/>
    </row>
    <row r="3129" spans="1:55" ht="36.75" customHeight="1">
      <c r="A3129" s="98" t="s">
        <v>4910</v>
      </c>
      <c r="B3129" s="30" t="s">
        <v>55</v>
      </c>
      <c r="C3129" s="69" t="str">
        <f t="shared" si="266"/>
        <v>Closed</v>
      </c>
      <c r="D3129" s="27" t="s">
        <v>17738</v>
      </c>
      <c r="E3129" s="29" t="s">
        <v>17739</v>
      </c>
      <c r="F3129" s="30" t="s">
        <v>1572</v>
      </c>
      <c r="G3129" s="72">
        <f>DATE(2020,4,29)</f>
        <v>43950</v>
      </c>
      <c r="H3129" s="80">
        <v>1.3923611111111112</v>
      </c>
      <c r="I3129" s="30" t="s">
        <v>73</v>
      </c>
      <c r="J3129" s="72" t="s">
        <v>17740</v>
      </c>
      <c r="K3129" s="30" t="s">
        <v>1574</v>
      </c>
      <c r="L3129" s="30" t="s">
        <v>12167</v>
      </c>
      <c r="M3129" s="30" t="s">
        <v>63</v>
      </c>
      <c r="N3129" s="30" t="s">
        <v>99</v>
      </c>
      <c r="O3129" s="30" t="s">
        <v>77</v>
      </c>
      <c r="P3129" s="72" t="s">
        <v>6941</v>
      </c>
      <c r="Q3129" s="72" t="s">
        <v>17741</v>
      </c>
      <c r="R3129" s="72" t="s">
        <v>6434</v>
      </c>
      <c r="S3129" s="30">
        <v>0</v>
      </c>
      <c r="T3129" s="232">
        <v>0</v>
      </c>
      <c r="U3129" s="30">
        <v>0</v>
      </c>
      <c r="V3129" s="232">
        <v>0</v>
      </c>
      <c r="W3129" s="30">
        <v>0</v>
      </c>
      <c r="X3129" s="30">
        <v>0</v>
      </c>
      <c r="Y3129" s="30">
        <v>0</v>
      </c>
      <c r="Z3129" s="232">
        <v>0</v>
      </c>
      <c r="AA3129" s="30">
        <v>0</v>
      </c>
      <c r="AB3129" s="30">
        <v>0</v>
      </c>
      <c r="AC3129" s="30">
        <v>0</v>
      </c>
      <c r="AD3129" s="30">
        <v>0</v>
      </c>
      <c r="AE3129" s="72" t="s">
        <v>92</v>
      </c>
      <c r="AF3129" s="72"/>
      <c r="AG3129" s="72" t="s">
        <v>133</v>
      </c>
      <c r="AH3129" s="72">
        <v>43951</v>
      </c>
      <c r="AI3129" s="30">
        <v>1</v>
      </c>
      <c r="AJ3129" s="72" t="s">
        <v>68</v>
      </c>
      <c r="AK3129" s="72" t="s">
        <v>68</v>
      </c>
      <c r="AL3129" s="70">
        <v>43952</v>
      </c>
      <c r="AM3129" s="70"/>
      <c r="AN3129" s="70"/>
      <c r="AO3129" s="70"/>
      <c r="AP3129" s="73" t="e">
        <f>MID(VLOOKUP(K3129,#REF!,2,FALSE),1,2)</f>
        <v>#REF!</v>
      </c>
      <c r="AQ3129" s="72">
        <f>DATE(2020,5,7)</f>
        <v>43958</v>
      </c>
      <c r="AR3129" s="83">
        <f>DAY(AQ3129)</f>
        <v>7</v>
      </c>
      <c r="AS3129" s="84">
        <f>MONTH(AQ3129)</f>
        <v>5</v>
      </c>
      <c r="AT3129" s="86">
        <f>YEAR(AQ3129)</f>
        <v>2020</v>
      </c>
      <c r="AU3129" s="86"/>
      <c r="AV3129" s="87"/>
      <c r="AW3129" s="86"/>
      <c r="AX3129" s="83"/>
      <c r="AY3129" s="84"/>
      <c r="AZ3129" s="86"/>
      <c r="BA3129" s="86"/>
      <c r="BB3129" s="86"/>
    </row>
    <row r="3130" spans="1:55" ht="36.75" customHeight="1">
      <c r="A3130" s="30" t="s">
        <v>12471</v>
      </c>
      <c r="B3130" s="30" t="s">
        <v>55</v>
      </c>
      <c r="C3130" s="69" t="str">
        <f t="shared" si="266"/>
        <v>Closed</v>
      </c>
      <c r="D3130" s="36" t="s">
        <v>17742</v>
      </c>
      <c r="E3130" s="29" t="s">
        <v>17743</v>
      </c>
      <c r="F3130" s="30" t="s">
        <v>17057</v>
      </c>
      <c r="G3130" s="72">
        <f>DATE(2020,4,30)</f>
        <v>43951</v>
      </c>
      <c r="H3130" s="125" t="s">
        <v>17744</v>
      </c>
      <c r="I3130" s="30" t="s">
        <v>487</v>
      </c>
      <c r="J3130" s="72" t="s">
        <v>17745</v>
      </c>
      <c r="K3130" s="30" t="s">
        <v>2338</v>
      </c>
      <c r="L3130" s="30" t="s">
        <v>17746</v>
      </c>
      <c r="M3130" s="30" t="s">
        <v>63</v>
      </c>
      <c r="N3130" s="30" t="s">
        <v>99</v>
      </c>
      <c r="O3130" s="30" t="s">
        <v>64</v>
      </c>
      <c r="P3130" s="72" t="s">
        <v>301</v>
      </c>
      <c r="Q3130" s="30" t="s">
        <v>17747</v>
      </c>
      <c r="R3130" s="30" t="s">
        <v>2341</v>
      </c>
      <c r="S3130" s="30">
        <v>0</v>
      </c>
      <c r="T3130" s="30">
        <v>0</v>
      </c>
      <c r="U3130" s="30">
        <v>0</v>
      </c>
      <c r="V3130" s="30">
        <v>0</v>
      </c>
      <c r="W3130" s="30">
        <v>0</v>
      </c>
      <c r="X3130" s="30">
        <v>0</v>
      </c>
      <c r="Y3130" s="30">
        <v>0</v>
      </c>
      <c r="Z3130" s="30">
        <v>1</v>
      </c>
      <c r="AA3130" s="30">
        <v>0</v>
      </c>
      <c r="AB3130" s="30">
        <v>0</v>
      </c>
      <c r="AC3130" s="30">
        <v>0</v>
      </c>
      <c r="AD3130" s="30">
        <v>1</v>
      </c>
      <c r="AE3130" s="72" t="s">
        <v>92</v>
      </c>
      <c r="AF3130" s="30" t="s">
        <v>17748</v>
      </c>
      <c r="AG3130" s="30" t="s">
        <v>8859</v>
      </c>
      <c r="AH3130" s="72">
        <v>44391</v>
      </c>
      <c r="AI3130" s="30">
        <v>5</v>
      </c>
      <c r="AJ3130" s="30" t="s">
        <v>17749</v>
      </c>
      <c r="AK3130" s="30" t="s">
        <v>17750</v>
      </c>
      <c r="AL3130" s="131" t="s">
        <v>68</v>
      </c>
      <c r="AM3130" s="132"/>
      <c r="AN3130" s="70">
        <f>DATE(2022,7,11)</f>
        <v>44753</v>
      </c>
      <c r="AO3130" s="70">
        <f>DATE(2022,5,31)</f>
        <v>44712</v>
      </c>
      <c r="AP3130" s="73" t="e">
        <f>MID(VLOOKUP(K3130,#REF!,2,FALSE),1,2)</f>
        <v>#REF!</v>
      </c>
      <c r="AQ3130" s="72">
        <f>DATE(2020,5,7)</f>
        <v>43958</v>
      </c>
      <c r="AR3130" s="83">
        <f>DAY(AQ3130)</f>
        <v>7</v>
      </c>
      <c r="AS3130" s="84">
        <f>MONTH(AQ3130)</f>
        <v>5</v>
      </c>
      <c r="AT3130" s="86">
        <f>YEAR(AQ3130)</f>
        <v>2020</v>
      </c>
      <c r="AU3130" s="86"/>
      <c r="AV3130" s="87"/>
      <c r="AW3130" s="86"/>
      <c r="AX3130" s="83"/>
      <c r="AY3130" s="84"/>
      <c r="AZ3130" s="86"/>
      <c r="BA3130" s="86"/>
      <c r="BB3130" s="86"/>
    </row>
    <row r="3131" spans="1:55" ht="36.75" customHeight="1">
      <c r="A3131" s="30" t="s">
        <v>12471</v>
      </c>
      <c r="B3131" s="30" t="s">
        <v>55</v>
      </c>
      <c r="C3131" s="69" t="str">
        <f t="shared" si="266"/>
        <v>Closed</v>
      </c>
      <c r="D3131" s="36" t="s">
        <v>17751</v>
      </c>
      <c r="E3131" s="28" t="s">
        <v>17752</v>
      </c>
      <c r="F3131" s="5" t="s">
        <v>12910</v>
      </c>
      <c r="G3131" s="72">
        <f>DATE(2020,5,2)</f>
        <v>43953</v>
      </c>
      <c r="H3131" s="125">
        <v>0.25</v>
      </c>
      <c r="I3131" s="30" t="s">
        <v>156</v>
      </c>
      <c r="J3131" s="5" t="s">
        <v>17753</v>
      </c>
      <c r="K3131" s="5" t="s">
        <v>453</v>
      </c>
      <c r="L3131" s="5" t="s">
        <v>17754</v>
      </c>
      <c r="M3131" s="5"/>
      <c r="N3131" s="5"/>
      <c r="O3131" s="5" t="s">
        <v>64</v>
      </c>
      <c r="P3131" s="5" t="s">
        <v>65</v>
      </c>
      <c r="Q3131" s="5" t="s">
        <v>12912</v>
      </c>
      <c r="R3131" s="5" t="s">
        <v>12913</v>
      </c>
      <c r="S3131" s="5">
        <v>0</v>
      </c>
      <c r="T3131" s="5">
        <v>0</v>
      </c>
      <c r="U3131" s="5">
        <v>0</v>
      </c>
      <c r="V3131" s="5">
        <v>0</v>
      </c>
      <c r="W3131" s="5">
        <v>0</v>
      </c>
      <c r="X3131" s="5">
        <v>0</v>
      </c>
      <c r="Y3131" s="5">
        <v>0</v>
      </c>
      <c r="Z3131" s="5">
        <v>0</v>
      </c>
      <c r="AA3131" s="5">
        <v>0</v>
      </c>
      <c r="AB3131" s="5">
        <v>0</v>
      </c>
      <c r="AC3131" s="5">
        <v>0</v>
      </c>
      <c r="AD3131" s="5">
        <v>0</v>
      </c>
      <c r="AE3131" s="5"/>
      <c r="AF3131" s="5"/>
      <c r="AG3131" s="5"/>
      <c r="AH3131" s="72" t="s">
        <v>68</v>
      </c>
      <c r="AI3131" s="5">
        <v>2</v>
      </c>
      <c r="AJ3131" s="5"/>
      <c r="AK3131" s="5"/>
      <c r="AL3131" s="21">
        <v>44480</v>
      </c>
      <c r="AM3131" s="22"/>
      <c r="AN3131" s="23"/>
      <c r="AO3131" s="23"/>
      <c r="AP3131" s="73" t="e">
        <f>MID(VLOOKUP(K3131,#REF!,2,FALSE),1,2)</f>
        <v>#REF!</v>
      </c>
      <c r="AQ3131" s="72">
        <f>DATE(2020,5,14)</f>
        <v>43965</v>
      </c>
      <c r="AR3131" s="83">
        <f>DAY(AQ3131)</f>
        <v>14</v>
      </c>
      <c r="AS3131" s="84">
        <f>MONTH(AQ3131)</f>
        <v>5</v>
      </c>
      <c r="AT3131" s="86">
        <f>YEAR(AQ3131)</f>
        <v>2020</v>
      </c>
      <c r="AU3131" s="86"/>
      <c r="AV3131" s="87"/>
      <c r="AW3131" s="86"/>
      <c r="AX3131" s="83"/>
      <c r="AY3131" s="84"/>
      <c r="AZ3131" s="86"/>
      <c r="BA3131" s="86"/>
      <c r="BB3131" s="86"/>
    </row>
    <row r="3132" spans="1:55" ht="36.75" customHeight="1">
      <c r="A3132" s="30"/>
      <c r="B3132" s="30" t="s">
        <v>55</v>
      </c>
      <c r="C3132" s="69" t="str">
        <f t="shared" si="266"/>
        <v>Closed</v>
      </c>
      <c r="D3132" s="27" t="s">
        <v>17755</v>
      </c>
      <c r="E3132" s="29" t="s">
        <v>17756</v>
      </c>
      <c r="F3132" s="30" t="s">
        <v>423</v>
      </c>
      <c r="G3132" s="72">
        <f>DATE(2020,5,7)</f>
        <v>43958</v>
      </c>
      <c r="H3132" s="80">
        <v>1.4215277777777777</v>
      </c>
      <c r="I3132" s="30" t="s">
        <v>198</v>
      </c>
      <c r="J3132" s="72" t="s">
        <v>17757</v>
      </c>
      <c r="K3132" s="30" t="s">
        <v>425</v>
      </c>
      <c r="L3132" s="30" t="s">
        <v>17758</v>
      </c>
      <c r="M3132" s="30" t="s">
        <v>63</v>
      </c>
      <c r="N3132" s="30" t="s">
        <v>142</v>
      </c>
      <c r="O3132" s="30" t="s">
        <v>64</v>
      </c>
      <c r="P3132" s="72" t="s">
        <v>11936</v>
      </c>
      <c r="Q3132" s="72" t="s">
        <v>17759</v>
      </c>
      <c r="R3132" s="72" t="s">
        <v>3103</v>
      </c>
      <c r="S3132" s="30">
        <v>0</v>
      </c>
      <c r="T3132" s="99">
        <v>0</v>
      </c>
      <c r="U3132" s="30">
        <v>0</v>
      </c>
      <c r="V3132" s="99">
        <v>0</v>
      </c>
      <c r="W3132" s="30">
        <v>0</v>
      </c>
      <c r="X3132" s="30">
        <v>0</v>
      </c>
      <c r="Y3132" s="30">
        <v>0</v>
      </c>
      <c r="Z3132" s="99">
        <v>0</v>
      </c>
      <c r="AA3132" s="30">
        <v>0</v>
      </c>
      <c r="AB3132" s="30">
        <v>0</v>
      </c>
      <c r="AC3132" s="30">
        <v>0</v>
      </c>
      <c r="AD3132" s="30">
        <v>0</v>
      </c>
      <c r="AE3132" s="72" t="s">
        <v>92</v>
      </c>
      <c r="AF3132" s="72"/>
      <c r="AG3132" s="72" t="s">
        <v>133</v>
      </c>
      <c r="AH3132" s="72">
        <v>44017</v>
      </c>
      <c r="AI3132" s="30">
        <v>1</v>
      </c>
      <c r="AJ3132" s="72" t="s">
        <v>68</v>
      </c>
      <c r="AK3132" s="72" t="s">
        <v>68</v>
      </c>
      <c r="AL3132" s="70">
        <v>43964</v>
      </c>
      <c r="AM3132" s="70"/>
      <c r="AN3132" s="70"/>
      <c r="AO3132" s="70"/>
      <c r="AP3132" s="111"/>
      <c r="AQ3132" s="129"/>
      <c r="AR3132" s="114"/>
      <c r="AS3132" s="114"/>
      <c r="AT3132" s="130"/>
      <c r="AU3132" s="86"/>
      <c r="AV3132" s="86"/>
      <c r="AW3132" s="86"/>
      <c r="AX3132" s="116"/>
      <c r="AY3132" s="116"/>
      <c r="AZ3132" s="106"/>
      <c r="BA3132" s="106"/>
      <c r="BB3132" s="106"/>
    </row>
    <row r="3133" spans="1:55" ht="36.75" customHeight="1">
      <c r="A3133" s="30"/>
      <c r="B3133" s="30" t="s">
        <v>55</v>
      </c>
      <c r="C3133" s="69" t="str">
        <f t="shared" si="266"/>
        <v>Closed</v>
      </c>
      <c r="D3133" s="27" t="s">
        <v>17760</v>
      </c>
      <c r="E3133" s="29" t="s">
        <v>17761</v>
      </c>
      <c r="F3133" s="30" t="s">
        <v>582</v>
      </c>
      <c r="G3133" s="72">
        <f>DATE(2020,5,7)</f>
        <v>43958</v>
      </c>
      <c r="H3133" s="80">
        <v>1.8347222222222221</v>
      </c>
      <c r="I3133" s="30" t="s">
        <v>116</v>
      </c>
      <c r="J3133" s="72" t="s">
        <v>17762</v>
      </c>
      <c r="K3133" s="30" t="s">
        <v>584</v>
      </c>
      <c r="L3133" s="30" t="s">
        <v>17763</v>
      </c>
      <c r="M3133" s="30" t="s">
        <v>63</v>
      </c>
      <c r="N3133" s="30" t="s">
        <v>142</v>
      </c>
      <c r="O3133" s="30" t="s">
        <v>64</v>
      </c>
      <c r="P3133" s="72" t="s">
        <v>165</v>
      </c>
      <c r="Q3133" s="72" t="s">
        <v>17764</v>
      </c>
      <c r="R3133" s="72" t="s">
        <v>13254</v>
      </c>
      <c r="S3133" s="30">
        <v>0</v>
      </c>
      <c r="T3133" s="232">
        <v>0</v>
      </c>
      <c r="U3133" s="30">
        <v>1</v>
      </c>
      <c r="V3133" s="232">
        <v>0</v>
      </c>
      <c r="W3133" s="30">
        <v>0</v>
      </c>
      <c r="X3133" s="30">
        <v>1</v>
      </c>
      <c r="Y3133" s="30">
        <v>0</v>
      </c>
      <c r="Z3133" s="232">
        <v>0</v>
      </c>
      <c r="AA3133" s="30">
        <v>2</v>
      </c>
      <c r="AB3133" s="30">
        <v>0</v>
      </c>
      <c r="AC3133" s="30">
        <v>0</v>
      </c>
      <c r="AD3133" s="30">
        <v>2</v>
      </c>
      <c r="AE3133" s="72" t="s">
        <v>394</v>
      </c>
      <c r="AF3133" s="72" t="s">
        <v>17765</v>
      </c>
      <c r="AG3133" s="72" t="s">
        <v>6459</v>
      </c>
      <c r="AH3133" s="72">
        <v>43962</v>
      </c>
      <c r="AI3133" s="30">
        <v>3</v>
      </c>
      <c r="AJ3133" s="72" t="s">
        <v>17766</v>
      </c>
      <c r="AK3133" s="72" t="s">
        <v>68</v>
      </c>
      <c r="AL3133" s="70">
        <v>44071</v>
      </c>
      <c r="AM3133" s="70"/>
      <c r="AN3133" s="70"/>
      <c r="AO3133" s="70"/>
      <c r="AP3133" s="73" t="e">
        <f>MID(VLOOKUP(K3133,#REF!,2,FALSE),1,2)</f>
        <v>#REF!</v>
      </c>
      <c r="AQ3133" s="72">
        <f>DATE(2020,5,16)</f>
        <v>43967</v>
      </c>
      <c r="AR3133" s="83">
        <f t="shared" ref="AR3133:AR3142" si="276">DAY(AQ3133)</f>
        <v>16</v>
      </c>
      <c r="AS3133" s="84">
        <f t="shared" ref="AS3133:AS3142" si="277">MONTH(AQ3133)</f>
        <v>5</v>
      </c>
      <c r="AT3133" s="86">
        <f t="shared" ref="AT3133:AT3142" si="278">YEAR(AQ3133)</f>
        <v>2020</v>
      </c>
      <c r="AU3133" s="86"/>
      <c r="AV3133" s="87"/>
      <c r="AW3133" s="86"/>
      <c r="AX3133" s="83"/>
      <c r="AY3133" s="84"/>
      <c r="AZ3133" s="86"/>
      <c r="BA3133" s="86"/>
      <c r="BB3133" s="86"/>
    </row>
    <row r="3134" spans="1:55" ht="39" customHeight="1">
      <c r="A3134" s="98" t="s">
        <v>4910</v>
      </c>
      <c r="B3134" s="30" t="s">
        <v>55</v>
      </c>
      <c r="C3134" s="69" t="str">
        <f t="shared" si="266"/>
        <v>Closed</v>
      </c>
      <c r="D3134" s="27" t="s">
        <v>17767</v>
      </c>
      <c r="E3134" s="29" t="s">
        <v>17768</v>
      </c>
      <c r="F3134" s="30" t="s">
        <v>58</v>
      </c>
      <c r="G3134" s="72">
        <f>DATE(2020,5,14)</f>
        <v>43965</v>
      </c>
      <c r="H3134" s="125">
        <v>1.9666666666666668</v>
      </c>
      <c r="I3134" s="30" t="s">
        <v>116</v>
      </c>
      <c r="J3134" s="72" t="s">
        <v>17769</v>
      </c>
      <c r="K3134" s="30" t="s">
        <v>61</v>
      </c>
      <c r="L3134" s="30" t="s">
        <v>17770</v>
      </c>
      <c r="M3134" s="30" t="s">
        <v>63</v>
      </c>
      <c r="N3134" s="30" t="s">
        <v>99</v>
      </c>
      <c r="O3134" s="30" t="s">
        <v>64</v>
      </c>
      <c r="P3134" s="72" t="s">
        <v>165</v>
      </c>
      <c r="Q3134" s="72" t="s">
        <v>10870</v>
      </c>
      <c r="R3134" s="72" t="s">
        <v>67</v>
      </c>
      <c r="S3134" s="30">
        <v>0</v>
      </c>
      <c r="T3134" s="99">
        <v>0</v>
      </c>
      <c r="U3134" s="30">
        <v>0</v>
      </c>
      <c r="V3134" s="99">
        <v>0</v>
      </c>
      <c r="W3134" s="30">
        <v>0</v>
      </c>
      <c r="X3134" s="30">
        <v>0</v>
      </c>
      <c r="Y3134" s="30">
        <v>0</v>
      </c>
      <c r="Z3134" s="99">
        <v>0</v>
      </c>
      <c r="AA3134" s="30">
        <v>0</v>
      </c>
      <c r="AB3134" s="30">
        <v>0</v>
      </c>
      <c r="AC3134" s="30">
        <v>0</v>
      </c>
      <c r="AD3134" s="30">
        <v>0</v>
      </c>
      <c r="AE3134" s="72" t="s">
        <v>394</v>
      </c>
      <c r="AF3134" s="72"/>
      <c r="AG3134" s="72" t="s">
        <v>133</v>
      </c>
      <c r="AH3134" s="72">
        <v>43970</v>
      </c>
      <c r="AI3134" s="30">
        <v>4</v>
      </c>
      <c r="AJ3134" s="72" t="s">
        <v>68</v>
      </c>
      <c r="AK3134" s="72" t="s">
        <v>68</v>
      </c>
      <c r="AL3134" s="70">
        <v>43979</v>
      </c>
      <c r="AM3134" s="70"/>
      <c r="AN3134" s="70"/>
      <c r="AO3134" s="70"/>
      <c r="AP3134" s="73" t="e">
        <f>MID(VLOOKUP(K3134,#REF!,2,FALSE),1,2)</f>
        <v>#REF!</v>
      </c>
      <c r="AQ3134" s="72">
        <f>DATE(2020,5,20)</f>
        <v>43971</v>
      </c>
      <c r="AR3134" s="83">
        <f t="shared" si="276"/>
        <v>20</v>
      </c>
      <c r="AS3134" s="84">
        <f t="shared" si="277"/>
        <v>5</v>
      </c>
      <c r="AT3134" s="86">
        <f t="shared" si="278"/>
        <v>2020</v>
      </c>
      <c r="AU3134" s="86"/>
      <c r="AV3134" s="87"/>
      <c r="AW3134" s="86"/>
      <c r="AX3134" s="83"/>
      <c r="AY3134" s="84"/>
      <c r="AZ3134" s="86"/>
      <c r="BA3134" s="86"/>
      <c r="BB3134" s="86"/>
    </row>
    <row r="3135" spans="1:55" ht="36.75" customHeight="1">
      <c r="A3135" s="30" t="s">
        <v>12471</v>
      </c>
      <c r="B3135" s="30" t="s">
        <v>55</v>
      </c>
      <c r="C3135" s="69" t="str">
        <f t="shared" si="266"/>
        <v>Closed</v>
      </c>
      <c r="D3135" s="36" t="s">
        <v>17771</v>
      </c>
      <c r="E3135" s="29" t="s">
        <v>17772</v>
      </c>
      <c r="F3135" s="30" t="s">
        <v>17773</v>
      </c>
      <c r="G3135" s="72">
        <f>DATE(2020,5,15)</f>
        <v>43966</v>
      </c>
      <c r="H3135" s="125">
        <v>0.13749999999999998</v>
      </c>
      <c r="I3135" s="30" t="s">
        <v>73</v>
      </c>
      <c r="J3135" s="30" t="s">
        <v>17774</v>
      </c>
      <c r="K3135" s="30" t="s">
        <v>2603</v>
      </c>
      <c r="L3135" s="30" t="s">
        <v>17775</v>
      </c>
      <c r="M3135" s="30" t="s">
        <v>63</v>
      </c>
      <c r="N3135" s="30" t="s">
        <v>142</v>
      </c>
      <c r="O3135" s="30" t="s">
        <v>77</v>
      </c>
      <c r="P3135" s="30" t="s">
        <v>65</v>
      </c>
      <c r="Q3135" s="30" t="s">
        <v>17581</v>
      </c>
      <c r="R3135" s="30" t="s">
        <v>17369</v>
      </c>
      <c r="S3135" s="30">
        <v>0</v>
      </c>
      <c r="T3135" s="30">
        <v>0</v>
      </c>
      <c r="U3135" s="30">
        <v>0</v>
      </c>
      <c r="V3135" s="30">
        <v>0</v>
      </c>
      <c r="W3135" s="30">
        <v>0</v>
      </c>
      <c r="X3135" s="30">
        <v>0</v>
      </c>
      <c r="Y3135" s="30">
        <v>0</v>
      </c>
      <c r="Z3135" s="30">
        <v>0</v>
      </c>
      <c r="AA3135" s="30">
        <v>0</v>
      </c>
      <c r="AB3135" s="30">
        <v>0</v>
      </c>
      <c r="AC3135" s="30">
        <v>0</v>
      </c>
      <c r="AD3135" s="30">
        <v>0</v>
      </c>
      <c r="AE3135" s="72" t="s">
        <v>17776</v>
      </c>
      <c r="AF3135" s="30" t="s">
        <v>17777</v>
      </c>
      <c r="AG3135" s="30" t="s">
        <v>17778</v>
      </c>
      <c r="AH3135" s="72">
        <v>43966</v>
      </c>
      <c r="AI3135" s="30">
        <v>7</v>
      </c>
      <c r="AJ3135" s="30" t="s">
        <v>17779</v>
      </c>
      <c r="AK3135" s="30"/>
      <c r="AL3135" s="131" t="s">
        <v>68</v>
      </c>
      <c r="AM3135" s="30"/>
      <c r="AN3135" s="135"/>
      <c r="AO3135" s="135"/>
      <c r="AP3135" s="73" t="e">
        <f>MID(VLOOKUP(K3135,#REF!,2,FALSE),1,2)</f>
        <v>#REF!</v>
      </c>
      <c r="AQ3135" s="72">
        <f>DATE(2020,5,23)</f>
        <v>43974</v>
      </c>
      <c r="AR3135" s="83">
        <f t="shared" si="276"/>
        <v>23</v>
      </c>
      <c r="AS3135" s="84">
        <f t="shared" si="277"/>
        <v>5</v>
      </c>
      <c r="AT3135" s="86">
        <f t="shared" si="278"/>
        <v>2020</v>
      </c>
      <c r="AU3135" s="86"/>
      <c r="AV3135" s="87"/>
      <c r="AW3135" s="86"/>
      <c r="AX3135" s="83"/>
      <c r="AY3135" s="84"/>
      <c r="AZ3135" s="86"/>
      <c r="BA3135" s="86"/>
      <c r="BB3135" s="86"/>
    </row>
    <row r="3136" spans="1:55" ht="36.75" customHeight="1">
      <c r="A3136" s="30"/>
      <c r="B3136" s="30" t="s">
        <v>55</v>
      </c>
      <c r="C3136" s="69" t="str">
        <f t="shared" si="266"/>
        <v>Closed</v>
      </c>
      <c r="D3136" s="27" t="s">
        <v>17780</v>
      </c>
      <c r="E3136" s="29" t="s">
        <v>17781</v>
      </c>
      <c r="F3136" s="30" t="s">
        <v>423</v>
      </c>
      <c r="G3136" s="72">
        <f>DATE(2020,5,16)</f>
        <v>43967</v>
      </c>
      <c r="H3136" s="80">
        <v>1.5451388888888888</v>
      </c>
      <c r="I3136" s="30" t="s">
        <v>116</v>
      </c>
      <c r="J3136" s="72" t="s">
        <v>17782</v>
      </c>
      <c r="K3136" s="30" t="s">
        <v>425</v>
      </c>
      <c r="L3136" s="30" t="s">
        <v>17783</v>
      </c>
      <c r="M3136" s="30" t="s">
        <v>63</v>
      </c>
      <c r="N3136" s="30" t="s">
        <v>99</v>
      </c>
      <c r="O3136" s="30" t="s">
        <v>64</v>
      </c>
      <c r="P3136" s="72" t="s">
        <v>165</v>
      </c>
      <c r="Q3136" s="72" t="s">
        <v>4551</v>
      </c>
      <c r="R3136" s="72" t="s">
        <v>3103</v>
      </c>
      <c r="S3136" s="30">
        <v>0</v>
      </c>
      <c r="T3136" s="232">
        <v>0</v>
      </c>
      <c r="U3136" s="30">
        <v>0</v>
      </c>
      <c r="V3136" s="232">
        <v>0</v>
      </c>
      <c r="W3136" s="30">
        <v>0</v>
      </c>
      <c r="X3136" s="30">
        <v>0</v>
      </c>
      <c r="Y3136" s="30">
        <v>0</v>
      </c>
      <c r="Z3136" s="232">
        <v>0</v>
      </c>
      <c r="AA3136" s="30">
        <v>1</v>
      </c>
      <c r="AB3136" s="30">
        <v>0</v>
      </c>
      <c r="AC3136" s="30">
        <v>0</v>
      </c>
      <c r="AD3136" s="30">
        <v>1</v>
      </c>
      <c r="AE3136" s="72" t="s">
        <v>92</v>
      </c>
      <c r="AF3136" s="72"/>
      <c r="AG3136" s="72" t="s">
        <v>874</v>
      </c>
      <c r="AH3136" s="72">
        <v>43967</v>
      </c>
      <c r="AI3136" s="30">
        <v>1</v>
      </c>
      <c r="AJ3136" s="72" t="s">
        <v>17784</v>
      </c>
      <c r="AK3136" s="72" t="s">
        <v>17785</v>
      </c>
      <c r="AL3136" s="70">
        <v>43970</v>
      </c>
      <c r="AM3136" s="70"/>
      <c r="AN3136" s="70"/>
      <c r="AO3136" s="70"/>
      <c r="AP3136" s="73" t="e">
        <f>MID(VLOOKUP(K3136,#REF!,2,FALSE),1,2)</f>
        <v>#REF!</v>
      </c>
      <c r="AQ3136" s="72">
        <f>DATE(2020,5,24)</f>
        <v>43975</v>
      </c>
      <c r="AR3136" s="83">
        <f t="shared" si="276"/>
        <v>24</v>
      </c>
      <c r="AS3136" s="84">
        <f t="shared" si="277"/>
        <v>5</v>
      </c>
      <c r="AT3136" s="86">
        <f t="shared" si="278"/>
        <v>2020</v>
      </c>
      <c r="AU3136" s="86"/>
      <c r="AV3136" s="87"/>
      <c r="AW3136" s="86"/>
      <c r="AX3136" s="83"/>
      <c r="AY3136" s="84"/>
      <c r="AZ3136" s="86"/>
      <c r="BA3136" s="86"/>
      <c r="BB3136" s="86"/>
    </row>
    <row r="3137" spans="1:55" ht="36.75" customHeight="1">
      <c r="A3137" s="30"/>
      <c r="B3137" s="30" t="s">
        <v>55</v>
      </c>
      <c r="C3137" s="69" t="str">
        <f t="shared" si="266"/>
        <v>Closed</v>
      </c>
      <c r="D3137" s="27" t="s">
        <v>17786</v>
      </c>
      <c r="E3137" s="29" t="s">
        <v>17787</v>
      </c>
      <c r="F3137" s="30" t="s">
        <v>6455</v>
      </c>
      <c r="G3137" s="72">
        <f>DATE(2020,5,20)</f>
        <v>43971</v>
      </c>
      <c r="H3137" s="80">
        <v>1.6979166666666665</v>
      </c>
      <c r="I3137" s="30" t="s">
        <v>73</v>
      </c>
      <c r="J3137" s="72" t="s">
        <v>17788</v>
      </c>
      <c r="K3137" s="30" t="s">
        <v>584</v>
      </c>
      <c r="L3137" s="30" t="s">
        <v>17789</v>
      </c>
      <c r="M3137" s="30" t="s">
        <v>63</v>
      </c>
      <c r="N3137" s="30" t="s">
        <v>142</v>
      </c>
      <c r="O3137" s="30" t="s">
        <v>77</v>
      </c>
      <c r="P3137" s="72" t="s">
        <v>78</v>
      </c>
      <c r="Q3137" s="72" t="s">
        <v>17790</v>
      </c>
      <c r="R3137" s="72" t="s">
        <v>587</v>
      </c>
      <c r="S3137" s="30">
        <v>0</v>
      </c>
      <c r="T3137" s="232">
        <v>0</v>
      </c>
      <c r="U3137" s="30">
        <v>0</v>
      </c>
      <c r="V3137" s="232">
        <v>0</v>
      </c>
      <c r="W3137" s="30">
        <v>0</v>
      </c>
      <c r="X3137" s="30">
        <v>0</v>
      </c>
      <c r="Y3137" s="30">
        <v>0</v>
      </c>
      <c r="Z3137" s="232">
        <v>0</v>
      </c>
      <c r="AA3137" s="30">
        <v>0</v>
      </c>
      <c r="AB3137" s="30">
        <v>0</v>
      </c>
      <c r="AC3137" s="30">
        <v>0</v>
      </c>
      <c r="AD3137" s="30">
        <v>0</v>
      </c>
      <c r="AE3137" s="72" t="s">
        <v>394</v>
      </c>
      <c r="AF3137" s="72" t="s">
        <v>17791</v>
      </c>
      <c r="AG3137" s="72" t="s">
        <v>13537</v>
      </c>
      <c r="AH3137" s="72">
        <v>43971</v>
      </c>
      <c r="AI3137" s="30">
        <v>1</v>
      </c>
      <c r="AJ3137" s="72" t="s">
        <v>17792</v>
      </c>
      <c r="AK3137" s="72" t="s">
        <v>17793</v>
      </c>
      <c r="AL3137" s="70">
        <v>44071</v>
      </c>
      <c r="AM3137" s="70">
        <v>45450</v>
      </c>
      <c r="AN3137" s="70">
        <v>45681</v>
      </c>
      <c r="AO3137" s="70">
        <v>45603</v>
      </c>
      <c r="AP3137" s="73" t="e">
        <f>MID(VLOOKUP(K3137,#REF!,2,FALSE),1,2)</f>
        <v>#REF!</v>
      </c>
      <c r="AQ3137" s="72">
        <f>DATE(2020,5,24)</f>
        <v>43975</v>
      </c>
      <c r="AR3137" s="83">
        <f t="shared" si="276"/>
        <v>24</v>
      </c>
      <c r="AS3137" s="84">
        <f t="shared" si="277"/>
        <v>5</v>
      </c>
      <c r="AT3137" s="86">
        <f t="shared" si="278"/>
        <v>2020</v>
      </c>
      <c r="AU3137" s="86"/>
      <c r="AV3137" s="87"/>
      <c r="AW3137" s="86"/>
      <c r="AX3137" s="83"/>
      <c r="AY3137" s="84"/>
      <c r="AZ3137" s="86"/>
      <c r="BA3137" s="86"/>
      <c r="BB3137" s="86"/>
    </row>
    <row r="3138" spans="1:55" ht="36.75" customHeight="1">
      <c r="A3138" s="30"/>
      <c r="B3138" s="30" t="s">
        <v>55</v>
      </c>
      <c r="C3138" s="69" t="str">
        <f t="shared" ref="C3138:C3180" si="279">IF(B3138="Notification","Open",IF(B3138="Interim Statement","In progress","Closed"))</f>
        <v>Closed</v>
      </c>
      <c r="D3138" s="27" t="s">
        <v>17794</v>
      </c>
      <c r="E3138" s="29" t="s">
        <v>17795</v>
      </c>
      <c r="F3138" s="30" t="s">
        <v>6455</v>
      </c>
      <c r="G3138" s="72">
        <f>DATE(2020,5,23)</f>
        <v>43974</v>
      </c>
      <c r="H3138" s="80">
        <v>0.92986111111111114</v>
      </c>
      <c r="I3138" s="30" t="s">
        <v>198</v>
      </c>
      <c r="J3138" s="30" t="s">
        <v>17796</v>
      </c>
      <c r="K3138" s="30" t="s">
        <v>584</v>
      </c>
      <c r="L3138" s="30" t="s">
        <v>17797</v>
      </c>
      <c r="M3138" s="30" t="s">
        <v>63</v>
      </c>
      <c r="N3138" s="30" t="s">
        <v>142</v>
      </c>
      <c r="O3138" s="30" t="s">
        <v>90</v>
      </c>
      <c r="P3138" s="72" t="s">
        <v>78</v>
      </c>
      <c r="Q3138" s="72" t="s">
        <v>4780</v>
      </c>
      <c r="R3138" s="72" t="s">
        <v>587</v>
      </c>
      <c r="S3138" s="30">
        <v>0</v>
      </c>
      <c r="T3138" s="232">
        <v>1</v>
      </c>
      <c r="U3138" s="30">
        <v>0</v>
      </c>
      <c r="V3138" s="232">
        <v>0</v>
      </c>
      <c r="W3138" s="30">
        <v>0</v>
      </c>
      <c r="X3138" s="30">
        <v>1</v>
      </c>
      <c r="Y3138" s="30">
        <v>0</v>
      </c>
      <c r="Z3138" s="232">
        <v>0</v>
      </c>
      <c r="AA3138" s="30">
        <v>0</v>
      </c>
      <c r="AB3138" s="30">
        <v>0</v>
      </c>
      <c r="AC3138" s="30">
        <v>0</v>
      </c>
      <c r="AD3138" s="30">
        <v>0</v>
      </c>
      <c r="AE3138" s="72" t="s">
        <v>394</v>
      </c>
      <c r="AF3138" s="72" t="s">
        <v>17798</v>
      </c>
      <c r="AG3138" s="72" t="s">
        <v>8859</v>
      </c>
      <c r="AH3138" s="72">
        <v>43974</v>
      </c>
      <c r="AI3138" s="30">
        <v>2</v>
      </c>
      <c r="AJ3138" s="30" t="s">
        <v>17799</v>
      </c>
      <c r="AK3138" s="30" t="s">
        <v>17800</v>
      </c>
      <c r="AL3138" s="70">
        <v>44007</v>
      </c>
      <c r="AM3138" s="70">
        <v>45450</v>
      </c>
      <c r="AN3138" s="70">
        <v>45709</v>
      </c>
      <c r="AO3138" s="70">
        <v>45671</v>
      </c>
      <c r="AP3138" s="73" t="e">
        <f>MID(VLOOKUP(K3138,#REF!,2,FALSE),1,2)</f>
        <v>#REF!</v>
      </c>
      <c r="AQ3138" s="72">
        <f>DATE(2020,5,26)</f>
        <v>43977</v>
      </c>
      <c r="AR3138" s="83">
        <f t="shared" si="276"/>
        <v>26</v>
      </c>
      <c r="AS3138" s="84">
        <f t="shared" si="277"/>
        <v>5</v>
      </c>
      <c r="AT3138" s="86">
        <f t="shared" si="278"/>
        <v>2020</v>
      </c>
      <c r="AU3138" s="86"/>
      <c r="AV3138" s="87"/>
      <c r="AW3138" s="86"/>
      <c r="AX3138" s="83"/>
      <c r="AY3138" s="84"/>
      <c r="AZ3138" s="86"/>
      <c r="BA3138" s="86"/>
      <c r="BB3138" s="86"/>
    </row>
    <row r="3139" spans="1:55" ht="36.75" customHeight="1">
      <c r="A3139" s="98" t="s">
        <v>4910</v>
      </c>
      <c r="B3139" s="30" t="s">
        <v>55</v>
      </c>
      <c r="C3139" s="69" t="str">
        <f t="shared" si="279"/>
        <v>Closed</v>
      </c>
      <c r="D3139" s="27" t="s">
        <v>17801</v>
      </c>
      <c r="E3139" s="29" t="s">
        <v>17802</v>
      </c>
      <c r="F3139" s="30" t="s">
        <v>1938</v>
      </c>
      <c r="G3139" s="72">
        <f>DATE(2020,5,24)</f>
        <v>43975</v>
      </c>
      <c r="H3139" s="80">
        <v>0.51041666666666663</v>
      </c>
      <c r="I3139" s="30" t="s">
        <v>9026</v>
      </c>
      <c r="J3139" s="72" t="s">
        <v>17803</v>
      </c>
      <c r="K3139" s="30" t="s">
        <v>1940</v>
      </c>
      <c r="L3139" s="30" t="s">
        <v>17804</v>
      </c>
      <c r="M3139" s="30" t="s">
        <v>63</v>
      </c>
      <c r="N3139" s="30" t="s">
        <v>142</v>
      </c>
      <c r="O3139" s="30" t="s">
        <v>64</v>
      </c>
      <c r="P3139" s="72" t="s">
        <v>165</v>
      </c>
      <c r="Q3139" s="72" t="s">
        <v>17724</v>
      </c>
      <c r="R3139" s="72" t="s">
        <v>17724</v>
      </c>
      <c r="S3139" s="30">
        <v>0</v>
      </c>
      <c r="T3139" s="99">
        <v>0</v>
      </c>
      <c r="U3139" s="30">
        <v>0</v>
      </c>
      <c r="V3139" s="99">
        <v>0</v>
      </c>
      <c r="W3139" s="30">
        <v>0</v>
      </c>
      <c r="X3139" s="30">
        <v>0</v>
      </c>
      <c r="Y3139" s="30">
        <v>0</v>
      </c>
      <c r="Z3139" s="99">
        <v>0</v>
      </c>
      <c r="AA3139" s="30">
        <v>0</v>
      </c>
      <c r="AB3139" s="30">
        <v>0</v>
      </c>
      <c r="AC3139" s="30">
        <v>0</v>
      </c>
      <c r="AD3139" s="30">
        <v>0</v>
      </c>
      <c r="AE3139" s="30" t="s">
        <v>394</v>
      </c>
      <c r="AF3139" s="72"/>
      <c r="AG3139" s="72" t="s">
        <v>6459</v>
      </c>
      <c r="AH3139" s="72">
        <v>44013</v>
      </c>
      <c r="AI3139" s="30">
        <v>6</v>
      </c>
      <c r="AJ3139" s="72" t="s">
        <v>68</v>
      </c>
      <c r="AK3139" s="72" t="s">
        <v>68</v>
      </c>
      <c r="AL3139" s="70">
        <v>44013</v>
      </c>
      <c r="AM3139" s="70"/>
      <c r="AN3139" s="70"/>
      <c r="AO3139" s="70"/>
      <c r="AP3139" s="73" t="e">
        <f>MID(VLOOKUP(K3139,#REF!,2,FALSE),1,2)</f>
        <v>#REF!</v>
      </c>
      <c r="AQ3139" s="72">
        <f>DATE(2020,5,27)</f>
        <v>43978</v>
      </c>
      <c r="AR3139" s="83">
        <f t="shared" si="276"/>
        <v>27</v>
      </c>
      <c r="AS3139" s="84">
        <f t="shared" si="277"/>
        <v>5</v>
      </c>
      <c r="AT3139" s="86">
        <f t="shared" si="278"/>
        <v>2020</v>
      </c>
      <c r="AU3139" s="86"/>
      <c r="AV3139" s="87"/>
      <c r="AW3139" s="86"/>
      <c r="AX3139" s="83"/>
      <c r="AY3139" s="84"/>
      <c r="AZ3139" s="86"/>
      <c r="BA3139" s="86"/>
      <c r="BB3139" s="86"/>
    </row>
    <row r="3140" spans="1:55" ht="36.75" customHeight="1">
      <c r="A3140" s="30"/>
      <c r="B3140" s="30" t="s">
        <v>55</v>
      </c>
      <c r="C3140" s="69" t="str">
        <f t="shared" si="279"/>
        <v>Closed</v>
      </c>
      <c r="D3140" s="27" t="s">
        <v>17805</v>
      </c>
      <c r="E3140" s="29" t="s">
        <v>17806</v>
      </c>
      <c r="F3140" s="30" t="s">
        <v>233</v>
      </c>
      <c r="G3140" s="72">
        <f>DATE(2020,5,26)</f>
        <v>43977</v>
      </c>
      <c r="H3140" s="80">
        <v>1.4208333333333334</v>
      </c>
      <c r="I3140" s="30" t="s">
        <v>278</v>
      </c>
      <c r="J3140" s="72" t="s">
        <v>17807</v>
      </c>
      <c r="K3140" s="30" t="s">
        <v>235</v>
      </c>
      <c r="L3140" s="30" t="s">
        <v>17808</v>
      </c>
      <c r="M3140" s="30" t="s">
        <v>129</v>
      </c>
      <c r="N3140" s="30" t="s">
        <v>99</v>
      </c>
      <c r="O3140" s="30" t="s">
        <v>77</v>
      </c>
      <c r="P3140" s="72" t="s">
        <v>129</v>
      </c>
      <c r="Q3140" s="72" t="s">
        <v>683</v>
      </c>
      <c r="R3140" s="72" t="s">
        <v>235</v>
      </c>
      <c r="S3140" s="30">
        <v>1</v>
      </c>
      <c r="T3140" s="232">
        <v>0</v>
      </c>
      <c r="U3140" s="30">
        <v>0</v>
      </c>
      <c r="V3140" s="232">
        <v>0</v>
      </c>
      <c r="W3140" s="30">
        <v>0</v>
      </c>
      <c r="X3140" s="30">
        <v>1</v>
      </c>
      <c r="Y3140" s="30">
        <v>0</v>
      </c>
      <c r="Z3140" s="232">
        <v>0</v>
      </c>
      <c r="AA3140" s="30">
        <v>0</v>
      </c>
      <c r="AB3140" s="30">
        <v>0</v>
      </c>
      <c r="AC3140" s="30">
        <v>0</v>
      </c>
      <c r="AD3140" s="30">
        <v>0</v>
      </c>
      <c r="AE3140" s="72" t="s">
        <v>92</v>
      </c>
      <c r="AF3140" s="72"/>
      <c r="AG3140" s="72" t="s">
        <v>82</v>
      </c>
      <c r="AH3140" s="72">
        <v>43983</v>
      </c>
      <c r="AI3140" s="30">
        <v>3</v>
      </c>
      <c r="AJ3140" s="72" t="s">
        <v>17809</v>
      </c>
      <c r="AK3140" s="72" t="s">
        <v>17810</v>
      </c>
      <c r="AL3140" s="70">
        <v>44011</v>
      </c>
      <c r="AM3140" s="70"/>
      <c r="AN3140" s="70"/>
      <c r="AO3140" s="70">
        <v>44440</v>
      </c>
      <c r="AP3140" s="73" t="e">
        <f>MID(VLOOKUP(K3140,#REF!,2,FALSE),1,2)</f>
        <v>#REF!</v>
      </c>
      <c r="AQ3140" s="72">
        <f>DATE(2020,6,2)</f>
        <v>43984</v>
      </c>
      <c r="AR3140" s="83">
        <f t="shared" si="276"/>
        <v>2</v>
      </c>
      <c r="AS3140" s="84">
        <f t="shared" si="277"/>
        <v>6</v>
      </c>
      <c r="AT3140" s="86">
        <f t="shared" si="278"/>
        <v>2020</v>
      </c>
      <c r="AU3140" s="86"/>
      <c r="AV3140" s="87"/>
      <c r="AW3140" s="86"/>
      <c r="AX3140" s="83"/>
      <c r="AY3140" s="84"/>
      <c r="AZ3140" s="86"/>
      <c r="BA3140" s="86"/>
      <c r="BB3140" s="86"/>
    </row>
    <row r="3141" spans="1:55" ht="36.75" customHeight="1">
      <c r="A3141" s="30"/>
      <c r="B3141" s="30" t="s">
        <v>55</v>
      </c>
      <c r="C3141" s="69" t="str">
        <f t="shared" si="279"/>
        <v>Closed</v>
      </c>
      <c r="D3141" s="27" t="s">
        <v>17811</v>
      </c>
      <c r="E3141" s="29" t="s">
        <v>17812</v>
      </c>
      <c r="F3141" s="30" t="s">
        <v>835</v>
      </c>
      <c r="G3141" s="72">
        <f>DATE(2020,5,27)</f>
        <v>43978</v>
      </c>
      <c r="H3141" s="80">
        <v>0</v>
      </c>
      <c r="I3141" s="30" t="s">
        <v>104</v>
      </c>
      <c r="J3141" s="72" t="s">
        <v>17813</v>
      </c>
      <c r="K3141" s="30" t="s">
        <v>837</v>
      </c>
      <c r="L3141" s="30" t="s">
        <v>17814</v>
      </c>
      <c r="M3141" s="30" t="s">
        <v>63</v>
      </c>
      <c r="N3141" s="30" t="s">
        <v>142</v>
      </c>
      <c r="O3141" s="30" t="s">
        <v>77</v>
      </c>
      <c r="P3141" s="72" t="s">
        <v>381</v>
      </c>
      <c r="Q3141" s="72" t="s">
        <v>17815</v>
      </c>
      <c r="R3141" s="72" t="s">
        <v>840</v>
      </c>
      <c r="S3141" s="30">
        <v>0</v>
      </c>
      <c r="T3141" s="232">
        <v>0</v>
      </c>
      <c r="U3141" s="30">
        <v>0</v>
      </c>
      <c r="V3141" s="232">
        <v>0</v>
      </c>
      <c r="W3141" s="30">
        <v>0</v>
      </c>
      <c r="X3141" s="30">
        <v>0</v>
      </c>
      <c r="Y3141" s="30">
        <v>0</v>
      </c>
      <c r="Z3141" s="232">
        <v>0</v>
      </c>
      <c r="AA3141" s="30">
        <v>0</v>
      </c>
      <c r="AB3141" s="30">
        <v>0</v>
      </c>
      <c r="AC3141" s="30">
        <v>0</v>
      </c>
      <c r="AD3141" s="30">
        <v>0</v>
      </c>
      <c r="AE3141" s="72" t="s">
        <v>92</v>
      </c>
      <c r="AF3141" s="72" t="s">
        <v>17469</v>
      </c>
      <c r="AG3141" s="72" t="s">
        <v>352</v>
      </c>
      <c r="AH3141" s="72">
        <v>43978</v>
      </c>
      <c r="AI3141" s="30">
        <v>0</v>
      </c>
      <c r="AJ3141" s="72" t="s">
        <v>17816</v>
      </c>
      <c r="AK3141" s="72" t="s">
        <v>17817</v>
      </c>
      <c r="AL3141" s="70">
        <v>43979</v>
      </c>
      <c r="AM3141" s="70"/>
      <c r="AN3141" s="70">
        <v>45012</v>
      </c>
      <c r="AO3141" s="70">
        <v>44530</v>
      </c>
      <c r="AP3141" s="73" t="e">
        <f>MID(VLOOKUP(K3141,#REF!,2,FALSE),1,2)</f>
        <v>#REF!</v>
      </c>
      <c r="AQ3141" s="72">
        <f>DATE(2020,6,2)</f>
        <v>43984</v>
      </c>
      <c r="AR3141" s="83">
        <f t="shared" si="276"/>
        <v>2</v>
      </c>
      <c r="AS3141" s="84">
        <f t="shared" si="277"/>
        <v>6</v>
      </c>
      <c r="AT3141" s="86">
        <f t="shared" si="278"/>
        <v>2020</v>
      </c>
      <c r="AU3141" s="86"/>
      <c r="AV3141" s="87"/>
      <c r="AW3141" s="86"/>
      <c r="AX3141" s="83"/>
      <c r="AY3141" s="84"/>
      <c r="AZ3141" s="86"/>
      <c r="BA3141" s="86"/>
      <c r="BB3141" s="86"/>
    </row>
    <row r="3142" spans="1:55" ht="36.75" customHeight="1">
      <c r="A3142" s="30"/>
      <c r="B3142" s="30" t="s">
        <v>55</v>
      </c>
      <c r="C3142" s="69" t="str">
        <f t="shared" si="279"/>
        <v>Closed</v>
      </c>
      <c r="D3142" s="27" t="s">
        <v>17818</v>
      </c>
      <c r="E3142" s="29" t="s">
        <v>17819</v>
      </c>
      <c r="F3142" s="30" t="s">
        <v>17820</v>
      </c>
      <c r="G3142" s="72">
        <f>DATE(2020,6,2)</f>
        <v>43984</v>
      </c>
      <c r="H3142" s="80">
        <v>1.6736111111111112</v>
      </c>
      <c r="I3142" s="30" t="s">
        <v>156</v>
      </c>
      <c r="J3142" s="72" t="s">
        <v>17821</v>
      </c>
      <c r="K3142" s="30" t="s">
        <v>640</v>
      </c>
      <c r="L3142" s="30" t="s">
        <v>17822</v>
      </c>
      <c r="M3142" s="30" t="s">
        <v>63</v>
      </c>
      <c r="N3142" s="30" t="s">
        <v>99</v>
      </c>
      <c r="O3142" s="30" t="s">
        <v>64</v>
      </c>
      <c r="P3142" s="72" t="s">
        <v>65</v>
      </c>
      <c r="Q3142" s="72" t="s">
        <v>17823</v>
      </c>
      <c r="R3142" s="72" t="s">
        <v>2016</v>
      </c>
      <c r="S3142" s="30">
        <v>0</v>
      </c>
      <c r="T3142" s="232">
        <v>1</v>
      </c>
      <c r="U3142" s="30">
        <v>0</v>
      </c>
      <c r="V3142" s="232">
        <v>1</v>
      </c>
      <c r="W3142" s="30">
        <v>0</v>
      </c>
      <c r="X3142" s="30">
        <v>2</v>
      </c>
      <c r="Y3142" s="30">
        <v>0</v>
      </c>
      <c r="Z3142" s="232">
        <v>1</v>
      </c>
      <c r="AA3142" s="30">
        <v>0</v>
      </c>
      <c r="AB3142" s="30">
        <v>0</v>
      </c>
      <c r="AC3142" s="30">
        <v>0</v>
      </c>
      <c r="AD3142" s="30">
        <v>1</v>
      </c>
      <c r="AE3142" s="72" t="s">
        <v>145</v>
      </c>
      <c r="AF3142" s="72" t="s">
        <v>17824</v>
      </c>
      <c r="AG3142" s="72" t="s">
        <v>6459</v>
      </c>
      <c r="AH3142" s="72">
        <v>43984</v>
      </c>
      <c r="AI3142" s="30">
        <v>6</v>
      </c>
      <c r="AJ3142" s="72" t="s">
        <v>17825</v>
      </c>
      <c r="AK3142" s="72" t="s">
        <v>17826</v>
      </c>
      <c r="AL3142" s="70">
        <v>43987</v>
      </c>
      <c r="AM3142" s="70"/>
      <c r="AN3142" s="70">
        <v>44544</v>
      </c>
      <c r="AO3142" s="70">
        <v>44525</v>
      </c>
      <c r="AP3142" s="73" t="e">
        <f>MID(VLOOKUP(K3142,#REF!,2,FALSE),1,2)</f>
        <v>#REF!</v>
      </c>
      <c r="AQ3142" s="72">
        <f>DATE(2020,6,4)</f>
        <v>43986</v>
      </c>
      <c r="AR3142" s="83">
        <f t="shared" si="276"/>
        <v>4</v>
      </c>
      <c r="AS3142" s="84">
        <f t="shared" si="277"/>
        <v>6</v>
      </c>
      <c r="AT3142" s="86">
        <f t="shared" si="278"/>
        <v>2020</v>
      </c>
      <c r="AU3142" s="86"/>
      <c r="AV3142" s="87"/>
      <c r="AW3142" s="86"/>
      <c r="AX3142" s="83"/>
      <c r="AY3142" s="84"/>
      <c r="AZ3142" s="86"/>
      <c r="BA3142" s="86"/>
      <c r="BB3142" s="86"/>
    </row>
    <row r="3143" spans="1:55" ht="36.75" customHeight="1">
      <c r="A3143" s="30"/>
      <c r="B3143" s="30" t="s">
        <v>55</v>
      </c>
      <c r="C3143" s="69" t="str">
        <f t="shared" si="279"/>
        <v>Closed</v>
      </c>
      <c r="D3143" s="27" t="s">
        <v>17827</v>
      </c>
      <c r="E3143" s="29" t="s">
        <v>17828</v>
      </c>
      <c r="F3143" s="30" t="s">
        <v>17578</v>
      </c>
      <c r="G3143" s="72">
        <f>DATE(2020,6,2)</f>
        <v>43984</v>
      </c>
      <c r="H3143" s="80">
        <v>1.7618055555555556</v>
      </c>
      <c r="I3143" s="30" t="s">
        <v>73</v>
      </c>
      <c r="J3143" s="72" t="s">
        <v>17829</v>
      </c>
      <c r="K3143" s="30" t="s">
        <v>837</v>
      </c>
      <c r="L3143" s="30" t="s">
        <v>9361</v>
      </c>
      <c r="M3143" s="30" t="s">
        <v>63</v>
      </c>
      <c r="N3143" s="30" t="s">
        <v>89</v>
      </c>
      <c r="O3143" s="30" t="s">
        <v>77</v>
      </c>
      <c r="P3143" s="72" t="s">
        <v>78</v>
      </c>
      <c r="Q3143" s="72" t="s">
        <v>840</v>
      </c>
      <c r="R3143" s="72" t="s">
        <v>17830</v>
      </c>
      <c r="S3143" s="30">
        <v>0</v>
      </c>
      <c r="T3143" s="232">
        <v>0</v>
      </c>
      <c r="U3143" s="30">
        <v>0</v>
      </c>
      <c r="V3143" s="232">
        <v>0</v>
      </c>
      <c r="W3143" s="30">
        <v>0</v>
      </c>
      <c r="X3143" s="30">
        <v>0</v>
      </c>
      <c r="Y3143" s="30">
        <v>0</v>
      </c>
      <c r="Z3143" s="232">
        <v>0</v>
      </c>
      <c r="AA3143" s="30">
        <v>0</v>
      </c>
      <c r="AB3143" s="30">
        <v>0</v>
      </c>
      <c r="AC3143" s="30">
        <v>0</v>
      </c>
      <c r="AD3143" s="30">
        <v>0</v>
      </c>
      <c r="AE3143" s="72" t="s">
        <v>92</v>
      </c>
      <c r="AF3143" s="72" t="s">
        <v>879</v>
      </c>
      <c r="AG3143" s="72" t="s">
        <v>13537</v>
      </c>
      <c r="AH3143" s="72">
        <v>43986</v>
      </c>
      <c r="AI3143" s="30">
        <v>1</v>
      </c>
      <c r="AJ3143" s="72" t="s">
        <v>17831</v>
      </c>
      <c r="AK3143" s="72" t="s">
        <v>17832</v>
      </c>
      <c r="AL3143" s="70">
        <v>43992</v>
      </c>
      <c r="AM3143" s="70"/>
      <c r="AN3143" s="70">
        <v>44438</v>
      </c>
      <c r="AO3143" s="70">
        <v>44432</v>
      </c>
      <c r="AP3143" s="73" t="s">
        <v>17833</v>
      </c>
      <c r="AQ3143" s="72"/>
      <c r="AR3143" s="83"/>
      <c r="AS3143" s="84"/>
      <c r="AT3143" s="86"/>
      <c r="AU3143" s="86"/>
      <c r="AV3143" s="87"/>
      <c r="AW3143" s="86"/>
      <c r="AX3143" s="83"/>
      <c r="AY3143" s="84"/>
      <c r="AZ3143" s="86"/>
      <c r="BA3143" s="86"/>
      <c r="BB3143" s="86"/>
    </row>
    <row r="3144" spans="1:55" ht="36.75" customHeight="1">
      <c r="A3144" s="30"/>
      <c r="B3144" s="30" t="s">
        <v>55</v>
      </c>
      <c r="C3144" s="69" t="str">
        <f t="shared" si="279"/>
        <v>Closed</v>
      </c>
      <c r="D3144" s="27" t="s">
        <v>17834</v>
      </c>
      <c r="E3144" s="29" t="s">
        <v>17835</v>
      </c>
      <c r="F3144" s="30" t="s">
        <v>1572</v>
      </c>
      <c r="G3144" s="72">
        <f>DATE(2020,6,4)</f>
        <v>43986</v>
      </c>
      <c r="H3144" s="80">
        <v>1.6666666666666665</v>
      </c>
      <c r="I3144" s="30" t="s">
        <v>73</v>
      </c>
      <c r="J3144" s="72" t="s">
        <v>17836</v>
      </c>
      <c r="K3144" s="30" t="s">
        <v>1574</v>
      </c>
      <c r="L3144" s="30" t="s">
        <v>14116</v>
      </c>
      <c r="M3144" s="30" t="s">
        <v>63</v>
      </c>
      <c r="N3144" s="30" t="s">
        <v>99</v>
      </c>
      <c r="O3144" s="30" t="s">
        <v>77</v>
      </c>
      <c r="P3144" s="72" t="s">
        <v>78</v>
      </c>
      <c r="Q3144" s="72" t="s">
        <v>6093</v>
      </c>
      <c r="R3144" s="72" t="s">
        <v>4920</v>
      </c>
      <c r="S3144" s="30">
        <v>0</v>
      </c>
      <c r="T3144" s="232">
        <v>0</v>
      </c>
      <c r="U3144" s="30">
        <v>0</v>
      </c>
      <c r="V3144" s="232">
        <v>0</v>
      </c>
      <c r="W3144" s="30">
        <v>0</v>
      </c>
      <c r="X3144" s="30">
        <v>0</v>
      </c>
      <c r="Y3144" s="30">
        <v>0</v>
      </c>
      <c r="Z3144" s="232">
        <v>0</v>
      </c>
      <c r="AA3144" s="30">
        <v>0</v>
      </c>
      <c r="AB3144" s="30">
        <v>0</v>
      </c>
      <c r="AC3144" s="30">
        <v>0</v>
      </c>
      <c r="AD3144" s="30">
        <v>0</v>
      </c>
      <c r="AE3144" s="72" t="s">
        <v>394</v>
      </c>
      <c r="AF3144" s="72"/>
      <c r="AG3144" s="72" t="s">
        <v>133</v>
      </c>
      <c r="AH3144" s="72">
        <v>43991</v>
      </c>
      <c r="AI3144" s="30">
        <v>3</v>
      </c>
      <c r="AJ3144" s="72" t="s">
        <v>68</v>
      </c>
      <c r="AK3144" s="72" t="s">
        <v>68</v>
      </c>
      <c r="AL3144" s="70">
        <v>43996</v>
      </c>
      <c r="AM3144" s="70"/>
      <c r="AN3144" s="72"/>
      <c r="AO3144" s="70"/>
      <c r="AP3144" s="73" t="e">
        <f>MID(VLOOKUP(K3144,#REF!,2,FALSE),1,2)</f>
        <v>#REF!</v>
      </c>
      <c r="AQ3144" s="72">
        <f>DATE(2020,6,11)</f>
        <v>43993</v>
      </c>
      <c r="AR3144" s="83">
        <f t="shared" ref="AR3144:AR3166" si="280">DAY(AQ3144)</f>
        <v>11</v>
      </c>
      <c r="AS3144" s="84">
        <f t="shared" ref="AS3144:AS3166" si="281">MONTH(AQ3144)</f>
        <v>6</v>
      </c>
      <c r="AT3144" s="86">
        <f t="shared" ref="AT3144:AT3166" si="282">YEAR(AQ3144)</f>
        <v>2020</v>
      </c>
      <c r="AU3144" s="86"/>
      <c r="AV3144" s="87"/>
      <c r="AW3144" s="86"/>
      <c r="AX3144" s="83"/>
      <c r="AY3144" s="84"/>
      <c r="AZ3144" s="86"/>
      <c r="BA3144" s="86"/>
      <c r="BB3144" s="86"/>
    </row>
    <row r="3145" spans="1:55" ht="36.75" customHeight="1">
      <c r="A3145" s="40" t="s">
        <v>4910</v>
      </c>
      <c r="B3145" s="30" t="s">
        <v>55</v>
      </c>
      <c r="C3145" s="69" t="str">
        <f t="shared" si="279"/>
        <v>Closed</v>
      </c>
      <c r="D3145" s="39" t="s">
        <v>17837</v>
      </c>
      <c r="E3145" s="29" t="s">
        <v>17838</v>
      </c>
      <c r="F3145" s="30" t="s">
        <v>1938</v>
      </c>
      <c r="G3145" s="72">
        <f>DATE(2020,6,8)</f>
        <v>43990</v>
      </c>
      <c r="H3145" s="80"/>
      <c r="I3145" s="30" t="s">
        <v>17839</v>
      </c>
      <c r="J3145" s="72"/>
      <c r="K3145" s="30" t="s">
        <v>1940</v>
      </c>
      <c r="L3145" s="30" t="s">
        <v>17840</v>
      </c>
      <c r="M3145" s="30" t="s">
        <v>63</v>
      </c>
      <c r="N3145" s="30" t="s">
        <v>99</v>
      </c>
      <c r="O3145" s="30" t="s">
        <v>64</v>
      </c>
      <c r="P3145" s="72"/>
      <c r="Q3145" s="72"/>
      <c r="R3145" s="72"/>
      <c r="S3145" s="30">
        <v>0</v>
      </c>
      <c r="T3145" s="232"/>
      <c r="U3145" s="30">
        <v>0</v>
      </c>
      <c r="V3145" s="232"/>
      <c r="W3145" s="30">
        <v>0</v>
      </c>
      <c r="X3145" s="30">
        <v>0</v>
      </c>
      <c r="Y3145" s="30">
        <v>0</v>
      </c>
      <c r="Z3145" s="232"/>
      <c r="AA3145" s="30">
        <v>0</v>
      </c>
      <c r="AB3145" s="30">
        <v>0</v>
      </c>
      <c r="AC3145" s="30">
        <v>0</v>
      </c>
      <c r="AD3145" s="30">
        <v>0</v>
      </c>
      <c r="AE3145" s="72"/>
      <c r="AF3145" s="72"/>
      <c r="AG3145" s="72"/>
      <c r="AH3145" s="72" t="s">
        <v>68</v>
      </c>
      <c r="AI3145" s="30">
        <v>4</v>
      </c>
      <c r="AJ3145" s="72"/>
      <c r="AK3145" s="72"/>
      <c r="AL3145" s="70" t="s">
        <v>68</v>
      </c>
      <c r="AM3145" s="70"/>
      <c r="AN3145" s="70"/>
      <c r="AO3145" s="70"/>
      <c r="AP3145" s="73" t="s">
        <v>17841</v>
      </c>
      <c r="AQ3145" s="72">
        <f>DATE(2020,6,12)</f>
        <v>43994</v>
      </c>
      <c r="AR3145" s="83">
        <f t="shared" si="280"/>
        <v>12</v>
      </c>
      <c r="AS3145" s="84">
        <f t="shared" si="281"/>
        <v>6</v>
      </c>
      <c r="AT3145" s="86">
        <f t="shared" si="282"/>
        <v>2020</v>
      </c>
      <c r="AU3145" s="86"/>
      <c r="AV3145" s="87"/>
      <c r="AW3145" s="86"/>
      <c r="AX3145" s="83"/>
      <c r="AY3145" s="84"/>
      <c r="AZ3145" s="86"/>
      <c r="BA3145" s="86"/>
      <c r="BB3145" s="86"/>
    </row>
    <row r="3146" spans="1:55" ht="36.75" customHeight="1">
      <c r="A3146" s="30"/>
      <c r="B3146" s="30" t="s">
        <v>55</v>
      </c>
      <c r="C3146" s="69" t="str">
        <f t="shared" si="279"/>
        <v>Closed</v>
      </c>
      <c r="D3146" s="27" t="s">
        <v>17842</v>
      </c>
      <c r="E3146" s="29" t="s">
        <v>17843</v>
      </c>
      <c r="F3146" s="30" t="s">
        <v>17682</v>
      </c>
      <c r="G3146" s="72">
        <f>DATE(2020,6,11)</f>
        <v>43993</v>
      </c>
      <c r="H3146" s="80" t="s">
        <v>17844</v>
      </c>
      <c r="I3146" s="30" t="s">
        <v>73</v>
      </c>
      <c r="J3146" s="72" t="s">
        <v>17845</v>
      </c>
      <c r="K3146" s="30" t="s">
        <v>1574</v>
      </c>
      <c r="L3146" s="30" t="s">
        <v>17846</v>
      </c>
      <c r="M3146" s="30" t="s">
        <v>63</v>
      </c>
      <c r="N3146" s="30" t="s">
        <v>142</v>
      </c>
      <c r="O3146" s="30" t="s">
        <v>64</v>
      </c>
      <c r="P3146" s="72" t="s">
        <v>78</v>
      </c>
      <c r="Q3146" s="72" t="s">
        <v>17847</v>
      </c>
      <c r="R3146" s="72" t="s">
        <v>17686</v>
      </c>
      <c r="S3146" s="30">
        <v>0</v>
      </c>
      <c r="T3146" s="232">
        <v>0</v>
      </c>
      <c r="U3146" s="30">
        <v>0</v>
      </c>
      <c r="V3146" s="232">
        <v>0</v>
      </c>
      <c r="W3146" s="30">
        <v>0</v>
      </c>
      <c r="X3146" s="30">
        <v>0</v>
      </c>
      <c r="Y3146" s="30">
        <v>0</v>
      </c>
      <c r="Z3146" s="232">
        <v>0</v>
      </c>
      <c r="AA3146" s="30">
        <v>0</v>
      </c>
      <c r="AB3146" s="30">
        <v>0</v>
      </c>
      <c r="AC3146" s="30">
        <v>0</v>
      </c>
      <c r="AD3146" s="30">
        <v>0</v>
      </c>
      <c r="AE3146" s="72" t="s">
        <v>92</v>
      </c>
      <c r="AF3146" s="72" t="s">
        <v>17848</v>
      </c>
      <c r="AG3146" s="72" t="s">
        <v>8859</v>
      </c>
      <c r="AH3146" s="72">
        <v>43994</v>
      </c>
      <c r="AI3146" s="30">
        <v>1</v>
      </c>
      <c r="AJ3146" s="72" t="s">
        <v>17849</v>
      </c>
      <c r="AK3146" s="72" t="s">
        <v>17850</v>
      </c>
      <c r="AL3146" s="70">
        <v>43996</v>
      </c>
      <c r="AM3146" s="70"/>
      <c r="AN3146" s="70">
        <v>44756</v>
      </c>
      <c r="AO3146" s="70">
        <v>44355</v>
      </c>
      <c r="AP3146" s="73" t="e">
        <f>MID(VLOOKUP(K3146,#REF!,2,FALSE),1,2)</f>
        <v>#REF!</v>
      </c>
      <c r="AQ3146" s="72">
        <f>DATE(2020,6,12)</f>
        <v>43994</v>
      </c>
      <c r="AR3146" s="83">
        <f t="shared" si="280"/>
        <v>12</v>
      </c>
      <c r="AS3146" s="84">
        <f t="shared" si="281"/>
        <v>6</v>
      </c>
      <c r="AT3146" s="86">
        <f t="shared" si="282"/>
        <v>2020</v>
      </c>
      <c r="AU3146" s="86"/>
      <c r="AV3146" s="87"/>
      <c r="AW3146" s="86"/>
      <c r="AX3146" s="83"/>
      <c r="AY3146" s="84"/>
      <c r="AZ3146" s="86"/>
      <c r="BA3146" s="86"/>
      <c r="BB3146" s="86"/>
    </row>
    <row r="3147" spans="1:55" ht="36.75" customHeight="1">
      <c r="A3147" s="136" t="s">
        <v>4910</v>
      </c>
      <c r="B3147" s="30" t="s">
        <v>55</v>
      </c>
      <c r="C3147" s="69" t="str">
        <f t="shared" si="279"/>
        <v>Closed</v>
      </c>
      <c r="D3147" s="39" t="s">
        <v>17851</v>
      </c>
      <c r="E3147" s="29" t="s">
        <v>17852</v>
      </c>
      <c r="F3147" s="30" t="s">
        <v>16429</v>
      </c>
      <c r="G3147" s="72">
        <f>DATE(2020,6,12)</f>
        <v>43994</v>
      </c>
      <c r="H3147" s="80">
        <v>1.425</v>
      </c>
      <c r="I3147" s="30" t="s">
        <v>73</v>
      </c>
      <c r="J3147" s="72" t="s">
        <v>17853</v>
      </c>
      <c r="K3147" s="30" t="s">
        <v>425</v>
      </c>
      <c r="L3147" s="30" t="s">
        <v>17854</v>
      </c>
      <c r="M3147" s="30" t="s">
        <v>63</v>
      </c>
      <c r="N3147" s="30"/>
      <c r="O3147" s="30" t="s">
        <v>64</v>
      </c>
      <c r="P3147" s="72" t="s">
        <v>78</v>
      </c>
      <c r="Q3147" s="72" t="s">
        <v>12713</v>
      </c>
      <c r="R3147" s="72" t="s">
        <v>12713</v>
      </c>
      <c r="S3147" s="30">
        <v>0</v>
      </c>
      <c r="T3147" s="232">
        <v>0</v>
      </c>
      <c r="U3147" s="30">
        <v>0</v>
      </c>
      <c r="V3147" s="232">
        <v>0</v>
      </c>
      <c r="W3147" s="30">
        <v>0</v>
      </c>
      <c r="X3147" s="30">
        <v>0</v>
      </c>
      <c r="Y3147" s="30">
        <v>0</v>
      </c>
      <c r="Z3147" s="232">
        <v>0</v>
      </c>
      <c r="AA3147" s="30">
        <v>0</v>
      </c>
      <c r="AB3147" s="30">
        <v>0</v>
      </c>
      <c r="AC3147" s="30">
        <v>0</v>
      </c>
      <c r="AD3147" s="30">
        <v>0</v>
      </c>
      <c r="AE3147" s="72" t="s">
        <v>92</v>
      </c>
      <c r="AF3147" s="72"/>
      <c r="AG3147" s="72" t="s">
        <v>352</v>
      </c>
      <c r="AH3147" s="72">
        <v>44171</v>
      </c>
      <c r="AI3147" s="30">
        <v>1</v>
      </c>
      <c r="AJ3147" s="72" t="s">
        <v>68</v>
      </c>
      <c r="AK3147" s="72" t="s">
        <v>68</v>
      </c>
      <c r="AL3147" s="70">
        <v>43999</v>
      </c>
      <c r="AM3147" s="70"/>
      <c r="AN3147" s="70"/>
      <c r="AO3147" s="70"/>
      <c r="AP3147" s="73" t="e">
        <f>MID(VLOOKUP(K3147,#REF!,2,FALSE),1,2)</f>
        <v>#REF!</v>
      </c>
      <c r="AQ3147" s="72">
        <f>DATE(2020,6,14)</f>
        <v>43996</v>
      </c>
      <c r="AR3147" s="83">
        <f t="shared" si="280"/>
        <v>14</v>
      </c>
      <c r="AS3147" s="84">
        <f t="shared" si="281"/>
        <v>6</v>
      </c>
      <c r="AT3147" s="86">
        <f t="shared" si="282"/>
        <v>2020</v>
      </c>
      <c r="AU3147" s="86"/>
      <c r="AV3147" s="87"/>
      <c r="AW3147" s="86"/>
      <c r="AX3147" s="83"/>
      <c r="AY3147" s="84"/>
      <c r="AZ3147" s="86"/>
      <c r="BA3147" s="86"/>
      <c r="BB3147" s="86"/>
    </row>
    <row r="3148" spans="1:55" ht="36.75" customHeight="1">
      <c r="A3148" s="30"/>
      <c r="B3148" s="30" t="s">
        <v>2124</v>
      </c>
      <c r="C3148" s="69" t="str">
        <f t="shared" si="279"/>
        <v>Open</v>
      </c>
      <c r="D3148" s="27" t="s">
        <v>17851</v>
      </c>
      <c r="E3148" s="29" t="s">
        <v>17855</v>
      </c>
      <c r="F3148" s="30" t="s">
        <v>423</v>
      </c>
      <c r="G3148" s="72">
        <f>DATE(2020,6,12)</f>
        <v>43994</v>
      </c>
      <c r="H3148" s="80">
        <v>1.425</v>
      </c>
      <c r="I3148" s="30" t="s">
        <v>73</v>
      </c>
      <c r="J3148" s="72" t="s">
        <v>17853</v>
      </c>
      <c r="K3148" s="30" t="s">
        <v>425</v>
      </c>
      <c r="L3148" s="30" t="s">
        <v>17856</v>
      </c>
      <c r="M3148" s="30" t="s">
        <v>63</v>
      </c>
      <c r="N3148" s="30" t="s">
        <v>99</v>
      </c>
      <c r="O3148" s="30" t="s">
        <v>64</v>
      </c>
      <c r="P3148" s="72" t="s">
        <v>78</v>
      </c>
      <c r="Q3148" s="72" t="s">
        <v>12713</v>
      </c>
      <c r="R3148" s="72" t="s">
        <v>12713</v>
      </c>
      <c r="S3148" s="30">
        <v>0</v>
      </c>
      <c r="T3148" s="232">
        <v>0</v>
      </c>
      <c r="U3148" s="30">
        <v>0</v>
      </c>
      <c r="V3148" s="232">
        <v>0</v>
      </c>
      <c r="W3148" s="30">
        <v>0</v>
      </c>
      <c r="X3148" s="30">
        <v>0</v>
      </c>
      <c r="Y3148" s="30">
        <v>0</v>
      </c>
      <c r="Z3148" s="232">
        <v>0</v>
      </c>
      <c r="AA3148" s="30">
        <v>0</v>
      </c>
      <c r="AB3148" s="30">
        <v>0</v>
      </c>
      <c r="AC3148" s="30">
        <v>0</v>
      </c>
      <c r="AD3148" s="30">
        <v>0</v>
      </c>
      <c r="AE3148" s="72" t="s">
        <v>92</v>
      </c>
      <c r="AF3148" s="72"/>
      <c r="AG3148" s="72" t="s">
        <v>352</v>
      </c>
      <c r="AH3148" s="72">
        <v>44171</v>
      </c>
      <c r="AI3148" s="30">
        <v>0</v>
      </c>
      <c r="AJ3148" s="72" t="s">
        <v>68</v>
      </c>
      <c r="AK3148" s="72" t="s">
        <v>68</v>
      </c>
      <c r="AL3148" s="70">
        <v>43999</v>
      </c>
      <c r="AM3148" s="70"/>
      <c r="AN3148" s="70"/>
      <c r="AO3148" s="70"/>
      <c r="AP3148" s="73" t="e">
        <f>MID(VLOOKUP(K3148,#REF!,2,FALSE),1,2)</f>
        <v>#REF!</v>
      </c>
      <c r="AQ3148" s="72">
        <f>DATE(2020,6,18)</f>
        <v>44000</v>
      </c>
      <c r="AR3148" s="83">
        <f t="shared" si="280"/>
        <v>18</v>
      </c>
      <c r="AS3148" s="84">
        <f t="shared" si="281"/>
        <v>6</v>
      </c>
      <c r="AT3148" s="86">
        <f t="shared" si="282"/>
        <v>2020</v>
      </c>
      <c r="AU3148" s="86"/>
      <c r="AV3148" s="87"/>
      <c r="AW3148" s="86"/>
      <c r="AX3148" s="83"/>
      <c r="AY3148" s="84"/>
      <c r="AZ3148" s="86"/>
      <c r="BA3148" s="86"/>
      <c r="BB3148" s="86"/>
    </row>
    <row r="3149" spans="1:55" ht="36.75" customHeight="1">
      <c r="A3149" s="98" t="s">
        <v>4910</v>
      </c>
      <c r="B3149" s="30" t="s">
        <v>55</v>
      </c>
      <c r="C3149" s="69" t="str">
        <f t="shared" si="279"/>
        <v>Closed</v>
      </c>
      <c r="D3149" s="27" t="s">
        <v>17857</v>
      </c>
      <c r="E3149" s="29" t="s">
        <v>17858</v>
      </c>
      <c r="F3149" s="30" t="s">
        <v>423</v>
      </c>
      <c r="G3149" s="72">
        <f>DATE(2020,6,14)</f>
        <v>43996</v>
      </c>
      <c r="H3149" s="80">
        <v>1.2743055555555556</v>
      </c>
      <c r="I3149" s="30" t="s">
        <v>116</v>
      </c>
      <c r="J3149" s="72" t="s">
        <v>17859</v>
      </c>
      <c r="K3149" s="30" t="s">
        <v>425</v>
      </c>
      <c r="L3149" s="30" t="s">
        <v>17860</v>
      </c>
      <c r="M3149" s="30" t="s">
        <v>63</v>
      </c>
      <c r="N3149" s="30" t="s">
        <v>99</v>
      </c>
      <c r="O3149" s="30" t="s">
        <v>64</v>
      </c>
      <c r="P3149" s="72" t="s">
        <v>165</v>
      </c>
      <c r="Q3149" s="72" t="s">
        <v>4551</v>
      </c>
      <c r="R3149" s="72" t="s">
        <v>3103</v>
      </c>
      <c r="S3149" s="30">
        <v>0</v>
      </c>
      <c r="T3149" s="232">
        <v>0</v>
      </c>
      <c r="U3149" s="30">
        <v>0</v>
      </c>
      <c r="V3149" s="232">
        <v>0</v>
      </c>
      <c r="W3149" s="30">
        <v>0</v>
      </c>
      <c r="X3149" s="30">
        <v>0</v>
      </c>
      <c r="Y3149" s="30">
        <v>0</v>
      </c>
      <c r="Z3149" s="232">
        <v>0</v>
      </c>
      <c r="AA3149" s="30">
        <v>1</v>
      </c>
      <c r="AB3149" s="30">
        <v>0</v>
      </c>
      <c r="AC3149" s="30">
        <v>0</v>
      </c>
      <c r="AD3149" s="30">
        <v>1</v>
      </c>
      <c r="AE3149" s="72" t="s">
        <v>92</v>
      </c>
      <c r="AF3149" s="72"/>
      <c r="AG3149" s="72" t="s">
        <v>133</v>
      </c>
      <c r="AH3149" s="72">
        <v>43996</v>
      </c>
      <c r="AI3149" s="30">
        <v>0</v>
      </c>
      <c r="AJ3149" s="72" t="s">
        <v>68</v>
      </c>
      <c r="AK3149" s="72" t="s">
        <v>68</v>
      </c>
      <c r="AL3149" s="70">
        <v>43998</v>
      </c>
      <c r="AM3149" s="70"/>
      <c r="AN3149" s="70"/>
      <c r="AO3149" s="70"/>
      <c r="AP3149" s="73" t="e">
        <f>MID(VLOOKUP(K3149,#REF!,2,FALSE),1,2)</f>
        <v>#REF!</v>
      </c>
      <c r="AQ3149" s="72">
        <f>DATE(2020,6,18)</f>
        <v>44000</v>
      </c>
      <c r="AR3149" s="83">
        <f t="shared" si="280"/>
        <v>18</v>
      </c>
      <c r="AS3149" s="84">
        <f t="shared" si="281"/>
        <v>6</v>
      </c>
      <c r="AT3149" s="86">
        <f t="shared" si="282"/>
        <v>2020</v>
      </c>
      <c r="AU3149" s="86"/>
      <c r="AV3149" s="87"/>
      <c r="AW3149" s="86"/>
      <c r="AX3149" s="83"/>
      <c r="AY3149" s="84"/>
      <c r="AZ3149" s="86"/>
      <c r="BA3149" s="86"/>
      <c r="BB3149" s="86"/>
    </row>
    <row r="3150" spans="1:55" ht="36.75" customHeight="1">
      <c r="A3150" s="30" t="s">
        <v>12471</v>
      </c>
      <c r="B3150" s="30" t="s">
        <v>55</v>
      </c>
      <c r="C3150" s="69" t="str">
        <f t="shared" si="279"/>
        <v>Closed</v>
      </c>
      <c r="D3150" s="36" t="s">
        <v>17861</v>
      </c>
      <c r="E3150" s="29" t="s">
        <v>17862</v>
      </c>
      <c r="F3150" s="30" t="s">
        <v>17578</v>
      </c>
      <c r="G3150" s="72">
        <f>DATE(2020,6,14)</f>
        <v>43996</v>
      </c>
      <c r="H3150" s="125">
        <v>0.33333333333333331</v>
      </c>
      <c r="I3150" s="30" t="s">
        <v>4610</v>
      </c>
      <c r="J3150" s="30" t="s">
        <v>17863</v>
      </c>
      <c r="K3150" s="30" t="s">
        <v>837</v>
      </c>
      <c r="L3150" s="30" t="s">
        <v>9823</v>
      </c>
      <c r="M3150" s="30" t="s">
        <v>63</v>
      </c>
      <c r="N3150" s="30" t="s">
        <v>89</v>
      </c>
      <c r="O3150" s="30" t="s">
        <v>77</v>
      </c>
      <c r="P3150" s="30" t="s">
        <v>165</v>
      </c>
      <c r="Q3150" s="30" t="s">
        <v>2162</v>
      </c>
      <c r="R3150" s="30" t="s">
        <v>840</v>
      </c>
      <c r="S3150" s="30">
        <v>0</v>
      </c>
      <c r="T3150" s="30">
        <v>0</v>
      </c>
      <c r="U3150" s="30">
        <v>0</v>
      </c>
      <c r="V3150" s="30">
        <v>0</v>
      </c>
      <c r="W3150" s="30">
        <v>0</v>
      </c>
      <c r="X3150" s="30">
        <v>0</v>
      </c>
      <c r="Y3150" s="30">
        <v>0</v>
      </c>
      <c r="Z3150" s="30">
        <v>0</v>
      </c>
      <c r="AA3150" s="30">
        <v>0</v>
      </c>
      <c r="AB3150" s="30">
        <v>0</v>
      </c>
      <c r="AC3150" s="30">
        <v>0</v>
      </c>
      <c r="AD3150" s="30">
        <v>0</v>
      </c>
      <c r="AE3150" s="30" t="s">
        <v>92</v>
      </c>
      <c r="AF3150" s="30" t="s">
        <v>17864</v>
      </c>
      <c r="AG3150" s="30" t="s">
        <v>8859</v>
      </c>
      <c r="AH3150" s="72">
        <v>43996</v>
      </c>
      <c r="AI3150" s="30">
        <v>0</v>
      </c>
      <c r="AJ3150" s="30" t="s">
        <v>17865</v>
      </c>
      <c r="AK3150" s="30" t="s">
        <v>17866</v>
      </c>
      <c r="AL3150" s="137">
        <v>44537</v>
      </c>
      <c r="AM3150" s="137"/>
      <c r="AN3150" s="137">
        <v>44566</v>
      </c>
      <c r="AO3150" s="137">
        <v>44530</v>
      </c>
      <c r="AP3150" s="73" t="e">
        <f>MID(VLOOKUP(K3150,#REF!,2,FALSE),1,2)</f>
        <v>#REF!</v>
      </c>
      <c r="AQ3150" s="72">
        <f>DATE(2020,6,21)</f>
        <v>44003</v>
      </c>
      <c r="AR3150" s="83">
        <f t="shared" si="280"/>
        <v>21</v>
      </c>
      <c r="AS3150" s="84">
        <f t="shared" si="281"/>
        <v>6</v>
      </c>
      <c r="AT3150" s="86">
        <f t="shared" si="282"/>
        <v>2020</v>
      </c>
      <c r="AU3150" s="86"/>
      <c r="AV3150" s="87"/>
      <c r="AW3150" s="86"/>
      <c r="AX3150" s="83"/>
      <c r="AY3150" s="84"/>
      <c r="AZ3150" s="86"/>
      <c r="BA3150" s="86"/>
      <c r="BB3150" s="86"/>
      <c r="BC3150" s="134" t="s">
        <v>17867</v>
      </c>
    </row>
    <row r="3151" spans="1:55" ht="36.75" customHeight="1">
      <c r="A3151" s="98" t="s">
        <v>4910</v>
      </c>
      <c r="B3151" s="30" t="s">
        <v>55</v>
      </c>
      <c r="C3151" s="69" t="str">
        <f t="shared" si="279"/>
        <v>Closed</v>
      </c>
      <c r="D3151" s="27" t="s">
        <v>17868</v>
      </c>
      <c r="E3151" s="29" t="s">
        <v>17869</v>
      </c>
      <c r="F3151" s="30" t="s">
        <v>423</v>
      </c>
      <c r="G3151" s="72">
        <f>DATE(2020,6,18)</f>
        <v>44000</v>
      </c>
      <c r="H3151" s="80">
        <v>1.6222222222222222</v>
      </c>
      <c r="I3151" s="30" t="s">
        <v>278</v>
      </c>
      <c r="J3151" s="72" t="s">
        <v>17870</v>
      </c>
      <c r="K3151" s="30" t="s">
        <v>425</v>
      </c>
      <c r="L3151" s="30" t="s">
        <v>17871</v>
      </c>
      <c r="M3151" s="30" t="s">
        <v>63</v>
      </c>
      <c r="N3151" s="30" t="s">
        <v>142</v>
      </c>
      <c r="O3151" s="30" t="s">
        <v>64</v>
      </c>
      <c r="P3151" s="72" t="s">
        <v>165</v>
      </c>
      <c r="Q3151" s="72" t="s">
        <v>4551</v>
      </c>
      <c r="R3151" s="72" t="s">
        <v>3103</v>
      </c>
      <c r="S3151" s="30">
        <v>0</v>
      </c>
      <c r="T3151" s="99">
        <v>1</v>
      </c>
      <c r="U3151" s="30">
        <v>0</v>
      </c>
      <c r="V3151" s="99">
        <v>0</v>
      </c>
      <c r="W3151" s="30">
        <v>0</v>
      </c>
      <c r="X3151" s="30">
        <v>1</v>
      </c>
      <c r="Y3151" s="30">
        <v>0</v>
      </c>
      <c r="Z3151" s="99">
        <v>0</v>
      </c>
      <c r="AA3151" s="30">
        <v>0</v>
      </c>
      <c r="AB3151" s="30">
        <v>0</v>
      </c>
      <c r="AC3151" s="30">
        <v>0</v>
      </c>
      <c r="AD3151" s="30">
        <v>0</v>
      </c>
      <c r="AE3151" s="30" t="s">
        <v>92</v>
      </c>
      <c r="AF3151" s="72"/>
      <c r="AG3151" s="72" t="s">
        <v>133</v>
      </c>
      <c r="AH3151" s="72">
        <v>44000</v>
      </c>
      <c r="AI3151" s="30">
        <v>0</v>
      </c>
      <c r="AJ3151" s="72" t="s">
        <v>68</v>
      </c>
      <c r="AK3151" s="72" t="s">
        <v>68</v>
      </c>
      <c r="AL3151" s="70">
        <v>44004</v>
      </c>
      <c r="AM3151" s="70"/>
      <c r="AN3151" s="70"/>
      <c r="AO3151" s="70"/>
      <c r="AP3151" s="73" t="e">
        <f>MID(VLOOKUP(K3151,#REF!,2,FALSE),1,2)</f>
        <v>#REF!</v>
      </c>
      <c r="AQ3151" s="72">
        <f>DATE(2020,6,22)</f>
        <v>44004</v>
      </c>
      <c r="AR3151" s="83">
        <f t="shared" si="280"/>
        <v>22</v>
      </c>
      <c r="AS3151" s="84">
        <f t="shared" si="281"/>
        <v>6</v>
      </c>
      <c r="AT3151" s="86">
        <f t="shared" si="282"/>
        <v>2020</v>
      </c>
      <c r="AU3151" s="86"/>
      <c r="AV3151" s="87"/>
      <c r="AW3151" s="86"/>
      <c r="AX3151" s="83"/>
      <c r="AY3151" s="84"/>
      <c r="AZ3151" s="86"/>
      <c r="BA3151" s="86"/>
      <c r="BB3151" s="86"/>
    </row>
    <row r="3152" spans="1:55" ht="36.75" customHeight="1">
      <c r="A3152" s="98" t="s">
        <v>4910</v>
      </c>
      <c r="B3152" s="30" t="s">
        <v>55</v>
      </c>
      <c r="C3152" s="69" t="str">
        <f t="shared" si="279"/>
        <v>Closed</v>
      </c>
      <c r="D3152" s="27" t="s">
        <v>17872</v>
      </c>
      <c r="E3152" s="29" t="s">
        <v>17873</v>
      </c>
      <c r="F3152" s="30" t="s">
        <v>423</v>
      </c>
      <c r="G3152" s="72">
        <f>DATE(2020,6,18)</f>
        <v>44000</v>
      </c>
      <c r="H3152" s="80">
        <v>1.3368055555555556</v>
      </c>
      <c r="I3152" s="30" t="s">
        <v>73</v>
      </c>
      <c r="J3152" s="72" t="s">
        <v>17874</v>
      </c>
      <c r="K3152" s="30" t="s">
        <v>425</v>
      </c>
      <c r="L3152" s="30" t="s">
        <v>17875</v>
      </c>
      <c r="M3152" s="30" t="s">
        <v>63</v>
      </c>
      <c r="N3152" s="30" t="s">
        <v>142</v>
      </c>
      <c r="O3152" s="30" t="s">
        <v>77</v>
      </c>
      <c r="P3152" s="72" t="s">
        <v>165</v>
      </c>
      <c r="Q3152" s="72" t="s">
        <v>718</v>
      </c>
      <c r="R3152" s="72" t="s">
        <v>3103</v>
      </c>
      <c r="S3152" s="30">
        <v>0</v>
      </c>
      <c r="T3152" s="99">
        <v>0</v>
      </c>
      <c r="U3152" s="30">
        <v>0</v>
      </c>
      <c r="V3152" s="99">
        <v>0</v>
      </c>
      <c r="W3152" s="30">
        <v>0</v>
      </c>
      <c r="X3152" s="30">
        <v>0</v>
      </c>
      <c r="Y3152" s="30">
        <v>0</v>
      </c>
      <c r="Z3152" s="99">
        <v>0</v>
      </c>
      <c r="AA3152" s="30">
        <v>0</v>
      </c>
      <c r="AB3152" s="30">
        <v>0</v>
      </c>
      <c r="AC3152" s="30">
        <v>0</v>
      </c>
      <c r="AD3152" s="30">
        <v>0</v>
      </c>
      <c r="AE3152" s="72" t="s">
        <v>92</v>
      </c>
      <c r="AF3152" s="72"/>
      <c r="AG3152" s="72" t="s">
        <v>133</v>
      </c>
      <c r="AH3152" s="72">
        <v>44000</v>
      </c>
      <c r="AI3152" s="30">
        <v>0</v>
      </c>
      <c r="AJ3152" s="72" t="s">
        <v>68</v>
      </c>
      <c r="AK3152" s="72" t="s">
        <v>68</v>
      </c>
      <c r="AL3152" s="70">
        <v>44004</v>
      </c>
      <c r="AM3152" s="70"/>
      <c r="AN3152" s="70"/>
      <c r="AO3152" s="70"/>
      <c r="AP3152" s="73" t="e">
        <f>MID(VLOOKUP(K3152,#REF!,2,FALSE),1,2)</f>
        <v>#REF!</v>
      </c>
      <c r="AQ3152" s="72">
        <f>DATE(2020,6,23)</f>
        <v>44005</v>
      </c>
      <c r="AR3152" s="83">
        <f t="shared" si="280"/>
        <v>23</v>
      </c>
      <c r="AS3152" s="84">
        <f t="shared" si="281"/>
        <v>6</v>
      </c>
      <c r="AT3152" s="86">
        <f t="shared" si="282"/>
        <v>2020</v>
      </c>
      <c r="AU3152" s="86"/>
      <c r="AV3152" s="87"/>
      <c r="AW3152" s="86"/>
      <c r="AX3152" s="83"/>
      <c r="AY3152" s="84"/>
      <c r="AZ3152" s="86"/>
      <c r="BA3152" s="86"/>
      <c r="BB3152" s="86"/>
    </row>
    <row r="3153" spans="1:54" ht="36.75" customHeight="1">
      <c r="A3153" s="30"/>
      <c r="B3153" s="30" t="s">
        <v>55</v>
      </c>
      <c r="C3153" s="69" t="str">
        <f t="shared" si="279"/>
        <v>Closed</v>
      </c>
      <c r="D3153" s="27" t="s">
        <v>17876</v>
      </c>
      <c r="E3153" s="29" t="s">
        <v>17877</v>
      </c>
      <c r="F3153" s="30" t="s">
        <v>233</v>
      </c>
      <c r="G3153" s="72">
        <f>DATE(2020,6,21)</f>
        <v>44003</v>
      </c>
      <c r="H3153" s="80">
        <v>1.90625</v>
      </c>
      <c r="I3153" s="30" t="s">
        <v>104</v>
      </c>
      <c r="J3153" s="72" t="s">
        <v>17878</v>
      </c>
      <c r="K3153" s="30" t="s">
        <v>235</v>
      </c>
      <c r="L3153" s="30" t="s">
        <v>17879</v>
      </c>
      <c r="M3153" s="30" t="s">
        <v>129</v>
      </c>
      <c r="N3153" s="30" t="s">
        <v>142</v>
      </c>
      <c r="O3153" s="30" t="s">
        <v>64</v>
      </c>
      <c r="P3153" s="72" t="s">
        <v>165</v>
      </c>
      <c r="Q3153" s="72" t="s">
        <v>9744</v>
      </c>
      <c r="R3153" s="72" t="s">
        <v>235</v>
      </c>
      <c r="S3153" s="30">
        <v>0</v>
      </c>
      <c r="T3153" s="232">
        <v>0</v>
      </c>
      <c r="U3153" s="30">
        <v>0</v>
      </c>
      <c r="V3153" s="232">
        <v>0</v>
      </c>
      <c r="W3153" s="30">
        <v>0</v>
      </c>
      <c r="X3153" s="30">
        <v>0</v>
      </c>
      <c r="Y3153" s="30">
        <v>0</v>
      </c>
      <c r="Z3153" s="232">
        <v>0</v>
      </c>
      <c r="AA3153" s="30">
        <v>0</v>
      </c>
      <c r="AB3153" s="30">
        <v>0</v>
      </c>
      <c r="AC3153" s="30">
        <v>0</v>
      </c>
      <c r="AD3153" s="30">
        <v>0</v>
      </c>
      <c r="AE3153" s="72" t="s">
        <v>92</v>
      </c>
      <c r="AF3153" s="72"/>
      <c r="AG3153" s="72" t="s">
        <v>133</v>
      </c>
      <c r="AH3153" s="72">
        <v>44011</v>
      </c>
      <c r="AI3153" s="30">
        <v>3</v>
      </c>
      <c r="AJ3153" s="72" t="s">
        <v>17880</v>
      </c>
      <c r="AK3153" s="72" t="s">
        <v>17881</v>
      </c>
      <c r="AL3153" s="70">
        <v>44019</v>
      </c>
      <c r="AM3153" s="70"/>
      <c r="AN3153" s="70"/>
      <c r="AO3153" s="70">
        <v>44378</v>
      </c>
      <c r="AP3153" s="73" t="e">
        <f>MID(VLOOKUP(K3153,#REF!,2,FALSE),1,2)</f>
        <v>#REF!</v>
      </c>
      <c r="AQ3153" s="72">
        <f>DATE(2020,6,23)</f>
        <v>44005</v>
      </c>
      <c r="AR3153" s="83">
        <f t="shared" si="280"/>
        <v>23</v>
      </c>
      <c r="AS3153" s="84">
        <f t="shared" si="281"/>
        <v>6</v>
      </c>
      <c r="AT3153" s="86">
        <f t="shared" si="282"/>
        <v>2020</v>
      </c>
      <c r="AU3153" s="86"/>
      <c r="AV3153" s="87"/>
      <c r="AW3153" s="86"/>
      <c r="AX3153" s="83"/>
      <c r="AY3153" s="84"/>
      <c r="AZ3153" s="86"/>
      <c r="BA3153" s="86"/>
      <c r="BB3153" s="86"/>
    </row>
    <row r="3154" spans="1:54" ht="36.75" customHeight="1">
      <c r="A3154" s="30"/>
      <c r="B3154" s="30" t="s">
        <v>55</v>
      </c>
      <c r="C3154" s="69" t="str">
        <f t="shared" si="279"/>
        <v>Closed</v>
      </c>
      <c r="D3154" s="27" t="s">
        <v>17882</v>
      </c>
      <c r="E3154" s="29" t="s">
        <v>17883</v>
      </c>
      <c r="F3154" s="30" t="s">
        <v>9789</v>
      </c>
      <c r="G3154" s="72">
        <f>DATE(2020,6,22)</f>
        <v>44004</v>
      </c>
      <c r="H3154" s="80">
        <v>1.7847222222222223</v>
      </c>
      <c r="I3154" s="30" t="s">
        <v>116</v>
      </c>
      <c r="J3154" s="265" t="s">
        <v>17884</v>
      </c>
      <c r="K3154" s="30" t="s">
        <v>9791</v>
      </c>
      <c r="L3154" s="30" t="s">
        <v>17885</v>
      </c>
      <c r="M3154" s="30" t="s">
        <v>63</v>
      </c>
      <c r="N3154" s="30" t="s">
        <v>99</v>
      </c>
      <c r="O3154" s="30" t="s">
        <v>64</v>
      </c>
      <c r="P3154" s="72" t="s">
        <v>165</v>
      </c>
      <c r="Q3154" s="72" t="s">
        <v>9960</v>
      </c>
      <c r="R3154" s="72" t="s">
        <v>9794</v>
      </c>
      <c r="S3154" s="30">
        <v>0</v>
      </c>
      <c r="T3154" s="232">
        <v>0</v>
      </c>
      <c r="U3154" s="30">
        <v>0</v>
      </c>
      <c r="V3154" s="232">
        <v>0</v>
      </c>
      <c r="W3154" s="30">
        <v>0</v>
      </c>
      <c r="X3154" s="30">
        <v>0</v>
      </c>
      <c r="Y3154" s="30">
        <v>0</v>
      </c>
      <c r="Z3154" s="232">
        <v>0</v>
      </c>
      <c r="AA3154" s="30">
        <v>0</v>
      </c>
      <c r="AB3154" s="30">
        <v>0</v>
      </c>
      <c r="AC3154" s="30">
        <v>0</v>
      </c>
      <c r="AD3154" s="30">
        <v>0</v>
      </c>
      <c r="AE3154" s="72" t="s">
        <v>92</v>
      </c>
      <c r="AF3154" s="72" t="s">
        <v>17886</v>
      </c>
      <c r="AG3154" s="72" t="s">
        <v>8859</v>
      </c>
      <c r="AH3154" s="72">
        <v>44034</v>
      </c>
      <c r="AI3154" s="30">
        <v>1</v>
      </c>
      <c r="AJ3154" s="72" t="s">
        <v>17887</v>
      </c>
      <c r="AK3154" s="72" t="s">
        <v>17888</v>
      </c>
      <c r="AL3154" s="70">
        <v>44041</v>
      </c>
      <c r="AM3154" s="70"/>
      <c r="AN3154" s="70"/>
      <c r="AO3154" s="70"/>
      <c r="AP3154" s="73" t="e">
        <f>MID(VLOOKUP(K3154,#REF!,2,FALSE),1,2)</f>
        <v>#REF!</v>
      </c>
      <c r="AQ3154" s="72">
        <f>DATE(2020,6,24)</f>
        <v>44006</v>
      </c>
      <c r="AR3154" s="83">
        <f t="shared" si="280"/>
        <v>24</v>
      </c>
      <c r="AS3154" s="84">
        <f t="shared" si="281"/>
        <v>6</v>
      </c>
      <c r="AT3154" s="86">
        <f t="shared" si="282"/>
        <v>2020</v>
      </c>
      <c r="AU3154" s="86"/>
      <c r="AV3154" s="87"/>
      <c r="AW3154" s="86"/>
      <c r="AX3154" s="83"/>
      <c r="AY3154" s="84"/>
      <c r="AZ3154" s="86"/>
      <c r="BA3154" s="86"/>
      <c r="BB3154" s="86"/>
    </row>
    <row r="3155" spans="1:54" ht="36.75" customHeight="1">
      <c r="A3155" s="98" t="s">
        <v>4910</v>
      </c>
      <c r="B3155" s="30" t="s">
        <v>55</v>
      </c>
      <c r="C3155" s="69" t="str">
        <f t="shared" si="279"/>
        <v>Closed</v>
      </c>
      <c r="D3155" s="27" t="s">
        <v>17889</v>
      </c>
      <c r="E3155" s="29" t="s">
        <v>17890</v>
      </c>
      <c r="F3155" s="30" t="s">
        <v>423</v>
      </c>
      <c r="G3155" s="72">
        <f>DATE(2020,6,23)</f>
        <v>44005</v>
      </c>
      <c r="H3155" s="80">
        <v>1.425</v>
      </c>
      <c r="I3155" s="30" t="s">
        <v>116</v>
      </c>
      <c r="J3155" s="72" t="s">
        <v>17891</v>
      </c>
      <c r="K3155" s="30" t="s">
        <v>425</v>
      </c>
      <c r="L3155" s="30" t="s">
        <v>17892</v>
      </c>
      <c r="M3155" s="30" t="s">
        <v>63</v>
      </c>
      <c r="N3155" s="30" t="s">
        <v>99</v>
      </c>
      <c r="O3155" s="30" t="s">
        <v>64</v>
      </c>
      <c r="P3155" s="72" t="s">
        <v>165</v>
      </c>
      <c r="Q3155" s="72" t="s">
        <v>4551</v>
      </c>
      <c r="R3155" s="72" t="s">
        <v>3103</v>
      </c>
      <c r="S3155" s="30">
        <v>0</v>
      </c>
      <c r="T3155" s="232">
        <v>0</v>
      </c>
      <c r="U3155" s="30">
        <v>1</v>
      </c>
      <c r="V3155" s="232">
        <v>0</v>
      </c>
      <c r="W3155" s="30">
        <v>0</v>
      </c>
      <c r="X3155" s="30">
        <v>1</v>
      </c>
      <c r="Y3155" s="30">
        <v>0</v>
      </c>
      <c r="Z3155" s="232">
        <v>0</v>
      </c>
      <c r="AA3155" s="30">
        <v>1</v>
      </c>
      <c r="AB3155" s="30">
        <v>0</v>
      </c>
      <c r="AC3155" s="30">
        <v>0</v>
      </c>
      <c r="AD3155" s="30">
        <v>1</v>
      </c>
      <c r="AE3155" s="72" t="s">
        <v>92</v>
      </c>
      <c r="AF3155" s="72"/>
      <c r="AG3155" s="72" t="s">
        <v>133</v>
      </c>
      <c r="AH3155" s="72">
        <v>44005</v>
      </c>
      <c r="AI3155" s="30">
        <v>0</v>
      </c>
      <c r="AJ3155" s="72" t="s">
        <v>68</v>
      </c>
      <c r="AK3155" s="72" t="s">
        <v>68</v>
      </c>
      <c r="AL3155" s="70">
        <v>44008</v>
      </c>
      <c r="AM3155" s="70"/>
      <c r="AN3155" s="70"/>
      <c r="AO3155" s="70"/>
      <c r="AP3155" s="73" t="e">
        <f>MID(VLOOKUP(K3155,#REF!,2,FALSE),1,2)</f>
        <v>#REF!</v>
      </c>
      <c r="AQ3155" s="72">
        <f>DATE(2020,6,25)</f>
        <v>44007</v>
      </c>
      <c r="AR3155" s="83">
        <f t="shared" si="280"/>
        <v>25</v>
      </c>
      <c r="AS3155" s="84">
        <f t="shared" si="281"/>
        <v>6</v>
      </c>
      <c r="AT3155" s="86">
        <f t="shared" si="282"/>
        <v>2020</v>
      </c>
      <c r="AU3155" s="86"/>
      <c r="AV3155" s="87"/>
      <c r="AW3155" s="86"/>
      <c r="AX3155" s="83"/>
      <c r="AY3155" s="84"/>
      <c r="AZ3155" s="86"/>
      <c r="BA3155" s="86"/>
      <c r="BB3155" s="86"/>
    </row>
    <row r="3156" spans="1:54" ht="36.75" customHeight="1">
      <c r="A3156" s="30"/>
      <c r="B3156" s="30" t="s">
        <v>55</v>
      </c>
      <c r="C3156" s="69" t="str">
        <f t="shared" si="279"/>
        <v>Closed</v>
      </c>
      <c r="D3156" s="27" t="s">
        <v>17893</v>
      </c>
      <c r="E3156" s="29" t="s">
        <v>17894</v>
      </c>
      <c r="F3156" s="30" t="s">
        <v>124</v>
      </c>
      <c r="G3156" s="72">
        <f>DATE(2020,6,23)</f>
        <v>44005</v>
      </c>
      <c r="H3156" s="80">
        <v>0</v>
      </c>
      <c r="I3156" s="30" t="s">
        <v>73</v>
      </c>
      <c r="J3156" s="72" t="s">
        <v>17895</v>
      </c>
      <c r="K3156" s="30" t="s">
        <v>127</v>
      </c>
      <c r="L3156" s="30" t="s">
        <v>17896</v>
      </c>
      <c r="M3156" s="30" t="s">
        <v>63</v>
      </c>
      <c r="N3156" s="30" t="s">
        <v>99</v>
      </c>
      <c r="O3156" s="30" t="s">
        <v>64</v>
      </c>
      <c r="P3156" s="72" t="s">
        <v>381</v>
      </c>
      <c r="Q3156" s="72" t="s">
        <v>17004</v>
      </c>
      <c r="R3156" s="72" t="s">
        <v>167</v>
      </c>
      <c r="S3156" s="30">
        <v>0</v>
      </c>
      <c r="T3156" s="99">
        <v>0</v>
      </c>
      <c r="U3156" s="30">
        <v>0</v>
      </c>
      <c r="V3156" s="99">
        <v>0</v>
      </c>
      <c r="W3156" s="30">
        <v>0</v>
      </c>
      <c r="X3156" s="30">
        <v>0</v>
      </c>
      <c r="Y3156" s="30">
        <v>0</v>
      </c>
      <c r="Z3156" s="99">
        <v>0</v>
      </c>
      <c r="AA3156" s="30">
        <v>0</v>
      </c>
      <c r="AB3156" s="30">
        <v>0</v>
      </c>
      <c r="AC3156" s="30">
        <v>0</v>
      </c>
      <c r="AD3156" s="30">
        <v>0</v>
      </c>
      <c r="AE3156" s="72" t="s">
        <v>92</v>
      </c>
      <c r="AF3156" s="72"/>
      <c r="AG3156" s="72" t="s">
        <v>82</v>
      </c>
      <c r="AH3156" s="72">
        <v>44006</v>
      </c>
      <c r="AI3156" s="30">
        <v>1</v>
      </c>
      <c r="AJ3156" s="72" t="s">
        <v>68</v>
      </c>
      <c r="AK3156" s="72" t="s">
        <v>68</v>
      </c>
      <c r="AL3156" s="70">
        <v>44075</v>
      </c>
      <c r="AM3156" s="70"/>
      <c r="AN3156" s="70"/>
      <c r="AO3156" s="70"/>
      <c r="AP3156" s="73" t="e">
        <f>MID(VLOOKUP(K3156,#REF!,2,FALSE),1,2)</f>
        <v>#REF!</v>
      </c>
      <c r="AQ3156" s="72">
        <f>DATE(2020,6,25)</f>
        <v>44007</v>
      </c>
      <c r="AR3156" s="83">
        <f t="shared" si="280"/>
        <v>25</v>
      </c>
      <c r="AS3156" s="84">
        <f t="shared" si="281"/>
        <v>6</v>
      </c>
      <c r="AT3156" s="86">
        <f t="shared" si="282"/>
        <v>2020</v>
      </c>
      <c r="AU3156" s="86"/>
      <c r="AV3156" s="87"/>
      <c r="AW3156" s="86"/>
      <c r="AX3156" s="83"/>
      <c r="AY3156" s="84"/>
      <c r="AZ3156" s="86"/>
      <c r="BA3156" s="86"/>
      <c r="BB3156" s="86"/>
    </row>
    <row r="3157" spans="1:54" ht="36.75" customHeight="1">
      <c r="A3157" s="30"/>
      <c r="B3157" s="30" t="s">
        <v>55</v>
      </c>
      <c r="C3157" s="69" t="str">
        <f t="shared" si="279"/>
        <v>Closed</v>
      </c>
      <c r="D3157" s="27" t="s">
        <v>17897</v>
      </c>
      <c r="E3157" s="29" t="s">
        <v>17898</v>
      </c>
      <c r="F3157" s="30" t="s">
        <v>835</v>
      </c>
      <c r="G3157" s="72">
        <f>DATE(2020,6,24)</f>
        <v>44006</v>
      </c>
      <c r="H3157" s="80">
        <v>1.6458333333333335</v>
      </c>
      <c r="I3157" s="30" t="s">
        <v>73</v>
      </c>
      <c r="J3157" s="72" t="s">
        <v>17899</v>
      </c>
      <c r="K3157" s="30" t="s">
        <v>837</v>
      </c>
      <c r="L3157" s="30" t="s">
        <v>17900</v>
      </c>
      <c r="M3157" s="30" t="s">
        <v>9919</v>
      </c>
      <c r="N3157" s="30" t="s">
        <v>99</v>
      </c>
      <c r="O3157" s="30" t="s">
        <v>64</v>
      </c>
      <c r="P3157" s="72" t="s">
        <v>7982</v>
      </c>
      <c r="Q3157" s="72" t="s">
        <v>17901</v>
      </c>
      <c r="R3157" s="72" t="s">
        <v>17901</v>
      </c>
      <c r="S3157" s="30">
        <v>0</v>
      </c>
      <c r="T3157" s="232">
        <v>0</v>
      </c>
      <c r="U3157" s="30">
        <v>0</v>
      </c>
      <c r="V3157" s="232">
        <v>0</v>
      </c>
      <c r="W3157" s="30">
        <v>0</v>
      </c>
      <c r="X3157" s="30">
        <v>0</v>
      </c>
      <c r="Y3157" s="30">
        <v>0</v>
      </c>
      <c r="Z3157" s="232">
        <v>0</v>
      </c>
      <c r="AA3157" s="30">
        <v>0</v>
      </c>
      <c r="AB3157" s="30">
        <v>0</v>
      </c>
      <c r="AC3157" s="30">
        <v>0</v>
      </c>
      <c r="AD3157" s="30">
        <v>0</v>
      </c>
      <c r="AE3157" s="72" t="s">
        <v>92</v>
      </c>
      <c r="AF3157" s="72" t="s">
        <v>879</v>
      </c>
      <c r="AG3157" s="72" t="s">
        <v>13537</v>
      </c>
      <c r="AH3157" s="72">
        <v>44029</v>
      </c>
      <c r="AI3157" s="30">
        <v>3</v>
      </c>
      <c r="AJ3157" s="72" t="s">
        <v>17902</v>
      </c>
      <c r="AK3157" s="72" t="s">
        <v>17903</v>
      </c>
      <c r="AL3157" s="70">
        <v>44029</v>
      </c>
      <c r="AM3157" s="70"/>
      <c r="AN3157" s="70"/>
      <c r="AO3157" s="70"/>
      <c r="AP3157" s="73" t="e">
        <f>MID(VLOOKUP(K3157,#REF!,2,FALSE),1,2)</f>
        <v>#REF!</v>
      </c>
      <c r="AQ3157" s="72">
        <f>DATE(2020,6,26)</f>
        <v>44008</v>
      </c>
      <c r="AR3157" s="83">
        <f t="shared" si="280"/>
        <v>26</v>
      </c>
      <c r="AS3157" s="84">
        <f t="shared" si="281"/>
        <v>6</v>
      </c>
      <c r="AT3157" s="86">
        <f t="shared" si="282"/>
        <v>2020</v>
      </c>
      <c r="AU3157" s="86"/>
      <c r="AV3157" s="87"/>
      <c r="AW3157" s="86"/>
      <c r="AX3157" s="83"/>
      <c r="AY3157" s="84"/>
      <c r="AZ3157" s="86"/>
      <c r="BA3157" s="86"/>
      <c r="BB3157" s="86"/>
    </row>
    <row r="3158" spans="1:54" ht="36.75" customHeight="1">
      <c r="A3158" s="98" t="s">
        <v>4910</v>
      </c>
      <c r="B3158" s="30" t="s">
        <v>55</v>
      </c>
      <c r="C3158" s="69" t="str">
        <f t="shared" si="279"/>
        <v>Closed</v>
      </c>
      <c r="D3158" s="27" t="s">
        <v>17904</v>
      </c>
      <c r="E3158" s="29" t="s">
        <v>17905</v>
      </c>
      <c r="F3158" s="30" t="s">
        <v>423</v>
      </c>
      <c r="G3158" s="72">
        <f>DATE(2020,6,25)</f>
        <v>44007</v>
      </c>
      <c r="H3158" s="80">
        <v>1.0569444444444445</v>
      </c>
      <c r="I3158" s="30" t="s">
        <v>73</v>
      </c>
      <c r="J3158" s="72" t="s">
        <v>17906</v>
      </c>
      <c r="K3158" s="30" t="s">
        <v>425</v>
      </c>
      <c r="L3158" s="30" t="s">
        <v>16202</v>
      </c>
      <c r="M3158" s="30" t="s">
        <v>63</v>
      </c>
      <c r="N3158" s="30" t="s">
        <v>142</v>
      </c>
      <c r="O3158" s="30" t="s">
        <v>77</v>
      </c>
      <c r="P3158" s="72" t="s">
        <v>78</v>
      </c>
      <c r="Q3158" s="72" t="s">
        <v>2582</v>
      </c>
      <c r="R3158" s="72" t="s">
        <v>3103</v>
      </c>
      <c r="S3158" s="30">
        <v>0</v>
      </c>
      <c r="T3158" s="99">
        <v>0</v>
      </c>
      <c r="U3158" s="30">
        <v>0</v>
      </c>
      <c r="V3158" s="99">
        <v>0</v>
      </c>
      <c r="W3158" s="30">
        <v>0</v>
      </c>
      <c r="X3158" s="30">
        <v>0</v>
      </c>
      <c r="Y3158" s="30">
        <v>0</v>
      </c>
      <c r="Z3158" s="99">
        <v>0</v>
      </c>
      <c r="AA3158" s="30">
        <v>0</v>
      </c>
      <c r="AB3158" s="30">
        <v>0</v>
      </c>
      <c r="AC3158" s="30">
        <v>0</v>
      </c>
      <c r="AD3158" s="30">
        <v>0</v>
      </c>
      <c r="AE3158" s="72" t="s">
        <v>92</v>
      </c>
      <c r="AF3158" s="72"/>
      <c r="AG3158" s="72" t="s">
        <v>133</v>
      </c>
      <c r="AH3158" s="72">
        <v>44007</v>
      </c>
      <c r="AI3158" s="30">
        <v>0</v>
      </c>
      <c r="AJ3158" s="72" t="s">
        <v>68</v>
      </c>
      <c r="AK3158" s="72" t="s">
        <v>68</v>
      </c>
      <c r="AL3158" s="70">
        <v>44011</v>
      </c>
      <c r="AM3158" s="70"/>
      <c r="AN3158" s="70"/>
      <c r="AO3158" s="70"/>
      <c r="AP3158" s="73" t="e">
        <f>MID(VLOOKUP(K3158,#REF!,2,FALSE),1,2)</f>
        <v>#REF!</v>
      </c>
      <c r="AQ3158" s="72">
        <f>DATE(2020,6,27)</f>
        <v>44009</v>
      </c>
      <c r="AR3158" s="83">
        <f t="shared" si="280"/>
        <v>27</v>
      </c>
      <c r="AS3158" s="84">
        <f t="shared" si="281"/>
        <v>6</v>
      </c>
      <c r="AT3158" s="86">
        <f t="shared" si="282"/>
        <v>2020</v>
      </c>
      <c r="AU3158" s="86"/>
      <c r="AV3158" s="87"/>
      <c r="AW3158" s="86"/>
      <c r="AX3158" s="83"/>
      <c r="AY3158" s="84"/>
      <c r="AZ3158" s="86"/>
      <c r="BA3158" s="86"/>
      <c r="BB3158" s="86"/>
    </row>
    <row r="3159" spans="1:54" ht="36.75" customHeight="1">
      <c r="A3159" s="30"/>
      <c r="B3159" s="30" t="s">
        <v>55</v>
      </c>
      <c r="C3159" s="69" t="str">
        <f t="shared" si="279"/>
        <v>Closed</v>
      </c>
      <c r="D3159" s="27" t="s">
        <v>17907</v>
      </c>
      <c r="E3159" s="29" t="s">
        <v>17908</v>
      </c>
      <c r="F3159" s="30" t="s">
        <v>17344</v>
      </c>
      <c r="G3159" s="72">
        <f>DATE(2020,6,25)</f>
        <v>44007</v>
      </c>
      <c r="H3159" s="80">
        <v>1.59375</v>
      </c>
      <c r="I3159" s="30" t="s">
        <v>73</v>
      </c>
      <c r="J3159" s="72" t="s">
        <v>17909</v>
      </c>
      <c r="K3159" s="30" t="s">
        <v>127</v>
      </c>
      <c r="L3159" s="30" t="s">
        <v>17910</v>
      </c>
      <c r="M3159" s="30" t="s">
        <v>63</v>
      </c>
      <c r="N3159" s="30" t="s">
        <v>99</v>
      </c>
      <c r="O3159" s="30" t="s">
        <v>64</v>
      </c>
      <c r="P3159" s="72" t="s">
        <v>78</v>
      </c>
      <c r="Q3159" s="72" t="s">
        <v>17911</v>
      </c>
      <c r="R3159" s="72" t="s">
        <v>167</v>
      </c>
      <c r="S3159" s="30">
        <v>0</v>
      </c>
      <c r="T3159" s="232">
        <v>0</v>
      </c>
      <c r="U3159" s="30">
        <v>0</v>
      </c>
      <c r="V3159" s="232">
        <v>0</v>
      </c>
      <c r="W3159" s="30">
        <v>0</v>
      </c>
      <c r="X3159" s="30">
        <v>0</v>
      </c>
      <c r="Y3159" s="30">
        <v>0</v>
      </c>
      <c r="Z3159" s="232">
        <v>0</v>
      </c>
      <c r="AA3159" s="30">
        <v>0</v>
      </c>
      <c r="AB3159" s="30">
        <v>0</v>
      </c>
      <c r="AC3159" s="30">
        <v>0</v>
      </c>
      <c r="AD3159" s="30">
        <v>0</v>
      </c>
      <c r="AE3159" s="72" t="s">
        <v>394</v>
      </c>
      <c r="AF3159" s="72" t="s">
        <v>17912</v>
      </c>
      <c r="AG3159" s="72" t="s">
        <v>6459</v>
      </c>
      <c r="AH3159" s="72">
        <v>44014</v>
      </c>
      <c r="AI3159" s="30">
        <v>1</v>
      </c>
      <c r="AJ3159" s="72" t="s">
        <v>17913</v>
      </c>
      <c r="AK3159" s="72" t="s">
        <v>17914</v>
      </c>
      <c r="AL3159" s="70">
        <v>44075</v>
      </c>
      <c r="AM3159" s="70"/>
      <c r="AN3159" s="70">
        <v>44550</v>
      </c>
      <c r="AO3159" s="70">
        <v>44370</v>
      </c>
      <c r="AP3159" s="73" t="e">
        <f>MID(VLOOKUP(K3159,#REF!,2,FALSE),1,2)</f>
        <v>#REF!</v>
      </c>
      <c r="AQ3159" s="72">
        <f>DATE(2020,6,29)</f>
        <v>44011</v>
      </c>
      <c r="AR3159" s="83">
        <f t="shared" si="280"/>
        <v>29</v>
      </c>
      <c r="AS3159" s="84">
        <f t="shared" si="281"/>
        <v>6</v>
      </c>
      <c r="AT3159" s="86">
        <f t="shared" si="282"/>
        <v>2020</v>
      </c>
      <c r="AU3159" s="86"/>
      <c r="AV3159" s="87"/>
      <c r="AW3159" s="86"/>
      <c r="AX3159" s="83"/>
      <c r="AY3159" s="84"/>
      <c r="AZ3159" s="86"/>
      <c r="BA3159" s="86"/>
      <c r="BB3159" s="86"/>
    </row>
    <row r="3160" spans="1:54" ht="36.75" customHeight="1">
      <c r="A3160" s="30"/>
      <c r="B3160" s="30" t="s">
        <v>55</v>
      </c>
      <c r="C3160" s="69" t="str">
        <f t="shared" si="279"/>
        <v>Closed</v>
      </c>
      <c r="D3160" s="27" t="s">
        <v>17915</v>
      </c>
      <c r="E3160" s="29" t="s">
        <v>17916</v>
      </c>
      <c r="F3160" s="30" t="s">
        <v>1572</v>
      </c>
      <c r="G3160" s="72">
        <f>DATE(2020,6,26)</f>
        <v>44008</v>
      </c>
      <c r="H3160" s="80">
        <v>1.9097222222222223</v>
      </c>
      <c r="I3160" s="30" t="s">
        <v>73</v>
      </c>
      <c r="J3160" s="72" t="s">
        <v>17917</v>
      </c>
      <c r="K3160" s="30" t="s">
        <v>1574</v>
      </c>
      <c r="L3160" s="30" t="s">
        <v>17485</v>
      </c>
      <c r="M3160" s="30" t="s">
        <v>63</v>
      </c>
      <c r="N3160" s="30" t="s">
        <v>99</v>
      </c>
      <c r="O3160" s="30" t="s">
        <v>77</v>
      </c>
      <c r="P3160" s="72" t="s">
        <v>78</v>
      </c>
      <c r="Q3160" s="72" t="s">
        <v>15570</v>
      </c>
      <c r="R3160" s="72" t="s">
        <v>6434</v>
      </c>
      <c r="S3160" s="30">
        <v>0</v>
      </c>
      <c r="T3160" s="232">
        <v>0</v>
      </c>
      <c r="U3160" s="30">
        <v>0</v>
      </c>
      <c r="V3160" s="232">
        <v>0</v>
      </c>
      <c r="W3160" s="30">
        <v>0</v>
      </c>
      <c r="X3160" s="30">
        <v>0</v>
      </c>
      <c r="Y3160" s="30">
        <v>0</v>
      </c>
      <c r="Z3160" s="232">
        <v>0</v>
      </c>
      <c r="AA3160" s="30">
        <v>0</v>
      </c>
      <c r="AB3160" s="30">
        <v>0</v>
      </c>
      <c r="AC3160" s="30">
        <v>0</v>
      </c>
      <c r="AD3160" s="30">
        <v>0</v>
      </c>
      <c r="AE3160" s="72" t="s">
        <v>17918</v>
      </c>
      <c r="AF3160" s="72" t="s">
        <v>17919</v>
      </c>
      <c r="AG3160" s="72" t="s">
        <v>8859</v>
      </c>
      <c r="AH3160" s="72">
        <v>44011</v>
      </c>
      <c r="AI3160" s="30">
        <v>2</v>
      </c>
      <c r="AJ3160" s="72" t="s">
        <v>17920</v>
      </c>
      <c r="AK3160" s="72" t="s">
        <v>17921</v>
      </c>
      <c r="AL3160" s="70">
        <v>44012</v>
      </c>
      <c r="AM3160" s="70"/>
      <c r="AN3160" s="70"/>
      <c r="AO3160" s="70"/>
      <c r="AP3160" s="73" t="e">
        <f>MID(VLOOKUP(K3160,#REF!,2,FALSE),1,2)</f>
        <v>#REF!</v>
      </c>
      <c r="AQ3160" s="72">
        <f>DATE(2020,7,4)</f>
        <v>44016</v>
      </c>
      <c r="AR3160" s="83">
        <f t="shared" si="280"/>
        <v>4</v>
      </c>
      <c r="AS3160" s="84">
        <f t="shared" si="281"/>
        <v>7</v>
      </c>
      <c r="AT3160" s="86">
        <f t="shared" si="282"/>
        <v>2020</v>
      </c>
      <c r="AU3160" s="86"/>
      <c r="AV3160" s="87"/>
      <c r="AW3160" s="86"/>
      <c r="AX3160" s="83"/>
      <c r="AY3160" s="84"/>
      <c r="AZ3160" s="86"/>
      <c r="BA3160" s="86"/>
      <c r="BB3160" s="86"/>
    </row>
    <row r="3161" spans="1:54" ht="36.75" customHeight="1">
      <c r="A3161" s="30"/>
      <c r="B3161" s="30" t="s">
        <v>55</v>
      </c>
      <c r="C3161" s="69" t="str">
        <f t="shared" si="279"/>
        <v>Closed</v>
      </c>
      <c r="D3161" s="27" t="s">
        <v>17922</v>
      </c>
      <c r="E3161" s="29" t="s">
        <v>17923</v>
      </c>
      <c r="F3161" s="30" t="s">
        <v>835</v>
      </c>
      <c r="G3161" s="72">
        <f>DATE(2020,6,27)</f>
        <v>44009</v>
      </c>
      <c r="H3161" s="80">
        <v>1.5423611111111111</v>
      </c>
      <c r="I3161" s="30" t="s">
        <v>104</v>
      </c>
      <c r="J3161" s="72" t="s">
        <v>17924</v>
      </c>
      <c r="K3161" s="30" t="s">
        <v>837</v>
      </c>
      <c r="L3161" s="30" t="s">
        <v>17925</v>
      </c>
      <c r="M3161" s="30" t="s">
        <v>63</v>
      </c>
      <c r="N3161" s="30" t="s">
        <v>99</v>
      </c>
      <c r="O3161" s="30" t="s">
        <v>77</v>
      </c>
      <c r="P3161" s="72" t="s">
        <v>165</v>
      </c>
      <c r="Q3161" s="72" t="s">
        <v>2162</v>
      </c>
      <c r="R3161" s="72" t="s">
        <v>840</v>
      </c>
      <c r="S3161" s="30">
        <v>0</v>
      </c>
      <c r="T3161" s="232">
        <v>0</v>
      </c>
      <c r="U3161" s="30">
        <v>0</v>
      </c>
      <c r="V3161" s="232">
        <v>0</v>
      </c>
      <c r="W3161" s="30">
        <v>0</v>
      </c>
      <c r="X3161" s="30">
        <v>0</v>
      </c>
      <c r="Y3161" s="30">
        <v>0</v>
      </c>
      <c r="Z3161" s="232">
        <v>0</v>
      </c>
      <c r="AA3161" s="30">
        <v>0</v>
      </c>
      <c r="AB3161" s="30">
        <v>0</v>
      </c>
      <c r="AC3161" s="30">
        <v>0</v>
      </c>
      <c r="AD3161" s="30">
        <v>0</v>
      </c>
      <c r="AE3161" s="72" t="s">
        <v>92</v>
      </c>
      <c r="AF3161" s="72" t="s">
        <v>17469</v>
      </c>
      <c r="AG3161" s="72" t="s">
        <v>589</v>
      </c>
      <c r="AH3161" s="72">
        <v>44009</v>
      </c>
      <c r="AI3161" s="30">
        <v>0</v>
      </c>
      <c r="AJ3161" s="72" t="s">
        <v>17926</v>
      </c>
      <c r="AK3161" s="72" t="s">
        <v>17927</v>
      </c>
      <c r="AL3161" s="70">
        <v>44011</v>
      </c>
      <c r="AM3161" s="70"/>
      <c r="AN3161" s="70">
        <v>45012</v>
      </c>
      <c r="AO3161" s="70">
        <v>44432</v>
      </c>
      <c r="AP3161" s="73" t="e">
        <f>MID(VLOOKUP(K3161,#REF!,2,FALSE),1,2)</f>
        <v>#REF!</v>
      </c>
      <c r="AQ3161" s="72">
        <f>DATE(2020,7,7)</f>
        <v>44019</v>
      </c>
      <c r="AR3161" s="83">
        <f t="shared" si="280"/>
        <v>7</v>
      </c>
      <c r="AS3161" s="84">
        <f t="shared" si="281"/>
        <v>7</v>
      </c>
      <c r="AT3161" s="86">
        <f t="shared" si="282"/>
        <v>2020</v>
      </c>
      <c r="AU3161" s="86"/>
      <c r="AV3161" s="87"/>
      <c r="AW3161" s="86"/>
      <c r="AX3161" s="83"/>
      <c r="AY3161" s="84"/>
      <c r="AZ3161" s="86"/>
      <c r="BA3161" s="86"/>
      <c r="BB3161" s="86"/>
    </row>
    <row r="3162" spans="1:54" ht="36.75" customHeight="1">
      <c r="A3162" s="98" t="s">
        <v>4910</v>
      </c>
      <c r="B3162" s="30" t="s">
        <v>55</v>
      </c>
      <c r="C3162" s="69" t="str">
        <f t="shared" si="279"/>
        <v>Closed</v>
      </c>
      <c r="D3162" s="27" t="s">
        <v>17928</v>
      </c>
      <c r="E3162" s="29" t="s">
        <v>17929</v>
      </c>
      <c r="F3162" s="30" t="s">
        <v>423</v>
      </c>
      <c r="G3162" s="72">
        <f>DATE(2020,6,29)</f>
        <v>44011</v>
      </c>
      <c r="H3162" s="80">
        <v>1.35</v>
      </c>
      <c r="I3162" s="30" t="s">
        <v>2078</v>
      </c>
      <c r="J3162" s="72" t="s">
        <v>17930</v>
      </c>
      <c r="K3162" s="30" t="s">
        <v>425</v>
      </c>
      <c r="L3162" s="30" t="s">
        <v>17931</v>
      </c>
      <c r="M3162" s="30" t="s">
        <v>63</v>
      </c>
      <c r="N3162" s="30" t="s">
        <v>142</v>
      </c>
      <c r="O3162" s="30" t="s">
        <v>77</v>
      </c>
      <c r="P3162" s="72" t="s">
        <v>65</v>
      </c>
      <c r="Q3162" s="72" t="s">
        <v>4551</v>
      </c>
      <c r="R3162" s="72" t="s">
        <v>3103</v>
      </c>
      <c r="S3162" s="30">
        <v>0</v>
      </c>
      <c r="T3162" s="232">
        <v>0</v>
      </c>
      <c r="U3162" s="30">
        <v>0</v>
      </c>
      <c r="V3162" s="232">
        <v>0</v>
      </c>
      <c r="W3162" s="30">
        <v>0</v>
      </c>
      <c r="X3162" s="30">
        <v>0</v>
      </c>
      <c r="Y3162" s="30">
        <v>0</v>
      </c>
      <c r="Z3162" s="232">
        <v>0</v>
      </c>
      <c r="AA3162" s="30">
        <v>0</v>
      </c>
      <c r="AB3162" s="30">
        <v>0</v>
      </c>
      <c r="AC3162" s="30">
        <v>0</v>
      </c>
      <c r="AD3162" s="30">
        <v>0</v>
      </c>
      <c r="AE3162" s="72" t="s">
        <v>92</v>
      </c>
      <c r="AF3162" s="72"/>
      <c r="AG3162" s="72" t="s">
        <v>352</v>
      </c>
      <c r="AH3162" s="72">
        <v>44011</v>
      </c>
      <c r="AI3162" s="30">
        <v>1</v>
      </c>
      <c r="AJ3162" s="72" t="s">
        <v>68</v>
      </c>
      <c r="AK3162" s="72" t="s">
        <v>68</v>
      </c>
      <c r="AL3162" s="70">
        <v>44015</v>
      </c>
      <c r="AM3162" s="70"/>
      <c r="AN3162" s="70"/>
      <c r="AO3162" s="70"/>
      <c r="AP3162" s="73" t="e">
        <f>MID(VLOOKUP(K3162,#REF!,2,FALSE),1,2)</f>
        <v>#REF!</v>
      </c>
      <c r="AQ3162" s="72">
        <f>DATE(2020,7,7)</f>
        <v>44019</v>
      </c>
      <c r="AR3162" s="83">
        <f t="shared" si="280"/>
        <v>7</v>
      </c>
      <c r="AS3162" s="84">
        <f t="shared" si="281"/>
        <v>7</v>
      </c>
      <c r="AT3162" s="86">
        <f t="shared" si="282"/>
        <v>2020</v>
      </c>
      <c r="AU3162" s="86"/>
      <c r="AV3162" s="87"/>
      <c r="AW3162" s="86"/>
      <c r="AX3162" s="83"/>
      <c r="AY3162" s="84"/>
      <c r="AZ3162" s="86"/>
      <c r="BA3162" s="86"/>
      <c r="BB3162" s="86"/>
    </row>
    <row r="3163" spans="1:54" ht="36.75" customHeight="1">
      <c r="A3163" s="30"/>
      <c r="B3163" s="30" t="s">
        <v>55</v>
      </c>
      <c r="C3163" s="69" t="str">
        <f t="shared" si="279"/>
        <v>Closed</v>
      </c>
      <c r="D3163" s="27" t="s">
        <v>17932</v>
      </c>
      <c r="E3163" s="29" t="s">
        <v>17933</v>
      </c>
      <c r="F3163" s="30" t="s">
        <v>423</v>
      </c>
      <c r="G3163" s="72">
        <f>DATE(2020,7,4)</f>
        <v>44016</v>
      </c>
      <c r="H3163" s="80">
        <v>1.5</v>
      </c>
      <c r="I3163" s="30" t="s">
        <v>156</v>
      </c>
      <c r="J3163" s="72" t="s">
        <v>17934</v>
      </c>
      <c r="K3163" s="30" t="s">
        <v>425</v>
      </c>
      <c r="L3163" s="30" t="s">
        <v>17935</v>
      </c>
      <c r="M3163" s="30" t="s">
        <v>63</v>
      </c>
      <c r="N3163" s="30" t="s">
        <v>142</v>
      </c>
      <c r="O3163" s="30" t="s">
        <v>77</v>
      </c>
      <c r="P3163" s="72" t="s">
        <v>65</v>
      </c>
      <c r="Q3163" s="72" t="s">
        <v>13709</v>
      </c>
      <c r="R3163" s="72" t="s">
        <v>3103</v>
      </c>
      <c r="S3163" s="30">
        <v>0</v>
      </c>
      <c r="T3163" s="232">
        <v>0</v>
      </c>
      <c r="U3163" s="30">
        <v>0</v>
      </c>
      <c r="V3163" s="232">
        <v>0</v>
      </c>
      <c r="W3163" s="30">
        <v>0</v>
      </c>
      <c r="X3163" s="30">
        <v>0</v>
      </c>
      <c r="Y3163" s="30">
        <v>0</v>
      </c>
      <c r="Z3163" s="232">
        <v>0</v>
      </c>
      <c r="AA3163" s="30">
        <v>0</v>
      </c>
      <c r="AB3163" s="30">
        <v>0</v>
      </c>
      <c r="AC3163" s="30">
        <v>0</v>
      </c>
      <c r="AD3163" s="30">
        <v>0</v>
      </c>
      <c r="AE3163" s="72" t="s">
        <v>92</v>
      </c>
      <c r="AF3163" s="72" t="s">
        <v>17936</v>
      </c>
      <c r="AG3163" s="72" t="s">
        <v>12480</v>
      </c>
      <c r="AH3163" s="72">
        <v>44016</v>
      </c>
      <c r="AI3163" s="30">
        <v>0</v>
      </c>
      <c r="AJ3163" s="72" t="s">
        <v>17937</v>
      </c>
      <c r="AK3163" s="72" t="s">
        <v>17938</v>
      </c>
      <c r="AL3163" s="70">
        <v>44025</v>
      </c>
      <c r="AM3163" s="70"/>
      <c r="AN3163" s="72"/>
      <c r="AO3163" s="72"/>
      <c r="AP3163" s="73" t="e">
        <f>MID(VLOOKUP(K3163,#REF!,2,FALSE),1,2)</f>
        <v>#REF!</v>
      </c>
      <c r="AQ3163" s="72">
        <f>DATE(2020,7,9)</f>
        <v>44021</v>
      </c>
      <c r="AR3163" s="83">
        <f t="shared" si="280"/>
        <v>9</v>
      </c>
      <c r="AS3163" s="84">
        <f t="shared" si="281"/>
        <v>7</v>
      </c>
      <c r="AT3163" s="86">
        <f t="shared" si="282"/>
        <v>2020</v>
      </c>
      <c r="AU3163" s="86"/>
      <c r="AV3163" s="87"/>
      <c r="AW3163" s="86"/>
      <c r="AX3163" s="83"/>
      <c r="AY3163" s="84"/>
      <c r="AZ3163" s="86"/>
      <c r="BA3163" s="86"/>
      <c r="BB3163" s="86"/>
    </row>
    <row r="3164" spans="1:54" ht="36.75" customHeight="1">
      <c r="A3164" s="98" t="s">
        <v>4910</v>
      </c>
      <c r="B3164" s="30" t="s">
        <v>55</v>
      </c>
      <c r="C3164" s="69" t="str">
        <f t="shared" si="279"/>
        <v>Closed</v>
      </c>
      <c r="D3164" s="27" t="s">
        <v>17939</v>
      </c>
      <c r="E3164" s="29" t="s">
        <v>17940</v>
      </c>
      <c r="F3164" s="30" t="s">
        <v>423</v>
      </c>
      <c r="G3164" s="72">
        <f>DATE(2020,7,7)</f>
        <v>44019</v>
      </c>
      <c r="H3164" s="80">
        <v>1.6319444444444444</v>
      </c>
      <c r="I3164" s="30" t="s">
        <v>198</v>
      </c>
      <c r="J3164" s="72" t="s">
        <v>17941</v>
      </c>
      <c r="K3164" s="30" t="s">
        <v>425</v>
      </c>
      <c r="L3164" s="30" t="s">
        <v>17942</v>
      </c>
      <c r="M3164" s="30" t="s">
        <v>63</v>
      </c>
      <c r="N3164" s="30" t="s">
        <v>99</v>
      </c>
      <c r="O3164" s="30" t="s">
        <v>64</v>
      </c>
      <c r="P3164" s="72" t="s">
        <v>165</v>
      </c>
      <c r="Q3164" s="72" t="s">
        <v>4551</v>
      </c>
      <c r="R3164" s="72" t="s">
        <v>3103</v>
      </c>
      <c r="S3164" s="30">
        <v>2</v>
      </c>
      <c r="T3164" s="99">
        <v>0</v>
      </c>
      <c r="U3164" s="30">
        <v>0</v>
      </c>
      <c r="V3164" s="99">
        <v>0</v>
      </c>
      <c r="W3164" s="30">
        <v>0</v>
      </c>
      <c r="X3164" s="30">
        <v>2</v>
      </c>
      <c r="Y3164" s="30">
        <v>7</v>
      </c>
      <c r="Z3164" s="99">
        <v>2</v>
      </c>
      <c r="AA3164" s="30">
        <v>0</v>
      </c>
      <c r="AB3164" s="30">
        <v>0</v>
      </c>
      <c r="AC3164" s="30">
        <v>0</v>
      </c>
      <c r="AD3164" s="30">
        <v>9</v>
      </c>
      <c r="AE3164" s="72" t="s">
        <v>394</v>
      </c>
      <c r="AF3164" s="72"/>
      <c r="AG3164" s="72" t="s">
        <v>82</v>
      </c>
      <c r="AH3164" s="72">
        <v>44019</v>
      </c>
      <c r="AI3164" s="30">
        <v>1</v>
      </c>
      <c r="AJ3164" s="72" t="s">
        <v>68</v>
      </c>
      <c r="AK3164" s="72" t="s">
        <v>68</v>
      </c>
      <c r="AL3164" s="70">
        <v>44020</v>
      </c>
      <c r="AM3164" s="70"/>
      <c r="AN3164" s="72"/>
      <c r="AO3164" s="72"/>
      <c r="AP3164" s="73" t="e">
        <f>MID(VLOOKUP(K3164,#REF!,2,FALSE),1,2)</f>
        <v>#REF!</v>
      </c>
      <c r="AQ3164" s="72">
        <f>DATE(2020,7,10)</f>
        <v>44022</v>
      </c>
      <c r="AR3164" s="83">
        <f t="shared" si="280"/>
        <v>10</v>
      </c>
      <c r="AS3164" s="84">
        <f t="shared" si="281"/>
        <v>7</v>
      </c>
      <c r="AT3164" s="86">
        <f t="shared" si="282"/>
        <v>2020</v>
      </c>
      <c r="AU3164" s="86"/>
      <c r="AV3164" s="87"/>
      <c r="AW3164" s="86"/>
      <c r="AX3164" s="83"/>
      <c r="AY3164" s="84"/>
      <c r="AZ3164" s="86"/>
      <c r="BA3164" s="86"/>
      <c r="BB3164" s="86"/>
    </row>
    <row r="3165" spans="1:54" ht="36.75" customHeight="1">
      <c r="A3165" s="30"/>
      <c r="B3165" s="30" t="s">
        <v>55</v>
      </c>
      <c r="C3165" s="69" t="str">
        <f t="shared" si="279"/>
        <v>Closed</v>
      </c>
      <c r="D3165" s="27" t="s">
        <v>17943</v>
      </c>
      <c r="E3165" s="29" t="s">
        <v>17944</v>
      </c>
      <c r="F3165" s="30" t="s">
        <v>1938</v>
      </c>
      <c r="G3165" s="72">
        <f>DATE(2020,7,7)</f>
        <v>44019</v>
      </c>
      <c r="H3165" s="80">
        <v>0</v>
      </c>
      <c r="I3165" s="30" t="s">
        <v>5494</v>
      </c>
      <c r="J3165" s="72" t="s">
        <v>17945</v>
      </c>
      <c r="K3165" s="30" t="s">
        <v>1940</v>
      </c>
      <c r="L3165" s="30" t="s">
        <v>17946</v>
      </c>
      <c r="M3165" s="30" t="s">
        <v>63</v>
      </c>
      <c r="N3165" s="30" t="s">
        <v>89</v>
      </c>
      <c r="O3165" s="30" t="s">
        <v>64</v>
      </c>
      <c r="P3165" s="72" t="s">
        <v>65</v>
      </c>
      <c r="Q3165" s="72" t="s">
        <v>1942</v>
      </c>
      <c r="R3165" s="72" t="s">
        <v>1940</v>
      </c>
      <c r="S3165" s="30">
        <v>0</v>
      </c>
      <c r="T3165" s="232">
        <v>0</v>
      </c>
      <c r="U3165" s="30">
        <v>0</v>
      </c>
      <c r="V3165" s="232">
        <v>0</v>
      </c>
      <c r="W3165" s="30">
        <v>0</v>
      </c>
      <c r="X3165" s="30">
        <v>0</v>
      </c>
      <c r="Y3165" s="30">
        <v>0</v>
      </c>
      <c r="Z3165" s="232">
        <v>0</v>
      </c>
      <c r="AA3165" s="30">
        <v>0</v>
      </c>
      <c r="AB3165" s="30">
        <v>0</v>
      </c>
      <c r="AC3165" s="30">
        <v>0</v>
      </c>
      <c r="AD3165" s="30">
        <v>0</v>
      </c>
      <c r="AE3165" s="72" t="s">
        <v>394</v>
      </c>
      <c r="AF3165" s="72" t="s">
        <v>17947</v>
      </c>
      <c r="AG3165" s="72" t="s">
        <v>82</v>
      </c>
      <c r="AH3165" s="72">
        <v>44028</v>
      </c>
      <c r="AI3165" s="30">
        <v>3</v>
      </c>
      <c r="AJ3165" s="72" t="s">
        <v>17948</v>
      </c>
      <c r="AK3165" s="72" t="s">
        <v>17949</v>
      </c>
      <c r="AL3165" s="70">
        <v>44034</v>
      </c>
      <c r="AM3165" s="70"/>
      <c r="AN3165" s="70">
        <v>44545</v>
      </c>
      <c r="AO3165" s="70">
        <v>44378</v>
      </c>
      <c r="AP3165" s="73" t="e">
        <f>MID(VLOOKUP(K3165,#REF!,2,FALSE),1,2)</f>
        <v>#REF!</v>
      </c>
      <c r="AQ3165" s="72">
        <f>DATE(2020,7,10)</f>
        <v>44022</v>
      </c>
      <c r="AR3165" s="83">
        <f t="shared" si="280"/>
        <v>10</v>
      </c>
      <c r="AS3165" s="84">
        <f t="shared" si="281"/>
        <v>7</v>
      </c>
      <c r="AT3165" s="86">
        <f t="shared" si="282"/>
        <v>2020</v>
      </c>
      <c r="AU3165" s="86"/>
      <c r="AV3165" s="87"/>
      <c r="AW3165" s="86"/>
      <c r="AX3165" s="83"/>
      <c r="AY3165" s="84"/>
      <c r="AZ3165" s="86"/>
      <c r="BA3165" s="86"/>
      <c r="BB3165" s="86"/>
    </row>
    <row r="3166" spans="1:54" ht="36.75" customHeight="1">
      <c r="A3166" s="30"/>
      <c r="B3166" s="30" t="s">
        <v>55</v>
      </c>
      <c r="C3166" s="69" t="str">
        <f t="shared" si="279"/>
        <v>Closed</v>
      </c>
      <c r="D3166" s="27" t="s">
        <v>17950</v>
      </c>
      <c r="E3166" s="29" t="s">
        <v>17951</v>
      </c>
      <c r="F3166" s="30" t="s">
        <v>6455</v>
      </c>
      <c r="G3166" s="72">
        <f>DATE(2020,7,9)</f>
        <v>44021</v>
      </c>
      <c r="H3166" s="80">
        <v>1.461111111111111</v>
      </c>
      <c r="I3166" s="30" t="s">
        <v>125</v>
      </c>
      <c r="J3166" s="72" t="s">
        <v>17952</v>
      </c>
      <c r="K3166" s="30" t="s">
        <v>584</v>
      </c>
      <c r="L3166" s="30" t="s">
        <v>17953</v>
      </c>
      <c r="M3166" s="30" t="s">
        <v>63</v>
      </c>
      <c r="N3166" s="30" t="s">
        <v>142</v>
      </c>
      <c r="O3166" s="30" t="s">
        <v>64</v>
      </c>
      <c r="P3166" s="72" t="s">
        <v>381</v>
      </c>
      <c r="Q3166" s="72" t="s">
        <v>587</v>
      </c>
      <c r="R3166" s="72" t="s">
        <v>587</v>
      </c>
      <c r="S3166" s="30">
        <v>0</v>
      </c>
      <c r="T3166" s="232">
        <v>0</v>
      </c>
      <c r="U3166" s="30">
        <v>0</v>
      </c>
      <c r="V3166" s="232">
        <v>0</v>
      </c>
      <c r="W3166" s="30">
        <v>0</v>
      </c>
      <c r="X3166" s="30">
        <v>0</v>
      </c>
      <c r="Y3166" s="30">
        <v>0</v>
      </c>
      <c r="Z3166" s="232">
        <v>0</v>
      </c>
      <c r="AA3166" s="30">
        <v>0</v>
      </c>
      <c r="AB3166" s="30">
        <v>0</v>
      </c>
      <c r="AC3166" s="30">
        <v>0</v>
      </c>
      <c r="AD3166" s="30">
        <v>0</v>
      </c>
      <c r="AE3166" s="72" t="s">
        <v>145</v>
      </c>
      <c r="AF3166" s="72" t="s">
        <v>17954</v>
      </c>
      <c r="AG3166" s="72" t="s">
        <v>6459</v>
      </c>
      <c r="AH3166" s="72">
        <v>44068</v>
      </c>
      <c r="AI3166" s="30">
        <v>1</v>
      </c>
      <c r="AJ3166" s="72" t="s">
        <v>17955</v>
      </c>
      <c r="AK3166" s="72" t="s">
        <v>10569</v>
      </c>
      <c r="AL3166" s="70">
        <v>44068</v>
      </c>
      <c r="AM3166" s="70"/>
      <c r="AN3166" s="70">
        <v>44658</v>
      </c>
      <c r="AO3166" s="70">
        <v>44658</v>
      </c>
      <c r="AP3166" s="73" t="e">
        <f>MID(VLOOKUP(K3166,#REF!,2,FALSE),1,2)</f>
        <v>#REF!</v>
      </c>
      <c r="AQ3166" s="72">
        <f>DATE(2020,7,10)</f>
        <v>44022</v>
      </c>
      <c r="AR3166" s="83">
        <f t="shared" si="280"/>
        <v>10</v>
      </c>
      <c r="AS3166" s="84">
        <f t="shared" si="281"/>
        <v>7</v>
      </c>
      <c r="AT3166" s="86">
        <f t="shared" si="282"/>
        <v>2020</v>
      </c>
      <c r="AU3166" s="86"/>
      <c r="AV3166" s="87"/>
      <c r="AW3166" s="86"/>
      <c r="AX3166" s="83"/>
      <c r="AY3166" s="84"/>
      <c r="AZ3166" s="86"/>
      <c r="BA3166" s="86"/>
      <c r="BB3166" s="86"/>
    </row>
    <row r="3167" spans="1:54" ht="36.75" customHeight="1">
      <c r="A3167" s="30"/>
      <c r="B3167" s="30" t="s">
        <v>55</v>
      </c>
      <c r="C3167" s="69" t="str">
        <f t="shared" si="279"/>
        <v>Closed</v>
      </c>
      <c r="D3167" s="27" t="s">
        <v>17956</v>
      </c>
      <c r="E3167" s="29" t="s">
        <v>17957</v>
      </c>
      <c r="F3167" s="30" t="s">
        <v>16429</v>
      </c>
      <c r="G3167" s="72">
        <f>DATE(2020,7,10)</f>
        <v>44022</v>
      </c>
      <c r="H3167" s="80">
        <v>1.7354166666666666</v>
      </c>
      <c r="I3167" s="30" t="s">
        <v>198</v>
      </c>
      <c r="J3167" s="72" t="s">
        <v>17958</v>
      </c>
      <c r="K3167" s="30" t="s">
        <v>425</v>
      </c>
      <c r="L3167" s="30" t="s">
        <v>17959</v>
      </c>
      <c r="M3167" s="30" t="s">
        <v>63</v>
      </c>
      <c r="N3167" s="30" t="s">
        <v>89</v>
      </c>
      <c r="O3167" s="30" t="s">
        <v>77</v>
      </c>
      <c r="P3167" s="72" t="s">
        <v>17960</v>
      </c>
      <c r="Q3167" s="72" t="s">
        <v>4551</v>
      </c>
      <c r="R3167" s="72" t="s">
        <v>3103</v>
      </c>
      <c r="S3167" s="30">
        <v>0</v>
      </c>
      <c r="T3167" s="232">
        <v>0</v>
      </c>
      <c r="U3167" s="30">
        <v>0</v>
      </c>
      <c r="V3167" s="232">
        <v>0</v>
      </c>
      <c r="W3167" s="30">
        <v>0</v>
      </c>
      <c r="X3167" s="30">
        <v>0</v>
      </c>
      <c r="Y3167" s="30">
        <v>0</v>
      </c>
      <c r="Z3167" s="232">
        <v>0</v>
      </c>
      <c r="AA3167" s="30">
        <v>0</v>
      </c>
      <c r="AB3167" s="30">
        <v>0</v>
      </c>
      <c r="AC3167" s="30">
        <v>0</v>
      </c>
      <c r="AD3167" s="30">
        <v>0</v>
      </c>
      <c r="AE3167" s="72" t="s">
        <v>394</v>
      </c>
      <c r="AF3167" s="72" t="s">
        <v>17961</v>
      </c>
      <c r="AG3167" s="72" t="s">
        <v>16283</v>
      </c>
      <c r="AH3167" s="72">
        <v>44022</v>
      </c>
      <c r="AI3167" s="30">
        <v>1</v>
      </c>
      <c r="AJ3167" s="72" t="s">
        <v>17962</v>
      </c>
      <c r="AK3167" s="72" t="s">
        <v>879</v>
      </c>
      <c r="AL3167" s="91">
        <v>44025</v>
      </c>
      <c r="AM3167" s="70"/>
      <c r="AN3167" s="70">
        <v>44552</v>
      </c>
      <c r="AO3167" s="70">
        <v>44546</v>
      </c>
      <c r="AP3167" s="111"/>
      <c r="AQ3167" s="129"/>
      <c r="AR3167" s="114"/>
      <c r="AS3167" s="114"/>
      <c r="AT3167" s="130"/>
      <c r="AU3167" s="86"/>
      <c r="AV3167" s="86"/>
      <c r="AW3167" s="86"/>
      <c r="AX3167" s="116"/>
      <c r="AY3167" s="116"/>
      <c r="AZ3167" s="106"/>
      <c r="BA3167" s="106"/>
      <c r="BB3167" s="106"/>
    </row>
    <row r="3168" spans="1:54" ht="36.75" customHeight="1">
      <c r="A3168" s="30"/>
      <c r="B3168" s="30" t="s">
        <v>55</v>
      </c>
      <c r="C3168" s="69" t="str">
        <f t="shared" si="279"/>
        <v>Closed</v>
      </c>
      <c r="D3168" s="27" t="s">
        <v>17963</v>
      </c>
      <c r="E3168" s="29" t="s">
        <v>17964</v>
      </c>
      <c r="F3168" s="30" t="s">
        <v>835</v>
      </c>
      <c r="G3168" s="72">
        <f>DATE(2020,7,10)</f>
        <v>44022</v>
      </c>
      <c r="H3168" s="80">
        <v>1.5625</v>
      </c>
      <c r="I3168" s="30" t="s">
        <v>73</v>
      </c>
      <c r="J3168" s="72" t="s">
        <v>17965</v>
      </c>
      <c r="K3168" s="30" t="s">
        <v>837</v>
      </c>
      <c r="L3168" s="30" t="s">
        <v>17966</v>
      </c>
      <c r="M3168" s="30" t="s">
        <v>9919</v>
      </c>
      <c r="N3168" s="30" t="s">
        <v>99</v>
      </c>
      <c r="O3168" s="30" t="s">
        <v>64</v>
      </c>
      <c r="P3168" s="72" t="s">
        <v>7982</v>
      </c>
      <c r="Q3168" s="72" t="s">
        <v>17901</v>
      </c>
      <c r="R3168" s="72" t="s">
        <v>17901</v>
      </c>
      <c r="S3168" s="30">
        <v>0</v>
      </c>
      <c r="T3168" s="232">
        <v>0</v>
      </c>
      <c r="U3168" s="30">
        <v>0</v>
      </c>
      <c r="V3168" s="232">
        <v>0</v>
      </c>
      <c r="W3168" s="30">
        <v>0</v>
      </c>
      <c r="X3168" s="30">
        <v>0</v>
      </c>
      <c r="Y3168" s="30">
        <v>0</v>
      </c>
      <c r="Z3168" s="232">
        <v>0</v>
      </c>
      <c r="AA3168" s="30">
        <v>0</v>
      </c>
      <c r="AB3168" s="30">
        <v>0</v>
      </c>
      <c r="AC3168" s="30">
        <v>0</v>
      </c>
      <c r="AD3168" s="30">
        <v>0</v>
      </c>
      <c r="AE3168" s="72" t="s">
        <v>92</v>
      </c>
      <c r="AF3168" s="72" t="s">
        <v>879</v>
      </c>
      <c r="AG3168" s="72" t="s">
        <v>13537</v>
      </c>
      <c r="AH3168" s="72">
        <v>44029</v>
      </c>
      <c r="AI3168" s="30">
        <v>3</v>
      </c>
      <c r="AJ3168" s="72" t="s">
        <v>17902</v>
      </c>
      <c r="AK3168" s="72" t="s">
        <v>17903</v>
      </c>
      <c r="AL3168" s="70">
        <v>44029</v>
      </c>
      <c r="AM3168" s="70"/>
      <c r="AN3168" s="70"/>
      <c r="AO3168" s="70"/>
      <c r="AP3168" s="73" t="e">
        <f>MID(VLOOKUP(K3168,#REF!,2,FALSE),1,2)</f>
        <v>#REF!</v>
      </c>
      <c r="AQ3168" s="72">
        <f>DATE(2020,7,14)</f>
        <v>44026</v>
      </c>
      <c r="AR3168" s="83">
        <f>DAY(AQ3168)</f>
        <v>14</v>
      </c>
      <c r="AS3168" s="84">
        <f>MONTH(AQ3168)</f>
        <v>7</v>
      </c>
      <c r="AT3168" s="86">
        <f>YEAR(AQ3168)</f>
        <v>2020</v>
      </c>
      <c r="AU3168" s="86"/>
      <c r="AV3168" s="87"/>
      <c r="AW3168" s="86"/>
      <c r="AX3168" s="83"/>
      <c r="AY3168" s="84"/>
      <c r="AZ3168" s="86"/>
      <c r="BA3168" s="86"/>
      <c r="BB3168" s="86"/>
    </row>
    <row r="3169" spans="1:54" ht="36.75" customHeight="1">
      <c r="A3169" s="30"/>
      <c r="B3169" s="30" t="s">
        <v>55</v>
      </c>
      <c r="C3169" s="69" t="str">
        <f t="shared" si="279"/>
        <v>Closed</v>
      </c>
      <c r="D3169" s="27" t="s">
        <v>17967</v>
      </c>
      <c r="E3169" s="29" t="s">
        <v>17968</v>
      </c>
      <c r="F3169" s="30" t="s">
        <v>1572</v>
      </c>
      <c r="G3169" s="72">
        <f>DATE(2020,7,10)</f>
        <v>44022</v>
      </c>
      <c r="H3169" s="80">
        <v>1.2013888888888888</v>
      </c>
      <c r="I3169" s="30" t="s">
        <v>73</v>
      </c>
      <c r="J3169" s="72" t="s">
        <v>17969</v>
      </c>
      <c r="K3169" s="30" t="s">
        <v>1574</v>
      </c>
      <c r="L3169" s="30" t="s">
        <v>17970</v>
      </c>
      <c r="M3169" s="30" t="s">
        <v>63</v>
      </c>
      <c r="N3169" s="30" t="s">
        <v>142</v>
      </c>
      <c r="O3169" s="30" t="s">
        <v>64</v>
      </c>
      <c r="P3169" s="72" t="s">
        <v>78</v>
      </c>
      <c r="Q3169" s="72" t="s">
        <v>15570</v>
      </c>
      <c r="R3169" s="72" t="s">
        <v>6434</v>
      </c>
      <c r="S3169" s="30">
        <v>0</v>
      </c>
      <c r="T3169" s="232">
        <v>0</v>
      </c>
      <c r="U3169" s="30">
        <v>0</v>
      </c>
      <c r="V3169" s="232">
        <v>0</v>
      </c>
      <c r="W3169" s="30">
        <v>0</v>
      </c>
      <c r="X3169" s="30">
        <v>0</v>
      </c>
      <c r="Y3169" s="30">
        <v>0</v>
      </c>
      <c r="Z3169" s="232">
        <v>0</v>
      </c>
      <c r="AA3169" s="30">
        <v>0</v>
      </c>
      <c r="AB3169" s="30">
        <v>0</v>
      </c>
      <c r="AC3169" s="30">
        <v>0</v>
      </c>
      <c r="AD3169" s="30">
        <v>0</v>
      </c>
      <c r="AE3169" s="72" t="s">
        <v>92</v>
      </c>
      <c r="AF3169" s="72" t="s">
        <v>17971</v>
      </c>
      <c r="AG3169" s="72" t="s">
        <v>8859</v>
      </c>
      <c r="AH3169" s="72">
        <v>44025</v>
      </c>
      <c r="AI3169" s="30">
        <v>2</v>
      </c>
      <c r="AJ3169" s="72" t="s">
        <v>17972</v>
      </c>
      <c r="AK3169" s="72" t="s">
        <v>17973</v>
      </c>
      <c r="AL3169" s="70">
        <v>44026</v>
      </c>
      <c r="AM3169" s="70"/>
      <c r="AN3169" s="70"/>
      <c r="AO3169" s="70"/>
      <c r="AP3169" s="73" t="e">
        <f>MID(VLOOKUP(K3169,#REF!,2,FALSE),1,2)</f>
        <v>#REF!</v>
      </c>
      <c r="AQ3169" s="72">
        <f>DATE(2020,7,14)</f>
        <v>44026</v>
      </c>
      <c r="AR3169" s="83">
        <f>DAY(AQ3169)</f>
        <v>14</v>
      </c>
      <c r="AS3169" s="84">
        <f>MONTH(AQ3169)</f>
        <v>7</v>
      </c>
      <c r="AT3169" s="86">
        <f>YEAR(AQ3169)</f>
        <v>2020</v>
      </c>
      <c r="AU3169" s="86"/>
      <c r="AV3169" s="87"/>
      <c r="AW3169" s="86"/>
      <c r="AX3169" s="83"/>
      <c r="AY3169" s="84"/>
      <c r="AZ3169" s="86"/>
      <c r="BA3169" s="86"/>
      <c r="BB3169" s="86"/>
    </row>
    <row r="3170" spans="1:54" ht="36.75" customHeight="1">
      <c r="A3170" s="30" t="s">
        <v>12471</v>
      </c>
      <c r="B3170" s="30" t="s">
        <v>55</v>
      </c>
      <c r="C3170" s="69" t="str">
        <f t="shared" si="279"/>
        <v>Closed</v>
      </c>
      <c r="D3170" s="36" t="s">
        <v>17974</v>
      </c>
      <c r="E3170" s="28" t="s">
        <v>17975</v>
      </c>
      <c r="F3170" s="5" t="s">
        <v>12910</v>
      </c>
      <c r="G3170" s="72">
        <f>DATE(2020,7,11)</f>
        <v>44023</v>
      </c>
      <c r="H3170" s="125">
        <v>0.93402777777777779</v>
      </c>
      <c r="I3170" s="5" t="s">
        <v>278</v>
      </c>
      <c r="J3170" s="5" t="s">
        <v>17976</v>
      </c>
      <c r="K3170" s="5" t="s">
        <v>453</v>
      </c>
      <c r="L3170" s="5" t="s">
        <v>17977</v>
      </c>
      <c r="M3170" s="5"/>
      <c r="N3170" s="5"/>
      <c r="O3170" s="5" t="s">
        <v>64</v>
      </c>
      <c r="P3170" s="5" t="s">
        <v>65</v>
      </c>
      <c r="Q3170" s="5" t="s">
        <v>12912</v>
      </c>
      <c r="R3170" s="5" t="s">
        <v>12913</v>
      </c>
      <c r="S3170" s="5">
        <v>0</v>
      </c>
      <c r="T3170" s="5">
        <v>0</v>
      </c>
      <c r="U3170" s="5">
        <v>0</v>
      </c>
      <c r="V3170" s="5">
        <v>1</v>
      </c>
      <c r="W3170" s="5">
        <v>0</v>
      </c>
      <c r="X3170" s="5">
        <v>1</v>
      </c>
      <c r="Y3170" s="5">
        <v>0</v>
      </c>
      <c r="Z3170" s="5">
        <v>0</v>
      </c>
      <c r="AA3170" s="5">
        <v>0</v>
      </c>
      <c r="AB3170" s="5">
        <v>0</v>
      </c>
      <c r="AC3170" s="5">
        <v>0</v>
      </c>
      <c r="AD3170" s="5">
        <v>0</v>
      </c>
      <c r="AE3170" s="5"/>
      <c r="AF3170" s="5"/>
      <c r="AG3170" s="5"/>
      <c r="AH3170" s="72" t="s">
        <v>68</v>
      </c>
      <c r="AI3170" s="5">
        <v>0</v>
      </c>
      <c r="AJ3170" s="5"/>
      <c r="AK3170" s="5"/>
      <c r="AL3170" s="21">
        <v>44480</v>
      </c>
      <c r="AM3170" s="22"/>
      <c r="AN3170" s="23"/>
      <c r="AO3170" s="23"/>
      <c r="AP3170" s="111"/>
      <c r="AQ3170" s="129"/>
      <c r="AR3170" s="114"/>
      <c r="AS3170" s="114"/>
      <c r="AT3170" s="130"/>
      <c r="AU3170" s="86"/>
      <c r="AV3170" s="86"/>
      <c r="AW3170" s="86"/>
      <c r="AX3170" s="116"/>
      <c r="AY3170" s="116"/>
      <c r="AZ3170" s="106"/>
      <c r="BA3170" s="106"/>
      <c r="BB3170" s="106"/>
    </row>
    <row r="3171" spans="1:54" ht="36.75" customHeight="1">
      <c r="A3171" s="30"/>
      <c r="B3171" s="30" t="s">
        <v>55</v>
      </c>
      <c r="C3171" s="69" t="str">
        <f t="shared" si="279"/>
        <v>Closed</v>
      </c>
      <c r="D3171" s="27" t="s">
        <v>17978</v>
      </c>
      <c r="E3171" s="29" t="s">
        <v>17979</v>
      </c>
      <c r="F3171" s="30" t="s">
        <v>423</v>
      </c>
      <c r="G3171" s="72">
        <f>DATE(2020,7,14)</f>
        <v>44026</v>
      </c>
      <c r="H3171" s="80">
        <v>1.8993055555555554</v>
      </c>
      <c r="I3171" s="30" t="s">
        <v>198</v>
      </c>
      <c r="J3171" s="72" t="s">
        <v>17980</v>
      </c>
      <c r="K3171" s="30" t="s">
        <v>425</v>
      </c>
      <c r="L3171" s="30" t="s">
        <v>17981</v>
      </c>
      <c r="M3171" s="30" t="s">
        <v>63</v>
      </c>
      <c r="N3171" s="30" t="s">
        <v>89</v>
      </c>
      <c r="O3171" s="30" t="s">
        <v>64</v>
      </c>
      <c r="P3171" s="72" t="s">
        <v>8025</v>
      </c>
      <c r="Q3171" s="72" t="s">
        <v>10689</v>
      </c>
      <c r="R3171" s="72" t="s">
        <v>3103</v>
      </c>
      <c r="S3171" s="30">
        <v>0</v>
      </c>
      <c r="T3171" s="232">
        <v>1</v>
      </c>
      <c r="U3171" s="30">
        <v>0</v>
      </c>
      <c r="V3171" s="232">
        <v>0</v>
      </c>
      <c r="W3171" s="30">
        <v>0</v>
      </c>
      <c r="X3171" s="30">
        <v>1</v>
      </c>
      <c r="Y3171" s="30">
        <v>8</v>
      </c>
      <c r="Z3171" s="232">
        <v>2</v>
      </c>
      <c r="AA3171" s="30">
        <v>0</v>
      </c>
      <c r="AB3171" s="30">
        <v>0</v>
      </c>
      <c r="AC3171" s="30">
        <v>0</v>
      </c>
      <c r="AD3171" s="30">
        <v>10</v>
      </c>
      <c r="AE3171" s="72" t="s">
        <v>394</v>
      </c>
      <c r="AF3171" s="72"/>
      <c r="AG3171" s="72" t="s">
        <v>6459</v>
      </c>
      <c r="AH3171" s="72">
        <v>44026</v>
      </c>
      <c r="AI3171" s="30">
        <v>2</v>
      </c>
      <c r="AJ3171" s="72" t="s">
        <v>17982</v>
      </c>
      <c r="AK3171" s="72" t="s">
        <v>879</v>
      </c>
      <c r="AL3171" s="70">
        <v>44028</v>
      </c>
      <c r="AM3171" s="70"/>
      <c r="AN3171" s="70">
        <v>44528</v>
      </c>
      <c r="AO3171" s="70">
        <v>44525</v>
      </c>
      <c r="AP3171" s="73" t="e">
        <f>MID(VLOOKUP(K3171,#REF!,2,FALSE),1,2)</f>
        <v>#REF!</v>
      </c>
      <c r="AQ3171" s="72">
        <f>DATE(2020,7,15)</f>
        <v>44027</v>
      </c>
      <c r="AR3171" s="83">
        <f t="shared" ref="AR3171:AR3186" si="283">DAY(AQ3171)</f>
        <v>15</v>
      </c>
      <c r="AS3171" s="84">
        <f t="shared" ref="AS3171:AS3186" si="284">MONTH(AQ3171)</f>
        <v>7</v>
      </c>
      <c r="AT3171" s="86">
        <f t="shared" ref="AT3171:AT3186" si="285">YEAR(AQ3171)</f>
        <v>2020</v>
      </c>
      <c r="AU3171" s="86"/>
      <c r="AV3171" s="87"/>
      <c r="AW3171" s="86"/>
      <c r="AX3171" s="83"/>
      <c r="AY3171" s="84"/>
      <c r="AZ3171" s="86"/>
      <c r="BA3171" s="86"/>
      <c r="BB3171" s="86"/>
    </row>
    <row r="3172" spans="1:54" ht="36.75" customHeight="1">
      <c r="A3172" s="30"/>
      <c r="B3172" s="30" t="s">
        <v>55</v>
      </c>
      <c r="C3172" s="69" t="str">
        <f t="shared" si="279"/>
        <v>Closed</v>
      </c>
      <c r="D3172" s="27" t="s">
        <v>17983</v>
      </c>
      <c r="E3172" s="29" t="s">
        <v>17984</v>
      </c>
      <c r="F3172" s="30" t="s">
        <v>835</v>
      </c>
      <c r="G3172" s="72">
        <f>DATE(2020,7,14)</f>
        <v>44026</v>
      </c>
      <c r="H3172" s="80">
        <v>1.5659722222222223</v>
      </c>
      <c r="I3172" s="30" t="s">
        <v>73</v>
      </c>
      <c r="J3172" s="72" t="s">
        <v>17985</v>
      </c>
      <c r="K3172" s="30" t="s">
        <v>837</v>
      </c>
      <c r="L3172" s="30" t="s">
        <v>17900</v>
      </c>
      <c r="M3172" s="30" t="s">
        <v>9919</v>
      </c>
      <c r="N3172" s="30" t="s">
        <v>99</v>
      </c>
      <c r="O3172" s="30" t="s">
        <v>64</v>
      </c>
      <c r="P3172" s="72" t="s">
        <v>7982</v>
      </c>
      <c r="Q3172" s="72" t="s">
        <v>17901</v>
      </c>
      <c r="R3172" s="72" t="s">
        <v>17901</v>
      </c>
      <c r="S3172" s="30">
        <v>0</v>
      </c>
      <c r="T3172" s="232">
        <v>0</v>
      </c>
      <c r="U3172" s="30">
        <v>0</v>
      </c>
      <c r="V3172" s="232">
        <v>0</v>
      </c>
      <c r="W3172" s="30">
        <v>0</v>
      </c>
      <c r="X3172" s="30">
        <v>0</v>
      </c>
      <c r="Y3172" s="30">
        <v>0</v>
      </c>
      <c r="Z3172" s="232">
        <v>0</v>
      </c>
      <c r="AA3172" s="30">
        <v>0</v>
      </c>
      <c r="AB3172" s="30">
        <v>0</v>
      </c>
      <c r="AC3172" s="30">
        <v>0</v>
      </c>
      <c r="AD3172" s="30">
        <v>0</v>
      </c>
      <c r="AE3172" s="72" t="s">
        <v>92</v>
      </c>
      <c r="AF3172" s="72" t="s">
        <v>879</v>
      </c>
      <c r="AG3172" s="72" t="s">
        <v>13537</v>
      </c>
      <c r="AH3172" s="72">
        <v>44029</v>
      </c>
      <c r="AI3172" s="30">
        <v>3</v>
      </c>
      <c r="AJ3172" s="72" t="s">
        <v>17902</v>
      </c>
      <c r="AK3172" s="72" t="s">
        <v>17903</v>
      </c>
      <c r="AL3172" s="70">
        <v>44029</v>
      </c>
      <c r="AM3172" s="70"/>
      <c r="AN3172" s="70"/>
      <c r="AO3172" s="70"/>
      <c r="AP3172" s="73" t="e">
        <f>MID(VLOOKUP(K3172,#REF!,2,FALSE),1,2)</f>
        <v>#REF!</v>
      </c>
      <c r="AQ3172" s="72">
        <f>DATE(2020,7,15)</f>
        <v>44027</v>
      </c>
      <c r="AR3172" s="83">
        <f t="shared" si="283"/>
        <v>15</v>
      </c>
      <c r="AS3172" s="84">
        <f t="shared" si="284"/>
        <v>7</v>
      </c>
      <c r="AT3172" s="86">
        <f t="shared" si="285"/>
        <v>2020</v>
      </c>
      <c r="AU3172" s="86"/>
      <c r="AV3172" s="87"/>
      <c r="AW3172" s="86"/>
      <c r="AX3172" s="83"/>
      <c r="AY3172" s="84"/>
      <c r="AZ3172" s="86"/>
      <c r="BA3172" s="86"/>
      <c r="BB3172" s="86"/>
    </row>
    <row r="3173" spans="1:54" ht="36.75" customHeight="1">
      <c r="A3173" s="30" t="s">
        <v>12471</v>
      </c>
      <c r="B3173" s="30" t="s">
        <v>55</v>
      </c>
      <c r="C3173" s="69" t="str">
        <f t="shared" si="279"/>
        <v>Closed</v>
      </c>
      <c r="D3173" s="36" t="s">
        <v>17986</v>
      </c>
      <c r="E3173" s="29" t="s">
        <v>17987</v>
      </c>
      <c r="F3173" s="30" t="s">
        <v>17773</v>
      </c>
      <c r="G3173" s="72">
        <f>DATE(2020,7,15)</f>
        <v>44027</v>
      </c>
      <c r="H3173" s="125">
        <v>0.40972222222222227</v>
      </c>
      <c r="I3173" s="30" t="s">
        <v>73</v>
      </c>
      <c r="J3173" s="30" t="s">
        <v>17988</v>
      </c>
      <c r="K3173" s="30" t="s">
        <v>2603</v>
      </c>
      <c r="L3173" s="30" t="s">
        <v>17989</v>
      </c>
      <c r="M3173" s="30" t="s">
        <v>63</v>
      </c>
      <c r="N3173" s="40" t="s">
        <v>17990</v>
      </c>
      <c r="O3173" s="30" t="s">
        <v>77</v>
      </c>
      <c r="P3173" s="30" t="s">
        <v>78</v>
      </c>
      <c r="Q3173" s="30" t="s">
        <v>17991</v>
      </c>
      <c r="R3173" s="30" t="s">
        <v>17992</v>
      </c>
      <c r="S3173" s="30">
        <v>0</v>
      </c>
      <c r="T3173" s="30">
        <v>0</v>
      </c>
      <c r="U3173" s="30">
        <v>0</v>
      </c>
      <c r="V3173" s="30">
        <v>0</v>
      </c>
      <c r="W3173" s="30">
        <v>0</v>
      </c>
      <c r="X3173" s="30">
        <v>0</v>
      </c>
      <c r="Y3173" s="30">
        <v>0</v>
      </c>
      <c r="Z3173" s="30">
        <v>0</v>
      </c>
      <c r="AA3173" s="30">
        <v>0</v>
      </c>
      <c r="AB3173" s="30">
        <v>0</v>
      </c>
      <c r="AC3173" s="30">
        <v>0</v>
      </c>
      <c r="AD3173" s="30">
        <v>0</v>
      </c>
      <c r="AE3173" s="30"/>
      <c r="AF3173" s="30" t="s">
        <v>17993</v>
      </c>
      <c r="AG3173" s="30" t="s">
        <v>17994</v>
      </c>
      <c r="AH3173" s="72">
        <v>44027</v>
      </c>
      <c r="AI3173" s="30">
        <v>4</v>
      </c>
      <c r="AJ3173" s="30" t="s">
        <v>17995</v>
      </c>
      <c r="AK3173" s="30"/>
      <c r="AL3173" s="131" t="s">
        <v>68</v>
      </c>
      <c r="AM3173" s="132"/>
      <c r="AN3173" s="135"/>
      <c r="AO3173" s="135"/>
      <c r="AP3173" s="73" t="e">
        <f>MID(VLOOKUP(K3173,#REF!,2,FALSE),1,2)</f>
        <v>#REF!</v>
      </c>
      <c r="AQ3173" s="72">
        <f>DATE(2020,7,21)</f>
        <v>44033</v>
      </c>
      <c r="AR3173" s="83">
        <f t="shared" si="283"/>
        <v>21</v>
      </c>
      <c r="AS3173" s="84">
        <f t="shared" si="284"/>
        <v>7</v>
      </c>
      <c r="AT3173" s="86">
        <f t="shared" si="285"/>
        <v>2020</v>
      </c>
      <c r="AU3173" s="86"/>
      <c r="AV3173" s="87"/>
      <c r="AW3173" s="86"/>
      <c r="AX3173" s="83"/>
      <c r="AY3173" s="84"/>
      <c r="AZ3173" s="86"/>
      <c r="BA3173" s="86"/>
      <c r="BB3173" s="86"/>
    </row>
    <row r="3174" spans="1:54" ht="36.75" customHeight="1">
      <c r="A3174" s="98" t="s">
        <v>4910</v>
      </c>
      <c r="B3174" s="30" t="s">
        <v>55</v>
      </c>
      <c r="C3174" s="69" t="str">
        <f t="shared" si="279"/>
        <v>Closed</v>
      </c>
      <c r="D3174" s="27" t="s">
        <v>17996</v>
      </c>
      <c r="E3174" s="29" t="s">
        <v>17997</v>
      </c>
      <c r="F3174" s="30" t="s">
        <v>423</v>
      </c>
      <c r="G3174" s="72">
        <f>DATE(2020,7,15)</f>
        <v>44027</v>
      </c>
      <c r="H3174" s="80">
        <v>1.3298611111111112</v>
      </c>
      <c r="I3174" s="30" t="s">
        <v>116</v>
      </c>
      <c r="J3174" s="72" t="s">
        <v>17998</v>
      </c>
      <c r="K3174" s="30" t="s">
        <v>425</v>
      </c>
      <c r="L3174" s="30" t="s">
        <v>17999</v>
      </c>
      <c r="M3174" s="30" t="s">
        <v>63</v>
      </c>
      <c r="N3174" s="30" t="s">
        <v>99</v>
      </c>
      <c r="O3174" s="30" t="s">
        <v>64</v>
      </c>
      <c r="P3174" s="72" t="s">
        <v>165</v>
      </c>
      <c r="Q3174" s="72" t="s">
        <v>4551</v>
      </c>
      <c r="R3174" s="72" t="s">
        <v>3103</v>
      </c>
      <c r="S3174" s="30">
        <v>0</v>
      </c>
      <c r="T3174" s="232">
        <v>0</v>
      </c>
      <c r="U3174" s="30">
        <v>0</v>
      </c>
      <c r="V3174" s="232">
        <v>0</v>
      </c>
      <c r="W3174" s="30">
        <v>0</v>
      </c>
      <c r="X3174" s="30">
        <v>0</v>
      </c>
      <c r="Y3174" s="30">
        <v>0</v>
      </c>
      <c r="Z3174" s="232">
        <v>0</v>
      </c>
      <c r="AA3174" s="30">
        <v>0</v>
      </c>
      <c r="AB3174" s="30">
        <v>0</v>
      </c>
      <c r="AC3174" s="30">
        <v>0</v>
      </c>
      <c r="AD3174" s="30">
        <v>0</v>
      </c>
      <c r="AE3174" s="72" t="s">
        <v>92</v>
      </c>
      <c r="AF3174" s="72"/>
      <c r="AG3174" s="72" t="s">
        <v>352</v>
      </c>
      <c r="AH3174" s="72">
        <v>44027</v>
      </c>
      <c r="AI3174" s="30">
        <v>1</v>
      </c>
      <c r="AJ3174" s="72" t="s">
        <v>68</v>
      </c>
      <c r="AK3174" s="72" t="s">
        <v>68</v>
      </c>
      <c r="AL3174" s="70">
        <v>44029</v>
      </c>
      <c r="AM3174" s="70"/>
      <c r="AN3174" s="70"/>
      <c r="AO3174" s="70"/>
      <c r="AP3174" s="73" t="e">
        <f>MID(VLOOKUP(K3174,#REF!,2,FALSE),1,2)</f>
        <v>#REF!</v>
      </c>
      <c r="AQ3174" s="72">
        <f>DATE(2020,7,22)</f>
        <v>44034</v>
      </c>
      <c r="AR3174" s="83">
        <f t="shared" si="283"/>
        <v>22</v>
      </c>
      <c r="AS3174" s="84">
        <f t="shared" si="284"/>
        <v>7</v>
      </c>
      <c r="AT3174" s="86">
        <f t="shared" si="285"/>
        <v>2020</v>
      </c>
      <c r="AU3174" s="86"/>
      <c r="AV3174" s="87"/>
      <c r="AW3174" s="86"/>
      <c r="AX3174" s="83"/>
      <c r="AY3174" s="84"/>
      <c r="AZ3174" s="86"/>
      <c r="BA3174" s="86"/>
      <c r="BB3174" s="86"/>
    </row>
    <row r="3175" spans="1:54" ht="36.75" customHeight="1">
      <c r="A3175" s="30"/>
      <c r="B3175" s="30" t="s">
        <v>55</v>
      </c>
      <c r="C3175" s="69" t="str">
        <f t="shared" si="279"/>
        <v>Closed</v>
      </c>
      <c r="D3175" s="27" t="s">
        <v>18000</v>
      </c>
      <c r="E3175" s="29" t="s">
        <v>18001</v>
      </c>
      <c r="F3175" s="30" t="s">
        <v>423</v>
      </c>
      <c r="G3175" s="72">
        <f>DATE(2020,7,15)</f>
        <v>44027</v>
      </c>
      <c r="H3175" s="80">
        <v>1.8055555555555554</v>
      </c>
      <c r="I3175" s="30" t="s">
        <v>73</v>
      </c>
      <c r="J3175" s="72" t="s">
        <v>18002</v>
      </c>
      <c r="K3175" s="30" t="s">
        <v>425</v>
      </c>
      <c r="L3175" s="30" t="s">
        <v>18003</v>
      </c>
      <c r="M3175" s="30" t="s">
        <v>63</v>
      </c>
      <c r="N3175" s="30" t="s">
        <v>99</v>
      </c>
      <c r="O3175" s="30" t="s">
        <v>77</v>
      </c>
      <c r="P3175" s="72" t="s">
        <v>165</v>
      </c>
      <c r="Q3175" s="72" t="s">
        <v>4551</v>
      </c>
      <c r="R3175" s="72" t="s">
        <v>3103</v>
      </c>
      <c r="S3175" s="30">
        <v>0</v>
      </c>
      <c r="T3175" s="232">
        <v>0</v>
      </c>
      <c r="U3175" s="30">
        <v>0</v>
      </c>
      <c r="V3175" s="232">
        <v>0</v>
      </c>
      <c r="W3175" s="30">
        <v>0</v>
      </c>
      <c r="X3175" s="30">
        <v>0</v>
      </c>
      <c r="Y3175" s="30">
        <v>0</v>
      </c>
      <c r="Z3175" s="232">
        <v>0</v>
      </c>
      <c r="AA3175" s="30">
        <v>0</v>
      </c>
      <c r="AB3175" s="30">
        <v>0</v>
      </c>
      <c r="AC3175" s="30">
        <v>0</v>
      </c>
      <c r="AD3175" s="30">
        <v>0</v>
      </c>
      <c r="AE3175" s="72" t="s">
        <v>92</v>
      </c>
      <c r="AF3175" s="72"/>
      <c r="AG3175" s="72" t="s">
        <v>352</v>
      </c>
      <c r="AH3175" s="72">
        <v>44027</v>
      </c>
      <c r="AI3175" s="30">
        <v>0</v>
      </c>
      <c r="AJ3175" s="72" t="s">
        <v>18004</v>
      </c>
      <c r="AK3175" s="72" t="s">
        <v>68</v>
      </c>
      <c r="AL3175" s="70">
        <v>44032</v>
      </c>
      <c r="AM3175" s="70"/>
      <c r="AN3175" s="70"/>
      <c r="AO3175" s="70"/>
      <c r="AP3175" s="73" t="e">
        <f>MID(VLOOKUP(K3175,#REF!,2,FALSE),1,2)</f>
        <v>#REF!</v>
      </c>
      <c r="AQ3175" s="72">
        <f>DATE(2020,7,22)</f>
        <v>44034</v>
      </c>
      <c r="AR3175" s="83">
        <f t="shared" si="283"/>
        <v>22</v>
      </c>
      <c r="AS3175" s="84">
        <f t="shared" si="284"/>
        <v>7</v>
      </c>
      <c r="AT3175" s="86">
        <f t="shared" si="285"/>
        <v>2020</v>
      </c>
      <c r="AU3175" s="86"/>
      <c r="AV3175" s="87"/>
      <c r="AW3175" s="86"/>
      <c r="AX3175" s="83"/>
      <c r="AY3175" s="84"/>
      <c r="AZ3175" s="86"/>
      <c r="BA3175" s="86"/>
      <c r="BB3175" s="86"/>
    </row>
    <row r="3176" spans="1:54" ht="36.75" customHeight="1">
      <c r="A3176" s="30"/>
      <c r="B3176" s="30" t="s">
        <v>55</v>
      </c>
      <c r="C3176" s="69" t="str">
        <f t="shared" si="279"/>
        <v>Closed</v>
      </c>
      <c r="D3176" s="27" t="s">
        <v>18005</v>
      </c>
      <c r="E3176" s="29" t="s">
        <v>18006</v>
      </c>
      <c r="F3176" s="30" t="s">
        <v>423</v>
      </c>
      <c r="G3176" s="72">
        <f>DATE(2020,7,21)</f>
        <v>44033</v>
      </c>
      <c r="H3176" s="80">
        <v>1.6972222222222224</v>
      </c>
      <c r="I3176" s="30" t="s">
        <v>116</v>
      </c>
      <c r="J3176" s="72" t="s">
        <v>18007</v>
      </c>
      <c r="K3176" s="30" t="s">
        <v>425</v>
      </c>
      <c r="L3176" s="30" t="s">
        <v>18008</v>
      </c>
      <c r="M3176" s="30" t="s">
        <v>63</v>
      </c>
      <c r="N3176" s="30" t="s">
        <v>99</v>
      </c>
      <c r="O3176" s="30" t="s">
        <v>64</v>
      </c>
      <c r="P3176" s="72" t="s">
        <v>165</v>
      </c>
      <c r="Q3176" s="72" t="s">
        <v>4551</v>
      </c>
      <c r="R3176" s="72" t="s">
        <v>17369</v>
      </c>
      <c r="S3176" s="30">
        <v>0</v>
      </c>
      <c r="T3176" s="232">
        <v>0</v>
      </c>
      <c r="U3176" s="30">
        <v>2</v>
      </c>
      <c r="V3176" s="232">
        <v>0</v>
      </c>
      <c r="W3176" s="30">
        <v>0</v>
      </c>
      <c r="X3176" s="30">
        <v>2</v>
      </c>
      <c r="Y3176" s="30">
        <v>0</v>
      </c>
      <c r="Z3176" s="232">
        <v>0</v>
      </c>
      <c r="AA3176" s="30">
        <v>0</v>
      </c>
      <c r="AB3176" s="30">
        <v>0</v>
      </c>
      <c r="AC3176" s="30">
        <v>0</v>
      </c>
      <c r="AD3176" s="30">
        <v>0</v>
      </c>
      <c r="AE3176" s="72" t="s">
        <v>92</v>
      </c>
      <c r="AF3176" s="72" t="s">
        <v>18009</v>
      </c>
      <c r="AG3176" s="72" t="s">
        <v>16283</v>
      </c>
      <c r="AH3176" s="72">
        <v>44033</v>
      </c>
      <c r="AI3176" s="30">
        <v>3</v>
      </c>
      <c r="AJ3176" s="72" t="s">
        <v>18010</v>
      </c>
      <c r="AK3176" s="72" t="s">
        <v>879</v>
      </c>
      <c r="AL3176" s="70">
        <v>44035</v>
      </c>
      <c r="AM3176" s="70"/>
      <c r="AN3176" s="70"/>
      <c r="AO3176" s="70"/>
      <c r="AP3176" s="73" t="e">
        <f>MID(VLOOKUP(K3176,#REF!,2,FALSE),1,2)</f>
        <v>#REF!</v>
      </c>
      <c r="AQ3176" s="72">
        <f>DATE(2020,7,23)</f>
        <v>44035</v>
      </c>
      <c r="AR3176" s="83">
        <f t="shared" si="283"/>
        <v>23</v>
      </c>
      <c r="AS3176" s="84">
        <f t="shared" si="284"/>
        <v>7</v>
      </c>
      <c r="AT3176" s="86">
        <f t="shared" si="285"/>
        <v>2020</v>
      </c>
      <c r="AU3176" s="86"/>
      <c r="AV3176" s="87"/>
      <c r="AW3176" s="86"/>
      <c r="AX3176" s="83"/>
      <c r="AY3176" s="84"/>
      <c r="AZ3176" s="86"/>
      <c r="BA3176" s="86"/>
      <c r="BB3176" s="86"/>
    </row>
    <row r="3177" spans="1:54" ht="36.75" customHeight="1">
      <c r="A3177" s="98" t="s">
        <v>4910</v>
      </c>
      <c r="B3177" s="30" t="s">
        <v>55</v>
      </c>
      <c r="C3177" s="69" t="str">
        <f t="shared" si="279"/>
        <v>Closed</v>
      </c>
      <c r="D3177" s="27" t="s">
        <v>18011</v>
      </c>
      <c r="E3177" s="29" t="s">
        <v>18012</v>
      </c>
      <c r="F3177" s="30" t="s">
        <v>423</v>
      </c>
      <c r="G3177" s="72">
        <f>DATE(2020,7,22)</f>
        <v>44034</v>
      </c>
      <c r="H3177" s="80">
        <v>1.2993055555555555</v>
      </c>
      <c r="I3177" s="30" t="s">
        <v>104</v>
      </c>
      <c r="J3177" s="72" t="s">
        <v>18013</v>
      </c>
      <c r="K3177" s="30" t="s">
        <v>425</v>
      </c>
      <c r="L3177" s="30" t="s">
        <v>18014</v>
      </c>
      <c r="M3177" s="30" t="s">
        <v>63</v>
      </c>
      <c r="N3177" s="30" t="s">
        <v>99</v>
      </c>
      <c r="O3177" s="30" t="s">
        <v>77</v>
      </c>
      <c r="P3177" s="72" t="s">
        <v>165</v>
      </c>
      <c r="Q3177" s="72" t="s">
        <v>18015</v>
      </c>
      <c r="R3177" s="72" t="s">
        <v>3103</v>
      </c>
      <c r="S3177" s="30">
        <v>0</v>
      </c>
      <c r="T3177" s="232">
        <v>0</v>
      </c>
      <c r="U3177" s="30">
        <v>0</v>
      </c>
      <c r="V3177" s="232">
        <v>0</v>
      </c>
      <c r="W3177" s="30">
        <v>0</v>
      </c>
      <c r="X3177" s="30">
        <v>0</v>
      </c>
      <c r="Y3177" s="30">
        <v>0</v>
      </c>
      <c r="Z3177" s="232">
        <v>0</v>
      </c>
      <c r="AA3177" s="30">
        <v>0</v>
      </c>
      <c r="AB3177" s="30">
        <v>0</v>
      </c>
      <c r="AC3177" s="30">
        <v>0</v>
      </c>
      <c r="AD3177" s="30">
        <v>0</v>
      </c>
      <c r="AE3177" s="72" t="s">
        <v>92</v>
      </c>
      <c r="AF3177" s="72"/>
      <c r="AG3177" s="72" t="s">
        <v>874</v>
      </c>
      <c r="AH3177" s="72">
        <v>44034</v>
      </c>
      <c r="AI3177" s="30">
        <v>0</v>
      </c>
      <c r="AJ3177" s="72" t="s">
        <v>68</v>
      </c>
      <c r="AK3177" s="72" t="s">
        <v>68</v>
      </c>
      <c r="AL3177" s="70">
        <v>44035</v>
      </c>
      <c r="AM3177" s="70"/>
      <c r="AN3177" s="70"/>
      <c r="AO3177" s="70"/>
      <c r="AP3177" s="73" t="e">
        <f>MID(VLOOKUP(K3177,#REF!,2,FALSE),1,2)</f>
        <v>#REF!</v>
      </c>
      <c r="AQ3177" s="72">
        <f>DATE(2020,7,27)</f>
        <v>44039</v>
      </c>
      <c r="AR3177" s="83">
        <f t="shared" si="283"/>
        <v>27</v>
      </c>
      <c r="AS3177" s="84">
        <f t="shared" si="284"/>
        <v>7</v>
      </c>
      <c r="AT3177" s="86">
        <f t="shared" si="285"/>
        <v>2020</v>
      </c>
      <c r="AU3177" s="86"/>
      <c r="AV3177" s="87"/>
      <c r="AW3177" s="86"/>
      <c r="AX3177" s="83"/>
      <c r="AY3177" s="84"/>
      <c r="AZ3177" s="86"/>
      <c r="BA3177" s="86"/>
      <c r="BB3177" s="86"/>
    </row>
    <row r="3178" spans="1:54" ht="36.75" customHeight="1">
      <c r="A3178" s="30"/>
      <c r="B3178" s="30" t="s">
        <v>55</v>
      </c>
      <c r="C3178" s="69" t="str">
        <f t="shared" si="279"/>
        <v>Closed</v>
      </c>
      <c r="D3178" s="27" t="s">
        <v>18016</v>
      </c>
      <c r="E3178" s="29" t="s">
        <v>18017</v>
      </c>
      <c r="F3178" s="30" t="s">
        <v>423</v>
      </c>
      <c r="G3178" s="72">
        <f>DATE(2020,7,22)</f>
        <v>44034</v>
      </c>
      <c r="H3178" s="80">
        <v>1.6194444444444445</v>
      </c>
      <c r="I3178" s="30" t="s">
        <v>73</v>
      </c>
      <c r="J3178" s="72" t="s">
        <v>18018</v>
      </c>
      <c r="K3178" s="30" t="s">
        <v>425</v>
      </c>
      <c r="L3178" s="30" t="s">
        <v>18019</v>
      </c>
      <c r="M3178" s="30" t="s">
        <v>63</v>
      </c>
      <c r="N3178" s="30" t="s">
        <v>99</v>
      </c>
      <c r="O3178" s="30" t="s">
        <v>77</v>
      </c>
      <c r="P3178" s="72" t="s">
        <v>165</v>
      </c>
      <c r="Q3178" s="72" t="s">
        <v>4551</v>
      </c>
      <c r="R3178" s="72" t="s">
        <v>3103</v>
      </c>
      <c r="S3178" s="30">
        <v>0</v>
      </c>
      <c r="T3178" s="232">
        <v>0</v>
      </c>
      <c r="U3178" s="30">
        <v>0</v>
      </c>
      <c r="V3178" s="232">
        <v>0</v>
      </c>
      <c r="W3178" s="30">
        <v>0</v>
      </c>
      <c r="X3178" s="30">
        <v>0</v>
      </c>
      <c r="Y3178" s="30">
        <v>0</v>
      </c>
      <c r="Z3178" s="232">
        <v>0</v>
      </c>
      <c r="AA3178" s="30">
        <v>0</v>
      </c>
      <c r="AB3178" s="30">
        <v>0</v>
      </c>
      <c r="AC3178" s="30">
        <v>0</v>
      </c>
      <c r="AD3178" s="30">
        <v>0</v>
      </c>
      <c r="AE3178" s="30">
        <v>0</v>
      </c>
      <c r="AF3178" s="30">
        <v>0</v>
      </c>
      <c r="AG3178" s="72" t="s">
        <v>16283</v>
      </c>
      <c r="AH3178" s="72">
        <v>44034</v>
      </c>
      <c r="AI3178" s="30">
        <v>1</v>
      </c>
      <c r="AJ3178" s="72" t="s">
        <v>18020</v>
      </c>
      <c r="AK3178" s="72" t="s">
        <v>879</v>
      </c>
      <c r="AL3178" s="70">
        <v>44035</v>
      </c>
      <c r="AM3178" s="70"/>
      <c r="AN3178" s="70"/>
      <c r="AO3178" s="70"/>
      <c r="AP3178" s="73" t="e">
        <f>MID(VLOOKUP(K3178,#REF!,2,FALSE),1,2)</f>
        <v>#REF!</v>
      </c>
      <c r="AQ3178" s="72">
        <f>DATE(2020,7,27)</f>
        <v>44039</v>
      </c>
      <c r="AR3178" s="83">
        <f t="shared" si="283"/>
        <v>27</v>
      </c>
      <c r="AS3178" s="84">
        <f t="shared" si="284"/>
        <v>7</v>
      </c>
      <c r="AT3178" s="86">
        <f t="shared" si="285"/>
        <v>2020</v>
      </c>
      <c r="AU3178" s="86"/>
      <c r="AV3178" s="87"/>
      <c r="AW3178" s="86"/>
      <c r="AX3178" s="83"/>
      <c r="AY3178" s="84"/>
      <c r="AZ3178" s="86"/>
      <c r="BA3178" s="86"/>
      <c r="BB3178" s="86"/>
    </row>
    <row r="3179" spans="1:54" ht="36.75" customHeight="1">
      <c r="A3179" s="30"/>
      <c r="B3179" s="30" t="s">
        <v>55</v>
      </c>
      <c r="C3179" s="69" t="str">
        <f t="shared" si="279"/>
        <v>Closed</v>
      </c>
      <c r="D3179" s="27" t="s">
        <v>18021</v>
      </c>
      <c r="E3179" s="29" t="s">
        <v>18022</v>
      </c>
      <c r="F3179" s="30" t="s">
        <v>835</v>
      </c>
      <c r="G3179" s="72">
        <f>DATE(2020,7,23)</f>
        <v>44035</v>
      </c>
      <c r="H3179" s="80">
        <v>1.6458333333333335</v>
      </c>
      <c r="I3179" s="30" t="s">
        <v>104</v>
      </c>
      <c r="J3179" s="72" t="s">
        <v>18023</v>
      </c>
      <c r="K3179" s="30" t="s">
        <v>837</v>
      </c>
      <c r="L3179" s="30" t="s">
        <v>18024</v>
      </c>
      <c r="M3179" s="30" t="s">
        <v>63</v>
      </c>
      <c r="N3179" s="30" t="s">
        <v>89</v>
      </c>
      <c r="O3179" s="30" t="s">
        <v>77</v>
      </c>
      <c r="P3179" s="72" t="s">
        <v>381</v>
      </c>
      <c r="Q3179" s="72" t="s">
        <v>2162</v>
      </c>
      <c r="R3179" s="72" t="s">
        <v>840</v>
      </c>
      <c r="S3179" s="30">
        <v>0</v>
      </c>
      <c r="T3179" s="232">
        <v>0</v>
      </c>
      <c r="U3179" s="30">
        <v>0</v>
      </c>
      <c r="V3179" s="232">
        <v>0</v>
      </c>
      <c r="W3179" s="30">
        <v>0</v>
      </c>
      <c r="X3179" s="30">
        <v>0</v>
      </c>
      <c r="Y3179" s="30">
        <v>0</v>
      </c>
      <c r="Z3179" s="232">
        <v>0</v>
      </c>
      <c r="AA3179" s="30">
        <v>0</v>
      </c>
      <c r="AB3179" s="30">
        <v>0</v>
      </c>
      <c r="AC3179" s="30">
        <v>0</v>
      </c>
      <c r="AD3179" s="30">
        <v>0</v>
      </c>
      <c r="AE3179" s="72" t="s">
        <v>92</v>
      </c>
      <c r="AF3179" s="72" t="s">
        <v>17469</v>
      </c>
      <c r="AG3179" s="72" t="s">
        <v>589</v>
      </c>
      <c r="AH3179" s="72">
        <v>44036</v>
      </c>
      <c r="AI3179" s="30">
        <v>0</v>
      </c>
      <c r="AJ3179" s="72" t="s">
        <v>18025</v>
      </c>
      <c r="AK3179" s="72" t="s">
        <v>18026</v>
      </c>
      <c r="AL3179" s="70">
        <v>44040</v>
      </c>
      <c r="AM3179" s="70"/>
      <c r="AN3179" s="70">
        <v>45012</v>
      </c>
      <c r="AO3179" s="70">
        <v>44530</v>
      </c>
      <c r="AP3179" s="73" t="e">
        <f>MID(VLOOKUP(K3179,#REF!,2,FALSE),1,2)</f>
        <v>#REF!</v>
      </c>
      <c r="AQ3179" s="72">
        <f>DATE(2020,7,28)</f>
        <v>44040</v>
      </c>
      <c r="AR3179" s="83">
        <f t="shared" si="283"/>
        <v>28</v>
      </c>
      <c r="AS3179" s="84">
        <f t="shared" si="284"/>
        <v>7</v>
      </c>
      <c r="AT3179" s="86">
        <f t="shared" si="285"/>
        <v>2020</v>
      </c>
      <c r="AU3179" s="86"/>
      <c r="AV3179" s="87"/>
      <c r="AW3179" s="86"/>
      <c r="AX3179" s="83"/>
      <c r="AY3179" s="84"/>
      <c r="AZ3179" s="86"/>
      <c r="BA3179" s="86"/>
      <c r="BB3179" s="86"/>
    </row>
    <row r="3180" spans="1:54" ht="36.75" customHeight="1">
      <c r="A3180" s="30"/>
      <c r="B3180" s="30" t="s">
        <v>55</v>
      </c>
      <c r="C3180" s="69" t="str">
        <f t="shared" si="279"/>
        <v>Closed</v>
      </c>
      <c r="D3180" s="37" t="s">
        <v>18027</v>
      </c>
      <c r="E3180" s="29" t="s">
        <v>18028</v>
      </c>
      <c r="F3180" s="30" t="s">
        <v>6455</v>
      </c>
      <c r="G3180" s="72">
        <f>DATE(2020,7,27)</f>
        <v>44039</v>
      </c>
      <c r="H3180" s="80">
        <v>1.7604166666666665</v>
      </c>
      <c r="I3180" s="30" t="s">
        <v>116</v>
      </c>
      <c r="J3180" s="30" t="s">
        <v>18029</v>
      </c>
      <c r="K3180" s="30" t="s">
        <v>584</v>
      </c>
      <c r="L3180" s="30" t="s">
        <v>18030</v>
      </c>
      <c r="M3180" s="30" t="s">
        <v>63</v>
      </c>
      <c r="N3180" s="30" t="s">
        <v>99</v>
      </c>
      <c r="O3180" s="30" t="s">
        <v>64</v>
      </c>
      <c r="P3180" s="72" t="s">
        <v>165</v>
      </c>
      <c r="Q3180" s="72" t="s">
        <v>9685</v>
      </c>
      <c r="R3180" s="72" t="s">
        <v>587</v>
      </c>
      <c r="S3180" s="30">
        <v>0</v>
      </c>
      <c r="T3180" s="232">
        <v>0</v>
      </c>
      <c r="U3180" s="30">
        <v>2</v>
      </c>
      <c r="V3180" s="232">
        <v>0</v>
      </c>
      <c r="W3180" s="30">
        <v>0</v>
      </c>
      <c r="X3180" s="30">
        <v>2</v>
      </c>
      <c r="Y3180" s="30">
        <v>0</v>
      </c>
      <c r="Z3180" s="232">
        <v>0</v>
      </c>
      <c r="AA3180" s="30">
        <v>0</v>
      </c>
      <c r="AB3180" s="30">
        <v>0</v>
      </c>
      <c r="AC3180" s="30">
        <v>0</v>
      </c>
      <c r="AD3180" s="30">
        <v>0</v>
      </c>
      <c r="AE3180" s="72" t="s">
        <v>92</v>
      </c>
      <c r="AF3180" s="72" t="s">
        <v>18031</v>
      </c>
      <c r="AG3180" s="72" t="s">
        <v>8859</v>
      </c>
      <c r="AH3180" s="72">
        <v>44039</v>
      </c>
      <c r="AI3180" s="30">
        <v>1</v>
      </c>
      <c r="AJ3180" s="72" t="s">
        <v>18032</v>
      </c>
      <c r="AK3180" s="72" t="s">
        <v>18033</v>
      </c>
      <c r="AL3180" s="70">
        <v>44071</v>
      </c>
      <c r="AM3180" s="70">
        <v>45504</v>
      </c>
      <c r="AN3180" s="70">
        <v>45897</v>
      </c>
      <c r="AO3180" s="70">
        <v>45860</v>
      </c>
      <c r="AP3180" s="73" t="e">
        <f>MID(VLOOKUP(K3180,#REF!,2,FALSE),1,2)</f>
        <v>#REF!</v>
      </c>
      <c r="AQ3180" s="72">
        <f>DATE(2020,7,31)</f>
        <v>44043</v>
      </c>
      <c r="AR3180" s="83">
        <f t="shared" si="283"/>
        <v>31</v>
      </c>
      <c r="AS3180" s="84">
        <f t="shared" si="284"/>
        <v>7</v>
      </c>
      <c r="AT3180" s="86">
        <f t="shared" si="285"/>
        <v>2020</v>
      </c>
      <c r="AU3180" s="86"/>
      <c r="AV3180" s="87"/>
      <c r="AW3180" s="86"/>
      <c r="AX3180" s="83"/>
      <c r="AY3180" s="84"/>
      <c r="AZ3180" s="86"/>
      <c r="BA3180" s="86"/>
      <c r="BB3180" s="86"/>
    </row>
    <row r="3181" spans="1:54" ht="36.75" customHeight="1">
      <c r="A3181" s="30"/>
      <c r="B3181" s="30" t="s">
        <v>55</v>
      </c>
      <c r="C3181" s="69" t="s">
        <v>18034</v>
      </c>
      <c r="D3181" s="27" t="s">
        <v>18035</v>
      </c>
      <c r="E3181" s="29" t="s">
        <v>18036</v>
      </c>
      <c r="F3181" s="30" t="s">
        <v>835</v>
      </c>
      <c r="G3181" s="72">
        <f>DATE(2020,7,27)</f>
        <v>44039</v>
      </c>
      <c r="H3181" s="102">
        <v>1.3944444444444444</v>
      </c>
      <c r="I3181" s="30" t="s">
        <v>104</v>
      </c>
      <c r="J3181" s="72" t="s">
        <v>18037</v>
      </c>
      <c r="K3181" s="30" t="s">
        <v>837</v>
      </c>
      <c r="L3181" s="30" t="s">
        <v>18038</v>
      </c>
      <c r="M3181" s="30" t="s">
        <v>63</v>
      </c>
      <c r="N3181" s="30" t="s">
        <v>99</v>
      </c>
      <c r="O3181" s="30" t="s">
        <v>64</v>
      </c>
      <c r="P3181" s="72" t="s">
        <v>165</v>
      </c>
      <c r="Q3181" s="72" t="s">
        <v>2162</v>
      </c>
      <c r="R3181" s="72" t="s">
        <v>840</v>
      </c>
      <c r="S3181" s="30">
        <v>0</v>
      </c>
      <c r="T3181" s="232">
        <v>0</v>
      </c>
      <c r="U3181" s="30">
        <v>0</v>
      </c>
      <c r="V3181" s="232">
        <v>0</v>
      </c>
      <c r="W3181" s="30">
        <v>0</v>
      </c>
      <c r="X3181" s="30">
        <v>0</v>
      </c>
      <c r="Y3181" s="30">
        <v>0</v>
      </c>
      <c r="Z3181" s="232">
        <v>0</v>
      </c>
      <c r="AA3181" s="30">
        <v>0</v>
      </c>
      <c r="AB3181" s="30">
        <v>0</v>
      </c>
      <c r="AC3181" s="30">
        <v>0</v>
      </c>
      <c r="AD3181" s="30">
        <v>0</v>
      </c>
      <c r="AE3181" s="89" t="s">
        <v>18039</v>
      </c>
      <c r="AF3181" s="72" t="s">
        <v>18040</v>
      </c>
      <c r="AG3181" s="88" t="s">
        <v>11890</v>
      </c>
      <c r="AH3181" s="72">
        <v>44040</v>
      </c>
      <c r="AI3181" s="30">
        <v>1</v>
      </c>
      <c r="AJ3181" s="72" t="s">
        <v>18041</v>
      </c>
      <c r="AK3181" s="72" t="s">
        <v>18042</v>
      </c>
      <c r="AL3181" s="70">
        <v>44041</v>
      </c>
      <c r="AM3181" s="70"/>
      <c r="AN3181" s="70">
        <v>45012</v>
      </c>
      <c r="AO3181" s="70">
        <v>44628</v>
      </c>
      <c r="AP3181" s="73" t="e">
        <f>MID(VLOOKUP(K3181,#REF!,2,FALSE),1,2)</f>
        <v>#REF!</v>
      </c>
      <c r="AQ3181" s="72">
        <f>DATE(2020,8,5)</f>
        <v>44048</v>
      </c>
      <c r="AR3181" s="83">
        <f t="shared" si="283"/>
        <v>5</v>
      </c>
      <c r="AS3181" s="84">
        <f t="shared" si="284"/>
        <v>8</v>
      </c>
      <c r="AT3181" s="86">
        <f t="shared" si="285"/>
        <v>2020</v>
      </c>
      <c r="AU3181" s="86"/>
      <c r="AV3181" s="87"/>
      <c r="AW3181" s="86"/>
      <c r="AX3181" s="83"/>
      <c r="AY3181" s="84"/>
      <c r="AZ3181" s="86"/>
      <c r="BA3181" s="86"/>
      <c r="BB3181" s="86"/>
    </row>
    <row r="3182" spans="1:54" ht="36.75" customHeight="1">
      <c r="A3182" s="30"/>
      <c r="B3182" s="30" t="s">
        <v>55</v>
      </c>
      <c r="C3182" s="69" t="str">
        <f t="shared" ref="C3182:C3191" si="286">IF(B3182="Notification","Open",IF(B3182="Interim Statement","In progress","Closed"))</f>
        <v>Closed</v>
      </c>
      <c r="D3182" s="27" t="s">
        <v>18043</v>
      </c>
      <c r="E3182" s="29" t="s">
        <v>18044</v>
      </c>
      <c r="F3182" s="30" t="s">
        <v>423</v>
      </c>
      <c r="G3182" s="72">
        <f>DATE(2020,7,28)</f>
        <v>44040</v>
      </c>
      <c r="H3182" s="80">
        <v>1.4770833333333333</v>
      </c>
      <c r="I3182" s="30" t="s">
        <v>10375</v>
      </c>
      <c r="J3182" s="72" t="s">
        <v>18045</v>
      </c>
      <c r="K3182" s="30" t="s">
        <v>425</v>
      </c>
      <c r="L3182" s="30" t="s">
        <v>425</v>
      </c>
      <c r="M3182" s="30" t="s">
        <v>18046</v>
      </c>
      <c r="N3182" s="30" t="s">
        <v>63</v>
      </c>
      <c r="O3182" s="30" t="s">
        <v>142</v>
      </c>
      <c r="P3182" s="72" t="s">
        <v>91</v>
      </c>
      <c r="Q3182" s="72" t="s">
        <v>3920</v>
      </c>
      <c r="R3182" s="72" t="s">
        <v>3103</v>
      </c>
      <c r="S3182" s="30">
        <v>0</v>
      </c>
      <c r="T3182" s="232">
        <v>0</v>
      </c>
      <c r="U3182" s="30">
        <v>0</v>
      </c>
      <c r="V3182" s="232">
        <v>0</v>
      </c>
      <c r="W3182" s="30">
        <v>0</v>
      </c>
      <c r="X3182" s="30">
        <v>0</v>
      </c>
      <c r="Y3182" s="30">
        <v>0</v>
      </c>
      <c r="Z3182" s="232">
        <v>1</v>
      </c>
      <c r="AA3182" s="30">
        <v>0</v>
      </c>
      <c r="AB3182" s="30">
        <v>0</v>
      </c>
      <c r="AC3182" s="30">
        <v>0</v>
      </c>
      <c r="AD3182" s="30">
        <v>1</v>
      </c>
      <c r="AE3182" s="72" t="s">
        <v>92</v>
      </c>
      <c r="AF3182" s="72" t="s">
        <v>18047</v>
      </c>
      <c r="AG3182" s="72" t="s">
        <v>16283</v>
      </c>
      <c r="AH3182" s="72">
        <v>44040</v>
      </c>
      <c r="AI3182" s="30">
        <v>0</v>
      </c>
      <c r="AJ3182" s="72" t="s">
        <v>18048</v>
      </c>
      <c r="AK3182" s="72" t="s">
        <v>17938</v>
      </c>
      <c r="AL3182" s="70">
        <v>44043</v>
      </c>
      <c r="AM3182" s="70"/>
      <c r="AN3182" s="70"/>
      <c r="AO3182" s="70"/>
      <c r="AP3182" s="73" t="e">
        <f>MID(VLOOKUP(K3182,#REF!,2,FALSE),1,2)</f>
        <v>#REF!</v>
      </c>
      <c r="AQ3182" s="72">
        <f>DATE(2020,8,5)</f>
        <v>44048</v>
      </c>
      <c r="AR3182" s="83">
        <f t="shared" si="283"/>
        <v>5</v>
      </c>
      <c r="AS3182" s="84">
        <f t="shared" si="284"/>
        <v>8</v>
      </c>
      <c r="AT3182" s="86">
        <f t="shared" si="285"/>
        <v>2020</v>
      </c>
      <c r="AU3182" s="86"/>
      <c r="AV3182" s="87"/>
      <c r="AW3182" s="86"/>
      <c r="AX3182" s="83"/>
      <c r="AY3182" s="84"/>
      <c r="AZ3182" s="86"/>
      <c r="BA3182" s="86"/>
      <c r="BB3182" s="86"/>
    </row>
    <row r="3183" spans="1:54" ht="36.75" customHeight="1">
      <c r="A3183" s="30"/>
      <c r="B3183" s="30" t="s">
        <v>55</v>
      </c>
      <c r="C3183" s="69" t="str">
        <f t="shared" si="286"/>
        <v>Closed</v>
      </c>
      <c r="D3183" s="27" t="s">
        <v>18049</v>
      </c>
      <c r="E3183" s="29" t="s">
        <v>18050</v>
      </c>
      <c r="F3183" s="30" t="s">
        <v>5427</v>
      </c>
      <c r="G3183" s="72">
        <f>DATE(2020,7,31)</f>
        <v>44043</v>
      </c>
      <c r="H3183" s="80">
        <v>1.6430555555555557</v>
      </c>
      <c r="I3183" s="30" t="s">
        <v>198</v>
      </c>
      <c r="J3183" s="72" t="s">
        <v>18051</v>
      </c>
      <c r="K3183" s="30" t="s">
        <v>596</v>
      </c>
      <c r="L3183" s="30" t="s">
        <v>18052</v>
      </c>
      <c r="M3183" s="30" t="s">
        <v>63</v>
      </c>
      <c r="N3183" s="30" t="s">
        <v>142</v>
      </c>
      <c r="O3183" s="30" t="s">
        <v>77</v>
      </c>
      <c r="P3183" s="72" t="s">
        <v>65</v>
      </c>
      <c r="Q3183" s="72" t="s">
        <v>17292</v>
      </c>
      <c r="R3183" s="72" t="s">
        <v>17293</v>
      </c>
      <c r="S3183" s="30">
        <v>0</v>
      </c>
      <c r="T3183" s="232">
        <v>2</v>
      </c>
      <c r="U3183" s="30">
        <v>0</v>
      </c>
      <c r="V3183" s="232">
        <v>0</v>
      </c>
      <c r="W3183" s="30">
        <v>0</v>
      </c>
      <c r="X3183" s="30">
        <v>2</v>
      </c>
      <c r="Y3183" s="30">
        <v>2</v>
      </c>
      <c r="Z3183" s="232">
        <v>1</v>
      </c>
      <c r="AA3183" s="30">
        <v>0</v>
      </c>
      <c r="AB3183" s="30">
        <v>0</v>
      </c>
      <c r="AC3183" s="30">
        <v>0</v>
      </c>
      <c r="AD3183" s="30">
        <v>3</v>
      </c>
      <c r="AE3183" s="72" t="s">
        <v>145</v>
      </c>
      <c r="AF3183" s="72" t="s">
        <v>18053</v>
      </c>
      <c r="AG3183" s="72" t="s">
        <v>6459</v>
      </c>
      <c r="AH3183" s="72">
        <v>44044</v>
      </c>
      <c r="AI3183" s="30">
        <v>10</v>
      </c>
      <c r="AJ3183" s="72" t="s">
        <v>4610</v>
      </c>
      <c r="AK3183" s="72" t="s">
        <v>18054</v>
      </c>
      <c r="AL3183" s="70">
        <v>44044</v>
      </c>
      <c r="AM3183" s="70"/>
      <c r="AN3183" s="70"/>
      <c r="AO3183" s="70"/>
      <c r="AP3183" s="73" t="e">
        <f>MID(VLOOKUP(K3183,#REF!,2,FALSE),1,2)</f>
        <v>#REF!</v>
      </c>
      <c r="AQ3183" s="72">
        <f>DATE(2020,8,5)</f>
        <v>44048</v>
      </c>
      <c r="AR3183" s="83">
        <f t="shared" si="283"/>
        <v>5</v>
      </c>
      <c r="AS3183" s="84">
        <f t="shared" si="284"/>
        <v>8</v>
      </c>
      <c r="AT3183" s="86">
        <f t="shared" si="285"/>
        <v>2020</v>
      </c>
      <c r="AU3183" s="86"/>
      <c r="AV3183" s="87"/>
      <c r="AW3183" s="86"/>
      <c r="AX3183" s="83"/>
      <c r="AY3183" s="84"/>
      <c r="AZ3183" s="86"/>
      <c r="BA3183" s="86"/>
      <c r="BB3183" s="86"/>
    </row>
    <row r="3184" spans="1:54" ht="36.75" customHeight="1">
      <c r="A3184" s="98" t="s">
        <v>4910</v>
      </c>
      <c r="B3184" s="30" t="s">
        <v>55</v>
      </c>
      <c r="C3184" s="69" t="str">
        <f t="shared" si="286"/>
        <v>Closed</v>
      </c>
      <c r="D3184" s="27" t="s">
        <v>18055</v>
      </c>
      <c r="E3184" s="29" t="s">
        <v>18056</v>
      </c>
      <c r="F3184" s="30" t="s">
        <v>423</v>
      </c>
      <c r="G3184" s="72">
        <f>DATE(2020,8,5)</f>
        <v>44048</v>
      </c>
      <c r="H3184" s="80">
        <v>1.3493055555555555</v>
      </c>
      <c r="I3184" s="30" t="s">
        <v>116</v>
      </c>
      <c r="J3184" s="72" t="s">
        <v>18057</v>
      </c>
      <c r="K3184" s="30" t="s">
        <v>425</v>
      </c>
      <c r="L3184" s="30" t="s">
        <v>18058</v>
      </c>
      <c r="M3184" s="30" t="s">
        <v>63</v>
      </c>
      <c r="N3184" s="30" t="s">
        <v>99</v>
      </c>
      <c r="O3184" s="30" t="s">
        <v>64</v>
      </c>
      <c r="P3184" s="72" t="s">
        <v>78</v>
      </c>
      <c r="Q3184" s="72" t="s">
        <v>2582</v>
      </c>
      <c r="R3184" s="72" t="s">
        <v>3103</v>
      </c>
      <c r="S3184" s="30">
        <v>0</v>
      </c>
      <c r="T3184" s="99">
        <v>0</v>
      </c>
      <c r="U3184" s="30">
        <v>1</v>
      </c>
      <c r="V3184" s="99">
        <v>0</v>
      </c>
      <c r="W3184" s="30">
        <v>0</v>
      </c>
      <c r="X3184" s="30">
        <v>1</v>
      </c>
      <c r="Y3184" s="30">
        <v>0</v>
      </c>
      <c r="Z3184" s="99">
        <v>0</v>
      </c>
      <c r="AA3184" s="30">
        <v>0</v>
      </c>
      <c r="AB3184" s="30">
        <v>0</v>
      </c>
      <c r="AC3184" s="30">
        <v>0</v>
      </c>
      <c r="AD3184" s="30">
        <v>0</v>
      </c>
      <c r="AE3184" s="72" t="s">
        <v>92</v>
      </c>
      <c r="AF3184" s="72"/>
      <c r="AG3184" s="72" t="s">
        <v>874</v>
      </c>
      <c r="AH3184" s="72">
        <v>43959</v>
      </c>
      <c r="AI3184" s="30">
        <v>0</v>
      </c>
      <c r="AJ3184" s="72" t="s">
        <v>68</v>
      </c>
      <c r="AK3184" s="72" t="s">
        <v>68</v>
      </c>
      <c r="AL3184" s="70">
        <v>44053</v>
      </c>
      <c r="AM3184" s="70"/>
      <c r="AN3184" s="70"/>
      <c r="AO3184" s="70"/>
      <c r="AP3184" s="73" t="e">
        <f>MID(VLOOKUP(K3184,#REF!,2,FALSE),1,2)</f>
        <v>#REF!</v>
      </c>
      <c r="AQ3184" s="72">
        <f>DATE(2020,8,11)</f>
        <v>44054</v>
      </c>
      <c r="AR3184" s="83">
        <f t="shared" si="283"/>
        <v>11</v>
      </c>
      <c r="AS3184" s="84">
        <f t="shared" si="284"/>
        <v>8</v>
      </c>
      <c r="AT3184" s="86">
        <f t="shared" si="285"/>
        <v>2020</v>
      </c>
      <c r="AU3184" s="86"/>
      <c r="AV3184" s="87"/>
      <c r="AW3184" s="86"/>
      <c r="AX3184" s="83"/>
      <c r="AY3184" s="84"/>
      <c r="AZ3184" s="86"/>
      <c r="BA3184" s="86"/>
      <c r="BB3184" s="86"/>
    </row>
    <row r="3185" spans="1:55" ht="36.75" customHeight="1">
      <c r="A3185" s="30"/>
      <c r="B3185" s="30" t="s">
        <v>55</v>
      </c>
      <c r="C3185" s="69" t="str">
        <f t="shared" si="286"/>
        <v>Closed</v>
      </c>
      <c r="D3185" s="27" t="s">
        <v>18059</v>
      </c>
      <c r="E3185" s="29" t="s">
        <v>18060</v>
      </c>
      <c r="F3185" s="30" t="s">
        <v>1572</v>
      </c>
      <c r="G3185" s="72">
        <f>DATE(2020,8,5)</f>
        <v>44048</v>
      </c>
      <c r="H3185" s="80">
        <v>1.5625</v>
      </c>
      <c r="I3185" s="30" t="s">
        <v>73</v>
      </c>
      <c r="J3185" s="72" t="s">
        <v>18061</v>
      </c>
      <c r="K3185" s="30" t="s">
        <v>1574</v>
      </c>
      <c r="L3185" s="30" t="s">
        <v>18062</v>
      </c>
      <c r="M3185" s="30" t="s">
        <v>63</v>
      </c>
      <c r="N3185" s="30" t="s">
        <v>99</v>
      </c>
      <c r="O3185" s="30" t="s">
        <v>64</v>
      </c>
      <c r="P3185" s="72" t="s">
        <v>78</v>
      </c>
      <c r="Q3185" s="72" t="s">
        <v>18063</v>
      </c>
      <c r="R3185" s="72" t="s">
        <v>18064</v>
      </c>
      <c r="S3185" s="30">
        <v>0</v>
      </c>
      <c r="T3185" s="232">
        <v>0</v>
      </c>
      <c r="U3185" s="30">
        <v>0</v>
      </c>
      <c r="V3185" s="232">
        <v>0</v>
      </c>
      <c r="W3185" s="30">
        <v>0</v>
      </c>
      <c r="X3185" s="30">
        <v>0</v>
      </c>
      <c r="Y3185" s="30">
        <v>0</v>
      </c>
      <c r="Z3185" s="232">
        <v>0</v>
      </c>
      <c r="AA3185" s="30">
        <v>0</v>
      </c>
      <c r="AB3185" s="30">
        <v>0</v>
      </c>
      <c r="AC3185" s="30">
        <v>0</v>
      </c>
      <c r="AD3185" s="30">
        <v>0</v>
      </c>
      <c r="AE3185" s="72" t="s">
        <v>92</v>
      </c>
      <c r="AF3185" s="72" t="s">
        <v>18065</v>
      </c>
      <c r="AG3185" s="72" t="s">
        <v>8859</v>
      </c>
      <c r="AH3185" s="72">
        <v>44049</v>
      </c>
      <c r="AI3185" s="30">
        <v>1</v>
      </c>
      <c r="AJ3185" s="72" t="s">
        <v>18066</v>
      </c>
      <c r="AK3185" s="72" t="s">
        <v>18067</v>
      </c>
      <c r="AL3185" s="70">
        <v>44049</v>
      </c>
      <c r="AM3185" s="70"/>
      <c r="AN3185" s="70"/>
      <c r="AO3185" s="70"/>
      <c r="AP3185" s="73" t="e">
        <f>MID(VLOOKUP(K3185,#REF!,2,FALSE),1,2)</f>
        <v>#REF!</v>
      </c>
      <c r="AQ3185" s="72">
        <f>DATE(2020,8,12)</f>
        <v>44055</v>
      </c>
      <c r="AR3185" s="83">
        <f t="shared" si="283"/>
        <v>12</v>
      </c>
      <c r="AS3185" s="84">
        <f t="shared" si="284"/>
        <v>8</v>
      </c>
      <c r="AT3185" s="86">
        <f t="shared" si="285"/>
        <v>2020</v>
      </c>
      <c r="AU3185" s="86"/>
      <c r="AV3185" s="87"/>
      <c r="AW3185" s="86"/>
      <c r="AX3185" s="83"/>
      <c r="AY3185" s="84"/>
      <c r="AZ3185" s="86"/>
      <c r="BA3185" s="86"/>
      <c r="BB3185" s="86"/>
    </row>
    <row r="3186" spans="1:55" ht="36.75" customHeight="1">
      <c r="A3186" s="30"/>
      <c r="B3186" s="30" t="s">
        <v>55</v>
      </c>
      <c r="C3186" s="69" t="str">
        <f t="shared" si="286"/>
        <v>Closed</v>
      </c>
      <c r="D3186" s="27" t="s">
        <v>18068</v>
      </c>
      <c r="E3186" s="29" t="s">
        <v>18069</v>
      </c>
      <c r="F3186" s="30" t="s">
        <v>18070</v>
      </c>
      <c r="G3186" s="72">
        <f>DATE(2020,8,5)</f>
        <v>44048</v>
      </c>
      <c r="H3186" s="80">
        <v>1.2430555555555556</v>
      </c>
      <c r="I3186" s="30" t="s">
        <v>278</v>
      </c>
      <c r="J3186" s="72" t="s">
        <v>18071</v>
      </c>
      <c r="K3186" s="30" t="s">
        <v>140</v>
      </c>
      <c r="L3186" s="30" t="s">
        <v>18072</v>
      </c>
      <c r="M3186" s="30" t="s">
        <v>63</v>
      </c>
      <c r="N3186" s="30" t="s">
        <v>89</v>
      </c>
      <c r="O3186" s="30" t="s">
        <v>6875</v>
      </c>
      <c r="P3186" s="72" t="s">
        <v>91</v>
      </c>
      <c r="Q3186" s="72" t="s">
        <v>18073</v>
      </c>
      <c r="R3186" s="72" t="s">
        <v>18074</v>
      </c>
      <c r="S3186" s="30">
        <v>0</v>
      </c>
      <c r="T3186" s="232">
        <v>1</v>
      </c>
      <c r="U3186" s="30">
        <v>0</v>
      </c>
      <c r="V3186" s="232">
        <v>0</v>
      </c>
      <c r="W3186" s="30">
        <v>0</v>
      </c>
      <c r="X3186" s="30">
        <v>1</v>
      </c>
      <c r="Y3186" s="30">
        <v>0</v>
      </c>
      <c r="Z3186" s="232">
        <v>0</v>
      </c>
      <c r="AA3186" s="30">
        <v>0</v>
      </c>
      <c r="AB3186" s="30">
        <v>0</v>
      </c>
      <c r="AC3186" s="30">
        <v>0</v>
      </c>
      <c r="AD3186" s="30">
        <v>0</v>
      </c>
      <c r="AE3186" s="72" t="s">
        <v>92</v>
      </c>
      <c r="AF3186" s="72" t="s">
        <v>18075</v>
      </c>
      <c r="AG3186" s="72" t="s">
        <v>13537</v>
      </c>
      <c r="AH3186" s="72">
        <v>44053</v>
      </c>
      <c r="AI3186" s="30">
        <v>5</v>
      </c>
      <c r="AJ3186" s="72" t="s">
        <v>18076</v>
      </c>
      <c r="AK3186" s="72" t="s">
        <v>18077</v>
      </c>
      <c r="AL3186" s="70">
        <v>44078</v>
      </c>
      <c r="AM3186" s="70">
        <v>44440</v>
      </c>
      <c r="AN3186" s="70">
        <v>44987</v>
      </c>
      <c r="AO3186" s="70">
        <v>44606</v>
      </c>
      <c r="AP3186" s="73" t="e">
        <f>MID(VLOOKUP(K3186,#REF!,2,FALSE),1,2)</f>
        <v>#REF!</v>
      </c>
      <c r="AQ3186" s="72">
        <f>DATE(2020,8,13)</f>
        <v>44056</v>
      </c>
      <c r="AR3186" s="83">
        <f t="shared" si="283"/>
        <v>13</v>
      </c>
      <c r="AS3186" s="84">
        <f t="shared" si="284"/>
        <v>8</v>
      </c>
      <c r="AT3186" s="86">
        <f t="shared" si="285"/>
        <v>2020</v>
      </c>
      <c r="AU3186" s="86"/>
      <c r="AV3186" s="87"/>
      <c r="AW3186" s="86"/>
      <c r="AX3186" s="83"/>
      <c r="AY3186" s="84"/>
      <c r="AZ3186" s="86"/>
      <c r="BA3186" s="86"/>
      <c r="BB3186" s="86"/>
    </row>
    <row r="3187" spans="1:55" ht="36.75" customHeight="1">
      <c r="A3187" s="30"/>
      <c r="B3187" s="30" t="s">
        <v>55</v>
      </c>
      <c r="C3187" s="69" t="str">
        <f t="shared" si="286"/>
        <v>Closed</v>
      </c>
      <c r="D3187" s="27" t="s">
        <v>18078</v>
      </c>
      <c r="E3187" s="29" t="s">
        <v>18079</v>
      </c>
      <c r="F3187" s="30" t="s">
        <v>423</v>
      </c>
      <c r="G3187" s="72">
        <f>DATE(2020,8,11)</f>
        <v>44054</v>
      </c>
      <c r="H3187" s="80">
        <v>1.2444444444444445</v>
      </c>
      <c r="I3187" s="30" t="s">
        <v>198</v>
      </c>
      <c r="J3187" s="72" t="s">
        <v>18080</v>
      </c>
      <c r="K3187" s="30" t="s">
        <v>425</v>
      </c>
      <c r="L3187" s="30" t="s">
        <v>18081</v>
      </c>
      <c r="M3187" s="30" t="s">
        <v>63</v>
      </c>
      <c r="N3187" s="30" t="s">
        <v>99</v>
      </c>
      <c r="O3187" s="30" t="s">
        <v>77</v>
      </c>
      <c r="P3187" s="72" t="s">
        <v>78</v>
      </c>
      <c r="Q3187" s="72" t="s">
        <v>18082</v>
      </c>
      <c r="R3187" s="72" t="s">
        <v>17369</v>
      </c>
      <c r="S3187" s="30">
        <v>0</v>
      </c>
      <c r="T3187" s="232">
        <v>0</v>
      </c>
      <c r="U3187" s="30">
        <v>0</v>
      </c>
      <c r="V3187" s="232">
        <v>0</v>
      </c>
      <c r="W3187" s="30">
        <v>0</v>
      </c>
      <c r="X3187" s="30">
        <v>0</v>
      </c>
      <c r="Y3187" s="30">
        <v>0</v>
      </c>
      <c r="Z3187" s="232">
        <v>0</v>
      </c>
      <c r="AA3187" s="30">
        <v>0</v>
      </c>
      <c r="AB3187" s="30">
        <v>0</v>
      </c>
      <c r="AC3187" s="30">
        <v>0</v>
      </c>
      <c r="AD3187" s="30">
        <v>0</v>
      </c>
      <c r="AE3187" s="72" t="s">
        <v>394</v>
      </c>
      <c r="AF3187" s="72" t="s">
        <v>18083</v>
      </c>
      <c r="AG3187" s="72" t="s">
        <v>18084</v>
      </c>
      <c r="AH3187" s="72">
        <v>44054</v>
      </c>
      <c r="AI3187" s="30">
        <v>0</v>
      </c>
      <c r="AJ3187" s="72" t="s">
        <v>18085</v>
      </c>
      <c r="AK3187" s="72" t="s">
        <v>879</v>
      </c>
      <c r="AL3187" s="70">
        <v>44056</v>
      </c>
      <c r="AM3187" s="72"/>
      <c r="AN3187" s="72"/>
      <c r="AO3187" s="72"/>
      <c r="AP3187" s="72">
        <v>45150</v>
      </c>
      <c r="AQ3187" s="72">
        <v>45151</v>
      </c>
      <c r="AR3187" s="72">
        <v>45152</v>
      </c>
      <c r="AS3187" s="72">
        <v>45153</v>
      </c>
      <c r="AT3187" s="72">
        <v>45154</v>
      </c>
      <c r="AU3187" s="72">
        <v>45155</v>
      </c>
      <c r="AV3187" s="72">
        <v>45156</v>
      </c>
      <c r="AW3187" s="72">
        <v>45157</v>
      </c>
      <c r="AX3187" s="72">
        <v>45158</v>
      </c>
      <c r="AY3187" s="72">
        <v>45159</v>
      </c>
      <c r="AZ3187" s="72">
        <v>45160</v>
      </c>
      <c r="BA3187" s="72">
        <v>45161</v>
      </c>
      <c r="BB3187" s="72">
        <v>45162</v>
      </c>
      <c r="BC3187" s="72">
        <v>45163</v>
      </c>
    </row>
    <row r="3188" spans="1:55" ht="36.75" customHeight="1">
      <c r="A3188" s="30"/>
      <c r="B3188" s="30" t="s">
        <v>2124</v>
      </c>
      <c r="C3188" s="69" t="str">
        <f t="shared" si="286"/>
        <v>Open</v>
      </c>
      <c r="D3188" s="27" t="s">
        <v>18086</v>
      </c>
      <c r="E3188" s="29" t="s">
        <v>18087</v>
      </c>
      <c r="F3188" s="30" t="s">
        <v>233</v>
      </c>
      <c r="G3188" s="72">
        <f>DATE(2020,8,12)</f>
        <v>44055</v>
      </c>
      <c r="H3188" s="80">
        <v>1.4027777777777777</v>
      </c>
      <c r="I3188" s="30" t="s">
        <v>73</v>
      </c>
      <c r="J3188" s="72" t="s">
        <v>18088</v>
      </c>
      <c r="K3188" s="30" t="s">
        <v>235</v>
      </c>
      <c r="L3188" s="30" t="s">
        <v>18089</v>
      </c>
      <c r="M3188" s="30" t="s">
        <v>63</v>
      </c>
      <c r="N3188" s="30" t="s">
        <v>142</v>
      </c>
      <c r="O3188" s="30" t="s">
        <v>64</v>
      </c>
      <c r="P3188" s="72" t="s">
        <v>165</v>
      </c>
      <c r="Q3188" s="72" t="s">
        <v>3678</v>
      </c>
      <c r="R3188" s="72" t="s">
        <v>235</v>
      </c>
      <c r="S3188" s="30">
        <v>1</v>
      </c>
      <c r="T3188" s="232">
        <v>2</v>
      </c>
      <c r="U3188" s="30">
        <v>0</v>
      </c>
      <c r="V3188" s="232">
        <v>0</v>
      </c>
      <c r="W3188" s="30">
        <v>0</v>
      </c>
      <c r="X3188" s="30">
        <v>3</v>
      </c>
      <c r="Y3188" s="30">
        <v>0</v>
      </c>
      <c r="Z3188" s="232">
        <v>0</v>
      </c>
      <c r="AA3188" s="30">
        <v>0</v>
      </c>
      <c r="AB3188" s="30">
        <v>0</v>
      </c>
      <c r="AC3188" s="30">
        <v>0</v>
      </c>
      <c r="AD3188" s="30">
        <v>0</v>
      </c>
      <c r="AE3188" s="72" t="s">
        <v>145</v>
      </c>
      <c r="AF3188" s="72"/>
      <c r="AG3188" s="72" t="s">
        <v>82</v>
      </c>
      <c r="AH3188" s="72">
        <v>44055</v>
      </c>
      <c r="AI3188" s="30">
        <v>0</v>
      </c>
      <c r="AJ3188" s="72" t="s">
        <v>68</v>
      </c>
      <c r="AK3188" s="72" t="s">
        <v>68</v>
      </c>
      <c r="AL3188" s="70">
        <v>44062</v>
      </c>
      <c r="AM3188" s="70"/>
      <c r="AN3188" s="70"/>
      <c r="AO3188" s="70"/>
      <c r="AP3188" s="73" t="e">
        <f>MID(VLOOKUP(K3188,#REF!,2,FALSE),1,2)</f>
        <v>#REF!</v>
      </c>
      <c r="AQ3188" s="72">
        <f>DATE(2020,8,14)</f>
        <v>44057</v>
      </c>
      <c r="AR3188" s="83">
        <f>DAY(AQ3188)</f>
        <v>14</v>
      </c>
      <c r="AS3188" s="84">
        <f>MONTH(AQ3188)</f>
        <v>8</v>
      </c>
      <c r="AT3188" s="86">
        <f>YEAR(AQ3188)</f>
        <v>2020</v>
      </c>
      <c r="AU3188" s="86"/>
      <c r="AV3188" s="87"/>
      <c r="AW3188" s="86"/>
      <c r="AX3188" s="83"/>
      <c r="AY3188" s="84"/>
      <c r="AZ3188" s="86"/>
      <c r="BA3188" s="86"/>
      <c r="BB3188" s="86"/>
    </row>
    <row r="3189" spans="1:55" ht="36.75" customHeight="1">
      <c r="A3189" s="98" t="s">
        <v>4910</v>
      </c>
      <c r="B3189" s="30" t="s">
        <v>55</v>
      </c>
      <c r="C3189" s="69" t="str">
        <f t="shared" si="286"/>
        <v>Closed</v>
      </c>
      <c r="D3189" s="27" t="s">
        <v>18090</v>
      </c>
      <c r="E3189" s="29" t="s">
        <v>18091</v>
      </c>
      <c r="F3189" s="30" t="s">
        <v>423</v>
      </c>
      <c r="G3189" s="72">
        <f>DATE(2020,8,13)</f>
        <v>44056</v>
      </c>
      <c r="H3189" s="80">
        <v>1.3854166666666667</v>
      </c>
      <c r="I3189" s="30" t="s">
        <v>73</v>
      </c>
      <c r="J3189" s="72" t="s">
        <v>18092</v>
      </c>
      <c r="K3189" s="30" t="s">
        <v>425</v>
      </c>
      <c r="L3189" s="30" t="s">
        <v>18093</v>
      </c>
      <c r="M3189" s="30" t="s">
        <v>63</v>
      </c>
      <c r="N3189" s="30" t="s">
        <v>142</v>
      </c>
      <c r="O3189" s="30" t="s">
        <v>77</v>
      </c>
      <c r="P3189" s="72" t="s">
        <v>65</v>
      </c>
      <c r="Q3189" s="72" t="s">
        <v>4551</v>
      </c>
      <c r="R3189" s="72" t="s">
        <v>3103</v>
      </c>
      <c r="S3189" s="30">
        <v>0</v>
      </c>
      <c r="T3189" s="232">
        <v>0</v>
      </c>
      <c r="U3189" s="30">
        <v>0</v>
      </c>
      <c r="V3189" s="232">
        <v>0</v>
      </c>
      <c r="W3189" s="30">
        <v>0</v>
      </c>
      <c r="X3189" s="30">
        <v>0</v>
      </c>
      <c r="Y3189" s="30">
        <v>0</v>
      </c>
      <c r="Z3189" s="232">
        <v>0</v>
      </c>
      <c r="AA3189" s="30">
        <v>0</v>
      </c>
      <c r="AB3189" s="30">
        <v>0</v>
      </c>
      <c r="AC3189" s="30">
        <v>0</v>
      </c>
      <c r="AD3189" s="30">
        <v>0</v>
      </c>
      <c r="AE3189" s="72" t="s">
        <v>92</v>
      </c>
      <c r="AF3189" s="72"/>
      <c r="AG3189" s="72" t="s">
        <v>133</v>
      </c>
      <c r="AH3189" s="72">
        <v>44056</v>
      </c>
      <c r="AI3189" s="30">
        <v>0</v>
      </c>
      <c r="AJ3189" s="72" t="s">
        <v>68</v>
      </c>
      <c r="AK3189" s="72" t="s">
        <v>68</v>
      </c>
      <c r="AL3189" s="70">
        <v>44057</v>
      </c>
      <c r="AM3189" s="70"/>
      <c r="AN3189" s="70"/>
      <c r="AO3189" s="70"/>
      <c r="AP3189" s="73" t="e">
        <f>MID(VLOOKUP(K3189,#REF!,2,FALSE),1,2)</f>
        <v>#REF!</v>
      </c>
      <c r="AQ3189" s="72">
        <f>DATE(2020,8,16)</f>
        <v>44059</v>
      </c>
      <c r="AR3189" s="83">
        <f>DAY(AQ3189)</f>
        <v>16</v>
      </c>
      <c r="AS3189" s="84">
        <f>MONTH(AQ3189)</f>
        <v>8</v>
      </c>
      <c r="AT3189" s="86">
        <f>YEAR(AQ3189)</f>
        <v>2020</v>
      </c>
      <c r="AU3189" s="86"/>
      <c r="AV3189" s="87"/>
      <c r="AW3189" s="86"/>
      <c r="AX3189" s="83"/>
      <c r="AY3189" s="84"/>
      <c r="AZ3189" s="86"/>
      <c r="BA3189" s="86"/>
      <c r="BB3189" s="86"/>
    </row>
    <row r="3190" spans="1:55" ht="36.75" customHeight="1">
      <c r="A3190" s="30"/>
      <c r="B3190" s="30" t="s">
        <v>55</v>
      </c>
      <c r="C3190" s="69" t="str">
        <f t="shared" si="286"/>
        <v>Closed</v>
      </c>
      <c r="D3190" s="27" t="s">
        <v>18094</v>
      </c>
      <c r="E3190" s="29" t="s">
        <v>18095</v>
      </c>
      <c r="F3190" s="30" t="s">
        <v>16429</v>
      </c>
      <c r="G3190" s="72">
        <f>DATE(2020,8,14)</f>
        <v>44057</v>
      </c>
      <c r="H3190" s="80">
        <v>1.3763888888888889</v>
      </c>
      <c r="I3190" s="30" t="s">
        <v>73</v>
      </c>
      <c r="J3190" s="72" t="s">
        <v>18096</v>
      </c>
      <c r="K3190" s="30" t="s">
        <v>425</v>
      </c>
      <c r="L3190" s="30" t="s">
        <v>18097</v>
      </c>
      <c r="M3190" s="30" t="s">
        <v>63</v>
      </c>
      <c r="N3190" s="30" t="s">
        <v>99</v>
      </c>
      <c r="O3190" s="30" t="s">
        <v>6875</v>
      </c>
      <c r="P3190" s="72" t="s">
        <v>91</v>
      </c>
      <c r="Q3190" s="72" t="s">
        <v>18098</v>
      </c>
      <c r="R3190" s="72" t="s">
        <v>18099</v>
      </c>
      <c r="S3190" s="30">
        <v>0</v>
      </c>
      <c r="T3190" s="232">
        <v>0</v>
      </c>
      <c r="U3190" s="30">
        <v>0</v>
      </c>
      <c r="V3190" s="232">
        <v>0</v>
      </c>
      <c r="W3190" s="30">
        <v>0</v>
      </c>
      <c r="X3190" s="30">
        <v>0</v>
      </c>
      <c r="Y3190" s="30">
        <v>0</v>
      </c>
      <c r="Z3190" s="232">
        <v>0</v>
      </c>
      <c r="AA3190" s="30">
        <v>0</v>
      </c>
      <c r="AB3190" s="30">
        <v>0</v>
      </c>
      <c r="AC3190" s="30">
        <v>0</v>
      </c>
      <c r="AD3190" s="30">
        <v>0</v>
      </c>
      <c r="AE3190" s="72" t="s">
        <v>92</v>
      </c>
      <c r="AF3190" s="72" t="s">
        <v>18100</v>
      </c>
      <c r="AG3190" s="72" t="s">
        <v>16283</v>
      </c>
      <c r="AH3190" s="72">
        <v>44057</v>
      </c>
      <c r="AI3190" s="30">
        <v>1</v>
      </c>
      <c r="AJ3190" s="72" t="s">
        <v>18101</v>
      </c>
      <c r="AK3190" s="72" t="s">
        <v>18102</v>
      </c>
      <c r="AL3190" s="70">
        <v>44060</v>
      </c>
      <c r="AM3190" s="70">
        <v>44608</v>
      </c>
      <c r="AN3190" s="70">
        <v>45148</v>
      </c>
      <c r="AO3190" s="70">
        <v>45146</v>
      </c>
      <c r="AP3190" s="73" t="e">
        <f>MID(VLOOKUP(K3190,#REF!,2,FALSE),1,2)</f>
        <v>#REF!</v>
      </c>
      <c r="AQ3190" s="72">
        <f>DATE(2020,8,18)</f>
        <v>44061</v>
      </c>
      <c r="AR3190" s="83">
        <f>DAY(AQ3190)</f>
        <v>18</v>
      </c>
      <c r="AS3190" s="84">
        <f>MONTH(AQ3190)</f>
        <v>8</v>
      </c>
      <c r="AT3190" s="86">
        <f>YEAR(AQ3190)</f>
        <v>2020</v>
      </c>
      <c r="AU3190" s="86"/>
      <c r="AV3190" s="87"/>
      <c r="AW3190" s="86"/>
      <c r="AX3190" s="83"/>
      <c r="AY3190" s="84"/>
      <c r="AZ3190" s="86"/>
      <c r="BA3190" s="86"/>
      <c r="BB3190" s="86"/>
    </row>
    <row r="3191" spans="1:55" ht="36.75" customHeight="1">
      <c r="A3191" s="30"/>
      <c r="B3191" s="30" t="s">
        <v>55</v>
      </c>
      <c r="C3191" s="69" t="str">
        <f t="shared" si="286"/>
        <v>Closed</v>
      </c>
      <c r="D3191" s="27" t="s">
        <v>18103</v>
      </c>
      <c r="E3191" s="29" t="s">
        <v>18104</v>
      </c>
      <c r="F3191" s="30" t="s">
        <v>835</v>
      </c>
      <c r="G3191" s="72">
        <f>DATE(2020,8,14)</f>
        <v>44057</v>
      </c>
      <c r="H3191" s="125">
        <v>1.2749999999999999</v>
      </c>
      <c r="I3191" s="30" t="s">
        <v>125</v>
      </c>
      <c r="J3191" s="72" t="s">
        <v>18105</v>
      </c>
      <c r="K3191" s="30" t="s">
        <v>837</v>
      </c>
      <c r="L3191" s="30" t="s">
        <v>18106</v>
      </c>
      <c r="M3191" s="30" t="s">
        <v>63</v>
      </c>
      <c r="N3191" s="30" t="s">
        <v>142</v>
      </c>
      <c r="O3191" s="30" t="s">
        <v>77</v>
      </c>
      <c r="P3191" s="72" t="s">
        <v>553</v>
      </c>
      <c r="Q3191" s="72" t="s">
        <v>5840</v>
      </c>
      <c r="R3191" s="72" t="s">
        <v>840</v>
      </c>
      <c r="S3191" s="30">
        <v>0</v>
      </c>
      <c r="T3191" s="99">
        <v>0</v>
      </c>
      <c r="U3191" s="30">
        <v>0</v>
      </c>
      <c r="V3191" s="99">
        <v>0</v>
      </c>
      <c r="W3191" s="30">
        <v>0</v>
      </c>
      <c r="X3191" s="30">
        <v>0</v>
      </c>
      <c r="Y3191" s="30">
        <v>0</v>
      </c>
      <c r="Z3191" s="99">
        <v>0</v>
      </c>
      <c r="AA3191" s="30">
        <v>0</v>
      </c>
      <c r="AB3191" s="30">
        <v>0</v>
      </c>
      <c r="AC3191" s="30">
        <v>0</v>
      </c>
      <c r="AD3191" s="30">
        <v>0</v>
      </c>
      <c r="AE3191" s="72" t="s">
        <v>394</v>
      </c>
      <c r="AF3191" s="72"/>
      <c r="AG3191" s="30" t="s">
        <v>1507</v>
      </c>
      <c r="AH3191" s="72">
        <v>44057</v>
      </c>
      <c r="AI3191" s="30">
        <v>0</v>
      </c>
      <c r="AJ3191" s="72" t="s">
        <v>68</v>
      </c>
      <c r="AK3191" s="72" t="s">
        <v>68</v>
      </c>
      <c r="AL3191" s="70">
        <v>44061</v>
      </c>
      <c r="AM3191" s="70"/>
      <c r="AN3191" s="70"/>
      <c r="AO3191" s="70"/>
      <c r="AP3191" s="73" t="e">
        <f>MID(VLOOKUP(K3191,#REF!,2,FALSE),1,2)</f>
        <v>#REF!</v>
      </c>
      <c r="AQ3191" s="72">
        <f>DATE(2020,8,18)</f>
        <v>44061</v>
      </c>
      <c r="AR3191" s="83">
        <f>DAY(AQ3191)</f>
        <v>18</v>
      </c>
      <c r="AS3191" s="84">
        <f>MONTH(AQ3191)</f>
        <v>8</v>
      </c>
      <c r="AT3191" s="86">
        <f>YEAR(AQ3191)</f>
        <v>2020</v>
      </c>
      <c r="AU3191" s="86"/>
      <c r="AV3191" s="87"/>
      <c r="AW3191" s="86"/>
      <c r="AX3191" s="83"/>
      <c r="AY3191" s="84"/>
      <c r="AZ3191" s="86"/>
      <c r="BA3191" s="86"/>
      <c r="BB3191" s="86"/>
    </row>
    <row r="3192" spans="1:55" ht="36.75" customHeight="1">
      <c r="A3192" s="30"/>
      <c r="B3192" s="30" t="s">
        <v>55</v>
      </c>
      <c r="C3192" s="69" t="s">
        <v>18034</v>
      </c>
      <c r="D3192" s="27" t="s">
        <v>18107</v>
      </c>
      <c r="E3192" s="29" t="s">
        <v>18108</v>
      </c>
      <c r="F3192" s="30" t="s">
        <v>835</v>
      </c>
      <c r="G3192" s="72">
        <f>DATE(2020,8,16)</f>
        <v>44059</v>
      </c>
      <c r="H3192" s="80">
        <v>1.5902777777777777</v>
      </c>
      <c r="I3192" s="30" t="s">
        <v>73</v>
      </c>
      <c r="J3192" s="72" t="s">
        <v>18109</v>
      </c>
      <c r="K3192" s="30" t="s">
        <v>837</v>
      </c>
      <c r="L3192" s="30" t="s">
        <v>18110</v>
      </c>
      <c r="M3192" s="30" t="s">
        <v>63</v>
      </c>
      <c r="N3192" s="30" t="s">
        <v>99</v>
      </c>
      <c r="O3192" s="30" t="s">
        <v>64</v>
      </c>
      <c r="P3192" s="72" t="s">
        <v>78</v>
      </c>
      <c r="Q3192" s="72" t="s">
        <v>4708</v>
      </c>
      <c r="R3192" s="72" t="s">
        <v>840</v>
      </c>
      <c r="S3192" s="30">
        <v>0</v>
      </c>
      <c r="T3192" s="232">
        <v>0</v>
      </c>
      <c r="U3192" s="30">
        <v>0</v>
      </c>
      <c r="V3192" s="232">
        <v>0</v>
      </c>
      <c r="W3192" s="30">
        <v>0</v>
      </c>
      <c r="X3192" s="30">
        <v>0</v>
      </c>
      <c r="Y3192" s="30">
        <v>0</v>
      </c>
      <c r="Z3192" s="232">
        <v>0</v>
      </c>
      <c r="AA3192" s="30">
        <v>0</v>
      </c>
      <c r="AB3192" s="30">
        <v>0</v>
      </c>
      <c r="AC3192" s="30">
        <v>0</v>
      </c>
      <c r="AD3192" s="30">
        <v>0</v>
      </c>
      <c r="AE3192" s="72" t="s">
        <v>394</v>
      </c>
      <c r="AF3192" s="72" t="s">
        <v>18111</v>
      </c>
      <c r="AG3192" s="72" t="s">
        <v>352</v>
      </c>
      <c r="AH3192" s="72">
        <v>44060</v>
      </c>
      <c r="AI3192" s="30">
        <v>0</v>
      </c>
      <c r="AJ3192" s="72" t="s">
        <v>18112</v>
      </c>
      <c r="AK3192" s="72" t="s">
        <v>18113</v>
      </c>
      <c r="AL3192" s="70">
        <v>44091</v>
      </c>
      <c r="AM3192" s="70"/>
      <c r="AN3192" s="70">
        <v>45012</v>
      </c>
      <c r="AO3192" s="70">
        <v>44628</v>
      </c>
      <c r="AP3192" s="73" t="e">
        <f>MID(VLOOKUP(K3192,#REF!,2,FALSE),1,2)</f>
        <v>#REF!</v>
      </c>
      <c r="AQ3192" s="72">
        <f>DATE(2020,8,19)</f>
        <v>44062</v>
      </c>
      <c r="AR3192" s="83">
        <f>DAY(AQ3192)</f>
        <v>19</v>
      </c>
      <c r="AS3192" s="84">
        <f>MONTH(AQ3192)</f>
        <v>8</v>
      </c>
      <c r="AT3192" s="86">
        <f>YEAR(AQ3192)</f>
        <v>2020</v>
      </c>
      <c r="AU3192" s="86"/>
      <c r="AV3192" s="87"/>
      <c r="AW3192" s="86"/>
      <c r="AX3192" s="83"/>
      <c r="AY3192" s="84"/>
      <c r="AZ3192" s="86"/>
      <c r="BA3192" s="86"/>
      <c r="BB3192" s="86"/>
    </row>
    <row r="3193" spans="1:55" ht="36.75" customHeight="1">
      <c r="A3193" s="30"/>
      <c r="B3193" s="30" t="s">
        <v>55</v>
      </c>
      <c r="C3193" s="69" t="str">
        <f>IF(B3193="Notification","Open",IF(B3193="Interim Statement","In progress","Closed"))</f>
        <v>Closed</v>
      </c>
      <c r="D3193" s="27" t="s">
        <v>18114</v>
      </c>
      <c r="E3193" s="29" t="s">
        <v>18115</v>
      </c>
      <c r="F3193" s="30" t="s">
        <v>423</v>
      </c>
      <c r="G3193" s="72">
        <f>DATE(2020,8,18)</f>
        <v>44061</v>
      </c>
      <c r="H3193" s="80">
        <v>1.9624999999999999</v>
      </c>
      <c r="I3193" s="30" t="s">
        <v>156</v>
      </c>
      <c r="J3193" s="72" t="s">
        <v>18116</v>
      </c>
      <c r="K3193" s="30" t="s">
        <v>425</v>
      </c>
      <c r="L3193" s="30" t="s">
        <v>18117</v>
      </c>
      <c r="M3193" s="30" t="s">
        <v>63</v>
      </c>
      <c r="N3193" s="30" t="s">
        <v>142</v>
      </c>
      <c r="O3193" s="30" t="s">
        <v>64</v>
      </c>
      <c r="P3193" s="72" t="s">
        <v>165</v>
      </c>
      <c r="Q3193" s="72" t="s">
        <v>4551</v>
      </c>
      <c r="R3193" s="72" t="s">
        <v>3103</v>
      </c>
      <c r="S3193" s="30">
        <v>0</v>
      </c>
      <c r="T3193" s="99">
        <v>1</v>
      </c>
      <c r="U3193" s="30">
        <v>0</v>
      </c>
      <c r="V3193" s="99">
        <v>0</v>
      </c>
      <c r="W3193" s="30">
        <v>0</v>
      </c>
      <c r="X3193" s="30">
        <v>1</v>
      </c>
      <c r="Y3193" s="30">
        <v>0</v>
      </c>
      <c r="Z3193" s="99">
        <v>0</v>
      </c>
      <c r="AA3193" s="30">
        <v>0</v>
      </c>
      <c r="AB3193" s="30">
        <v>0</v>
      </c>
      <c r="AC3193" s="30">
        <v>0</v>
      </c>
      <c r="AD3193" s="30">
        <v>0</v>
      </c>
      <c r="AE3193" s="72" t="s">
        <v>92</v>
      </c>
      <c r="AF3193" s="72"/>
      <c r="AG3193" s="72" t="s">
        <v>133</v>
      </c>
      <c r="AH3193" s="72">
        <v>44062</v>
      </c>
      <c r="AI3193" s="30">
        <v>0</v>
      </c>
      <c r="AJ3193" s="72" t="s">
        <v>68</v>
      </c>
      <c r="AK3193" s="72" t="s">
        <v>68</v>
      </c>
      <c r="AL3193" s="70">
        <v>44065</v>
      </c>
      <c r="AM3193" s="70"/>
      <c r="AN3193" s="70"/>
      <c r="AO3193" s="70"/>
      <c r="AP3193" s="70">
        <v>44990</v>
      </c>
      <c r="AQ3193" s="70">
        <v>44991</v>
      </c>
      <c r="AR3193" s="70">
        <v>44992</v>
      </c>
      <c r="AS3193" s="70">
        <v>44993</v>
      </c>
      <c r="AT3193" s="70">
        <v>44994</v>
      </c>
      <c r="AU3193" s="70">
        <v>44995</v>
      </c>
      <c r="AV3193" s="70">
        <v>44996</v>
      </c>
      <c r="AW3193" s="70">
        <v>44997</v>
      </c>
      <c r="AX3193" s="70">
        <v>44998</v>
      </c>
      <c r="AY3193" s="70">
        <v>44999</v>
      </c>
      <c r="AZ3193" s="70">
        <v>45000</v>
      </c>
      <c r="BA3193" s="70">
        <v>45001</v>
      </c>
      <c r="BB3193" s="70">
        <v>45002</v>
      </c>
      <c r="BC3193" s="70">
        <v>45003</v>
      </c>
    </row>
    <row r="3194" spans="1:55" ht="36.75" customHeight="1">
      <c r="A3194" s="30"/>
      <c r="B3194" s="30" t="s">
        <v>55</v>
      </c>
      <c r="C3194" s="69" t="str">
        <f>IF(B3194="Notification","Open",IF(B3194="Interim Statement","In progress","Closed"))</f>
        <v>Closed</v>
      </c>
      <c r="D3194" s="27" t="s">
        <v>18118</v>
      </c>
      <c r="E3194" s="29" t="s">
        <v>18119</v>
      </c>
      <c r="F3194" s="30" t="s">
        <v>2336</v>
      </c>
      <c r="G3194" s="72">
        <f>DATE(2020,8,18)</f>
        <v>44061</v>
      </c>
      <c r="H3194" s="80">
        <v>1.3125</v>
      </c>
      <c r="I3194" s="30" t="s">
        <v>116</v>
      </c>
      <c r="J3194" s="72" t="s">
        <v>18120</v>
      </c>
      <c r="K3194" s="30" t="s">
        <v>2338</v>
      </c>
      <c r="L3194" s="30" t="s">
        <v>18121</v>
      </c>
      <c r="M3194" s="30" t="s">
        <v>63</v>
      </c>
      <c r="N3194" s="30" t="s">
        <v>142</v>
      </c>
      <c r="O3194" s="30" t="s">
        <v>64</v>
      </c>
      <c r="P3194" s="72" t="s">
        <v>65</v>
      </c>
      <c r="Q3194" s="72" t="s">
        <v>2945</v>
      </c>
      <c r="R3194" s="72" t="s">
        <v>2341</v>
      </c>
      <c r="S3194" s="30">
        <v>0</v>
      </c>
      <c r="T3194" s="232">
        <v>0</v>
      </c>
      <c r="U3194" s="30">
        <v>1</v>
      </c>
      <c r="V3194" s="232">
        <v>0</v>
      </c>
      <c r="W3194" s="30">
        <v>0</v>
      </c>
      <c r="X3194" s="30">
        <v>1</v>
      </c>
      <c r="Y3194" s="30">
        <v>0</v>
      </c>
      <c r="Z3194" s="232">
        <v>1</v>
      </c>
      <c r="AA3194" s="30">
        <v>0</v>
      </c>
      <c r="AB3194" s="30">
        <v>0</v>
      </c>
      <c r="AC3194" s="30">
        <v>0</v>
      </c>
      <c r="AD3194" s="30">
        <v>1</v>
      </c>
      <c r="AE3194" s="72" t="s">
        <v>394</v>
      </c>
      <c r="AF3194" s="72" t="s">
        <v>18122</v>
      </c>
      <c r="AG3194" s="72" t="s">
        <v>6459</v>
      </c>
      <c r="AH3194" s="72">
        <v>44063</v>
      </c>
      <c r="AI3194" s="30">
        <v>3</v>
      </c>
      <c r="AJ3194" s="72" t="s">
        <v>18123</v>
      </c>
      <c r="AK3194" s="72" t="s">
        <v>18124</v>
      </c>
      <c r="AL3194" s="70">
        <v>44064</v>
      </c>
      <c r="AM3194" s="70"/>
      <c r="AN3194" s="70"/>
      <c r="AO3194" s="70"/>
      <c r="AP3194" s="73" t="e">
        <f>MID(VLOOKUP(K3194,#REF!,2,FALSE),1,2)</f>
        <v>#REF!</v>
      </c>
      <c r="AQ3194" s="72">
        <f>DATE(2020,8,24)</f>
        <v>44067</v>
      </c>
      <c r="AR3194" s="83">
        <f>DAY(AQ3194)</f>
        <v>24</v>
      </c>
      <c r="AS3194" s="84">
        <f>MONTH(AQ3194)</f>
        <v>8</v>
      </c>
      <c r="AT3194" s="86">
        <f>YEAR(AQ3194)</f>
        <v>2020</v>
      </c>
      <c r="AU3194" s="86"/>
      <c r="AV3194" s="87"/>
      <c r="AW3194" s="86"/>
      <c r="AX3194" s="83"/>
      <c r="AY3194" s="84"/>
      <c r="AZ3194" s="86"/>
      <c r="BA3194" s="86"/>
      <c r="BB3194" s="86"/>
    </row>
    <row r="3195" spans="1:55" ht="36.75" customHeight="1">
      <c r="A3195" s="30"/>
      <c r="B3195" s="30" t="s">
        <v>14882</v>
      </c>
      <c r="C3195" s="69" t="str">
        <f>IF(B3195="Notification","Open",IF(B3195="Interim Statement","In progress","Closed"))</f>
        <v>In progress</v>
      </c>
      <c r="D3195" s="27" t="s">
        <v>18125</v>
      </c>
      <c r="E3195" s="29" t="s">
        <v>18126</v>
      </c>
      <c r="F3195" s="30" t="s">
        <v>115</v>
      </c>
      <c r="G3195" s="72">
        <f>DATE(2020,8,19)</f>
        <v>44062</v>
      </c>
      <c r="H3195" s="80">
        <v>1.2131944444444445</v>
      </c>
      <c r="I3195" s="30" t="s">
        <v>73</v>
      </c>
      <c r="J3195" s="72" t="s">
        <v>18127</v>
      </c>
      <c r="K3195" s="30" t="s">
        <v>118</v>
      </c>
      <c r="L3195" s="30" t="s">
        <v>18128</v>
      </c>
      <c r="M3195" s="30" t="s">
        <v>63</v>
      </c>
      <c r="N3195" s="30" t="s">
        <v>89</v>
      </c>
      <c r="O3195" s="30" t="s">
        <v>64</v>
      </c>
      <c r="P3195" s="72" t="s">
        <v>78</v>
      </c>
      <c r="Q3195" s="72" t="s">
        <v>120</v>
      </c>
      <c r="R3195" s="72" t="s">
        <v>121</v>
      </c>
      <c r="S3195" s="30">
        <v>0</v>
      </c>
      <c r="T3195" s="232">
        <v>0</v>
      </c>
      <c r="U3195" s="30">
        <v>0</v>
      </c>
      <c r="V3195" s="232">
        <v>0</v>
      </c>
      <c r="W3195" s="30">
        <v>0</v>
      </c>
      <c r="X3195" s="30">
        <v>0</v>
      </c>
      <c r="Y3195" s="30">
        <v>0</v>
      </c>
      <c r="Z3195" s="232">
        <v>0</v>
      </c>
      <c r="AA3195" s="30">
        <v>0</v>
      </c>
      <c r="AB3195" s="30">
        <v>0</v>
      </c>
      <c r="AC3195" s="30">
        <v>0</v>
      </c>
      <c r="AD3195" s="30">
        <v>0</v>
      </c>
      <c r="AE3195" s="72" t="s">
        <v>145</v>
      </c>
      <c r="AF3195" s="72"/>
      <c r="AG3195" s="72" t="s">
        <v>82</v>
      </c>
      <c r="AH3195" s="72">
        <v>44064</v>
      </c>
      <c r="AI3195" s="30">
        <v>0</v>
      </c>
      <c r="AJ3195" s="72" t="s">
        <v>68</v>
      </c>
      <c r="AK3195" s="72" t="s">
        <v>68</v>
      </c>
      <c r="AL3195" s="70">
        <v>44085</v>
      </c>
      <c r="AM3195" s="70">
        <v>44967</v>
      </c>
      <c r="AN3195" s="70"/>
      <c r="AO3195" s="70"/>
      <c r="AP3195" s="111"/>
      <c r="AQ3195" s="129"/>
      <c r="AR3195" s="114"/>
      <c r="AS3195" s="114"/>
      <c r="AT3195" s="130"/>
      <c r="AU3195" s="86"/>
      <c r="AV3195" s="86"/>
      <c r="AW3195" s="86"/>
      <c r="AX3195" s="116"/>
      <c r="AY3195" s="116"/>
      <c r="AZ3195" s="106"/>
      <c r="BA3195" s="106"/>
      <c r="BB3195" s="106"/>
    </row>
    <row r="3196" spans="1:55" ht="36.75" customHeight="1">
      <c r="A3196" s="30"/>
      <c r="B3196" s="30" t="s">
        <v>55</v>
      </c>
      <c r="C3196" s="69" t="str">
        <f>IF(B3196="Notification","Open",IF(B3196="Interim Statement","In progress","Closed"))</f>
        <v>Closed</v>
      </c>
      <c r="D3196" s="27" t="s">
        <v>18129</v>
      </c>
      <c r="E3196" s="29" t="s">
        <v>18130</v>
      </c>
      <c r="F3196" s="30" t="s">
        <v>18131</v>
      </c>
      <c r="G3196" s="72">
        <f>DATE(2020,8,19)</f>
        <v>44062</v>
      </c>
      <c r="H3196" s="80">
        <v>1.4930555555555556</v>
      </c>
      <c r="I3196" s="30" t="s">
        <v>487</v>
      </c>
      <c r="J3196" s="72" t="s">
        <v>18132</v>
      </c>
      <c r="K3196" s="30" t="s">
        <v>379</v>
      </c>
      <c r="L3196" s="30" t="s">
        <v>18133</v>
      </c>
      <c r="M3196" s="30" t="s">
        <v>63</v>
      </c>
      <c r="N3196" s="30" t="s">
        <v>142</v>
      </c>
      <c r="O3196" s="30" t="s">
        <v>77</v>
      </c>
      <c r="P3196" s="72" t="s">
        <v>165</v>
      </c>
      <c r="Q3196" s="72" t="s">
        <v>18134</v>
      </c>
      <c r="R3196" s="72" t="s">
        <v>17399</v>
      </c>
      <c r="S3196" s="30">
        <v>0</v>
      </c>
      <c r="T3196" s="232">
        <v>0</v>
      </c>
      <c r="U3196" s="30">
        <v>0</v>
      </c>
      <c r="V3196" s="232">
        <v>0</v>
      </c>
      <c r="W3196" s="30">
        <v>0</v>
      </c>
      <c r="X3196" s="30">
        <v>0</v>
      </c>
      <c r="Y3196" s="30">
        <v>0</v>
      </c>
      <c r="Z3196" s="232">
        <v>0</v>
      </c>
      <c r="AA3196" s="30">
        <v>0</v>
      </c>
      <c r="AB3196" s="30">
        <v>0</v>
      </c>
      <c r="AC3196" s="30">
        <v>0</v>
      </c>
      <c r="AD3196" s="30">
        <v>0</v>
      </c>
      <c r="AE3196" s="72" t="s">
        <v>145</v>
      </c>
      <c r="AF3196" s="72" t="s">
        <v>18135</v>
      </c>
      <c r="AG3196" s="72" t="s">
        <v>6459</v>
      </c>
      <c r="AH3196" s="72">
        <v>44062</v>
      </c>
      <c r="AI3196" s="30">
        <v>6</v>
      </c>
      <c r="AJ3196" s="72" t="s">
        <v>18136</v>
      </c>
      <c r="AK3196" s="72" t="s">
        <v>18137</v>
      </c>
      <c r="AL3196" s="70">
        <v>44106</v>
      </c>
      <c r="AM3196" s="70"/>
      <c r="AN3196" s="70">
        <v>44988</v>
      </c>
      <c r="AO3196" s="70">
        <v>44762</v>
      </c>
      <c r="AP3196" s="73" t="e">
        <f>MID(VLOOKUP(K3196,#REF!,2,FALSE),1,2)</f>
        <v>#REF!</v>
      </c>
      <c r="AQ3196" s="72">
        <f>DATE(2020,8,30)</f>
        <v>44073</v>
      </c>
      <c r="AR3196" s="83">
        <f>DAY(AQ3196)</f>
        <v>30</v>
      </c>
      <c r="AS3196" s="84">
        <f>MONTH(AQ3196)</f>
        <v>8</v>
      </c>
      <c r="AT3196" s="86">
        <f>YEAR(AQ3196)</f>
        <v>2020</v>
      </c>
      <c r="AU3196" s="86"/>
      <c r="AV3196" s="87"/>
      <c r="AW3196" s="86"/>
      <c r="AX3196" s="83"/>
      <c r="AY3196" s="84"/>
      <c r="AZ3196" s="86"/>
      <c r="BA3196" s="86"/>
      <c r="BB3196" s="86"/>
    </row>
    <row r="3197" spans="1:55" ht="36.75" customHeight="1" thickBot="1">
      <c r="A3197" s="30"/>
      <c r="B3197" s="30" t="s">
        <v>55</v>
      </c>
      <c r="C3197" s="69" t="str">
        <f>IF(B3197="Notification","Open",IF(B3197="Interim Statement","In progress","Closed"))</f>
        <v>Closed</v>
      </c>
      <c r="D3197" s="27" t="s">
        <v>18138</v>
      </c>
      <c r="E3197" s="29" t="s">
        <v>18139</v>
      </c>
      <c r="F3197" s="30" t="s">
        <v>1572</v>
      </c>
      <c r="G3197" s="72">
        <f>DATE(2020,8,24)</f>
        <v>44067</v>
      </c>
      <c r="H3197" s="80">
        <v>1.1513888888888888</v>
      </c>
      <c r="I3197" s="30" t="s">
        <v>125</v>
      </c>
      <c r="J3197" s="72" t="s">
        <v>18140</v>
      </c>
      <c r="K3197" s="30" t="s">
        <v>1574</v>
      </c>
      <c r="L3197" s="30" t="s">
        <v>18141</v>
      </c>
      <c r="M3197" s="30" t="s">
        <v>63</v>
      </c>
      <c r="N3197" s="30" t="s">
        <v>142</v>
      </c>
      <c r="O3197" s="30" t="s">
        <v>64</v>
      </c>
      <c r="P3197" s="72" t="s">
        <v>78</v>
      </c>
      <c r="Q3197" s="72" t="s">
        <v>18142</v>
      </c>
      <c r="R3197" s="72" t="s">
        <v>18064</v>
      </c>
      <c r="S3197" s="30">
        <v>0</v>
      </c>
      <c r="T3197" s="232">
        <v>0</v>
      </c>
      <c r="U3197" s="30">
        <v>0</v>
      </c>
      <c r="V3197" s="232">
        <v>0</v>
      </c>
      <c r="W3197" s="30">
        <v>0</v>
      </c>
      <c r="X3197" s="30">
        <v>0</v>
      </c>
      <c r="Y3197" s="30">
        <v>0</v>
      </c>
      <c r="Z3197" s="232">
        <v>0</v>
      </c>
      <c r="AA3197" s="30">
        <v>0</v>
      </c>
      <c r="AB3197" s="30">
        <v>0</v>
      </c>
      <c r="AC3197" s="30">
        <v>0</v>
      </c>
      <c r="AD3197" s="30">
        <v>0</v>
      </c>
      <c r="AE3197" s="72" t="s">
        <v>394</v>
      </c>
      <c r="AF3197" s="72" t="s">
        <v>18143</v>
      </c>
      <c r="AG3197" s="72" t="s">
        <v>8859</v>
      </c>
      <c r="AH3197" s="72">
        <v>44067</v>
      </c>
      <c r="AI3197" s="30">
        <v>1</v>
      </c>
      <c r="AJ3197" s="138" t="s">
        <v>18144</v>
      </c>
      <c r="AK3197" s="139" t="s">
        <v>18145</v>
      </c>
      <c r="AL3197" s="140">
        <v>44069</v>
      </c>
      <c r="AM3197" s="140"/>
      <c r="AN3197" s="140"/>
      <c r="AO3197" s="140"/>
      <c r="AP3197" s="73" t="e">
        <f>MID(VLOOKUP(K3197,#REF!,2,FALSE),1,2)</f>
        <v>#REF!</v>
      </c>
      <c r="AQ3197" s="72">
        <f>DATE(2020,8,31)</f>
        <v>44074</v>
      </c>
      <c r="AR3197" s="83">
        <f>DAY(AQ3197)</f>
        <v>31</v>
      </c>
      <c r="AS3197" s="84">
        <f>MONTH(AQ3197)</f>
        <v>8</v>
      </c>
      <c r="AT3197" s="86">
        <f>YEAR(AQ3197)</f>
        <v>2020</v>
      </c>
      <c r="AU3197" s="86"/>
      <c r="AV3197" s="87"/>
      <c r="AW3197" s="86"/>
      <c r="AX3197" s="83"/>
      <c r="AY3197" s="84"/>
      <c r="AZ3197" s="86"/>
      <c r="BA3197" s="86"/>
      <c r="BB3197" s="86"/>
    </row>
    <row r="3198" spans="1:55" ht="36.75" customHeight="1">
      <c r="A3198" s="30"/>
      <c r="B3198" s="30" t="s">
        <v>55</v>
      </c>
      <c r="C3198" s="69" t="s">
        <v>18034</v>
      </c>
      <c r="D3198" s="36" t="s">
        <v>18146</v>
      </c>
      <c r="E3198" s="29" t="s">
        <v>18147</v>
      </c>
      <c r="F3198" s="30" t="s">
        <v>17578</v>
      </c>
      <c r="G3198" s="72">
        <f>DATE(2020,8,25)</f>
        <v>44068</v>
      </c>
      <c r="H3198" s="125">
        <v>0.40625</v>
      </c>
      <c r="I3198" s="30" t="s">
        <v>4610</v>
      </c>
      <c r="J3198" s="30" t="s">
        <v>18148</v>
      </c>
      <c r="K3198" s="30" t="s">
        <v>837</v>
      </c>
      <c r="L3198" s="30" t="s">
        <v>18149</v>
      </c>
      <c r="M3198" s="30" t="s">
        <v>63</v>
      </c>
      <c r="N3198" s="30" t="s">
        <v>142</v>
      </c>
      <c r="O3198" s="30" t="s">
        <v>77</v>
      </c>
      <c r="P3198" s="30" t="s">
        <v>78</v>
      </c>
      <c r="Q3198" s="30" t="s">
        <v>18150</v>
      </c>
      <c r="R3198" s="30" t="s">
        <v>840</v>
      </c>
      <c r="S3198" s="30">
        <v>0</v>
      </c>
      <c r="T3198" s="30">
        <v>0</v>
      </c>
      <c r="U3198" s="30">
        <v>0</v>
      </c>
      <c r="V3198" s="30">
        <v>0</v>
      </c>
      <c r="W3198" s="30">
        <v>0</v>
      </c>
      <c r="X3198" s="30">
        <v>0</v>
      </c>
      <c r="Y3198" s="30">
        <v>0</v>
      </c>
      <c r="Z3198" s="30">
        <v>0</v>
      </c>
      <c r="AA3198" s="30">
        <v>0</v>
      </c>
      <c r="AB3198" s="30">
        <v>0</v>
      </c>
      <c r="AC3198" s="30">
        <v>0</v>
      </c>
      <c r="AD3198" s="30">
        <v>0</v>
      </c>
      <c r="AE3198" s="30" t="s">
        <v>92</v>
      </c>
      <c r="AF3198" s="30" t="s">
        <v>18040</v>
      </c>
      <c r="AG3198" s="30" t="s">
        <v>8859</v>
      </c>
      <c r="AH3198" s="72">
        <v>44433</v>
      </c>
      <c r="AI3198" s="30">
        <v>0</v>
      </c>
      <c r="AJ3198" s="30" t="s">
        <v>18151</v>
      </c>
      <c r="AK3198" s="30" t="s">
        <v>18152</v>
      </c>
      <c r="AL3198" s="70">
        <v>44452</v>
      </c>
      <c r="AM3198" s="132"/>
      <c r="AN3198" s="70">
        <v>45012</v>
      </c>
      <c r="AO3198" s="70">
        <v>44838</v>
      </c>
      <c r="AP3198" s="73" t="e">
        <f>MID(VLOOKUP(K3198,#REF!,2,FALSE),1,2)</f>
        <v>#REF!</v>
      </c>
      <c r="AQ3198" s="72">
        <f>DATE(2020,9,2)</f>
        <v>44076</v>
      </c>
      <c r="AR3198" s="83">
        <f>DAY(AQ3198)</f>
        <v>2</v>
      </c>
      <c r="AS3198" s="84">
        <f>MONTH(AQ3198)</f>
        <v>9</v>
      </c>
      <c r="AT3198" s="86">
        <f>YEAR(AQ3198)</f>
        <v>2020</v>
      </c>
      <c r="AU3198" s="86"/>
      <c r="AV3198" s="87"/>
      <c r="AW3198" s="86"/>
      <c r="AX3198" s="83"/>
      <c r="AY3198" s="84"/>
      <c r="AZ3198" s="86"/>
      <c r="BA3198" s="86"/>
      <c r="BB3198" s="86"/>
    </row>
    <row r="3199" spans="1:55" ht="36.75" customHeight="1">
      <c r="A3199" s="30"/>
      <c r="B3199" s="30" t="s">
        <v>55</v>
      </c>
      <c r="C3199" s="69" t="str">
        <f t="shared" ref="C3199:C3212" si="287">IF(B3199="Notification","Open",IF(B3199="Interim Statement","In progress","Closed"))</f>
        <v>Closed</v>
      </c>
      <c r="D3199" s="27" t="s">
        <v>18153</v>
      </c>
      <c r="E3199" s="29" t="s">
        <v>18154</v>
      </c>
      <c r="F3199" s="30" t="s">
        <v>6455</v>
      </c>
      <c r="G3199" s="72">
        <f>DATE(2020,8,30)</f>
        <v>44073</v>
      </c>
      <c r="H3199" s="80">
        <v>1.7743055555555554</v>
      </c>
      <c r="I3199" s="30" t="s">
        <v>73</v>
      </c>
      <c r="J3199" s="72" t="s">
        <v>18155</v>
      </c>
      <c r="K3199" s="30" t="s">
        <v>584</v>
      </c>
      <c r="L3199" s="30" t="s">
        <v>18156</v>
      </c>
      <c r="M3199" s="30" t="s">
        <v>63</v>
      </c>
      <c r="N3199" s="30" t="s">
        <v>142</v>
      </c>
      <c r="O3199" s="30" t="s">
        <v>64</v>
      </c>
      <c r="P3199" s="72" t="s">
        <v>78</v>
      </c>
      <c r="Q3199" s="72" t="s">
        <v>18157</v>
      </c>
      <c r="R3199" s="72" t="s">
        <v>9852</v>
      </c>
      <c r="S3199" s="30">
        <v>0</v>
      </c>
      <c r="T3199" s="232">
        <v>0</v>
      </c>
      <c r="U3199" s="30">
        <v>0</v>
      </c>
      <c r="V3199" s="232">
        <v>0</v>
      </c>
      <c r="W3199" s="30">
        <v>0</v>
      </c>
      <c r="X3199" s="30">
        <v>0</v>
      </c>
      <c r="Y3199" s="30">
        <v>0</v>
      </c>
      <c r="Z3199" s="232">
        <v>0</v>
      </c>
      <c r="AA3199" s="30">
        <v>0</v>
      </c>
      <c r="AB3199" s="30">
        <v>0</v>
      </c>
      <c r="AC3199" s="30">
        <v>0</v>
      </c>
      <c r="AD3199" s="30">
        <v>0</v>
      </c>
      <c r="AE3199" s="72" t="s">
        <v>145</v>
      </c>
      <c r="AF3199" s="72" t="s">
        <v>18158</v>
      </c>
      <c r="AG3199" s="72" t="s">
        <v>6459</v>
      </c>
      <c r="AH3199" s="72">
        <v>44076</v>
      </c>
      <c r="AI3199" s="30">
        <v>4</v>
      </c>
      <c r="AJ3199" s="72" t="s">
        <v>18159</v>
      </c>
      <c r="AK3199" s="72" t="s">
        <v>68</v>
      </c>
      <c r="AL3199" s="70">
        <v>44084</v>
      </c>
      <c r="AM3199" s="70"/>
      <c r="AN3199" s="70">
        <v>44833</v>
      </c>
      <c r="AO3199" s="70">
        <v>44803</v>
      </c>
      <c r="AP3199" s="73" t="e">
        <f>MID(VLOOKUP(K3199,#REF!,2,FALSE),1,2)</f>
        <v>#REF!</v>
      </c>
      <c r="AQ3199" s="72">
        <f>DATE(2020,9,3)</f>
        <v>44077</v>
      </c>
      <c r="AR3199" s="83">
        <f>DAY(AQ3199)</f>
        <v>3</v>
      </c>
      <c r="AS3199" s="84">
        <f>MONTH(AQ3199)</f>
        <v>9</v>
      </c>
      <c r="AT3199" s="86">
        <f>YEAR(AQ3199)</f>
        <v>2020</v>
      </c>
      <c r="AU3199" s="86"/>
      <c r="AV3199" s="87"/>
      <c r="AW3199" s="86"/>
      <c r="AX3199" s="83"/>
      <c r="AY3199" s="84"/>
      <c r="AZ3199" s="86"/>
      <c r="BA3199" s="86"/>
      <c r="BB3199" s="86"/>
    </row>
    <row r="3200" spans="1:55" ht="36.75" customHeight="1">
      <c r="A3200" s="30" t="s">
        <v>4910</v>
      </c>
      <c r="B3200" s="30" t="s">
        <v>55</v>
      </c>
      <c r="C3200" s="69" t="str">
        <f t="shared" si="287"/>
        <v>Closed</v>
      </c>
      <c r="D3200" s="27" t="s">
        <v>18160</v>
      </c>
      <c r="E3200" s="29" t="s">
        <v>18161</v>
      </c>
      <c r="F3200" s="30" t="s">
        <v>423</v>
      </c>
      <c r="G3200" s="72">
        <f>DATE(2020,8,31)</f>
        <v>44074</v>
      </c>
      <c r="H3200" s="80">
        <v>1.4736111111111112</v>
      </c>
      <c r="I3200" s="30" t="s">
        <v>278</v>
      </c>
      <c r="J3200" s="72" t="s">
        <v>18162</v>
      </c>
      <c r="K3200" s="30" t="s">
        <v>425</v>
      </c>
      <c r="L3200" s="30" t="s">
        <v>18163</v>
      </c>
      <c r="M3200" s="30" t="s">
        <v>63</v>
      </c>
      <c r="N3200" s="30" t="s">
        <v>99</v>
      </c>
      <c r="O3200" s="30" t="s">
        <v>64</v>
      </c>
      <c r="P3200" s="72" t="s">
        <v>165</v>
      </c>
      <c r="Q3200" s="72" t="s">
        <v>4551</v>
      </c>
      <c r="R3200" s="72" t="s">
        <v>3103</v>
      </c>
      <c r="S3200" s="30">
        <v>0</v>
      </c>
      <c r="T3200" s="232">
        <v>1</v>
      </c>
      <c r="U3200" s="30">
        <v>0</v>
      </c>
      <c r="V3200" s="232">
        <v>0</v>
      </c>
      <c r="W3200" s="30">
        <v>0</v>
      </c>
      <c r="X3200" s="30">
        <v>1</v>
      </c>
      <c r="Y3200" s="30">
        <v>0</v>
      </c>
      <c r="Z3200" s="232">
        <v>0</v>
      </c>
      <c r="AA3200" s="30">
        <v>0</v>
      </c>
      <c r="AB3200" s="30">
        <v>0</v>
      </c>
      <c r="AC3200" s="30">
        <v>0</v>
      </c>
      <c r="AD3200" s="30">
        <v>0</v>
      </c>
      <c r="AE3200" s="72" t="s">
        <v>92</v>
      </c>
      <c r="AF3200" s="72"/>
      <c r="AG3200" s="72" t="s">
        <v>874</v>
      </c>
      <c r="AH3200" s="72">
        <v>44074</v>
      </c>
      <c r="AI3200" s="30">
        <v>0</v>
      </c>
      <c r="AJ3200" s="72" t="s">
        <v>68</v>
      </c>
      <c r="AK3200" s="72" t="s">
        <v>68</v>
      </c>
      <c r="AL3200" s="70">
        <v>44076</v>
      </c>
      <c r="AM3200" s="70"/>
      <c r="AN3200" s="72"/>
      <c r="AO3200" s="72"/>
      <c r="AP3200" s="111"/>
      <c r="AQ3200" s="129"/>
      <c r="AR3200" s="114"/>
      <c r="AS3200" s="114"/>
      <c r="AT3200" s="130"/>
      <c r="AU3200" s="86"/>
      <c r="AV3200" s="86"/>
      <c r="AW3200" s="86"/>
      <c r="AX3200" s="116"/>
      <c r="AY3200" s="116"/>
      <c r="AZ3200" s="106"/>
      <c r="BA3200" s="106"/>
      <c r="BB3200" s="106"/>
    </row>
    <row r="3201" spans="1:55" ht="36.75" customHeight="1">
      <c r="A3201" s="98" t="s">
        <v>4910</v>
      </c>
      <c r="B3201" s="30" t="s">
        <v>55</v>
      </c>
      <c r="C3201" s="69" t="str">
        <f t="shared" si="287"/>
        <v>Closed</v>
      </c>
      <c r="D3201" s="27" t="s">
        <v>18164</v>
      </c>
      <c r="E3201" s="29" t="s">
        <v>18165</v>
      </c>
      <c r="F3201" s="30" t="s">
        <v>423</v>
      </c>
      <c r="G3201" s="72">
        <f>DATE(2020,9,2)</f>
        <v>44076</v>
      </c>
      <c r="H3201" s="80">
        <v>1.3416666666666666</v>
      </c>
      <c r="I3201" s="30" t="s">
        <v>116</v>
      </c>
      <c r="J3201" s="72" t="s">
        <v>18166</v>
      </c>
      <c r="K3201" s="30" t="s">
        <v>425</v>
      </c>
      <c r="L3201" s="30" t="s">
        <v>18167</v>
      </c>
      <c r="M3201" s="30" t="s">
        <v>63</v>
      </c>
      <c r="N3201" s="30" t="s">
        <v>99</v>
      </c>
      <c r="O3201" s="30" t="s">
        <v>64</v>
      </c>
      <c r="P3201" s="72" t="s">
        <v>165</v>
      </c>
      <c r="Q3201" s="72" t="s">
        <v>4551</v>
      </c>
      <c r="R3201" s="72" t="s">
        <v>3103</v>
      </c>
      <c r="S3201" s="30">
        <v>0</v>
      </c>
      <c r="T3201" s="232">
        <v>0</v>
      </c>
      <c r="U3201" s="30">
        <v>1</v>
      </c>
      <c r="V3201" s="232">
        <v>0</v>
      </c>
      <c r="W3201" s="30">
        <v>0</v>
      </c>
      <c r="X3201" s="30">
        <v>1</v>
      </c>
      <c r="Y3201" s="30">
        <v>0</v>
      </c>
      <c r="Z3201" s="232">
        <v>0</v>
      </c>
      <c r="AA3201" s="30">
        <v>0</v>
      </c>
      <c r="AB3201" s="30">
        <v>0</v>
      </c>
      <c r="AC3201" s="30">
        <v>0</v>
      </c>
      <c r="AD3201" s="30">
        <v>0</v>
      </c>
      <c r="AE3201" s="72" t="s">
        <v>92</v>
      </c>
      <c r="AF3201" s="72"/>
      <c r="AG3201" s="72" t="s">
        <v>133</v>
      </c>
      <c r="AH3201" s="72">
        <v>43899</v>
      </c>
      <c r="AI3201" s="30">
        <v>0</v>
      </c>
      <c r="AJ3201" s="72" t="s">
        <v>68</v>
      </c>
      <c r="AK3201" s="72" t="s">
        <v>68</v>
      </c>
      <c r="AL3201" s="70">
        <v>44077</v>
      </c>
      <c r="AM3201" s="70"/>
      <c r="AN3201" s="70"/>
      <c r="AO3201" s="70"/>
      <c r="AP3201" s="73" t="e">
        <f>MID(VLOOKUP(K3201,#REF!,2,FALSE),1,2)</f>
        <v>#REF!</v>
      </c>
      <c r="AQ3201" s="72">
        <f>DATE(2020,9,7)</f>
        <v>44081</v>
      </c>
      <c r="AR3201" s="83">
        <f>DAY(AQ3201)</f>
        <v>7</v>
      </c>
      <c r="AS3201" s="84">
        <f>MONTH(AQ3201)</f>
        <v>9</v>
      </c>
      <c r="AT3201" s="86">
        <f>YEAR(AQ3201)</f>
        <v>2020</v>
      </c>
      <c r="AU3201" s="86"/>
      <c r="AV3201" s="87"/>
      <c r="AW3201" s="86"/>
      <c r="AX3201" s="83"/>
      <c r="AY3201" s="84"/>
      <c r="AZ3201" s="86"/>
      <c r="BA3201" s="86"/>
      <c r="BB3201" s="86"/>
    </row>
    <row r="3202" spans="1:55" ht="36.75" customHeight="1">
      <c r="A3202" s="30"/>
      <c r="B3202" s="30" t="s">
        <v>55</v>
      </c>
      <c r="C3202" s="69" t="str">
        <f t="shared" si="287"/>
        <v>Closed</v>
      </c>
      <c r="D3202" s="27" t="s">
        <v>18168</v>
      </c>
      <c r="E3202" s="29" t="s">
        <v>18169</v>
      </c>
      <c r="F3202" s="30" t="s">
        <v>2336</v>
      </c>
      <c r="G3202" s="72">
        <f>DATE(2020,9,3)</f>
        <v>44077</v>
      </c>
      <c r="H3202" s="80">
        <v>1.5763888888888888</v>
      </c>
      <c r="I3202" s="30" t="s">
        <v>116</v>
      </c>
      <c r="J3202" s="72" t="s">
        <v>18170</v>
      </c>
      <c r="K3202" s="30" t="s">
        <v>2338</v>
      </c>
      <c r="L3202" s="30" t="s">
        <v>18171</v>
      </c>
      <c r="M3202" s="30" t="s">
        <v>63</v>
      </c>
      <c r="N3202" s="30" t="s">
        <v>99</v>
      </c>
      <c r="O3202" s="30" t="s">
        <v>64</v>
      </c>
      <c r="P3202" s="72" t="s">
        <v>65</v>
      </c>
      <c r="Q3202" s="72" t="s">
        <v>2945</v>
      </c>
      <c r="R3202" s="72" t="s">
        <v>2341</v>
      </c>
      <c r="S3202" s="30">
        <v>0</v>
      </c>
      <c r="T3202" s="232">
        <v>0</v>
      </c>
      <c r="U3202" s="30">
        <v>2</v>
      </c>
      <c r="V3202" s="232">
        <v>0</v>
      </c>
      <c r="W3202" s="30">
        <v>0</v>
      </c>
      <c r="X3202" s="30">
        <v>2</v>
      </c>
      <c r="Y3202" s="30">
        <v>0</v>
      </c>
      <c r="Z3202" s="232">
        <v>0</v>
      </c>
      <c r="AA3202" s="30">
        <v>0</v>
      </c>
      <c r="AB3202" s="30">
        <v>0</v>
      </c>
      <c r="AC3202" s="30">
        <v>0</v>
      </c>
      <c r="AD3202" s="30">
        <v>0</v>
      </c>
      <c r="AE3202" s="72" t="s">
        <v>18122</v>
      </c>
      <c r="AF3202" s="72"/>
      <c r="AG3202" s="72" t="s">
        <v>82</v>
      </c>
      <c r="AH3202" s="72">
        <v>44084</v>
      </c>
      <c r="AI3202" s="30">
        <v>5</v>
      </c>
      <c r="AJ3202" s="72" t="s">
        <v>18172</v>
      </c>
      <c r="AK3202" s="72" t="s">
        <v>68</v>
      </c>
      <c r="AL3202" s="70">
        <v>44098</v>
      </c>
      <c r="AM3202" s="70"/>
      <c r="AN3202" s="70"/>
      <c r="AO3202" s="70"/>
      <c r="AP3202" s="73" t="e">
        <f>MID(VLOOKUP(K3202,#REF!,2,FALSE),1,2)</f>
        <v>#REF!</v>
      </c>
      <c r="AQ3202" s="72">
        <f>DATE(2020,9,9)</f>
        <v>44083</v>
      </c>
      <c r="AR3202" s="83">
        <f>DAY(AQ3202)</f>
        <v>9</v>
      </c>
      <c r="AS3202" s="84">
        <f>MONTH(AQ3202)</f>
        <v>9</v>
      </c>
      <c r="AT3202" s="86">
        <f>YEAR(AQ3202)</f>
        <v>2020</v>
      </c>
      <c r="AU3202" s="86"/>
      <c r="AV3202" s="87"/>
      <c r="AW3202" s="86"/>
      <c r="AX3202" s="83"/>
      <c r="AY3202" s="84"/>
      <c r="AZ3202" s="86"/>
      <c r="BA3202" s="86"/>
      <c r="BB3202" s="86"/>
    </row>
    <row r="3203" spans="1:55" ht="36.75" customHeight="1">
      <c r="A3203" s="30" t="s">
        <v>12471</v>
      </c>
      <c r="B3203" s="30" t="s">
        <v>55</v>
      </c>
      <c r="C3203" s="69" t="str">
        <f t="shared" si="287"/>
        <v>Closed</v>
      </c>
      <c r="D3203" s="37" t="s">
        <v>18173</v>
      </c>
      <c r="E3203" s="55" t="s">
        <v>18174</v>
      </c>
      <c r="F3203" s="56" t="s">
        <v>6455</v>
      </c>
      <c r="G3203" s="72">
        <f>DATE(2020,9,5)</f>
        <v>44079</v>
      </c>
      <c r="H3203" s="125">
        <v>1.1041666666666667</v>
      </c>
      <c r="I3203" s="56" t="s">
        <v>73</v>
      </c>
      <c r="J3203" s="56" t="s">
        <v>18175</v>
      </c>
      <c r="K3203" s="56" t="s">
        <v>584</v>
      </c>
      <c r="L3203" s="56" t="s">
        <v>18176</v>
      </c>
      <c r="M3203" s="56" t="s">
        <v>63</v>
      </c>
      <c r="N3203" s="56" t="s">
        <v>142</v>
      </c>
      <c r="O3203" s="56" t="s">
        <v>77</v>
      </c>
      <c r="P3203" s="56" t="s">
        <v>78</v>
      </c>
      <c r="Q3203" s="56" t="s">
        <v>13617</v>
      </c>
      <c r="R3203" s="56" t="s">
        <v>9852</v>
      </c>
      <c r="S3203" s="56">
        <v>0</v>
      </c>
      <c r="T3203" s="56">
        <v>0</v>
      </c>
      <c r="U3203" s="56">
        <v>0</v>
      </c>
      <c r="V3203" s="56">
        <v>0</v>
      </c>
      <c r="W3203" s="56">
        <v>0</v>
      </c>
      <c r="X3203" s="56">
        <v>0</v>
      </c>
      <c r="Y3203" s="56">
        <v>0</v>
      </c>
      <c r="Z3203" s="56">
        <v>0</v>
      </c>
      <c r="AA3203" s="56">
        <v>0</v>
      </c>
      <c r="AB3203" s="56">
        <v>0</v>
      </c>
      <c r="AC3203" s="56">
        <v>0</v>
      </c>
      <c r="AD3203" s="56">
        <v>0</v>
      </c>
      <c r="AE3203" s="56" t="s">
        <v>394</v>
      </c>
      <c r="AF3203" s="56" t="s">
        <v>18177</v>
      </c>
      <c r="AG3203" s="56" t="s">
        <v>8859</v>
      </c>
      <c r="AH3203" s="72">
        <v>44812</v>
      </c>
      <c r="AI3203" s="56">
        <v>0</v>
      </c>
      <c r="AJ3203" s="56" t="s">
        <v>18178</v>
      </c>
      <c r="AK3203" s="56"/>
      <c r="AL3203" s="137">
        <v>44827</v>
      </c>
      <c r="AM3203" s="141"/>
      <c r="AN3203" s="137">
        <v>45344</v>
      </c>
      <c r="AO3203" s="137">
        <v>45327</v>
      </c>
      <c r="AP3203" s="73" t="e">
        <f>MID(VLOOKUP(K3203,#REF!,2,FALSE),1,2)</f>
        <v>#REF!</v>
      </c>
      <c r="AQ3203" s="72">
        <f>DATE(2020,9,13)</f>
        <v>44087</v>
      </c>
      <c r="AR3203" s="83">
        <f>DAY(AQ3203)</f>
        <v>13</v>
      </c>
      <c r="AS3203" s="84">
        <f>MONTH(AQ3203)</f>
        <v>9</v>
      </c>
      <c r="AT3203" s="86">
        <f>YEAR(AQ3203)</f>
        <v>2020</v>
      </c>
      <c r="AU3203" s="86"/>
      <c r="AV3203" s="87"/>
      <c r="AW3203" s="86"/>
      <c r="AX3203" s="83"/>
      <c r="AY3203" s="84"/>
      <c r="AZ3203" s="86"/>
      <c r="BA3203" s="86"/>
      <c r="BB3203" s="86"/>
    </row>
    <row r="3204" spans="1:55" ht="36.75" customHeight="1">
      <c r="A3204" s="30"/>
      <c r="B3204" s="30" t="s">
        <v>55</v>
      </c>
      <c r="C3204" s="69" t="str">
        <f t="shared" si="287"/>
        <v>Closed</v>
      </c>
      <c r="D3204" s="27" t="s">
        <v>18179</v>
      </c>
      <c r="E3204" s="29" t="s">
        <v>18180</v>
      </c>
      <c r="F3204" s="30" t="s">
        <v>9789</v>
      </c>
      <c r="G3204" s="72">
        <f>DATE(2020,9,7)</f>
        <v>44081</v>
      </c>
      <c r="H3204" s="80">
        <v>1.6291666666666667</v>
      </c>
      <c r="I3204" s="30" t="s">
        <v>116</v>
      </c>
      <c r="J3204" s="265" t="s">
        <v>18181</v>
      </c>
      <c r="K3204" s="30" t="s">
        <v>9791</v>
      </c>
      <c r="L3204" s="30" t="s">
        <v>18182</v>
      </c>
      <c r="M3204" s="30" t="s">
        <v>63</v>
      </c>
      <c r="N3204" s="30" t="s">
        <v>99</v>
      </c>
      <c r="O3204" s="30" t="s">
        <v>64</v>
      </c>
      <c r="P3204" s="72" t="s">
        <v>78</v>
      </c>
      <c r="Q3204" s="72" t="s">
        <v>10257</v>
      </c>
      <c r="R3204" s="72" t="s">
        <v>9794</v>
      </c>
      <c r="S3204" s="30">
        <v>0</v>
      </c>
      <c r="T3204" s="232">
        <v>0</v>
      </c>
      <c r="U3204" s="30">
        <v>0</v>
      </c>
      <c r="V3204" s="232">
        <v>0</v>
      </c>
      <c r="W3204" s="30">
        <v>0</v>
      </c>
      <c r="X3204" s="30">
        <v>0</v>
      </c>
      <c r="Y3204" s="30">
        <v>0</v>
      </c>
      <c r="Z3204" s="232">
        <v>0</v>
      </c>
      <c r="AA3204" s="30">
        <v>1</v>
      </c>
      <c r="AB3204" s="30">
        <v>0</v>
      </c>
      <c r="AC3204" s="30">
        <v>0</v>
      </c>
      <c r="AD3204" s="30">
        <v>1</v>
      </c>
      <c r="AE3204" s="72" t="s">
        <v>92</v>
      </c>
      <c r="AF3204" s="72" t="s">
        <v>18183</v>
      </c>
      <c r="AG3204" s="72" t="s">
        <v>8859</v>
      </c>
      <c r="AH3204" s="72">
        <v>44083</v>
      </c>
      <c r="AI3204" s="30">
        <v>1</v>
      </c>
      <c r="AJ3204" s="72" t="s">
        <v>18184</v>
      </c>
      <c r="AK3204" s="72" t="s">
        <v>18185</v>
      </c>
      <c r="AL3204" s="70">
        <v>44090</v>
      </c>
      <c r="AM3204" s="70"/>
      <c r="AN3204" s="70"/>
      <c r="AO3204" s="70"/>
      <c r="AP3204" s="73" t="e">
        <f>MID(VLOOKUP(K3204,#REF!,2,FALSE),1,2)</f>
        <v>#REF!</v>
      </c>
      <c r="AQ3204" s="72">
        <f>DATE(2020,9,13)</f>
        <v>44087</v>
      </c>
      <c r="AR3204" s="83">
        <f>DAY(AQ3204)</f>
        <v>13</v>
      </c>
      <c r="AS3204" s="84">
        <f>MONTH(AQ3204)</f>
        <v>9</v>
      </c>
      <c r="AT3204" s="86">
        <f>YEAR(AQ3204)</f>
        <v>2020</v>
      </c>
      <c r="AU3204" s="86"/>
      <c r="AV3204" s="87"/>
      <c r="AW3204" s="86"/>
      <c r="AX3204" s="83"/>
      <c r="AY3204" s="84"/>
      <c r="AZ3204" s="86"/>
      <c r="BA3204" s="86"/>
      <c r="BB3204" s="86"/>
    </row>
    <row r="3205" spans="1:55" ht="36.75" customHeight="1">
      <c r="A3205" s="30"/>
      <c r="B3205" s="30" t="s">
        <v>55</v>
      </c>
      <c r="C3205" s="69" t="str">
        <f t="shared" si="287"/>
        <v>Closed</v>
      </c>
      <c r="D3205" s="27" t="s">
        <v>18186</v>
      </c>
      <c r="E3205" s="29" t="s">
        <v>18187</v>
      </c>
      <c r="F3205" s="30" t="s">
        <v>423</v>
      </c>
      <c r="G3205" s="72">
        <f>DATE(2020,9,9)</f>
        <v>44083</v>
      </c>
      <c r="H3205" s="80">
        <v>1.2972222222222223</v>
      </c>
      <c r="I3205" s="30" t="s">
        <v>198</v>
      </c>
      <c r="J3205" s="72" t="s">
        <v>18188</v>
      </c>
      <c r="K3205" s="30" t="s">
        <v>425</v>
      </c>
      <c r="L3205" s="30" t="s">
        <v>18189</v>
      </c>
      <c r="M3205" s="30" t="s">
        <v>63</v>
      </c>
      <c r="N3205" s="30" t="s">
        <v>99</v>
      </c>
      <c r="O3205" s="30" t="s">
        <v>77</v>
      </c>
      <c r="P3205" s="72" t="s">
        <v>18190</v>
      </c>
      <c r="Q3205" s="72" t="s">
        <v>10689</v>
      </c>
      <c r="R3205" s="72" t="s">
        <v>17369</v>
      </c>
      <c r="S3205" s="30">
        <v>0</v>
      </c>
      <c r="T3205" s="232">
        <v>0</v>
      </c>
      <c r="U3205" s="30">
        <v>0</v>
      </c>
      <c r="V3205" s="232">
        <v>0</v>
      </c>
      <c r="W3205" s="30">
        <v>0</v>
      </c>
      <c r="X3205" s="30">
        <v>0</v>
      </c>
      <c r="Y3205" s="30">
        <v>9</v>
      </c>
      <c r="Z3205" s="232">
        <v>2</v>
      </c>
      <c r="AA3205" s="30">
        <v>0</v>
      </c>
      <c r="AB3205" s="30">
        <v>0</v>
      </c>
      <c r="AC3205" s="30">
        <v>0</v>
      </c>
      <c r="AD3205" s="30">
        <v>11</v>
      </c>
      <c r="AE3205" s="72" t="s">
        <v>394</v>
      </c>
      <c r="AF3205" s="72" t="s">
        <v>18191</v>
      </c>
      <c r="AG3205" s="72" t="s">
        <v>82</v>
      </c>
      <c r="AH3205" s="72">
        <v>44083</v>
      </c>
      <c r="AI3205" s="30">
        <v>2</v>
      </c>
      <c r="AJ3205" s="72" t="s">
        <v>18192</v>
      </c>
      <c r="AK3205" s="72" t="s">
        <v>879</v>
      </c>
      <c r="AL3205" s="70">
        <v>44085</v>
      </c>
      <c r="AM3205" s="70"/>
      <c r="AN3205" s="70">
        <v>44532</v>
      </c>
      <c r="AO3205" s="70">
        <v>44529</v>
      </c>
      <c r="AP3205" s="70">
        <v>44988</v>
      </c>
      <c r="AQ3205" s="70">
        <v>44989</v>
      </c>
      <c r="AR3205" s="70">
        <v>44990</v>
      </c>
      <c r="AS3205" s="70">
        <v>44991</v>
      </c>
      <c r="AT3205" s="70">
        <v>44992</v>
      </c>
      <c r="AU3205" s="70">
        <v>44993</v>
      </c>
      <c r="AV3205" s="70">
        <v>44994</v>
      </c>
      <c r="AW3205" s="70">
        <v>44995</v>
      </c>
      <c r="AX3205" s="70">
        <v>44996</v>
      </c>
      <c r="AY3205" s="70">
        <v>44997</v>
      </c>
      <c r="AZ3205" s="70">
        <v>44998</v>
      </c>
      <c r="BA3205" s="70">
        <v>44999</v>
      </c>
      <c r="BB3205" s="70">
        <v>45000</v>
      </c>
      <c r="BC3205" s="70">
        <v>45001</v>
      </c>
    </row>
    <row r="3206" spans="1:55" ht="36.75" customHeight="1">
      <c r="A3206" s="30"/>
      <c r="B3206" s="30" t="s">
        <v>55</v>
      </c>
      <c r="C3206" s="69" t="str">
        <f t="shared" si="287"/>
        <v>Closed</v>
      </c>
      <c r="D3206" s="27" t="s">
        <v>18193</v>
      </c>
      <c r="E3206" s="29" t="s">
        <v>18194</v>
      </c>
      <c r="F3206" s="30" t="s">
        <v>1572</v>
      </c>
      <c r="G3206" s="72">
        <f>DATE(2020,9,13)</f>
        <v>44087</v>
      </c>
      <c r="H3206" s="80">
        <v>1.3145833333333332</v>
      </c>
      <c r="I3206" s="30" t="s">
        <v>73</v>
      </c>
      <c r="J3206" s="72" t="s">
        <v>18195</v>
      </c>
      <c r="K3206" s="30" t="s">
        <v>1574</v>
      </c>
      <c r="L3206" s="30" t="s">
        <v>18196</v>
      </c>
      <c r="M3206" s="30" t="s">
        <v>63</v>
      </c>
      <c r="N3206" s="30" t="s">
        <v>99</v>
      </c>
      <c r="O3206" s="30" t="s">
        <v>77</v>
      </c>
      <c r="P3206" s="72" t="s">
        <v>165</v>
      </c>
      <c r="Q3206" s="72" t="s">
        <v>18197</v>
      </c>
      <c r="R3206" s="72" t="s">
        <v>18064</v>
      </c>
      <c r="S3206" s="30">
        <v>0</v>
      </c>
      <c r="T3206" s="232">
        <v>0</v>
      </c>
      <c r="U3206" s="30">
        <v>0</v>
      </c>
      <c r="V3206" s="232">
        <v>0</v>
      </c>
      <c r="W3206" s="30">
        <v>0</v>
      </c>
      <c r="X3206" s="30">
        <v>0</v>
      </c>
      <c r="Y3206" s="30">
        <v>0</v>
      </c>
      <c r="Z3206" s="232">
        <v>0</v>
      </c>
      <c r="AA3206" s="30">
        <v>0</v>
      </c>
      <c r="AB3206" s="30">
        <v>0</v>
      </c>
      <c r="AC3206" s="30">
        <v>0</v>
      </c>
      <c r="AD3206" s="30">
        <v>0</v>
      </c>
      <c r="AE3206" s="72" t="s">
        <v>92</v>
      </c>
      <c r="AF3206" s="72" t="s">
        <v>18198</v>
      </c>
      <c r="AG3206" s="72" t="s">
        <v>8859</v>
      </c>
      <c r="AH3206" s="72">
        <v>44088</v>
      </c>
      <c r="AI3206" s="30">
        <v>2</v>
      </c>
      <c r="AJ3206" s="72" t="s">
        <v>18199</v>
      </c>
      <c r="AK3206" s="72" t="s">
        <v>18200</v>
      </c>
      <c r="AL3206" s="70">
        <v>44090</v>
      </c>
      <c r="AM3206" s="70"/>
      <c r="AN3206" s="70"/>
      <c r="AO3206" s="70"/>
      <c r="AP3206" s="73" t="e">
        <f>MID(VLOOKUP(K3206,#REF!,2,FALSE),1,2)</f>
        <v>#REF!</v>
      </c>
      <c r="AQ3206" s="72">
        <f>DATE(2020,9,18)</f>
        <v>44092</v>
      </c>
      <c r="AR3206" s="83">
        <f>DAY(AQ3206)</f>
        <v>18</v>
      </c>
      <c r="AS3206" s="84">
        <f>MONTH(AQ3206)</f>
        <v>9</v>
      </c>
      <c r="AT3206" s="86">
        <f>YEAR(AQ3206)</f>
        <v>2020</v>
      </c>
      <c r="AU3206" s="86"/>
      <c r="AV3206" s="87"/>
      <c r="AW3206" s="86"/>
      <c r="AX3206" s="83"/>
      <c r="AY3206" s="84"/>
      <c r="AZ3206" s="86"/>
      <c r="BA3206" s="86"/>
      <c r="BB3206" s="86"/>
    </row>
    <row r="3207" spans="1:55" ht="36.75" customHeight="1">
      <c r="A3207" s="30"/>
      <c r="B3207" s="30" t="s">
        <v>55</v>
      </c>
      <c r="C3207" s="69" t="str">
        <f t="shared" si="287"/>
        <v>Closed</v>
      </c>
      <c r="D3207" s="27" t="s">
        <v>18201</v>
      </c>
      <c r="E3207" s="29" t="s">
        <v>18202</v>
      </c>
      <c r="F3207" s="30" t="s">
        <v>1572</v>
      </c>
      <c r="G3207" s="72">
        <f>DATE(2020,9,13)</f>
        <v>44087</v>
      </c>
      <c r="H3207" s="80">
        <v>1.4479166666666667</v>
      </c>
      <c r="I3207" s="30" t="s">
        <v>73</v>
      </c>
      <c r="J3207" s="72" t="s">
        <v>18203</v>
      </c>
      <c r="K3207" s="30" t="s">
        <v>1574</v>
      </c>
      <c r="L3207" s="30" t="s">
        <v>18204</v>
      </c>
      <c r="M3207" s="30" t="s">
        <v>63</v>
      </c>
      <c r="N3207" s="30" t="s">
        <v>99</v>
      </c>
      <c r="O3207" s="30" t="s">
        <v>64</v>
      </c>
      <c r="P3207" s="72" t="s">
        <v>78</v>
      </c>
      <c r="Q3207" s="72" t="s">
        <v>18205</v>
      </c>
      <c r="R3207" s="72" t="s">
        <v>18064</v>
      </c>
      <c r="S3207" s="30">
        <v>0</v>
      </c>
      <c r="T3207" s="232">
        <v>0</v>
      </c>
      <c r="U3207" s="30">
        <v>0</v>
      </c>
      <c r="V3207" s="232">
        <v>0</v>
      </c>
      <c r="W3207" s="30">
        <v>0</v>
      </c>
      <c r="X3207" s="30">
        <v>0</v>
      </c>
      <c r="Y3207" s="30">
        <v>0</v>
      </c>
      <c r="Z3207" s="232">
        <v>0</v>
      </c>
      <c r="AA3207" s="30">
        <v>0</v>
      </c>
      <c r="AB3207" s="30">
        <v>0</v>
      </c>
      <c r="AC3207" s="30">
        <v>0</v>
      </c>
      <c r="AD3207" s="30">
        <v>0</v>
      </c>
      <c r="AE3207" s="72" t="s">
        <v>394</v>
      </c>
      <c r="AF3207" s="72" t="s">
        <v>18206</v>
      </c>
      <c r="AG3207" s="72" t="s">
        <v>8859</v>
      </c>
      <c r="AH3207" s="72">
        <v>44088</v>
      </c>
      <c r="AI3207" s="30">
        <v>4</v>
      </c>
      <c r="AJ3207" s="72" t="s">
        <v>18207</v>
      </c>
      <c r="AK3207" s="72" t="s">
        <v>18208</v>
      </c>
      <c r="AL3207" s="70">
        <v>44091</v>
      </c>
      <c r="AM3207" s="70"/>
      <c r="AN3207" s="70"/>
      <c r="AO3207" s="70"/>
      <c r="AP3207" s="73" t="e">
        <f>MID(VLOOKUP(K3207,#REF!,2,FALSE),1,2)</f>
        <v>#REF!</v>
      </c>
      <c r="AQ3207" s="72">
        <f>DATE(2020,9,22)</f>
        <v>44096</v>
      </c>
      <c r="AR3207" s="83">
        <f>DAY(AQ3207)</f>
        <v>22</v>
      </c>
      <c r="AS3207" s="84">
        <f>MONTH(AQ3207)</f>
        <v>9</v>
      </c>
      <c r="AT3207" s="86">
        <f>YEAR(AQ3207)</f>
        <v>2020</v>
      </c>
      <c r="AU3207" s="86"/>
      <c r="AV3207" s="87"/>
      <c r="AW3207" s="86"/>
      <c r="AX3207" s="83"/>
      <c r="AY3207" s="84"/>
      <c r="AZ3207" s="86"/>
      <c r="BA3207" s="86"/>
      <c r="BB3207" s="86"/>
    </row>
    <row r="3208" spans="1:55" ht="36.75" customHeight="1">
      <c r="A3208" s="30"/>
      <c r="B3208" s="30" t="s">
        <v>55</v>
      </c>
      <c r="C3208" s="69" t="str">
        <f t="shared" si="287"/>
        <v>Closed</v>
      </c>
      <c r="D3208" s="27" t="s">
        <v>18209</v>
      </c>
      <c r="E3208" s="29" t="s">
        <v>18210</v>
      </c>
      <c r="F3208" s="30" t="s">
        <v>16310</v>
      </c>
      <c r="G3208" s="72">
        <f>DATE(2020,9,17)</f>
        <v>44091</v>
      </c>
      <c r="H3208" s="80">
        <v>1.5729166666666665</v>
      </c>
      <c r="I3208" s="30" t="s">
        <v>73</v>
      </c>
      <c r="J3208" s="72" t="s">
        <v>18211</v>
      </c>
      <c r="K3208" s="30" t="s">
        <v>118</v>
      </c>
      <c r="L3208" s="30" t="s">
        <v>18212</v>
      </c>
      <c r="M3208" s="30" t="s">
        <v>63</v>
      </c>
      <c r="N3208" s="30" t="s">
        <v>142</v>
      </c>
      <c r="O3208" s="30" t="s">
        <v>64</v>
      </c>
      <c r="P3208" s="72" t="s">
        <v>78</v>
      </c>
      <c r="Q3208" s="72" t="s">
        <v>18213</v>
      </c>
      <c r="R3208" s="72" t="s">
        <v>18214</v>
      </c>
      <c r="S3208" s="30">
        <v>0</v>
      </c>
      <c r="T3208" s="232">
        <v>0</v>
      </c>
      <c r="U3208" s="30">
        <v>0</v>
      </c>
      <c r="V3208" s="232">
        <v>0</v>
      </c>
      <c r="W3208" s="30">
        <v>0</v>
      </c>
      <c r="X3208" s="30">
        <v>0</v>
      </c>
      <c r="Y3208" s="30">
        <v>0</v>
      </c>
      <c r="Z3208" s="232">
        <v>0</v>
      </c>
      <c r="AA3208" s="30">
        <v>0</v>
      </c>
      <c r="AB3208" s="30">
        <v>0</v>
      </c>
      <c r="AC3208" s="30">
        <v>0</v>
      </c>
      <c r="AD3208" s="30">
        <v>0</v>
      </c>
      <c r="AE3208" s="72" t="s">
        <v>145</v>
      </c>
      <c r="AF3208" s="72" t="s">
        <v>18215</v>
      </c>
      <c r="AG3208" s="72" t="s">
        <v>6459</v>
      </c>
      <c r="AH3208" s="72">
        <v>44102</v>
      </c>
      <c r="AI3208" s="30">
        <v>3</v>
      </c>
      <c r="AJ3208" s="72" t="s">
        <v>18216</v>
      </c>
      <c r="AK3208" s="72" t="s">
        <v>18217</v>
      </c>
      <c r="AL3208" s="70">
        <v>44123</v>
      </c>
      <c r="AM3208" s="70"/>
      <c r="AN3208" s="70">
        <v>44986</v>
      </c>
      <c r="AO3208" s="70">
        <v>44978</v>
      </c>
      <c r="AP3208" s="73" t="e">
        <f>MID(VLOOKUP(K3208,#REF!,2,FALSE),1,2)</f>
        <v>#REF!</v>
      </c>
      <c r="AQ3208" s="72">
        <f>DATE(2020,9,24)</f>
        <v>44098</v>
      </c>
      <c r="AR3208" s="83">
        <f>DAY(AQ3208)</f>
        <v>24</v>
      </c>
      <c r="AS3208" s="84">
        <f>MONTH(AQ3208)</f>
        <v>9</v>
      </c>
      <c r="AT3208" s="86">
        <f>YEAR(AQ3208)</f>
        <v>2020</v>
      </c>
      <c r="AU3208" s="86"/>
      <c r="AV3208" s="87"/>
      <c r="AW3208" s="86"/>
      <c r="AX3208" s="83"/>
      <c r="AY3208" s="84"/>
      <c r="AZ3208" s="86"/>
      <c r="BA3208" s="86"/>
      <c r="BB3208" s="86"/>
    </row>
    <row r="3209" spans="1:55" ht="36.75" customHeight="1">
      <c r="A3209" s="30"/>
      <c r="B3209" s="30" t="s">
        <v>55</v>
      </c>
      <c r="C3209" s="69" t="str">
        <f t="shared" si="287"/>
        <v>Closed</v>
      </c>
      <c r="D3209" s="27" t="s">
        <v>18218</v>
      </c>
      <c r="E3209" s="29" t="s">
        <v>18219</v>
      </c>
      <c r="F3209" s="30" t="s">
        <v>423</v>
      </c>
      <c r="G3209" s="72">
        <f>DATE(2020,9,18)</f>
        <v>44092</v>
      </c>
      <c r="H3209" s="80">
        <v>1.5534722222222221</v>
      </c>
      <c r="I3209" s="30" t="s">
        <v>116</v>
      </c>
      <c r="J3209" s="72" t="s">
        <v>18220</v>
      </c>
      <c r="K3209" s="30" t="s">
        <v>425</v>
      </c>
      <c r="L3209" s="30" t="s">
        <v>18221</v>
      </c>
      <c r="M3209" s="30" t="s">
        <v>63</v>
      </c>
      <c r="N3209" s="30" t="s">
        <v>99</v>
      </c>
      <c r="O3209" s="30" t="s">
        <v>77</v>
      </c>
      <c r="P3209" s="72" t="s">
        <v>165</v>
      </c>
      <c r="Q3209" s="72" t="s">
        <v>4551</v>
      </c>
      <c r="R3209" s="72" t="s">
        <v>3103</v>
      </c>
      <c r="S3209" s="30">
        <v>0</v>
      </c>
      <c r="T3209" s="232">
        <v>0</v>
      </c>
      <c r="U3209" s="30">
        <v>0</v>
      </c>
      <c r="V3209" s="232">
        <v>0</v>
      </c>
      <c r="W3209" s="30">
        <v>0</v>
      </c>
      <c r="X3209" s="30">
        <v>0</v>
      </c>
      <c r="Y3209" s="30">
        <v>0</v>
      </c>
      <c r="Z3209" s="232">
        <v>0</v>
      </c>
      <c r="AA3209" s="30">
        <v>0</v>
      </c>
      <c r="AB3209" s="30">
        <v>0</v>
      </c>
      <c r="AC3209" s="30">
        <v>0</v>
      </c>
      <c r="AD3209" s="30">
        <v>0</v>
      </c>
      <c r="AE3209" s="72" t="s">
        <v>92</v>
      </c>
      <c r="AF3209" s="72" t="s">
        <v>18222</v>
      </c>
      <c r="AG3209" s="72" t="s">
        <v>16283</v>
      </c>
      <c r="AH3209" s="72">
        <v>44092</v>
      </c>
      <c r="AI3209" s="30">
        <v>1</v>
      </c>
      <c r="AJ3209" s="72" t="s">
        <v>18223</v>
      </c>
      <c r="AK3209" s="72" t="s">
        <v>17938</v>
      </c>
      <c r="AL3209" s="70">
        <v>44099</v>
      </c>
      <c r="AM3209" s="72"/>
      <c r="AN3209" s="70"/>
      <c r="AO3209" s="70"/>
      <c r="AP3209" s="73" t="e">
        <f>MID(VLOOKUP(K3209,#REF!,2,FALSE),1,2)</f>
        <v>#REF!</v>
      </c>
      <c r="AQ3209" s="72">
        <f>DATE(2020,9,26)</f>
        <v>44100</v>
      </c>
      <c r="AR3209" s="83">
        <f>DAY(AQ3209)</f>
        <v>26</v>
      </c>
      <c r="AS3209" s="84">
        <f>MONTH(AQ3209)</f>
        <v>9</v>
      </c>
      <c r="AT3209" s="86">
        <f>YEAR(AQ3209)</f>
        <v>2020</v>
      </c>
      <c r="AU3209" s="86"/>
      <c r="AV3209" s="87"/>
      <c r="AW3209" s="86"/>
      <c r="AX3209" s="83"/>
      <c r="AY3209" s="84"/>
      <c r="AZ3209" s="86"/>
      <c r="BA3209" s="86"/>
      <c r="BB3209" s="86"/>
    </row>
    <row r="3210" spans="1:55" ht="36.75" customHeight="1">
      <c r="A3210" s="30"/>
      <c r="B3210" s="30" t="s">
        <v>55</v>
      </c>
      <c r="C3210" s="69" t="str">
        <f t="shared" si="287"/>
        <v>Closed</v>
      </c>
      <c r="D3210" s="27" t="s">
        <v>18224</v>
      </c>
      <c r="E3210" s="29" t="s">
        <v>18225</v>
      </c>
      <c r="F3210" s="30" t="s">
        <v>1572</v>
      </c>
      <c r="G3210" s="72">
        <f>DATE(2020,9,22)</f>
        <v>44096</v>
      </c>
      <c r="H3210" s="80">
        <v>1.9305555555555554</v>
      </c>
      <c r="I3210" s="30" t="s">
        <v>125</v>
      </c>
      <c r="J3210" s="72" t="s">
        <v>18226</v>
      </c>
      <c r="K3210" s="30" t="s">
        <v>1574</v>
      </c>
      <c r="L3210" s="30" t="s">
        <v>18227</v>
      </c>
      <c r="M3210" s="30" t="s">
        <v>63</v>
      </c>
      <c r="N3210" s="30" t="s">
        <v>142</v>
      </c>
      <c r="O3210" s="30" t="s">
        <v>64</v>
      </c>
      <c r="P3210" s="72" t="s">
        <v>78</v>
      </c>
      <c r="Q3210" s="72" t="s">
        <v>17445</v>
      </c>
      <c r="R3210" s="72" t="s">
        <v>6434</v>
      </c>
      <c r="S3210" s="30">
        <v>0</v>
      </c>
      <c r="T3210" s="232">
        <v>0</v>
      </c>
      <c r="U3210" s="30">
        <v>0</v>
      </c>
      <c r="V3210" s="232">
        <v>0</v>
      </c>
      <c r="W3210" s="30">
        <v>0</v>
      </c>
      <c r="X3210" s="30">
        <v>0</v>
      </c>
      <c r="Y3210" s="30">
        <v>0</v>
      </c>
      <c r="Z3210" s="232">
        <v>0</v>
      </c>
      <c r="AA3210" s="30">
        <v>0</v>
      </c>
      <c r="AB3210" s="30">
        <v>0</v>
      </c>
      <c r="AC3210" s="30">
        <v>0</v>
      </c>
      <c r="AD3210" s="30">
        <v>0</v>
      </c>
      <c r="AE3210" s="72" t="s">
        <v>92</v>
      </c>
      <c r="AF3210" s="72" t="s">
        <v>18228</v>
      </c>
      <c r="AG3210" s="72" t="s">
        <v>8859</v>
      </c>
      <c r="AH3210" s="72">
        <v>44097</v>
      </c>
      <c r="AI3210" s="30">
        <v>2</v>
      </c>
      <c r="AJ3210" s="72" t="s">
        <v>18229</v>
      </c>
      <c r="AK3210" s="72" t="s">
        <v>18230</v>
      </c>
      <c r="AL3210" s="70">
        <v>44099</v>
      </c>
      <c r="AM3210" s="70"/>
      <c r="AN3210" s="70"/>
      <c r="AO3210" s="70"/>
      <c r="AP3210" s="111"/>
      <c r="AQ3210" s="129"/>
      <c r="AR3210" s="114"/>
      <c r="AS3210" s="114"/>
      <c r="AT3210" s="130"/>
      <c r="AU3210" s="86"/>
      <c r="AV3210" s="86"/>
      <c r="AW3210" s="86"/>
      <c r="AX3210" s="116"/>
      <c r="AY3210" s="116"/>
      <c r="AZ3210" s="106"/>
      <c r="BA3210" s="106"/>
      <c r="BB3210" s="106"/>
    </row>
    <row r="3211" spans="1:55" ht="36.75" customHeight="1">
      <c r="A3211" s="30"/>
      <c r="B3211" s="30" t="s">
        <v>55</v>
      </c>
      <c r="C3211" s="69" t="str">
        <f t="shared" si="287"/>
        <v>Closed</v>
      </c>
      <c r="D3211" s="37" t="s">
        <v>18231</v>
      </c>
      <c r="E3211" s="29" t="s">
        <v>18232</v>
      </c>
      <c r="F3211" s="30" t="s">
        <v>6455</v>
      </c>
      <c r="G3211" s="72">
        <f>DATE(2020,9,24)</f>
        <v>44098</v>
      </c>
      <c r="H3211" s="80">
        <v>1.7569444444444446</v>
      </c>
      <c r="I3211" s="30" t="s">
        <v>73</v>
      </c>
      <c r="J3211" s="72" t="s">
        <v>18233</v>
      </c>
      <c r="K3211" s="30" t="s">
        <v>584</v>
      </c>
      <c r="L3211" s="30" t="s">
        <v>18234</v>
      </c>
      <c r="M3211" s="30" t="s">
        <v>63</v>
      </c>
      <c r="N3211" s="30" t="s">
        <v>142</v>
      </c>
      <c r="O3211" s="30" t="s">
        <v>77</v>
      </c>
      <c r="P3211" s="72" t="s">
        <v>78</v>
      </c>
      <c r="Q3211" s="72" t="s">
        <v>586</v>
      </c>
      <c r="R3211" s="72" t="s">
        <v>587</v>
      </c>
      <c r="S3211" s="30">
        <v>0</v>
      </c>
      <c r="T3211" s="232">
        <v>0</v>
      </c>
      <c r="U3211" s="30">
        <v>0</v>
      </c>
      <c r="V3211" s="232">
        <v>0</v>
      </c>
      <c r="W3211" s="30">
        <v>0</v>
      </c>
      <c r="X3211" s="30">
        <v>0</v>
      </c>
      <c r="Y3211" s="30">
        <v>0</v>
      </c>
      <c r="Z3211" s="232">
        <v>0</v>
      </c>
      <c r="AA3211" s="30">
        <v>0</v>
      </c>
      <c r="AB3211" s="30">
        <v>0</v>
      </c>
      <c r="AC3211" s="30">
        <v>0</v>
      </c>
      <c r="AD3211" s="30">
        <v>0</v>
      </c>
      <c r="AE3211" s="72" t="s">
        <v>394</v>
      </c>
      <c r="AF3211" s="72" t="s">
        <v>18235</v>
      </c>
      <c r="AG3211" s="72" t="s">
        <v>8859</v>
      </c>
      <c r="AH3211" s="72">
        <v>44099</v>
      </c>
      <c r="AI3211" s="30">
        <v>0</v>
      </c>
      <c r="AJ3211" s="72" t="s">
        <v>18236</v>
      </c>
      <c r="AK3211" s="72" t="s">
        <v>18237</v>
      </c>
      <c r="AL3211" s="70">
        <v>44125</v>
      </c>
      <c r="AM3211" s="70">
        <v>45289</v>
      </c>
      <c r="AN3211" s="70">
        <v>45607</v>
      </c>
      <c r="AO3211" s="70">
        <v>45607</v>
      </c>
      <c r="AP3211" s="73" t="e">
        <f>MID(VLOOKUP(K3211,#REF!,2,FALSE),1,2)</f>
        <v>#REF!</v>
      </c>
      <c r="AQ3211" s="72">
        <f>DATE(2020,9,28)</f>
        <v>44102</v>
      </c>
      <c r="AR3211" s="83">
        <f>DAY(AQ3211)</f>
        <v>28</v>
      </c>
      <c r="AS3211" s="84">
        <f>MONTH(AQ3211)</f>
        <v>9</v>
      </c>
      <c r="AT3211" s="86">
        <f>YEAR(AQ3211)</f>
        <v>2020</v>
      </c>
      <c r="AU3211" s="86"/>
      <c r="AV3211" s="87"/>
      <c r="AW3211" s="86"/>
      <c r="AX3211" s="83"/>
      <c r="AY3211" s="84"/>
      <c r="AZ3211" s="86"/>
      <c r="BA3211" s="86"/>
      <c r="BB3211" s="86"/>
    </row>
    <row r="3212" spans="1:55" ht="36.75" customHeight="1">
      <c r="A3212" s="30"/>
      <c r="B3212" s="30" t="s">
        <v>55</v>
      </c>
      <c r="C3212" s="69" t="str">
        <f t="shared" si="287"/>
        <v>Closed</v>
      </c>
      <c r="D3212" s="37" t="s">
        <v>18238</v>
      </c>
      <c r="E3212" s="29" t="s">
        <v>18239</v>
      </c>
      <c r="F3212" s="30" t="s">
        <v>16429</v>
      </c>
      <c r="G3212" s="72">
        <f>DATE(2020,9,26)</f>
        <v>44100</v>
      </c>
      <c r="H3212" s="80">
        <v>1.3576388888888888</v>
      </c>
      <c r="I3212" s="30" t="s">
        <v>73</v>
      </c>
      <c r="J3212" s="72" t="s">
        <v>18240</v>
      </c>
      <c r="K3212" s="30" t="s">
        <v>425</v>
      </c>
      <c r="L3212" s="30" t="s">
        <v>18241</v>
      </c>
      <c r="M3212" s="30" t="s">
        <v>63</v>
      </c>
      <c r="N3212" s="30" t="s">
        <v>142</v>
      </c>
      <c r="O3212" s="30" t="s">
        <v>77</v>
      </c>
      <c r="P3212" s="72" t="s">
        <v>78</v>
      </c>
      <c r="Q3212" s="72" t="s">
        <v>18242</v>
      </c>
      <c r="R3212" s="72" t="s">
        <v>17369</v>
      </c>
      <c r="S3212" s="30">
        <v>0</v>
      </c>
      <c r="T3212" s="232">
        <v>0</v>
      </c>
      <c r="U3212" s="30">
        <v>0</v>
      </c>
      <c r="V3212" s="232">
        <v>0</v>
      </c>
      <c r="W3212" s="30">
        <v>0</v>
      </c>
      <c r="X3212" s="30">
        <v>0</v>
      </c>
      <c r="Y3212" s="30">
        <v>0</v>
      </c>
      <c r="Z3212" s="232">
        <v>0</v>
      </c>
      <c r="AA3212" s="30">
        <v>0</v>
      </c>
      <c r="AB3212" s="30">
        <v>0</v>
      </c>
      <c r="AC3212" s="30">
        <v>0</v>
      </c>
      <c r="AD3212" s="30">
        <v>0</v>
      </c>
      <c r="AE3212" s="72" t="s">
        <v>92</v>
      </c>
      <c r="AF3212" s="72" t="s">
        <v>18243</v>
      </c>
      <c r="AG3212" s="72" t="s">
        <v>6459</v>
      </c>
      <c r="AH3212" s="72">
        <v>44100</v>
      </c>
      <c r="AI3212" s="30">
        <v>0</v>
      </c>
      <c r="AJ3212" s="72" t="s">
        <v>18244</v>
      </c>
      <c r="AK3212" s="72" t="s">
        <v>18245</v>
      </c>
      <c r="AL3212" s="91">
        <v>44104</v>
      </c>
      <c r="AM3212" s="70">
        <v>45223</v>
      </c>
      <c r="AN3212" s="70">
        <v>45506</v>
      </c>
      <c r="AO3212" s="70">
        <v>45481</v>
      </c>
      <c r="AP3212" s="111"/>
      <c r="AQ3212" s="129"/>
      <c r="AR3212" s="114"/>
      <c r="AS3212" s="114"/>
      <c r="AT3212" s="130"/>
      <c r="AU3212" s="86"/>
      <c r="AV3212" s="86"/>
      <c r="AW3212" s="86"/>
      <c r="AX3212" s="116"/>
      <c r="AY3212" s="116"/>
      <c r="AZ3212" s="106"/>
      <c r="BA3212" s="106"/>
      <c r="BB3212" s="106"/>
    </row>
    <row r="3213" spans="1:55" ht="36.75" customHeight="1">
      <c r="A3213" s="30"/>
      <c r="B3213" s="30" t="s">
        <v>55</v>
      </c>
      <c r="C3213" s="69" t="s">
        <v>18034</v>
      </c>
      <c r="D3213" s="36" t="s">
        <v>18246</v>
      </c>
      <c r="E3213" s="29" t="s">
        <v>18247</v>
      </c>
      <c r="F3213" s="30" t="s">
        <v>17578</v>
      </c>
      <c r="G3213" s="72">
        <f>DATE(2020,9,26)</f>
        <v>44100</v>
      </c>
      <c r="H3213" s="142">
        <v>1.03125</v>
      </c>
      <c r="I3213" s="30" t="s">
        <v>73</v>
      </c>
      <c r="J3213" s="30" t="s">
        <v>18248</v>
      </c>
      <c r="K3213" s="30" t="s">
        <v>837</v>
      </c>
      <c r="L3213" s="30" t="s">
        <v>18249</v>
      </c>
      <c r="M3213" s="30" t="s">
        <v>63</v>
      </c>
      <c r="N3213" s="30" t="s">
        <v>142</v>
      </c>
      <c r="O3213" s="30" t="s">
        <v>77</v>
      </c>
      <c r="P3213" s="30" t="s">
        <v>78</v>
      </c>
      <c r="Q3213" s="30" t="s">
        <v>18250</v>
      </c>
      <c r="R3213" s="30" t="s">
        <v>2797</v>
      </c>
      <c r="S3213" s="30">
        <v>0</v>
      </c>
      <c r="T3213" s="30">
        <v>0</v>
      </c>
      <c r="U3213" s="30">
        <v>0</v>
      </c>
      <c r="V3213" s="30">
        <v>0</v>
      </c>
      <c r="W3213" s="30">
        <v>0</v>
      </c>
      <c r="X3213" s="30">
        <v>0</v>
      </c>
      <c r="Y3213" s="30">
        <v>0</v>
      </c>
      <c r="Z3213" s="30">
        <v>0</v>
      </c>
      <c r="AA3213" s="30">
        <v>0</v>
      </c>
      <c r="AB3213" s="30">
        <v>0</v>
      </c>
      <c r="AC3213" s="30">
        <v>0</v>
      </c>
      <c r="AD3213" s="30">
        <v>0</v>
      </c>
      <c r="AE3213" s="46" t="s">
        <v>92</v>
      </c>
      <c r="AF3213" s="30" t="s">
        <v>18251</v>
      </c>
      <c r="AG3213" s="46" t="s">
        <v>8859</v>
      </c>
      <c r="AH3213" s="72">
        <v>44100</v>
      </c>
      <c r="AI3213" s="30">
        <v>1</v>
      </c>
      <c r="AJ3213" s="30" t="s">
        <v>18252</v>
      </c>
      <c r="AK3213" s="30" t="s">
        <v>18253</v>
      </c>
      <c r="AL3213" s="137">
        <v>44565</v>
      </c>
      <c r="AM3213" s="132"/>
      <c r="AN3213" s="70">
        <v>45012</v>
      </c>
      <c r="AO3213" s="70">
        <v>44747</v>
      </c>
      <c r="AP3213" s="73" t="e">
        <f>MID(VLOOKUP(K3213,#REF!,2,FALSE),1,2)</f>
        <v>#REF!</v>
      </c>
      <c r="AQ3213" s="72">
        <f>DATE(2020,10,6)</f>
        <v>44110</v>
      </c>
      <c r="AR3213" s="83">
        <f t="shared" ref="AR3213:AR3220" si="288">DAY(AQ3213)</f>
        <v>6</v>
      </c>
      <c r="AS3213" s="84">
        <f t="shared" ref="AS3213:AS3220" si="289">MONTH(AQ3213)</f>
        <v>10</v>
      </c>
      <c r="AT3213" s="86">
        <f t="shared" ref="AT3213:AT3220" si="290">YEAR(AQ3213)</f>
        <v>2020</v>
      </c>
      <c r="AU3213" s="86"/>
      <c r="AV3213" s="87"/>
      <c r="AW3213" s="86"/>
      <c r="AX3213" s="83"/>
      <c r="AY3213" s="84"/>
      <c r="AZ3213" s="86"/>
      <c r="BA3213" s="86"/>
      <c r="BB3213" s="86"/>
    </row>
    <row r="3214" spans="1:55" ht="36.75" customHeight="1">
      <c r="A3214" s="30" t="s">
        <v>12471</v>
      </c>
      <c r="B3214" s="30" t="s">
        <v>55</v>
      </c>
      <c r="C3214" s="69" t="str">
        <f t="shared" ref="C3214:C3235" si="291">IF(B3214="Notification","Open",IF(B3214="Interim Statement","In progress","Closed"))</f>
        <v>Closed</v>
      </c>
      <c r="D3214" s="36" t="s">
        <v>18254</v>
      </c>
      <c r="E3214" s="29" t="s">
        <v>18255</v>
      </c>
      <c r="F3214" s="30" t="s">
        <v>17773</v>
      </c>
      <c r="G3214" s="72">
        <f>DATE(2020,9,28)</f>
        <v>44102</v>
      </c>
      <c r="H3214" s="142">
        <v>0.54652777777777783</v>
      </c>
      <c r="I3214" s="30" t="s">
        <v>125</v>
      </c>
      <c r="J3214" s="30" t="s">
        <v>18256</v>
      </c>
      <c r="K3214" s="30" t="s">
        <v>2603</v>
      </c>
      <c r="L3214" s="30" t="s">
        <v>18257</v>
      </c>
      <c r="M3214" s="30" t="s">
        <v>63</v>
      </c>
      <c r="N3214" s="30" t="s">
        <v>142</v>
      </c>
      <c r="O3214" s="30" t="s">
        <v>64</v>
      </c>
      <c r="P3214" s="30" t="s">
        <v>65</v>
      </c>
      <c r="Q3214" s="30" t="s">
        <v>17581</v>
      </c>
      <c r="R3214" s="30" t="s">
        <v>17369</v>
      </c>
      <c r="S3214" s="30">
        <v>0</v>
      </c>
      <c r="T3214" s="30">
        <v>0</v>
      </c>
      <c r="U3214" s="30">
        <v>0</v>
      </c>
      <c r="V3214" s="30">
        <v>0</v>
      </c>
      <c r="W3214" s="30">
        <v>0</v>
      </c>
      <c r="X3214" s="30">
        <v>0</v>
      </c>
      <c r="Y3214" s="30">
        <v>0</v>
      </c>
      <c r="Z3214" s="30">
        <v>0</v>
      </c>
      <c r="AA3214" s="30">
        <v>0</v>
      </c>
      <c r="AB3214" s="30">
        <v>0</v>
      </c>
      <c r="AC3214" s="30">
        <v>0</v>
      </c>
      <c r="AD3214" s="30">
        <v>0</v>
      </c>
      <c r="AE3214" s="30" t="s">
        <v>17776</v>
      </c>
      <c r="AF3214" s="30" t="s">
        <v>17777</v>
      </c>
      <c r="AG3214" s="46" t="s">
        <v>17994</v>
      </c>
      <c r="AH3214" s="72">
        <v>44102</v>
      </c>
      <c r="AI3214" s="30">
        <v>3</v>
      </c>
      <c r="AJ3214" s="30" t="s">
        <v>18258</v>
      </c>
      <c r="AK3214" s="30"/>
      <c r="AL3214" s="131" t="s">
        <v>68</v>
      </c>
      <c r="AM3214" s="132"/>
      <c r="AN3214" s="135"/>
      <c r="AO3214" s="135"/>
      <c r="AP3214" s="73" t="e">
        <f>MID(VLOOKUP(K3214,#REF!,2,FALSE),1,2)</f>
        <v>#REF!</v>
      </c>
      <c r="AQ3214" s="72">
        <f>DATE(2020,10,7)</f>
        <v>44111</v>
      </c>
      <c r="AR3214" s="83">
        <f t="shared" si="288"/>
        <v>7</v>
      </c>
      <c r="AS3214" s="84">
        <f t="shared" si="289"/>
        <v>10</v>
      </c>
      <c r="AT3214" s="86">
        <f t="shared" si="290"/>
        <v>2020</v>
      </c>
      <c r="AU3214" s="86"/>
      <c r="AV3214" s="87"/>
      <c r="AW3214" s="86"/>
      <c r="AX3214" s="83"/>
      <c r="AY3214" s="84"/>
      <c r="AZ3214" s="86"/>
      <c r="BA3214" s="86"/>
      <c r="BB3214" s="86"/>
    </row>
    <row r="3215" spans="1:55" ht="36.75" customHeight="1">
      <c r="A3215" s="30"/>
      <c r="B3215" s="30" t="s">
        <v>55</v>
      </c>
      <c r="C3215" s="69" t="str">
        <f t="shared" si="291"/>
        <v>Closed</v>
      </c>
      <c r="D3215" s="27" t="s">
        <v>18259</v>
      </c>
      <c r="E3215" s="29" t="s">
        <v>18260</v>
      </c>
      <c r="F3215" s="30" t="s">
        <v>9789</v>
      </c>
      <c r="G3215" s="72">
        <f>DATE(2020,9,28)</f>
        <v>44102</v>
      </c>
      <c r="H3215" s="102">
        <v>1.9409722222222223</v>
      </c>
      <c r="I3215" s="30" t="s">
        <v>73</v>
      </c>
      <c r="J3215" s="265" t="s">
        <v>18261</v>
      </c>
      <c r="K3215" s="30" t="s">
        <v>9791</v>
      </c>
      <c r="L3215" s="30" t="s">
        <v>18262</v>
      </c>
      <c r="M3215" s="30" t="s">
        <v>63</v>
      </c>
      <c r="N3215" s="30" t="s">
        <v>99</v>
      </c>
      <c r="O3215" s="30" t="s">
        <v>77</v>
      </c>
      <c r="P3215" s="72" t="s">
        <v>165</v>
      </c>
      <c r="Q3215" s="72" t="s">
        <v>9960</v>
      </c>
      <c r="R3215" s="72" t="s">
        <v>9794</v>
      </c>
      <c r="S3215" s="30">
        <v>0</v>
      </c>
      <c r="T3215" s="232">
        <v>0</v>
      </c>
      <c r="U3215" s="30">
        <v>0</v>
      </c>
      <c r="V3215" s="232">
        <v>0</v>
      </c>
      <c r="W3215" s="30">
        <v>0</v>
      </c>
      <c r="X3215" s="30">
        <v>0</v>
      </c>
      <c r="Y3215" s="30">
        <v>0</v>
      </c>
      <c r="Z3215" s="232">
        <v>0</v>
      </c>
      <c r="AA3215" s="30">
        <v>0</v>
      </c>
      <c r="AB3215" s="30">
        <v>0</v>
      </c>
      <c r="AC3215" s="30">
        <v>0</v>
      </c>
      <c r="AD3215" s="30">
        <v>0</v>
      </c>
      <c r="AE3215" s="72" t="s">
        <v>92</v>
      </c>
      <c r="AF3215" s="72" t="s">
        <v>18263</v>
      </c>
      <c r="AG3215" s="72" t="s">
        <v>8859</v>
      </c>
      <c r="AH3215" s="72">
        <v>44109</v>
      </c>
      <c r="AI3215" s="30">
        <v>0</v>
      </c>
      <c r="AJ3215" s="72" t="s">
        <v>18264</v>
      </c>
      <c r="AK3215" s="72" t="s">
        <v>18265</v>
      </c>
      <c r="AL3215" s="70">
        <v>44112</v>
      </c>
      <c r="AM3215" s="70"/>
      <c r="AN3215" s="70"/>
      <c r="AO3215" s="70"/>
      <c r="AP3215" s="73" t="e">
        <f>MID(VLOOKUP(K3215,#REF!,2,FALSE),1,2)</f>
        <v>#REF!</v>
      </c>
      <c r="AQ3215" s="72">
        <f>DATE(2020,10,8)</f>
        <v>44112</v>
      </c>
      <c r="AR3215" s="83">
        <f t="shared" si="288"/>
        <v>8</v>
      </c>
      <c r="AS3215" s="84">
        <f t="shared" si="289"/>
        <v>10</v>
      </c>
      <c r="AT3215" s="86">
        <f t="shared" si="290"/>
        <v>2020</v>
      </c>
      <c r="AU3215" s="86"/>
      <c r="AV3215" s="87"/>
      <c r="AW3215" s="86"/>
      <c r="AX3215" s="83"/>
      <c r="AY3215" s="84"/>
      <c r="AZ3215" s="86"/>
      <c r="BA3215" s="86"/>
      <c r="BB3215" s="86"/>
    </row>
    <row r="3216" spans="1:55" ht="36.75" customHeight="1">
      <c r="A3216" s="30" t="s">
        <v>12471</v>
      </c>
      <c r="B3216" s="30" t="s">
        <v>55</v>
      </c>
      <c r="C3216" s="69" t="str">
        <f t="shared" si="291"/>
        <v>Closed</v>
      </c>
      <c r="D3216" s="36" t="s">
        <v>18266</v>
      </c>
      <c r="E3216" s="28" t="s">
        <v>18267</v>
      </c>
      <c r="F3216" s="5" t="s">
        <v>12910</v>
      </c>
      <c r="G3216" s="72">
        <f>DATE(2020,10,3)</f>
        <v>44107</v>
      </c>
      <c r="H3216" s="142">
        <v>2.5694444444444447E-2</v>
      </c>
      <c r="I3216" s="30" t="s">
        <v>156</v>
      </c>
      <c r="J3216" s="5" t="s">
        <v>18268</v>
      </c>
      <c r="K3216" s="5" t="s">
        <v>453</v>
      </c>
      <c r="L3216" s="5" t="s">
        <v>18269</v>
      </c>
      <c r="M3216" s="5"/>
      <c r="N3216" s="5"/>
      <c r="O3216" s="5" t="s">
        <v>64</v>
      </c>
      <c r="P3216" s="5" t="s">
        <v>65</v>
      </c>
      <c r="Q3216" s="5" t="s">
        <v>18270</v>
      </c>
      <c r="R3216" s="5" t="s">
        <v>12913</v>
      </c>
      <c r="S3216" s="5">
        <v>0</v>
      </c>
      <c r="T3216" s="5">
        <v>1</v>
      </c>
      <c r="U3216" s="5">
        <v>0</v>
      </c>
      <c r="V3216" s="5">
        <v>0</v>
      </c>
      <c r="W3216" s="5">
        <v>0</v>
      </c>
      <c r="X3216" s="5">
        <v>1</v>
      </c>
      <c r="Y3216" s="5">
        <v>0</v>
      </c>
      <c r="Z3216" s="5">
        <v>0</v>
      </c>
      <c r="AA3216" s="5">
        <v>0</v>
      </c>
      <c r="AB3216" s="5">
        <v>0</v>
      </c>
      <c r="AC3216" s="5">
        <v>0</v>
      </c>
      <c r="AD3216" s="5">
        <v>0</v>
      </c>
      <c r="AE3216" s="5"/>
      <c r="AF3216" s="5"/>
      <c r="AG3216" s="5"/>
      <c r="AH3216" s="72" t="s">
        <v>68</v>
      </c>
      <c r="AI3216" s="5">
        <v>1</v>
      </c>
      <c r="AJ3216" s="5"/>
      <c r="AK3216" s="5"/>
      <c r="AL3216" s="21">
        <v>44480</v>
      </c>
      <c r="AM3216" s="22"/>
      <c r="AN3216" s="23"/>
      <c r="AO3216" s="23"/>
      <c r="AP3216" s="73" t="e">
        <f>MID(VLOOKUP(K3216,#REF!,2,FALSE),1,2)</f>
        <v>#REF!</v>
      </c>
      <c r="AQ3216" s="72">
        <f>DATE(2020,10,9)</f>
        <v>44113</v>
      </c>
      <c r="AR3216" s="83">
        <f t="shared" si="288"/>
        <v>9</v>
      </c>
      <c r="AS3216" s="84">
        <f t="shared" si="289"/>
        <v>10</v>
      </c>
      <c r="AT3216" s="86">
        <f t="shared" si="290"/>
        <v>2020</v>
      </c>
      <c r="AU3216" s="86"/>
      <c r="AV3216" s="87"/>
      <c r="AW3216" s="86"/>
      <c r="AX3216" s="83"/>
      <c r="AY3216" s="84"/>
      <c r="AZ3216" s="86"/>
      <c r="BA3216" s="86"/>
      <c r="BB3216" s="86"/>
    </row>
    <row r="3217" spans="1:55" ht="36.75" customHeight="1">
      <c r="A3217" s="143" t="s">
        <v>4910</v>
      </c>
      <c r="B3217" s="5" t="s">
        <v>55</v>
      </c>
      <c r="C3217" s="69" t="str">
        <f t="shared" si="291"/>
        <v>Closed</v>
      </c>
      <c r="D3217" s="27" t="s">
        <v>18271</v>
      </c>
      <c r="E3217" s="28" t="s">
        <v>18272</v>
      </c>
      <c r="F3217" s="5" t="s">
        <v>423</v>
      </c>
      <c r="G3217" s="72">
        <f>DATE(2020,10,6)</f>
        <v>44110</v>
      </c>
      <c r="H3217" s="102">
        <v>1.7374999999999998</v>
      </c>
      <c r="I3217" s="5" t="s">
        <v>116</v>
      </c>
      <c r="J3217" s="72" t="s">
        <v>18273</v>
      </c>
      <c r="K3217" s="5" t="s">
        <v>425</v>
      </c>
      <c r="L3217" s="5" t="s">
        <v>18274</v>
      </c>
      <c r="M3217" s="5" t="s">
        <v>63</v>
      </c>
      <c r="N3217" s="5" t="s">
        <v>99</v>
      </c>
      <c r="O3217" s="5" t="s">
        <v>77</v>
      </c>
      <c r="P3217" s="72" t="s">
        <v>65</v>
      </c>
      <c r="Q3217" s="72" t="s">
        <v>4551</v>
      </c>
      <c r="R3217" s="72" t="s">
        <v>3103</v>
      </c>
      <c r="S3217" s="5">
        <v>0</v>
      </c>
      <c r="T3217" s="232">
        <v>0</v>
      </c>
      <c r="U3217" s="5">
        <v>0</v>
      </c>
      <c r="V3217" s="232">
        <v>0</v>
      </c>
      <c r="W3217" s="5">
        <v>0</v>
      </c>
      <c r="X3217" s="5">
        <v>0</v>
      </c>
      <c r="Y3217" s="5">
        <v>0</v>
      </c>
      <c r="Z3217" s="232">
        <v>0</v>
      </c>
      <c r="AA3217" s="5">
        <v>0</v>
      </c>
      <c r="AB3217" s="5">
        <v>0</v>
      </c>
      <c r="AC3217" s="5">
        <v>0</v>
      </c>
      <c r="AD3217" s="5">
        <v>0</v>
      </c>
      <c r="AE3217" s="72" t="s">
        <v>394</v>
      </c>
      <c r="AF3217" s="72"/>
      <c r="AG3217" s="88" t="s">
        <v>82</v>
      </c>
      <c r="AH3217" s="72">
        <v>44176</v>
      </c>
      <c r="AI3217" s="30">
        <v>0</v>
      </c>
      <c r="AJ3217" s="72" t="s">
        <v>68</v>
      </c>
      <c r="AK3217" s="72" t="s">
        <v>68</v>
      </c>
      <c r="AL3217" s="70">
        <v>44148</v>
      </c>
      <c r="AM3217" s="70"/>
      <c r="AN3217" s="70"/>
      <c r="AO3217" s="70"/>
      <c r="AP3217" s="73" t="e">
        <f>MID(VLOOKUP(K3217,#REF!,2,FALSE),1,2)</f>
        <v>#REF!</v>
      </c>
      <c r="AQ3217" s="72">
        <f>DATE(2020,10,16)</f>
        <v>44120</v>
      </c>
      <c r="AR3217" s="83">
        <f t="shared" si="288"/>
        <v>16</v>
      </c>
      <c r="AS3217" s="84">
        <f t="shared" si="289"/>
        <v>10</v>
      </c>
      <c r="AT3217" s="86">
        <f t="shared" si="290"/>
        <v>2020</v>
      </c>
      <c r="AU3217" s="86"/>
      <c r="AV3217" s="87"/>
      <c r="AW3217" s="86"/>
      <c r="AX3217" s="83"/>
      <c r="AY3217" s="84"/>
      <c r="AZ3217" s="86"/>
      <c r="BA3217" s="86"/>
      <c r="BB3217" s="86"/>
    </row>
    <row r="3218" spans="1:55" ht="36.75" customHeight="1">
      <c r="A3218" s="30"/>
      <c r="B3218" s="30" t="s">
        <v>55</v>
      </c>
      <c r="C3218" s="69" t="str">
        <f t="shared" si="291"/>
        <v>Closed</v>
      </c>
      <c r="D3218" s="27" t="s">
        <v>18275</v>
      </c>
      <c r="E3218" s="29" t="s">
        <v>18276</v>
      </c>
      <c r="F3218" s="30" t="s">
        <v>835</v>
      </c>
      <c r="G3218" s="72">
        <f>DATE(2020,10,7)</f>
        <v>44111</v>
      </c>
      <c r="H3218" s="102">
        <v>1.0243055555555556</v>
      </c>
      <c r="I3218" s="30" t="s">
        <v>198</v>
      </c>
      <c r="J3218" s="72" t="s">
        <v>18277</v>
      </c>
      <c r="K3218" s="30" t="s">
        <v>837</v>
      </c>
      <c r="L3218" s="30" t="s">
        <v>18278</v>
      </c>
      <c r="M3218" s="30" t="s">
        <v>63</v>
      </c>
      <c r="N3218" s="30" t="s">
        <v>89</v>
      </c>
      <c r="O3218" s="30" t="s">
        <v>64</v>
      </c>
      <c r="P3218" s="72" t="s">
        <v>78</v>
      </c>
      <c r="Q3218" s="72" t="s">
        <v>840</v>
      </c>
      <c r="R3218" s="72" t="s">
        <v>18279</v>
      </c>
      <c r="S3218" s="30">
        <v>0</v>
      </c>
      <c r="T3218" s="232">
        <v>0</v>
      </c>
      <c r="U3218" s="30">
        <v>0</v>
      </c>
      <c r="V3218" s="232">
        <v>0</v>
      </c>
      <c r="W3218" s="30">
        <v>0</v>
      </c>
      <c r="X3218" s="30">
        <v>0</v>
      </c>
      <c r="Y3218" s="30">
        <v>0</v>
      </c>
      <c r="Z3218" s="232">
        <v>0</v>
      </c>
      <c r="AA3218" s="30">
        <v>0</v>
      </c>
      <c r="AB3218" s="30">
        <v>0</v>
      </c>
      <c r="AC3218" s="30">
        <v>0</v>
      </c>
      <c r="AD3218" s="30">
        <v>0</v>
      </c>
      <c r="AE3218" s="72" t="s">
        <v>92</v>
      </c>
      <c r="AF3218" s="72" t="s">
        <v>879</v>
      </c>
      <c r="AG3218" s="72" t="s">
        <v>8859</v>
      </c>
      <c r="AH3218" s="72">
        <v>44111</v>
      </c>
      <c r="AI3218" s="30">
        <v>0</v>
      </c>
      <c r="AJ3218" s="72" t="s">
        <v>11879</v>
      </c>
      <c r="AK3218" s="72" t="s">
        <v>18280</v>
      </c>
      <c r="AL3218" s="70">
        <v>44112</v>
      </c>
      <c r="AM3218" s="70"/>
      <c r="AN3218" s="70">
        <v>44438</v>
      </c>
      <c r="AO3218" s="70">
        <v>44433</v>
      </c>
      <c r="AP3218" s="73" t="e">
        <f>MID(VLOOKUP(K3218,#REF!,2,FALSE),1,2)</f>
        <v>#REF!</v>
      </c>
      <c r="AQ3218" s="72">
        <f>DATE(2020,10,16)</f>
        <v>44120</v>
      </c>
      <c r="AR3218" s="83">
        <f t="shared" si="288"/>
        <v>16</v>
      </c>
      <c r="AS3218" s="84">
        <f t="shared" si="289"/>
        <v>10</v>
      </c>
      <c r="AT3218" s="86">
        <f t="shared" si="290"/>
        <v>2020</v>
      </c>
      <c r="AU3218" s="86"/>
      <c r="AV3218" s="87"/>
      <c r="AW3218" s="86"/>
      <c r="AX3218" s="83"/>
      <c r="AY3218" s="84"/>
      <c r="AZ3218" s="86"/>
      <c r="BA3218" s="86"/>
      <c r="BB3218" s="86"/>
    </row>
    <row r="3219" spans="1:55" ht="36.75" customHeight="1">
      <c r="A3219" s="30"/>
      <c r="B3219" s="30" t="s">
        <v>55</v>
      </c>
      <c r="C3219" s="69" t="str">
        <f t="shared" si="291"/>
        <v>Closed</v>
      </c>
      <c r="D3219" s="27" t="s">
        <v>18281</v>
      </c>
      <c r="E3219" s="29" t="s">
        <v>18282</v>
      </c>
      <c r="F3219" s="30" t="s">
        <v>1572</v>
      </c>
      <c r="G3219" s="72">
        <f>DATE(2020,10,8)</f>
        <v>44112</v>
      </c>
      <c r="H3219" s="102">
        <v>1.0652777777777778</v>
      </c>
      <c r="I3219" s="30" t="s">
        <v>125</v>
      </c>
      <c r="J3219" s="72" t="s">
        <v>18283</v>
      </c>
      <c r="K3219" s="30" t="s">
        <v>1574</v>
      </c>
      <c r="L3219" s="30" t="s">
        <v>18284</v>
      </c>
      <c r="M3219" s="30" t="s">
        <v>63</v>
      </c>
      <c r="N3219" s="30" t="s">
        <v>142</v>
      </c>
      <c r="O3219" s="30" t="s">
        <v>77</v>
      </c>
      <c r="P3219" s="72" t="s">
        <v>78</v>
      </c>
      <c r="Q3219" s="72" t="s">
        <v>18285</v>
      </c>
      <c r="R3219" s="72" t="s">
        <v>6434</v>
      </c>
      <c r="S3219" s="30">
        <v>0</v>
      </c>
      <c r="T3219" s="232">
        <v>0</v>
      </c>
      <c r="U3219" s="30">
        <v>0</v>
      </c>
      <c r="V3219" s="232">
        <v>0</v>
      </c>
      <c r="W3219" s="30">
        <v>0</v>
      </c>
      <c r="X3219" s="30">
        <v>0</v>
      </c>
      <c r="Y3219" s="30">
        <v>0</v>
      </c>
      <c r="Z3219" s="232">
        <v>0</v>
      </c>
      <c r="AA3219" s="30">
        <v>0</v>
      </c>
      <c r="AB3219" s="30">
        <v>0</v>
      </c>
      <c r="AC3219" s="30">
        <v>0</v>
      </c>
      <c r="AD3219" s="30">
        <v>0</v>
      </c>
      <c r="AE3219" s="72" t="s">
        <v>394</v>
      </c>
      <c r="AF3219" s="72" t="s">
        <v>18286</v>
      </c>
      <c r="AG3219" s="88" t="s">
        <v>8859</v>
      </c>
      <c r="AH3219" s="72">
        <v>44116</v>
      </c>
      <c r="AI3219" s="30">
        <v>2</v>
      </c>
      <c r="AJ3219" s="72" t="s">
        <v>18287</v>
      </c>
      <c r="AK3219" s="72" t="s">
        <v>18288</v>
      </c>
      <c r="AL3219" s="70">
        <v>44117</v>
      </c>
      <c r="AM3219" s="70"/>
      <c r="AN3219" s="70"/>
      <c r="AO3219" s="70"/>
      <c r="AP3219" s="73" t="e">
        <f>MID(VLOOKUP(K3219,#REF!,2,FALSE),1,2)</f>
        <v>#REF!</v>
      </c>
      <c r="AQ3219" s="72">
        <f>DATE(2020,10,16)</f>
        <v>44120</v>
      </c>
      <c r="AR3219" s="83">
        <f t="shared" si="288"/>
        <v>16</v>
      </c>
      <c r="AS3219" s="84">
        <f t="shared" si="289"/>
        <v>10</v>
      </c>
      <c r="AT3219" s="86">
        <f t="shared" si="290"/>
        <v>2020</v>
      </c>
      <c r="AU3219" s="86"/>
      <c r="AV3219" s="87"/>
      <c r="AW3219" s="86"/>
      <c r="AX3219" s="83"/>
      <c r="AY3219" s="84"/>
      <c r="AZ3219" s="86"/>
      <c r="BA3219" s="86"/>
      <c r="BB3219" s="86"/>
    </row>
    <row r="3220" spans="1:55" ht="36.75" customHeight="1">
      <c r="A3220" s="144"/>
      <c r="B3220" s="144" t="s">
        <v>55</v>
      </c>
      <c r="C3220" s="69" t="str">
        <f t="shared" si="291"/>
        <v>Closed</v>
      </c>
      <c r="D3220" s="27" t="s">
        <v>18289</v>
      </c>
      <c r="E3220" s="145" t="s">
        <v>18290</v>
      </c>
      <c r="F3220" s="144" t="s">
        <v>16310</v>
      </c>
      <c r="G3220" s="146">
        <f>DATE(2020,10,9)</f>
        <v>44113</v>
      </c>
      <c r="H3220" s="102">
        <v>1.4409722222222223</v>
      </c>
      <c r="I3220" s="144" t="s">
        <v>116</v>
      </c>
      <c r="J3220" s="146" t="s">
        <v>18291</v>
      </c>
      <c r="K3220" s="144" t="s">
        <v>118</v>
      </c>
      <c r="L3220" s="144" t="s">
        <v>18292</v>
      </c>
      <c r="M3220" s="144" t="s">
        <v>63</v>
      </c>
      <c r="N3220" s="144" t="s">
        <v>99</v>
      </c>
      <c r="O3220" s="144" t="s">
        <v>64</v>
      </c>
      <c r="P3220" s="146" t="s">
        <v>165</v>
      </c>
      <c r="Q3220" s="146" t="s">
        <v>16313</v>
      </c>
      <c r="R3220" s="146" t="s">
        <v>16314</v>
      </c>
      <c r="S3220" s="30">
        <v>0</v>
      </c>
      <c r="T3220" s="232">
        <v>0</v>
      </c>
      <c r="U3220" s="30">
        <v>2</v>
      </c>
      <c r="V3220" s="232">
        <v>0</v>
      </c>
      <c r="W3220" s="30">
        <v>0</v>
      </c>
      <c r="X3220" s="30">
        <v>2</v>
      </c>
      <c r="Y3220" s="30">
        <v>0</v>
      </c>
      <c r="Z3220" s="232">
        <v>0</v>
      </c>
      <c r="AA3220" s="30">
        <v>0</v>
      </c>
      <c r="AB3220" s="30">
        <v>0</v>
      </c>
      <c r="AC3220" s="30">
        <v>0</v>
      </c>
      <c r="AD3220" s="30">
        <v>0</v>
      </c>
      <c r="AE3220" s="146" t="s">
        <v>92</v>
      </c>
      <c r="AF3220" s="146" t="s">
        <v>18293</v>
      </c>
      <c r="AG3220" s="146" t="s">
        <v>8859</v>
      </c>
      <c r="AH3220" s="72">
        <v>44116</v>
      </c>
      <c r="AI3220" s="144">
        <v>1</v>
      </c>
      <c r="AJ3220" s="146" t="s">
        <v>18294</v>
      </c>
      <c r="AK3220" s="146" t="s">
        <v>18295</v>
      </c>
      <c r="AL3220" s="146">
        <v>44123</v>
      </c>
      <c r="AM3220" s="146"/>
      <c r="AN3220" s="146">
        <v>44544</v>
      </c>
      <c r="AO3220" s="146">
        <v>44510</v>
      </c>
      <c r="AP3220" s="147" t="e">
        <f>MID(VLOOKUP(K3220,#REF!,2,FALSE),1,2)</f>
        <v>#REF!</v>
      </c>
      <c r="AQ3220" s="146">
        <f>DATE(2020,10,17)</f>
        <v>44121</v>
      </c>
      <c r="AR3220" s="148">
        <f t="shared" si="288"/>
        <v>17</v>
      </c>
      <c r="AS3220" s="149">
        <f t="shared" si="289"/>
        <v>10</v>
      </c>
      <c r="AT3220" s="150">
        <f t="shared" si="290"/>
        <v>2020</v>
      </c>
      <c r="AU3220" s="150"/>
      <c r="AV3220" s="151"/>
      <c r="AW3220" s="150"/>
      <c r="AX3220" s="148"/>
      <c r="AY3220" s="149"/>
      <c r="AZ3220" s="150"/>
      <c r="BA3220" s="150"/>
      <c r="BB3220" s="150"/>
      <c r="BC3220" s="25"/>
    </row>
    <row r="3221" spans="1:55" ht="36.75" customHeight="1">
      <c r="A3221" s="45"/>
      <c r="B3221" s="45" t="s">
        <v>55</v>
      </c>
      <c r="C3221" s="69" t="str">
        <f t="shared" si="291"/>
        <v>Closed</v>
      </c>
      <c r="D3221" s="27" t="s">
        <v>18296</v>
      </c>
      <c r="E3221" s="44" t="s">
        <v>18297</v>
      </c>
      <c r="F3221" s="45" t="s">
        <v>9789</v>
      </c>
      <c r="G3221" s="88">
        <f>DATE(2020,10,16)</f>
        <v>44120</v>
      </c>
      <c r="H3221" s="102">
        <v>1.8819444444444446</v>
      </c>
      <c r="I3221" s="45" t="s">
        <v>125</v>
      </c>
      <c r="J3221" s="181" t="s">
        <v>18298</v>
      </c>
      <c r="K3221" s="45" t="s">
        <v>9791</v>
      </c>
      <c r="L3221" s="45" t="s">
        <v>18299</v>
      </c>
      <c r="M3221" s="45" t="s">
        <v>63</v>
      </c>
      <c r="N3221" s="45" t="s">
        <v>99</v>
      </c>
      <c r="O3221" s="45" t="s">
        <v>64</v>
      </c>
      <c r="P3221" s="88" t="s">
        <v>165</v>
      </c>
      <c r="Q3221" s="88" t="s">
        <v>18300</v>
      </c>
      <c r="R3221" s="88" t="s">
        <v>18301</v>
      </c>
      <c r="S3221" s="45">
        <v>0</v>
      </c>
      <c r="T3221" s="234">
        <v>0</v>
      </c>
      <c r="U3221" s="45">
        <v>0</v>
      </c>
      <c r="V3221" s="234">
        <v>0</v>
      </c>
      <c r="W3221" s="45">
        <v>0</v>
      </c>
      <c r="X3221" s="45">
        <v>0</v>
      </c>
      <c r="Y3221" s="45">
        <v>0</v>
      </c>
      <c r="Z3221" s="234">
        <v>0</v>
      </c>
      <c r="AA3221" s="45">
        <v>0</v>
      </c>
      <c r="AB3221" s="45">
        <v>0</v>
      </c>
      <c r="AC3221" s="45">
        <v>0</v>
      </c>
      <c r="AD3221" s="45">
        <v>0</v>
      </c>
      <c r="AE3221" s="88" t="s">
        <v>394</v>
      </c>
      <c r="AF3221" s="88" t="s">
        <v>18302</v>
      </c>
      <c r="AG3221" s="155" t="s">
        <v>8859</v>
      </c>
      <c r="AH3221" s="146">
        <v>44147</v>
      </c>
      <c r="AI3221" s="152">
        <v>2</v>
      </c>
      <c r="AJ3221" s="155" t="s">
        <v>18303</v>
      </c>
      <c r="AK3221" s="155" t="s">
        <v>18304</v>
      </c>
      <c r="AL3221" s="155">
        <v>44151</v>
      </c>
      <c r="AM3221" s="155"/>
      <c r="AN3221" s="155" t="s">
        <v>18305</v>
      </c>
      <c r="AO3221" s="155">
        <v>44516</v>
      </c>
      <c r="AP3221" s="86"/>
      <c r="AQ3221" s="113"/>
      <c r="AR3221" s="113"/>
      <c r="AS3221" s="113"/>
      <c r="AT3221" s="130"/>
      <c r="AU3221" s="86"/>
      <c r="AV3221" s="86"/>
      <c r="AW3221" s="86"/>
      <c r="AX3221" s="106"/>
      <c r="AY3221" s="106"/>
      <c r="AZ3221" s="106"/>
      <c r="BA3221" s="106"/>
      <c r="BB3221" s="106"/>
    </row>
    <row r="3222" spans="1:55" ht="36.75" customHeight="1">
      <c r="A3222" s="152"/>
      <c r="B3222" s="152" t="s">
        <v>55</v>
      </c>
      <c r="C3222" s="69" t="str">
        <f t="shared" si="291"/>
        <v>Closed</v>
      </c>
      <c r="D3222" s="27" t="s">
        <v>18306</v>
      </c>
      <c r="E3222" s="153" t="s">
        <v>18307</v>
      </c>
      <c r="F3222" s="134" t="s">
        <v>1572</v>
      </c>
      <c r="G3222" s="88">
        <f>DATE(2020,10,16)</f>
        <v>44120</v>
      </c>
      <c r="H3222" s="154">
        <v>1.9305555555555554</v>
      </c>
      <c r="I3222" s="152" t="s">
        <v>73</v>
      </c>
      <c r="J3222" s="155" t="s">
        <v>18308</v>
      </c>
      <c r="K3222" s="152" t="s">
        <v>1574</v>
      </c>
      <c r="L3222" s="152" t="s">
        <v>18309</v>
      </c>
      <c r="M3222" s="152" t="s">
        <v>63</v>
      </c>
      <c r="N3222" s="152" t="s">
        <v>99</v>
      </c>
      <c r="O3222" s="152" t="s">
        <v>77</v>
      </c>
      <c r="P3222" s="155" t="s">
        <v>78</v>
      </c>
      <c r="Q3222" s="155" t="s">
        <v>18310</v>
      </c>
      <c r="R3222" s="155" t="s">
        <v>18064</v>
      </c>
      <c r="S3222" s="152">
        <v>0</v>
      </c>
      <c r="T3222" s="235">
        <v>0</v>
      </c>
      <c r="U3222" s="152">
        <v>0</v>
      </c>
      <c r="V3222" s="235">
        <v>0</v>
      </c>
      <c r="W3222" s="152">
        <v>0</v>
      </c>
      <c r="X3222" s="152">
        <v>0</v>
      </c>
      <c r="Y3222" s="152">
        <v>0</v>
      </c>
      <c r="Z3222" s="235">
        <v>0</v>
      </c>
      <c r="AA3222" s="152">
        <v>0</v>
      </c>
      <c r="AB3222" s="152">
        <v>0</v>
      </c>
      <c r="AC3222" s="152">
        <v>0</v>
      </c>
      <c r="AD3222" s="152">
        <v>0</v>
      </c>
      <c r="AE3222" s="155" t="s">
        <v>92</v>
      </c>
      <c r="AF3222" s="155" t="s">
        <v>18311</v>
      </c>
      <c r="AG3222" s="88" t="s">
        <v>8859</v>
      </c>
      <c r="AH3222" s="88">
        <v>44123</v>
      </c>
      <c r="AI3222" s="46">
        <v>0</v>
      </c>
      <c r="AJ3222" s="167" t="s">
        <v>18312</v>
      </c>
      <c r="AK3222" s="237" t="s">
        <v>18313</v>
      </c>
      <c r="AL3222" s="88">
        <v>44123</v>
      </c>
      <c r="AM3222" s="237"/>
      <c r="AN3222" s="238"/>
      <c r="AO3222" s="238"/>
      <c r="AP3222" s="156" t="e">
        <f>MID(VLOOKUP(K3222,#REF!,2,FALSE),1,2)</f>
        <v>#REF!</v>
      </c>
      <c r="AQ3222" s="88">
        <f>DATE(2020,10,21)</f>
        <v>44125</v>
      </c>
      <c r="AR3222" s="82">
        <f t="shared" ref="AR3222:AR3237" si="292">DAY(AQ3222)</f>
        <v>21</v>
      </c>
      <c r="AS3222" s="120">
        <f t="shared" ref="AS3222:AS3237" si="293">MONTH(AQ3222)</f>
        <v>10</v>
      </c>
      <c r="AT3222" s="86">
        <f t="shared" ref="AT3222:AT3237" si="294">YEAR(AQ3222)</f>
        <v>2020</v>
      </c>
      <c r="AU3222" s="86"/>
      <c r="AV3222" s="87"/>
      <c r="AW3222" s="86"/>
      <c r="AX3222" s="82"/>
      <c r="AY3222" s="120"/>
      <c r="AZ3222" s="86"/>
      <c r="BA3222" s="86"/>
      <c r="BB3222" s="86"/>
    </row>
    <row r="3223" spans="1:55" ht="36.75" customHeight="1">
      <c r="A3223" s="46" t="s">
        <v>12471</v>
      </c>
      <c r="B3223" s="152" t="s">
        <v>55</v>
      </c>
      <c r="C3223" s="69" t="str">
        <f t="shared" si="291"/>
        <v>Closed</v>
      </c>
      <c r="D3223" s="58" t="s">
        <v>18314</v>
      </c>
      <c r="E3223" s="60" t="s">
        <v>18315</v>
      </c>
      <c r="F3223" s="61" t="s">
        <v>6455</v>
      </c>
      <c r="G3223" s="88">
        <f>DATE(2020,10,16)</f>
        <v>44120</v>
      </c>
      <c r="H3223" s="142">
        <v>1.4236111111111112</v>
      </c>
      <c r="I3223" s="61" t="s">
        <v>198</v>
      </c>
      <c r="J3223" s="61" t="s">
        <v>18316</v>
      </c>
      <c r="K3223" s="61" t="s">
        <v>584</v>
      </c>
      <c r="L3223" s="61" t="s">
        <v>18317</v>
      </c>
      <c r="M3223" s="61" t="s">
        <v>63</v>
      </c>
      <c r="N3223" s="61" t="s">
        <v>142</v>
      </c>
      <c r="O3223" s="61" t="s">
        <v>77</v>
      </c>
      <c r="P3223" s="61" t="s">
        <v>78</v>
      </c>
      <c r="Q3223" s="61" t="s">
        <v>18318</v>
      </c>
      <c r="R3223" s="61" t="s">
        <v>587</v>
      </c>
      <c r="S3223" s="61">
        <v>0</v>
      </c>
      <c r="T3223" s="61">
        <v>0</v>
      </c>
      <c r="U3223" s="61">
        <v>0</v>
      </c>
      <c r="V3223" s="61">
        <v>0</v>
      </c>
      <c r="W3223" s="61">
        <v>0</v>
      </c>
      <c r="X3223" s="61">
        <v>0</v>
      </c>
      <c r="Y3223" s="61">
        <v>0</v>
      </c>
      <c r="Z3223" s="61">
        <v>0</v>
      </c>
      <c r="AA3223" s="61">
        <v>0</v>
      </c>
      <c r="AB3223" s="61">
        <v>0</v>
      </c>
      <c r="AC3223" s="61">
        <v>0</v>
      </c>
      <c r="AD3223" s="61">
        <v>0</v>
      </c>
      <c r="AE3223" s="61" t="s">
        <v>145</v>
      </c>
      <c r="AF3223" s="61" t="s">
        <v>18319</v>
      </c>
      <c r="AG3223" s="239" t="s">
        <v>6459</v>
      </c>
      <c r="AH3223" s="70">
        <v>44120</v>
      </c>
      <c r="AI3223" s="239">
        <v>0</v>
      </c>
      <c r="AJ3223" s="239" t="s">
        <v>18320</v>
      </c>
      <c r="AK3223" s="239" t="s">
        <v>18321</v>
      </c>
      <c r="AL3223" s="240">
        <v>44845</v>
      </c>
      <c r="AM3223" s="240">
        <v>45589</v>
      </c>
      <c r="AN3223" s="240">
        <v>46010</v>
      </c>
      <c r="AO3223" s="240">
        <v>45946</v>
      </c>
      <c r="AP3223" s="45" t="e">
        <f>MID(VLOOKUP(K3223,#REF!,2,FALSE),1,2)</f>
        <v>#REF!</v>
      </c>
      <c r="AQ3223" s="88">
        <f>DATE(2020,10,23)</f>
        <v>44127</v>
      </c>
      <c r="AR3223" s="199">
        <f t="shared" si="292"/>
        <v>23</v>
      </c>
      <c r="AS3223" s="241">
        <f t="shared" si="293"/>
        <v>10</v>
      </c>
      <c r="AT3223" s="86">
        <f t="shared" si="294"/>
        <v>2020</v>
      </c>
      <c r="AU3223" s="86"/>
      <c r="AV3223" s="86"/>
      <c r="AW3223" s="86"/>
      <c r="AX3223" s="199"/>
      <c r="AY3223" s="241"/>
      <c r="AZ3223" s="86"/>
      <c r="BA3223" s="86"/>
      <c r="BB3223" s="86"/>
    </row>
    <row r="3224" spans="1:55" ht="36.75" customHeight="1">
      <c r="A3224" s="46"/>
      <c r="B3224" s="46" t="s">
        <v>55</v>
      </c>
      <c r="C3224" s="69" t="str">
        <f t="shared" si="291"/>
        <v>Closed</v>
      </c>
      <c r="D3224" s="27" t="s">
        <v>18322</v>
      </c>
      <c r="E3224" s="38" t="s">
        <v>18323</v>
      </c>
      <c r="F3224" s="46" t="s">
        <v>1572</v>
      </c>
      <c r="G3224" s="88">
        <f>DATE(2020,10,17)</f>
        <v>44121</v>
      </c>
      <c r="H3224" s="102">
        <v>1.6597222222222223</v>
      </c>
      <c r="I3224" s="46" t="s">
        <v>73</v>
      </c>
      <c r="J3224" s="88" t="s">
        <v>18324</v>
      </c>
      <c r="K3224" s="46" t="s">
        <v>1574</v>
      </c>
      <c r="L3224" s="46" t="s">
        <v>18325</v>
      </c>
      <c r="M3224" s="46" t="s">
        <v>63</v>
      </c>
      <c r="N3224" s="46" t="s">
        <v>142</v>
      </c>
      <c r="O3224" s="46" t="s">
        <v>77</v>
      </c>
      <c r="P3224" s="88" t="s">
        <v>78</v>
      </c>
      <c r="Q3224" s="88" t="s">
        <v>18318</v>
      </c>
      <c r="R3224" s="88" t="s">
        <v>587</v>
      </c>
      <c r="S3224" s="46">
        <v>0</v>
      </c>
      <c r="T3224" s="234">
        <v>0</v>
      </c>
      <c r="U3224" s="46">
        <v>0</v>
      </c>
      <c r="V3224" s="234">
        <v>0</v>
      </c>
      <c r="W3224" s="46">
        <v>0</v>
      </c>
      <c r="X3224" s="46">
        <v>0</v>
      </c>
      <c r="Y3224" s="46">
        <v>0</v>
      </c>
      <c r="Z3224" s="234">
        <v>0</v>
      </c>
      <c r="AA3224" s="46">
        <v>0</v>
      </c>
      <c r="AB3224" s="46">
        <v>0</v>
      </c>
      <c r="AC3224" s="46">
        <v>0</v>
      </c>
      <c r="AD3224" s="46">
        <v>0</v>
      </c>
      <c r="AE3224" s="88" t="s">
        <v>145</v>
      </c>
      <c r="AF3224" s="88" t="s">
        <v>18319</v>
      </c>
      <c r="AG3224" s="88" t="s">
        <v>8859</v>
      </c>
      <c r="AH3224" s="72">
        <v>44123</v>
      </c>
      <c r="AI3224" s="46">
        <v>0</v>
      </c>
      <c r="AJ3224" s="88" t="s">
        <v>18326</v>
      </c>
      <c r="AK3224" s="88" t="s">
        <v>18327</v>
      </c>
      <c r="AL3224" s="88">
        <v>44123</v>
      </c>
      <c r="AM3224" s="88"/>
      <c r="AN3224" s="88"/>
      <c r="AO3224" s="88"/>
      <c r="AP3224" s="159" t="e">
        <f>MID(VLOOKUP(K3224,#REF!,2,FALSE),1,2)</f>
        <v>#REF!</v>
      </c>
      <c r="AQ3224" s="88">
        <f>DATE(2020,10,25)</f>
        <v>44129</v>
      </c>
      <c r="AR3224" s="82">
        <f t="shared" si="292"/>
        <v>25</v>
      </c>
      <c r="AS3224" s="120">
        <f t="shared" si="293"/>
        <v>10</v>
      </c>
      <c r="AT3224" s="86">
        <f t="shared" si="294"/>
        <v>2020</v>
      </c>
      <c r="AU3224" s="86"/>
      <c r="AV3224" s="87"/>
      <c r="AW3224" s="86"/>
      <c r="AX3224" s="82"/>
      <c r="AY3224" s="120"/>
      <c r="AZ3224" s="86"/>
      <c r="BA3224" s="86"/>
      <c r="BB3224" s="86"/>
    </row>
    <row r="3225" spans="1:55" ht="36.75" customHeight="1">
      <c r="A3225" s="46" t="s">
        <v>12471</v>
      </c>
      <c r="B3225" s="46" t="s">
        <v>55</v>
      </c>
      <c r="C3225" s="69" t="str">
        <f t="shared" si="291"/>
        <v>Closed</v>
      </c>
      <c r="D3225" s="37" t="s">
        <v>18328</v>
      </c>
      <c r="E3225" s="38" t="s">
        <v>18329</v>
      </c>
      <c r="F3225" s="46" t="s">
        <v>15071</v>
      </c>
      <c r="G3225" s="88">
        <f>DATE(2020,10,19)</f>
        <v>44123</v>
      </c>
      <c r="H3225" s="142">
        <v>0.88194444444444453</v>
      </c>
      <c r="I3225" s="46" t="s">
        <v>4994</v>
      </c>
      <c r="J3225" s="46" t="s">
        <v>18330</v>
      </c>
      <c r="K3225" s="46" t="s">
        <v>13441</v>
      </c>
      <c r="L3225" s="46" t="s">
        <v>18331</v>
      </c>
      <c r="M3225" s="46" t="s">
        <v>63</v>
      </c>
      <c r="N3225" s="46" t="s">
        <v>89</v>
      </c>
      <c r="O3225" s="46" t="s">
        <v>90</v>
      </c>
      <c r="P3225" s="46" t="s">
        <v>78</v>
      </c>
      <c r="Q3225" s="46" t="s">
        <v>18318</v>
      </c>
      <c r="R3225" s="46" t="s">
        <v>587</v>
      </c>
      <c r="S3225" s="46">
        <v>0</v>
      </c>
      <c r="T3225" s="46">
        <v>0</v>
      </c>
      <c r="U3225" s="46">
        <v>0</v>
      </c>
      <c r="V3225" s="46">
        <v>0</v>
      </c>
      <c r="W3225" s="46">
        <v>0</v>
      </c>
      <c r="X3225" s="46">
        <v>0</v>
      </c>
      <c r="Y3225" s="46">
        <v>0</v>
      </c>
      <c r="Z3225" s="46">
        <v>0</v>
      </c>
      <c r="AA3225" s="46">
        <v>0</v>
      </c>
      <c r="AB3225" s="46">
        <v>0</v>
      </c>
      <c r="AC3225" s="46">
        <v>0</v>
      </c>
      <c r="AD3225" s="46">
        <v>0</v>
      </c>
      <c r="AE3225" s="46" t="s">
        <v>145</v>
      </c>
      <c r="AF3225" s="46" t="s">
        <v>18319</v>
      </c>
      <c r="AG3225" s="46" t="s">
        <v>6459</v>
      </c>
      <c r="AH3225" s="72">
        <v>44439</v>
      </c>
      <c r="AI3225" s="46">
        <v>1</v>
      </c>
      <c r="AJ3225" s="46" t="s">
        <v>18332</v>
      </c>
      <c r="AK3225" s="46" t="s">
        <v>18333</v>
      </c>
      <c r="AL3225" s="160" t="s">
        <v>68</v>
      </c>
      <c r="AM3225" s="46"/>
      <c r="AN3225" s="161">
        <v>45485</v>
      </c>
      <c r="AO3225" s="161">
        <v>45475</v>
      </c>
      <c r="AP3225" s="159" t="e">
        <f>MID(VLOOKUP(K3225,#REF!,2,FALSE),1,2)</f>
        <v>#REF!</v>
      </c>
      <c r="AQ3225" s="88">
        <f>DATE(2020,10,29)</f>
        <v>44133</v>
      </c>
      <c r="AR3225" s="82">
        <f t="shared" si="292"/>
        <v>29</v>
      </c>
      <c r="AS3225" s="120">
        <f t="shared" si="293"/>
        <v>10</v>
      </c>
      <c r="AT3225" s="86">
        <f t="shared" si="294"/>
        <v>2020</v>
      </c>
      <c r="AU3225" s="86"/>
      <c r="AV3225" s="87"/>
      <c r="AW3225" s="86"/>
      <c r="AX3225" s="82"/>
      <c r="AY3225" s="120"/>
      <c r="AZ3225" s="86"/>
      <c r="BA3225" s="86"/>
      <c r="BB3225" s="86"/>
    </row>
    <row r="3226" spans="1:55" ht="36.75" customHeight="1">
      <c r="A3226" s="162" t="s">
        <v>4910</v>
      </c>
      <c r="B3226" s="46" t="s">
        <v>55</v>
      </c>
      <c r="C3226" s="69" t="str">
        <f t="shared" si="291"/>
        <v>Closed</v>
      </c>
      <c r="D3226" s="27" t="s">
        <v>18334</v>
      </c>
      <c r="E3226" s="38" t="s">
        <v>18335</v>
      </c>
      <c r="F3226" s="46" t="s">
        <v>2336</v>
      </c>
      <c r="G3226" s="88">
        <f>DATE(2020,10,21)</f>
        <v>44125</v>
      </c>
      <c r="H3226" s="102">
        <v>1.536111111111111</v>
      </c>
      <c r="I3226" s="46" t="s">
        <v>116</v>
      </c>
      <c r="J3226" s="88" t="s">
        <v>18336</v>
      </c>
      <c r="K3226" s="46" t="s">
        <v>2338</v>
      </c>
      <c r="L3226" s="46" t="s">
        <v>18337</v>
      </c>
      <c r="M3226" s="46" t="s">
        <v>63</v>
      </c>
      <c r="N3226" s="46" t="s">
        <v>142</v>
      </c>
      <c r="O3226" s="46" t="s">
        <v>64</v>
      </c>
      <c r="P3226" s="88" t="s">
        <v>78</v>
      </c>
      <c r="Q3226" s="88" t="s">
        <v>18318</v>
      </c>
      <c r="R3226" s="88" t="s">
        <v>587</v>
      </c>
      <c r="S3226" s="46">
        <v>0</v>
      </c>
      <c r="T3226" s="234">
        <v>0</v>
      </c>
      <c r="U3226" s="46">
        <v>0</v>
      </c>
      <c r="V3226" s="234">
        <v>0</v>
      </c>
      <c r="W3226" s="46">
        <v>0</v>
      </c>
      <c r="X3226" s="46">
        <v>0</v>
      </c>
      <c r="Y3226" s="46">
        <v>0</v>
      </c>
      <c r="Z3226" s="234">
        <v>0</v>
      </c>
      <c r="AA3226" s="46">
        <v>0</v>
      </c>
      <c r="AB3226" s="46">
        <v>0</v>
      </c>
      <c r="AC3226" s="46">
        <v>0</v>
      </c>
      <c r="AD3226" s="46">
        <v>0</v>
      </c>
      <c r="AE3226" s="88" t="s">
        <v>145</v>
      </c>
      <c r="AF3226" s="88" t="s">
        <v>18319</v>
      </c>
      <c r="AG3226" s="88" t="s">
        <v>82</v>
      </c>
      <c r="AH3226" s="72">
        <v>44130</v>
      </c>
      <c r="AI3226" s="46">
        <v>11</v>
      </c>
      <c r="AJ3226" s="88" t="s">
        <v>68</v>
      </c>
      <c r="AK3226" s="88" t="s">
        <v>68</v>
      </c>
      <c r="AL3226" s="88">
        <v>44133</v>
      </c>
      <c r="AM3226" s="88"/>
      <c r="AN3226" s="88"/>
      <c r="AO3226" s="88"/>
      <c r="AP3226" s="159" t="e">
        <f>MID(VLOOKUP(K3226,#REF!,2,FALSE),1,2)</f>
        <v>#REF!</v>
      </c>
      <c r="AQ3226" s="88">
        <f>DATE(2020,10,30)</f>
        <v>44134</v>
      </c>
      <c r="AR3226" s="82">
        <f t="shared" si="292"/>
        <v>30</v>
      </c>
      <c r="AS3226" s="120">
        <f t="shared" si="293"/>
        <v>10</v>
      </c>
      <c r="AT3226" s="86">
        <f t="shared" si="294"/>
        <v>2020</v>
      </c>
      <c r="AU3226" s="86"/>
      <c r="AV3226" s="87"/>
      <c r="AW3226" s="86"/>
      <c r="AX3226" s="82"/>
      <c r="AY3226" s="120"/>
      <c r="AZ3226" s="86"/>
      <c r="BA3226" s="86"/>
      <c r="BB3226" s="86"/>
    </row>
    <row r="3227" spans="1:55" ht="36.75" customHeight="1">
      <c r="A3227" s="46"/>
      <c r="B3227" s="46" t="s">
        <v>55</v>
      </c>
      <c r="C3227" s="69" t="str">
        <f t="shared" si="291"/>
        <v>Closed</v>
      </c>
      <c r="D3227" s="27" t="s">
        <v>18338</v>
      </c>
      <c r="E3227" s="38" t="s">
        <v>18339</v>
      </c>
      <c r="F3227" s="46" t="s">
        <v>17578</v>
      </c>
      <c r="G3227" s="88">
        <f>DATE(2020,10,23)</f>
        <v>44127</v>
      </c>
      <c r="H3227" s="102">
        <v>1.5437500000000002</v>
      </c>
      <c r="I3227" s="46" t="s">
        <v>18340</v>
      </c>
      <c r="J3227" s="88" t="s">
        <v>18341</v>
      </c>
      <c r="K3227" s="46" t="s">
        <v>837</v>
      </c>
      <c r="L3227" s="46" t="s">
        <v>18342</v>
      </c>
      <c r="M3227" s="46" t="s">
        <v>63</v>
      </c>
      <c r="N3227" s="46" t="s">
        <v>89</v>
      </c>
      <c r="O3227" s="46" t="s">
        <v>77</v>
      </c>
      <c r="P3227" s="88" t="s">
        <v>78</v>
      </c>
      <c r="Q3227" s="88" t="s">
        <v>18318</v>
      </c>
      <c r="R3227" s="88" t="s">
        <v>587</v>
      </c>
      <c r="S3227" s="46">
        <v>0</v>
      </c>
      <c r="T3227" s="234">
        <v>0</v>
      </c>
      <c r="U3227" s="46">
        <v>0</v>
      </c>
      <c r="V3227" s="234">
        <v>0</v>
      </c>
      <c r="W3227" s="46">
        <v>0</v>
      </c>
      <c r="X3227" s="46">
        <v>0</v>
      </c>
      <c r="Y3227" s="46">
        <v>0</v>
      </c>
      <c r="Z3227" s="234">
        <v>0</v>
      </c>
      <c r="AA3227" s="46">
        <v>0</v>
      </c>
      <c r="AB3227" s="46">
        <v>0</v>
      </c>
      <c r="AC3227" s="46">
        <v>0</v>
      </c>
      <c r="AD3227" s="46">
        <v>0</v>
      </c>
      <c r="AE3227" s="88" t="s">
        <v>145</v>
      </c>
      <c r="AF3227" s="88" t="s">
        <v>18319</v>
      </c>
      <c r="AG3227" s="88" t="s">
        <v>8859</v>
      </c>
      <c r="AH3227" s="72">
        <v>44130</v>
      </c>
      <c r="AI3227" s="46">
        <v>1</v>
      </c>
      <c r="AJ3227" s="88" t="s">
        <v>18343</v>
      </c>
      <c r="AK3227" s="88" t="s">
        <v>18344</v>
      </c>
      <c r="AL3227" s="88">
        <v>44130</v>
      </c>
      <c r="AM3227" s="88"/>
      <c r="AN3227" s="88">
        <v>44536</v>
      </c>
      <c r="AO3227" s="88">
        <v>44536</v>
      </c>
      <c r="AP3227" s="159" t="e">
        <f>MID(VLOOKUP(K3227,#REF!,2,FALSE),1,2)</f>
        <v>#REF!</v>
      </c>
      <c r="AQ3227" s="88">
        <f>DATE(2020,11,6)</f>
        <v>44141</v>
      </c>
      <c r="AR3227" s="82">
        <f t="shared" si="292"/>
        <v>6</v>
      </c>
      <c r="AS3227" s="120">
        <f t="shared" si="293"/>
        <v>11</v>
      </c>
      <c r="AT3227" s="86">
        <f t="shared" si="294"/>
        <v>2020</v>
      </c>
      <c r="AU3227" s="86"/>
      <c r="AV3227" s="87"/>
      <c r="AW3227" s="86"/>
      <c r="AX3227" s="82"/>
      <c r="AY3227" s="120"/>
      <c r="AZ3227" s="86"/>
      <c r="BA3227" s="86"/>
      <c r="BB3227" s="86"/>
    </row>
    <row r="3228" spans="1:55" ht="36.75" customHeight="1">
      <c r="A3228" s="46"/>
      <c r="B3228" s="46" t="s">
        <v>55</v>
      </c>
      <c r="C3228" s="69" t="str">
        <f t="shared" si="291"/>
        <v>Closed</v>
      </c>
      <c r="D3228" s="27" t="s">
        <v>18345</v>
      </c>
      <c r="E3228" s="38" t="s">
        <v>18346</v>
      </c>
      <c r="F3228" s="46" t="s">
        <v>17682</v>
      </c>
      <c r="G3228" s="88">
        <f>DATE(2020,10,25)</f>
        <v>44129</v>
      </c>
      <c r="H3228" s="102">
        <v>1.0659722222222223</v>
      </c>
      <c r="I3228" s="46" t="s">
        <v>125</v>
      </c>
      <c r="J3228" s="88" t="s">
        <v>18347</v>
      </c>
      <c r="K3228" s="46" t="s">
        <v>1574</v>
      </c>
      <c r="L3228" s="46" t="s">
        <v>18348</v>
      </c>
      <c r="M3228" s="46" t="s">
        <v>63</v>
      </c>
      <c r="N3228" s="46" t="s">
        <v>142</v>
      </c>
      <c r="O3228" s="46" t="s">
        <v>64</v>
      </c>
      <c r="P3228" s="88" t="s">
        <v>78</v>
      </c>
      <c r="Q3228" s="88" t="s">
        <v>18318</v>
      </c>
      <c r="R3228" s="88" t="s">
        <v>587</v>
      </c>
      <c r="S3228" s="46">
        <v>0</v>
      </c>
      <c r="T3228" s="234">
        <v>0</v>
      </c>
      <c r="U3228" s="46">
        <v>0</v>
      </c>
      <c r="V3228" s="234">
        <v>0</v>
      </c>
      <c r="W3228" s="46">
        <v>0</v>
      </c>
      <c r="X3228" s="46">
        <v>0</v>
      </c>
      <c r="Y3228" s="46">
        <v>0</v>
      </c>
      <c r="Z3228" s="234">
        <v>0</v>
      </c>
      <c r="AA3228" s="46">
        <v>0</v>
      </c>
      <c r="AB3228" s="46">
        <v>0</v>
      </c>
      <c r="AC3228" s="46">
        <v>0</v>
      </c>
      <c r="AD3228" s="46">
        <v>0</v>
      </c>
      <c r="AE3228" s="88" t="s">
        <v>145</v>
      </c>
      <c r="AF3228" s="88" t="s">
        <v>18319</v>
      </c>
      <c r="AG3228" s="88" t="s">
        <v>8859</v>
      </c>
      <c r="AH3228" s="72">
        <v>44130</v>
      </c>
      <c r="AI3228" s="46">
        <v>1</v>
      </c>
      <c r="AJ3228" s="88" t="s">
        <v>18349</v>
      </c>
      <c r="AK3228" s="88" t="s">
        <v>18350</v>
      </c>
      <c r="AL3228" s="88">
        <v>44131</v>
      </c>
      <c r="AM3228" s="88"/>
      <c r="AN3228" s="88">
        <v>44757</v>
      </c>
      <c r="AO3228" s="88">
        <v>44448</v>
      </c>
      <c r="AP3228" s="159" t="e">
        <f>MID(VLOOKUP(K3228,#REF!,2,FALSE),1,2)</f>
        <v>#REF!</v>
      </c>
      <c r="AQ3228" s="88">
        <f>DATE(2020,11,6)</f>
        <v>44141</v>
      </c>
      <c r="AR3228" s="82">
        <f t="shared" si="292"/>
        <v>6</v>
      </c>
      <c r="AS3228" s="120">
        <f t="shared" si="293"/>
        <v>11</v>
      </c>
      <c r="AT3228" s="86">
        <f t="shared" si="294"/>
        <v>2020</v>
      </c>
      <c r="AU3228" s="86"/>
      <c r="AV3228" s="87"/>
      <c r="AW3228" s="86"/>
      <c r="AX3228" s="82"/>
      <c r="AY3228" s="120"/>
      <c r="AZ3228" s="86"/>
      <c r="BA3228" s="86"/>
      <c r="BB3228" s="86"/>
    </row>
    <row r="3229" spans="1:55" ht="36.75" customHeight="1">
      <c r="A3229" s="162" t="s">
        <v>4910</v>
      </c>
      <c r="B3229" s="46" t="s">
        <v>55</v>
      </c>
      <c r="C3229" s="69" t="str">
        <f t="shared" si="291"/>
        <v>Closed</v>
      </c>
      <c r="D3229" s="27" t="s">
        <v>18351</v>
      </c>
      <c r="E3229" s="38" t="s">
        <v>18352</v>
      </c>
      <c r="F3229" s="46" t="s">
        <v>423</v>
      </c>
      <c r="G3229" s="88">
        <f>DATE(2020,10,29)</f>
        <v>44133</v>
      </c>
      <c r="H3229" s="102">
        <v>1.7250000000000001</v>
      </c>
      <c r="I3229" s="46" t="s">
        <v>198</v>
      </c>
      <c r="J3229" s="88" t="s">
        <v>18353</v>
      </c>
      <c r="K3229" s="46" t="s">
        <v>425</v>
      </c>
      <c r="L3229" s="46" t="s">
        <v>18354</v>
      </c>
      <c r="M3229" s="46" t="s">
        <v>255</v>
      </c>
      <c r="N3229" s="46" t="s">
        <v>142</v>
      </c>
      <c r="O3229" s="46" t="s">
        <v>64</v>
      </c>
      <c r="P3229" s="88" t="s">
        <v>78</v>
      </c>
      <c r="Q3229" s="88" t="s">
        <v>18318</v>
      </c>
      <c r="R3229" s="88" t="s">
        <v>587</v>
      </c>
      <c r="S3229" s="46">
        <v>0</v>
      </c>
      <c r="T3229" s="234">
        <v>0</v>
      </c>
      <c r="U3229" s="46">
        <v>0</v>
      </c>
      <c r="V3229" s="234">
        <v>0</v>
      </c>
      <c r="W3229" s="46">
        <v>0</v>
      </c>
      <c r="X3229" s="46">
        <v>0</v>
      </c>
      <c r="Y3229" s="46">
        <v>0</v>
      </c>
      <c r="Z3229" s="234">
        <v>0</v>
      </c>
      <c r="AA3229" s="46">
        <v>0</v>
      </c>
      <c r="AB3229" s="46">
        <v>0</v>
      </c>
      <c r="AC3229" s="46">
        <v>0</v>
      </c>
      <c r="AD3229" s="46">
        <v>0</v>
      </c>
      <c r="AE3229" s="88" t="s">
        <v>145</v>
      </c>
      <c r="AF3229" s="88" t="s">
        <v>18319</v>
      </c>
      <c r="AG3229" s="88" t="s">
        <v>133</v>
      </c>
      <c r="AH3229" s="72">
        <v>44134</v>
      </c>
      <c r="AI3229" s="46">
        <v>0</v>
      </c>
      <c r="AJ3229" s="88" t="s">
        <v>68</v>
      </c>
      <c r="AK3229" s="88" t="s">
        <v>68</v>
      </c>
      <c r="AL3229" s="88">
        <v>44138</v>
      </c>
      <c r="AM3229" s="88"/>
      <c r="AN3229" s="88"/>
      <c r="AO3229" s="88"/>
      <c r="AP3229" s="159" t="e">
        <f>MID(VLOOKUP(K3229,#REF!,2,FALSE),1,2)</f>
        <v>#REF!</v>
      </c>
      <c r="AQ3229" s="88">
        <f>DATE(2020,11,14)</f>
        <v>44149</v>
      </c>
      <c r="AR3229" s="82">
        <f t="shared" si="292"/>
        <v>14</v>
      </c>
      <c r="AS3229" s="120">
        <f t="shared" si="293"/>
        <v>11</v>
      </c>
      <c r="AT3229" s="86">
        <f t="shared" si="294"/>
        <v>2020</v>
      </c>
      <c r="AU3229" s="86"/>
      <c r="AV3229" s="87"/>
      <c r="AW3229" s="86"/>
      <c r="AX3229" s="82"/>
      <c r="AY3229" s="120"/>
      <c r="AZ3229" s="86"/>
      <c r="BA3229" s="86"/>
      <c r="BB3229" s="86"/>
    </row>
    <row r="3230" spans="1:55" ht="36.75" customHeight="1">
      <c r="A3230" s="46"/>
      <c r="B3230" s="46" t="s">
        <v>55</v>
      </c>
      <c r="C3230" s="69" t="str">
        <f t="shared" si="291"/>
        <v>Closed</v>
      </c>
      <c r="D3230" s="27" t="s">
        <v>18355</v>
      </c>
      <c r="E3230" s="38" t="s">
        <v>18356</v>
      </c>
      <c r="F3230" s="46" t="s">
        <v>12474</v>
      </c>
      <c r="G3230" s="88">
        <f>DATE(2020,10,30)</f>
        <v>44134</v>
      </c>
      <c r="H3230" s="102">
        <v>1.9493055555555556</v>
      </c>
      <c r="I3230" s="46" t="s">
        <v>73</v>
      </c>
      <c r="J3230" s="88" t="s">
        <v>18357</v>
      </c>
      <c r="K3230" s="46" t="s">
        <v>200</v>
      </c>
      <c r="L3230" s="46" t="s">
        <v>18358</v>
      </c>
      <c r="M3230" s="46" t="s">
        <v>63</v>
      </c>
      <c r="N3230" s="46" t="s">
        <v>142</v>
      </c>
      <c r="O3230" s="46" t="s">
        <v>77</v>
      </c>
      <c r="P3230" s="88" t="s">
        <v>78</v>
      </c>
      <c r="Q3230" s="88" t="s">
        <v>18318</v>
      </c>
      <c r="R3230" s="88" t="s">
        <v>587</v>
      </c>
      <c r="S3230" s="46">
        <v>0</v>
      </c>
      <c r="T3230" s="234">
        <v>0</v>
      </c>
      <c r="U3230" s="46">
        <v>0</v>
      </c>
      <c r="V3230" s="234">
        <v>0</v>
      </c>
      <c r="W3230" s="46">
        <v>0</v>
      </c>
      <c r="X3230" s="46">
        <v>0</v>
      </c>
      <c r="Y3230" s="46">
        <v>0</v>
      </c>
      <c r="Z3230" s="234">
        <v>0</v>
      </c>
      <c r="AA3230" s="46">
        <v>0</v>
      </c>
      <c r="AB3230" s="46">
        <v>0</v>
      </c>
      <c r="AC3230" s="46">
        <v>0</v>
      </c>
      <c r="AD3230" s="46">
        <v>0</v>
      </c>
      <c r="AE3230" s="88" t="s">
        <v>145</v>
      </c>
      <c r="AF3230" s="88" t="s">
        <v>18319</v>
      </c>
      <c r="AG3230" s="88" t="s">
        <v>6459</v>
      </c>
      <c r="AH3230" s="72">
        <v>44144</v>
      </c>
      <c r="AI3230" s="46">
        <v>0</v>
      </c>
      <c r="AJ3230" s="88" t="s">
        <v>18359</v>
      </c>
      <c r="AK3230" s="88" t="s">
        <v>14566</v>
      </c>
      <c r="AL3230" s="88">
        <v>44144</v>
      </c>
      <c r="AM3230" s="88">
        <v>44544</v>
      </c>
      <c r="AN3230" s="88">
        <v>44949</v>
      </c>
      <c r="AO3230" s="88">
        <v>44945</v>
      </c>
      <c r="AP3230" s="159" t="e">
        <f>MID(VLOOKUP(K3230,#REF!,2,FALSE),1,2)</f>
        <v>#REF!</v>
      </c>
      <c r="AQ3230" s="88">
        <f>DATE(2020,11,15)</f>
        <v>44150</v>
      </c>
      <c r="AR3230" s="82">
        <f t="shared" si="292"/>
        <v>15</v>
      </c>
      <c r="AS3230" s="120">
        <f t="shared" si="293"/>
        <v>11</v>
      </c>
      <c r="AT3230" s="86">
        <f t="shared" si="294"/>
        <v>2020</v>
      </c>
      <c r="AU3230" s="86"/>
      <c r="AV3230" s="87"/>
      <c r="AW3230" s="86"/>
      <c r="AX3230" s="82"/>
      <c r="AY3230" s="120"/>
      <c r="AZ3230" s="86"/>
      <c r="BA3230" s="86"/>
      <c r="BB3230" s="86"/>
    </row>
    <row r="3231" spans="1:55" ht="36.75" customHeight="1">
      <c r="A3231" s="46"/>
      <c r="B3231" s="46" t="s">
        <v>55</v>
      </c>
      <c r="C3231" s="69" t="str">
        <f t="shared" si="291"/>
        <v>Closed</v>
      </c>
      <c r="D3231" s="27" t="s">
        <v>18360</v>
      </c>
      <c r="E3231" s="38" t="s">
        <v>18361</v>
      </c>
      <c r="F3231" s="46" t="s">
        <v>423</v>
      </c>
      <c r="G3231" s="88">
        <f>DATE(2020,11,6)</f>
        <v>44141</v>
      </c>
      <c r="H3231" s="102">
        <v>1.5805555555555557</v>
      </c>
      <c r="I3231" s="46" t="s">
        <v>73</v>
      </c>
      <c r="J3231" s="88" t="s">
        <v>18362</v>
      </c>
      <c r="K3231" s="46" t="s">
        <v>425</v>
      </c>
      <c r="L3231" s="46" t="s">
        <v>12719</v>
      </c>
      <c r="M3231" s="46" t="s">
        <v>63</v>
      </c>
      <c r="N3231" s="46" t="s">
        <v>142</v>
      </c>
      <c r="O3231" s="46" t="s">
        <v>77</v>
      </c>
      <c r="P3231" s="88" t="s">
        <v>78</v>
      </c>
      <c r="Q3231" s="88" t="s">
        <v>18318</v>
      </c>
      <c r="R3231" s="88" t="s">
        <v>587</v>
      </c>
      <c r="S3231" s="46">
        <v>0</v>
      </c>
      <c r="T3231" s="234">
        <v>0</v>
      </c>
      <c r="U3231" s="46">
        <v>0</v>
      </c>
      <c r="V3231" s="234">
        <v>0</v>
      </c>
      <c r="W3231" s="46">
        <v>0</v>
      </c>
      <c r="X3231" s="46">
        <v>0</v>
      </c>
      <c r="Y3231" s="46">
        <v>0</v>
      </c>
      <c r="Z3231" s="234">
        <v>0</v>
      </c>
      <c r="AA3231" s="46">
        <v>0</v>
      </c>
      <c r="AB3231" s="46">
        <v>0</v>
      </c>
      <c r="AC3231" s="46">
        <v>0</v>
      </c>
      <c r="AD3231" s="46">
        <v>0</v>
      </c>
      <c r="AE3231" s="88" t="s">
        <v>145</v>
      </c>
      <c r="AF3231" s="88" t="s">
        <v>18319</v>
      </c>
      <c r="AG3231" s="88" t="s">
        <v>16283</v>
      </c>
      <c r="AH3231" s="72">
        <v>44141</v>
      </c>
      <c r="AI3231" s="46">
        <v>1</v>
      </c>
      <c r="AJ3231" s="88" t="s">
        <v>18363</v>
      </c>
      <c r="AK3231" s="88" t="s">
        <v>879</v>
      </c>
      <c r="AL3231" s="88">
        <v>44145</v>
      </c>
      <c r="AM3231" s="88"/>
      <c r="AN3231" s="88">
        <v>44586</v>
      </c>
      <c r="AO3231" s="88">
        <v>44582</v>
      </c>
      <c r="AP3231" s="159" t="e">
        <f>MID(VLOOKUP(K3231,#REF!,2,FALSE),1,2)</f>
        <v>#REF!</v>
      </c>
      <c r="AQ3231" s="88">
        <f>DATE(2020,11,18)</f>
        <v>44153</v>
      </c>
      <c r="AR3231" s="82">
        <f t="shared" si="292"/>
        <v>18</v>
      </c>
      <c r="AS3231" s="120">
        <f t="shared" si="293"/>
        <v>11</v>
      </c>
      <c r="AT3231" s="86">
        <f t="shared" si="294"/>
        <v>2020</v>
      </c>
      <c r="AU3231" s="86"/>
      <c r="AV3231" s="87"/>
      <c r="AW3231" s="86"/>
      <c r="AX3231" s="82"/>
      <c r="AY3231" s="120"/>
      <c r="AZ3231" s="86"/>
      <c r="BA3231" s="86"/>
      <c r="BB3231" s="86"/>
    </row>
    <row r="3232" spans="1:55" ht="36.75" customHeight="1">
      <c r="A3232" s="30"/>
      <c r="B3232" s="30" t="s">
        <v>55</v>
      </c>
      <c r="C3232" s="69" t="str">
        <f t="shared" si="291"/>
        <v>Closed</v>
      </c>
      <c r="D3232" s="27" t="s">
        <v>18364</v>
      </c>
      <c r="E3232" s="38" t="s">
        <v>18365</v>
      </c>
      <c r="F3232" s="46" t="s">
        <v>16429</v>
      </c>
      <c r="G3232" s="88">
        <f>DATE(2020,11,6)</f>
        <v>44141</v>
      </c>
      <c r="H3232" s="102">
        <v>1.3298611111111112</v>
      </c>
      <c r="I3232" s="46" t="s">
        <v>156</v>
      </c>
      <c r="J3232" s="88" t="s">
        <v>18366</v>
      </c>
      <c r="K3232" s="46" t="s">
        <v>425</v>
      </c>
      <c r="L3232" s="46" t="s">
        <v>18367</v>
      </c>
      <c r="M3232" s="46" t="s">
        <v>63</v>
      </c>
      <c r="N3232" s="46" t="s">
        <v>142</v>
      </c>
      <c r="O3232" s="46" t="s">
        <v>77</v>
      </c>
      <c r="P3232" s="88" t="s">
        <v>78</v>
      </c>
      <c r="Q3232" s="88" t="s">
        <v>18318</v>
      </c>
      <c r="R3232" s="88" t="s">
        <v>587</v>
      </c>
      <c r="S3232" s="46">
        <v>0</v>
      </c>
      <c r="T3232" s="234">
        <v>0</v>
      </c>
      <c r="U3232" s="46">
        <v>0</v>
      </c>
      <c r="V3232" s="234">
        <v>0</v>
      </c>
      <c r="W3232" s="46">
        <v>0</v>
      </c>
      <c r="X3232" s="46">
        <v>0</v>
      </c>
      <c r="Y3232" s="46">
        <v>0</v>
      </c>
      <c r="Z3232" s="234">
        <v>0</v>
      </c>
      <c r="AA3232" s="46">
        <v>0</v>
      </c>
      <c r="AB3232" s="46">
        <v>0</v>
      </c>
      <c r="AC3232" s="46">
        <v>0</v>
      </c>
      <c r="AD3232" s="46">
        <v>0</v>
      </c>
      <c r="AE3232" s="88" t="s">
        <v>145</v>
      </c>
      <c r="AF3232" s="88" t="s">
        <v>18319</v>
      </c>
      <c r="AG3232" s="88" t="s">
        <v>16283</v>
      </c>
      <c r="AH3232" s="72">
        <v>44141</v>
      </c>
      <c r="AI3232" s="134">
        <v>0</v>
      </c>
      <c r="AJ3232" s="88" t="s">
        <v>18368</v>
      </c>
      <c r="AK3232" s="88" t="s">
        <v>879</v>
      </c>
      <c r="AL3232" s="88">
        <v>44146</v>
      </c>
      <c r="AM3232" s="88">
        <v>44608</v>
      </c>
      <c r="AN3232" s="70">
        <v>44771</v>
      </c>
      <c r="AO3232" s="70">
        <v>44771</v>
      </c>
      <c r="AP3232" s="159" t="e">
        <f>MID(VLOOKUP(K3232,#REF!,2,FALSE),1,2)</f>
        <v>#REF!</v>
      </c>
      <c r="AQ3232" s="88">
        <f>DATE(2020,11,25)</f>
        <v>44160</v>
      </c>
      <c r="AR3232" s="82">
        <f t="shared" si="292"/>
        <v>25</v>
      </c>
      <c r="AS3232" s="120">
        <f t="shared" si="293"/>
        <v>11</v>
      </c>
      <c r="AT3232" s="86">
        <f t="shared" si="294"/>
        <v>2020</v>
      </c>
      <c r="AU3232" s="86"/>
      <c r="AV3232" s="87"/>
      <c r="AW3232" s="86"/>
      <c r="AX3232" s="82"/>
      <c r="AY3232" s="120"/>
      <c r="AZ3232" s="86"/>
      <c r="BA3232" s="86"/>
      <c r="BB3232" s="86"/>
    </row>
    <row r="3233" spans="1:64" ht="36.75" customHeight="1">
      <c r="A3233" s="45"/>
      <c r="B3233" s="45" t="s">
        <v>55</v>
      </c>
      <c r="C3233" s="69" t="str">
        <f t="shared" si="291"/>
        <v>Closed</v>
      </c>
      <c r="D3233" s="27" t="s">
        <v>18369</v>
      </c>
      <c r="E3233" s="44" t="s">
        <v>18370</v>
      </c>
      <c r="F3233" s="45" t="s">
        <v>17578</v>
      </c>
      <c r="G3233" s="88">
        <f>DATE(2020,11,14)</f>
        <v>44149</v>
      </c>
      <c r="H3233" s="102">
        <v>1.536111111111111</v>
      </c>
      <c r="I3233" s="45" t="s">
        <v>73</v>
      </c>
      <c r="J3233" s="88" t="s">
        <v>18371</v>
      </c>
      <c r="K3233" s="45" t="s">
        <v>837</v>
      </c>
      <c r="L3233" s="45" t="s">
        <v>18299</v>
      </c>
      <c r="M3233" s="45" t="s">
        <v>63</v>
      </c>
      <c r="N3233" s="45" t="s">
        <v>99</v>
      </c>
      <c r="O3233" s="45" t="s">
        <v>64</v>
      </c>
      <c r="P3233" s="88" t="s">
        <v>78</v>
      </c>
      <c r="Q3233" s="88" t="s">
        <v>18318</v>
      </c>
      <c r="R3233" s="88" t="s">
        <v>587</v>
      </c>
      <c r="S3233" s="45">
        <v>0</v>
      </c>
      <c r="T3233" s="234">
        <v>0</v>
      </c>
      <c r="U3233" s="45">
        <v>0</v>
      </c>
      <c r="V3233" s="234">
        <v>0</v>
      </c>
      <c r="W3233" s="45">
        <v>0</v>
      </c>
      <c r="X3233" s="45">
        <v>0</v>
      </c>
      <c r="Y3233" s="45">
        <v>0</v>
      </c>
      <c r="Z3233" s="234">
        <v>0</v>
      </c>
      <c r="AA3233" s="45">
        <v>0</v>
      </c>
      <c r="AB3233" s="45">
        <v>0</v>
      </c>
      <c r="AC3233" s="45">
        <v>0</v>
      </c>
      <c r="AD3233" s="45">
        <v>0</v>
      </c>
      <c r="AE3233" s="88" t="s">
        <v>145</v>
      </c>
      <c r="AF3233" s="88" t="s">
        <v>18319</v>
      </c>
      <c r="AG3233" s="88" t="s">
        <v>14033</v>
      </c>
      <c r="AH3233" s="72">
        <v>44149</v>
      </c>
      <c r="AI3233" s="45">
        <v>2</v>
      </c>
      <c r="AJ3233" s="88" t="s">
        <v>17831</v>
      </c>
      <c r="AK3233" s="88" t="s">
        <v>17832</v>
      </c>
      <c r="AL3233" s="88">
        <v>44154</v>
      </c>
      <c r="AM3233" s="88"/>
      <c r="AN3233" s="88">
        <v>44438</v>
      </c>
      <c r="AO3233" s="88">
        <v>44432</v>
      </c>
      <c r="AP3233" s="159" t="s">
        <v>18372</v>
      </c>
      <c r="AQ3233" s="88">
        <f>DATE(2020,12,5)</f>
        <v>44170</v>
      </c>
      <c r="AR3233" s="82">
        <f t="shared" si="292"/>
        <v>5</v>
      </c>
      <c r="AS3233" s="120">
        <f t="shared" si="293"/>
        <v>12</v>
      </c>
      <c r="AT3233" s="86">
        <f t="shared" si="294"/>
        <v>2020</v>
      </c>
      <c r="AU3233" s="86"/>
      <c r="AV3233" s="87"/>
      <c r="AW3233" s="86"/>
      <c r="AX3233" s="82"/>
      <c r="AY3233" s="120"/>
      <c r="AZ3233" s="86"/>
      <c r="BA3233" s="86"/>
      <c r="BB3233" s="86"/>
    </row>
    <row r="3234" spans="1:64" ht="36.75" customHeight="1">
      <c r="A3234" s="45" t="s">
        <v>12471</v>
      </c>
      <c r="B3234" s="45" t="s">
        <v>55</v>
      </c>
      <c r="C3234" s="69" t="str">
        <f t="shared" si="291"/>
        <v>Closed</v>
      </c>
      <c r="D3234" s="33" t="s">
        <v>18373</v>
      </c>
      <c r="E3234" s="44" t="s">
        <v>18374</v>
      </c>
      <c r="F3234" s="45" t="s">
        <v>9789</v>
      </c>
      <c r="G3234" s="88">
        <f>DATE(2020,11,15)</f>
        <v>44150</v>
      </c>
      <c r="H3234" s="142">
        <v>0.32013888888888892</v>
      </c>
      <c r="I3234" s="45" t="s">
        <v>487</v>
      </c>
      <c r="J3234" s="181" t="s">
        <v>18375</v>
      </c>
      <c r="K3234" s="45" t="s">
        <v>9791</v>
      </c>
      <c r="L3234" s="45" t="s">
        <v>18299</v>
      </c>
      <c r="M3234" s="45" t="s">
        <v>63</v>
      </c>
      <c r="N3234" s="45" t="s">
        <v>99</v>
      </c>
      <c r="O3234" s="45" t="s">
        <v>64</v>
      </c>
      <c r="P3234" s="88" t="s">
        <v>78</v>
      </c>
      <c r="Q3234" s="88" t="s">
        <v>18318</v>
      </c>
      <c r="R3234" s="88" t="s">
        <v>587</v>
      </c>
      <c r="S3234" s="45">
        <v>0</v>
      </c>
      <c r="T3234" s="45">
        <v>0</v>
      </c>
      <c r="U3234" s="45">
        <v>0</v>
      </c>
      <c r="V3234" s="45">
        <v>0</v>
      </c>
      <c r="W3234" s="45">
        <v>0</v>
      </c>
      <c r="X3234" s="45">
        <v>0</v>
      </c>
      <c r="Y3234" s="45">
        <v>0</v>
      </c>
      <c r="Z3234" s="45">
        <v>0</v>
      </c>
      <c r="AA3234" s="45">
        <v>0</v>
      </c>
      <c r="AB3234" s="45">
        <v>0</v>
      </c>
      <c r="AC3234" s="45">
        <v>0</v>
      </c>
      <c r="AD3234" s="45">
        <v>0</v>
      </c>
      <c r="AE3234" s="88" t="s">
        <v>145</v>
      </c>
      <c r="AF3234" s="88" t="s">
        <v>18319</v>
      </c>
      <c r="AG3234" s="46" t="s">
        <v>18376</v>
      </c>
      <c r="AH3234" s="72">
        <v>44173</v>
      </c>
      <c r="AI3234" s="46">
        <v>0</v>
      </c>
      <c r="AJ3234" s="88"/>
      <c r="AK3234" s="88"/>
      <c r="AL3234" s="88">
        <f>DATE(2020,12,22)</f>
        <v>44187</v>
      </c>
      <c r="AM3234" s="88"/>
      <c r="AN3234" s="88">
        <v>44498</v>
      </c>
      <c r="AO3234" s="88">
        <v>44489</v>
      </c>
      <c r="AP3234" s="159" t="e">
        <f>MID(VLOOKUP(K3234,#REF!,2,FALSE),1,2)</f>
        <v>#REF!</v>
      </c>
      <c r="AQ3234" s="88">
        <f>DATE(2020,12,19)</f>
        <v>44184</v>
      </c>
      <c r="AR3234" s="82">
        <f t="shared" si="292"/>
        <v>19</v>
      </c>
      <c r="AS3234" s="120">
        <f t="shared" si="293"/>
        <v>12</v>
      </c>
      <c r="AT3234" s="86">
        <f t="shared" si="294"/>
        <v>2020</v>
      </c>
      <c r="AU3234" s="86"/>
      <c r="AV3234" s="87"/>
      <c r="AW3234" s="86"/>
      <c r="AX3234" s="82"/>
      <c r="AY3234" s="120"/>
      <c r="AZ3234" s="86"/>
      <c r="BA3234" s="86"/>
      <c r="BB3234" s="86"/>
    </row>
    <row r="3235" spans="1:64" ht="36.75" customHeight="1">
      <c r="A3235" s="45"/>
      <c r="B3235" s="45" t="s">
        <v>2124</v>
      </c>
      <c r="C3235" s="69" t="str">
        <f t="shared" si="291"/>
        <v>Open</v>
      </c>
      <c r="D3235" s="27" t="s">
        <v>18377</v>
      </c>
      <c r="E3235" s="44" t="s">
        <v>18378</v>
      </c>
      <c r="F3235" s="45" t="s">
        <v>5427</v>
      </c>
      <c r="G3235" s="88">
        <f>DATE(2020,11,18)</f>
        <v>44153</v>
      </c>
      <c r="H3235" s="102">
        <v>1.75</v>
      </c>
      <c r="I3235" s="45" t="s">
        <v>278</v>
      </c>
      <c r="J3235" s="88" t="s">
        <v>18379</v>
      </c>
      <c r="K3235" s="45" t="s">
        <v>596</v>
      </c>
      <c r="L3235" s="45" t="s">
        <v>18299</v>
      </c>
      <c r="M3235" s="45" t="s">
        <v>63</v>
      </c>
      <c r="N3235" s="45" t="s">
        <v>99</v>
      </c>
      <c r="O3235" s="45" t="s">
        <v>64</v>
      </c>
      <c r="P3235" s="88" t="s">
        <v>78</v>
      </c>
      <c r="Q3235" s="88" t="s">
        <v>18318</v>
      </c>
      <c r="R3235" s="88" t="s">
        <v>587</v>
      </c>
      <c r="S3235" s="45">
        <v>0</v>
      </c>
      <c r="T3235" s="234">
        <v>0</v>
      </c>
      <c r="U3235" s="45">
        <v>0</v>
      </c>
      <c r="V3235" s="234">
        <v>0</v>
      </c>
      <c r="W3235" s="45">
        <v>0</v>
      </c>
      <c r="X3235" s="45">
        <v>0</v>
      </c>
      <c r="Y3235" s="45">
        <v>0</v>
      </c>
      <c r="Z3235" s="234">
        <v>0</v>
      </c>
      <c r="AA3235" s="45">
        <v>0</v>
      </c>
      <c r="AB3235" s="45">
        <v>0</v>
      </c>
      <c r="AC3235" s="45">
        <v>0</v>
      </c>
      <c r="AD3235" s="45">
        <v>0</v>
      </c>
      <c r="AE3235" s="72" t="s">
        <v>145</v>
      </c>
      <c r="AF3235" s="88" t="s">
        <v>18319</v>
      </c>
      <c r="AG3235" s="88" t="s">
        <v>82</v>
      </c>
      <c r="AH3235" s="72">
        <v>43902</v>
      </c>
      <c r="AI3235" s="46">
        <v>0</v>
      </c>
      <c r="AJ3235" s="88" t="s">
        <v>68</v>
      </c>
      <c r="AK3235" s="88" t="s">
        <v>68</v>
      </c>
      <c r="AL3235" s="88">
        <v>44168</v>
      </c>
      <c r="AM3235" s="88"/>
      <c r="AN3235" s="70"/>
      <c r="AO3235" s="70"/>
      <c r="AP3235" s="159" t="s">
        <v>17593</v>
      </c>
      <c r="AQ3235" s="88">
        <f>DATE(2020,12,28)</f>
        <v>44193</v>
      </c>
      <c r="AR3235" s="45">
        <f t="shared" si="292"/>
        <v>28</v>
      </c>
      <c r="AS3235" s="45">
        <f t="shared" si="293"/>
        <v>12</v>
      </c>
      <c r="AT3235" s="45">
        <f t="shared" si="294"/>
        <v>2020</v>
      </c>
      <c r="AU3235" s="45"/>
      <c r="AV3235" s="45"/>
      <c r="AW3235" s="45"/>
      <c r="AX3235" s="45"/>
      <c r="AY3235" s="45"/>
      <c r="AZ3235" s="45"/>
      <c r="BA3235" s="45"/>
      <c r="BB3235" s="45"/>
    </row>
    <row r="3236" spans="1:64" ht="36.75" customHeight="1" thickBot="1">
      <c r="A3236" s="46"/>
      <c r="B3236" s="46" t="s">
        <v>55</v>
      </c>
      <c r="C3236" s="69" t="s">
        <v>18034</v>
      </c>
      <c r="D3236" s="27" t="s">
        <v>18380</v>
      </c>
      <c r="E3236" s="44" t="s">
        <v>18381</v>
      </c>
      <c r="F3236" s="45" t="s">
        <v>835</v>
      </c>
      <c r="G3236" s="88">
        <f>DATE(2020,11,25)</f>
        <v>44160</v>
      </c>
      <c r="H3236" s="102">
        <v>1.2708333333333333</v>
      </c>
      <c r="I3236" s="45" t="s">
        <v>59</v>
      </c>
      <c r="J3236" s="88" t="s">
        <v>18382</v>
      </c>
      <c r="K3236" s="45" t="s">
        <v>837</v>
      </c>
      <c r="L3236" s="45" t="s">
        <v>18383</v>
      </c>
      <c r="M3236" s="45" t="s">
        <v>63</v>
      </c>
      <c r="N3236" s="45" t="s">
        <v>99</v>
      </c>
      <c r="O3236" s="45" t="s">
        <v>64</v>
      </c>
      <c r="P3236" s="88" t="s">
        <v>78</v>
      </c>
      <c r="Q3236" s="88" t="s">
        <v>18318</v>
      </c>
      <c r="R3236" s="88" t="s">
        <v>587</v>
      </c>
      <c r="S3236" s="45">
        <v>0</v>
      </c>
      <c r="T3236" s="234">
        <v>0</v>
      </c>
      <c r="U3236" s="45">
        <v>0</v>
      </c>
      <c r="V3236" s="234">
        <v>0</v>
      </c>
      <c r="W3236" s="45">
        <v>0</v>
      </c>
      <c r="X3236" s="45">
        <v>0</v>
      </c>
      <c r="Y3236" s="45">
        <v>0</v>
      </c>
      <c r="Z3236" s="234">
        <v>0</v>
      </c>
      <c r="AA3236" s="45">
        <v>0</v>
      </c>
      <c r="AB3236" s="45">
        <v>0</v>
      </c>
      <c r="AC3236" s="45">
        <v>0</v>
      </c>
      <c r="AD3236" s="45">
        <v>0</v>
      </c>
      <c r="AE3236" s="88" t="s">
        <v>145</v>
      </c>
      <c r="AF3236" s="88" t="s">
        <v>18319</v>
      </c>
      <c r="AG3236" s="88" t="s">
        <v>589</v>
      </c>
      <c r="AH3236" s="72">
        <v>44160</v>
      </c>
      <c r="AI3236" s="86">
        <v>1</v>
      </c>
      <c r="AJ3236" s="138" t="s">
        <v>18384</v>
      </c>
      <c r="AK3236" s="139" t="s">
        <v>18385</v>
      </c>
      <c r="AL3236" s="88">
        <v>44165</v>
      </c>
      <c r="AM3236" s="88"/>
      <c r="AN3236" s="88">
        <v>45012</v>
      </c>
      <c r="AO3236" s="88">
        <v>44628</v>
      </c>
      <c r="AP3236" s="159"/>
      <c r="AQ3236" s="88">
        <f>DATE(2020,12,28)</f>
        <v>44193</v>
      </c>
      <c r="AR3236" s="82">
        <f t="shared" si="292"/>
        <v>28</v>
      </c>
      <c r="AS3236" s="120">
        <f t="shared" si="293"/>
        <v>12</v>
      </c>
      <c r="AT3236" s="86">
        <f t="shared" si="294"/>
        <v>2020</v>
      </c>
      <c r="AU3236" s="86"/>
      <c r="AV3236" s="87"/>
      <c r="AW3236" s="86"/>
      <c r="AX3236" s="82"/>
      <c r="AY3236" s="120"/>
      <c r="AZ3236" s="86"/>
      <c r="BA3236" s="86"/>
      <c r="BB3236" s="86"/>
    </row>
    <row r="3237" spans="1:64" ht="36.75" customHeight="1">
      <c r="A3237" s="45" t="s">
        <v>12471</v>
      </c>
      <c r="B3237" s="45" t="s">
        <v>55</v>
      </c>
      <c r="C3237" s="69" t="str">
        <f t="shared" ref="C3237:C3253" si="295">IF(B3237="Notification","Open",IF(B3237="Interim Statement","In progress","Closed"))</f>
        <v>Closed</v>
      </c>
      <c r="D3237" s="33" t="s">
        <v>18386</v>
      </c>
      <c r="E3237" s="38" t="s">
        <v>18387</v>
      </c>
      <c r="F3237" s="45" t="s">
        <v>18388</v>
      </c>
      <c r="G3237" s="88">
        <f>DATE(2020,12,5)</f>
        <v>44170</v>
      </c>
      <c r="H3237" s="142">
        <v>0.95624999999999993</v>
      </c>
      <c r="I3237" s="45" t="s">
        <v>487</v>
      </c>
      <c r="J3237" s="88" t="s">
        <v>18389</v>
      </c>
      <c r="K3237" s="45" t="s">
        <v>200</v>
      </c>
      <c r="L3237" s="45" t="s">
        <v>18390</v>
      </c>
      <c r="M3237" s="45" t="s">
        <v>63</v>
      </c>
      <c r="N3237" s="45" t="s">
        <v>142</v>
      </c>
      <c r="O3237" s="45" t="s">
        <v>64</v>
      </c>
      <c r="P3237" s="88" t="s">
        <v>165</v>
      </c>
      <c r="Q3237" s="72" t="s">
        <v>18391</v>
      </c>
      <c r="R3237" s="72" t="s">
        <v>13578</v>
      </c>
      <c r="S3237" s="45">
        <v>0</v>
      </c>
      <c r="T3237" s="45">
        <v>0</v>
      </c>
      <c r="U3237" s="45">
        <v>0</v>
      </c>
      <c r="V3237" s="45">
        <v>0</v>
      </c>
      <c r="W3237" s="45">
        <v>0</v>
      </c>
      <c r="X3237" s="45">
        <v>0</v>
      </c>
      <c r="Y3237" s="45">
        <v>0</v>
      </c>
      <c r="Z3237" s="45">
        <v>0</v>
      </c>
      <c r="AA3237" s="45">
        <v>0</v>
      </c>
      <c r="AB3237" s="45">
        <v>0</v>
      </c>
      <c r="AC3237" s="45">
        <v>0</v>
      </c>
      <c r="AD3237" s="45">
        <v>0</v>
      </c>
      <c r="AE3237" s="46" t="s">
        <v>92</v>
      </c>
      <c r="AF3237" s="88" t="s">
        <v>18392</v>
      </c>
      <c r="AG3237" s="88" t="s">
        <v>6459</v>
      </c>
      <c r="AH3237" s="72">
        <v>45265</v>
      </c>
      <c r="AI3237" s="163">
        <v>3</v>
      </c>
      <c r="AJ3237" s="88" t="s">
        <v>18393</v>
      </c>
      <c r="AK3237" s="88" t="s">
        <v>18394</v>
      </c>
      <c r="AL3237" s="88">
        <f>DATE(2021,1,8)</f>
        <v>44204</v>
      </c>
      <c r="AM3237" s="88">
        <f>DATE(2023,12,5)</f>
        <v>45265</v>
      </c>
      <c r="AN3237" s="88">
        <v>45639</v>
      </c>
      <c r="AO3237" s="164">
        <v>45629</v>
      </c>
      <c r="AP3237" s="45" t="s">
        <v>18395</v>
      </c>
      <c r="AQ3237" s="88">
        <f>DATE(2021,1,13)</f>
        <v>44209</v>
      </c>
      <c r="AR3237" s="45">
        <f t="shared" si="292"/>
        <v>13</v>
      </c>
      <c r="AS3237" s="45">
        <f t="shared" si="293"/>
        <v>1</v>
      </c>
      <c r="AT3237" s="45">
        <f t="shared" si="294"/>
        <v>2021</v>
      </c>
      <c r="AU3237" s="45"/>
      <c r="AV3237" s="45"/>
      <c r="AW3237" s="45"/>
      <c r="AX3237" s="45"/>
      <c r="AY3237" s="45"/>
      <c r="AZ3237" s="45"/>
      <c r="BA3237" s="45"/>
      <c r="BB3237" s="45"/>
      <c r="BJ3237" s="165"/>
      <c r="BL3237" s="165"/>
    </row>
    <row r="3238" spans="1:64" ht="36.75" customHeight="1">
      <c r="A3238" s="45" t="s">
        <v>12471</v>
      </c>
      <c r="B3238" s="45" t="s">
        <v>55</v>
      </c>
      <c r="C3238" s="69" t="str">
        <f t="shared" si="295"/>
        <v>Closed</v>
      </c>
      <c r="D3238" s="33" t="s">
        <v>18396</v>
      </c>
      <c r="E3238" s="44" t="s">
        <v>18397</v>
      </c>
      <c r="F3238" s="45" t="s">
        <v>18398</v>
      </c>
      <c r="G3238" s="88">
        <f>DATE(2020,12,19)</f>
        <v>44184</v>
      </c>
      <c r="H3238" s="142">
        <v>0.76597222222222217</v>
      </c>
      <c r="I3238" s="45" t="s">
        <v>73</v>
      </c>
      <c r="J3238" s="88" t="s">
        <v>18397</v>
      </c>
      <c r="K3238" s="45" t="s">
        <v>425</v>
      </c>
      <c r="L3238" s="45" t="s">
        <v>18399</v>
      </c>
      <c r="M3238" s="45" t="s">
        <v>63</v>
      </c>
      <c r="N3238" s="45" t="s">
        <v>99</v>
      </c>
      <c r="O3238" s="45" t="s">
        <v>77</v>
      </c>
      <c r="P3238" s="88" t="s">
        <v>78</v>
      </c>
      <c r="Q3238" s="88" t="s">
        <v>18318</v>
      </c>
      <c r="R3238" s="88" t="s">
        <v>587</v>
      </c>
      <c r="S3238" s="45">
        <v>0</v>
      </c>
      <c r="T3238" s="45">
        <v>0</v>
      </c>
      <c r="U3238" s="45">
        <v>0</v>
      </c>
      <c r="V3238" s="45">
        <v>0</v>
      </c>
      <c r="W3238" s="45">
        <v>0</v>
      </c>
      <c r="X3238" s="45">
        <v>0</v>
      </c>
      <c r="Y3238" s="45">
        <v>0</v>
      </c>
      <c r="Z3238" s="45">
        <v>0</v>
      </c>
      <c r="AA3238" s="45">
        <v>0</v>
      </c>
      <c r="AB3238" s="45">
        <v>0</v>
      </c>
      <c r="AC3238" s="45">
        <v>0</v>
      </c>
      <c r="AD3238" s="45">
        <v>0</v>
      </c>
      <c r="AE3238" s="88" t="s">
        <v>145</v>
      </c>
      <c r="AF3238" s="88" t="s">
        <v>18319</v>
      </c>
      <c r="AG3238" s="88" t="s">
        <v>16283</v>
      </c>
      <c r="AH3238" s="72">
        <f>DATE(2020,12,19)</f>
        <v>44184</v>
      </c>
      <c r="AI3238" s="163">
        <v>1</v>
      </c>
      <c r="AJ3238" s="88" t="s">
        <v>18400</v>
      </c>
      <c r="AK3238" s="88" t="s">
        <v>879</v>
      </c>
      <c r="AL3238" s="88">
        <f>DATE(2020,12,20)</f>
        <v>44185</v>
      </c>
      <c r="AM3238" s="88"/>
      <c r="AN3238" s="88"/>
      <c r="AO3238" s="88"/>
      <c r="AP3238" s="86"/>
      <c r="AQ3238" s="113"/>
      <c r="AR3238" s="113"/>
      <c r="AS3238" s="113"/>
      <c r="AT3238" s="130"/>
      <c r="AU3238" s="86"/>
      <c r="AV3238" s="86"/>
      <c r="AW3238" s="86"/>
      <c r="AX3238" s="106"/>
      <c r="AY3238" s="106"/>
      <c r="AZ3238" s="106"/>
      <c r="BA3238" s="106"/>
      <c r="BB3238" s="106"/>
      <c r="BJ3238" s="166" t="s">
        <v>6459</v>
      </c>
      <c r="BL3238" s="166" t="s">
        <v>6459</v>
      </c>
    </row>
    <row r="3239" spans="1:64" ht="36.75" customHeight="1">
      <c r="A3239" s="48" t="s">
        <v>12471</v>
      </c>
      <c r="B3239" s="48" t="s">
        <v>55</v>
      </c>
      <c r="C3239" s="69" t="str">
        <f t="shared" si="295"/>
        <v>Closed</v>
      </c>
      <c r="D3239" s="36" t="s">
        <v>18401</v>
      </c>
      <c r="E3239" s="52" t="s">
        <v>18402</v>
      </c>
      <c r="F3239" s="48" t="s">
        <v>17578</v>
      </c>
      <c r="G3239" s="88">
        <f>DATE(2020,12,28)</f>
        <v>44193</v>
      </c>
      <c r="H3239" s="164"/>
      <c r="I3239" s="48" t="s">
        <v>198</v>
      </c>
      <c r="J3239" s="88" t="s">
        <v>18403</v>
      </c>
      <c r="K3239" s="48" t="s">
        <v>837</v>
      </c>
      <c r="L3239" s="45" t="s">
        <v>18404</v>
      </c>
      <c r="M3239" s="48" t="s">
        <v>255</v>
      </c>
      <c r="N3239" s="48" t="s">
        <v>18405</v>
      </c>
      <c r="O3239" s="48" t="s">
        <v>77</v>
      </c>
      <c r="P3239" s="88" t="s">
        <v>78</v>
      </c>
      <c r="Q3239" s="88" t="s">
        <v>18318</v>
      </c>
      <c r="R3239" s="88" t="s">
        <v>587</v>
      </c>
      <c r="S3239" s="48">
        <v>0</v>
      </c>
      <c r="T3239" s="48">
        <v>0</v>
      </c>
      <c r="U3239" s="48">
        <v>0</v>
      </c>
      <c r="V3239" s="48">
        <v>0</v>
      </c>
      <c r="W3239" s="48">
        <v>0</v>
      </c>
      <c r="X3239" s="48">
        <v>0</v>
      </c>
      <c r="Y3239" s="48">
        <v>0</v>
      </c>
      <c r="Z3239" s="48">
        <v>0</v>
      </c>
      <c r="AA3239" s="48">
        <v>0</v>
      </c>
      <c r="AB3239" s="48">
        <v>0</v>
      </c>
      <c r="AC3239" s="48">
        <v>0</v>
      </c>
      <c r="AD3239" s="48">
        <v>0</v>
      </c>
      <c r="AE3239" s="88" t="s">
        <v>145</v>
      </c>
      <c r="AF3239" s="88" t="s">
        <v>18319</v>
      </c>
      <c r="AG3239" s="88" t="s">
        <v>8859</v>
      </c>
      <c r="AH3239" s="72"/>
      <c r="AI3239" s="48">
        <v>0</v>
      </c>
      <c r="AJ3239" s="88" t="s">
        <v>18406</v>
      </c>
      <c r="AK3239" s="88" t="s">
        <v>18407</v>
      </c>
      <c r="AL3239" s="164"/>
      <c r="AM3239" s="88"/>
      <c r="AN3239" s="88">
        <v>45012</v>
      </c>
      <c r="AO3239" s="88">
        <v>44530</v>
      </c>
      <c r="AP3239" s="159" t="e">
        <f>MID(VLOOKUP(K3239,#REF!,2,FALSE),1,2)</f>
        <v>#REF!</v>
      </c>
      <c r="AQ3239" s="88">
        <f>DATE(2021,1,15)</f>
        <v>44211</v>
      </c>
      <c r="AR3239" s="82">
        <f t="shared" ref="AR3239:AR3251" si="296">DAY(AQ3239)</f>
        <v>15</v>
      </c>
      <c r="AS3239" s="120">
        <f t="shared" ref="AS3239:AS3251" si="297">MONTH(AQ3239)</f>
        <v>1</v>
      </c>
      <c r="AT3239" s="86">
        <f t="shared" ref="AT3239:AT3251" si="298">YEAR(AQ3239)</f>
        <v>2021</v>
      </c>
      <c r="AU3239" s="86"/>
      <c r="AV3239" s="87"/>
      <c r="AW3239" s="86"/>
      <c r="AX3239" s="82"/>
      <c r="AY3239" s="120"/>
      <c r="AZ3239" s="86"/>
      <c r="BA3239" s="86"/>
      <c r="BB3239" s="86"/>
    </row>
    <row r="3240" spans="1:64" ht="36.75" customHeight="1">
      <c r="A3240" s="45" t="s">
        <v>12471</v>
      </c>
      <c r="B3240" s="45" t="s">
        <v>55</v>
      </c>
      <c r="C3240" s="69" t="str">
        <f t="shared" si="295"/>
        <v>Closed</v>
      </c>
      <c r="D3240" s="33" t="s">
        <v>18408</v>
      </c>
      <c r="E3240" s="44" t="s">
        <v>18409</v>
      </c>
      <c r="F3240" s="45" t="s">
        <v>17682</v>
      </c>
      <c r="G3240" s="88">
        <f>DATE(2020,12,28)</f>
        <v>44193</v>
      </c>
      <c r="H3240" s="103">
        <v>0.2986111111111111</v>
      </c>
      <c r="I3240" s="45" t="s">
        <v>73</v>
      </c>
      <c r="J3240" s="88" t="s">
        <v>18410</v>
      </c>
      <c r="K3240" s="45" t="s">
        <v>1574</v>
      </c>
      <c r="L3240" s="45" t="s">
        <v>18411</v>
      </c>
      <c r="M3240" s="45" t="s">
        <v>63</v>
      </c>
      <c r="N3240" s="45" t="s">
        <v>99</v>
      </c>
      <c r="O3240" s="45" t="s">
        <v>64</v>
      </c>
      <c r="P3240" s="88" t="s">
        <v>78</v>
      </c>
      <c r="Q3240" s="88" t="s">
        <v>18412</v>
      </c>
      <c r="R3240" s="88" t="s">
        <v>18064</v>
      </c>
      <c r="S3240" s="45">
        <v>0</v>
      </c>
      <c r="T3240" s="45">
        <v>0</v>
      </c>
      <c r="U3240" s="45">
        <v>0</v>
      </c>
      <c r="V3240" s="45">
        <v>0</v>
      </c>
      <c r="W3240" s="45">
        <v>0</v>
      </c>
      <c r="X3240" s="45">
        <v>0</v>
      </c>
      <c r="Y3240" s="45">
        <v>0</v>
      </c>
      <c r="Z3240" s="45">
        <v>0</v>
      </c>
      <c r="AA3240" s="45">
        <v>0</v>
      </c>
      <c r="AB3240" s="45">
        <v>0</v>
      </c>
      <c r="AC3240" s="45">
        <v>0</v>
      </c>
      <c r="AD3240" s="45">
        <v>0</v>
      </c>
      <c r="AE3240" s="45" t="s">
        <v>92</v>
      </c>
      <c r="AF3240" s="88" t="s">
        <v>18413</v>
      </c>
      <c r="AG3240" s="88" t="s">
        <v>8859</v>
      </c>
      <c r="AH3240" s="72">
        <f>DATE(2020,12,29)</f>
        <v>44194</v>
      </c>
      <c r="AI3240" s="45">
        <v>3</v>
      </c>
      <c r="AJ3240" s="167" t="s">
        <v>18414</v>
      </c>
      <c r="AK3240" s="167" t="s">
        <v>18415</v>
      </c>
      <c r="AL3240" s="88">
        <f>DATE(2020,12,29)</f>
        <v>44194</v>
      </c>
      <c r="AM3240" s="164"/>
      <c r="AN3240" s="164">
        <v>44564</v>
      </c>
      <c r="AO3240" s="164">
        <v>44187</v>
      </c>
      <c r="AP3240" s="159" t="s">
        <v>18416</v>
      </c>
      <c r="AQ3240" s="88">
        <f>DATE(2021,1,15)</f>
        <v>44211</v>
      </c>
      <c r="AR3240" s="45">
        <f t="shared" si="296"/>
        <v>15</v>
      </c>
      <c r="AS3240" s="45">
        <f t="shared" si="297"/>
        <v>1</v>
      </c>
      <c r="AT3240" s="45">
        <f t="shared" si="298"/>
        <v>2021</v>
      </c>
      <c r="AU3240" s="45"/>
      <c r="AV3240" s="45"/>
      <c r="AW3240" s="45"/>
      <c r="AX3240" s="45"/>
      <c r="AY3240" s="45"/>
      <c r="AZ3240" s="45"/>
      <c r="BA3240" s="45"/>
      <c r="BB3240" s="45"/>
    </row>
    <row r="3241" spans="1:64" ht="36.75" customHeight="1">
      <c r="A3241" s="45" t="s">
        <v>12471</v>
      </c>
      <c r="B3241" s="45" t="s">
        <v>55</v>
      </c>
      <c r="C3241" s="69" t="str">
        <f t="shared" si="295"/>
        <v>Closed</v>
      </c>
      <c r="D3241" s="33" t="s">
        <v>18417</v>
      </c>
      <c r="E3241" s="44" t="s">
        <v>18418</v>
      </c>
      <c r="F3241" s="45" t="s">
        <v>9789</v>
      </c>
      <c r="G3241" s="88">
        <f>DATE(2021,1,13)</f>
        <v>44209</v>
      </c>
      <c r="H3241" s="103">
        <v>0.4375</v>
      </c>
      <c r="I3241" s="45" t="s">
        <v>73</v>
      </c>
      <c r="J3241" s="181" t="s">
        <v>18419</v>
      </c>
      <c r="K3241" s="45" t="s">
        <v>9791</v>
      </c>
      <c r="L3241" s="45" t="s">
        <v>18420</v>
      </c>
      <c r="M3241" s="45" t="s">
        <v>63</v>
      </c>
      <c r="N3241" s="5" t="s">
        <v>99</v>
      </c>
      <c r="O3241" s="45" t="s">
        <v>64</v>
      </c>
      <c r="P3241" s="88" t="s">
        <v>78</v>
      </c>
      <c r="Q3241" s="88" t="s">
        <v>18421</v>
      </c>
      <c r="R3241" s="88" t="s">
        <v>18422</v>
      </c>
      <c r="S3241" s="45">
        <v>0</v>
      </c>
      <c r="T3241" s="45">
        <v>0</v>
      </c>
      <c r="U3241" s="45">
        <v>0</v>
      </c>
      <c r="V3241" s="45">
        <v>0</v>
      </c>
      <c r="W3241" s="45">
        <v>0</v>
      </c>
      <c r="X3241" s="45">
        <v>0</v>
      </c>
      <c r="Y3241" s="45">
        <v>0</v>
      </c>
      <c r="Z3241" s="45">
        <v>0</v>
      </c>
      <c r="AA3241" s="45">
        <v>0</v>
      </c>
      <c r="AB3241" s="45">
        <v>0</v>
      </c>
      <c r="AC3241" s="45">
        <v>0</v>
      </c>
      <c r="AD3241" s="45">
        <v>0</v>
      </c>
      <c r="AE3241" s="88" t="s">
        <v>394</v>
      </c>
      <c r="AF3241" s="88" t="s">
        <v>18423</v>
      </c>
      <c r="AG3241" s="88" t="s">
        <v>8859</v>
      </c>
      <c r="AH3241" s="72">
        <v>44216</v>
      </c>
      <c r="AI3241" s="45">
        <v>1</v>
      </c>
      <c r="AJ3241" s="88" t="s">
        <v>18424</v>
      </c>
      <c r="AK3241" s="88" t="s">
        <v>18425</v>
      </c>
      <c r="AL3241" s="164"/>
      <c r="AM3241" s="164"/>
      <c r="AN3241" s="164">
        <v>44552</v>
      </c>
      <c r="AO3241" s="164">
        <v>44545</v>
      </c>
      <c r="AP3241" s="159" t="s">
        <v>17593</v>
      </c>
      <c r="AQ3241" s="88">
        <f>DATE(2021,1,17)</f>
        <v>44213</v>
      </c>
      <c r="AR3241" s="45">
        <f t="shared" si="296"/>
        <v>17</v>
      </c>
      <c r="AS3241" s="45">
        <f t="shared" si="297"/>
        <v>1</v>
      </c>
      <c r="AT3241" s="45">
        <f t="shared" si="298"/>
        <v>2021</v>
      </c>
      <c r="AU3241" s="45"/>
      <c r="AV3241" s="45"/>
      <c r="AW3241" s="45"/>
      <c r="AX3241" s="45"/>
      <c r="AY3241" s="45"/>
      <c r="AZ3241" s="45"/>
      <c r="BA3241" s="45"/>
      <c r="BB3241" s="45"/>
    </row>
    <row r="3242" spans="1:64" ht="36.75" customHeight="1">
      <c r="A3242" s="46" t="s">
        <v>12471</v>
      </c>
      <c r="B3242" s="46" t="s">
        <v>55</v>
      </c>
      <c r="C3242" s="69" t="str">
        <f t="shared" si="295"/>
        <v>Closed</v>
      </c>
      <c r="D3242" s="36" t="s">
        <v>18426</v>
      </c>
      <c r="E3242" s="38" t="s">
        <v>18427</v>
      </c>
      <c r="F3242" s="46" t="s">
        <v>12910</v>
      </c>
      <c r="G3242" s="88">
        <f>DATE(2021,1,13)</f>
        <v>44209</v>
      </c>
      <c r="H3242" s="103">
        <v>1.6215277777777777</v>
      </c>
      <c r="I3242" s="30" t="s">
        <v>6872</v>
      </c>
      <c r="J3242" s="46" t="s">
        <v>18428</v>
      </c>
      <c r="K3242" s="46" t="s">
        <v>453</v>
      </c>
      <c r="L3242" s="46" t="s">
        <v>18429</v>
      </c>
      <c r="M3242" s="46" t="s">
        <v>63</v>
      </c>
      <c r="N3242" s="46" t="s">
        <v>142</v>
      </c>
      <c r="O3242" s="46" t="s">
        <v>64</v>
      </c>
      <c r="P3242" s="46" t="s">
        <v>78</v>
      </c>
      <c r="Q3242" s="46" t="s">
        <v>18430</v>
      </c>
      <c r="R3242" s="46" t="s">
        <v>572</v>
      </c>
      <c r="S3242" s="46">
        <v>0</v>
      </c>
      <c r="T3242" s="46">
        <v>0</v>
      </c>
      <c r="U3242" s="46">
        <v>0</v>
      </c>
      <c r="V3242" s="46">
        <v>0</v>
      </c>
      <c r="W3242" s="46">
        <v>0</v>
      </c>
      <c r="X3242" s="46">
        <v>0</v>
      </c>
      <c r="Y3242" s="46">
        <v>0</v>
      </c>
      <c r="Z3242" s="46">
        <v>0</v>
      </c>
      <c r="AA3242" s="46">
        <v>0</v>
      </c>
      <c r="AB3242" s="46">
        <v>0</v>
      </c>
      <c r="AC3242" s="46">
        <v>0</v>
      </c>
      <c r="AD3242" s="46">
        <v>0</v>
      </c>
      <c r="AE3242" s="46" t="s">
        <v>92</v>
      </c>
      <c r="AF3242" s="46" t="s">
        <v>18431</v>
      </c>
      <c r="AG3242" s="46" t="s">
        <v>6459</v>
      </c>
      <c r="AH3242" s="72">
        <v>44209</v>
      </c>
      <c r="AI3242" s="46">
        <v>3</v>
      </c>
      <c r="AJ3242" s="46" t="s">
        <v>18432</v>
      </c>
      <c r="AK3242" s="46">
        <v>0</v>
      </c>
      <c r="AL3242" s="168">
        <v>44756</v>
      </c>
      <c r="AM3242" s="46"/>
      <c r="AN3242" s="157">
        <v>44756</v>
      </c>
      <c r="AO3242" s="157">
        <v>44574</v>
      </c>
      <c r="AP3242" s="159" t="s">
        <v>18433</v>
      </c>
      <c r="AQ3242" s="88">
        <f>DATE(2021,1,22)</f>
        <v>44218</v>
      </c>
      <c r="AR3242" s="45">
        <f t="shared" si="296"/>
        <v>22</v>
      </c>
      <c r="AS3242" s="45">
        <f t="shared" si="297"/>
        <v>1</v>
      </c>
      <c r="AT3242" s="45">
        <f t="shared" si="298"/>
        <v>2021</v>
      </c>
      <c r="AU3242" s="45"/>
      <c r="AV3242" s="45"/>
      <c r="AW3242" s="45"/>
      <c r="AX3242" s="45"/>
      <c r="AY3242" s="45"/>
      <c r="AZ3242" s="45"/>
      <c r="BA3242" s="45"/>
      <c r="BB3242" s="45"/>
    </row>
    <row r="3243" spans="1:64" ht="36.75" customHeight="1">
      <c r="A3243" s="46" t="s">
        <v>12471</v>
      </c>
      <c r="B3243" s="46" t="s">
        <v>55</v>
      </c>
      <c r="C3243" s="69" t="str">
        <f t="shared" si="295"/>
        <v>Closed</v>
      </c>
      <c r="D3243" s="36" t="s">
        <v>18434</v>
      </c>
      <c r="E3243" s="38" t="s">
        <v>18435</v>
      </c>
      <c r="F3243" s="46" t="s">
        <v>17773</v>
      </c>
      <c r="G3243" s="88">
        <f>DATE(2021,1,15)</f>
        <v>44211</v>
      </c>
      <c r="H3243" s="142">
        <v>0.375</v>
      </c>
      <c r="I3243" s="46" t="s">
        <v>73</v>
      </c>
      <c r="J3243" s="88" t="s">
        <v>18436</v>
      </c>
      <c r="K3243" s="46" t="s">
        <v>2603</v>
      </c>
      <c r="L3243" s="46" t="s">
        <v>18437</v>
      </c>
      <c r="M3243" s="46" t="s">
        <v>63</v>
      </c>
      <c r="N3243" s="46" t="s">
        <v>99</v>
      </c>
      <c r="O3243" s="46" t="s">
        <v>77</v>
      </c>
      <c r="P3243" s="88" t="s">
        <v>78</v>
      </c>
      <c r="Q3243" s="46" t="s">
        <v>18438</v>
      </c>
      <c r="R3243" s="46" t="s">
        <v>18439</v>
      </c>
      <c r="S3243" s="46">
        <v>0</v>
      </c>
      <c r="T3243" s="46">
        <v>0</v>
      </c>
      <c r="U3243" s="46">
        <v>0</v>
      </c>
      <c r="V3243" s="46">
        <v>0</v>
      </c>
      <c r="W3243" s="46">
        <v>0</v>
      </c>
      <c r="X3243" s="46">
        <v>0</v>
      </c>
      <c r="Y3243" s="46">
        <v>0</v>
      </c>
      <c r="Z3243" s="46">
        <v>0</v>
      </c>
      <c r="AA3243" s="46">
        <v>0</v>
      </c>
      <c r="AB3243" s="46">
        <v>0</v>
      </c>
      <c r="AC3243" s="46">
        <v>0</v>
      </c>
      <c r="AD3243" s="46">
        <v>0</v>
      </c>
      <c r="AE3243" s="46" t="s">
        <v>92</v>
      </c>
      <c r="AF3243" s="46" t="s">
        <v>18440</v>
      </c>
      <c r="AG3243" s="46" t="s">
        <v>8859</v>
      </c>
      <c r="AH3243" s="72">
        <v>44211</v>
      </c>
      <c r="AI3243" s="46">
        <v>3</v>
      </c>
      <c r="AJ3243" s="46" t="s">
        <v>18441</v>
      </c>
      <c r="AK3243" s="46" t="s">
        <v>18442</v>
      </c>
      <c r="AL3243" s="46"/>
      <c r="AM3243" s="46"/>
      <c r="AN3243" s="169"/>
      <c r="AO3243" s="169"/>
      <c r="AP3243" s="159" t="s">
        <v>17593</v>
      </c>
      <c r="AQ3243" s="88">
        <f>DATE(2021,1,25)</f>
        <v>44221</v>
      </c>
      <c r="AR3243" s="45">
        <f t="shared" si="296"/>
        <v>25</v>
      </c>
      <c r="AS3243" s="45">
        <f t="shared" si="297"/>
        <v>1</v>
      </c>
      <c r="AT3243" s="45">
        <f t="shared" si="298"/>
        <v>2021</v>
      </c>
      <c r="AU3243" s="45"/>
      <c r="AV3243" s="45"/>
      <c r="AW3243" s="45"/>
      <c r="AX3243" s="45"/>
      <c r="AY3243" s="45"/>
      <c r="AZ3243" s="45"/>
      <c r="BA3243" s="45"/>
      <c r="BB3243" s="45"/>
    </row>
    <row r="3244" spans="1:64" ht="36.75" customHeight="1">
      <c r="A3244" s="45" t="s">
        <v>12471</v>
      </c>
      <c r="B3244" s="45" t="s">
        <v>55</v>
      </c>
      <c r="C3244" s="69" t="str">
        <f t="shared" si="295"/>
        <v>Closed</v>
      </c>
      <c r="D3244" s="33" t="s">
        <v>18443</v>
      </c>
      <c r="E3244" s="44" t="s">
        <v>18444</v>
      </c>
      <c r="F3244" s="45" t="s">
        <v>18398</v>
      </c>
      <c r="G3244" s="88">
        <f>DATE(2021,1,15)</f>
        <v>44211</v>
      </c>
      <c r="H3244" s="142">
        <v>0.26111111111111113</v>
      </c>
      <c r="I3244" s="45" t="s">
        <v>198</v>
      </c>
      <c r="J3244" s="88" t="s">
        <v>18445</v>
      </c>
      <c r="K3244" s="45" t="s">
        <v>425</v>
      </c>
      <c r="L3244" s="45" t="s">
        <v>18446</v>
      </c>
      <c r="M3244" s="45" t="s">
        <v>255</v>
      </c>
      <c r="N3244" s="45" t="s">
        <v>142</v>
      </c>
      <c r="O3244" s="45" t="s">
        <v>64</v>
      </c>
      <c r="P3244" s="88" t="s">
        <v>6552</v>
      </c>
      <c r="Q3244" s="88" t="s">
        <v>1343</v>
      </c>
      <c r="R3244" s="88" t="s">
        <v>1343</v>
      </c>
      <c r="S3244" s="45">
        <v>0</v>
      </c>
      <c r="T3244" s="45">
        <v>0</v>
      </c>
      <c r="U3244" s="45">
        <v>0</v>
      </c>
      <c r="V3244" s="45">
        <v>0</v>
      </c>
      <c r="W3244" s="45">
        <v>0</v>
      </c>
      <c r="X3244" s="45">
        <v>0</v>
      </c>
      <c r="Y3244" s="45">
        <v>0</v>
      </c>
      <c r="Z3244" s="45">
        <v>0</v>
      </c>
      <c r="AA3244" s="45">
        <v>0</v>
      </c>
      <c r="AB3244" s="45">
        <v>0</v>
      </c>
      <c r="AC3244" s="45">
        <v>0</v>
      </c>
      <c r="AD3244" s="45">
        <v>0</v>
      </c>
      <c r="AE3244" s="88" t="s">
        <v>17613</v>
      </c>
      <c r="AF3244" s="88"/>
      <c r="AG3244" s="46" t="s">
        <v>17539</v>
      </c>
      <c r="AH3244" s="72">
        <f>DATE(2021,1,18)</f>
        <v>44214</v>
      </c>
      <c r="AI3244" s="45">
        <v>1</v>
      </c>
      <c r="AJ3244" s="88" t="s">
        <v>18447</v>
      </c>
      <c r="AK3244" s="88" t="s">
        <v>18448</v>
      </c>
      <c r="AL3244" s="88">
        <f>DATE(2021,1,20)</f>
        <v>44216</v>
      </c>
      <c r="AM3244" s="88"/>
      <c r="AN3244" s="88"/>
      <c r="AO3244" s="88"/>
      <c r="AP3244" s="159" t="s">
        <v>18449</v>
      </c>
      <c r="AQ3244" s="88">
        <f>DATE(2021,1,26)</f>
        <v>44222</v>
      </c>
      <c r="AR3244" s="45">
        <f t="shared" si="296"/>
        <v>26</v>
      </c>
      <c r="AS3244" s="45">
        <f t="shared" si="297"/>
        <v>1</v>
      </c>
      <c r="AT3244" s="45">
        <f t="shared" si="298"/>
        <v>2021</v>
      </c>
      <c r="AU3244" s="45"/>
      <c r="AV3244" s="45"/>
      <c r="AW3244" s="45"/>
      <c r="AX3244" s="45"/>
      <c r="AY3244" s="45"/>
      <c r="AZ3244" s="45"/>
      <c r="BA3244" s="45"/>
      <c r="BB3244" s="45"/>
    </row>
    <row r="3245" spans="1:64" ht="36.75" customHeight="1">
      <c r="A3245" s="48" t="s">
        <v>12471</v>
      </c>
      <c r="B3245" s="48" t="s">
        <v>55</v>
      </c>
      <c r="C3245" s="69" t="str">
        <f t="shared" si="295"/>
        <v>Closed</v>
      </c>
      <c r="D3245" s="36" t="s">
        <v>18450</v>
      </c>
      <c r="E3245" s="38" t="s">
        <v>18451</v>
      </c>
      <c r="F3245" s="48" t="s">
        <v>16310</v>
      </c>
      <c r="G3245" s="88">
        <f>DATE(2021,1,15)</f>
        <v>44211</v>
      </c>
      <c r="H3245" s="102">
        <v>1.5868055555555556</v>
      </c>
      <c r="I3245" s="46" t="s">
        <v>116</v>
      </c>
      <c r="J3245" s="88" t="s">
        <v>18452</v>
      </c>
      <c r="K3245" s="48" t="s">
        <v>118</v>
      </c>
      <c r="L3245" s="45" t="s">
        <v>18453</v>
      </c>
      <c r="M3245" s="48" t="s">
        <v>63</v>
      </c>
      <c r="N3245" s="48" t="s">
        <v>99</v>
      </c>
      <c r="O3245" s="48" t="s">
        <v>64</v>
      </c>
      <c r="P3245" s="88" t="s">
        <v>165</v>
      </c>
      <c r="Q3245" s="88" t="s">
        <v>16313</v>
      </c>
      <c r="R3245" s="88" t="s">
        <v>18214</v>
      </c>
      <c r="S3245" s="35">
        <v>0</v>
      </c>
      <c r="T3245" s="35">
        <v>0</v>
      </c>
      <c r="U3245" s="35">
        <v>1</v>
      </c>
      <c r="V3245" s="35">
        <v>0</v>
      </c>
      <c r="W3245" s="35">
        <v>0</v>
      </c>
      <c r="X3245" s="35">
        <v>1</v>
      </c>
      <c r="Y3245" s="35">
        <v>0</v>
      </c>
      <c r="Z3245" s="35">
        <v>0</v>
      </c>
      <c r="AA3245" s="35">
        <v>0</v>
      </c>
      <c r="AB3245" s="35">
        <v>0</v>
      </c>
      <c r="AC3245" s="35">
        <v>0</v>
      </c>
      <c r="AD3245" s="35">
        <v>0</v>
      </c>
      <c r="AE3245" s="88" t="s">
        <v>92</v>
      </c>
      <c r="AF3245" s="88" t="s">
        <v>18454</v>
      </c>
      <c r="AG3245" s="88" t="s">
        <v>8859</v>
      </c>
      <c r="AH3245" s="72">
        <v>44214</v>
      </c>
      <c r="AI3245" s="48">
        <v>4</v>
      </c>
      <c r="AJ3245" s="88" t="s">
        <v>18455</v>
      </c>
      <c r="AK3245" s="88"/>
      <c r="AL3245" s="88"/>
      <c r="AM3245" s="88"/>
      <c r="AN3245" s="88">
        <v>45027</v>
      </c>
      <c r="AO3245" s="88">
        <v>45006</v>
      </c>
      <c r="AP3245" s="159" t="s">
        <v>18395</v>
      </c>
      <c r="AQ3245" s="88">
        <f>DATE(2021,1,27)</f>
        <v>44223</v>
      </c>
      <c r="AR3245" s="45">
        <f t="shared" si="296"/>
        <v>27</v>
      </c>
      <c r="AS3245" s="45">
        <f t="shared" si="297"/>
        <v>1</v>
      </c>
      <c r="AT3245" s="45">
        <f t="shared" si="298"/>
        <v>2021</v>
      </c>
      <c r="AU3245" s="88"/>
      <c r="AV3245" s="88"/>
      <c r="AW3245" s="88"/>
      <c r="AX3245" s="88"/>
      <c r="AY3245" s="88"/>
      <c r="AZ3245" s="88"/>
      <c r="BA3245" s="88"/>
      <c r="BB3245" s="88"/>
    </row>
    <row r="3246" spans="1:64" ht="36.75" customHeight="1">
      <c r="A3246" s="48" t="s">
        <v>12471</v>
      </c>
      <c r="B3246" s="48" t="s">
        <v>55</v>
      </c>
      <c r="C3246" s="69" t="str">
        <f t="shared" si="295"/>
        <v>Closed</v>
      </c>
      <c r="D3246" s="36" t="s">
        <v>18456</v>
      </c>
      <c r="E3246" s="38" t="s">
        <v>18457</v>
      </c>
      <c r="F3246" s="48" t="s">
        <v>17578</v>
      </c>
      <c r="G3246" s="88">
        <f>DATE(2021,1,17)</f>
        <v>44213</v>
      </c>
      <c r="H3246" s="90">
        <v>1.4479166666666667</v>
      </c>
      <c r="I3246" s="48" t="s">
        <v>73</v>
      </c>
      <c r="J3246" s="88" t="s">
        <v>18458</v>
      </c>
      <c r="K3246" s="48" t="s">
        <v>837</v>
      </c>
      <c r="L3246" s="45" t="s">
        <v>18459</v>
      </c>
      <c r="M3246" s="48" t="s">
        <v>63</v>
      </c>
      <c r="N3246" s="46" t="s">
        <v>99</v>
      </c>
      <c r="O3246" s="48" t="s">
        <v>77</v>
      </c>
      <c r="P3246" s="88" t="s">
        <v>78</v>
      </c>
      <c r="Q3246" s="88" t="s">
        <v>5546</v>
      </c>
      <c r="R3246" s="88" t="s">
        <v>840</v>
      </c>
      <c r="S3246" s="48">
        <v>0</v>
      </c>
      <c r="T3246" s="48">
        <v>0</v>
      </c>
      <c r="U3246" s="48">
        <v>0</v>
      </c>
      <c r="V3246" s="48">
        <v>0</v>
      </c>
      <c r="W3246" s="48">
        <v>0</v>
      </c>
      <c r="X3246" s="48">
        <v>0</v>
      </c>
      <c r="Y3246" s="48">
        <v>0</v>
      </c>
      <c r="Z3246" s="48">
        <v>0</v>
      </c>
      <c r="AA3246" s="48">
        <v>0</v>
      </c>
      <c r="AB3246" s="48">
        <v>0</v>
      </c>
      <c r="AC3246" s="48">
        <v>0</v>
      </c>
      <c r="AD3246" s="48">
        <v>0</v>
      </c>
      <c r="AE3246" s="88" t="s">
        <v>394</v>
      </c>
      <c r="AF3246" s="88" t="s">
        <v>18460</v>
      </c>
      <c r="AG3246" s="88" t="s">
        <v>8859</v>
      </c>
      <c r="AH3246" s="72">
        <v>44213</v>
      </c>
      <c r="AI3246" s="48">
        <v>1</v>
      </c>
      <c r="AJ3246" s="88" t="s">
        <v>18461</v>
      </c>
      <c r="AK3246" s="88" t="s">
        <v>18462</v>
      </c>
      <c r="AL3246" s="164"/>
      <c r="AM3246" s="164"/>
      <c r="AN3246" s="164">
        <v>44651</v>
      </c>
      <c r="AO3246" s="164">
        <v>44641</v>
      </c>
      <c r="AP3246" s="159" t="s">
        <v>18463</v>
      </c>
      <c r="AQ3246" s="88">
        <f>DATE(2021,1,28)</f>
        <v>44224</v>
      </c>
      <c r="AR3246" s="45">
        <f t="shared" si="296"/>
        <v>28</v>
      </c>
      <c r="AS3246" s="45">
        <f t="shared" si="297"/>
        <v>1</v>
      </c>
      <c r="AT3246" s="45">
        <f t="shared" si="298"/>
        <v>2021</v>
      </c>
      <c r="AU3246" s="45"/>
      <c r="AV3246" s="45"/>
      <c r="AW3246" s="45"/>
      <c r="AX3246" s="45"/>
      <c r="AY3246" s="45"/>
      <c r="AZ3246" s="45"/>
      <c r="BA3246" s="45"/>
      <c r="BB3246" s="45"/>
    </row>
    <row r="3247" spans="1:64" ht="36.75" customHeight="1">
      <c r="A3247" s="48" t="s">
        <v>12471</v>
      </c>
      <c r="B3247" s="48" t="s">
        <v>55</v>
      </c>
      <c r="C3247" s="69" t="str">
        <f t="shared" si="295"/>
        <v>Closed</v>
      </c>
      <c r="D3247" s="36" t="s">
        <v>18464</v>
      </c>
      <c r="E3247" s="38" t="s">
        <v>18465</v>
      </c>
      <c r="F3247" s="48" t="s">
        <v>17344</v>
      </c>
      <c r="G3247" s="88">
        <f>DATE(2021,1,22)</f>
        <v>44218</v>
      </c>
      <c r="H3247" s="90">
        <v>1.3326388888888889</v>
      </c>
      <c r="I3247" s="48" t="s">
        <v>73</v>
      </c>
      <c r="J3247" s="88" t="s">
        <v>18466</v>
      </c>
      <c r="K3247" s="48" t="s">
        <v>127</v>
      </c>
      <c r="L3247" s="45" t="s">
        <v>18467</v>
      </c>
      <c r="M3247" s="48" t="s">
        <v>255</v>
      </c>
      <c r="N3247" s="48" t="s">
        <v>142</v>
      </c>
      <c r="O3247" s="48" t="s">
        <v>64</v>
      </c>
      <c r="P3247" s="88" t="s">
        <v>18468</v>
      </c>
      <c r="Q3247" s="88" t="s">
        <v>10555</v>
      </c>
      <c r="R3247" s="88" t="s">
        <v>10555</v>
      </c>
      <c r="S3247" s="48">
        <v>0</v>
      </c>
      <c r="T3247" s="48">
        <v>0</v>
      </c>
      <c r="U3247" s="48">
        <v>0</v>
      </c>
      <c r="V3247" s="48">
        <v>0</v>
      </c>
      <c r="W3247" s="48">
        <v>0</v>
      </c>
      <c r="X3247" s="48">
        <v>0</v>
      </c>
      <c r="Y3247" s="48">
        <v>0</v>
      </c>
      <c r="Z3247" s="48">
        <v>0</v>
      </c>
      <c r="AA3247" s="48">
        <v>0</v>
      </c>
      <c r="AB3247" s="48">
        <v>0</v>
      </c>
      <c r="AC3247" s="48">
        <v>0</v>
      </c>
      <c r="AD3247" s="48">
        <v>0</v>
      </c>
      <c r="AE3247" s="89" t="s">
        <v>394</v>
      </c>
      <c r="AF3247" s="88" t="s">
        <v>18469</v>
      </c>
      <c r="AG3247" s="88" t="s">
        <v>16938</v>
      </c>
      <c r="AH3247" s="72">
        <v>44224</v>
      </c>
      <c r="AI3247" s="48">
        <v>0</v>
      </c>
      <c r="AJ3247" s="88" t="s">
        <v>18470</v>
      </c>
      <c r="AK3247" s="88" t="s">
        <v>18471</v>
      </c>
      <c r="AL3247" s="164"/>
      <c r="AM3247" s="170"/>
      <c r="AN3247" s="170">
        <v>44658</v>
      </c>
      <c r="AO3247" s="170">
        <v>44566</v>
      </c>
      <c r="AP3247" s="159" t="s">
        <v>17841</v>
      </c>
      <c r="AQ3247" s="88">
        <f>DATE(2021,2,1)</f>
        <v>44228</v>
      </c>
      <c r="AR3247" s="45">
        <f t="shared" si="296"/>
        <v>1</v>
      </c>
      <c r="AS3247" s="45">
        <f t="shared" si="297"/>
        <v>2</v>
      </c>
      <c r="AT3247" s="45">
        <f t="shared" si="298"/>
        <v>2021</v>
      </c>
      <c r="AU3247" s="45"/>
      <c r="AV3247" s="45"/>
      <c r="AW3247" s="45"/>
      <c r="AX3247" s="45"/>
      <c r="AY3247" s="45"/>
      <c r="AZ3247" s="45"/>
      <c r="BA3247" s="45"/>
      <c r="BB3247" s="45"/>
    </row>
    <row r="3248" spans="1:64" ht="36.75" customHeight="1">
      <c r="A3248" s="35" t="s">
        <v>12471</v>
      </c>
      <c r="B3248" s="48" t="s">
        <v>55</v>
      </c>
      <c r="C3248" s="69" t="str">
        <f t="shared" si="295"/>
        <v>Closed</v>
      </c>
      <c r="D3248" s="36" t="s">
        <v>18472</v>
      </c>
      <c r="E3248" s="52" t="s">
        <v>18473</v>
      </c>
      <c r="F3248" s="48" t="s">
        <v>17578</v>
      </c>
      <c r="G3248" s="88">
        <f>DATE(2021,1,25)</f>
        <v>44221</v>
      </c>
      <c r="H3248" s="142">
        <v>1.40625</v>
      </c>
      <c r="I3248" s="45" t="s">
        <v>156</v>
      </c>
      <c r="J3248" s="88" t="s">
        <v>18474</v>
      </c>
      <c r="K3248" s="48" t="s">
        <v>837</v>
      </c>
      <c r="L3248" s="45" t="s">
        <v>18475</v>
      </c>
      <c r="M3248" s="48" t="s">
        <v>63</v>
      </c>
      <c r="N3248" s="48" t="s">
        <v>99</v>
      </c>
      <c r="O3248" s="48" t="s">
        <v>64</v>
      </c>
      <c r="P3248" s="88" t="s">
        <v>78</v>
      </c>
      <c r="Q3248" s="88" t="s">
        <v>11481</v>
      </c>
      <c r="R3248" s="88" t="s">
        <v>840</v>
      </c>
      <c r="S3248" s="48">
        <v>0</v>
      </c>
      <c r="T3248" s="48">
        <v>0</v>
      </c>
      <c r="U3248" s="48">
        <v>0</v>
      </c>
      <c r="V3248" s="48">
        <v>0</v>
      </c>
      <c r="W3248" s="48">
        <v>0</v>
      </c>
      <c r="X3248" s="48">
        <v>0</v>
      </c>
      <c r="Y3248" s="48">
        <v>0</v>
      </c>
      <c r="Z3248" s="48">
        <v>0</v>
      </c>
      <c r="AA3248" s="48">
        <v>0</v>
      </c>
      <c r="AB3248" s="48">
        <v>0</v>
      </c>
      <c r="AC3248" s="48">
        <v>0</v>
      </c>
      <c r="AD3248" s="48">
        <v>0</v>
      </c>
      <c r="AE3248" s="88" t="s">
        <v>92</v>
      </c>
      <c r="AF3248" s="88" t="s">
        <v>18476</v>
      </c>
      <c r="AG3248" s="88" t="s">
        <v>8859</v>
      </c>
      <c r="AH3248" s="72">
        <v>44221</v>
      </c>
      <c r="AI3248" s="48">
        <v>0</v>
      </c>
      <c r="AJ3248" s="88" t="s">
        <v>18477</v>
      </c>
      <c r="AK3248" s="88" t="s">
        <v>18478</v>
      </c>
      <c r="AL3248" s="88"/>
      <c r="AM3248" s="88"/>
      <c r="AN3248" s="137">
        <v>44995</v>
      </c>
      <c r="AO3248" s="137">
        <v>44908</v>
      </c>
      <c r="AP3248" s="159" t="s">
        <v>17593</v>
      </c>
      <c r="AQ3248" s="88">
        <f>DATE(2021,2,1)</f>
        <v>44228</v>
      </c>
      <c r="AR3248" s="45">
        <f t="shared" si="296"/>
        <v>1</v>
      </c>
      <c r="AS3248" s="45">
        <f t="shared" si="297"/>
        <v>2</v>
      </c>
      <c r="AT3248" s="45">
        <f t="shared" si="298"/>
        <v>2021</v>
      </c>
      <c r="AU3248" s="45"/>
      <c r="AV3248" s="45"/>
      <c r="AW3248" s="45"/>
      <c r="AX3248" s="45"/>
      <c r="AY3248" s="45"/>
      <c r="AZ3248" s="45"/>
      <c r="BA3248" s="45"/>
      <c r="BB3248" s="45"/>
    </row>
    <row r="3249" spans="1:54" ht="36.75" customHeight="1">
      <c r="A3249" s="48" t="s">
        <v>12471</v>
      </c>
      <c r="B3249" s="48" t="s">
        <v>55</v>
      </c>
      <c r="C3249" s="69" t="str">
        <f t="shared" si="295"/>
        <v>Closed</v>
      </c>
      <c r="D3249" s="36" t="s">
        <v>18479</v>
      </c>
      <c r="E3249" s="38" t="s">
        <v>18480</v>
      </c>
      <c r="F3249" s="48" t="s">
        <v>17057</v>
      </c>
      <c r="G3249" s="88">
        <f>DATE(2021,1,26)</f>
        <v>44222</v>
      </c>
      <c r="H3249" s="89" t="s">
        <v>18481</v>
      </c>
      <c r="I3249" s="46" t="s">
        <v>116</v>
      </c>
      <c r="J3249" s="88" t="s">
        <v>18482</v>
      </c>
      <c r="K3249" s="48" t="s">
        <v>2338</v>
      </c>
      <c r="L3249" s="48" t="s">
        <v>18483</v>
      </c>
      <c r="M3249" s="48" t="s">
        <v>63</v>
      </c>
      <c r="N3249" s="48" t="s">
        <v>99</v>
      </c>
      <c r="O3249" s="48" t="s">
        <v>64</v>
      </c>
      <c r="P3249" s="88" t="s">
        <v>165</v>
      </c>
      <c r="Q3249" s="88" t="s">
        <v>18484</v>
      </c>
      <c r="R3249" s="88" t="s">
        <v>2341</v>
      </c>
      <c r="S3249" s="48">
        <v>0</v>
      </c>
      <c r="T3249" s="48">
        <v>0</v>
      </c>
      <c r="U3249" s="48">
        <v>1</v>
      </c>
      <c r="V3249" s="48">
        <v>0</v>
      </c>
      <c r="W3249" s="48">
        <v>0</v>
      </c>
      <c r="X3249" s="48">
        <v>1</v>
      </c>
      <c r="Y3249" s="48">
        <v>0</v>
      </c>
      <c r="Z3249" s="48">
        <v>0</v>
      </c>
      <c r="AA3249" s="48">
        <v>0</v>
      </c>
      <c r="AB3249" s="48">
        <v>0</v>
      </c>
      <c r="AC3249" s="48">
        <v>0</v>
      </c>
      <c r="AD3249" s="48">
        <v>0</v>
      </c>
      <c r="AE3249" s="89" t="s">
        <v>394</v>
      </c>
      <c r="AF3249" s="88" t="s">
        <v>18485</v>
      </c>
      <c r="AG3249" s="88" t="s">
        <v>6459</v>
      </c>
      <c r="AH3249" s="72">
        <v>44229</v>
      </c>
      <c r="AI3249" s="48">
        <v>4</v>
      </c>
      <c r="AJ3249" s="88" t="s">
        <v>18486</v>
      </c>
      <c r="AK3249" s="88" t="s">
        <v>18487</v>
      </c>
      <c r="AL3249" s="164"/>
      <c r="AM3249" s="170"/>
      <c r="AN3249" s="89">
        <v>44516</v>
      </c>
      <c r="AO3249" s="89">
        <v>44483</v>
      </c>
      <c r="AP3249" s="159" t="s">
        <v>18488</v>
      </c>
      <c r="AQ3249" s="88">
        <f>DATE(2021,2,1)</f>
        <v>44228</v>
      </c>
      <c r="AR3249" s="45">
        <f t="shared" si="296"/>
        <v>1</v>
      </c>
      <c r="AS3249" s="45">
        <f t="shared" si="297"/>
        <v>2</v>
      </c>
      <c r="AT3249" s="45">
        <f t="shared" si="298"/>
        <v>2021</v>
      </c>
      <c r="AU3249" s="45"/>
      <c r="AV3249" s="45"/>
      <c r="AW3249" s="45"/>
      <c r="AX3249" s="45"/>
      <c r="AY3249" s="45"/>
      <c r="AZ3249" s="45"/>
      <c r="BA3249" s="45"/>
      <c r="BB3249" s="45"/>
    </row>
    <row r="3250" spans="1:54" ht="36.75" customHeight="1">
      <c r="A3250" s="46" t="s">
        <v>12471</v>
      </c>
      <c r="B3250" s="46" t="s">
        <v>55</v>
      </c>
      <c r="C3250" s="69" t="str">
        <f t="shared" si="295"/>
        <v>Closed</v>
      </c>
      <c r="D3250" s="36" t="s">
        <v>18489</v>
      </c>
      <c r="E3250" s="38" t="s">
        <v>18490</v>
      </c>
      <c r="F3250" s="46" t="s">
        <v>9789</v>
      </c>
      <c r="G3250" s="88">
        <f>DATE(2021,1,27)</f>
        <v>44223</v>
      </c>
      <c r="H3250" s="103">
        <v>0.14583333333333334</v>
      </c>
      <c r="I3250" s="46" t="s">
        <v>73</v>
      </c>
      <c r="J3250" s="181" t="s">
        <v>18491</v>
      </c>
      <c r="K3250" s="46" t="s">
        <v>9791</v>
      </c>
      <c r="L3250" s="46" t="s">
        <v>18492</v>
      </c>
      <c r="M3250" s="46" t="s">
        <v>63</v>
      </c>
      <c r="N3250" s="46" t="s">
        <v>99</v>
      </c>
      <c r="O3250" s="46" t="s">
        <v>77</v>
      </c>
      <c r="P3250" s="88" t="s">
        <v>78</v>
      </c>
      <c r="Q3250" s="88" t="s">
        <v>17697</v>
      </c>
      <c r="R3250" s="88" t="s">
        <v>18422</v>
      </c>
      <c r="S3250" s="45">
        <v>0</v>
      </c>
      <c r="T3250" s="45">
        <v>0</v>
      </c>
      <c r="U3250" s="45">
        <v>0</v>
      </c>
      <c r="V3250" s="45">
        <v>0</v>
      </c>
      <c r="W3250" s="45">
        <v>0</v>
      </c>
      <c r="X3250" s="45">
        <v>0</v>
      </c>
      <c r="Y3250" s="45">
        <v>0</v>
      </c>
      <c r="Z3250" s="45">
        <v>0</v>
      </c>
      <c r="AA3250" s="45">
        <v>0</v>
      </c>
      <c r="AB3250" s="45">
        <v>0</v>
      </c>
      <c r="AC3250" s="45">
        <v>0</v>
      </c>
      <c r="AD3250" s="45">
        <v>0</v>
      </c>
      <c r="AE3250" s="88" t="s">
        <v>92</v>
      </c>
      <c r="AF3250" s="88" t="s">
        <v>18493</v>
      </c>
      <c r="AG3250" s="88" t="s">
        <v>8859</v>
      </c>
      <c r="AH3250" s="72">
        <v>44250</v>
      </c>
      <c r="AI3250" s="46">
        <v>1</v>
      </c>
      <c r="AJ3250" s="88" t="s">
        <v>18494</v>
      </c>
      <c r="AK3250" s="88" t="s">
        <v>18495</v>
      </c>
      <c r="AL3250" s="164"/>
      <c r="AM3250" s="164">
        <v>44588</v>
      </c>
      <c r="AN3250" s="164">
        <v>44606</v>
      </c>
      <c r="AO3250" s="164">
        <v>44600</v>
      </c>
      <c r="AP3250" s="159" t="s">
        <v>18496</v>
      </c>
      <c r="AQ3250" s="88">
        <f>DATE(2021,2,4)</f>
        <v>44231</v>
      </c>
      <c r="AR3250" s="45">
        <f t="shared" si="296"/>
        <v>4</v>
      </c>
      <c r="AS3250" s="45">
        <f t="shared" si="297"/>
        <v>2</v>
      </c>
      <c r="AT3250" s="45">
        <f t="shared" si="298"/>
        <v>2021</v>
      </c>
      <c r="AU3250" s="45"/>
      <c r="AV3250" s="45"/>
      <c r="AW3250" s="45"/>
      <c r="AX3250" s="45"/>
      <c r="AY3250" s="45"/>
      <c r="AZ3250" s="45"/>
      <c r="BA3250" s="45"/>
      <c r="BB3250" s="45"/>
    </row>
    <row r="3251" spans="1:54" ht="36.75" customHeight="1">
      <c r="A3251" s="48" t="s">
        <v>12471</v>
      </c>
      <c r="B3251" s="48" t="s">
        <v>55</v>
      </c>
      <c r="C3251" s="69" t="str">
        <f t="shared" si="295"/>
        <v>Closed</v>
      </c>
      <c r="D3251" s="36" t="s">
        <v>18497</v>
      </c>
      <c r="E3251" s="51" t="s">
        <v>18498</v>
      </c>
      <c r="F3251" s="48" t="s">
        <v>14753</v>
      </c>
      <c r="G3251" s="88">
        <f>DATE(2021,1,28)</f>
        <v>44224</v>
      </c>
      <c r="H3251" s="171">
        <v>1.2604166666666667</v>
      </c>
      <c r="I3251" s="48" t="s">
        <v>73</v>
      </c>
      <c r="J3251" s="88" t="s">
        <v>18499</v>
      </c>
      <c r="K3251" s="48" t="s">
        <v>1772</v>
      </c>
      <c r="L3251" s="86" t="s">
        <v>18500</v>
      </c>
      <c r="M3251" s="48" t="s">
        <v>63</v>
      </c>
      <c r="N3251" s="48" t="s">
        <v>142</v>
      </c>
      <c r="O3251" s="48" t="s">
        <v>64</v>
      </c>
      <c r="P3251" s="88" t="s">
        <v>165</v>
      </c>
      <c r="Q3251" s="88" t="s">
        <v>18501</v>
      </c>
      <c r="R3251" s="88" t="s">
        <v>1775</v>
      </c>
      <c r="S3251" s="48">
        <v>0</v>
      </c>
      <c r="T3251" s="48">
        <v>0</v>
      </c>
      <c r="U3251" s="48">
        <v>0</v>
      </c>
      <c r="V3251" s="48">
        <v>0</v>
      </c>
      <c r="W3251" s="48">
        <v>0</v>
      </c>
      <c r="X3251" s="48">
        <v>0</v>
      </c>
      <c r="Y3251" s="48">
        <v>0</v>
      </c>
      <c r="Z3251" s="48">
        <v>0</v>
      </c>
      <c r="AA3251" s="48">
        <v>0</v>
      </c>
      <c r="AB3251" s="48">
        <v>0</v>
      </c>
      <c r="AC3251" s="48">
        <v>0</v>
      </c>
      <c r="AD3251" s="48">
        <v>0</v>
      </c>
      <c r="AE3251" s="88" t="s">
        <v>92</v>
      </c>
      <c r="AF3251" s="88" t="s">
        <v>18502</v>
      </c>
      <c r="AG3251" s="88" t="s">
        <v>14033</v>
      </c>
      <c r="AH3251" s="72">
        <v>44225</v>
      </c>
      <c r="AI3251" s="48">
        <v>5</v>
      </c>
      <c r="AJ3251" s="88" t="s">
        <v>18503</v>
      </c>
      <c r="AK3251" s="88" t="s">
        <v>18504</v>
      </c>
      <c r="AL3251" s="164"/>
      <c r="AM3251" s="164"/>
      <c r="AN3251" s="88">
        <v>44706</v>
      </c>
      <c r="AO3251" s="88">
        <v>44636</v>
      </c>
      <c r="AP3251" s="159" t="s">
        <v>17841</v>
      </c>
      <c r="AQ3251" s="88">
        <f>DATE(2021,2,5)</f>
        <v>44232</v>
      </c>
      <c r="AR3251" s="45">
        <f t="shared" si="296"/>
        <v>5</v>
      </c>
      <c r="AS3251" s="45">
        <f t="shared" si="297"/>
        <v>2</v>
      </c>
      <c r="AT3251" s="45">
        <f t="shared" si="298"/>
        <v>2021</v>
      </c>
      <c r="AU3251" s="45"/>
      <c r="AV3251" s="45"/>
      <c r="AW3251" s="45"/>
      <c r="AX3251" s="45"/>
      <c r="AY3251" s="45"/>
      <c r="AZ3251" s="45"/>
      <c r="BA3251" s="45"/>
      <c r="BB3251" s="45"/>
    </row>
    <row r="3252" spans="1:54" ht="36.75" customHeight="1">
      <c r="A3252" s="46" t="s">
        <v>12471</v>
      </c>
      <c r="B3252" s="46" t="s">
        <v>55</v>
      </c>
      <c r="C3252" s="69" t="str">
        <f t="shared" si="295"/>
        <v>Closed</v>
      </c>
      <c r="D3252" s="36" t="s">
        <v>18505</v>
      </c>
      <c r="E3252" s="38" t="s">
        <v>18506</v>
      </c>
      <c r="F3252" s="46" t="s">
        <v>17820</v>
      </c>
      <c r="G3252" s="88">
        <f>DATE(2021,1,29)</f>
        <v>44225</v>
      </c>
      <c r="H3252" s="142">
        <v>1.8888888888888888</v>
      </c>
      <c r="I3252" s="46" t="s">
        <v>6775</v>
      </c>
      <c r="J3252" s="46" t="s">
        <v>18507</v>
      </c>
      <c r="K3252" s="46" t="s">
        <v>640</v>
      </c>
      <c r="L3252" s="46" t="s">
        <v>18508</v>
      </c>
      <c r="M3252" s="46" t="s">
        <v>63</v>
      </c>
      <c r="N3252" s="46" t="s">
        <v>142</v>
      </c>
      <c r="O3252" s="46" t="s">
        <v>86</v>
      </c>
      <c r="P3252" s="46" t="s">
        <v>6902</v>
      </c>
      <c r="Q3252" s="46" t="s">
        <v>18509</v>
      </c>
      <c r="R3252" s="46" t="s">
        <v>2016</v>
      </c>
      <c r="S3252" s="46">
        <v>0</v>
      </c>
      <c r="T3252" s="46">
        <v>0</v>
      </c>
      <c r="U3252" s="46">
        <v>0</v>
      </c>
      <c r="V3252" s="46">
        <v>0</v>
      </c>
      <c r="W3252" s="46">
        <v>0</v>
      </c>
      <c r="X3252" s="46">
        <v>0</v>
      </c>
      <c r="Y3252" s="46">
        <v>0</v>
      </c>
      <c r="Z3252" s="46">
        <v>0</v>
      </c>
      <c r="AA3252" s="46">
        <v>0</v>
      </c>
      <c r="AB3252" s="46">
        <v>0</v>
      </c>
      <c r="AC3252" s="46">
        <v>0</v>
      </c>
      <c r="AD3252" s="46">
        <v>0</v>
      </c>
      <c r="AE3252" s="46" t="s">
        <v>92</v>
      </c>
      <c r="AF3252" s="46" t="s">
        <v>18510</v>
      </c>
      <c r="AG3252" s="46" t="s">
        <v>14033</v>
      </c>
      <c r="AH3252" s="72">
        <v>44545</v>
      </c>
      <c r="AI3252" s="46">
        <v>4</v>
      </c>
      <c r="AJ3252" s="46" t="s">
        <v>18511</v>
      </c>
      <c r="AK3252" s="46" t="s">
        <v>18512</v>
      </c>
      <c r="AL3252" s="157">
        <v>44546</v>
      </c>
      <c r="AM3252" s="157"/>
      <c r="AN3252" s="157">
        <v>44713</v>
      </c>
      <c r="AO3252" s="157">
        <v>44707</v>
      </c>
      <c r="AP3252" s="86"/>
      <c r="AQ3252" s="113"/>
      <c r="AR3252" s="113"/>
      <c r="AS3252" s="113"/>
      <c r="AT3252" s="130"/>
      <c r="AU3252" s="86"/>
      <c r="AV3252" s="86"/>
      <c r="AW3252" s="86"/>
      <c r="AX3252" s="106"/>
      <c r="AY3252" s="106"/>
      <c r="AZ3252" s="106"/>
      <c r="BA3252" s="106"/>
      <c r="BB3252" s="106"/>
    </row>
    <row r="3253" spans="1:54" ht="36.75" customHeight="1">
      <c r="A3253" s="48" t="s">
        <v>12471</v>
      </c>
      <c r="B3253" s="48" t="s">
        <v>55</v>
      </c>
      <c r="C3253" s="69" t="str">
        <f t="shared" si="295"/>
        <v>Closed</v>
      </c>
      <c r="D3253" s="36" t="s">
        <v>18513</v>
      </c>
      <c r="E3253" s="38" t="s">
        <v>18514</v>
      </c>
      <c r="F3253" s="48" t="s">
        <v>16429</v>
      </c>
      <c r="G3253" s="88">
        <f>DATE(2021,2,1)</f>
        <v>44228</v>
      </c>
      <c r="H3253" s="90">
        <v>1.9611111111111112</v>
      </c>
      <c r="I3253" s="48" t="s">
        <v>73</v>
      </c>
      <c r="J3253" s="88" t="s">
        <v>18515</v>
      </c>
      <c r="K3253" s="48" t="s">
        <v>425</v>
      </c>
      <c r="L3253" s="45" t="s">
        <v>8775</v>
      </c>
      <c r="M3253" s="48" t="s">
        <v>63</v>
      </c>
      <c r="N3253" s="48" t="s">
        <v>99</v>
      </c>
      <c r="O3253" s="48" t="s">
        <v>77</v>
      </c>
      <c r="P3253" s="88" t="s">
        <v>165</v>
      </c>
      <c r="Q3253" s="88" t="s">
        <v>18516</v>
      </c>
      <c r="R3253" s="88" t="s">
        <v>17369</v>
      </c>
      <c r="S3253" s="48">
        <v>0</v>
      </c>
      <c r="T3253" s="48">
        <v>0</v>
      </c>
      <c r="U3253" s="48">
        <v>0</v>
      </c>
      <c r="V3253" s="48">
        <v>0</v>
      </c>
      <c r="W3253" s="48">
        <v>0</v>
      </c>
      <c r="X3253" s="48">
        <v>0</v>
      </c>
      <c r="Y3253" s="48">
        <v>0</v>
      </c>
      <c r="Z3253" s="48">
        <v>0</v>
      </c>
      <c r="AA3253" s="48">
        <v>0</v>
      </c>
      <c r="AB3253" s="48">
        <v>0</v>
      </c>
      <c r="AC3253" s="48">
        <v>0</v>
      </c>
      <c r="AD3253" s="48">
        <v>0</v>
      </c>
      <c r="AE3253" s="88" t="s">
        <v>92</v>
      </c>
      <c r="AF3253" s="88" t="s">
        <v>18517</v>
      </c>
      <c r="AG3253" s="88" t="s">
        <v>17370</v>
      </c>
      <c r="AH3253" s="72">
        <v>44229</v>
      </c>
      <c r="AI3253" s="48">
        <v>0</v>
      </c>
      <c r="AJ3253" s="88" t="s">
        <v>18518</v>
      </c>
      <c r="AK3253" s="88" t="s">
        <v>712</v>
      </c>
      <c r="AL3253" s="88"/>
      <c r="AM3253" s="88">
        <v>44608</v>
      </c>
      <c r="AN3253" s="89">
        <v>44670</v>
      </c>
      <c r="AO3253" s="89">
        <v>44622</v>
      </c>
      <c r="AP3253" s="159" t="s">
        <v>18449</v>
      </c>
      <c r="AQ3253" s="88">
        <f>DATE(2021,2,5)</f>
        <v>44232</v>
      </c>
      <c r="AR3253" s="45">
        <f t="shared" ref="AR3253:AR3266" si="299">DAY(AQ3253)</f>
        <v>5</v>
      </c>
      <c r="AS3253" s="45">
        <f t="shared" ref="AS3253:AS3266" si="300">MONTH(AQ3253)</f>
        <v>2</v>
      </c>
      <c r="AT3253" s="45">
        <f t="shared" ref="AT3253:AT3266" si="301">YEAR(AQ3253)</f>
        <v>2021</v>
      </c>
      <c r="AU3253" s="45"/>
      <c r="AV3253" s="45"/>
      <c r="AW3253" s="45"/>
      <c r="AX3253" s="45"/>
      <c r="AY3253" s="45"/>
      <c r="AZ3253" s="45"/>
      <c r="BA3253" s="45"/>
      <c r="BB3253" s="45"/>
    </row>
    <row r="3254" spans="1:54" ht="36.75" customHeight="1">
      <c r="A3254" s="46"/>
      <c r="B3254" s="48" t="s">
        <v>55</v>
      </c>
      <c r="C3254" s="69" t="s">
        <v>18034</v>
      </c>
      <c r="D3254" s="36" t="s">
        <v>18519</v>
      </c>
      <c r="E3254" s="38" t="s">
        <v>18520</v>
      </c>
      <c r="F3254" s="48" t="s">
        <v>17578</v>
      </c>
      <c r="G3254" s="88">
        <f>DATE(2021,2,1)</f>
        <v>44228</v>
      </c>
      <c r="H3254" s="103">
        <v>0.5</v>
      </c>
      <c r="I3254" s="48" t="s">
        <v>73</v>
      </c>
      <c r="J3254" s="88" t="s">
        <v>18521</v>
      </c>
      <c r="K3254" s="48" t="s">
        <v>837</v>
      </c>
      <c r="L3254" s="45" t="s">
        <v>18522</v>
      </c>
      <c r="M3254" s="48" t="s">
        <v>63</v>
      </c>
      <c r="N3254" s="48" t="s">
        <v>142</v>
      </c>
      <c r="O3254" s="48" t="s">
        <v>77</v>
      </c>
      <c r="P3254" s="88" t="s">
        <v>65</v>
      </c>
      <c r="Q3254" s="88" t="s">
        <v>2162</v>
      </c>
      <c r="R3254" s="88" t="s">
        <v>840</v>
      </c>
      <c r="S3254" s="48">
        <v>0</v>
      </c>
      <c r="T3254" s="48">
        <v>0</v>
      </c>
      <c r="U3254" s="48">
        <v>0</v>
      </c>
      <c r="V3254" s="48">
        <v>0</v>
      </c>
      <c r="W3254" s="48">
        <v>0</v>
      </c>
      <c r="X3254" s="48">
        <v>0</v>
      </c>
      <c r="Y3254" s="48">
        <v>0</v>
      </c>
      <c r="Z3254" s="48">
        <v>0</v>
      </c>
      <c r="AA3254" s="48">
        <v>0</v>
      </c>
      <c r="AB3254" s="48">
        <v>0</v>
      </c>
      <c r="AC3254" s="48">
        <v>0</v>
      </c>
      <c r="AD3254" s="48">
        <v>0</v>
      </c>
      <c r="AE3254" s="88" t="s">
        <v>394</v>
      </c>
      <c r="AF3254" s="88" t="s">
        <v>18523</v>
      </c>
      <c r="AG3254" s="88" t="s">
        <v>14033</v>
      </c>
      <c r="AH3254" s="72">
        <f>DATE(2021,2,1)</f>
        <v>44228</v>
      </c>
      <c r="AI3254" s="48">
        <v>0</v>
      </c>
      <c r="AJ3254" s="88" t="s">
        <v>18524</v>
      </c>
      <c r="AK3254" s="88" t="s">
        <v>18525</v>
      </c>
      <c r="AL3254" s="88">
        <f>DATE(2021,2,1)</f>
        <v>44228</v>
      </c>
      <c r="AM3254" s="88"/>
      <c r="AN3254" s="89">
        <v>45012</v>
      </c>
      <c r="AO3254" s="89">
        <v>44908</v>
      </c>
      <c r="AP3254" s="159" t="s">
        <v>18433</v>
      </c>
      <c r="AQ3254" s="88">
        <f>DATE(2021,2,9)</f>
        <v>44236</v>
      </c>
      <c r="AR3254" s="45">
        <f t="shared" si="299"/>
        <v>9</v>
      </c>
      <c r="AS3254" s="45">
        <f t="shared" si="300"/>
        <v>2</v>
      </c>
      <c r="AT3254" s="45">
        <f t="shared" si="301"/>
        <v>2021</v>
      </c>
      <c r="AU3254" s="45"/>
      <c r="AV3254" s="45"/>
      <c r="AW3254" s="45"/>
      <c r="AX3254" s="45"/>
      <c r="AY3254" s="45"/>
      <c r="AZ3254" s="45"/>
      <c r="BA3254" s="45"/>
      <c r="BB3254" s="45"/>
    </row>
    <row r="3255" spans="1:54" ht="36.75" customHeight="1" thickBot="1">
      <c r="A3255" s="48" t="s">
        <v>12471</v>
      </c>
      <c r="B3255" s="48" t="s">
        <v>55</v>
      </c>
      <c r="C3255" s="69" t="str">
        <f t="shared" ref="C3255:C3262" si="302">IF(B3255="Notification","Open",IF(B3255="Interim Statement","In progress","Closed"))</f>
        <v>Closed</v>
      </c>
      <c r="D3255" s="36" t="s">
        <v>18526</v>
      </c>
      <c r="E3255" s="44" t="s">
        <v>18527</v>
      </c>
      <c r="F3255" s="48" t="s">
        <v>18070</v>
      </c>
      <c r="G3255" s="88">
        <f>DATE(2021,2,1)</f>
        <v>44228</v>
      </c>
      <c r="H3255" s="90">
        <v>1.223611111111111</v>
      </c>
      <c r="I3255" s="48" t="s">
        <v>2264</v>
      </c>
      <c r="J3255" s="88" t="s">
        <v>18528</v>
      </c>
      <c r="K3255" s="48" t="s">
        <v>140</v>
      </c>
      <c r="L3255" s="86" t="s">
        <v>18529</v>
      </c>
      <c r="M3255" s="48" t="s">
        <v>63</v>
      </c>
      <c r="N3255" s="48" t="s">
        <v>99</v>
      </c>
      <c r="O3255" s="48" t="s">
        <v>64</v>
      </c>
      <c r="P3255" s="48" t="s">
        <v>165</v>
      </c>
      <c r="Q3255" s="46" t="s">
        <v>2267</v>
      </c>
      <c r="R3255" s="48" t="s">
        <v>18530</v>
      </c>
      <c r="S3255" s="48">
        <v>0</v>
      </c>
      <c r="T3255" s="48">
        <v>0</v>
      </c>
      <c r="U3255" s="48">
        <v>0</v>
      </c>
      <c r="V3255" s="48">
        <v>0</v>
      </c>
      <c r="W3255" s="48">
        <v>0</v>
      </c>
      <c r="X3255" s="48">
        <v>0</v>
      </c>
      <c r="Y3255" s="48">
        <v>0</v>
      </c>
      <c r="Z3255" s="48">
        <v>0</v>
      </c>
      <c r="AA3255" s="48">
        <v>0</v>
      </c>
      <c r="AB3255" s="48">
        <v>0</v>
      </c>
      <c r="AC3255" s="48">
        <v>0</v>
      </c>
      <c r="AD3255" s="48">
        <v>0</v>
      </c>
      <c r="AE3255" s="88" t="s">
        <v>92</v>
      </c>
      <c r="AF3255" s="88" t="s">
        <v>17241</v>
      </c>
      <c r="AG3255" s="88" t="s">
        <v>14033</v>
      </c>
      <c r="AH3255" s="72">
        <v>44230</v>
      </c>
      <c r="AI3255" s="48">
        <v>2</v>
      </c>
      <c r="AJ3255" s="172" t="s">
        <v>18531</v>
      </c>
      <c r="AK3255" s="173"/>
      <c r="AL3255" s="164"/>
      <c r="AM3255" s="88">
        <v>44607</v>
      </c>
      <c r="AN3255" s="72">
        <v>44729</v>
      </c>
      <c r="AO3255" s="72">
        <v>44722</v>
      </c>
      <c r="AP3255" s="159" t="s">
        <v>18496</v>
      </c>
      <c r="AQ3255" s="88">
        <f>DATE(2021,2,11)</f>
        <v>44238</v>
      </c>
      <c r="AR3255" s="45">
        <f t="shared" si="299"/>
        <v>11</v>
      </c>
      <c r="AS3255" s="45">
        <f t="shared" si="300"/>
        <v>2</v>
      </c>
      <c r="AT3255" s="45">
        <f t="shared" si="301"/>
        <v>2021</v>
      </c>
      <c r="AU3255" s="45"/>
      <c r="AV3255" s="45"/>
      <c r="AW3255" s="45"/>
      <c r="AX3255" s="45"/>
      <c r="AY3255" s="45"/>
      <c r="AZ3255" s="45"/>
      <c r="BA3255" s="45"/>
      <c r="BB3255" s="45"/>
    </row>
    <row r="3256" spans="1:54" ht="36.75" customHeight="1">
      <c r="A3256" s="48" t="s">
        <v>12471</v>
      </c>
      <c r="B3256" s="48" t="s">
        <v>55</v>
      </c>
      <c r="C3256" s="69" t="str">
        <f t="shared" si="302"/>
        <v>Closed</v>
      </c>
      <c r="D3256" s="36" t="s">
        <v>18532</v>
      </c>
      <c r="E3256" s="38" t="s">
        <v>18533</v>
      </c>
      <c r="F3256" s="48" t="s">
        <v>17682</v>
      </c>
      <c r="G3256" s="88">
        <f>DATE(2021,2,4)</f>
        <v>44231</v>
      </c>
      <c r="H3256" s="90">
        <v>1.4791666666666667</v>
      </c>
      <c r="I3256" s="48" t="s">
        <v>125</v>
      </c>
      <c r="J3256" s="88" t="s">
        <v>18534</v>
      </c>
      <c r="K3256" s="48" t="s">
        <v>1574</v>
      </c>
      <c r="L3256" s="45" t="s">
        <v>18535</v>
      </c>
      <c r="M3256" s="48" t="s">
        <v>63</v>
      </c>
      <c r="N3256" s="48" t="s">
        <v>99</v>
      </c>
      <c r="O3256" s="48" t="s">
        <v>64</v>
      </c>
      <c r="P3256" s="88" t="s">
        <v>78</v>
      </c>
      <c r="Q3256" s="88" t="s">
        <v>18205</v>
      </c>
      <c r="R3256" s="88" t="s">
        <v>18064</v>
      </c>
      <c r="S3256" s="48">
        <v>0</v>
      </c>
      <c r="T3256" s="48">
        <v>0</v>
      </c>
      <c r="U3256" s="48">
        <v>0</v>
      </c>
      <c r="V3256" s="48">
        <v>0</v>
      </c>
      <c r="W3256" s="48">
        <v>0</v>
      </c>
      <c r="X3256" s="48">
        <v>0</v>
      </c>
      <c r="Y3256" s="48">
        <v>0</v>
      </c>
      <c r="Z3256" s="48">
        <v>0</v>
      </c>
      <c r="AA3256" s="48">
        <v>0</v>
      </c>
      <c r="AB3256" s="48">
        <v>0</v>
      </c>
      <c r="AC3256" s="48">
        <v>0</v>
      </c>
      <c r="AD3256" s="48">
        <v>0</v>
      </c>
      <c r="AE3256" s="88" t="s">
        <v>394</v>
      </c>
      <c r="AF3256" s="88" t="s">
        <v>18536</v>
      </c>
      <c r="AG3256" s="88" t="s">
        <v>8859</v>
      </c>
      <c r="AH3256" s="72">
        <v>44232</v>
      </c>
      <c r="AI3256" s="48">
        <v>3</v>
      </c>
      <c r="AJ3256" s="88" t="s">
        <v>18537</v>
      </c>
      <c r="AK3256" s="88" t="s">
        <v>18538</v>
      </c>
      <c r="AL3256" s="164"/>
      <c r="AM3256" s="164"/>
      <c r="AN3256" s="164">
        <v>44602</v>
      </c>
      <c r="AO3256" s="164">
        <v>44595</v>
      </c>
      <c r="AP3256" s="159" t="s">
        <v>18488</v>
      </c>
      <c r="AQ3256" s="88">
        <f>DATE(2021,2,11)</f>
        <v>44238</v>
      </c>
      <c r="AR3256" s="45">
        <f t="shared" si="299"/>
        <v>11</v>
      </c>
      <c r="AS3256" s="45">
        <f t="shared" si="300"/>
        <v>2</v>
      </c>
      <c r="AT3256" s="45">
        <f t="shared" si="301"/>
        <v>2021</v>
      </c>
      <c r="AU3256" s="45"/>
      <c r="AV3256" s="45"/>
      <c r="AW3256" s="45"/>
      <c r="AX3256" s="45"/>
      <c r="AY3256" s="45"/>
      <c r="AZ3256" s="45"/>
      <c r="BA3256" s="45"/>
      <c r="BB3256" s="45"/>
    </row>
    <row r="3257" spans="1:54" ht="36.75" customHeight="1">
      <c r="A3257" s="35" t="s">
        <v>12471</v>
      </c>
      <c r="B3257" s="48" t="s">
        <v>55</v>
      </c>
      <c r="C3257" s="69" t="str">
        <f t="shared" si="302"/>
        <v>Closed</v>
      </c>
      <c r="D3257" s="36" t="s">
        <v>18539</v>
      </c>
      <c r="E3257" s="38" t="s">
        <v>18540</v>
      </c>
      <c r="F3257" s="48" t="s">
        <v>16429</v>
      </c>
      <c r="G3257" s="88">
        <f>DATE(2021,2,5)</f>
        <v>44232</v>
      </c>
      <c r="H3257" s="174">
        <v>6.31944444444444E-2</v>
      </c>
      <c r="I3257" s="48" t="s">
        <v>198</v>
      </c>
      <c r="J3257" s="88" t="s">
        <v>18541</v>
      </c>
      <c r="K3257" s="48" t="s">
        <v>425</v>
      </c>
      <c r="L3257" s="46" t="s">
        <v>18542</v>
      </c>
      <c r="M3257" s="48" t="s">
        <v>63</v>
      </c>
      <c r="N3257" s="48" t="s">
        <v>142</v>
      </c>
      <c r="O3257" s="48" t="s">
        <v>64</v>
      </c>
      <c r="P3257" s="88" t="s">
        <v>18543</v>
      </c>
      <c r="Q3257" s="88" t="s">
        <v>18544</v>
      </c>
      <c r="R3257" s="88" t="s">
        <v>17369</v>
      </c>
      <c r="S3257" s="48">
        <v>0</v>
      </c>
      <c r="T3257" s="48">
        <v>0</v>
      </c>
      <c r="U3257" s="48">
        <v>0</v>
      </c>
      <c r="V3257" s="48">
        <v>0</v>
      </c>
      <c r="W3257" s="48">
        <v>0</v>
      </c>
      <c r="X3257" s="48">
        <v>0</v>
      </c>
      <c r="Y3257" s="48">
        <v>0</v>
      </c>
      <c r="Z3257" s="48">
        <v>0</v>
      </c>
      <c r="AA3257" s="48">
        <v>0</v>
      </c>
      <c r="AB3257" s="48">
        <v>0</v>
      </c>
      <c r="AC3257" s="48">
        <v>0</v>
      </c>
      <c r="AD3257" s="48">
        <v>0</v>
      </c>
      <c r="AE3257" s="88" t="s">
        <v>16435</v>
      </c>
      <c r="AF3257" s="88" t="s">
        <v>18545</v>
      </c>
      <c r="AG3257" s="88" t="s">
        <v>16283</v>
      </c>
      <c r="AH3257" s="72">
        <v>44232</v>
      </c>
      <c r="AI3257" s="48">
        <v>0</v>
      </c>
      <c r="AJ3257" s="88" t="s">
        <v>18546</v>
      </c>
      <c r="AK3257" s="88" t="s">
        <v>879</v>
      </c>
      <c r="AL3257" s="133"/>
      <c r="AM3257" s="164"/>
      <c r="AN3257" s="133">
        <v>44540</v>
      </c>
      <c r="AO3257" s="133">
        <v>44537</v>
      </c>
      <c r="AP3257" s="159" t="s">
        <v>17593</v>
      </c>
      <c r="AQ3257" s="88">
        <f>DATE(2021,2,14)</f>
        <v>44241</v>
      </c>
      <c r="AR3257" s="45">
        <f t="shared" si="299"/>
        <v>14</v>
      </c>
      <c r="AS3257" s="45">
        <f t="shared" si="300"/>
        <v>2</v>
      </c>
      <c r="AT3257" s="45">
        <f t="shared" si="301"/>
        <v>2021</v>
      </c>
      <c r="AU3257" s="88"/>
      <c r="AV3257" s="88"/>
      <c r="AW3257" s="88"/>
      <c r="AX3257" s="88"/>
      <c r="AY3257" s="88"/>
      <c r="AZ3257" s="88"/>
      <c r="BA3257" s="88"/>
      <c r="BB3257" s="88"/>
    </row>
    <row r="3258" spans="1:54" ht="36.75" customHeight="1" thickBot="1">
      <c r="A3258" s="46" t="s">
        <v>12471</v>
      </c>
      <c r="B3258" s="46" t="s">
        <v>55</v>
      </c>
      <c r="C3258" s="69" t="str">
        <f t="shared" si="302"/>
        <v>Closed</v>
      </c>
      <c r="D3258" s="36" t="s">
        <v>18547</v>
      </c>
      <c r="E3258" s="38" t="s">
        <v>18548</v>
      </c>
      <c r="F3258" s="46" t="s">
        <v>17820</v>
      </c>
      <c r="G3258" s="88">
        <f>DATE(2021,2,5)</f>
        <v>44232</v>
      </c>
      <c r="H3258" s="103">
        <v>0.3298611111111111</v>
      </c>
      <c r="I3258" s="46" t="s">
        <v>6775</v>
      </c>
      <c r="J3258" s="46" t="s">
        <v>18549</v>
      </c>
      <c r="K3258" s="46" t="s">
        <v>640</v>
      </c>
      <c r="L3258" s="46" t="s">
        <v>18550</v>
      </c>
      <c r="M3258" s="46" t="s">
        <v>63</v>
      </c>
      <c r="N3258" s="46" t="s">
        <v>99</v>
      </c>
      <c r="O3258" s="46" t="s">
        <v>77</v>
      </c>
      <c r="P3258" s="46" t="s">
        <v>6902</v>
      </c>
      <c r="Q3258" s="46" t="s">
        <v>18509</v>
      </c>
      <c r="R3258" s="46" t="s">
        <v>2016</v>
      </c>
      <c r="S3258" s="46">
        <v>0</v>
      </c>
      <c r="T3258" s="46">
        <v>0</v>
      </c>
      <c r="U3258" s="46">
        <v>0</v>
      </c>
      <c r="V3258" s="46">
        <v>0</v>
      </c>
      <c r="W3258" s="46">
        <v>0</v>
      </c>
      <c r="X3258" s="46">
        <v>0</v>
      </c>
      <c r="Y3258" s="46">
        <v>0</v>
      </c>
      <c r="Z3258" s="46">
        <v>0</v>
      </c>
      <c r="AA3258" s="46">
        <v>0</v>
      </c>
      <c r="AB3258" s="46">
        <v>0</v>
      </c>
      <c r="AC3258" s="46">
        <v>0</v>
      </c>
      <c r="AD3258" s="46">
        <v>0</v>
      </c>
      <c r="AE3258" s="46" t="s">
        <v>92</v>
      </c>
      <c r="AF3258" s="46" t="s">
        <v>17538</v>
      </c>
      <c r="AG3258" s="46" t="s">
        <v>8859</v>
      </c>
      <c r="AH3258" s="72">
        <v>44399</v>
      </c>
      <c r="AI3258" s="46">
        <v>5</v>
      </c>
      <c r="AJ3258" s="172" t="s">
        <v>18551</v>
      </c>
      <c r="AK3258" s="175" t="s">
        <v>18552</v>
      </c>
      <c r="AL3258" s="168">
        <v>44708</v>
      </c>
      <c r="AM3258" s="46"/>
      <c r="AN3258" s="137">
        <v>44708</v>
      </c>
      <c r="AO3258" s="137">
        <v>44680</v>
      </c>
      <c r="AP3258" s="159" t="s">
        <v>18496</v>
      </c>
      <c r="AQ3258" s="88">
        <f>DATE(2021,2,16)</f>
        <v>44243</v>
      </c>
      <c r="AR3258" s="45">
        <f t="shared" si="299"/>
        <v>16</v>
      </c>
      <c r="AS3258" s="45">
        <f t="shared" si="300"/>
        <v>2</v>
      </c>
      <c r="AT3258" s="45">
        <f t="shared" si="301"/>
        <v>2021</v>
      </c>
      <c r="AU3258" s="45"/>
      <c r="AV3258" s="45" t="s">
        <v>18553</v>
      </c>
      <c r="AW3258" s="45"/>
      <c r="AX3258" s="45"/>
      <c r="AY3258" s="45"/>
      <c r="AZ3258" s="45"/>
      <c r="BA3258" s="45"/>
      <c r="BB3258" s="45"/>
    </row>
    <row r="3259" spans="1:54" ht="36.75" customHeight="1">
      <c r="A3259" s="48" t="s">
        <v>12471</v>
      </c>
      <c r="B3259" s="48" t="s">
        <v>55</v>
      </c>
      <c r="C3259" s="69" t="str">
        <f t="shared" si="302"/>
        <v>Closed</v>
      </c>
      <c r="D3259" s="36" t="s">
        <v>18554</v>
      </c>
      <c r="E3259" s="52" t="s">
        <v>18555</v>
      </c>
      <c r="F3259" s="48" t="s">
        <v>17057</v>
      </c>
      <c r="G3259" s="88">
        <f>DATE(2021,2,5)</f>
        <v>44232</v>
      </c>
      <c r="H3259" s="80">
        <v>1.3993055555555556</v>
      </c>
      <c r="I3259" s="48" t="s">
        <v>6775</v>
      </c>
      <c r="J3259" s="88" t="s">
        <v>18556</v>
      </c>
      <c r="K3259" s="48" t="s">
        <v>2338</v>
      </c>
      <c r="L3259" s="48" t="s">
        <v>18557</v>
      </c>
      <c r="M3259" s="48" t="s">
        <v>63</v>
      </c>
      <c r="N3259" s="48" t="s">
        <v>142</v>
      </c>
      <c r="O3259" s="48" t="s">
        <v>77</v>
      </c>
      <c r="P3259" s="88" t="s">
        <v>78</v>
      </c>
      <c r="Q3259" s="88" t="s">
        <v>2975</v>
      </c>
      <c r="R3259" s="88" t="s">
        <v>2341</v>
      </c>
      <c r="S3259" s="48">
        <v>0</v>
      </c>
      <c r="T3259" s="48">
        <v>0</v>
      </c>
      <c r="U3259" s="48">
        <v>0</v>
      </c>
      <c r="V3259" s="48">
        <v>0</v>
      </c>
      <c r="W3259" s="48">
        <v>0</v>
      </c>
      <c r="X3259" s="48">
        <v>0</v>
      </c>
      <c r="Y3259" s="48">
        <v>0</v>
      </c>
      <c r="Z3259" s="48">
        <v>0</v>
      </c>
      <c r="AA3259" s="48">
        <v>0</v>
      </c>
      <c r="AB3259" s="48">
        <v>0</v>
      </c>
      <c r="AC3259" s="48">
        <v>0</v>
      </c>
      <c r="AD3259" s="48">
        <v>0</v>
      </c>
      <c r="AE3259" s="88" t="s">
        <v>92</v>
      </c>
      <c r="AF3259" s="88" t="s">
        <v>18558</v>
      </c>
      <c r="AG3259" s="88" t="s">
        <v>13537</v>
      </c>
      <c r="AH3259" s="72">
        <v>44246</v>
      </c>
      <c r="AI3259" s="48">
        <v>3</v>
      </c>
      <c r="AJ3259" s="88" t="s">
        <v>18559</v>
      </c>
      <c r="AK3259" s="88" t="s">
        <v>18560</v>
      </c>
      <c r="AL3259" s="164"/>
      <c r="AM3259" s="164"/>
      <c r="AN3259" s="88">
        <v>44810</v>
      </c>
      <c r="AO3259" s="88">
        <v>44763</v>
      </c>
      <c r="AP3259" s="159" t="s">
        <v>18449</v>
      </c>
      <c r="AQ3259" s="88">
        <f>DATE(2021,2,26)</f>
        <v>44253</v>
      </c>
      <c r="AR3259" s="45">
        <f t="shared" si="299"/>
        <v>26</v>
      </c>
      <c r="AS3259" s="45">
        <f t="shared" si="300"/>
        <v>2</v>
      </c>
      <c r="AT3259" s="45">
        <f t="shared" si="301"/>
        <v>2021</v>
      </c>
      <c r="AU3259" s="88"/>
      <c r="AV3259" s="88"/>
      <c r="AW3259" s="88"/>
      <c r="AX3259" s="88"/>
      <c r="AY3259" s="88"/>
      <c r="AZ3259" s="88"/>
      <c r="BA3259" s="88"/>
      <c r="BB3259" s="88"/>
    </row>
    <row r="3260" spans="1:54" ht="36.75" customHeight="1">
      <c r="A3260" s="48" t="s">
        <v>12471</v>
      </c>
      <c r="B3260" s="48" t="s">
        <v>55</v>
      </c>
      <c r="C3260" s="69" t="str">
        <f t="shared" si="302"/>
        <v>Closed</v>
      </c>
      <c r="D3260" s="36" t="s">
        <v>18561</v>
      </c>
      <c r="E3260" s="50" t="s">
        <v>18562</v>
      </c>
      <c r="F3260" s="48" t="s">
        <v>17344</v>
      </c>
      <c r="G3260" s="88">
        <f>DATE(2021,2,9)</f>
        <v>44236</v>
      </c>
      <c r="H3260" s="90">
        <v>1.4479166666666667</v>
      </c>
      <c r="I3260" s="48" t="s">
        <v>198</v>
      </c>
      <c r="J3260" s="88" t="s">
        <v>18563</v>
      </c>
      <c r="K3260" s="48" t="s">
        <v>127</v>
      </c>
      <c r="L3260" s="48" t="s">
        <v>18564</v>
      </c>
      <c r="M3260" s="48" t="s">
        <v>63</v>
      </c>
      <c r="N3260" s="48" t="s">
        <v>99</v>
      </c>
      <c r="O3260" s="48" t="s">
        <v>64</v>
      </c>
      <c r="P3260" s="88" t="s">
        <v>301</v>
      </c>
      <c r="Q3260" s="88" t="s">
        <v>167</v>
      </c>
      <c r="R3260" s="88" t="s">
        <v>167</v>
      </c>
      <c r="S3260" s="48">
        <v>0</v>
      </c>
      <c r="T3260" s="48">
        <v>0</v>
      </c>
      <c r="U3260" s="48">
        <v>0</v>
      </c>
      <c r="V3260" s="48">
        <v>0</v>
      </c>
      <c r="W3260" s="48">
        <v>0</v>
      </c>
      <c r="X3260" s="48">
        <v>0</v>
      </c>
      <c r="Y3260" s="48">
        <v>0</v>
      </c>
      <c r="Z3260" s="48">
        <v>0</v>
      </c>
      <c r="AA3260" s="48">
        <v>0</v>
      </c>
      <c r="AB3260" s="48">
        <v>0</v>
      </c>
      <c r="AC3260" s="48">
        <v>0</v>
      </c>
      <c r="AD3260" s="48">
        <v>0</v>
      </c>
      <c r="AE3260" s="88" t="s">
        <v>394</v>
      </c>
      <c r="AF3260" s="88" t="s">
        <v>18565</v>
      </c>
      <c r="AG3260" s="88" t="s">
        <v>13537</v>
      </c>
      <c r="AH3260" s="72">
        <v>44252</v>
      </c>
      <c r="AI3260" s="48">
        <v>2</v>
      </c>
      <c r="AJ3260" s="88" t="s">
        <v>18566</v>
      </c>
      <c r="AK3260" s="88" t="s">
        <v>18567</v>
      </c>
      <c r="AL3260" s="164"/>
      <c r="AM3260" s="164"/>
      <c r="AN3260" s="89">
        <v>44676</v>
      </c>
      <c r="AO3260" s="89">
        <v>44592</v>
      </c>
      <c r="AP3260" s="159" t="s">
        <v>18463</v>
      </c>
      <c r="AQ3260" s="88">
        <f>DATE(2021,2,27)</f>
        <v>44254</v>
      </c>
      <c r="AR3260" s="45">
        <f t="shared" si="299"/>
        <v>27</v>
      </c>
      <c r="AS3260" s="45">
        <f t="shared" si="300"/>
        <v>2</v>
      </c>
      <c r="AT3260" s="45">
        <f t="shared" si="301"/>
        <v>2021</v>
      </c>
      <c r="AU3260" s="45"/>
      <c r="AV3260" s="45"/>
      <c r="AW3260" s="45"/>
      <c r="AX3260" s="45"/>
      <c r="AY3260" s="45"/>
      <c r="AZ3260" s="45"/>
      <c r="BA3260" s="45"/>
      <c r="BB3260" s="45"/>
    </row>
    <row r="3261" spans="1:54" ht="36.75" customHeight="1">
      <c r="A3261" s="48" t="s">
        <v>12471</v>
      </c>
      <c r="B3261" s="48" t="s">
        <v>55</v>
      </c>
      <c r="C3261" s="69" t="str">
        <f t="shared" si="302"/>
        <v>Closed</v>
      </c>
      <c r="D3261" s="36" t="s">
        <v>18568</v>
      </c>
      <c r="E3261" s="51" t="s">
        <v>18569</v>
      </c>
      <c r="F3261" s="48" t="s">
        <v>17682</v>
      </c>
      <c r="G3261" s="88">
        <f>DATE(2021,2,11)</f>
        <v>44238</v>
      </c>
      <c r="H3261" s="90">
        <v>2.4305555555555556E-2</v>
      </c>
      <c r="I3261" s="48" t="s">
        <v>73</v>
      </c>
      <c r="J3261" s="88" t="s">
        <v>18570</v>
      </c>
      <c r="K3261" s="48" t="s">
        <v>1574</v>
      </c>
      <c r="L3261" s="176" t="s">
        <v>13720</v>
      </c>
      <c r="M3261" s="48" t="s">
        <v>63</v>
      </c>
      <c r="N3261" s="48" t="s">
        <v>99</v>
      </c>
      <c r="O3261" s="48" t="s">
        <v>77</v>
      </c>
      <c r="P3261" s="88" t="s">
        <v>78</v>
      </c>
      <c r="Q3261" s="88" t="s">
        <v>18571</v>
      </c>
      <c r="R3261" s="88" t="s">
        <v>18064</v>
      </c>
      <c r="S3261" s="48">
        <v>0</v>
      </c>
      <c r="T3261" s="48">
        <v>0</v>
      </c>
      <c r="U3261" s="48">
        <v>0</v>
      </c>
      <c r="V3261" s="48">
        <v>0</v>
      </c>
      <c r="W3261" s="48">
        <v>0</v>
      </c>
      <c r="X3261" s="48">
        <v>0</v>
      </c>
      <c r="Y3261" s="48">
        <v>0</v>
      </c>
      <c r="Z3261" s="48">
        <v>0</v>
      </c>
      <c r="AA3261" s="48">
        <v>0</v>
      </c>
      <c r="AB3261" s="48">
        <v>0</v>
      </c>
      <c r="AC3261" s="48">
        <v>0</v>
      </c>
      <c r="AD3261" s="48">
        <v>0</v>
      </c>
      <c r="AE3261" s="88" t="s">
        <v>92</v>
      </c>
      <c r="AF3261" s="88" t="s">
        <v>18572</v>
      </c>
      <c r="AG3261" s="88" t="s">
        <v>8859</v>
      </c>
      <c r="AH3261" s="72">
        <v>44238</v>
      </c>
      <c r="AI3261" s="48">
        <v>0</v>
      </c>
      <c r="AJ3261" s="167" t="s">
        <v>18573</v>
      </c>
      <c r="AK3261" s="167" t="s">
        <v>18574</v>
      </c>
      <c r="AL3261" s="164"/>
      <c r="AM3261" s="164"/>
      <c r="AN3261" s="89">
        <v>44559</v>
      </c>
      <c r="AO3261" s="89">
        <v>44551</v>
      </c>
      <c r="AP3261" s="159" t="s">
        <v>17841</v>
      </c>
      <c r="AQ3261" s="88">
        <f>DATE(2021,3,3)</f>
        <v>44258</v>
      </c>
      <c r="AR3261" s="45">
        <f t="shared" si="299"/>
        <v>3</v>
      </c>
      <c r="AS3261" s="45">
        <f t="shared" si="300"/>
        <v>3</v>
      </c>
      <c r="AT3261" s="45">
        <f t="shared" si="301"/>
        <v>2021</v>
      </c>
      <c r="AU3261" s="45"/>
      <c r="AV3261" s="45"/>
      <c r="AW3261" s="45"/>
      <c r="AX3261" s="45"/>
      <c r="AY3261" s="45"/>
      <c r="AZ3261" s="45"/>
      <c r="BA3261" s="45"/>
      <c r="BB3261" s="45"/>
    </row>
    <row r="3262" spans="1:54" ht="36.75" customHeight="1">
      <c r="A3262" s="48" t="s">
        <v>12471</v>
      </c>
      <c r="B3262" s="48" t="s">
        <v>55</v>
      </c>
      <c r="C3262" s="69" t="str">
        <f t="shared" si="302"/>
        <v>Closed</v>
      </c>
      <c r="D3262" s="36" t="s">
        <v>18575</v>
      </c>
      <c r="E3262" s="38" t="s">
        <v>18576</v>
      </c>
      <c r="F3262" s="48" t="s">
        <v>18070</v>
      </c>
      <c r="G3262" s="88">
        <f>DATE(2021,2,11)</f>
        <v>44238</v>
      </c>
      <c r="H3262" s="90">
        <v>1.1006944444444444</v>
      </c>
      <c r="I3262" s="48" t="s">
        <v>73</v>
      </c>
      <c r="J3262" s="88" t="s">
        <v>18577</v>
      </c>
      <c r="K3262" s="48" t="s">
        <v>140</v>
      </c>
      <c r="L3262" s="48" t="s">
        <v>18578</v>
      </c>
      <c r="M3262" s="48" t="s">
        <v>63</v>
      </c>
      <c r="N3262" s="48" t="s">
        <v>89</v>
      </c>
      <c r="O3262" s="48" t="s">
        <v>64</v>
      </c>
      <c r="P3262" s="88" t="s">
        <v>78</v>
      </c>
      <c r="Q3262" s="88" t="s">
        <v>18579</v>
      </c>
      <c r="R3262" s="88" t="s">
        <v>18530</v>
      </c>
      <c r="S3262" s="48">
        <v>0</v>
      </c>
      <c r="T3262" s="48">
        <v>0</v>
      </c>
      <c r="U3262" s="48">
        <v>0</v>
      </c>
      <c r="V3262" s="48">
        <v>0</v>
      </c>
      <c r="W3262" s="48">
        <v>0</v>
      </c>
      <c r="X3262" s="48">
        <v>0</v>
      </c>
      <c r="Y3262" s="48">
        <v>0</v>
      </c>
      <c r="Z3262" s="48">
        <v>0</v>
      </c>
      <c r="AA3262" s="48">
        <v>0</v>
      </c>
      <c r="AB3262" s="48">
        <v>0</v>
      </c>
      <c r="AC3262" s="48">
        <v>0</v>
      </c>
      <c r="AD3262" s="48">
        <v>0</v>
      </c>
      <c r="AE3262" s="88" t="s">
        <v>145</v>
      </c>
      <c r="AF3262" s="88" t="s">
        <v>18580</v>
      </c>
      <c r="AG3262" s="88" t="s">
        <v>6459</v>
      </c>
      <c r="AH3262" s="72">
        <v>44252</v>
      </c>
      <c r="AI3262" s="48">
        <v>3</v>
      </c>
      <c r="AJ3262" s="88" t="s">
        <v>18581</v>
      </c>
      <c r="AK3262" s="88"/>
      <c r="AL3262" s="164"/>
      <c r="AM3262" s="177">
        <v>44606</v>
      </c>
      <c r="AN3262" s="96">
        <v>44719</v>
      </c>
      <c r="AO3262" s="96">
        <v>44714</v>
      </c>
      <c r="AP3262" s="159" t="s">
        <v>18433</v>
      </c>
      <c r="AQ3262" s="88">
        <f>DATE(2021,3,3)</f>
        <v>44258</v>
      </c>
      <c r="AR3262" s="45">
        <f t="shared" si="299"/>
        <v>3</v>
      </c>
      <c r="AS3262" s="45">
        <f t="shared" si="300"/>
        <v>3</v>
      </c>
      <c r="AT3262" s="45">
        <f t="shared" si="301"/>
        <v>2021</v>
      </c>
      <c r="AU3262" s="88"/>
      <c r="AV3262" s="88"/>
      <c r="AW3262" s="88"/>
      <c r="AX3262" s="88"/>
      <c r="AY3262" s="88"/>
      <c r="AZ3262" s="88"/>
      <c r="BA3262" s="88"/>
      <c r="BB3262" s="88"/>
    </row>
    <row r="3263" spans="1:54" ht="36.75" customHeight="1">
      <c r="A3263" s="46"/>
      <c r="B3263" s="48" t="s">
        <v>55</v>
      </c>
      <c r="C3263" s="69" t="s">
        <v>18034</v>
      </c>
      <c r="D3263" s="36" t="s">
        <v>18582</v>
      </c>
      <c r="E3263" s="38" t="s">
        <v>18583</v>
      </c>
      <c r="F3263" s="46" t="s">
        <v>17578</v>
      </c>
      <c r="G3263" s="88">
        <f>DATE(2021,2,14)</f>
        <v>44241</v>
      </c>
      <c r="H3263" s="103">
        <v>0.19097222222222221</v>
      </c>
      <c r="I3263" s="46" t="s">
        <v>104</v>
      </c>
      <c r="J3263" s="88" t="s">
        <v>18584</v>
      </c>
      <c r="K3263" s="46" t="s">
        <v>837</v>
      </c>
      <c r="L3263" s="46" t="s">
        <v>18585</v>
      </c>
      <c r="M3263" s="46" t="s">
        <v>63</v>
      </c>
      <c r="N3263" s="46" t="s">
        <v>142</v>
      </c>
      <c r="O3263" s="46" t="s">
        <v>77</v>
      </c>
      <c r="P3263" s="88" t="s">
        <v>381</v>
      </c>
      <c r="Q3263" s="88" t="s">
        <v>17604</v>
      </c>
      <c r="R3263" s="88" t="s">
        <v>840</v>
      </c>
      <c r="S3263" s="46">
        <v>0</v>
      </c>
      <c r="T3263" s="46">
        <v>0</v>
      </c>
      <c r="U3263" s="46">
        <v>0</v>
      </c>
      <c r="V3263" s="46">
        <v>0</v>
      </c>
      <c r="W3263" s="46">
        <v>0</v>
      </c>
      <c r="X3263" s="46">
        <v>0</v>
      </c>
      <c r="Y3263" s="46">
        <v>0</v>
      </c>
      <c r="Z3263" s="46">
        <v>0</v>
      </c>
      <c r="AA3263" s="46">
        <v>0</v>
      </c>
      <c r="AB3263" s="46">
        <v>0</v>
      </c>
      <c r="AC3263" s="46">
        <v>0</v>
      </c>
      <c r="AD3263" s="46">
        <v>0</v>
      </c>
      <c r="AE3263" s="88" t="s">
        <v>18039</v>
      </c>
      <c r="AF3263" s="88" t="s">
        <v>18040</v>
      </c>
      <c r="AG3263" s="88" t="s">
        <v>14033</v>
      </c>
      <c r="AH3263" s="72">
        <v>44241</v>
      </c>
      <c r="AI3263" s="46">
        <v>1</v>
      </c>
      <c r="AJ3263" s="88" t="s">
        <v>18586</v>
      </c>
      <c r="AK3263" s="88" t="s">
        <v>18587</v>
      </c>
      <c r="AL3263" s="88">
        <v>44241</v>
      </c>
      <c r="AM3263" s="88"/>
      <c r="AN3263" s="89">
        <v>45012</v>
      </c>
      <c r="AO3263" s="89">
        <v>44628</v>
      </c>
      <c r="AP3263" s="159" t="s">
        <v>18463</v>
      </c>
      <c r="AQ3263" s="88">
        <f>DATE(2021,3,4)</f>
        <v>44259</v>
      </c>
      <c r="AR3263" s="45">
        <f t="shared" si="299"/>
        <v>4</v>
      </c>
      <c r="AS3263" s="45">
        <f t="shared" si="300"/>
        <v>3</v>
      </c>
      <c r="AT3263" s="45">
        <f t="shared" si="301"/>
        <v>2021</v>
      </c>
      <c r="AU3263" s="88"/>
      <c r="AV3263" s="88"/>
      <c r="AW3263" s="88"/>
      <c r="AX3263" s="88"/>
      <c r="AY3263" s="88"/>
      <c r="AZ3263" s="88"/>
      <c r="BA3263" s="88"/>
      <c r="BB3263" s="88"/>
    </row>
    <row r="3264" spans="1:54" ht="36.75" customHeight="1">
      <c r="A3264" s="48" t="s">
        <v>12471</v>
      </c>
      <c r="B3264" s="48" t="s">
        <v>55</v>
      </c>
      <c r="C3264" s="69" t="str">
        <f t="shared" ref="C3264:C3274" si="303">IF(B3264="Notification","Open",IF(B3264="Interim Statement","In progress","Closed"))</f>
        <v>Closed</v>
      </c>
      <c r="D3264" s="36" t="s">
        <v>18588</v>
      </c>
      <c r="E3264" s="38" t="s">
        <v>18589</v>
      </c>
      <c r="F3264" s="48" t="s">
        <v>17682</v>
      </c>
      <c r="G3264" s="88">
        <f>DATE(2021,2,16)</f>
        <v>44243</v>
      </c>
      <c r="H3264" s="171">
        <v>1.8472222222222223</v>
      </c>
      <c r="I3264" s="48" t="s">
        <v>73</v>
      </c>
      <c r="J3264" s="88" t="s">
        <v>18590</v>
      </c>
      <c r="K3264" s="48" t="s">
        <v>1574</v>
      </c>
      <c r="L3264" s="48" t="s">
        <v>18591</v>
      </c>
      <c r="M3264" s="48" t="s">
        <v>63</v>
      </c>
      <c r="N3264" s="48" t="s">
        <v>142</v>
      </c>
      <c r="O3264" s="48" t="s">
        <v>77</v>
      </c>
      <c r="P3264" s="88" t="s">
        <v>78</v>
      </c>
      <c r="Q3264" s="88" t="s">
        <v>18592</v>
      </c>
      <c r="R3264" s="88" t="s">
        <v>18064</v>
      </c>
      <c r="S3264" s="48">
        <v>0</v>
      </c>
      <c r="T3264" s="48">
        <v>0</v>
      </c>
      <c r="U3264" s="48">
        <v>0</v>
      </c>
      <c r="V3264" s="48">
        <v>0</v>
      </c>
      <c r="W3264" s="48">
        <v>0</v>
      </c>
      <c r="X3264" s="48">
        <v>0</v>
      </c>
      <c r="Y3264" s="48">
        <v>0</v>
      </c>
      <c r="Z3264" s="48">
        <v>0</v>
      </c>
      <c r="AA3264" s="48">
        <v>0</v>
      </c>
      <c r="AB3264" s="48">
        <v>0</v>
      </c>
      <c r="AC3264" s="48">
        <v>0</v>
      </c>
      <c r="AD3264" s="48">
        <v>0</v>
      </c>
      <c r="AE3264" s="88" t="s">
        <v>92</v>
      </c>
      <c r="AF3264" s="88" t="s">
        <v>18593</v>
      </c>
      <c r="AG3264" s="88" t="s">
        <v>8859</v>
      </c>
      <c r="AH3264" s="72">
        <v>44244</v>
      </c>
      <c r="AI3264" s="48">
        <v>0</v>
      </c>
      <c r="AJ3264" s="167" t="s">
        <v>18594</v>
      </c>
      <c r="AK3264" s="167" t="s">
        <v>18595</v>
      </c>
      <c r="AL3264" s="164"/>
      <c r="AM3264" s="164"/>
      <c r="AN3264" s="88">
        <v>44595</v>
      </c>
      <c r="AO3264" s="88">
        <v>44588</v>
      </c>
      <c r="AP3264" s="159" t="s">
        <v>17841</v>
      </c>
      <c r="AQ3264" s="88">
        <f>DATE(2021,3,4)</f>
        <v>44259</v>
      </c>
      <c r="AR3264" s="45">
        <f t="shared" si="299"/>
        <v>4</v>
      </c>
      <c r="AS3264" s="45">
        <f t="shared" si="300"/>
        <v>3</v>
      </c>
      <c r="AT3264" s="45">
        <f t="shared" si="301"/>
        <v>2021</v>
      </c>
      <c r="AU3264" s="46"/>
      <c r="AV3264" s="46"/>
      <c r="AW3264" s="46"/>
      <c r="AX3264" s="46"/>
      <c r="AY3264" s="46"/>
      <c r="AZ3264" s="46"/>
      <c r="BA3264" s="46"/>
      <c r="BB3264" s="46"/>
    </row>
    <row r="3265" spans="1:55" ht="36.75" customHeight="1">
      <c r="A3265" s="46" t="s">
        <v>12471</v>
      </c>
      <c r="B3265" s="46" t="s">
        <v>55</v>
      </c>
      <c r="C3265" s="69" t="str">
        <f t="shared" si="303"/>
        <v>Closed</v>
      </c>
      <c r="D3265" s="36" t="s">
        <v>18596</v>
      </c>
      <c r="E3265" s="38" t="s">
        <v>18597</v>
      </c>
      <c r="F3265" s="46" t="s">
        <v>17057</v>
      </c>
      <c r="G3265" s="88">
        <f>DATE(2021,2,26)</f>
        <v>44253</v>
      </c>
      <c r="H3265" s="102">
        <v>1.2291666666666667</v>
      </c>
      <c r="I3265" s="46" t="s">
        <v>198</v>
      </c>
      <c r="J3265" s="88" t="s">
        <v>18598</v>
      </c>
      <c r="K3265" s="46" t="s">
        <v>2338</v>
      </c>
      <c r="L3265" s="46" t="s">
        <v>18599</v>
      </c>
      <c r="M3265" s="46" t="s">
        <v>63</v>
      </c>
      <c r="N3265" s="46" t="s">
        <v>99</v>
      </c>
      <c r="O3265" s="46" t="s">
        <v>64</v>
      </c>
      <c r="P3265" s="88" t="s">
        <v>86</v>
      </c>
      <c r="Q3265" s="88" t="s">
        <v>18600</v>
      </c>
      <c r="R3265" s="88" t="s">
        <v>2341</v>
      </c>
      <c r="S3265" s="46">
        <v>0</v>
      </c>
      <c r="T3265" s="46">
        <v>0</v>
      </c>
      <c r="U3265" s="46">
        <v>0</v>
      </c>
      <c r="V3265" s="46">
        <v>0</v>
      </c>
      <c r="W3265" s="46">
        <v>0</v>
      </c>
      <c r="X3265" s="46">
        <v>0</v>
      </c>
      <c r="Y3265" s="46">
        <v>0</v>
      </c>
      <c r="Z3265" s="46">
        <v>0</v>
      </c>
      <c r="AA3265" s="46">
        <v>0</v>
      </c>
      <c r="AB3265" s="46">
        <v>0</v>
      </c>
      <c r="AC3265" s="46">
        <v>0</v>
      </c>
      <c r="AD3265" s="46">
        <v>0</v>
      </c>
      <c r="AE3265" s="88" t="s">
        <v>394</v>
      </c>
      <c r="AF3265" s="88" t="s">
        <v>18601</v>
      </c>
      <c r="AG3265" s="88" t="s">
        <v>8859</v>
      </c>
      <c r="AH3265" s="72">
        <v>44266</v>
      </c>
      <c r="AI3265" s="46">
        <v>8</v>
      </c>
      <c r="AJ3265" s="88" t="s">
        <v>18602</v>
      </c>
      <c r="AK3265" s="88" t="s">
        <v>18603</v>
      </c>
      <c r="AL3265" s="164"/>
      <c r="AM3265" s="164"/>
      <c r="AN3265" s="164">
        <v>44652</v>
      </c>
      <c r="AO3265" s="164">
        <v>44629</v>
      </c>
      <c r="AP3265" s="156" t="s">
        <v>18395</v>
      </c>
      <c r="AQ3265" s="140">
        <f>DATE(2021,3,5)</f>
        <v>44260</v>
      </c>
      <c r="AR3265" s="43">
        <f t="shared" si="299"/>
        <v>5</v>
      </c>
      <c r="AS3265" s="43">
        <f t="shared" si="300"/>
        <v>3</v>
      </c>
      <c r="AT3265" s="43">
        <f t="shared" si="301"/>
        <v>2021</v>
      </c>
      <c r="AU3265" s="140"/>
      <c r="AV3265" s="140"/>
      <c r="AW3265" s="140"/>
      <c r="AX3265" s="140"/>
      <c r="AY3265" s="140"/>
      <c r="AZ3265" s="140"/>
      <c r="BA3265" s="140"/>
      <c r="BB3265" s="140"/>
    </row>
    <row r="3266" spans="1:55" ht="36.75" customHeight="1">
      <c r="A3266" s="48" t="s">
        <v>12471</v>
      </c>
      <c r="B3266" s="48" t="s">
        <v>55</v>
      </c>
      <c r="C3266" s="69" t="str">
        <f t="shared" si="303"/>
        <v>Closed</v>
      </c>
      <c r="D3266" s="36" t="s">
        <v>18604</v>
      </c>
      <c r="E3266" s="38" t="s">
        <v>18605</v>
      </c>
      <c r="F3266" s="48" t="s">
        <v>14753</v>
      </c>
      <c r="G3266" s="88">
        <f>DATE(2021,2,27)</f>
        <v>44254</v>
      </c>
      <c r="H3266" s="90">
        <v>0.25</v>
      </c>
      <c r="I3266" s="46" t="s">
        <v>278</v>
      </c>
      <c r="J3266" s="88" t="s">
        <v>18606</v>
      </c>
      <c r="K3266" s="48" t="s">
        <v>1772</v>
      </c>
      <c r="L3266" s="48" t="s">
        <v>18607</v>
      </c>
      <c r="M3266" s="48" t="s">
        <v>63</v>
      </c>
      <c r="N3266" s="48" t="s">
        <v>89</v>
      </c>
      <c r="O3266" s="48" t="s">
        <v>64</v>
      </c>
      <c r="P3266" s="88" t="s">
        <v>165</v>
      </c>
      <c r="Q3266" s="88" t="s">
        <v>16086</v>
      </c>
      <c r="R3266" s="88" t="s">
        <v>1775</v>
      </c>
      <c r="S3266" s="48">
        <v>0</v>
      </c>
      <c r="T3266" s="48">
        <v>1</v>
      </c>
      <c r="U3266" s="48">
        <v>0</v>
      </c>
      <c r="V3266" s="48">
        <v>0</v>
      </c>
      <c r="W3266" s="48">
        <v>0</v>
      </c>
      <c r="X3266" s="48">
        <v>1</v>
      </c>
      <c r="Y3266" s="48">
        <v>0</v>
      </c>
      <c r="Z3266" s="48">
        <v>0</v>
      </c>
      <c r="AA3266" s="48">
        <v>0</v>
      </c>
      <c r="AB3266" s="48">
        <v>0</v>
      </c>
      <c r="AC3266" s="48">
        <v>0</v>
      </c>
      <c r="AD3266" s="48">
        <v>0</v>
      </c>
      <c r="AE3266" s="88" t="s">
        <v>92</v>
      </c>
      <c r="AF3266" s="88" t="s">
        <v>18608</v>
      </c>
      <c r="AG3266" s="88" t="s">
        <v>6459</v>
      </c>
      <c r="AH3266" s="72">
        <v>44256</v>
      </c>
      <c r="AI3266" s="48">
        <v>0</v>
      </c>
      <c r="AJ3266" s="88" t="s">
        <v>18609</v>
      </c>
      <c r="AK3266" s="88" t="s">
        <v>18610</v>
      </c>
      <c r="AL3266" s="164"/>
      <c r="AM3266" s="164"/>
      <c r="AN3266" s="88">
        <v>44789</v>
      </c>
      <c r="AO3266" s="88">
        <v>44727</v>
      </c>
      <c r="AP3266" s="156" t="s">
        <v>17593</v>
      </c>
      <c r="AQ3266" s="140">
        <f>DATE(2021,3,10)</f>
        <v>44265</v>
      </c>
      <c r="AR3266" s="43">
        <f t="shared" si="299"/>
        <v>10</v>
      </c>
      <c r="AS3266" s="43">
        <f t="shared" si="300"/>
        <v>3</v>
      </c>
      <c r="AT3266" s="43">
        <f t="shared" si="301"/>
        <v>2021</v>
      </c>
      <c r="AU3266" s="140"/>
      <c r="AV3266" s="140"/>
      <c r="AW3266" s="140"/>
      <c r="AX3266" s="140"/>
      <c r="AY3266" s="140"/>
      <c r="AZ3266" s="140"/>
      <c r="BA3266" s="140"/>
      <c r="BB3266" s="140"/>
    </row>
    <row r="3267" spans="1:55" ht="36.75" customHeight="1">
      <c r="A3267" s="48" t="s">
        <v>12471</v>
      </c>
      <c r="B3267" s="48" t="s">
        <v>55</v>
      </c>
      <c r="C3267" s="69" t="str">
        <f t="shared" si="303"/>
        <v>Closed</v>
      </c>
      <c r="D3267" s="36" t="s">
        <v>18611</v>
      </c>
      <c r="E3267" s="38" t="s">
        <v>18612</v>
      </c>
      <c r="F3267" s="48" t="s">
        <v>16429</v>
      </c>
      <c r="G3267" s="88">
        <f>DATE(2021,3,3)</f>
        <v>44258</v>
      </c>
      <c r="H3267" s="102">
        <v>1.3041666666666667</v>
      </c>
      <c r="I3267" s="35" t="s">
        <v>73</v>
      </c>
      <c r="J3267" s="88" t="s">
        <v>18613</v>
      </c>
      <c r="K3267" s="48" t="s">
        <v>425</v>
      </c>
      <c r="L3267" s="48" t="s">
        <v>18614</v>
      </c>
      <c r="M3267" s="48" t="s">
        <v>63</v>
      </c>
      <c r="N3267" s="48" t="s">
        <v>142</v>
      </c>
      <c r="O3267" s="48" t="s">
        <v>77</v>
      </c>
      <c r="P3267" s="88" t="s">
        <v>165</v>
      </c>
      <c r="Q3267" s="88" t="s">
        <v>18615</v>
      </c>
      <c r="R3267" s="88" t="s">
        <v>17369</v>
      </c>
      <c r="S3267" s="48">
        <v>0</v>
      </c>
      <c r="T3267" s="48">
        <v>0</v>
      </c>
      <c r="U3267" s="48">
        <v>0</v>
      </c>
      <c r="V3267" s="48">
        <v>0</v>
      </c>
      <c r="W3267" s="48">
        <v>0</v>
      </c>
      <c r="X3267" s="48">
        <v>0</v>
      </c>
      <c r="Y3267" s="48">
        <v>0</v>
      </c>
      <c r="Z3267" s="48">
        <v>0</v>
      </c>
      <c r="AA3267" s="48">
        <v>0</v>
      </c>
      <c r="AB3267" s="48">
        <v>0</v>
      </c>
      <c r="AC3267" s="48">
        <v>0</v>
      </c>
      <c r="AD3267" s="48">
        <v>0</v>
      </c>
      <c r="AE3267" s="88" t="s">
        <v>92</v>
      </c>
      <c r="AF3267" s="88" t="s">
        <v>18616</v>
      </c>
      <c r="AG3267" s="88" t="s">
        <v>16283</v>
      </c>
      <c r="AH3267" s="72">
        <v>44258</v>
      </c>
      <c r="AI3267" s="48">
        <v>1</v>
      </c>
      <c r="AJ3267" s="88" t="s">
        <v>18617</v>
      </c>
      <c r="AK3267" s="88" t="s">
        <v>879</v>
      </c>
      <c r="AL3267" s="164"/>
      <c r="AM3267" s="164"/>
      <c r="AN3267" s="88">
        <v>44670</v>
      </c>
      <c r="AO3267" s="88">
        <v>44665</v>
      </c>
    </row>
    <row r="3268" spans="1:55" ht="36.75" customHeight="1">
      <c r="A3268" s="48" t="s">
        <v>12471</v>
      </c>
      <c r="B3268" s="46" t="s">
        <v>55</v>
      </c>
      <c r="C3268" s="69" t="str">
        <f t="shared" si="303"/>
        <v>Closed</v>
      </c>
      <c r="D3268" s="36" t="s">
        <v>18618</v>
      </c>
      <c r="E3268" s="38" t="s">
        <v>18619</v>
      </c>
      <c r="F3268" s="46" t="s">
        <v>17344</v>
      </c>
      <c r="G3268" s="88">
        <f>DATE(2021,3,3)</f>
        <v>44258</v>
      </c>
      <c r="H3268" s="102">
        <v>1.5590277777777777</v>
      </c>
      <c r="I3268" s="181" t="s">
        <v>156</v>
      </c>
      <c r="J3268" s="88" t="s">
        <v>18620</v>
      </c>
      <c r="K3268" s="46" t="s">
        <v>127</v>
      </c>
      <c r="L3268" s="181" t="s">
        <v>18621</v>
      </c>
      <c r="M3268" s="46" t="s">
        <v>63</v>
      </c>
      <c r="N3268" s="46" t="s">
        <v>89</v>
      </c>
      <c r="O3268" s="46" t="s">
        <v>64</v>
      </c>
      <c r="P3268" s="88" t="s">
        <v>165</v>
      </c>
      <c r="Q3268" s="88" t="s">
        <v>17730</v>
      </c>
      <c r="R3268" s="88" t="s">
        <v>18622</v>
      </c>
      <c r="S3268" s="46">
        <v>0</v>
      </c>
      <c r="T3268" s="46">
        <v>0</v>
      </c>
      <c r="U3268" s="46">
        <v>0</v>
      </c>
      <c r="V3268" s="46">
        <v>0</v>
      </c>
      <c r="W3268" s="46">
        <v>0</v>
      </c>
      <c r="X3268" s="46">
        <v>0</v>
      </c>
      <c r="Y3268" s="46">
        <v>0</v>
      </c>
      <c r="Z3268" s="46">
        <v>0</v>
      </c>
      <c r="AA3268" s="46">
        <v>0</v>
      </c>
      <c r="AB3268" s="46">
        <v>0</v>
      </c>
      <c r="AC3268" s="46">
        <v>0</v>
      </c>
      <c r="AD3268" s="46">
        <v>0</v>
      </c>
      <c r="AE3268" s="88" t="s">
        <v>92</v>
      </c>
      <c r="AF3268" s="88" t="s">
        <v>18623</v>
      </c>
      <c r="AG3268" s="88" t="s">
        <v>6459</v>
      </c>
      <c r="AH3268" s="72">
        <v>44263</v>
      </c>
      <c r="AI3268" s="48">
        <v>0</v>
      </c>
      <c r="AJ3268" s="88" t="s">
        <v>18624</v>
      </c>
      <c r="AK3268" s="88" t="s">
        <v>18625</v>
      </c>
      <c r="AL3268" s="164"/>
      <c r="AM3268" s="164"/>
      <c r="AN3268" s="88">
        <v>44673</v>
      </c>
      <c r="AO3268" s="88">
        <v>44672</v>
      </c>
    </row>
    <row r="3269" spans="1:55" ht="36.75" customHeight="1">
      <c r="A3269" s="30" t="s">
        <v>12471</v>
      </c>
      <c r="B3269" s="46" t="s">
        <v>55</v>
      </c>
      <c r="C3269" s="69" t="str">
        <f t="shared" si="303"/>
        <v>Closed</v>
      </c>
      <c r="D3269" s="36" t="s">
        <v>18626</v>
      </c>
      <c r="E3269" s="38" t="s">
        <v>18627</v>
      </c>
      <c r="F3269" s="46" t="s">
        <v>14753</v>
      </c>
      <c r="G3269" s="88">
        <f>DATE(2021,3,4)</f>
        <v>44259</v>
      </c>
      <c r="H3269" s="102">
        <v>1.7743055555555554</v>
      </c>
      <c r="I3269" s="46" t="s">
        <v>73</v>
      </c>
      <c r="J3269" s="88" t="s">
        <v>18499</v>
      </c>
      <c r="K3269" s="46" t="s">
        <v>1772</v>
      </c>
      <c r="L3269" s="46" t="s">
        <v>18628</v>
      </c>
      <c r="M3269" s="46" t="s">
        <v>63</v>
      </c>
      <c r="N3269" s="46" t="s">
        <v>142</v>
      </c>
      <c r="O3269" s="46" t="s">
        <v>77</v>
      </c>
      <c r="P3269" s="88" t="s">
        <v>165</v>
      </c>
      <c r="Q3269" s="88" t="s">
        <v>18629</v>
      </c>
      <c r="R3269" s="88" t="s">
        <v>1775</v>
      </c>
      <c r="S3269" s="46">
        <v>0</v>
      </c>
      <c r="T3269" s="46">
        <v>0</v>
      </c>
      <c r="U3269" s="46">
        <v>0</v>
      </c>
      <c r="V3269" s="46">
        <v>0</v>
      </c>
      <c r="W3269" s="46">
        <v>0</v>
      </c>
      <c r="X3269" s="46">
        <v>0</v>
      </c>
      <c r="Y3269" s="46">
        <v>0</v>
      </c>
      <c r="Z3269" s="46">
        <v>0</v>
      </c>
      <c r="AA3269" s="46">
        <v>0</v>
      </c>
      <c r="AB3269" s="46">
        <v>0</v>
      </c>
      <c r="AC3269" s="46">
        <v>0</v>
      </c>
      <c r="AD3269" s="46">
        <v>0</v>
      </c>
      <c r="AE3269" s="88" t="s">
        <v>92</v>
      </c>
      <c r="AF3269" s="88" t="s">
        <v>18630</v>
      </c>
      <c r="AG3269" s="88" t="s">
        <v>14033</v>
      </c>
      <c r="AH3269" s="72">
        <v>44264</v>
      </c>
      <c r="AI3269" s="46">
        <v>0</v>
      </c>
      <c r="AJ3269" s="88" t="s">
        <v>18631</v>
      </c>
      <c r="AK3269" s="88" t="s">
        <v>18632</v>
      </c>
      <c r="AL3269" s="164"/>
      <c r="AM3269" s="164"/>
      <c r="AN3269" s="70">
        <v>44687</v>
      </c>
      <c r="AO3269" s="70">
        <v>44651</v>
      </c>
    </row>
    <row r="3270" spans="1:55" ht="36.75" customHeight="1">
      <c r="A3270" s="46" t="s">
        <v>12471</v>
      </c>
      <c r="B3270" s="46" t="s">
        <v>55</v>
      </c>
      <c r="C3270" s="69" t="str">
        <f t="shared" si="303"/>
        <v>Closed</v>
      </c>
      <c r="D3270" s="36" t="s">
        <v>18633</v>
      </c>
      <c r="E3270" s="38" t="s">
        <v>18634</v>
      </c>
      <c r="F3270" s="46" t="s">
        <v>16429</v>
      </c>
      <c r="G3270" s="88">
        <f>DATE(2021,3,4)</f>
        <v>44259</v>
      </c>
      <c r="H3270" s="182">
        <v>0.59722222222222221</v>
      </c>
      <c r="I3270" s="46" t="s">
        <v>116</v>
      </c>
      <c r="J3270" s="88" t="s">
        <v>18635</v>
      </c>
      <c r="K3270" s="46" t="s">
        <v>425</v>
      </c>
      <c r="L3270" s="46" t="s">
        <v>18636</v>
      </c>
      <c r="M3270" s="46" t="s">
        <v>63</v>
      </c>
      <c r="N3270" s="46" t="s">
        <v>99</v>
      </c>
      <c r="O3270" s="46" t="s">
        <v>64</v>
      </c>
      <c r="P3270" s="88" t="s">
        <v>165</v>
      </c>
      <c r="Q3270" s="88" t="s">
        <v>18615</v>
      </c>
      <c r="R3270" s="88" t="s">
        <v>17369</v>
      </c>
      <c r="S3270" s="46">
        <v>0</v>
      </c>
      <c r="T3270" s="46">
        <v>0</v>
      </c>
      <c r="U3270" s="46">
        <v>2</v>
      </c>
      <c r="V3270" s="46">
        <v>0</v>
      </c>
      <c r="W3270" s="46">
        <v>0</v>
      </c>
      <c r="X3270" s="46">
        <v>2</v>
      </c>
      <c r="Y3270" s="46">
        <v>0</v>
      </c>
      <c r="Z3270" s="46">
        <v>0</v>
      </c>
      <c r="AA3270" s="46">
        <v>0</v>
      </c>
      <c r="AB3270" s="46">
        <v>0</v>
      </c>
      <c r="AC3270" s="46">
        <v>0</v>
      </c>
      <c r="AD3270" s="46">
        <v>0</v>
      </c>
      <c r="AE3270" s="88" t="s">
        <v>92</v>
      </c>
      <c r="AF3270" s="88" t="s">
        <v>18637</v>
      </c>
      <c r="AG3270" s="88" t="s">
        <v>16283</v>
      </c>
      <c r="AH3270" s="72">
        <v>44259</v>
      </c>
      <c r="AI3270" s="46">
        <v>1</v>
      </c>
      <c r="AJ3270" s="88" t="s">
        <v>18638</v>
      </c>
      <c r="AK3270" s="88" t="s">
        <v>879</v>
      </c>
      <c r="AL3270" s="164"/>
      <c r="AM3270" s="164"/>
      <c r="AN3270" s="89">
        <v>44512</v>
      </c>
      <c r="AO3270" s="88">
        <v>44483</v>
      </c>
      <c r="AP3270" s="156" t="s">
        <v>18496</v>
      </c>
      <c r="AQ3270" s="140">
        <f>DATE(2021,3,26)</f>
        <v>44281</v>
      </c>
      <c r="AR3270" s="43">
        <f>DAY(AQ3270)</f>
        <v>26</v>
      </c>
      <c r="AS3270" s="43">
        <f>MONTH(AQ3270)</f>
        <v>3</v>
      </c>
      <c r="AT3270" s="43">
        <f>YEAR(AQ3270)</f>
        <v>2021</v>
      </c>
      <c r="AU3270" s="140"/>
      <c r="AV3270" s="140"/>
      <c r="AW3270" s="140"/>
      <c r="AX3270" s="140"/>
      <c r="AY3270" s="140"/>
      <c r="AZ3270" s="140"/>
      <c r="BA3270" s="140"/>
      <c r="BB3270" s="140"/>
    </row>
    <row r="3271" spans="1:55" ht="36.75" customHeight="1">
      <c r="A3271" s="46" t="s">
        <v>12471</v>
      </c>
      <c r="B3271" s="46" t="s">
        <v>55</v>
      </c>
      <c r="C3271" s="69" t="str">
        <f t="shared" si="303"/>
        <v>Closed</v>
      </c>
      <c r="D3271" s="36" t="s">
        <v>18639</v>
      </c>
      <c r="E3271" s="38" t="s">
        <v>18640</v>
      </c>
      <c r="F3271" s="46" t="s">
        <v>9789</v>
      </c>
      <c r="G3271" s="88">
        <f>DATE(2021,3,5)</f>
        <v>44260</v>
      </c>
      <c r="H3271" s="103">
        <v>0.57291666666666663</v>
      </c>
      <c r="I3271" s="46" t="s">
        <v>278</v>
      </c>
      <c r="J3271" s="181" t="s">
        <v>18641</v>
      </c>
      <c r="K3271" s="46" t="s">
        <v>9791</v>
      </c>
      <c r="L3271" s="46" t="s">
        <v>18642</v>
      </c>
      <c r="M3271" s="46" t="s">
        <v>63</v>
      </c>
      <c r="N3271" s="46" t="s">
        <v>142</v>
      </c>
      <c r="O3271" s="46" t="s">
        <v>64</v>
      </c>
      <c r="P3271" s="88" t="s">
        <v>381</v>
      </c>
      <c r="Q3271" s="88" t="s">
        <v>18643</v>
      </c>
      <c r="R3271" s="88" t="s">
        <v>18301</v>
      </c>
      <c r="S3271" s="46">
        <v>0</v>
      </c>
      <c r="T3271" s="45">
        <v>0</v>
      </c>
      <c r="U3271" s="46">
        <v>0</v>
      </c>
      <c r="V3271" s="45">
        <v>0</v>
      </c>
      <c r="W3271" s="46">
        <v>1</v>
      </c>
      <c r="X3271" s="46">
        <v>1</v>
      </c>
      <c r="Y3271" s="46">
        <v>0</v>
      </c>
      <c r="Z3271" s="45">
        <v>0</v>
      </c>
      <c r="AA3271" s="46">
        <v>0</v>
      </c>
      <c r="AB3271" s="46">
        <v>0</v>
      </c>
      <c r="AC3271" s="46">
        <v>0</v>
      </c>
      <c r="AD3271" s="46">
        <v>0</v>
      </c>
      <c r="AE3271" s="88" t="s">
        <v>92</v>
      </c>
      <c r="AF3271" s="88" t="s">
        <v>18644</v>
      </c>
      <c r="AG3271" s="88" t="s">
        <v>6459</v>
      </c>
      <c r="AH3271" s="72">
        <v>44264</v>
      </c>
      <c r="AI3271" s="46">
        <v>4</v>
      </c>
      <c r="AJ3271" s="88" t="s">
        <v>18645</v>
      </c>
      <c r="AK3271" s="88" t="s">
        <v>18646</v>
      </c>
      <c r="AL3271" s="88"/>
      <c r="AM3271" s="88">
        <v>44624</v>
      </c>
      <c r="AN3271" s="89">
        <v>44699</v>
      </c>
      <c r="AO3271" s="183">
        <v>44687</v>
      </c>
      <c r="AP3271" s="156" t="s">
        <v>18496</v>
      </c>
      <c r="AQ3271" s="140">
        <f>DATE(2021,3,29)</f>
        <v>44284</v>
      </c>
      <c r="AR3271" s="43">
        <f>DAY(AQ3271)</f>
        <v>29</v>
      </c>
      <c r="AS3271" s="43">
        <f>MONTH(AQ3271)</f>
        <v>3</v>
      </c>
      <c r="AT3271" s="43">
        <f>YEAR(AQ3271)</f>
        <v>2021</v>
      </c>
      <c r="AU3271" s="140"/>
      <c r="AV3271" s="140"/>
      <c r="AW3271" s="140"/>
      <c r="AX3271" s="140"/>
      <c r="AY3271" s="140"/>
      <c r="AZ3271" s="140"/>
      <c r="BA3271" s="140"/>
      <c r="BB3271" s="140"/>
    </row>
    <row r="3272" spans="1:55" ht="36.75" customHeight="1">
      <c r="A3272" s="46" t="s">
        <v>12471</v>
      </c>
      <c r="B3272" s="46" t="s">
        <v>55</v>
      </c>
      <c r="C3272" s="69" t="str">
        <f t="shared" si="303"/>
        <v>Closed</v>
      </c>
      <c r="D3272" s="36" t="s">
        <v>18647</v>
      </c>
      <c r="E3272" s="38" t="s">
        <v>18648</v>
      </c>
      <c r="F3272" s="46" t="s">
        <v>17578</v>
      </c>
      <c r="G3272" s="88">
        <f>DATE(2021,3,10)</f>
        <v>44265</v>
      </c>
      <c r="H3272" s="90">
        <v>1.5104166666666665</v>
      </c>
      <c r="I3272" s="46" t="s">
        <v>4610</v>
      </c>
      <c r="J3272" s="88" t="s">
        <v>18649</v>
      </c>
      <c r="K3272" s="46" t="s">
        <v>837</v>
      </c>
      <c r="L3272" s="46" t="s">
        <v>18650</v>
      </c>
      <c r="M3272" s="46" t="s">
        <v>63</v>
      </c>
      <c r="N3272" s="46" t="s">
        <v>142</v>
      </c>
      <c r="O3272" s="46" t="s">
        <v>77</v>
      </c>
      <c r="P3272" s="88" t="s">
        <v>78</v>
      </c>
      <c r="Q3272" s="88" t="s">
        <v>6581</v>
      </c>
      <c r="R3272" s="88" t="s">
        <v>840</v>
      </c>
      <c r="S3272" s="46">
        <v>0</v>
      </c>
      <c r="T3272" s="46">
        <v>0</v>
      </c>
      <c r="U3272" s="46">
        <v>0</v>
      </c>
      <c r="V3272" s="46">
        <v>0</v>
      </c>
      <c r="W3272" s="46">
        <v>0</v>
      </c>
      <c r="X3272" s="46">
        <v>0</v>
      </c>
      <c r="Y3272" s="46">
        <v>0</v>
      </c>
      <c r="Z3272" s="46">
        <v>0</v>
      </c>
      <c r="AA3272" s="46">
        <v>0</v>
      </c>
      <c r="AB3272" s="46">
        <v>0</v>
      </c>
      <c r="AC3272" s="46">
        <v>0</v>
      </c>
      <c r="AD3272" s="46">
        <v>0</v>
      </c>
      <c r="AE3272" s="88" t="s">
        <v>92</v>
      </c>
      <c r="AF3272" s="88" t="s">
        <v>879</v>
      </c>
      <c r="AG3272" s="88" t="s">
        <v>13537</v>
      </c>
      <c r="AH3272" s="72">
        <v>44265</v>
      </c>
      <c r="AI3272" s="46">
        <v>1</v>
      </c>
      <c r="AJ3272" s="88" t="s">
        <v>18651</v>
      </c>
      <c r="AK3272" s="88" t="s">
        <v>18652</v>
      </c>
      <c r="AL3272" s="140">
        <v>44298</v>
      </c>
      <c r="AM3272" s="140"/>
      <c r="AN3272" s="89">
        <v>44533</v>
      </c>
      <c r="AO3272" s="89">
        <v>44530</v>
      </c>
      <c r="AP3272" s="156" t="s">
        <v>18496</v>
      </c>
      <c r="AQ3272" s="140">
        <f>DATE(2021,3,30)</f>
        <v>44285</v>
      </c>
      <c r="AR3272" s="43">
        <f>DAY(AQ3272)</f>
        <v>30</v>
      </c>
      <c r="AS3272" s="43">
        <f>MONTH(AQ3272)</f>
        <v>3</v>
      </c>
      <c r="AT3272" s="43">
        <f>YEAR(AQ3272)</f>
        <v>2021</v>
      </c>
      <c r="AU3272" s="140"/>
      <c r="AV3272" s="140"/>
      <c r="AW3272" s="140"/>
      <c r="AX3272" s="140"/>
      <c r="AY3272" s="140"/>
      <c r="AZ3272" s="140"/>
      <c r="BA3272" s="140"/>
      <c r="BB3272" s="140"/>
    </row>
    <row r="3273" spans="1:55" ht="36.75" customHeight="1">
      <c r="A3273" s="46" t="s">
        <v>12471</v>
      </c>
      <c r="B3273" s="46" t="s">
        <v>55</v>
      </c>
      <c r="C3273" s="69" t="str">
        <f t="shared" si="303"/>
        <v>Closed</v>
      </c>
      <c r="D3273" s="36" t="s">
        <v>18653</v>
      </c>
      <c r="E3273" s="38" t="s">
        <v>18654</v>
      </c>
      <c r="F3273" s="46" t="s">
        <v>17773</v>
      </c>
      <c r="G3273" s="88">
        <f>DATE(2021,3,12)</f>
        <v>44267</v>
      </c>
      <c r="H3273" s="103">
        <v>0.71180555555555547</v>
      </c>
      <c r="I3273" s="46" t="s">
        <v>73</v>
      </c>
      <c r="J3273" s="46" t="s">
        <v>18655</v>
      </c>
      <c r="K3273" s="46" t="s">
        <v>2603</v>
      </c>
      <c r="L3273" s="46" t="s">
        <v>18656</v>
      </c>
      <c r="M3273" s="46" t="s">
        <v>63</v>
      </c>
      <c r="N3273" s="46" t="s">
        <v>99</v>
      </c>
      <c r="O3273" s="46" t="s">
        <v>64</v>
      </c>
      <c r="P3273" s="29" t="s">
        <v>78</v>
      </c>
      <c r="Q3273" s="46" t="s">
        <v>18615</v>
      </c>
      <c r="R3273" s="46" t="s">
        <v>17369</v>
      </c>
      <c r="S3273" s="46">
        <v>0</v>
      </c>
      <c r="T3273" s="46">
        <v>0</v>
      </c>
      <c r="U3273" s="46">
        <v>2</v>
      </c>
      <c r="V3273" s="46">
        <v>0</v>
      </c>
      <c r="W3273" s="46">
        <v>0</v>
      </c>
      <c r="X3273" s="46">
        <v>2</v>
      </c>
      <c r="Y3273" s="46">
        <v>0</v>
      </c>
      <c r="Z3273" s="46">
        <v>0</v>
      </c>
      <c r="AA3273" s="46">
        <v>0</v>
      </c>
      <c r="AB3273" s="46">
        <v>0</v>
      </c>
      <c r="AC3273" s="46">
        <v>0</v>
      </c>
      <c r="AD3273" s="46">
        <v>0</v>
      </c>
      <c r="AE3273" s="46" t="s">
        <v>92</v>
      </c>
      <c r="AF3273" s="46" t="s">
        <v>18637</v>
      </c>
      <c r="AG3273" s="46" t="s">
        <v>8859</v>
      </c>
      <c r="AH3273" s="72">
        <v>44267</v>
      </c>
      <c r="AI3273" s="46">
        <v>3</v>
      </c>
      <c r="AJ3273" s="46" t="s">
        <v>18657</v>
      </c>
      <c r="AK3273" s="46" t="s">
        <v>18658</v>
      </c>
      <c r="AL3273" s="88">
        <v>44455</v>
      </c>
      <c r="AM3273" s="88"/>
      <c r="AN3273" s="88">
        <v>44455</v>
      </c>
      <c r="AO3273" s="88"/>
      <c r="AP3273" s="156" t="s">
        <v>18659</v>
      </c>
      <c r="AQ3273" s="140">
        <f>DATE(2021,3,31)</f>
        <v>44286</v>
      </c>
      <c r="AR3273" s="43">
        <f>DAY(AQ3273)</f>
        <v>31</v>
      </c>
      <c r="AS3273" s="43">
        <f>MONTH(AQ3273)</f>
        <v>3</v>
      </c>
      <c r="AT3273" s="43">
        <f>YEAR(AQ3273)</f>
        <v>2021</v>
      </c>
      <c r="AU3273" s="140"/>
      <c r="AV3273" s="140"/>
      <c r="AW3273" s="140"/>
      <c r="AX3273" s="140"/>
      <c r="AY3273" s="140"/>
      <c r="AZ3273" s="140"/>
      <c r="BA3273" s="140"/>
      <c r="BB3273" s="140"/>
    </row>
    <row r="3274" spans="1:55" ht="36.75" customHeight="1">
      <c r="A3274" s="46" t="s">
        <v>12471</v>
      </c>
      <c r="B3274" s="46" t="s">
        <v>55</v>
      </c>
      <c r="C3274" s="69" t="str">
        <f t="shared" si="303"/>
        <v>Closed</v>
      </c>
      <c r="D3274" s="36" t="s">
        <v>18660</v>
      </c>
      <c r="E3274" s="38" t="s">
        <v>18661</v>
      </c>
      <c r="F3274" s="46" t="s">
        <v>18131</v>
      </c>
      <c r="G3274" s="88">
        <f>DATE(2021,3,21)</f>
        <v>44276</v>
      </c>
      <c r="H3274" s="142" t="s">
        <v>17844</v>
      </c>
      <c r="I3274" s="46" t="s">
        <v>2078</v>
      </c>
      <c r="J3274" s="46" t="s">
        <v>18662</v>
      </c>
      <c r="K3274" s="46" t="s">
        <v>379</v>
      </c>
      <c r="L3274" s="46" t="s">
        <v>18663</v>
      </c>
      <c r="M3274" s="46" t="s">
        <v>63</v>
      </c>
      <c r="N3274" s="46" t="s">
        <v>89</v>
      </c>
      <c r="O3274" s="46" t="s">
        <v>86</v>
      </c>
      <c r="P3274" s="46" t="s">
        <v>165</v>
      </c>
      <c r="Q3274" s="46" t="s">
        <v>18134</v>
      </c>
      <c r="R3274" s="46" t="s">
        <v>17399</v>
      </c>
      <c r="S3274" s="46">
        <v>0</v>
      </c>
      <c r="T3274" s="46">
        <v>0</v>
      </c>
      <c r="U3274" s="46">
        <v>0</v>
      </c>
      <c r="V3274" s="46">
        <v>0</v>
      </c>
      <c r="W3274" s="46">
        <v>0</v>
      </c>
      <c r="X3274" s="46">
        <v>0</v>
      </c>
      <c r="Y3274" s="46">
        <v>0</v>
      </c>
      <c r="Z3274" s="46">
        <v>0</v>
      </c>
      <c r="AA3274" s="46">
        <v>0</v>
      </c>
      <c r="AB3274" s="46">
        <v>0</v>
      </c>
      <c r="AC3274" s="46">
        <v>0</v>
      </c>
      <c r="AD3274" s="46">
        <v>0</v>
      </c>
      <c r="AE3274" s="46" t="s">
        <v>394</v>
      </c>
      <c r="AF3274" s="46" t="s">
        <v>18664</v>
      </c>
      <c r="AG3274" s="46" t="s">
        <v>14033</v>
      </c>
      <c r="AH3274" s="72">
        <f>DATE(2021,5,6)</f>
        <v>44322</v>
      </c>
      <c r="AI3274" s="46">
        <v>7</v>
      </c>
      <c r="AJ3274" s="46" t="s">
        <v>18665</v>
      </c>
      <c r="AK3274" s="46" t="s">
        <v>18666</v>
      </c>
      <c r="AL3274" s="88"/>
      <c r="AM3274" s="88"/>
      <c r="AN3274" s="88">
        <v>44988</v>
      </c>
      <c r="AO3274" s="88">
        <v>44728</v>
      </c>
    </row>
    <row r="3275" spans="1:55" ht="36.75" customHeight="1">
      <c r="A3275" s="46"/>
      <c r="B3275" s="48" t="s">
        <v>55</v>
      </c>
      <c r="C3275" s="69" t="s">
        <v>18034</v>
      </c>
      <c r="D3275" s="36" t="s">
        <v>18667</v>
      </c>
      <c r="E3275" s="38" t="s">
        <v>18668</v>
      </c>
      <c r="F3275" s="46" t="s">
        <v>17578</v>
      </c>
      <c r="G3275" s="88">
        <f>DATE(2021,3,25)</f>
        <v>44280</v>
      </c>
      <c r="H3275" s="103">
        <v>0.26944444444444443</v>
      </c>
      <c r="I3275" s="46" t="s">
        <v>73</v>
      </c>
      <c r="J3275" s="46" t="s">
        <v>18669</v>
      </c>
      <c r="K3275" s="46" t="s">
        <v>837</v>
      </c>
      <c r="L3275" s="46" t="s">
        <v>18670</v>
      </c>
      <c r="M3275" s="46" t="s">
        <v>63</v>
      </c>
      <c r="N3275" s="46" t="s">
        <v>142</v>
      </c>
      <c r="O3275" s="46" t="s">
        <v>77</v>
      </c>
      <c r="P3275" s="46" t="s">
        <v>65</v>
      </c>
      <c r="Q3275" s="46" t="s">
        <v>2162</v>
      </c>
      <c r="R3275" s="46" t="s">
        <v>840</v>
      </c>
      <c r="S3275" s="46">
        <v>0</v>
      </c>
      <c r="T3275" s="46">
        <v>0</v>
      </c>
      <c r="U3275" s="46">
        <v>2</v>
      </c>
      <c r="V3275" s="46">
        <v>0</v>
      </c>
      <c r="W3275" s="46">
        <v>0</v>
      </c>
      <c r="X3275" s="46">
        <v>2</v>
      </c>
      <c r="Y3275" s="46">
        <v>0</v>
      </c>
      <c r="Z3275" s="46">
        <v>0</v>
      </c>
      <c r="AA3275" s="46">
        <v>0</v>
      </c>
      <c r="AB3275" s="46">
        <v>0</v>
      </c>
      <c r="AC3275" s="46">
        <v>0</v>
      </c>
      <c r="AD3275" s="46">
        <v>0</v>
      </c>
      <c r="AE3275" s="29" t="s">
        <v>92</v>
      </c>
      <c r="AF3275" s="46" t="s">
        <v>18637</v>
      </c>
      <c r="AG3275" s="46" t="s">
        <v>18671</v>
      </c>
      <c r="AH3275" s="72">
        <f>DATE(2021,3,25)</f>
        <v>44280</v>
      </c>
      <c r="AI3275" s="46">
        <v>0</v>
      </c>
      <c r="AJ3275" s="46" t="s">
        <v>18672</v>
      </c>
      <c r="AK3275" s="46" t="s">
        <v>18673</v>
      </c>
      <c r="AL3275" s="88">
        <v>44280</v>
      </c>
      <c r="AM3275" s="89"/>
      <c r="AN3275" s="88">
        <v>45012</v>
      </c>
      <c r="AO3275" s="88">
        <v>44747</v>
      </c>
      <c r="AP3275" s="164"/>
      <c r="AQ3275" s="164"/>
      <c r="AR3275" s="164"/>
      <c r="AS3275" s="164"/>
      <c r="AT3275" s="164"/>
      <c r="AU3275" s="164"/>
      <c r="AV3275" s="164"/>
      <c r="AW3275" s="164"/>
      <c r="AX3275" s="164"/>
      <c r="AY3275" s="164"/>
      <c r="AZ3275" s="164"/>
      <c r="BA3275" s="164"/>
      <c r="BB3275" s="164"/>
      <c r="BC3275" s="164"/>
    </row>
    <row r="3276" spans="1:55" ht="36.75" customHeight="1">
      <c r="A3276" s="46" t="s">
        <v>12471</v>
      </c>
      <c r="B3276" s="46" t="s">
        <v>55</v>
      </c>
      <c r="C3276" s="69" t="str">
        <f t="shared" ref="C3276:C3284" si="304">IF(B3276="Notification","Open",IF(B3276="Interim Statement","In progress","Closed"))</f>
        <v>Closed</v>
      </c>
      <c r="D3276" s="36" t="s">
        <v>18674</v>
      </c>
      <c r="E3276" s="38" t="s">
        <v>18675</v>
      </c>
      <c r="F3276" s="46" t="s">
        <v>17682</v>
      </c>
      <c r="G3276" s="88">
        <f>DATE(2021,3,26)</f>
        <v>44281</v>
      </c>
      <c r="H3276" s="80">
        <v>1.5486111111111112</v>
      </c>
      <c r="I3276" s="46" t="s">
        <v>73</v>
      </c>
      <c r="J3276" s="88" t="s">
        <v>18676</v>
      </c>
      <c r="K3276" s="46" t="s">
        <v>1574</v>
      </c>
      <c r="L3276" s="46" t="s">
        <v>12266</v>
      </c>
      <c r="M3276" s="46" t="s">
        <v>63</v>
      </c>
      <c r="N3276" s="46" t="s">
        <v>142</v>
      </c>
      <c r="O3276" s="46" t="s">
        <v>77</v>
      </c>
      <c r="P3276" s="88" t="s">
        <v>78</v>
      </c>
      <c r="Q3276" s="88" t="s">
        <v>18677</v>
      </c>
      <c r="R3276" s="88" t="s">
        <v>18064</v>
      </c>
      <c r="S3276" s="46">
        <v>0</v>
      </c>
      <c r="T3276" s="46">
        <v>0</v>
      </c>
      <c r="U3276" s="46">
        <v>0</v>
      </c>
      <c r="V3276" s="46">
        <v>0</v>
      </c>
      <c r="W3276" s="46">
        <v>0</v>
      </c>
      <c r="X3276" s="46">
        <v>0</v>
      </c>
      <c r="Y3276" s="46">
        <v>0</v>
      </c>
      <c r="Z3276" s="46">
        <v>0</v>
      </c>
      <c r="AA3276" s="46">
        <v>0</v>
      </c>
      <c r="AB3276" s="46">
        <v>0</v>
      </c>
      <c r="AC3276" s="46">
        <v>0</v>
      </c>
      <c r="AD3276" s="46">
        <v>0</v>
      </c>
      <c r="AE3276" s="88" t="s">
        <v>92</v>
      </c>
      <c r="AF3276" s="88" t="s">
        <v>18678</v>
      </c>
      <c r="AG3276" s="88" t="s">
        <v>8859</v>
      </c>
      <c r="AH3276" s="72">
        <v>44284</v>
      </c>
      <c r="AI3276" s="46">
        <v>1</v>
      </c>
      <c r="AJ3276" s="88" t="s">
        <v>18679</v>
      </c>
      <c r="AK3276" s="88" t="s">
        <v>18680</v>
      </c>
      <c r="AL3276" s="88"/>
      <c r="AM3276" s="88"/>
      <c r="AN3276" s="88">
        <v>44649</v>
      </c>
      <c r="AO3276" s="70">
        <v>44644</v>
      </c>
      <c r="AP3276" s="88"/>
      <c r="AQ3276" s="88"/>
      <c r="AR3276" s="88"/>
      <c r="AS3276" s="88"/>
      <c r="AT3276" s="88"/>
      <c r="AU3276" s="88"/>
      <c r="AV3276" s="88"/>
      <c r="AW3276" s="88"/>
      <c r="AX3276" s="88"/>
      <c r="AY3276" s="88"/>
      <c r="AZ3276" s="88"/>
      <c r="BA3276" s="88"/>
      <c r="BB3276" s="88"/>
      <c r="BC3276" s="88"/>
    </row>
    <row r="3277" spans="1:55" ht="36.75" customHeight="1">
      <c r="A3277" s="46" t="s">
        <v>12471</v>
      </c>
      <c r="B3277" s="46" t="s">
        <v>55</v>
      </c>
      <c r="C3277" s="69" t="str">
        <f t="shared" si="304"/>
        <v>Closed</v>
      </c>
      <c r="D3277" s="36" t="s">
        <v>18681</v>
      </c>
      <c r="E3277" s="38" t="s">
        <v>18682</v>
      </c>
      <c r="F3277" s="46" t="s">
        <v>17682</v>
      </c>
      <c r="G3277" s="88">
        <f>DATE(2021,3,29)</f>
        <v>44284</v>
      </c>
      <c r="H3277" s="90">
        <v>1.6458333333333335</v>
      </c>
      <c r="I3277" s="30" t="s">
        <v>6600</v>
      </c>
      <c r="J3277" s="88" t="s">
        <v>18683</v>
      </c>
      <c r="K3277" s="46" t="s">
        <v>1574</v>
      </c>
      <c r="L3277" s="46" t="s">
        <v>18684</v>
      </c>
      <c r="M3277" s="46" t="s">
        <v>129</v>
      </c>
      <c r="N3277" s="46" t="s">
        <v>142</v>
      </c>
      <c r="O3277" s="46" t="s">
        <v>64</v>
      </c>
      <c r="P3277" s="88" t="s">
        <v>18677</v>
      </c>
      <c r="Q3277" s="88" t="s">
        <v>18685</v>
      </c>
      <c r="R3277" s="88" t="s">
        <v>18685</v>
      </c>
      <c r="S3277" s="46">
        <v>0</v>
      </c>
      <c r="T3277" s="46">
        <v>0</v>
      </c>
      <c r="U3277" s="46">
        <v>0</v>
      </c>
      <c r="V3277" s="46">
        <v>0</v>
      </c>
      <c r="W3277" s="46">
        <v>0</v>
      </c>
      <c r="X3277" s="46">
        <v>0</v>
      </c>
      <c r="Y3277" s="46">
        <v>0</v>
      </c>
      <c r="Z3277" s="46">
        <v>0</v>
      </c>
      <c r="AA3277" s="46">
        <v>0</v>
      </c>
      <c r="AB3277" s="46">
        <v>0</v>
      </c>
      <c r="AC3277" s="46">
        <v>0</v>
      </c>
      <c r="AD3277" s="46">
        <v>0</v>
      </c>
      <c r="AE3277" s="88" t="s">
        <v>92</v>
      </c>
      <c r="AF3277" s="88" t="s">
        <v>18686</v>
      </c>
      <c r="AG3277" s="88" t="s">
        <v>16938</v>
      </c>
      <c r="AH3277" s="72">
        <v>44286</v>
      </c>
      <c r="AI3277" s="46">
        <v>0</v>
      </c>
      <c r="AJ3277" s="88" t="s">
        <v>18687</v>
      </c>
      <c r="AK3277" s="88" t="s">
        <v>18688</v>
      </c>
      <c r="AL3277" s="164"/>
      <c r="AM3277" s="164"/>
      <c r="AN3277" s="88">
        <v>44617</v>
      </c>
      <c r="AO3277" s="88">
        <v>44614</v>
      </c>
      <c r="AP3277" s="88"/>
      <c r="AQ3277" s="88"/>
      <c r="AR3277" s="88"/>
      <c r="AS3277" s="88"/>
      <c r="AT3277" s="88"/>
      <c r="AU3277" s="88"/>
      <c r="AV3277" s="88"/>
      <c r="AW3277" s="88"/>
      <c r="AX3277" s="88"/>
      <c r="AY3277" s="88"/>
      <c r="AZ3277" s="88"/>
      <c r="BA3277" s="88"/>
      <c r="BB3277" s="88"/>
      <c r="BC3277" s="88"/>
    </row>
    <row r="3278" spans="1:55" ht="36.75" customHeight="1">
      <c r="A3278" s="46" t="s">
        <v>12471</v>
      </c>
      <c r="B3278" s="46" t="s">
        <v>55</v>
      </c>
      <c r="C3278" s="69" t="str">
        <f t="shared" si="304"/>
        <v>Closed</v>
      </c>
      <c r="D3278" s="36" t="s">
        <v>18689</v>
      </c>
      <c r="E3278" s="38" t="s">
        <v>18690</v>
      </c>
      <c r="F3278" s="46" t="s">
        <v>17682</v>
      </c>
      <c r="G3278" s="88">
        <f>DATE(2021,3,30)</f>
        <v>44285</v>
      </c>
      <c r="H3278" s="90">
        <v>1.9444444444444446</v>
      </c>
      <c r="I3278" s="48" t="s">
        <v>73</v>
      </c>
      <c r="J3278" s="138" t="s">
        <v>18691</v>
      </c>
      <c r="K3278" s="46" t="s">
        <v>1574</v>
      </c>
      <c r="L3278" s="46" t="s">
        <v>18692</v>
      </c>
      <c r="M3278" s="46" t="s">
        <v>63</v>
      </c>
      <c r="N3278" s="46" t="s">
        <v>142</v>
      </c>
      <c r="O3278" s="46" t="s">
        <v>77</v>
      </c>
      <c r="P3278" s="88"/>
      <c r="Q3278" s="88" t="s">
        <v>18693</v>
      </c>
      <c r="R3278" s="88" t="s">
        <v>18064</v>
      </c>
      <c r="S3278" s="46">
        <v>0</v>
      </c>
      <c r="T3278" s="46">
        <v>0</v>
      </c>
      <c r="U3278" s="46">
        <v>0</v>
      </c>
      <c r="V3278" s="46">
        <v>0</v>
      </c>
      <c r="W3278" s="46">
        <v>0</v>
      </c>
      <c r="X3278" s="46">
        <v>0</v>
      </c>
      <c r="Y3278" s="46">
        <v>0</v>
      </c>
      <c r="Z3278" s="46">
        <v>0</v>
      </c>
      <c r="AA3278" s="46">
        <v>0</v>
      </c>
      <c r="AB3278" s="46">
        <v>0</v>
      </c>
      <c r="AC3278" s="46">
        <v>0</v>
      </c>
      <c r="AD3278" s="46">
        <v>0</v>
      </c>
      <c r="AE3278" s="88" t="s">
        <v>92</v>
      </c>
      <c r="AF3278" s="88" t="s">
        <v>18593</v>
      </c>
      <c r="AG3278" s="88" t="s">
        <v>8859</v>
      </c>
      <c r="AH3278" s="72">
        <v>44287</v>
      </c>
      <c r="AI3278" s="46">
        <v>0</v>
      </c>
      <c r="AJ3278" s="88" t="s">
        <v>18694</v>
      </c>
      <c r="AK3278" s="88" t="s">
        <v>18695</v>
      </c>
      <c r="AL3278" s="164"/>
      <c r="AM3278" s="164"/>
      <c r="AN3278" s="89">
        <v>44609</v>
      </c>
      <c r="AO3278" s="89">
        <v>44601</v>
      </c>
      <c r="AP3278" s="156" t="s">
        <v>18496</v>
      </c>
      <c r="AQ3278" s="140">
        <f>DATE(2021,4,6)</f>
        <v>44292</v>
      </c>
      <c r="AR3278" s="43">
        <f>DAY(AQ3278)</f>
        <v>6</v>
      </c>
      <c r="AS3278" s="43">
        <f>MONTH(AQ3278)</f>
        <v>4</v>
      </c>
      <c r="AT3278" s="43">
        <f>YEAR(AQ3278)</f>
        <v>2021</v>
      </c>
      <c r="AU3278" s="140"/>
      <c r="AV3278" s="140"/>
      <c r="AW3278" s="140"/>
      <c r="AX3278" s="140"/>
      <c r="AY3278" s="140"/>
      <c r="AZ3278" s="140"/>
      <c r="BA3278" s="140"/>
      <c r="BB3278" s="140"/>
    </row>
    <row r="3279" spans="1:55" ht="36.75" customHeight="1">
      <c r="A3279" s="30" t="s">
        <v>12471</v>
      </c>
      <c r="B3279" s="46" t="s">
        <v>55</v>
      </c>
      <c r="C3279" s="69" t="str">
        <f t="shared" si="304"/>
        <v>Closed</v>
      </c>
      <c r="D3279" s="37" t="s">
        <v>18696</v>
      </c>
      <c r="E3279" s="38" t="s">
        <v>18697</v>
      </c>
      <c r="F3279" s="46" t="s">
        <v>6455</v>
      </c>
      <c r="G3279" s="88">
        <f>DATE(2021,3,31)</f>
        <v>44286</v>
      </c>
      <c r="H3279" s="102">
        <v>0.75</v>
      </c>
      <c r="I3279" s="46" t="s">
        <v>18698</v>
      </c>
      <c r="J3279" s="88" t="s">
        <v>18699</v>
      </c>
      <c r="K3279" s="46" t="s">
        <v>584</v>
      </c>
      <c r="L3279" s="46" t="s">
        <v>18700</v>
      </c>
      <c r="M3279" s="46" t="s">
        <v>63</v>
      </c>
      <c r="N3279" s="46" t="s">
        <v>142</v>
      </c>
      <c r="O3279" s="46" t="s">
        <v>77</v>
      </c>
      <c r="P3279" s="88" t="s">
        <v>78</v>
      </c>
      <c r="Q3279" s="88" t="s">
        <v>18701</v>
      </c>
      <c r="R3279" s="88" t="s">
        <v>587</v>
      </c>
      <c r="S3279" s="46">
        <v>0</v>
      </c>
      <c r="T3279" s="46">
        <v>0</v>
      </c>
      <c r="U3279" s="46">
        <v>0</v>
      </c>
      <c r="V3279" s="46">
        <v>0</v>
      </c>
      <c r="W3279" s="46">
        <v>0</v>
      </c>
      <c r="X3279" s="46">
        <v>0</v>
      </c>
      <c r="Y3279" s="46">
        <v>0</v>
      </c>
      <c r="Z3279" s="46">
        <v>0</v>
      </c>
      <c r="AA3279" s="46">
        <v>0</v>
      </c>
      <c r="AB3279" s="46">
        <v>0</v>
      </c>
      <c r="AC3279" s="46">
        <v>0</v>
      </c>
      <c r="AD3279" s="46">
        <v>0</v>
      </c>
      <c r="AE3279" s="88" t="s">
        <v>145</v>
      </c>
      <c r="AF3279" s="88" t="s">
        <v>18702</v>
      </c>
      <c r="AG3279" s="88" t="s">
        <v>8859</v>
      </c>
      <c r="AH3279" s="72">
        <v>44287</v>
      </c>
      <c r="AI3279" s="46">
        <v>0</v>
      </c>
      <c r="AJ3279" s="88" t="s">
        <v>18703</v>
      </c>
      <c r="AK3279" s="88" t="s">
        <v>18704</v>
      </c>
      <c r="AL3279" s="72"/>
      <c r="AM3279" s="70">
        <v>45372</v>
      </c>
      <c r="AN3279" s="70">
        <v>45498</v>
      </c>
      <c r="AO3279" s="70">
        <v>45490</v>
      </c>
      <c r="AP3279" s="156" t="s">
        <v>17593</v>
      </c>
      <c r="AQ3279" s="140">
        <f>DATE(2021,4,7)</f>
        <v>44293</v>
      </c>
      <c r="AR3279" s="43">
        <f>DAY(AQ3279)</f>
        <v>7</v>
      </c>
      <c r="AS3279" s="43">
        <f>MONTH(AQ3279)</f>
        <v>4</v>
      </c>
      <c r="AT3279" s="43">
        <f>YEAR(AQ3279)</f>
        <v>2021</v>
      </c>
      <c r="AU3279" s="140"/>
      <c r="AV3279" s="140"/>
      <c r="AW3279" s="140"/>
      <c r="AX3279" s="140"/>
      <c r="AY3279" s="140"/>
      <c r="AZ3279" s="140"/>
      <c r="BA3279" s="140"/>
      <c r="BB3279" s="140"/>
    </row>
    <row r="3280" spans="1:55" ht="36.75" customHeight="1">
      <c r="A3280" s="46" t="s">
        <v>12471</v>
      </c>
      <c r="B3280" s="46" t="s">
        <v>55</v>
      </c>
      <c r="C3280" s="69" t="str">
        <f t="shared" si="304"/>
        <v>Closed</v>
      </c>
      <c r="D3280" s="36" t="s">
        <v>18705</v>
      </c>
      <c r="E3280" s="38" t="s">
        <v>18706</v>
      </c>
      <c r="F3280" s="46" t="s">
        <v>18131</v>
      </c>
      <c r="G3280" s="88">
        <f>DATE(2021,4,2)</f>
        <v>44288</v>
      </c>
      <c r="H3280" s="103" t="s">
        <v>18707</v>
      </c>
      <c r="I3280" s="46" t="s">
        <v>156</v>
      </c>
      <c r="J3280" s="46" t="s">
        <v>18708</v>
      </c>
      <c r="K3280" s="46" t="s">
        <v>379</v>
      </c>
      <c r="L3280" s="46" t="s">
        <v>18709</v>
      </c>
      <c r="M3280" s="46" t="s">
        <v>63</v>
      </c>
      <c r="N3280" s="46" t="s">
        <v>142</v>
      </c>
      <c r="O3280" s="46" t="s">
        <v>64</v>
      </c>
      <c r="P3280" s="46" t="s">
        <v>165</v>
      </c>
      <c r="Q3280" s="46" t="s">
        <v>18710</v>
      </c>
      <c r="R3280" s="46" t="s">
        <v>18710</v>
      </c>
      <c r="S3280" s="46">
        <v>0</v>
      </c>
      <c r="T3280" s="46">
        <v>0</v>
      </c>
      <c r="U3280" s="46">
        <v>0</v>
      </c>
      <c r="V3280" s="46">
        <v>0</v>
      </c>
      <c r="W3280" s="46">
        <v>0</v>
      </c>
      <c r="X3280" s="46">
        <v>0</v>
      </c>
      <c r="Y3280" s="46">
        <v>0</v>
      </c>
      <c r="Z3280" s="46">
        <v>0</v>
      </c>
      <c r="AA3280" s="46">
        <v>0</v>
      </c>
      <c r="AB3280" s="46">
        <v>0</v>
      </c>
      <c r="AC3280" s="46">
        <v>0</v>
      </c>
      <c r="AD3280" s="46">
        <v>0</v>
      </c>
      <c r="AE3280" s="46" t="s">
        <v>394</v>
      </c>
      <c r="AF3280" s="46" t="s">
        <v>18711</v>
      </c>
      <c r="AG3280" s="46" t="s">
        <v>14033</v>
      </c>
      <c r="AH3280" s="72">
        <f>DATE(2021,4,28)</f>
        <v>44314</v>
      </c>
      <c r="AI3280" s="46">
        <v>8</v>
      </c>
      <c r="AJ3280" s="46" t="s">
        <v>18712</v>
      </c>
      <c r="AK3280" s="46"/>
      <c r="AL3280" s="46"/>
      <c r="AM3280" s="46"/>
      <c r="AN3280" s="157">
        <v>45049</v>
      </c>
      <c r="AO3280" s="157">
        <v>44994</v>
      </c>
      <c r="AP3280" s="88"/>
      <c r="AQ3280" s="88"/>
      <c r="AR3280" s="88"/>
      <c r="AS3280" s="88"/>
      <c r="AT3280" s="88"/>
      <c r="AU3280" s="88"/>
      <c r="AV3280" s="88"/>
      <c r="AW3280" s="88"/>
      <c r="AX3280" s="88"/>
      <c r="AY3280" s="88"/>
      <c r="AZ3280" s="88"/>
      <c r="BA3280" s="88"/>
      <c r="BB3280" s="88"/>
      <c r="BC3280" s="88"/>
    </row>
    <row r="3281" spans="1:55" ht="36.75" customHeight="1">
      <c r="A3281" s="46" t="s">
        <v>12471</v>
      </c>
      <c r="B3281" s="46" t="s">
        <v>14882</v>
      </c>
      <c r="C3281" s="69" t="str">
        <f t="shared" si="304"/>
        <v>In progress</v>
      </c>
      <c r="D3281" s="36" t="s">
        <v>18713</v>
      </c>
      <c r="E3281" s="38" t="s">
        <v>18714</v>
      </c>
      <c r="F3281" s="46" t="s">
        <v>16429</v>
      </c>
      <c r="G3281" s="88">
        <f>DATE(2021,4,4)</f>
        <v>44290</v>
      </c>
      <c r="H3281" s="80">
        <v>1.5944444444444446</v>
      </c>
      <c r="I3281" s="46" t="s">
        <v>18698</v>
      </c>
      <c r="J3281" s="72" t="s">
        <v>18715</v>
      </c>
      <c r="K3281" s="46" t="s">
        <v>425</v>
      </c>
      <c r="L3281" s="46" t="s">
        <v>18716</v>
      </c>
      <c r="M3281" s="46" t="s">
        <v>63</v>
      </c>
      <c r="N3281" s="46" t="s">
        <v>142</v>
      </c>
      <c r="O3281" s="46" t="s">
        <v>77</v>
      </c>
      <c r="P3281" s="88" t="s">
        <v>18717</v>
      </c>
      <c r="Q3281" s="88" t="s">
        <v>18718</v>
      </c>
      <c r="R3281" s="88" t="s">
        <v>17369</v>
      </c>
      <c r="S3281" s="46">
        <v>0</v>
      </c>
      <c r="T3281" s="46">
        <v>1</v>
      </c>
      <c r="U3281" s="46">
        <v>0</v>
      </c>
      <c r="V3281" s="46">
        <v>0</v>
      </c>
      <c r="W3281" s="46">
        <v>0</v>
      </c>
      <c r="X3281" s="46">
        <v>1</v>
      </c>
      <c r="Y3281" s="46">
        <v>0</v>
      </c>
      <c r="Z3281" s="46">
        <v>1</v>
      </c>
      <c r="AA3281" s="46">
        <v>0</v>
      </c>
      <c r="AB3281" s="46">
        <v>0</v>
      </c>
      <c r="AC3281" s="46">
        <v>0</v>
      </c>
      <c r="AD3281" s="46">
        <v>1</v>
      </c>
      <c r="AE3281" s="88" t="s">
        <v>18719</v>
      </c>
      <c r="AF3281" s="88" t="s">
        <v>18720</v>
      </c>
      <c r="AG3281" s="88" t="s">
        <v>6459</v>
      </c>
      <c r="AH3281" s="72">
        <v>44290</v>
      </c>
      <c r="AI3281" s="46"/>
      <c r="AJ3281" s="88"/>
      <c r="AK3281" s="88"/>
      <c r="AL3281" s="88"/>
      <c r="AM3281" s="184" t="s">
        <v>18721</v>
      </c>
      <c r="AN3281" s="72"/>
      <c r="AO3281" s="72"/>
      <c r="AP3281" s="46"/>
      <c r="AQ3281" s="46"/>
      <c r="AR3281" s="46"/>
      <c r="AS3281" s="46"/>
      <c r="AT3281" s="46"/>
      <c r="AU3281" s="46"/>
      <c r="AV3281" s="46"/>
      <c r="AW3281" s="46"/>
      <c r="AX3281" s="46"/>
      <c r="AY3281" s="46"/>
      <c r="AZ3281" s="46"/>
      <c r="BA3281" s="46"/>
      <c r="BB3281" s="46"/>
      <c r="BC3281" s="46"/>
    </row>
    <row r="3282" spans="1:55" ht="36.75" customHeight="1">
      <c r="A3282" s="46" t="s">
        <v>12471</v>
      </c>
      <c r="B3282" s="46" t="s">
        <v>55</v>
      </c>
      <c r="C3282" s="69" t="str">
        <f t="shared" si="304"/>
        <v>Closed</v>
      </c>
      <c r="D3282" s="36" t="s">
        <v>18722</v>
      </c>
      <c r="E3282" s="38" t="s">
        <v>18723</v>
      </c>
      <c r="F3282" s="46" t="s">
        <v>17057</v>
      </c>
      <c r="G3282" s="88">
        <f>DATE(2021,4,4)</f>
        <v>44290</v>
      </c>
      <c r="H3282" s="90">
        <v>1.3819444444444444</v>
      </c>
      <c r="I3282" s="30" t="s">
        <v>116</v>
      </c>
      <c r="J3282" s="88" t="s">
        <v>18724</v>
      </c>
      <c r="K3282" s="46" t="s">
        <v>2338</v>
      </c>
      <c r="L3282" s="46" t="s">
        <v>18725</v>
      </c>
      <c r="M3282" s="46" t="s">
        <v>63</v>
      </c>
      <c r="N3282" s="46" t="s">
        <v>99</v>
      </c>
      <c r="O3282" s="46" t="s">
        <v>64</v>
      </c>
      <c r="P3282" s="88">
        <v>0</v>
      </c>
      <c r="Q3282" s="88" t="s">
        <v>18726</v>
      </c>
      <c r="R3282" s="88" t="s">
        <v>2341</v>
      </c>
      <c r="S3282" s="46">
        <v>0</v>
      </c>
      <c r="T3282" s="46">
        <v>0</v>
      </c>
      <c r="U3282" s="46">
        <v>1</v>
      </c>
      <c r="V3282" s="46">
        <v>0</v>
      </c>
      <c r="W3282" s="46">
        <v>0</v>
      </c>
      <c r="X3282" s="46">
        <v>1</v>
      </c>
      <c r="Y3282" s="46">
        <v>0</v>
      </c>
      <c r="Z3282" s="46">
        <v>0</v>
      </c>
      <c r="AA3282" s="46">
        <v>0</v>
      </c>
      <c r="AB3282" s="46">
        <v>0</v>
      </c>
      <c r="AC3282" s="46">
        <v>0</v>
      </c>
      <c r="AD3282" s="46">
        <v>0</v>
      </c>
      <c r="AE3282" s="88" t="s">
        <v>92</v>
      </c>
      <c r="AF3282" s="88" t="s">
        <v>18727</v>
      </c>
      <c r="AG3282" s="88" t="s">
        <v>6459</v>
      </c>
      <c r="AH3282" s="72">
        <v>44295</v>
      </c>
      <c r="AI3282" s="46">
        <v>3</v>
      </c>
      <c r="AJ3282" s="88" t="s">
        <v>18728</v>
      </c>
      <c r="AK3282" s="88" t="s">
        <v>18729</v>
      </c>
      <c r="AL3282" s="88"/>
      <c r="AM3282" s="88"/>
      <c r="AN3282" s="89">
        <v>44636</v>
      </c>
      <c r="AO3282" s="89">
        <v>44615</v>
      </c>
      <c r="AP3282" s="164"/>
      <c r="AQ3282" s="164"/>
      <c r="AR3282" s="164"/>
      <c r="AS3282" s="164"/>
      <c r="AT3282" s="164"/>
      <c r="AU3282" s="164"/>
      <c r="AV3282" s="164"/>
      <c r="AW3282" s="164"/>
      <c r="AX3282" s="164"/>
      <c r="AY3282" s="164"/>
      <c r="AZ3282" s="164"/>
      <c r="BA3282" s="164"/>
      <c r="BB3282" s="164"/>
      <c r="BC3282" s="164"/>
    </row>
    <row r="3283" spans="1:55" ht="36.75" customHeight="1">
      <c r="A3283" s="46" t="s">
        <v>12471</v>
      </c>
      <c r="B3283" s="46" t="s">
        <v>55</v>
      </c>
      <c r="C3283" s="69" t="str">
        <f t="shared" si="304"/>
        <v>Closed</v>
      </c>
      <c r="D3283" s="36" t="s">
        <v>18730</v>
      </c>
      <c r="E3283" s="38" t="s">
        <v>18731</v>
      </c>
      <c r="F3283" s="46" t="s">
        <v>17578</v>
      </c>
      <c r="G3283" s="88">
        <f>DATE(2021,4,5)</f>
        <v>44291</v>
      </c>
      <c r="H3283" s="102">
        <v>1.5451388888888888</v>
      </c>
      <c r="I3283" s="46" t="s">
        <v>86</v>
      </c>
      <c r="J3283" s="88" t="s">
        <v>18732</v>
      </c>
      <c r="K3283" s="46" t="s">
        <v>837</v>
      </c>
      <c r="L3283" s="46" t="s">
        <v>11526</v>
      </c>
      <c r="M3283" s="46" t="s">
        <v>63</v>
      </c>
      <c r="N3283" s="46" t="s">
        <v>89</v>
      </c>
      <c r="O3283" s="46" t="s">
        <v>77</v>
      </c>
      <c r="P3283" s="88" t="s">
        <v>65</v>
      </c>
      <c r="Q3283" s="88" t="s">
        <v>2162</v>
      </c>
      <c r="R3283" s="88" t="s">
        <v>840</v>
      </c>
      <c r="S3283" s="46">
        <v>0</v>
      </c>
      <c r="T3283" s="46">
        <v>0</v>
      </c>
      <c r="U3283" s="46">
        <v>0</v>
      </c>
      <c r="V3283" s="46">
        <v>0</v>
      </c>
      <c r="W3283" s="46">
        <v>0</v>
      </c>
      <c r="X3283" s="46">
        <v>0</v>
      </c>
      <c r="Y3283" s="46">
        <v>0</v>
      </c>
      <c r="Z3283" s="46">
        <v>0</v>
      </c>
      <c r="AA3283" s="46">
        <v>0</v>
      </c>
      <c r="AB3283" s="46">
        <v>0</v>
      </c>
      <c r="AC3283" s="46">
        <v>0</v>
      </c>
      <c r="AD3283" s="46">
        <v>0</v>
      </c>
      <c r="AE3283" s="88" t="s">
        <v>92</v>
      </c>
      <c r="AF3283" s="88" t="s">
        <v>17864</v>
      </c>
      <c r="AG3283" s="88" t="s">
        <v>13537</v>
      </c>
      <c r="AH3283" s="72">
        <v>44291</v>
      </c>
      <c r="AI3283" s="46">
        <v>0</v>
      </c>
      <c r="AJ3283" s="88" t="s">
        <v>18733</v>
      </c>
      <c r="AK3283" s="88" t="s">
        <v>18734</v>
      </c>
      <c r="AL3283" s="88"/>
      <c r="AM3283" s="88"/>
      <c r="AN3283" s="70">
        <v>44656</v>
      </c>
      <c r="AO3283" s="70">
        <v>44628</v>
      </c>
      <c r="AP3283" s="88"/>
      <c r="AQ3283" s="88"/>
      <c r="AR3283" s="88"/>
      <c r="AS3283" s="88"/>
      <c r="AT3283" s="88"/>
      <c r="AU3283" s="88"/>
      <c r="AV3283" s="88"/>
      <c r="AW3283" s="88"/>
      <c r="AX3283" s="88"/>
      <c r="AY3283" s="88"/>
      <c r="AZ3283" s="88"/>
      <c r="BA3283" s="88"/>
      <c r="BB3283" s="88"/>
      <c r="BC3283" s="88"/>
    </row>
    <row r="3284" spans="1:55" ht="36.75" customHeight="1">
      <c r="A3284" s="46" t="s">
        <v>12471</v>
      </c>
      <c r="B3284" s="46" t="s">
        <v>55</v>
      </c>
      <c r="C3284" s="69" t="str">
        <f t="shared" si="304"/>
        <v>Closed</v>
      </c>
      <c r="D3284" s="36" t="s">
        <v>18735</v>
      </c>
      <c r="E3284" s="38" t="s">
        <v>18736</v>
      </c>
      <c r="F3284" s="46" t="s">
        <v>17682</v>
      </c>
      <c r="G3284" s="88">
        <f>DATE(2021,4,6)</f>
        <v>44292</v>
      </c>
      <c r="H3284" s="102">
        <v>1.0694444444444444</v>
      </c>
      <c r="I3284" s="46" t="s">
        <v>73</v>
      </c>
      <c r="J3284" s="185" t="s">
        <v>18737</v>
      </c>
      <c r="K3284" s="46" t="s">
        <v>1574</v>
      </c>
      <c r="L3284" s="46" t="s">
        <v>18738</v>
      </c>
      <c r="M3284" s="46" t="s">
        <v>63</v>
      </c>
      <c r="N3284" s="46" t="s">
        <v>142</v>
      </c>
      <c r="O3284" s="46" t="s">
        <v>77</v>
      </c>
      <c r="P3284" s="88">
        <v>0</v>
      </c>
      <c r="Q3284" s="88" t="s">
        <v>18739</v>
      </c>
      <c r="R3284" s="88" t="s">
        <v>18064</v>
      </c>
      <c r="S3284" s="46">
        <v>0</v>
      </c>
      <c r="T3284" s="46">
        <v>0</v>
      </c>
      <c r="U3284" s="46">
        <v>0</v>
      </c>
      <c r="V3284" s="46">
        <v>0</v>
      </c>
      <c r="W3284" s="46">
        <v>0</v>
      </c>
      <c r="X3284" s="46">
        <v>0</v>
      </c>
      <c r="Y3284" s="46">
        <v>0</v>
      </c>
      <c r="Z3284" s="46">
        <v>0</v>
      </c>
      <c r="AA3284" s="46">
        <v>0</v>
      </c>
      <c r="AB3284" s="46">
        <v>0</v>
      </c>
      <c r="AC3284" s="46">
        <v>0</v>
      </c>
      <c r="AD3284" s="46">
        <v>0</v>
      </c>
      <c r="AE3284" s="88" t="s">
        <v>92</v>
      </c>
      <c r="AF3284" s="88" t="s">
        <v>18740</v>
      </c>
      <c r="AG3284" s="88" t="s">
        <v>8859</v>
      </c>
      <c r="AH3284" s="72">
        <v>44293</v>
      </c>
      <c r="AI3284" s="46">
        <v>0</v>
      </c>
      <c r="AJ3284" s="88" t="s">
        <v>18741</v>
      </c>
      <c r="AK3284" s="88" t="s">
        <v>18742</v>
      </c>
      <c r="AL3284" s="140"/>
      <c r="AM3284" s="140"/>
      <c r="AN3284" s="140">
        <v>44631</v>
      </c>
      <c r="AO3284" s="140">
        <v>44623</v>
      </c>
    </row>
    <row r="3285" spans="1:55" ht="36.75" customHeight="1">
      <c r="A3285" s="46"/>
      <c r="B3285" s="48" t="s">
        <v>55</v>
      </c>
      <c r="C3285" s="69" t="s">
        <v>18034</v>
      </c>
      <c r="D3285" s="36" t="s">
        <v>18743</v>
      </c>
      <c r="E3285" s="38" t="s">
        <v>18744</v>
      </c>
      <c r="F3285" s="46" t="s">
        <v>17578</v>
      </c>
      <c r="G3285" s="88">
        <f>DATE(2021,4,7)</f>
        <v>44293</v>
      </c>
      <c r="H3285" s="103">
        <v>0.73263888888888884</v>
      </c>
      <c r="I3285" s="46" t="s">
        <v>2078</v>
      </c>
      <c r="J3285" s="88" t="s">
        <v>18745</v>
      </c>
      <c r="K3285" s="46" t="s">
        <v>837</v>
      </c>
      <c r="L3285" s="46" t="s">
        <v>18746</v>
      </c>
      <c r="M3285" s="46" t="s">
        <v>63</v>
      </c>
      <c r="N3285" s="46" t="s">
        <v>142</v>
      </c>
      <c r="O3285" s="46" t="s">
        <v>77</v>
      </c>
      <c r="P3285" s="88" t="s">
        <v>165</v>
      </c>
      <c r="Q3285" s="88" t="s">
        <v>2162</v>
      </c>
      <c r="R3285" s="88" t="s">
        <v>840</v>
      </c>
      <c r="S3285" s="46">
        <v>0</v>
      </c>
      <c r="T3285" s="46">
        <v>0</v>
      </c>
      <c r="U3285" s="46">
        <v>0</v>
      </c>
      <c r="V3285" s="46">
        <v>0</v>
      </c>
      <c r="W3285" s="46">
        <v>0</v>
      </c>
      <c r="X3285" s="46">
        <v>0</v>
      </c>
      <c r="Y3285" s="46">
        <v>0</v>
      </c>
      <c r="Z3285" s="46">
        <v>0</v>
      </c>
      <c r="AA3285" s="46">
        <v>0</v>
      </c>
      <c r="AB3285" s="46">
        <v>0</v>
      </c>
      <c r="AC3285" s="46">
        <v>0</v>
      </c>
      <c r="AD3285" s="46">
        <v>0</v>
      </c>
      <c r="AE3285" s="88" t="s">
        <v>18039</v>
      </c>
      <c r="AF3285" s="88" t="s">
        <v>18040</v>
      </c>
      <c r="AG3285" s="89" t="s">
        <v>14033</v>
      </c>
      <c r="AH3285" s="72">
        <f>DATE(2021,4,7)</f>
        <v>44293</v>
      </c>
      <c r="AI3285" s="46">
        <v>0</v>
      </c>
      <c r="AJ3285" s="88" t="s">
        <v>18747</v>
      </c>
      <c r="AK3285" s="88" t="s">
        <v>18748</v>
      </c>
      <c r="AL3285" s="88">
        <f>DATE(2021,4,7)</f>
        <v>44293</v>
      </c>
      <c r="AM3285" s="88"/>
      <c r="AN3285" s="89">
        <v>45012</v>
      </c>
      <c r="AO3285" s="89">
        <v>44628</v>
      </c>
      <c r="AP3285" s="156" t="s">
        <v>17841</v>
      </c>
      <c r="AQ3285" s="140">
        <f>DATE(2021,5,5)</f>
        <v>44321</v>
      </c>
      <c r="AR3285" s="43">
        <f>DAY(AQ3285)</f>
        <v>5</v>
      </c>
      <c r="AS3285" s="43">
        <f>MONTH(AQ3285)</f>
        <v>5</v>
      </c>
      <c r="AT3285" s="43">
        <f>YEAR(AQ3285)</f>
        <v>2021</v>
      </c>
      <c r="AU3285" s="140"/>
      <c r="AV3285" s="140"/>
      <c r="AW3285" s="140"/>
      <c r="AX3285" s="140"/>
      <c r="AY3285" s="140"/>
      <c r="AZ3285" s="140"/>
      <c r="BA3285" s="140"/>
      <c r="BB3285" s="140"/>
    </row>
    <row r="3286" spans="1:55" ht="36.75" customHeight="1">
      <c r="A3286" s="46"/>
      <c r="B3286" s="46" t="s">
        <v>55</v>
      </c>
      <c r="C3286" s="69" t="s">
        <v>18034</v>
      </c>
      <c r="D3286" s="36" t="s">
        <v>18749</v>
      </c>
      <c r="E3286" s="38" t="s">
        <v>18750</v>
      </c>
      <c r="F3286" s="46" t="s">
        <v>17578</v>
      </c>
      <c r="G3286" s="88">
        <f>DATE(2021,4,7)</f>
        <v>44293</v>
      </c>
      <c r="H3286" s="142">
        <v>1.9618055555555554</v>
      </c>
      <c r="I3286" s="46" t="s">
        <v>86</v>
      </c>
      <c r="J3286" s="46" t="s">
        <v>18751</v>
      </c>
      <c r="K3286" s="46" t="s">
        <v>837</v>
      </c>
      <c r="L3286" s="46" t="s">
        <v>18752</v>
      </c>
      <c r="M3286" s="46" t="s">
        <v>63</v>
      </c>
      <c r="N3286" s="46" t="s">
        <v>142</v>
      </c>
      <c r="O3286" s="46" t="s">
        <v>77</v>
      </c>
      <c r="P3286" s="46" t="s">
        <v>165</v>
      </c>
      <c r="Q3286" s="46" t="s">
        <v>18753</v>
      </c>
      <c r="R3286" s="46" t="s">
        <v>840</v>
      </c>
      <c r="S3286" s="46">
        <v>0</v>
      </c>
      <c r="T3286" s="46">
        <v>0</v>
      </c>
      <c r="U3286" s="46">
        <v>0</v>
      </c>
      <c r="V3286" s="46">
        <v>0</v>
      </c>
      <c r="W3286" s="46">
        <v>0</v>
      </c>
      <c r="X3286" s="46">
        <v>0</v>
      </c>
      <c r="Y3286" s="46">
        <v>0</v>
      </c>
      <c r="Z3286" s="46">
        <v>0</v>
      </c>
      <c r="AA3286" s="46">
        <v>0</v>
      </c>
      <c r="AB3286" s="46">
        <v>0</v>
      </c>
      <c r="AC3286" s="46">
        <v>0</v>
      </c>
      <c r="AD3286" s="46">
        <v>0</v>
      </c>
      <c r="AE3286" s="46" t="s">
        <v>92</v>
      </c>
      <c r="AF3286" s="46" t="s">
        <v>18754</v>
      </c>
      <c r="AG3286" s="46" t="s">
        <v>8859</v>
      </c>
      <c r="AH3286" s="72">
        <v>44557</v>
      </c>
      <c r="AI3286" s="46">
        <v>0</v>
      </c>
      <c r="AJ3286" s="46" t="s">
        <v>18755</v>
      </c>
      <c r="AK3286" s="46" t="s">
        <v>18756</v>
      </c>
      <c r="AL3286" s="186">
        <v>44564</v>
      </c>
      <c r="AM3286" s="134"/>
      <c r="AN3286" s="140">
        <v>45012</v>
      </c>
      <c r="AO3286" s="140">
        <v>44747</v>
      </c>
      <c r="AP3286" s="156" t="s">
        <v>17841</v>
      </c>
      <c r="AQ3286" s="140">
        <f>DATE(2021,5,5)</f>
        <v>44321</v>
      </c>
      <c r="AR3286" s="43">
        <f>DAY(AQ3286)</f>
        <v>5</v>
      </c>
      <c r="AS3286" s="43">
        <f>MONTH(AQ3286)</f>
        <v>5</v>
      </c>
      <c r="AT3286" s="43">
        <f>YEAR(AQ3286)</f>
        <v>2021</v>
      </c>
      <c r="AU3286" s="140"/>
      <c r="AV3286" s="140"/>
      <c r="AW3286" s="140"/>
      <c r="AX3286" s="140"/>
      <c r="AY3286" s="140"/>
      <c r="AZ3286" s="140"/>
      <c r="BA3286" s="140"/>
      <c r="BB3286" s="140"/>
    </row>
    <row r="3287" spans="1:55" ht="36.75" customHeight="1">
      <c r="A3287" s="46" t="s">
        <v>12471</v>
      </c>
      <c r="B3287" s="46" t="s">
        <v>55</v>
      </c>
      <c r="C3287" s="69" t="str">
        <f t="shared" ref="C3287:C3297" si="305">IF(B3287="Notification","Open",IF(B3287="Interim Statement","In progress","Closed"))</f>
        <v>Closed</v>
      </c>
      <c r="D3287" s="36" t="s">
        <v>18757</v>
      </c>
      <c r="E3287" s="38" t="s">
        <v>18758</v>
      </c>
      <c r="F3287" s="46" t="s">
        <v>17682</v>
      </c>
      <c r="G3287" s="88">
        <f>DATE(2021,4,9)</f>
        <v>44295</v>
      </c>
      <c r="H3287" s="90">
        <v>1.5694444444444444</v>
      </c>
      <c r="I3287" s="46" t="s">
        <v>73</v>
      </c>
      <c r="J3287" s="88" t="s">
        <v>18759</v>
      </c>
      <c r="K3287" s="46" t="s">
        <v>1574</v>
      </c>
      <c r="L3287" s="46" t="s">
        <v>18760</v>
      </c>
      <c r="M3287" s="46" t="s">
        <v>63</v>
      </c>
      <c r="N3287" s="46" t="s">
        <v>99</v>
      </c>
      <c r="O3287" s="46" t="s">
        <v>64</v>
      </c>
      <c r="P3287" s="88">
        <v>0</v>
      </c>
      <c r="Q3287" s="88" t="s">
        <v>18761</v>
      </c>
      <c r="R3287" s="88" t="s">
        <v>18761</v>
      </c>
      <c r="S3287" s="46">
        <v>0</v>
      </c>
      <c r="T3287" s="46">
        <v>0</v>
      </c>
      <c r="U3287" s="46">
        <v>0</v>
      </c>
      <c r="V3287" s="46">
        <v>0</v>
      </c>
      <c r="W3287" s="46">
        <v>0</v>
      </c>
      <c r="X3287" s="46">
        <v>0</v>
      </c>
      <c r="Y3287" s="46">
        <v>0</v>
      </c>
      <c r="Z3287" s="46">
        <v>0</v>
      </c>
      <c r="AA3287" s="46">
        <v>0</v>
      </c>
      <c r="AB3287" s="46">
        <v>0</v>
      </c>
      <c r="AC3287" s="46">
        <v>0</v>
      </c>
      <c r="AD3287" s="46">
        <v>0</v>
      </c>
      <c r="AE3287" s="88" t="s">
        <v>92</v>
      </c>
      <c r="AF3287" s="88" t="s">
        <v>18593</v>
      </c>
      <c r="AG3287" s="89" t="s">
        <v>8859</v>
      </c>
      <c r="AH3287" s="72">
        <v>44298</v>
      </c>
      <c r="AI3287" s="46">
        <v>0</v>
      </c>
      <c r="AJ3287" s="88" t="s">
        <v>18762</v>
      </c>
      <c r="AK3287" s="88" t="s">
        <v>18763</v>
      </c>
      <c r="AL3287" s="91"/>
      <c r="AM3287" s="91"/>
      <c r="AN3287" s="91">
        <v>44620</v>
      </c>
      <c r="AO3287" s="91">
        <v>44615</v>
      </c>
      <c r="AP3287" s="156" t="s">
        <v>17841</v>
      </c>
      <c r="AQ3287" s="140">
        <f>DATE(2021,5,6)</f>
        <v>44322</v>
      </c>
      <c r="AR3287" s="43">
        <f>DAY(AQ3287)</f>
        <v>6</v>
      </c>
      <c r="AS3287" s="43">
        <f>MONTH(AQ3287)</f>
        <v>5</v>
      </c>
      <c r="AT3287" s="43">
        <f>YEAR(AQ3287)</f>
        <v>2021</v>
      </c>
      <c r="AU3287" s="140"/>
      <c r="AV3287" s="140"/>
      <c r="AW3287" s="140"/>
      <c r="AX3287" s="140"/>
      <c r="AY3287" s="140"/>
      <c r="AZ3287" s="140"/>
      <c r="BA3287" s="140"/>
      <c r="BB3287" s="140"/>
    </row>
    <row r="3288" spans="1:55" ht="36.75" customHeight="1">
      <c r="A3288" s="46" t="s">
        <v>12471</v>
      </c>
      <c r="B3288" s="46" t="s">
        <v>55</v>
      </c>
      <c r="C3288" s="69" t="str">
        <f t="shared" si="305"/>
        <v>Closed</v>
      </c>
      <c r="D3288" s="36" t="s">
        <v>18764</v>
      </c>
      <c r="E3288" s="38" t="s">
        <v>18765</v>
      </c>
      <c r="F3288" s="46" t="s">
        <v>17682</v>
      </c>
      <c r="G3288" s="88">
        <f>DATE(2021,4,11)</f>
        <v>44297</v>
      </c>
      <c r="H3288" s="90">
        <v>1.4166666666666667</v>
      </c>
      <c r="I3288" s="46" t="s">
        <v>73</v>
      </c>
      <c r="J3288" s="88" t="s">
        <v>18766</v>
      </c>
      <c r="K3288" s="46" t="s">
        <v>1574</v>
      </c>
      <c r="L3288" s="46" t="s">
        <v>18767</v>
      </c>
      <c r="M3288" s="46" t="s">
        <v>63</v>
      </c>
      <c r="N3288" s="46" t="s">
        <v>142</v>
      </c>
      <c r="O3288" s="46" t="s">
        <v>64</v>
      </c>
      <c r="P3288" s="46" t="s">
        <v>78</v>
      </c>
      <c r="Q3288" s="46" t="s">
        <v>18761</v>
      </c>
      <c r="R3288" s="46" t="s">
        <v>18761</v>
      </c>
      <c r="S3288" s="46">
        <v>0</v>
      </c>
      <c r="T3288" s="46">
        <v>0</v>
      </c>
      <c r="U3288" s="46">
        <v>0</v>
      </c>
      <c r="V3288" s="46">
        <v>0</v>
      </c>
      <c r="W3288" s="46">
        <v>0</v>
      </c>
      <c r="X3288" s="46">
        <v>0</v>
      </c>
      <c r="Y3288" s="46">
        <v>0</v>
      </c>
      <c r="Z3288" s="46">
        <v>0</v>
      </c>
      <c r="AA3288" s="46">
        <v>0</v>
      </c>
      <c r="AB3288" s="46">
        <v>0</v>
      </c>
      <c r="AC3288" s="46">
        <v>0</v>
      </c>
      <c r="AD3288" s="46">
        <v>0</v>
      </c>
      <c r="AE3288" s="29" t="s">
        <v>92</v>
      </c>
      <c r="AF3288" s="46" t="s">
        <v>18768</v>
      </c>
      <c r="AG3288" s="46" t="s">
        <v>8859</v>
      </c>
      <c r="AH3288" s="72">
        <v>44298</v>
      </c>
      <c r="AI3288" s="46">
        <v>1</v>
      </c>
      <c r="AJ3288" s="46" t="s">
        <v>18769</v>
      </c>
      <c r="AK3288" s="46" t="s">
        <v>18770</v>
      </c>
      <c r="AL3288" s="46"/>
      <c r="AM3288" s="46"/>
      <c r="AN3288" s="88">
        <v>44669</v>
      </c>
      <c r="AO3288" s="88">
        <v>44657</v>
      </c>
      <c r="AP3288" s="159" t="s">
        <v>17841</v>
      </c>
      <c r="AQ3288" s="88">
        <f>DATE(2021,5,10)</f>
        <v>44326</v>
      </c>
      <c r="AR3288" s="45">
        <f>DAY(AQ3288)</f>
        <v>10</v>
      </c>
      <c r="AS3288" s="45">
        <f>MONTH(AQ3288)</f>
        <v>5</v>
      </c>
      <c r="AT3288" s="45">
        <f>YEAR(AQ3288)</f>
        <v>2021</v>
      </c>
      <c r="AU3288" s="88"/>
      <c r="AV3288" s="88"/>
      <c r="AW3288" s="88"/>
      <c r="AX3288" s="88"/>
      <c r="AY3288" s="88"/>
      <c r="AZ3288" s="88"/>
      <c r="BA3288" s="88"/>
      <c r="BB3288" s="88"/>
      <c r="BC3288" s="46" t="s">
        <v>13254</v>
      </c>
    </row>
    <row r="3289" spans="1:55" ht="36.75" customHeight="1">
      <c r="A3289" s="46" t="s">
        <v>12471</v>
      </c>
      <c r="B3289" s="46" t="s">
        <v>55</v>
      </c>
      <c r="C3289" s="69" t="str">
        <f t="shared" si="305"/>
        <v>Closed</v>
      </c>
      <c r="D3289" s="36" t="s">
        <v>18771</v>
      </c>
      <c r="E3289" s="38" t="s">
        <v>18772</v>
      </c>
      <c r="F3289" s="46" t="s">
        <v>17344</v>
      </c>
      <c r="G3289" s="88">
        <f>DATE(2021,4,14)</f>
        <v>44300</v>
      </c>
      <c r="H3289" s="102">
        <v>1.6770833333333335</v>
      </c>
      <c r="I3289" s="46" t="s">
        <v>86</v>
      </c>
      <c r="J3289" s="88" t="s">
        <v>18773</v>
      </c>
      <c r="K3289" s="46" t="s">
        <v>127</v>
      </c>
      <c r="L3289" s="46" t="s">
        <v>18774</v>
      </c>
      <c r="M3289" s="46" t="s">
        <v>63</v>
      </c>
      <c r="N3289" s="46" t="s">
        <v>142</v>
      </c>
      <c r="O3289" s="46" t="s">
        <v>77</v>
      </c>
      <c r="P3289" s="88" t="s">
        <v>6902</v>
      </c>
      <c r="Q3289" s="88" t="s">
        <v>17730</v>
      </c>
      <c r="R3289" s="88" t="s">
        <v>167</v>
      </c>
      <c r="S3289" s="46">
        <v>0</v>
      </c>
      <c r="T3289" s="46">
        <v>0</v>
      </c>
      <c r="U3289" s="46">
        <v>0</v>
      </c>
      <c r="V3289" s="46">
        <v>0</v>
      </c>
      <c r="W3289" s="46">
        <v>0</v>
      </c>
      <c r="X3289" s="46">
        <v>0</v>
      </c>
      <c r="Y3289" s="46">
        <v>0</v>
      </c>
      <c r="Z3289" s="46">
        <v>0</v>
      </c>
      <c r="AA3289" s="46">
        <v>0</v>
      </c>
      <c r="AB3289" s="46">
        <v>0</v>
      </c>
      <c r="AC3289" s="46">
        <v>0</v>
      </c>
      <c r="AD3289" s="46">
        <v>0</v>
      </c>
      <c r="AE3289" s="88" t="s">
        <v>92</v>
      </c>
      <c r="AF3289" s="88" t="s">
        <v>18775</v>
      </c>
      <c r="AG3289" s="88" t="s">
        <v>8859</v>
      </c>
      <c r="AH3289" s="72">
        <v>44303</v>
      </c>
      <c r="AI3289" s="46">
        <v>0</v>
      </c>
      <c r="AJ3289" s="88" t="s">
        <v>18776</v>
      </c>
      <c r="AK3289" s="88" t="s">
        <v>18777</v>
      </c>
      <c r="AL3289" s="88"/>
      <c r="AM3289" s="88"/>
      <c r="AN3289" s="88">
        <v>44845</v>
      </c>
      <c r="AO3289" s="88">
        <v>44834</v>
      </c>
      <c r="AP3289" s="134" t="s">
        <v>18778</v>
      </c>
      <c r="AQ3289" s="134" t="s">
        <v>6455</v>
      </c>
      <c r="AR3289" s="140">
        <f>DATE(2021,5,12)</f>
        <v>44328</v>
      </c>
      <c r="AS3289" s="187">
        <v>6.5972222222222196E-2</v>
      </c>
      <c r="AT3289" s="134" t="s">
        <v>73</v>
      </c>
      <c r="AU3289" s="134" t="s">
        <v>18779</v>
      </c>
      <c r="AV3289" s="134" t="s">
        <v>584</v>
      </c>
      <c r="AW3289" s="134" t="s">
        <v>18780</v>
      </c>
      <c r="AX3289" s="134" t="s">
        <v>63</v>
      </c>
      <c r="AY3289" s="134" t="s">
        <v>99</v>
      </c>
      <c r="AZ3289" s="134" t="s">
        <v>77</v>
      </c>
      <c r="BA3289" s="134" t="s">
        <v>18781</v>
      </c>
      <c r="BB3289" s="134" t="s">
        <v>18782</v>
      </c>
    </row>
    <row r="3290" spans="1:55" ht="36.75" customHeight="1">
      <c r="A3290" s="30" t="s">
        <v>12471</v>
      </c>
      <c r="B3290" s="30" t="s">
        <v>55</v>
      </c>
      <c r="C3290" s="69" t="str">
        <f t="shared" si="305"/>
        <v>Closed</v>
      </c>
      <c r="D3290" s="36" t="s">
        <v>18783</v>
      </c>
      <c r="E3290" s="29" t="s">
        <v>18784</v>
      </c>
      <c r="F3290" s="30" t="s">
        <v>17578</v>
      </c>
      <c r="G3290" s="72">
        <f>DATE(2021,4,20)</f>
        <v>44306</v>
      </c>
      <c r="H3290" s="188"/>
      <c r="I3290" s="30" t="s">
        <v>116</v>
      </c>
      <c r="J3290" s="72" t="s">
        <v>18785</v>
      </c>
      <c r="K3290" s="30" t="s">
        <v>837</v>
      </c>
      <c r="L3290" s="30" t="s">
        <v>18786</v>
      </c>
      <c r="M3290" s="30" t="s">
        <v>63</v>
      </c>
      <c r="N3290" s="46" t="s">
        <v>99</v>
      </c>
      <c r="O3290" s="30" t="s">
        <v>64</v>
      </c>
      <c r="P3290" s="72" t="s">
        <v>165</v>
      </c>
      <c r="Q3290" s="72" t="s">
        <v>18787</v>
      </c>
      <c r="R3290" s="72" t="s">
        <v>18788</v>
      </c>
      <c r="S3290" s="30">
        <v>0</v>
      </c>
      <c r="T3290" s="30">
        <v>0</v>
      </c>
      <c r="U3290" s="30">
        <v>1</v>
      </c>
      <c r="V3290" s="30">
        <v>0</v>
      </c>
      <c r="W3290" s="30">
        <v>0</v>
      </c>
      <c r="X3290" s="30">
        <v>1</v>
      </c>
      <c r="Y3290" s="30">
        <v>0</v>
      </c>
      <c r="Z3290" s="30">
        <v>0</v>
      </c>
      <c r="AA3290" s="30">
        <v>0</v>
      </c>
      <c r="AB3290" s="30">
        <v>0</v>
      </c>
      <c r="AC3290" s="30">
        <v>0</v>
      </c>
      <c r="AD3290" s="30">
        <v>0</v>
      </c>
      <c r="AE3290" s="72" t="s">
        <v>394</v>
      </c>
      <c r="AF3290" s="72" t="s">
        <v>18789</v>
      </c>
      <c r="AG3290" s="164"/>
      <c r="AH3290" s="72"/>
      <c r="AI3290" s="30">
        <v>0</v>
      </c>
      <c r="AJ3290" s="72" t="s">
        <v>18790</v>
      </c>
      <c r="AK3290" s="72"/>
      <c r="AL3290" s="88"/>
      <c r="AM3290" s="88"/>
      <c r="AN3290" s="70">
        <v>45012</v>
      </c>
      <c r="AO3290" s="70">
        <v>44530</v>
      </c>
    </row>
    <row r="3291" spans="1:55" ht="36.75" customHeight="1">
      <c r="A3291" s="46" t="s">
        <v>12471</v>
      </c>
      <c r="B3291" s="30" t="s">
        <v>55</v>
      </c>
      <c r="C3291" s="69" t="str">
        <f t="shared" si="305"/>
        <v>Closed</v>
      </c>
      <c r="D3291" s="36" t="s">
        <v>18791</v>
      </c>
      <c r="E3291" s="29" t="s">
        <v>18792</v>
      </c>
      <c r="F3291" s="30" t="s">
        <v>17773</v>
      </c>
      <c r="G3291" s="88">
        <f>DATE(2021,4,23)</f>
        <v>44309</v>
      </c>
      <c r="H3291" s="142" t="s">
        <v>18793</v>
      </c>
      <c r="I3291" s="46" t="s">
        <v>73</v>
      </c>
      <c r="J3291" s="72" t="s">
        <v>18794</v>
      </c>
      <c r="K3291" s="30" t="s">
        <v>2603</v>
      </c>
      <c r="L3291" s="30" t="s">
        <v>18795</v>
      </c>
      <c r="M3291" s="30" t="s">
        <v>63</v>
      </c>
      <c r="N3291" s="46" t="s">
        <v>99</v>
      </c>
      <c r="O3291" s="30" t="s">
        <v>64</v>
      </c>
      <c r="P3291" s="72">
        <v>0</v>
      </c>
      <c r="Q3291" s="30" t="s">
        <v>18796</v>
      </c>
      <c r="R3291" s="30" t="s">
        <v>18439</v>
      </c>
      <c r="S3291" s="30">
        <v>0</v>
      </c>
      <c r="T3291" s="30">
        <v>0</v>
      </c>
      <c r="U3291" s="30">
        <v>0</v>
      </c>
      <c r="V3291" s="30">
        <v>0</v>
      </c>
      <c r="W3291" s="30">
        <v>0</v>
      </c>
      <c r="X3291" s="30">
        <v>0</v>
      </c>
      <c r="Y3291" s="30">
        <v>0</v>
      </c>
      <c r="Z3291" s="30">
        <v>0</v>
      </c>
      <c r="AA3291" s="30">
        <v>0</v>
      </c>
      <c r="AB3291" s="30">
        <v>0</v>
      </c>
      <c r="AC3291" s="30">
        <v>0</v>
      </c>
      <c r="AD3291" s="30">
        <v>0</v>
      </c>
      <c r="AE3291" s="72" t="s">
        <v>394</v>
      </c>
      <c r="AF3291" s="30" t="s">
        <v>18797</v>
      </c>
      <c r="AG3291" s="46" t="s">
        <v>8859</v>
      </c>
      <c r="AH3291" s="72">
        <v>44316</v>
      </c>
      <c r="AI3291" s="30">
        <v>4</v>
      </c>
      <c r="AJ3291" s="30" t="s">
        <v>18798</v>
      </c>
      <c r="AK3291" s="30" t="s">
        <v>18799</v>
      </c>
      <c r="AL3291" s="30"/>
      <c r="AM3291" s="30"/>
      <c r="AN3291" s="189"/>
      <c r="AO3291" s="189"/>
      <c r="AP3291" s="190">
        <v>44524</v>
      </c>
      <c r="AQ3291" s="190">
        <v>44525</v>
      </c>
      <c r="AR3291" s="190">
        <v>44526</v>
      </c>
      <c r="AS3291" s="190">
        <v>44527</v>
      </c>
      <c r="AT3291" s="190">
        <v>44528</v>
      </c>
      <c r="AU3291" s="190">
        <v>44529</v>
      </c>
      <c r="AV3291" s="190">
        <v>44530</v>
      </c>
      <c r="AW3291" s="190">
        <v>44531</v>
      </c>
      <c r="AX3291" s="190">
        <v>44532</v>
      </c>
      <c r="AY3291" s="190">
        <v>44533</v>
      </c>
      <c r="AZ3291" s="190">
        <v>44534</v>
      </c>
      <c r="BA3291" s="190">
        <v>44535</v>
      </c>
      <c r="BB3291" s="190">
        <v>44536</v>
      </c>
      <c r="BC3291" s="190">
        <v>44537</v>
      </c>
    </row>
    <row r="3292" spans="1:55" ht="36.75" customHeight="1">
      <c r="A3292" s="46" t="s">
        <v>12471</v>
      </c>
      <c r="B3292" s="30" t="s">
        <v>55</v>
      </c>
      <c r="C3292" s="69" t="str">
        <f t="shared" si="305"/>
        <v>Closed</v>
      </c>
      <c r="D3292" s="36" t="s">
        <v>18800</v>
      </c>
      <c r="E3292" s="38" t="s">
        <v>18801</v>
      </c>
      <c r="F3292" s="46" t="s">
        <v>17820</v>
      </c>
      <c r="G3292" s="88">
        <f>DATE(2021,5,3)</f>
        <v>44319</v>
      </c>
      <c r="H3292" s="142">
        <v>1.40625</v>
      </c>
      <c r="I3292" s="46" t="s">
        <v>73</v>
      </c>
      <c r="J3292" s="46" t="s">
        <v>18802</v>
      </c>
      <c r="K3292" s="46" t="s">
        <v>640</v>
      </c>
      <c r="L3292" s="46" t="s">
        <v>18803</v>
      </c>
      <c r="M3292" s="46" t="s">
        <v>63</v>
      </c>
      <c r="N3292" s="46" t="s">
        <v>142</v>
      </c>
      <c r="O3292" s="46" t="s">
        <v>86</v>
      </c>
      <c r="P3292" s="46" t="s">
        <v>65</v>
      </c>
      <c r="Q3292" s="46" t="s">
        <v>18509</v>
      </c>
      <c r="R3292" s="46" t="s">
        <v>2016</v>
      </c>
      <c r="S3292" s="46">
        <v>0</v>
      </c>
      <c r="T3292" s="46">
        <v>0</v>
      </c>
      <c r="U3292" s="46">
        <v>0</v>
      </c>
      <c r="V3292" s="46">
        <v>0</v>
      </c>
      <c r="W3292" s="46">
        <v>0</v>
      </c>
      <c r="X3292" s="46">
        <v>0</v>
      </c>
      <c r="Y3292" s="46">
        <v>0</v>
      </c>
      <c r="Z3292" s="46">
        <v>0</v>
      </c>
      <c r="AA3292" s="46">
        <v>0</v>
      </c>
      <c r="AB3292" s="46">
        <v>0</v>
      </c>
      <c r="AC3292" s="46">
        <v>0</v>
      </c>
      <c r="AD3292" s="46">
        <v>0</v>
      </c>
      <c r="AE3292" s="46" t="s">
        <v>92</v>
      </c>
      <c r="AF3292" s="46" t="s">
        <v>18510</v>
      </c>
      <c r="AG3292" s="46" t="s">
        <v>14033</v>
      </c>
      <c r="AH3292" s="72">
        <v>44680</v>
      </c>
      <c r="AI3292" s="46">
        <v>6</v>
      </c>
      <c r="AJ3292" s="46" t="s">
        <v>18804</v>
      </c>
      <c r="AK3292" s="46" t="s">
        <v>18805</v>
      </c>
      <c r="AL3292" s="157">
        <v>44694</v>
      </c>
      <c r="AM3292" s="46"/>
      <c r="AN3292" s="157">
        <v>44944</v>
      </c>
      <c r="AO3292" s="157">
        <v>44915</v>
      </c>
      <c r="AP3292" s="46"/>
      <c r="AQ3292" s="46"/>
      <c r="AR3292" s="46"/>
      <c r="AS3292" s="46"/>
      <c r="AT3292" s="46"/>
      <c r="AU3292" s="46"/>
      <c r="AV3292" s="46"/>
      <c r="AW3292" s="46"/>
      <c r="AX3292" s="46"/>
      <c r="AY3292" s="46"/>
      <c r="AZ3292" s="46"/>
      <c r="BA3292" s="46"/>
      <c r="BB3292" s="46"/>
      <c r="BC3292" s="46"/>
    </row>
    <row r="3293" spans="1:55" ht="36.75" customHeight="1">
      <c r="A3293" s="46" t="s">
        <v>12471</v>
      </c>
      <c r="B3293" s="30" t="s">
        <v>55</v>
      </c>
      <c r="C3293" s="69" t="str">
        <f t="shared" si="305"/>
        <v>Closed</v>
      </c>
      <c r="D3293" s="36" t="s">
        <v>18806</v>
      </c>
      <c r="E3293" s="29" t="s">
        <v>18807</v>
      </c>
      <c r="F3293" s="46" t="s">
        <v>16429</v>
      </c>
      <c r="G3293" s="88">
        <f>DATE(2021,5,5)</f>
        <v>44321</v>
      </c>
      <c r="H3293" s="102">
        <v>1.5965277777777778</v>
      </c>
      <c r="I3293" s="30" t="s">
        <v>198</v>
      </c>
      <c r="J3293" s="72" t="s">
        <v>18808</v>
      </c>
      <c r="K3293" s="46" t="s">
        <v>425</v>
      </c>
      <c r="L3293" s="46" t="s">
        <v>18809</v>
      </c>
      <c r="M3293" s="46" t="s">
        <v>63</v>
      </c>
      <c r="N3293" s="46" t="s">
        <v>142</v>
      </c>
      <c r="O3293" s="46" t="s">
        <v>64</v>
      </c>
      <c r="P3293" s="72" t="s">
        <v>65</v>
      </c>
      <c r="Q3293" s="88" t="s">
        <v>18810</v>
      </c>
      <c r="R3293" s="88" t="s">
        <v>17369</v>
      </c>
      <c r="S3293" s="30">
        <v>0</v>
      </c>
      <c r="T3293" s="30">
        <v>0</v>
      </c>
      <c r="U3293" s="30">
        <v>0</v>
      </c>
      <c r="V3293" s="30">
        <v>0</v>
      </c>
      <c r="W3293" s="30">
        <v>0</v>
      </c>
      <c r="X3293" s="30">
        <v>0</v>
      </c>
      <c r="Y3293" s="30">
        <v>0</v>
      </c>
      <c r="Z3293" s="30">
        <v>0</v>
      </c>
      <c r="AA3293" s="30">
        <v>0</v>
      </c>
      <c r="AB3293" s="30">
        <v>0</v>
      </c>
      <c r="AC3293" s="30">
        <v>0</v>
      </c>
      <c r="AD3293" s="30">
        <v>0</v>
      </c>
      <c r="AE3293" s="88" t="s">
        <v>394</v>
      </c>
      <c r="AF3293" s="88" t="s">
        <v>18811</v>
      </c>
      <c r="AG3293" s="88" t="s">
        <v>16283</v>
      </c>
      <c r="AH3293" s="72">
        <v>44321</v>
      </c>
      <c r="AI3293" s="46">
        <v>3</v>
      </c>
      <c r="AJ3293" s="88" t="s">
        <v>18812</v>
      </c>
      <c r="AK3293" s="88" t="s">
        <v>18813</v>
      </c>
      <c r="AL3293" s="88"/>
      <c r="AM3293" s="88"/>
      <c r="AN3293" s="88">
        <v>44739</v>
      </c>
      <c r="AO3293" s="88">
        <v>44736</v>
      </c>
    </row>
    <row r="3294" spans="1:55" ht="46.4" customHeight="1">
      <c r="A3294" s="46" t="s">
        <v>12471</v>
      </c>
      <c r="B3294" s="30" t="s">
        <v>55</v>
      </c>
      <c r="C3294" s="69" t="str">
        <f t="shared" si="305"/>
        <v>Closed</v>
      </c>
      <c r="D3294" s="36" t="s">
        <v>18814</v>
      </c>
      <c r="E3294" s="29" t="s">
        <v>18815</v>
      </c>
      <c r="F3294" s="46" t="s">
        <v>16429</v>
      </c>
      <c r="G3294" s="88">
        <f>DATE(2021,5,5)</f>
        <v>44321</v>
      </c>
      <c r="H3294" s="102">
        <v>1.6854166666666668</v>
      </c>
      <c r="I3294" s="46" t="s">
        <v>116</v>
      </c>
      <c r="J3294" s="72" t="s">
        <v>18816</v>
      </c>
      <c r="K3294" s="46" t="s">
        <v>425</v>
      </c>
      <c r="L3294" s="46" t="s">
        <v>18817</v>
      </c>
      <c r="M3294" s="46" t="s">
        <v>63</v>
      </c>
      <c r="N3294" s="46" t="s">
        <v>99</v>
      </c>
      <c r="O3294" s="46" t="s">
        <v>64</v>
      </c>
      <c r="P3294" s="72" t="s">
        <v>18678</v>
      </c>
      <c r="Q3294" s="88" t="s">
        <v>17581</v>
      </c>
      <c r="R3294" s="88" t="s">
        <v>17369</v>
      </c>
      <c r="S3294" s="30">
        <v>0</v>
      </c>
      <c r="T3294" s="232">
        <v>0</v>
      </c>
      <c r="U3294" s="30">
        <v>0</v>
      </c>
      <c r="V3294" s="30">
        <v>0</v>
      </c>
      <c r="W3294" s="30">
        <v>0</v>
      </c>
      <c r="X3294" s="30">
        <v>0</v>
      </c>
      <c r="Y3294" s="30">
        <v>0</v>
      </c>
      <c r="Z3294" s="30">
        <v>0</v>
      </c>
      <c r="AA3294" s="30">
        <v>0</v>
      </c>
      <c r="AB3294" s="30">
        <v>0</v>
      </c>
      <c r="AC3294" s="30">
        <v>0</v>
      </c>
      <c r="AD3294" s="30">
        <v>0</v>
      </c>
      <c r="AE3294" s="88" t="s">
        <v>17776</v>
      </c>
      <c r="AF3294" s="88" t="s">
        <v>17777</v>
      </c>
      <c r="AG3294" s="88" t="s">
        <v>18084</v>
      </c>
      <c r="AH3294" s="72">
        <v>44321</v>
      </c>
      <c r="AI3294" s="46">
        <v>0</v>
      </c>
      <c r="AJ3294" s="88" t="s">
        <v>18818</v>
      </c>
      <c r="AK3294" s="88" t="s">
        <v>879</v>
      </c>
      <c r="AL3294" s="164"/>
      <c r="AM3294" s="164"/>
      <c r="AN3294" s="88">
        <v>44496</v>
      </c>
      <c r="AO3294" s="88">
        <v>44468</v>
      </c>
    </row>
    <row r="3295" spans="1:55" ht="38.25" customHeight="1">
      <c r="A3295" s="46" t="s">
        <v>12471</v>
      </c>
      <c r="B3295" s="30" t="s">
        <v>55</v>
      </c>
      <c r="C3295" s="69" t="str">
        <f t="shared" si="305"/>
        <v>Closed</v>
      </c>
      <c r="D3295" s="36" t="s">
        <v>18819</v>
      </c>
      <c r="E3295" s="29" t="s">
        <v>18820</v>
      </c>
      <c r="F3295" s="46" t="s">
        <v>16429</v>
      </c>
      <c r="G3295" s="88">
        <f>DATE(2021,5,6)</f>
        <v>44322</v>
      </c>
      <c r="H3295" s="102">
        <v>1.5243055555555556</v>
      </c>
      <c r="I3295" s="46" t="s">
        <v>104</v>
      </c>
      <c r="J3295" s="72" t="s">
        <v>18821</v>
      </c>
      <c r="K3295" s="46" t="s">
        <v>425</v>
      </c>
      <c r="L3295" s="46" t="s">
        <v>18822</v>
      </c>
      <c r="M3295" s="46" t="s">
        <v>63</v>
      </c>
      <c r="N3295" s="46" t="s">
        <v>142</v>
      </c>
      <c r="O3295" s="46" t="s">
        <v>77</v>
      </c>
      <c r="P3295" s="72" t="s">
        <v>18823</v>
      </c>
      <c r="Q3295" s="88" t="s">
        <v>18824</v>
      </c>
      <c r="R3295" s="88" t="s">
        <v>17369</v>
      </c>
      <c r="S3295" s="30">
        <v>0</v>
      </c>
      <c r="T3295" s="30">
        <v>0</v>
      </c>
      <c r="U3295" s="30">
        <v>0</v>
      </c>
      <c r="V3295" s="30">
        <v>0</v>
      </c>
      <c r="W3295" s="30">
        <v>0</v>
      </c>
      <c r="X3295" s="30">
        <v>0</v>
      </c>
      <c r="Y3295" s="30">
        <v>0</v>
      </c>
      <c r="Z3295" s="30">
        <v>0</v>
      </c>
      <c r="AA3295" s="30">
        <v>0</v>
      </c>
      <c r="AB3295" s="30">
        <v>0</v>
      </c>
      <c r="AC3295" s="30">
        <v>0</v>
      </c>
      <c r="AD3295" s="30">
        <v>0</v>
      </c>
      <c r="AE3295" s="46">
        <v>0</v>
      </c>
      <c r="AF3295" s="88" t="s">
        <v>18825</v>
      </c>
      <c r="AG3295" s="88" t="s">
        <v>17370</v>
      </c>
      <c r="AH3295" s="72">
        <v>44322</v>
      </c>
      <c r="AI3295" s="46">
        <v>2</v>
      </c>
      <c r="AJ3295" s="88" t="s">
        <v>18826</v>
      </c>
      <c r="AK3295" s="88" t="s">
        <v>712</v>
      </c>
      <c r="AL3295" s="88"/>
      <c r="AM3295" s="88"/>
      <c r="AN3295" s="88">
        <v>44657</v>
      </c>
      <c r="AO3295" s="88">
        <v>44652</v>
      </c>
    </row>
    <row r="3296" spans="1:55" ht="36.75" customHeight="1">
      <c r="A3296" s="46" t="s">
        <v>12471</v>
      </c>
      <c r="B3296" s="30" t="s">
        <v>55</v>
      </c>
      <c r="C3296" s="69" t="str">
        <f t="shared" si="305"/>
        <v>Closed</v>
      </c>
      <c r="D3296" s="36" t="s">
        <v>18827</v>
      </c>
      <c r="E3296" s="29" t="s">
        <v>18828</v>
      </c>
      <c r="F3296" s="46" t="s">
        <v>16429</v>
      </c>
      <c r="G3296" s="88">
        <f>DATE(2021,5,10)</f>
        <v>44326</v>
      </c>
      <c r="H3296" s="102">
        <v>1.2583333333333333</v>
      </c>
      <c r="I3296" s="46" t="s">
        <v>2078</v>
      </c>
      <c r="J3296" s="72" t="s">
        <v>18829</v>
      </c>
      <c r="K3296" s="46" t="s">
        <v>425</v>
      </c>
      <c r="L3296" s="46" t="s">
        <v>18830</v>
      </c>
      <c r="M3296" s="46" t="s">
        <v>63</v>
      </c>
      <c r="N3296" s="46" t="s">
        <v>89</v>
      </c>
      <c r="O3296" s="46" t="s">
        <v>77</v>
      </c>
      <c r="P3296" s="72" t="s">
        <v>165</v>
      </c>
      <c r="Q3296" s="88" t="s">
        <v>18615</v>
      </c>
      <c r="R3296" s="88" t="s">
        <v>17369</v>
      </c>
      <c r="S3296" s="30">
        <v>0</v>
      </c>
      <c r="T3296" s="30">
        <v>0</v>
      </c>
      <c r="U3296" s="30">
        <v>0</v>
      </c>
      <c r="V3296" s="30">
        <v>0</v>
      </c>
      <c r="W3296" s="30">
        <v>0</v>
      </c>
      <c r="X3296" s="30">
        <v>0</v>
      </c>
      <c r="Y3296" s="30">
        <v>0</v>
      </c>
      <c r="Z3296" s="30">
        <v>0</v>
      </c>
      <c r="AA3296" s="30">
        <v>0</v>
      </c>
      <c r="AB3296" s="30">
        <v>0</v>
      </c>
      <c r="AC3296" s="30">
        <v>0</v>
      </c>
      <c r="AD3296" s="30">
        <v>0</v>
      </c>
      <c r="AE3296" s="88" t="s">
        <v>92</v>
      </c>
      <c r="AF3296" s="88" t="s">
        <v>18047</v>
      </c>
      <c r="AG3296" s="88" t="s">
        <v>16283</v>
      </c>
      <c r="AH3296" s="72">
        <v>44326</v>
      </c>
      <c r="AI3296" s="46">
        <v>1</v>
      </c>
      <c r="AJ3296" s="88" t="s">
        <v>18831</v>
      </c>
      <c r="AK3296" s="88" t="s">
        <v>17938</v>
      </c>
      <c r="AL3296" s="164"/>
      <c r="AM3296" s="164"/>
      <c r="AN3296" s="164">
        <v>44573</v>
      </c>
      <c r="AO3296" s="164">
        <v>44571</v>
      </c>
    </row>
    <row r="3297" spans="1:55" ht="36.75" customHeight="1">
      <c r="A3297" s="46" t="s">
        <v>12471</v>
      </c>
      <c r="B3297" s="30" t="s">
        <v>14882</v>
      </c>
      <c r="C3297" s="69" t="str">
        <f t="shared" si="305"/>
        <v>In progress</v>
      </c>
      <c r="D3297" s="36" t="s">
        <v>18832</v>
      </c>
      <c r="E3297" s="29" t="s">
        <v>18778</v>
      </c>
      <c r="F3297" s="46" t="s">
        <v>6455</v>
      </c>
      <c r="G3297" s="88">
        <f>DATE(2021,5,12)</f>
        <v>44328</v>
      </c>
      <c r="H3297" s="142">
        <v>2.4305555555555556E-2</v>
      </c>
      <c r="I3297" s="46" t="s">
        <v>73</v>
      </c>
      <c r="J3297" s="46" t="s">
        <v>18833</v>
      </c>
      <c r="K3297" s="46" t="s">
        <v>584</v>
      </c>
      <c r="L3297" s="46" t="s">
        <v>18780</v>
      </c>
      <c r="M3297" s="46" t="s">
        <v>63</v>
      </c>
      <c r="N3297" s="46" t="s">
        <v>142</v>
      </c>
      <c r="O3297" s="46" t="s">
        <v>77</v>
      </c>
      <c r="P3297" s="30" t="s">
        <v>78</v>
      </c>
      <c r="Q3297" s="46" t="s">
        <v>18834</v>
      </c>
      <c r="R3297" s="46" t="s">
        <v>587</v>
      </c>
      <c r="S3297" s="30">
        <v>0</v>
      </c>
      <c r="T3297" s="30">
        <v>0</v>
      </c>
      <c r="U3297" s="30">
        <v>0</v>
      </c>
      <c r="V3297" s="30">
        <v>0</v>
      </c>
      <c r="W3297" s="30">
        <v>0</v>
      </c>
      <c r="X3297" s="30">
        <v>0</v>
      </c>
      <c r="Y3297" s="30">
        <v>0</v>
      </c>
      <c r="Z3297" s="30">
        <v>0</v>
      </c>
      <c r="AA3297" s="30">
        <v>0</v>
      </c>
      <c r="AB3297" s="30">
        <v>0</v>
      </c>
      <c r="AC3297" s="30">
        <v>0</v>
      </c>
      <c r="AD3297" s="30">
        <v>0</v>
      </c>
      <c r="AE3297" s="88" t="s">
        <v>394</v>
      </c>
      <c r="AF3297" s="46" t="s">
        <v>18835</v>
      </c>
      <c r="AG3297" s="46" t="s">
        <v>13537</v>
      </c>
      <c r="AH3297" s="72">
        <f>DATE(2021,5,12)</f>
        <v>44328</v>
      </c>
      <c r="AI3297" s="46"/>
      <c r="AJ3297" s="46" t="s">
        <v>18836</v>
      </c>
      <c r="AK3297" s="46"/>
      <c r="AL3297" s="46"/>
      <c r="AM3297" s="88">
        <f>DATE(2025,6,6)</f>
        <v>45814</v>
      </c>
      <c r="AN3297" s="169"/>
      <c r="AO3297" s="169"/>
      <c r="AP3297" s="46"/>
      <c r="AQ3297" s="46"/>
      <c r="AR3297" s="46"/>
      <c r="AS3297" s="46"/>
      <c r="AT3297" s="46"/>
      <c r="AU3297" s="46"/>
      <c r="AV3297" s="46"/>
      <c r="AW3297" s="46"/>
      <c r="AX3297" s="46"/>
      <c r="AY3297" s="46"/>
      <c r="AZ3297" s="46"/>
      <c r="BA3297" s="46"/>
      <c r="BB3297" s="46"/>
      <c r="BC3297" s="46"/>
    </row>
    <row r="3298" spans="1:55" ht="36.75" customHeight="1">
      <c r="A3298" s="46"/>
      <c r="B3298" s="30" t="s">
        <v>55</v>
      </c>
      <c r="C3298" s="69" t="s">
        <v>18034</v>
      </c>
      <c r="D3298" s="36" t="s">
        <v>18837</v>
      </c>
      <c r="E3298" s="29" t="s">
        <v>18838</v>
      </c>
      <c r="F3298" s="46" t="s">
        <v>17578</v>
      </c>
      <c r="G3298" s="88">
        <f>DATE(2021,5,17)</f>
        <v>44333</v>
      </c>
      <c r="H3298" s="142">
        <v>0.4694444444444445</v>
      </c>
      <c r="I3298" s="46" t="s">
        <v>104</v>
      </c>
      <c r="J3298" s="30" t="s">
        <v>18839</v>
      </c>
      <c r="K3298" s="46" t="s">
        <v>837</v>
      </c>
      <c r="L3298" s="46" t="s">
        <v>18840</v>
      </c>
      <c r="M3298" s="46" t="s">
        <v>63</v>
      </c>
      <c r="N3298" s="46" t="s">
        <v>142</v>
      </c>
      <c r="O3298" s="46" t="s">
        <v>77</v>
      </c>
      <c r="P3298" s="30" t="s">
        <v>65</v>
      </c>
      <c r="Q3298" s="46" t="s">
        <v>2162</v>
      </c>
      <c r="R3298" s="46" t="s">
        <v>840</v>
      </c>
      <c r="S3298" s="30">
        <v>0</v>
      </c>
      <c r="T3298" s="30">
        <v>0</v>
      </c>
      <c r="U3298" s="30">
        <v>0</v>
      </c>
      <c r="V3298" s="30">
        <v>0</v>
      </c>
      <c r="W3298" s="30">
        <v>0</v>
      </c>
      <c r="X3298" s="30">
        <v>0</v>
      </c>
      <c r="Y3298" s="30">
        <v>0</v>
      </c>
      <c r="Z3298" s="30">
        <v>0</v>
      </c>
      <c r="AA3298" s="30">
        <v>0</v>
      </c>
      <c r="AB3298" s="30">
        <v>0</v>
      </c>
      <c r="AC3298" s="30">
        <v>0</v>
      </c>
      <c r="AD3298" s="30">
        <v>0</v>
      </c>
      <c r="AE3298" s="46" t="s">
        <v>17776</v>
      </c>
      <c r="AF3298" s="46" t="s">
        <v>17777</v>
      </c>
      <c r="AG3298" s="46" t="s">
        <v>18841</v>
      </c>
      <c r="AH3298" s="72">
        <f>DATE(2021,5,18)</f>
        <v>44334</v>
      </c>
      <c r="AI3298" s="46">
        <v>0</v>
      </c>
      <c r="AJ3298" s="46" t="s">
        <v>18842</v>
      </c>
      <c r="AK3298" s="46" t="s">
        <v>18843</v>
      </c>
      <c r="AL3298" s="88">
        <v>44334</v>
      </c>
      <c r="AM3298" s="88"/>
      <c r="AN3298" s="88">
        <v>45012</v>
      </c>
      <c r="AO3298" s="88">
        <v>44747</v>
      </c>
      <c r="AP3298" s="134"/>
      <c r="AQ3298" s="134"/>
      <c r="AR3298" s="134"/>
      <c r="AS3298" s="134"/>
      <c r="AT3298" s="134"/>
      <c r="AU3298" s="134"/>
      <c r="AV3298" s="134"/>
      <c r="AW3298" s="134"/>
      <c r="AX3298" s="134"/>
      <c r="AY3298" s="134"/>
      <c r="AZ3298" s="134"/>
      <c r="BA3298" s="134"/>
      <c r="BB3298" s="134"/>
    </row>
    <row r="3299" spans="1:55" ht="36.75" customHeight="1">
      <c r="A3299" s="30" t="s">
        <v>12471</v>
      </c>
      <c r="B3299" s="30" t="s">
        <v>55</v>
      </c>
      <c r="C3299" s="69" t="str">
        <f t="shared" ref="C3299:C3306" si="306">IF(B3299="Notification","Open",IF(B3299="Interim Statement","In progress","Closed"))</f>
        <v>Closed</v>
      </c>
      <c r="D3299" s="36" t="s">
        <v>18844</v>
      </c>
      <c r="E3299" s="29" t="s">
        <v>18845</v>
      </c>
      <c r="F3299" s="46" t="s">
        <v>16429</v>
      </c>
      <c r="G3299" s="88">
        <f>DATE(2021,5,21)</f>
        <v>44337</v>
      </c>
      <c r="H3299" s="142">
        <v>0.39999999999999997</v>
      </c>
      <c r="I3299" s="46" t="s">
        <v>198</v>
      </c>
      <c r="J3299" s="30" t="s">
        <v>18846</v>
      </c>
      <c r="K3299" s="46" t="s">
        <v>425</v>
      </c>
      <c r="L3299" s="46" t="s">
        <v>18847</v>
      </c>
      <c r="M3299" s="46" t="s">
        <v>63</v>
      </c>
      <c r="N3299" s="46" t="s">
        <v>89</v>
      </c>
      <c r="O3299" s="46" t="s">
        <v>77</v>
      </c>
      <c r="P3299" s="30" t="s">
        <v>91</v>
      </c>
      <c r="Q3299" s="46" t="s">
        <v>18615</v>
      </c>
      <c r="R3299" s="46" t="s">
        <v>17369</v>
      </c>
      <c r="S3299" s="30">
        <v>0</v>
      </c>
      <c r="T3299" s="30">
        <v>0</v>
      </c>
      <c r="U3299" s="30">
        <v>0</v>
      </c>
      <c r="V3299" s="30">
        <v>0</v>
      </c>
      <c r="W3299" s="30">
        <v>0</v>
      </c>
      <c r="X3299" s="30">
        <v>0</v>
      </c>
      <c r="Y3299" s="30">
        <v>0</v>
      </c>
      <c r="Z3299" s="30">
        <v>0</v>
      </c>
      <c r="AA3299" s="30">
        <v>0</v>
      </c>
      <c r="AB3299" s="30">
        <v>0</v>
      </c>
      <c r="AC3299" s="30">
        <v>0</v>
      </c>
      <c r="AD3299" s="30">
        <v>0</v>
      </c>
      <c r="AE3299" s="46" t="s">
        <v>92</v>
      </c>
      <c r="AF3299" s="46" t="s">
        <v>18848</v>
      </c>
      <c r="AG3299" s="46" t="s">
        <v>16283</v>
      </c>
      <c r="AH3299" s="72">
        <f>DATE(2021,5,24)</f>
        <v>44340</v>
      </c>
      <c r="AI3299" s="46">
        <v>0</v>
      </c>
      <c r="AJ3299" s="46" t="s">
        <v>18849</v>
      </c>
      <c r="AK3299" s="46" t="s">
        <v>879</v>
      </c>
      <c r="AL3299" s="46"/>
      <c r="AM3299" s="46"/>
      <c r="AN3299" s="191">
        <v>44522</v>
      </c>
      <c r="AO3299" s="191">
        <v>44518</v>
      </c>
    </row>
    <row r="3300" spans="1:55" ht="36.75" customHeight="1">
      <c r="A3300" s="46" t="s">
        <v>12471</v>
      </c>
      <c r="B3300" s="30" t="s">
        <v>14882</v>
      </c>
      <c r="C3300" s="69" t="str">
        <f t="shared" si="306"/>
        <v>In progress</v>
      </c>
      <c r="D3300" s="36" t="s">
        <v>18850</v>
      </c>
      <c r="E3300" s="29" t="s">
        <v>18851</v>
      </c>
      <c r="F3300" s="46" t="s">
        <v>16310</v>
      </c>
      <c r="G3300" s="88">
        <f>DATE(2021,5,28)</f>
        <v>44344</v>
      </c>
      <c r="H3300" s="142">
        <v>0.8979166666666667</v>
      </c>
      <c r="I3300" s="46" t="s">
        <v>125</v>
      </c>
      <c r="J3300" s="30" t="s">
        <v>18852</v>
      </c>
      <c r="K3300" s="46" t="s">
        <v>118</v>
      </c>
      <c r="L3300" s="46" t="s">
        <v>18853</v>
      </c>
      <c r="M3300" s="46" t="s">
        <v>63</v>
      </c>
      <c r="N3300" s="46" t="s">
        <v>142</v>
      </c>
      <c r="O3300" s="46" t="s">
        <v>64</v>
      </c>
      <c r="P3300" s="30" t="s">
        <v>65</v>
      </c>
      <c r="Q3300" s="46" t="s">
        <v>17581</v>
      </c>
      <c r="R3300" s="46" t="s">
        <v>17369</v>
      </c>
      <c r="S3300" s="30">
        <v>0</v>
      </c>
      <c r="T3300" s="30">
        <v>0</v>
      </c>
      <c r="U3300" s="30">
        <v>0</v>
      </c>
      <c r="V3300" s="30">
        <v>0</v>
      </c>
      <c r="W3300" s="30">
        <v>0</v>
      </c>
      <c r="X3300" s="30">
        <v>0</v>
      </c>
      <c r="Y3300" s="30">
        <v>0</v>
      </c>
      <c r="Z3300" s="30">
        <v>0</v>
      </c>
      <c r="AA3300" s="30">
        <v>0</v>
      </c>
      <c r="AB3300" s="30">
        <v>0</v>
      </c>
      <c r="AC3300" s="30">
        <v>0</v>
      </c>
      <c r="AD3300" s="30">
        <v>0</v>
      </c>
      <c r="AE3300" s="46"/>
      <c r="AF3300" s="46"/>
      <c r="AG3300" s="46" t="s">
        <v>18671</v>
      </c>
      <c r="AH3300" s="72">
        <f>DATE(2021,6,1)</f>
        <v>44348</v>
      </c>
      <c r="AI3300" s="46"/>
      <c r="AJ3300" s="46"/>
      <c r="AK3300" s="46"/>
      <c r="AL3300" s="46"/>
      <c r="AM3300" s="88">
        <v>44967</v>
      </c>
      <c r="AN3300" s="169"/>
      <c r="AO3300" s="169"/>
    </row>
    <row r="3301" spans="1:55" ht="38.9" customHeight="1">
      <c r="A3301" s="46" t="s">
        <v>12471</v>
      </c>
      <c r="B3301" s="30" t="s">
        <v>55</v>
      </c>
      <c r="C3301" s="69" t="str">
        <f t="shared" si="306"/>
        <v>Closed</v>
      </c>
      <c r="D3301" s="36" t="s">
        <v>18854</v>
      </c>
      <c r="E3301" s="29" t="s">
        <v>18855</v>
      </c>
      <c r="F3301" s="46" t="s">
        <v>17578</v>
      </c>
      <c r="G3301" s="88">
        <f>DATE(2021,5,31)</f>
        <v>44347</v>
      </c>
      <c r="H3301" s="142">
        <v>0.88194444444444453</v>
      </c>
      <c r="I3301" s="46" t="s">
        <v>116</v>
      </c>
      <c r="J3301" s="30" t="s">
        <v>18856</v>
      </c>
      <c r="K3301" s="46" t="s">
        <v>837</v>
      </c>
      <c r="L3301" s="46" t="s">
        <v>18857</v>
      </c>
      <c r="M3301" s="46" t="s">
        <v>63</v>
      </c>
      <c r="N3301" s="46" t="s">
        <v>99</v>
      </c>
      <c r="O3301" s="46" t="s">
        <v>77</v>
      </c>
      <c r="P3301" s="30" t="s">
        <v>165</v>
      </c>
      <c r="Q3301" s="46" t="s">
        <v>18858</v>
      </c>
      <c r="R3301" s="46" t="s">
        <v>840</v>
      </c>
      <c r="S3301" s="30">
        <v>0</v>
      </c>
      <c r="T3301" s="30">
        <v>0</v>
      </c>
      <c r="U3301" s="30">
        <v>0</v>
      </c>
      <c r="V3301" s="30">
        <v>0</v>
      </c>
      <c r="W3301" s="30">
        <v>0</v>
      </c>
      <c r="X3301" s="30">
        <v>0</v>
      </c>
      <c r="Y3301" s="30">
        <v>0</v>
      </c>
      <c r="Z3301" s="30">
        <v>1</v>
      </c>
      <c r="AA3301" s="30">
        <v>1</v>
      </c>
      <c r="AB3301" s="30">
        <v>0</v>
      </c>
      <c r="AC3301" s="30">
        <v>0</v>
      </c>
      <c r="AD3301" s="30">
        <v>2</v>
      </c>
      <c r="AE3301" s="30" t="s">
        <v>394</v>
      </c>
      <c r="AF3301" s="46" t="s">
        <v>18859</v>
      </c>
      <c r="AG3301" s="46" t="s">
        <v>13537</v>
      </c>
      <c r="AH3301" s="72">
        <f>DATE(2021,5,31)</f>
        <v>44347</v>
      </c>
      <c r="AI3301" s="46">
        <v>0</v>
      </c>
      <c r="AJ3301" s="46" t="s">
        <v>18860</v>
      </c>
      <c r="AK3301" s="46"/>
      <c r="AL3301" s="192">
        <v>44348</v>
      </c>
      <c r="AM3301" s="192"/>
      <c r="AN3301" s="161">
        <v>44531</v>
      </c>
      <c r="AO3301" s="161">
        <v>44530</v>
      </c>
    </row>
    <row r="3302" spans="1:55" ht="36.75" customHeight="1">
      <c r="A3302" s="30" t="s">
        <v>12471</v>
      </c>
      <c r="B3302" s="30" t="s">
        <v>55</v>
      </c>
      <c r="C3302" s="69" t="str">
        <f t="shared" si="306"/>
        <v>Closed</v>
      </c>
      <c r="D3302" s="36" t="s">
        <v>18861</v>
      </c>
      <c r="E3302" s="29" t="s">
        <v>18862</v>
      </c>
      <c r="F3302" s="46" t="s">
        <v>17682</v>
      </c>
      <c r="G3302" s="88">
        <f>DATE(2021,6,1)</f>
        <v>44348</v>
      </c>
      <c r="H3302" s="142">
        <v>0.81597222222222221</v>
      </c>
      <c r="I3302" s="46" t="s">
        <v>4610</v>
      </c>
      <c r="J3302" s="30" t="s">
        <v>18863</v>
      </c>
      <c r="K3302" s="46" t="s">
        <v>1574</v>
      </c>
      <c r="L3302" s="46" t="s">
        <v>18864</v>
      </c>
      <c r="M3302" s="46" t="s">
        <v>63</v>
      </c>
      <c r="N3302" s="46" t="s">
        <v>142</v>
      </c>
      <c r="O3302" s="46" t="s">
        <v>77</v>
      </c>
      <c r="P3302" s="30" t="s">
        <v>65</v>
      </c>
      <c r="Q3302" s="46" t="s">
        <v>18739</v>
      </c>
      <c r="R3302" s="46" t="s">
        <v>18865</v>
      </c>
      <c r="S3302" s="30">
        <v>0</v>
      </c>
      <c r="T3302" s="30">
        <v>0</v>
      </c>
      <c r="U3302" s="30">
        <v>0</v>
      </c>
      <c r="V3302" s="30">
        <v>0</v>
      </c>
      <c r="W3302" s="30">
        <v>0</v>
      </c>
      <c r="X3302" s="30">
        <v>0</v>
      </c>
      <c r="Y3302" s="30">
        <v>0</v>
      </c>
      <c r="Z3302" s="30">
        <v>0</v>
      </c>
      <c r="AA3302" s="30">
        <v>0</v>
      </c>
      <c r="AB3302" s="30">
        <v>0</v>
      </c>
      <c r="AC3302" s="30">
        <v>0</v>
      </c>
      <c r="AD3302" s="30">
        <v>0</v>
      </c>
      <c r="AE3302" s="30" t="s">
        <v>92</v>
      </c>
      <c r="AF3302" s="46" t="s">
        <v>18866</v>
      </c>
      <c r="AG3302" s="46" t="s">
        <v>8859</v>
      </c>
      <c r="AH3302" s="72">
        <f>DATE(2021,6,2)</f>
        <v>44349</v>
      </c>
      <c r="AI3302" s="46">
        <v>3</v>
      </c>
      <c r="AJ3302" s="46" t="s">
        <v>18867</v>
      </c>
      <c r="AK3302" s="46" t="s">
        <v>18868</v>
      </c>
      <c r="AL3302" s="46"/>
      <c r="AM3302" s="46"/>
      <c r="AN3302" s="70">
        <v>44711</v>
      </c>
      <c r="AO3302" s="70">
        <v>44711</v>
      </c>
    </row>
    <row r="3303" spans="1:55" ht="36.75" customHeight="1">
      <c r="A3303" s="46" t="s">
        <v>12471</v>
      </c>
      <c r="B3303" s="30" t="s">
        <v>55</v>
      </c>
      <c r="C3303" s="69" t="str">
        <f t="shared" si="306"/>
        <v>Closed</v>
      </c>
      <c r="D3303" s="36" t="s">
        <v>18869</v>
      </c>
      <c r="E3303" s="29" t="s">
        <v>18870</v>
      </c>
      <c r="F3303" s="46" t="s">
        <v>16429</v>
      </c>
      <c r="G3303" s="88">
        <f>DATE(2021,6,5)</f>
        <v>44352</v>
      </c>
      <c r="H3303" s="142">
        <v>0.8881944444444444</v>
      </c>
      <c r="I3303" s="46" t="s">
        <v>18871</v>
      </c>
      <c r="J3303" s="30" t="s">
        <v>18872</v>
      </c>
      <c r="K3303" s="46" t="s">
        <v>425</v>
      </c>
      <c r="L3303" s="46" t="s">
        <v>18873</v>
      </c>
      <c r="M3303" s="46" t="s">
        <v>63</v>
      </c>
      <c r="N3303" s="46" t="s">
        <v>142</v>
      </c>
      <c r="O3303" s="46" t="s">
        <v>77</v>
      </c>
      <c r="P3303" s="30" t="s">
        <v>18874</v>
      </c>
      <c r="Q3303" s="46" t="s">
        <v>18875</v>
      </c>
      <c r="R3303" s="46" t="s">
        <v>17369</v>
      </c>
      <c r="S3303" s="30">
        <v>0</v>
      </c>
      <c r="T3303" s="30">
        <v>0</v>
      </c>
      <c r="U3303" s="30">
        <v>0</v>
      </c>
      <c r="V3303" s="30">
        <v>0</v>
      </c>
      <c r="W3303" s="30">
        <v>0</v>
      </c>
      <c r="X3303" s="30">
        <v>0</v>
      </c>
      <c r="Y3303" s="30">
        <v>0</v>
      </c>
      <c r="Z3303" s="30">
        <v>0</v>
      </c>
      <c r="AA3303" s="30">
        <v>0</v>
      </c>
      <c r="AB3303" s="30">
        <v>0</v>
      </c>
      <c r="AC3303" s="30">
        <v>0</v>
      </c>
      <c r="AD3303" s="30">
        <v>0</v>
      </c>
      <c r="AE3303" s="30" t="s">
        <v>92</v>
      </c>
      <c r="AF3303" s="30" t="s">
        <v>18876</v>
      </c>
      <c r="AG3303" s="46" t="s">
        <v>17370</v>
      </c>
      <c r="AH3303" s="72">
        <f>DATE(2021,6,11)</f>
        <v>44358</v>
      </c>
      <c r="AI3303" s="46">
        <v>1</v>
      </c>
      <c r="AJ3303" s="46" t="s">
        <v>18877</v>
      </c>
      <c r="AK3303" s="46" t="s">
        <v>18878</v>
      </c>
      <c r="AL3303" s="46"/>
      <c r="AM3303" s="88">
        <v>44720</v>
      </c>
      <c r="AN3303" s="88">
        <v>44778</v>
      </c>
      <c r="AO3303" s="88">
        <v>44754</v>
      </c>
    </row>
    <row r="3304" spans="1:55" ht="36.75" customHeight="1">
      <c r="A3304" s="46" t="s">
        <v>12471</v>
      </c>
      <c r="B3304" s="30" t="s">
        <v>55</v>
      </c>
      <c r="C3304" s="69" t="str">
        <f t="shared" si="306"/>
        <v>Closed</v>
      </c>
      <c r="D3304" s="36" t="s">
        <v>18879</v>
      </c>
      <c r="E3304" s="29" t="s">
        <v>18880</v>
      </c>
      <c r="F3304" s="46" t="s">
        <v>18881</v>
      </c>
      <c r="G3304" s="88">
        <f>DATE(2021,6,5)</f>
        <v>44352</v>
      </c>
      <c r="H3304" s="142">
        <v>0.72916666666666663</v>
      </c>
      <c r="I3304" s="46" t="s">
        <v>125</v>
      </c>
      <c r="J3304" s="30" t="s">
        <v>18882</v>
      </c>
      <c r="K3304" s="46" t="s">
        <v>61</v>
      </c>
      <c r="L3304" s="46" t="s">
        <v>18883</v>
      </c>
      <c r="M3304" s="46" t="s">
        <v>63</v>
      </c>
      <c r="N3304" s="46" t="s">
        <v>99</v>
      </c>
      <c r="O3304" s="46" t="s">
        <v>64</v>
      </c>
      <c r="P3304" s="30" t="s">
        <v>165</v>
      </c>
      <c r="Q3304" s="46" t="s">
        <v>66</v>
      </c>
      <c r="R3304" s="46" t="s">
        <v>18884</v>
      </c>
      <c r="S3304" s="30">
        <v>0</v>
      </c>
      <c r="T3304" s="30">
        <v>0</v>
      </c>
      <c r="U3304" s="30">
        <v>0</v>
      </c>
      <c r="V3304" s="30">
        <v>0</v>
      </c>
      <c r="W3304" s="30">
        <v>0</v>
      </c>
      <c r="X3304" s="30">
        <v>0</v>
      </c>
      <c r="Y3304" s="30">
        <v>0</v>
      </c>
      <c r="Z3304" s="30">
        <v>0</v>
      </c>
      <c r="AA3304" s="30">
        <v>0</v>
      </c>
      <c r="AB3304" s="30">
        <v>0</v>
      </c>
      <c r="AC3304" s="30">
        <v>0</v>
      </c>
      <c r="AD3304" s="30">
        <v>0</v>
      </c>
      <c r="AE3304" s="30" t="s">
        <v>145</v>
      </c>
      <c r="AF3304" s="30" t="s">
        <v>18885</v>
      </c>
      <c r="AG3304" s="46" t="s">
        <v>8859</v>
      </c>
      <c r="AH3304" s="72">
        <f>DATE(2021,6,10)</f>
        <v>44357</v>
      </c>
      <c r="AI3304" s="46">
        <v>5</v>
      </c>
      <c r="AJ3304" s="46" t="s">
        <v>18886</v>
      </c>
      <c r="AK3304" s="46" t="s">
        <v>18887</v>
      </c>
      <c r="AL3304" s="46"/>
      <c r="AM3304" s="46"/>
      <c r="AN3304" s="89">
        <v>44686</v>
      </c>
      <c r="AO3304" s="183">
        <v>44685</v>
      </c>
      <c r="AP3304" s="46"/>
      <c r="AQ3304" s="46"/>
      <c r="AR3304" s="46"/>
      <c r="AS3304" s="46"/>
      <c r="AT3304" s="46"/>
      <c r="AU3304" s="46"/>
      <c r="AV3304" s="46"/>
      <c r="AW3304" s="46"/>
      <c r="AX3304" s="46"/>
      <c r="AY3304" s="46"/>
      <c r="AZ3304" s="46"/>
      <c r="BA3304" s="46"/>
    </row>
    <row r="3305" spans="1:55" ht="36.75" customHeight="1">
      <c r="A3305" s="46" t="s">
        <v>12471</v>
      </c>
      <c r="B3305" s="30" t="s">
        <v>55</v>
      </c>
      <c r="C3305" s="69" t="str">
        <f t="shared" si="306"/>
        <v>Closed</v>
      </c>
      <c r="D3305" s="36" t="s">
        <v>18888</v>
      </c>
      <c r="E3305" s="29" t="s">
        <v>18889</v>
      </c>
      <c r="F3305" s="46" t="s">
        <v>17682</v>
      </c>
      <c r="G3305" s="88">
        <f>DATE(2021,6,6)</f>
        <v>44353</v>
      </c>
      <c r="H3305" s="142">
        <v>5.5555555555555552E-2</v>
      </c>
      <c r="I3305" s="46" t="s">
        <v>125</v>
      </c>
      <c r="J3305" s="30" t="s">
        <v>18890</v>
      </c>
      <c r="K3305" s="46" t="s">
        <v>1574</v>
      </c>
      <c r="L3305" s="46" t="s">
        <v>18891</v>
      </c>
      <c r="M3305" s="46" t="s">
        <v>63</v>
      </c>
      <c r="N3305" s="46" t="s">
        <v>99</v>
      </c>
      <c r="O3305" s="46" t="s">
        <v>77</v>
      </c>
      <c r="P3305" s="30" t="s">
        <v>78</v>
      </c>
      <c r="Q3305" s="46" t="s">
        <v>18892</v>
      </c>
      <c r="R3305" s="46" t="s">
        <v>18865</v>
      </c>
      <c r="S3305" s="30">
        <v>0</v>
      </c>
      <c r="T3305" s="30">
        <v>0</v>
      </c>
      <c r="U3305" s="30">
        <v>0</v>
      </c>
      <c r="V3305" s="30">
        <v>0</v>
      </c>
      <c r="W3305" s="30">
        <v>0</v>
      </c>
      <c r="X3305" s="30">
        <v>0</v>
      </c>
      <c r="Y3305" s="30">
        <v>0</v>
      </c>
      <c r="Z3305" s="30">
        <v>0</v>
      </c>
      <c r="AA3305" s="30">
        <v>0</v>
      </c>
      <c r="AB3305" s="30">
        <v>0</v>
      </c>
      <c r="AC3305" s="30">
        <v>0</v>
      </c>
      <c r="AD3305" s="30">
        <v>0</v>
      </c>
      <c r="AE3305" s="30" t="s">
        <v>394</v>
      </c>
      <c r="AF3305" s="30" t="s">
        <v>18893</v>
      </c>
      <c r="AG3305" s="46" t="s">
        <v>8859</v>
      </c>
      <c r="AH3305" s="72">
        <f>DATE(2021,6,7)</f>
        <v>44354</v>
      </c>
      <c r="AI3305" s="46">
        <v>1</v>
      </c>
      <c r="AJ3305" s="46" t="s">
        <v>18894</v>
      </c>
      <c r="AK3305" s="46" t="s">
        <v>18895</v>
      </c>
      <c r="AL3305" s="46"/>
      <c r="AM3305" s="46"/>
      <c r="AN3305" s="88">
        <v>44719</v>
      </c>
      <c r="AO3305" s="88">
        <v>44711</v>
      </c>
    </row>
    <row r="3306" spans="1:55" ht="36.75" customHeight="1">
      <c r="A3306" s="46" t="s">
        <v>12471</v>
      </c>
      <c r="B3306" s="30" t="s">
        <v>55</v>
      </c>
      <c r="C3306" s="69" t="str">
        <f t="shared" si="306"/>
        <v>Closed</v>
      </c>
      <c r="D3306" s="36" t="s">
        <v>18896</v>
      </c>
      <c r="E3306" s="29" t="s">
        <v>18897</v>
      </c>
      <c r="F3306" s="46" t="s">
        <v>6455</v>
      </c>
      <c r="G3306" s="88">
        <f>DATE(2021,6,9)</f>
        <v>44356</v>
      </c>
      <c r="H3306" s="142">
        <v>0.51041666666666663</v>
      </c>
      <c r="I3306" s="46" t="s">
        <v>73</v>
      </c>
      <c r="J3306" s="30" t="s">
        <v>18898</v>
      </c>
      <c r="K3306" s="46" t="s">
        <v>584</v>
      </c>
      <c r="L3306" s="46" t="s">
        <v>18899</v>
      </c>
      <c r="M3306" s="46" t="s">
        <v>63</v>
      </c>
      <c r="N3306" s="46" t="s">
        <v>99</v>
      </c>
      <c r="O3306" s="46" t="s">
        <v>77</v>
      </c>
      <c r="P3306" s="30" t="s">
        <v>78</v>
      </c>
      <c r="Q3306" s="46" t="s">
        <v>11133</v>
      </c>
      <c r="R3306" s="46" t="s">
        <v>587</v>
      </c>
      <c r="S3306" s="30">
        <v>0</v>
      </c>
      <c r="T3306" s="30">
        <v>0</v>
      </c>
      <c r="U3306" s="30">
        <v>0</v>
      </c>
      <c r="V3306" s="30">
        <v>0</v>
      </c>
      <c r="W3306" s="30">
        <v>0</v>
      </c>
      <c r="X3306" s="30">
        <v>0</v>
      </c>
      <c r="Y3306" s="30">
        <v>0</v>
      </c>
      <c r="Z3306" s="30">
        <v>0</v>
      </c>
      <c r="AA3306" s="30">
        <v>0</v>
      </c>
      <c r="AB3306" s="30">
        <v>0</v>
      </c>
      <c r="AC3306" s="30">
        <v>0</v>
      </c>
      <c r="AD3306" s="30">
        <v>0</v>
      </c>
      <c r="AE3306" s="46" t="s">
        <v>394</v>
      </c>
      <c r="AF3306" s="46" t="s">
        <v>18900</v>
      </c>
      <c r="AG3306" s="46" t="s">
        <v>8859</v>
      </c>
      <c r="AH3306" s="72">
        <v>44357</v>
      </c>
      <c r="AI3306" s="46">
        <v>0</v>
      </c>
      <c r="AJ3306" s="46" t="s">
        <v>18901</v>
      </c>
      <c r="AK3306" s="46" t="s">
        <v>18902</v>
      </c>
      <c r="AL3306" s="157">
        <v>44497</v>
      </c>
      <c r="AM3306" s="157">
        <v>44733</v>
      </c>
      <c r="AN3306" s="157">
        <v>45090</v>
      </c>
      <c r="AO3306" s="157">
        <v>45083</v>
      </c>
    </row>
    <row r="3307" spans="1:55" ht="36.75" customHeight="1">
      <c r="A3307" s="46"/>
      <c r="B3307" s="30" t="s">
        <v>55</v>
      </c>
      <c r="C3307" s="69" t="s">
        <v>18034</v>
      </c>
      <c r="D3307" s="36" t="s">
        <v>18903</v>
      </c>
      <c r="E3307" s="29" t="s">
        <v>18904</v>
      </c>
      <c r="F3307" s="46" t="s">
        <v>17578</v>
      </c>
      <c r="G3307" s="88">
        <f>DATE(2021,6,9)</f>
        <v>44356</v>
      </c>
      <c r="H3307" s="142">
        <v>0.5493055555555556</v>
      </c>
      <c r="I3307" s="46" t="s">
        <v>104</v>
      </c>
      <c r="J3307" s="46" t="s">
        <v>18905</v>
      </c>
      <c r="K3307" s="46" t="s">
        <v>837</v>
      </c>
      <c r="L3307" s="46" t="s">
        <v>18906</v>
      </c>
      <c r="M3307" s="46" t="s">
        <v>63</v>
      </c>
      <c r="N3307" s="46" t="s">
        <v>142</v>
      </c>
      <c r="O3307" s="46" t="s">
        <v>77</v>
      </c>
      <c r="P3307" s="46" t="s">
        <v>65</v>
      </c>
      <c r="Q3307" s="46" t="s">
        <v>2162</v>
      </c>
      <c r="R3307" s="46" t="s">
        <v>840</v>
      </c>
      <c r="S3307" s="46">
        <v>0</v>
      </c>
      <c r="T3307" s="46">
        <v>0</v>
      </c>
      <c r="U3307" s="46">
        <v>0</v>
      </c>
      <c r="V3307" s="46">
        <v>0</v>
      </c>
      <c r="W3307" s="46">
        <v>0</v>
      </c>
      <c r="X3307" s="46">
        <v>0</v>
      </c>
      <c r="Y3307" s="46">
        <v>0</v>
      </c>
      <c r="Z3307" s="46">
        <v>0</v>
      </c>
      <c r="AA3307" s="46">
        <v>0</v>
      </c>
      <c r="AB3307" s="46">
        <v>0</v>
      </c>
      <c r="AC3307" s="46">
        <v>0</v>
      </c>
      <c r="AD3307" s="46">
        <v>0</v>
      </c>
      <c r="AE3307" s="46" t="s">
        <v>17776</v>
      </c>
      <c r="AF3307" s="46" t="s">
        <v>17777</v>
      </c>
      <c r="AG3307" s="46" t="s">
        <v>18671</v>
      </c>
      <c r="AH3307" s="72">
        <f>DATE(2021,6,9)</f>
        <v>44356</v>
      </c>
      <c r="AI3307" s="46">
        <v>0</v>
      </c>
      <c r="AJ3307" s="46" t="s">
        <v>18907</v>
      </c>
      <c r="AK3307" s="46" t="s">
        <v>18908</v>
      </c>
      <c r="AL3307" s="88">
        <f>DATE(2021,6,9)</f>
        <v>44356</v>
      </c>
      <c r="AM3307" s="88"/>
      <c r="AN3307" s="88">
        <v>45012</v>
      </c>
      <c r="AO3307" s="88">
        <v>44838</v>
      </c>
    </row>
    <row r="3308" spans="1:55" ht="36.75" customHeight="1">
      <c r="A3308" s="46" t="s">
        <v>12471</v>
      </c>
      <c r="B3308" s="30" t="s">
        <v>55</v>
      </c>
      <c r="C3308" s="69" t="str">
        <f>IF(B3308="Notification","Open",IF(B3308="Interim Statement","In progress","Closed"))</f>
        <v>Closed</v>
      </c>
      <c r="D3308" s="36" t="s">
        <v>18909</v>
      </c>
      <c r="E3308" s="29" t="s">
        <v>18910</v>
      </c>
      <c r="F3308" s="46" t="s">
        <v>17773</v>
      </c>
      <c r="G3308" s="88">
        <f>DATE(2021,6,11)</f>
        <v>44358</v>
      </c>
      <c r="H3308" s="142" t="s">
        <v>18911</v>
      </c>
      <c r="I3308" s="46" t="s">
        <v>73</v>
      </c>
      <c r="J3308" s="88" t="s">
        <v>18912</v>
      </c>
      <c r="K3308" s="46" t="s">
        <v>2603</v>
      </c>
      <c r="L3308" s="46" t="s">
        <v>18913</v>
      </c>
      <c r="M3308" s="46" t="s">
        <v>63</v>
      </c>
      <c r="N3308" s="46" t="s">
        <v>142</v>
      </c>
      <c r="O3308" s="46" t="s">
        <v>77</v>
      </c>
      <c r="P3308" s="88" t="s">
        <v>78</v>
      </c>
      <c r="Q3308" s="46" t="s">
        <v>18914</v>
      </c>
      <c r="R3308" s="46" t="s">
        <v>18915</v>
      </c>
      <c r="S3308" s="46">
        <v>0</v>
      </c>
      <c r="T3308" s="46">
        <v>0</v>
      </c>
      <c r="U3308" s="46">
        <v>0</v>
      </c>
      <c r="V3308" s="46">
        <v>0</v>
      </c>
      <c r="W3308" s="46">
        <v>0</v>
      </c>
      <c r="X3308" s="46">
        <v>0</v>
      </c>
      <c r="Y3308" s="46">
        <v>0</v>
      </c>
      <c r="Z3308" s="46">
        <v>0</v>
      </c>
      <c r="AA3308" s="46">
        <v>0</v>
      </c>
      <c r="AB3308" s="46">
        <v>0</v>
      </c>
      <c r="AC3308" s="46">
        <v>0</v>
      </c>
      <c r="AD3308" s="46">
        <v>0</v>
      </c>
      <c r="AE3308" s="88" t="s">
        <v>92</v>
      </c>
      <c r="AF3308" s="46" t="s">
        <v>18916</v>
      </c>
      <c r="AG3308" s="46" t="s">
        <v>8859</v>
      </c>
      <c r="AH3308" s="146">
        <v>44361</v>
      </c>
      <c r="AI3308" s="46">
        <v>3</v>
      </c>
      <c r="AJ3308" s="46" t="s">
        <v>18917</v>
      </c>
      <c r="AK3308" s="46" t="s">
        <v>18918</v>
      </c>
      <c r="AL3308" s="46"/>
      <c r="AM3308" s="29"/>
      <c r="AN3308" s="193">
        <v>44543</v>
      </c>
      <c r="AO3308" s="193">
        <v>44531</v>
      </c>
    </row>
    <row r="3309" spans="1:55" ht="36.75" customHeight="1">
      <c r="A3309" s="30" t="s">
        <v>12471</v>
      </c>
      <c r="B3309" s="30" t="s">
        <v>55</v>
      </c>
      <c r="C3309" s="69" t="str">
        <f>IF(B3309="Notification","Open",IF(B3309="Interim Statement","In progress","Closed"))</f>
        <v>Closed</v>
      </c>
      <c r="D3309" s="36" t="s">
        <v>18919</v>
      </c>
      <c r="E3309" s="29" t="s">
        <v>18920</v>
      </c>
      <c r="F3309" s="46" t="s">
        <v>16429</v>
      </c>
      <c r="G3309" s="88">
        <f>DATE(2021,6,14)</f>
        <v>44361</v>
      </c>
      <c r="H3309" s="142">
        <v>0.94374999999999998</v>
      </c>
      <c r="I3309" s="46" t="s">
        <v>73</v>
      </c>
      <c r="J3309" s="46" t="s">
        <v>18921</v>
      </c>
      <c r="K3309" s="46" t="s">
        <v>425</v>
      </c>
      <c r="L3309" s="46" t="s">
        <v>18922</v>
      </c>
      <c r="M3309" s="46" t="s">
        <v>63</v>
      </c>
      <c r="N3309" s="46" t="s">
        <v>99</v>
      </c>
      <c r="O3309" s="46" t="s">
        <v>77</v>
      </c>
      <c r="P3309" s="46" t="s">
        <v>165</v>
      </c>
      <c r="Q3309" s="46" t="s">
        <v>18516</v>
      </c>
      <c r="R3309" s="46" t="s">
        <v>18923</v>
      </c>
      <c r="S3309" s="46">
        <v>0</v>
      </c>
      <c r="T3309" s="46">
        <v>0</v>
      </c>
      <c r="U3309" s="46">
        <v>0</v>
      </c>
      <c r="V3309" s="46">
        <v>0</v>
      </c>
      <c r="W3309" s="46">
        <v>0</v>
      </c>
      <c r="X3309" s="46">
        <v>0</v>
      </c>
      <c r="Y3309" s="46">
        <v>0</v>
      </c>
      <c r="Z3309" s="46">
        <v>0</v>
      </c>
      <c r="AA3309" s="46">
        <v>0</v>
      </c>
      <c r="AB3309" s="46">
        <v>0</v>
      </c>
      <c r="AC3309" s="46">
        <v>0</v>
      </c>
      <c r="AD3309" s="46">
        <v>0</v>
      </c>
      <c r="AE3309" s="46" t="s">
        <v>17537</v>
      </c>
      <c r="AF3309" s="46" t="s">
        <v>18924</v>
      </c>
      <c r="AG3309" s="46" t="s">
        <v>16283</v>
      </c>
      <c r="AH3309" s="88">
        <v>44361</v>
      </c>
      <c r="AI3309" s="46">
        <v>0</v>
      </c>
      <c r="AJ3309" s="46" t="s">
        <v>18925</v>
      </c>
      <c r="AK3309" s="46" t="s">
        <v>879</v>
      </c>
      <c r="AL3309" s="46"/>
      <c r="AM3309" s="46"/>
      <c r="AN3309" s="191">
        <v>44619</v>
      </c>
      <c r="AO3309" s="191">
        <v>44616</v>
      </c>
    </row>
    <row r="3310" spans="1:55" ht="36.75" customHeight="1">
      <c r="A3310" s="46"/>
      <c r="B3310" s="30" t="s">
        <v>55</v>
      </c>
      <c r="C3310" s="69" t="s">
        <v>18034</v>
      </c>
      <c r="D3310" s="36" t="s">
        <v>18926</v>
      </c>
      <c r="E3310" s="29" t="s">
        <v>18927</v>
      </c>
      <c r="F3310" s="46" t="s">
        <v>17578</v>
      </c>
      <c r="G3310" s="88">
        <f>DATE(2021,6,15)</f>
        <v>44362</v>
      </c>
      <c r="H3310" s="142">
        <v>0.9291666666666667</v>
      </c>
      <c r="I3310" s="46" t="s">
        <v>104</v>
      </c>
      <c r="J3310" s="46" t="s">
        <v>18928</v>
      </c>
      <c r="K3310" s="46" t="s">
        <v>837</v>
      </c>
      <c r="L3310" s="46" t="s">
        <v>18929</v>
      </c>
      <c r="M3310" s="46" t="s">
        <v>63</v>
      </c>
      <c r="N3310" s="46" t="s">
        <v>99</v>
      </c>
      <c r="O3310" s="46" t="s">
        <v>77</v>
      </c>
      <c r="P3310" s="46" t="s">
        <v>65</v>
      </c>
      <c r="Q3310" s="46" t="s">
        <v>2162</v>
      </c>
      <c r="R3310" s="46" t="s">
        <v>840</v>
      </c>
      <c r="S3310" s="46">
        <v>0</v>
      </c>
      <c r="T3310" s="46">
        <v>0</v>
      </c>
      <c r="U3310" s="46">
        <v>0</v>
      </c>
      <c r="V3310" s="46">
        <v>0</v>
      </c>
      <c r="W3310" s="46">
        <v>0</v>
      </c>
      <c r="X3310" s="46">
        <v>0</v>
      </c>
      <c r="Y3310" s="46">
        <v>0</v>
      </c>
      <c r="Z3310" s="46">
        <v>0</v>
      </c>
      <c r="AA3310" s="46">
        <v>0</v>
      </c>
      <c r="AB3310" s="46">
        <v>0</v>
      </c>
      <c r="AC3310" s="46">
        <v>0</v>
      </c>
      <c r="AD3310" s="46">
        <v>0</v>
      </c>
      <c r="AE3310" s="46" t="s">
        <v>17776</v>
      </c>
      <c r="AF3310" s="46" t="s">
        <v>17777</v>
      </c>
      <c r="AG3310" s="46" t="s">
        <v>18930</v>
      </c>
      <c r="AH3310" s="70">
        <f>DATE(2021,6,17)</f>
        <v>44364</v>
      </c>
      <c r="AI3310" s="46">
        <v>0</v>
      </c>
      <c r="AJ3310" s="46" t="s">
        <v>18931</v>
      </c>
      <c r="AK3310" s="46" t="s">
        <v>18932</v>
      </c>
      <c r="AL3310" s="88">
        <f>DATE(2021,6,17)</f>
        <v>44364</v>
      </c>
      <c r="AM3310" s="88"/>
      <c r="AN3310" s="88">
        <v>45012</v>
      </c>
      <c r="AO3310" s="88">
        <v>44747</v>
      </c>
    </row>
    <row r="3311" spans="1:55" ht="46.4" customHeight="1">
      <c r="A3311" s="46" t="s">
        <v>12471</v>
      </c>
      <c r="B3311" s="30" t="s">
        <v>55</v>
      </c>
      <c r="C3311" s="69" t="str">
        <f t="shared" ref="C3311:C3316" si="307">IF(B3311="Notification","Open",IF(B3311="Interim Statement","In progress","Closed"))</f>
        <v>Closed</v>
      </c>
      <c r="D3311" s="36" t="s">
        <v>18933</v>
      </c>
      <c r="E3311" s="29" t="s">
        <v>18934</v>
      </c>
      <c r="F3311" s="46" t="s">
        <v>17057</v>
      </c>
      <c r="G3311" s="88">
        <f>DATE(2021,6,15)</f>
        <v>44362</v>
      </c>
      <c r="H3311" s="142">
        <v>0.4201388888888889</v>
      </c>
      <c r="I3311" s="46" t="s">
        <v>116</v>
      </c>
      <c r="J3311" s="46" t="s">
        <v>18935</v>
      </c>
      <c r="K3311" s="46" t="s">
        <v>2338</v>
      </c>
      <c r="L3311" s="46" t="s">
        <v>18936</v>
      </c>
      <c r="M3311" s="46" t="s">
        <v>63</v>
      </c>
      <c r="N3311" s="46" t="s">
        <v>99</v>
      </c>
      <c r="O3311" s="46" t="s">
        <v>64</v>
      </c>
      <c r="P3311" s="46" t="s">
        <v>301</v>
      </c>
      <c r="Q3311" s="46" t="s">
        <v>2341</v>
      </c>
      <c r="R3311" s="46" t="s">
        <v>2341</v>
      </c>
      <c r="S3311" s="46">
        <v>0</v>
      </c>
      <c r="T3311" s="46">
        <v>0</v>
      </c>
      <c r="U3311" s="46">
        <v>1</v>
      </c>
      <c r="V3311" s="46">
        <v>0</v>
      </c>
      <c r="W3311" s="46">
        <v>0</v>
      </c>
      <c r="X3311" s="46">
        <v>1</v>
      </c>
      <c r="Y3311" s="46">
        <v>0</v>
      </c>
      <c r="Z3311" s="46">
        <v>0</v>
      </c>
      <c r="AA3311" s="46">
        <v>0</v>
      </c>
      <c r="AB3311" s="46">
        <v>0</v>
      </c>
      <c r="AC3311" s="46">
        <v>0</v>
      </c>
      <c r="AD3311" s="46">
        <v>0</v>
      </c>
      <c r="AE3311" s="46" t="s">
        <v>92</v>
      </c>
      <c r="AF3311" s="46" t="s">
        <v>18937</v>
      </c>
      <c r="AG3311" s="157" t="s">
        <v>6459</v>
      </c>
      <c r="AH3311" s="72">
        <f>DATE(2021,6,22)</f>
        <v>44369</v>
      </c>
      <c r="AI3311" s="46">
        <v>4</v>
      </c>
      <c r="AJ3311" s="46" t="s">
        <v>18938</v>
      </c>
      <c r="AK3311" s="46" t="s">
        <v>18939</v>
      </c>
      <c r="AL3311" s="157"/>
      <c r="AM3311" s="46"/>
      <c r="AN3311" s="157">
        <v>44753</v>
      </c>
      <c r="AO3311" s="157">
        <v>44712</v>
      </c>
      <c r="AP3311" s="46"/>
      <c r="AQ3311" s="46"/>
      <c r="AR3311" s="46"/>
      <c r="AS3311" s="46"/>
      <c r="AT3311" s="46"/>
      <c r="AU3311" s="46"/>
      <c r="AV3311" s="46"/>
      <c r="AW3311" s="46"/>
      <c r="AX3311" s="46"/>
      <c r="AY3311" s="46"/>
      <c r="AZ3311" s="46"/>
      <c r="BA3311" s="46"/>
      <c r="BB3311" s="46"/>
      <c r="BC3311" s="46"/>
    </row>
    <row r="3312" spans="1:55" ht="36.75" customHeight="1">
      <c r="A3312" s="46" t="s">
        <v>12471</v>
      </c>
      <c r="B3312" s="30" t="s">
        <v>55</v>
      </c>
      <c r="C3312" s="69" t="str">
        <f t="shared" si="307"/>
        <v>Closed</v>
      </c>
      <c r="D3312" s="36" t="s">
        <v>18940</v>
      </c>
      <c r="E3312" s="29" t="s">
        <v>18941</v>
      </c>
      <c r="F3312" s="46" t="s">
        <v>17682</v>
      </c>
      <c r="G3312" s="88">
        <f>DATE(2021,6,15)</f>
        <v>44362</v>
      </c>
      <c r="H3312" s="142">
        <v>0.92361111111111116</v>
      </c>
      <c r="I3312" s="46" t="s">
        <v>73</v>
      </c>
      <c r="J3312" s="46" t="s">
        <v>18942</v>
      </c>
      <c r="K3312" s="46" t="s">
        <v>1574</v>
      </c>
      <c r="L3312" s="46" t="s">
        <v>18943</v>
      </c>
      <c r="M3312" s="46" t="s">
        <v>63</v>
      </c>
      <c r="N3312" s="46" t="s">
        <v>142</v>
      </c>
      <c r="O3312" s="46" t="s">
        <v>77</v>
      </c>
      <c r="P3312" s="46" t="s">
        <v>78</v>
      </c>
      <c r="Q3312" s="46" t="s">
        <v>18892</v>
      </c>
      <c r="R3312" s="46" t="s">
        <v>17686</v>
      </c>
      <c r="S3312" s="46">
        <v>0</v>
      </c>
      <c r="T3312" s="46">
        <v>0</v>
      </c>
      <c r="U3312" s="46">
        <v>0</v>
      </c>
      <c r="V3312" s="46">
        <v>0</v>
      </c>
      <c r="W3312" s="46">
        <v>0</v>
      </c>
      <c r="X3312" s="46">
        <v>0</v>
      </c>
      <c r="Y3312" s="46">
        <v>0</v>
      </c>
      <c r="Z3312" s="46">
        <v>0</v>
      </c>
      <c r="AA3312" s="46">
        <v>0</v>
      </c>
      <c r="AB3312" s="46">
        <v>0</v>
      </c>
      <c r="AC3312" s="46">
        <v>0</v>
      </c>
      <c r="AD3312" s="46">
        <v>0</v>
      </c>
      <c r="AE3312" s="46" t="s">
        <v>92</v>
      </c>
      <c r="AF3312" s="46" t="s">
        <v>18944</v>
      </c>
      <c r="AG3312" s="46" t="s">
        <v>8859</v>
      </c>
      <c r="AH3312" s="72">
        <f>DATE(2021,6,16)</f>
        <v>44363</v>
      </c>
      <c r="AI3312" s="46">
        <v>2</v>
      </c>
      <c r="AJ3312" s="46" t="s">
        <v>18945</v>
      </c>
      <c r="AK3312" s="46" t="s">
        <v>18946</v>
      </c>
      <c r="AL3312" s="46"/>
      <c r="AM3312" s="46"/>
      <c r="AN3312" s="88">
        <v>44729</v>
      </c>
      <c r="AO3312" s="88">
        <v>44719</v>
      </c>
    </row>
    <row r="3313" spans="1:55" ht="57" customHeight="1">
      <c r="A3313" s="46" t="s">
        <v>12471</v>
      </c>
      <c r="B3313" s="30" t="s">
        <v>55</v>
      </c>
      <c r="C3313" s="69" t="str">
        <f t="shared" si="307"/>
        <v>Closed</v>
      </c>
      <c r="D3313" s="36" t="s">
        <v>18947</v>
      </c>
      <c r="E3313" s="29" t="s">
        <v>18948</v>
      </c>
      <c r="F3313" s="46" t="s">
        <v>16310</v>
      </c>
      <c r="G3313" s="88">
        <f>DATE(2021,6,16)</f>
        <v>44363</v>
      </c>
      <c r="H3313" s="142">
        <v>0.1388888888888889</v>
      </c>
      <c r="I3313" s="46" t="s">
        <v>116</v>
      </c>
      <c r="J3313" s="88" t="s">
        <v>18949</v>
      </c>
      <c r="K3313" s="46" t="s">
        <v>118</v>
      </c>
      <c r="L3313" s="46" t="s">
        <v>18950</v>
      </c>
      <c r="M3313" s="46" t="s">
        <v>63</v>
      </c>
      <c r="N3313" s="46" t="s">
        <v>142</v>
      </c>
      <c r="O3313" s="46" t="s">
        <v>64</v>
      </c>
      <c r="P3313" s="88" t="s">
        <v>78</v>
      </c>
      <c r="Q3313" s="88" t="s">
        <v>18951</v>
      </c>
      <c r="R3313" s="88" t="s">
        <v>18952</v>
      </c>
      <c r="S3313" s="46">
        <v>0</v>
      </c>
      <c r="T3313" s="234">
        <v>0</v>
      </c>
      <c r="U3313" s="46">
        <v>0</v>
      </c>
      <c r="V3313" s="234">
        <v>0</v>
      </c>
      <c r="W3313" s="46">
        <v>0</v>
      </c>
      <c r="X3313" s="46">
        <v>0</v>
      </c>
      <c r="Y3313" s="46">
        <v>0</v>
      </c>
      <c r="Z3313" s="234">
        <v>1</v>
      </c>
      <c r="AA3313" s="46">
        <v>0</v>
      </c>
      <c r="AB3313" s="46">
        <v>0</v>
      </c>
      <c r="AC3313" s="46">
        <v>0</v>
      </c>
      <c r="AD3313" s="46">
        <v>1</v>
      </c>
      <c r="AE3313" s="88" t="s">
        <v>145</v>
      </c>
      <c r="AF3313" s="88" t="s">
        <v>18953</v>
      </c>
      <c r="AG3313" s="46" t="s">
        <v>6459</v>
      </c>
      <c r="AH3313" s="72">
        <v>44368</v>
      </c>
      <c r="AI3313" s="46">
        <v>5</v>
      </c>
      <c r="AJ3313" s="88" t="s">
        <v>18954</v>
      </c>
      <c r="AK3313" s="88" t="s">
        <v>18955</v>
      </c>
      <c r="AL3313" s="88"/>
      <c r="AM3313" s="192">
        <v>44967</v>
      </c>
      <c r="AN3313" s="161">
        <v>45203</v>
      </c>
      <c r="AO3313" s="161">
        <v>45142</v>
      </c>
    </row>
    <row r="3314" spans="1:55" ht="36.75" customHeight="1">
      <c r="A3314" s="46" t="s">
        <v>12471</v>
      </c>
      <c r="B3314" s="30" t="s">
        <v>55</v>
      </c>
      <c r="C3314" s="69" t="str">
        <f t="shared" si="307"/>
        <v>Closed</v>
      </c>
      <c r="D3314" s="36" t="s">
        <v>18956</v>
      </c>
      <c r="E3314" s="29" t="s">
        <v>18957</v>
      </c>
      <c r="F3314" s="46" t="s">
        <v>17578</v>
      </c>
      <c r="G3314" s="88">
        <f>DATE(2021,6,16)</f>
        <v>44363</v>
      </c>
      <c r="H3314" s="142">
        <v>0.3</v>
      </c>
      <c r="I3314" s="46" t="s">
        <v>104</v>
      </c>
      <c r="J3314" s="46" t="s">
        <v>18958</v>
      </c>
      <c r="K3314" s="46" t="s">
        <v>837</v>
      </c>
      <c r="L3314" s="46" t="s">
        <v>18959</v>
      </c>
      <c r="M3314" s="46" t="s">
        <v>63</v>
      </c>
      <c r="N3314" s="46" t="s">
        <v>142</v>
      </c>
      <c r="O3314" s="46" t="s">
        <v>77</v>
      </c>
      <c r="P3314" s="46" t="s">
        <v>165</v>
      </c>
      <c r="Q3314" s="46" t="s">
        <v>18858</v>
      </c>
      <c r="R3314" s="46" t="s">
        <v>840</v>
      </c>
      <c r="S3314" s="46">
        <v>0</v>
      </c>
      <c r="T3314" s="46">
        <v>0</v>
      </c>
      <c r="U3314" s="46">
        <v>0</v>
      </c>
      <c r="V3314" s="46">
        <v>0</v>
      </c>
      <c r="W3314" s="46">
        <v>0</v>
      </c>
      <c r="X3314" s="46">
        <v>0</v>
      </c>
      <c r="Y3314" s="46">
        <v>0</v>
      </c>
      <c r="Z3314" s="46">
        <v>0</v>
      </c>
      <c r="AA3314" s="46">
        <v>0</v>
      </c>
      <c r="AB3314" s="46">
        <v>0</v>
      </c>
      <c r="AC3314" s="46">
        <v>0</v>
      </c>
      <c r="AD3314" s="46">
        <v>0</v>
      </c>
      <c r="AE3314" s="46" t="s">
        <v>92</v>
      </c>
      <c r="AF3314" s="46" t="s">
        <v>879</v>
      </c>
      <c r="AG3314" s="46" t="s">
        <v>13537</v>
      </c>
      <c r="AH3314" s="72">
        <f>DATE(2021,6,16)</f>
        <v>44363</v>
      </c>
      <c r="AI3314" s="46">
        <v>0</v>
      </c>
      <c r="AJ3314" s="46" t="s">
        <v>18960</v>
      </c>
      <c r="AK3314" s="46" t="s">
        <v>18961</v>
      </c>
      <c r="AL3314" s="192">
        <v>44364</v>
      </c>
      <c r="AM3314" s="192"/>
      <c r="AN3314" s="161">
        <v>44531</v>
      </c>
      <c r="AO3314" s="161">
        <v>44530</v>
      </c>
      <c r="AP3314" s="46"/>
      <c r="AQ3314" s="46"/>
      <c r="AR3314" s="46"/>
      <c r="AS3314" s="46"/>
      <c r="AT3314" s="46"/>
      <c r="AU3314" s="46"/>
      <c r="AV3314" s="46"/>
      <c r="AW3314" s="46"/>
      <c r="AX3314" s="46"/>
      <c r="AY3314" s="46"/>
      <c r="AZ3314" s="46"/>
      <c r="BA3314" s="46"/>
      <c r="BB3314" s="46"/>
      <c r="BC3314" s="46"/>
    </row>
    <row r="3315" spans="1:55" ht="62.9" customHeight="1">
      <c r="A3315" s="46" t="s">
        <v>12471</v>
      </c>
      <c r="B3315" s="30" t="s">
        <v>55</v>
      </c>
      <c r="C3315" s="69" t="str">
        <f t="shared" si="307"/>
        <v>Closed</v>
      </c>
      <c r="D3315" s="36" t="s">
        <v>18962</v>
      </c>
      <c r="E3315" s="29" t="s">
        <v>18963</v>
      </c>
      <c r="F3315" s="46" t="s">
        <v>9789</v>
      </c>
      <c r="G3315" s="88">
        <f>DATE(2021,6,17)</f>
        <v>44364</v>
      </c>
      <c r="H3315" s="142">
        <v>0.43055555555555558</v>
      </c>
      <c r="I3315" s="46" t="s">
        <v>116</v>
      </c>
      <c r="J3315" s="266" t="s">
        <v>18964</v>
      </c>
      <c r="K3315" s="46" t="s">
        <v>9791</v>
      </c>
      <c r="L3315" s="46" t="s">
        <v>18965</v>
      </c>
      <c r="M3315" s="46" t="s">
        <v>63</v>
      </c>
      <c r="N3315" s="46" t="s">
        <v>99</v>
      </c>
      <c r="O3315" s="46" t="s">
        <v>64</v>
      </c>
      <c r="P3315" s="46" t="s">
        <v>165</v>
      </c>
      <c r="Q3315" s="46" t="s">
        <v>18966</v>
      </c>
      <c r="R3315" s="46" t="s">
        <v>9794</v>
      </c>
      <c r="S3315" s="46">
        <v>0</v>
      </c>
      <c r="T3315" s="46">
        <v>0</v>
      </c>
      <c r="U3315" s="46">
        <v>1</v>
      </c>
      <c r="V3315" s="46">
        <v>0</v>
      </c>
      <c r="W3315" s="46">
        <v>0</v>
      </c>
      <c r="X3315" s="46">
        <v>1</v>
      </c>
      <c r="Y3315" s="46">
        <v>0</v>
      </c>
      <c r="Z3315" s="46">
        <v>0</v>
      </c>
      <c r="AA3315" s="46">
        <v>0</v>
      </c>
      <c r="AB3315" s="46">
        <v>0</v>
      </c>
      <c r="AC3315" s="46">
        <v>0</v>
      </c>
      <c r="AD3315" s="46">
        <v>0</v>
      </c>
      <c r="AE3315" s="46" t="s">
        <v>92</v>
      </c>
      <c r="AF3315" s="46" t="s">
        <v>18967</v>
      </c>
      <c r="AG3315" s="46" t="s">
        <v>6459</v>
      </c>
      <c r="AH3315" s="72">
        <v>44382</v>
      </c>
      <c r="AI3315" s="46">
        <v>2</v>
      </c>
      <c r="AJ3315" s="46" t="s">
        <v>18968</v>
      </c>
      <c r="AK3315" s="46" t="s">
        <v>18969</v>
      </c>
      <c r="AL3315" s="46"/>
      <c r="AM3315" s="160">
        <v>44739</v>
      </c>
      <c r="AN3315" s="157">
        <v>44755</v>
      </c>
      <c r="AO3315" s="157">
        <v>44747</v>
      </c>
    </row>
    <row r="3316" spans="1:55" ht="36.75" customHeight="1">
      <c r="A3316" s="46" t="s">
        <v>12471</v>
      </c>
      <c r="B3316" s="30" t="s">
        <v>55</v>
      </c>
      <c r="C3316" s="69" t="str">
        <f t="shared" si="307"/>
        <v>Closed</v>
      </c>
      <c r="D3316" s="258" t="s">
        <v>18970</v>
      </c>
      <c r="E3316" s="29" t="s">
        <v>18971</v>
      </c>
      <c r="F3316" s="46" t="s">
        <v>16429</v>
      </c>
      <c r="G3316" s="88">
        <f>DATE(2021,6,18)</f>
        <v>44365</v>
      </c>
      <c r="H3316" s="142">
        <v>0.4236111111111111</v>
      </c>
      <c r="I3316" s="46" t="s">
        <v>198</v>
      </c>
      <c r="J3316" s="46" t="s">
        <v>18972</v>
      </c>
      <c r="K3316" s="46" t="s">
        <v>425</v>
      </c>
      <c r="L3316" s="46" t="s">
        <v>18973</v>
      </c>
      <c r="M3316" s="46" t="s">
        <v>63</v>
      </c>
      <c r="N3316" s="46" t="s">
        <v>142</v>
      </c>
      <c r="O3316" s="46" t="s">
        <v>77</v>
      </c>
      <c r="P3316" s="46" t="s">
        <v>18974</v>
      </c>
      <c r="Q3316" s="46" t="s">
        <v>18975</v>
      </c>
      <c r="R3316" s="46" t="s">
        <v>17369</v>
      </c>
      <c r="S3316" s="46">
        <v>0</v>
      </c>
      <c r="T3316" s="46">
        <v>0</v>
      </c>
      <c r="U3316" s="46">
        <v>0</v>
      </c>
      <c r="V3316" s="46">
        <v>0</v>
      </c>
      <c r="W3316" s="46">
        <v>0</v>
      </c>
      <c r="X3316" s="46">
        <v>0</v>
      </c>
      <c r="Y3316" s="46">
        <v>0</v>
      </c>
      <c r="Z3316" s="46">
        <v>0</v>
      </c>
      <c r="AA3316" s="46">
        <v>0</v>
      </c>
      <c r="AB3316" s="46">
        <v>0</v>
      </c>
      <c r="AC3316" s="46">
        <v>0</v>
      </c>
      <c r="AD3316" s="46">
        <v>0</v>
      </c>
      <c r="AE3316" s="46" t="s">
        <v>92</v>
      </c>
      <c r="AF3316" s="46" t="s">
        <v>18976</v>
      </c>
      <c r="AG3316" s="46" t="s">
        <v>16283</v>
      </c>
      <c r="AH3316" s="72">
        <f>DATE(2021,6,18)</f>
        <v>44365</v>
      </c>
      <c r="AI3316" s="46">
        <v>2</v>
      </c>
      <c r="AJ3316" s="46" t="s">
        <v>18977</v>
      </c>
      <c r="AK3316" s="46" t="s">
        <v>879</v>
      </c>
      <c r="AL3316" s="46"/>
      <c r="AM3316" s="88">
        <v>44728</v>
      </c>
      <c r="AN3316" s="88">
        <v>44853</v>
      </c>
      <c r="AO3316" s="88">
        <v>44851</v>
      </c>
    </row>
    <row r="3317" spans="1:55" ht="36.75" customHeight="1">
      <c r="A3317" s="46"/>
      <c r="B3317" s="30" t="s">
        <v>55</v>
      </c>
      <c r="C3317" s="69" t="s">
        <v>18034</v>
      </c>
      <c r="D3317" s="36" t="s">
        <v>18978</v>
      </c>
      <c r="E3317" s="194" t="s">
        <v>18979</v>
      </c>
      <c r="F3317" s="46" t="s">
        <v>17578</v>
      </c>
      <c r="G3317" s="88">
        <f>DATE(2021,6,18)</f>
        <v>44365</v>
      </c>
      <c r="H3317" s="142">
        <v>0.37708333333333338</v>
      </c>
      <c r="I3317" s="46" t="s">
        <v>156</v>
      </c>
      <c r="J3317" s="46" t="s">
        <v>18980</v>
      </c>
      <c r="K3317" s="46" t="s">
        <v>837</v>
      </c>
      <c r="L3317" s="46" t="s">
        <v>18981</v>
      </c>
      <c r="M3317" s="46" t="s">
        <v>63</v>
      </c>
      <c r="N3317" s="46" t="s">
        <v>99</v>
      </c>
      <c r="O3317" s="46" t="s">
        <v>64</v>
      </c>
      <c r="P3317" s="46" t="s">
        <v>165</v>
      </c>
      <c r="Q3317" s="46" t="s">
        <v>18982</v>
      </c>
      <c r="R3317" s="46" t="s">
        <v>2797</v>
      </c>
      <c r="S3317" s="46">
        <v>0</v>
      </c>
      <c r="T3317" s="46">
        <v>0</v>
      </c>
      <c r="U3317" s="46">
        <v>0</v>
      </c>
      <c r="V3317" s="46">
        <v>0</v>
      </c>
      <c r="W3317" s="46">
        <v>0</v>
      </c>
      <c r="X3317" s="46">
        <v>0</v>
      </c>
      <c r="Y3317" s="46">
        <v>0</v>
      </c>
      <c r="Z3317" s="46">
        <v>0</v>
      </c>
      <c r="AA3317" s="46">
        <v>0</v>
      </c>
      <c r="AB3317" s="46">
        <v>0</v>
      </c>
      <c r="AC3317" s="46">
        <v>0</v>
      </c>
      <c r="AD3317" s="46">
        <v>0</v>
      </c>
      <c r="AE3317" s="46">
        <v>0</v>
      </c>
      <c r="AF3317" s="46" t="s">
        <v>18040</v>
      </c>
      <c r="AG3317" s="46" t="s">
        <v>18930</v>
      </c>
      <c r="AH3317" s="72">
        <f>DATE(2021,6,18)</f>
        <v>44365</v>
      </c>
      <c r="AI3317" s="46">
        <v>0</v>
      </c>
      <c r="AJ3317" s="46" t="s">
        <v>18983</v>
      </c>
      <c r="AK3317" s="46" t="s">
        <v>18984</v>
      </c>
      <c r="AL3317" s="88">
        <v>44365</v>
      </c>
      <c r="AM3317" s="88"/>
      <c r="AN3317" s="88">
        <v>45012</v>
      </c>
      <c r="AO3317" s="88">
        <v>44838</v>
      </c>
    </row>
    <row r="3318" spans="1:55" ht="54.75" customHeight="1">
      <c r="A3318" s="46" t="s">
        <v>12471</v>
      </c>
      <c r="B3318" s="30" t="s">
        <v>2124</v>
      </c>
      <c r="C3318" s="69" t="str">
        <f>IF(B3318="Notification","Open",IF(B3318="Interim Statement","In progress","Closed"))</f>
        <v>Open</v>
      </c>
      <c r="D3318" s="36" t="s">
        <v>18985</v>
      </c>
      <c r="E3318" s="29" t="s">
        <v>18986</v>
      </c>
      <c r="F3318" s="46" t="s">
        <v>16702</v>
      </c>
      <c r="G3318" s="88">
        <f>DATE(2021,6,19)</f>
        <v>44366</v>
      </c>
      <c r="H3318" s="142">
        <v>1.78125</v>
      </c>
      <c r="I3318" s="46" t="s">
        <v>116</v>
      </c>
      <c r="J3318" s="46" t="s">
        <v>18987</v>
      </c>
      <c r="K3318" s="46" t="s">
        <v>596</v>
      </c>
      <c r="L3318" s="46" t="s">
        <v>18988</v>
      </c>
      <c r="M3318" s="46" t="s">
        <v>63</v>
      </c>
      <c r="N3318" s="46" t="s">
        <v>99</v>
      </c>
      <c r="O3318" s="46" t="s">
        <v>86</v>
      </c>
      <c r="P3318" s="46" t="s">
        <v>78</v>
      </c>
      <c r="Q3318" s="46" t="s">
        <v>13142</v>
      </c>
      <c r="R3318" s="46" t="s">
        <v>17293</v>
      </c>
      <c r="S3318" s="46"/>
      <c r="T3318" s="46"/>
      <c r="U3318" s="46"/>
      <c r="V3318" s="46"/>
      <c r="W3318" s="46"/>
      <c r="X3318" s="46">
        <v>1</v>
      </c>
      <c r="Y3318" s="46"/>
      <c r="Z3318" s="46"/>
      <c r="AA3318" s="46"/>
      <c r="AB3318" s="46"/>
      <c r="AC3318" s="46"/>
      <c r="AD3318" s="46">
        <v>0</v>
      </c>
      <c r="AE3318" s="46" t="s">
        <v>92</v>
      </c>
      <c r="AF3318" s="46" t="s">
        <v>18989</v>
      </c>
      <c r="AG3318" s="46" t="s">
        <v>6459</v>
      </c>
      <c r="AH3318" s="72">
        <v>44424</v>
      </c>
      <c r="AI3318" s="46"/>
      <c r="AJ3318" s="46"/>
      <c r="AK3318" s="46"/>
      <c r="AL3318" s="157">
        <v>44585</v>
      </c>
      <c r="AM3318" s="46"/>
      <c r="AN3318" s="169"/>
      <c r="AO3318" s="169"/>
    </row>
    <row r="3319" spans="1:55" ht="36.75" customHeight="1">
      <c r="A3319" s="46"/>
      <c r="B3319" s="30" t="s">
        <v>55</v>
      </c>
      <c r="C3319" s="69" t="s">
        <v>18034</v>
      </c>
      <c r="D3319" s="36" t="s">
        <v>18990</v>
      </c>
      <c r="E3319" s="29" t="s">
        <v>18991</v>
      </c>
      <c r="F3319" s="46" t="s">
        <v>17578</v>
      </c>
      <c r="G3319" s="88">
        <f>DATE(2021,6,25)</f>
        <v>44372</v>
      </c>
      <c r="H3319" s="142">
        <v>1.75</v>
      </c>
      <c r="I3319" s="46" t="s">
        <v>73</v>
      </c>
      <c r="J3319" s="46" t="s">
        <v>18992</v>
      </c>
      <c r="K3319" s="46" t="s">
        <v>837</v>
      </c>
      <c r="L3319" s="46" t="s">
        <v>18993</v>
      </c>
      <c r="M3319" s="46" t="s">
        <v>63</v>
      </c>
      <c r="N3319" s="46" t="s">
        <v>99</v>
      </c>
      <c r="O3319" s="46" t="s">
        <v>64</v>
      </c>
      <c r="P3319" s="46" t="s">
        <v>165</v>
      </c>
      <c r="Q3319" s="46" t="s">
        <v>2162</v>
      </c>
      <c r="R3319" s="46" t="s">
        <v>840</v>
      </c>
      <c r="S3319" s="46">
        <v>0</v>
      </c>
      <c r="T3319" s="46">
        <v>0</v>
      </c>
      <c r="U3319" s="46">
        <v>0</v>
      </c>
      <c r="V3319" s="46">
        <v>0</v>
      </c>
      <c r="W3319" s="46">
        <v>0</v>
      </c>
      <c r="X3319" s="46">
        <v>0</v>
      </c>
      <c r="Y3319" s="46">
        <v>0</v>
      </c>
      <c r="Z3319" s="46">
        <v>0</v>
      </c>
      <c r="AA3319" s="46">
        <v>0</v>
      </c>
      <c r="AB3319" s="46">
        <v>0</v>
      </c>
      <c r="AC3319" s="46">
        <v>0</v>
      </c>
      <c r="AD3319" s="46">
        <v>0</v>
      </c>
      <c r="AE3319" s="46" t="s">
        <v>92</v>
      </c>
      <c r="AF3319" s="46" t="s">
        <v>17864</v>
      </c>
      <c r="AG3319" s="46" t="s">
        <v>8859</v>
      </c>
      <c r="AH3319" s="72">
        <v>44372</v>
      </c>
      <c r="AI3319" s="46">
        <v>1</v>
      </c>
      <c r="AJ3319" s="46" t="s">
        <v>18994</v>
      </c>
      <c r="AK3319" s="46" t="s">
        <v>18995</v>
      </c>
      <c r="AL3319" s="157">
        <v>44620</v>
      </c>
      <c r="AM3319" s="46"/>
      <c r="AN3319" s="88">
        <v>45012</v>
      </c>
      <c r="AO3319" s="88">
        <v>44747</v>
      </c>
      <c r="AP3319" s="46"/>
      <c r="AQ3319" s="46"/>
      <c r="AR3319" s="46"/>
      <c r="AS3319" s="46"/>
      <c r="AT3319" s="46"/>
      <c r="AU3319" s="46"/>
      <c r="AV3319" s="46"/>
      <c r="AW3319" s="46"/>
      <c r="AX3319" s="46"/>
      <c r="AY3319" s="46"/>
      <c r="AZ3319" s="46"/>
      <c r="BA3319" s="46"/>
      <c r="BB3319" s="46"/>
    </row>
    <row r="3320" spans="1:55" ht="36.75" customHeight="1">
      <c r="A3320" s="46" t="s">
        <v>12471</v>
      </c>
      <c r="B3320" s="30" t="s">
        <v>55</v>
      </c>
      <c r="C3320" s="69" t="str">
        <f t="shared" ref="C3320:C3358" si="308">IF(B3320="Notification","Open",IF(B3320="Interim Statement","In progress","Closed"))</f>
        <v>Closed</v>
      </c>
      <c r="D3320" s="36" t="s">
        <v>18996</v>
      </c>
      <c r="E3320" s="29" t="s">
        <v>18997</v>
      </c>
      <c r="F3320" s="30" t="s">
        <v>17682</v>
      </c>
      <c r="G3320" s="88">
        <f>DATE(2021,6,26)</f>
        <v>44373</v>
      </c>
      <c r="H3320" s="142">
        <v>0.5541666666666667</v>
      </c>
      <c r="I3320" s="30" t="s">
        <v>73</v>
      </c>
      <c r="J3320" s="30" t="s">
        <v>18998</v>
      </c>
      <c r="K3320" s="30" t="s">
        <v>1574</v>
      </c>
      <c r="L3320" s="30" t="s">
        <v>18999</v>
      </c>
      <c r="M3320" s="30" t="s">
        <v>63</v>
      </c>
      <c r="N3320" s="30" t="s">
        <v>142</v>
      </c>
      <c r="O3320" s="30" t="s">
        <v>77</v>
      </c>
      <c r="P3320" s="30" t="s">
        <v>78</v>
      </c>
      <c r="Q3320" s="30" t="s">
        <v>18892</v>
      </c>
      <c r="R3320" s="30" t="s">
        <v>17686</v>
      </c>
      <c r="S3320" s="30">
        <v>0</v>
      </c>
      <c r="T3320" s="30">
        <v>0</v>
      </c>
      <c r="U3320" s="30">
        <v>0</v>
      </c>
      <c r="V3320" s="30">
        <v>0</v>
      </c>
      <c r="W3320" s="30">
        <v>0</v>
      </c>
      <c r="X3320" s="30">
        <v>0</v>
      </c>
      <c r="Y3320" s="30">
        <v>0</v>
      </c>
      <c r="Z3320" s="30">
        <v>0</v>
      </c>
      <c r="AA3320" s="30">
        <v>0</v>
      </c>
      <c r="AB3320" s="30">
        <v>0</v>
      </c>
      <c r="AC3320" s="30">
        <v>0</v>
      </c>
      <c r="AD3320" s="30">
        <v>0</v>
      </c>
      <c r="AE3320" s="46" t="s">
        <v>92</v>
      </c>
      <c r="AF3320" s="30" t="s">
        <v>19000</v>
      </c>
      <c r="AG3320" s="30" t="s">
        <v>8859</v>
      </c>
      <c r="AH3320" s="72">
        <f>DATE(2021,6,28)</f>
        <v>44375</v>
      </c>
      <c r="AI3320" s="30">
        <v>0</v>
      </c>
      <c r="AJ3320" s="30" t="s">
        <v>19001</v>
      </c>
      <c r="AK3320" s="30" t="s">
        <v>19002</v>
      </c>
      <c r="AL3320" s="30"/>
      <c r="AM3320" s="46"/>
      <c r="AN3320" s="88">
        <f>DATE(2022,6,23)</f>
        <v>44735</v>
      </c>
      <c r="AO3320" s="88">
        <f>DATE(2022,6,15)</f>
        <v>44727</v>
      </c>
    </row>
    <row r="3321" spans="1:55" ht="36.75" customHeight="1">
      <c r="A3321" s="46" t="s">
        <v>12471</v>
      </c>
      <c r="B3321" s="30" t="s">
        <v>55</v>
      </c>
      <c r="C3321" s="69" t="str">
        <f t="shared" si="308"/>
        <v>Closed</v>
      </c>
      <c r="D3321" s="36" t="s">
        <v>19003</v>
      </c>
      <c r="E3321" s="29" t="s">
        <v>19004</v>
      </c>
      <c r="F3321" s="30" t="s">
        <v>17682</v>
      </c>
      <c r="G3321" s="88">
        <f>DATE(2021,6,28)</f>
        <v>44375</v>
      </c>
      <c r="H3321" s="142">
        <v>0.51736111111111105</v>
      </c>
      <c r="I3321" s="30" t="s">
        <v>5494</v>
      </c>
      <c r="J3321" s="30" t="s">
        <v>19005</v>
      </c>
      <c r="K3321" s="30" t="s">
        <v>1574</v>
      </c>
      <c r="L3321" s="30" t="s">
        <v>19006</v>
      </c>
      <c r="M3321" s="30" t="s">
        <v>63</v>
      </c>
      <c r="N3321" s="30" t="s">
        <v>99</v>
      </c>
      <c r="O3321" s="30" t="s">
        <v>77</v>
      </c>
      <c r="P3321" s="30" t="s">
        <v>65</v>
      </c>
      <c r="Q3321" s="30" t="s">
        <v>18739</v>
      </c>
      <c r="R3321" s="30" t="s">
        <v>19007</v>
      </c>
      <c r="S3321" s="30">
        <v>0</v>
      </c>
      <c r="T3321" s="30">
        <v>0</v>
      </c>
      <c r="U3321" s="30">
        <v>0</v>
      </c>
      <c r="V3321" s="30">
        <v>0</v>
      </c>
      <c r="W3321" s="30">
        <v>0</v>
      </c>
      <c r="X3321" s="30">
        <v>0</v>
      </c>
      <c r="Y3321" s="30">
        <v>0</v>
      </c>
      <c r="Z3321" s="30">
        <v>0</v>
      </c>
      <c r="AA3321" s="30">
        <v>0</v>
      </c>
      <c r="AB3321" s="30">
        <v>0</v>
      </c>
      <c r="AC3321" s="30">
        <v>0</v>
      </c>
      <c r="AD3321" s="30">
        <v>0</v>
      </c>
      <c r="AE3321" s="46" t="s">
        <v>92</v>
      </c>
      <c r="AF3321" s="30" t="s">
        <v>18866</v>
      </c>
      <c r="AG3321" s="30" t="s">
        <v>8859</v>
      </c>
      <c r="AH3321" s="72">
        <v>44376</v>
      </c>
      <c r="AI3321" s="30">
        <v>2</v>
      </c>
      <c r="AJ3321" s="30" t="s">
        <v>19008</v>
      </c>
      <c r="AK3321" s="30" t="s">
        <v>19009</v>
      </c>
      <c r="AL3321" s="30"/>
      <c r="AM3321" s="30"/>
      <c r="AN3321" s="88">
        <v>44727</v>
      </c>
      <c r="AO3321" s="88">
        <v>44719</v>
      </c>
    </row>
    <row r="3322" spans="1:55" ht="36.75" customHeight="1">
      <c r="A3322" s="46" t="s">
        <v>12471</v>
      </c>
      <c r="B3322" s="30" t="s">
        <v>55</v>
      </c>
      <c r="C3322" s="69" t="str">
        <f t="shared" si="308"/>
        <v>Closed</v>
      </c>
      <c r="D3322" s="36" t="s">
        <v>19010</v>
      </c>
      <c r="E3322" s="29" t="s">
        <v>19011</v>
      </c>
      <c r="F3322" s="30" t="s">
        <v>12910</v>
      </c>
      <c r="G3322" s="88">
        <f>DATE(2021,6,29)</f>
        <v>44376</v>
      </c>
      <c r="H3322" s="142">
        <v>1.3784722222222223</v>
      </c>
      <c r="I3322" s="46" t="s">
        <v>116</v>
      </c>
      <c r="J3322" s="46" t="s">
        <v>18428</v>
      </c>
      <c r="K3322" s="46" t="s">
        <v>453</v>
      </c>
      <c r="L3322" s="46" t="s">
        <v>19012</v>
      </c>
      <c r="M3322" s="46" t="s">
        <v>63</v>
      </c>
      <c r="N3322" s="46" t="s">
        <v>99</v>
      </c>
      <c r="O3322" s="46" t="s">
        <v>64</v>
      </c>
      <c r="P3322" s="46" t="s">
        <v>165</v>
      </c>
      <c r="Q3322" s="46" t="s">
        <v>12184</v>
      </c>
      <c r="R3322" s="46" t="s">
        <v>572</v>
      </c>
      <c r="S3322" s="46">
        <v>0</v>
      </c>
      <c r="T3322" s="46">
        <v>0</v>
      </c>
      <c r="U3322" s="46">
        <v>1</v>
      </c>
      <c r="V3322" s="46">
        <v>0</v>
      </c>
      <c r="W3322" s="46">
        <v>0</v>
      </c>
      <c r="X3322" s="46">
        <v>1</v>
      </c>
      <c r="Y3322" s="46">
        <v>0</v>
      </c>
      <c r="Z3322" s="46">
        <v>0</v>
      </c>
      <c r="AA3322" s="46">
        <v>0</v>
      </c>
      <c r="AB3322" s="46">
        <v>0</v>
      </c>
      <c r="AC3322" s="46">
        <v>0</v>
      </c>
      <c r="AD3322" s="46">
        <v>0</v>
      </c>
      <c r="AE3322" s="46" t="s">
        <v>92</v>
      </c>
      <c r="AF3322" s="46" t="s">
        <v>19013</v>
      </c>
      <c r="AG3322" s="46" t="s">
        <v>6459</v>
      </c>
      <c r="AH3322" s="72">
        <v>44376</v>
      </c>
      <c r="AI3322" s="46">
        <v>0</v>
      </c>
      <c r="AJ3322" s="46" t="s">
        <v>19014</v>
      </c>
      <c r="AK3322" s="46">
        <v>0</v>
      </c>
      <c r="AL3322" s="157">
        <v>44756</v>
      </c>
      <c r="AM3322" s="46"/>
      <c r="AN3322" s="157">
        <v>44756</v>
      </c>
      <c r="AO3322" s="157">
        <v>44741</v>
      </c>
      <c r="AP3322" s="46"/>
      <c r="AQ3322" s="46"/>
      <c r="AR3322" s="46"/>
      <c r="AS3322" s="46"/>
      <c r="AT3322" s="46"/>
      <c r="AU3322" s="46"/>
      <c r="AV3322" s="46"/>
      <c r="AW3322" s="46"/>
    </row>
    <row r="3323" spans="1:55" ht="36.75" customHeight="1">
      <c r="A3323" s="46" t="s">
        <v>12471</v>
      </c>
      <c r="B3323" s="30" t="s">
        <v>55</v>
      </c>
      <c r="C3323" s="69" t="str">
        <f t="shared" si="308"/>
        <v>Closed</v>
      </c>
      <c r="D3323" s="36" t="s">
        <v>19015</v>
      </c>
      <c r="E3323" s="28" t="s">
        <v>19016</v>
      </c>
      <c r="F3323" s="5" t="s">
        <v>17820</v>
      </c>
      <c r="G3323" s="88">
        <f>DATE(2021,7,2)</f>
        <v>44379</v>
      </c>
      <c r="H3323" s="142">
        <v>0.71527777777777779</v>
      </c>
      <c r="I3323" s="5" t="s">
        <v>116</v>
      </c>
      <c r="J3323" s="5" t="s">
        <v>19017</v>
      </c>
      <c r="K3323" s="5" t="s">
        <v>640</v>
      </c>
      <c r="L3323" s="5" t="s">
        <v>19018</v>
      </c>
      <c r="M3323" s="5" t="s">
        <v>63</v>
      </c>
      <c r="N3323" s="5" t="s">
        <v>99</v>
      </c>
      <c r="O3323" s="5" t="s">
        <v>77</v>
      </c>
      <c r="P3323" s="5" t="s">
        <v>65</v>
      </c>
      <c r="Q3323" s="5" t="s">
        <v>18509</v>
      </c>
      <c r="R3323" s="5" t="s">
        <v>2016</v>
      </c>
      <c r="S3323" s="5">
        <v>0</v>
      </c>
      <c r="T3323" s="5">
        <v>0</v>
      </c>
      <c r="U3323" s="5">
        <v>4</v>
      </c>
      <c r="V3323" s="5">
        <v>0</v>
      </c>
      <c r="W3323" s="5">
        <v>0</v>
      </c>
      <c r="X3323" s="5">
        <v>4</v>
      </c>
      <c r="Y3323" s="5">
        <v>0</v>
      </c>
      <c r="Z3323" s="5">
        <v>0</v>
      </c>
      <c r="AA3323" s="5">
        <v>0</v>
      </c>
      <c r="AB3323" s="5">
        <v>0</v>
      </c>
      <c r="AC3323" s="5">
        <v>0</v>
      </c>
      <c r="AD3323" s="5">
        <v>0</v>
      </c>
      <c r="AE3323" s="5" t="s">
        <v>92</v>
      </c>
      <c r="AF3323" s="5" t="s">
        <v>19019</v>
      </c>
      <c r="AG3323" s="5" t="s">
        <v>8859</v>
      </c>
      <c r="AH3323" s="72">
        <v>44455</v>
      </c>
      <c r="AI3323" s="5">
        <v>2</v>
      </c>
      <c r="AJ3323" s="5" t="s">
        <v>19020</v>
      </c>
      <c r="AK3323" s="5" t="s">
        <v>19021</v>
      </c>
      <c r="AL3323" s="195">
        <v>44474</v>
      </c>
      <c r="AM3323" s="5"/>
      <c r="AN3323" s="157">
        <v>44694</v>
      </c>
      <c r="AO3323" s="157">
        <v>44680</v>
      </c>
      <c r="AP3323" s="30"/>
      <c r="AQ3323" s="30"/>
      <c r="AR3323" s="30"/>
      <c r="AS3323" s="30"/>
      <c r="AT3323" s="30"/>
      <c r="AU3323" s="30"/>
      <c r="AV3323" s="30"/>
      <c r="AW3323" s="30"/>
      <c r="AX3323" s="30"/>
      <c r="AY3323" s="30"/>
      <c r="AZ3323" s="30"/>
      <c r="BA3323" s="30"/>
      <c r="BB3323" s="30"/>
      <c r="BC3323" s="30"/>
    </row>
    <row r="3324" spans="1:55" ht="36.75" customHeight="1">
      <c r="A3324" s="46" t="s">
        <v>12471</v>
      </c>
      <c r="B3324" s="30" t="s">
        <v>55</v>
      </c>
      <c r="C3324" s="69" t="str">
        <f t="shared" si="308"/>
        <v>Closed</v>
      </c>
      <c r="D3324" s="36" t="s">
        <v>19022</v>
      </c>
      <c r="E3324" s="29" t="s">
        <v>19023</v>
      </c>
      <c r="F3324" s="30" t="s">
        <v>18881</v>
      </c>
      <c r="G3324" s="88">
        <f>DATE(2021,7,3)</f>
        <v>44380</v>
      </c>
      <c r="H3324" s="142" t="s">
        <v>19024</v>
      </c>
      <c r="I3324" s="30" t="s">
        <v>73</v>
      </c>
      <c r="J3324" s="72" t="s">
        <v>19025</v>
      </c>
      <c r="K3324" s="30" t="s">
        <v>61</v>
      </c>
      <c r="L3324" s="30" t="s">
        <v>19026</v>
      </c>
      <c r="M3324" s="30" t="s">
        <v>63</v>
      </c>
      <c r="N3324" s="30" t="s">
        <v>99</v>
      </c>
      <c r="O3324" s="30" t="s">
        <v>64</v>
      </c>
      <c r="P3324" s="72" t="s">
        <v>78</v>
      </c>
      <c r="Q3324" s="30" t="s">
        <v>66</v>
      </c>
      <c r="R3324" s="30" t="s">
        <v>18884</v>
      </c>
      <c r="S3324" s="30">
        <v>0</v>
      </c>
      <c r="T3324" s="30">
        <v>0</v>
      </c>
      <c r="U3324" s="30">
        <v>0</v>
      </c>
      <c r="V3324" s="30">
        <v>0</v>
      </c>
      <c r="W3324" s="30">
        <v>0</v>
      </c>
      <c r="X3324" s="30">
        <v>0</v>
      </c>
      <c r="Y3324" s="30">
        <v>0</v>
      </c>
      <c r="Z3324" s="30">
        <v>0</v>
      </c>
      <c r="AA3324" s="30">
        <v>0</v>
      </c>
      <c r="AB3324" s="30">
        <v>0</v>
      </c>
      <c r="AC3324" s="30">
        <v>0</v>
      </c>
      <c r="AD3324" s="30">
        <v>0</v>
      </c>
      <c r="AE3324" s="30" t="s">
        <v>394</v>
      </c>
      <c r="AF3324" s="30" t="s">
        <v>19027</v>
      </c>
      <c r="AG3324" s="30" t="s">
        <v>8859</v>
      </c>
      <c r="AH3324" s="72">
        <v>44384</v>
      </c>
      <c r="AI3324" s="30">
        <v>4</v>
      </c>
      <c r="AJ3324" s="30" t="s">
        <v>19028</v>
      </c>
      <c r="AK3324" s="30" t="s">
        <v>19029</v>
      </c>
      <c r="AL3324" s="30"/>
      <c r="AM3324" s="30"/>
      <c r="AN3324" s="161">
        <v>44670</v>
      </c>
      <c r="AO3324" s="196">
        <v>44670</v>
      </c>
      <c r="AP3324" s="27"/>
      <c r="AQ3324" s="129"/>
      <c r="AR3324" s="129"/>
      <c r="AS3324" s="129"/>
      <c r="AT3324" s="197"/>
      <c r="AU3324" s="27"/>
      <c r="AV3324" s="27"/>
      <c r="AW3324" s="27"/>
      <c r="AX3324" s="198"/>
      <c r="AY3324" s="198"/>
      <c r="AZ3324" s="198"/>
      <c r="BA3324" s="198"/>
      <c r="BB3324" s="198"/>
      <c r="BC3324" s="30"/>
    </row>
    <row r="3325" spans="1:55" ht="36.75" customHeight="1">
      <c r="A3325" s="46" t="s">
        <v>12471</v>
      </c>
      <c r="B3325" s="30" t="s">
        <v>55</v>
      </c>
      <c r="C3325" s="69" t="str">
        <f t="shared" si="308"/>
        <v>Closed</v>
      </c>
      <c r="D3325" s="36" t="s">
        <v>19030</v>
      </c>
      <c r="E3325" s="29" t="s">
        <v>19031</v>
      </c>
      <c r="F3325" s="30" t="s">
        <v>17344</v>
      </c>
      <c r="G3325" s="88">
        <f>DATE(2021,7,3)</f>
        <v>44380</v>
      </c>
      <c r="H3325" s="142">
        <v>0.46875</v>
      </c>
      <c r="I3325" s="30" t="s">
        <v>198</v>
      </c>
      <c r="J3325" s="30" t="s">
        <v>19032</v>
      </c>
      <c r="K3325" s="30" t="s">
        <v>127</v>
      </c>
      <c r="L3325" s="30" t="s">
        <v>19033</v>
      </c>
      <c r="M3325" s="30" t="s">
        <v>255</v>
      </c>
      <c r="N3325" s="30" t="s">
        <v>142</v>
      </c>
      <c r="O3325" s="30" t="s">
        <v>64</v>
      </c>
      <c r="P3325" s="30" t="s">
        <v>6552</v>
      </c>
      <c r="Q3325" s="30" t="s">
        <v>10555</v>
      </c>
      <c r="R3325" s="30" t="s">
        <v>10555</v>
      </c>
      <c r="S3325" s="30">
        <v>0</v>
      </c>
      <c r="T3325" s="30">
        <v>0</v>
      </c>
      <c r="U3325" s="30">
        <v>0</v>
      </c>
      <c r="V3325" s="30">
        <v>0</v>
      </c>
      <c r="W3325" s="30">
        <v>0</v>
      </c>
      <c r="X3325" s="30">
        <v>0</v>
      </c>
      <c r="Y3325" s="30">
        <v>0</v>
      </c>
      <c r="Z3325" s="30">
        <v>0</v>
      </c>
      <c r="AA3325" s="30">
        <v>0</v>
      </c>
      <c r="AB3325" s="30">
        <v>0</v>
      </c>
      <c r="AC3325" s="30">
        <v>0</v>
      </c>
      <c r="AD3325" s="30">
        <v>0</v>
      </c>
      <c r="AE3325" s="30" t="s">
        <v>92</v>
      </c>
      <c r="AF3325" s="30" t="s">
        <v>19034</v>
      </c>
      <c r="AG3325" s="30" t="s">
        <v>16938</v>
      </c>
      <c r="AH3325" s="72">
        <v>44385</v>
      </c>
      <c r="AI3325" s="30">
        <v>0</v>
      </c>
      <c r="AJ3325" s="30" t="s">
        <v>19035</v>
      </c>
      <c r="AK3325" s="30" t="s">
        <v>19036</v>
      </c>
      <c r="AL3325" s="46"/>
      <c r="AM3325" s="30"/>
      <c r="AN3325" s="195">
        <v>44812</v>
      </c>
      <c r="AO3325" s="195">
        <v>44746</v>
      </c>
    </row>
    <row r="3326" spans="1:55" ht="36.75" customHeight="1">
      <c r="A3326" s="46" t="s">
        <v>12471</v>
      </c>
      <c r="B3326" s="30" t="s">
        <v>55</v>
      </c>
      <c r="C3326" s="69" t="str">
        <f t="shared" si="308"/>
        <v>Closed</v>
      </c>
      <c r="D3326" s="36" t="s">
        <v>19037</v>
      </c>
      <c r="E3326" s="29" t="s">
        <v>19038</v>
      </c>
      <c r="F3326" s="30" t="s">
        <v>12910</v>
      </c>
      <c r="G3326" s="88">
        <f>DATE(2021,7,7)</f>
        <v>44384</v>
      </c>
      <c r="H3326" s="142">
        <v>1.9583333333333335</v>
      </c>
      <c r="I3326" s="30" t="s">
        <v>73</v>
      </c>
      <c r="J3326" s="30" t="s">
        <v>19039</v>
      </c>
      <c r="K3326" s="30" t="s">
        <v>453</v>
      </c>
      <c r="L3326" s="30" t="s">
        <v>19040</v>
      </c>
      <c r="M3326" s="30" t="s">
        <v>63</v>
      </c>
      <c r="N3326" s="30" t="s">
        <v>89</v>
      </c>
      <c r="O3326" s="30" t="s">
        <v>77</v>
      </c>
      <c r="P3326" s="30" t="s">
        <v>65</v>
      </c>
      <c r="Q3326" s="30" t="s">
        <v>14384</v>
      </c>
      <c r="R3326" s="30" t="s">
        <v>572</v>
      </c>
      <c r="S3326" s="30">
        <v>0</v>
      </c>
      <c r="T3326" s="30">
        <v>0</v>
      </c>
      <c r="U3326" s="30">
        <v>0</v>
      </c>
      <c r="V3326" s="30">
        <v>0</v>
      </c>
      <c r="W3326" s="30">
        <v>0</v>
      </c>
      <c r="X3326" s="30">
        <v>0</v>
      </c>
      <c r="Y3326" s="30">
        <v>0</v>
      </c>
      <c r="Z3326" s="30">
        <v>0</v>
      </c>
      <c r="AA3326" s="30">
        <v>0</v>
      </c>
      <c r="AB3326" s="30">
        <v>0</v>
      </c>
      <c r="AC3326" s="30">
        <v>0</v>
      </c>
      <c r="AD3326" s="30">
        <v>0</v>
      </c>
      <c r="AE3326" s="30" t="s">
        <v>92</v>
      </c>
      <c r="AF3326" s="30" t="s">
        <v>19041</v>
      </c>
      <c r="AG3326" s="30" t="s">
        <v>13537</v>
      </c>
      <c r="AH3326" s="72">
        <v>44410</v>
      </c>
      <c r="AI3326" s="30">
        <v>1</v>
      </c>
      <c r="AJ3326" s="30" t="s">
        <v>19042</v>
      </c>
      <c r="AK3326" s="30" t="s">
        <v>19043</v>
      </c>
      <c r="AL3326" s="195">
        <v>44756</v>
      </c>
      <c r="AM3326" s="30"/>
      <c r="AN3326" s="157">
        <v>44756</v>
      </c>
      <c r="AO3326" s="157">
        <v>44747</v>
      </c>
      <c r="AP3326" s="195"/>
      <c r="AQ3326" s="195"/>
      <c r="AR3326" s="195"/>
      <c r="AS3326" s="195"/>
      <c r="AT3326" s="195"/>
      <c r="AU3326" s="195"/>
      <c r="AV3326" s="195"/>
      <c r="AW3326" s="195"/>
      <c r="AX3326" s="195"/>
      <c r="AY3326" s="195"/>
      <c r="AZ3326" s="195"/>
      <c r="BA3326" s="195"/>
      <c r="BB3326" s="195"/>
      <c r="BC3326" s="195"/>
    </row>
    <row r="3327" spans="1:55" ht="36.75" customHeight="1">
      <c r="A3327" s="46" t="s">
        <v>12471</v>
      </c>
      <c r="B3327" s="30" t="s">
        <v>55</v>
      </c>
      <c r="C3327" s="69" t="str">
        <f t="shared" si="308"/>
        <v>Closed</v>
      </c>
      <c r="D3327" s="36" t="s">
        <v>19044</v>
      </c>
      <c r="E3327" s="29" t="s">
        <v>19045</v>
      </c>
      <c r="F3327" s="30" t="s">
        <v>17682</v>
      </c>
      <c r="G3327" s="88">
        <f>DATE(2021,7,8)</f>
        <v>44385</v>
      </c>
      <c r="H3327" s="142">
        <v>0.17013888888888887</v>
      </c>
      <c r="I3327" s="30" t="s">
        <v>73</v>
      </c>
      <c r="J3327" s="72" t="s">
        <v>19046</v>
      </c>
      <c r="K3327" s="30" t="s">
        <v>1574</v>
      </c>
      <c r="L3327" s="30" t="s">
        <v>19047</v>
      </c>
      <c r="M3327" s="30" t="s">
        <v>63</v>
      </c>
      <c r="N3327" s="30" t="s">
        <v>142</v>
      </c>
      <c r="O3327" s="30" t="s">
        <v>77</v>
      </c>
      <c r="P3327" s="72" t="s">
        <v>165</v>
      </c>
      <c r="Q3327" s="30" t="s">
        <v>18739</v>
      </c>
      <c r="R3327" s="30" t="s">
        <v>17686</v>
      </c>
      <c r="S3327" s="30">
        <v>0</v>
      </c>
      <c r="T3327" s="30">
        <v>0</v>
      </c>
      <c r="U3327" s="30">
        <v>0</v>
      </c>
      <c r="V3327" s="30">
        <v>0</v>
      </c>
      <c r="W3327" s="30">
        <v>0</v>
      </c>
      <c r="X3327" s="30">
        <v>0</v>
      </c>
      <c r="Y3327" s="30">
        <v>0</v>
      </c>
      <c r="Z3327" s="30">
        <v>0</v>
      </c>
      <c r="AA3327" s="30">
        <v>0</v>
      </c>
      <c r="AB3327" s="30">
        <v>0</v>
      </c>
      <c r="AC3327" s="30">
        <v>0</v>
      </c>
      <c r="AD3327" s="30">
        <v>0</v>
      </c>
      <c r="AE3327" s="30" t="s">
        <v>92</v>
      </c>
      <c r="AF3327" s="30" t="s">
        <v>19048</v>
      </c>
      <c r="AG3327" s="30" t="s">
        <v>8859</v>
      </c>
      <c r="AH3327" s="72">
        <v>44385</v>
      </c>
      <c r="AI3327" s="30">
        <v>0</v>
      </c>
      <c r="AJ3327" s="30" t="s">
        <v>19049</v>
      </c>
      <c r="AK3327" s="30" t="s">
        <v>19050</v>
      </c>
      <c r="AL3327" s="30"/>
      <c r="AM3327" s="30"/>
      <c r="AN3327" s="88">
        <v>44761</v>
      </c>
      <c r="AO3327" s="88">
        <v>44747</v>
      </c>
    </row>
    <row r="3328" spans="1:55" ht="36.75" customHeight="1">
      <c r="A3328" s="46" t="s">
        <v>12471</v>
      </c>
      <c r="B3328" s="30" t="s">
        <v>55</v>
      </c>
      <c r="C3328" s="69" t="str">
        <f t="shared" si="308"/>
        <v>Closed</v>
      </c>
      <c r="D3328" s="36" t="s">
        <v>19051</v>
      </c>
      <c r="E3328" s="29" t="s">
        <v>19052</v>
      </c>
      <c r="F3328" s="30" t="s">
        <v>17682</v>
      </c>
      <c r="G3328" s="88">
        <f>DATE(2021,7,8)</f>
        <v>44385</v>
      </c>
      <c r="H3328" s="142" t="s">
        <v>19053</v>
      </c>
      <c r="I3328" s="30" t="s">
        <v>125</v>
      </c>
      <c r="J3328" s="72" t="s">
        <v>19054</v>
      </c>
      <c r="K3328" s="30" t="s">
        <v>1574</v>
      </c>
      <c r="L3328" s="30" t="s">
        <v>19055</v>
      </c>
      <c r="M3328" s="30" t="s">
        <v>63</v>
      </c>
      <c r="N3328" s="30" t="s">
        <v>142</v>
      </c>
      <c r="O3328" s="30" t="s">
        <v>77</v>
      </c>
      <c r="P3328" s="72" t="s">
        <v>78</v>
      </c>
      <c r="Q3328" s="30" t="s">
        <v>19056</v>
      </c>
      <c r="R3328" s="30" t="s">
        <v>19007</v>
      </c>
      <c r="S3328" s="30">
        <v>0</v>
      </c>
      <c r="T3328" s="30">
        <v>0</v>
      </c>
      <c r="U3328" s="30">
        <v>0</v>
      </c>
      <c r="V3328" s="30">
        <v>0</v>
      </c>
      <c r="W3328" s="30">
        <v>0</v>
      </c>
      <c r="X3328" s="30">
        <v>0</v>
      </c>
      <c r="Y3328" s="30">
        <v>0</v>
      </c>
      <c r="Z3328" s="30">
        <v>0</v>
      </c>
      <c r="AA3328" s="30">
        <v>0</v>
      </c>
      <c r="AB3328" s="30">
        <v>0</v>
      </c>
      <c r="AC3328" s="30">
        <v>0</v>
      </c>
      <c r="AD3328" s="30">
        <v>0</v>
      </c>
      <c r="AE3328" s="30" t="s">
        <v>92</v>
      </c>
      <c r="AF3328" s="30" t="s">
        <v>19057</v>
      </c>
      <c r="AG3328" s="30" t="s">
        <v>8859</v>
      </c>
      <c r="AH3328" s="72">
        <v>44385</v>
      </c>
      <c r="AI3328" s="30">
        <v>0</v>
      </c>
      <c r="AJ3328" s="30" t="s">
        <v>19058</v>
      </c>
      <c r="AK3328" s="30" t="s">
        <v>19059</v>
      </c>
      <c r="AL3328" s="30"/>
      <c r="AM3328" s="30"/>
      <c r="AN3328" s="88">
        <v>44726</v>
      </c>
      <c r="AO3328" s="88">
        <v>44714</v>
      </c>
      <c r="AP3328" s="195"/>
      <c r="AQ3328" s="195"/>
      <c r="AR3328" s="195"/>
      <c r="AS3328" s="195"/>
      <c r="AT3328" s="195"/>
      <c r="AU3328" s="195"/>
      <c r="AV3328" s="195"/>
      <c r="AW3328" s="195"/>
      <c r="AX3328" s="195"/>
      <c r="AY3328" s="195"/>
      <c r="AZ3328" s="195"/>
    </row>
    <row r="3329" spans="1:55" ht="36.75" customHeight="1">
      <c r="A3329" s="46" t="s">
        <v>12471</v>
      </c>
      <c r="B3329" s="30" t="s">
        <v>55</v>
      </c>
      <c r="C3329" s="69" t="str">
        <f t="shared" si="308"/>
        <v>Closed</v>
      </c>
      <c r="D3329" s="36" t="s">
        <v>19060</v>
      </c>
      <c r="E3329" s="29" t="s">
        <v>19061</v>
      </c>
      <c r="F3329" s="30" t="s">
        <v>17578</v>
      </c>
      <c r="G3329" s="88">
        <f>DATE(2021,7,11)</f>
        <v>44388</v>
      </c>
      <c r="H3329" s="142" t="s">
        <v>19062</v>
      </c>
      <c r="I3329" s="30" t="s">
        <v>86</v>
      </c>
      <c r="J3329" s="72" t="s">
        <v>19063</v>
      </c>
      <c r="K3329" s="30" t="s">
        <v>837</v>
      </c>
      <c r="L3329" s="30" t="s">
        <v>12786</v>
      </c>
      <c r="M3329" s="30" t="s">
        <v>63</v>
      </c>
      <c r="N3329" s="30" t="s">
        <v>142</v>
      </c>
      <c r="O3329" s="30" t="s">
        <v>77</v>
      </c>
      <c r="P3329" s="72" t="s">
        <v>78</v>
      </c>
      <c r="Q3329" s="30" t="s">
        <v>18250</v>
      </c>
      <c r="R3329" s="30" t="s">
        <v>840</v>
      </c>
      <c r="S3329" s="30">
        <v>0</v>
      </c>
      <c r="T3329" s="30">
        <v>0</v>
      </c>
      <c r="U3329" s="30">
        <v>0</v>
      </c>
      <c r="V3329" s="30">
        <v>0</v>
      </c>
      <c r="W3329" s="30">
        <v>0</v>
      </c>
      <c r="X3329" s="30">
        <v>0</v>
      </c>
      <c r="Y3329" s="30">
        <v>0</v>
      </c>
      <c r="Z3329" s="30">
        <v>0</v>
      </c>
      <c r="AA3329" s="30">
        <v>0</v>
      </c>
      <c r="AB3329" s="30">
        <v>0</v>
      </c>
      <c r="AC3329" s="30">
        <v>0</v>
      </c>
      <c r="AD3329" s="30">
        <v>0</v>
      </c>
      <c r="AE3329" s="30" t="s">
        <v>92</v>
      </c>
      <c r="AF3329" s="30" t="s">
        <v>879</v>
      </c>
      <c r="AG3329" s="30" t="s">
        <v>8859</v>
      </c>
      <c r="AH3329" s="72">
        <v>44389</v>
      </c>
      <c r="AI3329" s="30">
        <v>4</v>
      </c>
      <c r="AJ3329" s="30" t="s">
        <v>19064</v>
      </c>
      <c r="AK3329" s="30" t="s">
        <v>19065</v>
      </c>
      <c r="AL3329" s="30"/>
      <c r="AM3329" s="30"/>
      <c r="AN3329" s="72">
        <v>44768</v>
      </c>
      <c r="AO3329" s="196">
        <v>44747</v>
      </c>
      <c r="AP3329" s="195"/>
      <c r="AQ3329" s="195"/>
      <c r="AR3329" s="195"/>
      <c r="AS3329" s="195"/>
      <c r="AT3329" s="195"/>
      <c r="AU3329" s="195"/>
      <c r="AV3329" s="195"/>
      <c r="AW3329" s="195"/>
      <c r="AX3329" s="195"/>
      <c r="AY3329" s="195"/>
      <c r="AZ3329" s="195"/>
      <c r="BA3329" s="195"/>
      <c r="BB3329" s="195"/>
      <c r="BC3329" s="195"/>
    </row>
    <row r="3330" spans="1:55" ht="36.75" customHeight="1">
      <c r="A3330" s="46" t="s">
        <v>12471</v>
      </c>
      <c r="B3330" s="30" t="s">
        <v>55</v>
      </c>
      <c r="C3330" s="69" t="str">
        <f t="shared" si="308"/>
        <v>Closed</v>
      </c>
      <c r="D3330" s="36" t="s">
        <v>19066</v>
      </c>
      <c r="E3330" s="29" t="s">
        <v>19067</v>
      </c>
      <c r="F3330" s="30" t="s">
        <v>17682</v>
      </c>
      <c r="G3330" s="88">
        <f>DATE(2021,7,12)</f>
        <v>44389</v>
      </c>
      <c r="H3330" s="142" t="s">
        <v>19068</v>
      </c>
      <c r="I3330" s="30" t="s">
        <v>125</v>
      </c>
      <c r="J3330" s="72" t="s">
        <v>19069</v>
      </c>
      <c r="K3330" s="30" t="s">
        <v>1574</v>
      </c>
      <c r="L3330" s="30" t="s">
        <v>19070</v>
      </c>
      <c r="M3330" s="30" t="s">
        <v>63</v>
      </c>
      <c r="N3330" s="30" t="s">
        <v>142</v>
      </c>
      <c r="O3330" s="30" t="s">
        <v>77</v>
      </c>
      <c r="P3330" s="72" t="s">
        <v>78</v>
      </c>
      <c r="Q3330" s="30" t="s">
        <v>19071</v>
      </c>
      <c r="R3330" s="30" t="s">
        <v>19007</v>
      </c>
      <c r="S3330" s="30">
        <v>0</v>
      </c>
      <c r="T3330" s="30">
        <v>0</v>
      </c>
      <c r="U3330" s="30">
        <v>0</v>
      </c>
      <c r="V3330" s="30">
        <v>0</v>
      </c>
      <c r="W3330" s="30">
        <v>0</v>
      </c>
      <c r="X3330" s="30">
        <v>0</v>
      </c>
      <c r="Y3330" s="30">
        <v>0</v>
      </c>
      <c r="Z3330" s="30">
        <v>0</v>
      </c>
      <c r="AA3330" s="30">
        <v>0</v>
      </c>
      <c r="AB3330" s="30">
        <v>0</v>
      </c>
      <c r="AC3330" s="30">
        <v>0</v>
      </c>
      <c r="AD3330" s="30">
        <v>0</v>
      </c>
      <c r="AE3330" s="30" t="s">
        <v>92</v>
      </c>
      <c r="AF3330" s="30" t="s">
        <v>19072</v>
      </c>
      <c r="AG3330" s="30" t="s">
        <v>8859</v>
      </c>
      <c r="AH3330" s="72">
        <v>44390</v>
      </c>
      <c r="AI3330" s="30">
        <v>1</v>
      </c>
      <c r="AJ3330" s="30" t="s">
        <v>19073</v>
      </c>
      <c r="AK3330" s="30" t="s">
        <v>19074</v>
      </c>
      <c r="AL3330" s="30"/>
      <c r="AM3330" s="30"/>
      <c r="AN3330" s="88">
        <v>44756</v>
      </c>
      <c r="AO3330" s="88">
        <v>44746</v>
      </c>
    </row>
    <row r="3331" spans="1:55" ht="36.75" customHeight="1">
      <c r="A3331" s="46" t="s">
        <v>12471</v>
      </c>
      <c r="B3331" s="30" t="s">
        <v>55</v>
      </c>
      <c r="C3331" s="69" t="str">
        <f t="shared" si="308"/>
        <v>Closed</v>
      </c>
      <c r="D3331" s="36" t="s">
        <v>19075</v>
      </c>
      <c r="E3331" s="29" t="s">
        <v>19076</v>
      </c>
      <c r="F3331" s="30" t="s">
        <v>17578</v>
      </c>
      <c r="G3331" s="88">
        <f>DATE(2021,7,13)</f>
        <v>44390</v>
      </c>
      <c r="H3331" s="142" t="s">
        <v>19077</v>
      </c>
      <c r="I3331" s="30" t="s">
        <v>73</v>
      </c>
      <c r="J3331" s="72" t="s">
        <v>19078</v>
      </c>
      <c r="K3331" s="30" t="s">
        <v>837</v>
      </c>
      <c r="L3331" s="30" t="s">
        <v>19079</v>
      </c>
      <c r="M3331" s="30" t="s">
        <v>63</v>
      </c>
      <c r="N3331" s="30" t="s">
        <v>142</v>
      </c>
      <c r="O3331" s="30" t="s">
        <v>77</v>
      </c>
      <c r="P3331" s="72" t="s">
        <v>78</v>
      </c>
      <c r="Q3331" s="30" t="s">
        <v>6581</v>
      </c>
      <c r="R3331" s="30" t="s">
        <v>840</v>
      </c>
      <c r="S3331" s="30">
        <v>0</v>
      </c>
      <c r="T3331" s="30">
        <v>0</v>
      </c>
      <c r="U3331" s="30">
        <v>0</v>
      </c>
      <c r="V3331" s="30">
        <v>0</v>
      </c>
      <c r="W3331" s="30">
        <v>0</v>
      </c>
      <c r="X3331" s="30">
        <v>0</v>
      </c>
      <c r="Y3331" s="30">
        <v>0</v>
      </c>
      <c r="Z3331" s="30">
        <v>0</v>
      </c>
      <c r="AA3331" s="30">
        <v>0</v>
      </c>
      <c r="AB3331" s="30">
        <v>0</v>
      </c>
      <c r="AC3331" s="30">
        <v>0</v>
      </c>
      <c r="AD3331" s="30">
        <v>0</v>
      </c>
      <c r="AE3331" s="30" t="s">
        <v>92</v>
      </c>
      <c r="AF3331" s="30" t="s">
        <v>19080</v>
      </c>
      <c r="AG3331" s="30" t="s">
        <v>8859</v>
      </c>
      <c r="AH3331" s="72">
        <v>44391</v>
      </c>
      <c r="AI3331" s="30">
        <v>0</v>
      </c>
      <c r="AJ3331" s="30" t="s">
        <v>19081</v>
      </c>
      <c r="AK3331" s="30" t="s">
        <v>19082</v>
      </c>
      <c r="AL3331" s="30"/>
      <c r="AM3331" s="30"/>
      <c r="AN3331" s="72">
        <v>44771</v>
      </c>
      <c r="AO3331" s="72">
        <v>44771</v>
      </c>
    </row>
    <row r="3332" spans="1:55" ht="36.75" customHeight="1">
      <c r="A3332" s="46" t="s">
        <v>12471</v>
      </c>
      <c r="B3332" s="30" t="s">
        <v>55</v>
      </c>
      <c r="C3332" s="69" t="str">
        <f t="shared" si="308"/>
        <v>Closed</v>
      </c>
      <c r="D3332" s="36" t="s">
        <v>19083</v>
      </c>
      <c r="E3332" s="29" t="s">
        <v>19084</v>
      </c>
      <c r="F3332" s="30" t="s">
        <v>16429</v>
      </c>
      <c r="G3332" s="88">
        <f>DATE(2021,7,14)</f>
        <v>44391</v>
      </c>
      <c r="H3332" s="142">
        <v>0.72430555555555554</v>
      </c>
      <c r="I3332" s="30" t="s">
        <v>104</v>
      </c>
      <c r="J3332" s="72" t="s">
        <v>19085</v>
      </c>
      <c r="K3332" s="30" t="s">
        <v>425</v>
      </c>
      <c r="L3332" s="30" t="s">
        <v>18367</v>
      </c>
      <c r="M3332" s="30" t="s">
        <v>63</v>
      </c>
      <c r="N3332" s="30" t="s">
        <v>89</v>
      </c>
      <c r="O3332" s="30" t="s">
        <v>77</v>
      </c>
      <c r="P3332" s="72" t="s">
        <v>1216</v>
      </c>
      <c r="Q3332" s="30" t="s">
        <v>18516</v>
      </c>
      <c r="R3332" s="30" t="s">
        <v>17369</v>
      </c>
      <c r="S3332" s="30">
        <v>0</v>
      </c>
      <c r="T3332" s="30">
        <v>0</v>
      </c>
      <c r="U3332" s="30">
        <v>0</v>
      </c>
      <c r="V3332" s="30">
        <v>0</v>
      </c>
      <c r="W3332" s="30">
        <v>0</v>
      </c>
      <c r="X3332" s="30">
        <v>0</v>
      </c>
      <c r="Y3332" s="30">
        <v>0</v>
      </c>
      <c r="Z3332" s="30">
        <v>0</v>
      </c>
      <c r="AA3332" s="30">
        <v>0</v>
      </c>
      <c r="AB3332" s="30">
        <v>0</v>
      </c>
      <c r="AC3332" s="30">
        <v>0</v>
      </c>
      <c r="AD3332" s="30">
        <v>0</v>
      </c>
      <c r="AE3332" s="30" t="s">
        <v>92</v>
      </c>
      <c r="AF3332" s="30" t="s">
        <v>19086</v>
      </c>
      <c r="AG3332" s="30" t="s">
        <v>19087</v>
      </c>
      <c r="AH3332" s="72">
        <v>44391</v>
      </c>
      <c r="AI3332" s="30">
        <v>1</v>
      </c>
      <c r="AJ3332" s="30" t="s">
        <v>19088</v>
      </c>
      <c r="AK3332" s="30" t="s">
        <v>18245</v>
      </c>
      <c r="AL3332" s="30"/>
      <c r="AM3332" s="72">
        <f>DATE(2022,7,18)</f>
        <v>44760</v>
      </c>
      <c r="AN3332" s="88">
        <f>DATE(2023,1,12)</f>
        <v>44938</v>
      </c>
      <c r="AO3332" s="88">
        <f>DATE(2023,1,11)</f>
        <v>44937</v>
      </c>
      <c r="AP3332" s="195"/>
      <c r="AQ3332" s="195"/>
      <c r="AR3332" s="195"/>
      <c r="AS3332" s="195"/>
      <c r="AT3332" s="195"/>
      <c r="AU3332" s="195"/>
      <c r="AV3332" s="195"/>
      <c r="AW3332" s="195"/>
      <c r="AX3332" s="195"/>
      <c r="AY3332" s="195"/>
      <c r="AZ3332" s="195"/>
      <c r="BA3332" s="195"/>
      <c r="BB3332" s="195"/>
      <c r="BC3332" s="195"/>
    </row>
    <row r="3333" spans="1:55" ht="36.75" customHeight="1">
      <c r="A3333" s="46" t="s">
        <v>12471</v>
      </c>
      <c r="B3333" s="30" t="s">
        <v>55</v>
      </c>
      <c r="C3333" s="69" t="str">
        <f t="shared" si="308"/>
        <v>Closed</v>
      </c>
      <c r="D3333" s="36" t="s">
        <v>19089</v>
      </c>
      <c r="E3333" s="29" t="s">
        <v>19090</v>
      </c>
      <c r="F3333" s="30" t="s">
        <v>12910</v>
      </c>
      <c r="G3333" s="88">
        <f>DATE(2021,7,14)</f>
        <v>44391</v>
      </c>
      <c r="H3333" s="142">
        <v>1.6701388888888888</v>
      </c>
      <c r="I3333" s="30" t="s">
        <v>156</v>
      </c>
      <c r="J3333" s="30" t="s">
        <v>19091</v>
      </c>
      <c r="K3333" s="30" t="s">
        <v>453</v>
      </c>
      <c r="L3333" s="30" t="s">
        <v>19092</v>
      </c>
      <c r="M3333" s="30" t="s">
        <v>63</v>
      </c>
      <c r="N3333" s="30" t="s">
        <v>99</v>
      </c>
      <c r="O3333" s="30" t="s">
        <v>64</v>
      </c>
      <c r="P3333" s="30" t="s">
        <v>165</v>
      </c>
      <c r="Q3333" s="30" t="s">
        <v>14384</v>
      </c>
      <c r="R3333" s="30" t="s">
        <v>572</v>
      </c>
      <c r="S3333" s="30">
        <v>0</v>
      </c>
      <c r="T3333" s="30">
        <v>0</v>
      </c>
      <c r="U3333" s="30">
        <v>0</v>
      </c>
      <c r="V3333" s="30">
        <v>0</v>
      </c>
      <c r="W3333" s="30">
        <v>0</v>
      </c>
      <c r="X3333" s="30">
        <v>0</v>
      </c>
      <c r="Y3333" s="30">
        <v>0</v>
      </c>
      <c r="Z3333" s="30">
        <v>0</v>
      </c>
      <c r="AA3333" s="30">
        <v>1</v>
      </c>
      <c r="AB3333" s="30">
        <v>0</v>
      </c>
      <c r="AC3333" s="30">
        <v>0</v>
      </c>
      <c r="AD3333" s="30">
        <v>1</v>
      </c>
      <c r="AE3333" s="30" t="s">
        <v>394</v>
      </c>
      <c r="AF3333" s="30" t="s">
        <v>19093</v>
      </c>
      <c r="AG3333" s="30" t="s">
        <v>13537</v>
      </c>
      <c r="AH3333" s="72">
        <v>44391</v>
      </c>
      <c r="AI3333" s="30">
        <v>1</v>
      </c>
      <c r="AJ3333" s="30" t="s">
        <v>19094</v>
      </c>
      <c r="AK3333" s="30" t="s">
        <v>19095</v>
      </c>
      <c r="AL3333" s="195">
        <v>44756</v>
      </c>
      <c r="AM3333" s="30"/>
      <c r="AN3333" s="157">
        <v>44756</v>
      </c>
      <c r="AO3333" s="195">
        <v>44714</v>
      </c>
      <c r="AP3333" s="195"/>
      <c r="AQ3333" s="195"/>
      <c r="AR3333" s="195"/>
      <c r="AS3333" s="195"/>
      <c r="AT3333" s="195"/>
      <c r="AU3333" s="195"/>
      <c r="AV3333" s="195"/>
      <c r="AW3333" s="195"/>
      <c r="AX3333" s="195"/>
      <c r="AY3333" s="195"/>
      <c r="AZ3333" s="195"/>
      <c r="BA3333" s="195"/>
      <c r="BB3333" s="195"/>
      <c r="BC3333" s="195"/>
    </row>
    <row r="3334" spans="1:55" ht="36.75" customHeight="1">
      <c r="A3334" s="46" t="s">
        <v>12471</v>
      </c>
      <c r="B3334" s="30" t="s">
        <v>55</v>
      </c>
      <c r="C3334" s="69" t="str">
        <f t="shared" si="308"/>
        <v>Closed</v>
      </c>
      <c r="D3334" s="36" t="s">
        <v>19096</v>
      </c>
      <c r="E3334" s="29" t="s">
        <v>19097</v>
      </c>
      <c r="F3334" s="30" t="s">
        <v>16429</v>
      </c>
      <c r="G3334" s="88">
        <f>DATE(2021,7,15)</f>
        <v>44392</v>
      </c>
      <c r="H3334" s="142">
        <v>0.59652777777777777</v>
      </c>
      <c r="I3334" s="30" t="s">
        <v>73</v>
      </c>
      <c r="J3334" s="72" t="s">
        <v>19098</v>
      </c>
      <c r="K3334" s="30" t="s">
        <v>425</v>
      </c>
      <c r="L3334" s="30" t="s">
        <v>19099</v>
      </c>
      <c r="M3334" s="30" t="s">
        <v>63</v>
      </c>
      <c r="N3334" s="30" t="s">
        <v>99</v>
      </c>
      <c r="O3334" s="30" t="s">
        <v>64</v>
      </c>
      <c r="P3334" s="72" t="s">
        <v>165</v>
      </c>
      <c r="Q3334" s="30" t="s">
        <v>19100</v>
      </c>
      <c r="R3334" s="30" t="s">
        <v>19100</v>
      </c>
      <c r="S3334" s="30">
        <v>0</v>
      </c>
      <c r="T3334" s="30">
        <v>0</v>
      </c>
      <c r="U3334" s="30">
        <v>0</v>
      </c>
      <c r="V3334" s="30">
        <v>0</v>
      </c>
      <c r="W3334" s="30">
        <v>0</v>
      </c>
      <c r="X3334" s="30">
        <v>0</v>
      </c>
      <c r="Y3334" s="30">
        <v>0</v>
      </c>
      <c r="Z3334" s="30">
        <v>0</v>
      </c>
      <c r="AA3334" s="30">
        <v>0</v>
      </c>
      <c r="AB3334" s="30">
        <v>0</v>
      </c>
      <c r="AC3334" s="30">
        <v>0</v>
      </c>
      <c r="AD3334" s="30">
        <v>0</v>
      </c>
      <c r="AE3334" s="72" t="s">
        <v>92</v>
      </c>
      <c r="AF3334" s="30" t="s">
        <v>19101</v>
      </c>
      <c r="AG3334" s="30" t="s">
        <v>17370</v>
      </c>
      <c r="AH3334" s="72">
        <f>DATE(2021,7,15)</f>
        <v>44392</v>
      </c>
      <c r="AI3334" s="30">
        <v>1</v>
      </c>
      <c r="AJ3334" s="30" t="s">
        <v>19102</v>
      </c>
      <c r="AK3334" s="30" t="s">
        <v>19103</v>
      </c>
      <c r="AL3334" s="30"/>
      <c r="AM3334" s="46"/>
      <c r="AN3334" s="195">
        <v>44701</v>
      </c>
      <c r="AO3334" s="195">
        <v>44673</v>
      </c>
    </row>
    <row r="3335" spans="1:55" ht="36.75" customHeight="1">
      <c r="A3335" s="46" t="s">
        <v>12471</v>
      </c>
      <c r="B3335" s="30" t="s">
        <v>55</v>
      </c>
      <c r="C3335" s="69" t="str">
        <f t="shared" si="308"/>
        <v>Closed</v>
      </c>
      <c r="D3335" s="36" t="s">
        <v>19104</v>
      </c>
      <c r="E3335" s="29" t="s">
        <v>19105</v>
      </c>
      <c r="F3335" s="30" t="s">
        <v>17682</v>
      </c>
      <c r="G3335" s="88">
        <f>DATE(2021,7,15)</f>
        <v>44392</v>
      </c>
      <c r="H3335" s="142">
        <v>0.79166666666666663</v>
      </c>
      <c r="I3335" s="30" t="s">
        <v>73</v>
      </c>
      <c r="J3335" s="72" t="s">
        <v>19106</v>
      </c>
      <c r="K3335" s="30" t="s">
        <v>1574</v>
      </c>
      <c r="L3335" s="30" t="s">
        <v>19107</v>
      </c>
      <c r="M3335" s="30" t="s">
        <v>63</v>
      </c>
      <c r="N3335" s="30" t="s">
        <v>142</v>
      </c>
      <c r="O3335" s="30" t="s">
        <v>77</v>
      </c>
      <c r="P3335" s="72" t="s">
        <v>78</v>
      </c>
      <c r="Q3335" s="30" t="s">
        <v>18063</v>
      </c>
      <c r="R3335" s="30" t="s">
        <v>19007</v>
      </c>
      <c r="S3335" s="30">
        <v>0</v>
      </c>
      <c r="T3335" s="30">
        <v>0</v>
      </c>
      <c r="U3335" s="30">
        <v>0</v>
      </c>
      <c r="V3335" s="30">
        <v>0</v>
      </c>
      <c r="W3335" s="30">
        <v>0</v>
      </c>
      <c r="X3335" s="30">
        <v>0</v>
      </c>
      <c r="Y3335" s="30">
        <v>0</v>
      </c>
      <c r="Z3335" s="30">
        <v>0</v>
      </c>
      <c r="AA3335" s="30">
        <v>0</v>
      </c>
      <c r="AB3335" s="30">
        <v>0</v>
      </c>
      <c r="AC3335" s="30">
        <v>0</v>
      </c>
      <c r="AD3335" s="30">
        <v>0</v>
      </c>
      <c r="AE3335" s="30" t="s">
        <v>92</v>
      </c>
      <c r="AF3335" s="30" t="s">
        <v>19108</v>
      </c>
      <c r="AG3335" s="30" t="s">
        <v>8859</v>
      </c>
      <c r="AH3335" s="72">
        <v>44396</v>
      </c>
      <c r="AI3335" s="30">
        <v>1</v>
      </c>
      <c r="AJ3335" s="30" t="s">
        <v>19109</v>
      </c>
      <c r="AK3335" s="30" t="s">
        <v>19110</v>
      </c>
      <c r="AL3335" s="46"/>
      <c r="AM3335" s="46"/>
      <c r="AN3335" s="88">
        <v>44733</v>
      </c>
      <c r="AO3335" s="88">
        <v>44726</v>
      </c>
    </row>
    <row r="3336" spans="1:55" ht="49.4" customHeight="1">
      <c r="A3336" s="46" t="s">
        <v>12471</v>
      </c>
      <c r="B3336" s="30" t="s">
        <v>55</v>
      </c>
      <c r="C3336" s="69" t="str">
        <f t="shared" si="308"/>
        <v>Closed</v>
      </c>
      <c r="D3336" s="36" t="s">
        <v>19111</v>
      </c>
      <c r="E3336" s="29" t="s">
        <v>19112</v>
      </c>
      <c r="F3336" s="30" t="s">
        <v>17682</v>
      </c>
      <c r="G3336" s="88">
        <f>DATE(2021,7,18)</f>
        <v>44395</v>
      </c>
      <c r="H3336" s="142">
        <v>0.74305555555555547</v>
      </c>
      <c r="I3336" s="30" t="s">
        <v>125</v>
      </c>
      <c r="J3336" s="72" t="s">
        <v>19113</v>
      </c>
      <c r="K3336" s="30" t="s">
        <v>1574</v>
      </c>
      <c r="L3336" s="30" t="s">
        <v>19114</v>
      </c>
      <c r="M3336" s="30" t="s">
        <v>63</v>
      </c>
      <c r="N3336" s="30" t="s">
        <v>142</v>
      </c>
      <c r="O3336" s="30" t="s">
        <v>77</v>
      </c>
      <c r="P3336" s="72" t="s">
        <v>165</v>
      </c>
      <c r="Q3336" s="30" t="s">
        <v>19115</v>
      </c>
      <c r="R3336" s="30" t="s">
        <v>17686</v>
      </c>
      <c r="S3336" s="30">
        <v>0</v>
      </c>
      <c r="T3336" s="30">
        <v>0</v>
      </c>
      <c r="U3336" s="30">
        <v>0</v>
      </c>
      <c r="V3336" s="30">
        <v>0</v>
      </c>
      <c r="W3336" s="30">
        <v>0</v>
      </c>
      <c r="X3336" s="30">
        <v>0</v>
      </c>
      <c r="Y3336" s="30">
        <v>0</v>
      </c>
      <c r="Z3336" s="30">
        <v>0</v>
      </c>
      <c r="AA3336" s="30">
        <v>0</v>
      </c>
      <c r="AB3336" s="30">
        <v>0</v>
      </c>
      <c r="AC3336" s="30">
        <v>0</v>
      </c>
      <c r="AD3336" s="30">
        <v>0</v>
      </c>
      <c r="AE3336" s="30" t="s">
        <v>394</v>
      </c>
      <c r="AF3336" s="30" t="s">
        <v>19116</v>
      </c>
      <c r="AG3336" s="30" t="s">
        <v>8859</v>
      </c>
      <c r="AH3336" s="72">
        <v>44397</v>
      </c>
      <c r="AI3336" s="30">
        <v>0</v>
      </c>
      <c r="AJ3336" s="30" t="s">
        <v>19117</v>
      </c>
      <c r="AK3336" s="30" t="s">
        <v>19118</v>
      </c>
      <c r="AL3336" s="30"/>
      <c r="AM3336" s="30"/>
      <c r="AN3336" s="88">
        <v>44767</v>
      </c>
      <c r="AO3336" s="88">
        <v>44755</v>
      </c>
    </row>
    <row r="3337" spans="1:55" ht="36.75" customHeight="1">
      <c r="A3337" s="46" t="s">
        <v>12471</v>
      </c>
      <c r="B3337" s="30" t="s">
        <v>55</v>
      </c>
      <c r="C3337" s="69" t="str">
        <f t="shared" si="308"/>
        <v>Closed</v>
      </c>
      <c r="D3337" s="36" t="s">
        <v>19119</v>
      </c>
      <c r="E3337" s="29" t="s">
        <v>19120</v>
      </c>
      <c r="F3337" s="30" t="s">
        <v>12910</v>
      </c>
      <c r="G3337" s="88">
        <f>DATE(2021,7,18)</f>
        <v>44395</v>
      </c>
      <c r="H3337" s="142">
        <v>1.9548611111111112</v>
      </c>
      <c r="I3337" s="30" t="s">
        <v>198</v>
      </c>
      <c r="J3337" s="30" t="s">
        <v>19121</v>
      </c>
      <c r="K3337" s="30" t="s">
        <v>453</v>
      </c>
      <c r="L3337" s="30" t="s">
        <v>19122</v>
      </c>
      <c r="M3337" s="30" t="s">
        <v>63</v>
      </c>
      <c r="N3337" s="30" t="s">
        <v>99</v>
      </c>
      <c r="O3337" s="30" t="s">
        <v>90</v>
      </c>
      <c r="P3337" s="30" t="s">
        <v>91</v>
      </c>
      <c r="Q3337" s="30" t="s">
        <v>14384</v>
      </c>
      <c r="R3337" s="30" t="s">
        <v>572</v>
      </c>
      <c r="S3337" s="30">
        <v>0</v>
      </c>
      <c r="T3337" s="30">
        <v>0</v>
      </c>
      <c r="U3337" s="30">
        <v>0</v>
      </c>
      <c r="V3337" s="30">
        <v>0</v>
      </c>
      <c r="W3337" s="30">
        <v>0</v>
      </c>
      <c r="X3337" s="30">
        <v>0</v>
      </c>
      <c r="Y3337" s="30">
        <v>0</v>
      </c>
      <c r="Z3337" s="30">
        <v>0</v>
      </c>
      <c r="AA3337" s="30">
        <v>0</v>
      </c>
      <c r="AB3337" s="30">
        <v>0</v>
      </c>
      <c r="AC3337" s="30">
        <v>0</v>
      </c>
      <c r="AD3337" s="30">
        <v>0</v>
      </c>
      <c r="AE3337" s="30" t="s">
        <v>145</v>
      </c>
      <c r="AF3337" s="30" t="s">
        <v>712</v>
      </c>
      <c r="AG3337" s="30" t="s">
        <v>6459</v>
      </c>
      <c r="AH3337" s="72">
        <v>44417</v>
      </c>
      <c r="AI3337" s="30">
        <v>0</v>
      </c>
      <c r="AJ3337" s="30" t="s">
        <v>19123</v>
      </c>
      <c r="AK3337" s="30" t="s">
        <v>19124</v>
      </c>
      <c r="AL3337" s="195">
        <v>44756</v>
      </c>
      <c r="AM3337" s="30"/>
      <c r="AN3337" s="157">
        <v>44756</v>
      </c>
      <c r="AO3337" s="157">
        <v>44755</v>
      </c>
      <c r="AP3337" s="195"/>
      <c r="AQ3337" s="195"/>
      <c r="AR3337" s="195"/>
      <c r="AS3337" s="195"/>
      <c r="AT3337" s="195"/>
      <c r="AU3337" s="195"/>
      <c r="AV3337" s="195"/>
      <c r="AW3337" s="195"/>
      <c r="AX3337" s="195"/>
      <c r="AY3337" s="195"/>
      <c r="AZ3337" s="195"/>
      <c r="BA3337" s="195"/>
      <c r="BB3337" s="195"/>
      <c r="BC3337" s="195"/>
    </row>
    <row r="3338" spans="1:55" ht="36.75" customHeight="1">
      <c r="A3338" s="46" t="s">
        <v>12471</v>
      </c>
      <c r="B3338" s="30" t="s">
        <v>55</v>
      </c>
      <c r="C3338" s="69" t="str">
        <f t="shared" si="308"/>
        <v>Closed</v>
      </c>
      <c r="D3338" s="36" t="s">
        <v>19125</v>
      </c>
      <c r="E3338" s="29" t="s">
        <v>19126</v>
      </c>
      <c r="F3338" s="30" t="s">
        <v>17682</v>
      </c>
      <c r="G3338" s="88">
        <f>DATE(2021,7,20)</f>
        <v>44397</v>
      </c>
      <c r="H3338" s="142" t="s">
        <v>19127</v>
      </c>
      <c r="I3338" s="35" t="s">
        <v>73</v>
      </c>
      <c r="J3338" s="195" t="s">
        <v>19128</v>
      </c>
      <c r="K3338" s="35" t="s">
        <v>1574</v>
      </c>
      <c r="L3338" s="35" t="s">
        <v>19129</v>
      </c>
      <c r="M3338" s="35" t="s">
        <v>63</v>
      </c>
      <c r="N3338" s="35" t="s">
        <v>142</v>
      </c>
      <c r="O3338" s="35" t="s">
        <v>77</v>
      </c>
      <c r="P3338" s="195" t="s">
        <v>78</v>
      </c>
      <c r="Q3338" s="195" t="s">
        <v>19130</v>
      </c>
      <c r="R3338" s="195" t="s">
        <v>17686</v>
      </c>
      <c r="S3338" s="35">
        <v>0</v>
      </c>
      <c r="T3338" s="35">
        <v>0</v>
      </c>
      <c r="U3338" s="35">
        <v>0</v>
      </c>
      <c r="V3338" s="35">
        <v>0</v>
      </c>
      <c r="W3338" s="35">
        <v>0</v>
      </c>
      <c r="X3338" s="35">
        <v>0</v>
      </c>
      <c r="Y3338" s="35">
        <v>0</v>
      </c>
      <c r="Z3338" s="35">
        <v>0</v>
      </c>
      <c r="AA3338" s="35">
        <v>0</v>
      </c>
      <c r="AB3338" s="35">
        <v>0</v>
      </c>
      <c r="AC3338" s="35">
        <v>0</v>
      </c>
      <c r="AD3338" s="35">
        <v>0</v>
      </c>
      <c r="AE3338" s="195" t="s">
        <v>394</v>
      </c>
      <c r="AF3338" s="195" t="s">
        <v>19131</v>
      </c>
      <c r="AG3338" s="195" t="s">
        <v>8859</v>
      </c>
      <c r="AH3338" s="72">
        <v>44403</v>
      </c>
      <c r="AI3338" s="35">
        <v>1</v>
      </c>
      <c r="AJ3338" s="195" t="s">
        <v>19132</v>
      </c>
      <c r="AK3338" s="195" t="s">
        <v>19133</v>
      </c>
      <c r="AL3338" s="157"/>
      <c r="AM3338" s="195"/>
      <c r="AN3338" s="157">
        <v>44770</v>
      </c>
      <c r="AO3338" s="157">
        <v>44762</v>
      </c>
      <c r="AP3338" s="43"/>
      <c r="AQ3338" s="43"/>
      <c r="AR3338" s="43"/>
      <c r="AS3338" s="43"/>
      <c r="AT3338" s="43"/>
      <c r="AU3338" s="43"/>
      <c r="AV3338" s="43"/>
      <c r="AW3338" s="43"/>
      <c r="AX3338" s="43"/>
      <c r="AY3338" s="43"/>
      <c r="AZ3338" s="43"/>
      <c r="BA3338" s="43"/>
      <c r="BB3338" s="43"/>
    </row>
    <row r="3339" spans="1:55" ht="36.75" customHeight="1">
      <c r="A3339" s="46" t="s">
        <v>12471</v>
      </c>
      <c r="B3339" s="30" t="s">
        <v>2124</v>
      </c>
      <c r="C3339" s="69" t="str">
        <f t="shared" si="308"/>
        <v>Open</v>
      </c>
      <c r="D3339" s="36" t="s">
        <v>19134</v>
      </c>
      <c r="E3339" s="29" t="s">
        <v>19135</v>
      </c>
      <c r="F3339" s="30" t="s">
        <v>19136</v>
      </c>
      <c r="G3339" s="88">
        <f>DATE(2021,7,21)</f>
        <v>44398</v>
      </c>
      <c r="H3339" s="142">
        <v>0.4201388888888889</v>
      </c>
      <c r="I3339" s="30" t="s">
        <v>5494</v>
      </c>
      <c r="J3339" s="30" t="s">
        <v>19137</v>
      </c>
      <c r="K3339" s="30" t="s">
        <v>1940</v>
      </c>
      <c r="L3339" s="30" t="s">
        <v>19138</v>
      </c>
      <c r="M3339" s="30" t="s">
        <v>63</v>
      </c>
      <c r="N3339" s="30" t="s">
        <v>142</v>
      </c>
      <c r="O3339" s="30" t="s">
        <v>77</v>
      </c>
      <c r="P3339" s="30" t="s">
        <v>165</v>
      </c>
      <c r="Q3339" s="30" t="s">
        <v>17724</v>
      </c>
      <c r="R3339" s="30" t="s">
        <v>17724</v>
      </c>
      <c r="S3339" s="30">
        <v>0</v>
      </c>
      <c r="T3339" s="30">
        <v>0</v>
      </c>
      <c r="U3339" s="30">
        <v>0</v>
      </c>
      <c r="V3339" s="30">
        <v>0</v>
      </c>
      <c r="W3339" s="30">
        <v>0</v>
      </c>
      <c r="X3339" s="30">
        <v>0</v>
      </c>
      <c r="Y3339" s="30">
        <v>0</v>
      </c>
      <c r="Z3339" s="30">
        <v>0</v>
      </c>
      <c r="AA3339" s="30">
        <v>0</v>
      </c>
      <c r="AB3339" s="30">
        <v>0</v>
      </c>
      <c r="AC3339" s="30">
        <v>0</v>
      </c>
      <c r="AD3339" s="30">
        <v>0</v>
      </c>
      <c r="AE3339" s="30" t="s">
        <v>92</v>
      </c>
      <c r="AF3339" s="30" t="s">
        <v>19139</v>
      </c>
      <c r="AG3339" s="30" t="s">
        <v>6459</v>
      </c>
      <c r="AH3339" s="72">
        <v>44398</v>
      </c>
      <c r="AI3339" s="30"/>
      <c r="AJ3339" s="30"/>
      <c r="AK3339" s="30"/>
      <c r="AL3339" s="195">
        <v>44454</v>
      </c>
      <c r="AM3339" s="195"/>
      <c r="AN3339" s="157"/>
      <c r="AO3339" s="157"/>
    </row>
    <row r="3340" spans="1:55" ht="36.75" customHeight="1">
      <c r="A3340" s="46" t="s">
        <v>12471</v>
      </c>
      <c r="B3340" s="30" t="s">
        <v>55</v>
      </c>
      <c r="C3340" s="69" t="str">
        <f t="shared" si="308"/>
        <v>Closed</v>
      </c>
      <c r="D3340" s="36" t="s">
        <v>19140</v>
      </c>
      <c r="E3340" s="29" t="s">
        <v>19141</v>
      </c>
      <c r="F3340" s="30" t="s">
        <v>17682</v>
      </c>
      <c r="G3340" s="88">
        <f>DATE(2021,7,21)</f>
        <v>44398</v>
      </c>
      <c r="H3340" s="142">
        <v>0.58680555555555558</v>
      </c>
      <c r="I3340" s="35" t="s">
        <v>73</v>
      </c>
      <c r="J3340" s="195" t="s">
        <v>19142</v>
      </c>
      <c r="K3340" s="35" t="s">
        <v>1574</v>
      </c>
      <c r="L3340" s="35" t="s">
        <v>11908</v>
      </c>
      <c r="M3340" s="35" t="s">
        <v>63</v>
      </c>
      <c r="N3340" s="35" t="s">
        <v>142</v>
      </c>
      <c r="O3340" s="35" t="s">
        <v>77</v>
      </c>
      <c r="P3340" s="195" t="s">
        <v>78</v>
      </c>
      <c r="Q3340" s="195" t="s">
        <v>19143</v>
      </c>
      <c r="R3340" s="195" t="s">
        <v>17686</v>
      </c>
      <c r="S3340" s="35">
        <v>0</v>
      </c>
      <c r="T3340" s="35">
        <v>0</v>
      </c>
      <c r="U3340" s="35">
        <v>0</v>
      </c>
      <c r="V3340" s="35">
        <v>0</v>
      </c>
      <c r="W3340" s="35">
        <v>0</v>
      </c>
      <c r="X3340" s="35">
        <v>0</v>
      </c>
      <c r="Y3340" s="35">
        <v>0</v>
      </c>
      <c r="Z3340" s="35">
        <v>0</v>
      </c>
      <c r="AA3340" s="35">
        <v>0</v>
      </c>
      <c r="AB3340" s="35">
        <v>0</v>
      </c>
      <c r="AC3340" s="35">
        <v>0</v>
      </c>
      <c r="AD3340" s="35">
        <v>0</v>
      </c>
      <c r="AE3340" s="195" t="s">
        <v>92</v>
      </c>
      <c r="AF3340" s="195" t="s">
        <v>19144</v>
      </c>
      <c r="AG3340" s="195" t="s">
        <v>8859</v>
      </c>
      <c r="AH3340" s="72">
        <v>44403</v>
      </c>
      <c r="AI3340" s="35">
        <v>2</v>
      </c>
      <c r="AJ3340" s="195" t="s">
        <v>19145</v>
      </c>
      <c r="AK3340" s="195" t="s">
        <v>19146</v>
      </c>
      <c r="AL3340" s="195"/>
      <c r="AM3340" s="157"/>
      <c r="AN3340" s="195">
        <v>44769</v>
      </c>
      <c r="AO3340" s="195">
        <v>44762</v>
      </c>
    </row>
    <row r="3341" spans="1:55" ht="29.15" customHeight="1">
      <c r="A3341" s="46" t="s">
        <v>12471</v>
      </c>
      <c r="B3341" s="30" t="s">
        <v>55</v>
      </c>
      <c r="C3341" s="69" t="str">
        <f t="shared" si="308"/>
        <v>Closed</v>
      </c>
      <c r="D3341" s="36" t="s">
        <v>19147</v>
      </c>
      <c r="E3341" s="29" t="s">
        <v>19148</v>
      </c>
      <c r="F3341" s="30" t="s">
        <v>19149</v>
      </c>
      <c r="G3341" s="88">
        <f>DATE(2021,7,26)</f>
        <v>44403</v>
      </c>
      <c r="H3341" s="142">
        <v>0.1875</v>
      </c>
      <c r="I3341" s="30" t="s">
        <v>278</v>
      </c>
      <c r="J3341" s="30" t="s">
        <v>19150</v>
      </c>
      <c r="K3341" s="30" t="s">
        <v>19151</v>
      </c>
      <c r="L3341" s="30" t="s">
        <v>19152</v>
      </c>
      <c r="M3341" s="30" t="s">
        <v>63</v>
      </c>
      <c r="N3341" s="30" t="s">
        <v>142</v>
      </c>
      <c r="O3341" s="30" t="s">
        <v>64</v>
      </c>
      <c r="P3341" s="30" t="s">
        <v>6902</v>
      </c>
      <c r="Q3341" s="30" t="s">
        <v>19153</v>
      </c>
      <c r="R3341" s="30" t="s">
        <v>19154</v>
      </c>
      <c r="S3341" s="30">
        <v>0</v>
      </c>
      <c r="T3341" s="30">
        <v>0</v>
      </c>
      <c r="U3341" s="30">
        <v>0</v>
      </c>
      <c r="V3341" s="30">
        <v>1</v>
      </c>
      <c r="W3341" s="30">
        <v>0</v>
      </c>
      <c r="X3341" s="30">
        <v>1</v>
      </c>
      <c r="Y3341" s="30">
        <v>0</v>
      </c>
      <c r="Z3341" s="30">
        <v>0</v>
      </c>
      <c r="AA3341" s="30">
        <v>0</v>
      </c>
      <c r="AB3341" s="30">
        <v>0</v>
      </c>
      <c r="AC3341" s="30">
        <v>0</v>
      </c>
      <c r="AD3341" s="30">
        <v>0</v>
      </c>
      <c r="AE3341" s="30" t="s">
        <v>92</v>
      </c>
      <c r="AF3341" s="30" t="s">
        <v>10556</v>
      </c>
      <c r="AG3341" s="30" t="s">
        <v>13537</v>
      </c>
      <c r="AH3341" s="72">
        <v>44403</v>
      </c>
      <c r="AI3341" s="30">
        <v>1</v>
      </c>
      <c r="AJ3341" s="30"/>
      <c r="AK3341" s="30"/>
      <c r="AL3341" s="195">
        <v>44537</v>
      </c>
      <c r="AM3341" s="195"/>
      <c r="AN3341" s="157">
        <v>44537</v>
      </c>
      <c r="AO3341" s="157">
        <v>44481</v>
      </c>
      <c r="AP3341" s="134"/>
      <c r="AQ3341" s="134"/>
      <c r="AR3341" s="134"/>
      <c r="AS3341" s="134"/>
      <c r="AT3341" s="134"/>
      <c r="AU3341" s="134"/>
      <c r="AV3341" s="134"/>
      <c r="AW3341" s="134"/>
      <c r="AX3341" s="134"/>
      <c r="AY3341" s="134"/>
      <c r="AZ3341" s="134"/>
      <c r="BA3341" s="134"/>
      <c r="BB3341" s="134"/>
    </row>
    <row r="3342" spans="1:55" ht="23.9" customHeight="1">
      <c r="A3342" s="30" t="s">
        <v>12471</v>
      </c>
      <c r="B3342" s="30" t="s">
        <v>55</v>
      </c>
      <c r="C3342" s="69" t="str">
        <f t="shared" si="308"/>
        <v>Closed</v>
      </c>
      <c r="D3342" s="36" t="s">
        <v>19155</v>
      </c>
      <c r="E3342" s="29" t="s">
        <v>19156</v>
      </c>
      <c r="F3342" s="30" t="s">
        <v>17344</v>
      </c>
      <c r="G3342" s="88">
        <f>DATE(2021,7,27)</f>
        <v>44404</v>
      </c>
      <c r="H3342" s="142" t="s">
        <v>19157</v>
      </c>
      <c r="I3342" s="30" t="s">
        <v>9419</v>
      </c>
      <c r="J3342" s="195" t="s">
        <v>19158</v>
      </c>
      <c r="K3342" s="35" t="s">
        <v>127</v>
      </c>
      <c r="L3342" s="35" t="s">
        <v>19159</v>
      </c>
      <c r="M3342" s="35" t="s">
        <v>63</v>
      </c>
      <c r="N3342" s="35" t="s">
        <v>99</v>
      </c>
      <c r="O3342" s="35" t="s">
        <v>77</v>
      </c>
      <c r="P3342" s="195" t="s">
        <v>86</v>
      </c>
      <c r="Q3342" s="195" t="s">
        <v>19160</v>
      </c>
      <c r="R3342" s="195" t="s">
        <v>167</v>
      </c>
      <c r="S3342" s="35">
        <v>0</v>
      </c>
      <c r="T3342" s="35">
        <v>0</v>
      </c>
      <c r="U3342" s="35">
        <v>0</v>
      </c>
      <c r="V3342" s="35">
        <v>0</v>
      </c>
      <c r="W3342" s="35">
        <v>0</v>
      </c>
      <c r="X3342" s="35">
        <v>0</v>
      </c>
      <c r="Y3342" s="35">
        <v>0</v>
      </c>
      <c r="Z3342" s="35">
        <v>0</v>
      </c>
      <c r="AA3342" s="35">
        <v>0</v>
      </c>
      <c r="AB3342" s="35">
        <v>0</v>
      </c>
      <c r="AC3342" s="35">
        <v>0</v>
      </c>
      <c r="AD3342" s="35">
        <v>0</v>
      </c>
      <c r="AE3342" s="195" t="s">
        <v>145</v>
      </c>
      <c r="AF3342" s="195" t="s">
        <v>19161</v>
      </c>
      <c r="AG3342" s="195" t="s">
        <v>8859</v>
      </c>
      <c r="AH3342" s="72">
        <v>44419</v>
      </c>
      <c r="AI3342" s="35">
        <v>3</v>
      </c>
      <c r="AJ3342" s="195" t="s">
        <v>19162</v>
      </c>
      <c r="AK3342" s="195" t="s">
        <v>19163</v>
      </c>
      <c r="AL3342" s="157"/>
      <c r="AM3342" s="195"/>
      <c r="AN3342" s="137">
        <v>45089</v>
      </c>
      <c r="AO3342" s="137">
        <v>45070</v>
      </c>
    </row>
    <row r="3343" spans="1:55" ht="27.65" customHeight="1">
      <c r="A3343" s="46" t="s">
        <v>12471</v>
      </c>
      <c r="B3343" s="30" t="s">
        <v>55</v>
      </c>
      <c r="C3343" s="69" t="str">
        <f t="shared" si="308"/>
        <v>Closed</v>
      </c>
      <c r="D3343" s="36" t="s">
        <v>19164</v>
      </c>
      <c r="E3343" s="29" t="s">
        <v>19165</v>
      </c>
      <c r="F3343" s="30" t="s">
        <v>17578</v>
      </c>
      <c r="G3343" s="88">
        <f>DATE(2021,7,28)</f>
        <v>44405</v>
      </c>
      <c r="H3343" s="142" t="s">
        <v>19024</v>
      </c>
      <c r="I3343" s="35" t="s">
        <v>73</v>
      </c>
      <c r="J3343" s="195" t="s">
        <v>19166</v>
      </c>
      <c r="K3343" s="35" t="s">
        <v>837</v>
      </c>
      <c r="L3343" s="35" t="s">
        <v>19167</v>
      </c>
      <c r="M3343" s="35" t="s">
        <v>63</v>
      </c>
      <c r="N3343" s="35" t="s">
        <v>89</v>
      </c>
      <c r="O3343" s="35" t="s">
        <v>77</v>
      </c>
      <c r="P3343" s="195" t="s">
        <v>381</v>
      </c>
      <c r="Q3343" s="195" t="s">
        <v>840</v>
      </c>
      <c r="R3343" s="195" t="s">
        <v>2162</v>
      </c>
      <c r="S3343" s="35">
        <v>0</v>
      </c>
      <c r="T3343" s="35">
        <v>0</v>
      </c>
      <c r="U3343" s="35">
        <v>0</v>
      </c>
      <c r="V3343" s="35">
        <v>0</v>
      </c>
      <c r="W3343" s="35">
        <v>0</v>
      </c>
      <c r="X3343" s="35">
        <v>0</v>
      </c>
      <c r="Y3343" s="35">
        <v>0</v>
      </c>
      <c r="Z3343" s="35">
        <v>0</v>
      </c>
      <c r="AA3343" s="35">
        <v>0</v>
      </c>
      <c r="AB3343" s="35">
        <v>0</v>
      </c>
      <c r="AC3343" s="35">
        <v>0</v>
      </c>
      <c r="AD3343" s="35">
        <v>0</v>
      </c>
      <c r="AE3343" s="195" t="s">
        <v>92</v>
      </c>
      <c r="AF3343" s="195" t="s">
        <v>879</v>
      </c>
      <c r="AG3343" s="195" t="s">
        <v>13537</v>
      </c>
      <c r="AH3343" s="72">
        <v>44406</v>
      </c>
      <c r="AI3343" s="35">
        <v>0</v>
      </c>
      <c r="AJ3343" s="195" t="s">
        <v>19168</v>
      </c>
      <c r="AK3343" s="195" t="s">
        <v>19169</v>
      </c>
      <c r="AL3343" s="195"/>
      <c r="AM3343" s="195"/>
      <c r="AN3343" s="195">
        <v>44771</v>
      </c>
      <c r="AO3343" s="195">
        <v>44771</v>
      </c>
      <c r="AP3343" s="30"/>
      <c r="AQ3343" s="30"/>
      <c r="AR3343" s="30"/>
      <c r="AS3343" s="30"/>
      <c r="AT3343" s="30"/>
      <c r="AU3343" s="30"/>
      <c r="AV3343" s="30"/>
      <c r="AW3343" s="30"/>
      <c r="AX3343" s="30"/>
      <c r="AY3343" s="30"/>
      <c r="AZ3343" s="30"/>
      <c r="BA3343" s="30"/>
      <c r="BB3343" s="30"/>
      <c r="BC3343" s="30"/>
    </row>
    <row r="3344" spans="1:55" ht="27.75" customHeight="1">
      <c r="A3344" s="46" t="s">
        <v>12471</v>
      </c>
      <c r="B3344" s="30" t="s">
        <v>55</v>
      </c>
      <c r="C3344" s="69" t="str">
        <f t="shared" si="308"/>
        <v>Closed</v>
      </c>
      <c r="D3344" s="36" t="s">
        <v>19170</v>
      </c>
      <c r="E3344" s="29" t="s">
        <v>19171</v>
      </c>
      <c r="F3344" s="30" t="s">
        <v>17682</v>
      </c>
      <c r="G3344" s="88">
        <f>DATE(2021,7,28)</f>
        <v>44405</v>
      </c>
      <c r="H3344" s="142" t="s">
        <v>19172</v>
      </c>
      <c r="I3344" s="35" t="s">
        <v>198</v>
      </c>
      <c r="J3344" s="195" t="s">
        <v>19173</v>
      </c>
      <c r="K3344" s="35" t="s">
        <v>1574</v>
      </c>
      <c r="L3344" s="35" t="s">
        <v>19174</v>
      </c>
      <c r="M3344" s="35" t="s">
        <v>63</v>
      </c>
      <c r="N3344" s="35" t="s">
        <v>142</v>
      </c>
      <c r="O3344" s="35" t="s">
        <v>77</v>
      </c>
      <c r="P3344" s="195" t="s">
        <v>78</v>
      </c>
      <c r="Q3344" s="195" t="s">
        <v>19175</v>
      </c>
      <c r="R3344" s="195" t="s">
        <v>19007</v>
      </c>
      <c r="S3344" s="35">
        <v>0</v>
      </c>
      <c r="T3344" s="35">
        <v>0</v>
      </c>
      <c r="U3344" s="35">
        <v>0</v>
      </c>
      <c r="V3344" s="35">
        <v>0</v>
      </c>
      <c r="W3344" s="35">
        <v>0</v>
      </c>
      <c r="X3344" s="35">
        <v>0</v>
      </c>
      <c r="Y3344" s="35">
        <v>0</v>
      </c>
      <c r="Z3344" s="35">
        <v>0</v>
      </c>
      <c r="AA3344" s="35">
        <v>0</v>
      </c>
      <c r="AB3344" s="35">
        <v>0</v>
      </c>
      <c r="AC3344" s="35">
        <v>0</v>
      </c>
      <c r="AD3344" s="35">
        <v>0</v>
      </c>
      <c r="AE3344" s="195" t="s">
        <v>394</v>
      </c>
      <c r="AF3344" s="195" t="s">
        <v>19176</v>
      </c>
      <c r="AG3344" s="195" t="s">
        <v>8859</v>
      </c>
      <c r="AH3344" s="72">
        <v>44410</v>
      </c>
      <c r="AI3344" s="35">
        <v>4</v>
      </c>
      <c r="AJ3344" s="195" t="s">
        <v>19177</v>
      </c>
      <c r="AK3344" s="195" t="s">
        <v>19178</v>
      </c>
      <c r="AL3344" s="195"/>
      <c r="AM3344" s="195"/>
      <c r="AN3344" s="195">
        <v>44776</v>
      </c>
      <c r="AO3344" s="195">
        <v>44763</v>
      </c>
    </row>
    <row r="3345" spans="1:55" ht="32.9" customHeight="1">
      <c r="A3345" s="46" t="s">
        <v>12471</v>
      </c>
      <c r="B3345" s="30" t="s">
        <v>55</v>
      </c>
      <c r="C3345" s="69" t="str">
        <f t="shared" si="308"/>
        <v>Closed</v>
      </c>
      <c r="D3345" s="36" t="s">
        <v>19179</v>
      </c>
      <c r="E3345" s="29" t="s">
        <v>19180</v>
      </c>
      <c r="F3345" s="30" t="s">
        <v>17057</v>
      </c>
      <c r="G3345" s="88">
        <f>DATE(2021,7,29)</f>
        <v>44406</v>
      </c>
      <c r="H3345" s="142" t="s">
        <v>19181</v>
      </c>
      <c r="I3345" s="35" t="s">
        <v>116</v>
      </c>
      <c r="J3345" s="195" t="s">
        <v>19182</v>
      </c>
      <c r="K3345" s="35" t="s">
        <v>2338</v>
      </c>
      <c r="L3345" s="30" t="s">
        <v>19183</v>
      </c>
      <c r="M3345" s="35" t="s">
        <v>63</v>
      </c>
      <c r="N3345" s="35" t="s">
        <v>99</v>
      </c>
      <c r="O3345" s="35" t="s">
        <v>64</v>
      </c>
      <c r="P3345" s="195" t="s">
        <v>165</v>
      </c>
      <c r="Q3345" s="195" t="s">
        <v>4487</v>
      </c>
      <c r="R3345" s="195" t="s">
        <v>2341</v>
      </c>
      <c r="S3345" s="35">
        <v>0</v>
      </c>
      <c r="T3345" s="35">
        <v>0</v>
      </c>
      <c r="U3345" s="35">
        <v>0</v>
      </c>
      <c r="V3345" s="35">
        <v>0</v>
      </c>
      <c r="W3345" s="35">
        <v>0</v>
      </c>
      <c r="X3345" s="35">
        <v>0</v>
      </c>
      <c r="Y3345" s="35">
        <v>0</v>
      </c>
      <c r="Z3345" s="35">
        <v>0</v>
      </c>
      <c r="AA3345" s="35">
        <v>0</v>
      </c>
      <c r="AB3345" s="35">
        <v>0</v>
      </c>
      <c r="AC3345" s="35">
        <v>0</v>
      </c>
      <c r="AD3345" s="35">
        <v>0</v>
      </c>
      <c r="AE3345" s="195" t="s">
        <v>394</v>
      </c>
      <c r="AF3345" s="195" t="s">
        <v>19184</v>
      </c>
      <c r="AG3345" s="195" t="s">
        <v>8859</v>
      </c>
      <c r="AH3345" s="72">
        <v>44419</v>
      </c>
      <c r="AI3345" s="35">
        <v>4</v>
      </c>
      <c r="AJ3345" s="195" t="s">
        <v>19185</v>
      </c>
      <c r="AK3345" s="195" t="s">
        <v>19186</v>
      </c>
      <c r="AL3345" s="195"/>
      <c r="AM3345" s="195"/>
      <c r="AN3345" s="195">
        <v>44714</v>
      </c>
      <c r="AO3345" s="195">
        <v>44692</v>
      </c>
    </row>
    <row r="3346" spans="1:55" ht="30.75" customHeight="1">
      <c r="A3346" s="46" t="s">
        <v>12471</v>
      </c>
      <c r="B3346" s="30" t="s">
        <v>55</v>
      </c>
      <c r="C3346" s="69" t="str">
        <f t="shared" si="308"/>
        <v>Closed</v>
      </c>
      <c r="D3346" s="36" t="s">
        <v>19187</v>
      </c>
      <c r="E3346" s="29" t="s">
        <v>19188</v>
      </c>
      <c r="F3346" s="30" t="s">
        <v>17773</v>
      </c>
      <c r="G3346" s="88">
        <f>DATE(2021,7,31)</f>
        <v>44408</v>
      </c>
      <c r="H3346" s="142" t="s">
        <v>19189</v>
      </c>
      <c r="I3346" s="35" t="s">
        <v>73</v>
      </c>
      <c r="J3346" s="195" t="s">
        <v>19190</v>
      </c>
      <c r="K3346" s="35" t="s">
        <v>2603</v>
      </c>
      <c r="L3346" s="35" t="s">
        <v>19191</v>
      </c>
      <c r="M3346" s="35" t="s">
        <v>63</v>
      </c>
      <c r="N3346" s="35" t="s">
        <v>99</v>
      </c>
      <c r="O3346" s="35" t="s">
        <v>64</v>
      </c>
      <c r="P3346" s="195" t="s">
        <v>78</v>
      </c>
      <c r="Q3346" s="195" t="s">
        <v>19192</v>
      </c>
      <c r="R3346" s="195" t="s">
        <v>19193</v>
      </c>
      <c r="S3346" s="35">
        <v>0</v>
      </c>
      <c r="T3346" s="35">
        <v>0</v>
      </c>
      <c r="U3346" s="35">
        <v>0</v>
      </c>
      <c r="V3346" s="35">
        <v>0</v>
      </c>
      <c r="W3346" s="35">
        <v>0</v>
      </c>
      <c r="X3346" s="35">
        <v>0</v>
      </c>
      <c r="Y3346" s="35">
        <v>0</v>
      </c>
      <c r="Z3346" s="35">
        <v>0</v>
      </c>
      <c r="AA3346" s="35">
        <v>0</v>
      </c>
      <c r="AB3346" s="35">
        <v>0</v>
      </c>
      <c r="AC3346" s="35">
        <v>0</v>
      </c>
      <c r="AD3346" s="35">
        <v>0</v>
      </c>
      <c r="AE3346" s="195" t="s">
        <v>92</v>
      </c>
      <c r="AF3346" s="195" t="s">
        <v>19194</v>
      </c>
      <c r="AG3346" s="195" t="s">
        <v>8859</v>
      </c>
      <c r="AH3346" s="72">
        <v>44410</v>
      </c>
      <c r="AI3346" s="35">
        <v>3</v>
      </c>
      <c r="AJ3346" s="195" t="s">
        <v>19195</v>
      </c>
      <c r="AK3346" s="195" t="s">
        <v>19196</v>
      </c>
      <c r="AL3346" s="195"/>
      <c r="AM3346" s="195"/>
      <c r="AN3346" s="195">
        <v>44559</v>
      </c>
      <c r="AO3346" s="195">
        <v>44544</v>
      </c>
    </row>
    <row r="3347" spans="1:55" ht="32.9" customHeight="1">
      <c r="A3347" s="46" t="s">
        <v>12471</v>
      </c>
      <c r="B3347" s="30" t="s">
        <v>55</v>
      </c>
      <c r="C3347" s="69" t="str">
        <f t="shared" si="308"/>
        <v>Closed</v>
      </c>
      <c r="D3347" s="36" t="s">
        <v>19197</v>
      </c>
      <c r="E3347" s="29" t="s">
        <v>19198</v>
      </c>
      <c r="F3347" s="30" t="s">
        <v>16429</v>
      </c>
      <c r="G3347" s="88">
        <f>DATE(2021,7,31)</f>
        <v>44408</v>
      </c>
      <c r="H3347" s="142">
        <v>0.56111111111111112</v>
      </c>
      <c r="I3347" s="35" t="s">
        <v>198</v>
      </c>
      <c r="J3347" s="195" t="s">
        <v>19199</v>
      </c>
      <c r="K3347" s="35" t="s">
        <v>425</v>
      </c>
      <c r="L3347" s="35" t="s">
        <v>19200</v>
      </c>
      <c r="M3347" s="35" t="s">
        <v>63</v>
      </c>
      <c r="N3347" s="35" t="s">
        <v>99</v>
      </c>
      <c r="O3347" s="35" t="s">
        <v>77</v>
      </c>
      <c r="P3347" s="195" t="s">
        <v>19201</v>
      </c>
      <c r="Q3347" s="195" t="s">
        <v>18615</v>
      </c>
      <c r="R3347" s="195" t="s">
        <v>17369</v>
      </c>
      <c r="S3347" s="35">
        <v>0</v>
      </c>
      <c r="T3347" s="35">
        <v>0</v>
      </c>
      <c r="U3347" s="35">
        <v>0</v>
      </c>
      <c r="V3347" s="35">
        <v>0</v>
      </c>
      <c r="W3347" s="35">
        <v>0</v>
      </c>
      <c r="X3347" s="35">
        <v>0</v>
      </c>
      <c r="Y3347" s="35">
        <v>0</v>
      </c>
      <c r="Z3347" s="35">
        <v>0</v>
      </c>
      <c r="AA3347" s="35">
        <v>0</v>
      </c>
      <c r="AB3347" s="35">
        <v>0</v>
      </c>
      <c r="AC3347" s="35">
        <v>0</v>
      </c>
      <c r="AD3347" s="35">
        <v>0</v>
      </c>
      <c r="AE3347" s="195" t="s">
        <v>394</v>
      </c>
      <c r="AF3347" s="195" t="s">
        <v>19202</v>
      </c>
      <c r="AG3347" s="195" t="s">
        <v>16283</v>
      </c>
      <c r="AH3347" s="72">
        <v>44408</v>
      </c>
      <c r="AI3347" s="35">
        <v>1</v>
      </c>
      <c r="AJ3347" s="195" t="s">
        <v>19203</v>
      </c>
      <c r="AK3347" s="195" t="s">
        <v>879</v>
      </c>
      <c r="AL3347" s="195"/>
      <c r="AM3347" s="195"/>
      <c r="AN3347" s="195">
        <v>44676</v>
      </c>
      <c r="AO3347" s="137">
        <v>44672</v>
      </c>
    </row>
    <row r="3348" spans="1:55" ht="32.9" customHeight="1">
      <c r="A3348" s="46" t="s">
        <v>12471</v>
      </c>
      <c r="B3348" s="30" t="s">
        <v>55</v>
      </c>
      <c r="C3348" s="69" t="str">
        <f t="shared" si="308"/>
        <v>Closed</v>
      </c>
      <c r="D3348" s="36" t="s">
        <v>19204</v>
      </c>
      <c r="E3348" s="29" t="s">
        <v>19205</v>
      </c>
      <c r="F3348" s="30" t="s">
        <v>17682</v>
      </c>
      <c r="G3348" s="88">
        <f>DATE(2021,8,1)</f>
        <v>44409</v>
      </c>
      <c r="H3348" s="142">
        <v>0.68055555555555547</v>
      </c>
      <c r="I3348" s="35" t="s">
        <v>73</v>
      </c>
      <c r="J3348" s="195" t="s">
        <v>19206</v>
      </c>
      <c r="K3348" s="35" t="s">
        <v>1574</v>
      </c>
      <c r="L3348" s="35" t="s">
        <v>19207</v>
      </c>
      <c r="M3348" s="35" t="s">
        <v>63</v>
      </c>
      <c r="N3348" s="35" t="s">
        <v>99</v>
      </c>
      <c r="O3348" s="35" t="s">
        <v>77</v>
      </c>
      <c r="P3348" s="195" t="s">
        <v>78</v>
      </c>
      <c r="Q3348" s="195" t="s">
        <v>18592</v>
      </c>
      <c r="R3348" s="195" t="s">
        <v>19208</v>
      </c>
      <c r="S3348" s="35">
        <v>0</v>
      </c>
      <c r="T3348" s="35">
        <v>0</v>
      </c>
      <c r="U3348" s="35">
        <v>0</v>
      </c>
      <c r="V3348" s="35">
        <v>0</v>
      </c>
      <c r="W3348" s="35">
        <v>0</v>
      </c>
      <c r="X3348" s="35">
        <v>0</v>
      </c>
      <c r="Y3348" s="35">
        <v>0</v>
      </c>
      <c r="Z3348" s="35">
        <v>0</v>
      </c>
      <c r="AA3348" s="35">
        <v>0</v>
      </c>
      <c r="AB3348" s="35">
        <v>0</v>
      </c>
      <c r="AC3348" s="35">
        <v>0</v>
      </c>
      <c r="AD3348" s="35">
        <v>0</v>
      </c>
      <c r="AE3348" s="195" t="s">
        <v>92</v>
      </c>
      <c r="AF3348" s="195" t="s">
        <v>19209</v>
      </c>
      <c r="AG3348" s="195" t="s">
        <v>8859</v>
      </c>
      <c r="AH3348" s="72">
        <v>44412</v>
      </c>
      <c r="AI3348" s="35">
        <v>2</v>
      </c>
      <c r="AJ3348" s="195" t="s">
        <v>19210</v>
      </c>
      <c r="AK3348" s="195" t="s">
        <v>19211</v>
      </c>
      <c r="AL3348" s="195"/>
      <c r="AM3348" s="195"/>
      <c r="AN3348" s="195">
        <v>44774</v>
      </c>
      <c r="AO3348" s="195">
        <v>44761</v>
      </c>
      <c r="AP3348" s="134"/>
      <c r="AQ3348" s="134"/>
      <c r="AR3348" s="134"/>
      <c r="AS3348" s="134"/>
      <c r="AT3348" s="134"/>
      <c r="AU3348" s="134"/>
      <c r="AV3348" s="134"/>
      <c r="AW3348" s="134"/>
      <c r="AX3348" s="134"/>
      <c r="AY3348" s="134"/>
      <c r="AZ3348" s="134"/>
      <c r="BA3348" s="134"/>
      <c r="BB3348" s="134"/>
    </row>
    <row r="3349" spans="1:55" ht="36.75" customHeight="1">
      <c r="A3349" s="46" t="s">
        <v>12471</v>
      </c>
      <c r="B3349" s="30" t="s">
        <v>55</v>
      </c>
      <c r="C3349" s="69" t="str">
        <f t="shared" si="308"/>
        <v>Closed</v>
      </c>
      <c r="D3349" s="36" t="s">
        <v>19212</v>
      </c>
      <c r="E3349" s="29" t="s">
        <v>19213</v>
      </c>
      <c r="F3349" s="30" t="s">
        <v>12910</v>
      </c>
      <c r="G3349" s="88">
        <f>DATE(2021,8,2)</f>
        <v>44410</v>
      </c>
      <c r="H3349" s="142">
        <v>1.2916666666666667</v>
      </c>
      <c r="I3349" s="30" t="s">
        <v>116</v>
      </c>
      <c r="J3349" s="30" t="s">
        <v>19214</v>
      </c>
      <c r="K3349" s="30" t="s">
        <v>453</v>
      </c>
      <c r="L3349" s="30" t="s">
        <v>19215</v>
      </c>
      <c r="M3349" s="30" t="s">
        <v>63</v>
      </c>
      <c r="N3349" s="30" t="s">
        <v>99</v>
      </c>
      <c r="O3349" s="30" t="s">
        <v>64</v>
      </c>
      <c r="P3349" s="30" t="s">
        <v>165</v>
      </c>
      <c r="Q3349" s="30" t="s">
        <v>12184</v>
      </c>
      <c r="R3349" s="30" t="s">
        <v>572</v>
      </c>
      <c r="S3349" s="30">
        <v>0</v>
      </c>
      <c r="T3349" s="30">
        <v>0</v>
      </c>
      <c r="U3349" s="30">
        <v>0</v>
      </c>
      <c r="V3349" s="30">
        <v>0</v>
      </c>
      <c r="W3349" s="30">
        <v>0</v>
      </c>
      <c r="X3349" s="30">
        <v>0</v>
      </c>
      <c r="Y3349" s="30">
        <v>0</v>
      </c>
      <c r="Z3349" s="30">
        <v>0</v>
      </c>
      <c r="AA3349" s="30">
        <v>2</v>
      </c>
      <c r="AB3349" s="30">
        <v>0</v>
      </c>
      <c r="AC3349" s="30">
        <v>0</v>
      </c>
      <c r="AD3349" s="30">
        <v>2</v>
      </c>
      <c r="AE3349" s="30" t="s">
        <v>92</v>
      </c>
      <c r="AF3349" s="30" t="s">
        <v>19216</v>
      </c>
      <c r="AG3349" s="30" t="s">
        <v>14033</v>
      </c>
      <c r="AH3349" s="72">
        <v>44417</v>
      </c>
      <c r="AI3349" s="30">
        <v>0</v>
      </c>
      <c r="AJ3349" s="30" t="s">
        <v>19217</v>
      </c>
      <c r="AK3349" s="30">
        <v>0</v>
      </c>
      <c r="AL3349" s="157">
        <v>44756</v>
      </c>
      <c r="AM3349" s="30"/>
      <c r="AN3349" s="157">
        <v>44756</v>
      </c>
      <c r="AO3349" s="157">
        <v>44742</v>
      </c>
      <c r="AP3349" s="27"/>
      <c r="AQ3349" s="129"/>
      <c r="AR3349" s="129"/>
      <c r="AS3349" s="129"/>
      <c r="AT3349" s="197"/>
      <c r="AU3349" s="27"/>
      <c r="AV3349" s="27"/>
      <c r="AW3349" s="27"/>
      <c r="AX3349" s="198"/>
      <c r="AY3349" s="198"/>
      <c r="AZ3349" s="198"/>
      <c r="BA3349" s="198"/>
      <c r="BB3349" s="198"/>
      <c r="BC3349" s="5"/>
    </row>
    <row r="3350" spans="1:55" ht="36.75" customHeight="1">
      <c r="A3350" s="46" t="s">
        <v>12471</v>
      </c>
      <c r="B3350" s="30" t="s">
        <v>14882</v>
      </c>
      <c r="C3350" s="69" t="str">
        <f t="shared" si="308"/>
        <v>In progress</v>
      </c>
      <c r="D3350" s="36" t="s">
        <v>19218</v>
      </c>
      <c r="E3350" s="29" t="s">
        <v>19219</v>
      </c>
      <c r="F3350" s="30" t="s">
        <v>16429</v>
      </c>
      <c r="G3350" s="88">
        <f>DATE(2021,8,4)</f>
        <v>44412</v>
      </c>
      <c r="H3350" s="142">
        <v>0.20694444444444446</v>
      </c>
      <c r="I3350" s="35" t="s">
        <v>73</v>
      </c>
      <c r="J3350" s="195" t="s">
        <v>19220</v>
      </c>
      <c r="K3350" s="35" t="s">
        <v>425</v>
      </c>
      <c r="L3350" s="35" t="s">
        <v>19221</v>
      </c>
      <c r="M3350" s="35" t="s">
        <v>63</v>
      </c>
      <c r="N3350" s="35" t="s">
        <v>142</v>
      </c>
      <c r="O3350" s="35" t="s">
        <v>77</v>
      </c>
      <c r="P3350" s="195" t="s">
        <v>78</v>
      </c>
      <c r="Q3350" s="195" t="s">
        <v>18098</v>
      </c>
      <c r="R3350" s="195" t="s">
        <v>17369</v>
      </c>
      <c r="S3350" s="35">
        <v>0</v>
      </c>
      <c r="T3350" s="35">
        <v>0</v>
      </c>
      <c r="U3350" s="35">
        <v>0</v>
      </c>
      <c r="V3350" s="35">
        <v>0</v>
      </c>
      <c r="W3350" s="35">
        <v>0</v>
      </c>
      <c r="X3350" s="35">
        <v>0</v>
      </c>
      <c r="Y3350" s="35">
        <v>0</v>
      </c>
      <c r="Z3350" s="35">
        <v>0</v>
      </c>
      <c r="AA3350" s="35">
        <v>0</v>
      </c>
      <c r="AB3350" s="35">
        <v>0</v>
      </c>
      <c r="AC3350" s="35">
        <v>0</v>
      </c>
      <c r="AD3350" s="35">
        <v>0</v>
      </c>
      <c r="AE3350" s="195" t="s">
        <v>92</v>
      </c>
      <c r="AF3350" s="195" t="s">
        <v>19222</v>
      </c>
      <c r="AG3350" s="195" t="s">
        <v>17370</v>
      </c>
      <c r="AH3350" s="72">
        <v>44412</v>
      </c>
      <c r="AI3350" s="35"/>
      <c r="AJ3350" s="195"/>
      <c r="AK3350" s="195"/>
      <c r="AL3350" s="157"/>
      <c r="AM3350" s="195">
        <v>44778</v>
      </c>
      <c r="AN3350" s="157"/>
      <c r="AO3350" s="157"/>
    </row>
    <row r="3351" spans="1:55" ht="36.75" customHeight="1">
      <c r="A3351" s="46" t="s">
        <v>12471</v>
      </c>
      <c r="B3351" s="30" t="s">
        <v>55</v>
      </c>
      <c r="C3351" s="69" t="str">
        <f t="shared" si="308"/>
        <v>Closed</v>
      </c>
      <c r="D3351" s="36" t="s">
        <v>19223</v>
      </c>
      <c r="E3351" s="29" t="s">
        <v>19224</v>
      </c>
      <c r="F3351" s="30" t="s">
        <v>16429</v>
      </c>
      <c r="G3351" s="88">
        <f>DATE(2021,8,4)</f>
        <v>44412</v>
      </c>
      <c r="H3351" s="142">
        <v>0.33749999999999997</v>
      </c>
      <c r="I3351" s="35" t="s">
        <v>198</v>
      </c>
      <c r="J3351" s="195" t="s">
        <v>19225</v>
      </c>
      <c r="K3351" s="35" t="s">
        <v>425</v>
      </c>
      <c r="L3351" s="35" t="s">
        <v>19226</v>
      </c>
      <c r="M3351" s="35" t="s">
        <v>63</v>
      </c>
      <c r="N3351" s="35" t="s">
        <v>19227</v>
      </c>
      <c r="O3351" s="35" t="s">
        <v>77</v>
      </c>
      <c r="P3351" s="195" t="s">
        <v>19228</v>
      </c>
      <c r="Q3351" s="195" t="s">
        <v>18615</v>
      </c>
      <c r="R3351" s="195" t="s">
        <v>17369</v>
      </c>
      <c r="S3351" s="35">
        <v>1</v>
      </c>
      <c r="T3351" s="35">
        <v>2</v>
      </c>
      <c r="U3351" s="35">
        <v>0</v>
      </c>
      <c r="V3351" s="35">
        <v>0</v>
      </c>
      <c r="W3351" s="35">
        <v>0</v>
      </c>
      <c r="X3351" s="35">
        <v>3</v>
      </c>
      <c r="Y3351" s="35">
        <v>23</v>
      </c>
      <c r="Z3351" s="35">
        <v>3</v>
      </c>
      <c r="AA3351" s="35">
        <v>0</v>
      </c>
      <c r="AB3351" s="35">
        <v>0</v>
      </c>
      <c r="AC3351" s="35">
        <v>0</v>
      </c>
      <c r="AD3351" s="35">
        <v>26</v>
      </c>
      <c r="AE3351" s="195" t="s">
        <v>145</v>
      </c>
      <c r="AF3351" s="195" t="s">
        <v>19229</v>
      </c>
      <c r="AG3351" s="195" t="s">
        <v>6459</v>
      </c>
      <c r="AH3351" s="72">
        <v>44412</v>
      </c>
      <c r="AI3351" s="35">
        <v>0</v>
      </c>
      <c r="AJ3351" s="195" t="s">
        <v>19230</v>
      </c>
      <c r="AK3351" s="195" t="s">
        <v>879</v>
      </c>
      <c r="AL3351" s="157">
        <v>44413</v>
      </c>
      <c r="AM3351" s="195"/>
      <c r="AN3351" s="157">
        <v>44658</v>
      </c>
      <c r="AO3351" s="157">
        <v>44629</v>
      </c>
    </row>
    <row r="3352" spans="1:55" ht="36.75" customHeight="1">
      <c r="A3352" s="46" t="s">
        <v>12471</v>
      </c>
      <c r="B3352" s="30" t="s">
        <v>55</v>
      </c>
      <c r="C3352" s="69" t="str">
        <f t="shared" si="308"/>
        <v>Closed</v>
      </c>
      <c r="D3352" s="36" t="s">
        <v>19231</v>
      </c>
      <c r="E3352" s="18" t="s">
        <v>19232</v>
      </c>
      <c r="F3352" s="46" t="s">
        <v>17682</v>
      </c>
      <c r="G3352" s="88">
        <f>DATE(2021,8,5)</f>
        <v>44413</v>
      </c>
      <c r="H3352" s="142" t="s">
        <v>19233</v>
      </c>
      <c r="I3352" s="48" t="s">
        <v>73</v>
      </c>
      <c r="J3352" s="157" t="s">
        <v>19234</v>
      </c>
      <c r="K3352" s="48" t="s">
        <v>1574</v>
      </c>
      <c r="L3352" s="48" t="s">
        <v>12894</v>
      </c>
      <c r="M3352" s="48" t="s">
        <v>63</v>
      </c>
      <c r="N3352" s="48" t="s">
        <v>142</v>
      </c>
      <c r="O3352" s="48" t="s">
        <v>77</v>
      </c>
      <c r="P3352" s="157" t="s">
        <v>78</v>
      </c>
      <c r="Q3352" s="157" t="s">
        <v>19235</v>
      </c>
      <c r="R3352" s="157" t="s">
        <v>19007</v>
      </c>
      <c r="S3352" s="48">
        <v>0</v>
      </c>
      <c r="T3352" s="48">
        <v>0</v>
      </c>
      <c r="U3352" s="48">
        <v>0</v>
      </c>
      <c r="V3352" s="48">
        <v>0</v>
      </c>
      <c r="W3352" s="48">
        <v>0</v>
      </c>
      <c r="X3352" s="48">
        <v>0</v>
      </c>
      <c r="Y3352" s="48">
        <v>0</v>
      </c>
      <c r="Z3352" s="48">
        <v>0</v>
      </c>
      <c r="AA3352" s="48">
        <v>0</v>
      </c>
      <c r="AB3352" s="48">
        <v>0</v>
      </c>
      <c r="AC3352" s="48">
        <v>0</v>
      </c>
      <c r="AD3352" s="48">
        <v>0</v>
      </c>
      <c r="AE3352" s="157" t="s">
        <v>92</v>
      </c>
      <c r="AF3352" s="157" t="s">
        <v>19236</v>
      </c>
      <c r="AG3352" s="157" t="s">
        <v>8859</v>
      </c>
      <c r="AH3352" s="72">
        <v>44418</v>
      </c>
      <c r="AI3352" s="48">
        <v>0</v>
      </c>
      <c r="AJ3352" s="157" t="s">
        <v>19237</v>
      </c>
      <c r="AK3352" s="157" t="s">
        <v>19238</v>
      </c>
      <c r="AL3352" s="157"/>
      <c r="AM3352" s="195"/>
      <c r="AN3352" s="157">
        <v>44733</v>
      </c>
      <c r="AO3352" s="157">
        <v>44726</v>
      </c>
    </row>
    <row r="3353" spans="1:55" ht="36.75" customHeight="1">
      <c r="A3353" s="46" t="s">
        <v>12471</v>
      </c>
      <c r="B3353" s="30" t="s">
        <v>55</v>
      </c>
      <c r="C3353" s="69" t="str">
        <f t="shared" si="308"/>
        <v>Closed</v>
      </c>
      <c r="D3353" s="36" t="s">
        <v>19239</v>
      </c>
      <c r="E3353" s="38" t="s">
        <v>19240</v>
      </c>
      <c r="F3353" s="46" t="s">
        <v>17682</v>
      </c>
      <c r="G3353" s="88">
        <f>DATE(2021,8,7)</f>
        <v>44415</v>
      </c>
      <c r="H3353" s="142">
        <v>0.10416666666666667</v>
      </c>
      <c r="I3353" s="48" t="s">
        <v>73</v>
      </c>
      <c r="J3353" s="157" t="s">
        <v>19241</v>
      </c>
      <c r="K3353" s="48" t="s">
        <v>1574</v>
      </c>
      <c r="L3353" s="48" t="s">
        <v>19242</v>
      </c>
      <c r="M3353" s="48" t="s">
        <v>63</v>
      </c>
      <c r="N3353" s="48" t="s">
        <v>99</v>
      </c>
      <c r="O3353" s="48" t="s">
        <v>64</v>
      </c>
      <c r="P3353" s="157" t="s">
        <v>78</v>
      </c>
      <c r="Q3353" s="157" t="s">
        <v>19243</v>
      </c>
      <c r="R3353" s="157" t="s">
        <v>19007</v>
      </c>
      <c r="S3353" s="48">
        <v>0</v>
      </c>
      <c r="T3353" s="48">
        <v>0</v>
      </c>
      <c r="U3353" s="48">
        <v>0</v>
      </c>
      <c r="V3353" s="48">
        <v>0</v>
      </c>
      <c r="W3353" s="48">
        <v>0</v>
      </c>
      <c r="X3353" s="48">
        <v>0</v>
      </c>
      <c r="Y3353" s="48">
        <v>0</v>
      </c>
      <c r="Z3353" s="48">
        <v>0</v>
      </c>
      <c r="AA3353" s="48">
        <v>0</v>
      </c>
      <c r="AB3353" s="48">
        <v>0</v>
      </c>
      <c r="AC3353" s="48">
        <v>0</v>
      </c>
      <c r="AD3353" s="48">
        <v>0</v>
      </c>
      <c r="AE3353" s="157" t="s">
        <v>394</v>
      </c>
      <c r="AF3353" s="157" t="s">
        <v>19244</v>
      </c>
      <c r="AG3353" s="157" t="s">
        <v>8859</v>
      </c>
      <c r="AH3353" s="72">
        <v>44418</v>
      </c>
      <c r="AI3353" s="48">
        <v>1</v>
      </c>
      <c r="AJ3353" s="157" t="s">
        <v>19245</v>
      </c>
      <c r="AK3353" s="157" t="s">
        <v>19246</v>
      </c>
      <c r="AL3353" s="157"/>
      <c r="AM3353" s="157"/>
      <c r="AN3353" s="157">
        <v>44783</v>
      </c>
      <c r="AO3353" s="157">
        <v>44777</v>
      </c>
      <c r="AP3353" s="86"/>
      <c r="AQ3353" s="113"/>
      <c r="AR3353" s="113"/>
      <c r="AS3353" s="113"/>
      <c r="AT3353" s="130"/>
      <c r="AU3353" s="86"/>
      <c r="AV3353" s="86"/>
      <c r="AW3353" s="86"/>
      <c r="AX3353" s="106"/>
      <c r="AY3353" s="106"/>
      <c r="AZ3353" s="106"/>
      <c r="BA3353" s="106"/>
      <c r="BB3353" s="106"/>
      <c r="BC3353" s="46"/>
    </row>
    <row r="3354" spans="1:55" ht="36.75" customHeight="1">
      <c r="A3354" s="46" t="s">
        <v>12471</v>
      </c>
      <c r="B3354" s="30" t="s">
        <v>55</v>
      </c>
      <c r="C3354" s="69" t="str">
        <f t="shared" si="308"/>
        <v>Closed</v>
      </c>
      <c r="D3354" s="36" t="s">
        <v>19247</v>
      </c>
      <c r="E3354" s="38" t="s">
        <v>19248</v>
      </c>
      <c r="F3354" s="46" t="s">
        <v>17578</v>
      </c>
      <c r="G3354" s="88">
        <f>DATE(2021,8,9)</f>
        <v>44417</v>
      </c>
      <c r="H3354" s="142">
        <v>1.4201388888888888</v>
      </c>
      <c r="I3354" s="46" t="s">
        <v>198</v>
      </c>
      <c r="J3354" s="46" t="s">
        <v>19249</v>
      </c>
      <c r="K3354" s="46" t="s">
        <v>837</v>
      </c>
      <c r="L3354" s="46" t="s">
        <v>19250</v>
      </c>
      <c r="M3354" s="46" t="s">
        <v>63</v>
      </c>
      <c r="N3354" s="46" t="s">
        <v>142</v>
      </c>
      <c r="O3354" s="46" t="s">
        <v>64</v>
      </c>
      <c r="P3354" s="46" t="s">
        <v>165</v>
      </c>
      <c r="Q3354" s="46" t="s">
        <v>19251</v>
      </c>
      <c r="R3354" s="46" t="s">
        <v>19251</v>
      </c>
      <c r="S3354" s="46">
        <v>0</v>
      </c>
      <c r="T3354" s="46">
        <v>0</v>
      </c>
      <c r="U3354" s="46">
        <v>0</v>
      </c>
      <c r="V3354" s="46">
        <v>0</v>
      </c>
      <c r="W3354" s="46">
        <v>0</v>
      </c>
      <c r="X3354" s="46">
        <v>0</v>
      </c>
      <c r="Y3354" s="46">
        <v>0</v>
      </c>
      <c r="Z3354" s="46">
        <v>0</v>
      </c>
      <c r="AA3354" s="46">
        <v>0</v>
      </c>
      <c r="AB3354" s="46">
        <v>0</v>
      </c>
      <c r="AC3354" s="46">
        <v>0</v>
      </c>
      <c r="AD3354" s="46">
        <v>0</v>
      </c>
      <c r="AE3354" s="46" t="s">
        <v>92</v>
      </c>
      <c r="AF3354" s="46" t="s">
        <v>19252</v>
      </c>
      <c r="AG3354" s="46" t="s">
        <v>8859</v>
      </c>
      <c r="AH3354" s="72">
        <v>44417</v>
      </c>
      <c r="AI3354" s="46">
        <v>2</v>
      </c>
      <c r="AJ3354" s="46" t="s">
        <v>19253</v>
      </c>
      <c r="AK3354" s="46" t="s">
        <v>19254</v>
      </c>
      <c r="AL3354" s="157">
        <v>44690</v>
      </c>
      <c r="AM3354" s="46"/>
      <c r="AN3354" s="157">
        <v>44895</v>
      </c>
      <c r="AO3354" s="157">
        <v>44895</v>
      </c>
      <c r="AP3354" s="86"/>
      <c r="AQ3354" s="113"/>
      <c r="AR3354" s="113"/>
      <c r="AS3354" s="113"/>
      <c r="AT3354" s="130"/>
      <c r="AU3354" s="86"/>
      <c r="AV3354" s="86"/>
      <c r="AW3354" s="86"/>
      <c r="AX3354" s="106"/>
      <c r="AY3354" s="106"/>
      <c r="AZ3354" s="106"/>
      <c r="BA3354" s="106"/>
      <c r="BB3354" s="106"/>
      <c r="BC3354" s="46"/>
    </row>
    <row r="3355" spans="1:55" ht="36.75" customHeight="1">
      <c r="A3355" s="46" t="s">
        <v>12471</v>
      </c>
      <c r="B3355" s="30" t="s">
        <v>55</v>
      </c>
      <c r="C3355" s="69" t="str">
        <f t="shared" si="308"/>
        <v>Closed</v>
      </c>
      <c r="D3355" s="36" t="s">
        <v>19255</v>
      </c>
      <c r="E3355" s="44" t="s">
        <v>19256</v>
      </c>
      <c r="F3355" s="45" t="s">
        <v>17820</v>
      </c>
      <c r="G3355" s="88">
        <f>DATE(2021,8,11)</f>
        <v>44419</v>
      </c>
      <c r="H3355" s="142">
        <v>0.92708333333333337</v>
      </c>
      <c r="I3355" s="45" t="s">
        <v>5494</v>
      </c>
      <c r="J3355" s="45" t="s">
        <v>19257</v>
      </c>
      <c r="K3355" s="45" t="s">
        <v>640</v>
      </c>
      <c r="L3355" s="45" t="s">
        <v>19258</v>
      </c>
      <c r="M3355" s="45" t="s">
        <v>63</v>
      </c>
      <c r="N3355" s="45" t="s">
        <v>142</v>
      </c>
      <c r="O3355" s="45" t="s">
        <v>64</v>
      </c>
      <c r="P3355" s="45" t="s">
        <v>78</v>
      </c>
      <c r="Q3355" s="45" t="s">
        <v>19259</v>
      </c>
      <c r="R3355" s="45" t="s">
        <v>2016</v>
      </c>
      <c r="S3355" s="45">
        <v>0</v>
      </c>
      <c r="T3355" s="45">
        <v>0</v>
      </c>
      <c r="U3355" s="45">
        <v>0</v>
      </c>
      <c r="V3355" s="45">
        <v>0</v>
      </c>
      <c r="W3355" s="45">
        <v>0</v>
      </c>
      <c r="X3355" s="45">
        <v>0</v>
      </c>
      <c r="Y3355" s="45">
        <v>0</v>
      </c>
      <c r="Z3355" s="45">
        <v>0</v>
      </c>
      <c r="AA3355" s="45">
        <v>0</v>
      </c>
      <c r="AB3355" s="45">
        <v>0</v>
      </c>
      <c r="AC3355" s="45">
        <v>0</v>
      </c>
      <c r="AD3355" s="45">
        <v>0</v>
      </c>
      <c r="AE3355" s="45" t="s">
        <v>394</v>
      </c>
      <c r="AF3355" s="45" t="s">
        <v>19260</v>
      </c>
      <c r="AG3355" s="45" t="s">
        <v>8859</v>
      </c>
      <c r="AH3355" s="72">
        <v>44455</v>
      </c>
      <c r="AI3355" s="45">
        <v>3</v>
      </c>
      <c r="AJ3355" s="45" t="s">
        <v>19261</v>
      </c>
      <c r="AK3355" s="45" t="s">
        <v>19262</v>
      </c>
      <c r="AL3355" s="157">
        <v>44849</v>
      </c>
      <c r="AM3355" s="45"/>
      <c r="AN3355" s="157">
        <v>44754</v>
      </c>
      <c r="AO3355" s="157">
        <v>44742</v>
      </c>
      <c r="AP3355" s="86"/>
      <c r="AQ3355" s="113"/>
      <c r="AR3355" s="113"/>
      <c r="AS3355" s="113"/>
      <c r="AT3355" s="130"/>
      <c r="AU3355" s="86"/>
      <c r="AV3355" s="86"/>
      <c r="AW3355" s="86"/>
      <c r="AX3355" s="106"/>
      <c r="AY3355" s="106"/>
      <c r="AZ3355" s="106"/>
      <c r="BA3355" s="106"/>
      <c r="BB3355" s="106"/>
      <c r="BC3355" s="46"/>
    </row>
    <row r="3356" spans="1:55" ht="36.75" customHeight="1">
      <c r="A3356" s="46" t="s">
        <v>12471</v>
      </c>
      <c r="B3356" s="30" t="s">
        <v>55</v>
      </c>
      <c r="C3356" s="69" t="str">
        <f t="shared" si="308"/>
        <v>Closed</v>
      </c>
      <c r="D3356" s="36" t="s">
        <v>19263</v>
      </c>
      <c r="E3356" s="38" t="s">
        <v>19264</v>
      </c>
      <c r="F3356" s="46" t="s">
        <v>9789</v>
      </c>
      <c r="G3356" s="88">
        <f>DATE(2021,8,11)</f>
        <v>44419</v>
      </c>
      <c r="H3356" s="142">
        <v>0.19444444444444445</v>
      </c>
      <c r="I3356" s="46" t="s">
        <v>198</v>
      </c>
      <c r="J3356" s="266" t="s">
        <v>19265</v>
      </c>
      <c r="K3356" s="46" t="s">
        <v>9791</v>
      </c>
      <c r="L3356" s="46" t="s">
        <v>19266</v>
      </c>
      <c r="M3356" s="46" t="s">
        <v>63</v>
      </c>
      <c r="N3356" s="46" t="s">
        <v>99</v>
      </c>
      <c r="O3356" s="46" t="s">
        <v>64</v>
      </c>
      <c r="P3356" s="46" t="s">
        <v>78</v>
      </c>
      <c r="Q3356" s="46" t="s">
        <v>19267</v>
      </c>
      <c r="R3356" s="46" t="s">
        <v>18422</v>
      </c>
      <c r="S3356" s="46">
        <v>0</v>
      </c>
      <c r="T3356" s="46">
        <v>0</v>
      </c>
      <c r="U3356" s="46">
        <v>0</v>
      </c>
      <c r="V3356" s="46">
        <v>0</v>
      </c>
      <c r="W3356" s="46">
        <v>0</v>
      </c>
      <c r="X3356" s="46">
        <v>0</v>
      </c>
      <c r="Y3356" s="46">
        <v>0</v>
      </c>
      <c r="Z3356" s="46">
        <v>1</v>
      </c>
      <c r="AA3356" s="46">
        <v>0</v>
      </c>
      <c r="AB3356" s="46">
        <v>0</v>
      </c>
      <c r="AC3356" s="46">
        <v>0</v>
      </c>
      <c r="AD3356" s="46">
        <v>1</v>
      </c>
      <c r="AE3356" s="46" t="s">
        <v>145</v>
      </c>
      <c r="AF3356" s="46" t="s">
        <v>19268</v>
      </c>
      <c r="AG3356" s="46" t="s">
        <v>6459</v>
      </c>
      <c r="AH3356" s="72">
        <v>44431</v>
      </c>
      <c r="AI3356" s="46">
        <v>5</v>
      </c>
      <c r="AJ3356" s="46" t="s">
        <v>19269</v>
      </c>
      <c r="AK3356" s="46" t="s">
        <v>19270</v>
      </c>
      <c r="AL3356" s="46"/>
      <c r="AM3356" s="46"/>
      <c r="AN3356" s="157">
        <v>44755</v>
      </c>
      <c r="AO3356" s="157">
        <v>44746</v>
      </c>
    </row>
    <row r="3357" spans="1:55" ht="36.75" customHeight="1">
      <c r="A3357" s="46" t="s">
        <v>12471</v>
      </c>
      <c r="B3357" s="30" t="s">
        <v>14882</v>
      </c>
      <c r="C3357" s="69" t="str">
        <f t="shared" si="308"/>
        <v>In progress</v>
      </c>
      <c r="D3357" s="27" t="s">
        <v>19271</v>
      </c>
      <c r="E3357" s="38" t="s">
        <v>19272</v>
      </c>
      <c r="F3357" s="46" t="s">
        <v>16429</v>
      </c>
      <c r="G3357" s="88">
        <f>DATE(2021,8,19)</f>
        <v>44427</v>
      </c>
      <c r="H3357" s="142">
        <v>0.20833333333333334</v>
      </c>
      <c r="I3357" s="46" t="s">
        <v>73</v>
      </c>
      <c r="J3357" s="46" t="s">
        <v>19273</v>
      </c>
      <c r="K3357" s="46" t="s">
        <v>425</v>
      </c>
      <c r="L3357" s="46" t="s">
        <v>19274</v>
      </c>
      <c r="M3357" s="46" t="s">
        <v>63</v>
      </c>
      <c r="N3357" s="46" t="s">
        <v>142</v>
      </c>
      <c r="O3357" s="46" t="s">
        <v>64</v>
      </c>
      <c r="P3357" s="46" t="s">
        <v>78</v>
      </c>
      <c r="Q3357" s="46" t="s">
        <v>19275</v>
      </c>
      <c r="R3357" s="46" t="s">
        <v>17369</v>
      </c>
      <c r="S3357" s="46">
        <v>0</v>
      </c>
      <c r="T3357" s="46">
        <v>0</v>
      </c>
      <c r="U3357" s="46">
        <v>0</v>
      </c>
      <c r="V3357" s="46">
        <v>0</v>
      </c>
      <c r="W3357" s="46">
        <v>0</v>
      </c>
      <c r="X3357" s="46">
        <v>0</v>
      </c>
      <c r="Y3357" s="46">
        <v>0</v>
      </c>
      <c r="Z3357" s="46">
        <v>0</v>
      </c>
      <c r="AA3357" s="46">
        <v>0</v>
      </c>
      <c r="AB3357" s="46">
        <v>0</v>
      </c>
      <c r="AC3357" s="46">
        <v>0</v>
      </c>
      <c r="AD3357" s="46">
        <v>0</v>
      </c>
      <c r="AE3357" s="157" t="s">
        <v>394</v>
      </c>
      <c r="AF3357" s="46" t="s">
        <v>19276</v>
      </c>
      <c r="AG3357" s="46" t="s">
        <v>19277</v>
      </c>
      <c r="AH3357" s="72">
        <v>44427</v>
      </c>
      <c r="AI3357" s="46"/>
      <c r="AJ3357" s="46"/>
      <c r="AK3357" s="46"/>
      <c r="AL3357" s="46"/>
      <c r="AM3357" s="157">
        <v>45523</v>
      </c>
      <c r="AN3357" s="169"/>
      <c r="AO3357" s="169"/>
    </row>
    <row r="3358" spans="1:55" ht="36.75" customHeight="1">
      <c r="A3358" s="46" t="s">
        <v>12471</v>
      </c>
      <c r="B3358" s="30" t="s">
        <v>55</v>
      </c>
      <c r="C3358" s="69" t="str">
        <f t="shared" si="308"/>
        <v>Closed</v>
      </c>
      <c r="D3358" s="36" t="s">
        <v>19278</v>
      </c>
      <c r="E3358" s="38" t="s">
        <v>19279</v>
      </c>
      <c r="F3358" s="46" t="s">
        <v>17682</v>
      </c>
      <c r="G3358" s="88">
        <f>DATE(2021,8,19)</f>
        <v>44427</v>
      </c>
      <c r="H3358" s="142">
        <v>0.59722222222222221</v>
      </c>
      <c r="I3358" s="46" t="s">
        <v>73</v>
      </c>
      <c r="J3358" s="46" t="s">
        <v>19280</v>
      </c>
      <c r="K3358" s="46" t="s">
        <v>1574</v>
      </c>
      <c r="L3358" s="46" t="s">
        <v>19281</v>
      </c>
      <c r="M3358" s="46" t="s">
        <v>63</v>
      </c>
      <c r="N3358" s="46" t="s">
        <v>142</v>
      </c>
      <c r="O3358" s="46" t="s">
        <v>64</v>
      </c>
      <c r="P3358" s="46" t="s">
        <v>78</v>
      </c>
      <c r="Q3358" s="46" t="s">
        <v>19282</v>
      </c>
      <c r="R3358" s="46" t="s">
        <v>19007</v>
      </c>
      <c r="S3358" s="46">
        <v>0</v>
      </c>
      <c r="T3358" s="46">
        <v>0</v>
      </c>
      <c r="U3358" s="46">
        <v>0</v>
      </c>
      <c r="V3358" s="46">
        <v>0</v>
      </c>
      <c r="W3358" s="46">
        <v>0</v>
      </c>
      <c r="X3358" s="46">
        <v>0</v>
      </c>
      <c r="Y3358" s="46">
        <v>0</v>
      </c>
      <c r="Z3358" s="46">
        <v>0</v>
      </c>
      <c r="AA3358" s="46">
        <v>0</v>
      </c>
      <c r="AB3358" s="46">
        <v>0</v>
      </c>
      <c r="AC3358" s="46">
        <v>0</v>
      </c>
      <c r="AD3358" s="46">
        <v>0</v>
      </c>
      <c r="AE3358" s="46" t="s">
        <v>92</v>
      </c>
      <c r="AF3358" s="46" t="s">
        <v>19283</v>
      </c>
      <c r="AG3358" s="46" t="s">
        <v>8859</v>
      </c>
      <c r="AH3358" s="72">
        <v>44428</v>
      </c>
      <c r="AI3358" s="46">
        <v>1</v>
      </c>
      <c r="AJ3358" s="46" t="s">
        <v>19284</v>
      </c>
      <c r="AK3358" s="46" t="s">
        <v>19285</v>
      </c>
      <c r="AL3358" s="46"/>
      <c r="AM3358" s="46"/>
      <c r="AN3358" s="157">
        <v>44747</v>
      </c>
      <c r="AO3358" s="157">
        <v>44740</v>
      </c>
      <c r="AP3358" s="134"/>
      <c r="AQ3358" s="134"/>
      <c r="AR3358" s="134"/>
      <c r="AS3358" s="134"/>
      <c r="AT3358" s="134"/>
      <c r="AU3358" s="134"/>
      <c r="AV3358" s="134"/>
      <c r="AW3358" s="134"/>
      <c r="AX3358" s="134"/>
      <c r="AY3358" s="134"/>
      <c r="AZ3358" s="134"/>
      <c r="BA3358" s="134"/>
      <c r="BB3358" s="134"/>
    </row>
    <row r="3359" spans="1:55" ht="36.75" customHeight="1">
      <c r="A3359" s="46"/>
      <c r="B3359" s="30" t="s">
        <v>55</v>
      </c>
      <c r="C3359" s="69" t="s">
        <v>18034</v>
      </c>
      <c r="D3359" s="36" t="s">
        <v>19286</v>
      </c>
      <c r="E3359" s="38" t="s">
        <v>19287</v>
      </c>
      <c r="F3359" s="46" t="s">
        <v>17578</v>
      </c>
      <c r="G3359" s="88">
        <f>DATE(2021,8,20)</f>
        <v>44428</v>
      </c>
      <c r="H3359" s="142">
        <v>0.69097222222222221</v>
      </c>
      <c r="I3359" s="46" t="s">
        <v>116</v>
      </c>
      <c r="J3359" s="46" t="s">
        <v>19288</v>
      </c>
      <c r="K3359" s="46" t="s">
        <v>837</v>
      </c>
      <c r="L3359" s="46" t="s">
        <v>19289</v>
      </c>
      <c r="M3359" s="46" t="s">
        <v>63</v>
      </c>
      <c r="N3359" s="46" t="s">
        <v>99</v>
      </c>
      <c r="O3359" s="46" t="s">
        <v>64</v>
      </c>
      <c r="P3359" s="46" t="s">
        <v>165</v>
      </c>
      <c r="Q3359" s="46" t="s">
        <v>18858</v>
      </c>
      <c r="R3359" s="46" t="s">
        <v>840</v>
      </c>
      <c r="S3359" s="46">
        <v>0</v>
      </c>
      <c r="T3359" s="46">
        <v>0</v>
      </c>
      <c r="U3359" s="46">
        <v>2</v>
      </c>
      <c r="V3359" s="46">
        <v>0</v>
      </c>
      <c r="W3359" s="46">
        <v>0</v>
      </c>
      <c r="X3359" s="46">
        <v>2</v>
      </c>
      <c r="Y3359" s="46">
        <v>0</v>
      </c>
      <c r="Z3359" s="46">
        <v>0</v>
      </c>
      <c r="AA3359" s="46">
        <v>0</v>
      </c>
      <c r="AB3359" s="46">
        <v>0</v>
      </c>
      <c r="AC3359" s="46">
        <v>0</v>
      </c>
      <c r="AD3359" s="46">
        <v>0</v>
      </c>
      <c r="AE3359" s="157" t="s">
        <v>92</v>
      </c>
      <c r="AF3359" s="46" t="s">
        <v>19290</v>
      </c>
      <c r="AG3359" s="46" t="s">
        <v>8859</v>
      </c>
      <c r="AH3359" s="72">
        <v>44431</v>
      </c>
      <c r="AI3359" s="46">
        <v>0</v>
      </c>
      <c r="AJ3359" s="46" t="s">
        <v>19291</v>
      </c>
      <c r="AK3359" s="46" t="s">
        <v>19292</v>
      </c>
      <c r="AL3359" s="88">
        <v>44431</v>
      </c>
      <c r="AM3359" s="46"/>
      <c r="AN3359" s="88">
        <v>45012</v>
      </c>
      <c r="AO3359" s="88">
        <v>44628</v>
      </c>
    </row>
    <row r="3360" spans="1:55" ht="36.75" customHeight="1">
      <c r="A3360" s="46" t="s">
        <v>12471</v>
      </c>
      <c r="B3360" s="30" t="s">
        <v>55</v>
      </c>
      <c r="C3360" s="69" t="str">
        <f t="shared" ref="C3360:C3373" si="309">IF(B3360="Notification","Open",IF(B3360="Interim Statement","In progress","Closed"))</f>
        <v>Closed</v>
      </c>
      <c r="D3360" s="36" t="s">
        <v>19293</v>
      </c>
      <c r="E3360" s="38" t="s">
        <v>19294</v>
      </c>
      <c r="F3360" s="46" t="s">
        <v>17682</v>
      </c>
      <c r="G3360" s="88">
        <f>DATE(2021,8,23)</f>
        <v>44431</v>
      </c>
      <c r="H3360" s="142">
        <v>0.23611111111111113</v>
      </c>
      <c r="I3360" s="46" t="s">
        <v>125</v>
      </c>
      <c r="J3360" s="46" t="s">
        <v>19295</v>
      </c>
      <c r="K3360" s="46" t="s">
        <v>1574</v>
      </c>
      <c r="L3360" s="46" t="s">
        <v>19296</v>
      </c>
      <c r="M3360" s="46" t="s">
        <v>63</v>
      </c>
      <c r="N3360" s="46" t="s">
        <v>99</v>
      </c>
      <c r="O3360" s="46" t="s">
        <v>64</v>
      </c>
      <c r="P3360" s="46" t="s">
        <v>165</v>
      </c>
      <c r="Q3360" s="46" t="s">
        <v>18739</v>
      </c>
      <c r="R3360" s="46" t="s">
        <v>19007</v>
      </c>
      <c r="S3360" s="46">
        <v>0</v>
      </c>
      <c r="T3360" s="46">
        <v>0</v>
      </c>
      <c r="U3360" s="46">
        <v>0</v>
      </c>
      <c r="V3360" s="46">
        <v>0</v>
      </c>
      <c r="W3360" s="46">
        <v>0</v>
      </c>
      <c r="X3360" s="46">
        <v>0</v>
      </c>
      <c r="Y3360" s="46">
        <v>0</v>
      </c>
      <c r="Z3360" s="46">
        <v>0</v>
      </c>
      <c r="AA3360" s="46">
        <v>0</v>
      </c>
      <c r="AB3360" s="46">
        <v>0</v>
      </c>
      <c r="AC3360" s="46">
        <v>0</v>
      </c>
      <c r="AD3360" s="46">
        <v>0</v>
      </c>
      <c r="AE3360" s="46" t="s">
        <v>394</v>
      </c>
      <c r="AF3360" s="46" t="s">
        <v>19297</v>
      </c>
      <c r="AG3360" s="46" t="s">
        <v>8859</v>
      </c>
      <c r="AH3360" s="72">
        <v>44431</v>
      </c>
      <c r="AI3360" s="46">
        <v>0</v>
      </c>
      <c r="AJ3360" s="46" t="s">
        <v>19298</v>
      </c>
      <c r="AK3360" s="46" t="s">
        <v>19299</v>
      </c>
      <c r="AL3360" s="46"/>
      <c r="AM3360" s="46"/>
      <c r="AN3360" s="157">
        <v>44804</v>
      </c>
      <c r="AO3360" s="157">
        <v>44791</v>
      </c>
    </row>
    <row r="3361" spans="1:55" ht="36.75" customHeight="1">
      <c r="A3361" s="46" t="s">
        <v>12471</v>
      </c>
      <c r="B3361" s="30" t="s">
        <v>55</v>
      </c>
      <c r="C3361" s="69" t="str">
        <f t="shared" si="309"/>
        <v>Closed</v>
      </c>
      <c r="D3361" s="36" t="s">
        <v>19300</v>
      </c>
      <c r="E3361" s="38" t="s">
        <v>19301</v>
      </c>
      <c r="F3361" s="46" t="s">
        <v>17682</v>
      </c>
      <c r="G3361" s="88">
        <f>DATE(2021,8,23)</f>
        <v>44431</v>
      </c>
      <c r="H3361" s="142">
        <v>0.44791666666666669</v>
      </c>
      <c r="I3361" s="46" t="s">
        <v>73</v>
      </c>
      <c r="J3361" s="46" t="s">
        <v>19302</v>
      </c>
      <c r="K3361" s="46" t="s">
        <v>1574</v>
      </c>
      <c r="L3361" s="46" t="s">
        <v>19303</v>
      </c>
      <c r="M3361" s="46" t="s">
        <v>63</v>
      </c>
      <c r="N3361" s="46" t="s">
        <v>99</v>
      </c>
      <c r="O3361" s="46" t="s">
        <v>64</v>
      </c>
      <c r="P3361" s="46" t="s">
        <v>78</v>
      </c>
      <c r="Q3361" s="46" t="s">
        <v>19304</v>
      </c>
      <c r="R3361" s="46" t="s">
        <v>19007</v>
      </c>
      <c r="S3361" s="46">
        <v>0</v>
      </c>
      <c r="T3361" s="46">
        <v>0</v>
      </c>
      <c r="U3361" s="46">
        <v>0</v>
      </c>
      <c r="V3361" s="46">
        <v>0</v>
      </c>
      <c r="W3361" s="46">
        <v>0</v>
      </c>
      <c r="X3361" s="46">
        <v>0</v>
      </c>
      <c r="Y3361" s="46">
        <v>0</v>
      </c>
      <c r="Z3361" s="46">
        <v>0</v>
      </c>
      <c r="AA3361" s="46">
        <v>0</v>
      </c>
      <c r="AB3361" s="46">
        <v>0</v>
      </c>
      <c r="AC3361" s="46">
        <v>0</v>
      </c>
      <c r="AD3361" s="46">
        <v>0</v>
      </c>
      <c r="AE3361" s="46" t="s">
        <v>92</v>
      </c>
      <c r="AF3361" s="46" t="s">
        <v>19305</v>
      </c>
      <c r="AG3361" s="46" t="s">
        <v>8859</v>
      </c>
      <c r="AH3361" s="72">
        <v>44432</v>
      </c>
      <c r="AI3361" s="46">
        <v>0</v>
      </c>
      <c r="AJ3361" s="46" t="s">
        <v>19306</v>
      </c>
      <c r="AK3361" s="46" t="s">
        <v>19307</v>
      </c>
      <c r="AL3361" s="46"/>
      <c r="AM3361" s="46"/>
      <c r="AN3361" s="157">
        <v>44818</v>
      </c>
      <c r="AO3361" s="157">
        <v>44785</v>
      </c>
    </row>
    <row r="3362" spans="1:55" ht="36.75" customHeight="1">
      <c r="A3362" s="46" t="s">
        <v>12471</v>
      </c>
      <c r="B3362" s="30" t="s">
        <v>55</v>
      </c>
      <c r="C3362" s="69" t="str">
        <f t="shared" si="309"/>
        <v>Closed</v>
      </c>
      <c r="D3362" s="36" t="s">
        <v>19308</v>
      </c>
      <c r="E3362" s="38" t="s">
        <v>19309</v>
      </c>
      <c r="F3362" s="46" t="s">
        <v>16310</v>
      </c>
      <c r="G3362" s="88">
        <f>DATE(2021,8,26)</f>
        <v>44434</v>
      </c>
      <c r="H3362" s="142">
        <v>0.91666666666666663</v>
      </c>
      <c r="I3362" s="46" t="s">
        <v>73</v>
      </c>
      <c r="J3362" s="46" t="s">
        <v>19310</v>
      </c>
      <c r="K3362" s="46" t="s">
        <v>118</v>
      </c>
      <c r="L3362" s="46" t="s">
        <v>19311</v>
      </c>
      <c r="M3362" s="46" t="s">
        <v>63</v>
      </c>
      <c r="N3362" s="46" t="s">
        <v>142</v>
      </c>
      <c r="O3362" s="46" t="s">
        <v>64</v>
      </c>
      <c r="P3362" s="46" t="s">
        <v>78</v>
      </c>
      <c r="Q3362" s="46" t="s">
        <v>19312</v>
      </c>
      <c r="R3362" s="46" t="s">
        <v>18952</v>
      </c>
      <c r="S3362" s="46">
        <v>0</v>
      </c>
      <c r="T3362" s="46">
        <v>0</v>
      </c>
      <c r="U3362" s="46">
        <v>0</v>
      </c>
      <c r="V3362" s="46">
        <v>0</v>
      </c>
      <c r="W3362" s="46">
        <v>0</v>
      </c>
      <c r="X3362" s="46">
        <v>0</v>
      </c>
      <c r="Y3362" s="46">
        <v>0</v>
      </c>
      <c r="Z3362" s="46">
        <v>0</v>
      </c>
      <c r="AA3362" s="46">
        <v>0</v>
      </c>
      <c r="AB3362" s="46">
        <v>0</v>
      </c>
      <c r="AC3362" s="46">
        <v>0</v>
      </c>
      <c r="AD3362" s="46">
        <v>0</v>
      </c>
      <c r="AE3362" s="46" t="s">
        <v>145</v>
      </c>
      <c r="AF3362" s="46" t="s">
        <v>19313</v>
      </c>
      <c r="AG3362" s="46" t="s">
        <v>6459</v>
      </c>
      <c r="AH3362" s="72">
        <v>44438</v>
      </c>
      <c r="AI3362" s="46">
        <v>6</v>
      </c>
      <c r="AJ3362" s="46" t="s">
        <v>19314</v>
      </c>
      <c r="AK3362" s="46" t="s">
        <v>19315</v>
      </c>
      <c r="AL3362" s="46"/>
      <c r="AM3362" s="46"/>
      <c r="AN3362" s="157">
        <v>44897</v>
      </c>
      <c r="AO3362" s="157">
        <v>44883</v>
      </c>
    </row>
    <row r="3363" spans="1:55" ht="36.75" customHeight="1">
      <c r="A3363" s="46" t="s">
        <v>12471</v>
      </c>
      <c r="B3363" s="30" t="s">
        <v>55</v>
      </c>
      <c r="C3363" s="69" t="str">
        <f t="shared" si="309"/>
        <v>Closed</v>
      </c>
      <c r="D3363" s="36" t="s">
        <v>19316</v>
      </c>
      <c r="E3363" s="38" t="s">
        <v>19317</v>
      </c>
      <c r="F3363" s="46" t="s">
        <v>17682</v>
      </c>
      <c r="G3363" s="88">
        <f>DATE(2021,8,27)</f>
        <v>44435</v>
      </c>
      <c r="H3363" s="142">
        <v>0.86805555555555547</v>
      </c>
      <c r="I3363" s="46" t="s">
        <v>73</v>
      </c>
      <c r="J3363" s="46" t="s">
        <v>19318</v>
      </c>
      <c r="K3363" s="46" t="s">
        <v>1574</v>
      </c>
      <c r="L3363" s="46" t="s">
        <v>19319</v>
      </c>
      <c r="M3363" s="46" t="s">
        <v>63</v>
      </c>
      <c r="N3363" s="46" t="s">
        <v>142</v>
      </c>
      <c r="O3363" s="46" t="s">
        <v>77</v>
      </c>
      <c r="P3363" s="46" t="s">
        <v>78</v>
      </c>
      <c r="Q3363" s="46" t="s">
        <v>18142</v>
      </c>
      <c r="R3363" s="46" t="s">
        <v>19007</v>
      </c>
      <c r="S3363" s="46">
        <v>0</v>
      </c>
      <c r="T3363" s="46">
        <v>0</v>
      </c>
      <c r="U3363" s="46">
        <v>0</v>
      </c>
      <c r="V3363" s="46">
        <v>0</v>
      </c>
      <c r="W3363" s="46">
        <v>0</v>
      </c>
      <c r="X3363" s="46">
        <v>0</v>
      </c>
      <c r="Y3363" s="46">
        <v>0</v>
      </c>
      <c r="Z3363" s="46">
        <v>0</v>
      </c>
      <c r="AA3363" s="46">
        <v>0</v>
      </c>
      <c r="AB3363" s="46">
        <v>0</v>
      </c>
      <c r="AC3363" s="46">
        <v>0</v>
      </c>
      <c r="AD3363" s="46">
        <v>0</v>
      </c>
      <c r="AE3363" s="46" t="s">
        <v>92</v>
      </c>
      <c r="AF3363" s="46" t="s">
        <v>19283</v>
      </c>
      <c r="AG3363" s="46" t="s">
        <v>8859</v>
      </c>
      <c r="AH3363" s="72">
        <v>44438</v>
      </c>
      <c r="AI3363" s="46">
        <v>1</v>
      </c>
      <c r="AJ3363" s="46" t="s">
        <v>19320</v>
      </c>
      <c r="AK3363" s="46" t="s">
        <v>19321</v>
      </c>
      <c r="AL3363" s="46"/>
      <c r="AM3363" s="46"/>
      <c r="AN3363" s="157">
        <v>44749</v>
      </c>
      <c r="AO3363" s="157">
        <v>44739</v>
      </c>
    </row>
    <row r="3364" spans="1:55" ht="36.75" customHeight="1">
      <c r="A3364" s="46" t="s">
        <v>12471</v>
      </c>
      <c r="B3364" s="30" t="s">
        <v>55</v>
      </c>
      <c r="C3364" s="69" t="str">
        <f t="shared" si="309"/>
        <v>Closed</v>
      </c>
      <c r="D3364" s="36" t="s">
        <v>19322</v>
      </c>
      <c r="E3364" s="60" t="s">
        <v>19323</v>
      </c>
      <c r="F3364" s="61" t="s">
        <v>19136</v>
      </c>
      <c r="G3364" s="88">
        <f>DATE(2021,8,27)</f>
        <v>44435</v>
      </c>
      <c r="H3364" s="142">
        <v>1.0138888888888888</v>
      </c>
      <c r="I3364" s="61" t="s">
        <v>5494</v>
      </c>
      <c r="J3364" s="61" t="s">
        <v>19324</v>
      </c>
      <c r="K3364" s="61" t="s">
        <v>1940</v>
      </c>
      <c r="L3364" s="61" t="s">
        <v>19325</v>
      </c>
      <c r="M3364" s="61" t="s">
        <v>63</v>
      </c>
      <c r="N3364" s="61" t="s">
        <v>142</v>
      </c>
      <c r="O3364" s="61" t="s">
        <v>64</v>
      </c>
      <c r="P3364" s="61" t="s">
        <v>165</v>
      </c>
      <c r="Q3364" s="61" t="s">
        <v>17724</v>
      </c>
      <c r="R3364" s="61" t="s">
        <v>17724</v>
      </c>
      <c r="S3364" s="61">
        <v>0</v>
      </c>
      <c r="T3364" s="61">
        <v>0</v>
      </c>
      <c r="U3364" s="61">
        <v>0</v>
      </c>
      <c r="V3364" s="61">
        <v>0</v>
      </c>
      <c r="W3364" s="61">
        <v>0</v>
      </c>
      <c r="X3364" s="61">
        <v>0</v>
      </c>
      <c r="Y3364" s="61">
        <v>0</v>
      </c>
      <c r="Z3364" s="61">
        <v>0</v>
      </c>
      <c r="AA3364" s="61">
        <v>0</v>
      </c>
      <c r="AB3364" s="61">
        <v>0</v>
      </c>
      <c r="AC3364" s="61">
        <v>0</v>
      </c>
      <c r="AD3364" s="61">
        <v>0</v>
      </c>
      <c r="AE3364" s="61" t="s">
        <v>394</v>
      </c>
      <c r="AF3364" s="61" t="s">
        <v>19326</v>
      </c>
      <c r="AG3364" s="61" t="s">
        <v>6459</v>
      </c>
      <c r="AH3364" s="72">
        <v>44469</v>
      </c>
      <c r="AI3364" s="61">
        <v>7</v>
      </c>
      <c r="AJ3364" s="61" t="s">
        <v>19327</v>
      </c>
      <c r="AK3364" s="61" t="s">
        <v>19328</v>
      </c>
      <c r="AL3364" s="157">
        <v>44971</v>
      </c>
      <c r="AM3364" s="157">
        <v>44971</v>
      </c>
      <c r="AN3364" s="157">
        <v>45019</v>
      </c>
      <c r="AO3364" s="157">
        <v>44980</v>
      </c>
      <c r="AP3364" s="46"/>
      <c r="AQ3364" s="46"/>
      <c r="AR3364" s="46"/>
      <c r="AS3364" s="46"/>
      <c r="AT3364" s="46"/>
      <c r="AU3364" s="46"/>
      <c r="AV3364" s="46"/>
      <c r="AW3364" s="46"/>
      <c r="AX3364" s="46"/>
      <c r="AY3364" s="46"/>
      <c r="AZ3364" s="46"/>
      <c r="BA3364" s="46"/>
      <c r="BB3364" s="46"/>
      <c r="BC3364" s="46"/>
    </row>
    <row r="3365" spans="1:55" ht="36.75" customHeight="1">
      <c r="A3365" s="46" t="s">
        <v>12471</v>
      </c>
      <c r="B3365" s="30" t="s">
        <v>55</v>
      </c>
      <c r="C3365" s="69" t="str">
        <f t="shared" si="309"/>
        <v>Closed</v>
      </c>
      <c r="D3365" s="36" t="s">
        <v>19329</v>
      </c>
      <c r="E3365" s="38" t="s">
        <v>19330</v>
      </c>
      <c r="F3365" s="46" t="s">
        <v>12910</v>
      </c>
      <c r="G3365" s="88">
        <f>DATE(2021,9,1)</f>
        <v>44440</v>
      </c>
      <c r="H3365" s="142">
        <v>1.9548611111111112</v>
      </c>
      <c r="I3365" s="46" t="s">
        <v>278</v>
      </c>
      <c r="J3365" s="46" t="s">
        <v>19331</v>
      </c>
      <c r="K3365" s="46" t="s">
        <v>453</v>
      </c>
      <c r="L3365" s="46" t="s">
        <v>19122</v>
      </c>
      <c r="M3365" s="46" t="s">
        <v>63</v>
      </c>
      <c r="N3365" s="46" t="s">
        <v>99</v>
      </c>
      <c r="O3365" s="46" t="s">
        <v>77</v>
      </c>
      <c r="P3365" s="46" t="s">
        <v>165</v>
      </c>
      <c r="Q3365" s="46" t="s">
        <v>14384</v>
      </c>
      <c r="R3365" s="46" t="s">
        <v>572</v>
      </c>
      <c r="S3365" s="46">
        <v>0</v>
      </c>
      <c r="T3365" s="46">
        <v>0</v>
      </c>
      <c r="U3365" s="46">
        <v>0</v>
      </c>
      <c r="V3365" s="46">
        <v>1</v>
      </c>
      <c r="W3365" s="46">
        <v>0</v>
      </c>
      <c r="X3365" s="46">
        <v>1</v>
      </c>
      <c r="Y3365" s="46">
        <v>0</v>
      </c>
      <c r="Z3365" s="46">
        <v>0</v>
      </c>
      <c r="AA3365" s="46">
        <v>0</v>
      </c>
      <c r="AB3365" s="46">
        <v>0</v>
      </c>
      <c r="AC3365" s="46">
        <v>0</v>
      </c>
      <c r="AD3365" s="46">
        <v>0</v>
      </c>
      <c r="AE3365" s="46" t="s">
        <v>92</v>
      </c>
      <c r="AF3365" s="46" t="s">
        <v>712</v>
      </c>
      <c r="AG3365" s="46" t="s">
        <v>6459</v>
      </c>
      <c r="AH3365" s="72">
        <v>44440</v>
      </c>
      <c r="AI3365" s="46">
        <v>0</v>
      </c>
      <c r="AJ3365" s="46" t="s">
        <v>19217</v>
      </c>
      <c r="AK3365" s="46">
        <v>0</v>
      </c>
      <c r="AL3365" s="157">
        <v>44756</v>
      </c>
      <c r="AM3365" s="46"/>
      <c r="AN3365" s="157">
        <v>44756</v>
      </c>
      <c r="AO3365" s="157">
        <v>44530</v>
      </c>
    </row>
    <row r="3366" spans="1:55" ht="36.75" customHeight="1">
      <c r="A3366" s="46" t="s">
        <v>12471</v>
      </c>
      <c r="B3366" s="30" t="s">
        <v>55</v>
      </c>
      <c r="C3366" s="69" t="str">
        <f t="shared" si="309"/>
        <v>Closed</v>
      </c>
      <c r="D3366" s="36" t="s">
        <v>19332</v>
      </c>
      <c r="E3366" s="38" t="s">
        <v>19333</v>
      </c>
      <c r="F3366" s="46" t="s">
        <v>17682</v>
      </c>
      <c r="G3366" s="88">
        <f>DATE(2021,9,3)</f>
        <v>44442</v>
      </c>
      <c r="H3366" s="142">
        <v>0.60763888888888895</v>
      </c>
      <c r="I3366" s="46" t="s">
        <v>73</v>
      </c>
      <c r="J3366" s="46" t="s">
        <v>19334</v>
      </c>
      <c r="K3366" s="46" t="s">
        <v>1574</v>
      </c>
      <c r="L3366" s="46" t="s">
        <v>19335</v>
      </c>
      <c r="M3366" s="46" t="s">
        <v>63</v>
      </c>
      <c r="N3366" s="46" t="s">
        <v>99</v>
      </c>
      <c r="O3366" s="46" t="s">
        <v>77</v>
      </c>
      <c r="P3366" s="46" t="s">
        <v>78</v>
      </c>
      <c r="Q3366" s="46" t="s">
        <v>19336</v>
      </c>
      <c r="R3366" s="46" t="s">
        <v>19007</v>
      </c>
      <c r="S3366" s="46">
        <v>0</v>
      </c>
      <c r="T3366" s="46">
        <v>0</v>
      </c>
      <c r="U3366" s="46">
        <v>0</v>
      </c>
      <c r="V3366" s="46">
        <v>0</v>
      </c>
      <c r="W3366" s="46">
        <v>0</v>
      </c>
      <c r="X3366" s="46">
        <v>0</v>
      </c>
      <c r="Y3366" s="46">
        <v>0</v>
      </c>
      <c r="Z3366" s="46">
        <v>0</v>
      </c>
      <c r="AA3366" s="46">
        <v>0</v>
      </c>
      <c r="AB3366" s="46">
        <v>0</v>
      </c>
      <c r="AC3366" s="46">
        <v>0</v>
      </c>
      <c r="AD3366" s="46">
        <v>0</v>
      </c>
      <c r="AE3366" s="46" t="s">
        <v>92</v>
      </c>
      <c r="AF3366" s="46" t="s">
        <v>19337</v>
      </c>
      <c r="AG3366" s="46" t="s">
        <v>8859</v>
      </c>
      <c r="AH3366" s="72">
        <v>44446</v>
      </c>
      <c r="AI3366" s="46">
        <v>0</v>
      </c>
      <c r="AJ3366" s="46" t="s">
        <v>19338</v>
      </c>
      <c r="AK3366" s="46" t="s">
        <v>19339</v>
      </c>
      <c r="AL3366" s="160" t="s">
        <v>68</v>
      </c>
      <c r="AM3366" s="46"/>
      <c r="AN3366" s="157">
        <v>44804</v>
      </c>
      <c r="AO3366" s="157">
        <v>44798</v>
      </c>
    </row>
    <row r="3367" spans="1:55" ht="36.75" customHeight="1">
      <c r="A3367" s="46" t="s">
        <v>12471</v>
      </c>
      <c r="B3367" s="30" t="s">
        <v>55</v>
      </c>
      <c r="C3367" s="69" t="str">
        <f t="shared" si="309"/>
        <v>Closed</v>
      </c>
      <c r="D3367" s="36" t="s">
        <v>19340</v>
      </c>
      <c r="E3367" s="38" t="s">
        <v>19341</v>
      </c>
      <c r="F3367" s="46" t="s">
        <v>17773</v>
      </c>
      <c r="G3367" s="88">
        <f>DATE(2021,9,4)</f>
        <v>44443</v>
      </c>
      <c r="H3367" s="142">
        <v>0.97222222222222221</v>
      </c>
      <c r="I3367" s="46" t="s">
        <v>125</v>
      </c>
      <c r="J3367" s="46" t="s">
        <v>19342</v>
      </c>
      <c r="K3367" s="46" t="s">
        <v>2603</v>
      </c>
      <c r="L3367" s="46" t="s">
        <v>19343</v>
      </c>
      <c r="M3367" s="46" t="s">
        <v>63</v>
      </c>
      <c r="N3367" s="46" t="s">
        <v>99</v>
      </c>
      <c r="O3367" s="46" t="s">
        <v>90</v>
      </c>
      <c r="P3367" s="46" t="s">
        <v>6902</v>
      </c>
      <c r="Q3367" s="46" t="s">
        <v>19344</v>
      </c>
      <c r="R3367" s="46" t="s">
        <v>18439</v>
      </c>
      <c r="S3367" s="46">
        <v>0</v>
      </c>
      <c r="T3367" s="46">
        <v>0</v>
      </c>
      <c r="U3367" s="46">
        <v>0</v>
      </c>
      <c r="V3367" s="46">
        <v>0</v>
      </c>
      <c r="W3367" s="46">
        <v>0</v>
      </c>
      <c r="X3367" s="46">
        <v>0</v>
      </c>
      <c r="Y3367" s="46">
        <v>0</v>
      </c>
      <c r="Z3367" s="46">
        <v>0</v>
      </c>
      <c r="AA3367" s="46">
        <v>0</v>
      </c>
      <c r="AB3367" s="46">
        <v>0</v>
      </c>
      <c r="AC3367" s="46">
        <v>0</v>
      </c>
      <c r="AD3367" s="46">
        <v>0</v>
      </c>
      <c r="AE3367" s="46" t="s">
        <v>92</v>
      </c>
      <c r="AF3367" s="46" t="s">
        <v>19283</v>
      </c>
      <c r="AG3367" s="46" t="s">
        <v>8859</v>
      </c>
      <c r="AH3367" s="72">
        <v>44449</v>
      </c>
      <c r="AI3367" s="46">
        <v>4</v>
      </c>
      <c r="AJ3367" s="46" t="s">
        <v>19345</v>
      </c>
      <c r="AK3367" s="46" t="s">
        <v>19346</v>
      </c>
      <c r="AL3367" s="157">
        <v>44456</v>
      </c>
      <c r="AM3367" s="46"/>
      <c r="AN3367" s="157">
        <v>44634</v>
      </c>
      <c r="AO3367" s="88">
        <v>44615</v>
      </c>
    </row>
    <row r="3368" spans="1:55" ht="36.75" customHeight="1">
      <c r="A3368" s="46" t="s">
        <v>12471</v>
      </c>
      <c r="B3368" s="30" t="s">
        <v>55</v>
      </c>
      <c r="C3368" s="69" t="str">
        <f t="shared" si="309"/>
        <v>Closed</v>
      </c>
      <c r="D3368" s="36" t="s">
        <v>19347</v>
      </c>
      <c r="E3368" s="38" t="s">
        <v>19348</v>
      </c>
      <c r="F3368" s="46" t="s">
        <v>17820</v>
      </c>
      <c r="G3368" s="88">
        <f>DATE(2021,9,6)</f>
        <v>44445</v>
      </c>
      <c r="H3368" s="142">
        <v>1.7361111111111112</v>
      </c>
      <c r="I3368" s="46" t="s">
        <v>73</v>
      </c>
      <c r="J3368" s="46" t="s">
        <v>19349</v>
      </c>
      <c r="K3368" s="46" t="s">
        <v>640</v>
      </c>
      <c r="L3368" s="46" t="s">
        <v>19350</v>
      </c>
      <c r="M3368" s="46" t="s">
        <v>63</v>
      </c>
      <c r="N3368" s="46" t="s">
        <v>142</v>
      </c>
      <c r="O3368" s="46" t="s">
        <v>86</v>
      </c>
      <c r="P3368" s="46" t="s">
        <v>6902</v>
      </c>
      <c r="Q3368" s="46" t="s">
        <v>18509</v>
      </c>
      <c r="R3368" s="46" t="s">
        <v>2016</v>
      </c>
      <c r="S3368" s="46">
        <v>0</v>
      </c>
      <c r="T3368" s="46">
        <v>0</v>
      </c>
      <c r="U3368" s="46">
        <v>0</v>
      </c>
      <c r="V3368" s="46">
        <v>0</v>
      </c>
      <c r="W3368" s="46">
        <v>0</v>
      </c>
      <c r="X3368" s="46">
        <v>0</v>
      </c>
      <c r="Y3368" s="46">
        <v>0</v>
      </c>
      <c r="Z3368" s="46">
        <v>0</v>
      </c>
      <c r="AA3368" s="46">
        <v>0</v>
      </c>
      <c r="AB3368" s="46">
        <v>0</v>
      </c>
      <c r="AC3368" s="46">
        <v>0</v>
      </c>
      <c r="AD3368" s="46">
        <v>0</v>
      </c>
      <c r="AE3368" s="46" t="s">
        <v>92</v>
      </c>
      <c r="AF3368" s="46" t="s">
        <v>18510</v>
      </c>
      <c r="AG3368" s="46" t="s">
        <v>14033</v>
      </c>
      <c r="AH3368" s="72">
        <v>44680</v>
      </c>
      <c r="AI3368" s="46">
        <v>3</v>
      </c>
      <c r="AJ3368" s="46" t="s">
        <v>19351</v>
      </c>
      <c r="AK3368" s="46" t="s">
        <v>19352</v>
      </c>
      <c r="AL3368" s="157">
        <v>44694</v>
      </c>
      <c r="AM3368" s="46"/>
      <c r="AN3368" s="157">
        <v>44774</v>
      </c>
      <c r="AO3368" s="157">
        <v>44763</v>
      </c>
    </row>
    <row r="3369" spans="1:55" ht="36.75" customHeight="1">
      <c r="A3369" s="46" t="s">
        <v>12471</v>
      </c>
      <c r="B3369" s="30" t="s">
        <v>14882</v>
      </c>
      <c r="C3369" s="69" t="str">
        <f t="shared" si="309"/>
        <v>In progress</v>
      </c>
      <c r="D3369" s="36" t="s">
        <v>19353</v>
      </c>
      <c r="E3369" s="38" t="s">
        <v>19354</v>
      </c>
      <c r="F3369" s="46" t="s">
        <v>6455</v>
      </c>
      <c r="G3369" s="88">
        <f>DATE(2021,9,8)</f>
        <v>44447</v>
      </c>
      <c r="H3369" s="142">
        <v>0.31944444444444448</v>
      </c>
      <c r="I3369" s="46" t="s">
        <v>73</v>
      </c>
      <c r="J3369" s="46" t="s">
        <v>19355</v>
      </c>
      <c r="K3369" s="46" t="s">
        <v>584</v>
      </c>
      <c r="L3369" s="46" t="s">
        <v>19356</v>
      </c>
      <c r="M3369" s="46" t="s">
        <v>63</v>
      </c>
      <c r="N3369" s="46" t="s">
        <v>142</v>
      </c>
      <c r="O3369" s="46" t="s">
        <v>77</v>
      </c>
      <c r="P3369" s="46" t="s">
        <v>165</v>
      </c>
      <c r="Q3369" s="46" t="s">
        <v>4487</v>
      </c>
      <c r="R3369" s="46" t="s">
        <v>587</v>
      </c>
      <c r="S3369" s="46">
        <v>0</v>
      </c>
      <c r="T3369" s="46">
        <v>0</v>
      </c>
      <c r="U3369" s="46">
        <v>0</v>
      </c>
      <c r="V3369" s="46">
        <v>0</v>
      </c>
      <c r="W3369" s="46">
        <v>0</v>
      </c>
      <c r="X3369" s="46">
        <v>0</v>
      </c>
      <c r="Y3369" s="46">
        <v>0</v>
      </c>
      <c r="Z3369" s="46">
        <v>0</v>
      </c>
      <c r="AA3369" s="46">
        <v>0</v>
      </c>
      <c r="AB3369" s="46">
        <v>0</v>
      </c>
      <c r="AC3369" s="46">
        <v>0</v>
      </c>
      <c r="AD3369" s="46">
        <v>0</v>
      </c>
      <c r="AE3369" s="46" t="s">
        <v>394</v>
      </c>
      <c r="AF3369" s="46" t="s">
        <v>19357</v>
      </c>
      <c r="AG3369" s="46" t="s">
        <v>8859</v>
      </c>
      <c r="AH3369" s="72">
        <v>44447</v>
      </c>
      <c r="AI3369" s="46"/>
      <c r="AJ3369" s="46" t="s">
        <v>19358</v>
      </c>
      <c r="AK3369" s="46"/>
      <c r="AL3369" s="157">
        <v>44497</v>
      </c>
      <c r="AM3369" s="157">
        <v>45562</v>
      </c>
      <c r="AN3369" s="169"/>
      <c r="AO3369" s="169"/>
    </row>
    <row r="3370" spans="1:55" ht="36.75" customHeight="1">
      <c r="A3370" s="46" t="s">
        <v>12471</v>
      </c>
      <c r="B3370" s="30" t="s">
        <v>55</v>
      </c>
      <c r="C3370" s="69" t="str">
        <f t="shared" si="309"/>
        <v>Closed</v>
      </c>
      <c r="D3370" s="36" t="s">
        <v>19359</v>
      </c>
      <c r="E3370" s="44" t="s">
        <v>19360</v>
      </c>
      <c r="F3370" s="46" t="s">
        <v>16429</v>
      </c>
      <c r="G3370" s="88">
        <f>DATE(2021,9,22)</f>
        <v>44461</v>
      </c>
      <c r="H3370" s="142">
        <v>0.42430555555555555</v>
      </c>
      <c r="I3370" s="45" t="s">
        <v>278</v>
      </c>
      <c r="J3370" s="46" t="s">
        <v>19361</v>
      </c>
      <c r="K3370" s="46" t="s">
        <v>425</v>
      </c>
      <c r="L3370" s="46" t="s">
        <v>19362</v>
      </c>
      <c r="M3370" s="46" t="s">
        <v>63</v>
      </c>
      <c r="N3370" s="46" t="s">
        <v>99</v>
      </c>
      <c r="O3370" s="46" t="s">
        <v>77</v>
      </c>
      <c r="P3370" s="46" t="s">
        <v>165</v>
      </c>
      <c r="Q3370" s="46" t="s">
        <v>18615</v>
      </c>
      <c r="R3370" s="46" t="s">
        <v>17369</v>
      </c>
      <c r="S3370" s="46">
        <v>0</v>
      </c>
      <c r="T3370" s="46">
        <v>1</v>
      </c>
      <c r="U3370" s="46">
        <v>0</v>
      </c>
      <c r="V3370" s="46">
        <v>0</v>
      </c>
      <c r="W3370" s="46">
        <v>0</v>
      </c>
      <c r="X3370" s="46">
        <v>1</v>
      </c>
      <c r="Y3370" s="46">
        <v>0</v>
      </c>
      <c r="Z3370" s="46">
        <v>0</v>
      </c>
      <c r="AA3370" s="46">
        <v>0</v>
      </c>
      <c r="AB3370" s="46">
        <v>0</v>
      </c>
      <c r="AC3370" s="46">
        <v>0</v>
      </c>
      <c r="AD3370" s="46">
        <v>0</v>
      </c>
      <c r="AE3370" s="46" t="s">
        <v>92</v>
      </c>
      <c r="AF3370" s="46" t="s">
        <v>19363</v>
      </c>
      <c r="AG3370" s="46" t="s">
        <v>19364</v>
      </c>
      <c r="AH3370" s="72">
        <v>44461</v>
      </c>
      <c r="AI3370" s="46">
        <v>1</v>
      </c>
      <c r="AJ3370" s="46" t="s">
        <v>19365</v>
      </c>
      <c r="AK3370" s="46" t="s">
        <v>19366</v>
      </c>
      <c r="AL3370" s="157">
        <v>44466</v>
      </c>
      <c r="AM3370" s="46"/>
      <c r="AN3370" s="157">
        <v>44809</v>
      </c>
      <c r="AO3370" s="157">
        <v>44788</v>
      </c>
      <c r="AP3370" s="46"/>
      <c r="AQ3370" s="46"/>
      <c r="AR3370" s="46"/>
      <c r="AS3370" s="46"/>
      <c r="AT3370" s="46"/>
      <c r="AU3370" s="46"/>
      <c r="AV3370" s="46"/>
      <c r="AW3370" s="46"/>
      <c r="AX3370" s="46"/>
      <c r="AY3370" s="46"/>
      <c r="AZ3370" s="46"/>
      <c r="BA3370" s="46"/>
      <c r="BB3370" s="46"/>
      <c r="BC3370" s="46"/>
    </row>
    <row r="3371" spans="1:55" ht="36.75" customHeight="1">
      <c r="A3371" s="46" t="s">
        <v>12471</v>
      </c>
      <c r="B3371" s="30" t="s">
        <v>55</v>
      </c>
      <c r="C3371" s="69" t="str">
        <f t="shared" si="309"/>
        <v>Closed</v>
      </c>
      <c r="D3371" s="36" t="s">
        <v>19367</v>
      </c>
      <c r="E3371" s="44" t="s">
        <v>19368</v>
      </c>
      <c r="F3371" s="45" t="s">
        <v>17344</v>
      </c>
      <c r="G3371" s="88">
        <f>DATE(2021,9,26)</f>
        <v>44465</v>
      </c>
      <c r="H3371" s="142">
        <v>0.22569444444444445</v>
      </c>
      <c r="I3371" s="30" t="s">
        <v>9419</v>
      </c>
      <c r="J3371" s="45" t="s">
        <v>19369</v>
      </c>
      <c r="K3371" s="45" t="s">
        <v>127</v>
      </c>
      <c r="L3371" s="45" t="s">
        <v>19370</v>
      </c>
      <c r="M3371" s="45" t="s">
        <v>63</v>
      </c>
      <c r="N3371" s="45" t="s">
        <v>99</v>
      </c>
      <c r="O3371" s="45" t="s">
        <v>64</v>
      </c>
      <c r="P3371" s="45" t="s">
        <v>301</v>
      </c>
      <c r="Q3371" s="45" t="s">
        <v>167</v>
      </c>
      <c r="R3371" s="45" t="s">
        <v>167</v>
      </c>
      <c r="S3371" s="45">
        <v>0</v>
      </c>
      <c r="T3371" s="45">
        <v>0</v>
      </c>
      <c r="U3371" s="45">
        <v>0</v>
      </c>
      <c r="V3371" s="45">
        <v>0</v>
      </c>
      <c r="W3371" s="45">
        <v>0</v>
      </c>
      <c r="X3371" s="45">
        <v>0</v>
      </c>
      <c r="Y3371" s="45">
        <v>0</v>
      </c>
      <c r="Z3371" s="45">
        <v>0</v>
      </c>
      <c r="AA3371" s="45">
        <v>0</v>
      </c>
      <c r="AB3371" s="45">
        <v>0</v>
      </c>
      <c r="AC3371" s="45">
        <v>0</v>
      </c>
      <c r="AD3371" s="45">
        <v>0</v>
      </c>
      <c r="AE3371" s="45" t="s">
        <v>92</v>
      </c>
      <c r="AF3371" s="45" t="s">
        <v>19371</v>
      </c>
      <c r="AG3371" s="45" t="s">
        <v>6459</v>
      </c>
      <c r="AH3371" s="72">
        <v>44474</v>
      </c>
      <c r="AI3371" s="45">
        <v>1</v>
      </c>
      <c r="AJ3371" s="45" t="s">
        <v>19372</v>
      </c>
      <c r="AK3371" s="45" t="s">
        <v>19373</v>
      </c>
      <c r="AL3371" s="157">
        <v>44481</v>
      </c>
      <c r="AM3371" s="46"/>
      <c r="AN3371" s="157">
        <v>44993</v>
      </c>
      <c r="AO3371" s="157">
        <v>44987</v>
      </c>
    </row>
    <row r="3372" spans="1:55" ht="36.75" customHeight="1">
      <c r="A3372" s="46" t="s">
        <v>12471</v>
      </c>
      <c r="B3372" s="30" t="s">
        <v>55</v>
      </c>
      <c r="C3372" s="69" t="str">
        <f t="shared" si="309"/>
        <v>Closed</v>
      </c>
      <c r="D3372" s="36" t="s">
        <v>19374</v>
      </c>
      <c r="E3372" s="44" t="s">
        <v>19375</v>
      </c>
      <c r="F3372" s="45" t="s">
        <v>17344</v>
      </c>
      <c r="G3372" s="88">
        <f>DATE(2021,10,2)</f>
        <v>44471</v>
      </c>
      <c r="H3372" s="142">
        <v>0.16666666666666666</v>
      </c>
      <c r="I3372" s="45" t="s">
        <v>125</v>
      </c>
      <c r="J3372" s="45" t="s">
        <v>19376</v>
      </c>
      <c r="K3372" s="45" t="s">
        <v>127</v>
      </c>
      <c r="L3372" s="45" t="s">
        <v>19377</v>
      </c>
      <c r="M3372" s="45" t="s">
        <v>63</v>
      </c>
      <c r="N3372" s="45" t="s">
        <v>142</v>
      </c>
      <c r="O3372" s="45" t="s">
        <v>77</v>
      </c>
      <c r="P3372" s="45" t="s">
        <v>78</v>
      </c>
      <c r="Q3372" s="45" t="s">
        <v>401</v>
      </c>
      <c r="R3372" s="45" t="s">
        <v>167</v>
      </c>
      <c r="S3372" s="45">
        <v>0</v>
      </c>
      <c r="T3372" s="45">
        <v>0</v>
      </c>
      <c r="U3372" s="45">
        <v>0</v>
      </c>
      <c r="V3372" s="45">
        <v>0</v>
      </c>
      <c r="W3372" s="45">
        <v>0</v>
      </c>
      <c r="X3372" s="45">
        <v>0</v>
      </c>
      <c r="Y3372" s="45">
        <v>0</v>
      </c>
      <c r="Z3372" s="45">
        <v>0</v>
      </c>
      <c r="AA3372" s="45">
        <v>0</v>
      </c>
      <c r="AB3372" s="45">
        <v>0</v>
      </c>
      <c r="AC3372" s="45">
        <v>0</v>
      </c>
      <c r="AD3372" s="45">
        <v>0</v>
      </c>
      <c r="AE3372" s="45" t="s">
        <v>394</v>
      </c>
      <c r="AF3372" s="45" t="s">
        <v>19378</v>
      </c>
      <c r="AG3372" s="45" t="s">
        <v>6459</v>
      </c>
      <c r="AH3372" s="72">
        <v>44474</v>
      </c>
      <c r="AI3372" s="45">
        <v>0</v>
      </c>
      <c r="AJ3372" s="45" t="s">
        <v>19379</v>
      </c>
      <c r="AK3372" s="45" t="s">
        <v>68</v>
      </c>
      <c r="AL3372" s="157">
        <v>44481</v>
      </c>
      <c r="AM3372" s="46"/>
      <c r="AN3372" s="157">
        <v>44900</v>
      </c>
      <c r="AO3372" s="157">
        <v>44900</v>
      </c>
    </row>
    <row r="3373" spans="1:55" ht="36.75" customHeight="1">
      <c r="A3373" s="30" t="s">
        <v>12471</v>
      </c>
      <c r="B3373" s="30" t="s">
        <v>55</v>
      </c>
      <c r="C3373" s="69" t="str">
        <f t="shared" si="309"/>
        <v>Closed</v>
      </c>
      <c r="D3373" s="36" t="s">
        <v>19380</v>
      </c>
      <c r="E3373" s="38" t="s">
        <v>19381</v>
      </c>
      <c r="F3373" s="46" t="s">
        <v>18881</v>
      </c>
      <c r="G3373" s="88">
        <f>DATE(2021,10,5)</f>
        <v>44474</v>
      </c>
      <c r="H3373" s="142">
        <v>0.3298611111111111</v>
      </c>
      <c r="I3373" s="46" t="s">
        <v>116</v>
      </c>
      <c r="J3373" s="46" t="s">
        <v>19382</v>
      </c>
      <c r="K3373" s="46" t="s">
        <v>61</v>
      </c>
      <c r="L3373" s="46" t="s">
        <v>19383</v>
      </c>
      <c r="M3373" s="46" t="s">
        <v>63</v>
      </c>
      <c r="N3373" s="46" t="s">
        <v>99</v>
      </c>
      <c r="O3373" s="46" t="s">
        <v>64</v>
      </c>
      <c r="P3373" s="46" t="s">
        <v>301</v>
      </c>
      <c r="Q3373" s="46" t="s">
        <v>19384</v>
      </c>
      <c r="R3373" s="46" t="s">
        <v>18884</v>
      </c>
      <c r="S3373" s="46">
        <v>0</v>
      </c>
      <c r="T3373" s="46">
        <v>0</v>
      </c>
      <c r="U3373" s="46">
        <v>0</v>
      </c>
      <c r="V3373" s="46">
        <v>0</v>
      </c>
      <c r="W3373" s="46">
        <v>0</v>
      </c>
      <c r="X3373" s="46">
        <v>0</v>
      </c>
      <c r="Y3373" s="46">
        <v>0</v>
      </c>
      <c r="Z3373" s="46">
        <v>0</v>
      </c>
      <c r="AA3373" s="46">
        <v>2</v>
      </c>
      <c r="AB3373" s="46">
        <v>0</v>
      </c>
      <c r="AC3373" s="46">
        <v>0</v>
      </c>
      <c r="AD3373" s="46">
        <v>2</v>
      </c>
      <c r="AE3373" s="46" t="s">
        <v>92</v>
      </c>
      <c r="AF3373" s="46" t="s">
        <v>19385</v>
      </c>
      <c r="AG3373" s="46" t="s">
        <v>13537</v>
      </c>
      <c r="AH3373" s="72">
        <v>44475</v>
      </c>
      <c r="AI3373" s="46">
        <v>2</v>
      </c>
      <c r="AJ3373" s="46" t="s">
        <v>19386</v>
      </c>
      <c r="AK3373" s="46" t="s">
        <v>19387</v>
      </c>
      <c r="AL3373" s="157">
        <v>44490</v>
      </c>
      <c r="AM3373" s="46"/>
      <c r="AN3373" s="137">
        <v>44833</v>
      </c>
      <c r="AO3373" s="137">
        <v>44833</v>
      </c>
    </row>
    <row r="3374" spans="1:55" ht="36.75" customHeight="1">
      <c r="A3374" s="46"/>
      <c r="B3374" s="30" t="s">
        <v>55</v>
      </c>
      <c r="C3374" s="69" t="s">
        <v>18034</v>
      </c>
      <c r="D3374" s="36" t="s">
        <v>19388</v>
      </c>
      <c r="E3374" s="38" t="s">
        <v>19389</v>
      </c>
      <c r="F3374" s="46" t="s">
        <v>17578</v>
      </c>
      <c r="G3374" s="88">
        <f>DATE(2021,10,10)</f>
        <v>44479</v>
      </c>
      <c r="H3374" s="142">
        <v>1.6458333333333335</v>
      </c>
      <c r="I3374" s="46" t="s">
        <v>73</v>
      </c>
      <c r="J3374" s="46" t="s">
        <v>19390</v>
      </c>
      <c r="K3374" s="46" t="s">
        <v>837</v>
      </c>
      <c r="L3374" s="46" t="s">
        <v>19391</v>
      </c>
      <c r="M3374" s="46" t="s">
        <v>63</v>
      </c>
      <c r="N3374" s="46" t="s">
        <v>99</v>
      </c>
      <c r="O3374" s="46" t="s">
        <v>77</v>
      </c>
      <c r="P3374" s="46" t="s">
        <v>165</v>
      </c>
      <c r="Q3374" s="46" t="s">
        <v>2162</v>
      </c>
      <c r="R3374" s="46" t="s">
        <v>840</v>
      </c>
      <c r="S3374" s="46">
        <v>0</v>
      </c>
      <c r="T3374" s="46">
        <v>0</v>
      </c>
      <c r="U3374" s="46">
        <v>0</v>
      </c>
      <c r="V3374" s="46">
        <v>0</v>
      </c>
      <c r="W3374" s="46">
        <v>0</v>
      </c>
      <c r="X3374" s="46">
        <v>0</v>
      </c>
      <c r="Y3374" s="46">
        <v>0</v>
      </c>
      <c r="Z3374" s="46">
        <v>0</v>
      </c>
      <c r="AA3374" s="46">
        <v>0</v>
      </c>
      <c r="AB3374" s="46">
        <v>0</v>
      </c>
      <c r="AC3374" s="46">
        <v>0</v>
      </c>
      <c r="AD3374" s="46">
        <v>0</v>
      </c>
      <c r="AE3374" s="46" t="s">
        <v>394</v>
      </c>
      <c r="AF3374" s="46" t="s">
        <v>19392</v>
      </c>
      <c r="AG3374" s="46" t="s">
        <v>8859</v>
      </c>
      <c r="AH3374" s="72">
        <v>44479</v>
      </c>
      <c r="AI3374" s="46">
        <v>0</v>
      </c>
      <c r="AJ3374" s="46" t="s">
        <v>19393</v>
      </c>
      <c r="AK3374" s="46" t="s">
        <v>19394</v>
      </c>
      <c r="AL3374" s="157">
        <v>44803</v>
      </c>
      <c r="AM3374" s="46"/>
      <c r="AN3374" s="88">
        <v>45012</v>
      </c>
      <c r="AO3374" s="88">
        <v>44908</v>
      </c>
    </row>
    <row r="3375" spans="1:55" ht="36.75" customHeight="1">
      <c r="A3375" s="46" t="s">
        <v>12471</v>
      </c>
      <c r="B3375" s="30" t="s">
        <v>14882</v>
      </c>
      <c r="C3375" s="69" t="str">
        <f t="shared" ref="C3375:C3399" si="310">IF(B3375="Notification","Open",IF(B3375="Interim Statement","In progress","Closed"))</f>
        <v>In progress</v>
      </c>
      <c r="D3375" s="36" t="s">
        <v>19395</v>
      </c>
      <c r="E3375" s="38" t="s">
        <v>19396</v>
      </c>
      <c r="F3375" s="46" t="s">
        <v>6455</v>
      </c>
      <c r="G3375" s="88">
        <f>DATE(2021,10,12)</f>
        <v>44481</v>
      </c>
      <c r="H3375" s="142">
        <v>0.59027777777777779</v>
      </c>
      <c r="I3375" s="46" t="s">
        <v>73</v>
      </c>
      <c r="J3375" s="46" t="s">
        <v>19397</v>
      </c>
      <c r="K3375" s="46" t="s">
        <v>584</v>
      </c>
      <c r="L3375" s="46" t="s">
        <v>19398</v>
      </c>
      <c r="M3375" s="46" t="s">
        <v>63</v>
      </c>
      <c r="N3375" s="46" t="s">
        <v>99</v>
      </c>
      <c r="O3375" s="46" t="s">
        <v>77</v>
      </c>
      <c r="P3375" s="46" t="s">
        <v>165</v>
      </c>
      <c r="Q3375" s="46" t="s">
        <v>4487</v>
      </c>
      <c r="R3375" s="46" t="s">
        <v>587</v>
      </c>
      <c r="S3375" s="46">
        <v>0</v>
      </c>
      <c r="T3375" s="46">
        <v>0</v>
      </c>
      <c r="U3375" s="46">
        <v>0</v>
      </c>
      <c r="V3375" s="46">
        <v>0</v>
      </c>
      <c r="W3375" s="46">
        <v>0</v>
      </c>
      <c r="X3375" s="46">
        <v>0</v>
      </c>
      <c r="Y3375" s="46">
        <v>0</v>
      </c>
      <c r="Z3375" s="46">
        <v>0</v>
      </c>
      <c r="AA3375" s="46">
        <v>0</v>
      </c>
      <c r="AB3375" s="46">
        <v>0</v>
      </c>
      <c r="AC3375" s="46">
        <v>0</v>
      </c>
      <c r="AD3375" s="46">
        <v>0</v>
      </c>
      <c r="AE3375" s="46" t="s">
        <v>394</v>
      </c>
      <c r="AF3375" s="46" t="s">
        <v>19399</v>
      </c>
      <c r="AG3375" s="46" t="s">
        <v>8859</v>
      </c>
      <c r="AH3375" s="72">
        <v>44481</v>
      </c>
      <c r="AI3375" s="46"/>
      <c r="AJ3375" s="46" t="s">
        <v>19400</v>
      </c>
      <c r="AK3375" s="46"/>
      <c r="AL3375" s="157">
        <v>44497</v>
      </c>
      <c r="AM3375" s="157">
        <v>45958</v>
      </c>
      <c r="AN3375" s="169"/>
      <c r="AO3375" s="169"/>
    </row>
    <row r="3376" spans="1:55" ht="36.75" customHeight="1">
      <c r="A3376" s="46" t="s">
        <v>12471</v>
      </c>
      <c r="B3376" s="30" t="s">
        <v>55</v>
      </c>
      <c r="C3376" s="69" t="str">
        <f t="shared" si="310"/>
        <v>Closed</v>
      </c>
      <c r="D3376" s="36" t="s">
        <v>19401</v>
      </c>
      <c r="E3376" s="44" t="s">
        <v>19402</v>
      </c>
      <c r="F3376" s="45" t="s">
        <v>16310</v>
      </c>
      <c r="G3376" s="88">
        <f>DATE(2021,10,12)</f>
        <v>44481</v>
      </c>
      <c r="H3376" s="142">
        <v>0.2076388888888889</v>
      </c>
      <c r="I3376" s="45" t="s">
        <v>278</v>
      </c>
      <c r="J3376" s="45" t="s">
        <v>19403</v>
      </c>
      <c r="K3376" s="45" t="s">
        <v>118</v>
      </c>
      <c r="L3376" s="45" t="s">
        <v>19404</v>
      </c>
      <c r="M3376" s="45" t="s">
        <v>63</v>
      </c>
      <c r="N3376" s="45" t="s">
        <v>142</v>
      </c>
      <c r="O3376" s="45" t="s">
        <v>64</v>
      </c>
      <c r="P3376" s="45" t="s">
        <v>165</v>
      </c>
      <c r="Q3376" s="45" t="s">
        <v>16313</v>
      </c>
      <c r="R3376" s="45" t="s">
        <v>18214</v>
      </c>
      <c r="S3376" s="45">
        <v>0</v>
      </c>
      <c r="T3376" s="45">
        <v>0</v>
      </c>
      <c r="U3376" s="45">
        <v>0</v>
      </c>
      <c r="V3376" s="45">
        <v>0</v>
      </c>
      <c r="W3376" s="45">
        <v>0</v>
      </c>
      <c r="X3376" s="45">
        <v>0</v>
      </c>
      <c r="Y3376" s="45">
        <v>0</v>
      </c>
      <c r="Z3376" s="45">
        <v>0</v>
      </c>
      <c r="AA3376" s="45">
        <v>0</v>
      </c>
      <c r="AB3376" s="45">
        <v>0</v>
      </c>
      <c r="AC3376" s="45">
        <v>0</v>
      </c>
      <c r="AD3376" s="45">
        <v>0</v>
      </c>
      <c r="AE3376" s="45" t="s">
        <v>92</v>
      </c>
      <c r="AF3376" s="45" t="s">
        <v>19283</v>
      </c>
      <c r="AG3376" s="45" t="s">
        <v>8859</v>
      </c>
      <c r="AH3376" s="72">
        <v>44484</v>
      </c>
      <c r="AI3376" s="45">
        <v>0</v>
      </c>
      <c r="AJ3376" s="45" t="s">
        <v>19405</v>
      </c>
      <c r="AK3376" s="45" t="s">
        <v>10556</v>
      </c>
      <c r="AL3376" s="157">
        <v>44487</v>
      </c>
      <c r="AM3376" s="45"/>
      <c r="AN3376" s="157">
        <v>44658</v>
      </c>
      <c r="AO3376" s="157">
        <v>44651</v>
      </c>
      <c r="AP3376" s="46"/>
      <c r="AQ3376" s="46"/>
      <c r="AR3376" s="46"/>
      <c r="AS3376" s="46"/>
      <c r="AT3376" s="46"/>
      <c r="AU3376" s="46"/>
      <c r="AV3376" s="46"/>
      <c r="AW3376" s="46"/>
      <c r="AX3376" s="46"/>
      <c r="AY3376" s="46"/>
    </row>
    <row r="3377" spans="1:55" ht="36.75" customHeight="1">
      <c r="A3377" s="46" t="s">
        <v>12471</v>
      </c>
      <c r="B3377" s="30" t="s">
        <v>55</v>
      </c>
      <c r="C3377" s="69" t="str">
        <f t="shared" si="310"/>
        <v>Closed</v>
      </c>
      <c r="D3377" s="36" t="s">
        <v>19406</v>
      </c>
      <c r="E3377" s="44" t="s">
        <v>19407</v>
      </c>
      <c r="F3377" s="45" t="s">
        <v>17578</v>
      </c>
      <c r="G3377" s="88">
        <f>DATE(2021,10,15)</f>
        <v>44484</v>
      </c>
      <c r="H3377" s="142">
        <v>0.55208333333333337</v>
      </c>
      <c r="I3377" s="45" t="s">
        <v>73</v>
      </c>
      <c r="J3377" s="45" t="s">
        <v>19408</v>
      </c>
      <c r="K3377" s="45" t="s">
        <v>837</v>
      </c>
      <c r="L3377" s="45" t="s">
        <v>19409</v>
      </c>
      <c r="M3377" s="45" t="s">
        <v>63</v>
      </c>
      <c r="N3377" s="45" t="s">
        <v>142</v>
      </c>
      <c r="O3377" s="45" t="s">
        <v>77</v>
      </c>
      <c r="P3377" s="45" t="s">
        <v>78</v>
      </c>
      <c r="Q3377" s="45" t="s">
        <v>19410</v>
      </c>
      <c r="R3377" s="45" t="s">
        <v>840</v>
      </c>
      <c r="S3377" s="45">
        <v>0</v>
      </c>
      <c r="T3377" s="45">
        <v>0</v>
      </c>
      <c r="U3377" s="45">
        <v>0</v>
      </c>
      <c r="V3377" s="45">
        <v>0</v>
      </c>
      <c r="W3377" s="45">
        <v>0</v>
      </c>
      <c r="X3377" s="45">
        <v>0</v>
      </c>
      <c r="Y3377" s="45">
        <v>0</v>
      </c>
      <c r="Z3377" s="45">
        <v>0</v>
      </c>
      <c r="AA3377" s="45">
        <v>0</v>
      </c>
      <c r="AB3377" s="45">
        <v>0</v>
      </c>
      <c r="AC3377" s="45">
        <v>0</v>
      </c>
      <c r="AD3377" s="45">
        <v>0</v>
      </c>
      <c r="AE3377" s="45" t="s">
        <v>92</v>
      </c>
      <c r="AF3377" s="45" t="s">
        <v>879</v>
      </c>
      <c r="AG3377" s="45" t="s">
        <v>8859</v>
      </c>
      <c r="AH3377" s="72">
        <v>44484</v>
      </c>
      <c r="AI3377" s="45">
        <v>0</v>
      </c>
      <c r="AJ3377" s="45" t="s">
        <v>19411</v>
      </c>
      <c r="AK3377" s="45" t="s">
        <v>19412</v>
      </c>
      <c r="AL3377" s="157">
        <v>44488</v>
      </c>
      <c r="AM3377" s="45"/>
      <c r="AN3377" s="157">
        <v>44872</v>
      </c>
      <c r="AO3377" s="199"/>
    </row>
    <row r="3378" spans="1:55" ht="36.75" customHeight="1">
      <c r="A3378" s="46" t="s">
        <v>12471</v>
      </c>
      <c r="B3378" s="30" t="s">
        <v>55</v>
      </c>
      <c r="C3378" s="69" t="str">
        <f t="shared" si="310"/>
        <v>Closed</v>
      </c>
      <c r="D3378" s="36" t="s">
        <v>19413</v>
      </c>
      <c r="E3378" s="38" t="s">
        <v>19414</v>
      </c>
      <c r="F3378" s="46" t="s">
        <v>12910</v>
      </c>
      <c r="G3378" s="88">
        <f>DATE(2021,10,16)</f>
        <v>44485</v>
      </c>
      <c r="H3378" s="142">
        <v>1.2326388888888888</v>
      </c>
      <c r="I3378" s="46" t="s">
        <v>278</v>
      </c>
      <c r="J3378" s="46" t="s">
        <v>19415</v>
      </c>
      <c r="K3378" s="46" t="s">
        <v>453</v>
      </c>
      <c r="L3378" s="46" t="s">
        <v>19122</v>
      </c>
      <c r="M3378" s="46" t="s">
        <v>63</v>
      </c>
      <c r="N3378" s="46" t="s">
        <v>99</v>
      </c>
      <c r="O3378" s="46" t="s">
        <v>77</v>
      </c>
      <c r="P3378" s="46" t="s">
        <v>165</v>
      </c>
      <c r="Q3378" s="46" t="s">
        <v>12184</v>
      </c>
      <c r="R3378" s="46" t="s">
        <v>572</v>
      </c>
      <c r="S3378" s="46">
        <v>0</v>
      </c>
      <c r="T3378" s="46">
        <v>0</v>
      </c>
      <c r="U3378" s="46">
        <v>0</v>
      </c>
      <c r="V3378" s="46">
        <v>1</v>
      </c>
      <c r="W3378" s="46">
        <v>0</v>
      </c>
      <c r="X3378" s="46">
        <v>1</v>
      </c>
      <c r="Y3378" s="46">
        <v>0</v>
      </c>
      <c r="Z3378" s="46">
        <v>0</v>
      </c>
      <c r="AA3378" s="46">
        <v>0</v>
      </c>
      <c r="AB3378" s="46">
        <v>0</v>
      </c>
      <c r="AC3378" s="46">
        <v>0</v>
      </c>
      <c r="AD3378" s="46">
        <v>0</v>
      </c>
      <c r="AE3378" s="46" t="s">
        <v>92</v>
      </c>
      <c r="AF3378" s="46" t="s">
        <v>712</v>
      </c>
      <c r="AG3378" s="46" t="s">
        <v>6459</v>
      </c>
      <c r="AH3378" s="72">
        <v>44485</v>
      </c>
      <c r="AI3378" s="46">
        <v>0</v>
      </c>
      <c r="AJ3378" s="46" t="s">
        <v>19416</v>
      </c>
      <c r="AK3378" s="46">
        <v>0</v>
      </c>
      <c r="AL3378" s="157">
        <v>44756</v>
      </c>
      <c r="AM3378" s="46"/>
      <c r="AN3378" s="157">
        <v>44756</v>
      </c>
      <c r="AO3378" s="157">
        <v>44591</v>
      </c>
    </row>
    <row r="3379" spans="1:55" ht="36.75" customHeight="1">
      <c r="A3379" s="46" t="s">
        <v>12471</v>
      </c>
      <c r="B3379" s="30" t="s">
        <v>55</v>
      </c>
      <c r="C3379" s="69" t="str">
        <f t="shared" si="310"/>
        <v>Closed</v>
      </c>
      <c r="D3379" s="36" t="s">
        <v>19417</v>
      </c>
      <c r="E3379" s="38" t="s">
        <v>19418</v>
      </c>
      <c r="F3379" s="46" t="s">
        <v>6455</v>
      </c>
      <c r="G3379" s="88">
        <f>DATE(2021,10,19)</f>
        <v>44488</v>
      </c>
      <c r="H3379" s="142">
        <v>0.27777777777777779</v>
      </c>
      <c r="I3379" s="46" t="s">
        <v>198</v>
      </c>
      <c r="J3379" s="46" t="s">
        <v>19419</v>
      </c>
      <c r="K3379" s="46" t="s">
        <v>584</v>
      </c>
      <c r="L3379" s="46" t="s">
        <v>19420</v>
      </c>
      <c r="M3379" s="46" t="s">
        <v>63</v>
      </c>
      <c r="N3379" s="46" t="s">
        <v>99</v>
      </c>
      <c r="O3379" s="46" t="s">
        <v>77</v>
      </c>
      <c r="P3379" s="46" t="s">
        <v>78</v>
      </c>
      <c r="Q3379" s="46" t="s">
        <v>19421</v>
      </c>
      <c r="R3379" s="46" t="s">
        <v>587</v>
      </c>
      <c r="S3379" s="46">
        <v>0</v>
      </c>
      <c r="T3379" s="46">
        <v>0</v>
      </c>
      <c r="U3379" s="46">
        <v>0</v>
      </c>
      <c r="V3379" s="46">
        <v>0</v>
      </c>
      <c r="W3379" s="46">
        <v>0</v>
      </c>
      <c r="X3379" s="46">
        <v>0</v>
      </c>
      <c r="Y3379" s="46">
        <v>0</v>
      </c>
      <c r="Z3379" s="46">
        <v>0</v>
      </c>
      <c r="AA3379" s="46">
        <v>0</v>
      </c>
      <c r="AB3379" s="46">
        <v>0</v>
      </c>
      <c r="AC3379" s="46">
        <v>0</v>
      </c>
      <c r="AD3379" s="46">
        <v>0</v>
      </c>
      <c r="AE3379" s="46" t="s">
        <v>92</v>
      </c>
      <c r="AF3379" s="46" t="s">
        <v>19422</v>
      </c>
      <c r="AG3379" s="46" t="s">
        <v>8859</v>
      </c>
      <c r="AH3379" s="72">
        <v>44488</v>
      </c>
      <c r="AI3379" s="46">
        <v>0</v>
      </c>
      <c r="AJ3379" s="46" t="s">
        <v>19423</v>
      </c>
      <c r="AK3379" s="46" t="s">
        <v>19424</v>
      </c>
      <c r="AL3379" s="157">
        <v>44497</v>
      </c>
      <c r="AM3379" s="157">
        <v>45589</v>
      </c>
      <c r="AN3379" s="157">
        <v>45681</v>
      </c>
      <c r="AO3379" s="157">
        <v>45608</v>
      </c>
    </row>
    <row r="3380" spans="1:55" ht="36.75" customHeight="1">
      <c r="A3380" s="46" t="s">
        <v>12471</v>
      </c>
      <c r="B3380" s="30" t="s">
        <v>55</v>
      </c>
      <c r="C3380" s="69" t="str">
        <f t="shared" si="310"/>
        <v>Closed</v>
      </c>
      <c r="D3380" s="36" t="s">
        <v>19425</v>
      </c>
      <c r="E3380" s="38" t="s">
        <v>19426</v>
      </c>
      <c r="F3380" s="46" t="s">
        <v>17578</v>
      </c>
      <c r="G3380" s="88">
        <f>DATE(2021,10,21)</f>
        <v>44490</v>
      </c>
      <c r="H3380" s="142">
        <v>0.20138888888888887</v>
      </c>
      <c r="I3380" s="46" t="s">
        <v>4610</v>
      </c>
      <c r="J3380" s="46" t="s">
        <v>19427</v>
      </c>
      <c r="K3380" s="46" t="s">
        <v>837</v>
      </c>
      <c r="L3380" s="46" t="s">
        <v>19428</v>
      </c>
      <c r="M3380" s="46" t="s">
        <v>63</v>
      </c>
      <c r="N3380" s="46" t="s">
        <v>89</v>
      </c>
      <c r="O3380" s="46" t="s">
        <v>77</v>
      </c>
      <c r="P3380" s="46" t="s">
        <v>78</v>
      </c>
      <c r="Q3380" s="46" t="s">
        <v>18250</v>
      </c>
      <c r="R3380" s="46" t="s">
        <v>2162</v>
      </c>
      <c r="S3380" s="46">
        <v>0</v>
      </c>
      <c r="T3380" s="46">
        <v>0</v>
      </c>
      <c r="U3380" s="46">
        <v>0</v>
      </c>
      <c r="V3380" s="46">
        <v>0</v>
      </c>
      <c r="W3380" s="46">
        <v>0</v>
      </c>
      <c r="X3380" s="46">
        <v>0</v>
      </c>
      <c r="Y3380" s="46">
        <v>0</v>
      </c>
      <c r="Z3380" s="46">
        <v>0</v>
      </c>
      <c r="AA3380" s="46">
        <v>0</v>
      </c>
      <c r="AB3380" s="46">
        <v>0</v>
      </c>
      <c r="AC3380" s="46">
        <v>0</v>
      </c>
      <c r="AD3380" s="46">
        <v>0</v>
      </c>
      <c r="AE3380" s="46" t="s">
        <v>92</v>
      </c>
      <c r="AF3380" s="46" t="s">
        <v>879</v>
      </c>
      <c r="AG3380" s="46" t="s">
        <v>13537</v>
      </c>
      <c r="AH3380" s="72">
        <v>44502</v>
      </c>
      <c r="AI3380" s="46">
        <v>1</v>
      </c>
      <c r="AJ3380" s="46" t="s">
        <v>19429</v>
      </c>
      <c r="AK3380" s="46" t="s">
        <v>19430</v>
      </c>
      <c r="AL3380" s="157">
        <v>44502</v>
      </c>
      <c r="AM3380" s="157"/>
      <c r="AN3380" s="161">
        <v>44771</v>
      </c>
      <c r="AO3380" s="161">
        <v>44748</v>
      </c>
    </row>
    <row r="3381" spans="1:55" ht="36.75" customHeight="1">
      <c r="A3381" s="46" t="s">
        <v>12471</v>
      </c>
      <c r="B3381" s="30" t="s">
        <v>55</v>
      </c>
      <c r="C3381" s="69" t="str">
        <f t="shared" si="310"/>
        <v>Closed</v>
      </c>
      <c r="D3381" s="36" t="s">
        <v>19431</v>
      </c>
      <c r="E3381" s="38" t="s">
        <v>19432</v>
      </c>
      <c r="F3381" s="46" t="s">
        <v>12910</v>
      </c>
      <c r="G3381" s="88">
        <f>DATE(2021,10,24)</f>
        <v>44493</v>
      </c>
      <c r="H3381" s="142">
        <v>1.6770833333333335</v>
      </c>
      <c r="I3381" s="46" t="s">
        <v>278</v>
      </c>
      <c r="J3381" s="46" t="s">
        <v>19433</v>
      </c>
      <c r="K3381" s="46" t="s">
        <v>453</v>
      </c>
      <c r="L3381" s="46" t="s">
        <v>19434</v>
      </c>
      <c r="M3381" s="46" t="s">
        <v>63</v>
      </c>
      <c r="N3381" s="46" t="s">
        <v>142</v>
      </c>
      <c r="O3381" s="46" t="s">
        <v>64</v>
      </c>
      <c r="P3381" s="46" t="s">
        <v>65</v>
      </c>
      <c r="Q3381" s="46" t="s">
        <v>14384</v>
      </c>
      <c r="R3381" s="46" t="s">
        <v>572</v>
      </c>
      <c r="S3381" s="46">
        <v>0</v>
      </c>
      <c r="T3381" s="46">
        <v>0</v>
      </c>
      <c r="U3381" s="46">
        <v>0</v>
      </c>
      <c r="V3381" s="46">
        <v>1</v>
      </c>
      <c r="W3381" s="46">
        <v>0</v>
      </c>
      <c r="X3381" s="46">
        <v>1</v>
      </c>
      <c r="Y3381" s="46">
        <v>0</v>
      </c>
      <c r="Z3381" s="46">
        <v>0</v>
      </c>
      <c r="AA3381" s="46">
        <v>0</v>
      </c>
      <c r="AB3381" s="46">
        <v>0</v>
      </c>
      <c r="AC3381" s="46">
        <v>0</v>
      </c>
      <c r="AD3381" s="46">
        <v>0</v>
      </c>
      <c r="AE3381" s="46" t="s">
        <v>92</v>
      </c>
      <c r="AF3381" s="46" t="s">
        <v>19433</v>
      </c>
      <c r="AG3381" s="46" t="s">
        <v>6459</v>
      </c>
      <c r="AH3381" s="72">
        <v>44501</v>
      </c>
      <c r="AI3381" s="46">
        <v>0</v>
      </c>
      <c r="AJ3381" s="46" t="s">
        <v>19435</v>
      </c>
      <c r="AK3381" s="46" t="s">
        <v>19436</v>
      </c>
      <c r="AL3381" s="157">
        <v>44792</v>
      </c>
      <c r="AM3381" s="46"/>
      <c r="AN3381" s="157">
        <v>44987</v>
      </c>
      <c r="AO3381" s="169"/>
    </row>
    <row r="3382" spans="1:55" ht="36.75" customHeight="1">
      <c r="A3382" s="30" t="s">
        <v>12471</v>
      </c>
      <c r="B3382" s="30" t="s">
        <v>55</v>
      </c>
      <c r="C3382" s="69" t="str">
        <f t="shared" si="310"/>
        <v>Closed</v>
      </c>
      <c r="D3382" s="36" t="s">
        <v>19437</v>
      </c>
      <c r="E3382" s="38" t="s">
        <v>19438</v>
      </c>
      <c r="F3382" s="46" t="s">
        <v>16429</v>
      </c>
      <c r="G3382" s="88">
        <f>DATE(2021,10,25)</f>
        <v>44494</v>
      </c>
      <c r="H3382" s="142">
        <v>0.40277777777777773</v>
      </c>
      <c r="I3382" s="46" t="s">
        <v>73</v>
      </c>
      <c r="J3382" s="46" t="s">
        <v>19439</v>
      </c>
      <c r="K3382" s="46" t="s">
        <v>425</v>
      </c>
      <c r="L3382" s="46" t="s">
        <v>19440</v>
      </c>
      <c r="M3382" s="46" t="s">
        <v>63</v>
      </c>
      <c r="N3382" s="46" t="s">
        <v>142</v>
      </c>
      <c r="O3382" s="46" t="s">
        <v>77</v>
      </c>
      <c r="P3382" s="46" t="s">
        <v>91</v>
      </c>
      <c r="Q3382" s="46" t="s">
        <v>18615</v>
      </c>
      <c r="R3382" s="46" t="s">
        <v>17369</v>
      </c>
      <c r="S3382" s="46">
        <v>0</v>
      </c>
      <c r="T3382" s="46">
        <v>0</v>
      </c>
      <c r="U3382" s="46">
        <v>0</v>
      </c>
      <c r="V3382" s="46">
        <v>0</v>
      </c>
      <c r="W3382" s="46">
        <v>0</v>
      </c>
      <c r="X3382" s="46">
        <v>0</v>
      </c>
      <c r="Y3382" s="46">
        <v>0</v>
      </c>
      <c r="Z3382" s="46">
        <v>0</v>
      </c>
      <c r="AA3382" s="46">
        <v>0</v>
      </c>
      <c r="AB3382" s="46">
        <v>0</v>
      </c>
      <c r="AC3382" s="46">
        <v>0</v>
      </c>
      <c r="AD3382" s="46">
        <v>0</v>
      </c>
      <c r="AE3382" s="46" t="s">
        <v>92</v>
      </c>
      <c r="AF3382" s="46" t="s">
        <v>19283</v>
      </c>
      <c r="AG3382" s="46" t="s">
        <v>16283</v>
      </c>
      <c r="AH3382" s="72">
        <v>44494</v>
      </c>
      <c r="AI3382" s="46">
        <v>0</v>
      </c>
      <c r="AJ3382" s="46" t="s">
        <v>19441</v>
      </c>
      <c r="AK3382" s="46" t="s">
        <v>879</v>
      </c>
      <c r="AL3382" s="157">
        <v>44495</v>
      </c>
      <c r="AM3382" s="157"/>
      <c r="AN3382" s="137">
        <v>44698</v>
      </c>
      <c r="AO3382" s="137">
        <v>44697</v>
      </c>
    </row>
    <row r="3383" spans="1:55" ht="36.75" customHeight="1">
      <c r="A3383" s="30" t="s">
        <v>12471</v>
      </c>
      <c r="B3383" s="30" t="s">
        <v>55</v>
      </c>
      <c r="C3383" s="69" t="str">
        <f t="shared" si="310"/>
        <v>Closed</v>
      </c>
      <c r="D3383" s="36" t="s">
        <v>19442</v>
      </c>
      <c r="E3383" s="38" t="s">
        <v>19443</v>
      </c>
      <c r="F3383" s="46" t="s">
        <v>16429</v>
      </c>
      <c r="G3383" s="88">
        <f>DATE(2021,10,26)</f>
        <v>44495</v>
      </c>
      <c r="H3383" s="142">
        <v>0.67569444444444438</v>
      </c>
      <c r="I3383" s="46" t="s">
        <v>2078</v>
      </c>
      <c r="J3383" s="46" t="s">
        <v>19444</v>
      </c>
      <c r="K3383" s="46" t="s">
        <v>425</v>
      </c>
      <c r="L3383" s="46" t="s">
        <v>19445</v>
      </c>
      <c r="M3383" s="46" t="s">
        <v>63</v>
      </c>
      <c r="N3383" s="46" t="s">
        <v>99</v>
      </c>
      <c r="O3383" s="46" t="s">
        <v>77</v>
      </c>
      <c r="P3383" s="46" t="s">
        <v>165</v>
      </c>
      <c r="Q3383" s="46" t="s">
        <v>18516</v>
      </c>
      <c r="R3383" s="46" t="s">
        <v>17369</v>
      </c>
      <c r="S3383" s="46">
        <v>0</v>
      </c>
      <c r="T3383" s="46">
        <v>0</v>
      </c>
      <c r="U3383" s="46">
        <v>0</v>
      </c>
      <c r="V3383" s="46">
        <v>0</v>
      </c>
      <c r="W3383" s="46">
        <v>0</v>
      </c>
      <c r="X3383" s="46">
        <v>0</v>
      </c>
      <c r="Y3383" s="46">
        <v>0</v>
      </c>
      <c r="Z3383" s="46">
        <v>0</v>
      </c>
      <c r="AA3383" s="46">
        <v>0</v>
      </c>
      <c r="AB3383" s="46">
        <v>0</v>
      </c>
      <c r="AC3383" s="46">
        <v>0</v>
      </c>
      <c r="AD3383" s="46">
        <v>0</v>
      </c>
      <c r="AE3383" s="46" t="s">
        <v>92</v>
      </c>
      <c r="AF3383" s="46" t="s">
        <v>19283</v>
      </c>
      <c r="AG3383" s="46" t="s">
        <v>16283</v>
      </c>
      <c r="AH3383" s="72">
        <v>44495</v>
      </c>
      <c r="AI3383" s="46">
        <v>0</v>
      </c>
      <c r="AJ3383" s="46" t="s">
        <v>19446</v>
      </c>
      <c r="AK3383" s="46" t="s">
        <v>879</v>
      </c>
      <c r="AL3383" s="157">
        <v>44501</v>
      </c>
      <c r="AM3383" s="157"/>
      <c r="AN3383" s="137">
        <v>44658</v>
      </c>
      <c r="AO3383" s="137">
        <v>44627</v>
      </c>
    </row>
    <row r="3384" spans="1:55" ht="36.75" customHeight="1">
      <c r="A3384" s="46" t="s">
        <v>12471</v>
      </c>
      <c r="B3384" s="30" t="s">
        <v>55</v>
      </c>
      <c r="C3384" s="69" t="str">
        <f t="shared" si="310"/>
        <v>Closed</v>
      </c>
      <c r="D3384" s="36" t="s">
        <v>19447</v>
      </c>
      <c r="E3384" s="38" t="s">
        <v>19448</v>
      </c>
      <c r="F3384" s="46" t="s">
        <v>16429</v>
      </c>
      <c r="G3384" s="88">
        <f>DATE(2021,10,28)</f>
        <v>44497</v>
      </c>
      <c r="H3384" s="142">
        <v>0.30902777777777779</v>
      </c>
      <c r="I3384" s="46" t="s">
        <v>116</v>
      </c>
      <c r="J3384" s="46" t="s">
        <v>19449</v>
      </c>
      <c r="K3384" s="46" t="s">
        <v>425</v>
      </c>
      <c r="L3384" s="46" t="s">
        <v>19450</v>
      </c>
      <c r="M3384" s="46" t="s">
        <v>63</v>
      </c>
      <c r="N3384" s="46" t="s">
        <v>142</v>
      </c>
      <c r="O3384" s="46" t="s">
        <v>64</v>
      </c>
      <c r="P3384" s="46" t="s">
        <v>165</v>
      </c>
      <c r="Q3384" s="46" t="s">
        <v>18615</v>
      </c>
      <c r="R3384" s="46" t="s">
        <v>17369</v>
      </c>
      <c r="S3384" s="46">
        <v>0</v>
      </c>
      <c r="T3384" s="46">
        <v>0</v>
      </c>
      <c r="U3384" s="46">
        <v>1</v>
      </c>
      <c r="V3384" s="46">
        <v>0</v>
      </c>
      <c r="W3384" s="46">
        <v>0</v>
      </c>
      <c r="X3384" s="46">
        <v>1</v>
      </c>
      <c r="Y3384" s="46">
        <v>0</v>
      </c>
      <c r="Z3384" s="46">
        <v>0</v>
      </c>
      <c r="AA3384" s="46">
        <v>0</v>
      </c>
      <c r="AB3384" s="46">
        <v>0</v>
      </c>
      <c r="AC3384" s="46">
        <v>0</v>
      </c>
      <c r="AD3384" s="46">
        <v>0</v>
      </c>
      <c r="AE3384" s="46" t="s">
        <v>92</v>
      </c>
      <c r="AF3384" s="46" t="s">
        <v>19451</v>
      </c>
      <c r="AG3384" s="46" t="s">
        <v>8859</v>
      </c>
      <c r="AH3384" s="72">
        <v>44497</v>
      </c>
      <c r="AI3384" s="46">
        <v>1</v>
      </c>
      <c r="AJ3384" s="46" t="s">
        <v>19452</v>
      </c>
      <c r="AK3384" s="46" t="s">
        <v>879</v>
      </c>
      <c r="AL3384" s="157">
        <v>44501</v>
      </c>
      <c r="AM3384" s="157"/>
      <c r="AN3384" s="157">
        <v>44758</v>
      </c>
      <c r="AO3384" s="157">
        <v>44756</v>
      </c>
    </row>
    <row r="3385" spans="1:55" ht="36.75" customHeight="1">
      <c r="A3385" s="46" t="s">
        <v>12471</v>
      </c>
      <c r="B3385" s="30" t="s">
        <v>55</v>
      </c>
      <c r="C3385" s="69" t="str">
        <f t="shared" si="310"/>
        <v>Closed</v>
      </c>
      <c r="D3385" s="36" t="s">
        <v>19453</v>
      </c>
      <c r="E3385" s="38" t="s">
        <v>19454</v>
      </c>
      <c r="F3385" s="46" t="s">
        <v>16429</v>
      </c>
      <c r="G3385" s="88">
        <f>DATE(2021,10,31)</f>
        <v>44500</v>
      </c>
      <c r="H3385" s="142">
        <v>0.1076388888888889</v>
      </c>
      <c r="I3385" s="46" t="s">
        <v>198</v>
      </c>
      <c r="J3385" s="46" t="s">
        <v>19455</v>
      </c>
      <c r="K3385" s="46" t="s">
        <v>425</v>
      </c>
      <c r="L3385" s="46" t="s">
        <v>19456</v>
      </c>
      <c r="M3385" s="46" t="s">
        <v>63</v>
      </c>
      <c r="N3385" s="46" t="s">
        <v>142</v>
      </c>
      <c r="O3385" s="46" t="s">
        <v>64</v>
      </c>
      <c r="P3385" s="46" t="s">
        <v>19457</v>
      </c>
      <c r="Q3385" s="46" t="s">
        <v>18098</v>
      </c>
      <c r="R3385" s="46" t="s">
        <v>17369</v>
      </c>
      <c r="S3385" s="46">
        <v>0</v>
      </c>
      <c r="T3385" s="46">
        <v>0</v>
      </c>
      <c r="U3385" s="46">
        <v>0</v>
      </c>
      <c r="V3385" s="46">
        <v>0</v>
      </c>
      <c r="W3385" s="46">
        <v>0</v>
      </c>
      <c r="X3385" s="46">
        <v>0</v>
      </c>
      <c r="Y3385" s="46">
        <v>0</v>
      </c>
      <c r="Z3385" s="46">
        <v>0</v>
      </c>
      <c r="AA3385" s="46">
        <v>0</v>
      </c>
      <c r="AB3385" s="46">
        <v>0</v>
      </c>
      <c r="AC3385" s="46">
        <v>0</v>
      </c>
      <c r="AD3385" s="46">
        <v>0</v>
      </c>
      <c r="AE3385" s="46" t="s">
        <v>92</v>
      </c>
      <c r="AF3385" s="46" t="s">
        <v>19458</v>
      </c>
      <c r="AG3385" s="46" t="s">
        <v>17370</v>
      </c>
      <c r="AH3385" s="72">
        <v>44500</v>
      </c>
      <c r="AI3385" s="46">
        <v>1</v>
      </c>
      <c r="AJ3385" s="46" t="s">
        <v>19459</v>
      </c>
      <c r="AK3385" s="46" t="s">
        <v>18878</v>
      </c>
      <c r="AL3385" s="157">
        <v>44502</v>
      </c>
      <c r="AM3385" s="157"/>
      <c r="AN3385" s="157">
        <v>44725</v>
      </c>
      <c r="AO3385" s="157">
        <v>44719</v>
      </c>
    </row>
    <row r="3386" spans="1:55" ht="36.75" customHeight="1">
      <c r="A3386" s="46" t="s">
        <v>12471</v>
      </c>
      <c r="B3386" s="30" t="s">
        <v>55</v>
      </c>
      <c r="C3386" s="69" t="str">
        <f t="shared" si="310"/>
        <v>Closed</v>
      </c>
      <c r="D3386" s="36" t="s">
        <v>19460</v>
      </c>
      <c r="E3386" s="38" t="s">
        <v>19461</v>
      </c>
      <c r="F3386" s="46" t="s">
        <v>17682</v>
      </c>
      <c r="G3386" s="88">
        <f>DATE(2021,11,3)</f>
        <v>44503</v>
      </c>
      <c r="H3386" s="142">
        <v>0.59722222222222221</v>
      </c>
      <c r="I3386" s="46" t="s">
        <v>73</v>
      </c>
      <c r="J3386" s="46" t="s">
        <v>19462</v>
      </c>
      <c r="K3386" s="46" t="s">
        <v>1574</v>
      </c>
      <c r="L3386" s="46" t="s">
        <v>19463</v>
      </c>
      <c r="M3386" s="46" t="s">
        <v>63</v>
      </c>
      <c r="N3386" s="46" t="s">
        <v>99</v>
      </c>
      <c r="O3386" s="46" t="s">
        <v>64</v>
      </c>
      <c r="P3386" s="46" t="s">
        <v>78</v>
      </c>
      <c r="Q3386" s="46" t="s">
        <v>19464</v>
      </c>
      <c r="R3386" s="46" t="s">
        <v>19007</v>
      </c>
      <c r="S3386" s="46">
        <v>0</v>
      </c>
      <c r="T3386" s="46">
        <v>0</v>
      </c>
      <c r="U3386" s="46">
        <v>0</v>
      </c>
      <c r="V3386" s="46">
        <v>0</v>
      </c>
      <c r="W3386" s="46">
        <v>0</v>
      </c>
      <c r="X3386" s="46">
        <v>0</v>
      </c>
      <c r="Y3386" s="46">
        <v>0</v>
      </c>
      <c r="Z3386" s="46">
        <v>0</v>
      </c>
      <c r="AA3386" s="46">
        <v>0</v>
      </c>
      <c r="AB3386" s="46">
        <v>0</v>
      </c>
      <c r="AC3386" s="46">
        <v>0</v>
      </c>
      <c r="AD3386" s="46">
        <v>0</v>
      </c>
      <c r="AE3386" s="46" t="s">
        <v>92</v>
      </c>
      <c r="AF3386" s="46" t="s">
        <v>19465</v>
      </c>
      <c r="AG3386" s="46" t="s">
        <v>8859</v>
      </c>
      <c r="AH3386" s="72">
        <v>44504</v>
      </c>
      <c r="AI3386" s="46">
        <v>0</v>
      </c>
      <c r="AJ3386" s="46" t="s">
        <v>19466</v>
      </c>
      <c r="AK3386" s="46" t="s">
        <v>19467</v>
      </c>
      <c r="AL3386" s="157">
        <v>44508</v>
      </c>
      <c r="AM3386" s="157"/>
      <c r="AN3386" s="157">
        <v>44868</v>
      </c>
      <c r="AO3386" s="157">
        <v>44831</v>
      </c>
    </row>
    <row r="3387" spans="1:55" ht="36.75" customHeight="1">
      <c r="A3387" s="46" t="s">
        <v>12471</v>
      </c>
      <c r="B3387" s="30" t="s">
        <v>55</v>
      </c>
      <c r="C3387" s="69" t="str">
        <f t="shared" si="310"/>
        <v>Closed</v>
      </c>
      <c r="D3387" s="36" t="s">
        <v>19468</v>
      </c>
      <c r="E3387" s="38" t="s">
        <v>19469</v>
      </c>
      <c r="F3387" s="46" t="s">
        <v>17578</v>
      </c>
      <c r="G3387" s="88">
        <f>DATE(2021,11,6)</f>
        <v>44506</v>
      </c>
      <c r="H3387" s="142">
        <v>0.33333333333333331</v>
      </c>
      <c r="I3387" s="46" t="s">
        <v>116</v>
      </c>
      <c r="J3387" s="46" t="s">
        <v>19470</v>
      </c>
      <c r="K3387" s="46" t="s">
        <v>837</v>
      </c>
      <c r="L3387" s="46" t="s">
        <v>19471</v>
      </c>
      <c r="M3387" s="46" t="s">
        <v>63</v>
      </c>
      <c r="N3387" s="46" t="s">
        <v>99</v>
      </c>
      <c r="O3387" s="46" t="s">
        <v>64</v>
      </c>
      <c r="P3387" s="46" t="s">
        <v>65</v>
      </c>
      <c r="Q3387" s="46" t="s">
        <v>18858</v>
      </c>
      <c r="R3387" s="46" t="s">
        <v>840</v>
      </c>
      <c r="S3387" s="46">
        <v>0</v>
      </c>
      <c r="T3387" s="46">
        <v>0</v>
      </c>
      <c r="U3387" s="46">
        <v>0</v>
      </c>
      <c r="V3387" s="46">
        <v>0</v>
      </c>
      <c r="W3387" s="46">
        <v>0</v>
      </c>
      <c r="X3387" s="46">
        <v>0</v>
      </c>
      <c r="Y3387" s="46">
        <v>0</v>
      </c>
      <c r="Z3387" s="46">
        <v>0</v>
      </c>
      <c r="AA3387" s="46">
        <v>0</v>
      </c>
      <c r="AB3387" s="46">
        <v>0</v>
      </c>
      <c r="AC3387" s="46">
        <v>0</v>
      </c>
      <c r="AD3387" s="46">
        <v>0</v>
      </c>
      <c r="AE3387" s="46" t="s">
        <v>92</v>
      </c>
      <c r="AF3387" s="46" t="s">
        <v>19472</v>
      </c>
      <c r="AG3387" s="46" t="s">
        <v>14033</v>
      </c>
      <c r="AH3387" s="72">
        <v>44506</v>
      </c>
      <c r="AI3387" s="46">
        <v>1</v>
      </c>
      <c r="AJ3387" s="46" t="s">
        <v>19473</v>
      </c>
      <c r="AK3387" s="46" t="s">
        <v>19474</v>
      </c>
      <c r="AL3387" s="157">
        <v>44508</v>
      </c>
      <c r="AM3387" s="157"/>
      <c r="AN3387" s="157">
        <v>44939</v>
      </c>
      <c r="AO3387" s="169"/>
      <c r="AP3387" s="46"/>
      <c r="AQ3387" s="46"/>
      <c r="AR3387" s="46"/>
      <c r="AS3387" s="46"/>
      <c r="AT3387" s="46"/>
      <c r="AU3387" s="46"/>
      <c r="AV3387" s="46"/>
      <c r="AW3387" s="46"/>
      <c r="AX3387" s="46"/>
      <c r="AY3387" s="46"/>
      <c r="AZ3387" s="46"/>
      <c r="BA3387" s="46"/>
      <c r="BB3387" s="46"/>
      <c r="BC3387" s="46"/>
    </row>
    <row r="3388" spans="1:55" ht="36.75" customHeight="1">
      <c r="A3388" s="46" t="s">
        <v>12471</v>
      </c>
      <c r="B3388" s="30" t="s">
        <v>55</v>
      </c>
      <c r="C3388" s="69" t="str">
        <f t="shared" si="310"/>
        <v>Closed</v>
      </c>
      <c r="D3388" s="36" t="s">
        <v>19475</v>
      </c>
      <c r="E3388" s="38" t="s">
        <v>19476</v>
      </c>
      <c r="F3388" s="46" t="s">
        <v>18070</v>
      </c>
      <c r="G3388" s="88">
        <f>DATE(2021,11,7)</f>
        <v>44507</v>
      </c>
      <c r="H3388" s="142">
        <v>0.26041666666666669</v>
      </c>
      <c r="I3388" s="46" t="s">
        <v>73</v>
      </c>
      <c r="J3388" s="46" t="s">
        <v>19477</v>
      </c>
      <c r="K3388" s="46" t="s">
        <v>140</v>
      </c>
      <c r="L3388" s="46" t="s">
        <v>19478</v>
      </c>
      <c r="M3388" s="46" t="s">
        <v>63</v>
      </c>
      <c r="N3388" s="46" t="s">
        <v>99</v>
      </c>
      <c r="O3388" s="46" t="s">
        <v>64</v>
      </c>
      <c r="P3388" s="46" t="s">
        <v>78</v>
      </c>
      <c r="Q3388" s="46" t="s">
        <v>19479</v>
      </c>
      <c r="R3388" s="46" t="s">
        <v>18530</v>
      </c>
      <c r="S3388" s="46">
        <v>0</v>
      </c>
      <c r="T3388" s="46">
        <v>0</v>
      </c>
      <c r="U3388" s="46">
        <v>0</v>
      </c>
      <c r="V3388" s="46">
        <v>0</v>
      </c>
      <c r="W3388" s="46">
        <v>0</v>
      </c>
      <c r="X3388" s="46">
        <v>0</v>
      </c>
      <c r="Y3388" s="46">
        <v>0</v>
      </c>
      <c r="Z3388" s="46">
        <v>0</v>
      </c>
      <c r="AA3388" s="46">
        <v>0</v>
      </c>
      <c r="AB3388" s="46">
        <v>0</v>
      </c>
      <c r="AC3388" s="46">
        <v>0</v>
      </c>
      <c r="AD3388" s="46">
        <v>0</v>
      </c>
      <c r="AE3388" s="46" t="s">
        <v>145</v>
      </c>
      <c r="AF3388" s="46" t="s">
        <v>19480</v>
      </c>
      <c r="AG3388" s="46" t="s">
        <v>6459</v>
      </c>
      <c r="AH3388" s="72">
        <v>44510</v>
      </c>
      <c r="AI3388" s="46">
        <v>3</v>
      </c>
      <c r="AJ3388" s="46" t="s">
        <v>19481</v>
      </c>
      <c r="AK3388" s="46"/>
      <c r="AL3388" s="157">
        <v>44511</v>
      </c>
      <c r="AM3388" s="157">
        <v>44872</v>
      </c>
      <c r="AN3388" s="157">
        <v>44959</v>
      </c>
      <c r="AO3388" s="157">
        <v>44959</v>
      </c>
    </row>
    <row r="3389" spans="1:55" ht="36.75" customHeight="1">
      <c r="A3389" s="46" t="s">
        <v>12471</v>
      </c>
      <c r="B3389" s="30" t="s">
        <v>55</v>
      </c>
      <c r="C3389" s="69" t="str">
        <f t="shared" si="310"/>
        <v>Closed</v>
      </c>
      <c r="D3389" s="36" t="s">
        <v>19482</v>
      </c>
      <c r="E3389" s="38" t="s">
        <v>19483</v>
      </c>
      <c r="F3389" s="46" t="s">
        <v>12910</v>
      </c>
      <c r="G3389" s="88">
        <f>DATE(2021,11,7)</f>
        <v>44507</v>
      </c>
      <c r="H3389" s="142">
        <v>1.1388888888888888</v>
      </c>
      <c r="I3389" s="46" t="s">
        <v>278</v>
      </c>
      <c r="J3389" s="46" t="s">
        <v>19433</v>
      </c>
      <c r="K3389" s="46" t="s">
        <v>453</v>
      </c>
      <c r="L3389" s="46" t="s">
        <v>19484</v>
      </c>
      <c r="M3389" s="46" t="s">
        <v>63</v>
      </c>
      <c r="N3389" s="46" t="s">
        <v>89</v>
      </c>
      <c r="O3389" s="46" t="s">
        <v>77</v>
      </c>
      <c r="P3389" s="46" t="s">
        <v>6902</v>
      </c>
      <c r="Q3389" s="46" t="s">
        <v>12695</v>
      </c>
      <c r="R3389" s="46" t="s">
        <v>572</v>
      </c>
      <c r="S3389" s="46">
        <v>0</v>
      </c>
      <c r="T3389" s="46">
        <v>0</v>
      </c>
      <c r="U3389" s="46">
        <v>0</v>
      </c>
      <c r="V3389" s="46">
        <v>1</v>
      </c>
      <c r="W3389" s="46">
        <v>0</v>
      </c>
      <c r="X3389" s="46">
        <v>1</v>
      </c>
      <c r="Y3389" s="46">
        <v>0</v>
      </c>
      <c r="Z3389" s="46">
        <v>0</v>
      </c>
      <c r="AA3389" s="46">
        <v>0</v>
      </c>
      <c r="AB3389" s="46">
        <v>0</v>
      </c>
      <c r="AC3389" s="46">
        <v>0</v>
      </c>
      <c r="AD3389" s="46">
        <v>0</v>
      </c>
      <c r="AE3389" s="46" t="s">
        <v>92</v>
      </c>
      <c r="AF3389" s="46" t="s">
        <v>19433</v>
      </c>
      <c r="AG3389" s="46" t="s">
        <v>6459</v>
      </c>
      <c r="AH3389" s="72">
        <v>44508</v>
      </c>
      <c r="AI3389" s="46">
        <v>0</v>
      </c>
      <c r="AJ3389" s="46" t="s">
        <v>19485</v>
      </c>
      <c r="AK3389" s="46" t="s">
        <v>19486</v>
      </c>
      <c r="AL3389" s="157">
        <v>44792</v>
      </c>
      <c r="AM3389" s="46"/>
      <c r="AN3389" s="157">
        <v>44987</v>
      </c>
      <c r="AO3389" s="169"/>
    </row>
    <row r="3390" spans="1:55" ht="36.75" customHeight="1">
      <c r="A3390" s="46" t="s">
        <v>12471</v>
      </c>
      <c r="B3390" s="30" t="s">
        <v>55</v>
      </c>
      <c r="C3390" s="69" t="str">
        <f t="shared" si="310"/>
        <v>Closed</v>
      </c>
      <c r="D3390" s="36" t="s">
        <v>19487</v>
      </c>
      <c r="E3390" s="38" t="s">
        <v>19488</v>
      </c>
      <c r="F3390" s="46" t="s">
        <v>16310</v>
      </c>
      <c r="G3390" s="88">
        <f>DATE(2021,11,8)</f>
        <v>44508</v>
      </c>
      <c r="H3390" s="142">
        <v>0.33333333333333331</v>
      </c>
      <c r="I3390" s="46" t="s">
        <v>116</v>
      </c>
      <c r="J3390" s="46" t="s">
        <v>19489</v>
      </c>
      <c r="K3390" s="46" t="s">
        <v>118</v>
      </c>
      <c r="L3390" s="46" t="s">
        <v>19490</v>
      </c>
      <c r="M3390" s="46" t="s">
        <v>63</v>
      </c>
      <c r="N3390" s="46" t="s">
        <v>142</v>
      </c>
      <c r="O3390" s="46" t="s">
        <v>64</v>
      </c>
      <c r="P3390" s="46" t="s">
        <v>165</v>
      </c>
      <c r="Q3390" s="46" t="s">
        <v>16313</v>
      </c>
      <c r="R3390" s="46" t="s">
        <v>16314</v>
      </c>
      <c r="S3390" s="46">
        <v>0</v>
      </c>
      <c r="T3390" s="46">
        <v>0</v>
      </c>
      <c r="U3390" s="46">
        <v>0</v>
      </c>
      <c r="V3390" s="46">
        <v>0</v>
      </c>
      <c r="W3390" s="46">
        <v>0</v>
      </c>
      <c r="X3390" s="46">
        <v>0</v>
      </c>
      <c r="Y3390" s="46">
        <v>0</v>
      </c>
      <c r="Z3390" s="46">
        <v>0</v>
      </c>
      <c r="AA3390" s="46">
        <v>1</v>
      </c>
      <c r="AB3390" s="46">
        <v>0</v>
      </c>
      <c r="AC3390" s="46">
        <v>0</v>
      </c>
      <c r="AD3390" s="46">
        <v>1</v>
      </c>
      <c r="AE3390" s="46" t="s">
        <v>92</v>
      </c>
      <c r="AF3390" s="46" t="s">
        <v>19491</v>
      </c>
      <c r="AG3390" s="46" t="s">
        <v>13537</v>
      </c>
      <c r="AH3390" s="72">
        <v>44510</v>
      </c>
      <c r="AI3390" s="46">
        <v>2</v>
      </c>
      <c r="AJ3390" s="46" t="s">
        <v>19492</v>
      </c>
      <c r="AK3390" s="46" t="s">
        <v>19493</v>
      </c>
      <c r="AL3390" s="157">
        <v>44515</v>
      </c>
      <c r="AM3390" s="157"/>
      <c r="AN3390" s="157">
        <v>44987</v>
      </c>
      <c r="AO3390" s="157">
        <v>44944</v>
      </c>
    </row>
    <row r="3391" spans="1:55" ht="36.75" customHeight="1">
      <c r="A3391" s="46" t="s">
        <v>12471</v>
      </c>
      <c r="B3391" s="30" t="s">
        <v>55</v>
      </c>
      <c r="C3391" s="69" t="str">
        <f t="shared" si="310"/>
        <v>Closed</v>
      </c>
      <c r="D3391" s="36" t="s">
        <v>19494</v>
      </c>
      <c r="E3391" s="38" t="s">
        <v>19495</v>
      </c>
      <c r="F3391" s="46" t="s">
        <v>9789</v>
      </c>
      <c r="G3391" s="88">
        <f>DATE(2021,11,11)</f>
        <v>44511</v>
      </c>
      <c r="H3391" s="142">
        <v>0.42708333333333331</v>
      </c>
      <c r="I3391" s="46" t="s">
        <v>4610</v>
      </c>
      <c r="J3391" s="266" t="s">
        <v>19496</v>
      </c>
      <c r="K3391" s="46" t="s">
        <v>9791</v>
      </c>
      <c r="L3391" s="46" t="s">
        <v>19497</v>
      </c>
      <c r="M3391" s="46" t="s">
        <v>63</v>
      </c>
      <c r="N3391" s="46" t="s">
        <v>99</v>
      </c>
      <c r="O3391" s="46" t="s">
        <v>64</v>
      </c>
      <c r="P3391" s="46" t="s">
        <v>381</v>
      </c>
      <c r="Q3391" s="46" t="s">
        <v>19498</v>
      </c>
      <c r="R3391" s="46" t="s">
        <v>18301</v>
      </c>
      <c r="S3391" s="46">
        <v>0</v>
      </c>
      <c r="T3391" s="46">
        <v>0</v>
      </c>
      <c r="U3391" s="46">
        <v>0</v>
      </c>
      <c r="V3391" s="46">
        <v>0</v>
      </c>
      <c r="W3391" s="46">
        <v>0</v>
      </c>
      <c r="X3391" s="46">
        <v>0</v>
      </c>
      <c r="Y3391" s="46">
        <v>0</v>
      </c>
      <c r="Z3391" s="46">
        <v>0</v>
      </c>
      <c r="AA3391" s="46">
        <v>0</v>
      </c>
      <c r="AB3391" s="46">
        <v>0</v>
      </c>
      <c r="AC3391" s="46">
        <v>0</v>
      </c>
      <c r="AD3391" s="46">
        <v>0</v>
      </c>
      <c r="AE3391" s="46" t="s">
        <v>92</v>
      </c>
      <c r="AF3391" s="46" t="s">
        <v>19499</v>
      </c>
      <c r="AG3391" s="46" t="s">
        <v>14033</v>
      </c>
      <c r="AH3391" s="72">
        <v>44537</v>
      </c>
      <c r="AI3391" s="46">
        <v>3</v>
      </c>
      <c r="AJ3391" s="46" t="s">
        <v>19500</v>
      </c>
      <c r="AK3391" s="46" t="s">
        <v>19501</v>
      </c>
      <c r="AL3391" s="157">
        <v>44538</v>
      </c>
      <c r="AM3391" s="157"/>
      <c r="AN3391" s="157">
        <v>44872</v>
      </c>
      <c r="AO3391" s="157">
        <v>44862</v>
      </c>
    </row>
    <row r="3392" spans="1:55" ht="36.75" customHeight="1">
      <c r="A3392" s="46" t="s">
        <v>12471</v>
      </c>
      <c r="B3392" s="30" t="s">
        <v>55</v>
      </c>
      <c r="C3392" s="69" t="str">
        <f t="shared" si="310"/>
        <v>Closed</v>
      </c>
      <c r="D3392" s="36" t="s">
        <v>19502</v>
      </c>
      <c r="E3392" s="38" t="s">
        <v>19503</v>
      </c>
      <c r="F3392" s="46" t="s">
        <v>12474</v>
      </c>
      <c r="G3392" s="88">
        <f>DATE(2021,11,26)</f>
        <v>44526</v>
      </c>
      <c r="H3392" s="142">
        <v>1.4618055555555556</v>
      </c>
      <c r="I3392" s="46" t="s">
        <v>116</v>
      </c>
      <c r="J3392" s="46" t="s">
        <v>19504</v>
      </c>
      <c r="K3392" s="46" t="s">
        <v>200</v>
      </c>
      <c r="L3392" s="46" t="s">
        <v>19505</v>
      </c>
      <c r="M3392" s="46" t="s">
        <v>63</v>
      </c>
      <c r="N3392" s="46" t="s">
        <v>99</v>
      </c>
      <c r="O3392" s="46" t="s">
        <v>64</v>
      </c>
      <c r="P3392" s="46" t="s">
        <v>165</v>
      </c>
      <c r="Q3392" s="46" t="s">
        <v>19506</v>
      </c>
      <c r="R3392" s="46" t="s">
        <v>19506</v>
      </c>
      <c r="S3392" s="46">
        <v>0</v>
      </c>
      <c r="T3392" s="46">
        <v>0</v>
      </c>
      <c r="U3392" s="46">
        <v>1</v>
      </c>
      <c r="V3392" s="46">
        <v>0</v>
      </c>
      <c r="W3392" s="46">
        <v>0</v>
      </c>
      <c r="X3392" s="46">
        <v>1</v>
      </c>
      <c r="Y3392" s="46">
        <v>0</v>
      </c>
      <c r="Z3392" s="46">
        <v>0</v>
      </c>
      <c r="AA3392" s="46">
        <v>0</v>
      </c>
      <c r="AB3392" s="46">
        <v>0</v>
      </c>
      <c r="AC3392" s="46">
        <v>0</v>
      </c>
      <c r="AD3392" s="46">
        <v>0</v>
      </c>
      <c r="AE3392" s="46" t="s">
        <v>92</v>
      </c>
      <c r="AF3392" s="46" t="s">
        <v>19507</v>
      </c>
      <c r="AG3392" s="46" t="s">
        <v>14033</v>
      </c>
      <c r="AH3392" s="72">
        <v>44589</v>
      </c>
      <c r="AI3392" s="46">
        <v>0</v>
      </c>
      <c r="AJ3392" s="46" t="s">
        <v>19508</v>
      </c>
      <c r="AK3392" s="46" t="s">
        <v>18394</v>
      </c>
      <c r="AL3392" s="157">
        <v>44602</v>
      </c>
      <c r="AM3392" s="157">
        <v>44890</v>
      </c>
      <c r="AN3392" s="157">
        <v>45054</v>
      </c>
      <c r="AO3392" s="157">
        <v>45054</v>
      </c>
    </row>
    <row r="3393" spans="1:55" ht="36.75" customHeight="1">
      <c r="A3393" s="46" t="s">
        <v>12471</v>
      </c>
      <c r="B3393" s="30" t="s">
        <v>55</v>
      </c>
      <c r="C3393" s="69" t="str">
        <f t="shared" si="310"/>
        <v>Closed</v>
      </c>
      <c r="D3393" s="36" t="s">
        <v>19509</v>
      </c>
      <c r="E3393" s="38" t="s">
        <v>19510</v>
      </c>
      <c r="F3393" s="46" t="s">
        <v>17344</v>
      </c>
      <c r="G3393" s="88">
        <f>DATE(2021,11,27)</f>
        <v>44527</v>
      </c>
      <c r="H3393" s="142">
        <v>0.3263888888888889</v>
      </c>
      <c r="I3393" s="46" t="s">
        <v>18340</v>
      </c>
      <c r="J3393" s="46" t="s">
        <v>19511</v>
      </c>
      <c r="K3393" s="46" t="s">
        <v>127</v>
      </c>
      <c r="L3393" s="46" t="s">
        <v>19512</v>
      </c>
      <c r="M3393" s="46" t="s">
        <v>129</v>
      </c>
      <c r="N3393" s="46" t="s">
        <v>142</v>
      </c>
      <c r="O3393" s="46" t="s">
        <v>77</v>
      </c>
      <c r="P3393" s="46" t="s">
        <v>129</v>
      </c>
      <c r="Q3393" s="46" t="s">
        <v>10119</v>
      </c>
      <c r="R3393" s="46" t="s">
        <v>17514</v>
      </c>
      <c r="S3393" s="46">
        <v>0</v>
      </c>
      <c r="T3393" s="46">
        <v>0</v>
      </c>
      <c r="U3393" s="46">
        <v>0</v>
      </c>
      <c r="V3393" s="46">
        <v>0</v>
      </c>
      <c r="W3393" s="46">
        <v>0</v>
      </c>
      <c r="X3393" s="46">
        <v>0</v>
      </c>
      <c r="Y3393" s="46">
        <v>0</v>
      </c>
      <c r="Z3393" s="46">
        <v>0</v>
      </c>
      <c r="AA3393" s="46">
        <v>0</v>
      </c>
      <c r="AB3393" s="46">
        <v>0</v>
      </c>
      <c r="AC3393" s="46">
        <v>0</v>
      </c>
      <c r="AD3393" s="46">
        <v>0</v>
      </c>
      <c r="AE3393" s="46" t="s">
        <v>92</v>
      </c>
      <c r="AF3393" s="46" t="s">
        <v>16867</v>
      </c>
      <c r="AG3393" s="46" t="s">
        <v>16938</v>
      </c>
      <c r="AH3393" s="72">
        <v>44532</v>
      </c>
      <c r="AI3393" s="46">
        <v>0</v>
      </c>
      <c r="AJ3393" s="46" t="s">
        <v>19513</v>
      </c>
      <c r="AK3393" s="46" t="s">
        <v>19514</v>
      </c>
      <c r="AL3393" s="157">
        <v>44533</v>
      </c>
      <c r="AM3393" s="157"/>
      <c r="AN3393" s="157">
        <v>44930</v>
      </c>
      <c r="AO3393" s="157">
        <v>44910</v>
      </c>
    </row>
    <row r="3394" spans="1:55" ht="36.75" customHeight="1">
      <c r="A3394" s="46" t="s">
        <v>12471</v>
      </c>
      <c r="B3394" s="30" t="s">
        <v>55</v>
      </c>
      <c r="C3394" s="69" t="str">
        <f t="shared" si="310"/>
        <v>Closed</v>
      </c>
      <c r="D3394" s="36" t="s">
        <v>19515</v>
      </c>
      <c r="E3394" s="38" t="s">
        <v>19516</v>
      </c>
      <c r="F3394" s="46" t="s">
        <v>17682</v>
      </c>
      <c r="G3394" s="88">
        <f>DATE(2021,11,28)</f>
        <v>44528</v>
      </c>
      <c r="H3394" s="142">
        <v>0.2986111111111111</v>
      </c>
      <c r="I3394" s="46" t="s">
        <v>73</v>
      </c>
      <c r="J3394" s="46" t="s">
        <v>19517</v>
      </c>
      <c r="K3394" s="46" t="s">
        <v>1574</v>
      </c>
      <c r="L3394" s="46" t="s">
        <v>19518</v>
      </c>
      <c r="M3394" s="46" t="s">
        <v>63</v>
      </c>
      <c r="N3394" s="46" t="s">
        <v>99</v>
      </c>
      <c r="O3394" s="46" t="s">
        <v>64</v>
      </c>
      <c r="P3394" s="46" t="s">
        <v>165</v>
      </c>
      <c r="Q3394" s="46" t="s">
        <v>19519</v>
      </c>
      <c r="R3394" s="46" t="s">
        <v>19520</v>
      </c>
      <c r="S3394" s="46">
        <v>0</v>
      </c>
      <c r="T3394" s="46">
        <v>0</v>
      </c>
      <c r="U3394" s="46">
        <v>0</v>
      </c>
      <c r="V3394" s="46">
        <v>0</v>
      </c>
      <c r="W3394" s="46">
        <v>0</v>
      </c>
      <c r="X3394" s="46">
        <v>0</v>
      </c>
      <c r="Y3394" s="46">
        <v>0</v>
      </c>
      <c r="Z3394" s="46">
        <v>0</v>
      </c>
      <c r="AA3394" s="46">
        <v>0</v>
      </c>
      <c r="AB3394" s="46">
        <v>0</v>
      </c>
      <c r="AC3394" s="46">
        <v>0</v>
      </c>
      <c r="AD3394" s="46">
        <v>0</v>
      </c>
      <c r="AE3394" s="46" t="s">
        <v>92</v>
      </c>
      <c r="AF3394" s="46" t="s">
        <v>19521</v>
      </c>
      <c r="AG3394" s="46" t="s">
        <v>8859</v>
      </c>
      <c r="AH3394" s="72">
        <v>44532</v>
      </c>
      <c r="AI3394" s="46">
        <v>0</v>
      </c>
      <c r="AJ3394" s="46" t="s">
        <v>19522</v>
      </c>
      <c r="AK3394" s="46" t="s">
        <v>19523</v>
      </c>
      <c r="AL3394" s="157">
        <v>44533</v>
      </c>
      <c r="AM3394" s="157"/>
      <c r="AN3394" s="157">
        <v>44902</v>
      </c>
      <c r="AO3394" s="157">
        <v>44889</v>
      </c>
    </row>
    <row r="3395" spans="1:55" ht="36.75" customHeight="1">
      <c r="A3395" s="46" t="s">
        <v>12471</v>
      </c>
      <c r="B3395" s="30" t="s">
        <v>55</v>
      </c>
      <c r="C3395" s="69" t="str">
        <f t="shared" si="310"/>
        <v>Closed</v>
      </c>
      <c r="D3395" s="36" t="s">
        <v>19524</v>
      </c>
      <c r="E3395" s="38" t="s">
        <v>19525</v>
      </c>
      <c r="F3395" s="46" t="s">
        <v>17682</v>
      </c>
      <c r="G3395" s="88">
        <f>DATE(2021,11,29)</f>
        <v>44529</v>
      </c>
      <c r="H3395" s="142">
        <v>0.50694444444444442</v>
      </c>
      <c r="I3395" s="46" t="s">
        <v>73</v>
      </c>
      <c r="J3395" s="46" t="s">
        <v>19526</v>
      </c>
      <c r="K3395" s="46" t="s">
        <v>1574</v>
      </c>
      <c r="L3395" s="46" t="s">
        <v>14935</v>
      </c>
      <c r="M3395" s="46" t="s">
        <v>63</v>
      </c>
      <c r="N3395" s="46" t="s">
        <v>99</v>
      </c>
      <c r="O3395" s="46" t="s">
        <v>77</v>
      </c>
      <c r="P3395" s="46" t="s">
        <v>78</v>
      </c>
      <c r="Q3395" s="46" t="s">
        <v>18063</v>
      </c>
      <c r="R3395" s="46" t="s">
        <v>19007</v>
      </c>
      <c r="S3395" s="46">
        <v>0</v>
      </c>
      <c r="T3395" s="46">
        <v>0</v>
      </c>
      <c r="U3395" s="46">
        <v>0</v>
      </c>
      <c r="V3395" s="46">
        <v>0</v>
      </c>
      <c r="W3395" s="46">
        <v>0</v>
      </c>
      <c r="X3395" s="46">
        <v>0</v>
      </c>
      <c r="Y3395" s="46">
        <v>0</v>
      </c>
      <c r="Z3395" s="46">
        <v>0</v>
      </c>
      <c r="AA3395" s="46">
        <v>0</v>
      </c>
      <c r="AB3395" s="46">
        <v>0</v>
      </c>
      <c r="AC3395" s="46">
        <v>0</v>
      </c>
      <c r="AD3395" s="46">
        <v>0</v>
      </c>
      <c r="AE3395" s="46" t="s">
        <v>92</v>
      </c>
      <c r="AF3395" s="46" t="s">
        <v>19527</v>
      </c>
      <c r="AG3395" s="46" t="s">
        <v>8859</v>
      </c>
      <c r="AH3395" s="72">
        <v>44529</v>
      </c>
      <c r="AI3395" s="46">
        <v>0</v>
      </c>
      <c r="AJ3395" s="46" t="s">
        <v>19528</v>
      </c>
      <c r="AK3395" s="46" t="s">
        <v>19529</v>
      </c>
      <c r="AL3395" s="157">
        <v>44533</v>
      </c>
      <c r="AM3395" s="157"/>
      <c r="AN3395" s="157">
        <v>44907</v>
      </c>
      <c r="AO3395" s="157">
        <v>44893</v>
      </c>
    </row>
    <row r="3396" spans="1:55" ht="36.75" customHeight="1">
      <c r="A3396" s="46" t="s">
        <v>12471</v>
      </c>
      <c r="B3396" s="30" t="s">
        <v>55</v>
      </c>
      <c r="C3396" s="69" t="str">
        <f t="shared" si="310"/>
        <v>Closed</v>
      </c>
      <c r="D3396" s="36" t="s">
        <v>19530</v>
      </c>
      <c r="E3396" s="38" t="s">
        <v>19531</v>
      </c>
      <c r="F3396" s="46" t="s">
        <v>18131</v>
      </c>
      <c r="G3396" s="88">
        <f>DATE(2021,12,1)</f>
        <v>44531</v>
      </c>
      <c r="H3396" s="142">
        <v>1.2569444444444444</v>
      </c>
      <c r="I3396" s="46" t="s">
        <v>156</v>
      </c>
      <c r="J3396" s="46" t="s">
        <v>19532</v>
      </c>
      <c r="K3396" s="46" t="s">
        <v>379</v>
      </c>
      <c r="L3396" s="46" t="s">
        <v>19533</v>
      </c>
      <c r="M3396" s="46" t="s">
        <v>63</v>
      </c>
      <c r="N3396" s="46" t="s">
        <v>99</v>
      </c>
      <c r="O3396" s="46" t="s">
        <v>64</v>
      </c>
      <c r="P3396" s="46" t="s">
        <v>165</v>
      </c>
      <c r="Q3396" s="46" t="s">
        <v>18134</v>
      </c>
      <c r="R3396" s="46" t="s">
        <v>19534</v>
      </c>
      <c r="S3396" s="46">
        <v>0</v>
      </c>
      <c r="T3396" s="46">
        <v>0</v>
      </c>
      <c r="U3396" s="46">
        <v>0</v>
      </c>
      <c r="V3396" s="46">
        <v>0</v>
      </c>
      <c r="W3396" s="46">
        <v>0</v>
      </c>
      <c r="X3396" s="46">
        <v>0</v>
      </c>
      <c r="Y3396" s="46">
        <v>0</v>
      </c>
      <c r="Z3396" s="46">
        <v>0</v>
      </c>
      <c r="AA3396" s="46">
        <v>0</v>
      </c>
      <c r="AB3396" s="46">
        <v>0</v>
      </c>
      <c r="AC3396" s="46">
        <v>0</v>
      </c>
      <c r="AD3396" s="46">
        <v>0</v>
      </c>
      <c r="AE3396" s="46" t="s">
        <v>394</v>
      </c>
      <c r="AF3396" s="46" t="s">
        <v>18711</v>
      </c>
      <c r="AG3396" s="46" t="s">
        <v>14033</v>
      </c>
      <c r="AH3396" s="72">
        <v>44537</v>
      </c>
      <c r="AI3396" s="46">
        <v>4</v>
      </c>
      <c r="AJ3396" s="46" t="s">
        <v>19535</v>
      </c>
      <c r="AK3396" s="46" t="s">
        <v>19536</v>
      </c>
      <c r="AL3396" s="157">
        <v>44560</v>
      </c>
      <c r="AM3396" s="46"/>
      <c r="AN3396" s="157">
        <v>44988</v>
      </c>
      <c r="AO3396" s="157">
        <v>44888</v>
      </c>
    </row>
    <row r="3397" spans="1:55" ht="36.75" customHeight="1">
      <c r="A3397" s="46" t="s">
        <v>12471</v>
      </c>
      <c r="B3397" s="30" t="s">
        <v>55</v>
      </c>
      <c r="C3397" s="69" t="str">
        <f t="shared" si="310"/>
        <v>Closed</v>
      </c>
      <c r="D3397" s="36" t="s">
        <v>19537</v>
      </c>
      <c r="E3397" s="38" t="s">
        <v>19538</v>
      </c>
      <c r="F3397" s="46" t="s">
        <v>18881</v>
      </c>
      <c r="G3397" s="88">
        <f>DATE(2021,12,2)</f>
        <v>44532</v>
      </c>
      <c r="H3397" s="142">
        <v>1.8298611111111112</v>
      </c>
      <c r="I3397" s="46" t="s">
        <v>73</v>
      </c>
      <c r="J3397" s="46" t="s">
        <v>19539</v>
      </c>
      <c r="K3397" s="46" t="s">
        <v>61</v>
      </c>
      <c r="L3397" s="46" t="s">
        <v>19540</v>
      </c>
      <c r="M3397" s="46" t="s">
        <v>63</v>
      </c>
      <c r="N3397" s="46" t="s">
        <v>89</v>
      </c>
      <c r="O3397" s="46" t="s">
        <v>64</v>
      </c>
      <c r="P3397" s="46" t="s">
        <v>78</v>
      </c>
      <c r="Q3397" s="46" t="s">
        <v>19541</v>
      </c>
      <c r="R3397" s="46" t="s">
        <v>18884</v>
      </c>
      <c r="S3397" s="46">
        <v>0</v>
      </c>
      <c r="T3397" s="46">
        <v>0</v>
      </c>
      <c r="U3397" s="46">
        <v>0</v>
      </c>
      <c r="V3397" s="46">
        <v>0</v>
      </c>
      <c r="W3397" s="46">
        <v>0</v>
      </c>
      <c r="X3397" s="46">
        <v>0</v>
      </c>
      <c r="Y3397" s="46">
        <v>0</v>
      </c>
      <c r="Z3397" s="46">
        <v>0</v>
      </c>
      <c r="AA3397" s="46">
        <v>0</v>
      </c>
      <c r="AB3397" s="46">
        <v>0</v>
      </c>
      <c r="AC3397" s="46">
        <v>0</v>
      </c>
      <c r="AD3397" s="46">
        <v>0</v>
      </c>
      <c r="AE3397" s="46" t="s">
        <v>394</v>
      </c>
      <c r="AF3397" s="46" t="s">
        <v>19542</v>
      </c>
      <c r="AG3397" s="46" t="s">
        <v>13537</v>
      </c>
      <c r="AH3397" s="72">
        <v>44540</v>
      </c>
      <c r="AI3397" s="46">
        <v>3</v>
      </c>
      <c r="AJ3397" s="46" t="s">
        <v>19543</v>
      </c>
      <c r="AK3397" s="46" t="s">
        <v>19544</v>
      </c>
      <c r="AL3397" s="157">
        <v>44543</v>
      </c>
      <c r="AM3397" s="157"/>
      <c r="AN3397" s="157">
        <v>44817</v>
      </c>
      <c r="AO3397" s="157">
        <v>44817</v>
      </c>
    </row>
    <row r="3398" spans="1:55" ht="36.75" customHeight="1">
      <c r="A3398" s="46" t="s">
        <v>12471</v>
      </c>
      <c r="B3398" s="30" t="s">
        <v>55</v>
      </c>
      <c r="C3398" s="69" t="str">
        <f t="shared" si="310"/>
        <v>Closed</v>
      </c>
      <c r="D3398" s="36" t="s">
        <v>19545</v>
      </c>
      <c r="E3398" s="38" t="s">
        <v>19546</v>
      </c>
      <c r="F3398" s="46" t="s">
        <v>9789</v>
      </c>
      <c r="G3398" s="88">
        <f>DATE(2021,12,3)</f>
        <v>44533</v>
      </c>
      <c r="H3398" s="142">
        <v>1.7638888888888888</v>
      </c>
      <c r="I3398" s="46" t="s">
        <v>116</v>
      </c>
      <c r="J3398" s="266" t="s">
        <v>19547</v>
      </c>
      <c r="K3398" s="46" t="s">
        <v>9791</v>
      </c>
      <c r="L3398" s="46" t="s">
        <v>19548</v>
      </c>
      <c r="M3398" s="46" t="s">
        <v>63</v>
      </c>
      <c r="N3398" s="46" t="s">
        <v>99</v>
      </c>
      <c r="O3398" s="46" t="s">
        <v>64</v>
      </c>
      <c r="P3398" s="46" t="s">
        <v>78</v>
      </c>
      <c r="Q3398" s="46" t="s">
        <v>19549</v>
      </c>
      <c r="R3398" s="46" t="s">
        <v>18301</v>
      </c>
      <c r="S3398" s="46">
        <v>0</v>
      </c>
      <c r="T3398" s="46">
        <v>0</v>
      </c>
      <c r="U3398" s="46">
        <v>0</v>
      </c>
      <c r="V3398" s="46">
        <v>0</v>
      </c>
      <c r="W3398" s="46">
        <v>0</v>
      </c>
      <c r="X3398" s="46">
        <v>0</v>
      </c>
      <c r="Y3398" s="46">
        <v>0</v>
      </c>
      <c r="Z3398" s="46">
        <v>0</v>
      </c>
      <c r="AA3398" s="46">
        <v>0</v>
      </c>
      <c r="AB3398" s="46">
        <v>0</v>
      </c>
      <c r="AC3398" s="46">
        <v>0</v>
      </c>
      <c r="AD3398" s="46">
        <v>0</v>
      </c>
      <c r="AE3398" s="46" t="s">
        <v>92</v>
      </c>
      <c r="AF3398" s="46" t="s">
        <v>19550</v>
      </c>
      <c r="AG3398" s="46" t="s">
        <v>8859</v>
      </c>
      <c r="AH3398" s="72">
        <v>44552</v>
      </c>
      <c r="AI3398" s="46">
        <v>0</v>
      </c>
      <c r="AJ3398" s="46" t="s">
        <v>19551</v>
      </c>
      <c r="AK3398" s="46" t="s">
        <v>19552</v>
      </c>
      <c r="AL3398" s="157">
        <v>44552</v>
      </c>
      <c r="AM3398" s="46"/>
      <c r="AN3398" s="157">
        <v>44907</v>
      </c>
      <c r="AO3398" s="157">
        <v>44900</v>
      </c>
    </row>
    <row r="3399" spans="1:55" ht="36.75" customHeight="1">
      <c r="A3399" s="46" t="s">
        <v>12471</v>
      </c>
      <c r="B3399" s="30" t="s">
        <v>55</v>
      </c>
      <c r="C3399" s="69" t="str">
        <f t="shared" si="310"/>
        <v>Closed</v>
      </c>
      <c r="D3399" s="36" t="s">
        <v>19553</v>
      </c>
      <c r="E3399" s="38" t="s">
        <v>19554</v>
      </c>
      <c r="F3399" s="46" t="s">
        <v>17682</v>
      </c>
      <c r="G3399" s="88">
        <f>DATE(2021,12,6)</f>
        <v>44536</v>
      </c>
      <c r="H3399" s="142">
        <v>0.34722222222222227</v>
      </c>
      <c r="I3399" s="46" t="s">
        <v>73</v>
      </c>
      <c r="J3399" s="46" t="s">
        <v>19555</v>
      </c>
      <c r="K3399" s="46" t="s">
        <v>1574</v>
      </c>
      <c r="L3399" s="46" t="s">
        <v>19556</v>
      </c>
      <c r="M3399" s="46" t="s">
        <v>63</v>
      </c>
      <c r="N3399" s="46" t="s">
        <v>142</v>
      </c>
      <c r="O3399" s="46" t="s">
        <v>77</v>
      </c>
      <c r="P3399" s="46" t="s">
        <v>78</v>
      </c>
      <c r="Q3399" s="46" t="s">
        <v>18592</v>
      </c>
      <c r="R3399" s="46" t="s">
        <v>19007</v>
      </c>
      <c r="S3399" s="46">
        <v>0</v>
      </c>
      <c r="T3399" s="46">
        <v>0</v>
      </c>
      <c r="U3399" s="46">
        <v>0</v>
      </c>
      <c r="V3399" s="46">
        <v>0</v>
      </c>
      <c r="W3399" s="46">
        <v>0</v>
      </c>
      <c r="X3399" s="46">
        <v>0</v>
      </c>
      <c r="Y3399" s="46">
        <v>0</v>
      </c>
      <c r="Z3399" s="46">
        <v>0</v>
      </c>
      <c r="AA3399" s="46">
        <v>0</v>
      </c>
      <c r="AB3399" s="46">
        <v>0</v>
      </c>
      <c r="AC3399" s="46">
        <v>0</v>
      </c>
      <c r="AD3399" s="46">
        <v>0</v>
      </c>
      <c r="AE3399" s="46" t="s">
        <v>92</v>
      </c>
      <c r="AF3399" s="46" t="s">
        <v>19557</v>
      </c>
      <c r="AG3399" s="46" t="s">
        <v>8859</v>
      </c>
      <c r="AH3399" s="72">
        <v>44537</v>
      </c>
      <c r="AI3399" s="46">
        <v>0</v>
      </c>
      <c r="AJ3399" s="46" t="s">
        <v>19558</v>
      </c>
      <c r="AK3399" s="46" t="s">
        <v>19559</v>
      </c>
      <c r="AL3399" s="157">
        <v>44537</v>
      </c>
      <c r="AM3399" s="157"/>
      <c r="AN3399" s="157">
        <v>44909</v>
      </c>
      <c r="AO3399" s="157">
        <v>44901</v>
      </c>
    </row>
    <row r="3400" spans="1:55" ht="36.75" customHeight="1">
      <c r="A3400" s="46"/>
      <c r="B3400" s="30" t="s">
        <v>55</v>
      </c>
      <c r="C3400" s="69" t="s">
        <v>18034</v>
      </c>
      <c r="D3400" s="36" t="s">
        <v>19560</v>
      </c>
      <c r="E3400" s="38" t="s">
        <v>19561</v>
      </c>
      <c r="F3400" s="46" t="s">
        <v>17578</v>
      </c>
      <c r="G3400" s="88">
        <f>DATE(2021,12,7)</f>
        <v>44537</v>
      </c>
      <c r="H3400" s="142">
        <v>0.97916666666666663</v>
      </c>
      <c r="I3400" s="46" t="s">
        <v>156</v>
      </c>
      <c r="J3400" s="46" t="s">
        <v>19562</v>
      </c>
      <c r="K3400" s="46" t="s">
        <v>837</v>
      </c>
      <c r="L3400" s="46" t="s">
        <v>7885</v>
      </c>
      <c r="M3400" s="46" t="s">
        <v>63</v>
      </c>
      <c r="N3400" s="46" t="s">
        <v>99</v>
      </c>
      <c r="O3400" s="46" t="s">
        <v>77</v>
      </c>
      <c r="P3400" s="46" t="s">
        <v>165</v>
      </c>
      <c r="Q3400" s="46" t="s">
        <v>19563</v>
      </c>
      <c r="R3400" s="46" t="s">
        <v>840</v>
      </c>
      <c r="S3400" s="46">
        <v>0</v>
      </c>
      <c r="T3400" s="46">
        <v>0</v>
      </c>
      <c r="U3400" s="46">
        <v>0</v>
      </c>
      <c r="V3400" s="46">
        <v>0</v>
      </c>
      <c r="W3400" s="46">
        <v>0</v>
      </c>
      <c r="X3400" s="46">
        <v>0</v>
      </c>
      <c r="Y3400" s="46">
        <v>0</v>
      </c>
      <c r="Z3400" s="46">
        <v>0</v>
      </c>
      <c r="AA3400" s="46">
        <v>0</v>
      </c>
      <c r="AB3400" s="46">
        <v>0</v>
      </c>
      <c r="AC3400" s="46">
        <v>0</v>
      </c>
      <c r="AD3400" s="46">
        <v>0</v>
      </c>
      <c r="AE3400" s="46" t="s">
        <v>92</v>
      </c>
      <c r="AF3400" s="46" t="s">
        <v>19564</v>
      </c>
      <c r="AG3400" s="46" t="s">
        <v>14033</v>
      </c>
      <c r="AH3400" s="72">
        <v>44538</v>
      </c>
      <c r="AI3400" s="46">
        <v>1</v>
      </c>
      <c r="AJ3400" s="46" t="s">
        <v>19565</v>
      </c>
      <c r="AK3400" s="46" t="s">
        <v>19566</v>
      </c>
      <c r="AL3400" s="157">
        <v>44539</v>
      </c>
      <c r="AM3400" s="157"/>
      <c r="AN3400" s="88">
        <v>45012</v>
      </c>
      <c r="AO3400" s="88">
        <v>44908</v>
      </c>
    </row>
    <row r="3401" spans="1:55" ht="36.75" customHeight="1">
      <c r="A3401" s="46" t="s">
        <v>12471</v>
      </c>
      <c r="B3401" s="30" t="s">
        <v>55</v>
      </c>
      <c r="C3401" s="69" t="str">
        <f t="shared" ref="C3401:C3464" si="311">IF(B3401="Notification","Open",IF(B3401="Interim Statement","In progress","Closed"))</f>
        <v>Closed</v>
      </c>
      <c r="D3401" s="36" t="s">
        <v>19567</v>
      </c>
      <c r="E3401" s="60" t="s">
        <v>19568</v>
      </c>
      <c r="F3401" s="61" t="s">
        <v>19136</v>
      </c>
      <c r="G3401" s="88">
        <f>DATE(2021,12,7)</f>
        <v>44537</v>
      </c>
      <c r="H3401" s="142">
        <v>1.6701388888888888</v>
      </c>
      <c r="I3401" s="61" t="s">
        <v>6775</v>
      </c>
      <c r="J3401" s="61" t="s">
        <v>19569</v>
      </c>
      <c r="K3401" s="61" t="s">
        <v>1940</v>
      </c>
      <c r="L3401" s="61" t="s">
        <v>19570</v>
      </c>
      <c r="M3401" s="61" t="s">
        <v>63</v>
      </c>
      <c r="N3401" s="61" t="s">
        <v>89</v>
      </c>
      <c r="O3401" s="61" t="s">
        <v>64</v>
      </c>
      <c r="P3401" s="61" t="s">
        <v>6902</v>
      </c>
      <c r="Q3401" s="61" t="s">
        <v>17724</v>
      </c>
      <c r="R3401" s="61" t="s">
        <v>17724</v>
      </c>
      <c r="S3401" s="61">
        <v>0</v>
      </c>
      <c r="T3401" s="61">
        <v>0</v>
      </c>
      <c r="U3401" s="61">
        <v>0</v>
      </c>
      <c r="V3401" s="61">
        <v>0</v>
      </c>
      <c r="W3401" s="61">
        <v>0</v>
      </c>
      <c r="X3401" s="61">
        <v>0</v>
      </c>
      <c r="Y3401" s="61">
        <v>0</v>
      </c>
      <c r="Z3401" s="61">
        <v>0</v>
      </c>
      <c r="AA3401" s="61">
        <v>0</v>
      </c>
      <c r="AB3401" s="61">
        <v>0</v>
      </c>
      <c r="AC3401" s="61">
        <v>0</v>
      </c>
      <c r="AD3401" s="61">
        <v>0</v>
      </c>
      <c r="AE3401" s="61" t="s">
        <v>92</v>
      </c>
      <c r="AF3401" s="61" t="s">
        <v>17241</v>
      </c>
      <c r="AG3401" s="61" t="s">
        <v>6459</v>
      </c>
      <c r="AH3401" s="72">
        <v>44539</v>
      </c>
      <c r="AI3401" s="61">
        <v>12</v>
      </c>
      <c r="AJ3401" s="61" t="s">
        <v>19571</v>
      </c>
      <c r="AK3401" s="61" t="s">
        <v>19572</v>
      </c>
      <c r="AL3401" s="157">
        <v>45020</v>
      </c>
      <c r="AM3401" s="61"/>
      <c r="AN3401" s="157">
        <v>45020</v>
      </c>
      <c r="AO3401" s="157">
        <v>44973</v>
      </c>
    </row>
    <row r="3402" spans="1:55" ht="36.75" customHeight="1">
      <c r="A3402" s="46" t="s">
        <v>12471</v>
      </c>
      <c r="B3402" s="30" t="s">
        <v>55</v>
      </c>
      <c r="C3402" s="69" t="str">
        <f t="shared" si="311"/>
        <v>Closed</v>
      </c>
      <c r="D3402" s="36" t="s">
        <v>19573</v>
      </c>
      <c r="E3402" s="38" t="s">
        <v>19574</v>
      </c>
      <c r="F3402" s="46" t="s">
        <v>12910</v>
      </c>
      <c r="G3402" s="88">
        <f>DATE(2021,12,8)</f>
        <v>44538</v>
      </c>
      <c r="H3402" s="142">
        <v>1.3159722222222223</v>
      </c>
      <c r="I3402" s="46" t="s">
        <v>2264</v>
      </c>
      <c r="J3402" s="46" t="s">
        <v>19575</v>
      </c>
      <c r="K3402" s="46" t="s">
        <v>453</v>
      </c>
      <c r="L3402" s="46" t="s">
        <v>19576</v>
      </c>
      <c r="M3402" s="46" t="s">
        <v>63</v>
      </c>
      <c r="N3402" s="46" t="s">
        <v>99</v>
      </c>
      <c r="O3402" s="46" t="s">
        <v>64</v>
      </c>
      <c r="P3402" s="46" t="s">
        <v>165</v>
      </c>
      <c r="Q3402" s="46" t="s">
        <v>19577</v>
      </c>
      <c r="R3402" s="46" t="s">
        <v>19577</v>
      </c>
      <c r="S3402" s="46">
        <v>0</v>
      </c>
      <c r="T3402" s="46">
        <v>0</v>
      </c>
      <c r="U3402" s="46">
        <v>0</v>
      </c>
      <c r="V3402" s="46">
        <v>0</v>
      </c>
      <c r="W3402" s="46">
        <v>0</v>
      </c>
      <c r="X3402" s="46">
        <v>0</v>
      </c>
      <c r="Y3402" s="46">
        <v>0</v>
      </c>
      <c r="Z3402" s="46">
        <v>0</v>
      </c>
      <c r="AA3402" s="46">
        <v>0</v>
      </c>
      <c r="AB3402" s="46">
        <v>0</v>
      </c>
      <c r="AC3402" s="46">
        <v>0</v>
      </c>
      <c r="AD3402" s="46">
        <v>0</v>
      </c>
      <c r="AE3402" s="46" t="s">
        <v>92</v>
      </c>
      <c r="AF3402" s="46" t="s">
        <v>712</v>
      </c>
      <c r="AG3402" s="46" t="s">
        <v>8859</v>
      </c>
      <c r="AH3402" s="72">
        <v>44543</v>
      </c>
      <c r="AI3402" s="46">
        <v>4</v>
      </c>
      <c r="AJ3402" s="46" t="s">
        <v>19578</v>
      </c>
      <c r="AK3402" s="46" t="s">
        <v>19579</v>
      </c>
      <c r="AL3402" s="157">
        <v>44795</v>
      </c>
      <c r="AM3402" s="46"/>
      <c r="AN3402" s="157">
        <v>44935</v>
      </c>
      <c r="AO3402" s="157">
        <v>44902</v>
      </c>
    </row>
    <row r="3403" spans="1:55" ht="36.75" customHeight="1">
      <c r="A3403" s="46" t="s">
        <v>12471</v>
      </c>
      <c r="B3403" s="30" t="s">
        <v>55</v>
      </c>
      <c r="C3403" s="69" t="str">
        <f t="shared" si="311"/>
        <v>Closed</v>
      </c>
      <c r="D3403" s="36" t="s">
        <v>19580</v>
      </c>
      <c r="E3403" s="38" t="s">
        <v>19581</v>
      </c>
      <c r="F3403" s="46" t="s">
        <v>16429</v>
      </c>
      <c r="G3403" s="88">
        <f>DATE(2021,12,9)</f>
        <v>44539</v>
      </c>
      <c r="H3403" s="142">
        <v>1.3305555555555555</v>
      </c>
      <c r="I3403" s="46" t="s">
        <v>116</v>
      </c>
      <c r="J3403" s="46" t="s">
        <v>19582</v>
      </c>
      <c r="K3403" s="46" t="s">
        <v>425</v>
      </c>
      <c r="L3403" s="46" t="s">
        <v>19583</v>
      </c>
      <c r="M3403" s="46" t="s">
        <v>63</v>
      </c>
      <c r="N3403" s="46" t="s">
        <v>99</v>
      </c>
      <c r="O3403" s="46" t="s">
        <v>64</v>
      </c>
      <c r="P3403" s="46" t="s">
        <v>165</v>
      </c>
      <c r="Q3403" s="46" t="s">
        <v>18015</v>
      </c>
      <c r="R3403" s="46" t="s">
        <v>17369</v>
      </c>
      <c r="S3403" s="46">
        <v>0</v>
      </c>
      <c r="T3403" s="46">
        <v>0</v>
      </c>
      <c r="U3403" s="46">
        <v>0</v>
      </c>
      <c r="V3403" s="46">
        <v>0</v>
      </c>
      <c r="W3403" s="46">
        <v>0</v>
      </c>
      <c r="X3403" s="46">
        <v>0</v>
      </c>
      <c r="Y3403" s="46">
        <v>0</v>
      </c>
      <c r="Z3403" s="46">
        <v>0</v>
      </c>
      <c r="AA3403" s="46">
        <v>0</v>
      </c>
      <c r="AB3403" s="46">
        <v>0</v>
      </c>
      <c r="AC3403" s="46">
        <v>0</v>
      </c>
      <c r="AD3403" s="46">
        <v>0</v>
      </c>
      <c r="AE3403" s="46" t="s">
        <v>394</v>
      </c>
      <c r="AF3403" s="46" t="s">
        <v>19584</v>
      </c>
      <c r="AG3403" s="46" t="s">
        <v>8859</v>
      </c>
      <c r="AH3403" s="72">
        <v>44539</v>
      </c>
      <c r="AI3403" s="46">
        <v>0</v>
      </c>
      <c r="AJ3403" s="46" t="s">
        <v>19585</v>
      </c>
      <c r="AK3403" s="46" t="s">
        <v>879</v>
      </c>
      <c r="AL3403" s="157">
        <v>44544</v>
      </c>
      <c r="AM3403" s="157"/>
      <c r="AN3403" s="157">
        <v>44886</v>
      </c>
      <c r="AO3403" s="157">
        <v>44852</v>
      </c>
    </row>
    <row r="3404" spans="1:55" ht="36.75" customHeight="1">
      <c r="A3404" s="46" t="s">
        <v>12471</v>
      </c>
      <c r="B3404" s="30" t="s">
        <v>55</v>
      </c>
      <c r="C3404" s="69" t="str">
        <f t="shared" si="311"/>
        <v>Closed</v>
      </c>
      <c r="D3404" s="36" t="s">
        <v>19586</v>
      </c>
      <c r="E3404" s="38" t="s">
        <v>19587</v>
      </c>
      <c r="F3404" s="46" t="s">
        <v>17344</v>
      </c>
      <c r="G3404" s="88">
        <f>DATE(2021,12,9)</f>
        <v>44539</v>
      </c>
      <c r="H3404" s="142">
        <v>1.1666666666666667</v>
      </c>
      <c r="I3404" s="46" t="s">
        <v>73</v>
      </c>
      <c r="J3404" s="46" t="s">
        <v>19588</v>
      </c>
      <c r="K3404" s="46" t="s">
        <v>127</v>
      </c>
      <c r="L3404" s="46" t="s">
        <v>19589</v>
      </c>
      <c r="M3404" s="46" t="s">
        <v>63</v>
      </c>
      <c r="N3404" s="46" t="s">
        <v>99</v>
      </c>
      <c r="O3404" s="46" t="s">
        <v>77</v>
      </c>
      <c r="P3404" s="46" t="s">
        <v>78</v>
      </c>
      <c r="Q3404" s="46" t="s">
        <v>6131</v>
      </c>
      <c r="R3404" s="46" t="s">
        <v>167</v>
      </c>
      <c r="S3404" s="46">
        <v>0</v>
      </c>
      <c r="T3404" s="46">
        <v>0</v>
      </c>
      <c r="U3404" s="46">
        <v>0</v>
      </c>
      <c r="V3404" s="46">
        <v>0</v>
      </c>
      <c r="W3404" s="46">
        <v>0</v>
      </c>
      <c r="X3404" s="46">
        <v>0</v>
      </c>
      <c r="Y3404" s="46">
        <v>0</v>
      </c>
      <c r="Z3404" s="46">
        <v>0</v>
      </c>
      <c r="AA3404" s="46">
        <v>0</v>
      </c>
      <c r="AB3404" s="46">
        <v>0</v>
      </c>
      <c r="AC3404" s="46">
        <v>0</v>
      </c>
      <c r="AD3404" s="46">
        <v>0</v>
      </c>
      <c r="AE3404" s="46" t="s">
        <v>394</v>
      </c>
      <c r="AF3404" s="46" t="s">
        <v>19590</v>
      </c>
      <c r="AG3404" s="46" t="s">
        <v>8859</v>
      </c>
      <c r="AH3404" s="72">
        <v>44545</v>
      </c>
      <c r="AI3404" s="46">
        <v>1</v>
      </c>
      <c r="AJ3404" s="46" t="s">
        <v>19591</v>
      </c>
      <c r="AK3404" s="46" t="s">
        <v>19592</v>
      </c>
      <c r="AL3404" s="157">
        <v>44566</v>
      </c>
      <c r="AM3404" s="46"/>
      <c r="AN3404" s="157">
        <v>44727</v>
      </c>
      <c r="AO3404" s="157">
        <v>44720</v>
      </c>
      <c r="AP3404" s="157">
        <v>44986</v>
      </c>
      <c r="AQ3404" s="157">
        <v>44987</v>
      </c>
      <c r="AR3404" s="157">
        <v>44988</v>
      </c>
      <c r="AS3404" s="157">
        <v>44989</v>
      </c>
      <c r="AT3404" s="157">
        <v>44990</v>
      </c>
      <c r="AU3404" s="157">
        <v>44991</v>
      </c>
      <c r="AV3404" s="157">
        <v>44992</v>
      </c>
      <c r="AW3404" s="157">
        <v>44993</v>
      </c>
      <c r="AX3404" s="157">
        <v>44994</v>
      </c>
      <c r="AY3404" s="157">
        <v>44995</v>
      </c>
      <c r="AZ3404" s="157">
        <v>44996</v>
      </c>
      <c r="BA3404" s="157">
        <v>44997</v>
      </c>
      <c r="BB3404" s="157">
        <v>44998</v>
      </c>
      <c r="BC3404" s="157">
        <v>44999</v>
      </c>
    </row>
    <row r="3405" spans="1:55" ht="36.75" customHeight="1">
      <c r="A3405" s="46" t="s">
        <v>12471</v>
      </c>
      <c r="B3405" s="30" t="s">
        <v>55</v>
      </c>
      <c r="C3405" s="69" t="str">
        <f t="shared" si="311"/>
        <v>Closed</v>
      </c>
      <c r="D3405" s="36" t="s">
        <v>19593</v>
      </c>
      <c r="E3405" s="38" t="s">
        <v>19594</v>
      </c>
      <c r="F3405" s="46" t="s">
        <v>12474</v>
      </c>
      <c r="G3405" s="88">
        <f>DATE(2021,12,10)</f>
        <v>44540</v>
      </c>
      <c r="H3405" s="142">
        <v>1.5381944444444444</v>
      </c>
      <c r="I3405" s="46" t="s">
        <v>116</v>
      </c>
      <c r="J3405" s="46" t="s">
        <v>19595</v>
      </c>
      <c r="K3405" s="46" t="s">
        <v>200</v>
      </c>
      <c r="L3405" s="46" t="s">
        <v>19596</v>
      </c>
      <c r="M3405" s="46" t="s">
        <v>63</v>
      </c>
      <c r="N3405" s="46" t="s">
        <v>99</v>
      </c>
      <c r="O3405" s="46" t="s">
        <v>64</v>
      </c>
      <c r="P3405" s="46" t="s">
        <v>165</v>
      </c>
      <c r="Q3405" s="46" t="s">
        <v>4487</v>
      </c>
      <c r="R3405" s="46" t="s">
        <v>13578</v>
      </c>
      <c r="S3405" s="46">
        <v>0</v>
      </c>
      <c r="T3405" s="46">
        <v>0</v>
      </c>
      <c r="U3405" s="46">
        <v>0</v>
      </c>
      <c r="V3405" s="46">
        <v>0</v>
      </c>
      <c r="W3405" s="46">
        <v>0</v>
      </c>
      <c r="X3405" s="46">
        <v>0</v>
      </c>
      <c r="Y3405" s="46">
        <v>0</v>
      </c>
      <c r="Z3405" s="46">
        <v>0</v>
      </c>
      <c r="AA3405" s="46">
        <v>0</v>
      </c>
      <c r="AB3405" s="46">
        <v>0</v>
      </c>
      <c r="AC3405" s="46">
        <v>0</v>
      </c>
      <c r="AD3405" s="46">
        <v>0</v>
      </c>
      <c r="AE3405" s="46" t="s">
        <v>92</v>
      </c>
      <c r="AF3405" s="46" t="s">
        <v>19597</v>
      </c>
      <c r="AG3405" s="46" t="s">
        <v>14033</v>
      </c>
      <c r="AH3405" s="72">
        <v>44587</v>
      </c>
      <c r="AI3405" s="46">
        <v>0</v>
      </c>
      <c r="AJ3405" s="46" t="s">
        <v>19598</v>
      </c>
      <c r="AK3405" s="46" t="s">
        <v>14566</v>
      </c>
      <c r="AL3405" s="157">
        <v>44596</v>
      </c>
      <c r="AM3405" s="46"/>
      <c r="AN3405" s="157">
        <v>44883</v>
      </c>
      <c r="AO3405" s="157">
        <v>44882</v>
      </c>
    </row>
    <row r="3406" spans="1:55" ht="36.75" customHeight="1">
      <c r="A3406" s="46" t="s">
        <v>12471</v>
      </c>
      <c r="B3406" s="30" t="s">
        <v>55</v>
      </c>
      <c r="C3406" s="69" t="str">
        <f t="shared" si="311"/>
        <v>Closed</v>
      </c>
      <c r="D3406" s="36" t="s">
        <v>19599</v>
      </c>
      <c r="E3406" s="38" t="s">
        <v>19600</v>
      </c>
      <c r="F3406" s="46" t="s">
        <v>18131</v>
      </c>
      <c r="G3406" s="88">
        <f>DATE(2021,12,14)</f>
        <v>44544</v>
      </c>
      <c r="H3406" s="142">
        <v>1.8819444444444446</v>
      </c>
      <c r="I3406" s="46" t="s">
        <v>278</v>
      </c>
      <c r="J3406" s="46" t="s">
        <v>19601</v>
      </c>
      <c r="K3406" s="46" t="s">
        <v>379</v>
      </c>
      <c r="L3406" s="46" t="s">
        <v>19602</v>
      </c>
      <c r="M3406" s="46" t="s">
        <v>63</v>
      </c>
      <c r="N3406" s="46" t="s">
        <v>89</v>
      </c>
      <c r="O3406" s="46" t="s">
        <v>90</v>
      </c>
      <c r="P3406" s="46" t="s">
        <v>91</v>
      </c>
      <c r="Q3406" s="46" t="s">
        <v>19603</v>
      </c>
      <c r="R3406" s="46" t="s">
        <v>19604</v>
      </c>
      <c r="S3406" s="46">
        <v>0</v>
      </c>
      <c r="T3406" s="46">
        <v>1</v>
      </c>
      <c r="U3406" s="46">
        <v>0</v>
      </c>
      <c r="V3406" s="46">
        <v>0</v>
      </c>
      <c r="W3406" s="46">
        <v>0</v>
      </c>
      <c r="X3406" s="46">
        <v>1</v>
      </c>
      <c r="Y3406" s="46">
        <v>0</v>
      </c>
      <c r="Z3406" s="46">
        <v>0</v>
      </c>
      <c r="AA3406" s="46">
        <v>0</v>
      </c>
      <c r="AB3406" s="46">
        <v>0</v>
      </c>
      <c r="AC3406" s="46">
        <v>0</v>
      </c>
      <c r="AD3406" s="46">
        <v>0</v>
      </c>
      <c r="AE3406" s="46" t="s">
        <v>92</v>
      </c>
      <c r="AF3406" s="46" t="s">
        <v>19605</v>
      </c>
      <c r="AG3406" s="46" t="s">
        <v>6459</v>
      </c>
      <c r="AH3406" s="72">
        <v>44550</v>
      </c>
      <c r="AI3406" s="46">
        <v>6</v>
      </c>
      <c r="AJ3406" s="46" t="s">
        <v>19606</v>
      </c>
      <c r="AK3406" s="46" t="s">
        <v>19607</v>
      </c>
      <c r="AL3406" s="157">
        <v>44560</v>
      </c>
      <c r="AM3406" s="46"/>
      <c r="AN3406" s="157">
        <v>45044</v>
      </c>
      <c r="AO3406" s="157">
        <v>45002</v>
      </c>
    </row>
    <row r="3407" spans="1:55" ht="36.75" customHeight="1">
      <c r="A3407" s="46" t="s">
        <v>12471</v>
      </c>
      <c r="B3407" s="30" t="s">
        <v>55</v>
      </c>
      <c r="C3407" s="69" t="str">
        <f t="shared" si="311"/>
        <v>Closed</v>
      </c>
      <c r="D3407" s="36" t="s">
        <v>19608</v>
      </c>
      <c r="E3407" s="38" t="s">
        <v>19609</v>
      </c>
      <c r="F3407" s="46" t="s">
        <v>17773</v>
      </c>
      <c r="G3407" s="88">
        <f>DATE(2021,12,14)</f>
        <v>44544</v>
      </c>
      <c r="H3407" s="142">
        <v>1.9201388888888888</v>
      </c>
      <c r="I3407" s="46" t="s">
        <v>73</v>
      </c>
      <c r="J3407" s="46" t="s">
        <v>19610</v>
      </c>
      <c r="K3407" s="46" t="s">
        <v>2603</v>
      </c>
      <c r="L3407" s="46" t="s">
        <v>19611</v>
      </c>
      <c r="M3407" s="46" t="s">
        <v>63</v>
      </c>
      <c r="N3407" s="46" t="s">
        <v>142</v>
      </c>
      <c r="O3407" s="46" t="s">
        <v>77</v>
      </c>
      <c r="P3407" s="46" t="s">
        <v>78</v>
      </c>
      <c r="Q3407" s="46" t="s">
        <v>18914</v>
      </c>
      <c r="R3407" s="46" t="s">
        <v>18439</v>
      </c>
      <c r="S3407" s="46">
        <v>0</v>
      </c>
      <c r="T3407" s="46">
        <v>0</v>
      </c>
      <c r="U3407" s="46">
        <v>0</v>
      </c>
      <c r="V3407" s="46">
        <v>0</v>
      </c>
      <c r="W3407" s="46">
        <v>0</v>
      </c>
      <c r="X3407" s="46">
        <v>0</v>
      </c>
      <c r="Y3407" s="46">
        <v>0</v>
      </c>
      <c r="Z3407" s="46">
        <v>0</v>
      </c>
      <c r="AA3407" s="46">
        <v>0</v>
      </c>
      <c r="AB3407" s="46">
        <v>0</v>
      </c>
      <c r="AC3407" s="46">
        <v>0</v>
      </c>
      <c r="AD3407" s="46">
        <v>0</v>
      </c>
      <c r="AE3407" s="46" t="s">
        <v>92</v>
      </c>
      <c r="AF3407" s="46" t="s">
        <v>19612</v>
      </c>
      <c r="AG3407" s="46" t="s">
        <v>13537</v>
      </c>
      <c r="AH3407" s="72">
        <v>44544</v>
      </c>
      <c r="AI3407" s="46">
        <v>5</v>
      </c>
      <c r="AJ3407" s="46" t="s">
        <v>19613</v>
      </c>
      <c r="AK3407" s="46" t="s">
        <v>19614</v>
      </c>
      <c r="AL3407" s="157">
        <v>44669</v>
      </c>
      <c r="AM3407" s="46"/>
      <c r="AN3407" s="157">
        <v>44669</v>
      </c>
      <c r="AO3407" s="157">
        <v>44652</v>
      </c>
    </row>
    <row r="3408" spans="1:55" ht="36.75" customHeight="1">
      <c r="A3408" s="46" t="s">
        <v>12471</v>
      </c>
      <c r="B3408" s="30" t="s">
        <v>14882</v>
      </c>
      <c r="C3408" s="69" t="str">
        <f t="shared" si="311"/>
        <v>In progress</v>
      </c>
      <c r="D3408" s="36" t="s">
        <v>19615</v>
      </c>
      <c r="E3408" s="38" t="s">
        <v>19616</v>
      </c>
      <c r="F3408" s="46" t="s">
        <v>6455</v>
      </c>
      <c r="G3408" s="88">
        <f>DATE(2021,12,16)</f>
        <v>44546</v>
      </c>
      <c r="H3408" s="142">
        <v>1.0006944444444446</v>
      </c>
      <c r="I3408" s="46" t="s">
        <v>73</v>
      </c>
      <c r="J3408" s="46" t="s">
        <v>19617</v>
      </c>
      <c r="K3408" s="46" t="s">
        <v>584</v>
      </c>
      <c r="L3408" s="46" t="s">
        <v>19618</v>
      </c>
      <c r="M3408" s="46" t="s">
        <v>63</v>
      </c>
      <c r="N3408" s="46" t="s">
        <v>142</v>
      </c>
      <c r="O3408" s="46" t="s">
        <v>77</v>
      </c>
      <c r="P3408" s="46" t="s">
        <v>6902</v>
      </c>
      <c r="Q3408" s="46" t="s">
        <v>19619</v>
      </c>
      <c r="R3408" s="46" t="s">
        <v>587</v>
      </c>
      <c r="S3408" s="46">
        <v>0</v>
      </c>
      <c r="T3408" s="46">
        <v>0</v>
      </c>
      <c r="U3408" s="46">
        <v>0</v>
      </c>
      <c r="V3408" s="46">
        <v>0</v>
      </c>
      <c r="W3408" s="46">
        <v>0</v>
      </c>
      <c r="X3408" s="46">
        <v>0</v>
      </c>
      <c r="Y3408" s="46">
        <v>0</v>
      </c>
      <c r="Z3408" s="46">
        <v>0</v>
      </c>
      <c r="AA3408" s="46">
        <v>0</v>
      </c>
      <c r="AB3408" s="46">
        <v>0</v>
      </c>
      <c r="AC3408" s="46">
        <v>0</v>
      </c>
      <c r="AD3408" s="46">
        <v>0</v>
      </c>
      <c r="AE3408" s="46" t="s">
        <v>394</v>
      </c>
      <c r="AF3408" s="46" t="s">
        <v>19620</v>
      </c>
      <c r="AG3408" s="46" t="s">
        <v>8859</v>
      </c>
      <c r="AH3408" s="72">
        <v>44547</v>
      </c>
      <c r="AI3408" s="46"/>
      <c r="AJ3408" s="46" t="s">
        <v>19621</v>
      </c>
      <c r="AK3408" s="46"/>
      <c r="AL3408" s="157">
        <v>44643</v>
      </c>
      <c r="AM3408" s="157">
        <v>45678</v>
      </c>
      <c r="AN3408" s="169"/>
      <c r="AO3408" s="169"/>
    </row>
    <row r="3409" spans="1:55" ht="36.75" customHeight="1">
      <c r="A3409" s="46" t="s">
        <v>12471</v>
      </c>
      <c r="B3409" s="30" t="s">
        <v>2124</v>
      </c>
      <c r="C3409" s="69" t="str">
        <f t="shared" si="311"/>
        <v>Open</v>
      </c>
      <c r="D3409" s="36" t="s">
        <v>19622</v>
      </c>
      <c r="E3409" s="38" t="s">
        <v>19623</v>
      </c>
      <c r="F3409" s="46" t="s">
        <v>16702</v>
      </c>
      <c r="G3409" s="88">
        <f>DATE(2021,12,19)</f>
        <v>44549</v>
      </c>
      <c r="H3409" s="142">
        <v>1.4861111111111112</v>
      </c>
      <c r="I3409" s="46" t="s">
        <v>278</v>
      </c>
      <c r="J3409" s="46" t="s">
        <v>19624</v>
      </c>
      <c r="K3409" s="46" t="s">
        <v>596</v>
      </c>
      <c r="L3409" s="46" t="s">
        <v>19625</v>
      </c>
      <c r="M3409" s="46" t="s">
        <v>63</v>
      </c>
      <c r="N3409" s="46" t="s">
        <v>89</v>
      </c>
      <c r="O3409" s="46" t="s">
        <v>77</v>
      </c>
      <c r="P3409" s="46" t="s">
        <v>6902</v>
      </c>
      <c r="Q3409" s="46" t="s">
        <v>19626</v>
      </c>
      <c r="R3409" s="46" t="s">
        <v>17293</v>
      </c>
      <c r="S3409" s="46"/>
      <c r="T3409" s="46"/>
      <c r="U3409" s="46"/>
      <c r="V3409" s="46"/>
      <c r="W3409" s="46"/>
      <c r="X3409" s="46">
        <v>1</v>
      </c>
      <c r="Y3409" s="46"/>
      <c r="Z3409" s="46"/>
      <c r="AA3409" s="46"/>
      <c r="AB3409" s="46"/>
      <c r="AC3409" s="46"/>
      <c r="AD3409" s="46">
        <v>0</v>
      </c>
      <c r="AE3409" s="24" t="s">
        <v>394</v>
      </c>
      <c r="AF3409" s="46" t="s">
        <v>712</v>
      </c>
      <c r="AG3409" s="166" t="s">
        <v>8859</v>
      </c>
      <c r="AH3409" s="72">
        <v>44588</v>
      </c>
      <c r="AI3409" s="46"/>
      <c r="AJ3409" s="46"/>
      <c r="AK3409" s="46"/>
      <c r="AL3409" s="157">
        <v>44589</v>
      </c>
      <c r="AM3409" s="46"/>
      <c r="AN3409" s="169"/>
      <c r="AO3409" s="169"/>
      <c r="AP3409" s="46"/>
      <c r="AQ3409" s="46"/>
      <c r="AR3409" s="46"/>
      <c r="AS3409" s="46"/>
      <c r="AT3409" s="46"/>
      <c r="AU3409" s="46"/>
      <c r="AV3409" s="46"/>
      <c r="AW3409" s="46"/>
      <c r="AX3409" s="46"/>
      <c r="AY3409" s="46"/>
      <c r="AZ3409" s="46"/>
      <c r="BA3409" s="46"/>
    </row>
    <row r="3410" spans="1:55" ht="36.75" customHeight="1">
      <c r="A3410" s="30" t="s">
        <v>12471</v>
      </c>
      <c r="B3410" s="30" t="s">
        <v>55</v>
      </c>
      <c r="C3410" s="69" t="str">
        <f t="shared" si="311"/>
        <v>Closed</v>
      </c>
      <c r="D3410" s="36" t="s">
        <v>19627</v>
      </c>
      <c r="E3410" s="38" t="s">
        <v>19628</v>
      </c>
      <c r="F3410" s="46" t="s">
        <v>12910</v>
      </c>
      <c r="G3410" s="88">
        <f>DATE(2021,12,21)</f>
        <v>44551</v>
      </c>
      <c r="H3410" s="142">
        <v>1.5</v>
      </c>
      <c r="I3410" s="46" t="s">
        <v>2264</v>
      </c>
      <c r="J3410" s="46" t="s">
        <v>19629</v>
      </c>
      <c r="K3410" s="46" t="s">
        <v>453</v>
      </c>
      <c r="L3410" s="46" t="s">
        <v>19630</v>
      </c>
      <c r="M3410" s="46" t="s">
        <v>63</v>
      </c>
      <c r="N3410" s="46" t="s">
        <v>99</v>
      </c>
      <c r="O3410" s="46" t="s">
        <v>64</v>
      </c>
      <c r="P3410" s="46" t="s">
        <v>165</v>
      </c>
      <c r="Q3410" s="46" t="s">
        <v>19577</v>
      </c>
      <c r="R3410" s="46" t="s">
        <v>19577</v>
      </c>
      <c r="S3410" s="46">
        <v>0</v>
      </c>
      <c r="T3410" s="46">
        <v>0</v>
      </c>
      <c r="U3410" s="46">
        <v>0</v>
      </c>
      <c r="V3410" s="46">
        <v>0</v>
      </c>
      <c r="W3410" s="46">
        <v>0</v>
      </c>
      <c r="X3410" s="46">
        <v>0</v>
      </c>
      <c r="Y3410" s="46">
        <v>0</v>
      </c>
      <c r="Z3410" s="46">
        <v>0</v>
      </c>
      <c r="AA3410" s="46">
        <v>0</v>
      </c>
      <c r="AB3410" s="46">
        <v>0</v>
      </c>
      <c r="AC3410" s="46">
        <v>0</v>
      </c>
      <c r="AD3410" s="46">
        <v>0</v>
      </c>
      <c r="AE3410" s="46" t="s">
        <v>92</v>
      </c>
      <c r="AF3410" s="46" t="s">
        <v>712</v>
      </c>
      <c r="AG3410" s="46" t="s">
        <v>8859</v>
      </c>
      <c r="AH3410" s="72">
        <v>44552</v>
      </c>
      <c r="AI3410" s="46">
        <v>0</v>
      </c>
      <c r="AJ3410" s="46" t="s">
        <v>19631</v>
      </c>
      <c r="AK3410" s="46" t="s">
        <v>19632</v>
      </c>
      <c r="AL3410" s="157">
        <v>44796</v>
      </c>
      <c r="AM3410" s="46"/>
      <c r="AN3410" s="137">
        <v>44896</v>
      </c>
      <c r="AO3410" s="137">
        <v>44896</v>
      </c>
    </row>
    <row r="3411" spans="1:55" ht="36.75" customHeight="1">
      <c r="A3411" s="46" t="s">
        <v>12471</v>
      </c>
      <c r="B3411" s="30" t="s">
        <v>55</v>
      </c>
      <c r="C3411" s="69" t="str">
        <f t="shared" si="311"/>
        <v>Closed</v>
      </c>
      <c r="D3411" s="36" t="s">
        <v>19633</v>
      </c>
      <c r="E3411" s="38" t="s">
        <v>19634</v>
      </c>
      <c r="F3411" s="46" t="s">
        <v>16702</v>
      </c>
      <c r="G3411" s="88">
        <f>DATE(2021,12,22)</f>
        <v>44552</v>
      </c>
      <c r="H3411" s="142">
        <v>1.78125</v>
      </c>
      <c r="I3411" s="46" t="s">
        <v>116</v>
      </c>
      <c r="J3411" s="46" t="s">
        <v>19635</v>
      </c>
      <c r="K3411" s="46" t="s">
        <v>596</v>
      </c>
      <c r="L3411" s="46" t="s">
        <v>19636</v>
      </c>
      <c r="M3411" s="46" t="s">
        <v>63</v>
      </c>
      <c r="N3411" s="46" t="s">
        <v>99</v>
      </c>
      <c r="O3411" s="46" t="s">
        <v>86</v>
      </c>
      <c r="P3411" s="46" t="s">
        <v>65</v>
      </c>
      <c r="Q3411" s="46" t="s">
        <v>19626</v>
      </c>
      <c r="R3411" s="46" t="s">
        <v>17293</v>
      </c>
      <c r="S3411" s="46">
        <v>0</v>
      </c>
      <c r="T3411" s="46">
        <v>0</v>
      </c>
      <c r="U3411" s="46">
        <v>1</v>
      </c>
      <c r="V3411" s="46">
        <v>0</v>
      </c>
      <c r="W3411" s="46">
        <v>0</v>
      </c>
      <c r="X3411" s="46">
        <v>1</v>
      </c>
      <c r="Y3411" s="46">
        <v>0</v>
      </c>
      <c r="Z3411" s="46">
        <v>0</v>
      </c>
      <c r="AA3411" s="46">
        <v>0</v>
      </c>
      <c r="AB3411" s="46">
        <v>0</v>
      </c>
      <c r="AC3411" s="46">
        <v>0</v>
      </c>
      <c r="AD3411" s="46">
        <v>0</v>
      </c>
      <c r="AE3411" s="46" t="s">
        <v>92</v>
      </c>
      <c r="AF3411" s="46" t="s">
        <v>19637</v>
      </c>
      <c r="AG3411" s="46" t="s">
        <v>6459</v>
      </c>
      <c r="AH3411" s="72">
        <v>44560</v>
      </c>
      <c r="AI3411" s="46">
        <v>2</v>
      </c>
      <c r="AJ3411" s="46" t="s">
        <v>19638</v>
      </c>
      <c r="AK3411" s="46" t="s">
        <v>19639</v>
      </c>
      <c r="AL3411" s="157">
        <v>44585</v>
      </c>
      <c r="AM3411" s="46"/>
      <c r="AN3411" s="157">
        <v>44806</v>
      </c>
      <c r="AO3411" s="157">
        <v>44804</v>
      </c>
    </row>
    <row r="3412" spans="1:55" ht="36.75" customHeight="1">
      <c r="A3412" s="46" t="s">
        <v>12471</v>
      </c>
      <c r="B3412" s="30" t="s">
        <v>55</v>
      </c>
      <c r="C3412" s="69" t="str">
        <f t="shared" si="311"/>
        <v>Closed</v>
      </c>
      <c r="D3412" s="36" t="s">
        <v>19640</v>
      </c>
      <c r="E3412" s="38" t="s">
        <v>19641</v>
      </c>
      <c r="F3412" s="46" t="s">
        <v>12910</v>
      </c>
      <c r="G3412" s="88">
        <f>DATE(2021,12,23)</f>
        <v>44553</v>
      </c>
      <c r="H3412" s="142">
        <v>1.3298611111111112</v>
      </c>
      <c r="I3412" s="30" t="s">
        <v>6600</v>
      </c>
      <c r="J3412" s="46" t="s">
        <v>19642</v>
      </c>
      <c r="K3412" s="46" t="s">
        <v>453</v>
      </c>
      <c r="L3412" s="46" t="s">
        <v>19643</v>
      </c>
      <c r="M3412" s="46" t="s">
        <v>63</v>
      </c>
      <c r="N3412" s="46" t="s">
        <v>142</v>
      </c>
      <c r="O3412" s="46" t="s">
        <v>77</v>
      </c>
      <c r="P3412" s="46" t="s">
        <v>165</v>
      </c>
      <c r="Q3412" s="46" t="s">
        <v>498</v>
      </c>
      <c r="R3412" s="46" t="s">
        <v>498</v>
      </c>
      <c r="S3412" s="46">
        <v>0</v>
      </c>
      <c r="T3412" s="46">
        <v>0</v>
      </c>
      <c r="U3412" s="46">
        <v>0</v>
      </c>
      <c r="V3412" s="46">
        <v>0</v>
      </c>
      <c r="W3412" s="46">
        <v>0</v>
      </c>
      <c r="X3412" s="46">
        <v>0</v>
      </c>
      <c r="Y3412" s="46">
        <v>0</v>
      </c>
      <c r="Z3412" s="46">
        <v>0</v>
      </c>
      <c r="AA3412" s="46">
        <v>0</v>
      </c>
      <c r="AB3412" s="46">
        <v>0</v>
      </c>
      <c r="AC3412" s="46">
        <v>0</v>
      </c>
      <c r="AD3412" s="46">
        <v>0</v>
      </c>
      <c r="AE3412" s="46" t="s">
        <v>92</v>
      </c>
      <c r="AF3412" s="46" t="s">
        <v>19642</v>
      </c>
      <c r="AG3412" s="46" t="s">
        <v>13537</v>
      </c>
      <c r="AH3412" s="72">
        <v>44578</v>
      </c>
      <c r="AI3412" s="46">
        <v>1</v>
      </c>
      <c r="AJ3412" s="46" t="s">
        <v>19644</v>
      </c>
      <c r="AK3412" s="46" t="s">
        <v>19645</v>
      </c>
      <c r="AL3412" s="157">
        <v>44792</v>
      </c>
      <c r="AM3412" s="46"/>
      <c r="AN3412" s="157">
        <v>44932</v>
      </c>
      <c r="AO3412" s="157">
        <v>44914</v>
      </c>
    </row>
    <row r="3413" spans="1:55" ht="36.75" customHeight="1">
      <c r="A3413" s="46" t="s">
        <v>12471</v>
      </c>
      <c r="B3413" s="30" t="s">
        <v>55</v>
      </c>
      <c r="C3413" s="69" t="str">
        <f t="shared" si="311"/>
        <v>Closed</v>
      </c>
      <c r="D3413" s="36" t="s">
        <v>19646</v>
      </c>
      <c r="E3413" s="38" t="s">
        <v>19647</v>
      </c>
      <c r="F3413" s="46" t="s">
        <v>17682</v>
      </c>
      <c r="G3413" s="88">
        <f>DATE(2021,12,27)</f>
        <v>44557</v>
      </c>
      <c r="H3413" s="142">
        <v>1.6493055555555556</v>
      </c>
      <c r="I3413" s="46" t="s">
        <v>73</v>
      </c>
      <c r="J3413" s="46" t="s">
        <v>19648</v>
      </c>
      <c r="K3413" s="46" t="s">
        <v>1574</v>
      </c>
      <c r="L3413" s="46" t="s">
        <v>19649</v>
      </c>
      <c r="M3413" s="46" t="s">
        <v>63</v>
      </c>
      <c r="N3413" s="46" t="s">
        <v>142</v>
      </c>
      <c r="O3413" s="46" t="s">
        <v>77</v>
      </c>
      <c r="P3413" s="46" t="s">
        <v>78</v>
      </c>
      <c r="Q3413" s="46" t="s">
        <v>19650</v>
      </c>
      <c r="R3413" s="46" t="s">
        <v>19007</v>
      </c>
      <c r="S3413" s="46">
        <v>0</v>
      </c>
      <c r="T3413" s="46">
        <v>0</v>
      </c>
      <c r="U3413" s="46">
        <v>0</v>
      </c>
      <c r="V3413" s="46">
        <v>0</v>
      </c>
      <c r="W3413" s="46">
        <v>0</v>
      </c>
      <c r="X3413" s="46">
        <v>0</v>
      </c>
      <c r="Y3413" s="46">
        <v>0</v>
      </c>
      <c r="Z3413" s="46">
        <v>0</v>
      </c>
      <c r="AA3413" s="46">
        <v>0</v>
      </c>
      <c r="AB3413" s="46">
        <v>0</v>
      </c>
      <c r="AC3413" s="46">
        <v>0</v>
      </c>
      <c r="AD3413" s="46">
        <v>0</v>
      </c>
      <c r="AE3413" s="46" t="s">
        <v>92</v>
      </c>
      <c r="AF3413" s="46" t="s">
        <v>19651</v>
      </c>
      <c r="AG3413" s="172" t="s">
        <v>8859</v>
      </c>
      <c r="AH3413" s="72">
        <v>44558</v>
      </c>
      <c r="AI3413" s="46">
        <v>1</v>
      </c>
      <c r="AJ3413" s="46" t="s">
        <v>19652</v>
      </c>
      <c r="AK3413" s="46" t="s">
        <v>19653</v>
      </c>
      <c r="AL3413" s="157">
        <v>44559</v>
      </c>
      <c r="AM3413" s="46"/>
      <c r="AN3413" s="157">
        <v>44916</v>
      </c>
      <c r="AO3413" s="157">
        <v>44911</v>
      </c>
    </row>
    <row r="3414" spans="1:55" ht="36.75" customHeight="1">
      <c r="A3414" s="46" t="s">
        <v>12471</v>
      </c>
      <c r="B3414" s="30" t="s">
        <v>55</v>
      </c>
      <c r="C3414" s="69" t="str">
        <f t="shared" si="311"/>
        <v>Closed</v>
      </c>
      <c r="D3414" s="36" t="s">
        <v>19654</v>
      </c>
      <c r="E3414" s="38" t="s">
        <v>19655</v>
      </c>
      <c r="F3414" s="46" t="s">
        <v>16429</v>
      </c>
      <c r="G3414" s="88">
        <f>DATE(2021,12,29)</f>
        <v>44559</v>
      </c>
      <c r="H3414" s="142">
        <v>1.2395833333333333</v>
      </c>
      <c r="I3414" s="46" t="s">
        <v>116</v>
      </c>
      <c r="J3414" s="46" t="s">
        <v>19656</v>
      </c>
      <c r="K3414" s="46" t="s">
        <v>425</v>
      </c>
      <c r="L3414" s="46" t="s">
        <v>19657</v>
      </c>
      <c r="M3414" s="46" t="s">
        <v>63</v>
      </c>
      <c r="N3414" s="46" t="s">
        <v>99</v>
      </c>
      <c r="O3414" s="46" t="s">
        <v>64</v>
      </c>
      <c r="P3414" s="46" t="s">
        <v>165</v>
      </c>
      <c r="Q3414" s="46" t="s">
        <v>18516</v>
      </c>
      <c r="R3414" s="46" t="s">
        <v>17369</v>
      </c>
      <c r="S3414" s="46">
        <v>0</v>
      </c>
      <c r="T3414" s="46">
        <v>0</v>
      </c>
      <c r="U3414" s="46">
        <v>0</v>
      </c>
      <c r="V3414" s="46">
        <v>0</v>
      </c>
      <c r="W3414" s="46">
        <v>0</v>
      </c>
      <c r="X3414" s="46">
        <v>0</v>
      </c>
      <c r="Y3414" s="46">
        <v>0</v>
      </c>
      <c r="Z3414" s="46">
        <v>0</v>
      </c>
      <c r="AA3414" s="46">
        <v>1</v>
      </c>
      <c r="AB3414" s="46">
        <v>0</v>
      </c>
      <c r="AC3414" s="46">
        <v>0</v>
      </c>
      <c r="AD3414" s="46">
        <v>1</v>
      </c>
      <c r="AE3414" s="46" t="s">
        <v>394</v>
      </c>
      <c r="AF3414" s="46" t="s">
        <v>19658</v>
      </c>
      <c r="AG3414" s="46" t="s">
        <v>6459</v>
      </c>
      <c r="AH3414" s="72">
        <v>44559</v>
      </c>
      <c r="AI3414" s="46">
        <v>1</v>
      </c>
      <c r="AJ3414" s="46" t="s">
        <v>19659</v>
      </c>
      <c r="AK3414" s="46" t="s">
        <v>18245</v>
      </c>
      <c r="AL3414" s="157">
        <v>44564</v>
      </c>
      <c r="AM3414" s="46"/>
      <c r="AN3414" s="157">
        <v>44845</v>
      </c>
      <c r="AO3414" s="157">
        <v>44817</v>
      </c>
    </row>
    <row r="3415" spans="1:55" ht="36.75" customHeight="1">
      <c r="A3415" s="46" t="s">
        <v>12471</v>
      </c>
      <c r="B3415" s="30" t="s">
        <v>55</v>
      </c>
      <c r="C3415" s="69" t="str">
        <f t="shared" si="311"/>
        <v>Closed</v>
      </c>
      <c r="D3415" s="36" t="s">
        <v>19660</v>
      </c>
      <c r="E3415" s="38" t="s">
        <v>19661</v>
      </c>
      <c r="F3415" s="46" t="s">
        <v>17682</v>
      </c>
      <c r="G3415" s="88">
        <f>DATE(2021,12,30)</f>
        <v>44560</v>
      </c>
      <c r="H3415" s="142">
        <v>1.8333333333333335</v>
      </c>
      <c r="I3415" s="46" t="s">
        <v>73</v>
      </c>
      <c r="J3415" s="46" t="s">
        <v>19662</v>
      </c>
      <c r="K3415" s="46" t="s">
        <v>1574</v>
      </c>
      <c r="L3415" s="46" t="s">
        <v>19663</v>
      </c>
      <c r="M3415" s="46" t="s">
        <v>63</v>
      </c>
      <c r="N3415" s="46" t="s">
        <v>99</v>
      </c>
      <c r="O3415" s="46" t="s">
        <v>77</v>
      </c>
      <c r="P3415" s="46" t="s">
        <v>78</v>
      </c>
      <c r="Q3415" s="46" t="s">
        <v>19664</v>
      </c>
      <c r="R3415" s="46" t="s">
        <v>19664</v>
      </c>
      <c r="S3415" s="46">
        <v>0</v>
      </c>
      <c r="T3415" s="46">
        <v>0</v>
      </c>
      <c r="U3415" s="46">
        <v>0</v>
      </c>
      <c r="V3415" s="46">
        <v>0</v>
      </c>
      <c r="W3415" s="46">
        <v>0</v>
      </c>
      <c r="X3415" s="46">
        <v>0</v>
      </c>
      <c r="Y3415" s="46">
        <v>0</v>
      </c>
      <c r="Z3415" s="46">
        <v>0</v>
      </c>
      <c r="AA3415" s="46">
        <v>0</v>
      </c>
      <c r="AB3415" s="46">
        <v>0</v>
      </c>
      <c r="AC3415" s="46">
        <v>0</v>
      </c>
      <c r="AD3415" s="46">
        <v>0</v>
      </c>
      <c r="AE3415" s="46" t="s">
        <v>92</v>
      </c>
      <c r="AF3415" s="46" t="s">
        <v>19665</v>
      </c>
      <c r="AG3415" s="46" t="s">
        <v>8859</v>
      </c>
      <c r="AH3415" s="72">
        <v>44564</v>
      </c>
      <c r="AI3415" s="46">
        <v>0</v>
      </c>
      <c r="AJ3415" s="46" t="s">
        <v>19666</v>
      </c>
      <c r="AK3415" s="46" t="s">
        <v>19667</v>
      </c>
      <c r="AL3415" s="157">
        <v>44565</v>
      </c>
      <c r="AM3415" s="46"/>
      <c r="AN3415" s="157">
        <v>44893</v>
      </c>
      <c r="AO3415" s="157">
        <v>44889</v>
      </c>
      <c r="AP3415" s="46"/>
      <c r="AQ3415" s="46"/>
      <c r="AR3415" s="46"/>
      <c r="AS3415" s="46"/>
      <c r="AT3415" s="46"/>
      <c r="AU3415" s="46"/>
      <c r="AV3415" s="46"/>
      <c r="AW3415" s="46"/>
      <c r="AX3415" s="46"/>
      <c r="AY3415" s="46"/>
      <c r="AZ3415" s="46"/>
      <c r="BA3415" s="46"/>
      <c r="BB3415" s="46"/>
      <c r="BC3415" s="46"/>
    </row>
    <row r="3416" spans="1:55" ht="36.75" customHeight="1">
      <c r="A3416" s="46" t="s">
        <v>12471</v>
      </c>
      <c r="B3416" s="30" t="s">
        <v>55</v>
      </c>
      <c r="C3416" s="69" t="str">
        <f t="shared" si="311"/>
        <v>Closed</v>
      </c>
      <c r="D3416" s="36" t="s">
        <v>19668</v>
      </c>
      <c r="E3416" s="38" t="s">
        <v>19669</v>
      </c>
      <c r="F3416" s="46" t="s">
        <v>19670</v>
      </c>
      <c r="G3416" s="88">
        <f>DATE(2022,1,1)</f>
        <v>44562</v>
      </c>
      <c r="H3416" s="142">
        <v>1.6631944444444444</v>
      </c>
      <c r="I3416" s="46" t="s">
        <v>73</v>
      </c>
      <c r="J3416" s="46" t="s">
        <v>19671</v>
      </c>
      <c r="K3416" s="46" t="s">
        <v>2549</v>
      </c>
      <c r="L3416" s="46" t="s">
        <v>19672</v>
      </c>
      <c r="M3416" s="46" t="s">
        <v>63</v>
      </c>
      <c r="N3416" s="46" t="s">
        <v>89</v>
      </c>
      <c r="O3416" s="46" t="s">
        <v>77</v>
      </c>
      <c r="P3416" s="46" t="s">
        <v>78</v>
      </c>
      <c r="Q3416" s="46" t="s">
        <v>19673</v>
      </c>
      <c r="R3416" s="46" t="s">
        <v>19674</v>
      </c>
      <c r="S3416" s="46">
        <v>0</v>
      </c>
      <c r="T3416" s="46">
        <v>0</v>
      </c>
      <c r="U3416" s="46">
        <v>0</v>
      </c>
      <c r="V3416" s="46">
        <v>0</v>
      </c>
      <c r="W3416" s="46">
        <v>0</v>
      </c>
      <c r="X3416" s="46">
        <v>0</v>
      </c>
      <c r="Y3416" s="46">
        <v>0</v>
      </c>
      <c r="Z3416" s="46">
        <v>0</v>
      </c>
      <c r="AA3416" s="46">
        <v>0</v>
      </c>
      <c r="AB3416" s="46">
        <v>0</v>
      </c>
      <c r="AC3416" s="46">
        <v>0</v>
      </c>
      <c r="AD3416" s="46">
        <v>0</v>
      </c>
      <c r="AE3416" s="46" t="s">
        <v>394</v>
      </c>
      <c r="AF3416" s="46" t="s">
        <v>19675</v>
      </c>
      <c r="AG3416" s="46" t="s">
        <v>14033</v>
      </c>
      <c r="AH3416" s="72">
        <v>44564</v>
      </c>
      <c r="AI3416" s="46">
        <v>0</v>
      </c>
      <c r="AJ3416" s="46" t="s">
        <v>19676</v>
      </c>
      <c r="AK3416" s="46" t="s">
        <v>19677</v>
      </c>
      <c r="AL3416" s="157">
        <v>44567</v>
      </c>
      <c r="AM3416" s="46"/>
      <c r="AN3416" s="157">
        <v>44949</v>
      </c>
      <c r="AO3416" s="157">
        <v>44924</v>
      </c>
      <c r="AP3416" s="46"/>
      <c r="AQ3416" s="46"/>
      <c r="AR3416" s="46"/>
      <c r="AS3416" s="46"/>
      <c r="AT3416" s="46"/>
      <c r="AU3416" s="46"/>
      <c r="AV3416" s="46"/>
      <c r="AW3416" s="46"/>
      <c r="AX3416" s="46"/>
      <c r="AY3416" s="46"/>
      <c r="AZ3416" s="46"/>
      <c r="BA3416" s="46"/>
      <c r="BB3416" s="46"/>
      <c r="BC3416" s="46"/>
    </row>
    <row r="3417" spans="1:55" ht="36.75" customHeight="1">
      <c r="A3417" s="46" t="s">
        <v>12471</v>
      </c>
      <c r="B3417" s="30" t="s">
        <v>55</v>
      </c>
      <c r="C3417" s="69" t="str">
        <f t="shared" si="311"/>
        <v>Closed</v>
      </c>
      <c r="D3417" s="37" t="s">
        <v>19678</v>
      </c>
      <c r="E3417" s="38" t="s">
        <v>19679</v>
      </c>
      <c r="F3417" s="46" t="s">
        <v>17578</v>
      </c>
      <c r="G3417" s="88">
        <f>DATE(2022,1,1)</f>
        <v>44562</v>
      </c>
      <c r="H3417" s="142">
        <v>1.4097222222222223</v>
      </c>
      <c r="I3417" s="46" t="s">
        <v>116</v>
      </c>
      <c r="J3417" s="46" t="s">
        <v>19680</v>
      </c>
      <c r="K3417" s="46" t="s">
        <v>837</v>
      </c>
      <c r="L3417" s="46" t="s">
        <v>19681</v>
      </c>
      <c r="M3417" s="46" t="s">
        <v>63</v>
      </c>
      <c r="N3417" s="46" t="s">
        <v>99</v>
      </c>
      <c r="O3417" s="46" t="s">
        <v>64</v>
      </c>
      <c r="P3417" s="46" t="s">
        <v>165</v>
      </c>
      <c r="Q3417" s="46" t="s">
        <v>2162</v>
      </c>
      <c r="R3417" s="46" t="s">
        <v>840</v>
      </c>
      <c r="S3417" s="46">
        <v>0</v>
      </c>
      <c r="T3417" s="46">
        <v>0</v>
      </c>
      <c r="U3417" s="46">
        <v>4</v>
      </c>
      <c r="V3417" s="46">
        <v>0</v>
      </c>
      <c r="W3417" s="46">
        <v>0</v>
      </c>
      <c r="X3417" s="46">
        <v>4</v>
      </c>
      <c r="Y3417" s="46">
        <v>0</v>
      </c>
      <c r="Z3417" s="46">
        <v>0</v>
      </c>
      <c r="AA3417" s="46">
        <v>1</v>
      </c>
      <c r="AB3417" s="46">
        <v>0</v>
      </c>
      <c r="AC3417" s="46">
        <v>0</v>
      </c>
      <c r="AD3417" s="46">
        <v>1</v>
      </c>
      <c r="AE3417" s="46" t="s">
        <v>92</v>
      </c>
      <c r="AF3417" s="46" t="s">
        <v>19682</v>
      </c>
      <c r="AG3417" s="46" t="s">
        <v>8859</v>
      </c>
      <c r="AH3417" s="72">
        <v>44562</v>
      </c>
      <c r="AI3417" s="46">
        <v>0</v>
      </c>
      <c r="AJ3417" s="46" t="s">
        <v>19683</v>
      </c>
      <c r="AK3417" s="46">
        <v>0</v>
      </c>
      <c r="AL3417" s="157">
        <v>44735</v>
      </c>
      <c r="AM3417" s="46"/>
      <c r="AN3417" s="157">
        <v>45399</v>
      </c>
      <c r="AO3417" s="169"/>
    </row>
    <row r="3418" spans="1:55" ht="36.75" customHeight="1">
      <c r="A3418" s="46" t="s">
        <v>12471</v>
      </c>
      <c r="B3418" s="30" t="s">
        <v>55</v>
      </c>
      <c r="C3418" s="69" t="str">
        <f t="shared" si="311"/>
        <v>Closed</v>
      </c>
      <c r="D3418" s="36" t="s">
        <v>19684</v>
      </c>
      <c r="E3418" s="38" t="s">
        <v>19685</v>
      </c>
      <c r="F3418" s="46" t="s">
        <v>17682</v>
      </c>
      <c r="G3418" s="88">
        <f>DATE(2022,1,2)</f>
        <v>44563</v>
      </c>
      <c r="H3418" s="142">
        <v>1.6666666666666665</v>
      </c>
      <c r="I3418" s="46" t="s">
        <v>125</v>
      </c>
      <c r="J3418" s="46" t="s">
        <v>19686</v>
      </c>
      <c r="K3418" s="46" t="s">
        <v>1574</v>
      </c>
      <c r="L3418" s="46" t="s">
        <v>19687</v>
      </c>
      <c r="M3418" s="46" t="s">
        <v>63</v>
      </c>
      <c r="N3418" s="46" t="s">
        <v>142</v>
      </c>
      <c r="O3418" s="46" t="s">
        <v>64</v>
      </c>
      <c r="P3418" s="46" t="s">
        <v>78</v>
      </c>
      <c r="Q3418" s="46" t="s">
        <v>19664</v>
      </c>
      <c r="R3418" s="46" t="s">
        <v>19007</v>
      </c>
      <c r="S3418" s="46">
        <v>0</v>
      </c>
      <c r="T3418" s="46">
        <v>0</v>
      </c>
      <c r="U3418" s="46">
        <v>0</v>
      </c>
      <c r="V3418" s="46">
        <v>0</v>
      </c>
      <c r="W3418" s="46">
        <v>0</v>
      </c>
      <c r="X3418" s="46">
        <v>0</v>
      </c>
      <c r="Y3418" s="46">
        <v>0</v>
      </c>
      <c r="Z3418" s="46">
        <v>0</v>
      </c>
      <c r="AA3418" s="46">
        <v>0</v>
      </c>
      <c r="AB3418" s="46">
        <v>0</v>
      </c>
      <c r="AC3418" s="46">
        <v>0</v>
      </c>
      <c r="AD3418" s="46">
        <v>0</v>
      </c>
      <c r="AE3418" s="46" t="s">
        <v>92</v>
      </c>
      <c r="AF3418" s="46" t="s">
        <v>19688</v>
      </c>
      <c r="AG3418" s="46" t="s">
        <v>8859</v>
      </c>
      <c r="AH3418" s="72">
        <v>44564</v>
      </c>
      <c r="AI3418" s="46">
        <v>1</v>
      </c>
      <c r="AJ3418" s="46" t="s">
        <v>19689</v>
      </c>
      <c r="AK3418" s="46" t="s">
        <v>19690</v>
      </c>
      <c r="AL3418" s="157">
        <v>44566</v>
      </c>
      <c r="AM3418" s="46"/>
      <c r="AN3418" s="157">
        <v>44930</v>
      </c>
      <c r="AO3418" s="157">
        <v>44924</v>
      </c>
    </row>
    <row r="3419" spans="1:55" ht="36.75" customHeight="1">
      <c r="A3419" s="46" t="s">
        <v>12471</v>
      </c>
      <c r="B3419" s="30" t="s">
        <v>55</v>
      </c>
      <c r="C3419" s="69" t="str">
        <f t="shared" si="311"/>
        <v>Closed</v>
      </c>
      <c r="D3419" s="37" t="s">
        <v>19691</v>
      </c>
      <c r="E3419" s="38" t="s">
        <v>19692</v>
      </c>
      <c r="F3419" s="46" t="s">
        <v>18131</v>
      </c>
      <c r="G3419" s="88">
        <f>DATE(2022,1,4)</f>
        <v>44565</v>
      </c>
      <c r="H3419" s="142">
        <v>1.9583333333333335</v>
      </c>
      <c r="I3419" s="30" t="s">
        <v>6600</v>
      </c>
      <c r="J3419" s="46" t="s">
        <v>19693</v>
      </c>
      <c r="K3419" s="46" t="s">
        <v>379</v>
      </c>
      <c r="L3419" s="46" t="s">
        <v>19694</v>
      </c>
      <c r="M3419" s="46" t="s">
        <v>63</v>
      </c>
      <c r="N3419" s="46" t="s">
        <v>142</v>
      </c>
      <c r="O3419" s="46" t="s">
        <v>64</v>
      </c>
      <c r="P3419" s="46" t="s">
        <v>78</v>
      </c>
      <c r="Q3419" s="46" t="s">
        <v>19695</v>
      </c>
      <c r="R3419" s="46" t="s">
        <v>19696</v>
      </c>
      <c r="S3419" s="46">
        <v>0</v>
      </c>
      <c r="T3419" s="46">
        <v>0</v>
      </c>
      <c r="U3419" s="46">
        <v>0</v>
      </c>
      <c r="V3419" s="46">
        <v>0</v>
      </c>
      <c r="W3419" s="46">
        <v>0</v>
      </c>
      <c r="X3419" s="46">
        <v>0</v>
      </c>
      <c r="Y3419" s="46">
        <v>0</v>
      </c>
      <c r="Z3419" s="46">
        <v>0</v>
      </c>
      <c r="AA3419" s="46">
        <v>0</v>
      </c>
      <c r="AB3419" s="46">
        <v>0</v>
      </c>
      <c r="AC3419" s="46">
        <v>0</v>
      </c>
      <c r="AD3419" s="46">
        <v>0</v>
      </c>
      <c r="AE3419" s="46" t="s">
        <v>92</v>
      </c>
      <c r="AF3419" s="46" t="s">
        <v>19697</v>
      </c>
      <c r="AG3419" s="46" t="s">
        <v>13537</v>
      </c>
      <c r="AH3419" s="72">
        <v>44686</v>
      </c>
      <c r="AI3419" s="46">
        <v>3</v>
      </c>
      <c r="AJ3419" s="46" t="s">
        <v>19698</v>
      </c>
      <c r="AK3419" s="46" t="s">
        <v>19699</v>
      </c>
      <c r="AL3419" s="157">
        <v>44748</v>
      </c>
      <c r="AM3419" s="46"/>
      <c r="AN3419" s="157">
        <v>45278</v>
      </c>
      <c r="AO3419" s="157">
        <v>45257</v>
      </c>
      <c r="AP3419" s="46"/>
      <c r="AQ3419" s="46"/>
      <c r="AR3419" s="46"/>
      <c r="AS3419" s="46"/>
      <c r="AT3419" s="46"/>
      <c r="AU3419" s="46"/>
      <c r="AV3419" s="46"/>
      <c r="AW3419" s="46"/>
      <c r="AX3419" s="46"/>
      <c r="AY3419" s="46"/>
      <c r="AZ3419" s="46"/>
      <c r="BA3419" s="46"/>
      <c r="BB3419" s="46"/>
      <c r="BC3419" s="46"/>
    </row>
    <row r="3420" spans="1:55" ht="36.75" customHeight="1">
      <c r="A3420" s="46" t="s">
        <v>12471</v>
      </c>
      <c r="B3420" s="30" t="s">
        <v>55</v>
      </c>
      <c r="C3420" s="69" t="str">
        <f t="shared" si="311"/>
        <v>Closed</v>
      </c>
      <c r="D3420" s="36" t="s">
        <v>19700</v>
      </c>
      <c r="E3420" s="38" t="s">
        <v>19701</v>
      </c>
      <c r="F3420" s="46" t="s">
        <v>17682</v>
      </c>
      <c r="G3420" s="88">
        <f>DATE(2022,1,7)</f>
        <v>44568</v>
      </c>
      <c r="H3420" s="142">
        <v>1.59375</v>
      </c>
      <c r="I3420" s="46" t="s">
        <v>73</v>
      </c>
      <c r="J3420" s="46" t="s">
        <v>19702</v>
      </c>
      <c r="K3420" s="46" t="s">
        <v>1574</v>
      </c>
      <c r="L3420" s="46" t="s">
        <v>19703</v>
      </c>
      <c r="M3420" s="46" t="s">
        <v>63</v>
      </c>
      <c r="N3420" s="46" t="s">
        <v>99</v>
      </c>
      <c r="O3420" s="46" t="s">
        <v>64</v>
      </c>
      <c r="P3420" s="46" t="s">
        <v>78</v>
      </c>
      <c r="Q3420" s="46" t="s">
        <v>18142</v>
      </c>
      <c r="R3420" s="46" t="s">
        <v>19007</v>
      </c>
      <c r="S3420" s="46">
        <v>0</v>
      </c>
      <c r="T3420" s="46">
        <v>0</v>
      </c>
      <c r="U3420" s="46">
        <v>0</v>
      </c>
      <c r="V3420" s="46">
        <v>0</v>
      </c>
      <c r="W3420" s="46">
        <v>0</v>
      </c>
      <c r="X3420" s="46">
        <v>0</v>
      </c>
      <c r="Y3420" s="46">
        <v>0</v>
      </c>
      <c r="Z3420" s="46">
        <v>0</v>
      </c>
      <c r="AA3420" s="46">
        <v>0</v>
      </c>
      <c r="AB3420" s="46">
        <v>0</v>
      </c>
      <c r="AC3420" s="46">
        <v>0</v>
      </c>
      <c r="AD3420" s="46">
        <v>0</v>
      </c>
      <c r="AE3420" s="46" t="s">
        <v>92</v>
      </c>
      <c r="AF3420" s="46" t="s">
        <v>19704</v>
      </c>
      <c r="AG3420" s="46" t="s">
        <v>8859</v>
      </c>
      <c r="AH3420" s="72">
        <v>44571</v>
      </c>
      <c r="AI3420" s="46">
        <v>2</v>
      </c>
      <c r="AJ3420" s="46" t="s">
        <v>19705</v>
      </c>
      <c r="AK3420" s="46" t="s">
        <v>19706</v>
      </c>
      <c r="AL3420" s="157">
        <v>44571</v>
      </c>
      <c r="AM3420" s="46"/>
      <c r="AN3420" s="157">
        <v>44931</v>
      </c>
      <c r="AO3420" s="157">
        <v>44924</v>
      </c>
    </row>
    <row r="3421" spans="1:55" ht="36.75" customHeight="1">
      <c r="A3421" s="46" t="s">
        <v>12471</v>
      </c>
      <c r="B3421" s="30" t="s">
        <v>55</v>
      </c>
      <c r="C3421" s="69" t="str">
        <f t="shared" si="311"/>
        <v>Closed</v>
      </c>
      <c r="D3421" s="36" t="s">
        <v>19707</v>
      </c>
      <c r="E3421" s="38" t="s">
        <v>19708</v>
      </c>
      <c r="F3421" s="46" t="s">
        <v>17578</v>
      </c>
      <c r="G3421" s="88">
        <f>DATE(2022,1,10)</f>
        <v>44571</v>
      </c>
      <c r="H3421" s="142">
        <v>1.8958333333333335</v>
      </c>
      <c r="I3421" s="46" t="s">
        <v>487</v>
      </c>
      <c r="J3421" s="46" t="s">
        <v>19709</v>
      </c>
      <c r="K3421" s="46" t="s">
        <v>837</v>
      </c>
      <c r="L3421" s="46" t="s">
        <v>19710</v>
      </c>
      <c r="M3421" s="46" t="s">
        <v>63</v>
      </c>
      <c r="N3421" s="46" t="s">
        <v>99</v>
      </c>
      <c r="O3421" s="46" t="s">
        <v>77</v>
      </c>
      <c r="P3421" s="46" t="s">
        <v>78</v>
      </c>
      <c r="Q3421" s="46" t="s">
        <v>19711</v>
      </c>
      <c r="R3421" s="46" t="s">
        <v>840</v>
      </c>
      <c r="S3421" s="46">
        <v>0</v>
      </c>
      <c r="T3421" s="46">
        <v>0</v>
      </c>
      <c r="U3421" s="46">
        <v>0</v>
      </c>
      <c r="V3421" s="46">
        <v>0</v>
      </c>
      <c r="W3421" s="46">
        <v>0</v>
      </c>
      <c r="X3421" s="46">
        <v>0</v>
      </c>
      <c r="Y3421" s="46">
        <v>0</v>
      </c>
      <c r="Z3421" s="46">
        <v>0</v>
      </c>
      <c r="AA3421" s="46">
        <v>0</v>
      </c>
      <c r="AB3421" s="46">
        <v>0</v>
      </c>
      <c r="AC3421" s="46">
        <v>0</v>
      </c>
      <c r="AD3421" s="46">
        <v>0</v>
      </c>
      <c r="AE3421" s="46" t="s">
        <v>92</v>
      </c>
      <c r="AF3421" s="46" t="s">
        <v>879</v>
      </c>
      <c r="AG3421" s="46" t="s">
        <v>8859</v>
      </c>
      <c r="AH3421" s="72">
        <v>44571</v>
      </c>
      <c r="AI3421" s="46">
        <v>2</v>
      </c>
      <c r="AJ3421" s="46" t="s">
        <v>19712</v>
      </c>
      <c r="AK3421" s="46" t="s">
        <v>19713</v>
      </c>
      <c r="AL3421" s="157">
        <v>44574</v>
      </c>
      <c r="AM3421" s="46"/>
      <c r="AN3421" s="157">
        <v>44872</v>
      </c>
      <c r="AO3421" s="157">
        <v>44831</v>
      </c>
    </row>
    <row r="3422" spans="1:55" ht="36.75" customHeight="1">
      <c r="A3422" s="46" t="s">
        <v>12471</v>
      </c>
      <c r="B3422" s="30" t="s">
        <v>55</v>
      </c>
      <c r="C3422" s="69" t="str">
        <f t="shared" si="311"/>
        <v>Closed</v>
      </c>
      <c r="D3422" s="37" t="s">
        <v>19714</v>
      </c>
      <c r="E3422" s="38" t="s">
        <v>19715</v>
      </c>
      <c r="F3422" s="46" t="s">
        <v>17578</v>
      </c>
      <c r="G3422" s="88">
        <f>DATE(2022,1,10)</f>
        <v>44571</v>
      </c>
      <c r="H3422" s="142">
        <v>1.8368055555555554</v>
      </c>
      <c r="I3422" s="46" t="s">
        <v>4610</v>
      </c>
      <c r="J3422" s="46" t="s">
        <v>19716</v>
      </c>
      <c r="K3422" s="46" t="s">
        <v>837</v>
      </c>
      <c r="L3422" s="46" t="s">
        <v>19717</v>
      </c>
      <c r="M3422" s="46" t="s">
        <v>63</v>
      </c>
      <c r="N3422" s="46" t="s">
        <v>89</v>
      </c>
      <c r="O3422" s="46" t="s">
        <v>77</v>
      </c>
      <c r="P3422" s="46" t="s">
        <v>165</v>
      </c>
      <c r="Q3422" s="46" t="s">
        <v>18858</v>
      </c>
      <c r="R3422" s="46" t="s">
        <v>840</v>
      </c>
      <c r="S3422" s="46">
        <v>0</v>
      </c>
      <c r="T3422" s="46">
        <v>0</v>
      </c>
      <c r="U3422" s="46">
        <v>0</v>
      </c>
      <c r="V3422" s="46">
        <v>0</v>
      </c>
      <c r="W3422" s="46">
        <v>0</v>
      </c>
      <c r="X3422" s="46">
        <v>0</v>
      </c>
      <c r="Y3422" s="46">
        <v>0</v>
      </c>
      <c r="Z3422" s="46">
        <v>0</v>
      </c>
      <c r="AA3422" s="46">
        <v>0</v>
      </c>
      <c r="AB3422" s="46">
        <v>0</v>
      </c>
      <c r="AC3422" s="46">
        <v>0</v>
      </c>
      <c r="AD3422" s="46">
        <v>0</v>
      </c>
      <c r="AE3422" s="46" t="s">
        <v>92</v>
      </c>
      <c r="AF3422" s="46">
        <v>0</v>
      </c>
      <c r="AG3422" s="46" t="s">
        <v>13537</v>
      </c>
      <c r="AH3422" s="72">
        <v>44571</v>
      </c>
      <c r="AI3422" s="46">
        <v>1</v>
      </c>
      <c r="AJ3422" s="46" t="s">
        <v>19718</v>
      </c>
      <c r="AK3422" s="46" t="s">
        <v>19719</v>
      </c>
      <c r="AL3422" s="157">
        <v>44574</v>
      </c>
      <c r="AM3422" s="46"/>
      <c r="AN3422" s="157">
        <v>45399</v>
      </c>
      <c r="AO3422" s="169"/>
    </row>
    <row r="3423" spans="1:55" ht="36.75" customHeight="1">
      <c r="A3423" s="46" t="s">
        <v>12471</v>
      </c>
      <c r="B3423" s="30" t="s">
        <v>55</v>
      </c>
      <c r="C3423" s="69" t="str">
        <f t="shared" si="311"/>
        <v>Closed</v>
      </c>
      <c r="D3423" s="36" t="s">
        <v>19720</v>
      </c>
      <c r="E3423" s="38" t="s">
        <v>19721</v>
      </c>
      <c r="F3423" s="46" t="s">
        <v>16429</v>
      </c>
      <c r="G3423" s="88">
        <f>DATE(2022,1,13)</f>
        <v>44574</v>
      </c>
      <c r="H3423" s="142">
        <v>1.9541666666666666</v>
      </c>
      <c r="I3423" s="46" t="s">
        <v>198</v>
      </c>
      <c r="J3423" s="46" t="s">
        <v>19722</v>
      </c>
      <c r="K3423" s="46" t="s">
        <v>425</v>
      </c>
      <c r="L3423" s="46" t="s">
        <v>19723</v>
      </c>
      <c r="M3423" s="46" t="s">
        <v>63</v>
      </c>
      <c r="N3423" s="46" t="s">
        <v>142</v>
      </c>
      <c r="O3423" s="46" t="s">
        <v>77</v>
      </c>
      <c r="P3423" s="46" t="s">
        <v>78</v>
      </c>
      <c r="Q3423" s="46" t="s">
        <v>19724</v>
      </c>
      <c r="R3423" s="46" t="s">
        <v>17369</v>
      </c>
      <c r="S3423" s="46">
        <v>0</v>
      </c>
      <c r="T3423" s="46">
        <v>0</v>
      </c>
      <c r="U3423" s="46">
        <v>0</v>
      </c>
      <c r="V3423" s="46">
        <v>0</v>
      </c>
      <c r="W3423" s="46">
        <v>0</v>
      </c>
      <c r="X3423" s="46">
        <v>0</v>
      </c>
      <c r="Y3423" s="46">
        <v>0</v>
      </c>
      <c r="Z3423" s="46">
        <v>0</v>
      </c>
      <c r="AA3423" s="46">
        <v>0</v>
      </c>
      <c r="AB3423" s="46">
        <v>0</v>
      </c>
      <c r="AC3423" s="46">
        <v>0</v>
      </c>
      <c r="AD3423" s="46">
        <v>0</v>
      </c>
      <c r="AE3423" s="46" t="s">
        <v>394</v>
      </c>
      <c r="AF3423" s="46" t="s">
        <v>19725</v>
      </c>
      <c r="AG3423" s="46" t="s">
        <v>16283</v>
      </c>
      <c r="AH3423" s="72">
        <v>44574</v>
      </c>
      <c r="AI3423" s="46">
        <v>2</v>
      </c>
      <c r="AJ3423" s="46" t="s">
        <v>19726</v>
      </c>
      <c r="AK3423" s="46" t="s">
        <v>19727</v>
      </c>
      <c r="AL3423" s="157">
        <v>44578</v>
      </c>
      <c r="AM3423" s="46"/>
      <c r="AN3423" s="157">
        <v>44936</v>
      </c>
      <c r="AO3423" s="157">
        <v>44935</v>
      </c>
    </row>
    <row r="3424" spans="1:55" ht="36.75" customHeight="1">
      <c r="A3424" s="46" t="s">
        <v>12471</v>
      </c>
      <c r="B3424" s="30" t="s">
        <v>55</v>
      </c>
      <c r="C3424" s="69" t="str">
        <f t="shared" si="311"/>
        <v>Closed</v>
      </c>
      <c r="D3424" s="37" t="s">
        <v>19728</v>
      </c>
      <c r="E3424" s="38" t="s">
        <v>19729</v>
      </c>
      <c r="F3424" s="46" t="s">
        <v>12910</v>
      </c>
      <c r="G3424" s="88">
        <f>DATE(2022,1,13)</f>
        <v>44574</v>
      </c>
      <c r="H3424" s="142">
        <v>1.4583333333333333</v>
      </c>
      <c r="I3424" s="46" t="s">
        <v>8503</v>
      </c>
      <c r="J3424" s="46" t="s">
        <v>19730</v>
      </c>
      <c r="K3424" s="46" t="s">
        <v>453</v>
      </c>
      <c r="L3424" s="46" t="s">
        <v>19731</v>
      </c>
      <c r="M3424" s="46" t="s">
        <v>63</v>
      </c>
      <c r="N3424" s="46" t="s">
        <v>142</v>
      </c>
      <c r="O3424" s="46" t="s">
        <v>64</v>
      </c>
      <c r="P3424" s="46" t="s">
        <v>78</v>
      </c>
      <c r="Q3424" s="46" t="s">
        <v>19732</v>
      </c>
      <c r="R3424" s="46" t="s">
        <v>572</v>
      </c>
      <c r="S3424" s="46">
        <v>0</v>
      </c>
      <c r="T3424" s="46">
        <v>0</v>
      </c>
      <c r="U3424" s="46">
        <v>0</v>
      </c>
      <c r="V3424" s="46">
        <v>0</v>
      </c>
      <c r="W3424" s="46">
        <v>0</v>
      </c>
      <c r="X3424" s="46">
        <v>0</v>
      </c>
      <c r="Y3424" s="46">
        <v>0</v>
      </c>
      <c r="Z3424" s="46">
        <v>0</v>
      </c>
      <c r="AA3424" s="46">
        <v>0</v>
      </c>
      <c r="AB3424" s="46">
        <v>0</v>
      </c>
      <c r="AC3424" s="46">
        <v>0</v>
      </c>
      <c r="AD3424" s="46">
        <v>0</v>
      </c>
      <c r="AE3424" s="46" t="s">
        <v>394</v>
      </c>
      <c r="AF3424" s="46" t="s">
        <v>19730</v>
      </c>
      <c r="AG3424" s="46" t="s">
        <v>13537</v>
      </c>
      <c r="AH3424" s="72">
        <v>44578</v>
      </c>
      <c r="AI3424" s="46">
        <v>2</v>
      </c>
      <c r="AJ3424" s="46" t="s">
        <v>19733</v>
      </c>
      <c r="AK3424" s="46" t="s">
        <v>19734</v>
      </c>
      <c r="AL3424" s="157">
        <v>44792</v>
      </c>
      <c r="AM3424" s="157">
        <v>45349</v>
      </c>
      <c r="AN3424" s="157">
        <v>45392</v>
      </c>
      <c r="AO3424" s="157">
        <v>45393</v>
      </c>
    </row>
    <row r="3425" spans="1:55" ht="36.75" customHeight="1">
      <c r="A3425" s="46" t="s">
        <v>12471</v>
      </c>
      <c r="B3425" s="30" t="s">
        <v>55</v>
      </c>
      <c r="C3425" s="69" t="str">
        <f t="shared" si="311"/>
        <v>Closed</v>
      </c>
      <c r="D3425" s="36" t="s">
        <v>19735</v>
      </c>
      <c r="E3425" s="38" t="s">
        <v>19736</v>
      </c>
      <c r="F3425" s="46" t="s">
        <v>17057</v>
      </c>
      <c r="G3425" s="88">
        <f>DATE(2022,1,14)</f>
        <v>44575</v>
      </c>
      <c r="H3425" s="142">
        <v>1.4513888888888888</v>
      </c>
      <c r="I3425" s="46" t="s">
        <v>116</v>
      </c>
      <c r="J3425" s="46" t="s">
        <v>19737</v>
      </c>
      <c r="K3425" s="46" t="s">
        <v>2338</v>
      </c>
      <c r="L3425" s="46" t="s">
        <v>19738</v>
      </c>
      <c r="M3425" s="46" t="s">
        <v>63</v>
      </c>
      <c r="N3425" s="46" t="s">
        <v>99</v>
      </c>
      <c r="O3425" s="46" t="s">
        <v>77</v>
      </c>
      <c r="P3425" s="46" t="s">
        <v>165</v>
      </c>
      <c r="Q3425" s="46" t="s">
        <v>18726</v>
      </c>
      <c r="R3425" s="46" t="s">
        <v>2341</v>
      </c>
      <c r="S3425" s="46">
        <v>1</v>
      </c>
      <c r="T3425" s="46">
        <v>0</v>
      </c>
      <c r="U3425" s="46">
        <v>1</v>
      </c>
      <c r="V3425" s="46">
        <v>0</v>
      </c>
      <c r="W3425" s="46">
        <v>0</v>
      </c>
      <c r="X3425" s="46">
        <v>2</v>
      </c>
      <c r="Y3425" s="46">
        <v>0</v>
      </c>
      <c r="Z3425" s="46">
        <v>0</v>
      </c>
      <c r="AA3425" s="46">
        <v>0</v>
      </c>
      <c r="AB3425" s="46">
        <v>0</v>
      </c>
      <c r="AC3425" s="46">
        <v>0</v>
      </c>
      <c r="AD3425" s="46">
        <v>0</v>
      </c>
      <c r="AE3425" s="46" t="s">
        <v>394</v>
      </c>
      <c r="AF3425" s="46" t="s">
        <v>19739</v>
      </c>
      <c r="AG3425" s="46" t="s">
        <v>8859</v>
      </c>
      <c r="AH3425" s="72">
        <v>44588</v>
      </c>
      <c r="AI3425" s="46">
        <v>4</v>
      </c>
      <c r="AJ3425" s="46" t="s">
        <v>19740</v>
      </c>
      <c r="AK3425" s="46" t="s">
        <v>19741</v>
      </c>
      <c r="AL3425" s="157">
        <v>44591</v>
      </c>
      <c r="AM3425" s="46"/>
      <c r="AN3425" s="157">
        <v>44946</v>
      </c>
      <c r="AO3425" s="157">
        <v>44922</v>
      </c>
    </row>
    <row r="3426" spans="1:55" ht="36.75" customHeight="1">
      <c r="A3426" s="46" t="s">
        <v>12471</v>
      </c>
      <c r="B3426" s="30" t="s">
        <v>55</v>
      </c>
      <c r="C3426" s="69" t="str">
        <f t="shared" si="311"/>
        <v>Closed</v>
      </c>
      <c r="D3426" s="36" t="s">
        <v>19742</v>
      </c>
      <c r="E3426" s="60" t="s">
        <v>19743</v>
      </c>
      <c r="F3426" s="61" t="s">
        <v>12910</v>
      </c>
      <c r="G3426" s="88">
        <f>DATE(2022,1,14)</f>
        <v>44575</v>
      </c>
      <c r="H3426" s="142">
        <v>1.9618055555555554</v>
      </c>
      <c r="I3426" s="61" t="s">
        <v>19744</v>
      </c>
      <c r="J3426" s="61" t="s">
        <v>19745</v>
      </c>
      <c r="K3426" s="61" t="s">
        <v>453</v>
      </c>
      <c r="L3426" s="61" t="s">
        <v>19746</v>
      </c>
      <c r="M3426" s="61" t="s">
        <v>63</v>
      </c>
      <c r="N3426" s="61" t="s">
        <v>89</v>
      </c>
      <c r="O3426" s="61" t="s">
        <v>64</v>
      </c>
      <c r="P3426" s="61" t="s">
        <v>6902</v>
      </c>
      <c r="Q3426" s="61" t="s">
        <v>14384</v>
      </c>
      <c r="R3426" s="61" t="s">
        <v>572</v>
      </c>
      <c r="S3426" s="61">
        <v>0</v>
      </c>
      <c r="T3426" s="61">
        <v>0</v>
      </c>
      <c r="U3426" s="61">
        <v>0</v>
      </c>
      <c r="V3426" s="61">
        <v>1</v>
      </c>
      <c r="W3426" s="61">
        <v>0</v>
      </c>
      <c r="X3426" s="61">
        <v>1</v>
      </c>
      <c r="Y3426" s="61">
        <v>0</v>
      </c>
      <c r="Z3426" s="61">
        <v>0</v>
      </c>
      <c r="AA3426" s="61">
        <v>0</v>
      </c>
      <c r="AB3426" s="61">
        <v>0</v>
      </c>
      <c r="AC3426" s="61">
        <v>0</v>
      </c>
      <c r="AD3426" s="61">
        <v>0</v>
      </c>
      <c r="AE3426" s="61" t="s">
        <v>92</v>
      </c>
      <c r="AF3426" s="61" t="s">
        <v>712</v>
      </c>
      <c r="AG3426" s="61" t="s">
        <v>6459</v>
      </c>
      <c r="AH3426" s="72">
        <v>44576</v>
      </c>
      <c r="AI3426" s="61">
        <v>0</v>
      </c>
      <c r="AJ3426" s="61" t="s">
        <v>19747</v>
      </c>
      <c r="AK3426" s="61" t="s">
        <v>19748</v>
      </c>
      <c r="AL3426" s="157">
        <v>44951</v>
      </c>
      <c r="AM3426" s="61"/>
      <c r="AN3426" s="157">
        <v>44951</v>
      </c>
      <c r="AO3426" s="157">
        <v>44951</v>
      </c>
    </row>
    <row r="3427" spans="1:55" ht="36.75" customHeight="1">
      <c r="A3427" s="46" t="s">
        <v>12471</v>
      </c>
      <c r="B3427" s="30" t="s">
        <v>55</v>
      </c>
      <c r="C3427" s="69" t="str">
        <f t="shared" si="311"/>
        <v>Closed</v>
      </c>
      <c r="D3427" s="37" t="s">
        <v>19749</v>
      </c>
      <c r="E3427" s="38" t="s">
        <v>19750</v>
      </c>
      <c r="F3427" s="46" t="s">
        <v>17578</v>
      </c>
      <c r="G3427" s="88">
        <f>DATE(2022,1,16)</f>
        <v>44577</v>
      </c>
      <c r="H3427" s="142">
        <v>1.3819444444444444</v>
      </c>
      <c r="I3427" s="46" t="s">
        <v>4610</v>
      </c>
      <c r="J3427" s="46" t="s">
        <v>19751</v>
      </c>
      <c r="K3427" s="46" t="s">
        <v>837</v>
      </c>
      <c r="L3427" s="46" t="s">
        <v>19752</v>
      </c>
      <c r="M3427" s="46" t="s">
        <v>63</v>
      </c>
      <c r="N3427" s="46" t="s">
        <v>99</v>
      </c>
      <c r="O3427" s="46" t="s">
        <v>77</v>
      </c>
      <c r="P3427" s="46" t="s">
        <v>381</v>
      </c>
      <c r="Q3427" s="46" t="s">
        <v>19753</v>
      </c>
      <c r="R3427" s="46" t="s">
        <v>2797</v>
      </c>
      <c r="S3427" s="46">
        <v>0</v>
      </c>
      <c r="T3427" s="46">
        <v>0</v>
      </c>
      <c r="U3427" s="46">
        <v>0</v>
      </c>
      <c r="V3427" s="46">
        <v>0</v>
      </c>
      <c r="W3427" s="46">
        <v>0</v>
      </c>
      <c r="X3427" s="46">
        <v>0</v>
      </c>
      <c r="Y3427" s="46">
        <v>0</v>
      </c>
      <c r="Z3427" s="46">
        <v>0</v>
      </c>
      <c r="AA3427" s="46">
        <v>0</v>
      </c>
      <c r="AB3427" s="46">
        <v>0</v>
      </c>
      <c r="AC3427" s="46">
        <v>0</v>
      </c>
      <c r="AD3427" s="46">
        <v>0</v>
      </c>
      <c r="AE3427" s="46" t="s">
        <v>92</v>
      </c>
      <c r="AF3427" s="46">
        <v>0</v>
      </c>
      <c r="AG3427" s="46" t="s">
        <v>16938</v>
      </c>
      <c r="AH3427" s="72">
        <v>44577</v>
      </c>
      <c r="AI3427" s="46">
        <v>0</v>
      </c>
      <c r="AJ3427" s="46" t="s">
        <v>19754</v>
      </c>
      <c r="AK3427" s="46" t="s">
        <v>19755</v>
      </c>
      <c r="AL3427" s="157">
        <v>44588</v>
      </c>
      <c r="AM3427" s="46"/>
      <c r="AN3427" s="157">
        <v>45399</v>
      </c>
      <c r="AO3427" s="169"/>
    </row>
    <row r="3428" spans="1:55" ht="36.75" customHeight="1">
      <c r="A3428" s="46" t="s">
        <v>12471</v>
      </c>
      <c r="B3428" s="30" t="s">
        <v>55</v>
      </c>
      <c r="C3428" s="69" t="str">
        <f t="shared" si="311"/>
        <v>Closed</v>
      </c>
      <c r="D3428" s="36" t="s">
        <v>19756</v>
      </c>
      <c r="E3428" s="60" t="s">
        <v>19757</v>
      </c>
      <c r="F3428" s="61" t="s">
        <v>12910</v>
      </c>
      <c r="G3428" s="88">
        <f>DATE(2022,1,18)</f>
        <v>44579</v>
      </c>
      <c r="H3428" s="142">
        <v>1.5</v>
      </c>
      <c r="I3428" s="61" t="s">
        <v>116</v>
      </c>
      <c r="J3428" s="61" t="s">
        <v>19758</v>
      </c>
      <c r="K3428" s="61" t="s">
        <v>453</v>
      </c>
      <c r="L3428" s="61" t="s">
        <v>19759</v>
      </c>
      <c r="M3428" s="61" t="s">
        <v>63</v>
      </c>
      <c r="N3428" s="61" t="s">
        <v>99</v>
      </c>
      <c r="O3428" s="61" t="s">
        <v>64</v>
      </c>
      <c r="P3428" s="61" t="s">
        <v>165</v>
      </c>
      <c r="Q3428" s="61" t="s">
        <v>19760</v>
      </c>
      <c r="R3428" s="61" t="s">
        <v>19760</v>
      </c>
      <c r="S3428" s="61">
        <v>0</v>
      </c>
      <c r="T3428" s="61">
        <v>0</v>
      </c>
      <c r="U3428" s="61">
        <v>0</v>
      </c>
      <c r="V3428" s="61">
        <v>0</v>
      </c>
      <c r="W3428" s="61">
        <v>0</v>
      </c>
      <c r="X3428" s="61">
        <v>0</v>
      </c>
      <c r="Y3428" s="61">
        <v>0</v>
      </c>
      <c r="Z3428" s="61">
        <v>0</v>
      </c>
      <c r="AA3428" s="61">
        <v>1</v>
      </c>
      <c r="AB3428" s="61">
        <v>0</v>
      </c>
      <c r="AC3428" s="61">
        <v>0</v>
      </c>
      <c r="AD3428" s="61">
        <v>1</v>
      </c>
      <c r="AE3428" s="61" t="s">
        <v>394</v>
      </c>
      <c r="AF3428" s="61" t="s">
        <v>19761</v>
      </c>
      <c r="AG3428" s="61" t="s">
        <v>8859</v>
      </c>
      <c r="AH3428" s="72">
        <v>44580</v>
      </c>
      <c r="AI3428" s="61">
        <v>0</v>
      </c>
      <c r="AJ3428" s="61" t="s">
        <v>19762</v>
      </c>
      <c r="AK3428" s="61" t="s">
        <v>19763</v>
      </c>
      <c r="AL3428" s="157">
        <v>44825</v>
      </c>
      <c r="AM3428" s="61"/>
      <c r="AN3428" s="157">
        <v>44944</v>
      </c>
      <c r="AO3428" s="157">
        <v>44944</v>
      </c>
    </row>
    <row r="3429" spans="1:55" ht="36.75" customHeight="1">
      <c r="A3429" s="46" t="s">
        <v>12471</v>
      </c>
      <c r="B3429" s="30" t="s">
        <v>55</v>
      </c>
      <c r="C3429" s="69" t="str">
        <f t="shared" si="311"/>
        <v>Closed</v>
      </c>
      <c r="D3429" s="36" t="s">
        <v>19764</v>
      </c>
      <c r="E3429" s="38" t="s">
        <v>19765</v>
      </c>
      <c r="F3429" s="46" t="s">
        <v>17773</v>
      </c>
      <c r="G3429" s="88">
        <f>DATE(2022,1,21)</f>
        <v>44582</v>
      </c>
      <c r="H3429" s="142">
        <v>1.1354166666666667</v>
      </c>
      <c r="I3429" s="46" t="s">
        <v>198</v>
      </c>
      <c r="J3429" s="46" t="s">
        <v>19766</v>
      </c>
      <c r="K3429" s="46" t="s">
        <v>2603</v>
      </c>
      <c r="L3429" s="46" t="s">
        <v>19767</v>
      </c>
      <c r="M3429" s="46" t="s">
        <v>63</v>
      </c>
      <c r="N3429" s="46" t="s">
        <v>89</v>
      </c>
      <c r="O3429" s="46" t="s">
        <v>77</v>
      </c>
      <c r="P3429" s="46" t="s">
        <v>78</v>
      </c>
      <c r="Q3429" s="46" t="s">
        <v>18914</v>
      </c>
      <c r="R3429" s="46" t="s">
        <v>18439</v>
      </c>
      <c r="S3429" s="46">
        <v>0</v>
      </c>
      <c r="T3429" s="46">
        <v>0</v>
      </c>
      <c r="U3429" s="46">
        <v>0</v>
      </c>
      <c r="V3429" s="46">
        <v>0</v>
      </c>
      <c r="W3429" s="46">
        <v>0</v>
      </c>
      <c r="X3429" s="46">
        <v>0</v>
      </c>
      <c r="Y3429" s="46">
        <v>0</v>
      </c>
      <c r="Z3429" s="46">
        <v>0</v>
      </c>
      <c r="AA3429" s="46">
        <v>0</v>
      </c>
      <c r="AB3429" s="46">
        <v>0</v>
      </c>
      <c r="AC3429" s="46">
        <v>0</v>
      </c>
      <c r="AD3429" s="46">
        <v>0</v>
      </c>
      <c r="AE3429" s="46" t="s">
        <v>92</v>
      </c>
      <c r="AF3429" s="46" t="s">
        <v>19768</v>
      </c>
      <c r="AG3429" s="46" t="s">
        <v>8859</v>
      </c>
      <c r="AH3429" s="72">
        <v>44582</v>
      </c>
      <c r="AI3429" s="46">
        <v>6</v>
      </c>
      <c r="AJ3429" s="46" t="s">
        <v>19769</v>
      </c>
      <c r="AK3429" s="46" t="s">
        <v>19770</v>
      </c>
      <c r="AL3429" s="157">
        <v>44585</v>
      </c>
      <c r="AM3429" s="46"/>
      <c r="AN3429" s="157">
        <v>44732</v>
      </c>
      <c r="AO3429" s="157">
        <v>44712</v>
      </c>
      <c r="AP3429" s="157">
        <v>44874</v>
      </c>
      <c r="AQ3429" s="157">
        <v>44875</v>
      </c>
      <c r="AR3429" s="157">
        <v>44876</v>
      </c>
      <c r="AS3429" s="157">
        <v>44877</v>
      </c>
      <c r="AT3429" s="157">
        <v>44878</v>
      </c>
      <c r="AU3429" s="157">
        <v>44879</v>
      </c>
      <c r="AV3429" s="157">
        <v>44880</v>
      </c>
      <c r="AW3429" s="157">
        <v>44881</v>
      </c>
      <c r="AX3429" s="157">
        <v>44882</v>
      </c>
      <c r="AY3429" s="157">
        <v>44883</v>
      </c>
      <c r="AZ3429" s="157">
        <v>44884</v>
      </c>
      <c r="BA3429" s="157">
        <v>44885</v>
      </c>
      <c r="BB3429" s="157">
        <v>44886</v>
      </c>
      <c r="BC3429" s="157">
        <v>44887</v>
      </c>
    </row>
    <row r="3430" spans="1:55" ht="36.75" customHeight="1">
      <c r="A3430" s="46" t="s">
        <v>12471</v>
      </c>
      <c r="B3430" s="30" t="s">
        <v>55</v>
      </c>
      <c r="C3430" s="69" t="str">
        <f t="shared" si="311"/>
        <v>Closed</v>
      </c>
      <c r="D3430" s="37" t="s">
        <v>19771</v>
      </c>
      <c r="E3430" s="38" t="s">
        <v>19772</v>
      </c>
      <c r="F3430" s="46" t="s">
        <v>17578</v>
      </c>
      <c r="G3430" s="88">
        <f>DATE(2022,1,21)</f>
        <v>44582</v>
      </c>
      <c r="H3430" s="142">
        <v>1.9791666666666665</v>
      </c>
      <c r="I3430" s="46" t="s">
        <v>198</v>
      </c>
      <c r="J3430" s="46" t="s">
        <v>19773</v>
      </c>
      <c r="K3430" s="46" t="s">
        <v>837</v>
      </c>
      <c r="L3430" s="46" t="s">
        <v>19774</v>
      </c>
      <c r="M3430" s="46" t="s">
        <v>129</v>
      </c>
      <c r="N3430" s="46" t="s">
        <v>89</v>
      </c>
      <c r="O3430" s="46" t="s">
        <v>77</v>
      </c>
      <c r="P3430" s="46" t="s">
        <v>129</v>
      </c>
      <c r="Q3430" s="46" t="s">
        <v>4210</v>
      </c>
      <c r="R3430" s="46" t="s">
        <v>4210</v>
      </c>
      <c r="S3430" s="46">
        <v>0</v>
      </c>
      <c r="T3430" s="46">
        <v>0</v>
      </c>
      <c r="U3430" s="46">
        <v>0</v>
      </c>
      <c r="V3430" s="46">
        <v>0</v>
      </c>
      <c r="W3430" s="46">
        <v>0</v>
      </c>
      <c r="X3430" s="46">
        <v>0</v>
      </c>
      <c r="Y3430" s="46">
        <v>0</v>
      </c>
      <c r="Z3430" s="46">
        <v>0</v>
      </c>
      <c r="AA3430" s="46">
        <v>0</v>
      </c>
      <c r="AB3430" s="46">
        <v>0</v>
      </c>
      <c r="AC3430" s="46">
        <v>0</v>
      </c>
      <c r="AD3430" s="46">
        <v>0</v>
      </c>
      <c r="AE3430" s="46" t="s">
        <v>394</v>
      </c>
      <c r="AF3430" s="46" t="s">
        <v>19775</v>
      </c>
      <c r="AG3430" s="46" t="s">
        <v>8859</v>
      </c>
      <c r="AH3430" s="72">
        <v>44582</v>
      </c>
      <c r="AI3430" s="46">
        <v>0</v>
      </c>
      <c r="AJ3430" s="46" t="s">
        <v>19776</v>
      </c>
      <c r="AK3430" s="46" t="s">
        <v>19777</v>
      </c>
      <c r="AL3430" s="157">
        <v>44588</v>
      </c>
      <c r="AM3430" s="46"/>
      <c r="AN3430" s="157">
        <v>45399</v>
      </c>
      <c r="AO3430" s="169"/>
    </row>
    <row r="3431" spans="1:55" ht="36.75" customHeight="1">
      <c r="A3431" s="46" t="s">
        <v>12471</v>
      </c>
      <c r="B3431" s="30" t="s">
        <v>55</v>
      </c>
      <c r="C3431" s="69" t="str">
        <f t="shared" si="311"/>
        <v>Closed</v>
      </c>
      <c r="D3431" s="36" t="s">
        <v>19778</v>
      </c>
      <c r="E3431" s="38" t="s">
        <v>19779</v>
      </c>
      <c r="F3431" s="46" t="s">
        <v>16429</v>
      </c>
      <c r="G3431" s="88">
        <f>DATE(2022,1,29)</f>
        <v>44590</v>
      </c>
      <c r="H3431" s="142">
        <v>1.5499999999999998</v>
      </c>
      <c r="I3431" s="46" t="s">
        <v>73</v>
      </c>
      <c r="J3431" s="46" t="s">
        <v>19780</v>
      </c>
      <c r="K3431" s="46" t="s">
        <v>425</v>
      </c>
      <c r="L3431" s="46" t="s">
        <v>19781</v>
      </c>
      <c r="M3431" s="46" t="s">
        <v>63</v>
      </c>
      <c r="N3431" s="46" t="s">
        <v>142</v>
      </c>
      <c r="O3431" s="46" t="s">
        <v>77</v>
      </c>
      <c r="P3431" s="46" t="s">
        <v>165</v>
      </c>
      <c r="Q3431" s="46" t="s">
        <v>18615</v>
      </c>
      <c r="R3431" s="46" t="s">
        <v>17369</v>
      </c>
      <c r="S3431" s="46">
        <v>0</v>
      </c>
      <c r="T3431" s="46">
        <v>0</v>
      </c>
      <c r="U3431" s="46">
        <v>0</v>
      </c>
      <c r="V3431" s="46">
        <v>0</v>
      </c>
      <c r="W3431" s="46">
        <v>0</v>
      </c>
      <c r="X3431" s="46">
        <v>0</v>
      </c>
      <c r="Y3431" s="46">
        <v>0</v>
      </c>
      <c r="Z3431" s="46">
        <v>0</v>
      </c>
      <c r="AA3431" s="46">
        <v>0</v>
      </c>
      <c r="AB3431" s="46">
        <v>0</v>
      </c>
      <c r="AC3431" s="46">
        <v>0</v>
      </c>
      <c r="AD3431" s="46">
        <v>0</v>
      </c>
      <c r="AE3431" s="46" t="s">
        <v>92</v>
      </c>
      <c r="AF3431" s="46" t="s">
        <v>19782</v>
      </c>
      <c r="AG3431" s="46" t="s">
        <v>16283</v>
      </c>
      <c r="AH3431" s="72">
        <v>44590</v>
      </c>
      <c r="AI3431" s="46">
        <v>1</v>
      </c>
      <c r="AJ3431" s="46" t="s">
        <v>19783</v>
      </c>
      <c r="AK3431" s="46" t="s">
        <v>19784</v>
      </c>
      <c r="AL3431" s="157">
        <v>44592</v>
      </c>
      <c r="AM3431" s="46"/>
      <c r="AN3431" s="157">
        <v>44978</v>
      </c>
      <c r="AO3431" s="157">
        <v>44973</v>
      </c>
    </row>
    <row r="3432" spans="1:55" ht="36.75" customHeight="1">
      <c r="A3432" s="46" t="s">
        <v>12471</v>
      </c>
      <c r="B3432" s="30" t="s">
        <v>55</v>
      </c>
      <c r="C3432" s="69" t="str">
        <f t="shared" si="311"/>
        <v>Closed</v>
      </c>
      <c r="D3432" s="36" t="s">
        <v>19785</v>
      </c>
      <c r="E3432" s="38" t="s">
        <v>19786</v>
      </c>
      <c r="F3432" s="53" t="s">
        <v>17057</v>
      </c>
      <c r="G3432" s="88">
        <f>DATE(2022,2,3)</f>
        <v>44595</v>
      </c>
      <c r="H3432" s="142">
        <v>1.2604166666666667</v>
      </c>
      <c r="I3432" s="46" t="s">
        <v>116</v>
      </c>
      <c r="J3432" s="46" t="s">
        <v>19787</v>
      </c>
      <c r="K3432" s="46" t="s">
        <v>2338</v>
      </c>
      <c r="L3432" s="46" t="s">
        <v>19788</v>
      </c>
      <c r="M3432" s="46" t="s">
        <v>63</v>
      </c>
      <c r="N3432" s="46" t="s">
        <v>142</v>
      </c>
      <c r="O3432" s="46" t="s">
        <v>64</v>
      </c>
      <c r="P3432" s="46" t="s">
        <v>65</v>
      </c>
      <c r="Q3432" s="46" t="s">
        <v>2945</v>
      </c>
      <c r="R3432" s="46" t="s">
        <v>2341</v>
      </c>
      <c r="S3432" s="46">
        <v>0</v>
      </c>
      <c r="T3432" s="46">
        <v>0</v>
      </c>
      <c r="U3432" s="46">
        <v>1</v>
      </c>
      <c r="V3432" s="46">
        <v>0</v>
      </c>
      <c r="W3432" s="46">
        <v>0</v>
      </c>
      <c r="X3432" s="53">
        <v>1</v>
      </c>
      <c r="Y3432" s="46">
        <v>0</v>
      </c>
      <c r="Z3432" s="46">
        <v>0</v>
      </c>
      <c r="AA3432" s="46">
        <v>0</v>
      </c>
      <c r="AB3432" s="46">
        <v>0</v>
      </c>
      <c r="AC3432" s="46">
        <v>0</v>
      </c>
      <c r="AD3432" s="46">
        <v>0</v>
      </c>
      <c r="AE3432" s="46" t="s">
        <v>92</v>
      </c>
      <c r="AF3432" s="46" t="s">
        <v>19789</v>
      </c>
      <c r="AG3432" s="46" t="s">
        <v>8859</v>
      </c>
      <c r="AH3432" s="72">
        <v>44608</v>
      </c>
      <c r="AI3432" s="46">
        <v>5</v>
      </c>
      <c r="AJ3432" s="46" t="s">
        <v>19790</v>
      </c>
      <c r="AK3432" s="46" t="s">
        <v>19791</v>
      </c>
      <c r="AL3432" s="157">
        <v>44613</v>
      </c>
      <c r="AM3432" s="46"/>
      <c r="AN3432" s="157">
        <v>44946</v>
      </c>
      <c r="AO3432" s="157">
        <v>44909</v>
      </c>
    </row>
    <row r="3433" spans="1:55" ht="36.75" customHeight="1">
      <c r="A3433" s="46" t="s">
        <v>12471</v>
      </c>
      <c r="B3433" s="30" t="s">
        <v>55</v>
      </c>
      <c r="C3433" s="69" t="str">
        <f t="shared" si="311"/>
        <v>Closed</v>
      </c>
      <c r="D3433" s="37" t="s">
        <v>19792</v>
      </c>
      <c r="E3433" s="38" t="s">
        <v>19793</v>
      </c>
      <c r="F3433" s="46" t="s">
        <v>16429</v>
      </c>
      <c r="G3433" s="88">
        <f>DATE(2022,2,10)</f>
        <v>44602</v>
      </c>
      <c r="H3433" s="142">
        <v>1.2020833333333334</v>
      </c>
      <c r="I3433" s="46" t="s">
        <v>2078</v>
      </c>
      <c r="J3433" s="46" t="s">
        <v>19794</v>
      </c>
      <c r="K3433" s="46" t="s">
        <v>425</v>
      </c>
      <c r="L3433" s="46" t="s">
        <v>19795</v>
      </c>
      <c r="M3433" s="46" t="s">
        <v>63</v>
      </c>
      <c r="N3433" s="46" t="s">
        <v>142</v>
      </c>
      <c r="O3433" s="46" t="s">
        <v>77</v>
      </c>
      <c r="P3433" s="46" t="s">
        <v>19796</v>
      </c>
      <c r="Q3433" s="46" t="s">
        <v>19797</v>
      </c>
      <c r="R3433" s="46" t="s">
        <v>17369</v>
      </c>
      <c r="S3433" s="46">
        <v>0</v>
      </c>
      <c r="T3433" s="46">
        <v>0</v>
      </c>
      <c r="U3433" s="46">
        <v>0</v>
      </c>
      <c r="V3433" s="46">
        <v>0</v>
      </c>
      <c r="W3433" s="46">
        <v>0</v>
      </c>
      <c r="X3433" s="46">
        <v>0</v>
      </c>
      <c r="Y3433" s="46">
        <v>0</v>
      </c>
      <c r="Z3433" s="46">
        <v>0</v>
      </c>
      <c r="AA3433" s="46">
        <v>0</v>
      </c>
      <c r="AB3433" s="46">
        <v>0</v>
      </c>
      <c r="AC3433" s="46">
        <v>0</v>
      </c>
      <c r="AD3433" s="46">
        <v>0</v>
      </c>
      <c r="AE3433" s="46" t="s">
        <v>92</v>
      </c>
      <c r="AF3433" s="46" t="s">
        <v>19798</v>
      </c>
      <c r="AG3433" s="46" t="s">
        <v>16283</v>
      </c>
      <c r="AH3433" s="72">
        <v>44602</v>
      </c>
      <c r="AI3433" s="46">
        <v>1</v>
      </c>
      <c r="AJ3433" s="46" t="s">
        <v>19799</v>
      </c>
      <c r="AK3433" s="46" t="s">
        <v>18245</v>
      </c>
      <c r="AL3433" s="157">
        <v>44606</v>
      </c>
      <c r="AM3433" s="157">
        <v>45336</v>
      </c>
      <c r="AN3433" s="157">
        <v>45547</v>
      </c>
      <c r="AO3433" s="157">
        <v>45540</v>
      </c>
    </row>
    <row r="3434" spans="1:55" ht="36.75" customHeight="1">
      <c r="A3434" s="46" t="s">
        <v>12471</v>
      </c>
      <c r="B3434" s="30" t="s">
        <v>55</v>
      </c>
      <c r="C3434" s="69" t="str">
        <f t="shared" si="311"/>
        <v>Closed</v>
      </c>
      <c r="D3434" s="242" t="s">
        <v>19800</v>
      </c>
      <c r="E3434" s="38" t="s">
        <v>19801</v>
      </c>
      <c r="F3434" s="46" t="s">
        <v>17682</v>
      </c>
      <c r="G3434" s="88">
        <f>DATE(2022,2,14)</f>
        <v>44606</v>
      </c>
      <c r="H3434" s="142">
        <v>1.6944444444444446</v>
      </c>
      <c r="I3434" s="46" t="s">
        <v>73</v>
      </c>
      <c r="J3434" s="46" t="s">
        <v>19802</v>
      </c>
      <c r="K3434" s="46" t="s">
        <v>1574</v>
      </c>
      <c r="L3434" s="46" t="s">
        <v>19803</v>
      </c>
      <c r="M3434" s="46" t="s">
        <v>63</v>
      </c>
      <c r="N3434" s="46" t="s">
        <v>99</v>
      </c>
      <c r="O3434" s="46" t="s">
        <v>64</v>
      </c>
      <c r="P3434" s="46" t="s">
        <v>165</v>
      </c>
      <c r="Q3434" s="46" t="s">
        <v>18739</v>
      </c>
      <c r="R3434" s="46" t="s">
        <v>19007</v>
      </c>
      <c r="S3434" s="46">
        <v>0</v>
      </c>
      <c r="T3434" s="46">
        <v>0</v>
      </c>
      <c r="U3434" s="46">
        <v>0</v>
      </c>
      <c r="V3434" s="46">
        <v>0</v>
      </c>
      <c r="W3434" s="46">
        <v>0</v>
      </c>
      <c r="X3434" s="46">
        <v>0</v>
      </c>
      <c r="Y3434" s="46">
        <v>0</v>
      </c>
      <c r="Z3434" s="46">
        <v>0</v>
      </c>
      <c r="AA3434" s="46">
        <v>0</v>
      </c>
      <c r="AB3434" s="46">
        <v>0</v>
      </c>
      <c r="AC3434" s="46">
        <v>0</v>
      </c>
      <c r="AD3434" s="46">
        <v>0</v>
      </c>
      <c r="AE3434" s="46" t="s">
        <v>92</v>
      </c>
      <c r="AF3434" s="46" t="s">
        <v>19804</v>
      </c>
      <c r="AG3434" s="46" t="s">
        <v>8859</v>
      </c>
      <c r="AH3434" s="72">
        <v>44607</v>
      </c>
      <c r="AI3434" s="46">
        <v>1</v>
      </c>
      <c r="AJ3434" s="46" t="s">
        <v>19805</v>
      </c>
      <c r="AK3434" s="46" t="s">
        <v>19806</v>
      </c>
      <c r="AL3434" s="157">
        <v>44607</v>
      </c>
      <c r="AM3434" s="46"/>
      <c r="AN3434" s="157">
        <v>44970</v>
      </c>
      <c r="AO3434" s="157">
        <v>44966</v>
      </c>
    </row>
    <row r="3435" spans="1:55" ht="36.75" customHeight="1">
      <c r="A3435" s="46" t="s">
        <v>12471</v>
      </c>
      <c r="B3435" s="30" t="s">
        <v>55</v>
      </c>
      <c r="C3435" s="69" t="str">
        <f t="shared" si="311"/>
        <v>Closed</v>
      </c>
      <c r="D3435" s="244" t="s">
        <v>19807</v>
      </c>
      <c r="E3435" s="38" t="s">
        <v>19808</v>
      </c>
      <c r="F3435" s="46" t="s">
        <v>6455</v>
      </c>
      <c r="G3435" s="88">
        <f>DATE(2022,2,14)</f>
        <v>44606</v>
      </c>
      <c r="H3435" s="142">
        <v>1.6909722222222223</v>
      </c>
      <c r="I3435" s="46" t="s">
        <v>198</v>
      </c>
      <c r="J3435" s="228" t="s">
        <v>19809</v>
      </c>
      <c r="K3435" s="46" t="s">
        <v>584</v>
      </c>
      <c r="L3435" s="46" t="s">
        <v>19810</v>
      </c>
      <c r="M3435" s="46" t="s">
        <v>63</v>
      </c>
      <c r="N3435" s="46" t="s">
        <v>99</v>
      </c>
      <c r="O3435" s="46" t="s">
        <v>64</v>
      </c>
      <c r="P3435" s="46" t="s">
        <v>165</v>
      </c>
      <c r="Q3435" s="46" t="s">
        <v>4487</v>
      </c>
      <c r="R3435" s="46" t="s">
        <v>587</v>
      </c>
      <c r="S3435" s="46">
        <v>0</v>
      </c>
      <c r="T3435" s="46">
        <v>1</v>
      </c>
      <c r="U3435" s="46">
        <v>0</v>
      </c>
      <c r="V3435" s="46">
        <v>0</v>
      </c>
      <c r="W3435" s="46">
        <v>0</v>
      </c>
      <c r="X3435" s="46">
        <v>1</v>
      </c>
      <c r="Y3435" s="46">
        <v>10</v>
      </c>
      <c r="Z3435" s="46">
        <v>0</v>
      </c>
      <c r="AA3435" s="46">
        <v>0</v>
      </c>
      <c r="AB3435" s="46">
        <v>0</v>
      </c>
      <c r="AC3435" s="46">
        <v>0</v>
      </c>
      <c r="AD3435" s="46">
        <v>10</v>
      </c>
      <c r="AE3435" s="46" t="s">
        <v>145</v>
      </c>
      <c r="AF3435" s="223" t="s">
        <v>19811</v>
      </c>
      <c r="AG3435" s="46" t="s">
        <v>6459</v>
      </c>
      <c r="AH3435" s="72">
        <v>44606</v>
      </c>
      <c r="AI3435" s="46">
        <v>2</v>
      </c>
      <c r="AJ3435" s="46" t="s">
        <v>19812</v>
      </c>
      <c r="AK3435" s="46" t="s">
        <v>19813</v>
      </c>
      <c r="AL3435" s="157">
        <v>44620</v>
      </c>
      <c r="AM3435" s="157">
        <v>45709</v>
      </c>
      <c r="AN3435" s="157">
        <v>46013</v>
      </c>
      <c r="AO3435" s="157">
        <v>45988</v>
      </c>
    </row>
    <row r="3436" spans="1:55" ht="36.75" customHeight="1">
      <c r="A3436" s="46" t="s">
        <v>12471</v>
      </c>
      <c r="B3436" s="30" t="s">
        <v>55</v>
      </c>
      <c r="C3436" s="69" t="str">
        <f t="shared" si="311"/>
        <v>Closed</v>
      </c>
      <c r="D3436" s="243" t="s">
        <v>19814</v>
      </c>
      <c r="E3436" s="38" t="s">
        <v>19815</v>
      </c>
      <c r="F3436" s="53" t="s">
        <v>16429</v>
      </c>
      <c r="G3436" s="88">
        <f>DATE(2022,2,17)</f>
        <v>44609</v>
      </c>
      <c r="H3436" s="142">
        <v>1.3138888888888889</v>
      </c>
      <c r="I3436" s="46" t="s">
        <v>156</v>
      </c>
      <c r="J3436" s="46" t="s">
        <v>19816</v>
      </c>
      <c r="K3436" s="46" t="s">
        <v>425</v>
      </c>
      <c r="L3436" s="46" t="s">
        <v>19817</v>
      </c>
      <c r="M3436" s="46" t="s">
        <v>63</v>
      </c>
      <c r="N3436" s="46" t="s">
        <v>99</v>
      </c>
      <c r="O3436" s="46" t="s">
        <v>64</v>
      </c>
      <c r="P3436" s="46" t="s">
        <v>165</v>
      </c>
      <c r="Q3436" s="46" t="s">
        <v>18516</v>
      </c>
      <c r="R3436" s="46" t="s">
        <v>17369</v>
      </c>
      <c r="S3436" s="46">
        <v>0</v>
      </c>
      <c r="T3436" s="46">
        <v>0</v>
      </c>
      <c r="U3436" s="46">
        <v>0</v>
      </c>
      <c r="V3436" s="46">
        <v>0</v>
      </c>
      <c r="W3436" s="46">
        <v>0</v>
      </c>
      <c r="X3436" s="46">
        <v>0</v>
      </c>
      <c r="Y3436" s="46">
        <v>0</v>
      </c>
      <c r="Z3436" s="46">
        <v>0</v>
      </c>
      <c r="AA3436" s="46">
        <v>0</v>
      </c>
      <c r="AB3436" s="46">
        <v>0</v>
      </c>
      <c r="AC3436" s="46">
        <v>0</v>
      </c>
      <c r="AD3436" s="46">
        <v>0</v>
      </c>
      <c r="AE3436" s="46" t="s">
        <v>92</v>
      </c>
      <c r="AF3436" s="46" t="s">
        <v>19818</v>
      </c>
      <c r="AG3436" s="46" t="s">
        <v>17370</v>
      </c>
      <c r="AH3436" s="72">
        <v>44609</v>
      </c>
      <c r="AI3436" s="46">
        <v>1</v>
      </c>
      <c r="AJ3436" s="46" t="s">
        <v>19819</v>
      </c>
      <c r="AK3436" s="46" t="s">
        <v>879</v>
      </c>
      <c r="AL3436" s="157">
        <v>44614</v>
      </c>
      <c r="AM3436" s="157">
        <v>45350</v>
      </c>
      <c r="AN3436" s="157">
        <v>45489</v>
      </c>
      <c r="AO3436" s="157">
        <v>45483</v>
      </c>
    </row>
    <row r="3437" spans="1:55" ht="36.75" customHeight="1">
      <c r="A3437" s="46" t="s">
        <v>12471</v>
      </c>
      <c r="B3437" s="30" t="s">
        <v>55</v>
      </c>
      <c r="C3437" s="69" t="str">
        <f t="shared" si="311"/>
        <v>Closed</v>
      </c>
      <c r="D3437" s="36" t="s">
        <v>19820</v>
      </c>
      <c r="E3437" s="54" t="s">
        <v>19821</v>
      </c>
      <c r="F3437" s="53" t="s">
        <v>17682</v>
      </c>
      <c r="G3437" s="88">
        <f>DATE(2022,2,19)</f>
        <v>44611</v>
      </c>
      <c r="H3437" s="142">
        <v>1.0694444444444444</v>
      </c>
      <c r="I3437" s="53" t="s">
        <v>73</v>
      </c>
      <c r="J3437" s="46" t="s">
        <v>19822</v>
      </c>
      <c r="K3437" s="46" t="s">
        <v>1574</v>
      </c>
      <c r="L3437" s="46" t="s">
        <v>19823</v>
      </c>
      <c r="M3437" s="53" t="s">
        <v>63</v>
      </c>
      <c r="N3437" s="53" t="s">
        <v>142</v>
      </c>
      <c r="O3437" s="53" t="s">
        <v>77</v>
      </c>
      <c r="P3437" s="53" t="s">
        <v>78</v>
      </c>
      <c r="Q3437" s="53" t="s">
        <v>19824</v>
      </c>
      <c r="R3437" s="53" t="s">
        <v>19007</v>
      </c>
      <c r="S3437" s="53">
        <v>0</v>
      </c>
      <c r="T3437" s="53">
        <v>0</v>
      </c>
      <c r="U3437" s="53">
        <v>0</v>
      </c>
      <c r="V3437" s="53">
        <v>0</v>
      </c>
      <c r="W3437" s="53">
        <v>0</v>
      </c>
      <c r="X3437" s="53">
        <v>0</v>
      </c>
      <c r="Y3437" s="53">
        <v>0</v>
      </c>
      <c r="Z3437" s="53">
        <v>0</v>
      </c>
      <c r="AA3437" s="53">
        <v>0</v>
      </c>
      <c r="AB3437" s="53">
        <v>0</v>
      </c>
      <c r="AC3437" s="53">
        <v>0</v>
      </c>
      <c r="AD3437" s="53">
        <v>0</v>
      </c>
      <c r="AE3437" s="53" t="s">
        <v>92</v>
      </c>
      <c r="AF3437" s="46" t="s">
        <v>19825</v>
      </c>
      <c r="AG3437" s="46" t="s">
        <v>8859</v>
      </c>
      <c r="AH3437" s="72">
        <v>44613</v>
      </c>
      <c r="AI3437" s="53">
        <v>1</v>
      </c>
      <c r="AJ3437" s="200" t="s">
        <v>19826</v>
      </c>
      <c r="AK3437" s="61" t="s">
        <v>19827</v>
      </c>
      <c r="AL3437" s="157">
        <v>44613</v>
      </c>
      <c r="AM3437" s="53"/>
      <c r="AN3437" s="157">
        <v>44984</v>
      </c>
      <c r="AO3437" s="157">
        <v>44974</v>
      </c>
    </row>
    <row r="3438" spans="1:55" ht="36.75" customHeight="1">
      <c r="A3438" s="46" t="s">
        <v>12471</v>
      </c>
      <c r="B3438" s="30" t="s">
        <v>55</v>
      </c>
      <c r="C3438" s="69" t="str">
        <f t="shared" si="311"/>
        <v>Closed</v>
      </c>
      <c r="D3438" s="36" t="s">
        <v>19828</v>
      </c>
      <c r="E3438" s="38" t="s">
        <v>19829</v>
      </c>
      <c r="F3438" s="53" t="s">
        <v>16429</v>
      </c>
      <c r="G3438" s="88">
        <f>DATE(2022,2,21)</f>
        <v>44613</v>
      </c>
      <c r="H3438" s="142">
        <v>1.5638888888888889</v>
      </c>
      <c r="I3438" s="46" t="s">
        <v>73</v>
      </c>
      <c r="J3438" s="46" t="s">
        <v>19830</v>
      </c>
      <c r="K3438" s="46" t="s">
        <v>425</v>
      </c>
      <c r="L3438" s="46" t="s">
        <v>19831</v>
      </c>
      <c r="M3438" s="46" t="s">
        <v>63</v>
      </c>
      <c r="N3438" s="46" t="s">
        <v>99</v>
      </c>
      <c r="O3438" s="46" t="s">
        <v>77</v>
      </c>
      <c r="P3438" s="46" t="s">
        <v>165</v>
      </c>
      <c r="Q3438" s="46" t="s">
        <v>18615</v>
      </c>
      <c r="R3438" s="46" t="s">
        <v>17369</v>
      </c>
      <c r="S3438" s="46">
        <v>0</v>
      </c>
      <c r="T3438" s="46">
        <v>0</v>
      </c>
      <c r="U3438" s="46">
        <v>0</v>
      </c>
      <c r="V3438" s="46">
        <v>0</v>
      </c>
      <c r="W3438" s="46">
        <v>0</v>
      </c>
      <c r="X3438" s="46">
        <v>0</v>
      </c>
      <c r="Y3438" s="46">
        <v>0</v>
      </c>
      <c r="Z3438" s="46">
        <v>0</v>
      </c>
      <c r="AA3438" s="46">
        <v>0</v>
      </c>
      <c r="AB3438" s="46">
        <v>0</v>
      </c>
      <c r="AC3438" s="46">
        <v>0</v>
      </c>
      <c r="AD3438" s="46">
        <v>0</v>
      </c>
      <c r="AE3438" s="46" t="s">
        <v>92</v>
      </c>
      <c r="AF3438" s="46" t="s">
        <v>19832</v>
      </c>
      <c r="AG3438" s="46" t="s">
        <v>19364</v>
      </c>
      <c r="AH3438" s="72">
        <v>44613</v>
      </c>
      <c r="AI3438" s="46">
        <v>0</v>
      </c>
      <c r="AJ3438" s="46" t="s">
        <v>19833</v>
      </c>
      <c r="AK3438" s="46" t="s">
        <v>18245</v>
      </c>
      <c r="AL3438" s="157">
        <v>44615</v>
      </c>
      <c r="AM3438" s="46"/>
      <c r="AN3438" s="157">
        <v>44942</v>
      </c>
      <c r="AO3438" s="157">
        <v>44908</v>
      </c>
    </row>
    <row r="3439" spans="1:55" ht="36.75" customHeight="1">
      <c r="A3439" s="46" t="s">
        <v>12471</v>
      </c>
      <c r="B3439" s="30" t="s">
        <v>55</v>
      </c>
      <c r="C3439" s="69" t="str">
        <f t="shared" si="311"/>
        <v>Closed</v>
      </c>
      <c r="D3439" s="37" t="s">
        <v>19834</v>
      </c>
      <c r="E3439" s="38" t="s">
        <v>19835</v>
      </c>
      <c r="F3439" s="46" t="s">
        <v>6455</v>
      </c>
      <c r="G3439" s="88">
        <f>DATE(2022,2,23)</f>
        <v>44615</v>
      </c>
      <c r="H3439" s="142">
        <v>1.9041666666666668</v>
      </c>
      <c r="I3439" s="46" t="s">
        <v>73</v>
      </c>
      <c r="J3439" s="46" t="s">
        <v>19836</v>
      </c>
      <c r="K3439" s="46" t="s">
        <v>584</v>
      </c>
      <c r="L3439" s="46" t="s">
        <v>19837</v>
      </c>
      <c r="M3439" s="46" t="s">
        <v>63</v>
      </c>
      <c r="N3439" s="46" t="s">
        <v>142</v>
      </c>
      <c r="O3439" s="46" t="s">
        <v>77</v>
      </c>
      <c r="P3439" s="46" t="s">
        <v>165</v>
      </c>
      <c r="Q3439" s="46" t="s">
        <v>4487</v>
      </c>
      <c r="R3439" s="46" t="s">
        <v>587</v>
      </c>
      <c r="S3439" s="46">
        <v>0</v>
      </c>
      <c r="T3439" s="46">
        <v>0</v>
      </c>
      <c r="U3439" s="46">
        <v>0</v>
      </c>
      <c r="V3439" s="46">
        <v>0</v>
      </c>
      <c r="W3439" s="46">
        <v>0</v>
      </c>
      <c r="X3439" s="46">
        <v>0</v>
      </c>
      <c r="Y3439" s="46">
        <v>0</v>
      </c>
      <c r="Z3439" s="46">
        <v>0</v>
      </c>
      <c r="AA3439" s="46">
        <v>0</v>
      </c>
      <c r="AB3439" s="46">
        <v>0</v>
      </c>
      <c r="AC3439" s="46">
        <v>0</v>
      </c>
      <c r="AD3439" s="46">
        <v>0</v>
      </c>
      <c r="AE3439" s="46" t="s">
        <v>145</v>
      </c>
      <c r="AF3439" s="46" t="s">
        <v>19838</v>
      </c>
      <c r="AG3439" s="46" t="s">
        <v>8859</v>
      </c>
      <c r="AH3439" s="72">
        <v>44615</v>
      </c>
      <c r="AI3439" s="46">
        <v>1</v>
      </c>
      <c r="AJ3439" s="46" t="s">
        <v>19839</v>
      </c>
      <c r="AK3439" s="46" t="s">
        <v>19840</v>
      </c>
      <c r="AL3439" s="157">
        <v>44643</v>
      </c>
      <c r="AM3439" s="157">
        <v>45372</v>
      </c>
      <c r="AN3439" s="157">
        <v>45483</v>
      </c>
      <c r="AO3439" s="157">
        <v>45434</v>
      </c>
    </row>
    <row r="3440" spans="1:55" ht="36.75" customHeight="1">
      <c r="A3440" s="46" t="s">
        <v>12471</v>
      </c>
      <c r="B3440" s="30" t="s">
        <v>55</v>
      </c>
      <c r="C3440" s="69" t="str">
        <f t="shared" si="311"/>
        <v>Closed</v>
      </c>
      <c r="D3440" s="36" t="s">
        <v>19841</v>
      </c>
      <c r="E3440" s="38" t="s">
        <v>19842</v>
      </c>
      <c r="F3440" s="46" t="s">
        <v>17682</v>
      </c>
      <c r="G3440" s="88">
        <f>DATE(2022,2,24)</f>
        <v>44616</v>
      </c>
      <c r="H3440" s="142">
        <v>1.3576388888888888</v>
      </c>
      <c r="I3440" s="46" t="s">
        <v>73</v>
      </c>
      <c r="J3440" s="46" t="s">
        <v>19843</v>
      </c>
      <c r="K3440" s="46" t="s">
        <v>1574</v>
      </c>
      <c r="L3440" s="46" t="s">
        <v>19844</v>
      </c>
      <c r="M3440" s="46" t="s">
        <v>63</v>
      </c>
      <c r="N3440" s="46" t="s">
        <v>99</v>
      </c>
      <c r="O3440" s="46" t="s">
        <v>64</v>
      </c>
      <c r="P3440" s="46" t="s">
        <v>78</v>
      </c>
      <c r="Q3440" s="46" t="s">
        <v>18063</v>
      </c>
      <c r="R3440" s="46" t="s">
        <v>19007</v>
      </c>
      <c r="S3440" s="46">
        <v>0</v>
      </c>
      <c r="T3440" s="46">
        <v>0</v>
      </c>
      <c r="U3440" s="46">
        <v>0</v>
      </c>
      <c r="V3440" s="46">
        <v>0</v>
      </c>
      <c r="W3440" s="46">
        <v>0</v>
      </c>
      <c r="X3440" s="46">
        <v>0</v>
      </c>
      <c r="Y3440" s="46">
        <v>0</v>
      </c>
      <c r="Z3440" s="46">
        <v>0</v>
      </c>
      <c r="AA3440" s="46">
        <v>0</v>
      </c>
      <c r="AB3440" s="46">
        <v>0</v>
      </c>
      <c r="AC3440" s="46">
        <v>0</v>
      </c>
      <c r="AD3440" s="46">
        <v>0</v>
      </c>
      <c r="AE3440" s="46" t="s">
        <v>92</v>
      </c>
      <c r="AF3440" s="46" t="s">
        <v>19845</v>
      </c>
      <c r="AG3440" s="46" t="s">
        <v>8859</v>
      </c>
      <c r="AH3440" s="72">
        <v>44617</v>
      </c>
      <c r="AI3440" s="46">
        <v>1</v>
      </c>
      <c r="AJ3440" s="46" t="s">
        <v>19846</v>
      </c>
      <c r="AK3440" s="46" t="s">
        <v>19847</v>
      </c>
      <c r="AL3440" s="157">
        <v>44617</v>
      </c>
      <c r="AM3440" s="46"/>
      <c r="AN3440" s="157">
        <v>44986</v>
      </c>
      <c r="AO3440" s="157">
        <v>44980</v>
      </c>
    </row>
    <row r="3441" spans="1:55" ht="36.75" customHeight="1">
      <c r="A3441" s="46" t="s">
        <v>12471</v>
      </c>
      <c r="B3441" s="30" t="s">
        <v>14882</v>
      </c>
      <c r="C3441" s="69" t="str">
        <f t="shared" si="311"/>
        <v>In progress</v>
      </c>
      <c r="D3441" s="36" t="s">
        <v>19848</v>
      </c>
      <c r="E3441" s="38" t="s">
        <v>19849</v>
      </c>
      <c r="F3441" s="46" t="s">
        <v>16310</v>
      </c>
      <c r="G3441" s="88">
        <f>DATE(2022,2,24)</f>
        <v>44616</v>
      </c>
      <c r="H3441" s="142">
        <v>1.4375</v>
      </c>
      <c r="I3441" s="46" t="s">
        <v>116</v>
      </c>
      <c r="J3441" s="46" t="s">
        <v>19850</v>
      </c>
      <c r="K3441" s="46" t="s">
        <v>118</v>
      </c>
      <c r="L3441" s="46" t="s">
        <v>19851</v>
      </c>
      <c r="M3441" s="46" t="s">
        <v>63</v>
      </c>
      <c r="N3441" s="46" t="s">
        <v>142</v>
      </c>
      <c r="O3441" s="46" t="s">
        <v>64</v>
      </c>
      <c r="P3441" s="46" t="s">
        <v>165</v>
      </c>
      <c r="Q3441" s="46" t="s">
        <v>16313</v>
      </c>
      <c r="R3441" s="46" t="s">
        <v>18214</v>
      </c>
      <c r="S3441" s="46">
        <v>1</v>
      </c>
      <c r="T3441" s="46">
        <v>0</v>
      </c>
      <c r="U3441" s="46">
        <v>0</v>
      </c>
      <c r="V3441" s="46">
        <v>0</v>
      </c>
      <c r="W3441" s="46">
        <v>0</v>
      </c>
      <c r="X3441" s="46">
        <v>1</v>
      </c>
      <c r="Y3441" s="46">
        <v>0</v>
      </c>
      <c r="Z3441" s="46">
        <v>0</v>
      </c>
      <c r="AA3441" s="46">
        <v>0</v>
      </c>
      <c r="AB3441" s="46">
        <v>0</v>
      </c>
      <c r="AC3441" s="46">
        <v>0</v>
      </c>
      <c r="AD3441" s="46">
        <v>0</v>
      </c>
      <c r="AE3441" s="46" t="s">
        <v>145</v>
      </c>
      <c r="AF3441" s="46" t="s">
        <v>19852</v>
      </c>
      <c r="AG3441" s="46" t="s">
        <v>8859</v>
      </c>
      <c r="AH3441" s="72">
        <v>44629</v>
      </c>
      <c r="AI3441" s="46"/>
      <c r="AJ3441" s="46"/>
      <c r="AK3441" s="46"/>
      <c r="AL3441" s="157">
        <v>44658</v>
      </c>
      <c r="AM3441" s="157">
        <v>45208</v>
      </c>
      <c r="AN3441" s="169"/>
      <c r="AO3441" s="169"/>
      <c r="AP3441" s="46"/>
      <c r="AQ3441" s="46"/>
      <c r="AR3441" s="46"/>
      <c r="AS3441" s="46"/>
      <c r="AT3441" s="46"/>
      <c r="AU3441" s="46"/>
      <c r="AV3441" s="46"/>
      <c r="AW3441" s="46"/>
      <c r="AX3441" s="46"/>
      <c r="AY3441" s="46"/>
      <c r="AZ3441" s="46"/>
      <c r="BA3441" s="46"/>
      <c r="BB3441" s="46"/>
      <c r="BC3441" s="46"/>
    </row>
    <row r="3442" spans="1:55" ht="36.75" customHeight="1">
      <c r="A3442" s="46" t="s">
        <v>12471</v>
      </c>
      <c r="B3442" s="30" t="s">
        <v>55</v>
      </c>
      <c r="C3442" s="69" t="str">
        <f t="shared" si="311"/>
        <v>Closed</v>
      </c>
      <c r="D3442" s="36" t="s">
        <v>19853</v>
      </c>
      <c r="E3442" s="38" t="s">
        <v>19854</v>
      </c>
      <c r="F3442" s="46" t="s">
        <v>17682</v>
      </c>
      <c r="G3442" s="88">
        <f>DATE(2022,2,25)</f>
        <v>44617</v>
      </c>
      <c r="H3442" s="142">
        <v>1.4722222222222223</v>
      </c>
      <c r="I3442" s="46" t="s">
        <v>73</v>
      </c>
      <c r="J3442" s="46" t="s">
        <v>19855</v>
      </c>
      <c r="K3442" s="46" t="s">
        <v>1574</v>
      </c>
      <c r="L3442" s="46" t="s">
        <v>19107</v>
      </c>
      <c r="M3442" s="46" t="s">
        <v>63</v>
      </c>
      <c r="N3442" s="46" t="s">
        <v>142</v>
      </c>
      <c r="O3442" s="46" t="s">
        <v>77</v>
      </c>
      <c r="P3442" s="46" t="s">
        <v>78</v>
      </c>
      <c r="Q3442" s="46" t="s">
        <v>19856</v>
      </c>
      <c r="R3442" s="46" t="s">
        <v>19007</v>
      </c>
      <c r="S3442" s="46">
        <v>0</v>
      </c>
      <c r="T3442" s="46">
        <v>0</v>
      </c>
      <c r="U3442" s="46">
        <v>0</v>
      </c>
      <c r="V3442" s="46">
        <v>0</v>
      </c>
      <c r="W3442" s="46">
        <v>0</v>
      </c>
      <c r="X3442" s="46">
        <v>0</v>
      </c>
      <c r="Y3442" s="46">
        <v>0</v>
      </c>
      <c r="Z3442" s="46">
        <v>0</v>
      </c>
      <c r="AA3442" s="46">
        <v>0</v>
      </c>
      <c r="AB3442" s="46">
        <v>0</v>
      </c>
      <c r="AC3442" s="46">
        <v>0</v>
      </c>
      <c r="AD3442" s="46">
        <v>0</v>
      </c>
      <c r="AE3442" s="46" t="s">
        <v>92</v>
      </c>
      <c r="AF3442" s="46" t="s">
        <v>19857</v>
      </c>
      <c r="AG3442" s="46" t="s">
        <v>8859</v>
      </c>
      <c r="AH3442" s="72">
        <v>44620</v>
      </c>
      <c r="AI3442" s="46">
        <v>0</v>
      </c>
      <c r="AJ3442" s="46" t="s">
        <v>19858</v>
      </c>
      <c r="AK3442" s="46" t="s">
        <v>19859</v>
      </c>
      <c r="AL3442" s="157">
        <v>44621</v>
      </c>
      <c r="AM3442" s="46"/>
      <c r="AN3442" s="157">
        <v>44991</v>
      </c>
      <c r="AO3442" s="157">
        <v>44980</v>
      </c>
    </row>
    <row r="3443" spans="1:55" ht="36.75" customHeight="1">
      <c r="A3443" s="46" t="s">
        <v>12471</v>
      </c>
      <c r="B3443" s="30" t="s">
        <v>55</v>
      </c>
      <c r="C3443" s="69" t="str">
        <f t="shared" si="311"/>
        <v>Closed</v>
      </c>
      <c r="D3443" s="37" t="s">
        <v>19860</v>
      </c>
      <c r="E3443" s="38" t="s">
        <v>19861</v>
      </c>
      <c r="F3443" s="46" t="s">
        <v>16429</v>
      </c>
      <c r="G3443" s="88">
        <f>DATE(2022,3,10)</f>
        <v>44630</v>
      </c>
      <c r="H3443" s="142">
        <v>1.4125000000000001</v>
      </c>
      <c r="I3443" s="46" t="s">
        <v>198</v>
      </c>
      <c r="J3443" s="46" t="s">
        <v>19862</v>
      </c>
      <c r="K3443" s="46" t="s">
        <v>425</v>
      </c>
      <c r="L3443" s="46" t="s">
        <v>19863</v>
      </c>
      <c r="M3443" s="46" t="s">
        <v>63</v>
      </c>
      <c r="N3443" s="46" t="s">
        <v>99</v>
      </c>
      <c r="O3443" s="46" t="s">
        <v>64</v>
      </c>
      <c r="P3443" s="46" t="s">
        <v>78</v>
      </c>
      <c r="Q3443" s="46" t="s">
        <v>18098</v>
      </c>
      <c r="R3443" s="46" t="s">
        <v>17369</v>
      </c>
      <c r="S3443" s="46">
        <v>0</v>
      </c>
      <c r="T3443" s="46">
        <v>0</v>
      </c>
      <c r="U3443" s="46">
        <v>0</v>
      </c>
      <c r="V3443" s="46">
        <v>0</v>
      </c>
      <c r="W3443" s="46">
        <v>0</v>
      </c>
      <c r="X3443" s="46">
        <v>0</v>
      </c>
      <c r="Y3443" s="46">
        <v>0</v>
      </c>
      <c r="Z3443" s="46">
        <v>0</v>
      </c>
      <c r="AA3443" s="46">
        <v>0</v>
      </c>
      <c r="AB3443" s="46">
        <v>0</v>
      </c>
      <c r="AC3443" s="46">
        <v>0</v>
      </c>
      <c r="AD3443" s="46">
        <v>0</v>
      </c>
      <c r="AE3443" s="46" t="s">
        <v>16435</v>
      </c>
      <c r="AF3443" s="46" t="s">
        <v>19864</v>
      </c>
      <c r="AG3443" s="46" t="s">
        <v>16283</v>
      </c>
      <c r="AH3443" s="72">
        <v>44630</v>
      </c>
      <c r="AI3443" s="46">
        <v>1</v>
      </c>
      <c r="AJ3443" s="46" t="s">
        <v>19865</v>
      </c>
      <c r="AK3443" s="46" t="s">
        <v>879</v>
      </c>
      <c r="AL3443" s="157">
        <v>44632</v>
      </c>
      <c r="AM3443" s="46"/>
      <c r="AN3443" s="157">
        <v>45394</v>
      </c>
      <c r="AO3443" s="157">
        <v>45393</v>
      </c>
      <c r="AP3443" s="46"/>
      <c r="AQ3443" s="46"/>
      <c r="AR3443" s="46"/>
      <c r="AS3443" s="46"/>
      <c r="AT3443" s="46"/>
      <c r="AU3443" s="46"/>
      <c r="AV3443" s="46"/>
      <c r="AW3443" s="46"/>
      <c r="AX3443" s="46"/>
      <c r="AY3443" s="46"/>
      <c r="AZ3443" s="46"/>
      <c r="BA3443" s="46"/>
      <c r="BB3443" s="46"/>
      <c r="BC3443" s="46"/>
    </row>
    <row r="3444" spans="1:55" ht="36.75" customHeight="1">
      <c r="A3444" s="46" t="s">
        <v>12471</v>
      </c>
      <c r="B3444" s="30" t="s">
        <v>55</v>
      </c>
      <c r="C3444" s="69" t="str">
        <f t="shared" si="311"/>
        <v>Closed</v>
      </c>
      <c r="D3444" s="36" t="s">
        <v>19866</v>
      </c>
      <c r="E3444" s="38" t="s">
        <v>19867</v>
      </c>
      <c r="F3444" s="46" t="s">
        <v>19868</v>
      </c>
      <c r="G3444" s="88">
        <f>DATE(2022,3,11)</f>
        <v>44631</v>
      </c>
      <c r="H3444" s="142">
        <v>1.7326388888888888</v>
      </c>
      <c r="I3444" s="46" t="s">
        <v>116</v>
      </c>
      <c r="J3444" s="46" t="s">
        <v>19869</v>
      </c>
      <c r="K3444" s="46" t="s">
        <v>1751</v>
      </c>
      <c r="L3444" s="46" t="s">
        <v>19870</v>
      </c>
      <c r="M3444" s="46" t="s">
        <v>63</v>
      </c>
      <c r="N3444" s="46" t="s">
        <v>99</v>
      </c>
      <c r="O3444" s="46" t="s">
        <v>77</v>
      </c>
      <c r="P3444" s="46" t="s">
        <v>165</v>
      </c>
      <c r="Q3444" s="46" t="s">
        <v>19871</v>
      </c>
      <c r="R3444" s="46" t="s">
        <v>19872</v>
      </c>
      <c r="S3444" s="46">
        <v>0</v>
      </c>
      <c r="T3444" s="46">
        <v>0</v>
      </c>
      <c r="U3444" s="46">
        <v>0</v>
      </c>
      <c r="V3444" s="46">
        <v>0</v>
      </c>
      <c r="W3444" s="46">
        <v>0</v>
      </c>
      <c r="X3444" s="46">
        <v>0</v>
      </c>
      <c r="Y3444" s="46">
        <v>2</v>
      </c>
      <c r="Z3444" s="46">
        <v>0</v>
      </c>
      <c r="AA3444" s="46">
        <v>0</v>
      </c>
      <c r="AB3444" s="46">
        <v>0</v>
      </c>
      <c r="AC3444" s="46">
        <v>0</v>
      </c>
      <c r="AD3444" s="46">
        <v>2</v>
      </c>
      <c r="AE3444" s="46" t="s">
        <v>145</v>
      </c>
      <c r="AF3444" s="46" t="s">
        <v>19873</v>
      </c>
      <c r="AG3444" s="46" t="s">
        <v>6459</v>
      </c>
      <c r="AH3444" s="72">
        <v>44641</v>
      </c>
      <c r="AI3444" s="46">
        <v>5</v>
      </c>
      <c r="AJ3444" s="46" t="s">
        <v>19869</v>
      </c>
      <c r="AK3444" s="46"/>
      <c r="AL3444" s="157">
        <v>44641</v>
      </c>
      <c r="AM3444" s="46"/>
      <c r="AN3444" s="157">
        <v>44958</v>
      </c>
      <c r="AO3444" s="157">
        <v>44956</v>
      </c>
    </row>
    <row r="3445" spans="1:55" ht="36.75" customHeight="1">
      <c r="A3445" s="46" t="s">
        <v>12471</v>
      </c>
      <c r="B3445" s="30" t="s">
        <v>55</v>
      </c>
      <c r="C3445" s="69" t="str">
        <f t="shared" si="311"/>
        <v>Closed</v>
      </c>
      <c r="D3445" s="36" t="s">
        <v>19874</v>
      </c>
      <c r="E3445" s="38" t="s">
        <v>19875</v>
      </c>
      <c r="F3445" s="46" t="s">
        <v>17682</v>
      </c>
      <c r="G3445" s="88">
        <f>DATE(2022,3,13)</f>
        <v>44633</v>
      </c>
      <c r="H3445" s="142">
        <v>1.7777777777777777</v>
      </c>
      <c r="I3445" s="46" t="s">
        <v>73</v>
      </c>
      <c r="J3445" s="46" t="s">
        <v>19876</v>
      </c>
      <c r="K3445" s="46" t="s">
        <v>1574</v>
      </c>
      <c r="L3445" s="46" t="s">
        <v>19877</v>
      </c>
      <c r="M3445" s="46" t="s">
        <v>63</v>
      </c>
      <c r="N3445" s="46" t="s">
        <v>99</v>
      </c>
      <c r="O3445" s="46" t="s">
        <v>64</v>
      </c>
      <c r="P3445" s="46" t="s">
        <v>165</v>
      </c>
      <c r="Q3445" s="46" t="s">
        <v>19878</v>
      </c>
      <c r="R3445" s="46" t="s">
        <v>19879</v>
      </c>
      <c r="S3445" s="46">
        <v>0</v>
      </c>
      <c r="T3445" s="46">
        <v>0</v>
      </c>
      <c r="U3445" s="46">
        <v>0</v>
      </c>
      <c r="V3445" s="46">
        <v>0</v>
      </c>
      <c r="W3445" s="46">
        <v>0</v>
      </c>
      <c r="X3445" s="46">
        <v>0</v>
      </c>
      <c r="Y3445" s="46">
        <v>0</v>
      </c>
      <c r="Z3445" s="46">
        <v>0</v>
      </c>
      <c r="AA3445" s="46">
        <v>0</v>
      </c>
      <c r="AB3445" s="46">
        <v>0</v>
      </c>
      <c r="AC3445" s="46">
        <v>0</v>
      </c>
      <c r="AD3445" s="46">
        <v>0</v>
      </c>
      <c r="AE3445" s="46" t="s">
        <v>92</v>
      </c>
      <c r="AF3445" s="46" t="s">
        <v>19880</v>
      </c>
      <c r="AG3445" s="46" t="s">
        <v>8859</v>
      </c>
      <c r="AH3445" s="72">
        <v>44634</v>
      </c>
      <c r="AI3445" s="46">
        <v>0</v>
      </c>
      <c r="AJ3445" s="46" t="s">
        <v>19881</v>
      </c>
      <c r="AK3445" s="46" t="s">
        <v>19882</v>
      </c>
      <c r="AL3445" s="157">
        <v>44636</v>
      </c>
      <c r="AM3445" s="46"/>
      <c r="AN3445" s="157">
        <v>44991</v>
      </c>
      <c r="AO3445" s="157">
        <v>44986</v>
      </c>
    </row>
    <row r="3446" spans="1:55" ht="36.75" customHeight="1">
      <c r="A3446" s="46" t="s">
        <v>12471</v>
      </c>
      <c r="B3446" s="30" t="s">
        <v>55</v>
      </c>
      <c r="C3446" s="69" t="str">
        <f t="shared" si="311"/>
        <v>Closed</v>
      </c>
      <c r="D3446" s="36" t="s">
        <v>19883</v>
      </c>
      <c r="E3446" s="38" t="s">
        <v>19884</v>
      </c>
      <c r="F3446" s="46" t="s">
        <v>16429</v>
      </c>
      <c r="G3446" s="88">
        <f>DATE(2022,3,14)</f>
        <v>44634</v>
      </c>
      <c r="H3446" s="142">
        <v>1.35</v>
      </c>
      <c r="I3446" s="46" t="s">
        <v>73</v>
      </c>
      <c r="J3446" s="46" t="s">
        <v>19885</v>
      </c>
      <c r="K3446" s="46" t="s">
        <v>425</v>
      </c>
      <c r="L3446" s="46" t="s">
        <v>19886</v>
      </c>
      <c r="M3446" s="46" t="s">
        <v>63</v>
      </c>
      <c r="N3446" s="46" t="s">
        <v>142</v>
      </c>
      <c r="O3446" s="46" t="s">
        <v>77</v>
      </c>
      <c r="P3446" s="46" t="s">
        <v>78</v>
      </c>
      <c r="Q3446" s="46" t="s">
        <v>18098</v>
      </c>
      <c r="R3446" s="46" t="s">
        <v>17369</v>
      </c>
      <c r="S3446" s="46">
        <v>0</v>
      </c>
      <c r="T3446" s="46">
        <v>0</v>
      </c>
      <c r="U3446" s="46">
        <v>0</v>
      </c>
      <c r="V3446" s="46">
        <v>0</v>
      </c>
      <c r="W3446" s="46">
        <v>0</v>
      </c>
      <c r="X3446" s="46">
        <v>0</v>
      </c>
      <c r="Y3446" s="46">
        <v>0</v>
      </c>
      <c r="Z3446" s="46">
        <v>0</v>
      </c>
      <c r="AA3446" s="46">
        <v>0</v>
      </c>
      <c r="AB3446" s="46">
        <v>0</v>
      </c>
      <c r="AC3446" s="46">
        <v>0</v>
      </c>
      <c r="AD3446" s="46">
        <v>0</v>
      </c>
      <c r="AE3446" s="46" t="s">
        <v>16435</v>
      </c>
      <c r="AF3446" s="46" t="s">
        <v>19887</v>
      </c>
      <c r="AG3446" s="20" t="s">
        <v>16283</v>
      </c>
      <c r="AH3446" s="72">
        <v>44634</v>
      </c>
      <c r="AI3446" s="46">
        <v>0</v>
      </c>
      <c r="AJ3446" s="46" t="s">
        <v>19888</v>
      </c>
      <c r="AK3446" s="46" t="s">
        <v>879</v>
      </c>
      <c r="AL3446" s="157">
        <v>44635</v>
      </c>
      <c r="AM3446" s="46"/>
      <c r="AN3446" s="157">
        <v>44939</v>
      </c>
      <c r="AO3446" s="157">
        <v>44911</v>
      </c>
    </row>
    <row r="3447" spans="1:55" ht="36.75" customHeight="1">
      <c r="A3447" s="46" t="s">
        <v>12471</v>
      </c>
      <c r="B3447" s="30" t="s">
        <v>55</v>
      </c>
      <c r="C3447" s="69" t="str">
        <f t="shared" si="311"/>
        <v>Closed</v>
      </c>
      <c r="D3447" s="36" t="s">
        <v>19889</v>
      </c>
      <c r="E3447" s="38" t="s">
        <v>19890</v>
      </c>
      <c r="F3447" s="46" t="s">
        <v>16429</v>
      </c>
      <c r="G3447" s="88">
        <f>DATE(2022,3,18)</f>
        <v>44638</v>
      </c>
      <c r="H3447" s="142">
        <v>1.6736111111111112</v>
      </c>
      <c r="I3447" s="46" t="s">
        <v>73</v>
      </c>
      <c r="J3447" s="46" t="s">
        <v>19891</v>
      </c>
      <c r="K3447" s="46" t="s">
        <v>425</v>
      </c>
      <c r="L3447" s="46" t="s">
        <v>17875</v>
      </c>
      <c r="M3447" s="46" t="s">
        <v>63</v>
      </c>
      <c r="N3447" s="46" t="s">
        <v>142</v>
      </c>
      <c r="O3447" s="46" t="s">
        <v>77</v>
      </c>
      <c r="P3447" s="46" t="s">
        <v>91</v>
      </c>
      <c r="Q3447" s="46" t="s">
        <v>19892</v>
      </c>
      <c r="R3447" s="46" t="s">
        <v>17369</v>
      </c>
      <c r="S3447" s="46">
        <v>0</v>
      </c>
      <c r="T3447" s="46">
        <v>1</v>
      </c>
      <c r="U3447" s="46">
        <v>0</v>
      </c>
      <c r="V3447" s="46">
        <v>0</v>
      </c>
      <c r="W3447" s="46">
        <v>0</v>
      </c>
      <c r="X3447" s="46">
        <v>1</v>
      </c>
      <c r="Y3447" s="46">
        <v>0</v>
      </c>
      <c r="Z3447" s="46">
        <v>0</v>
      </c>
      <c r="AA3447" s="46">
        <v>0</v>
      </c>
      <c r="AB3447" s="46">
        <v>0</v>
      </c>
      <c r="AC3447" s="46">
        <v>0</v>
      </c>
      <c r="AD3447" s="46">
        <v>0</v>
      </c>
      <c r="AE3447" s="46" t="s">
        <v>92</v>
      </c>
      <c r="AF3447" s="46" t="s">
        <v>19893</v>
      </c>
      <c r="AG3447" s="46" t="s">
        <v>16283</v>
      </c>
      <c r="AH3447" s="72">
        <v>44638</v>
      </c>
      <c r="AI3447" s="46">
        <v>1</v>
      </c>
      <c r="AJ3447" s="46" t="s">
        <v>19894</v>
      </c>
      <c r="AK3447" s="46" t="s">
        <v>17938</v>
      </c>
      <c r="AL3447" s="157">
        <v>44642</v>
      </c>
      <c r="AM3447" s="46"/>
      <c r="AN3447" s="157">
        <v>45036</v>
      </c>
      <c r="AO3447" s="157">
        <v>45028</v>
      </c>
    </row>
    <row r="3448" spans="1:55" ht="36.75" customHeight="1">
      <c r="A3448" s="46" t="s">
        <v>12471</v>
      </c>
      <c r="B3448" s="30" t="s">
        <v>2124</v>
      </c>
      <c r="C3448" s="69" t="str">
        <f t="shared" si="311"/>
        <v>Open</v>
      </c>
      <c r="D3448" s="36" t="s">
        <v>19895</v>
      </c>
      <c r="E3448" s="38" t="s">
        <v>19896</v>
      </c>
      <c r="F3448" s="46" t="s">
        <v>16702</v>
      </c>
      <c r="G3448" s="88">
        <f>DATE(2022,3,19)</f>
        <v>44639</v>
      </c>
      <c r="H3448" s="142">
        <v>1.9479166666666665</v>
      </c>
      <c r="I3448" s="46" t="s">
        <v>2264</v>
      </c>
      <c r="J3448" s="46" t="s">
        <v>19897</v>
      </c>
      <c r="K3448" s="46" t="s">
        <v>596</v>
      </c>
      <c r="L3448" s="46" t="s">
        <v>19898</v>
      </c>
      <c r="M3448" s="46" t="s">
        <v>63</v>
      </c>
      <c r="N3448" s="46" t="s">
        <v>142</v>
      </c>
      <c r="O3448" s="46" t="s">
        <v>77</v>
      </c>
      <c r="P3448" s="46" t="s">
        <v>301</v>
      </c>
      <c r="Q3448" s="46" t="s">
        <v>19899</v>
      </c>
      <c r="R3448" s="46" t="s">
        <v>17293</v>
      </c>
      <c r="S3448" s="46"/>
      <c r="T3448" s="46"/>
      <c r="U3448" s="46"/>
      <c r="V3448" s="46"/>
      <c r="W3448" s="46"/>
      <c r="X3448" s="46">
        <v>0</v>
      </c>
      <c r="Y3448" s="46"/>
      <c r="Z3448" s="46"/>
      <c r="AA3448" s="46"/>
      <c r="AB3448" s="46"/>
      <c r="AC3448" s="46"/>
      <c r="AD3448" s="46">
        <v>0</v>
      </c>
      <c r="AE3448" s="46" t="s">
        <v>92</v>
      </c>
      <c r="AF3448" s="46" t="s">
        <v>712</v>
      </c>
      <c r="AG3448" s="46" t="s">
        <v>8859</v>
      </c>
      <c r="AH3448" s="72">
        <v>44680</v>
      </c>
      <c r="AI3448" s="46"/>
      <c r="AJ3448" s="46"/>
      <c r="AK3448" s="46"/>
      <c r="AL3448" s="157">
        <v>44683</v>
      </c>
      <c r="AM3448" s="46"/>
      <c r="AN3448" s="169"/>
      <c r="AO3448" s="169"/>
    </row>
    <row r="3449" spans="1:55" ht="36.75" customHeight="1">
      <c r="A3449" s="46" t="s">
        <v>12471</v>
      </c>
      <c r="B3449" s="30" t="s">
        <v>55</v>
      </c>
      <c r="C3449" s="69" t="str">
        <f t="shared" si="311"/>
        <v>Closed</v>
      </c>
      <c r="D3449" s="37" t="s">
        <v>19900</v>
      </c>
      <c r="E3449" s="38" t="s">
        <v>19901</v>
      </c>
      <c r="F3449" s="46" t="s">
        <v>18131</v>
      </c>
      <c r="G3449" s="88">
        <f>DATE(2022,3,19)</f>
        <v>44639</v>
      </c>
      <c r="H3449" s="142">
        <v>1.2465277777777777</v>
      </c>
      <c r="I3449" s="46" t="s">
        <v>198</v>
      </c>
      <c r="J3449" s="46" t="s">
        <v>19902</v>
      </c>
      <c r="K3449" s="46" t="s">
        <v>379</v>
      </c>
      <c r="L3449" s="46" t="s">
        <v>19903</v>
      </c>
      <c r="M3449" s="46" t="s">
        <v>63</v>
      </c>
      <c r="N3449" s="46" t="s">
        <v>142</v>
      </c>
      <c r="O3449" s="46" t="s">
        <v>64</v>
      </c>
      <c r="P3449" s="46" t="s">
        <v>78</v>
      </c>
      <c r="Q3449" s="46" t="s">
        <v>19904</v>
      </c>
      <c r="R3449" s="46" t="s">
        <v>17399</v>
      </c>
      <c r="S3449" s="46">
        <v>0</v>
      </c>
      <c r="T3449" s="46">
        <v>0</v>
      </c>
      <c r="U3449" s="46">
        <v>0</v>
      </c>
      <c r="V3449" s="46">
        <v>0</v>
      </c>
      <c r="W3449" s="46">
        <v>0</v>
      </c>
      <c r="X3449" s="46">
        <v>0</v>
      </c>
      <c r="Y3449" s="46">
        <v>0</v>
      </c>
      <c r="Z3449" s="46">
        <v>0</v>
      </c>
      <c r="AA3449" s="46">
        <v>0</v>
      </c>
      <c r="AB3449" s="46">
        <v>0</v>
      </c>
      <c r="AC3449" s="46">
        <v>0</v>
      </c>
      <c r="AD3449" s="46">
        <v>0</v>
      </c>
      <c r="AE3449" s="46" t="s">
        <v>92</v>
      </c>
      <c r="AF3449" s="46" t="s">
        <v>19905</v>
      </c>
      <c r="AG3449" s="46" t="s">
        <v>14033</v>
      </c>
      <c r="AH3449" s="72">
        <v>44754</v>
      </c>
      <c r="AI3449" s="46">
        <v>7</v>
      </c>
      <c r="AJ3449" s="46" t="s">
        <v>19906</v>
      </c>
      <c r="AK3449" s="46" t="s">
        <v>19907</v>
      </c>
      <c r="AL3449" s="157">
        <v>44771</v>
      </c>
      <c r="AM3449" s="46"/>
      <c r="AN3449" s="157">
        <v>45230</v>
      </c>
      <c r="AO3449" s="157">
        <v>45194</v>
      </c>
    </row>
    <row r="3450" spans="1:55" ht="36.75" customHeight="1">
      <c r="A3450" s="46" t="s">
        <v>12471</v>
      </c>
      <c r="B3450" s="30" t="s">
        <v>55</v>
      </c>
      <c r="C3450" s="69" t="str">
        <f t="shared" si="311"/>
        <v>Closed</v>
      </c>
      <c r="D3450" s="36" t="s">
        <v>19908</v>
      </c>
      <c r="E3450" s="38" t="s">
        <v>19909</v>
      </c>
      <c r="F3450" s="46" t="s">
        <v>16429</v>
      </c>
      <c r="G3450" s="88">
        <f>DATE(2022,3,23)</f>
        <v>44643</v>
      </c>
      <c r="H3450" s="142">
        <v>1.6354166666666665</v>
      </c>
      <c r="I3450" s="46" t="s">
        <v>73</v>
      </c>
      <c r="J3450" s="46" t="s">
        <v>19910</v>
      </c>
      <c r="K3450" s="46" t="s">
        <v>425</v>
      </c>
      <c r="L3450" s="46" t="s">
        <v>19911</v>
      </c>
      <c r="M3450" s="46" t="s">
        <v>63</v>
      </c>
      <c r="N3450" s="46" t="s">
        <v>99</v>
      </c>
      <c r="O3450" s="46" t="s">
        <v>77</v>
      </c>
      <c r="P3450" s="46" t="s">
        <v>165</v>
      </c>
      <c r="Q3450" s="46" t="s">
        <v>18516</v>
      </c>
      <c r="R3450" s="46" t="s">
        <v>17369</v>
      </c>
      <c r="S3450" s="46">
        <v>0</v>
      </c>
      <c r="T3450" s="46">
        <v>0</v>
      </c>
      <c r="U3450" s="46">
        <v>0</v>
      </c>
      <c r="V3450" s="46">
        <v>0</v>
      </c>
      <c r="W3450" s="46">
        <v>0</v>
      </c>
      <c r="X3450" s="46">
        <v>0</v>
      </c>
      <c r="Y3450" s="46">
        <v>0</v>
      </c>
      <c r="Z3450" s="46">
        <v>0</v>
      </c>
      <c r="AA3450" s="46">
        <v>0</v>
      </c>
      <c r="AB3450" s="46">
        <v>0</v>
      </c>
      <c r="AC3450" s="46">
        <v>0</v>
      </c>
      <c r="AD3450" s="46">
        <v>0</v>
      </c>
      <c r="AE3450" s="46" t="s">
        <v>92</v>
      </c>
      <c r="AF3450" s="46" t="s">
        <v>19912</v>
      </c>
      <c r="AG3450" s="46" t="s">
        <v>17370</v>
      </c>
      <c r="AH3450" s="72">
        <v>44643</v>
      </c>
      <c r="AI3450" s="46">
        <v>0</v>
      </c>
      <c r="AJ3450" s="46" t="s">
        <v>19913</v>
      </c>
      <c r="AK3450" s="46" t="s">
        <v>18245</v>
      </c>
      <c r="AL3450" s="157">
        <v>44645</v>
      </c>
      <c r="AM3450" s="46"/>
      <c r="AN3450" s="157">
        <v>44873</v>
      </c>
      <c r="AO3450" s="157">
        <v>44902</v>
      </c>
    </row>
    <row r="3451" spans="1:55" ht="36.75" customHeight="1">
      <c r="A3451" s="46" t="s">
        <v>12471</v>
      </c>
      <c r="B3451" s="30" t="s">
        <v>55</v>
      </c>
      <c r="C3451" s="69" t="str">
        <f t="shared" si="311"/>
        <v>Closed</v>
      </c>
      <c r="D3451" s="36" t="s">
        <v>19914</v>
      </c>
      <c r="E3451" s="38" t="s">
        <v>19915</v>
      </c>
      <c r="F3451" s="46" t="s">
        <v>17682</v>
      </c>
      <c r="G3451" s="88">
        <f>DATE(2022,3,24)</f>
        <v>44644</v>
      </c>
      <c r="H3451" s="142">
        <v>1.7916666666666665</v>
      </c>
      <c r="I3451" s="46" t="s">
        <v>73</v>
      </c>
      <c r="J3451" s="46" t="s">
        <v>19916</v>
      </c>
      <c r="K3451" s="46" t="s">
        <v>1574</v>
      </c>
      <c r="L3451" s="46" t="s">
        <v>19917</v>
      </c>
      <c r="M3451" s="46" t="s">
        <v>63</v>
      </c>
      <c r="N3451" s="46" t="s">
        <v>99</v>
      </c>
      <c r="O3451" s="46" t="s">
        <v>77</v>
      </c>
      <c r="P3451" s="46" t="s">
        <v>78</v>
      </c>
      <c r="Q3451" s="46" t="s">
        <v>19918</v>
      </c>
      <c r="R3451" s="46" t="s">
        <v>17686</v>
      </c>
      <c r="S3451" s="46">
        <v>0</v>
      </c>
      <c r="T3451" s="46">
        <v>0</v>
      </c>
      <c r="U3451" s="46">
        <v>0</v>
      </c>
      <c r="V3451" s="46">
        <v>0</v>
      </c>
      <c r="W3451" s="46">
        <v>0</v>
      </c>
      <c r="X3451" s="46">
        <v>0</v>
      </c>
      <c r="Y3451" s="46">
        <v>0</v>
      </c>
      <c r="Z3451" s="46">
        <v>0</v>
      </c>
      <c r="AA3451" s="46">
        <v>0</v>
      </c>
      <c r="AB3451" s="46">
        <v>0</v>
      </c>
      <c r="AC3451" s="46">
        <v>0</v>
      </c>
      <c r="AD3451" s="46">
        <v>0</v>
      </c>
      <c r="AE3451" s="46" t="s">
        <v>92</v>
      </c>
      <c r="AF3451" s="46" t="s">
        <v>19919</v>
      </c>
      <c r="AG3451" s="46" t="s">
        <v>8859</v>
      </c>
      <c r="AH3451" s="72">
        <v>44645</v>
      </c>
      <c r="AI3451" s="46">
        <v>1</v>
      </c>
      <c r="AJ3451" s="46" t="s">
        <v>19920</v>
      </c>
      <c r="AK3451" s="46" t="s">
        <v>19921</v>
      </c>
      <c r="AL3451" s="157">
        <v>44645</v>
      </c>
      <c r="AM3451" s="46"/>
      <c r="AN3451" s="157">
        <v>45020</v>
      </c>
      <c r="AO3451" s="157">
        <v>45006</v>
      </c>
      <c r="AP3451" s="46"/>
      <c r="AQ3451" s="46"/>
      <c r="AR3451" s="46"/>
      <c r="AS3451" s="46"/>
      <c r="AT3451" s="46"/>
      <c r="AU3451" s="46"/>
      <c r="AV3451" s="46"/>
      <c r="AW3451" s="46"/>
      <c r="AX3451" s="46"/>
      <c r="AY3451" s="46"/>
      <c r="AZ3451" s="46"/>
      <c r="BA3451" s="46"/>
      <c r="BB3451" s="46"/>
      <c r="BC3451" s="46"/>
    </row>
    <row r="3452" spans="1:55" ht="36.75" customHeight="1">
      <c r="A3452" s="46" t="s">
        <v>12471</v>
      </c>
      <c r="B3452" s="30" t="s">
        <v>55</v>
      </c>
      <c r="C3452" s="69" t="str">
        <f t="shared" si="311"/>
        <v>Closed</v>
      </c>
      <c r="D3452" s="36" t="s">
        <v>19922</v>
      </c>
      <c r="E3452" s="38" t="s">
        <v>19923</v>
      </c>
      <c r="F3452" s="46" t="s">
        <v>17773</v>
      </c>
      <c r="G3452" s="88">
        <f>DATE(2022,3,24)</f>
        <v>44644</v>
      </c>
      <c r="H3452" s="142">
        <v>1.65625</v>
      </c>
      <c r="I3452" s="46" t="s">
        <v>10375</v>
      </c>
      <c r="J3452" s="46" t="s">
        <v>19924</v>
      </c>
      <c r="K3452" s="46" t="s">
        <v>2603</v>
      </c>
      <c r="L3452" s="46" t="s">
        <v>19925</v>
      </c>
      <c r="M3452" s="46" t="s">
        <v>63</v>
      </c>
      <c r="N3452" s="46" t="s">
        <v>99</v>
      </c>
      <c r="O3452" s="46" t="s">
        <v>86</v>
      </c>
      <c r="P3452" s="46" t="s">
        <v>86</v>
      </c>
      <c r="Q3452" s="46" t="s">
        <v>19344</v>
      </c>
      <c r="R3452" s="46" t="s">
        <v>19926</v>
      </c>
      <c r="S3452" s="46">
        <v>0</v>
      </c>
      <c r="T3452" s="46">
        <v>1</v>
      </c>
      <c r="U3452" s="46">
        <v>0</v>
      </c>
      <c r="V3452" s="46">
        <v>0</v>
      </c>
      <c r="W3452" s="46">
        <v>0</v>
      </c>
      <c r="X3452" s="46">
        <v>1</v>
      </c>
      <c r="Y3452" s="46">
        <v>0</v>
      </c>
      <c r="Z3452" s="46">
        <v>0</v>
      </c>
      <c r="AA3452" s="46">
        <v>0</v>
      </c>
      <c r="AB3452" s="46">
        <v>0</v>
      </c>
      <c r="AC3452" s="46">
        <v>0</v>
      </c>
      <c r="AD3452" s="46">
        <v>0</v>
      </c>
      <c r="AE3452" s="46" t="s">
        <v>92</v>
      </c>
      <c r="AF3452" s="46" t="s">
        <v>19927</v>
      </c>
      <c r="AG3452" s="46" t="s">
        <v>8859</v>
      </c>
      <c r="AH3452" s="72">
        <v>44648</v>
      </c>
      <c r="AI3452" s="46">
        <v>5</v>
      </c>
      <c r="AJ3452" s="46" t="s">
        <v>19928</v>
      </c>
      <c r="AK3452" s="46" t="s">
        <v>19929</v>
      </c>
      <c r="AL3452" s="157">
        <v>44652</v>
      </c>
      <c r="AM3452" s="46"/>
      <c r="AN3452" s="157">
        <v>44775</v>
      </c>
      <c r="AO3452" s="161">
        <v>44767</v>
      </c>
      <c r="AP3452" s="46"/>
      <c r="AQ3452" s="46"/>
      <c r="AR3452" s="46"/>
      <c r="AS3452" s="46"/>
      <c r="AT3452" s="46"/>
      <c r="AU3452" s="46"/>
      <c r="AV3452" s="46"/>
      <c r="AW3452" s="46"/>
      <c r="AX3452" s="46"/>
      <c r="AY3452" s="46"/>
      <c r="AZ3452" s="46"/>
      <c r="BA3452" s="46"/>
      <c r="BB3452" s="46"/>
      <c r="BC3452" s="46"/>
    </row>
    <row r="3453" spans="1:55" ht="36.75" customHeight="1">
      <c r="A3453" s="46" t="s">
        <v>12471</v>
      </c>
      <c r="B3453" s="30" t="s">
        <v>55</v>
      </c>
      <c r="C3453" s="69" t="str">
        <f t="shared" si="311"/>
        <v>Closed</v>
      </c>
      <c r="D3453" s="36" t="s">
        <v>19930</v>
      </c>
      <c r="E3453" s="38" t="s">
        <v>19931</v>
      </c>
      <c r="F3453" s="46" t="s">
        <v>17578</v>
      </c>
      <c r="G3453" s="88">
        <f>DATE(2022,3,26)</f>
        <v>44646</v>
      </c>
      <c r="H3453" s="142">
        <v>1.5381944444444444</v>
      </c>
      <c r="I3453" s="46" t="s">
        <v>86</v>
      </c>
      <c r="J3453" s="46" t="s">
        <v>19932</v>
      </c>
      <c r="K3453" s="46" t="s">
        <v>837</v>
      </c>
      <c r="L3453" s="46" t="s">
        <v>19933</v>
      </c>
      <c r="M3453" s="46" t="s">
        <v>63</v>
      </c>
      <c r="N3453" s="46" t="s">
        <v>99</v>
      </c>
      <c r="O3453" s="46" t="s">
        <v>77</v>
      </c>
      <c r="P3453" s="46" t="s">
        <v>165</v>
      </c>
      <c r="Q3453" s="46" t="s">
        <v>2162</v>
      </c>
      <c r="R3453" s="46" t="s">
        <v>840</v>
      </c>
      <c r="S3453" s="46">
        <v>0</v>
      </c>
      <c r="T3453" s="46">
        <v>0</v>
      </c>
      <c r="U3453" s="46">
        <v>0</v>
      </c>
      <c r="V3453" s="46">
        <v>0</v>
      </c>
      <c r="W3453" s="46">
        <v>0</v>
      </c>
      <c r="X3453" s="46">
        <v>0</v>
      </c>
      <c r="Y3453" s="46">
        <v>0</v>
      </c>
      <c r="Z3453" s="46">
        <v>0</v>
      </c>
      <c r="AA3453" s="46">
        <v>0</v>
      </c>
      <c r="AB3453" s="46">
        <v>0</v>
      </c>
      <c r="AC3453" s="46">
        <v>0</v>
      </c>
      <c r="AD3453" s="46">
        <v>0</v>
      </c>
      <c r="AE3453" s="46" t="s">
        <v>92</v>
      </c>
      <c r="AF3453" s="46" t="s">
        <v>879</v>
      </c>
      <c r="AG3453" s="46" t="s">
        <v>13537</v>
      </c>
      <c r="AH3453" s="72">
        <v>44648</v>
      </c>
      <c r="AI3453" s="46">
        <v>3</v>
      </c>
      <c r="AJ3453" s="46" t="s">
        <v>19934</v>
      </c>
      <c r="AK3453" s="46" t="s">
        <v>19935</v>
      </c>
      <c r="AL3453" s="157">
        <v>44648</v>
      </c>
      <c r="AM3453" s="46"/>
      <c r="AN3453" s="157">
        <v>45785</v>
      </c>
      <c r="AO3453" s="157">
        <v>45775</v>
      </c>
    </row>
    <row r="3454" spans="1:55" ht="36.75" customHeight="1">
      <c r="A3454" s="46" t="s">
        <v>12471</v>
      </c>
      <c r="B3454" s="30" t="s">
        <v>55</v>
      </c>
      <c r="C3454" s="69" t="str">
        <f t="shared" si="311"/>
        <v>Closed</v>
      </c>
      <c r="D3454" s="36" t="s">
        <v>19936</v>
      </c>
      <c r="E3454" s="38" t="s">
        <v>19937</v>
      </c>
      <c r="F3454" s="46" t="s">
        <v>9789</v>
      </c>
      <c r="G3454" s="88">
        <f>DATE(2022,3,28)</f>
        <v>44648</v>
      </c>
      <c r="H3454" s="142">
        <v>1.4375</v>
      </c>
      <c r="I3454" s="46" t="s">
        <v>278</v>
      </c>
      <c r="J3454" s="266" t="s">
        <v>19938</v>
      </c>
      <c r="K3454" s="46" t="s">
        <v>9791</v>
      </c>
      <c r="L3454" s="46" t="s">
        <v>19939</v>
      </c>
      <c r="M3454" s="46" t="s">
        <v>63</v>
      </c>
      <c r="N3454" s="46" t="s">
        <v>142</v>
      </c>
      <c r="O3454" s="46" t="s">
        <v>64</v>
      </c>
      <c r="P3454" s="46" t="s">
        <v>165</v>
      </c>
      <c r="Q3454" s="46" t="s">
        <v>18300</v>
      </c>
      <c r="R3454" s="46" t="s">
        <v>18301</v>
      </c>
      <c r="S3454" s="46">
        <v>0</v>
      </c>
      <c r="T3454" s="46">
        <v>1</v>
      </c>
      <c r="U3454" s="46">
        <v>0</v>
      </c>
      <c r="V3454" s="46">
        <v>0</v>
      </c>
      <c r="W3454" s="46">
        <v>0</v>
      </c>
      <c r="X3454" s="46">
        <v>1</v>
      </c>
      <c r="Y3454" s="46">
        <v>0</v>
      </c>
      <c r="Z3454" s="46">
        <v>0</v>
      </c>
      <c r="AA3454" s="46">
        <v>0</v>
      </c>
      <c r="AB3454" s="46">
        <v>0</v>
      </c>
      <c r="AC3454" s="46">
        <v>0</v>
      </c>
      <c r="AD3454" s="46">
        <v>0</v>
      </c>
      <c r="AE3454" s="46" t="s">
        <v>92</v>
      </c>
      <c r="AF3454" s="46" t="s">
        <v>19940</v>
      </c>
      <c r="AG3454" s="46" t="s">
        <v>6459</v>
      </c>
      <c r="AH3454" s="72">
        <v>44650</v>
      </c>
      <c r="AI3454" s="46">
        <v>2</v>
      </c>
      <c r="AJ3454" s="46" t="s">
        <v>19941</v>
      </c>
      <c r="AK3454" s="46" t="s">
        <v>19942</v>
      </c>
      <c r="AL3454" s="157">
        <v>44656</v>
      </c>
      <c r="AM3454" s="157">
        <v>45013</v>
      </c>
      <c r="AN3454" s="157">
        <v>45082</v>
      </c>
      <c r="AO3454" s="157">
        <v>45089</v>
      </c>
      <c r="AP3454" s="157">
        <v>45372</v>
      </c>
      <c r="AQ3454" s="157">
        <v>45373</v>
      </c>
      <c r="AR3454" s="157">
        <v>45374</v>
      </c>
      <c r="AS3454" s="157">
        <v>45375</v>
      </c>
      <c r="AT3454" s="157">
        <v>45376</v>
      </c>
      <c r="AU3454" s="157">
        <v>45377</v>
      </c>
      <c r="AV3454" s="157">
        <v>45378</v>
      </c>
      <c r="AW3454" s="157">
        <v>45379</v>
      </c>
      <c r="AX3454" s="157">
        <v>45380</v>
      </c>
      <c r="AY3454" s="157">
        <v>45381</v>
      </c>
      <c r="AZ3454" s="157">
        <v>45382</v>
      </c>
      <c r="BA3454" s="157">
        <v>45383</v>
      </c>
      <c r="BB3454" s="157">
        <v>45384</v>
      </c>
      <c r="BC3454" s="157">
        <v>45385</v>
      </c>
    </row>
    <row r="3455" spans="1:55" ht="36.75" customHeight="1">
      <c r="A3455" s="46" t="s">
        <v>12471</v>
      </c>
      <c r="B3455" s="30" t="s">
        <v>55</v>
      </c>
      <c r="C3455" s="69" t="str">
        <f t="shared" si="311"/>
        <v>Closed</v>
      </c>
      <c r="D3455" s="36" t="s">
        <v>19943</v>
      </c>
      <c r="E3455" s="38" t="s">
        <v>19944</v>
      </c>
      <c r="F3455" s="46" t="s">
        <v>16429</v>
      </c>
      <c r="G3455" s="88">
        <f>DATE(2022,4,1)</f>
        <v>44652</v>
      </c>
      <c r="H3455" s="142">
        <v>1.2472222222222222</v>
      </c>
      <c r="I3455" s="46" t="s">
        <v>73</v>
      </c>
      <c r="J3455" s="46" t="s">
        <v>19945</v>
      </c>
      <c r="K3455" s="46" t="s">
        <v>425</v>
      </c>
      <c r="L3455" s="46" t="s">
        <v>19946</v>
      </c>
      <c r="M3455" s="46" t="s">
        <v>63</v>
      </c>
      <c r="N3455" s="46" t="s">
        <v>99</v>
      </c>
      <c r="O3455" s="46" t="s">
        <v>77</v>
      </c>
      <c r="P3455" s="46" t="s">
        <v>165</v>
      </c>
      <c r="Q3455" s="46" t="s">
        <v>19947</v>
      </c>
      <c r="R3455" s="46" t="s">
        <v>17369</v>
      </c>
      <c r="S3455" s="46">
        <v>0</v>
      </c>
      <c r="T3455" s="46">
        <v>0</v>
      </c>
      <c r="U3455" s="46">
        <v>0</v>
      </c>
      <c r="V3455" s="46">
        <v>0</v>
      </c>
      <c r="W3455" s="46">
        <v>0</v>
      </c>
      <c r="X3455" s="46">
        <v>0</v>
      </c>
      <c r="Y3455" s="46">
        <v>0</v>
      </c>
      <c r="Z3455" s="46">
        <v>0</v>
      </c>
      <c r="AA3455" s="46">
        <v>0</v>
      </c>
      <c r="AB3455" s="46">
        <v>0</v>
      </c>
      <c r="AC3455" s="46">
        <v>0</v>
      </c>
      <c r="AD3455" s="46">
        <v>0</v>
      </c>
      <c r="AE3455" s="46" t="s">
        <v>92</v>
      </c>
      <c r="AF3455" s="46" t="s">
        <v>19948</v>
      </c>
      <c r="AG3455" s="46" t="s">
        <v>8859</v>
      </c>
      <c r="AH3455" s="72">
        <v>44652</v>
      </c>
      <c r="AI3455" s="46">
        <v>1</v>
      </c>
      <c r="AJ3455" s="46" t="s">
        <v>19949</v>
      </c>
      <c r="AK3455" s="46" t="s">
        <v>879</v>
      </c>
      <c r="AL3455" s="157">
        <v>44654</v>
      </c>
      <c r="AM3455" s="46"/>
      <c r="AN3455" s="157">
        <v>44866</v>
      </c>
      <c r="AO3455" s="157">
        <v>44865</v>
      </c>
    </row>
    <row r="3456" spans="1:55" ht="36.75" customHeight="1">
      <c r="A3456" s="46" t="s">
        <v>12471</v>
      </c>
      <c r="B3456" s="30" t="s">
        <v>55</v>
      </c>
      <c r="C3456" s="69" t="str">
        <f t="shared" si="311"/>
        <v>Closed</v>
      </c>
      <c r="D3456" s="36" t="s">
        <v>19950</v>
      </c>
      <c r="E3456" s="38" t="s">
        <v>19951</v>
      </c>
      <c r="F3456" s="46" t="s">
        <v>17682</v>
      </c>
      <c r="G3456" s="88">
        <f>DATE(2022,4,1)</f>
        <v>44652</v>
      </c>
      <c r="H3456" s="142">
        <v>1.9965277777777777</v>
      </c>
      <c r="I3456" s="46" t="s">
        <v>73</v>
      </c>
      <c r="J3456" s="46" t="s">
        <v>19952</v>
      </c>
      <c r="K3456" s="46" t="s">
        <v>1574</v>
      </c>
      <c r="L3456" s="46" t="s">
        <v>14935</v>
      </c>
      <c r="M3456" s="46" t="s">
        <v>63</v>
      </c>
      <c r="N3456" s="46" t="s">
        <v>99</v>
      </c>
      <c r="O3456" s="46" t="s">
        <v>77</v>
      </c>
      <c r="P3456" s="46" t="s">
        <v>78</v>
      </c>
      <c r="Q3456" s="46" t="s">
        <v>18063</v>
      </c>
      <c r="R3456" s="46" t="s">
        <v>17686</v>
      </c>
      <c r="S3456" s="46">
        <v>0</v>
      </c>
      <c r="T3456" s="46">
        <v>0</v>
      </c>
      <c r="U3456" s="46">
        <v>0</v>
      </c>
      <c r="V3456" s="46">
        <v>0</v>
      </c>
      <c r="W3456" s="46">
        <v>0</v>
      </c>
      <c r="X3456" s="46">
        <v>0</v>
      </c>
      <c r="Y3456" s="46">
        <v>0</v>
      </c>
      <c r="Z3456" s="46">
        <v>0</v>
      </c>
      <c r="AA3456" s="46">
        <v>0</v>
      </c>
      <c r="AB3456" s="46">
        <v>0</v>
      </c>
      <c r="AC3456" s="46">
        <v>0</v>
      </c>
      <c r="AD3456" s="46">
        <v>0</v>
      </c>
      <c r="AE3456" s="46" t="s">
        <v>92</v>
      </c>
      <c r="AF3456" s="46" t="s">
        <v>19953</v>
      </c>
      <c r="AG3456" s="46" t="s">
        <v>8859</v>
      </c>
      <c r="AH3456" s="72">
        <v>44655</v>
      </c>
      <c r="AI3456" s="46">
        <v>1</v>
      </c>
      <c r="AJ3456" s="46" t="s">
        <v>19954</v>
      </c>
      <c r="AK3456" s="46" t="s">
        <v>19955</v>
      </c>
      <c r="AL3456" s="157">
        <v>44656</v>
      </c>
      <c r="AM3456" s="46"/>
      <c r="AN3456" s="157">
        <v>45022</v>
      </c>
      <c r="AO3456" s="157">
        <v>45016</v>
      </c>
    </row>
    <row r="3457" spans="1:55" ht="36.75" customHeight="1">
      <c r="A3457" s="46" t="s">
        <v>12471</v>
      </c>
      <c r="B3457" s="30" t="s">
        <v>55</v>
      </c>
      <c r="C3457" s="69" t="str">
        <f t="shared" si="311"/>
        <v>Closed</v>
      </c>
      <c r="D3457" s="36" t="s">
        <v>19956</v>
      </c>
      <c r="E3457" s="38" t="s">
        <v>19957</v>
      </c>
      <c r="F3457" s="46" t="s">
        <v>17682</v>
      </c>
      <c r="G3457" s="88">
        <f>DATE(2022,4,2)</f>
        <v>44653</v>
      </c>
      <c r="H3457" s="142">
        <v>1.7604166666666665</v>
      </c>
      <c r="I3457" s="46" t="s">
        <v>73</v>
      </c>
      <c r="J3457" s="46" t="s">
        <v>19958</v>
      </c>
      <c r="K3457" s="46" t="s">
        <v>1574</v>
      </c>
      <c r="L3457" s="46" t="s">
        <v>12355</v>
      </c>
      <c r="M3457" s="46" t="s">
        <v>63</v>
      </c>
      <c r="N3457" s="46" t="s">
        <v>142</v>
      </c>
      <c r="O3457" s="46" t="s">
        <v>77</v>
      </c>
      <c r="P3457" s="46" t="s">
        <v>78</v>
      </c>
      <c r="Q3457" s="46" t="s">
        <v>19959</v>
      </c>
      <c r="R3457" s="46" t="s">
        <v>17686</v>
      </c>
      <c r="S3457" s="46">
        <v>0</v>
      </c>
      <c r="T3457" s="46">
        <v>0</v>
      </c>
      <c r="U3457" s="46">
        <v>0</v>
      </c>
      <c r="V3457" s="46">
        <v>0</v>
      </c>
      <c r="W3457" s="46">
        <v>0</v>
      </c>
      <c r="X3457" s="46">
        <v>0</v>
      </c>
      <c r="Y3457" s="46">
        <v>0</v>
      </c>
      <c r="Z3457" s="46">
        <v>0</v>
      </c>
      <c r="AA3457" s="46">
        <v>0</v>
      </c>
      <c r="AB3457" s="46">
        <v>0</v>
      </c>
      <c r="AC3457" s="46">
        <v>0</v>
      </c>
      <c r="AD3457" s="46">
        <v>0</v>
      </c>
      <c r="AE3457" s="46" t="s">
        <v>92</v>
      </c>
      <c r="AF3457" s="46" t="s">
        <v>19960</v>
      </c>
      <c r="AG3457" s="46" t="s">
        <v>8859</v>
      </c>
      <c r="AH3457" s="72">
        <v>44655</v>
      </c>
      <c r="AI3457" s="46">
        <v>1</v>
      </c>
      <c r="AJ3457" s="46" t="s">
        <v>19954</v>
      </c>
      <c r="AK3457" s="46" t="s">
        <v>19955</v>
      </c>
      <c r="AL3457" s="157">
        <v>44656</v>
      </c>
      <c r="AM3457" s="46"/>
      <c r="AN3457" s="157">
        <v>45020</v>
      </c>
      <c r="AO3457" s="157">
        <v>45013</v>
      </c>
    </row>
    <row r="3458" spans="1:55" ht="36.75" customHeight="1">
      <c r="A3458" s="46" t="s">
        <v>12471</v>
      </c>
      <c r="B3458" s="30" t="s">
        <v>55</v>
      </c>
      <c r="C3458" s="69" t="str">
        <f t="shared" si="311"/>
        <v>Closed</v>
      </c>
      <c r="D3458" s="36" t="s">
        <v>19961</v>
      </c>
      <c r="E3458" s="38" t="s">
        <v>19962</v>
      </c>
      <c r="F3458" s="46" t="s">
        <v>17578</v>
      </c>
      <c r="G3458" s="88">
        <f>DATE(2022,4,5)</f>
        <v>44656</v>
      </c>
      <c r="H3458" s="142">
        <v>1.2847222222222223</v>
      </c>
      <c r="I3458" s="46" t="s">
        <v>116</v>
      </c>
      <c r="J3458" s="46" t="s">
        <v>19963</v>
      </c>
      <c r="K3458" s="46" t="s">
        <v>837</v>
      </c>
      <c r="L3458" s="46" t="s">
        <v>19964</v>
      </c>
      <c r="M3458" s="46" t="s">
        <v>63</v>
      </c>
      <c r="N3458" s="46" t="s">
        <v>99</v>
      </c>
      <c r="O3458" s="46" t="s">
        <v>64</v>
      </c>
      <c r="P3458" s="46" t="s">
        <v>165</v>
      </c>
      <c r="Q3458" s="46" t="s">
        <v>2162</v>
      </c>
      <c r="R3458" s="46" t="s">
        <v>840</v>
      </c>
      <c r="S3458" s="46">
        <v>0</v>
      </c>
      <c r="T3458" s="46">
        <v>0</v>
      </c>
      <c r="U3458" s="46">
        <v>5</v>
      </c>
      <c r="V3458" s="46">
        <v>0</v>
      </c>
      <c r="W3458" s="46">
        <v>0</v>
      </c>
      <c r="X3458" s="46">
        <v>5</v>
      </c>
      <c r="Y3458" s="46">
        <v>3</v>
      </c>
      <c r="Z3458" s="46">
        <v>0</v>
      </c>
      <c r="AA3458" s="46">
        <v>2</v>
      </c>
      <c r="AB3458" s="46">
        <v>0</v>
      </c>
      <c r="AC3458" s="46">
        <v>0</v>
      </c>
      <c r="AD3458" s="46">
        <v>5</v>
      </c>
      <c r="AE3458" s="46" t="s">
        <v>394</v>
      </c>
      <c r="AF3458" s="46" t="s">
        <v>879</v>
      </c>
      <c r="AG3458" s="46" t="s">
        <v>8859</v>
      </c>
      <c r="AH3458" s="72">
        <v>44656</v>
      </c>
      <c r="AI3458" s="46">
        <v>3</v>
      </c>
      <c r="AJ3458" s="46" t="s">
        <v>19965</v>
      </c>
      <c r="AK3458" s="46" t="s">
        <v>19966</v>
      </c>
      <c r="AL3458" s="157">
        <v>44659</v>
      </c>
      <c r="AM3458" s="46"/>
      <c r="AN3458" s="157">
        <v>44872</v>
      </c>
      <c r="AO3458" s="157">
        <v>44838</v>
      </c>
      <c r="AP3458" s="46"/>
      <c r="AQ3458" s="46"/>
      <c r="AR3458" s="46"/>
      <c r="AS3458" s="46"/>
      <c r="AT3458" s="46"/>
      <c r="AU3458" s="46"/>
      <c r="AV3458" s="46"/>
      <c r="AW3458" s="46"/>
      <c r="AX3458" s="46"/>
      <c r="AY3458" s="46"/>
      <c r="AZ3458" s="46"/>
      <c r="BA3458" s="46"/>
      <c r="BB3458" s="46"/>
      <c r="BC3458" s="46"/>
    </row>
    <row r="3459" spans="1:55" ht="36.75" customHeight="1">
      <c r="A3459" s="46" t="s">
        <v>12471</v>
      </c>
      <c r="B3459" s="30" t="s">
        <v>55</v>
      </c>
      <c r="C3459" s="69" t="str">
        <f t="shared" si="311"/>
        <v>Closed</v>
      </c>
      <c r="D3459" s="36" t="s">
        <v>19967</v>
      </c>
      <c r="E3459" s="38" t="s">
        <v>19968</v>
      </c>
      <c r="F3459" s="46" t="s">
        <v>17682</v>
      </c>
      <c r="G3459" s="88">
        <f>DATE(2022,4,6)</f>
        <v>44657</v>
      </c>
      <c r="H3459" s="142">
        <v>1.7638888888888888</v>
      </c>
      <c r="I3459" s="46" t="s">
        <v>73</v>
      </c>
      <c r="J3459" s="46" t="s">
        <v>19969</v>
      </c>
      <c r="K3459" s="46" t="s">
        <v>1574</v>
      </c>
      <c r="L3459" s="46" t="s">
        <v>19663</v>
      </c>
      <c r="M3459" s="46" t="s">
        <v>63</v>
      </c>
      <c r="N3459" s="46" t="s">
        <v>99</v>
      </c>
      <c r="O3459" s="46" t="s">
        <v>77</v>
      </c>
      <c r="P3459" s="46" t="s">
        <v>78</v>
      </c>
      <c r="Q3459" s="46" t="s">
        <v>19970</v>
      </c>
      <c r="R3459" s="46" t="s">
        <v>17686</v>
      </c>
      <c r="S3459" s="46">
        <v>0</v>
      </c>
      <c r="T3459" s="46">
        <v>0</v>
      </c>
      <c r="U3459" s="46">
        <v>0</v>
      </c>
      <c r="V3459" s="46">
        <v>0</v>
      </c>
      <c r="W3459" s="46">
        <v>0</v>
      </c>
      <c r="X3459" s="46">
        <v>0</v>
      </c>
      <c r="Y3459" s="46">
        <v>0</v>
      </c>
      <c r="Z3459" s="46">
        <v>0</v>
      </c>
      <c r="AA3459" s="46">
        <v>0</v>
      </c>
      <c r="AB3459" s="46">
        <v>0</v>
      </c>
      <c r="AC3459" s="46">
        <v>0</v>
      </c>
      <c r="AD3459" s="46">
        <v>0</v>
      </c>
      <c r="AE3459" s="46" t="s">
        <v>92</v>
      </c>
      <c r="AF3459" s="46" t="s">
        <v>19971</v>
      </c>
      <c r="AG3459" s="46" t="s">
        <v>8859</v>
      </c>
      <c r="AH3459" s="72">
        <v>44658</v>
      </c>
      <c r="AI3459" s="46">
        <v>1</v>
      </c>
      <c r="AJ3459" s="46" t="s">
        <v>19972</v>
      </c>
      <c r="AK3459" s="46" t="s">
        <v>19973</v>
      </c>
      <c r="AL3459" s="157">
        <v>44659</v>
      </c>
      <c r="AM3459" s="46"/>
      <c r="AN3459" s="157">
        <v>45026</v>
      </c>
      <c r="AO3459" s="157">
        <v>45019</v>
      </c>
    </row>
    <row r="3460" spans="1:55" ht="36.75" customHeight="1">
      <c r="A3460" s="46" t="s">
        <v>12471</v>
      </c>
      <c r="B3460" s="30" t="s">
        <v>55</v>
      </c>
      <c r="C3460" s="69" t="str">
        <f t="shared" si="311"/>
        <v>Closed</v>
      </c>
      <c r="D3460" s="36" t="s">
        <v>19974</v>
      </c>
      <c r="E3460" s="38" t="s">
        <v>19975</v>
      </c>
      <c r="F3460" s="46" t="s">
        <v>12910</v>
      </c>
      <c r="G3460" s="88">
        <f>DATE(2022,4,7)</f>
        <v>44658</v>
      </c>
      <c r="H3460" s="142">
        <v>1.5</v>
      </c>
      <c r="I3460" s="46" t="s">
        <v>278</v>
      </c>
      <c r="J3460" s="46" t="s">
        <v>19976</v>
      </c>
      <c r="K3460" s="46" t="s">
        <v>453</v>
      </c>
      <c r="L3460" s="46" t="s">
        <v>19977</v>
      </c>
      <c r="M3460" s="46" t="s">
        <v>63</v>
      </c>
      <c r="N3460" s="46" t="s">
        <v>142</v>
      </c>
      <c r="O3460" s="46" t="s">
        <v>64</v>
      </c>
      <c r="P3460" s="46" t="s">
        <v>6902</v>
      </c>
      <c r="Q3460" s="46" t="s">
        <v>14384</v>
      </c>
      <c r="R3460" s="46" t="s">
        <v>572</v>
      </c>
      <c r="S3460" s="46">
        <v>0</v>
      </c>
      <c r="T3460" s="46">
        <v>0</v>
      </c>
      <c r="U3460" s="46">
        <v>0</v>
      </c>
      <c r="V3460" s="46">
        <v>1</v>
      </c>
      <c r="W3460" s="46">
        <v>0</v>
      </c>
      <c r="X3460" s="46">
        <v>1</v>
      </c>
      <c r="Y3460" s="46">
        <v>0</v>
      </c>
      <c r="Z3460" s="46">
        <v>0</v>
      </c>
      <c r="AA3460" s="46">
        <v>0</v>
      </c>
      <c r="AB3460" s="46">
        <v>0</v>
      </c>
      <c r="AC3460" s="46">
        <v>0</v>
      </c>
      <c r="AD3460" s="46">
        <v>0</v>
      </c>
      <c r="AE3460" s="46" t="s">
        <v>92</v>
      </c>
      <c r="AF3460" s="46" t="s">
        <v>712</v>
      </c>
      <c r="AG3460" s="46" t="s">
        <v>6459</v>
      </c>
      <c r="AH3460" s="72">
        <v>44671</v>
      </c>
      <c r="AI3460" s="46">
        <v>0</v>
      </c>
      <c r="AJ3460" s="46" t="s">
        <v>19485</v>
      </c>
      <c r="AK3460" s="46" t="s">
        <v>19978</v>
      </c>
      <c r="AL3460" s="157">
        <v>44806</v>
      </c>
      <c r="AM3460" s="46"/>
      <c r="AN3460" s="157">
        <v>44825</v>
      </c>
      <c r="AO3460" s="157">
        <v>44825</v>
      </c>
    </row>
    <row r="3461" spans="1:55" ht="36.75" customHeight="1">
      <c r="A3461" s="46" t="s">
        <v>12471</v>
      </c>
      <c r="B3461" s="30" t="s">
        <v>55</v>
      </c>
      <c r="C3461" s="69" t="str">
        <f t="shared" si="311"/>
        <v>Closed</v>
      </c>
      <c r="D3461" s="36" t="s">
        <v>19979</v>
      </c>
      <c r="E3461" s="38" t="s">
        <v>19980</v>
      </c>
      <c r="F3461" s="46" t="s">
        <v>17682</v>
      </c>
      <c r="G3461" s="88">
        <f>DATE(2022,4,11)</f>
        <v>44662</v>
      </c>
      <c r="H3461" s="142">
        <v>1.53125</v>
      </c>
      <c r="I3461" s="46" t="s">
        <v>73</v>
      </c>
      <c r="J3461" s="46" t="s">
        <v>19981</v>
      </c>
      <c r="K3461" s="46" t="s">
        <v>1574</v>
      </c>
      <c r="L3461" s="46" t="s">
        <v>19982</v>
      </c>
      <c r="M3461" s="46" t="s">
        <v>63</v>
      </c>
      <c r="N3461" s="46" t="s">
        <v>142</v>
      </c>
      <c r="O3461" s="46" t="s">
        <v>77</v>
      </c>
      <c r="P3461" s="46" t="s">
        <v>165</v>
      </c>
      <c r="Q3461" s="46" t="s">
        <v>18739</v>
      </c>
      <c r="R3461" s="46" t="s">
        <v>17686</v>
      </c>
      <c r="S3461" s="46">
        <v>0</v>
      </c>
      <c r="T3461" s="46">
        <v>0</v>
      </c>
      <c r="U3461" s="46">
        <v>0</v>
      </c>
      <c r="V3461" s="46">
        <v>0</v>
      </c>
      <c r="W3461" s="46">
        <v>0</v>
      </c>
      <c r="X3461" s="46">
        <v>0</v>
      </c>
      <c r="Y3461" s="46">
        <v>0</v>
      </c>
      <c r="Z3461" s="46">
        <v>0</v>
      </c>
      <c r="AA3461" s="46">
        <v>0</v>
      </c>
      <c r="AB3461" s="46">
        <v>0</v>
      </c>
      <c r="AC3461" s="46">
        <v>0</v>
      </c>
      <c r="AD3461" s="46">
        <v>0</v>
      </c>
      <c r="AE3461" s="46" t="s">
        <v>92</v>
      </c>
      <c r="AF3461" s="46" t="s">
        <v>19983</v>
      </c>
      <c r="AG3461" s="172" t="s">
        <v>8859</v>
      </c>
      <c r="AH3461" s="72">
        <v>44663</v>
      </c>
      <c r="AI3461" s="46">
        <v>0</v>
      </c>
      <c r="AJ3461" s="46" t="s">
        <v>19984</v>
      </c>
      <c r="AK3461" s="46" t="s">
        <v>19985</v>
      </c>
      <c r="AL3461" s="157">
        <v>44663</v>
      </c>
      <c r="AM3461" s="46"/>
      <c r="AN3461" s="157">
        <v>45035</v>
      </c>
      <c r="AO3461" s="157">
        <v>45026</v>
      </c>
    </row>
    <row r="3462" spans="1:55" ht="36.75" customHeight="1">
      <c r="A3462" s="46" t="s">
        <v>12471</v>
      </c>
      <c r="B3462" s="30" t="s">
        <v>55</v>
      </c>
      <c r="C3462" s="69" t="str">
        <f t="shared" si="311"/>
        <v>Closed</v>
      </c>
      <c r="D3462" s="37" t="s">
        <v>19986</v>
      </c>
      <c r="E3462" s="60" t="s">
        <v>19987</v>
      </c>
      <c r="F3462" s="61" t="s">
        <v>17057</v>
      </c>
      <c r="G3462" s="88">
        <f>DATE(2022,4,12)</f>
        <v>44663</v>
      </c>
      <c r="H3462" s="142">
        <v>1.3888888888888888</v>
      </c>
      <c r="I3462" s="61" t="s">
        <v>73</v>
      </c>
      <c r="J3462" s="61" t="s">
        <v>19988</v>
      </c>
      <c r="K3462" s="61" t="s">
        <v>2338</v>
      </c>
      <c r="L3462" s="61" t="s">
        <v>19989</v>
      </c>
      <c r="M3462" s="61" t="s">
        <v>63</v>
      </c>
      <c r="N3462" s="61" t="s">
        <v>89</v>
      </c>
      <c r="O3462" s="61" t="s">
        <v>77</v>
      </c>
      <c r="P3462" s="61" t="s">
        <v>381</v>
      </c>
      <c r="Q3462" s="61" t="s">
        <v>2975</v>
      </c>
      <c r="R3462" s="61" t="s">
        <v>2341</v>
      </c>
      <c r="S3462" s="61">
        <v>0</v>
      </c>
      <c r="T3462" s="61">
        <v>0</v>
      </c>
      <c r="U3462" s="61">
        <v>0</v>
      </c>
      <c r="V3462" s="61">
        <v>0</v>
      </c>
      <c r="W3462" s="61">
        <v>0</v>
      </c>
      <c r="X3462" s="61">
        <v>0</v>
      </c>
      <c r="Y3462" s="61">
        <v>0</v>
      </c>
      <c r="Z3462" s="61">
        <v>0</v>
      </c>
      <c r="AA3462" s="61">
        <v>0</v>
      </c>
      <c r="AB3462" s="61">
        <v>0</v>
      </c>
      <c r="AC3462" s="61">
        <v>0</v>
      </c>
      <c r="AD3462" s="61">
        <v>0</v>
      </c>
      <c r="AE3462" s="61" t="s">
        <v>92</v>
      </c>
      <c r="AF3462" s="61" t="s">
        <v>19990</v>
      </c>
      <c r="AG3462" s="61" t="s">
        <v>17062</v>
      </c>
      <c r="AH3462" s="72">
        <v>45091</v>
      </c>
      <c r="AI3462" s="61">
        <v>9</v>
      </c>
      <c r="AJ3462" s="61" t="s">
        <v>19991</v>
      </c>
      <c r="AK3462" s="61" t="s">
        <v>19992</v>
      </c>
      <c r="AL3462" s="157">
        <v>45092</v>
      </c>
      <c r="AM3462" s="157">
        <v>45394</v>
      </c>
      <c r="AN3462" s="157">
        <v>45545</v>
      </c>
      <c r="AO3462" s="157">
        <v>45453</v>
      </c>
    </row>
    <row r="3463" spans="1:55" ht="36.75" customHeight="1">
      <c r="A3463" s="46" t="s">
        <v>12471</v>
      </c>
      <c r="B3463" s="30" t="s">
        <v>55</v>
      </c>
      <c r="C3463" s="69" t="str">
        <f t="shared" si="311"/>
        <v>Closed</v>
      </c>
      <c r="D3463" s="36" t="s">
        <v>19993</v>
      </c>
      <c r="E3463" s="38" t="s">
        <v>19994</v>
      </c>
      <c r="F3463" s="46" t="s">
        <v>17682</v>
      </c>
      <c r="G3463" s="88">
        <f>DATE(2022,4,13)</f>
        <v>44664</v>
      </c>
      <c r="H3463" s="142">
        <v>1.2326388888888888</v>
      </c>
      <c r="I3463" s="46" t="s">
        <v>73</v>
      </c>
      <c r="J3463" s="46" t="s">
        <v>19995</v>
      </c>
      <c r="K3463" s="46" t="s">
        <v>1574</v>
      </c>
      <c r="L3463" s="46" t="s">
        <v>19996</v>
      </c>
      <c r="M3463" s="46" t="s">
        <v>63</v>
      </c>
      <c r="N3463" s="46" t="s">
        <v>99</v>
      </c>
      <c r="O3463" s="46" t="s">
        <v>77</v>
      </c>
      <c r="P3463" s="46" t="s">
        <v>78</v>
      </c>
      <c r="Q3463" s="46" t="s">
        <v>18063</v>
      </c>
      <c r="R3463" s="46" t="s">
        <v>17686</v>
      </c>
      <c r="S3463" s="46">
        <v>0</v>
      </c>
      <c r="T3463" s="46">
        <v>0</v>
      </c>
      <c r="U3463" s="46">
        <v>0</v>
      </c>
      <c r="V3463" s="46">
        <v>0</v>
      </c>
      <c r="W3463" s="46">
        <v>0</v>
      </c>
      <c r="X3463" s="46">
        <v>0</v>
      </c>
      <c r="Y3463" s="46">
        <v>0</v>
      </c>
      <c r="Z3463" s="46">
        <v>0</v>
      </c>
      <c r="AA3463" s="46">
        <v>0</v>
      </c>
      <c r="AB3463" s="46">
        <v>0</v>
      </c>
      <c r="AC3463" s="46">
        <v>0</v>
      </c>
      <c r="AD3463" s="46">
        <v>0</v>
      </c>
      <c r="AE3463" s="46" t="s">
        <v>92</v>
      </c>
      <c r="AF3463" s="46" t="s">
        <v>19997</v>
      </c>
      <c r="AG3463" s="46" t="s">
        <v>8859</v>
      </c>
      <c r="AH3463" s="72">
        <v>44665</v>
      </c>
      <c r="AI3463" s="46">
        <v>1</v>
      </c>
      <c r="AJ3463" s="46" t="s">
        <v>19998</v>
      </c>
      <c r="AK3463" s="46" t="s">
        <v>19999</v>
      </c>
      <c r="AL3463" s="157">
        <v>44666</v>
      </c>
      <c r="AM3463" s="46"/>
      <c r="AN3463" s="157">
        <v>45035</v>
      </c>
      <c r="AO3463" s="157">
        <v>45027</v>
      </c>
    </row>
    <row r="3464" spans="1:55" ht="36.75" customHeight="1">
      <c r="A3464" s="46" t="s">
        <v>12471</v>
      </c>
      <c r="B3464" s="30" t="s">
        <v>55</v>
      </c>
      <c r="C3464" s="69" t="str">
        <f t="shared" si="311"/>
        <v>Closed</v>
      </c>
      <c r="D3464" s="36" t="s">
        <v>20000</v>
      </c>
      <c r="E3464" s="38" t="s">
        <v>20001</v>
      </c>
      <c r="F3464" s="46" t="s">
        <v>16429</v>
      </c>
      <c r="G3464" s="88">
        <f>DATE(2022,4,19)</f>
        <v>44670</v>
      </c>
      <c r="H3464" s="142">
        <v>1.1645833333333333</v>
      </c>
      <c r="I3464" s="46" t="s">
        <v>198</v>
      </c>
      <c r="J3464" s="46" t="s">
        <v>20002</v>
      </c>
      <c r="K3464" s="46" t="s">
        <v>425</v>
      </c>
      <c r="L3464" s="46" t="s">
        <v>20003</v>
      </c>
      <c r="M3464" s="46" t="s">
        <v>63</v>
      </c>
      <c r="N3464" s="46" t="s">
        <v>142</v>
      </c>
      <c r="O3464" s="46" t="s">
        <v>77</v>
      </c>
      <c r="P3464" s="46" t="s">
        <v>20004</v>
      </c>
      <c r="Q3464" s="46" t="s">
        <v>20005</v>
      </c>
      <c r="R3464" s="46" t="s">
        <v>17369</v>
      </c>
      <c r="S3464" s="46">
        <v>0</v>
      </c>
      <c r="T3464" s="46">
        <v>0</v>
      </c>
      <c r="U3464" s="46">
        <v>0</v>
      </c>
      <c r="V3464" s="46">
        <v>0</v>
      </c>
      <c r="W3464" s="46">
        <v>0</v>
      </c>
      <c r="X3464" s="46">
        <v>0</v>
      </c>
      <c r="Y3464" s="46">
        <v>0</v>
      </c>
      <c r="Z3464" s="46">
        <v>0</v>
      </c>
      <c r="AA3464" s="46">
        <v>0</v>
      </c>
      <c r="AB3464" s="46">
        <v>0</v>
      </c>
      <c r="AC3464" s="46">
        <v>0</v>
      </c>
      <c r="AD3464" s="46">
        <v>0</v>
      </c>
      <c r="AE3464" s="46" t="s">
        <v>394</v>
      </c>
      <c r="AF3464" s="46" t="s">
        <v>20006</v>
      </c>
      <c r="AG3464" s="46" t="s">
        <v>19364</v>
      </c>
      <c r="AH3464" s="72">
        <v>44670</v>
      </c>
      <c r="AI3464" s="46">
        <v>0</v>
      </c>
      <c r="AJ3464" s="46" t="s">
        <v>20007</v>
      </c>
      <c r="AK3464" s="46" t="s">
        <v>18245</v>
      </c>
      <c r="AL3464" s="157">
        <v>44672</v>
      </c>
      <c r="AM3464" s="46"/>
      <c r="AN3464" s="157">
        <v>44879</v>
      </c>
      <c r="AO3464" s="157">
        <v>44875</v>
      </c>
    </row>
    <row r="3465" spans="1:55" ht="36.75" customHeight="1">
      <c r="A3465" s="46" t="s">
        <v>12471</v>
      </c>
      <c r="B3465" s="30" t="s">
        <v>55</v>
      </c>
      <c r="C3465" s="69" t="str">
        <f t="shared" ref="C3465:C3528" si="312">IF(B3465="Notification","Open",IF(B3465="Interim Statement","In progress","Closed"))</f>
        <v>Closed</v>
      </c>
      <c r="D3465" s="36" t="s">
        <v>20008</v>
      </c>
      <c r="E3465" s="38" t="s">
        <v>20009</v>
      </c>
      <c r="F3465" s="46" t="s">
        <v>16429</v>
      </c>
      <c r="G3465" s="88">
        <f>DATE(2022,4,23)</f>
        <v>44674</v>
      </c>
      <c r="H3465" s="142">
        <v>1.9437500000000001</v>
      </c>
      <c r="I3465" s="46" t="s">
        <v>2078</v>
      </c>
      <c r="J3465" s="46" t="s">
        <v>20010</v>
      </c>
      <c r="K3465" s="46" t="s">
        <v>425</v>
      </c>
      <c r="L3465" s="46" t="s">
        <v>16154</v>
      </c>
      <c r="M3465" s="46" t="s">
        <v>63</v>
      </c>
      <c r="N3465" s="46" t="s">
        <v>20011</v>
      </c>
      <c r="O3465" s="46" t="s">
        <v>77</v>
      </c>
      <c r="P3465" s="46" t="s">
        <v>20012</v>
      </c>
      <c r="Q3465" s="46" t="s">
        <v>18615</v>
      </c>
      <c r="R3465" s="46" t="s">
        <v>17369</v>
      </c>
      <c r="S3465" s="46">
        <v>0</v>
      </c>
      <c r="T3465" s="46">
        <v>0</v>
      </c>
      <c r="U3465" s="46">
        <v>0</v>
      </c>
      <c r="V3465" s="46">
        <v>0</v>
      </c>
      <c r="W3465" s="46">
        <v>0</v>
      </c>
      <c r="X3465" s="46">
        <v>0</v>
      </c>
      <c r="Y3465" s="46">
        <v>0</v>
      </c>
      <c r="Z3465" s="46">
        <v>0</v>
      </c>
      <c r="AA3465" s="46">
        <v>0</v>
      </c>
      <c r="AB3465" s="46">
        <v>0</v>
      </c>
      <c r="AC3465" s="46">
        <v>0</v>
      </c>
      <c r="AD3465" s="46">
        <v>0</v>
      </c>
      <c r="AE3465" s="46">
        <v>0</v>
      </c>
      <c r="AF3465" s="46" t="s">
        <v>19363</v>
      </c>
      <c r="AG3465" s="46" t="s">
        <v>12480</v>
      </c>
      <c r="AH3465" s="72">
        <v>44674</v>
      </c>
      <c r="AI3465" s="46">
        <v>0</v>
      </c>
      <c r="AJ3465" s="46" t="s">
        <v>20013</v>
      </c>
      <c r="AK3465" s="46" t="s">
        <v>18245</v>
      </c>
      <c r="AL3465" s="157">
        <v>44676</v>
      </c>
      <c r="AM3465" s="46"/>
      <c r="AN3465" s="157">
        <v>45002</v>
      </c>
      <c r="AO3465" s="157">
        <v>44999</v>
      </c>
      <c r="AP3465" s="46"/>
      <c r="AQ3465" s="46"/>
      <c r="AR3465" s="46"/>
      <c r="AS3465" s="46"/>
      <c r="AT3465" s="46"/>
      <c r="AU3465" s="46"/>
      <c r="AV3465" s="46"/>
      <c r="AW3465" s="46"/>
      <c r="AX3465" s="46"/>
      <c r="AY3465" s="46"/>
      <c r="AZ3465" s="46"/>
      <c r="BA3465" s="46"/>
      <c r="BB3465" s="46"/>
      <c r="BC3465" s="46"/>
    </row>
    <row r="3466" spans="1:55" ht="36.75" customHeight="1">
      <c r="A3466" s="46" t="s">
        <v>12471</v>
      </c>
      <c r="B3466" s="30" t="s">
        <v>55</v>
      </c>
      <c r="C3466" s="69" t="str">
        <f t="shared" si="312"/>
        <v>Closed</v>
      </c>
      <c r="D3466" s="36" t="s">
        <v>20014</v>
      </c>
      <c r="E3466" s="38" t="s">
        <v>20015</v>
      </c>
      <c r="F3466" s="46" t="s">
        <v>14753</v>
      </c>
      <c r="G3466" s="88">
        <f>DATE(2022,4,30)</f>
        <v>44681</v>
      </c>
      <c r="H3466" s="142">
        <v>1</v>
      </c>
      <c r="I3466" s="46" t="s">
        <v>5494</v>
      </c>
      <c r="J3466" s="46" t="s">
        <v>20016</v>
      </c>
      <c r="K3466" s="46" t="s">
        <v>1772</v>
      </c>
      <c r="L3466" s="46" t="s">
        <v>20017</v>
      </c>
      <c r="M3466" s="46" t="s">
        <v>63</v>
      </c>
      <c r="N3466" s="46" t="s">
        <v>89</v>
      </c>
      <c r="O3466" s="46" t="s">
        <v>6875</v>
      </c>
      <c r="P3466" s="46" t="s">
        <v>91</v>
      </c>
      <c r="Q3466" s="46" t="s">
        <v>20018</v>
      </c>
      <c r="R3466" s="46" t="s">
        <v>587</v>
      </c>
      <c r="S3466" s="46">
        <v>0</v>
      </c>
      <c r="T3466" s="46">
        <v>1</v>
      </c>
      <c r="U3466" s="46">
        <v>0</v>
      </c>
      <c r="V3466" s="46">
        <v>0</v>
      </c>
      <c r="W3466" s="46">
        <v>0</v>
      </c>
      <c r="X3466" s="46">
        <v>1</v>
      </c>
      <c r="Y3466" s="46">
        <v>0</v>
      </c>
      <c r="Z3466" s="46">
        <v>0</v>
      </c>
      <c r="AA3466" s="46">
        <v>0</v>
      </c>
      <c r="AB3466" s="46">
        <v>0</v>
      </c>
      <c r="AC3466" s="46">
        <v>0</v>
      </c>
      <c r="AD3466" s="46">
        <v>0</v>
      </c>
      <c r="AE3466" s="46" t="s">
        <v>394</v>
      </c>
      <c r="AF3466" s="46" t="s">
        <v>20019</v>
      </c>
      <c r="AG3466" s="46" t="s">
        <v>13537</v>
      </c>
      <c r="AH3466" s="72">
        <v>44693</v>
      </c>
      <c r="AI3466" s="46">
        <v>1</v>
      </c>
      <c r="AJ3466" s="46" t="s">
        <v>20020</v>
      </c>
      <c r="AK3466" s="46" t="s">
        <v>20021</v>
      </c>
      <c r="AL3466" s="157">
        <v>44735</v>
      </c>
      <c r="AM3466" s="46"/>
      <c r="AN3466" s="157">
        <v>45161</v>
      </c>
      <c r="AO3466" s="157">
        <v>45159</v>
      </c>
      <c r="AP3466" s="46"/>
      <c r="AQ3466" s="46"/>
      <c r="AR3466" s="46"/>
      <c r="AS3466" s="46"/>
      <c r="AT3466" s="46"/>
      <c r="AU3466" s="46"/>
      <c r="AV3466" s="46"/>
      <c r="AW3466" s="46"/>
      <c r="AX3466" s="46"/>
      <c r="AY3466" s="46"/>
      <c r="AZ3466" s="46"/>
      <c r="BA3466" s="46"/>
      <c r="BB3466" s="46"/>
      <c r="BC3466" s="46"/>
    </row>
    <row r="3467" spans="1:55" ht="36.75" customHeight="1">
      <c r="A3467" s="46" t="s">
        <v>12471</v>
      </c>
      <c r="B3467" s="30" t="s">
        <v>55</v>
      </c>
      <c r="C3467" s="69" t="str">
        <f t="shared" si="312"/>
        <v>Closed</v>
      </c>
      <c r="D3467" s="36" t="s">
        <v>20022</v>
      </c>
      <c r="E3467" s="194" t="s">
        <v>20023</v>
      </c>
      <c r="F3467" s="46" t="s">
        <v>17682</v>
      </c>
      <c r="G3467" s="88">
        <f>DATE(2022,5,7)</f>
        <v>44688</v>
      </c>
      <c r="H3467" s="142">
        <v>1.375</v>
      </c>
      <c r="I3467" s="46" t="s">
        <v>73</v>
      </c>
      <c r="J3467" s="46" t="s">
        <v>20024</v>
      </c>
      <c r="K3467" s="46" t="s">
        <v>1574</v>
      </c>
      <c r="L3467" s="46" t="s">
        <v>19174</v>
      </c>
      <c r="M3467" s="46" t="s">
        <v>63</v>
      </c>
      <c r="N3467" s="46" t="s">
        <v>142</v>
      </c>
      <c r="O3467" s="46" t="s">
        <v>77</v>
      </c>
      <c r="P3467" s="46" t="s">
        <v>78</v>
      </c>
      <c r="Q3467" s="46" t="s">
        <v>20025</v>
      </c>
      <c r="R3467" s="46" t="s">
        <v>17686</v>
      </c>
      <c r="S3467" s="46">
        <v>0</v>
      </c>
      <c r="T3467" s="46">
        <v>0</v>
      </c>
      <c r="U3467" s="46">
        <v>0</v>
      </c>
      <c r="V3467" s="46">
        <v>0</v>
      </c>
      <c r="W3467" s="46">
        <v>0</v>
      </c>
      <c r="X3467" s="46">
        <v>0</v>
      </c>
      <c r="Y3467" s="46">
        <v>0</v>
      </c>
      <c r="Z3467" s="46">
        <v>0</v>
      </c>
      <c r="AA3467" s="46">
        <v>0</v>
      </c>
      <c r="AB3467" s="46">
        <v>0</v>
      </c>
      <c r="AC3467" s="46">
        <v>0</v>
      </c>
      <c r="AD3467" s="46">
        <v>0</v>
      </c>
      <c r="AE3467" s="46" t="s">
        <v>92</v>
      </c>
      <c r="AF3467" s="46" t="s">
        <v>20026</v>
      </c>
      <c r="AG3467" s="46" t="s">
        <v>8859</v>
      </c>
      <c r="AH3467" s="72">
        <v>44691</v>
      </c>
      <c r="AI3467" s="46">
        <v>0</v>
      </c>
      <c r="AJ3467" s="46" t="s">
        <v>20027</v>
      </c>
      <c r="AK3467" s="46" t="s">
        <v>7019</v>
      </c>
      <c r="AL3467" s="157">
        <v>44692</v>
      </c>
      <c r="AM3467" s="46"/>
      <c r="AN3467" s="157">
        <v>45040</v>
      </c>
      <c r="AO3467" s="157">
        <v>45036</v>
      </c>
    </row>
    <row r="3468" spans="1:55" ht="36.75" customHeight="1">
      <c r="A3468" s="46" t="s">
        <v>12471</v>
      </c>
      <c r="B3468" s="30" t="s">
        <v>55</v>
      </c>
      <c r="C3468" s="69" t="str">
        <f t="shared" si="312"/>
        <v>Closed</v>
      </c>
      <c r="D3468" s="37" t="s">
        <v>20028</v>
      </c>
      <c r="E3468" s="29" t="s">
        <v>20029</v>
      </c>
      <c r="F3468" s="46" t="s">
        <v>12474</v>
      </c>
      <c r="G3468" s="88">
        <f>DATE(2022,5,9)</f>
        <v>44690</v>
      </c>
      <c r="H3468" s="142">
        <v>1.7638888888888888</v>
      </c>
      <c r="I3468" s="46" t="s">
        <v>73</v>
      </c>
      <c r="J3468" s="46" t="s">
        <v>20030</v>
      </c>
      <c r="K3468" s="46" t="s">
        <v>200</v>
      </c>
      <c r="L3468" s="46" t="s">
        <v>20031</v>
      </c>
      <c r="M3468" s="46" t="s">
        <v>63</v>
      </c>
      <c r="N3468" s="46" t="s">
        <v>142</v>
      </c>
      <c r="O3468" s="46" t="s">
        <v>77</v>
      </c>
      <c r="P3468" s="46" t="s">
        <v>165</v>
      </c>
      <c r="Q3468" s="46" t="s">
        <v>20032</v>
      </c>
      <c r="R3468" s="46" t="s">
        <v>13578</v>
      </c>
      <c r="S3468" s="46">
        <v>1</v>
      </c>
      <c r="T3468" s="46">
        <v>0</v>
      </c>
      <c r="U3468" s="46">
        <v>0</v>
      </c>
      <c r="V3468" s="46">
        <v>0</v>
      </c>
      <c r="W3468" s="46">
        <v>0</v>
      </c>
      <c r="X3468" s="46">
        <v>1</v>
      </c>
      <c r="Y3468" s="46">
        <v>2</v>
      </c>
      <c r="Z3468" s="46">
        <v>1</v>
      </c>
      <c r="AA3468" s="46">
        <v>0</v>
      </c>
      <c r="AB3468" s="46">
        <v>0</v>
      </c>
      <c r="AC3468" s="46">
        <v>0</v>
      </c>
      <c r="AD3468" s="46">
        <v>3</v>
      </c>
      <c r="AE3468" s="46" t="s">
        <v>145</v>
      </c>
      <c r="AF3468" s="46" t="s">
        <v>20033</v>
      </c>
      <c r="AG3468" s="46" t="s">
        <v>6459</v>
      </c>
      <c r="AH3468" s="72">
        <v>44690</v>
      </c>
      <c r="AI3468" s="46">
        <v>4</v>
      </c>
      <c r="AJ3468" s="46" t="s">
        <v>20034</v>
      </c>
      <c r="AK3468" s="46" t="s">
        <v>20035</v>
      </c>
      <c r="AL3468" s="157">
        <v>44693</v>
      </c>
      <c r="AM3468" s="168">
        <v>45348</v>
      </c>
      <c r="AN3468" s="157">
        <v>45439</v>
      </c>
      <c r="AO3468" s="157">
        <v>45411</v>
      </c>
    </row>
    <row r="3469" spans="1:55" ht="36.75" customHeight="1">
      <c r="A3469" s="46" t="s">
        <v>12471</v>
      </c>
      <c r="B3469" s="30" t="s">
        <v>55</v>
      </c>
      <c r="C3469" s="69" t="str">
        <f t="shared" si="312"/>
        <v>Closed</v>
      </c>
      <c r="D3469" s="36" t="s">
        <v>20036</v>
      </c>
      <c r="E3469" s="29" t="s">
        <v>20037</v>
      </c>
      <c r="F3469" s="30" t="s">
        <v>17344</v>
      </c>
      <c r="G3469" s="88">
        <f>DATE(2022,5,11)</f>
        <v>44692</v>
      </c>
      <c r="H3469" s="142">
        <v>1.7916666666666665</v>
      </c>
      <c r="I3469" s="30" t="s">
        <v>2264</v>
      </c>
      <c r="J3469" s="30" t="s">
        <v>20038</v>
      </c>
      <c r="K3469" s="30" t="s">
        <v>127</v>
      </c>
      <c r="L3469" s="30" t="s">
        <v>20039</v>
      </c>
      <c r="M3469" s="30" t="s">
        <v>63</v>
      </c>
      <c r="N3469" s="30" t="s">
        <v>99</v>
      </c>
      <c r="O3469" s="30" t="s">
        <v>77</v>
      </c>
      <c r="P3469" s="30" t="s">
        <v>165</v>
      </c>
      <c r="Q3469" s="30" t="s">
        <v>20040</v>
      </c>
      <c r="R3469" s="30" t="s">
        <v>167</v>
      </c>
      <c r="S3469" s="30">
        <v>0</v>
      </c>
      <c r="T3469" s="30">
        <v>0</v>
      </c>
      <c r="U3469" s="30">
        <v>0</v>
      </c>
      <c r="V3469" s="30">
        <v>0</v>
      </c>
      <c r="W3469" s="30">
        <v>0</v>
      </c>
      <c r="X3469" s="30">
        <v>0</v>
      </c>
      <c r="Y3469" s="30">
        <v>0</v>
      </c>
      <c r="Z3469" s="30">
        <v>0</v>
      </c>
      <c r="AA3469" s="30">
        <v>0</v>
      </c>
      <c r="AB3469" s="30">
        <v>0</v>
      </c>
      <c r="AC3469" s="30">
        <v>0</v>
      </c>
      <c r="AD3469" s="30">
        <v>0</v>
      </c>
      <c r="AE3469" s="30" t="s">
        <v>92</v>
      </c>
      <c r="AF3469" s="30" t="s">
        <v>20041</v>
      </c>
      <c r="AG3469" s="30" t="s">
        <v>8859</v>
      </c>
      <c r="AH3469" s="72">
        <v>44711</v>
      </c>
      <c r="AI3469" s="30">
        <v>0</v>
      </c>
      <c r="AJ3469" s="30" t="s">
        <v>20042</v>
      </c>
      <c r="AK3469" s="30" t="s">
        <v>20043</v>
      </c>
      <c r="AL3469" s="157">
        <v>44712</v>
      </c>
      <c r="AM3469" s="30"/>
      <c r="AN3469" s="157">
        <v>45072</v>
      </c>
      <c r="AO3469" s="157">
        <v>45054</v>
      </c>
      <c r="AP3469" s="30"/>
      <c r="AQ3469" s="30"/>
      <c r="AR3469" s="30"/>
      <c r="AS3469" s="30"/>
      <c r="AT3469" s="30"/>
      <c r="AU3469" s="30"/>
      <c r="AV3469" s="30"/>
      <c r="AW3469" s="30"/>
      <c r="AX3469" s="30"/>
      <c r="AY3469" s="30"/>
      <c r="AZ3469" s="30"/>
      <c r="BA3469" s="30"/>
      <c r="BB3469" s="30"/>
      <c r="BC3469" s="30"/>
    </row>
    <row r="3470" spans="1:55" ht="36.75" customHeight="1">
      <c r="A3470" s="46" t="s">
        <v>12471</v>
      </c>
      <c r="B3470" s="30" t="s">
        <v>55</v>
      </c>
      <c r="C3470" s="69" t="str">
        <f t="shared" si="312"/>
        <v>Closed</v>
      </c>
      <c r="D3470" s="37" t="s">
        <v>20044</v>
      </c>
      <c r="E3470" s="55" t="s">
        <v>20045</v>
      </c>
      <c r="F3470" s="56" t="s">
        <v>17578</v>
      </c>
      <c r="G3470" s="88">
        <f>DATE(2022,5,13)</f>
        <v>44694</v>
      </c>
      <c r="H3470" s="142">
        <v>1.1736111111111112</v>
      </c>
      <c r="I3470" s="56" t="s">
        <v>73</v>
      </c>
      <c r="J3470" s="56" t="s">
        <v>20046</v>
      </c>
      <c r="K3470" s="56" t="s">
        <v>837</v>
      </c>
      <c r="L3470" s="56" t="s">
        <v>20047</v>
      </c>
      <c r="M3470" s="56" t="s">
        <v>63</v>
      </c>
      <c r="N3470" s="56" t="s">
        <v>99</v>
      </c>
      <c r="O3470" s="56" t="s">
        <v>77</v>
      </c>
      <c r="P3470" s="56" t="s">
        <v>78</v>
      </c>
      <c r="Q3470" s="56" t="s">
        <v>20048</v>
      </c>
      <c r="R3470" s="56" t="s">
        <v>840</v>
      </c>
      <c r="S3470" s="56">
        <v>0</v>
      </c>
      <c r="T3470" s="56">
        <v>0</v>
      </c>
      <c r="U3470" s="56">
        <v>0</v>
      </c>
      <c r="V3470" s="56">
        <v>0</v>
      </c>
      <c r="W3470" s="56">
        <v>0</v>
      </c>
      <c r="X3470" s="56">
        <v>0</v>
      </c>
      <c r="Y3470" s="56">
        <v>0</v>
      </c>
      <c r="Z3470" s="56">
        <v>0</v>
      </c>
      <c r="AA3470" s="56">
        <v>0</v>
      </c>
      <c r="AB3470" s="56">
        <v>0</v>
      </c>
      <c r="AC3470" s="56">
        <v>0</v>
      </c>
      <c r="AD3470" s="56">
        <v>0</v>
      </c>
      <c r="AE3470" s="56" t="s">
        <v>92</v>
      </c>
      <c r="AF3470" s="56" t="s">
        <v>20049</v>
      </c>
      <c r="AG3470" s="56" t="s">
        <v>8859</v>
      </c>
      <c r="AH3470" s="72">
        <v>44694</v>
      </c>
      <c r="AI3470" s="56">
        <v>0</v>
      </c>
      <c r="AJ3470" s="56" t="s">
        <v>13682</v>
      </c>
      <c r="AK3470" s="56" t="s">
        <v>20050</v>
      </c>
      <c r="AL3470" s="157">
        <v>44944</v>
      </c>
      <c r="AM3470" s="56"/>
      <c r="AN3470" s="157">
        <v>45385</v>
      </c>
      <c r="AO3470" s="157">
        <v>45034</v>
      </c>
      <c r="AP3470" s="30"/>
      <c r="AQ3470" s="30"/>
      <c r="AR3470" s="30"/>
      <c r="AS3470" s="30"/>
      <c r="AT3470" s="30"/>
      <c r="AU3470" s="30"/>
      <c r="AV3470" s="30"/>
      <c r="AW3470" s="30"/>
      <c r="AX3470" s="30"/>
      <c r="AY3470" s="30"/>
      <c r="AZ3470" s="30"/>
      <c r="BA3470" s="30"/>
      <c r="BB3470" s="30"/>
      <c r="BC3470" s="30"/>
    </row>
    <row r="3471" spans="1:55" ht="36.75" customHeight="1">
      <c r="A3471" s="46" t="s">
        <v>12471</v>
      </c>
      <c r="B3471" s="30" t="s">
        <v>55</v>
      </c>
      <c r="C3471" s="69" t="str">
        <f t="shared" si="312"/>
        <v>Closed</v>
      </c>
      <c r="D3471" s="36" t="s">
        <v>20051</v>
      </c>
      <c r="E3471" s="29" t="s">
        <v>20052</v>
      </c>
      <c r="F3471" s="30" t="s">
        <v>16429</v>
      </c>
      <c r="G3471" s="88">
        <f>DATE(2022,5,19)</f>
        <v>44700</v>
      </c>
      <c r="H3471" s="142">
        <v>1.3291666666666666</v>
      </c>
      <c r="I3471" s="30" t="s">
        <v>10375</v>
      </c>
      <c r="J3471" s="30" t="s">
        <v>20053</v>
      </c>
      <c r="K3471" s="30" t="s">
        <v>425</v>
      </c>
      <c r="L3471" s="30" t="s">
        <v>20054</v>
      </c>
      <c r="M3471" s="30" t="s">
        <v>63</v>
      </c>
      <c r="N3471" s="30" t="s">
        <v>142</v>
      </c>
      <c r="O3471" s="30" t="s">
        <v>77</v>
      </c>
      <c r="P3471" s="30" t="s">
        <v>165</v>
      </c>
      <c r="Q3471" s="30" t="s">
        <v>18615</v>
      </c>
      <c r="R3471" s="30" t="s">
        <v>17369</v>
      </c>
      <c r="S3471" s="30">
        <v>0</v>
      </c>
      <c r="T3471" s="30">
        <v>0</v>
      </c>
      <c r="U3471" s="30">
        <v>0</v>
      </c>
      <c r="V3471" s="30">
        <v>0</v>
      </c>
      <c r="W3471" s="30">
        <v>0</v>
      </c>
      <c r="X3471" s="30">
        <v>0</v>
      </c>
      <c r="Y3471" s="30">
        <v>0</v>
      </c>
      <c r="Z3471" s="30">
        <v>1</v>
      </c>
      <c r="AA3471" s="30">
        <v>0</v>
      </c>
      <c r="AB3471" s="30">
        <v>0</v>
      </c>
      <c r="AC3471" s="30">
        <v>0</v>
      </c>
      <c r="AD3471" s="30">
        <v>1</v>
      </c>
      <c r="AE3471" s="30" t="s">
        <v>92</v>
      </c>
      <c r="AF3471" s="30" t="s">
        <v>20055</v>
      </c>
      <c r="AG3471" s="30" t="s">
        <v>20056</v>
      </c>
      <c r="AH3471" s="72">
        <v>44707</v>
      </c>
      <c r="AI3471" s="30">
        <v>1</v>
      </c>
      <c r="AJ3471" s="30" t="s">
        <v>20057</v>
      </c>
      <c r="AK3471" s="30" t="s">
        <v>18245</v>
      </c>
      <c r="AL3471" s="157">
        <v>44708</v>
      </c>
      <c r="AM3471" s="195">
        <v>45068</v>
      </c>
      <c r="AN3471" s="195">
        <v>45103</v>
      </c>
      <c r="AO3471" s="195">
        <v>45100</v>
      </c>
    </row>
    <row r="3472" spans="1:55" ht="36.75" customHeight="1">
      <c r="A3472" s="46" t="s">
        <v>12471</v>
      </c>
      <c r="B3472" s="30" t="s">
        <v>55</v>
      </c>
      <c r="C3472" s="69" t="str">
        <f t="shared" si="312"/>
        <v>Closed</v>
      </c>
      <c r="D3472" s="37" t="s">
        <v>20058</v>
      </c>
      <c r="E3472" s="29" t="s">
        <v>20059</v>
      </c>
      <c r="F3472" s="30" t="s">
        <v>6455</v>
      </c>
      <c r="G3472" s="88">
        <f>DATE(2022,5,19)</f>
        <v>44700</v>
      </c>
      <c r="H3472" s="142">
        <v>1.1666666666666667</v>
      </c>
      <c r="I3472" s="30" t="s">
        <v>198</v>
      </c>
      <c r="J3472" s="30" t="s">
        <v>20060</v>
      </c>
      <c r="K3472" s="30" t="s">
        <v>584</v>
      </c>
      <c r="L3472" s="30" t="s">
        <v>20061</v>
      </c>
      <c r="M3472" s="30" t="s">
        <v>63</v>
      </c>
      <c r="N3472" s="30" t="s">
        <v>142</v>
      </c>
      <c r="O3472" s="30" t="s">
        <v>64</v>
      </c>
      <c r="P3472" s="30" t="s">
        <v>78</v>
      </c>
      <c r="Q3472" s="30" t="s">
        <v>20018</v>
      </c>
      <c r="R3472" s="30" t="s">
        <v>587</v>
      </c>
      <c r="S3472" s="30">
        <v>0</v>
      </c>
      <c r="T3472" s="30">
        <v>1</v>
      </c>
      <c r="U3472" s="30">
        <v>0</v>
      </c>
      <c r="V3472" s="30">
        <v>0</v>
      </c>
      <c r="W3472" s="30">
        <v>0</v>
      </c>
      <c r="X3472" s="30">
        <v>1</v>
      </c>
      <c r="Y3472" s="30">
        <v>0</v>
      </c>
      <c r="Z3472" s="30">
        <v>0</v>
      </c>
      <c r="AA3472" s="30">
        <v>0</v>
      </c>
      <c r="AB3472" s="30">
        <v>0</v>
      </c>
      <c r="AC3472" s="30">
        <v>0</v>
      </c>
      <c r="AD3472" s="30">
        <v>0</v>
      </c>
      <c r="AE3472" s="30" t="s">
        <v>394</v>
      </c>
      <c r="AF3472" s="30" t="s">
        <v>20019</v>
      </c>
      <c r="AG3472" s="30" t="s">
        <v>6459</v>
      </c>
      <c r="AH3472" s="72">
        <v>44700</v>
      </c>
      <c r="AI3472" s="30">
        <v>5</v>
      </c>
      <c r="AJ3472" s="30" t="s">
        <v>20062</v>
      </c>
      <c r="AK3472" s="30" t="s">
        <v>20063</v>
      </c>
      <c r="AL3472" s="157">
        <v>44714</v>
      </c>
      <c r="AM3472" s="195">
        <v>45063</v>
      </c>
      <c r="AN3472" s="157">
        <v>45309</v>
      </c>
      <c r="AO3472" s="157">
        <v>45280</v>
      </c>
    </row>
    <row r="3473" spans="1:55" ht="36.75" customHeight="1">
      <c r="A3473" s="46" t="s">
        <v>12471</v>
      </c>
      <c r="B3473" s="30" t="s">
        <v>14882</v>
      </c>
      <c r="C3473" s="69" t="str">
        <f t="shared" si="312"/>
        <v>In progress</v>
      </c>
      <c r="D3473" s="36" t="s">
        <v>20064</v>
      </c>
      <c r="E3473" s="56" t="s">
        <v>20065</v>
      </c>
      <c r="F3473" s="56" t="s">
        <v>6455</v>
      </c>
      <c r="G3473" s="88">
        <f>DATE(2022,5,21)</f>
        <v>44702</v>
      </c>
      <c r="H3473" s="142">
        <v>1.4131944444444444</v>
      </c>
      <c r="I3473" s="56" t="s">
        <v>73</v>
      </c>
      <c r="J3473" s="56" t="s">
        <v>20066</v>
      </c>
      <c r="K3473" s="56" t="s">
        <v>584</v>
      </c>
      <c r="L3473" s="56" t="s">
        <v>20067</v>
      </c>
      <c r="M3473" s="56" t="s">
        <v>63</v>
      </c>
      <c r="N3473" s="56" t="s">
        <v>142</v>
      </c>
      <c r="O3473" s="56" t="s">
        <v>77</v>
      </c>
      <c r="P3473" s="56" t="s">
        <v>78</v>
      </c>
      <c r="Q3473" s="56" t="s">
        <v>13450</v>
      </c>
      <c r="R3473" s="56" t="s">
        <v>587</v>
      </c>
      <c r="S3473" s="56">
        <v>0</v>
      </c>
      <c r="T3473" s="56">
        <v>0</v>
      </c>
      <c r="U3473" s="56">
        <v>0</v>
      </c>
      <c r="V3473" s="56">
        <v>0</v>
      </c>
      <c r="W3473" s="56">
        <v>0</v>
      </c>
      <c r="X3473" s="56">
        <v>0</v>
      </c>
      <c r="Y3473" s="56">
        <v>0</v>
      </c>
      <c r="Z3473" s="56">
        <v>0</v>
      </c>
      <c r="AA3473" s="56">
        <v>0</v>
      </c>
      <c r="AB3473" s="56">
        <v>0</v>
      </c>
      <c r="AC3473" s="56">
        <v>0</v>
      </c>
      <c r="AD3473" s="56">
        <v>0</v>
      </c>
      <c r="AE3473" s="56" t="s">
        <v>394</v>
      </c>
      <c r="AF3473" s="56" t="s">
        <v>20068</v>
      </c>
      <c r="AG3473" s="56" t="s">
        <v>13537</v>
      </c>
      <c r="AH3473" s="72">
        <v>44702</v>
      </c>
      <c r="AI3473" s="56"/>
      <c r="AJ3473" s="56" t="s">
        <v>20069</v>
      </c>
      <c r="AK3473" s="56"/>
      <c r="AL3473" s="157">
        <v>44827</v>
      </c>
      <c r="AM3473" s="195">
        <v>45814</v>
      </c>
      <c r="AN3473" s="158"/>
      <c r="AO3473" s="158"/>
    </row>
    <row r="3474" spans="1:55" ht="36.75" customHeight="1">
      <c r="A3474" s="46" t="s">
        <v>12471</v>
      </c>
      <c r="B3474" s="30" t="s">
        <v>55</v>
      </c>
      <c r="C3474" s="69" t="str">
        <f t="shared" si="312"/>
        <v>Closed</v>
      </c>
      <c r="D3474" s="36" t="s">
        <v>20070</v>
      </c>
      <c r="E3474" s="29" t="s">
        <v>20071</v>
      </c>
      <c r="F3474" s="30" t="s">
        <v>17682</v>
      </c>
      <c r="G3474" s="88">
        <f>DATE(2022,5,24)</f>
        <v>44705</v>
      </c>
      <c r="H3474" s="142">
        <v>1.3645833333333333</v>
      </c>
      <c r="I3474" s="30" t="s">
        <v>6600</v>
      </c>
      <c r="J3474" s="30" t="s">
        <v>20072</v>
      </c>
      <c r="K3474" s="30" t="s">
        <v>1574</v>
      </c>
      <c r="L3474" s="30" t="s">
        <v>20073</v>
      </c>
      <c r="M3474" s="30" t="s">
        <v>129</v>
      </c>
      <c r="N3474" s="30" t="s">
        <v>142</v>
      </c>
      <c r="O3474" s="30" t="s">
        <v>64</v>
      </c>
      <c r="P3474" s="30" t="s">
        <v>129</v>
      </c>
      <c r="Q3474" s="30" t="s">
        <v>18685</v>
      </c>
      <c r="R3474" s="30" t="s">
        <v>18685</v>
      </c>
      <c r="S3474" s="30">
        <v>0</v>
      </c>
      <c r="T3474" s="30">
        <v>0</v>
      </c>
      <c r="U3474" s="30">
        <v>0</v>
      </c>
      <c r="V3474" s="30">
        <v>0</v>
      </c>
      <c r="W3474" s="30">
        <v>0</v>
      </c>
      <c r="X3474" s="30">
        <v>0</v>
      </c>
      <c r="Y3474" s="30">
        <v>0</v>
      </c>
      <c r="Z3474" s="30">
        <v>0</v>
      </c>
      <c r="AA3474" s="30">
        <v>0</v>
      </c>
      <c r="AB3474" s="30">
        <v>0</v>
      </c>
      <c r="AC3474" s="30">
        <v>0</v>
      </c>
      <c r="AD3474" s="30">
        <v>0</v>
      </c>
      <c r="AE3474" s="30" t="s">
        <v>92</v>
      </c>
      <c r="AF3474" s="30" t="s">
        <v>20074</v>
      </c>
      <c r="AG3474" s="30" t="s">
        <v>16938</v>
      </c>
      <c r="AH3474" s="72">
        <v>44711</v>
      </c>
      <c r="AI3474" s="30">
        <v>0</v>
      </c>
      <c r="AJ3474" s="30" t="s">
        <v>20075</v>
      </c>
      <c r="AK3474" s="30" t="s">
        <v>20076</v>
      </c>
      <c r="AL3474" s="157">
        <v>44714</v>
      </c>
      <c r="AM3474" s="30"/>
      <c r="AN3474" s="157">
        <v>45068</v>
      </c>
      <c r="AO3474" s="157">
        <v>45068</v>
      </c>
    </row>
    <row r="3475" spans="1:55" ht="36.75" customHeight="1">
      <c r="A3475" s="46" t="s">
        <v>12471</v>
      </c>
      <c r="B3475" s="30" t="s">
        <v>55</v>
      </c>
      <c r="C3475" s="69" t="str">
        <f t="shared" si="312"/>
        <v>Closed</v>
      </c>
      <c r="D3475" s="36" t="s">
        <v>20077</v>
      </c>
      <c r="E3475" s="29" t="s">
        <v>20078</v>
      </c>
      <c r="F3475" s="30" t="s">
        <v>17682</v>
      </c>
      <c r="G3475" s="88">
        <f>DATE(2022,5,26)</f>
        <v>44707</v>
      </c>
      <c r="H3475" s="142">
        <v>1.6840277777777777</v>
      </c>
      <c r="I3475" s="30" t="s">
        <v>73</v>
      </c>
      <c r="J3475" s="30" t="s">
        <v>20079</v>
      </c>
      <c r="K3475" s="30" t="s">
        <v>1574</v>
      </c>
      <c r="L3475" s="30" t="s">
        <v>20080</v>
      </c>
      <c r="M3475" s="30" t="s">
        <v>63</v>
      </c>
      <c r="N3475" s="30" t="s">
        <v>142</v>
      </c>
      <c r="O3475" s="30" t="s">
        <v>77</v>
      </c>
      <c r="P3475" s="30" t="s">
        <v>78</v>
      </c>
      <c r="Q3475" s="30" t="s">
        <v>20081</v>
      </c>
      <c r="R3475" s="30" t="s">
        <v>17686</v>
      </c>
      <c r="S3475" s="30">
        <v>0</v>
      </c>
      <c r="T3475" s="30">
        <v>0</v>
      </c>
      <c r="U3475" s="30">
        <v>0</v>
      </c>
      <c r="V3475" s="30">
        <v>0</v>
      </c>
      <c r="W3475" s="30">
        <v>0</v>
      </c>
      <c r="X3475" s="30">
        <v>0</v>
      </c>
      <c r="Y3475" s="30">
        <v>0</v>
      </c>
      <c r="Z3475" s="30">
        <v>1</v>
      </c>
      <c r="AA3475" s="30">
        <v>0</v>
      </c>
      <c r="AB3475" s="30">
        <v>0</v>
      </c>
      <c r="AC3475" s="30">
        <v>0</v>
      </c>
      <c r="AD3475" s="30">
        <v>1</v>
      </c>
      <c r="AE3475" s="30" t="s">
        <v>394</v>
      </c>
      <c r="AF3475" s="30" t="s">
        <v>20082</v>
      </c>
      <c r="AG3475" s="30" t="s">
        <v>8859</v>
      </c>
      <c r="AH3475" s="72">
        <v>44711</v>
      </c>
      <c r="AI3475" s="30">
        <v>0</v>
      </c>
      <c r="AJ3475" s="30" t="s">
        <v>20083</v>
      </c>
      <c r="AK3475" s="30" t="s">
        <v>20084</v>
      </c>
      <c r="AL3475" s="157">
        <v>44714</v>
      </c>
      <c r="AM3475" s="30"/>
      <c r="AN3475" s="157">
        <v>45076</v>
      </c>
      <c r="AO3475" s="157">
        <v>45071</v>
      </c>
    </row>
    <row r="3476" spans="1:55" ht="36.75" customHeight="1">
      <c r="A3476" s="46" t="s">
        <v>12471</v>
      </c>
      <c r="B3476" s="30" t="s">
        <v>55</v>
      </c>
      <c r="C3476" s="69" t="str">
        <f t="shared" si="312"/>
        <v>Closed</v>
      </c>
      <c r="D3476" s="36" t="s">
        <v>20085</v>
      </c>
      <c r="E3476" s="55" t="s">
        <v>20086</v>
      </c>
      <c r="F3476" s="56" t="s">
        <v>12910</v>
      </c>
      <c r="G3476" s="88">
        <f>DATE(2022,5,29)</f>
        <v>44710</v>
      </c>
      <c r="H3476" s="142">
        <v>1.8611111111111112</v>
      </c>
      <c r="I3476" s="56" t="s">
        <v>278</v>
      </c>
      <c r="J3476" s="56" t="s">
        <v>20087</v>
      </c>
      <c r="K3476" s="56" t="s">
        <v>453</v>
      </c>
      <c r="L3476" s="56" t="s">
        <v>20088</v>
      </c>
      <c r="M3476" s="56" t="s">
        <v>63</v>
      </c>
      <c r="N3476" s="56" t="s">
        <v>89</v>
      </c>
      <c r="O3476" s="56" t="s">
        <v>64</v>
      </c>
      <c r="P3476" s="56" t="s">
        <v>462</v>
      </c>
      <c r="Q3476" s="56" t="s">
        <v>20089</v>
      </c>
      <c r="R3476" s="56" t="s">
        <v>572</v>
      </c>
      <c r="S3476" s="56">
        <v>0</v>
      </c>
      <c r="T3476" s="56">
        <v>1</v>
      </c>
      <c r="U3476" s="56">
        <v>0</v>
      </c>
      <c r="V3476" s="56">
        <v>0</v>
      </c>
      <c r="W3476" s="56">
        <v>0</v>
      </c>
      <c r="X3476" s="56">
        <v>1</v>
      </c>
      <c r="Y3476" s="56">
        <v>0</v>
      </c>
      <c r="Z3476" s="56">
        <v>0</v>
      </c>
      <c r="AA3476" s="56">
        <v>0</v>
      </c>
      <c r="AB3476" s="56">
        <v>0</v>
      </c>
      <c r="AC3476" s="56">
        <v>0</v>
      </c>
      <c r="AD3476" s="56">
        <v>0</v>
      </c>
      <c r="AE3476" s="56" t="s">
        <v>92</v>
      </c>
      <c r="AF3476" s="56" t="s">
        <v>712</v>
      </c>
      <c r="AG3476" s="56" t="s">
        <v>6459</v>
      </c>
      <c r="AH3476" s="72">
        <v>44711</v>
      </c>
      <c r="AI3476" s="56">
        <v>1</v>
      </c>
      <c r="AJ3476" s="56" t="s">
        <v>20090</v>
      </c>
      <c r="AK3476" s="56" t="s">
        <v>20091</v>
      </c>
      <c r="AL3476" s="157">
        <v>44837</v>
      </c>
      <c r="AM3476" s="56"/>
      <c r="AN3476" s="157">
        <v>45043</v>
      </c>
      <c r="AO3476" s="157">
        <v>45043</v>
      </c>
    </row>
    <row r="3477" spans="1:55" ht="36.75" customHeight="1">
      <c r="A3477" s="46" t="s">
        <v>12471</v>
      </c>
      <c r="B3477" s="30" t="s">
        <v>55</v>
      </c>
      <c r="C3477" s="69" t="str">
        <f t="shared" si="312"/>
        <v>Closed</v>
      </c>
      <c r="D3477" s="36" t="s">
        <v>20092</v>
      </c>
      <c r="E3477" s="29" t="s">
        <v>20093</v>
      </c>
      <c r="F3477" s="30" t="s">
        <v>17344</v>
      </c>
      <c r="G3477" s="88">
        <f>DATE(2022,5,31)</f>
        <v>44712</v>
      </c>
      <c r="H3477" s="142">
        <v>1.28125</v>
      </c>
      <c r="I3477" s="30" t="s">
        <v>116</v>
      </c>
      <c r="J3477" s="30" t="s">
        <v>20094</v>
      </c>
      <c r="K3477" s="30" t="s">
        <v>127</v>
      </c>
      <c r="L3477" s="30" t="s">
        <v>20095</v>
      </c>
      <c r="M3477" s="30" t="s">
        <v>63</v>
      </c>
      <c r="N3477" s="30" t="s">
        <v>99</v>
      </c>
      <c r="O3477" s="30" t="s">
        <v>64</v>
      </c>
      <c r="P3477" s="30" t="s">
        <v>165</v>
      </c>
      <c r="Q3477" s="30" t="s">
        <v>20096</v>
      </c>
      <c r="R3477" s="30" t="s">
        <v>20097</v>
      </c>
      <c r="S3477" s="30">
        <v>0</v>
      </c>
      <c r="T3477" s="30">
        <v>1</v>
      </c>
      <c r="U3477" s="30">
        <v>0</v>
      </c>
      <c r="V3477" s="30">
        <v>0</v>
      </c>
      <c r="W3477" s="30">
        <v>0</v>
      </c>
      <c r="X3477" s="30">
        <v>1</v>
      </c>
      <c r="Y3477" s="30">
        <v>0</v>
      </c>
      <c r="Z3477" s="30">
        <v>0</v>
      </c>
      <c r="AA3477" s="30">
        <v>0</v>
      </c>
      <c r="AB3477" s="30">
        <v>0</v>
      </c>
      <c r="AC3477" s="30">
        <v>0</v>
      </c>
      <c r="AD3477" s="30">
        <v>0</v>
      </c>
      <c r="AE3477" s="30" t="s">
        <v>394</v>
      </c>
      <c r="AF3477" s="30" t="s">
        <v>20019</v>
      </c>
      <c r="AG3477" s="30" t="s">
        <v>8859</v>
      </c>
      <c r="AH3477" s="72">
        <v>44713</v>
      </c>
      <c r="AI3477" s="30">
        <v>1</v>
      </c>
      <c r="AJ3477" s="30" t="s">
        <v>20098</v>
      </c>
      <c r="AK3477" s="30" t="s">
        <v>20099</v>
      </c>
      <c r="AL3477" s="157">
        <v>44721</v>
      </c>
      <c r="AM3477" s="30"/>
      <c r="AN3477" s="157">
        <v>45113</v>
      </c>
      <c r="AO3477" s="157">
        <v>45113</v>
      </c>
    </row>
    <row r="3478" spans="1:55" ht="36.75" customHeight="1">
      <c r="A3478" s="46" t="s">
        <v>12471</v>
      </c>
      <c r="B3478" s="30" t="s">
        <v>55</v>
      </c>
      <c r="C3478" s="69" t="str">
        <f t="shared" si="312"/>
        <v>Closed</v>
      </c>
      <c r="D3478" s="36" t="s">
        <v>20100</v>
      </c>
      <c r="E3478" s="29" t="s">
        <v>20101</v>
      </c>
      <c r="F3478" s="30" t="s">
        <v>17820</v>
      </c>
      <c r="G3478" s="88">
        <f>DATE(2022,6,1)</f>
        <v>44713</v>
      </c>
      <c r="H3478" s="142">
        <v>1.4652777777777777</v>
      </c>
      <c r="I3478" s="30" t="s">
        <v>6775</v>
      </c>
      <c r="J3478" s="30" t="s">
        <v>20102</v>
      </c>
      <c r="K3478" s="30" t="s">
        <v>640</v>
      </c>
      <c r="L3478" s="30" t="s">
        <v>20103</v>
      </c>
      <c r="M3478" s="30" t="s">
        <v>63</v>
      </c>
      <c r="N3478" s="30" t="s">
        <v>142</v>
      </c>
      <c r="O3478" s="30" t="s">
        <v>64</v>
      </c>
      <c r="P3478" s="30" t="s">
        <v>6902</v>
      </c>
      <c r="Q3478" s="30" t="s">
        <v>18509</v>
      </c>
      <c r="R3478" s="30" t="s">
        <v>2016</v>
      </c>
      <c r="S3478" s="30">
        <v>0</v>
      </c>
      <c r="T3478" s="30">
        <v>0</v>
      </c>
      <c r="U3478" s="30">
        <v>0</v>
      </c>
      <c r="V3478" s="30">
        <v>0</v>
      </c>
      <c r="W3478" s="30">
        <v>0</v>
      </c>
      <c r="X3478" s="30">
        <v>0</v>
      </c>
      <c r="Y3478" s="30">
        <v>0</v>
      </c>
      <c r="Z3478" s="30">
        <v>0</v>
      </c>
      <c r="AA3478" s="30">
        <v>0</v>
      </c>
      <c r="AB3478" s="30">
        <v>0</v>
      </c>
      <c r="AC3478" s="30">
        <v>0</v>
      </c>
      <c r="AD3478" s="30">
        <v>0</v>
      </c>
      <c r="AE3478" s="30" t="s">
        <v>92</v>
      </c>
      <c r="AF3478" s="30" t="s">
        <v>18510</v>
      </c>
      <c r="AG3478" s="30" t="s">
        <v>17062</v>
      </c>
      <c r="AH3478" s="72">
        <v>44742</v>
      </c>
      <c r="AI3478" s="30">
        <v>6</v>
      </c>
      <c r="AJ3478" s="30" t="s">
        <v>20104</v>
      </c>
      <c r="AK3478" s="30" t="s">
        <v>20105</v>
      </c>
      <c r="AL3478" s="157">
        <v>44748</v>
      </c>
      <c r="AM3478" s="30"/>
      <c r="AN3478" s="157">
        <v>45089</v>
      </c>
      <c r="AO3478" s="157">
        <v>45084</v>
      </c>
      <c r="AP3478" s="157">
        <v>44756</v>
      </c>
      <c r="AQ3478" s="30"/>
      <c r="AR3478" s="157">
        <v>44756</v>
      </c>
      <c r="AS3478" s="157">
        <v>44591</v>
      </c>
      <c r="AT3478" s="157">
        <v>44756</v>
      </c>
      <c r="AU3478" s="30"/>
      <c r="AV3478" s="157">
        <v>44756</v>
      </c>
      <c r="AW3478" s="157">
        <v>44591</v>
      </c>
      <c r="AX3478" s="157">
        <v>44756</v>
      </c>
      <c r="AY3478" s="30"/>
      <c r="AZ3478" s="157">
        <v>44756</v>
      </c>
      <c r="BA3478" s="157">
        <v>44591</v>
      </c>
      <c r="BB3478" s="157">
        <v>44756</v>
      </c>
      <c r="BC3478" s="30"/>
    </row>
    <row r="3479" spans="1:55" ht="36.75" customHeight="1">
      <c r="A3479" s="46" t="s">
        <v>12471</v>
      </c>
      <c r="B3479" s="30" t="s">
        <v>55</v>
      </c>
      <c r="C3479" s="69" t="str">
        <f t="shared" si="312"/>
        <v>Closed</v>
      </c>
      <c r="D3479" s="36" t="s">
        <v>20106</v>
      </c>
      <c r="E3479" s="29" t="s">
        <v>20107</v>
      </c>
      <c r="F3479" s="30" t="s">
        <v>15071</v>
      </c>
      <c r="G3479" s="88">
        <f>DATE(2022,6,2)</f>
        <v>44714</v>
      </c>
      <c r="H3479" s="142">
        <v>1.4826388888888888</v>
      </c>
      <c r="I3479" s="30" t="s">
        <v>198</v>
      </c>
      <c r="J3479" s="30" t="s">
        <v>20108</v>
      </c>
      <c r="K3479" s="30" t="s">
        <v>13441</v>
      </c>
      <c r="L3479" s="30" t="s">
        <v>20109</v>
      </c>
      <c r="M3479" s="30" t="s">
        <v>63</v>
      </c>
      <c r="N3479" s="30" t="s">
        <v>89</v>
      </c>
      <c r="O3479" s="30" t="s">
        <v>77</v>
      </c>
      <c r="P3479" s="30" t="s">
        <v>381</v>
      </c>
      <c r="Q3479" s="30" t="s">
        <v>20018</v>
      </c>
      <c r="R3479" s="30" t="s">
        <v>587</v>
      </c>
      <c r="S3479" s="30">
        <v>0</v>
      </c>
      <c r="T3479" s="30">
        <v>1</v>
      </c>
      <c r="U3479" s="30">
        <v>0</v>
      </c>
      <c r="V3479" s="30">
        <v>0</v>
      </c>
      <c r="W3479" s="30">
        <v>0</v>
      </c>
      <c r="X3479" s="30">
        <v>1</v>
      </c>
      <c r="Y3479" s="30">
        <v>0</v>
      </c>
      <c r="Z3479" s="30">
        <v>0</v>
      </c>
      <c r="AA3479" s="30">
        <v>0</v>
      </c>
      <c r="AB3479" s="30">
        <v>0</v>
      </c>
      <c r="AC3479" s="30">
        <v>0</v>
      </c>
      <c r="AD3479" s="30">
        <v>0</v>
      </c>
      <c r="AE3479" s="30" t="s">
        <v>394</v>
      </c>
      <c r="AF3479" s="30" t="s">
        <v>20019</v>
      </c>
      <c r="AG3479" s="30" t="s">
        <v>6459</v>
      </c>
      <c r="AH3479" s="72">
        <v>44715</v>
      </c>
      <c r="AI3479" s="30">
        <v>2</v>
      </c>
      <c r="AJ3479" s="30" t="s">
        <v>20110</v>
      </c>
      <c r="AK3479" s="30" t="s">
        <v>20111</v>
      </c>
      <c r="AL3479" s="157">
        <v>44734</v>
      </c>
      <c r="AM3479" s="30"/>
      <c r="AN3479" s="157">
        <v>44942</v>
      </c>
      <c r="AO3479" s="157">
        <v>44901</v>
      </c>
      <c r="AP3479" s="157">
        <v>44756</v>
      </c>
      <c r="AQ3479" s="30"/>
      <c r="AR3479" s="157">
        <v>44756</v>
      </c>
      <c r="AS3479" s="157">
        <v>44591</v>
      </c>
      <c r="AT3479" s="157">
        <v>44756</v>
      </c>
      <c r="AU3479" s="30"/>
      <c r="AV3479" s="157">
        <v>44756</v>
      </c>
      <c r="AW3479" s="157">
        <v>44591</v>
      </c>
      <c r="AX3479" s="157">
        <v>44756</v>
      </c>
      <c r="AY3479" s="30"/>
      <c r="AZ3479" s="157">
        <v>44756</v>
      </c>
      <c r="BA3479" s="157">
        <v>44591</v>
      </c>
      <c r="BB3479" s="157">
        <v>44756</v>
      </c>
      <c r="BC3479" s="30"/>
    </row>
    <row r="3480" spans="1:55" ht="36.75" customHeight="1">
      <c r="A3480" s="46" t="s">
        <v>12471</v>
      </c>
      <c r="B3480" s="30" t="s">
        <v>14882</v>
      </c>
      <c r="C3480" s="69" t="str">
        <f t="shared" si="312"/>
        <v>In progress</v>
      </c>
      <c r="D3480" s="36" t="s">
        <v>20112</v>
      </c>
      <c r="E3480" s="29" t="s">
        <v>20113</v>
      </c>
      <c r="F3480" s="30" t="s">
        <v>16310</v>
      </c>
      <c r="G3480" s="88">
        <f>DATE(2022,6,2)</f>
        <v>44714</v>
      </c>
      <c r="H3480" s="142">
        <v>1.3541666666666667</v>
      </c>
      <c r="I3480" s="30" t="s">
        <v>2264</v>
      </c>
      <c r="J3480" s="30" t="s">
        <v>20114</v>
      </c>
      <c r="K3480" s="30" t="s">
        <v>118</v>
      </c>
      <c r="L3480" s="30" t="s">
        <v>20115</v>
      </c>
      <c r="M3480" s="30" t="s">
        <v>63</v>
      </c>
      <c r="N3480" s="30" t="s">
        <v>142</v>
      </c>
      <c r="O3480" s="30" t="s">
        <v>64</v>
      </c>
      <c r="P3480" s="30" t="s">
        <v>86</v>
      </c>
      <c r="Q3480" s="30" t="s">
        <v>20116</v>
      </c>
      <c r="R3480" s="30" t="s">
        <v>16314</v>
      </c>
      <c r="S3480" s="30">
        <v>0</v>
      </c>
      <c r="T3480" s="30">
        <v>0</v>
      </c>
      <c r="U3480" s="30">
        <v>0</v>
      </c>
      <c r="V3480" s="30">
        <v>0</v>
      </c>
      <c r="W3480" s="30">
        <v>0</v>
      </c>
      <c r="X3480" s="30">
        <v>0</v>
      </c>
      <c r="Y3480" s="30">
        <v>0</v>
      </c>
      <c r="Z3480" s="30">
        <v>0</v>
      </c>
      <c r="AA3480" s="30">
        <v>0</v>
      </c>
      <c r="AB3480" s="30">
        <v>0</v>
      </c>
      <c r="AC3480" s="30">
        <v>0</v>
      </c>
      <c r="AD3480" s="30">
        <v>0</v>
      </c>
      <c r="AE3480" s="30" t="s">
        <v>92</v>
      </c>
      <c r="AF3480" s="30" t="s">
        <v>20117</v>
      </c>
      <c r="AG3480" s="30" t="s">
        <v>13537</v>
      </c>
      <c r="AH3480" s="72">
        <v>44761</v>
      </c>
      <c r="AI3480" s="30"/>
      <c r="AJ3480" s="30"/>
      <c r="AK3480" s="30"/>
      <c r="AL3480" s="157">
        <v>44764</v>
      </c>
      <c r="AM3480" s="195">
        <v>45208</v>
      </c>
      <c r="AN3480" s="169"/>
      <c r="AO3480" s="169"/>
    </row>
    <row r="3481" spans="1:55" ht="36.75" customHeight="1">
      <c r="A3481" s="46" t="s">
        <v>12471</v>
      </c>
      <c r="B3481" s="30" t="s">
        <v>55</v>
      </c>
      <c r="C3481" s="69" t="str">
        <f t="shared" si="312"/>
        <v>Closed</v>
      </c>
      <c r="D3481" s="36" t="s">
        <v>20118</v>
      </c>
      <c r="E3481" s="29" t="s">
        <v>20119</v>
      </c>
      <c r="F3481" s="30" t="s">
        <v>19149</v>
      </c>
      <c r="G3481" s="88">
        <f>DATE(2022,6,3)</f>
        <v>44715</v>
      </c>
      <c r="H3481" s="142">
        <v>1.7777777777777777</v>
      </c>
      <c r="I3481" s="30" t="s">
        <v>198</v>
      </c>
      <c r="J3481" s="30" t="s">
        <v>19150</v>
      </c>
      <c r="K3481" s="30" t="s">
        <v>19151</v>
      </c>
      <c r="L3481" s="30" t="s">
        <v>20120</v>
      </c>
      <c r="M3481" s="30" t="s">
        <v>63</v>
      </c>
      <c r="N3481" s="30" t="s">
        <v>142</v>
      </c>
      <c r="O3481" s="30" t="s">
        <v>64</v>
      </c>
      <c r="P3481" s="30" t="s">
        <v>6902</v>
      </c>
      <c r="Q3481" s="30" t="s">
        <v>20018</v>
      </c>
      <c r="R3481" s="30" t="s">
        <v>587</v>
      </c>
      <c r="S3481" s="30">
        <v>0</v>
      </c>
      <c r="T3481" s="30">
        <v>1</v>
      </c>
      <c r="U3481" s="30">
        <v>0</v>
      </c>
      <c r="V3481" s="30">
        <v>0</v>
      </c>
      <c r="W3481" s="30">
        <v>0</v>
      </c>
      <c r="X3481" s="30">
        <v>1</v>
      </c>
      <c r="Y3481" s="30">
        <v>0</v>
      </c>
      <c r="Z3481" s="30">
        <v>0</v>
      </c>
      <c r="AA3481" s="30">
        <v>0</v>
      </c>
      <c r="AB3481" s="30">
        <v>0</v>
      </c>
      <c r="AC3481" s="30">
        <v>0</v>
      </c>
      <c r="AD3481" s="30">
        <v>0</v>
      </c>
      <c r="AE3481" s="30" t="s">
        <v>394</v>
      </c>
      <c r="AF3481" s="30" t="s">
        <v>20019</v>
      </c>
      <c r="AG3481" s="30" t="s">
        <v>6459</v>
      </c>
      <c r="AH3481" s="72">
        <v>44715</v>
      </c>
      <c r="AI3481" s="30">
        <v>2</v>
      </c>
      <c r="AJ3481" s="30" t="s">
        <v>20121</v>
      </c>
      <c r="AK3481" s="30" t="s">
        <v>10556</v>
      </c>
      <c r="AL3481" s="157">
        <v>44719</v>
      </c>
      <c r="AM3481" s="30"/>
      <c r="AN3481" s="157">
        <v>44874</v>
      </c>
      <c r="AO3481" s="157">
        <v>44859</v>
      </c>
    </row>
    <row r="3482" spans="1:55" ht="36.75" customHeight="1">
      <c r="A3482" s="46" t="s">
        <v>12471</v>
      </c>
      <c r="B3482" s="30" t="s">
        <v>55</v>
      </c>
      <c r="C3482" s="69" t="str">
        <f t="shared" si="312"/>
        <v>Closed</v>
      </c>
      <c r="D3482" s="37" t="s">
        <v>20122</v>
      </c>
      <c r="E3482" s="29" t="s">
        <v>20123</v>
      </c>
      <c r="F3482" s="30" t="s">
        <v>18131</v>
      </c>
      <c r="G3482" s="88">
        <f>DATE(2022,6,3)</f>
        <v>44715</v>
      </c>
      <c r="H3482" s="142">
        <v>1.5868055555555556</v>
      </c>
      <c r="I3482" s="30" t="s">
        <v>73</v>
      </c>
      <c r="J3482" s="30" t="s">
        <v>20124</v>
      </c>
      <c r="K3482" s="30" t="s">
        <v>379</v>
      </c>
      <c r="L3482" s="30" t="s">
        <v>20125</v>
      </c>
      <c r="M3482" s="30" t="s">
        <v>63</v>
      </c>
      <c r="N3482" s="30" t="s">
        <v>89</v>
      </c>
      <c r="O3482" s="30" t="s">
        <v>64</v>
      </c>
      <c r="P3482" s="30" t="s">
        <v>462</v>
      </c>
      <c r="Q3482" s="30" t="s">
        <v>2906</v>
      </c>
      <c r="R3482" s="30" t="s">
        <v>20126</v>
      </c>
      <c r="S3482" s="30">
        <v>0</v>
      </c>
      <c r="T3482" s="30">
        <v>0</v>
      </c>
      <c r="U3482" s="30">
        <v>0</v>
      </c>
      <c r="V3482" s="30">
        <v>0</v>
      </c>
      <c r="W3482" s="30">
        <v>0</v>
      </c>
      <c r="X3482" s="30">
        <v>0</v>
      </c>
      <c r="Y3482" s="30">
        <v>0</v>
      </c>
      <c r="Z3482" s="30">
        <v>0</v>
      </c>
      <c r="AA3482" s="30">
        <v>0</v>
      </c>
      <c r="AB3482" s="30">
        <v>0</v>
      </c>
      <c r="AC3482" s="30">
        <v>0</v>
      </c>
      <c r="AD3482" s="30">
        <v>0</v>
      </c>
      <c r="AE3482" s="30" t="s">
        <v>145</v>
      </c>
      <c r="AF3482" s="30" t="s">
        <v>20127</v>
      </c>
      <c r="AG3482" s="30" t="s">
        <v>6459</v>
      </c>
      <c r="AH3482" s="72">
        <v>44720</v>
      </c>
      <c r="AI3482" s="30">
        <v>5</v>
      </c>
      <c r="AJ3482" s="30" t="s">
        <v>20128</v>
      </c>
      <c r="AK3482" s="30" t="s">
        <v>20129</v>
      </c>
      <c r="AL3482" s="157">
        <v>44763</v>
      </c>
      <c r="AM3482" s="30"/>
      <c r="AN3482" s="157">
        <v>45267</v>
      </c>
      <c r="AO3482" s="157">
        <v>45266</v>
      </c>
    </row>
    <row r="3483" spans="1:55" ht="36.75" customHeight="1">
      <c r="A3483" s="46" t="s">
        <v>12471</v>
      </c>
      <c r="B3483" s="30" t="s">
        <v>55</v>
      </c>
      <c r="C3483" s="69" t="str">
        <f t="shared" si="312"/>
        <v>Closed</v>
      </c>
      <c r="D3483" s="36" t="s">
        <v>20130</v>
      </c>
      <c r="E3483" s="29" t="s">
        <v>20131</v>
      </c>
      <c r="F3483" s="30" t="s">
        <v>6455</v>
      </c>
      <c r="G3483" s="88">
        <f>DATE(2022,6,3)</f>
        <v>44715</v>
      </c>
      <c r="H3483" s="142">
        <v>1.5104166666666665</v>
      </c>
      <c r="I3483" s="30" t="s">
        <v>73</v>
      </c>
      <c r="J3483" s="30" t="s">
        <v>20132</v>
      </c>
      <c r="K3483" s="30" t="s">
        <v>584</v>
      </c>
      <c r="L3483" s="30" t="s">
        <v>20133</v>
      </c>
      <c r="M3483" s="30" t="s">
        <v>63</v>
      </c>
      <c r="N3483" s="30" t="s">
        <v>99</v>
      </c>
      <c r="O3483" s="30" t="s">
        <v>64</v>
      </c>
      <c r="P3483" s="30" t="s">
        <v>165</v>
      </c>
      <c r="Q3483" s="30" t="s">
        <v>4487</v>
      </c>
      <c r="R3483" s="30" t="s">
        <v>587</v>
      </c>
      <c r="S3483" s="30">
        <v>5</v>
      </c>
      <c r="T3483" s="30">
        <v>0</v>
      </c>
      <c r="U3483" s="30">
        <v>0</v>
      </c>
      <c r="V3483" s="30">
        <v>0</v>
      </c>
      <c r="W3483" s="30">
        <v>0</v>
      </c>
      <c r="X3483" s="30">
        <v>5</v>
      </c>
      <c r="Y3483" s="30">
        <v>16</v>
      </c>
      <c r="Z3483" s="30">
        <v>0</v>
      </c>
      <c r="AA3483" s="30">
        <v>0</v>
      </c>
      <c r="AB3483" s="30">
        <v>0</v>
      </c>
      <c r="AC3483" s="30">
        <v>0</v>
      </c>
      <c r="AD3483" s="30">
        <v>16</v>
      </c>
      <c r="AE3483" s="30" t="s">
        <v>145</v>
      </c>
      <c r="AF3483" s="30" t="s">
        <v>20134</v>
      </c>
      <c r="AG3483" s="30" t="s">
        <v>8859</v>
      </c>
      <c r="AH3483" s="72">
        <v>45446</v>
      </c>
      <c r="AI3483" s="30">
        <v>4</v>
      </c>
      <c r="AJ3483" s="30" t="s">
        <v>20135</v>
      </c>
      <c r="AK3483" s="30" t="s">
        <v>20136</v>
      </c>
      <c r="AL3483" s="157">
        <v>44827</v>
      </c>
      <c r="AM3483" s="157">
        <v>45450</v>
      </c>
      <c r="AN3483" s="157">
        <v>45470</v>
      </c>
      <c r="AO3483" s="157">
        <v>45439</v>
      </c>
    </row>
    <row r="3484" spans="1:55" ht="36.75" customHeight="1">
      <c r="A3484" s="46" t="s">
        <v>12471</v>
      </c>
      <c r="B3484" s="30" t="s">
        <v>55</v>
      </c>
      <c r="C3484" s="69" t="str">
        <f t="shared" si="312"/>
        <v>Closed</v>
      </c>
      <c r="D3484" s="36" t="s">
        <v>20137</v>
      </c>
      <c r="E3484" s="29" t="s">
        <v>20138</v>
      </c>
      <c r="F3484" s="30" t="s">
        <v>17773</v>
      </c>
      <c r="G3484" s="88">
        <f>DATE(2022,6,7)</f>
        <v>44719</v>
      </c>
      <c r="H3484" s="142">
        <v>1.5625</v>
      </c>
      <c r="I3484" s="30" t="s">
        <v>116</v>
      </c>
      <c r="J3484" s="30" t="s">
        <v>20139</v>
      </c>
      <c r="K3484" s="30" t="s">
        <v>2603</v>
      </c>
      <c r="L3484" s="30" t="s">
        <v>20140</v>
      </c>
      <c r="M3484" s="30" t="s">
        <v>63</v>
      </c>
      <c r="N3484" s="30" t="s">
        <v>99</v>
      </c>
      <c r="O3484" s="30" t="s">
        <v>64</v>
      </c>
      <c r="P3484" s="30" t="s">
        <v>165</v>
      </c>
      <c r="Q3484" s="30" t="s">
        <v>20018</v>
      </c>
      <c r="R3484" s="30" t="s">
        <v>587</v>
      </c>
      <c r="S3484" s="30">
        <v>0</v>
      </c>
      <c r="T3484" s="30">
        <v>1</v>
      </c>
      <c r="U3484" s="30">
        <v>0</v>
      </c>
      <c r="V3484" s="30">
        <v>0</v>
      </c>
      <c r="W3484" s="30">
        <v>0</v>
      </c>
      <c r="X3484" s="30">
        <v>1</v>
      </c>
      <c r="Y3484" s="30">
        <v>0</v>
      </c>
      <c r="Z3484" s="30">
        <v>0</v>
      </c>
      <c r="AA3484" s="30">
        <v>0</v>
      </c>
      <c r="AB3484" s="30">
        <v>0</v>
      </c>
      <c r="AC3484" s="30">
        <v>0</v>
      </c>
      <c r="AD3484" s="30">
        <v>0</v>
      </c>
      <c r="AE3484" s="30" t="s">
        <v>394</v>
      </c>
      <c r="AF3484" s="30" t="s">
        <v>20019</v>
      </c>
      <c r="AG3484" s="30" t="s">
        <v>6459</v>
      </c>
      <c r="AH3484" s="72">
        <v>44720</v>
      </c>
      <c r="AI3484" s="30">
        <v>6</v>
      </c>
      <c r="AJ3484" s="30" t="s">
        <v>20141</v>
      </c>
      <c r="AK3484" s="30" t="s">
        <v>20142</v>
      </c>
      <c r="AL3484" s="157">
        <v>44720</v>
      </c>
      <c r="AM3484" s="30"/>
      <c r="AN3484" s="157">
        <v>44924</v>
      </c>
      <c r="AO3484" s="157">
        <v>44910</v>
      </c>
      <c r="AP3484" s="157">
        <v>45129</v>
      </c>
      <c r="AQ3484" s="157">
        <v>45130</v>
      </c>
      <c r="AR3484" s="157">
        <v>45131</v>
      </c>
      <c r="AS3484" s="157">
        <v>45132</v>
      </c>
      <c r="AT3484" s="157">
        <v>45133</v>
      </c>
      <c r="AU3484" s="157">
        <v>45134</v>
      </c>
      <c r="AV3484" s="157">
        <v>45135</v>
      </c>
      <c r="AW3484" s="157">
        <v>45136</v>
      </c>
      <c r="AX3484" s="157">
        <v>45137</v>
      </c>
      <c r="AY3484" s="157">
        <v>45138</v>
      </c>
      <c r="AZ3484" s="157">
        <v>45139</v>
      </c>
      <c r="BA3484" s="157">
        <v>45140</v>
      </c>
      <c r="BB3484" s="157">
        <v>45141</v>
      </c>
      <c r="BC3484" s="157">
        <v>45142</v>
      </c>
    </row>
    <row r="3485" spans="1:55" ht="36.75" customHeight="1">
      <c r="A3485" s="46" t="s">
        <v>12471</v>
      </c>
      <c r="B3485" s="30" t="s">
        <v>55</v>
      </c>
      <c r="C3485" s="69" t="str">
        <f t="shared" si="312"/>
        <v>Closed</v>
      </c>
      <c r="D3485" s="36" t="s">
        <v>20143</v>
      </c>
      <c r="E3485" s="29" t="s">
        <v>20144</v>
      </c>
      <c r="F3485" s="30" t="s">
        <v>16429</v>
      </c>
      <c r="G3485" s="88">
        <f>DATE(2022,6,7)</f>
        <v>44719</v>
      </c>
      <c r="H3485" s="142">
        <v>1.7215277777777778</v>
      </c>
      <c r="I3485" s="30" t="s">
        <v>86</v>
      </c>
      <c r="J3485" s="30" t="s">
        <v>20145</v>
      </c>
      <c r="K3485" s="30" t="s">
        <v>425</v>
      </c>
      <c r="L3485" s="30" t="s">
        <v>20146</v>
      </c>
      <c r="M3485" s="30" t="s">
        <v>63</v>
      </c>
      <c r="N3485" s="30" t="s">
        <v>142</v>
      </c>
      <c r="O3485" s="30" t="s">
        <v>77</v>
      </c>
      <c r="P3485" s="30" t="s">
        <v>78</v>
      </c>
      <c r="Q3485" s="30" t="s">
        <v>20018</v>
      </c>
      <c r="R3485" s="30" t="s">
        <v>587</v>
      </c>
      <c r="S3485" s="30">
        <v>0</v>
      </c>
      <c r="T3485" s="30">
        <v>1</v>
      </c>
      <c r="U3485" s="30">
        <v>0</v>
      </c>
      <c r="V3485" s="30">
        <v>0</v>
      </c>
      <c r="W3485" s="30">
        <v>0</v>
      </c>
      <c r="X3485" s="30">
        <v>1</v>
      </c>
      <c r="Y3485" s="30">
        <v>0</v>
      </c>
      <c r="Z3485" s="30">
        <v>0</v>
      </c>
      <c r="AA3485" s="30">
        <v>0</v>
      </c>
      <c r="AB3485" s="30">
        <v>0</v>
      </c>
      <c r="AC3485" s="30">
        <v>0</v>
      </c>
      <c r="AD3485" s="30">
        <v>0</v>
      </c>
      <c r="AE3485" s="30" t="s">
        <v>394</v>
      </c>
      <c r="AF3485" s="30" t="s">
        <v>20019</v>
      </c>
      <c r="AG3485" s="30" t="s">
        <v>16283</v>
      </c>
      <c r="AH3485" s="72">
        <v>44719</v>
      </c>
      <c r="AI3485" s="30">
        <v>2</v>
      </c>
      <c r="AJ3485" s="30" t="s">
        <v>20147</v>
      </c>
      <c r="AK3485" s="30" t="s">
        <v>17938</v>
      </c>
      <c r="AL3485" s="157">
        <v>44725</v>
      </c>
      <c r="AM3485" s="30"/>
      <c r="AN3485" s="157">
        <v>45101</v>
      </c>
      <c r="AO3485" s="157">
        <v>45100</v>
      </c>
    </row>
    <row r="3486" spans="1:55" ht="36.75" customHeight="1">
      <c r="A3486" s="46" t="s">
        <v>12471</v>
      </c>
      <c r="B3486" s="30" t="s">
        <v>55</v>
      </c>
      <c r="C3486" s="69" t="str">
        <f t="shared" si="312"/>
        <v>Closed</v>
      </c>
      <c r="D3486" s="36" t="s">
        <v>20148</v>
      </c>
      <c r="E3486" s="29" t="s">
        <v>20149</v>
      </c>
      <c r="F3486" s="30" t="s">
        <v>17820</v>
      </c>
      <c r="G3486" s="88">
        <f>DATE(2022,6,12)</f>
        <v>44724</v>
      </c>
      <c r="H3486" s="142">
        <v>1.90625</v>
      </c>
      <c r="I3486" s="30" t="s">
        <v>198</v>
      </c>
      <c r="J3486" s="30" t="s">
        <v>20150</v>
      </c>
      <c r="K3486" s="30" t="s">
        <v>640</v>
      </c>
      <c r="L3486" s="30" t="s">
        <v>20151</v>
      </c>
      <c r="M3486" s="30" t="s">
        <v>63</v>
      </c>
      <c r="N3486" s="30" t="s">
        <v>142</v>
      </c>
      <c r="O3486" s="30" t="s">
        <v>77</v>
      </c>
      <c r="P3486" s="30" t="s">
        <v>381</v>
      </c>
      <c r="Q3486" s="30" t="s">
        <v>20152</v>
      </c>
      <c r="R3486" s="30" t="s">
        <v>2016</v>
      </c>
      <c r="S3486" s="30">
        <v>0</v>
      </c>
      <c r="T3486" s="30">
        <v>0</v>
      </c>
      <c r="U3486" s="30">
        <v>0</v>
      </c>
      <c r="V3486" s="30">
        <v>0</v>
      </c>
      <c r="W3486" s="30">
        <v>0</v>
      </c>
      <c r="X3486" s="30">
        <v>0</v>
      </c>
      <c r="Y3486" s="30">
        <v>6</v>
      </c>
      <c r="Z3486" s="30">
        <v>0</v>
      </c>
      <c r="AA3486" s="30">
        <v>0</v>
      </c>
      <c r="AB3486" s="30">
        <v>0</v>
      </c>
      <c r="AC3486" s="30">
        <v>0</v>
      </c>
      <c r="AD3486" s="30">
        <v>6</v>
      </c>
      <c r="AE3486" s="30" t="s">
        <v>394</v>
      </c>
      <c r="AF3486" s="30" t="s">
        <v>20153</v>
      </c>
      <c r="AG3486" s="30" t="s">
        <v>6459</v>
      </c>
      <c r="AH3486" s="72">
        <v>44742</v>
      </c>
      <c r="AI3486" s="30">
        <v>2</v>
      </c>
      <c r="AJ3486" s="30" t="s">
        <v>20154</v>
      </c>
      <c r="AK3486" s="30" t="s">
        <v>20155</v>
      </c>
      <c r="AL3486" s="157">
        <v>44748</v>
      </c>
      <c r="AM3486" s="30"/>
      <c r="AN3486" s="157">
        <v>45042</v>
      </c>
      <c r="AO3486" s="157">
        <v>45036</v>
      </c>
      <c r="AP3486" s="30"/>
      <c r="AQ3486" s="30"/>
      <c r="AR3486" s="30"/>
      <c r="AS3486" s="30"/>
      <c r="AT3486" s="30"/>
      <c r="AU3486" s="30"/>
      <c r="AV3486" s="30"/>
      <c r="AW3486" s="30"/>
      <c r="AX3486" s="30"/>
      <c r="AY3486" s="30"/>
      <c r="AZ3486" s="30"/>
      <c r="BA3486" s="30"/>
      <c r="BB3486" s="30"/>
      <c r="BC3486" s="30"/>
    </row>
    <row r="3487" spans="1:55" ht="36.75" customHeight="1">
      <c r="A3487" s="46" t="s">
        <v>12471</v>
      </c>
      <c r="B3487" s="30" t="s">
        <v>55</v>
      </c>
      <c r="C3487" s="69" t="str">
        <f t="shared" si="312"/>
        <v>Closed</v>
      </c>
      <c r="D3487" s="36" t="s">
        <v>20156</v>
      </c>
      <c r="E3487" s="29" t="s">
        <v>20157</v>
      </c>
      <c r="F3487" s="30" t="s">
        <v>17682</v>
      </c>
      <c r="G3487" s="88">
        <f>DATE(2022,6,13)</f>
        <v>44725</v>
      </c>
      <c r="H3487" s="142">
        <v>1.6909722222222223</v>
      </c>
      <c r="I3487" s="30" t="s">
        <v>125</v>
      </c>
      <c r="J3487" s="30" t="s">
        <v>20158</v>
      </c>
      <c r="K3487" s="30" t="s">
        <v>1574</v>
      </c>
      <c r="L3487" s="30" t="s">
        <v>20159</v>
      </c>
      <c r="M3487" s="30" t="s">
        <v>63</v>
      </c>
      <c r="N3487" s="30" t="s">
        <v>142</v>
      </c>
      <c r="O3487" s="30" t="s">
        <v>77</v>
      </c>
      <c r="P3487" s="30" t="s">
        <v>78</v>
      </c>
      <c r="Q3487" s="30" t="s">
        <v>20018</v>
      </c>
      <c r="R3487" s="30" t="s">
        <v>587</v>
      </c>
      <c r="S3487" s="30">
        <v>0</v>
      </c>
      <c r="T3487" s="30">
        <v>1</v>
      </c>
      <c r="U3487" s="30">
        <v>0</v>
      </c>
      <c r="V3487" s="30">
        <v>0</v>
      </c>
      <c r="W3487" s="30">
        <v>0</v>
      </c>
      <c r="X3487" s="30">
        <v>1</v>
      </c>
      <c r="Y3487" s="30">
        <v>0</v>
      </c>
      <c r="Z3487" s="30">
        <v>0</v>
      </c>
      <c r="AA3487" s="30">
        <v>0</v>
      </c>
      <c r="AB3487" s="30">
        <v>0</v>
      </c>
      <c r="AC3487" s="30">
        <v>0</v>
      </c>
      <c r="AD3487" s="30">
        <v>0</v>
      </c>
      <c r="AE3487" s="30" t="s">
        <v>394</v>
      </c>
      <c r="AF3487" s="30" t="s">
        <v>20019</v>
      </c>
      <c r="AG3487" s="30" t="s">
        <v>8859</v>
      </c>
      <c r="AH3487" s="72">
        <v>44726</v>
      </c>
      <c r="AI3487" s="30">
        <v>1</v>
      </c>
      <c r="AJ3487" s="30" t="s">
        <v>20160</v>
      </c>
      <c r="AK3487" s="30" t="s">
        <v>20161</v>
      </c>
      <c r="AL3487" s="157">
        <v>44727</v>
      </c>
      <c r="AM3487" s="30"/>
      <c r="AN3487" s="157">
        <v>45090</v>
      </c>
      <c r="AO3487" s="169"/>
    </row>
    <row r="3488" spans="1:55" ht="36.75" customHeight="1">
      <c r="A3488" s="46" t="s">
        <v>12471</v>
      </c>
      <c r="B3488" s="30" t="s">
        <v>55</v>
      </c>
      <c r="C3488" s="69" t="str">
        <f t="shared" si="312"/>
        <v>Closed</v>
      </c>
      <c r="D3488" s="37" t="s">
        <v>20162</v>
      </c>
      <c r="E3488" s="29" t="s">
        <v>20163</v>
      </c>
      <c r="F3488" s="30" t="s">
        <v>17578</v>
      </c>
      <c r="G3488" s="88">
        <f>DATE(2022,6,14)</f>
        <v>44726</v>
      </c>
      <c r="H3488" s="142">
        <v>1.7743055555555554</v>
      </c>
      <c r="I3488" s="30" t="s">
        <v>2078</v>
      </c>
      <c r="J3488" s="30" t="s">
        <v>20164</v>
      </c>
      <c r="K3488" s="30" t="s">
        <v>837</v>
      </c>
      <c r="L3488" s="30" t="s">
        <v>20165</v>
      </c>
      <c r="M3488" s="30" t="s">
        <v>63</v>
      </c>
      <c r="N3488" s="30" t="s">
        <v>99</v>
      </c>
      <c r="O3488" s="30" t="s">
        <v>77</v>
      </c>
      <c r="P3488" s="30" t="s">
        <v>165</v>
      </c>
      <c r="Q3488" s="30" t="s">
        <v>18858</v>
      </c>
      <c r="R3488" s="30" t="s">
        <v>840</v>
      </c>
      <c r="S3488" s="30">
        <v>0</v>
      </c>
      <c r="T3488" s="30">
        <v>0</v>
      </c>
      <c r="U3488" s="30">
        <v>0</v>
      </c>
      <c r="V3488" s="30">
        <v>0</v>
      </c>
      <c r="W3488" s="30">
        <v>0</v>
      </c>
      <c r="X3488" s="30">
        <v>0</v>
      </c>
      <c r="Y3488" s="30">
        <v>0</v>
      </c>
      <c r="Z3488" s="30">
        <v>0</v>
      </c>
      <c r="AA3488" s="30">
        <v>0</v>
      </c>
      <c r="AB3488" s="30">
        <v>0</v>
      </c>
      <c r="AC3488" s="30">
        <v>0</v>
      </c>
      <c r="AD3488" s="30">
        <v>0</v>
      </c>
      <c r="AE3488" s="30" t="s">
        <v>92</v>
      </c>
      <c r="AF3488" s="30" t="s">
        <v>879</v>
      </c>
      <c r="AG3488" s="30" t="s">
        <v>8859</v>
      </c>
      <c r="AH3488" s="72">
        <v>44726</v>
      </c>
      <c r="AI3488" s="30">
        <v>0</v>
      </c>
      <c r="AJ3488" s="30" t="s">
        <v>20166</v>
      </c>
      <c r="AK3488" s="30" t="s">
        <v>20167</v>
      </c>
      <c r="AL3488" s="157">
        <v>44735</v>
      </c>
      <c r="AM3488" s="30"/>
      <c r="AN3488" s="157">
        <v>45370</v>
      </c>
      <c r="AO3488" s="157">
        <v>45371</v>
      </c>
    </row>
    <row r="3489" spans="1:55" ht="36.75" customHeight="1">
      <c r="A3489" s="46" t="s">
        <v>12471</v>
      </c>
      <c r="B3489" s="30" t="s">
        <v>2124</v>
      </c>
      <c r="C3489" s="69" t="str">
        <f t="shared" si="312"/>
        <v>Open</v>
      </c>
      <c r="D3489" s="36" t="s">
        <v>20168</v>
      </c>
      <c r="E3489" s="29" t="s">
        <v>20169</v>
      </c>
      <c r="F3489" s="30" t="s">
        <v>14753</v>
      </c>
      <c r="G3489" s="88">
        <f>DATE(2022,6,15)</f>
        <v>44727</v>
      </c>
      <c r="H3489" s="142">
        <v>1.0034722222222223</v>
      </c>
      <c r="I3489" s="30" t="s">
        <v>278</v>
      </c>
      <c r="J3489" s="30" t="s">
        <v>20170</v>
      </c>
      <c r="K3489" s="30" t="s">
        <v>1772</v>
      </c>
      <c r="L3489" s="30" t="s">
        <v>8717</v>
      </c>
      <c r="M3489" s="30" t="s">
        <v>63</v>
      </c>
      <c r="N3489" s="30" t="s">
        <v>142</v>
      </c>
      <c r="O3489" s="30" t="s">
        <v>64</v>
      </c>
      <c r="P3489" s="30" t="s">
        <v>165</v>
      </c>
      <c r="Q3489" s="30" t="s">
        <v>20171</v>
      </c>
      <c r="R3489" s="30" t="s">
        <v>1775</v>
      </c>
      <c r="S3489" s="30">
        <v>0</v>
      </c>
      <c r="T3489" s="30">
        <v>1</v>
      </c>
      <c r="U3489" s="30">
        <v>0</v>
      </c>
      <c r="V3489" s="30">
        <v>0</v>
      </c>
      <c r="W3489" s="30">
        <v>0</v>
      </c>
      <c r="X3489" s="30">
        <v>1</v>
      </c>
      <c r="Y3489" s="30">
        <v>0</v>
      </c>
      <c r="Z3489" s="30">
        <v>1</v>
      </c>
      <c r="AA3489" s="30">
        <v>0</v>
      </c>
      <c r="AB3489" s="30">
        <v>0</v>
      </c>
      <c r="AC3489" s="30">
        <v>0</v>
      </c>
      <c r="AD3489" s="30">
        <v>1</v>
      </c>
      <c r="AE3489" s="30" t="s">
        <v>92</v>
      </c>
      <c r="AF3489" s="30" t="s">
        <v>20172</v>
      </c>
      <c r="AG3489" s="30" t="s">
        <v>6459</v>
      </c>
      <c r="AH3489" s="72">
        <v>44727</v>
      </c>
      <c r="AI3489" s="30"/>
      <c r="AJ3489" s="30"/>
      <c r="AK3489" s="30"/>
      <c r="AL3489" s="157">
        <v>44756</v>
      </c>
      <c r="AM3489" s="30"/>
      <c r="AN3489" s="169"/>
      <c r="AO3489" s="169"/>
    </row>
    <row r="3490" spans="1:55" ht="36.75" customHeight="1">
      <c r="A3490" s="46" t="s">
        <v>12471</v>
      </c>
      <c r="B3490" s="30" t="s">
        <v>2124</v>
      </c>
      <c r="C3490" s="69" t="str">
        <f t="shared" si="312"/>
        <v>Open</v>
      </c>
      <c r="D3490" s="36" t="s">
        <v>20173</v>
      </c>
      <c r="E3490" s="29" t="s">
        <v>20174</v>
      </c>
      <c r="F3490" s="30" t="s">
        <v>16429</v>
      </c>
      <c r="G3490" s="88">
        <f>DATE(2022,6,19)</f>
        <v>44731</v>
      </c>
      <c r="H3490" s="142">
        <v>1.40625</v>
      </c>
      <c r="I3490" s="30" t="s">
        <v>73</v>
      </c>
      <c r="J3490" s="30" t="s">
        <v>20175</v>
      </c>
      <c r="K3490" s="30" t="s">
        <v>425</v>
      </c>
      <c r="L3490" s="30" t="s">
        <v>20176</v>
      </c>
      <c r="M3490" s="30" t="s">
        <v>63</v>
      </c>
      <c r="N3490" s="30" t="s">
        <v>99</v>
      </c>
      <c r="O3490" s="30" t="s">
        <v>77</v>
      </c>
      <c r="P3490" s="30" t="s">
        <v>165</v>
      </c>
      <c r="Q3490" s="30" t="s">
        <v>20018</v>
      </c>
      <c r="R3490" s="30" t="s">
        <v>587</v>
      </c>
      <c r="S3490" s="30">
        <v>0</v>
      </c>
      <c r="T3490" s="30">
        <v>1</v>
      </c>
      <c r="U3490" s="30">
        <v>0</v>
      </c>
      <c r="V3490" s="30">
        <v>0</v>
      </c>
      <c r="W3490" s="30">
        <v>0</v>
      </c>
      <c r="X3490" s="30">
        <v>1</v>
      </c>
      <c r="Y3490" s="30">
        <v>0</v>
      </c>
      <c r="Z3490" s="30">
        <v>0</v>
      </c>
      <c r="AA3490" s="30">
        <v>0</v>
      </c>
      <c r="AB3490" s="30">
        <v>0</v>
      </c>
      <c r="AC3490" s="30">
        <v>0</v>
      </c>
      <c r="AD3490" s="30">
        <v>0</v>
      </c>
      <c r="AE3490" s="30" t="s">
        <v>394</v>
      </c>
      <c r="AF3490" s="30" t="s">
        <v>20019</v>
      </c>
      <c r="AG3490" s="30" t="s">
        <v>16283</v>
      </c>
      <c r="AH3490" s="72">
        <v>44731</v>
      </c>
      <c r="AI3490" s="30"/>
      <c r="AJ3490" s="30"/>
      <c r="AK3490" s="30"/>
      <c r="AL3490" s="157">
        <v>44735</v>
      </c>
      <c r="AM3490" s="30"/>
      <c r="AN3490" s="189"/>
      <c r="AO3490" s="189"/>
    </row>
    <row r="3491" spans="1:55" ht="36.75" customHeight="1">
      <c r="A3491" s="46" t="s">
        <v>12471</v>
      </c>
      <c r="B3491" s="30" t="s">
        <v>55</v>
      </c>
      <c r="C3491" s="69" t="str">
        <f t="shared" si="312"/>
        <v>Closed</v>
      </c>
      <c r="D3491" s="36" t="s">
        <v>20177</v>
      </c>
      <c r="E3491" s="29" t="s">
        <v>20178</v>
      </c>
      <c r="F3491" s="30" t="s">
        <v>17057</v>
      </c>
      <c r="G3491" s="88">
        <f>DATE(2022,6,20)</f>
        <v>44732</v>
      </c>
      <c r="H3491" s="142">
        <v>1.5381944444444444</v>
      </c>
      <c r="I3491" s="30" t="s">
        <v>198</v>
      </c>
      <c r="J3491" s="30" t="s">
        <v>20179</v>
      </c>
      <c r="K3491" s="30" t="s">
        <v>2338</v>
      </c>
      <c r="L3491" s="30" t="s">
        <v>20180</v>
      </c>
      <c r="M3491" s="30" t="s">
        <v>63</v>
      </c>
      <c r="N3491" s="30" t="s">
        <v>142</v>
      </c>
      <c r="O3491" s="30" t="s">
        <v>77</v>
      </c>
      <c r="P3491" s="30" t="s">
        <v>165</v>
      </c>
      <c r="Q3491" s="30" t="s">
        <v>20018</v>
      </c>
      <c r="R3491" s="30" t="s">
        <v>587</v>
      </c>
      <c r="S3491" s="30">
        <v>0</v>
      </c>
      <c r="T3491" s="30">
        <v>1</v>
      </c>
      <c r="U3491" s="30">
        <v>0</v>
      </c>
      <c r="V3491" s="30">
        <v>0</v>
      </c>
      <c r="W3491" s="30">
        <v>0</v>
      </c>
      <c r="X3491" s="30">
        <v>1</v>
      </c>
      <c r="Y3491" s="30">
        <v>0</v>
      </c>
      <c r="Z3491" s="30">
        <v>0</v>
      </c>
      <c r="AA3491" s="30">
        <v>0</v>
      </c>
      <c r="AB3491" s="30">
        <v>0</v>
      </c>
      <c r="AC3491" s="30">
        <v>0</v>
      </c>
      <c r="AD3491" s="30">
        <v>0</v>
      </c>
      <c r="AE3491" s="30" t="s">
        <v>394</v>
      </c>
      <c r="AF3491" s="30" t="s">
        <v>20019</v>
      </c>
      <c r="AG3491" s="30" t="s">
        <v>13537</v>
      </c>
      <c r="AH3491" s="72">
        <v>44741</v>
      </c>
      <c r="AI3491" s="30">
        <v>3</v>
      </c>
      <c r="AJ3491" s="30" t="s">
        <v>20181</v>
      </c>
      <c r="AK3491" s="30" t="s">
        <v>20182</v>
      </c>
      <c r="AL3491" s="157">
        <v>44743</v>
      </c>
      <c r="AM3491" s="46"/>
      <c r="AN3491" s="195">
        <v>45107</v>
      </c>
      <c r="AO3491" s="195">
        <v>45082</v>
      </c>
    </row>
    <row r="3492" spans="1:55" ht="36.75" customHeight="1">
      <c r="A3492" s="46" t="s">
        <v>12471</v>
      </c>
      <c r="B3492" s="30" t="s">
        <v>55</v>
      </c>
      <c r="C3492" s="69" t="str">
        <f t="shared" si="312"/>
        <v>Closed</v>
      </c>
      <c r="D3492" s="36" t="s">
        <v>20183</v>
      </c>
      <c r="E3492" s="29" t="s">
        <v>20184</v>
      </c>
      <c r="F3492" s="30" t="s">
        <v>17682</v>
      </c>
      <c r="G3492" s="88">
        <f>DATE(2022,6,22)</f>
        <v>44734</v>
      </c>
      <c r="H3492" s="142">
        <v>1.6111111111111112</v>
      </c>
      <c r="I3492" s="30" t="s">
        <v>125</v>
      </c>
      <c r="J3492" s="30" t="s">
        <v>20185</v>
      </c>
      <c r="K3492" s="30" t="s">
        <v>1574</v>
      </c>
      <c r="L3492" s="30" t="s">
        <v>20186</v>
      </c>
      <c r="M3492" s="30" t="s">
        <v>63</v>
      </c>
      <c r="N3492" s="30" t="s">
        <v>142</v>
      </c>
      <c r="O3492" s="30" t="s">
        <v>64</v>
      </c>
      <c r="P3492" s="30" t="s">
        <v>65</v>
      </c>
      <c r="Q3492" s="30" t="s">
        <v>20018</v>
      </c>
      <c r="R3492" s="30" t="s">
        <v>587</v>
      </c>
      <c r="S3492" s="30">
        <v>0</v>
      </c>
      <c r="T3492" s="30">
        <v>1</v>
      </c>
      <c r="U3492" s="30">
        <v>0</v>
      </c>
      <c r="V3492" s="30">
        <v>0</v>
      </c>
      <c r="W3492" s="30">
        <v>0</v>
      </c>
      <c r="X3492" s="30">
        <v>1</v>
      </c>
      <c r="Y3492" s="30">
        <v>0</v>
      </c>
      <c r="Z3492" s="30">
        <v>0</v>
      </c>
      <c r="AA3492" s="30">
        <v>0</v>
      </c>
      <c r="AB3492" s="30">
        <v>0</v>
      </c>
      <c r="AC3492" s="30">
        <v>0</v>
      </c>
      <c r="AD3492" s="30">
        <v>0</v>
      </c>
      <c r="AE3492" s="30" t="s">
        <v>394</v>
      </c>
      <c r="AF3492" s="30" t="s">
        <v>20019</v>
      </c>
      <c r="AG3492" s="30" t="s">
        <v>8859</v>
      </c>
      <c r="AH3492" s="72">
        <v>44735</v>
      </c>
      <c r="AI3492" s="30">
        <v>0</v>
      </c>
      <c r="AJ3492" s="30" t="s">
        <v>20187</v>
      </c>
      <c r="AK3492" s="30" t="s">
        <v>20188</v>
      </c>
      <c r="AL3492" s="157">
        <v>44739</v>
      </c>
      <c r="AM3492" s="30"/>
      <c r="AN3492" s="157">
        <v>45103</v>
      </c>
      <c r="AO3492" s="157">
        <v>45092</v>
      </c>
    </row>
    <row r="3493" spans="1:55" ht="36.75" customHeight="1">
      <c r="A3493" s="46" t="s">
        <v>12471</v>
      </c>
      <c r="B3493" s="30" t="s">
        <v>55</v>
      </c>
      <c r="C3493" s="69" t="str">
        <f t="shared" si="312"/>
        <v>Closed</v>
      </c>
      <c r="D3493" s="37" t="s">
        <v>20189</v>
      </c>
      <c r="E3493" s="29" t="s">
        <v>20190</v>
      </c>
      <c r="F3493" s="30" t="s">
        <v>17578</v>
      </c>
      <c r="G3493" s="88">
        <f>DATE(2022,6,26)</f>
        <v>44738</v>
      </c>
      <c r="H3493" s="142">
        <v>1.9027777777777777</v>
      </c>
      <c r="I3493" s="30" t="s">
        <v>487</v>
      </c>
      <c r="J3493" s="30" t="s">
        <v>20191</v>
      </c>
      <c r="K3493" s="30" t="s">
        <v>837</v>
      </c>
      <c r="L3493" s="30" t="s">
        <v>20192</v>
      </c>
      <c r="M3493" s="30" t="s">
        <v>63</v>
      </c>
      <c r="N3493" s="30" t="s">
        <v>99</v>
      </c>
      <c r="O3493" s="30" t="s">
        <v>77</v>
      </c>
      <c r="P3493" s="30" t="s">
        <v>91</v>
      </c>
      <c r="Q3493" s="30" t="s">
        <v>2162</v>
      </c>
      <c r="R3493" s="30" t="s">
        <v>840</v>
      </c>
      <c r="S3493" s="30">
        <v>0</v>
      </c>
      <c r="T3493" s="30">
        <v>0</v>
      </c>
      <c r="U3493" s="30">
        <v>0</v>
      </c>
      <c r="V3493" s="30">
        <v>0</v>
      </c>
      <c r="W3493" s="30">
        <v>0</v>
      </c>
      <c r="X3493" s="30">
        <v>0</v>
      </c>
      <c r="Y3493" s="30">
        <v>0</v>
      </c>
      <c r="Z3493" s="30">
        <v>0</v>
      </c>
      <c r="AA3493" s="30">
        <v>0</v>
      </c>
      <c r="AB3493" s="30">
        <v>0</v>
      </c>
      <c r="AC3493" s="30">
        <v>0</v>
      </c>
      <c r="AD3493" s="30">
        <v>0</v>
      </c>
      <c r="AE3493" s="30" t="s">
        <v>92</v>
      </c>
      <c r="AF3493" s="30">
        <v>0</v>
      </c>
      <c r="AG3493" s="30" t="s">
        <v>14033</v>
      </c>
      <c r="AH3493" s="72">
        <v>44741</v>
      </c>
      <c r="AI3493" s="30">
        <v>1</v>
      </c>
      <c r="AJ3493" s="30" t="s">
        <v>20193</v>
      </c>
      <c r="AK3493" s="30" t="s">
        <v>20194</v>
      </c>
      <c r="AL3493" s="157">
        <v>44742</v>
      </c>
      <c r="AM3493" s="30"/>
      <c r="AN3493" s="157">
        <v>45385</v>
      </c>
      <c r="AO3493" s="201">
        <v>45034</v>
      </c>
    </row>
    <row r="3494" spans="1:55" ht="36.75" customHeight="1">
      <c r="A3494" s="46" t="s">
        <v>12471</v>
      </c>
      <c r="B3494" s="30" t="s">
        <v>55</v>
      </c>
      <c r="C3494" s="69" t="str">
        <f t="shared" si="312"/>
        <v>Closed</v>
      </c>
      <c r="D3494" s="36" t="s">
        <v>20195</v>
      </c>
      <c r="E3494" s="29" t="s">
        <v>20196</v>
      </c>
      <c r="F3494" s="30" t="s">
        <v>16429</v>
      </c>
      <c r="G3494" s="88">
        <f>DATE(2022,6,27)</f>
        <v>44739</v>
      </c>
      <c r="H3494" s="142">
        <v>1.2104166666666667</v>
      </c>
      <c r="I3494" s="30" t="s">
        <v>198</v>
      </c>
      <c r="J3494" s="30" t="s">
        <v>20197</v>
      </c>
      <c r="K3494" s="30" t="s">
        <v>425</v>
      </c>
      <c r="L3494" s="30" t="s">
        <v>10623</v>
      </c>
      <c r="M3494" s="30" t="s">
        <v>63</v>
      </c>
      <c r="N3494" s="30" t="s">
        <v>142</v>
      </c>
      <c r="O3494" s="30" t="s">
        <v>77</v>
      </c>
      <c r="P3494" s="30" t="s">
        <v>4442</v>
      </c>
      <c r="Q3494" s="30" t="s">
        <v>20018</v>
      </c>
      <c r="R3494" s="30" t="s">
        <v>587</v>
      </c>
      <c r="S3494" s="30">
        <v>0</v>
      </c>
      <c r="T3494" s="30">
        <v>1</v>
      </c>
      <c r="U3494" s="30">
        <v>0</v>
      </c>
      <c r="V3494" s="30">
        <v>0</v>
      </c>
      <c r="W3494" s="30">
        <v>0</v>
      </c>
      <c r="X3494" s="30">
        <v>1</v>
      </c>
      <c r="Y3494" s="30">
        <v>0</v>
      </c>
      <c r="Z3494" s="30">
        <v>0</v>
      </c>
      <c r="AA3494" s="30">
        <v>0</v>
      </c>
      <c r="AB3494" s="30">
        <v>0</v>
      </c>
      <c r="AC3494" s="30">
        <v>0</v>
      </c>
      <c r="AD3494" s="30">
        <v>0</v>
      </c>
      <c r="AE3494" s="30" t="s">
        <v>394</v>
      </c>
      <c r="AF3494" s="30" t="s">
        <v>20019</v>
      </c>
      <c r="AG3494" s="30" t="s">
        <v>6459</v>
      </c>
      <c r="AH3494" s="72">
        <v>44739</v>
      </c>
      <c r="AI3494" s="30">
        <v>1</v>
      </c>
      <c r="AJ3494" s="30" t="s">
        <v>20198</v>
      </c>
      <c r="AK3494" s="30" t="s">
        <v>879</v>
      </c>
      <c r="AL3494" s="157">
        <v>44741</v>
      </c>
      <c r="AM3494" s="30"/>
      <c r="AN3494" s="157">
        <v>45101</v>
      </c>
      <c r="AO3494" s="157">
        <v>45093</v>
      </c>
      <c r="AP3494" s="157">
        <v>44934</v>
      </c>
      <c r="AQ3494" s="157">
        <v>44935</v>
      </c>
      <c r="AR3494" s="157">
        <v>44936</v>
      </c>
      <c r="AS3494" s="157">
        <v>44937</v>
      </c>
      <c r="AT3494" s="157">
        <v>44938</v>
      </c>
      <c r="AU3494" s="157">
        <v>44939</v>
      </c>
      <c r="AV3494" s="157">
        <v>44940</v>
      </c>
      <c r="AW3494" s="157">
        <v>44941</v>
      </c>
      <c r="AX3494" s="157">
        <v>44942</v>
      </c>
      <c r="AY3494" s="157">
        <v>44943</v>
      </c>
      <c r="AZ3494" s="157">
        <v>44944</v>
      </c>
      <c r="BA3494" s="157">
        <v>44945</v>
      </c>
      <c r="BB3494" s="157">
        <v>44946</v>
      </c>
      <c r="BC3494" s="157">
        <v>44947</v>
      </c>
    </row>
    <row r="3495" spans="1:55" ht="36.75" customHeight="1">
      <c r="A3495" s="46" t="s">
        <v>12471</v>
      </c>
      <c r="B3495" s="30" t="s">
        <v>55</v>
      </c>
      <c r="C3495" s="69" t="str">
        <f t="shared" si="312"/>
        <v>Closed</v>
      </c>
      <c r="D3495" s="36" t="s">
        <v>20199</v>
      </c>
      <c r="E3495" s="29" t="s">
        <v>20200</v>
      </c>
      <c r="F3495" s="30" t="s">
        <v>16429</v>
      </c>
      <c r="G3495" s="88">
        <f>DATE(2022,6,27)</f>
        <v>44739</v>
      </c>
      <c r="H3495" s="142">
        <v>1.413888888888889</v>
      </c>
      <c r="I3495" s="30" t="s">
        <v>10375</v>
      </c>
      <c r="J3495" s="30" t="s">
        <v>20201</v>
      </c>
      <c r="K3495" s="30" t="s">
        <v>425</v>
      </c>
      <c r="L3495" s="30" t="s">
        <v>20202</v>
      </c>
      <c r="M3495" s="30" t="s">
        <v>63</v>
      </c>
      <c r="N3495" s="30" t="s">
        <v>142</v>
      </c>
      <c r="O3495" s="30" t="s">
        <v>77</v>
      </c>
      <c r="P3495" s="30" t="s">
        <v>91</v>
      </c>
      <c r="Q3495" s="30" t="s">
        <v>20018</v>
      </c>
      <c r="R3495" s="30" t="s">
        <v>587</v>
      </c>
      <c r="S3495" s="30">
        <v>0</v>
      </c>
      <c r="T3495" s="30">
        <v>1</v>
      </c>
      <c r="U3495" s="30">
        <v>0</v>
      </c>
      <c r="V3495" s="30">
        <v>0</v>
      </c>
      <c r="W3495" s="30">
        <v>0</v>
      </c>
      <c r="X3495" s="30">
        <v>1</v>
      </c>
      <c r="Y3495" s="30">
        <v>0</v>
      </c>
      <c r="Z3495" s="30">
        <v>0</v>
      </c>
      <c r="AA3495" s="30">
        <v>0</v>
      </c>
      <c r="AB3495" s="30">
        <v>0</v>
      </c>
      <c r="AC3495" s="30">
        <v>0</v>
      </c>
      <c r="AD3495" s="30">
        <v>0</v>
      </c>
      <c r="AE3495" s="30" t="s">
        <v>394</v>
      </c>
      <c r="AF3495" s="30" t="s">
        <v>20019</v>
      </c>
      <c r="AG3495" s="30" t="s">
        <v>16283</v>
      </c>
      <c r="AH3495" s="72">
        <v>44739</v>
      </c>
      <c r="AI3495" s="30">
        <v>0</v>
      </c>
      <c r="AJ3495" s="30" t="s">
        <v>20203</v>
      </c>
      <c r="AK3495" s="30" t="s">
        <v>18245</v>
      </c>
      <c r="AL3495" s="157">
        <v>44741</v>
      </c>
      <c r="AM3495" s="46"/>
      <c r="AN3495" s="157">
        <v>45103</v>
      </c>
      <c r="AO3495" s="157">
        <v>45099</v>
      </c>
      <c r="AP3495" s="157">
        <v>45394</v>
      </c>
      <c r="AQ3495" s="157">
        <v>45395</v>
      </c>
      <c r="AR3495" s="157">
        <v>45396</v>
      </c>
      <c r="AS3495" s="157">
        <v>45397</v>
      </c>
      <c r="AT3495" s="157">
        <v>45398</v>
      </c>
      <c r="AU3495" s="157">
        <v>45399</v>
      </c>
      <c r="AV3495" s="157">
        <v>45400</v>
      </c>
      <c r="AW3495" s="157">
        <v>45401</v>
      </c>
      <c r="AX3495" s="157">
        <v>45402</v>
      </c>
      <c r="AY3495" s="157">
        <v>45403</v>
      </c>
      <c r="AZ3495" s="157">
        <v>45404</v>
      </c>
      <c r="BA3495" s="157">
        <v>45405</v>
      </c>
      <c r="BB3495" s="157">
        <v>45406</v>
      </c>
      <c r="BC3495" s="157">
        <v>45407</v>
      </c>
    </row>
    <row r="3496" spans="1:55" ht="36.75" customHeight="1">
      <c r="A3496" s="46" t="s">
        <v>12471</v>
      </c>
      <c r="B3496" s="30" t="s">
        <v>55</v>
      </c>
      <c r="C3496" s="69" t="str">
        <f t="shared" si="312"/>
        <v>Closed</v>
      </c>
      <c r="D3496" s="36" t="s">
        <v>20204</v>
      </c>
      <c r="E3496" s="29" t="s">
        <v>20205</v>
      </c>
      <c r="F3496" s="30" t="s">
        <v>17682</v>
      </c>
      <c r="G3496" s="88">
        <f>DATE(2022,6,29)</f>
        <v>44741</v>
      </c>
      <c r="H3496" s="142">
        <v>1.7222222222222223</v>
      </c>
      <c r="I3496" s="30" t="s">
        <v>73</v>
      </c>
      <c r="J3496" s="30" t="s">
        <v>20206</v>
      </c>
      <c r="K3496" s="30" t="s">
        <v>1574</v>
      </c>
      <c r="L3496" s="30" t="s">
        <v>20207</v>
      </c>
      <c r="M3496" s="30" t="s">
        <v>63</v>
      </c>
      <c r="N3496" s="30" t="s">
        <v>142</v>
      </c>
      <c r="O3496" s="30" t="s">
        <v>64</v>
      </c>
      <c r="P3496" s="30" t="s">
        <v>78</v>
      </c>
      <c r="Q3496" s="30" t="s">
        <v>19664</v>
      </c>
      <c r="R3496" s="30" t="s">
        <v>19007</v>
      </c>
      <c r="S3496" s="30">
        <v>0</v>
      </c>
      <c r="T3496" s="30">
        <v>0</v>
      </c>
      <c r="U3496" s="30">
        <v>0</v>
      </c>
      <c r="V3496" s="30">
        <v>0</v>
      </c>
      <c r="W3496" s="30">
        <v>0</v>
      </c>
      <c r="X3496" s="30">
        <v>0</v>
      </c>
      <c r="Y3496" s="30">
        <v>0</v>
      </c>
      <c r="Z3496" s="30">
        <v>0</v>
      </c>
      <c r="AA3496" s="30">
        <v>0</v>
      </c>
      <c r="AB3496" s="30">
        <v>0</v>
      </c>
      <c r="AC3496" s="30">
        <v>0</v>
      </c>
      <c r="AD3496" s="30">
        <v>0</v>
      </c>
      <c r="AE3496" s="30" t="s">
        <v>394</v>
      </c>
      <c r="AF3496" s="30" t="s">
        <v>20208</v>
      </c>
      <c r="AG3496" s="30" t="s">
        <v>8859</v>
      </c>
      <c r="AH3496" s="72">
        <v>44746</v>
      </c>
      <c r="AI3496" s="30">
        <v>2</v>
      </c>
      <c r="AJ3496" s="30" t="s">
        <v>20209</v>
      </c>
      <c r="AK3496" s="30" t="s">
        <v>20210</v>
      </c>
      <c r="AL3496" s="157">
        <v>44746</v>
      </c>
      <c r="AM3496" s="30"/>
      <c r="AN3496" s="157">
        <v>45111</v>
      </c>
      <c r="AO3496" s="195">
        <v>45104</v>
      </c>
    </row>
    <row r="3497" spans="1:55" ht="36.75" customHeight="1">
      <c r="A3497" s="46" t="s">
        <v>12471</v>
      </c>
      <c r="B3497" s="30" t="s">
        <v>14882</v>
      </c>
      <c r="C3497" s="69" t="str">
        <f t="shared" si="312"/>
        <v>In progress</v>
      </c>
      <c r="D3497" s="36" t="s">
        <v>20211</v>
      </c>
      <c r="E3497" s="29" t="s">
        <v>20212</v>
      </c>
      <c r="F3497" s="30" t="s">
        <v>16429</v>
      </c>
      <c r="G3497" s="88">
        <f>DATE(2022,6,30)</f>
        <v>44742</v>
      </c>
      <c r="H3497" s="142">
        <v>1.2631944444444445</v>
      </c>
      <c r="I3497" s="30" t="s">
        <v>156</v>
      </c>
      <c r="J3497" s="30" t="s">
        <v>20213</v>
      </c>
      <c r="K3497" s="30" t="s">
        <v>425</v>
      </c>
      <c r="L3497" s="30" t="s">
        <v>20214</v>
      </c>
      <c r="M3497" s="30" t="s">
        <v>63</v>
      </c>
      <c r="N3497" s="30" t="s">
        <v>142</v>
      </c>
      <c r="O3497" s="30" t="s">
        <v>64</v>
      </c>
      <c r="P3497" s="30" t="s">
        <v>65</v>
      </c>
      <c r="Q3497" s="30" t="s">
        <v>18516</v>
      </c>
      <c r="R3497" s="30" t="s">
        <v>17369</v>
      </c>
      <c r="S3497" s="30">
        <v>0</v>
      </c>
      <c r="T3497" s="30">
        <v>0</v>
      </c>
      <c r="U3497" s="30">
        <v>0</v>
      </c>
      <c r="V3497" s="30">
        <v>0</v>
      </c>
      <c r="W3497" s="30">
        <v>0</v>
      </c>
      <c r="X3497" s="30">
        <v>0</v>
      </c>
      <c r="Y3497" s="30">
        <v>0</v>
      </c>
      <c r="Z3497" s="30">
        <v>0</v>
      </c>
      <c r="AA3497" s="30">
        <v>0</v>
      </c>
      <c r="AB3497" s="30">
        <v>0</v>
      </c>
      <c r="AC3497" s="30">
        <v>0</v>
      </c>
      <c r="AD3497" s="30">
        <v>0</v>
      </c>
      <c r="AE3497" s="30" t="s">
        <v>145</v>
      </c>
      <c r="AF3497" s="30" t="s">
        <v>20215</v>
      </c>
      <c r="AG3497" s="19" t="s">
        <v>6459</v>
      </c>
      <c r="AH3497" s="72">
        <v>44742</v>
      </c>
      <c r="AI3497" s="30"/>
      <c r="AJ3497" s="30"/>
      <c r="AK3497" s="30"/>
      <c r="AL3497" s="157">
        <v>44746</v>
      </c>
      <c r="AM3497" s="195">
        <v>45519</v>
      </c>
      <c r="AN3497" s="189"/>
      <c r="AO3497" s="189"/>
    </row>
    <row r="3498" spans="1:55" ht="36.75" customHeight="1">
      <c r="A3498" s="46" t="s">
        <v>12471</v>
      </c>
      <c r="B3498" s="30" t="s">
        <v>2124</v>
      </c>
      <c r="C3498" s="69" t="str">
        <f t="shared" si="312"/>
        <v>Open</v>
      </c>
      <c r="D3498" s="36" t="s">
        <v>20216</v>
      </c>
      <c r="E3498" s="29" t="s">
        <v>20217</v>
      </c>
      <c r="F3498" s="30" t="s">
        <v>17578</v>
      </c>
      <c r="G3498" s="88">
        <f>DATE(2022,6,30)</f>
        <v>44742</v>
      </c>
      <c r="H3498" s="142">
        <v>1.8611111111111112</v>
      </c>
      <c r="I3498" s="30" t="s">
        <v>86</v>
      </c>
      <c r="J3498" s="30" t="s">
        <v>20218</v>
      </c>
      <c r="K3498" s="30" t="s">
        <v>837</v>
      </c>
      <c r="L3498" s="30" t="s">
        <v>2219</v>
      </c>
      <c r="M3498" s="30" t="s">
        <v>63</v>
      </c>
      <c r="N3498" s="30" t="s">
        <v>89</v>
      </c>
      <c r="O3498" s="30" t="s">
        <v>77</v>
      </c>
      <c r="P3498" s="30" t="s">
        <v>65</v>
      </c>
      <c r="Q3498" s="30" t="s">
        <v>2162</v>
      </c>
      <c r="R3498" s="30" t="s">
        <v>840</v>
      </c>
      <c r="S3498" s="30"/>
      <c r="T3498" s="30"/>
      <c r="U3498" s="30"/>
      <c r="V3498" s="30"/>
      <c r="W3498" s="30"/>
      <c r="X3498" s="30">
        <v>0</v>
      </c>
      <c r="Y3498" s="30"/>
      <c r="Z3498" s="30"/>
      <c r="AA3498" s="30"/>
      <c r="AB3498" s="30"/>
      <c r="AC3498" s="30"/>
      <c r="AD3498" s="30">
        <v>0</v>
      </c>
      <c r="AE3498" s="30" t="s">
        <v>92</v>
      </c>
      <c r="AF3498" s="30" t="s">
        <v>20219</v>
      </c>
      <c r="AG3498" s="30" t="s">
        <v>13537</v>
      </c>
      <c r="AH3498" s="72">
        <v>44743</v>
      </c>
      <c r="AI3498" s="30"/>
      <c r="AJ3498" s="30"/>
      <c r="AK3498" s="30"/>
      <c r="AL3498" s="157">
        <v>44749</v>
      </c>
      <c r="AM3498" s="30"/>
      <c r="AN3498" s="169"/>
      <c r="AO3498" s="169"/>
    </row>
    <row r="3499" spans="1:55" ht="36.75" customHeight="1">
      <c r="A3499" s="46" t="s">
        <v>12471</v>
      </c>
      <c r="B3499" s="30" t="s">
        <v>55</v>
      </c>
      <c r="C3499" s="69" t="str">
        <f t="shared" si="312"/>
        <v>Closed</v>
      </c>
      <c r="D3499" s="36" t="s">
        <v>20220</v>
      </c>
      <c r="E3499" s="17" t="s">
        <v>20221</v>
      </c>
      <c r="F3499" s="30" t="s">
        <v>16429</v>
      </c>
      <c r="G3499" s="88">
        <f>DATE(2022,7,4)</f>
        <v>44746</v>
      </c>
      <c r="H3499" s="142">
        <v>1.6326388888888888</v>
      </c>
      <c r="I3499" s="30" t="s">
        <v>116</v>
      </c>
      <c r="J3499" s="30" t="s">
        <v>20222</v>
      </c>
      <c r="K3499" s="30" t="s">
        <v>425</v>
      </c>
      <c r="L3499" s="30" t="s">
        <v>20223</v>
      </c>
      <c r="M3499" s="30" t="s">
        <v>63</v>
      </c>
      <c r="N3499" s="30" t="s">
        <v>99</v>
      </c>
      <c r="O3499" s="30" t="s">
        <v>64</v>
      </c>
      <c r="P3499" s="30" t="s">
        <v>165</v>
      </c>
      <c r="Q3499" s="30" t="s">
        <v>18615</v>
      </c>
      <c r="R3499" s="30" t="s">
        <v>17369</v>
      </c>
      <c r="S3499" s="30">
        <v>0</v>
      </c>
      <c r="T3499" s="30">
        <v>0</v>
      </c>
      <c r="U3499" s="30">
        <v>1</v>
      </c>
      <c r="V3499" s="30">
        <v>0</v>
      </c>
      <c r="W3499" s="30">
        <v>0</v>
      </c>
      <c r="X3499" s="30">
        <v>1</v>
      </c>
      <c r="Y3499" s="30">
        <v>0</v>
      </c>
      <c r="Z3499" s="30">
        <v>0</v>
      </c>
      <c r="AA3499" s="30">
        <v>0</v>
      </c>
      <c r="AB3499" s="30">
        <v>0</v>
      </c>
      <c r="AC3499" s="30">
        <v>0</v>
      </c>
      <c r="AD3499" s="30">
        <v>0</v>
      </c>
      <c r="AE3499" s="30" t="s">
        <v>16435</v>
      </c>
      <c r="AF3499" s="30" t="s">
        <v>20224</v>
      </c>
      <c r="AG3499" s="30" t="s">
        <v>16283</v>
      </c>
      <c r="AH3499" s="72">
        <v>44746</v>
      </c>
      <c r="AI3499" s="30">
        <v>1</v>
      </c>
      <c r="AJ3499" s="30" t="s">
        <v>20225</v>
      </c>
      <c r="AK3499" s="30" t="s">
        <v>879</v>
      </c>
      <c r="AL3499" s="157">
        <v>44750</v>
      </c>
      <c r="AM3499" s="30"/>
      <c r="AN3499" s="157">
        <v>44946</v>
      </c>
      <c r="AO3499" s="157">
        <v>44918</v>
      </c>
    </row>
    <row r="3500" spans="1:55" ht="36.75" customHeight="1">
      <c r="A3500" s="46" t="s">
        <v>12471</v>
      </c>
      <c r="B3500" s="30" t="s">
        <v>55</v>
      </c>
      <c r="C3500" s="69" t="str">
        <f t="shared" si="312"/>
        <v>Closed</v>
      </c>
      <c r="D3500" s="36" t="s">
        <v>20226</v>
      </c>
      <c r="E3500" s="29" t="s">
        <v>20227</v>
      </c>
      <c r="F3500" s="30" t="s">
        <v>17682</v>
      </c>
      <c r="G3500" s="88">
        <f>DATE(2022,7,8)</f>
        <v>44750</v>
      </c>
      <c r="H3500" s="142">
        <v>1.0729166666666667</v>
      </c>
      <c r="I3500" s="30" t="s">
        <v>73</v>
      </c>
      <c r="J3500" s="30" t="s">
        <v>20228</v>
      </c>
      <c r="K3500" s="30" t="s">
        <v>1574</v>
      </c>
      <c r="L3500" s="30" t="s">
        <v>14935</v>
      </c>
      <c r="M3500" s="30" t="s">
        <v>63</v>
      </c>
      <c r="N3500" s="30" t="s">
        <v>99</v>
      </c>
      <c r="O3500" s="30" t="s">
        <v>77</v>
      </c>
      <c r="P3500" s="30" t="s">
        <v>78</v>
      </c>
      <c r="Q3500" s="30" t="s">
        <v>18063</v>
      </c>
      <c r="R3500" s="30" t="s">
        <v>17686</v>
      </c>
      <c r="S3500" s="30">
        <v>0</v>
      </c>
      <c r="T3500" s="30">
        <v>0</v>
      </c>
      <c r="U3500" s="30">
        <v>0</v>
      </c>
      <c r="V3500" s="30">
        <v>0</v>
      </c>
      <c r="W3500" s="30">
        <v>0</v>
      </c>
      <c r="X3500" s="30">
        <v>0</v>
      </c>
      <c r="Y3500" s="30">
        <v>0</v>
      </c>
      <c r="Z3500" s="30">
        <v>0</v>
      </c>
      <c r="AA3500" s="30">
        <v>0</v>
      </c>
      <c r="AB3500" s="30">
        <v>0</v>
      </c>
      <c r="AC3500" s="30">
        <v>0</v>
      </c>
      <c r="AD3500" s="30">
        <v>0</v>
      </c>
      <c r="AE3500" s="30" t="s">
        <v>92</v>
      </c>
      <c r="AF3500" s="30" t="s">
        <v>20229</v>
      </c>
      <c r="AG3500" s="30" t="s">
        <v>8859</v>
      </c>
      <c r="AH3500" s="72">
        <v>44753</v>
      </c>
      <c r="AI3500" s="30">
        <v>0</v>
      </c>
      <c r="AJ3500" s="30" t="s">
        <v>20230</v>
      </c>
      <c r="AK3500" s="30" t="s">
        <v>20231</v>
      </c>
      <c r="AL3500" s="157">
        <v>44753</v>
      </c>
      <c r="AM3500" s="30"/>
      <c r="AN3500" s="195">
        <v>45118</v>
      </c>
      <c r="AO3500" s="195">
        <v>45114</v>
      </c>
    </row>
    <row r="3501" spans="1:55" ht="36.75" customHeight="1">
      <c r="A3501" s="46" t="s">
        <v>12471</v>
      </c>
      <c r="B3501" s="30" t="s">
        <v>55</v>
      </c>
      <c r="C3501" s="69" t="str">
        <f t="shared" si="312"/>
        <v>Closed</v>
      </c>
      <c r="D3501" s="36" t="s">
        <v>20232</v>
      </c>
      <c r="E3501" s="29" t="s">
        <v>20233</v>
      </c>
      <c r="F3501" s="30" t="s">
        <v>17578</v>
      </c>
      <c r="G3501" s="88">
        <f>DATE(2022,7,10)</f>
        <v>44752</v>
      </c>
      <c r="H3501" s="142">
        <v>1.0138888888888888</v>
      </c>
      <c r="I3501" s="30" t="s">
        <v>198</v>
      </c>
      <c r="J3501" s="30" t="s">
        <v>20234</v>
      </c>
      <c r="K3501" s="30" t="s">
        <v>837</v>
      </c>
      <c r="L3501" s="30" t="s">
        <v>20235</v>
      </c>
      <c r="M3501" s="30" t="s">
        <v>63</v>
      </c>
      <c r="N3501" s="30" t="s">
        <v>142</v>
      </c>
      <c r="O3501" s="30" t="s">
        <v>64</v>
      </c>
      <c r="P3501" s="30" t="s">
        <v>78</v>
      </c>
      <c r="Q3501" s="30" t="s">
        <v>2162</v>
      </c>
      <c r="R3501" s="30" t="s">
        <v>20236</v>
      </c>
      <c r="S3501" s="30">
        <v>0</v>
      </c>
      <c r="T3501" s="30">
        <v>0</v>
      </c>
      <c r="U3501" s="30">
        <v>0</v>
      </c>
      <c r="V3501" s="30">
        <v>0</v>
      </c>
      <c r="W3501" s="30">
        <v>0</v>
      </c>
      <c r="X3501" s="30">
        <v>0</v>
      </c>
      <c r="Y3501" s="30">
        <v>0</v>
      </c>
      <c r="Z3501" s="30">
        <v>0</v>
      </c>
      <c r="AA3501" s="30">
        <v>0</v>
      </c>
      <c r="AB3501" s="30">
        <v>0</v>
      </c>
      <c r="AC3501" s="30">
        <v>0</v>
      </c>
      <c r="AD3501" s="30">
        <v>0</v>
      </c>
      <c r="AE3501" s="30" t="s">
        <v>394</v>
      </c>
      <c r="AF3501" s="30" t="s">
        <v>20237</v>
      </c>
      <c r="AG3501" s="30" t="s">
        <v>8859</v>
      </c>
      <c r="AH3501" s="72">
        <v>44753</v>
      </c>
      <c r="AI3501" s="30">
        <v>0</v>
      </c>
      <c r="AJ3501" s="30" t="s">
        <v>11568</v>
      </c>
      <c r="AK3501" s="30" t="s">
        <v>10556</v>
      </c>
      <c r="AL3501" s="157">
        <v>44753</v>
      </c>
      <c r="AM3501" s="30"/>
      <c r="AN3501" s="195">
        <v>45061</v>
      </c>
      <c r="AO3501" s="195">
        <v>45061</v>
      </c>
      <c r="AP3501" s="30"/>
      <c r="AQ3501" s="30"/>
      <c r="AR3501" s="30"/>
      <c r="AS3501" s="30"/>
      <c r="AT3501" s="30"/>
      <c r="AU3501" s="30"/>
      <c r="AV3501" s="30"/>
      <c r="AW3501" s="30"/>
      <c r="AX3501" s="30"/>
      <c r="AY3501" s="30"/>
      <c r="AZ3501" s="30"/>
      <c r="BA3501" s="30"/>
      <c r="BB3501" s="30"/>
      <c r="BC3501" s="30"/>
    </row>
    <row r="3502" spans="1:55" ht="36.75" customHeight="1">
      <c r="A3502" s="46" t="s">
        <v>12471</v>
      </c>
      <c r="B3502" s="30" t="s">
        <v>55</v>
      </c>
      <c r="C3502" s="69" t="str">
        <f t="shared" si="312"/>
        <v>Closed</v>
      </c>
      <c r="D3502" s="37" t="s">
        <v>20238</v>
      </c>
      <c r="E3502" s="29" t="s">
        <v>20239</v>
      </c>
      <c r="F3502" s="30" t="s">
        <v>17578</v>
      </c>
      <c r="G3502" s="88">
        <f>DATE(2022,7,11)</f>
        <v>44753</v>
      </c>
      <c r="H3502" s="142">
        <v>1.5659722222222223</v>
      </c>
      <c r="I3502" s="30" t="s">
        <v>198</v>
      </c>
      <c r="J3502" s="30" t="s">
        <v>20240</v>
      </c>
      <c r="K3502" s="30" t="s">
        <v>837</v>
      </c>
      <c r="L3502" s="30" t="s">
        <v>20241</v>
      </c>
      <c r="M3502" s="30" t="s">
        <v>63</v>
      </c>
      <c r="N3502" s="30" t="s">
        <v>99</v>
      </c>
      <c r="O3502" s="30" t="s">
        <v>64</v>
      </c>
      <c r="P3502" s="30" t="s">
        <v>65</v>
      </c>
      <c r="Q3502" s="30" t="s">
        <v>18858</v>
      </c>
      <c r="R3502" s="30" t="s">
        <v>840</v>
      </c>
      <c r="S3502" s="30">
        <v>0</v>
      </c>
      <c r="T3502" s="30">
        <v>0</v>
      </c>
      <c r="U3502" s="30">
        <v>0</v>
      </c>
      <c r="V3502" s="30">
        <v>0</v>
      </c>
      <c r="W3502" s="30">
        <v>0</v>
      </c>
      <c r="X3502" s="30">
        <v>0</v>
      </c>
      <c r="Y3502" s="30">
        <v>0</v>
      </c>
      <c r="Z3502" s="30">
        <v>0</v>
      </c>
      <c r="AA3502" s="30">
        <v>0</v>
      </c>
      <c r="AB3502" s="30">
        <v>0</v>
      </c>
      <c r="AC3502" s="30">
        <v>0</v>
      </c>
      <c r="AD3502" s="30">
        <v>0</v>
      </c>
      <c r="AE3502" s="30" t="s">
        <v>92</v>
      </c>
      <c r="AF3502" s="30" t="s">
        <v>20242</v>
      </c>
      <c r="AG3502" s="30" t="s">
        <v>8859</v>
      </c>
      <c r="AH3502" s="72">
        <v>44753</v>
      </c>
      <c r="AI3502" s="30">
        <v>0</v>
      </c>
      <c r="AJ3502" s="30" t="s">
        <v>20243</v>
      </c>
      <c r="AK3502" s="30" t="s">
        <v>20244</v>
      </c>
      <c r="AL3502" s="157">
        <v>44754</v>
      </c>
      <c r="AM3502" s="30"/>
      <c r="AN3502" s="157">
        <v>45385</v>
      </c>
      <c r="AO3502" s="157">
        <v>45034</v>
      </c>
    </row>
    <row r="3503" spans="1:55" ht="36.75" customHeight="1">
      <c r="A3503" s="30" t="s">
        <v>12471</v>
      </c>
      <c r="B3503" s="30" t="s">
        <v>55</v>
      </c>
      <c r="C3503" s="69" t="str">
        <f t="shared" si="312"/>
        <v>Closed</v>
      </c>
      <c r="D3503" s="36" t="s">
        <v>20245</v>
      </c>
      <c r="E3503" s="29" t="s">
        <v>20246</v>
      </c>
      <c r="F3503" s="30" t="s">
        <v>16429</v>
      </c>
      <c r="G3503" s="88">
        <f>DATE(2022,7,13)</f>
        <v>44755</v>
      </c>
      <c r="H3503" s="142">
        <v>1.5805555555555557</v>
      </c>
      <c r="I3503" s="30" t="s">
        <v>73</v>
      </c>
      <c r="J3503" s="30" t="s">
        <v>20247</v>
      </c>
      <c r="K3503" s="30" t="s">
        <v>425</v>
      </c>
      <c r="L3503" s="30" t="s">
        <v>10623</v>
      </c>
      <c r="M3503" s="30" t="s">
        <v>63</v>
      </c>
      <c r="N3503" s="30" t="s">
        <v>142</v>
      </c>
      <c r="O3503" s="30" t="s">
        <v>77</v>
      </c>
      <c r="P3503" s="30" t="s">
        <v>78</v>
      </c>
      <c r="Q3503" s="30" t="s">
        <v>18098</v>
      </c>
      <c r="R3503" s="30" t="s">
        <v>18615</v>
      </c>
      <c r="S3503" s="30">
        <v>0</v>
      </c>
      <c r="T3503" s="30">
        <v>0</v>
      </c>
      <c r="U3503" s="30">
        <v>0</v>
      </c>
      <c r="V3503" s="30">
        <v>0</v>
      </c>
      <c r="W3503" s="30">
        <v>0</v>
      </c>
      <c r="X3503" s="30">
        <v>0</v>
      </c>
      <c r="Y3503" s="30">
        <v>0</v>
      </c>
      <c r="Z3503" s="30">
        <v>0</v>
      </c>
      <c r="AA3503" s="30">
        <v>0</v>
      </c>
      <c r="AB3503" s="30">
        <v>0</v>
      </c>
      <c r="AC3503" s="30">
        <v>0</v>
      </c>
      <c r="AD3503" s="30">
        <v>0</v>
      </c>
      <c r="AE3503" s="30" t="s">
        <v>16435</v>
      </c>
      <c r="AF3503" s="30" t="s">
        <v>20248</v>
      </c>
      <c r="AG3503" s="30" t="s">
        <v>16283</v>
      </c>
      <c r="AH3503" s="72">
        <v>44755</v>
      </c>
      <c r="AI3503" s="30">
        <v>0</v>
      </c>
      <c r="AJ3503" s="30" t="s">
        <v>20249</v>
      </c>
      <c r="AK3503" s="30" t="s">
        <v>879</v>
      </c>
      <c r="AL3503" s="157">
        <v>44758</v>
      </c>
      <c r="AM3503" s="30"/>
      <c r="AN3503" s="137">
        <v>45183</v>
      </c>
      <c r="AO3503" s="137">
        <v>45182</v>
      </c>
    </row>
    <row r="3504" spans="1:55" ht="36.75" customHeight="1">
      <c r="A3504" s="46" t="s">
        <v>12471</v>
      </c>
      <c r="B3504" s="30" t="s">
        <v>55</v>
      </c>
      <c r="C3504" s="69" t="str">
        <f t="shared" si="312"/>
        <v>Closed</v>
      </c>
      <c r="D3504" s="36" t="s">
        <v>20250</v>
      </c>
      <c r="E3504" s="29" t="s">
        <v>20251</v>
      </c>
      <c r="F3504" s="30" t="s">
        <v>16310</v>
      </c>
      <c r="G3504" s="88">
        <f>DATE(2022,7,14)</f>
        <v>44756</v>
      </c>
      <c r="H3504" s="142">
        <v>1.6770833333333335</v>
      </c>
      <c r="I3504" s="30" t="s">
        <v>6600</v>
      </c>
      <c r="J3504" s="30" t="s">
        <v>20252</v>
      </c>
      <c r="K3504" s="30" t="s">
        <v>118</v>
      </c>
      <c r="L3504" s="30" t="s">
        <v>20253</v>
      </c>
      <c r="M3504" s="30" t="s">
        <v>63</v>
      </c>
      <c r="N3504" s="30" t="s">
        <v>142</v>
      </c>
      <c r="O3504" s="30" t="s">
        <v>64</v>
      </c>
      <c r="P3504" s="30" t="s">
        <v>78</v>
      </c>
      <c r="Q3504" s="30" t="s">
        <v>20254</v>
      </c>
      <c r="R3504" s="30" t="s">
        <v>16314</v>
      </c>
      <c r="S3504" s="30">
        <v>0</v>
      </c>
      <c r="T3504" s="30">
        <v>0</v>
      </c>
      <c r="U3504" s="30">
        <v>0</v>
      </c>
      <c r="V3504" s="30">
        <v>0</v>
      </c>
      <c r="W3504" s="30">
        <v>0</v>
      </c>
      <c r="X3504" s="30">
        <v>0</v>
      </c>
      <c r="Y3504" s="30">
        <v>0</v>
      </c>
      <c r="Z3504" s="30">
        <v>0</v>
      </c>
      <c r="AA3504" s="30">
        <v>0</v>
      </c>
      <c r="AB3504" s="30">
        <v>0</v>
      </c>
      <c r="AC3504" s="30">
        <v>0</v>
      </c>
      <c r="AD3504" s="30">
        <v>0</v>
      </c>
      <c r="AE3504" s="30" t="s">
        <v>145</v>
      </c>
      <c r="AF3504" s="30" t="s">
        <v>20255</v>
      </c>
      <c r="AG3504" s="30" t="s">
        <v>8859</v>
      </c>
      <c r="AH3504" s="72">
        <v>44775</v>
      </c>
      <c r="AI3504" s="30">
        <v>6</v>
      </c>
      <c r="AJ3504" s="30"/>
      <c r="AK3504" s="30"/>
      <c r="AL3504" s="157">
        <v>44775</v>
      </c>
      <c r="AM3504" s="30"/>
      <c r="AN3504" s="195">
        <v>45686</v>
      </c>
      <c r="AO3504" s="202">
        <v>45686</v>
      </c>
    </row>
    <row r="3505" spans="1:55" ht="36.75" customHeight="1">
      <c r="A3505" s="46" t="s">
        <v>12471</v>
      </c>
      <c r="B3505" s="30" t="s">
        <v>55</v>
      </c>
      <c r="C3505" s="69" t="str">
        <f t="shared" si="312"/>
        <v>Closed</v>
      </c>
      <c r="D3505" s="36" t="s">
        <v>20256</v>
      </c>
      <c r="E3505" s="29" t="s">
        <v>20257</v>
      </c>
      <c r="F3505" s="30" t="s">
        <v>17682</v>
      </c>
      <c r="G3505" s="88">
        <f>DATE(2022,7,19)</f>
        <v>44761</v>
      </c>
      <c r="H3505" s="142">
        <v>1.7083333333333335</v>
      </c>
      <c r="I3505" s="30" t="s">
        <v>125</v>
      </c>
      <c r="J3505" s="30" t="s">
        <v>20258</v>
      </c>
      <c r="K3505" s="30" t="s">
        <v>1574</v>
      </c>
      <c r="L3505" s="30" t="s">
        <v>20259</v>
      </c>
      <c r="M3505" s="30" t="s">
        <v>63</v>
      </c>
      <c r="N3505" s="30" t="s">
        <v>99</v>
      </c>
      <c r="O3505" s="30" t="s">
        <v>64</v>
      </c>
      <c r="P3505" s="30" t="s">
        <v>165</v>
      </c>
      <c r="Q3505" s="30" t="s">
        <v>18739</v>
      </c>
      <c r="R3505" s="30" t="s">
        <v>19007</v>
      </c>
      <c r="S3505" s="30">
        <v>0</v>
      </c>
      <c r="T3505" s="30">
        <v>0</v>
      </c>
      <c r="U3505" s="30">
        <v>0</v>
      </c>
      <c r="V3505" s="30">
        <v>0</v>
      </c>
      <c r="W3505" s="30">
        <v>0</v>
      </c>
      <c r="X3505" s="30">
        <v>0</v>
      </c>
      <c r="Y3505" s="30">
        <v>0</v>
      </c>
      <c r="Z3505" s="30">
        <v>0</v>
      </c>
      <c r="AA3505" s="30">
        <v>0</v>
      </c>
      <c r="AB3505" s="30">
        <v>0</v>
      </c>
      <c r="AC3505" s="30">
        <v>0</v>
      </c>
      <c r="AD3505" s="30">
        <v>0</v>
      </c>
      <c r="AE3505" s="30" t="s">
        <v>394</v>
      </c>
      <c r="AF3505" s="30" t="s">
        <v>20260</v>
      </c>
      <c r="AG3505" s="30" t="s">
        <v>8859</v>
      </c>
      <c r="AH3505" s="72">
        <v>44762</v>
      </c>
      <c r="AI3505" s="30">
        <v>1</v>
      </c>
      <c r="AJ3505" s="30" t="s">
        <v>20261</v>
      </c>
      <c r="AK3505" s="30" t="s">
        <v>7019</v>
      </c>
      <c r="AL3505" s="157">
        <v>44764</v>
      </c>
      <c r="AM3505" s="30"/>
      <c r="AN3505" s="157">
        <v>45127</v>
      </c>
      <c r="AO3505" s="157">
        <v>45120</v>
      </c>
    </row>
    <row r="3506" spans="1:55" ht="36.75" customHeight="1">
      <c r="A3506" s="46" t="s">
        <v>12471</v>
      </c>
      <c r="B3506" s="30" t="s">
        <v>55</v>
      </c>
      <c r="C3506" s="69" t="str">
        <f t="shared" si="312"/>
        <v>Closed</v>
      </c>
      <c r="D3506" s="36" t="s">
        <v>20262</v>
      </c>
      <c r="E3506" s="55" t="s">
        <v>20263</v>
      </c>
      <c r="F3506" s="56" t="s">
        <v>18131</v>
      </c>
      <c r="G3506" s="88">
        <f>DATE(2022,7,21)</f>
        <v>44763</v>
      </c>
      <c r="H3506" s="142">
        <v>1.3611111111111112</v>
      </c>
      <c r="I3506" s="56" t="s">
        <v>278</v>
      </c>
      <c r="J3506" s="56" t="s">
        <v>20264</v>
      </c>
      <c r="K3506" s="56" t="s">
        <v>379</v>
      </c>
      <c r="L3506" s="56" t="s">
        <v>20265</v>
      </c>
      <c r="M3506" s="56" t="s">
        <v>63</v>
      </c>
      <c r="N3506" s="56" t="s">
        <v>142</v>
      </c>
      <c r="O3506" s="56" t="s">
        <v>77</v>
      </c>
      <c r="P3506" s="56" t="s">
        <v>165</v>
      </c>
      <c r="Q3506" s="56" t="s">
        <v>2906</v>
      </c>
      <c r="R3506" s="56" t="s">
        <v>20266</v>
      </c>
      <c r="S3506" s="56">
        <v>1</v>
      </c>
      <c r="T3506" s="56">
        <v>0</v>
      </c>
      <c r="U3506" s="56">
        <v>0</v>
      </c>
      <c r="V3506" s="56">
        <v>0</v>
      </c>
      <c r="W3506" s="56">
        <v>0</v>
      </c>
      <c r="X3506" s="56">
        <v>1</v>
      </c>
      <c r="Y3506" s="56">
        <v>0</v>
      </c>
      <c r="Z3506" s="56">
        <v>0</v>
      </c>
      <c r="AA3506" s="56">
        <v>0</v>
      </c>
      <c r="AB3506" s="56">
        <v>0</v>
      </c>
      <c r="AC3506" s="56">
        <v>0</v>
      </c>
      <c r="AD3506" s="56">
        <v>0</v>
      </c>
      <c r="AE3506" s="56" t="s">
        <v>92</v>
      </c>
      <c r="AF3506" s="56" t="s">
        <v>19605</v>
      </c>
      <c r="AG3506" s="56" t="s">
        <v>6459</v>
      </c>
      <c r="AH3506" s="72">
        <v>44825</v>
      </c>
      <c r="AI3506" s="56">
        <v>4</v>
      </c>
      <c r="AJ3506" s="56" t="s">
        <v>20267</v>
      </c>
      <c r="AK3506" s="56" t="s">
        <v>20268</v>
      </c>
      <c r="AL3506" s="157">
        <v>44834</v>
      </c>
      <c r="AM3506" s="56"/>
      <c r="AN3506" s="157">
        <v>45175</v>
      </c>
      <c r="AO3506" s="157">
        <v>45133</v>
      </c>
      <c r="AP3506" s="30"/>
      <c r="AQ3506" s="30"/>
      <c r="AR3506" s="30"/>
      <c r="AS3506" s="30"/>
      <c r="AT3506" s="30"/>
      <c r="AU3506" s="30"/>
      <c r="AV3506" s="30"/>
      <c r="AW3506" s="30"/>
      <c r="AX3506" s="30"/>
      <c r="AY3506" s="30"/>
      <c r="AZ3506" s="30"/>
      <c r="BA3506" s="30"/>
      <c r="BB3506" s="30"/>
      <c r="BC3506" s="30"/>
    </row>
    <row r="3507" spans="1:55" ht="36.75" customHeight="1">
      <c r="A3507" s="46" t="s">
        <v>12471</v>
      </c>
      <c r="B3507" s="30" t="s">
        <v>55</v>
      </c>
      <c r="C3507" s="69" t="str">
        <f t="shared" si="312"/>
        <v>Closed</v>
      </c>
      <c r="D3507" s="36" t="s">
        <v>20269</v>
      </c>
      <c r="E3507" s="55" t="s">
        <v>20270</v>
      </c>
      <c r="F3507" s="56" t="s">
        <v>18131</v>
      </c>
      <c r="G3507" s="88">
        <f>DATE(2022,7,22)</f>
        <v>44764</v>
      </c>
      <c r="H3507" s="142">
        <v>1.6805555555555554</v>
      </c>
      <c r="I3507" s="56" t="s">
        <v>125</v>
      </c>
      <c r="J3507" s="56" t="s">
        <v>20271</v>
      </c>
      <c r="K3507" s="56" t="s">
        <v>379</v>
      </c>
      <c r="L3507" s="56" t="s">
        <v>20272</v>
      </c>
      <c r="M3507" s="56" t="s">
        <v>63</v>
      </c>
      <c r="N3507" s="56" t="s">
        <v>99</v>
      </c>
      <c r="O3507" s="56" t="s">
        <v>64</v>
      </c>
      <c r="P3507" s="56" t="s">
        <v>165</v>
      </c>
      <c r="Q3507" s="56" t="s">
        <v>20273</v>
      </c>
      <c r="R3507" s="56" t="s">
        <v>20274</v>
      </c>
      <c r="S3507" s="56">
        <v>0</v>
      </c>
      <c r="T3507" s="56">
        <v>0</v>
      </c>
      <c r="U3507" s="56">
        <v>0</v>
      </c>
      <c r="V3507" s="56">
        <v>0</v>
      </c>
      <c r="W3507" s="56">
        <v>0</v>
      </c>
      <c r="X3507" s="56">
        <v>0</v>
      </c>
      <c r="Y3507" s="56">
        <v>0</v>
      </c>
      <c r="Z3507" s="56">
        <v>0</v>
      </c>
      <c r="AA3507" s="56">
        <v>0</v>
      </c>
      <c r="AB3507" s="56">
        <v>0</v>
      </c>
      <c r="AC3507" s="56">
        <v>0</v>
      </c>
      <c r="AD3507" s="56">
        <v>0</v>
      </c>
      <c r="AE3507" s="56" t="s">
        <v>145</v>
      </c>
      <c r="AF3507" s="56" t="s">
        <v>20275</v>
      </c>
      <c r="AG3507" s="56" t="s">
        <v>6459</v>
      </c>
      <c r="AH3507" s="72">
        <v>44825</v>
      </c>
      <c r="AI3507" s="56">
        <v>3</v>
      </c>
      <c r="AJ3507" s="56" t="s">
        <v>20276</v>
      </c>
      <c r="AK3507" s="56" t="s">
        <v>20277</v>
      </c>
      <c r="AL3507" s="157">
        <v>44834</v>
      </c>
      <c r="AM3507" s="56"/>
      <c r="AN3507" s="157">
        <v>45167</v>
      </c>
      <c r="AO3507" s="157">
        <v>45103</v>
      </c>
    </row>
    <row r="3508" spans="1:55" ht="36.75" customHeight="1">
      <c r="A3508" s="46" t="s">
        <v>12471</v>
      </c>
      <c r="B3508" s="30" t="s">
        <v>55</v>
      </c>
      <c r="C3508" s="69" t="str">
        <f t="shared" si="312"/>
        <v>Closed</v>
      </c>
      <c r="D3508" s="36" t="s">
        <v>20278</v>
      </c>
      <c r="E3508" s="29" t="s">
        <v>20279</v>
      </c>
      <c r="F3508" s="30" t="s">
        <v>16429</v>
      </c>
      <c r="G3508" s="88">
        <f>DATE(2022,7,24)</f>
        <v>44766</v>
      </c>
      <c r="H3508" s="142">
        <v>1.6604166666666667</v>
      </c>
      <c r="I3508" s="30" t="s">
        <v>116</v>
      </c>
      <c r="J3508" s="30" t="s">
        <v>20280</v>
      </c>
      <c r="K3508" s="30" t="s">
        <v>425</v>
      </c>
      <c r="L3508" s="30" t="s">
        <v>20281</v>
      </c>
      <c r="M3508" s="30" t="s">
        <v>63</v>
      </c>
      <c r="N3508" s="30" t="s">
        <v>99</v>
      </c>
      <c r="O3508" s="30" t="s">
        <v>64</v>
      </c>
      <c r="P3508" s="30" t="s">
        <v>165</v>
      </c>
      <c r="Q3508" s="30" t="s">
        <v>18615</v>
      </c>
      <c r="R3508" s="30" t="s">
        <v>17369</v>
      </c>
      <c r="S3508" s="30">
        <v>0</v>
      </c>
      <c r="T3508" s="30">
        <v>0</v>
      </c>
      <c r="U3508" s="30">
        <v>1</v>
      </c>
      <c r="V3508" s="30">
        <v>0</v>
      </c>
      <c r="W3508" s="30">
        <v>0</v>
      </c>
      <c r="X3508" s="30">
        <v>1</v>
      </c>
      <c r="Y3508" s="30">
        <v>0</v>
      </c>
      <c r="Z3508" s="30">
        <v>0</v>
      </c>
      <c r="AA3508" s="30">
        <v>1</v>
      </c>
      <c r="AB3508" s="30">
        <v>0</v>
      </c>
      <c r="AC3508" s="30">
        <v>0</v>
      </c>
      <c r="AD3508" s="30">
        <v>1</v>
      </c>
      <c r="AE3508" s="30" t="s">
        <v>92</v>
      </c>
      <c r="AF3508" s="30" t="s">
        <v>20282</v>
      </c>
      <c r="AG3508" s="30" t="s">
        <v>8859</v>
      </c>
      <c r="AH3508" s="72">
        <v>44766</v>
      </c>
      <c r="AI3508" s="30">
        <v>0</v>
      </c>
      <c r="AJ3508" s="30" t="s">
        <v>20283</v>
      </c>
      <c r="AK3508" s="30" t="s">
        <v>879</v>
      </c>
      <c r="AL3508" s="157">
        <v>44766</v>
      </c>
      <c r="AM3508" s="30"/>
      <c r="AN3508" s="195">
        <v>44902</v>
      </c>
      <c r="AO3508" s="195">
        <v>44872</v>
      </c>
    </row>
    <row r="3509" spans="1:55" ht="36.75" customHeight="1">
      <c r="A3509" s="46" t="s">
        <v>12471</v>
      </c>
      <c r="B3509" s="30" t="s">
        <v>55</v>
      </c>
      <c r="C3509" s="69" t="str">
        <f t="shared" si="312"/>
        <v>Closed</v>
      </c>
      <c r="D3509" s="36" t="s">
        <v>20284</v>
      </c>
      <c r="E3509" s="29" t="s">
        <v>20285</v>
      </c>
      <c r="F3509" s="30" t="s">
        <v>16429</v>
      </c>
      <c r="G3509" s="88">
        <f>DATE(2022,7,24)</f>
        <v>44766</v>
      </c>
      <c r="H3509" s="142">
        <v>1.7298611111111111</v>
      </c>
      <c r="I3509" s="30" t="s">
        <v>116</v>
      </c>
      <c r="J3509" s="30" t="s">
        <v>20286</v>
      </c>
      <c r="K3509" s="30" t="s">
        <v>425</v>
      </c>
      <c r="L3509" s="30" t="s">
        <v>20287</v>
      </c>
      <c r="M3509" s="30" t="s">
        <v>63</v>
      </c>
      <c r="N3509" s="30" t="s">
        <v>99</v>
      </c>
      <c r="O3509" s="30" t="s">
        <v>64</v>
      </c>
      <c r="P3509" s="30" t="s">
        <v>165</v>
      </c>
      <c r="Q3509" s="30" t="s">
        <v>18615</v>
      </c>
      <c r="R3509" s="30" t="s">
        <v>17369</v>
      </c>
      <c r="S3509" s="30">
        <v>0</v>
      </c>
      <c r="T3509" s="30">
        <v>0</v>
      </c>
      <c r="U3509" s="30">
        <v>1</v>
      </c>
      <c r="V3509" s="30">
        <v>0</v>
      </c>
      <c r="W3509" s="30">
        <v>0</v>
      </c>
      <c r="X3509" s="30">
        <v>1</v>
      </c>
      <c r="Y3509" s="30">
        <v>0</v>
      </c>
      <c r="Z3509" s="30">
        <v>0</v>
      </c>
      <c r="AA3509" s="30">
        <v>0</v>
      </c>
      <c r="AB3509" s="30">
        <v>0</v>
      </c>
      <c r="AC3509" s="30">
        <v>0</v>
      </c>
      <c r="AD3509" s="30">
        <v>0</v>
      </c>
      <c r="AE3509" s="30" t="s">
        <v>92</v>
      </c>
      <c r="AF3509" s="30" t="s">
        <v>20288</v>
      </c>
      <c r="AG3509" s="30" t="s">
        <v>20289</v>
      </c>
      <c r="AH3509" s="72">
        <v>44766</v>
      </c>
      <c r="AI3509" s="30">
        <v>5</v>
      </c>
      <c r="AJ3509" s="30" t="s">
        <v>20290</v>
      </c>
      <c r="AK3509" s="30" t="s">
        <v>20291</v>
      </c>
      <c r="AL3509" s="157">
        <v>44769</v>
      </c>
      <c r="AM3509" s="30"/>
      <c r="AN3509" s="157">
        <v>45140</v>
      </c>
      <c r="AO3509" s="157">
        <v>45139</v>
      </c>
    </row>
    <row r="3510" spans="1:55" ht="36.75" customHeight="1">
      <c r="A3510" s="46" t="s">
        <v>12471</v>
      </c>
      <c r="B3510" s="30" t="s">
        <v>55</v>
      </c>
      <c r="C3510" s="69" t="str">
        <f t="shared" si="312"/>
        <v>Closed</v>
      </c>
      <c r="D3510" s="36" t="s">
        <v>20292</v>
      </c>
      <c r="E3510" s="29" t="s">
        <v>20293</v>
      </c>
      <c r="F3510" s="30" t="s">
        <v>17773</v>
      </c>
      <c r="G3510" s="88">
        <f>DATE(2022,7,26)</f>
        <v>44768</v>
      </c>
      <c r="H3510" s="142">
        <v>1.7222222222222223</v>
      </c>
      <c r="I3510" s="30" t="s">
        <v>73</v>
      </c>
      <c r="J3510" s="30" t="s">
        <v>20294</v>
      </c>
      <c r="K3510" s="30" t="s">
        <v>2603</v>
      </c>
      <c r="L3510" s="30" t="s">
        <v>20295</v>
      </c>
      <c r="M3510" s="30" t="s">
        <v>63</v>
      </c>
      <c r="N3510" s="30" t="s">
        <v>99</v>
      </c>
      <c r="O3510" s="30" t="s">
        <v>64</v>
      </c>
      <c r="P3510" s="30" t="s">
        <v>78</v>
      </c>
      <c r="Q3510" s="30" t="s">
        <v>20296</v>
      </c>
      <c r="R3510" s="30" t="s">
        <v>18439</v>
      </c>
      <c r="S3510" s="30">
        <v>0</v>
      </c>
      <c r="T3510" s="30">
        <v>0</v>
      </c>
      <c r="U3510" s="30">
        <v>0</v>
      </c>
      <c r="V3510" s="30">
        <v>0</v>
      </c>
      <c r="W3510" s="30">
        <v>0</v>
      </c>
      <c r="X3510" s="30">
        <v>0</v>
      </c>
      <c r="Y3510" s="30">
        <v>0</v>
      </c>
      <c r="Z3510" s="30">
        <v>0</v>
      </c>
      <c r="AA3510" s="30">
        <v>0</v>
      </c>
      <c r="AB3510" s="30">
        <v>0</v>
      </c>
      <c r="AC3510" s="30">
        <v>0</v>
      </c>
      <c r="AD3510" s="30">
        <v>0</v>
      </c>
      <c r="AE3510" s="30" t="s">
        <v>394</v>
      </c>
      <c r="AF3510" s="30" t="s">
        <v>20297</v>
      </c>
      <c r="AG3510" s="30" t="s">
        <v>8859</v>
      </c>
      <c r="AH3510" s="72">
        <v>44769</v>
      </c>
      <c r="AI3510" s="30">
        <v>4</v>
      </c>
      <c r="AJ3510" s="30" t="s">
        <v>20298</v>
      </c>
      <c r="AK3510" s="30" t="s">
        <v>20299</v>
      </c>
      <c r="AL3510" s="157">
        <v>44769</v>
      </c>
      <c r="AM3510" s="30"/>
      <c r="AN3510" s="157">
        <v>44909</v>
      </c>
      <c r="AO3510" s="157">
        <v>44893</v>
      </c>
    </row>
    <row r="3511" spans="1:55" ht="36.75" customHeight="1">
      <c r="A3511" s="46" t="s">
        <v>12471</v>
      </c>
      <c r="B3511" s="30" t="s">
        <v>55</v>
      </c>
      <c r="C3511" s="69" t="str">
        <f t="shared" si="312"/>
        <v>Closed</v>
      </c>
      <c r="D3511" s="36" t="s">
        <v>20300</v>
      </c>
      <c r="E3511" s="29" t="s">
        <v>20301</v>
      </c>
      <c r="F3511" s="30" t="s">
        <v>17682</v>
      </c>
      <c r="G3511" s="88">
        <f>DATE(2022,7,28)</f>
        <v>44770</v>
      </c>
      <c r="H3511" s="142">
        <v>1.7569444444444446</v>
      </c>
      <c r="I3511" s="30" t="s">
        <v>73</v>
      </c>
      <c r="J3511" s="30" t="s">
        <v>20302</v>
      </c>
      <c r="K3511" s="30" t="s">
        <v>1574</v>
      </c>
      <c r="L3511" s="30" t="s">
        <v>20303</v>
      </c>
      <c r="M3511" s="30" t="s">
        <v>63</v>
      </c>
      <c r="N3511" s="30" t="s">
        <v>99</v>
      </c>
      <c r="O3511" s="30" t="s">
        <v>64</v>
      </c>
      <c r="P3511" s="30" t="s">
        <v>78</v>
      </c>
      <c r="Q3511" s="30" t="s">
        <v>19664</v>
      </c>
      <c r="R3511" s="30" t="s">
        <v>19664</v>
      </c>
      <c r="S3511" s="30">
        <v>0</v>
      </c>
      <c r="T3511" s="30">
        <v>0</v>
      </c>
      <c r="U3511" s="30">
        <v>0</v>
      </c>
      <c r="V3511" s="30">
        <v>0</v>
      </c>
      <c r="W3511" s="30">
        <v>0</v>
      </c>
      <c r="X3511" s="30">
        <v>0</v>
      </c>
      <c r="Y3511" s="30">
        <v>0</v>
      </c>
      <c r="Z3511" s="30">
        <v>0</v>
      </c>
      <c r="AA3511" s="30">
        <v>0</v>
      </c>
      <c r="AB3511" s="30">
        <v>0</v>
      </c>
      <c r="AC3511" s="30">
        <v>0</v>
      </c>
      <c r="AD3511" s="30">
        <v>0</v>
      </c>
      <c r="AE3511" s="30" t="s">
        <v>92</v>
      </c>
      <c r="AF3511" s="30" t="s">
        <v>20304</v>
      </c>
      <c r="AG3511" s="30" t="s">
        <v>8859</v>
      </c>
      <c r="AH3511" s="72">
        <v>44774</v>
      </c>
      <c r="AI3511" s="30">
        <v>0</v>
      </c>
      <c r="AJ3511" s="30" t="s">
        <v>20305</v>
      </c>
      <c r="AK3511" s="30" t="s">
        <v>20306</v>
      </c>
      <c r="AL3511" s="157">
        <v>44774</v>
      </c>
      <c r="AM3511" s="30"/>
      <c r="AN3511" s="157">
        <v>45131</v>
      </c>
      <c r="AO3511" s="157">
        <v>45117</v>
      </c>
    </row>
    <row r="3512" spans="1:55" ht="36.75" customHeight="1">
      <c r="A3512" s="46" t="s">
        <v>12471</v>
      </c>
      <c r="B3512" s="30" t="s">
        <v>2124</v>
      </c>
      <c r="C3512" s="69" t="str">
        <f t="shared" si="312"/>
        <v>Open</v>
      </c>
      <c r="D3512" s="36" t="s">
        <v>20307</v>
      </c>
      <c r="E3512" s="29" t="s">
        <v>20308</v>
      </c>
      <c r="F3512" s="30" t="s">
        <v>17578</v>
      </c>
      <c r="G3512" s="88">
        <f>DATE(2022,7,28)</f>
        <v>44770</v>
      </c>
      <c r="H3512" s="142">
        <v>1.7881944444444446</v>
      </c>
      <c r="I3512" s="30" t="s">
        <v>4610</v>
      </c>
      <c r="J3512" s="30" t="s">
        <v>20309</v>
      </c>
      <c r="K3512" s="30" t="s">
        <v>837</v>
      </c>
      <c r="L3512" s="30" t="s">
        <v>20310</v>
      </c>
      <c r="M3512" s="30" t="s">
        <v>63</v>
      </c>
      <c r="N3512" s="30" t="s">
        <v>99</v>
      </c>
      <c r="O3512" s="30" t="s">
        <v>77</v>
      </c>
      <c r="P3512" s="30" t="s">
        <v>78</v>
      </c>
      <c r="Q3512" s="30" t="s">
        <v>20311</v>
      </c>
      <c r="R3512" s="30" t="s">
        <v>840</v>
      </c>
      <c r="S3512" s="30">
        <v>0</v>
      </c>
      <c r="T3512" s="30"/>
      <c r="U3512" s="30"/>
      <c r="V3512" s="30"/>
      <c r="W3512" s="30"/>
      <c r="X3512" s="30"/>
      <c r="Y3512" s="30"/>
      <c r="Z3512" s="30"/>
      <c r="AA3512" s="30"/>
      <c r="AB3512" s="30"/>
      <c r="AC3512" s="30"/>
      <c r="AD3512" s="30">
        <v>0</v>
      </c>
      <c r="AE3512" s="30" t="s">
        <v>92</v>
      </c>
      <c r="AF3512" s="30" t="s">
        <v>17864</v>
      </c>
      <c r="AG3512" s="30" t="s">
        <v>13537</v>
      </c>
      <c r="AH3512" s="72">
        <v>44771</v>
      </c>
      <c r="AI3512" s="30"/>
      <c r="AJ3512" s="30"/>
      <c r="AK3512" s="30"/>
      <c r="AL3512" s="157">
        <v>44792</v>
      </c>
      <c r="AM3512" s="30"/>
      <c r="AN3512" s="169"/>
      <c r="AO3512" s="169"/>
    </row>
    <row r="3513" spans="1:55" ht="36.75" customHeight="1">
      <c r="A3513" s="46" t="s">
        <v>12471</v>
      </c>
      <c r="B3513" s="30" t="s">
        <v>55</v>
      </c>
      <c r="C3513" s="69" t="str">
        <f t="shared" si="312"/>
        <v>Closed</v>
      </c>
      <c r="D3513" s="36" t="s">
        <v>20312</v>
      </c>
      <c r="E3513" s="29" t="s">
        <v>20313</v>
      </c>
      <c r="F3513" s="30" t="s">
        <v>9789</v>
      </c>
      <c r="G3513" s="88">
        <f>DATE(2022,8,1)</f>
        <v>44774</v>
      </c>
      <c r="H3513" s="142">
        <v>1.901388888888889</v>
      </c>
      <c r="I3513" s="30" t="s">
        <v>116</v>
      </c>
      <c r="J3513" s="267" t="s">
        <v>20314</v>
      </c>
      <c r="K3513" s="30" t="s">
        <v>9791</v>
      </c>
      <c r="L3513" s="30" t="s">
        <v>20315</v>
      </c>
      <c r="M3513" s="30" t="s">
        <v>63</v>
      </c>
      <c r="N3513" s="30" t="s">
        <v>99</v>
      </c>
      <c r="O3513" s="30" t="s">
        <v>64</v>
      </c>
      <c r="P3513" s="30" t="s">
        <v>381</v>
      </c>
      <c r="Q3513" s="30" t="s">
        <v>20316</v>
      </c>
      <c r="R3513" s="30" t="s">
        <v>20317</v>
      </c>
      <c r="S3513" s="30">
        <v>0</v>
      </c>
      <c r="T3513" s="30">
        <v>0</v>
      </c>
      <c r="U3513" s="30">
        <v>0</v>
      </c>
      <c r="V3513" s="30">
        <v>0</v>
      </c>
      <c r="W3513" s="30">
        <v>0</v>
      </c>
      <c r="X3513" s="30">
        <v>0</v>
      </c>
      <c r="Y3513" s="30">
        <v>0</v>
      </c>
      <c r="Z3513" s="30">
        <v>0</v>
      </c>
      <c r="AA3513" s="30">
        <v>0</v>
      </c>
      <c r="AB3513" s="30">
        <v>0</v>
      </c>
      <c r="AC3513" s="30">
        <v>0</v>
      </c>
      <c r="AD3513" s="30">
        <v>0</v>
      </c>
      <c r="AE3513" s="30" t="s">
        <v>92</v>
      </c>
      <c r="AF3513" s="30" t="s">
        <v>20318</v>
      </c>
      <c r="AG3513" s="30" t="s">
        <v>8859</v>
      </c>
      <c r="AH3513" s="72">
        <v>44803</v>
      </c>
      <c r="AI3513" s="30">
        <v>1</v>
      </c>
      <c r="AJ3513" s="30" t="s">
        <v>20319</v>
      </c>
      <c r="AK3513" s="30" t="s">
        <v>20320</v>
      </c>
      <c r="AL3513" s="157">
        <v>44806</v>
      </c>
      <c r="AM3513" s="30"/>
      <c r="AN3513" s="157">
        <v>45126</v>
      </c>
      <c r="AO3513" s="157">
        <v>45103</v>
      </c>
      <c r="AP3513" s="157">
        <v>45142</v>
      </c>
      <c r="AQ3513" s="157">
        <v>45143</v>
      </c>
      <c r="AR3513" s="157">
        <v>45144</v>
      </c>
      <c r="AS3513" s="157">
        <v>45145</v>
      </c>
      <c r="AT3513" s="157">
        <v>45146</v>
      </c>
      <c r="AU3513" s="157">
        <v>45147</v>
      </c>
      <c r="AV3513" s="157">
        <v>45148</v>
      </c>
      <c r="AW3513" s="157">
        <v>45149</v>
      </c>
      <c r="AX3513" s="157">
        <v>45150</v>
      </c>
      <c r="AY3513" s="157">
        <v>45151</v>
      </c>
      <c r="AZ3513" s="157">
        <v>45152</v>
      </c>
      <c r="BA3513" s="157">
        <v>45153</v>
      </c>
      <c r="BB3513" s="157">
        <v>45154</v>
      </c>
      <c r="BC3513" s="157">
        <v>45155</v>
      </c>
    </row>
    <row r="3514" spans="1:55" ht="36.75" customHeight="1">
      <c r="A3514" s="46" t="s">
        <v>12471</v>
      </c>
      <c r="B3514" s="30" t="s">
        <v>55</v>
      </c>
      <c r="C3514" s="69" t="str">
        <f t="shared" si="312"/>
        <v>Closed</v>
      </c>
      <c r="D3514" s="36" t="s">
        <v>20321</v>
      </c>
      <c r="E3514" s="29" t="s">
        <v>20322</v>
      </c>
      <c r="F3514" s="30" t="s">
        <v>17682</v>
      </c>
      <c r="G3514" s="88">
        <f>DATE(2022,8,9)</f>
        <v>44782</v>
      </c>
      <c r="H3514" s="142">
        <v>1.3680555555555556</v>
      </c>
      <c r="I3514" s="30" t="s">
        <v>73</v>
      </c>
      <c r="J3514" s="30" t="s">
        <v>20323</v>
      </c>
      <c r="K3514" s="30" t="s">
        <v>1574</v>
      </c>
      <c r="L3514" s="30" t="s">
        <v>19982</v>
      </c>
      <c r="M3514" s="30" t="s">
        <v>63</v>
      </c>
      <c r="N3514" s="30" t="s">
        <v>142</v>
      </c>
      <c r="O3514" s="30" t="s">
        <v>77</v>
      </c>
      <c r="P3514" s="30" t="s">
        <v>78</v>
      </c>
      <c r="Q3514" s="30" t="s">
        <v>20324</v>
      </c>
      <c r="R3514" s="30" t="s">
        <v>17686</v>
      </c>
      <c r="S3514" s="30">
        <v>0</v>
      </c>
      <c r="T3514" s="30">
        <v>0</v>
      </c>
      <c r="U3514" s="30">
        <v>0</v>
      </c>
      <c r="V3514" s="30">
        <v>0</v>
      </c>
      <c r="W3514" s="30">
        <v>0</v>
      </c>
      <c r="X3514" s="30">
        <v>0</v>
      </c>
      <c r="Y3514" s="30">
        <v>0</v>
      </c>
      <c r="Z3514" s="30">
        <v>0</v>
      </c>
      <c r="AA3514" s="30">
        <v>0</v>
      </c>
      <c r="AB3514" s="30">
        <v>0</v>
      </c>
      <c r="AC3514" s="30">
        <v>0</v>
      </c>
      <c r="AD3514" s="30">
        <v>0</v>
      </c>
      <c r="AE3514" s="30" t="s">
        <v>92</v>
      </c>
      <c r="AF3514" s="30" t="s">
        <v>20325</v>
      </c>
      <c r="AG3514" s="30" t="s">
        <v>8859</v>
      </c>
      <c r="AH3514" s="72">
        <v>44783</v>
      </c>
      <c r="AI3514" s="30">
        <v>1</v>
      </c>
      <c r="AJ3514" s="30" t="s">
        <v>20326</v>
      </c>
      <c r="AK3514" s="30" t="s">
        <v>20327</v>
      </c>
      <c r="AL3514" s="157">
        <v>44784</v>
      </c>
      <c r="AM3514" s="30"/>
      <c r="AN3514" s="157">
        <v>45146</v>
      </c>
      <c r="AO3514" s="157">
        <v>45138</v>
      </c>
    </row>
    <row r="3515" spans="1:55" ht="36.75" customHeight="1">
      <c r="A3515" s="46" t="s">
        <v>12471</v>
      </c>
      <c r="B3515" s="30" t="s">
        <v>55</v>
      </c>
      <c r="C3515" s="69" t="str">
        <f t="shared" si="312"/>
        <v>Closed</v>
      </c>
      <c r="D3515" s="36" t="s">
        <v>20328</v>
      </c>
      <c r="E3515" s="55" t="s">
        <v>20329</v>
      </c>
      <c r="F3515" s="56" t="s">
        <v>16429</v>
      </c>
      <c r="G3515" s="88">
        <f>DATE(2022,8,10)</f>
        <v>44783</v>
      </c>
      <c r="H3515" s="142">
        <v>1.5868055555555556</v>
      </c>
      <c r="I3515" s="56" t="s">
        <v>116</v>
      </c>
      <c r="J3515" s="56" t="s">
        <v>20330</v>
      </c>
      <c r="K3515" s="56" t="s">
        <v>425</v>
      </c>
      <c r="L3515" s="56" t="s">
        <v>20331</v>
      </c>
      <c r="M3515" s="56" t="s">
        <v>63</v>
      </c>
      <c r="N3515" s="56" t="s">
        <v>99</v>
      </c>
      <c r="O3515" s="56" t="s">
        <v>77</v>
      </c>
      <c r="P3515" s="56" t="s">
        <v>165</v>
      </c>
      <c r="Q3515" s="56" t="s">
        <v>18615</v>
      </c>
      <c r="R3515" s="56" t="s">
        <v>17369</v>
      </c>
      <c r="S3515" s="56">
        <v>0</v>
      </c>
      <c r="T3515" s="56">
        <v>0</v>
      </c>
      <c r="U3515" s="56">
        <v>0</v>
      </c>
      <c r="V3515" s="56">
        <v>0</v>
      </c>
      <c r="W3515" s="56">
        <v>0</v>
      </c>
      <c r="X3515" s="56">
        <v>0</v>
      </c>
      <c r="Y3515" s="56">
        <v>0</v>
      </c>
      <c r="Z3515" s="56">
        <v>0</v>
      </c>
      <c r="AA3515" s="56">
        <v>0</v>
      </c>
      <c r="AB3515" s="56">
        <v>0</v>
      </c>
      <c r="AC3515" s="56">
        <v>0</v>
      </c>
      <c r="AD3515" s="56">
        <v>0</v>
      </c>
      <c r="AE3515" s="56" t="s">
        <v>16435</v>
      </c>
      <c r="AF3515" s="56" t="s">
        <v>20332</v>
      </c>
      <c r="AG3515" s="56" t="s">
        <v>16283</v>
      </c>
      <c r="AH3515" s="72">
        <v>44844</v>
      </c>
      <c r="AI3515" s="56">
        <v>0</v>
      </c>
      <c r="AJ3515" s="56" t="s">
        <v>20333</v>
      </c>
      <c r="AK3515" s="56" t="s">
        <v>879</v>
      </c>
      <c r="AL3515" s="157">
        <v>44844</v>
      </c>
      <c r="AM3515" s="56"/>
      <c r="AN3515" s="157">
        <v>44984</v>
      </c>
      <c r="AO3515" s="157">
        <v>44984</v>
      </c>
    </row>
    <row r="3516" spans="1:55" ht="36.75" customHeight="1">
      <c r="A3516" s="46" t="s">
        <v>12471</v>
      </c>
      <c r="B3516" s="30" t="s">
        <v>55</v>
      </c>
      <c r="C3516" s="69" t="str">
        <f t="shared" si="312"/>
        <v>Closed</v>
      </c>
      <c r="D3516" s="36" t="s">
        <v>20334</v>
      </c>
      <c r="E3516" s="55" t="s">
        <v>20335</v>
      </c>
      <c r="F3516" s="56" t="s">
        <v>17820</v>
      </c>
      <c r="G3516" s="88">
        <f>DATE(2022,8,15)</f>
        <v>44788</v>
      </c>
      <c r="H3516" s="142">
        <v>1.7777777777777777</v>
      </c>
      <c r="I3516" s="56" t="s">
        <v>6775</v>
      </c>
      <c r="J3516" s="56" t="s">
        <v>20336</v>
      </c>
      <c r="K3516" s="56" t="s">
        <v>640</v>
      </c>
      <c r="L3516" s="56" t="s">
        <v>20337</v>
      </c>
      <c r="M3516" s="56" t="s">
        <v>63</v>
      </c>
      <c r="N3516" s="56" t="s">
        <v>142</v>
      </c>
      <c r="O3516" s="56" t="s">
        <v>77</v>
      </c>
      <c r="P3516" s="56" t="s">
        <v>6902</v>
      </c>
      <c r="Q3516" s="56" t="s">
        <v>18509</v>
      </c>
      <c r="R3516" s="56" t="s">
        <v>2016</v>
      </c>
      <c r="S3516" s="56">
        <v>0</v>
      </c>
      <c r="T3516" s="56">
        <v>0</v>
      </c>
      <c r="U3516" s="56">
        <v>0</v>
      </c>
      <c r="V3516" s="56">
        <v>0</v>
      </c>
      <c r="W3516" s="56">
        <v>0</v>
      </c>
      <c r="X3516" s="56">
        <v>0</v>
      </c>
      <c r="Y3516" s="56">
        <v>0</v>
      </c>
      <c r="Z3516" s="56">
        <v>0</v>
      </c>
      <c r="AA3516" s="56">
        <v>0</v>
      </c>
      <c r="AB3516" s="56">
        <v>0</v>
      </c>
      <c r="AC3516" s="56">
        <v>0</v>
      </c>
      <c r="AD3516" s="56">
        <v>0</v>
      </c>
      <c r="AE3516" s="56" t="s">
        <v>92</v>
      </c>
      <c r="AF3516" s="56" t="s">
        <v>18510</v>
      </c>
      <c r="AG3516" s="56" t="s">
        <v>17062</v>
      </c>
      <c r="AH3516" s="72">
        <v>44819</v>
      </c>
      <c r="AI3516" s="56">
        <v>4</v>
      </c>
      <c r="AJ3516" s="56" t="s">
        <v>20338</v>
      </c>
      <c r="AK3516" s="56" t="s">
        <v>20339</v>
      </c>
      <c r="AL3516" s="157">
        <v>44825</v>
      </c>
      <c r="AM3516" s="56"/>
      <c r="AN3516" s="157">
        <v>45015</v>
      </c>
      <c r="AO3516" s="157">
        <v>45001</v>
      </c>
    </row>
    <row r="3517" spans="1:55" ht="36.75" customHeight="1">
      <c r="A3517" s="46" t="s">
        <v>12471</v>
      </c>
      <c r="B3517" s="30" t="s">
        <v>14882</v>
      </c>
      <c r="C3517" s="69" t="str">
        <f t="shared" si="312"/>
        <v>In progress</v>
      </c>
      <c r="D3517" s="36" t="s">
        <v>20340</v>
      </c>
      <c r="E3517" s="29" t="s">
        <v>20341</v>
      </c>
      <c r="F3517" s="30" t="s">
        <v>14885</v>
      </c>
      <c r="G3517" s="88">
        <f>DATE(2022,8,20)</f>
        <v>44793</v>
      </c>
      <c r="H3517" s="142">
        <v>1.625</v>
      </c>
      <c r="I3517" s="30" t="s">
        <v>116</v>
      </c>
      <c r="J3517" s="30" t="s">
        <v>20342</v>
      </c>
      <c r="K3517" s="30" t="s">
        <v>12881</v>
      </c>
      <c r="L3517" s="30" t="s">
        <v>20343</v>
      </c>
      <c r="M3517" s="30" t="s">
        <v>63</v>
      </c>
      <c r="N3517" s="30" t="s">
        <v>89</v>
      </c>
      <c r="O3517" s="30" t="s">
        <v>77</v>
      </c>
      <c r="P3517" s="30" t="s">
        <v>165</v>
      </c>
      <c r="Q3517" s="30" t="s">
        <v>20344</v>
      </c>
      <c r="R3517" s="30" t="s">
        <v>20345</v>
      </c>
      <c r="S3517" s="30"/>
      <c r="T3517" s="30"/>
      <c r="U3517" s="30"/>
      <c r="V3517" s="30"/>
      <c r="W3517" s="30"/>
      <c r="X3517" s="30">
        <v>2</v>
      </c>
      <c r="Y3517" s="30"/>
      <c r="Z3517" s="30"/>
      <c r="AA3517" s="30"/>
      <c r="AB3517" s="30"/>
      <c r="AC3517" s="30"/>
      <c r="AD3517" s="30">
        <v>0</v>
      </c>
      <c r="AE3517" s="30" t="s">
        <v>92</v>
      </c>
      <c r="AF3517" s="30" t="s">
        <v>20346</v>
      </c>
      <c r="AG3517" s="30" t="s">
        <v>6459</v>
      </c>
      <c r="AH3517" s="72">
        <v>44796</v>
      </c>
      <c r="AI3517" s="30"/>
      <c r="AJ3517" s="30"/>
      <c r="AK3517" s="30"/>
      <c r="AL3517" s="157">
        <v>44796</v>
      </c>
      <c r="AM3517" s="157">
        <v>45532</v>
      </c>
      <c r="AN3517" s="169"/>
      <c r="AO3517" s="169"/>
    </row>
    <row r="3518" spans="1:55" ht="36.75" customHeight="1">
      <c r="A3518" s="46" t="s">
        <v>12471</v>
      </c>
      <c r="B3518" s="30" t="s">
        <v>55</v>
      </c>
      <c r="C3518" s="69" t="str">
        <f t="shared" si="312"/>
        <v>Closed</v>
      </c>
      <c r="D3518" s="36" t="s">
        <v>20347</v>
      </c>
      <c r="E3518" s="29" t="s">
        <v>20348</v>
      </c>
      <c r="F3518" s="30" t="s">
        <v>16429</v>
      </c>
      <c r="G3518" s="88">
        <f>DATE(2022,8,20)</f>
        <v>44793</v>
      </c>
      <c r="H3518" s="142">
        <v>1.2986111111111112</v>
      </c>
      <c r="I3518" s="30" t="s">
        <v>198</v>
      </c>
      <c r="J3518" s="30" t="s">
        <v>20349</v>
      </c>
      <c r="K3518" s="30" t="s">
        <v>425</v>
      </c>
      <c r="L3518" s="30" t="s">
        <v>20350</v>
      </c>
      <c r="M3518" s="30" t="s">
        <v>63</v>
      </c>
      <c r="N3518" s="30" t="s">
        <v>142</v>
      </c>
      <c r="O3518" s="30" t="s">
        <v>77</v>
      </c>
      <c r="P3518" s="30" t="s">
        <v>78</v>
      </c>
      <c r="Q3518" s="30" t="s">
        <v>18875</v>
      </c>
      <c r="R3518" s="30" t="s">
        <v>17369</v>
      </c>
      <c r="S3518" s="30">
        <v>0</v>
      </c>
      <c r="T3518" s="30">
        <v>0</v>
      </c>
      <c r="U3518" s="30">
        <v>0</v>
      </c>
      <c r="V3518" s="30">
        <v>0</v>
      </c>
      <c r="W3518" s="30">
        <v>0</v>
      </c>
      <c r="X3518" s="30">
        <v>0</v>
      </c>
      <c r="Y3518" s="30">
        <v>0</v>
      </c>
      <c r="Z3518" s="30">
        <v>0</v>
      </c>
      <c r="AA3518" s="30">
        <v>0</v>
      </c>
      <c r="AB3518" s="30">
        <v>0</v>
      </c>
      <c r="AC3518" s="30">
        <v>0</v>
      </c>
      <c r="AD3518" s="30">
        <v>0</v>
      </c>
      <c r="AE3518" s="30" t="s">
        <v>92</v>
      </c>
      <c r="AF3518" s="30" t="s">
        <v>20351</v>
      </c>
      <c r="AG3518" s="30" t="s">
        <v>20056</v>
      </c>
      <c r="AH3518" s="72">
        <v>44798</v>
      </c>
      <c r="AI3518" s="30">
        <v>0</v>
      </c>
      <c r="AJ3518" s="30" t="s">
        <v>20352</v>
      </c>
      <c r="AK3518" s="30" t="s">
        <v>18878</v>
      </c>
      <c r="AL3518" s="157">
        <v>44803</v>
      </c>
      <c r="AM3518" s="30"/>
      <c r="AN3518" s="157">
        <v>45183</v>
      </c>
      <c r="AO3518" s="157">
        <v>45180</v>
      </c>
    </row>
    <row r="3519" spans="1:55" ht="36.75" customHeight="1">
      <c r="A3519" s="46" t="s">
        <v>12471</v>
      </c>
      <c r="B3519" s="30" t="s">
        <v>55</v>
      </c>
      <c r="C3519" s="69" t="str">
        <f t="shared" si="312"/>
        <v>Closed</v>
      </c>
      <c r="D3519" s="37" t="s">
        <v>20353</v>
      </c>
      <c r="E3519" s="29" t="s">
        <v>20354</v>
      </c>
      <c r="F3519" s="30" t="s">
        <v>17578</v>
      </c>
      <c r="G3519" s="88">
        <f>DATE(2022,8,25)</f>
        <v>44798</v>
      </c>
      <c r="H3519" s="142">
        <v>1.1770833333333333</v>
      </c>
      <c r="I3519" s="30" t="s">
        <v>73</v>
      </c>
      <c r="J3519" s="30" t="s">
        <v>20355</v>
      </c>
      <c r="K3519" s="30" t="s">
        <v>837</v>
      </c>
      <c r="L3519" s="30" t="s">
        <v>20356</v>
      </c>
      <c r="M3519" s="30" t="s">
        <v>63</v>
      </c>
      <c r="N3519" s="30" t="s">
        <v>142</v>
      </c>
      <c r="O3519" s="30" t="s">
        <v>64</v>
      </c>
      <c r="P3519" s="30" t="s">
        <v>78</v>
      </c>
      <c r="Q3519" s="30" t="s">
        <v>20357</v>
      </c>
      <c r="R3519" s="30" t="s">
        <v>840</v>
      </c>
      <c r="S3519" s="30">
        <v>0</v>
      </c>
      <c r="T3519" s="30">
        <v>0</v>
      </c>
      <c r="U3519" s="30">
        <v>0</v>
      </c>
      <c r="V3519" s="30">
        <v>0</v>
      </c>
      <c r="W3519" s="30">
        <v>0</v>
      </c>
      <c r="X3519" s="30">
        <v>0</v>
      </c>
      <c r="Y3519" s="30">
        <v>0</v>
      </c>
      <c r="Z3519" s="30">
        <v>0</v>
      </c>
      <c r="AA3519" s="30">
        <v>0</v>
      </c>
      <c r="AB3519" s="30">
        <v>0</v>
      </c>
      <c r="AC3519" s="30">
        <v>0</v>
      </c>
      <c r="AD3519" s="30">
        <v>0</v>
      </c>
      <c r="AE3519" s="30" t="s">
        <v>145</v>
      </c>
      <c r="AF3519" s="30" t="s">
        <v>20358</v>
      </c>
      <c r="AG3519" s="30" t="s">
        <v>6459</v>
      </c>
      <c r="AH3519" s="72">
        <v>44798</v>
      </c>
      <c r="AI3519" s="30">
        <v>0</v>
      </c>
      <c r="AJ3519" s="30" t="s">
        <v>20359</v>
      </c>
      <c r="AK3519" s="30" t="s">
        <v>20360</v>
      </c>
      <c r="AL3519" s="157">
        <v>44802</v>
      </c>
      <c r="AM3519" s="46"/>
      <c r="AN3519" s="157">
        <v>45435</v>
      </c>
      <c r="AO3519" s="157">
        <v>45435</v>
      </c>
    </row>
    <row r="3520" spans="1:55" ht="36.75" customHeight="1">
      <c r="A3520" s="46" t="s">
        <v>12471</v>
      </c>
      <c r="B3520" s="30" t="s">
        <v>55</v>
      </c>
      <c r="C3520" s="69" t="str">
        <f t="shared" si="312"/>
        <v>Closed</v>
      </c>
      <c r="D3520" s="36" t="s">
        <v>20361</v>
      </c>
      <c r="E3520" s="55" t="s">
        <v>20362</v>
      </c>
      <c r="F3520" s="56" t="s">
        <v>12910</v>
      </c>
      <c r="G3520" s="88">
        <f>DATE(2022,8,26)</f>
        <v>44799</v>
      </c>
      <c r="H3520" s="142">
        <v>1.7361111111111112</v>
      </c>
      <c r="I3520" s="30" t="s">
        <v>9419</v>
      </c>
      <c r="J3520" s="56" t="s">
        <v>20363</v>
      </c>
      <c r="K3520" s="56" t="s">
        <v>453</v>
      </c>
      <c r="L3520" s="56" t="s">
        <v>20364</v>
      </c>
      <c r="M3520" s="56" t="s">
        <v>63</v>
      </c>
      <c r="N3520" s="56" t="s">
        <v>99</v>
      </c>
      <c r="O3520" s="56" t="s">
        <v>64</v>
      </c>
      <c r="P3520" s="56" t="s">
        <v>165</v>
      </c>
      <c r="Q3520" s="56" t="s">
        <v>12184</v>
      </c>
      <c r="R3520" s="56" t="s">
        <v>572</v>
      </c>
      <c r="S3520" s="56">
        <v>0</v>
      </c>
      <c r="T3520" s="56">
        <v>0</v>
      </c>
      <c r="U3520" s="56">
        <v>0</v>
      </c>
      <c r="V3520" s="56">
        <v>0</v>
      </c>
      <c r="W3520" s="56">
        <v>0</v>
      </c>
      <c r="X3520" s="56">
        <v>0</v>
      </c>
      <c r="Y3520" s="56">
        <v>0</v>
      </c>
      <c r="Z3520" s="56">
        <v>0</v>
      </c>
      <c r="AA3520" s="56">
        <v>0</v>
      </c>
      <c r="AB3520" s="56">
        <v>0</v>
      </c>
      <c r="AC3520" s="56">
        <v>0</v>
      </c>
      <c r="AD3520" s="56">
        <v>0</v>
      </c>
      <c r="AE3520" s="56" t="s">
        <v>145</v>
      </c>
      <c r="AF3520" s="56" t="s">
        <v>20365</v>
      </c>
      <c r="AG3520" s="56" t="s">
        <v>6459</v>
      </c>
      <c r="AH3520" s="72">
        <v>45188</v>
      </c>
      <c r="AI3520" s="56">
        <v>2</v>
      </c>
      <c r="AJ3520" s="56" t="s">
        <v>20366</v>
      </c>
      <c r="AK3520" s="56" t="s">
        <v>20367</v>
      </c>
      <c r="AL3520" s="157">
        <v>44825</v>
      </c>
      <c r="AM3520" s="61"/>
      <c r="AN3520" s="157">
        <v>45175</v>
      </c>
      <c r="AO3520" s="195">
        <v>45160</v>
      </c>
    </row>
    <row r="3521" spans="1:55" ht="36.75" customHeight="1">
      <c r="A3521" s="46" t="s">
        <v>12471</v>
      </c>
      <c r="B3521" s="30" t="s">
        <v>55</v>
      </c>
      <c r="C3521" s="69" t="str">
        <f t="shared" si="312"/>
        <v>Closed</v>
      </c>
      <c r="D3521" s="36" t="s">
        <v>20368</v>
      </c>
      <c r="E3521" s="29" t="s">
        <v>20369</v>
      </c>
      <c r="F3521" s="30" t="s">
        <v>17682</v>
      </c>
      <c r="G3521" s="88">
        <f>DATE(2022,8,27)</f>
        <v>44800</v>
      </c>
      <c r="H3521" s="142">
        <v>1.8506944444444446</v>
      </c>
      <c r="I3521" s="30" t="s">
        <v>125</v>
      </c>
      <c r="J3521" s="30" t="s">
        <v>20370</v>
      </c>
      <c r="K3521" s="30" t="s">
        <v>1574</v>
      </c>
      <c r="L3521" s="30" t="s">
        <v>20371</v>
      </c>
      <c r="M3521" s="30" t="s">
        <v>63</v>
      </c>
      <c r="N3521" s="30" t="s">
        <v>99</v>
      </c>
      <c r="O3521" s="30" t="s">
        <v>77</v>
      </c>
      <c r="P3521" s="30" t="s">
        <v>78</v>
      </c>
      <c r="Q3521" s="30" t="s">
        <v>18142</v>
      </c>
      <c r="R3521" s="30" t="s">
        <v>19007</v>
      </c>
      <c r="S3521" s="30">
        <v>0</v>
      </c>
      <c r="T3521" s="30">
        <v>0</v>
      </c>
      <c r="U3521" s="30">
        <v>0</v>
      </c>
      <c r="V3521" s="30">
        <v>0</v>
      </c>
      <c r="W3521" s="30">
        <v>0</v>
      </c>
      <c r="X3521" s="30">
        <v>0</v>
      </c>
      <c r="Y3521" s="30">
        <v>0</v>
      </c>
      <c r="Z3521" s="30">
        <v>0</v>
      </c>
      <c r="AA3521" s="30">
        <v>0</v>
      </c>
      <c r="AB3521" s="30">
        <v>0</v>
      </c>
      <c r="AC3521" s="30">
        <v>0</v>
      </c>
      <c r="AD3521" s="30">
        <v>0</v>
      </c>
      <c r="AE3521" s="30" t="s">
        <v>92</v>
      </c>
      <c r="AF3521" s="30" t="s">
        <v>20372</v>
      </c>
      <c r="AG3521" s="30" t="s">
        <v>8859</v>
      </c>
      <c r="AH3521" s="72">
        <v>44802</v>
      </c>
      <c r="AI3521" s="30">
        <v>2</v>
      </c>
      <c r="AJ3521" s="30" t="s">
        <v>20373</v>
      </c>
      <c r="AK3521" s="30" t="s">
        <v>20374</v>
      </c>
      <c r="AL3521" s="157">
        <v>44804</v>
      </c>
      <c r="AM3521" s="30"/>
      <c r="AN3521" s="157">
        <v>45175</v>
      </c>
      <c r="AO3521" s="157">
        <v>45162</v>
      </c>
    </row>
    <row r="3522" spans="1:55" ht="36.75" customHeight="1">
      <c r="A3522" s="46" t="s">
        <v>12471</v>
      </c>
      <c r="B3522" s="30" t="s">
        <v>55</v>
      </c>
      <c r="C3522" s="69" t="str">
        <f t="shared" si="312"/>
        <v>Closed</v>
      </c>
      <c r="D3522" s="36" t="s">
        <v>20375</v>
      </c>
      <c r="E3522" s="29" t="s">
        <v>20376</v>
      </c>
      <c r="F3522" s="30" t="s">
        <v>17682</v>
      </c>
      <c r="G3522" s="88">
        <f>DATE(2022,8,29)</f>
        <v>44802</v>
      </c>
      <c r="H3522" s="142">
        <v>1.9618055555555554</v>
      </c>
      <c r="I3522" s="30" t="s">
        <v>73</v>
      </c>
      <c r="J3522" s="30" t="s">
        <v>20377</v>
      </c>
      <c r="K3522" s="30" t="s">
        <v>1574</v>
      </c>
      <c r="L3522" s="30" t="s">
        <v>20378</v>
      </c>
      <c r="M3522" s="30" t="s">
        <v>63</v>
      </c>
      <c r="N3522" s="30" t="s">
        <v>89</v>
      </c>
      <c r="O3522" s="30" t="s">
        <v>77</v>
      </c>
      <c r="P3522" s="30" t="s">
        <v>78</v>
      </c>
      <c r="Q3522" s="30" t="s">
        <v>18063</v>
      </c>
      <c r="R3522" s="30" t="s">
        <v>17686</v>
      </c>
      <c r="S3522" s="30">
        <v>0</v>
      </c>
      <c r="T3522" s="30">
        <v>0</v>
      </c>
      <c r="U3522" s="30">
        <v>0</v>
      </c>
      <c r="V3522" s="30">
        <v>0</v>
      </c>
      <c r="W3522" s="30">
        <v>0</v>
      </c>
      <c r="X3522" s="30">
        <v>0</v>
      </c>
      <c r="Y3522" s="30">
        <v>0</v>
      </c>
      <c r="Z3522" s="30">
        <v>0</v>
      </c>
      <c r="AA3522" s="30">
        <v>0</v>
      </c>
      <c r="AB3522" s="30">
        <v>0</v>
      </c>
      <c r="AC3522" s="30">
        <v>0</v>
      </c>
      <c r="AD3522" s="30">
        <v>0</v>
      </c>
      <c r="AE3522" s="30" t="s">
        <v>92</v>
      </c>
      <c r="AF3522" s="30" t="s">
        <v>20379</v>
      </c>
      <c r="AG3522" s="30" t="s">
        <v>8859</v>
      </c>
      <c r="AH3522" s="72">
        <v>44803</v>
      </c>
      <c r="AI3522" s="30">
        <v>0</v>
      </c>
      <c r="AJ3522" s="30" t="s">
        <v>20380</v>
      </c>
      <c r="AK3522" s="30" t="s">
        <v>20381</v>
      </c>
      <c r="AL3522" s="157">
        <v>44804</v>
      </c>
      <c r="AM3522" s="30"/>
      <c r="AN3522" s="195">
        <v>45174</v>
      </c>
      <c r="AO3522" s="195">
        <v>45147</v>
      </c>
    </row>
    <row r="3523" spans="1:55" ht="36.75" customHeight="1">
      <c r="A3523" s="46" t="s">
        <v>12471</v>
      </c>
      <c r="B3523" s="30" t="s">
        <v>55</v>
      </c>
      <c r="C3523" s="69" t="str">
        <f t="shared" si="312"/>
        <v>Closed</v>
      </c>
      <c r="D3523" s="36" t="s">
        <v>20382</v>
      </c>
      <c r="E3523" s="29" t="s">
        <v>20383</v>
      </c>
      <c r="F3523" s="30" t="s">
        <v>14753</v>
      </c>
      <c r="G3523" s="88">
        <f>DATE(2022,8,29)</f>
        <v>44802</v>
      </c>
      <c r="H3523" s="142">
        <v>1.0416666666666667</v>
      </c>
      <c r="I3523" s="30" t="s">
        <v>73</v>
      </c>
      <c r="J3523" s="30" t="s">
        <v>20384</v>
      </c>
      <c r="K3523" s="30" t="s">
        <v>1772</v>
      </c>
      <c r="L3523" s="30" t="s">
        <v>20385</v>
      </c>
      <c r="M3523" s="30" t="s">
        <v>63</v>
      </c>
      <c r="N3523" s="30" t="s">
        <v>142</v>
      </c>
      <c r="O3523" s="30" t="s">
        <v>64</v>
      </c>
      <c r="P3523" s="30" t="s">
        <v>78</v>
      </c>
      <c r="Q3523" s="30" t="s">
        <v>16522</v>
      </c>
      <c r="R3523" s="30" t="s">
        <v>1775</v>
      </c>
      <c r="S3523" s="30">
        <v>0</v>
      </c>
      <c r="T3523" s="30">
        <v>0</v>
      </c>
      <c r="U3523" s="30">
        <v>0</v>
      </c>
      <c r="V3523" s="30">
        <v>0</v>
      </c>
      <c r="W3523" s="30">
        <v>0</v>
      </c>
      <c r="X3523" s="30">
        <v>0</v>
      </c>
      <c r="Y3523" s="30">
        <v>0</v>
      </c>
      <c r="Z3523" s="30">
        <v>0</v>
      </c>
      <c r="AA3523" s="30">
        <v>0</v>
      </c>
      <c r="AB3523" s="30">
        <v>0</v>
      </c>
      <c r="AC3523" s="30">
        <v>0</v>
      </c>
      <c r="AD3523" s="30">
        <v>0</v>
      </c>
      <c r="AE3523" s="30" t="s">
        <v>394</v>
      </c>
      <c r="AF3523" s="30" t="s">
        <v>20386</v>
      </c>
      <c r="AG3523" s="30" t="s">
        <v>8859</v>
      </c>
      <c r="AH3523" s="72">
        <v>44804</v>
      </c>
      <c r="AI3523" s="30">
        <v>1</v>
      </c>
      <c r="AJ3523" s="30" t="s">
        <v>20387</v>
      </c>
      <c r="AK3523" s="30" t="s">
        <v>20388</v>
      </c>
      <c r="AL3523" s="157">
        <v>44804</v>
      </c>
      <c r="AM3523" s="30"/>
      <c r="AN3523" s="157">
        <v>45140</v>
      </c>
      <c r="AO3523" s="157">
        <v>45134</v>
      </c>
      <c r="AP3523" s="56"/>
      <c r="AQ3523" s="56"/>
      <c r="AR3523" s="56"/>
      <c r="AS3523" s="56"/>
      <c r="AT3523" s="56"/>
      <c r="AU3523" s="56"/>
      <c r="AV3523" s="56"/>
      <c r="AW3523" s="56"/>
      <c r="AX3523" s="56"/>
      <c r="AY3523" s="56"/>
      <c r="AZ3523" s="56"/>
      <c r="BA3523" s="56"/>
      <c r="BB3523" s="56"/>
      <c r="BC3523" s="56"/>
    </row>
    <row r="3524" spans="1:55" ht="36.75" customHeight="1">
      <c r="A3524" s="46" t="s">
        <v>12471</v>
      </c>
      <c r="B3524" s="30" t="s">
        <v>55</v>
      </c>
      <c r="C3524" s="69" t="str">
        <f t="shared" si="312"/>
        <v>Closed</v>
      </c>
      <c r="D3524" s="37" t="s">
        <v>20389</v>
      </c>
      <c r="E3524" s="29" t="s">
        <v>20390</v>
      </c>
      <c r="F3524" s="30" t="s">
        <v>17578</v>
      </c>
      <c r="G3524" s="88">
        <f>DATE(2022,8,30)</f>
        <v>44803</v>
      </c>
      <c r="H3524" s="142">
        <v>1.6284722222222223</v>
      </c>
      <c r="I3524" s="30" t="s">
        <v>73</v>
      </c>
      <c r="J3524" s="30" t="s">
        <v>20391</v>
      </c>
      <c r="K3524" s="30" t="s">
        <v>837</v>
      </c>
      <c r="L3524" s="30" t="s">
        <v>20392</v>
      </c>
      <c r="M3524" s="30" t="s">
        <v>63</v>
      </c>
      <c r="N3524" s="30" t="s">
        <v>142</v>
      </c>
      <c r="O3524" s="30" t="s">
        <v>64</v>
      </c>
      <c r="P3524" s="30" t="s">
        <v>78</v>
      </c>
      <c r="Q3524" s="30" t="s">
        <v>20393</v>
      </c>
      <c r="R3524" s="30" t="s">
        <v>840</v>
      </c>
      <c r="S3524" s="30">
        <v>0</v>
      </c>
      <c r="T3524" s="30">
        <v>0</v>
      </c>
      <c r="U3524" s="30">
        <v>0</v>
      </c>
      <c r="V3524" s="30">
        <v>0</v>
      </c>
      <c r="W3524" s="30">
        <v>0</v>
      </c>
      <c r="X3524" s="30">
        <v>0</v>
      </c>
      <c r="Y3524" s="30">
        <v>0</v>
      </c>
      <c r="Z3524" s="30">
        <v>0</v>
      </c>
      <c r="AA3524" s="30">
        <v>0</v>
      </c>
      <c r="AB3524" s="30">
        <v>0</v>
      </c>
      <c r="AC3524" s="30">
        <v>0</v>
      </c>
      <c r="AD3524" s="30">
        <v>0</v>
      </c>
      <c r="AE3524" s="30" t="s">
        <v>394</v>
      </c>
      <c r="AF3524" s="30" t="s">
        <v>20394</v>
      </c>
      <c r="AG3524" s="30" t="s">
        <v>8859</v>
      </c>
      <c r="AH3524" s="72">
        <v>44803</v>
      </c>
      <c r="AI3524" s="30">
        <v>0</v>
      </c>
      <c r="AJ3524" s="30" t="s">
        <v>20395</v>
      </c>
      <c r="AK3524" s="30" t="s">
        <v>10556</v>
      </c>
      <c r="AL3524" s="157">
        <v>44806</v>
      </c>
      <c r="AM3524" s="30"/>
      <c r="AN3524" s="157">
        <v>45435</v>
      </c>
      <c r="AO3524" s="157">
        <v>45435</v>
      </c>
    </row>
    <row r="3525" spans="1:55" ht="36.75" customHeight="1">
      <c r="A3525" s="46" t="s">
        <v>12471</v>
      </c>
      <c r="B3525" s="30" t="s">
        <v>55</v>
      </c>
      <c r="C3525" s="69" t="str">
        <f t="shared" si="312"/>
        <v>Closed</v>
      </c>
      <c r="D3525" s="37" t="s">
        <v>20396</v>
      </c>
      <c r="E3525" s="55" t="s">
        <v>20397</v>
      </c>
      <c r="F3525" s="56" t="s">
        <v>17578</v>
      </c>
      <c r="G3525" s="88">
        <f>DATE(2022,9,5)</f>
        <v>44809</v>
      </c>
      <c r="H3525" s="142">
        <v>1.28125</v>
      </c>
      <c r="I3525" s="56" t="s">
        <v>116</v>
      </c>
      <c r="J3525" s="56" t="s">
        <v>20398</v>
      </c>
      <c r="K3525" s="56" t="s">
        <v>837</v>
      </c>
      <c r="L3525" s="56" t="s">
        <v>20399</v>
      </c>
      <c r="M3525" s="56" t="s">
        <v>63</v>
      </c>
      <c r="N3525" s="56" t="s">
        <v>99</v>
      </c>
      <c r="O3525" s="56" t="s">
        <v>64</v>
      </c>
      <c r="P3525" s="56" t="s">
        <v>165</v>
      </c>
      <c r="Q3525" s="56" t="s">
        <v>2162</v>
      </c>
      <c r="R3525" s="56" t="s">
        <v>840</v>
      </c>
      <c r="S3525" s="56">
        <v>0</v>
      </c>
      <c r="T3525" s="56">
        <v>0</v>
      </c>
      <c r="U3525" s="56">
        <v>7</v>
      </c>
      <c r="V3525" s="56">
        <v>0</v>
      </c>
      <c r="W3525" s="56">
        <v>0</v>
      </c>
      <c r="X3525" s="56">
        <v>7</v>
      </c>
      <c r="Y3525" s="56">
        <v>0</v>
      </c>
      <c r="Z3525" s="56">
        <v>0</v>
      </c>
      <c r="AA3525" s="56">
        <v>0</v>
      </c>
      <c r="AB3525" s="56">
        <v>0</v>
      </c>
      <c r="AC3525" s="56">
        <v>0</v>
      </c>
      <c r="AD3525" s="56">
        <v>0</v>
      </c>
      <c r="AE3525" s="56" t="s">
        <v>92</v>
      </c>
      <c r="AF3525" s="56" t="s">
        <v>20400</v>
      </c>
      <c r="AG3525" s="56" t="s">
        <v>8859</v>
      </c>
      <c r="AH3525" s="72">
        <v>44809</v>
      </c>
      <c r="AI3525" s="56">
        <v>1</v>
      </c>
      <c r="AJ3525" s="56" t="s">
        <v>20401</v>
      </c>
      <c r="AK3525" s="56">
        <v>0</v>
      </c>
      <c r="AL3525" s="157">
        <v>44831</v>
      </c>
      <c r="AM3525" s="56"/>
      <c r="AN3525" s="157">
        <v>45399</v>
      </c>
      <c r="AO3525" s="158"/>
    </row>
    <row r="3526" spans="1:55" ht="36.75" customHeight="1">
      <c r="A3526" s="46" t="s">
        <v>12471</v>
      </c>
      <c r="B3526" s="30" t="s">
        <v>55</v>
      </c>
      <c r="C3526" s="69" t="str">
        <f t="shared" si="312"/>
        <v>Closed</v>
      </c>
      <c r="D3526" s="203" t="s">
        <v>20402</v>
      </c>
      <c r="E3526" s="55" t="s">
        <v>20403</v>
      </c>
      <c r="F3526" s="56" t="s">
        <v>6455</v>
      </c>
      <c r="G3526" s="88">
        <f>DATE(2022,9,7)</f>
        <v>44811</v>
      </c>
      <c r="H3526" s="142">
        <v>1.6076388888888888</v>
      </c>
      <c r="I3526" s="56" t="s">
        <v>198</v>
      </c>
      <c r="J3526" s="56" t="s">
        <v>20404</v>
      </c>
      <c r="K3526" s="56" t="s">
        <v>584</v>
      </c>
      <c r="L3526" s="56" t="s">
        <v>20405</v>
      </c>
      <c r="M3526" s="56" t="s">
        <v>63</v>
      </c>
      <c r="N3526" s="56" t="s">
        <v>142</v>
      </c>
      <c r="O3526" s="56" t="s">
        <v>77</v>
      </c>
      <c r="P3526" s="56" t="s">
        <v>78</v>
      </c>
      <c r="Q3526" s="56" t="s">
        <v>20406</v>
      </c>
      <c r="R3526" s="56" t="s">
        <v>9852</v>
      </c>
      <c r="S3526" s="56">
        <v>0</v>
      </c>
      <c r="T3526" s="56">
        <v>0</v>
      </c>
      <c r="U3526" s="56">
        <v>0</v>
      </c>
      <c r="V3526" s="56">
        <v>0</v>
      </c>
      <c r="W3526" s="56">
        <v>0</v>
      </c>
      <c r="X3526" s="56">
        <v>0</v>
      </c>
      <c r="Y3526" s="56">
        <v>0</v>
      </c>
      <c r="Z3526" s="56">
        <v>0</v>
      </c>
      <c r="AA3526" s="56">
        <v>0</v>
      </c>
      <c r="AB3526" s="56">
        <v>0</v>
      </c>
      <c r="AC3526" s="56">
        <v>0</v>
      </c>
      <c r="AD3526" s="56">
        <v>0</v>
      </c>
      <c r="AE3526" s="56" t="s">
        <v>145</v>
      </c>
      <c r="AF3526" s="56" t="s">
        <v>20407</v>
      </c>
      <c r="AG3526" s="56" t="s">
        <v>6459</v>
      </c>
      <c r="AH3526" s="72">
        <v>44812</v>
      </c>
      <c r="AI3526" s="56">
        <v>0</v>
      </c>
      <c r="AJ3526" s="56" t="s">
        <v>20408</v>
      </c>
      <c r="AK3526" s="56" t="s">
        <v>20409</v>
      </c>
      <c r="AL3526" s="157">
        <v>44827</v>
      </c>
      <c r="AM3526" s="195">
        <v>45562</v>
      </c>
      <c r="AN3526" s="195">
        <v>45959</v>
      </c>
      <c r="AO3526" s="195">
        <v>45909</v>
      </c>
      <c r="AP3526" s="56"/>
      <c r="AQ3526" s="56"/>
      <c r="AR3526" s="56"/>
      <c r="AS3526" s="56"/>
      <c r="AT3526" s="56"/>
      <c r="AU3526" s="56"/>
      <c r="AV3526" s="56"/>
      <c r="AW3526" s="56"/>
      <c r="AX3526" s="56"/>
      <c r="AY3526" s="56"/>
      <c r="AZ3526" s="56"/>
      <c r="BA3526" s="56"/>
      <c r="BB3526" s="56"/>
      <c r="BC3526" s="56"/>
    </row>
    <row r="3527" spans="1:55" ht="36.75" customHeight="1">
      <c r="A3527" s="46" t="s">
        <v>12471</v>
      </c>
      <c r="B3527" s="30" t="s">
        <v>55</v>
      </c>
      <c r="C3527" s="69" t="str">
        <f t="shared" si="312"/>
        <v>Closed</v>
      </c>
      <c r="D3527" s="36" t="s">
        <v>20410</v>
      </c>
      <c r="E3527" s="29" t="s">
        <v>20411</v>
      </c>
      <c r="F3527" s="30" t="s">
        <v>17682</v>
      </c>
      <c r="G3527" s="88">
        <f>DATE(2022,9,8)</f>
        <v>44812</v>
      </c>
      <c r="H3527" s="142">
        <v>1.7847222222222223</v>
      </c>
      <c r="I3527" s="30" t="s">
        <v>73</v>
      </c>
      <c r="J3527" s="30" t="s">
        <v>20412</v>
      </c>
      <c r="K3527" s="30" t="s">
        <v>1574</v>
      </c>
      <c r="L3527" s="30" t="s">
        <v>20413</v>
      </c>
      <c r="M3527" s="30" t="s">
        <v>63</v>
      </c>
      <c r="N3527" s="30" t="s">
        <v>99</v>
      </c>
      <c r="O3527" s="30" t="s">
        <v>64</v>
      </c>
      <c r="P3527" s="30" t="s">
        <v>78</v>
      </c>
      <c r="Q3527" s="30" t="s">
        <v>18063</v>
      </c>
      <c r="R3527" s="30" t="s">
        <v>17686</v>
      </c>
      <c r="S3527" s="30">
        <v>0</v>
      </c>
      <c r="T3527" s="30">
        <v>0</v>
      </c>
      <c r="U3527" s="30">
        <v>0</v>
      </c>
      <c r="V3527" s="30">
        <v>0</v>
      </c>
      <c r="W3527" s="30">
        <v>0</v>
      </c>
      <c r="X3527" s="30">
        <v>0</v>
      </c>
      <c r="Y3527" s="30">
        <v>0</v>
      </c>
      <c r="Z3527" s="30">
        <v>0</v>
      </c>
      <c r="AA3527" s="30">
        <v>0</v>
      </c>
      <c r="AB3527" s="30">
        <v>0</v>
      </c>
      <c r="AC3527" s="30">
        <v>0</v>
      </c>
      <c r="AD3527" s="30">
        <v>0</v>
      </c>
      <c r="AE3527" s="30" t="s">
        <v>92</v>
      </c>
      <c r="AF3527" s="30" t="s">
        <v>20414</v>
      </c>
      <c r="AG3527" s="30" t="s">
        <v>8859</v>
      </c>
      <c r="AH3527" s="72">
        <v>44813</v>
      </c>
      <c r="AI3527" s="30">
        <v>2</v>
      </c>
      <c r="AJ3527" s="30" t="s">
        <v>20415</v>
      </c>
      <c r="AK3527" s="30" t="s">
        <v>20416</v>
      </c>
      <c r="AL3527" s="157">
        <v>44813</v>
      </c>
      <c r="AM3527" s="30"/>
      <c r="AN3527" s="157">
        <v>45175</v>
      </c>
      <c r="AO3527" s="157">
        <v>45147</v>
      </c>
    </row>
    <row r="3528" spans="1:55" ht="36.75" customHeight="1">
      <c r="A3528" s="46" t="s">
        <v>12471</v>
      </c>
      <c r="B3528" s="30" t="s">
        <v>55</v>
      </c>
      <c r="C3528" s="69" t="str">
        <f t="shared" si="312"/>
        <v>Closed</v>
      </c>
      <c r="D3528" s="36" t="s">
        <v>20417</v>
      </c>
      <c r="E3528" s="55" t="s">
        <v>20418</v>
      </c>
      <c r="F3528" s="56" t="s">
        <v>9789</v>
      </c>
      <c r="G3528" s="88">
        <f>DATE(2022,9,9)</f>
        <v>44813</v>
      </c>
      <c r="H3528" s="142">
        <v>1.8958333333333335</v>
      </c>
      <c r="I3528" s="56" t="s">
        <v>198</v>
      </c>
      <c r="J3528" s="268" t="s">
        <v>20419</v>
      </c>
      <c r="K3528" s="56" t="s">
        <v>9791</v>
      </c>
      <c r="L3528" s="56" t="s">
        <v>20420</v>
      </c>
      <c r="M3528" s="56" t="s">
        <v>63</v>
      </c>
      <c r="N3528" s="56" t="s">
        <v>142</v>
      </c>
      <c r="O3528" s="56" t="s">
        <v>64</v>
      </c>
      <c r="P3528" s="56" t="s">
        <v>165</v>
      </c>
      <c r="Q3528" s="56" t="s">
        <v>20421</v>
      </c>
      <c r="R3528" s="56" t="s">
        <v>20317</v>
      </c>
      <c r="S3528" s="56">
        <v>1</v>
      </c>
      <c r="T3528" s="56">
        <v>2</v>
      </c>
      <c r="U3528" s="56">
        <v>0</v>
      </c>
      <c r="V3528" s="56">
        <v>0</v>
      </c>
      <c r="W3528" s="56">
        <v>0</v>
      </c>
      <c r="X3528" s="56">
        <v>3</v>
      </c>
      <c r="Y3528" s="56">
        <v>2</v>
      </c>
      <c r="Z3528" s="56">
        <v>0</v>
      </c>
      <c r="AA3528" s="56">
        <v>0</v>
      </c>
      <c r="AB3528" s="56">
        <v>0</v>
      </c>
      <c r="AC3528" s="56">
        <v>0</v>
      </c>
      <c r="AD3528" s="56">
        <v>2</v>
      </c>
      <c r="AE3528" s="56" t="s">
        <v>394</v>
      </c>
      <c r="AF3528" s="56" t="s">
        <v>20422</v>
      </c>
      <c r="AG3528" s="56" t="s">
        <v>6459</v>
      </c>
      <c r="AH3528" s="72">
        <v>44816</v>
      </c>
      <c r="AI3528" s="56">
        <v>8</v>
      </c>
      <c r="AJ3528" s="56" t="s">
        <v>20423</v>
      </c>
      <c r="AK3528" s="56" t="s">
        <v>20424</v>
      </c>
      <c r="AL3528" s="157">
        <v>44825</v>
      </c>
      <c r="AM3528" s="61"/>
      <c r="AN3528" s="195">
        <v>45653</v>
      </c>
      <c r="AO3528" s="195">
        <v>45621</v>
      </c>
    </row>
    <row r="3529" spans="1:55" ht="36.75" customHeight="1">
      <c r="A3529" s="46" t="s">
        <v>12471</v>
      </c>
      <c r="B3529" s="30" t="s">
        <v>55</v>
      </c>
      <c r="C3529" s="69" t="str">
        <f t="shared" ref="C3529:C3592" si="313">IF(B3529="Notification","Open",IF(B3529="Interim Statement","In progress","Closed"))</f>
        <v>Closed</v>
      </c>
      <c r="D3529" s="36" t="s">
        <v>20425</v>
      </c>
      <c r="E3529" s="29" t="s">
        <v>20426</v>
      </c>
      <c r="F3529" s="30" t="s">
        <v>17682</v>
      </c>
      <c r="G3529" s="88">
        <f>DATE(2022,9,13)</f>
        <v>44817</v>
      </c>
      <c r="H3529" s="142">
        <v>1.5729166666666665</v>
      </c>
      <c r="I3529" s="30" t="s">
        <v>73</v>
      </c>
      <c r="J3529" s="30" t="s">
        <v>20427</v>
      </c>
      <c r="K3529" s="30" t="s">
        <v>1574</v>
      </c>
      <c r="L3529" s="30" t="s">
        <v>20428</v>
      </c>
      <c r="M3529" s="30" t="s">
        <v>63</v>
      </c>
      <c r="N3529" s="30" t="s">
        <v>99</v>
      </c>
      <c r="O3529" s="30" t="s">
        <v>64</v>
      </c>
      <c r="P3529" s="30" t="s">
        <v>78</v>
      </c>
      <c r="Q3529" s="30" t="s">
        <v>18063</v>
      </c>
      <c r="R3529" s="30" t="s">
        <v>17686</v>
      </c>
      <c r="S3529" s="30">
        <v>0</v>
      </c>
      <c r="T3529" s="30">
        <v>0</v>
      </c>
      <c r="U3529" s="30">
        <v>0</v>
      </c>
      <c r="V3529" s="30">
        <v>0</v>
      </c>
      <c r="W3529" s="30">
        <v>0</v>
      </c>
      <c r="X3529" s="30">
        <v>0</v>
      </c>
      <c r="Y3529" s="30">
        <v>0</v>
      </c>
      <c r="Z3529" s="30">
        <v>0</v>
      </c>
      <c r="AA3529" s="30">
        <v>0</v>
      </c>
      <c r="AB3529" s="30">
        <v>0</v>
      </c>
      <c r="AC3529" s="30">
        <v>0</v>
      </c>
      <c r="AD3529" s="30">
        <v>0</v>
      </c>
      <c r="AE3529" s="30" t="s">
        <v>92</v>
      </c>
      <c r="AF3529" s="30" t="s">
        <v>20429</v>
      </c>
      <c r="AG3529" s="30" t="s">
        <v>8859</v>
      </c>
      <c r="AH3529" s="72">
        <v>44818</v>
      </c>
      <c r="AI3529" s="30">
        <v>2</v>
      </c>
      <c r="AJ3529" s="30" t="s">
        <v>20430</v>
      </c>
      <c r="AK3529" s="30" t="s">
        <v>20431</v>
      </c>
      <c r="AL3529" s="157">
        <v>44818</v>
      </c>
      <c r="AM3529" s="46"/>
      <c r="AN3529" s="195">
        <v>45183</v>
      </c>
      <c r="AO3529" s="195">
        <v>45180</v>
      </c>
    </row>
    <row r="3530" spans="1:55" ht="36.75" customHeight="1">
      <c r="A3530" s="46" t="s">
        <v>12471</v>
      </c>
      <c r="B3530" s="30" t="s">
        <v>55</v>
      </c>
      <c r="C3530" s="69" t="str">
        <f t="shared" si="313"/>
        <v>Closed</v>
      </c>
      <c r="D3530" s="36" t="s">
        <v>20432</v>
      </c>
      <c r="E3530" s="55" t="s">
        <v>20433</v>
      </c>
      <c r="F3530" s="30" t="s">
        <v>16429</v>
      </c>
      <c r="G3530" s="88">
        <f>DATE(2022,9,15)</f>
        <v>44819</v>
      </c>
      <c r="H3530" s="142">
        <v>1.3597222222222223</v>
      </c>
      <c r="I3530" s="56" t="s">
        <v>2078</v>
      </c>
      <c r="J3530" s="30" t="s">
        <v>20434</v>
      </c>
      <c r="K3530" s="30" t="s">
        <v>425</v>
      </c>
      <c r="L3530" s="30" t="s">
        <v>20435</v>
      </c>
      <c r="M3530" s="30" t="s">
        <v>63</v>
      </c>
      <c r="N3530" s="30" t="s">
        <v>142</v>
      </c>
      <c r="O3530" s="30" t="s">
        <v>64</v>
      </c>
      <c r="P3530" s="30" t="s">
        <v>20436</v>
      </c>
      <c r="Q3530" s="30" t="s">
        <v>18615</v>
      </c>
      <c r="R3530" s="30" t="s">
        <v>17369</v>
      </c>
      <c r="S3530" s="30">
        <v>0</v>
      </c>
      <c r="T3530" s="30">
        <v>0</v>
      </c>
      <c r="U3530" s="30">
        <v>0</v>
      </c>
      <c r="V3530" s="30">
        <v>0</v>
      </c>
      <c r="W3530" s="30">
        <v>0</v>
      </c>
      <c r="X3530" s="30">
        <v>0</v>
      </c>
      <c r="Y3530" s="30">
        <v>0</v>
      </c>
      <c r="Z3530" s="30">
        <v>0</v>
      </c>
      <c r="AA3530" s="30">
        <v>0</v>
      </c>
      <c r="AB3530" s="30">
        <v>0</v>
      </c>
      <c r="AC3530" s="30">
        <v>0</v>
      </c>
      <c r="AD3530" s="30">
        <v>0</v>
      </c>
      <c r="AE3530" s="30" t="s">
        <v>92</v>
      </c>
      <c r="AF3530" s="30" t="s">
        <v>20437</v>
      </c>
      <c r="AG3530" s="30" t="s">
        <v>16283</v>
      </c>
      <c r="AH3530" s="72">
        <v>44819</v>
      </c>
      <c r="AI3530" s="30">
        <v>1</v>
      </c>
      <c r="AJ3530" s="30" t="s">
        <v>20438</v>
      </c>
      <c r="AK3530" s="30" t="s">
        <v>879</v>
      </c>
      <c r="AL3530" s="157">
        <v>44823</v>
      </c>
      <c r="AM3530" s="30"/>
      <c r="AN3530" s="157">
        <v>45169</v>
      </c>
      <c r="AO3530" s="157">
        <v>45167</v>
      </c>
    </row>
    <row r="3531" spans="1:55" ht="36.75" customHeight="1">
      <c r="A3531" s="46" t="s">
        <v>12471</v>
      </c>
      <c r="B3531" s="30" t="s">
        <v>55</v>
      </c>
      <c r="C3531" s="69" t="str">
        <f t="shared" si="313"/>
        <v>Closed</v>
      </c>
      <c r="D3531" s="36" t="s">
        <v>20439</v>
      </c>
      <c r="E3531" s="55" t="s">
        <v>20440</v>
      </c>
      <c r="F3531" s="56" t="s">
        <v>17682</v>
      </c>
      <c r="G3531" s="88">
        <f>DATE(2022,9,17)</f>
        <v>44821</v>
      </c>
      <c r="H3531" s="142">
        <v>1.5208333333333335</v>
      </c>
      <c r="I3531" s="56" t="s">
        <v>73</v>
      </c>
      <c r="J3531" s="56" t="s">
        <v>20441</v>
      </c>
      <c r="K3531" s="56" t="s">
        <v>1574</v>
      </c>
      <c r="L3531" s="56" t="s">
        <v>20303</v>
      </c>
      <c r="M3531" s="56" t="s">
        <v>63</v>
      </c>
      <c r="N3531" s="56" t="s">
        <v>99</v>
      </c>
      <c r="O3531" s="56" t="s">
        <v>64</v>
      </c>
      <c r="P3531" s="56" t="s">
        <v>78</v>
      </c>
      <c r="Q3531" s="56" t="s">
        <v>19664</v>
      </c>
      <c r="R3531" s="56" t="s">
        <v>19664</v>
      </c>
      <c r="S3531" s="56">
        <v>0</v>
      </c>
      <c r="T3531" s="56">
        <v>0</v>
      </c>
      <c r="U3531" s="56">
        <v>0</v>
      </c>
      <c r="V3531" s="56">
        <v>0</v>
      </c>
      <c r="W3531" s="56">
        <v>0</v>
      </c>
      <c r="X3531" s="56">
        <v>0</v>
      </c>
      <c r="Y3531" s="56">
        <v>0</v>
      </c>
      <c r="Z3531" s="56">
        <v>0</v>
      </c>
      <c r="AA3531" s="56">
        <v>0</v>
      </c>
      <c r="AB3531" s="56">
        <v>0</v>
      </c>
      <c r="AC3531" s="56">
        <v>0</v>
      </c>
      <c r="AD3531" s="56">
        <v>0</v>
      </c>
      <c r="AE3531" s="56" t="s">
        <v>92</v>
      </c>
      <c r="AF3531" s="56" t="s">
        <v>20442</v>
      </c>
      <c r="AG3531" s="56" t="s">
        <v>8859</v>
      </c>
      <c r="AH3531" s="72">
        <v>44823</v>
      </c>
      <c r="AI3531" s="56">
        <v>1</v>
      </c>
      <c r="AJ3531" s="56" t="s">
        <v>20443</v>
      </c>
      <c r="AK3531" s="56" t="s">
        <v>20444</v>
      </c>
      <c r="AL3531" s="157">
        <v>44824</v>
      </c>
      <c r="AM3531" s="61"/>
      <c r="AN3531" s="157">
        <v>45140</v>
      </c>
      <c r="AO3531" s="157">
        <v>45134</v>
      </c>
    </row>
    <row r="3532" spans="1:55" ht="36.75" customHeight="1">
      <c r="A3532" s="46" t="s">
        <v>12471</v>
      </c>
      <c r="B3532" s="30" t="s">
        <v>55</v>
      </c>
      <c r="C3532" s="69" t="str">
        <f t="shared" si="313"/>
        <v>Closed</v>
      </c>
      <c r="D3532" s="36" t="s">
        <v>20445</v>
      </c>
      <c r="E3532" s="55" t="s">
        <v>20446</v>
      </c>
      <c r="F3532" s="56" t="s">
        <v>17682</v>
      </c>
      <c r="G3532" s="88">
        <f>DATE(2022,9,20)</f>
        <v>44824</v>
      </c>
      <c r="H3532" s="142">
        <v>1.4722222222222223</v>
      </c>
      <c r="I3532" s="56" t="s">
        <v>73</v>
      </c>
      <c r="J3532" s="56" t="s">
        <v>20447</v>
      </c>
      <c r="K3532" s="56" t="s">
        <v>1574</v>
      </c>
      <c r="L3532" s="56" t="s">
        <v>20448</v>
      </c>
      <c r="M3532" s="56" t="s">
        <v>63</v>
      </c>
      <c r="N3532" s="56" t="s">
        <v>99</v>
      </c>
      <c r="O3532" s="56" t="s">
        <v>64</v>
      </c>
      <c r="P3532" s="56" t="s">
        <v>165</v>
      </c>
      <c r="Q3532" s="56" t="s">
        <v>19878</v>
      </c>
      <c r="R3532" s="56" t="s">
        <v>19879</v>
      </c>
      <c r="S3532" s="56">
        <v>0</v>
      </c>
      <c r="T3532" s="56">
        <v>0</v>
      </c>
      <c r="U3532" s="56">
        <v>0</v>
      </c>
      <c r="V3532" s="56">
        <v>0</v>
      </c>
      <c r="W3532" s="56">
        <v>0</v>
      </c>
      <c r="X3532" s="56">
        <v>0</v>
      </c>
      <c r="Y3532" s="56">
        <v>0</v>
      </c>
      <c r="Z3532" s="56">
        <v>0</v>
      </c>
      <c r="AA3532" s="56">
        <v>0</v>
      </c>
      <c r="AB3532" s="56">
        <v>0</v>
      </c>
      <c r="AC3532" s="56">
        <v>0</v>
      </c>
      <c r="AD3532" s="56">
        <v>0</v>
      </c>
      <c r="AE3532" s="56" t="s">
        <v>92</v>
      </c>
      <c r="AF3532" s="56" t="s">
        <v>20449</v>
      </c>
      <c r="AG3532" s="56" t="s">
        <v>8859</v>
      </c>
      <c r="AH3532" s="72">
        <v>44825</v>
      </c>
      <c r="AI3532" s="56">
        <v>0</v>
      </c>
      <c r="AJ3532" s="56" t="s">
        <v>20450</v>
      </c>
      <c r="AK3532" s="56" t="s">
        <v>20451</v>
      </c>
      <c r="AL3532" s="157">
        <v>44825</v>
      </c>
      <c r="AM3532" s="56"/>
      <c r="AN3532" s="157">
        <v>45187</v>
      </c>
      <c r="AO3532" s="157">
        <v>45181</v>
      </c>
    </row>
    <row r="3533" spans="1:55" ht="36.75" customHeight="1">
      <c r="A3533" s="46" t="s">
        <v>12471</v>
      </c>
      <c r="B3533" s="30" t="s">
        <v>55</v>
      </c>
      <c r="C3533" s="69" t="str">
        <f t="shared" si="313"/>
        <v>Closed</v>
      </c>
      <c r="D3533" s="36" t="s">
        <v>20452</v>
      </c>
      <c r="E3533" s="55" t="s">
        <v>20453</v>
      </c>
      <c r="F3533" s="56" t="s">
        <v>17682</v>
      </c>
      <c r="G3533" s="88">
        <f>DATE(2022,10,2)</f>
        <v>44836</v>
      </c>
      <c r="H3533" s="142">
        <v>1.0763888888888888</v>
      </c>
      <c r="I3533" s="56" t="s">
        <v>73</v>
      </c>
      <c r="J3533" s="56" t="s">
        <v>20454</v>
      </c>
      <c r="K3533" s="56" t="s">
        <v>1574</v>
      </c>
      <c r="L3533" s="56" t="s">
        <v>20455</v>
      </c>
      <c r="M3533" s="56" t="s">
        <v>63</v>
      </c>
      <c r="N3533" s="56" t="s">
        <v>99</v>
      </c>
      <c r="O3533" s="56" t="s">
        <v>77</v>
      </c>
      <c r="P3533" s="56" t="s">
        <v>78</v>
      </c>
      <c r="Q3533" s="56" t="s">
        <v>18063</v>
      </c>
      <c r="R3533" s="56" t="s">
        <v>17686</v>
      </c>
      <c r="S3533" s="56">
        <v>0</v>
      </c>
      <c r="T3533" s="56">
        <v>0</v>
      </c>
      <c r="U3533" s="56">
        <v>0</v>
      </c>
      <c r="V3533" s="56">
        <v>0</v>
      </c>
      <c r="W3533" s="56">
        <v>0</v>
      </c>
      <c r="X3533" s="56">
        <v>0</v>
      </c>
      <c r="Y3533" s="56">
        <v>0</v>
      </c>
      <c r="Z3533" s="56">
        <v>0</v>
      </c>
      <c r="AA3533" s="56">
        <v>0</v>
      </c>
      <c r="AB3533" s="56">
        <v>0</v>
      </c>
      <c r="AC3533" s="56">
        <v>0</v>
      </c>
      <c r="AD3533" s="56">
        <v>0</v>
      </c>
      <c r="AE3533" s="56" t="s">
        <v>92</v>
      </c>
      <c r="AF3533" s="56" t="s">
        <v>20456</v>
      </c>
      <c r="AG3533" s="56" t="s">
        <v>8859</v>
      </c>
      <c r="AH3533" s="72">
        <v>44837</v>
      </c>
      <c r="AI3533" s="56">
        <v>1</v>
      </c>
      <c r="AJ3533" s="56" t="s">
        <v>20457</v>
      </c>
      <c r="AK3533" s="56" t="s">
        <v>20458</v>
      </c>
      <c r="AL3533" s="157">
        <v>44838</v>
      </c>
      <c r="AM3533" s="56"/>
      <c r="AN3533" s="157">
        <v>45204</v>
      </c>
      <c r="AO3533" s="157">
        <v>45197</v>
      </c>
    </row>
    <row r="3534" spans="1:55" ht="36.75" customHeight="1">
      <c r="A3534" s="46" t="s">
        <v>12471</v>
      </c>
      <c r="B3534" s="30" t="s">
        <v>55</v>
      </c>
      <c r="C3534" s="69" t="str">
        <f t="shared" si="313"/>
        <v>Closed</v>
      </c>
      <c r="D3534" s="36" t="s">
        <v>20459</v>
      </c>
      <c r="E3534" s="55" t="s">
        <v>20460</v>
      </c>
      <c r="F3534" s="56" t="s">
        <v>12910</v>
      </c>
      <c r="G3534" s="88">
        <f>DATE(2022,10,2)</f>
        <v>44836</v>
      </c>
      <c r="H3534" s="142">
        <v>1.8715277777777777</v>
      </c>
      <c r="I3534" s="56" t="s">
        <v>278</v>
      </c>
      <c r="J3534" s="56" t="s">
        <v>20461</v>
      </c>
      <c r="K3534" s="56" t="s">
        <v>453</v>
      </c>
      <c r="L3534" s="56" t="s">
        <v>20462</v>
      </c>
      <c r="M3534" s="56" t="s">
        <v>63</v>
      </c>
      <c r="N3534" s="56" t="s">
        <v>142</v>
      </c>
      <c r="O3534" s="56" t="s">
        <v>77</v>
      </c>
      <c r="P3534" s="56" t="s">
        <v>165</v>
      </c>
      <c r="Q3534" s="56" t="s">
        <v>14384</v>
      </c>
      <c r="R3534" s="56" t="s">
        <v>572</v>
      </c>
      <c r="S3534" s="56">
        <v>0</v>
      </c>
      <c r="T3534" s="56">
        <v>0</v>
      </c>
      <c r="U3534" s="56">
        <v>0</v>
      </c>
      <c r="V3534" s="56">
        <v>1</v>
      </c>
      <c r="W3534" s="56">
        <v>0</v>
      </c>
      <c r="X3534" s="56">
        <v>1</v>
      </c>
      <c r="Y3534" s="56">
        <v>0</v>
      </c>
      <c r="Z3534" s="56">
        <v>0</v>
      </c>
      <c r="AA3534" s="56">
        <v>0</v>
      </c>
      <c r="AB3534" s="56">
        <v>0</v>
      </c>
      <c r="AC3534" s="56">
        <v>0</v>
      </c>
      <c r="AD3534" s="56">
        <v>0</v>
      </c>
      <c r="AE3534" s="56" t="s">
        <v>92</v>
      </c>
      <c r="AF3534" s="56" t="s">
        <v>20463</v>
      </c>
      <c r="AG3534" s="56" t="s">
        <v>6459</v>
      </c>
      <c r="AH3534" s="72">
        <v>44844</v>
      </c>
      <c r="AI3534" s="56">
        <v>0</v>
      </c>
      <c r="AJ3534" s="56" t="s">
        <v>20464</v>
      </c>
      <c r="AK3534" s="56" t="s">
        <v>712</v>
      </c>
      <c r="AL3534" s="157">
        <v>44852</v>
      </c>
      <c r="AM3534" s="56"/>
      <c r="AN3534" s="157">
        <v>45047</v>
      </c>
      <c r="AO3534" s="157">
        <v>45047</v>
      </c>
    </row>
    <row r="3535" spans="1:55" ht="36.75" customHeight="1">
      <c r="A3535" s="46" t="s">
        <v>12471</v>
      </c>
      <c r="B3535" s="30" t="s">
        <v>55</v>
      </c>
      <c r="C3535" s="69" t="str">
        <f t="shared" si="313"/>
        <v>Closed</v>
      </c>
      <c r="D3535" s="27" t="s">
        <v>20465</v>
      </c>
      <c r="E3535" s="55" t="s">
        <v>20466</v>
      </c>
      <c r="F3535" s="56" t="s">
        <v>16429</v>
      </c>
      <c r="G3535" s="88">
        <f>DATE(2022,10,7)</f>
        <v>44841</v>
      </c>
      <c r="H3535" s="142">
        <v>1.3729166666666668</v>
      </c>
      <c r="I3535" s="56" t="s">
        <v>116</v>
      </c>
      <c r="J3535" s="56" t="s">
        <v>20467</v>
      </c>
      <c r="K3535" s="56" t="s">
        <v>425</v>
      </c>
      <c r="L3535" s="56" t="s">
        <v>20468</v>
      </c>
      <c r="M3535" s="56" t="s">
        <v>63</v>
      </c>
      <c r="N3535" s="56" t="s">
        <v>142</v>
      </c>
      <c r="O3535" s="56" t="s">
        <v>64</v>
      </c>
      <c r="P3535" s="56" t="s">
        <v>20469</v>
      </c>
      <c r="Q3535" s="56" t="s">
        <v>3920</v>
      </c>
      <c r="R3535" s="56" t="s">
        <v>17369</v>
      </c>
      <c r="S3535" s="56">
        <v>0</v>
      </c>
      <c r="T3535" s="56">
        <v>0</v>
      </c>
      <c r="U3535" s="56">
        <v>0</v>
      </c>
      <c r="V3535" s="56">
        <v>0</v>
      </c>
      <c r="W3535" s="56">
        <v>0</v>
      </c>
      <c r="X3535" s="56">
        <v>0</v>
      </c>
      <c r="Y3535" s="56">
        <v>0</v>
      </c>
      <c r="Z3535" s="56">
        <v>0</v>
      </c>
      <c r="AA3535" s="56">
        <v>0</v>
      </c>
      <c r="AB3535" s="56">
        <v>0</v>
      </c>
      <c r="AC3535" s="56">
        <v>0</v>
      </c>
      <c r="AD3535" s="56">
        <v>0</v>
      </c>
      <c r="AE3535" s="56" t="s">
        <v>92</v>
      </c>
      <c r="AF3535" s="56" t="s">
        <v>20470</v>
      </c>
      <c r="AG3535" s="56" t="s">
        <v>20471</v>
      </c>
      <c r="AH3535" s="72">
        <v>44844</v>
      </c>
      <c r="AI3535" s="56">
        <v>1</v>
      </c>
      <c r="AJ3535" s="56" t="s">
        <v>20472</v>
      </c>
      <c r="AK3535" s="56" t="s">
        <v>20473</v>
      </c>
      <c r="AL3535" s="157">
        <v>44846</v>
      </c>
      <c r="AM3535" s="157">
        <v>45223</v>
      </c>
      <c r="AN3535" s="157">
        <v>45750</v>
      </c>
      <c r="AO3535" s="157">
        <v>45743</v>
      </c>
    </row>
    <row r="3536" spans="1:55" ht="36.75" customHeight="1">
      <c r="A3536" s="46" t="s">
        <v>12471</v>
      </c>
      <c r="B3536" s="30" t="s">
        <v>14882</v>
      </c>
      <c r="C3536" s="69" t="str">
        <f t="shared" si="313"/>
        <v>In progress</v>
      </c>
      <c r="D3536" s="36" t="s">
        <v>20474</v>
      </c>
      <c r="E3536" s="55" t="s">
        <v>20475</v>
      </c>
      <c r="F3536" s="56" t="s">
        <v>16310</v>
      </c>
      <c r="G3536" s="88">
        <f>DATE(2022,10,9)</f>
        <v>44843</v>
      </c>
      <c r="H3536" s="142">
        <v>1.71875</v>
      </c>
      <c r="I3536" s="56" t="s">
        <v>5494</v>
      </c>
      <c r="J3536" s="56" t="s">
        <v>20476</v>
      </c>
      <c r="K3536" s="56" t="s">
        <v>118</v>
      </c>
      <c r="L3536" s="56" t="s">
        <v>8380</v>
      </c>
      <c r="M3536" s="56" t="s">
        <v>63</v>
      </c>
      <c r="N3536" s="56" t="s">
        <v>142</v>
      </c>
      <c r="O3536" s="56" t="s">
        <v>86</v>
      </c>
      <c r="P3536" s="56" t="s">
        <v>462</v>
      </c>
      <c r="Q3536" s="56" t="s">
        <v>20477</v>
      </c>
      <c r="R3536" s="56" t="s">
        <v>20478</v>
      </c>
      <c r="S3536" s="56">
        <v>0</v>
      </c>
      <c r="T3536" s="56">
        <v>0</v>
      </c>
      <c r="U3536" s="56">
        <v>0</v>
      </c>
      <c r="V3536" s="56">
        <v>0</v>
      </c>
      <c r="W3536" s="56">
        <v>0</v>
      </c>
      <c r="X3536" s="56">
        <v>0</v>
      </c>
      <c r="Y3536" s="56">
        <v>0</v>
      </c>
      <c r="Z3536" s="56">
        <v>0</v>
      </c>
      <c r="AA3536" s="56">
        <v>0</v>
      </c>
      <c r="AB3536" s="56">
        <v>0</v>
      </c>
      <c r="AC3536" s="56">
        <v>0</v>
      </c>
      <c r="AD3536" s="56">
        <v>0</v>
      </c>
      <c r="AE3536" s="56" t="s">
        <v>92</v>
      </c>
      <c r="AF3536" s="56" t="s">
        <v>20479</v>
      </c>
      <c r="AG3536" s="56" t="s">
        <v>17062</v>
      </c>
      <c r="AH3536" s="72">
        <v>44931</v>
      </c>
      <c r="AI3536" s="56"/>
      <c r="AJ3536" s="56"/>
      <c r="AK3536" s="56"/>
      <c r="AL3536" s="157">
        <v>44939</v>
      </c>
      <c r="AM3536" s="195">
        <v>45208</v>
      </c>
      <c r="AN3536" s="204"/>
      <c r="AO3536" s="204"/>
    </row>
    <row r="3537" spans="1:55" ht="36.75" customHeight="1">
      <c r="A3537" s="46" t="s">
        <v>12471</v>
      </c>
      <c r="B3537" s="30" t="s">
        <v>55</v>
      </c>
      <c r="C3537" s="69" t="str">
        <f t="shared" si="313"/>
        <v>Closed</v>
      </c>
      <c r="D3537" s="37" t="s">
        <v>20480</v>
      </c>
      <c r="E3537" s="55" t="s">
        <v>20481</v>
      </c>
      <c r="F3537" s="56" t="s">
        <v>16429</v>
      </c>
      <c r="G3537" s="88">
        <f>DATE(2022,10,10)</f>
        <v>44844</v>
      </c>
      <c r="H3537" s="142">
        <v>1.7124999999999999</v>
      </c>
      <c r="I3537" s="56" t="s">
        <v>156</v>
      </c>
      <c r="J3537" s="56" t="s">
        <v>20482</v>
      </c>
      <c r="K3537" s="56" t="s">
        <v>425</v>
      </c>
      <c r="L3537" s="56" t="s">
        <v>18367</v>
      </c>
      <c r="M3537" s="56" t="s">
        <v>63</v>
      </c>
      <c r="N3537" s="56" t="s">
        <v>142</v>
      </c>
      <c r="O3537" s="56" t="s">
        <v>77</v>
      </c>
      <c r="P3537" s="56" t="s">
        <v>78</v>
      </c>
      <c r="Q3537" s="56" t="s">
        <v>18098</v>
      </c>
      <c r="R3537" s="56" t="s">
        <v>17369</v>
      </c>
      <c r="S3537" s="56">
        <v>0</v>
      </c>
      <c r="T3537" s="56">
        <v>0</v>
      </c>
      <c r="U3537" s="56">
        <v>0</v>
      </c>
      <c r="V3537" s="56">
        <v>0</v>
      </c>
      <c r="W3537" s="56">
        <v>0</v>
      </c>
      <c r="X3537" s="56">
        <v>0</v>
      </c>
      <c r="Y3537" s="56">
        <v>0</v>
      </c>
      <c r="Z3537" s="56">
        <v>0</v>
      </c>
      <c r="AA3537" s="56">
        <v>0</v>
      </c>
      <c r="AB3537" s="56">
        <v>0</v>
      </c>
      <c r="AC3537" s="56">
        <v>0</v>
      </c>
      <c r="AD3537" s="56">
        <v>0</v>
      </c>
      <c r="AE3537" s="56" t="s">
        <v>16435</v>
      </c>
      <c r="AF3537" s="56" t="s">
        <v>20483</v>
      </c>
      <c r="AG3537" s="56" t="s">
        <v>16283</v>
      </c>
      <c r="AH3537" s="72">
        <v>44844</v>
      </c>
      <c r="AI3537" s="56">
        <v>1</v>
      </c>
      <c r="AJ3537" s="56" t="s">
        <v>20484</v>
      </c>
      <c r="AK3537" s="56" t="s">
        <v>879</v>
      </c>
      <c r="AL3537" s="157">
        <v>44847</v>
      </c>
      <c r="AM3537" s="195">
        <v>45223</v>
      </c>
      <c r="AN3537" s="195">
        <v>45322</v>
      </c>
      <c r="AO3537" s="195">
        <v>45316</v>
      </c>
    </row>
    <row r="3538" spans="1:55" ht="36.75" customHeight="1">
      <c r="A3538" s="46" t="s">
        <v>12471</v>
      </c>
      <c r="B3538" s="30" t="s">
        <v>55</v>
      </c>
      <c r="C3538" s="69" t="str">
        <f t="shared" si="313"/>
        <v>Closed</v>
      </c>
      <c r="D3538" s="36" t="s">
        <v>20485</v>
      </c>
      <c r="E3538" s="55" t="s">
        <v>20486</v>
      </c>
      <c r="F3538" s="56" t="s">
        <v>16429</v>
      </c>
      <c r="G3538" s="88">
        <f>DATE(2022,10,11)</f>
        <v>44845</v>
      </c>
      <c r="H3538" s="142">
        <v>1.6180555555555556</v>
      </c>
      <c r="I3538" s="56" t="s">
        <v>116</v>
      </c>
      <c r="J3538" s="56" t="s">
        <v>20487</v>
      </c>
      <c r="K3538" s="56" t="s">
        <v>425</v>
      </c>
      <c r="L3538" s="56" t="s">
        <v>20488</v>
      </c>
      <c r="M3538" s="56" t="s">
        <v>63</v>
      </c>
      <c r="N3538" s="56" t="s">
        <v>99</v>
      </c>
      <c r="O3538" s="56" t="s">
        <v>64</v>
      </c>
      <c r="P3538" s="56" t="s">
        <v>165</v>
      </c>
      <c r="Q3538" s="56" t="s">
        <v>14773</v>
      </c>
      <c r="R3538" s="56" t="s">
        <v>17369</v>
      </c>
      <c r="S3538" s="56">
        <v>0</v>
      </c>
      <c r="T3538" s="56">
        <v>0</v>
      </c>
      <c r="U3538" s="56">
        <v>0</v>
      </c>
      <c r="V3538" s="56">
        <v>0</v>
      </c>
      <c r="W3538" s="56">
        <v>0</v>
      </c>
      <c r="X3538" s="56">
        <v>0</v>
      </c>
      <c r="Y3538" s="56">
        <v>0</v>
      </c>
      <c r="Z3538" s="56">
        <v>0</v>
      </c>
      <c r="AA3538" s="56">
        <v>0</v>
      </c>
      <c r="AB3538" s="56">
        <v>0</v>
      </c>
      <c r="AC3538" s="56">
        <v>0</v>
      </c>
      <c r="AD3538" s="56">
        <v>0</v>
      </c>
      <c r="AE3538" s="56" t="s">
        <v>16435</v>
      </c>
      <c r="AF3538" s="56" t="s">
        <v>20489</v>
      </c>
      <c r="AG3538" s="56" t="s">
        <v>16283</v>
      </c>
      <c r="AH3538" s="72">
        <v>44845</v>
      </c>
      <c r="AI3538" s="56">
        <v>1</v>
      </c>
      <c r="AJ3538" s="56" t="s">
        <v>20490</v>
      </c>
      <c r="AK3538" s="56" t="s">
        <v>879</v>
      </c>
      <c r="AL3538" s="157">
        <v>44846</v>
      </c>
      <c r="AM3538" s="56"/>
      <c r="AN3538" s="157">
        <v>45085</v>
      </c>
      <c r="AO3538" s="157">
        <v>45084</v>
      </c>
    </row>
    <row r="3539" spans="1:55" ht="36.75" customHeight="1">
      <c r="A3539" s="46" t="s">
        <v>12471</v>
      </c>
      <c r="B3539" s="30" t="s">
        <v>55</v>
      </c>
      <c r="C3539" s="69" t="str">
        <f t="shared" si="313"/>
        <v>Closed</v>
      </c>
      <c r="D3539" s="36" t="s">
        <v>20491</v>
      </c>
      <c r="E3539" s="55" t="s">
        <v>20492</v>
      </c>
      <c r="F3539" s="56" t="s">
        <v>17578</v>
      </c>
      <c r="G3539" s="88">
        <f>DATE(2022,10,14)</f>
        <v>44848</v>
      </c>
      <c r="H3539" s="142">
        <v>1.3784722222222223</v>
      </c>
      <c r="I3539" s="56" t="s">
        <v>116</v>
      </c>
      <c r="J3539" s="56" t="s">
        <v>19963</v>
      </c>
      <c r="K3539" s="56" t="s">
        <v>837</v>
      </c>
      <c r="L3539" s="56" t="s">
        <v>20493</v>
      </c>
      <c r="M3539" s="56" t="s">
        <v>63</v>
      </c>
      <c r="N3539" s="56" t="s">
        <v>99</v>
      </c>
      <c r="O3539" s="56" t="s">
        <v>64</v>
      </c>
      <c r="P3539" s="56" t="s">
        <v>165</v>
      </c>
      <c r="Q3539" s="56" t="s">
        <v>2162</v>
      </c>
      <c r="R3539" s="56" t="s">
        <v>840</v>
      </c>
      <c r="S3539" s="56">
        <v>0</v>
      </c>
      <c r="T3539" s="56">
        <v>0</v>
      </c>
      <c r="U3539" s="56">
        <v>0</v>
      </c>
      <c r="V3539" s="56">
        <v>0</v>
      </c>
      <c r="W3539" s="56">
        <v>0</v>
      </c>
      <c r="X3539" s="56">
        <v>0</v>
      </c>
      <c r="Y3539" s="56">
        <v>4</v>
      </c>
      <c r="Z3539" s="56">
        <v>1</v>
      </c>
      <c r="AA3539" s="56">
        <v>0</v>
      </c>
      <c r="AB3539" s="56">
        <v>0</v>
      </c>
      <c r="AC3539" s="56">
        <v>0</v>
      </c>
      <c r="AD3539" s="56">
        <v>5</v>
      </c>
      <c r="AE3539" s="56" t="s">
        <v>394</v>
      </c>
      <c r="AF3539" s="56" t="s">
        <v>20494</v>
      </c>
      <c r="AG3539" s="56" t="s">
        <v>8859</v>
      </c>
      <c r="AH3539" s="72">
        <v>44849</v>
      </c>
      <c r="AI3539" s="56">
        <v>0</v>
      </c>
      <c r="AJ3539" s="56" t="s">
        <v>18860</v>
      </c>
      <c r="AK3539" s="56" t="s">
        <v>10556</v>
      </c>
      <c r="AL3539" s="157">
        <v>44849</v>
      </c>
      <c r="AM3539" s="56"/>
      <c r="AN3539" s="157">
        <v>45061</v>
      </c>
      <c r="AO3539" s="157">
        <v>45061</v>
      </c>
      <c r="AP3539" s="157">
        <v>44758</v>
      </c>
      <c r="AQ3539" s="157">
        <v>44759</v>
      </c>
      <c r="AR3539" s="157">
        <v>44760</v>
      </c>
      <c r="AS3539" s="157">
        <v>44761</v>
      </c>
      <c r="AT3539" s="157">
        <v>44762</v>
      </c>
      <c r="AU3539" s="157">
        <v>44763</v>
      </c>
      <c r="AV3539" s="157">
        <v>44764</v>
      </c>
      <c r="AW3539" s="157">
        <v>44765</v>
      </c>
      <c r="AX3539" s="157">
        <v>44766</v>
      </c>
      <c r="AY3539" s="157">
        <v>44767</v>
      </c>
      <c r="AZ3539" s="157">
        <v>44768</v>
      </c>
      <c r="BA3539" s="157">
        <v>44769</v>
      </c>
      <c r="BB3539" s="157">
        <v>44770</v>
      </c>
      <c r="BC3539" s="157">
        <v>44771</v>
      </c>
    </row>
    <row r="3540" spans="1:55" ht="36.75" customHeight="1">
      <c r="A3540" s="46" t="s">
        <v>12471</v>
      </c>
      <c r="B3540" s="30" t="s">
        <v>55</v>
      </c>
      <c r="C3540" s="69" t="str">
        <f t="shared" si="313"/>
        <v>Closed</v>
      </c>
      <c r="D3540" s="37" t="s">
        <v>20495</v>
      </c>
      <c r="E3540" s="55" t="s">
        <v>20496</v>
      </c>
      <c r="F3540" s="56" t="s">
        <v>17578</v>
      </c>
      <c r="G3540" s="88">
        <f>DATE(2022,10,17)</f>
        <v>44851</v>
      </c>
      <c r="H3540" s="142">
        <v>1.3541666666666667</v>
      </c>
      <c r="I3540" s="56" t="s">
        <v>125</v>
      </c>
      <c r="J3540" s="56" t="s">
        <v>20497</v>
      </c>
      <c r="K3540" s="56" t="s">
        <v>837</v>
      </c>
      <c r="L3540" s="56" t="s">
        <v>20498</v>
      </c>
      <c r="M3540" s="56" t="s">
        <v>129</v>
      </c>
      <c r="N3540" s="56" t="s">
        <v>142</v>
      </c>
      <c r="O3540" s="56" t="s">
        <v>77</v>
      </c>
      <c r="P3540" s="56" t="s">
        <v>129</v>
      </c>
      <c r="Q3540" s="56" t="s">
        <v>4210</v>
      </c>
      <c r="R3540" s="56" t="s">
        <v>4210</v>
      </c>
      <c r="S3540" s="56">
        <v>0</v>
      </c>
      <c r="T3540" s="56">
        <v>0</v>
      </c>
      <c r="U3540" s="56">
        <v>0</v>
      </c>
      <c r="V3540" s="56">
        <v>0</v>
      </c>
      <c r="W3540" s="56">
        <v>0</v>
      </c>
      <c r="X3540" s="56">
        <v>0</v>
      </c>
      <c r="Y3540" s="56">
        <v>0</v>
      </c>
      <c r="Z3540" s="56">
        <v>0</v>
      </c>
      <c r="AA3540" s="56">
        <v>0</v>
      </c>
      <c r="AB3540" s="56">
        <v>0</v>
      </c>
      <c r="AC3540" s="56">
        <v>0</v>
      </c>
      <c r="AD3540" s="56">
        <v>0</v>
      </c>
      <c r="AE3540" s="56" t="s">
        <v>92</v>
      </c>
      <c r="AF3540" s="56" t="s">
        <v>20499</v>
      </c>
      <c r="AG3540" s="56" t="s">
        <v>8859</v>
      </c>
      <c r="AH3540" s="72">
        <v>44852</v>
      </c>
      <c r="AI3540" s="56">
        <v>2</v>
      </c>
      <c r="AJ3540" s="56" t="s">
        <v>20500</v>
      </c>
      <c r="AK3540" s="56" t="s">
        <v>20501</v>
      </c>
      <c r="AL3540" s="157">
        <v>44852</v>
      </c>
      <c r="AM3540" s="56"/>
      <c r="AN3540" s="157">
        <v>45264</v>
      </c>
      <c r="AO3540" s="157">
        <v>45585</v>
      </c>
    </row>
    <row r="3541" spans="1:55" ht="36.75" customHeight="1">
      <c r="A3541" s="46" t="s">
        <v>12471</v>
      </c>
      <c r="B3541" s="30" t="s">
        <v>55</v>
      </c>
      <c r="C3541" s="69" t="str">
        <f t="shared" si="313"/>
        <v>Closed</v>
      </c>
      <c r="D3541" s="203" t="s">
        <v>20502</v>
      </c>
      <c r="E3541" s="55" t="s">
        <v>20503</v>
      </c>
      <c r="F3541" s="56" t="s">
        <v>16429</v>
      </c>
      <c r="G3541" s="88">
        <f>DATE(2022,10,20)</f>
        <v>44854</v>
      </c>
      <c r="H3541" s="142">
        <v>1.3430555555555554</v>
      </c>
      <c r="I3541" s="56" t="s">
        <v>116</v>
      </c>
      <c r="J3541" s="56" t="s">
        <v>20504</v>
      </c>
      <c r="K3541" s="56" t="s">
        <v>425</v>
      </c>
      <c r="L3541" s="56" t="s">
        <v>20505</v>
      </c>
      <c r="M3541" s="56" t="s">
        <v>63</v>
      </c>
      <c r="N3541" s="56" t="s">
        <v>99</v>
      </c>
      <c r="O3541" s="56" t="s">
        <v>64</v>
      </c>
      <c r="P3541" s="56" t="s">
        <v>20506</v>
      </c>
      <c r="Q3541" s="56" t="s">
        <v>18615</v>
      </c>
      <c r="R3541" s="56" t="s">
        <v>17369</v>
      </c>
      <c r="S3541" s="56">
        <v>0</v>
      </c>
      <c r="T3541" s="56">
        <v>0</v>
      </c>
      <c r="U3541" s="56">
        <v>2</v>
      </c>
      <c r="V3541" s="56">
        <v>0</v>
      </c>
      <c r="W3541" s="56">
        <v>0</v>
      </c>
      <c r="X3541" s="56">
        <v>2</v>
      </c>
      <c r="Y3541" s="56">
        <v>0</v>
      </c>
      <c r="Z3541" s="56">
        <v>0</v>
      </c>
      <c r="AA3541" s="56">
        <v>1</v>
      </c>
      <c r="AB3541" s="56">
        <v>0</v>
      </c>
      <c r="AC3541" s="56">
        <v>0</v>
      </c>
      <c r="AD3541" s="56">
        <v>1</v>
      </c>
      <c r="AE3541" s="56" t="s">
        <v>92</v>
      </c>
      <c r="AF3541" s="56" t="s">
        <v>20507</v>
      </c>
      <c r="AG3541" s="56" t="s">
        <v>16283</v>
      </c>
      <c r="AH3541" s="72">
        <v>44854</v>
      </c>
      <c r="AI3541" s="56">
        <v>1</v>
      </c>
      <c r="AJ3541" s="56" t="s">
        <v>20508</v>
      </c>
      <c r="AK3541" s="56" t="s">
        <v>879</v>
      </c>
      <c r="AL3541" s="157">
        <v>44855</v>
      </c>
      <c r="AM3541" s="195" t="s">
        <v>20509</v>
      </c>
      <c r="AN3541" s="205">
        <v>45989</v>
      </c>
      <c r="AO3541" s="205">
        <v>45985</v>
      </c>
    </row>
    <row r="3542" spans="1:55" ht="36.75" customHeight="1">
      <c r="A3542" s="46" t="s">
        <v>12471</v>
      </c>
      <c r="B3542" s="30" t="s">
        <v>55</v>
      </c>
      <c r="C3542" s="69" t="str">
        <f t="shared" si="313"/>
        <v>Closed</v>
      </c>
      <c r="D3542" s="37" t="s">
        <v>20510</v>
      </c>
      <c r="E3542" s="55" t="s">
        <v>20511</v>
      </c>
      <c r="F3542" s="56" t="s">
        <v>17578</v>
      </c>
      <c r="G3542" s="88">
        <f>DATE(2022,10,21)</f>
        <v>44855</v>
      </c>
      <c r="H3542" s="142">
        <v>1.1215277777777777</v>
      </c>
      <c r="I3542" s="56" t="s">
        <v>73</v>
      </c>
      <c r="J3542" s="56" t="s">
        <v>20512</v>
      </c>
      <c r="K3542" s="56" t="s">
        <v>837</v>
      </c>
      <c r="L3542" s="56" t="s">
        <v>20513</v>
      </c>
      <c r="M3542" s="56" t="s">
        <v>63</v>
      </c>
      <c r="N3542" s="56" t="s">
        <v>99</v>
      </c>
      <c r="O3542" s="56" t="s">
        <v>64</v>
      </c>
      <c r="P3542" s="56" t="s">
        <v>381</v>
      </c>
      <c r="Q3542" s="56" t="s">
        <v>6581</v>
      </c>
      <c r="R3542" s="56" t="s">
        <v>20514</v>
      </c>
      <c r="S3542" s="56" t="s">
        <v>840</v>
      </c>
      <c r="T3542" s="56">
        <v>0</v>
      </c>
      <c r="U3542" s="56">
        <v>0</v>
      </c>
      <c r="V3542" s="56">
        <v>0</v>
      </c>
      <c r="W3542" s="56">
        <v>0</v>
      </c>
      <c r="X3542" s="56">
        <v>0</v>
      </c>
      <c r="Y3542" s="56">
        <v>0</v>
      </c>
      <c r="Z3542" s="56">
        <v>0</v>
      </c>
      <c r="AA3542" s="56">
        <v>0</v>
      </c>
      <c r="AB3542" s="56">
        <v>0</v>
      </c>
      <c r="AC3542" s="56">
        <v>0</v>
      </c>
      <c r="AD3542" s="56">
        <v>0</v>
      </c>
      <c r="AE3542" s="56">
        <v>0</v>
      </c>
      <c r="AF3542" s="56" t="s">
        <v>92</v>
      </c>
      <c r="AG3542" s="56" t="s">
        <v>8859</v>
      </c>
      <c r="AH3542" s="72">
        <v>44855</v>
      </c>
      <c r="AI3542" s="56">
        <v>1</v>
      </c>
      <c r="AJ3542" s="56" t="s">
        <v>13682</v>
      </c>
      <c r="AK3542" s="56" t="s">
        <v>20515</v>
      </c>
      <c r="AL3542" s="157">
        <v>44858</v>
      </c>
      <c r="AM3542" s="56"/>
      <c r="AN3542" s="157">
        <v>45435</v>
      </c>
      <c r="AO3542" s="157">
        <v>45428</v>
      </c>
    </row>
    <row r="3543" spans="1:55" ht="36.75" customHeight="1">
      <c r="A3543" s="46" t="s">
        <v>12471</v>
      </c>
      <c r="B3543" s="30" t="s">
        <v>2124</v>
      </c>
      <c r="C3543" s="69" t="str">
        <f t="shared" si="313"/>
        <v>Open</v>
      </c>
      <c r="D3543" s="36" t="s">
        <v>20516</v>
      </c>
      <c r="E3543" s="55" t="s">
        <v>20517</v>
      </c>
      <c r="F3543" s="56" t="s">
        <v>17578</v>
      </c>
      <c r="G3543" s="88">
        <f>DATE(2022,10,23)</f>
        <v>44857</v>
      </c>
      <c r="H3543" s="142">
        <v>1.1006944444444444</v>
      </c>
      <c r="I3543" s="56" t="s">
        <v>4610</v>
      </c>
      <c r="J3543" s="56" t="s">
        <v>20518</v>
      </c>
      <c r="K3543" s="56" t="s">
        <v>837</v>
      </c>
      <c r="L3543" s="56" t="s">
        <v>20519</v>
      </c>
      <c r="M3543" s="56" t="s">
        <v>63</v>
      </c>
      <c r="N3543" s="56" t="s">
        <v>99</v>
      </c>
      <c r="O3543" s="56" t="s">
        <v>77</v>
      </c>
      <c r="P3543" s="56" t="s">
        <v>381</v>
      </c>
      <c r="Q3543" s="56" t="s">
        <v>20520</v>
      </c>
      <c r="R3543" s="56" t="s">
        <v>20514</v>
      </c>
      <c r="S3543" s="56" t="s">
        <v>840</v>
      </c>
      <c r="T3543" s="56">
        <v>0</v>
      </c>
      <c r="U3543" s="56">
        <v>0</v>
      </c>
      <c r="V3543" s="56">
        <v>0</v>
      </c>
      <c r="W3543" s="56">
        <v>0</v>
      </c>
      <c r="X3543" s="56">
        <v>0</v>
      </c>
      <c r="Y3543" s="56">
        <v>0</v>
      </c>
      <c r="Z3543" s="56">
        <v>0</v>
      </c>
      <c r="AA3543" s="56">
        <v>0</v>
      </c>
      <c r="AB3543" s="56">
        <v>0</v>
      </c>
      <c r="AC3543" s="56">
        <v>0</v>
      </c>
      <c r="AD3543" s="56">
        <v>0</v>
      </c>
      <c r="AE3543" s="56">
        <v>0</v>
      </c>
      <c r="AF3543" s="56" t="s">
        <v>92</v>
      </c>
      <c r="AG3543" s="56" t="s">
        <v>879</v>
      </c>
      <c r="AH3543" s="72">
        <v>44858</v>
      </c>
      <c r="AI3543" s="56"/>
      <c r="AJ3543" s="56"/>
      <c r="AK3543" s="56"/>
      <c r="AL3543" s="157">
        <v>44861</v>
      </c>
      <c r="AM3543" s="56"/>
      <c r="AN3543" s="158"/>
      <c r="AO3543" s="158"/>
      <c r="AP3543" s="157">
        <v>45310</v>
      </c>
      <c r="AQ3543" s="157">
        <v>45311</v>
      </c>
      <c r="AR3543" s="157">
        <v>45312</v>
      </c>
      <c r="AS3543" s="157">
        <v>45313</v>
      </c>
      <c r="AT3543" s="157">
        <v>45314</v>
      </c>
      <c r="AU3543" s="157">
        <v>45315</v>
      </c>
      <c r="AV3543" s="157">
        <v>45316</v>
      </c>
      <c r="AW3543" s="157">
        <v>45317</v>
      </c>
      <c r="AX3543" s="157">
        <v>45318</v>
      </c>
      <c r="AY3543" s="157">
        <v>45319</v>
      </c>
      <c r="AZ3543" s="157">
        <v>45320</v>
      </c>
      <c r="BA3543" s="157">
        <v>45321</v>
      </c>
      <c r="BB3543" s="157">
        <v>45322</v>
      </c>
      <c r="BC3543" s="157">
        <v>45323</v>
      </c>
    </row>
    <row r="3544" spans="1:55" ht="36.75" customHeight="1">
      <c r="A3544" s="46" t="s">
        <v>12471</v>
      </c>
      <c r="B3544" s="30" t="s">
        <v>55</v>
      </c>
      <c r="C3544" s="69" t="str">
        <f t="shared" si="313"/>
        <v>Closed</v>
      </c>
      <c r="D3544" s="37" t="s">
        <v>20521</v>
      </c>
      <c r="E3544" s="55" t="s">
        <v>20522</v>
      </c>
      <c r="F3544" s="56" t="s">
        <v>17344</v>
      </c>
      <c r="G3544" s="88">
        <f>DATE(2022,10,23)</f>
        <v>44857</v>
      </c>
      <c r="H3544" s="142">
        <v>1.0381944444444444</v>
      </c>
      <c r="I3544" s="56" t="s">
        <v>487</v>
      </c>
      <c r="J3544" s="56" t="s">
        <v>20523</v>
      </c>
      <c r="K3544" s="56" t="s">
        <v>127</v>
      </c>
      <c r="L3544" s="56" t="s">
        <v>20524</v>
      </c>
      <c r="M3544" s="56" t="s">
        <v>63</v>
      </c>
      <c r="N3544" s="56" t="s">
        <v>89</v>
      </c>
      <c r="O3544" s="56" t="s">
        <v>90</v>
      </c>
      <c r="P3544" s="56" t="s">
        <v>381</v>
      </c>
      <c r="Q3544" s="56" t="s">
        <v>143</v>
      </c>
      <c r="R3544" s="56" t="s">
        <v>20514</v>
      </c>
      <c r="S3544" s="56" t="s">
        <v>840</v>
      </c>
      <c r="T3544" s="56">
        <v>0</v>
      </c>
      <c r="U3544" s="56">
        <v>0</v>
      </c>
      <c r="V3544" s="56">
        <v>0</v>
      </c>
      <c r="W3544" s="56">
        <v>0</v>
      </c>
      <c r="X3544" s="56">
        <v>0</v>
      </c>
      <c r="Y3544" s="56">
        <v>0</v>
      </c>
      <c r="Z3544" s="56">
        <v>0</v>
      </c>
      <c r="AA3544" s="56">
        <v>0</v>
      </c>
      <c r="AB3544" s="56">
        <v>0</v>
      </c>
      <c r="AC3544" s="56">
        <v>0</v>
      </c>
      <c r="AD3544" s="56">
        <v>0</v>
      </c>
      <c r="AE3544" s="56">
        <v>0</v>
      </c>
      <c r="AF3544" s="56" t="s">
        <v>92</v>
      </c>
      <c r="AG3544" s="56" t="s">
        <v>879</v>
      </c>
      <c r="AH3544" s="72">
        <v>44865</v>
      </c>
      <c r="AI3544" s="56">
        <v>0</v>
      </c>
      <c r="AJ3544" s="56" t="s">
        <v>20525</v>
      </c>
      <c r="AK3544" s="56" t="s">
        <v>20526</v>
      </c>
      <c r="AL3544" s="157">
        <v>45097</v>
      </c>
      <c r="AM3544" s="56"/>
      <c r="AN3544" s="157">
        <v>45278</v>
      </c>
      <c r="AO3544" s="157">
        <v>45264</v>
      </c>
      <c r="AP3544" s="56"/>
      <c r="AQ3544" s="56"/>
      <c r="AR3544" s="56"/>
      <c r="AS3544" s="56"/>
      <c r="AT3544" s="56"/>
      <c r="AU3544" s="56"/>
      <c r="AV3544" s="56"/>
      <c r="AW3544" s="56"/>
      <c r="AX3544" s="56"/>
      <c r="AY3544" s="56"/>
      <c r="AZ3544" s="56"/>
      <c r="BA3544" s="56"/>
      <c r="BB3544" s="56"/>
      <c r="BC3544" s="56"/>
    </row>
    <row r="3545" spans="1:55" ht="36.75" customHeight="1">
      <c r="A3545" s="46" t="s">
        <v>12471</v>
      </c>
      <c r="B3545" s="30" t="s">
        <v>55</v>
      </c>
      <c r="C3545" s="69" t="str">
        <f t="shared" si="313"/>
        <v>Closed</v>
      </c>
      <c r="D3545" s="36" t="s">
        <v>20527</v>
      </c>
      <c r="E3545" s="55" t="s">
        <v>20528</v>
      </c>
      <c r="F3545" s="56" t="s">
        <v>16429</v>
      </c>
      <c r="G3545" s="88">
        <f>DATE(2022,10,26)</f>
        <v>44860</v>
      </c>
      <c r="H3545" s="142">
        <v>1.8138888888888891</v>
      </c>
      <c r="I3545" s="56" t="s">
        <v>116</v>
      </c>
      <c r="J3545" s="56" t="s">
        <v>20529</v>
      </c>
      <c r="K3545" s="56" t="s">
        <v>425</v>
      </c>
      <c r="L3545" s="56" t="s">
        <v>20530</v>
      </c>
      <c r="M3545" s="56" t="s">
        <v>63</v>
      </c>
      <c r="N3545" s="56" t="s">
        <v>99</v>
      </c>
      <c r="O3545" s="56" t="s">
        <v>64</v>
      </c>
      <c r="P3545" s="56" t="s">
        <v>165</v>
      </c>
      <c r="Q3545" s="56" t="s">
        <v>18516</v>
      </c>
      <c r="R3545" s="56" t="s">
        <v>20514</v>
      </c>
      <c r="S3545" s="56" t="s">
        <v>840</v>
      </c>
      <c r="T3545" s="56">
        <v>0</v>
      </c>
      <c r="U3545" s="56">
        <v>0</v>
      </c>
      <c r="V3545" s="56">
        <v>0</v>
      </c>
      <c r="W3545" s="56">
        <v>0</v>
      </c>
      <c r="X3545" s="56">
        <v>0</v>
      </c>
      <c r="Y3545" s="56">
        <v>0</v>
      </c>
      <c r="Z3545" s="56">
        <v>0</v>
      </c>
      <c r="AA3545" s="56">
        <v>0</v>
      </c>
      <c r="AB3545" s="56">
        <v>0</v>
      </c>
      <c r="AC3545" s="56">
        <v>0</v>
      </c>
      <c r="AD3545" s="56">
        <v>0</v>
      </c>
      <c r="AE3545" s="56">
        <v>0</v>
      </c>
      <c r="AF3545" s="56" t="s">
        <v>92</v>
      </c>
      <c r="AG3545" s="56" t="s">
        <v>879</v>
      </c>
      <c r="AH3545" s="72">
        <v>44860</v>
      </c>
      <c r="AI3545" s="56">
        <v>2</v>
      </c>
      <c r="AJ3545" s="56" t="s">
        <v>20531</v>
      </c>
      <c r="AK3545" s="56" t="s">
        <v>879</v>
      </c>
      <c r="AL3545" s="157">
        <v>44866</v>
      </c>
      <c r="AM3545" s="56"/>
      <c r="AN3545" s="157">
        <v>45086</v>
      </c>
      <c r="AO3545" s="157">
        <v>45058</v>
      </c>
      <c r="AP3545" s="56"/>
      <c r="AQ3545" s="56"/>
      <c r="AR3545" s="56"/>
      <c r="AS3545" s="56"/>
      <c r="AT3545" s="56"/>
      <c r="AU3545" s="56"/>
      <c r="AV3545" s="56"/>
      <c r="AW3545" s="56"/>
      <c r="AX3545" s="56"/>
      <c r="AY3545" s="56"/>
      <c r="AZ3545" s="56"/>
      <c r="BA3545" s="56"/>
      <c r="BB3545" s="56"/>
      <c r="BC3545" s="56"/>
    </row>
    <row r="3546" spans="1:55" ht="36.75" customHeight="1">
      <c r="A3546" s="46" t="s">
        <v>12471</v>
      </c>
      <c r="B3546" s="30" t="s">
        <v>55</v>
      </c>
      <c r="C3546" s="69" t="str">
        <f t="shared" si="313"/>
        <v>Closed</v>
      </c>
      <c r="D3546" s="36" t="s">
        <v>20532</v>
      </c>
      <c r="E3546" s="55" t="s">
        <v>20533</v>
      </c>
      <c r="F3546" s="56" t="s">
        <v>16429</v>
      </c>
      <c r="G3546" s="88">
        <f>DATE(2022,10,27)</f>
        <v>44861</v>
      </c>
      <c r="H3546" s="142">
        <v>1.8152777777777778</v>
      </c>
      <c r="I3546" s="56" t="s">
        <v>4610</v>
      </c>
      <c r="J3546" s="56" t="s">
        <v>20534</v>
      </c>
      <c r="K3546" s="56" t="s">
        <v>425</v>
      </c>
      <c r="L3546" s="56" t="s">
        <v>20535</v>
      </c>
      <c r="M3546" s="56" t="s">
        <v>63</v>
      </c>
      <c r="N3546" s="56" t="s">
        <v>142</v>
      </c>
      <c r="O3546" s="56" t="s">
        <v>77</v>
      </c>
      <c r="P3546" s="56" t="s">
        <v>20536</v>
      </c>
      <c r="Q3546" s="56" t="s">
        <v>20537</v>
      </c>
      <c r="R3546" s="56" t="s">
        <v>20514</v>
      </c>
      <c r="S3546" s="56" t="s">
        <v>840</v>
      </c>
      <c r="T3546" s="56">
        <v>0</v>
      </c>
      <c r="U3546" s="56">
        <v>0</v>
      </c>
      <c r="V3546" s="56">
        <v>0</v>
      </c>
      <c r="W3546" s="56">
        <v>0</v>
      </c>
      <c r="X3546" s="56">
        <v>0</v>
      </c>
      <c r="Y3546" s="56">
        <v>0</v>
      </c>
      <c r="Z3546" s="56">
        <v>0</v>
      </c>
      <c r="AA3546" s="56">
        <v>0</v>
      </c>
      <c r="AB3546" s="56">
        <v>0</v>
      </c>
      <c r="AC3546" s="56">
        <v>0</v>
      </c>
      <c r="AD3546" s="56">
        <v>0</v>
      </c>
      <c r="AE3546" s="56">
        <v>0</v>
      </c>
      <c r="AF3546" s="56" t="s">
        <v>92</v>
      </c>
      <c r="AG3546" s="56" t="s">
        <v>879</v>
      </c>
      <c r="AH3546" s="72">
        <v>44861</v>
      </c>
      <c r="AI3546" s="56">
        <v>0</v>
      </c>
      <c r="AJ3546" s="56" t="s">
        <v>20538</v>
      </c>
      <c r="AK3546" s="56" t="s">
        <v>19784</v>
      </c>
      <c r="AL3546" s="157">
        <v>44867</v>
      </c>
      <c r="AM3546" s="56"/>
      <c r="AN3546" s="157">
        <v>45064</v>
      </c>
      <c r="AO3546" s="157">
        <v>45034</v>
      </c>
      <c r="AP3546" s="56"/>
      <c r="AQ3546" s="56"/>
      <c r="AR3546" s="56"/>
      <c r="AS3546" s="56"/>
      <c r="AT3546" s="56"/>
      <c r="AU3546" s="56"/>
      <c r="AV3546" s="56"/>
      <c r="AW3546" s="56"/>
      <c r="AX3546" s="56"/>
      <c r="AY3546" s="56"/>
      <c r="AZ3546" s="56"/>
      <c r="BA3546" s="56"/>
      <c r="BB3546" s="56"/>
      <c r="BC3546" s="56"/>
    </row>
    <row r="3547" spans="1:55" ht="36.75" customHeight="1">
      <c r="A3547" s="46" t="s">
        <v>12471</v>
      </c>
      <c r="B3547" s="30" t="s">
        <v>55</v>
      </c>
      <c r="C3547" s="69" t="str">
        <f t="shared" si="313"/>
        <v>Closed</v>
      </c>
      <c r="D3547" s="36" t="s">
        <v>20539</v>
      </c>
      <c r="E3547" s="55" t="s">
        <v>20540</v>
      </c>
      <c r="F3547" s="56" t="s">
        <v>16429</v>
      </c>
      <c r="G3547" s="88">
        <f>DATE(2022,10,30)</f>
        <v>44864</v>
      </c>
      <c r="H3547" s="142">
        <v>1.8347222222222221</v>
      </c>
      <c r="I3547" s="56" t="s">
        <v>4610</v>
      </c>
      <c r="J3547" s="56" t="s">
        <v>20541</v>
      </c>
      <c r="K3547" s="56" t="s">
        <v>425</v>
      </c>
      <c r="L3547" s="56" t="s">
        <v>20542</v>
      </c>
      <c r="M3547" s="56" t="s">
        <v>63</v>
      </c>
      <c r="N3547" s="56" t="s">
        <v>99</v>
      </c>
      <c r="O3547" s="56" t="s">
        <v>77</v>
      </c>
      <c r="P3547" s="56" t="s">
        <v>20543</v>
      </c>
      <c r="Q3547" s="56" t="s">
        <v>18615</v>
      </c>
      <c r="R3547" s="56" t="s">
        <v>20514</v>
      </c>
      <c r="S3547" s="56" t="s">
        <v>840</v>
      </c>
      <c r="T3547" s="56">
        <v>0</v>
      </c>
      <c r="U3547" s="56">
        <v>0</v>
      </c>
      <c r="V3547" s="56">
        <v>0</v>
      </c>
      <c r="W3547" s="56">
        <v>0</v>
      </c>
      <c r="X3547" s="56">
        <v>0</v>
      </c>
      <c r="Y3547" s="56">
        <v>0</v>
      </c>
      <c r="Z3547" s="56">
        <v>0</v>
      </c>
      <c r="AA3547" s="56">
        <v>0</v>
      </c>
      <c r="AB3547" s="56">
        <v>0</v>
      </c>
      <c r="AC3547" s="56">
        <v>0</v>
      </c>
      <c r="AD3547" s="56">
        <v>0</v>
      </c>
      <c r="AE3547" s="56">
        <v>0</v>
      </c>
      <c r="AF3547" s="56" t="s">
        <v>92</v>
      </c>
      <c r="AG3547" s="56" t="s">
        <v>879</v>
      </c>
      <c r="AH3547" s="72">
        <v>44864</v>
      </c>
      <c r="AI3547" s="56">
        <v>0</v>
      </c>
      <c r="AJ3547" s="56" t="s">
        <v>20544</v>
      </c>
      <c r="AK3547" s="56"/>
      <c r="AL3547" s="157">
        <v>44867</v>
      </c>
      <c r="AM3547" s="56"/>
      <c r="AN3547" s="157">
        <v>45121</v>
      </c>
      <c r="AO3547" s="157">
        <v>45082</v>
      </c>
    </row>
    <row r="3548" spans="1:55" ht="36.75" customHeight="1">
      <c r="A3548" s="46" t="s">
        <v>12471</v>
      </c>
      <c r="B3548" s="30" t="s">
        <v>55</v>
      </c>
      <c r="C3548" s="69" t="str">
        <f t="shared" si="313"/>
        <v>Closed</v>
      </c>
      <c r="D3548" s="37" t="s">
        <v>20545</v>
      </c>
      <c r="E3548" s="55" t="s">
        <v>20546</v>
      </c>
      <c r="F3548" s="56" t="s">
        <v>17682</v>
      </c>
      <c r="G3548" s="88">
        <f>DATE(2022,11,1)</f>
        <v>44866</v>
      </c>
      <c r="H3548" s="142">
        <v>1.3090277777777777</v>
      </c>
      <c r="I3548" s="56" t="s">
        <v>73</v>
      </c>
      <c r="J3548" s="56" t="s">
        <v>20547</v>
      </c>
      <c r="K3548" s="56" t="s">
        <v>1574</v>
      </c>
      <c r="L3548" s="56" t="s">
        <v>20548</v>
      </c>
      <c r="M3548" s="56" t="s">
        <v>63</v>
      </c>
      <c r="N3548" s="56" t="s">
        <v>142</v>
      </c>
      <c r="O3548" s="56" t="s">
        <v>77</v>
      </c>
      <c r="P3548" s="56" t="s">
        <v>78</v>
      </c>
      <c r="Q3548" s="56" t="s">
        <v>18063</v>
      </c>
      <c r="R3548" s="56" t="s">
        <v>20514</v>
      </c>
      <c r="S3548" s="56" t="s">
        <v>840</v>
      </c>
      <c r="T3548" s="56">
        <v>0</v>
      </c>
      <c r="U3548" s="56">
        <v>0</v>
      </c>
      <c r="V3548" s="56">
        <v>0</v>
      </c>
      <c r="W3548" s="56">
        <v>0</v>
      </c>
      <c r="X3548" s="56">
        <v>0</v>
      </c>
      <c r="Y3548" s="56">
        <v>0</v>
      </c>
      <c r="Z3548" s="56">
        <v>0</v>
      </c>
      <c r="AA3548" s="56">
        <v>0</v>
      </c>
      <c r="AB3548" s="56">
        <v>0</v>
      </c>
      <c r="AC3548" s="56">
        <v>0</v>
      </c>
      <c r="AD3548" s="56">
        <v>0</v>
      </c>
      <c r="AE3548" s="56">
        <v>0</v>
      </c>
      <c r="AF3548" s="56" t="s">
        <v>92</v>
      </c>
      <c r="AG3548" s="56" t="s">
        <v>879</v>
      </c>
      <c r="AH3548" s="72">
        <v>44867</v>
      </c>
      <c r="AI3548" s="56">
        <v>1</v>
      </c>
      <c r="AJ3548" s="56" t="s">
        <v>20549</v>
      </c>
      <c r="AK3548" s="56" t="s">
        <v>20550</v>
      </c>
      <c r="AL3548" s="157">
        <v>44868</v>
      </c>
      <c r="AM3548" s="56"/>
      <c r="AN3548" s="157">
        <v>45219</v>
      </c>
      <c r="AO3548" s="157">
        <v>45215</v>
      </c>
    </row>
    <row r="3549" spans="1:55" ht="36.75" customHeight="1">
      <c r="A3549" s="46" t="s">
        <v>12471</v>
      </c>
      <c r="B3549" s="30" t="s">
        <v>55</v>
      </c>
      <c r="C3549" s="69" t="str">
        <f t="shared" si="313"/>
        <v>Closed</v>
      </c>
      <c r="D3549" s="36" t="s">
        <v>20551</v>
      </c>
      <c r="E3549" s="55" t="s">
        <v>20552</v>
      </c>
      <c r="F3549" s="56" t="s">
        <v>17773</v>
      </c>
      <c r="G3549" s="88">
        <f>DATE(2022,11,3)</f>
        <v>44868</v>
      </c>
      <c r="H3549" s="142">
        <v>1.8159722222222223</v>
      </c>
      <c r="I3549" s="56" t="s">
        <v>125</v>
      </c>
      <c r="J3549" s="56" t="s">
        <v>20553</v>
      </c>
      <c r="K3549" s="56" t="s">
        <v>2603</v>
      </c>
      <c r="L3549" s="56" t="s">
        <v>20554</v>
      </c>
      <c r="M3549" s="56" t="s">
        <v>63</v>
      </c>
      <c r="N3549" s="56" t="s">
        <v>142</v>
      </c>
      <c r="O3549" s="56" t="s">
        <v>64</v>
      </c>
      <c r="P3549" s="56" t="s">
        <v>65</v>
      </c>
      <c r="Q3549" s="56" t="s">
        <v>20555</v>
      </c>
      <c r="R3549" s="56" t="s">
        <v>20514</v>
      </c>
      <c r="S3549" s="56" t="s">
        <v>840</v>
      </c>
      <c r="T3549" s="56">
        <v>0</v>
      </c>
      <c r="U3549" s="56">
        <v>0</v>
      </c>
      <c r="V3549" s="56">
        <v>0</v>
      </c>
      <c r="W3549" s="56">
        <v>0</v>
      </c>
      <c r="X3549" s="56">
        <v>0</v>
      </c>
      <c r="Y3549" s="56">
        <v>0</v>
      </c>
      <c r="Z3549" s="56">
        <v>0</v>
      </c>
      <c r="AA3549" s="56">
        <v>0</v>
      </c>
      <c r="AB3549" s="56">
        <v>0</v>
      </c>
      <c r="AC3549" s="56">
        <v>0</v>
      </c>
      <c r="AD3549" s="56">
        <v>0</v>
      </c>
      <c r="AE3549" s="56">
        <v>0</v>
      </c>
      <c r="AF3549" s="56" t="s">
        <v>92</v>
      </c>
      <c r="AG3549" s="56" t="s">
        <v>879</v>
      </c>
      <c r="AH3549" s="72">
        <v>44869</v>
      </c>
      <c r="AI3549" s="56">
        <v>5</v>
      </c>
      <c r="AJ3549" s="56" t="s">
        <v>20556</v>
      </c>
      <c r="AK3549" s="56" t="s">
        <v>20557</v>
      </c>
      <c r="AL3549" s="157">
        <v>44875</v>
      </c>
      <c r="AM3549" s="56"/>
      <c r="AN3549" s="157">
        <v>45125</v>
      </c>
      <c r="AO3549" s="157">
        <v>45092</v>
      </c>
    </row>
    <row r="3550" spans="1:55" ht="36.75" customHeight="1">
      <c r="A3550" s="46" t="s">
        <v>12471</v>
      </c>
      <c r="B3550" s="30" t="s">
        <v>55</v>
      </c>
      <c r="C3550" s="69" t="str">
        <f t="shared" si="313"/>
        <v>Closed</v>
      </c>
      <c r="D3550" s="37" t="s">
        <v>20558</v>
      </c>
      <c r="E3550" s="55" t="s">
        <v>20559</v>
      </c>
      <c r="F3550" s="56" t="s">
        <v>17057</v>
      </c>
      <c r="G3550" s="88">
        <f>DATE(2022,11,3)</f>
        <v>44868</v>
      </c>
      <c r="H3550" s="142">
        <v>1.78125</v>
      </c>
      <c r="I3550" s="56" t="s">
        <v>86</v>
      </c>
      <c r="J3550" s="56" t="s">
        <v>20560</v>
      </c>
      <c r="K3550" s="56" t="s">
        <v>2338</v>
      </c>
      <c r="L3550" s="56" t="s">
        <v>20561</v>
      </c>
      <c r="M3550" s="56" t="s">
        <v>63</v>
      </c>
      <c r="N3550" s="56" t="s">
        <v>142</v>
      </c>
      <c r="O3550" s="56" t="s">
        <v>86</v>
      </c>
      <c r="P3550" s="56" t="s">
        <v>165</v>
      </c>
      <c r="Q3550" s="56" t="s">
        <v>20562</v>
      </c>
      <c r="R3550" s="56" t="s">
        <v>20514</v>
      </c>
      <c r="S3550" s="56" t="s">
        <v>840</v>
      </c>
      <c r="T3550" s="56">
        <v>0</v>
      </c>
      <c r="U3550" s="56">
        <v>0</v>
      </c>
      <c r="V3550" s="56">
        <v>0</v>
      </c>
      <c r="W3550" s="56">
        <v>0</v>
      </c>
      <c r="X3550" s="56">
        <v>0</v>
      </c>
      <c r="Y3550" s="56">
        <v>0</v>
      </c>
      <c r="Z3550" s="56">
        <v>0</v>
      </c>
      <c r="AA3550" s="56">
        <v>0</v>
      </c>
      <c r="AB3550" s="56">
        <v>0</v>
      </c>
      <c r="AC3550" s="56">
        <v>0</v>
      </c>
      <c r="AD3550" s="56">
        <v>0</v>
      </c>
      <c r="AE3550" s="56">
        <v>0</v>
      </c>
      <c r="AF3550" s="56" t="s">
        <v>92</v>
      </c>
      <c r="AG3550" s="56" t="s">
        <v>879</v>
      </c>
      <c r="AH3550" s="72">
        <v>44935</v>
      </c>
      <c r="AI3550" s="56">
        <v>6</v>
      </c>
      <c r="AJ3550" s="56" t="s">
        <v>20563</v>
      </c>
      <c r="AK3550" s="56" t="s">
        <v>20564</v>
      </c>
      <c r="AL3550" s="157">
        <v>44938</v>
      </c>
      <c r="AM3550" s="56"/>
      <c r="AN3550" s="195">
        <v>45230</v>
      </c>
      <c r="AO3550" s="195">
        <v>45176</v>
      </c>
    </row>
    <row r="3551" spans="1:55" ht="36.75" customHeight="1">
      <c r="A3551" s="46" t="s">
        <v>12471</v>
      </c>
      <c r="B3551" s="30" t="s">
        <v>55</v>
      </c>
      <c r="C3551" s="69" t="str">
        <f t="shared" si="313"/>
        <v>Closed</v>
      </c>
      <c r="D3551" s="37" t="s">
        <v>20565</v>
      </c>
      <c r="E3551" s="55" t="s">
        <v>20566</v>
      </c>
      <c r="F3551" s="56" t="s">
        <v>17344</v>
      </c>
      <c r="G3551" s="88">
        <f>DATE(2022,11,4)</f>
        <v>44869</v>
      </c>
      <c r="H3551" s="142">
        <v>1.0833333333333333</v>
      </c>
      <c r="I3551" s="56" t="s">
        <v>156</v>
      </c>
      <c r="J3551" s="56" t="s">
        <v>20567</v>
      </c>
      <c r="K3551" s="56" t="s">
        <v>127</v>
      </c>
      <c r="L3551" s="56" t="s">
        <v>20568</v>
      </c>
      <c r="M3551" s="56" t="s">
        <v>63</v>
      </c>
      <c r="N3551" s="56" t="s">
        <v>99</v>
      </c>
      <c r="O3551" s="56" t="s">
        <v>64</v>
      </c>
      <c r="P3551" s="56" t="s">
        <v>78</v>
      </c>
      <c r="Q3551" s="56" t="s">
        <v>401</v>
      </c>
      <c r="R3551" s="56" t="s">
        <v>20514</v>
      </c>
      <c r="S3551" s="56" t="s">
        <v>840</v>
      </c>
      <c r="T3551" s="56">
        <v>0</v>
      </c>
      <c r="U3551" s="56">
        <v>0</v>
      </c>
      <c r="V3551" s="56">
        <v>0</v>
      </c>
      <c r="W3551" s="56">
        <v>0</v>
      </c>
      <c r="X3551" s="56">
        <v>0</v>
      </c>
      <c r="Y3551" s="56">
        <v>0</v>
      </c>
      <c r="Z3551" s="56">
        <v>0</v>
      </c>
      <c r="AA3551" s="56">
        <v>0</v>
      </c>
      <c r="AB3551" s="56">
        <v>0</v>
      </c>
      <c r="AC3551" s="56">
        <v>0</v>
      </c>
      <c r="AD3551" s="56">
        <v>0</v>
      </c>
      <c r="AE3551" s="56">
        <v>0</v>
      </c>
      <c r="AF3551" s="56" t="s">
        <v>92</v>
      </c>
      <c r="AG3551" s="56" t="s">
        <v>879</v>
      </c>
      <c r="AH3551" s="72">
        <v>44875</v>
      </c>
      <c r="AI3551" s="56">
        <v>2</v>
      </c>
      <c r="AJ3551" s="56" t="s">
        <v>20569</v>
      </c>
      <c r="AK3551" s="56" t="s">
        <v>20570</v>
      </c>
      <c r="AL3551" s="157">
        <v>44876</v>
      </c>
      <c r="AM3551" s="56"/>
      <c r="AN3551" s="195">
        <v>45308</v>
      </c>
      <c r="AO3551" s="195">
        <v>45301</v>
      </c>
    </row>
    <row r="3552" spans="1:55" ht="36.75" customHeight="1">
      <c r="A3552" s="46" t="s">
        <v>12471</v>
      </c>
      <c r="B3552" s="30" t="s">
        <v>55</v>
      </c>
      <c r="C3552" s="69" t="str">
        <f t="shared" si="313"/>
        <v>Closed</v>
      </c>
      <c r="D3552" s="36" t="s">
        <v>20571</v>
      </c>
      <c r="E3552" s="55" t="s">
        <v>20572</v>
      </c>
      <c r="F3552" s="56" t="s">
        <v>17820</v>
      </c>
      <c r="G3552" s="88">
        <f>DATE(2022,11,5)</f>
        <v>44870</v>
      </c>
      <c r="H3552" s="142">
        <v>1.4375</v>
      </c>
      <c r="I3552" s="56" t="s">
        <v>18340</v>
      </c>
      <c r="J3552" s="56" t="s">
        <v>20573</v>
      </c>
      <c r="K3552" s="56" t="s">
        <v>640</v>
      </c>
      <c r="L3552" s="56" t="s">
        <v>20574</v>
      </c>
      <c r="M3552" s="56" t="s">
        <v>63</v>
      </c>
      <c r="N3552" s="56" t="s">
        <v>142</v>
      </c>
      <c r="O3552" s="56" t="s">
        <v>77</v>
      </c>
      <c r="P3552" s="56" t="s">
        <v>6902</v>
      </c>
      <c r="Q3552" s="56" t="s">
        <v>18509</v>
      </c>
      <c r="R3552" s="56" t="s">
        <v>20514</v>
      </c>
      <c r="S3552" s="56" t="s">
        <v>840</v>
      </c>
      <c r="T3552" s="56">
        <v>0</v>
      </c>
      <c r="U3552" s="56">
        <v>0</v>
      </c>
      <c r="V3552" s="56">
        <v>0</v>
      </c>
      <c r="W3552" s="56">
        <v>0</v>
      </c>
      <c r="X3552" s="56">
        <v>0</v>
      </c>
      <c r="Y3552" s="56">
        <v>0</v>
      </c>
      <c r="Z3552" s="56">
        <v>0</v>
      </c>
      <c r="AA3552" s="56">
        <v>0</v>
      </c>
      <c r="AB3552" s="56">
        <v>0</v>
      </c>
      <c r="AC3552" s="56">
        <v>0</v>
      </c>
      <c r="AD3552" s="56">
        <v>0</v>
      </c>
      <c r="AE3552" s="56">
        <v>0</v>
      </c>
      <c r="AF3552" s="56" t="s">
        <v>92</v>
      </c>
      <c r="AG3552" s="56" t="s">
        <v>879</v>
      </c>
      <c r="AH3552" s="72">
        <v>44980</v>
      </c>
      <c r="AI3552" s="56">
        <v>2</v>
      </c>
      <c r="AJ3552" s="56" t="s">
        <v>20575</v>
      </c>
      <c r="AK3552" s="56" t="s">
        <v>20576</v>
      </c>
      <c r="AL3552" s="157">
        <v>44985</v>
      </c>
      <c r="AM3552" s="56"/>
      <c r="AN3552" s="195">
        <v>45089</v>
      </c>
      <c r="AO3552" s="195">
        <v>45084</v>
      </c>
    </row>
    <row r="3553" spans="1:55" ht="36.75" customHeight="1">
      <c r="A3553" s="46" t="s">
        <v>12471</v>
      </c>
      <c r="B3553" s="30" t="s">
        <v>55</v>
      </c>
      <c r="C3553" s="69" t="str">
        <f t="shared" si="313"/>
        <v>Closed</v>
      </c>
      <c r="D3553" s="37" t="s">
        <v>20577</v>
      </c>
      <c r="E3553" s="55" t="s">
        <v>20578</v>
      </c>
      <c r="F3553" s="56" t="s">
        <v>16702</v>
      </c>
      <c r="G3553" s="88">
        <f>DATE(2022,11,6)</f>
        <v>44871</v>
      </c>
      <c r="H3553" s="142">
        <v>1.4756944444444444</v>
      </c>
      <c r="I3553" s="56" t="s">
        <v>6775</v>
      </c>
      <c r="J3553" s="56" t="s">
        <v>20579</v>
      </c>
      <c r="K3553" s="56" t="s">
        <v>596</v>
      </c>
      <c r="L3553" s="56" t="s">
        <v>20580</v>
      </c>
      <c r="M3553" s="56" t="s">
        <v>63</v>
      </c>
      <c r="N3553" s="56" t="s">
        <v>99</v>
      </c>
      <c r="O3553" s="56" t="s">
        <v>64</v>
      </c>
      <c r="P3553" s="56" t="s">
        <v>165</v>
      </c>
      <c r="Q3553" s="56" t="s">
        <v>17292</v>
      </c>
      <c r="R3553" s="56" t="s">
        <v>20514</v>
      </c>
      <c r="S3553" s="56" t="s">
        <v>840</v>
      </c>
      <c r="T3553" s="56">
        <v>0</v>
      </c>
      <c r="U3553" s="56">
        <v>0</v>
      </c>
      <c r="V3553" s="56">
        <v>0</v>
      </c>
      <c r="W3553" s="56">
        <v>0</v>
      </c>
      <c r="X3553" s="56">
        <v>0</v>
      </c>
      <c r="Y3553" s="56">
        <v>0</v>
      </c>
      <c r="Z3553" s="56">
        <v>0</v>
      </c>
      <c r="AA3553" s="56">
        <v>0</v>
      </c>
      <c r="AB3553" s="56">
        <v>0</v>
      </c>
      <c r="AC3553" s="56">
        <v>0</v>
      </c>
      <c r="AD3553" s="56">
        <v>0</v>
      </c>
      <c r="AE3553" s="56">
        <v>0</v>
      </c>
      <c r="AF3553" s="56" t="s">
        <v>92</v>
      </c>
      <c r="AG3553" s="56" t="s">
        <v>879</v>
      </c>
      <c r="AH3553" s="72">
        <v>44932</v>
      </c>
      <c r="AI3553" s="56">
        <v>4</v>
      </c>
      <c r="AJ3553" s="56" t="s">
        <v>20581</v>
      </c>
      <c r="AK3553" s="56" t="s">
        <v>20582</v>
      </c>
      <c r="AL3553" s="157">
        <v>44963</v>
      </c>
      <c r="AM3553" s="56"/>
      <c r="AN3553" s="195">
        <v>45273</v>
      </c>
      <c r="AO3553" s="195">
        <v>45273</v>
      </c>
    </row>
    <row r="3554" spans="1:55" ht="36.75" customHeight="1">
      <c r="A3554" s="46" t="s">
        <v>12471</v>
      </c>
      <c r="B3554" s="30" t="s">
        <v>55</v>
      </c>
      <c r="C3554" s="69" t="str">
        <f t="shared" si="313"/>
        <v>Closed</v>
      </c>
      <c r="D3554" s="37" t="s">
        <v>20583</v>
      </c>
      <c r="E3554" s="55" t="s">
        <v>20584</v>
      </c>
      <c r="F3554" s="56" t="s">
        <v>18131</v>
      </c>
      <c r="G3554" s="88">
        <f>DATE(2022,11,7)</f>
        <v>44872</v>
      </c>
      <c r="H3554" s="142">
        <v>1.5694444444444444</v>
      </c>
      <c r="I3554" s="56" t="s">
        <v>73</v>
      </c>
      <c r="J3554" s="56" t="s">
        <v>20585</v>
      </c>
      <c r="K3554" s="56" t="s">
        <v>379</v>
      </c>
      <c r="L3554" s="56" t="s">
        <v>20586</v>
      </c>
      <c r="M3554" s="56" t="s">
        <v>63</v>
      </c>
      <c r="N3554" s="56" t="s">
        <v>99</v>
      </c>
      <c r="O3554" s="56" t="s">
        <v>77</v>
      </c>
      <c r="P3554" s="56" t="s">
        <v>165</v>
      </c>
      <c r="Q3554" s="56" t="s">
        <v>20587</v>
      </c>
      <c r="R3554" s="56" t="s">
        <v>20514</v>
      </c>
      <c r="S3554" s="56" t="s">
        <v>840</v>
      </c>
      <c r="T3554" s="56">
        <v>0</v>
      </c>
      <c r="U3554" s="56">
        <v>0</v>
      </c>
      <c r="V3554" s="56">
        <v>0</v>
      </c>
      <c r="W3554" s="56">
        <v>0</v>
      </c>
      <c r="X3554" s="56">
        <v>0</v>
      </c>
      <c r="Y3554" s="56">
        <v>0</v>
      </c>
      <c r="Z3554" s="56">
        <v>0</v>
      </c>
      <c r="AA3554" s="56">
        <v>0</v>
      </c>
      <c r="AB3554" s="56">
        <v>0</v>
      </c>
      <c r="AC3554" s="56">
        <v>0</v>
      </c>
      <c r="AD3554" s="56">
        <v>0</v>
      </c>
      <c r="AE3554" s="56">
        <v>0</v>
      </c>
      <c r="AF3554" s="56" t="s">
        <v>92</v>
      </c>
      <c r="AG3554" s="56" t="s">
        <v>879</v>
      </c>
      <c r="AH3554" s="72">
        <v>44873</v>
      </c>
      <c r="AI3554" s="56">
        <v>5</v>
      </c>
      <c r="AJ3554" s="56" t="s">
        <v>20588</v>
      </c>
      <c r="AK3554" s="56" t="s">
        <v>20589</v>
      </c>
      <c r="AL3554" s="157">
        <v>44879</v>
      </c>
      <c r="AM3554" s="61"/>
      <c r="AN3554" s="157">
        <v>44908</v>
      </c>
      <c r="AO3554" s="157">
        <v>44875</v>
      </c>
    </row>
    <row r="3555" spans="1:55" ht="36.75" customHeight="1">
      <c r="A3555" s="46" t="s">
        <v>12471</v>
      </c>
      <c r="B3555" s="30" t="s">
        <v>55</v>
      </c>
      <c r="C3555" s="69" t="str">
        <f t="shared" si="313"/>
        <v>Closed</v>
      </c>
      <c r="D3555" s="37" t="s">
        <v>20590</v>
      </c>
      <c r="E3555" s="55" t="s">
        <v>20591</v>
      </c>
      <c r="F3555" s="56" t="s">
        <v>16429</v>
      </c>
      <c r="G3555" s="88">
        <f>DATE(2022,11,9)</f>
        <v>44874</v>
      </c>
      <c r="H3555" s="142">
        <v>1.8430555555555554</v>
      </c>
      <c r="I3555" s="56" t="s">
        <v>198</v>
      </c>
      <c r="J3555" s="56" t="s">
        <v>20592</v>
      </c>
      <c r="K3555" s="56" t="s">
        <v>425</v>
      </c>
      <c r="L3555" s="56" t="s">
        <v>20593</v>
      </c>
      <c r="M3555" s="56" t="s">
        <v>63</v>
      </c>
      <c r="N3555" s="56" t="s">
        <v>142</v>
      </c>
      <c r="O3555" s="56" t="s">
        <v>77</v>
      </c>
      <c r="P3555" s="56" t="s">
        <v>20594</v>
      </c>
      <c r="Q3555" s="56" t="s">
        <v>18098</v>
      </c>
      <c r="R3555" s="56" t="s">
        <v>20514</v>
      </c>
      <c r="S3555" s="56" t="s">
        <v>840</v>
      </c>
      <c r="T3555" s="56">
        <v>0</v>
      </c>
      <c r="U3555" s="56">
        <v>0</v>
      </c>
      <c r="V3555" s="56">
        <v>0</v>
      </c>
      <c r="W3555" s="56">
        <v>0</v>
      </c>
      <c r="X3555" s="56">
        <v>0</v>
      </c>
      <c r="Y3555" s="56">
        <v>0</v>
      </c>
      <c r="Z3555" s="56">
        <v>0</v>
      </c>
      <c r="AA3555" s="56">
        <v>0</v>
      </c>
      <c r="AB3555" s="56">
        <v>0</v>
      </c>
      <c r="AC3555" s="56">
        <v>0</v>
      </c>
      <c r="AD3555" s="56">
        <v>0</v>
      </c>
      <c r="AE3555" s="56">
        <v>0</v>
      </c>
      <c r="AF3555" s="56" t="s">
        <v>92</v>
      </c>
      <c r="AG3555" s="56" t="s">
        <v>879</v>
      </c>
      <c r="AH3555" s="72">
        <v>44874</v>
      </c>
      <c r="AI3555" s="56">
        <v>1</v>
      </c>
      <c r="AJ3555" s="56" t="s">
        <v>20595</v>
      </c>
      <c r="AK3555" s="56" t="s">
        <v>879</v>
      </c>
      <c r="AL3555" s="157">
        <v>44877</v>
      </c>
      <c r="AM3555" s="56"/>
      <c r="AN3555" s="157">
        <v>45237</v>
      </c>
      <c r="AO3555" s="157">
        <v>45236</v>
      </c>
    </row>
    <row r="3556" spans="1:55" ht="36.75" customHeight="1">
      <c r="A3556" s="46" t="s">
        <v>12471</v>
      </c>
      <c r="B3556" s="30" t="s">
        <v>2124</v>
      </c>
      <c r="C3556" s="69" t="str">
        <f t="shared" si="313"/>
        <v>Open</v>
      </c>
      <c r="D3556" s="36" t="s">
        <v>20596</v>
      </c>
      <c r="E3556" s="55" t="s">
        <v>20597</v>
      </c>
      <c r="F3556" s="56" t="s">
        <v>17578</v>
      </c>
      <c r="G3556" s="88">
        <f>DATE(2022,11,9)</f>
        <v>44874</v>
      </c>
      <c r="H3556" s="142">
        <v>1.2465277777777777</v>
      </c>
      <c r="I3556" s="56" t="s">
        <v>198</v>
      </c>
      <c r="J3556" s="56" t="s">
        <v>20598</v>
      </c>
      <c r="K3556" s="56" t="s">
        <v>837</v>
      </c>
      <c r="L3556" s="56" t="s">
        <v>20599</v>
      </c>
      <c r="M3556" s="56" t="s">
        <v>255</v>
      </c>
      <c r="N3556" s="56" t="s">
        <v>142</v>
      </c>
      <c r="O3556" s="56" t="s">
        <v>64</v>
      </c>
      <c r="P3556" s="56" t="s">
        <v>6552</v>
      </c>
      <c r="Q3556" s="56" t="s">
        <v>20600</v>
      </c>
      <c r="R3556" s="56" t="s">
        <v>20514</v>
      </c>
      <c r="S3556" s="56" t="s">
        <v>840</v>
      </c>
      <c r="T3556" s="56">
        <v>0</v>
      </c>
      <c r="U3556" s="56">
        <v>0</v>
      </c>
      <c r="V3556" s="56">
        <v>0</v>
      </c>
      <c r="W3556" s="56">
        <v>0</v>
      </c>
      <c r="X3556" s="56">
        <v>0</v>
      </c>
      <c r="Y3556" s="56">
        <v>0</v>
      </c>
      <c r="Z3556" s="56">
        <v>0</v>
      </c>
      <c r="AA3556" s="56">
        <v>0</v>
      </c>
      <c r="AB3556" s="56">
        <v>0</v>
      </c>
      <c r="AC3556" s="56">
        <v>0</v>
      </c>
      <c r="AD3556" s="56">
        <v>0</v>
      </c>
      <c r="AE3556" s="56">
        <v>0</v>
      </c>
      <c r="AF3556" s="56" t="s">
        <v>92</v>
      </c>
      <c r="AG3556" s="56" t="s">
        <v>879</v>
      </c>
      <c r="AH3556" s="72">
        <v>44874</v>
      </c>
      <c r="AI3556" s="56"/>
      <c r="AJ3556" s="56"/>
      <c r="AK3556" s="56"/>
      <c r="AL3556" s="157">
        <v>44895</v>
      </c>
      <c r="AM3556" s="56"/>
      <c r="AN3556" s="158"/>
      <c r="AO3556" s="158"/>
    </row>
    <row r="3557" spans="1:55" ht="36.75" customHeight="1">
      <c r="A3557" s="46" t="s">
        <v>12471</v>
      </c>
      <c r="B3557" s="30" t="s">
        <v>55</v>
      </c>
      <c r="C3557" s="69" t="str">
        <f t="shared" si="313"/>
        <v>Closed</v>
      </c>
      <c r="D3557" s="37" t="s">
        <v>20601</v>
      </c>
      <c r="E3557" s="55" t="s">
        <v>20602</v>
      </c>
      <c r="F3557" s="56" t="s">
        <v>12910</v>
      </c>
      <c r="G3557" s="88">
        <f>DATE(2022,11,12)</f>
        <v>44877</v>
      </c>
      <c r="H3557" s="142">
        <v>1.1284722222222223</v>
      </c>
      <c r="I3557" s="56" t="s">
        <v>278</v>
      </c>
      <c r="J3557" s="56" t="s">
        <v>20603</v>
      </c>
      <c r="K3557" s="56" t="s">
        <v>453</v>
      </c>
      <c r="L3557" s="56" t="s">
        <v>12900</v>
      </c>
      <c r="M3557" s="56" t="s">
        <v>63</v>
      </c>
      <c r="N3557" s="56" t="s">
        <v>89</v>
      </c>
      <c r="O3557" s="56" t="s">
        <v>64</v>
      </c>
      <c r="P3557" s="56" t="s">
        <v>65</v>
      </c>
      <c r="Q3557" s="56" t="s">
        <v>14384</v>
      </c>
      <c r="R3557" s="56" t="s">
        <v>20514</v>
      </c>
      <c r="S3557" s="56" t="s">
        <v>840</v>
      </c>
      <c r="T3557" s="56">
        <v>0</v>
      </c>
      <c r="U3557" s="56">
        <v>0</v>
      </c>
      <c r="V3557" s="56">
        <v>0</v>
      </c>
      <c r="W3557" s="56">
        <v>0</v>
      </c>
      <c r="X3557" s="56">
        <v>0</v>
      </c>
      <c r="Y3557" s="56">
        <v>0</v>
      </c>
      <c r="Z3557" s="56">
        <v>0</v>
      </c>
      <c r="AA3557" s="56">
        <v>0</v>
      </c>
      <c r="AB3557" s="56">
        <v>0</v>
      </c>
      <c r="AC3557" s="56">
        <v>0</v>
      </c>
      <c r="AD3557" s="56">
        <v>0</v>
      </c>
      <c r="AE3557" s="56">
        <v>0</v>
      </c>
      <c r="AF3557" s="56" t="s">
        <v>92</v>
      </c>
      <c r="AG3557" s="206" t="s">
        <v>879</v>
      </c>
      <c r="AH3557" s="72">
        <v>44879</v>
      </c>
      <c r="AI3557" s="56">
        <v>0</v>
      </c>
      <c r="AJ3557" s="56" t="s">
        <v>20604</v>
      </c>
      <c r="AK3557" s="56" t="s">
        <v>20605</v>
      </c>
      <c r="AL3557" s="157">
        <v>44881</v>
      </c>
      <c r="AM3557" s="61"/>
      <c r="AN3557" s="195">
        <v>45223</v>
      </c>
      <c r="AO3557" s="195">
        <v>45223</v>
      </c>
    </row>
    <row r="3558" spans="1:55" ht="36.75" customHeight="1">
      <c r="A3558" s="46" t="s">
        <v>12471</v>
      </c>
      <c r="B3558" s="30" t="s">
        <v>55</v>
      </c>
      <c r="C3558" s="69" t="str">
        <f t="shared" si="313"/>
        <v>Closed</v>
      </c>
      <c r="D3558" s="37" t="s">
        <v>20606</v>
      </c>
      <c r="E3558" s="55" t="s">
        <v>20607</v>
      </c>
      <c r="F3558" s="56" t="s">
        <v>17682</v>
      </c>
      <c r="G3558" s="88">
        <f>DATE(2022,11,13)</f>
        <v>44878</v>
      </c>
      <c r="H3558" s="142">
        <v>1.2430555555555556</v>
      </c>
      <c r="I3558" s="56" t="s">
        <v>73</v>
      </c>
      <c r="J3558" s="56" t="s">
        <v>20608</v>
      </c>
      <c r="K3558" s="56" t="s">
        <v>1574</v>
      </c>
      <c r="L3558" s="56" t="s">
        <v>20609</v>
      </c>
      <c r="M3558" s="56" t="s">
        <v>63</v>
      </c>
      <c r="N3558" s="56" t="s">
        <v>99</v>
      </c>
      <c r="O3558" s="56" t="s">
        <v>64</v>
      </c>
      <c r="P3558" s="56" t="s">
        <v>78</v>
      </c>
      <c r="Q3558" s="56" t="s">
        <v>18063</v>
      </c>
      <c r="R3558" s="56" t="s">
        <v>17686</v>
      </c>
      <c r="S3558" s="56">
        <v>0</v>
      </c>
      <c r="T3558" s="56">
        <v>0</v>
      </c>
      <c r="U3558" s="56">
        <v>0</v>
      </c>
      <c r="V3558" s="56">
        <v>0</v>
      </c>
      <c r="W3558" s="56">
        <v>0</v>
      </c>
      <c r="X3558" s="56">
        <v>0</v>
      </c>
      <c r="Y3558" s="56">
        <v>0</v>
      </c>
      <c r="Z3558" s="56">
        <v>0</v>
      </c>
      <c r="AA3558" s="56">
        <v>0</v>
      </c>
      <c r="AB3558" s="56">
        <v>0</v>
      </c>
      <c r="AC3558" s="56">
        <v>0</v>
      </c>
      <c r="AD3558" s="56">
        <v>0</v>
      </c>
      <c r="AE3558" s="56" t="s">
        <v>92</v>
      </c>
      <c r="AF3558" s="56" t="s">
        <v>20610</v>
      </c>
      <c r="AG3558" s="56" t="s">
        <v>8859</v>
      </c>
      <c r="AH3558" s="72">
        <v>44879</v>
      </c>
      <c r="AI3558" s="56">
        <v>0</v>
      </c>
      <c r="AJ3558" s="56" t="s">
        <v>20611</v>
      </c>
      <c r="AK3558" s="56" t="s">
        <v>20612</v>
      </c>
      <c r="AL3558" s="157">
        <v>44880</v>
      </c>
      <c r="AM3558" s="56"/>
      <c r="AN3558" s="157">
        <v>45243</v>
      </c>
      <c r="AO3558" s="157">
        <v>45239</v>
      </c>
    </row>
    <row r="3559" spans="1:55" ht="36.75" customHeight="1">
      <c r="A3559" s="46" t="s">
        <v>12471</v>
      </c>
      <c r="B3559" s="30" t="s">
        <v>2124</v>
      </c>
      <c r="C3559" s="69" t="str">
        <f t="shared" si="313"/>
        <v>Open</v>
      </c>
      <c r="D3559" s="36" t="s">
        <v>20613</v>
      </c>
      <c r="E3559" s="55" t="s">
        <v>20614</v>
      </c>
      <c r="F3559" s="56" t="s">
        <v>17578</v>
      </c>
      <c r="G3559" s="88">
        <f>DATE(2022,11,13)</f>
        <v>44878</v>
      </c>
      <c r="H3559" s="142">
        <v>1.2118055555555556</v>
      </c>
      <c r="I3559" s="56" t="s">
        <v>4610</v>
      </c>
      <c r="J3559" s="56" t="s">
        <v>20615</v>
      </c>
      <c r="K3559" s="56" t="s">
        <v>837</v>
      </c>
      <c r="L3559" s="56" t="s">
        <v>20616</v>
      </c>
      <c r="M3559" s="56" t="s">
        <v>63</v>
      </c>
      <c r="N3559" s="56" t="s">
        <v>99</v>
      </c>
      <c r="O3559" s="56" t="s">
        <v>77</v>
      </c>
      <c r="P3559" s="56" t="s">
        <v>78</v>
      </c>
      <c r="Q3559" s="56" t="s">
        <v>20617</v>
      </c>
      <c r="R3559" s="56" t="s">
        <v>840</v>
      </c>
      <c r="S3559" s="56"/>
      <c r="T3559" s="56"/>
      <c r="U3559" s="56"/>
      <c r="V3559" s="56"/>
      <c r="W3559" s="56"/>
      <c r="X3559" s="56">
        <v>0</v>
      </c>
      <c r="Y3559" s="56"/>
      <c r="Z3559" s="56"/>
      <c r="AA3559" s="56"/>
      <c r="AB3559" s="56"/>
      <c r="AC3559" s="56"/>
      <c r="AD3559" s="56">
        <v>0</v>
      </c>
      <c r="AE3559" s="56" t="s">
        <v>92</v>
      </c>
      <c r="AF3559" s="56" t="s">
        <v>20618</v>
      </c>
      <c r="AG3559" s="56" t="s">
        <v>8859</v>
      </c>
      <c r="AH3559" s="72">
        <v>44878</v>
      </c>
      <c r="AI3559" s="56"/>
      <c r="AJ3559" s="56"/>
      <c r="AK3559" s="56"/>
      <c r="AL3559" s="157">
        <v>44889</v>
      </c>
      <c r="AM3559" s="56"/>
      <c r="AN3559" s="158"/>
      <c r="AO3559" s="158"/>
    </row>
    <row r="3560" spans="1:55" ht="36.75" customHeight="1">
      <c r="A3560" s="46" t="s">
        <v>12471</v>
      </c>
      <c r="B3560" s="30" t="s">
        <v>2124</v>
      </c>
      <c r="C3560" s="69" t="str">
        <f t="shared" si="313"/>
        <v>Open</v>
      </c>
      <c r="D3560" s="36" t="s">
        <v>20619</v>
      </c>
      <c r="E3560" s="55" t="s">
        <v>20620</v>
      </c>
      <c r="F3560" s="56" t="s">
        <v>16310</v>
      </c>
      <c r="G3560" s="88">
        <f>DATE(2022,11,14)</f>
        <v>44879</v>
      </c>
      <c r="H3560" s="142">
        <v>1.7847222222222223</v>
      </c>
      <c r="I3560" s="56" t="s">
        <v>278</v>
      </c>
      <c r="J3560" s="56" t="s">
        <v>20621</v>
      </c>
      <c r="K3560" s="56" t="s">
        <v>118</v>
      </c>
      <c r="L3560" s="56" t="s">
        <v>20622</v>
      </c>
      <c r="M3560" s="56" t="s">
        <v>63</v>
      </c>
      <c r="N3560" s="56" t="s">
        <v>142</v>
      </c>
      <c r="O3560" s="56" t="s">
        <v>77</v>
      </c>
      <c r="P3560" s="56" t="s">
        <v>78</v>
      </c>
      <c r="Q3560" s="56" t="s">
        <v>20254</v>
      </c>
      <c r="R3560" s="56" t="s">
        <v>18214</v>
      </c>
      <c r="S3560" s="56">
        <v>0</v>
      </c>
      <c r="T3560" s="56">
        <v>0</v>
      </c>
      <c r="U3560" s="56">
        <v>0</v>
      </c>
      <c r="V3560" s="56">
        <v>2</v>
      </c>
      <c r="W3560" s="56">
        <v>0</v>
      </c>
      <c r="X3560" s="56">
        <v>2</v>
      </c>
      <c r="Y3560" s="56">
        <v>0</v>
      </c>
      <c r="Z3560" s="56">
        <v>0</v>
      </c>
      <c r="AA3560" s="56">
        <v>0</v>
      </c>
      <c r="AB3560" s="56">
        <v>0</v>
      </c>
      <c r="AC3560" s="56">
        <v>0</v>
      </c>
      <c r="AD3560" s="56">
        <v>0</v>
      </c>
      <c r="AE3560" s="56" t="s">
        <v>92</v>
      </c>
      <c r="AF3560" s="56" t="s">
        <v>17241</v>
      </c>
      <c r="AG3560" s="56" t="s">
        <v>8859</v>
      </c>
      <c r="AH3560" s="72">
        <v>44887</v>
      </c>
      <c r="AI3560" s="56"/>
      <c r="AJ3560" s="56"/>
      <c r="AK3560" s="56"/>
      <c r="AL3560" s="157">
        <v>44897</v>
      </c>
      <c r="AM3560" s="56"/>
      <c r="AN3560" s="158"/>
      <c r="AO3560" s="158"/>
      <c r="AP3560" s="157">
        <v>45304</v>
      </c>
      <c r="AQ3560" s="157">
        <v>45305</v>
      </c>
      <c r="AR3560" s="157">
        <v>45306</v>
      </c>
      <c r="AS3560" s="157">
        <v>45307</v>
      </c>
      <c r="AT3560" s="157">
        <v>45308</v>
      </c>
      <c r="AU3560" s="157">
        <v>45309</v>
      </c>
      <c r="AV3560" s="157">
        <v>45310</v>
      </c>
      <c r="AW3560" s="157">
        <v>45311</v>
      </c>
      <c r="AX3560" s="157">
        <v>45312</v>
      </c>
      <c r="AY3560" s="157">
        <v>45313</v>
      </c>
      <c r="AZ3560" s="157">
        <v>45314</v>
      </c>
      <c r="BA3560" s="157">
        <v>45315</v>
      </c>
      <c r="BB3560" s="157">
        <v>45316</v>
      </c>
      <c r="BC3560" s="157">
        <v>45317</v>
      </c>
    </row>
    <row r="3561" spans="1:55" ht="36.75" customHeight="1">
      <c r="A3561" s="46" t="s">
        <v>12471</v>
      </c>
      <c r="B3561" s="30" t="s">
        <v>55</v>
      </c>
      <c r="C3561" s="69" t="str">
        <f t="shared" si="313"/>
        <v>Closed</v>
      </c>
      <c r="D3561" s="37" t="s">
        <v>20623</v>
      </c>
      <c r="E3561" s="55" t="s">
        <v>20624</v>
      </c>
      <c r="F3561" s="56" t="s">
        <v>9789</v>
      </c>
      <c r="G3561" s="88">
        <f>DATE(2022,11,14)</f>
        <v>44879</v>
      </c>
      <c r="H3561" s="142">
        <v>1.0972222222222223</v>
      </c>
      <c r="I3561" s="56" t="s">
        <v>198</v>
      </c>
      <c r="J3561" s="268" t="s">
        <v>20625</v>
      </c>
      <c r="K3561" s="56" t="s">
        <v>9791</v>
      </c>
      <c r="L3561" s="56" t="s">
        <v>20626</v>
      </c>
      <c r="M3561" s="56" t="s">
        <v>63</v>
      </c>
      <c r="N3561" s="56" t="s">
        <v>99</v>
      </c>
      <c r="O3561" s="56" t="s">
        <v>77</v>
      </c>
      <c r="P3561" s="56" t="s">
        <v>78</v>
      </c>
      <c r="Q3561" s="56" t="s">
        <v>20627</v>
      </c>
      <c r="R3561" s="56" t="s">
        <v>20317</v>
      </c>
      <c r="S3561" s="56">
        <v>0</v>
      </c>
      <c r="T3561" s="56">
        <v>0</v>
      </c>
      <c r="U3561" s="56">
        <v>0</v>
      </c>
      <c r="V3561" s="56">
        <v>0</v>
      </c>
      <c r="W3561" s="56">
        <v>0</v>
      </c>
      <c r="X3561" s="56">
        <v>0</v>
      </c>
      <c r="Y3561" s="56">
        <v>0</v>
      </c>
      <c r="Z3561" s="56">
        <v>0</v>
      </c>
      <c r="AA3561" s="56">
        <v>0</v>
      </c>
      <c r="AB3561" s="56">
        <v>0</v>
      </c>
      <c r="AC3561" s="56">
        <v>0</v>
      </c>
      <c r="AD3561" s="56">
        <v>0</v>
      </c>
      <c r="AE3561" s="56" t="s">
        <v>394</v>
      </c>
      <c r="AF3561" s="56" t="s">
        <v>20628</v>
      </c>
      <c r="AG3561" s="56" t="s">
        <v>8859</v>
      </c>
      <c r="AH3561" s="72">
        <v>44888</v>
      </c>
      <c r="AI3561" s="56">
        <v>1</v>
      </c>
      <c r="AJ3561" s="56" t="s">
        <v>20629</v>
      </c>
      <c r="AK3561" s="56" t="s">
        <v>20630</v>
      </c>
      <c r="AL3561" s="157">
        <v>44900</v>
      </c>
      <c r="AM3561" s="195">
        <v>45274</v>
      </c>
      <c r="AN3561" s="195">
        <v>45295</v>
      </c>
      <c r="AO3561" s="195">
        <v>45289</v>
      </c>
    </row>
    <row r="3562" spans="1:55" ht="36.75" customHeight="1">
      <c r="A3562" s="46" t="s">
        <v>12471</v>
      </c>
      <c r="B3562" s="30" t="s">
        <v>55</v>
      </c>
      <c r="C3562" s="69" t="str">
        <f t="shared" si="313"/>
        <v>Closed</v>
      </c>
      <c r="D3562" s="37" t="s">
        <v>20631</v>
      </c>
      <c r="E3562" s="55" t="s">
        <v>20632</v>
      </c>
      <c r="F3562" s="56" t="s">
        <v>18070</v>
      </c>
      <c r="G3562" s="88">
        <f>DATE(2022,11,16)</f>
        <v>44881</v>
      </c>
      <c r="H3562" s="142">
        <v>1.5381944444444444</v>
      </c>
      <c r="I3562" s="56" t="s">
        <v>116</v>
      </c>
      <c r="J3562" s="56" t="s">
        <v>20633</v>
      </c>
      <c r="K3562" s="56" t="s">
        <v>140</v>
      </c>
      <c r="L3562" s="56" t="s">
        <v>20634</v>
      </c>
      <c r="M3562" s="56" t="s">
        <v>63</v>
      </c>
      <c r="N3562" s="56" t="s">
        <v>99</v>
      </c>
      <c r="O3562" s="56" t="s">
        <v>6875</v>
      </c>
      <c r="P3562" s="56" t="s">
        <v>91</v>
      </c>
      <c r="Q3562" s="56" t="s">
        <v>19732</v>
      </c>
      <c r="R3562" s="56" t="s">
        <v>20635</v>
      </c>
      <c r="S3562" s="56">
        <v>0</v>
      </c>
      <c r="T3562" s="56">
        <v>1</v>
      </c>
      <c r="U3562" s="56">
        <v>0</v>
      </c>
      <c r="V3562" s="56">
        <v>0</v>
      </c>
      <c r="W3562" s="56">
        <v>0</v>
      </c>
      <c r="X3562" s="56">
        <v>1</v>
      </c>
      <c r="Y3562" s="56">
        <v>0</v>
      </c>
      <c r="Z3562" s="56">
        <v>0</v>
      </c>
      <c r="AA3562" s="56">
        <v>0</v>
      </c>
      <c r="AB3562" s="56">
        <v>0</v>
      </c>
      <c r="AC3562" s="56">
        <v>0</v>
      </c>
      <c r="AD3562" s="56">
        <v>0</v>
      </c>
      <c r="AE3562" s="56" t="s">
        <v>92</v>
      </c>
      <c r="AF3562" s="56" t="s">
        <v>20636</v>
      </c>
      <c r="AG3562" s="56" t="s">
        <v>13537</v>
      </c>
      <c r="AH3562" s="72">
        <v>44894</v>
      </c>
      <c r="AI3562" s="56">
        <v>0</v>
      </c>
      <c r="AJ3562" s="56" t="s">
        <v>20637</v>
      </c>
      <c r="AK3562" s="56" t="s">
        <v>20638</v>
      </c>
      <c r="AL3562" s="157">
        <v>44901</v>
      </c>
      <c r="AM3562" s="56"/>
      <c r="AN3562" s="157">
        <v>45244</v>
      </c>
      <c r="AO3562" s="157">
        <v>45230</v>
      </c>
    </row>
    <row r="3563" spans="1:55" ht="36.75" customHeight="1">
      <c r="A3563" s="46" t="s">
        <v>12471</v>
      </c>
      <c r="B3563" s="30" t="s">
        <v>55</v>
      </c>
      <c r="C3563" s="69" t="str">
        <f t="shared" si="313"/>
        <v>Closed</v>
      </c>
      <c r="D3563" s="36" t="s">
        <v>20639</v>
      </c>
      <c r="E3563" s="55" t="s">
        <v>20640</v>
      </c>
      <c r="F3563" s="56" t="s">
        <v>6455</v>
      </c>
      <c r="G3563" s="88">
        <f>DATE(2022,11,17)</f>
        <v>44882</v>
      </c>
      <c r="H3563" s="142">
        <v>1.1423611111111112</v>
      </c>
      <c r="I3563" s="56" t="s">
        <v>198</v>
      </c>
      <c r="J3563" s="56" t="s">
        <v>20641</v>
      </c>
      <c r="K3563" s="56" t="s">
        <v>584</v>
      </c>
      <c r="L3563" s="56" t="s">
        <v>20642</v>
      </c>
      <c r="M3563" s="56" t="s">
        <v>63</v>
      </c>
      <c r="N3563" s="56" t="s">
        <v>142</v>
      </c>
      <c r="O3563" s="56" t="s">
        <v>64</v>
      </c>
      <c r="P3563" s="56" t="s">
        <v>78</v>
      </c>
      <c r="Q3563" s="56" t="s">
        <v>20643</v>
      </c>
      <c r="R3563" s="56" t="s">
        <v>587</v>
      </c>
      <c r="S3563" s="56">
        <v>0</v>
      </c>
      <c r="T3563" s="56">
        <v>0</v>
      </c>
      <c r="U3563" s="56">
        <v>0</v>
      </c>
      <c r="V3563" s="56">
        <v>0</v>
      </c>
      <c r="W3563" s="56">
        <v>0</v>
      </c>
      <c r="X3563" s="56">
        <v>0</v>
      </c>
      <c r="Y3563" s="56">
        <v>0</v>
      </c>
      <c r="Z3563" s="56">
        <v>0</v>
      </c>
      <c r="AA3563" s="56">
        <v>0</v>
      </c>
      <c r="AB3563" s="56">
        <v>0</v>
      </c>
      <c r="AC3563" s="56">
        <v>0</v>
      </c>
      <c r="AD3563" s="56">
        <v>0</v>
      </c>
      <c r="AE3563" s="56" t="s">
        <v>145</v>
      </c>
      <c r="AF3563" s="56" t="s">
        <v>20644</v>
      </c>
      <c r="AG3563" s="56" t="s">
        <v>6459</v>
      </c>
      <c r="AH3563" s="72">
        <v>44882</v>
      </c>
      <c r="AI3563" s="56">
        <v>2</v>
      </c>
      <c r="AJ3563" s="56" t="s">
        <v>20645</v>
      </c>
      <c r="AK3563" s="56" t="s">
        <v>20646</v>
      </c>
      <c r="AL3563" s="157">
        <v>45071</v>
      </c>
      <c r="AM3563" s="195">
        <v>45604</v>
      </c>
      <c r="AN3563" s="195">
        <v>45709</v>
      </c>
      <c r="AO3563" s="195">
        <v>45691</v>
      </c>
    </row>
    <row r="3564" spans="1:55" ht="36.75" customHeight="1">
      <c r="A3564" s="46" t="s">
        <v>12471</v>
      </c>
      <c r="B3564" s="30" t="s">
        <v>2124</v>
      </c>
      <c r="C3564" s="69" t="str">
        <f t="shared" si="313"/>
        <v>Open</v>
      </c>
      <c r="D3564" s="36" t="s">
        <v>20647</v>
      </c>
      <c r="E3564" s="55" t="s">
        <v>20648</v>
      </c>
      <c r="F3564" s="56" t="s">
        <v>16702</v>
      </c>
      <c r="G3564" s="88">
        <f>DATE(2022,11,18)</f>
        <v>44883</v>
      </c>
      <c r="H3564" s="142">
        <v>1.1944444444444444</v>
      </c>
      <c r="I3564" s="56" t="s">
        <v>4610</v>
      </c>
      <c r="J3564" s="56" t="s">
        <v>20649</v>
      </c>
      <c r="K3564" s="56" t="s">
        <v>596</v>
      </c>
      <c r="L3564" s="56" t="s">
        <v>20650</v>
      </c>
      <c r="M3564" s="56" t="s">
        <v>63</v>
      </c>
      <c r="N3564" s="56" t="s">
        <v>142</v>
      </c>
      <c r="O3564" s="56" t="s">
        <v>77</v>
      </c>
      <c r="P3564" s="56" t="s">
        <v>301</v>
      </c>
      <c r="Q3564" s="56" t="s">
        <v>19899</v>
      </c>
      <c r="R3564" s="56" t="s">
        <v>17293</v>
      </c>
      <c r="S3564" s="56"/>
      <c r="T3564" s="56"/>
      <c r="U3564" s="56"/>
      <c r="V3564" s="56"/>
      <c r="W3564" s="56"/>
      <c r="X3564" s="56">
        <v>0</v>
      </c>
      <c r="Y3564" s="56"/>
      <c r="Z3564" s="56"/>
      <c r="AA3564" s="56"/>
      <c r="AB3564" s="56"/>
      <c r="AC3564" s="56"/>
      <c r="AD3564" s="56">
        <v>0</v>
      </c>
      <c r="AE3564" s="56" t="s">
        <v>92</v>
      </c>
      <c r="AF3564" s="56" t="s">
        <v>712</v>
      </c>
      <c r="AG3564" s="56" t="s">
        <v>13537</v>
      </c>
      <c r="AH3564" s="72">
        <v>44932</v>
      </c>
      <c r="AI3564" s="56"/>
      <c r="AJ3564" s="56"/>
      <c r="AK3564" s="56"/>
      <c r="AL3564" s="157">
        <v>44963</v>
      </c>
      <c r="AM3564" s="56"/>
      <c r="AN3564" s="158"/>
      <c r="AO3564" s="158"/>
    </row>
    <row r="3565" spans="1:55" ht="36.75" customHeight="1">
      <c r="A3565" s="46" t="s">
        <v>12471</v>
      </c>
      <c r="B3565" s="30" t="s">
        <v>55</v>
      </c>
      <c r="C3565" s="69" t="str">
        <f t="shared" si="313"/>
        <v>Closed</v>
      </c>
      <c r="D3565" s="37" t="s">
        <v>20651</v>
      </c>
      <c r="E3565" s="55" t="s">
        <v>20652</v>
      </c>
      <c r="F3565" s="56" t="s">
        <v>17578</v>
      </c>
      <c r="G3565" s="88">
        <f>DATE(2022,11,19)</f>
        <v>44884</v>
      </c>
      <c r="H3565" s="142">
        <v>1.0243055555555556</v>
      </c>
      <c r="I3565" s="56" t="s">
        <v>73</v>
      </c>
      <c r="J3565" s="56" t="s">
        <v>20653</v>
      </c>
      <c r="K3565" s="56" t="s">
        <v>837</v>
      </c>
      <c r="L3565" s="56" t="s">
        <v>20654</v>
      </c>
      <c r="M3565" s="56" t="s">
        <v>63</v>
      </c>
      <c r="N3565" s="56" t="s">
        <v>142</v>
      </c>
      <c r="O3565" s="56" t="s">
        <v>77</v>
      </c>
      <c r="P3565" s="56" t="s">
        <v>78</v>
      </c>
      <c r="Q3565" s="56" t="s">
        <v>20655</v>
      </c>
      <c r="R3565" s="56" t="s">
        <v>840</v>
      </c>
      <c r="S3565" s="56">
        <v>0</v>
      </c>
      <c r="T3565" s="56">
        <v>0</v>
      </c>
      <c r="U3565" s="56">
        <v>0</v>
      </c>
      <c r="V3565" s="56">
        <v>0</v>
      </c>
      <c r="W3565" s="56">
        <v>0</v>
      </c>
      <c r="X3565" s="56">
        <v>0</v>
      </c>
      <c r="Y3565" s="56">
        <v>0</v>
      </c>
      <c r="Z3565" s="56">
        <v>0</v>
      </c>
      <c r="AA3565" s="56">
        <v>0</v>
      </c>
      <c r="AB3565" s="56">
        <v>0</v>
      </c>
      <c r="AC3565" s="56">
        <v>0</v>
      </c>
      <c r="AD3565" s="56">
        <v>0</v>
      </c>
      <c r="AE3565" s="56" t="s">
        <v>92</v>
      </c>
      <c r="AF3565" s="56" t="s">
        <v>879</v>
      </c>
      <c r="AG3565" s="56" t="s">
        <v>8859</v>
      </c>
      <c r="AH3565" s="72">
        <v>44887</v>
      </c>
      <c r="AI3565" s="56">
        <v>0</v>
      </c>
      <c r="AJ3565" s="56" t="s">
        <v>20656</v>
      </c>
      <c r="AK3565" s="56" t="s">
        <v>879</v>
      </c>
      <c r="AL3565" s="157">
        <v>44887</v>
      </c>
      <c r="AM3565" s="56"/>
      <c r="AN3565" s="157">
        <v>45275</v>
      </c>
      <c r="AO3565" s="157">
        <v>45275</v>
      </c>
    </row>
    <row r="3566" spans="1:55" ht="36.75" customHeight="1">
      <c r="A3566" s="46" t="s">
        <v>12471</v>
      </c>
      <c r="B3566" s="30" t="s">
        <v>55</v>
      </c>
      <c r="C3566" s="69" t="str">
        <f t="shared" si="313"/>
        <v>Closed</v>
      </c>
      <c r="D3566" s="36" t="s">
        <v>20657</v>
      </c>
      <c r="E3566" s="55" t="s">
        <v>20658</v>
      </c>
      <c r="F3566" s="56" t="s">
        <v>12910</v>
      </c>
      <c r="G3566" s="88">
        <f>DATE(2022,11,19)</f>
        <v>44884</v>
      </c>
      <c r="H3566" s="142">
        <v>1.9722222222222223</v>
      </c>
      <c r="I3566" s="56" t="s">
        <v>278</v>
      </c>
      <c r="J3566" s="56" t="s">
        <v>20659</v>
      </c>
      <c r="K3566" s="56" t="s">
        <v>453</v>
      </c>
      <c r="L3566" s="56" t="s">
        <v>20660</v>
      </c>
      <c r="M3566" s="56" t="s">
        <v>63</v>
      </c>
      <c r="N3566" s="56" t="s">
        <v>142</v>
      </c>
      <c r="O3566" s="56" t="s">
        <v>77</v>
      </c>
      <c r="P3566" s="56" t="s">
        <v>65</v>
      </c>
      <c r="Q3566" s="56" t="s">
        <v>14384</v>
      </c>
      <c r="R3566" s="56" t="s">
        <v>572</v>
      </c>
      <c r="S3566" s="56">
        <v>0</v>
      </c>
      <c r="T3566" s="56">
        <v>0</v>
      </c>
      <c r="U3566" s="56">
        <v>0</v>
      </c>
      <c r="V3566" s="56">
        <v>1</v>
      </c>
      <c r="W3566" s="56">
        <v>0</v>
      </c>
      <c r="X3566" s="56">
        <v>1</v>
      </c>
      <c r="Y3566" s="56">
        <v>0</v>
      </c>
      <c r="Z3566" s="56">
        <v>0</v>
      </c>
      <c r="AA3566" s="56">
        <v>0</v>
      </c>
      <c r="AB3566" s="56">
        <v>0</v>
      </c>
      <c r="AC3566" s="56">
        <v>0</v>
      </c>
      <c r="AD3566" s="56">
        <v>0</v>
      </c>
      <c r="AE3566" s="56" t="s">
        <v>92</v>
      </c>
      <c r="AF3566" s="56">
        <v>0</v>
      </c>
      <c r="AG3566" s="56" t="s">
        <v>6459</v>
      </c>
      <c r="AH3566" s="72">
        <v>44886</v>
      </c>
      <c r="AI3566" s="56">
        <v>0</v>
      </c>
      <c r="AJ3566" s="56" t="s">
        <v>20661</v>
      </c>
      <c r="AK3566" s="56"/>
      <c r="AL3566" s="157">
        <v>44888</v>
      </c>
      <c r="AM3566" s="61"/>
      <c r="AN3566" s="195">
        <v>45047</v>
      </c>
      <c r="AO3566" s="195">
        <v>45047</v>
      </c>
    </row>
    <row r="3567" spans="1:55" ht="36.75" customHeight="1">
      <c r="A3567" s="46" t="s">
        <v>12471</v>
      </c>
      <c r="B3567" s="30" t="s">
        <v>2124</v>
      </c>
      <c r="C3567" s="69" t="str">
        <f t="shared" si="313"/>
        <v>Open</v>
      </c>
      <c r="D3567" s="36" t="s">
        <v>20662</v>
      </c>
      <c r="E3567" s="55" t="s">
        <v>20663</v>
      </c>
      <c r="F3567" s="56" t="s">
        <v>16310</v>
      </c>
      <c r="G3567" s="88">
        <f>DATE(2022,11,23)</f>
        <v>44888</v>
      </c>
      <c r="H3567" s="142">
        <v>1.7152777777777777</v>
      </c>
      <c r="I3567" s="56" t="s">
        <v>73</v>
      </c>
      <c r="J3567" s="56" t="s">
        <v>20664</v>
      </c>
      <c r="K3567" s="56" t="s">
        <v>118</v>
      </c>
      <c r="L3567" s="56" t="s">
        <v>20665</v>
      </c>
      <c r="M3567" s="56" t="s">
        <v>63</v>
      </c>
      <c r="N3567" s="56" t="s">
        <v>142</v>
      </c>
      <c r="O3567" s="56" t="s">
        <v>64</v>
      </c>
      <c r="P3567" s="56" t="s">
        <v>78</v>
      </c>
      <c r="Q3567" s="56" t="s">
        <v>20254</v>
      </c>
      <c r="R3567" s="56" t="s">
        <v>18214</v>
      </c>
      <c r="S3567" s="56">
        <v>0</v>
      </c>
      <c r="T3567" s="56">
        <v>0</v>
      </c>
      <c r="U3567" s="56">
        <v>0</v>
      </c>
      <c r="V3567" s="56">
        <v>0</v>
      </c>
      <c r="W3567" s="56">
        <v>0</v>
      </c>
      <c r="X3567" s="56">
        <v>0</v>
      </c>
      <c r="Y3567" s="56">
        <v>0</v>
      </c>
      <c r="Z3567" s="56">
        <v>0</v>
      </c>
      <c r="AA3567" s="56">
        <v>0</v>
      </c>
      <c r="AB3567" s="56">
        <v>0</v>
      </c>
      <c r="AC3567" s="56">
        <v>0</v>
      </c>
      <c r="AD3567" s="56">
        <v>0</v>
      </c>
      <c r="AE3567" s="56" t="s">
        <v>145</v>
      </c>
      <c r="AF3567" s="56" t="s">
        <v>20666</v>
      </c>
      <c r="AG3567" s="56" t="s">
        <v>6459</v>
      </c>
      <c r="AH3567" s="72">
        <v>44893</v>
      </c>
      <c r="AI3567" s="56"/>
      <c r="AJ3567" s="56"/>
      <c r="AK3567" s="56"/>
      <c r="AL3567" s="157">
        <v>44900</v>
      </c>
      <c r="AM3567" s="61"/>
      <c r="AN3567" s="204"/>
      <c r="AO3567" s="204"/>
      <c r="AP3567" s="56"/>
      <c r="AQ3567" s="56"/>
      <c r="AR3567" s="56"/>
      <c r="AS3567" s="56"/>
      <c r="AT3567" s="56"/>
      <c r="AU3567" s="56"/>
      <c r="AV3567" s="56"/>
      <c r="AW3567" s="56"/>
      <c r="AX3567" s="56"/>
      <c r="AY3567" s="56"/>
      <c r="AZ3567" s="56"/>
      <c r="BA3567" s="56"/>
      <c r="BB3567" s="56"/>
      <c r="BC3567" s="56"/>
    </row>
    <row r="3568" spans="1:55" ht="36.75" customHeight="1">
      <c r="A3568" s="46" t="s">
        <v>12471</v>
      </c>
      <c r="B3568" s="30" t="s">
        <v>55</v>
      </c>
      <c r="C3568" s="69" t="str">
        <f t="shared" si="313"/>
        <v>Closed</v>
      </c>
      <c r="D3568" s="37" t="s">
        <v>20667</v>
      </c>
      <c r="E3568" s="55" t="s">
        <v>20668</v>
      </c>
      <c r="F3568" s="56" t="s">
        <v>17682</v>
      </c>
      <c r="G3568" s="88">
        <f>DATE(2022,12,1)</f>
        <v>44896</v>
      </c>
      <c r="H3568" s="142">
        <v>1.4027777777777777</v>
      </c>
      <c r="I3568" s="56" t="s">
        <v>198</v>
      </c>
      <c r="J3568" s="56" t="s">
        <v>20669</v>
      </c>
      <c r="K3568" s="56" t="s">
        <v>1574</v>
      </c>
      <c r="L3568" s="56" t="s">
        <v>20670</v>
      </c>
      <c r="M3568" s="56" t="s">
        <v>63</v>
      </c>
      <c r="N3568" s="56" t="s">
        <v>142</v>
      </c>
      <c r="O3568" s="56" t="s">
        <v>64</v>
      </c>
      <c r="P3568" s="56" t="s">
        <v>78</v>
      </c>
      <c r="Q3568" s="56" t="s">
        <v>20671</v>
      </c>
      <c r="R3568" s="56" t="s">
        <v>19007</v>
      </c>
      <c r="S3568" s="56">
        <v>0</v>
      </c>
      <c r="T3568" s="56">
        <v>0</v>
      </c>
      <c r="U3568" s="56">
        <v>0</v>
      </c>
      <c r="V3568" s="56">
        <v>0</v>
      </c>
      <c r="W3568" s="56">
        <v>0</v>
      </c>
      <c r="X3568" s="56">
        <v>0</v>
      </c>
      <c r="Y3568" s="56">
        <v>0</v>
      </c>
      <c r="Z3568" s="56">
        <v>0</v>
      </c>
      <c r="AA3568" s="56">
        <v>0</v>
      </c>
      <c r="AB3568" s="56">
        <v>0</v>
      </c>
      <c r="AC3568" s="56">
        <v>0</v>
      </c>
      <c r="AD3568" s="56">
        <v>0</v>
      </c>
      <c r="AE3568" s="56" t="s">
        <v>394</v>
      </c>
      <c r="AF3568" s="56" t="s">
        <v>20672</v>
      </c>
      <c r="AG3568" s="56" t="s">
        <v>8859</v>
      </c>
      <c r="AH3568" s="72">
        <v>44900</v>
      </c>
      <c r="AI3568" s="56">
        <v>2</v>
      </c>
      <c r="AJ3568" s="56" t="s">
        <v>20673</v>
      </c>
      <c r="AK3568" s="56" t="s">
        <v>20674</v>
      </c>
      <c r="AL3568" s="157">
        <v>44901</v>
      </c>
      <c r="AM3568" s="56"/>
      <c r="AN3568" s="157">
        <v>45268</v>
      </c>
      <c r="AO3568" s="157">
        <v>45258</v>
      </c>
      <c r="AP3568" s="157">
        <v>45387</v>
      </c>
      <c r="AQ3568" s="157">
        <v>45388</v>
      </c>
      <c r="AR3568" s="157">
        <v>45389</v>
      </c>
      <c r="AS3568" s="157">
        <v>45390</v>
      </c>
      <c r="AT3568" s="157">
        <v>45391</v>
      </c>
      <c r="AU3568" s="157">
        <v>45392</v>
      </c>
      <c r="AV3568" s="157">
        <v>45393</v>
      </c>
      <c r="AW3568" s="157">
        <v>45394</v>
      </c>
      <c r="AX3568" s="157">
        <v>45395</v>
      </c>
      <c r="AY3568" s="157">
        <v>45396</v>
      </c>
      <c r="AZ3568" s="157">
        <v>45397</v>
      </c>
      <c r="BA3568" s="157">
        <v>45398</v>
      </c>
      <c r="BB3568" s="157">
        <v>45399</v>
      </c>
      <c r="BC3568" s="157">
        <v>45400</v>
      </c>
    </row>
    <row r="3569" spans="1:55" ht="36.75" customHeight="1">
      <c r="A3569" s="46" t="s">
        <v>12471</v>
      </c>
      <c r="B3569" s="30" t="s">
        <v>55</v>
      </c>
      <c r="C3569" s="69" t="str">
        <f t="shared" si="313"/>
        <v>Closed</v>
      </c>
      <c r="D3569" s="203" t="s">
        <v>20675</v>
      </c>
      <c r="E3569" s="56" t="s">
        <v>20676</v>
      </c>
      <c r="F3569" s="56" t="s">
        <v>16429</v>
      </c>
      <c r="G3569" s="88">
        <f>DATE(2022,12,5)</f>
        <v>44900</v>
      </c>
      <c r="H3569" s="142">
        <v>1.8493055555555555</v>
      </c>
      <c r="I3569" s="56" t="s">
        <v>198</v>
      </c>
      <c r="J3569" s="56" t="s">
        <v>20677</v>
      </c>
      <c r="K3569" s="56" t="s">
        <v>425</v>
      </c>
      <c r="L3569" s="56" t="s">
        <v>12719</v>
      </c>
      <c r="M3569" s="56" t="s">
        <v>63</v>
      </c>
      <c r="N3569" s="56" t="s">
        <v>142</v>
      </c>
      <c r="O3569" s="56" t="s">
        <v>77</v>
      </c>
      <c r="P3569" s="56" t="s">
        <v>91</v>
      </c>
      <c r="Q3569" s="56" t="s">
        <v>20678</v>
      </c>
      <c r="R3569" s="56" t="s">
        <v>17369</v>
      </c>
      <c r="S3569" s="56">
        <v>0</v>
      </c>
      <c r="T3569" s="56">
        <v>0</v>
      </c>
      <c r="U3569" s="56">
        <v>0</v>
      </c>
      <c r="V3569" s="56">
        <v>0</v>
      </c>
      <c r="W3569" s="56">
        <v>0</v>
      </c>
      <c r="X3569" s="56">
        <v>0</v>
      </c>
      <c r="Y3569" s="56">
        <v>0</v>
      </c>
      <c r="Z3569" s="56">
        <v>1</v>
      </c>
      <c r="AA3569" s="56">
        <v>0</v>
      </c>
      <c r="AB3569" s="56">
        <v>0</v>
      </c>
      <c r="AC3569" s="56">
        <v>0</v>
      </c>
      <c r="AD3569" s="56">
        <v>1</v>
      </c>
      <c r="AE3569" s="56" t="s">
        <v>16435</v>
      </c>
      <c r="AF3569" s="56" t="s">
        <v>20679</v>
      </c>
      <c r="AG3569" s="19" t="s">
        <v>16283</v>
      </c>
      <c r="AH3569" s="72">
        <v>44900</v>
      </c>
      <c r="AI3569" s="56">
        <v>1</v>
      </c>
      <c r="AJ3569" s="56" t="s">
        <v>20680</v>
      </c>
      <c r="AK3569" s="56" t="s">
        <v>712</v>
      </c>
      <c r="AL3569" s="157">
        <v>44901</v>
      </c>
      <c r="AM3569" s="195">
        <v>44962</v>
      </c>
      <c r="AN3569" s="195">
        <v>45930</v>
      </c>
      <c r="AO3569" s="195">
        <v>45923</v>
      </c>
    </row>
    <row r="3570" spans="1:55" ht="36.75" customHeight="1">
      <c r="A3570" s="46" t="s">
        <v>12471</v>
      </c>
      <c r="B3570" s="30" t="s">
        <v>55</v>
      </c>
      <c r="C3570" s="69" t="str">
        <f t="shared" si="313"/>
        <v>Closed</v>
      </c>
      <c r="D3570" s="203" t="s">
        <v>20681</v>
      </c>
      <c r="E3570" s="55" t="s">
        <v>20682</v>
      </c>
      <c r="F3570" s="56" t="s">
        <v>6455</v>
      </c>
      <c r="G3570" s="88">
        <f>DATE(2022,12,6)</f>
        <v>44901</v>
      </c>
      <c r="H3570" s="142">
        <v>1.5729166666666665</v>
      </c>
      <c r="I3570" s="56" t="s">
        <v>73</v>
      </c>
      <c r="J3570" s="56" t="s">
        <v>20683</v>
      </c>
      <c r="K3570" s="56" t="s">
        <v>584</v>
      </c>
      <c r="L3570" s="56" t="s">
        <v>20684</v>
      </c>
      <c r="M3570" s="56" t="s">
        <v>63</v>
      </c>
      <c r="N3570" s="56" t="s">
        <v>142</v>
      </c>
      <c r="O3570" s="56" t="s">
        <v>77</v>
      </c>
      <c r="P3570" s="56" t="s">
        <v>78</v>
      </c>
      <c r="Q3570" s="56" t="s">
        <v>17377</v>
      </c>
      <c r="R3570" s="56" t="s">
        <v>587</v>
      </c>
      <c r="S3570" s="56">
        <v>0</v>
      </c>
      <c r="T3570" s="56">
        <v>0</v>
      </c>
      <c r="U3570" s="56">
        <v>0</v>
      </c>
      <c r="V3570" s="56">
        <v>0</v>
      </c>
      <c r="W3570" s="56">
        <v>0</v>
      </c>
      <c r="X3570" s="56">
        <v>0</v>
      </c>
      <c r="Y3570" s="56">
        <v>0</v>
      </c>
      <c r="Z3570" s="56">
        <v>0</v>
      </c>
      <c r="AA3570" s="56">
        <v>0</v>
      </c>
      <c r="AB3570" s="56">
        <v>0</v>
      </c>
      <c r="AC3570" s="56">
        <v>0</v>
      </c>
      <c r="AD3570" s="56">
        <v>0</v>
      </c>
      <c r="AE3570" s="56" t="s">
        <v>394</v>
      </c>
      <c r="AF3570" s="56" t="s">
        <v>20685</v>
      </c>
      <c r="AG3570" s="56" t="s">
        <v>8859</v>
      </c>
      <c r="AH3570" s="72">
        <v>44903</v>
      </c>
      <c r="AI3570" s="56">
        <v>1</v>
      </c>
      <c r="AJ3570" s="56" t="s">
        <v>20686</v>
      </c>
      <c r="AK3570" s="56" t="s">
        <v>20687</v>
      </c>
      <c r="AL3570" s="157">
        <v>44942</v>
      </c>
      <c r="AM3570" s="195" t="s">
        <v>20688</v>
      </c>
      <c r="AN3570" s="195">
        <v>45986</v>
      </c>
      <c r="AO3570" s="207">
        <v>45945</v>
      </c>
    </row>
    <row r="3571" spans="1:55" ht="36.75" customHeight="1">
      <c r="A3571" s="46" t="s">
        <v>12471</v>
      </c>
      <c r="B3571" s="30" t="s">
        <v>55</v>
      </c>
      <c r="C3571" s="69" t="str">
        <f t="shared" si="313"/>
        <v>Closed</v>
      </c>
      <c r="D3571" s="37" t="s">
        <v>20689</v>
      </c>
      <c r="E3571" s="55" t="s">
        <v>20690</v>
      </c>
      <c r="F3571" s="56" t="s">
        <v>16429</v>
      </c>
      <c r="G3571" s="88">
        <f>DATE(2022,12,8)</f>
        <v>44903</v>
      </c>
      <c r="H3571" s="142">
        <v>1.2562500000000001</v>
      </c>
      <c r="I3571" s="56" t="s">
        <v>116</v>
      </c>
      <c r="J3571" s="56" t="s">
        <v>20691</v>
      </c>
      <c r="K3571" s="56" t="s">
        <v>425</v>
      </c>
      <c r="L3571" s="56" t="s">
        <v>20692</v>
      </c>
      <c r="M3571" s="56" t="s">
        <v>63</v>
      </c>
      <c r="N3571" s="56" t="s">
        <v>142</v>
      </c>
      <c r="O3571" s="56" t="s">
        <v>64</v>
      </c>
      <c r="P3571" s="56" t="s">
        <v>165</v>
      </c>
      <c r="Q3571" s="56" t="s">
        <v>18516</v>
      </c>
      <c r="R3571" s="56" t="s">
        <v>17369</v>
      </c>
      <c r="S3571" s="56">
        <v>0</v>
      </c>
      <c r="T3571" s="56">
        <v>0</v>
      </c>
      <c r="U3571" s="56">
        <v>0</v>
      </c>
      <c r="V3571" s="56">
        <v>0</v>
      </c>
      <c r="W3571" s="56">
        <v>0</v>
      </c>
      <c r="X3571" s="56">
        <v>0</v>
      </c>
      <c r="Y3571" s="56">
        <v>0</v>
      </c>
      <c r="Z3571" s="56">
        <v>0</v>
      </c>
      <c r="AA3571" s="56">
        <v>0</v>
      </c>
      <c r="AB3571" s="56">
        <v>0</v>
      </c>
      <c r="AC3571" s="56">
        <v>0</v>
      </c>
      <c r="AD3571" s="56">
        <v>0</v>
      </c>
      <c r="AE3571" s="56" t="s">
        <v>16435</v>
      </c>
      <c r="AF3571" s="56" t="s">
        <v>20693</v>
      </c>
      <c r="AG3571" s="56" t="s">
        <v>16283</v>
      </c>
      <c r="AH3571" s="72">
        <v>44903</v>
      </c>
      <c r="AI3571" s="56">
        <v>0</v>
      </c>
      <c r="AJ3571" s="56" t="s">
        <v>20694</v>
      </c>
      <c r="AK3571" s="56" t="s">
        <v>18878</v>
      </c>
      <c r="AL3571" s="157">
        <v>44906</v>
      </c>
      <c r="AM3571" s="56"/>
      <c r="AN3571" s="157">
        <v>45237</v>
      </c>
      <c r="AO3571" s="157">
        <v>45205</v>
      </c>
    </row>
    <row r="3572" spans="1:55" ht="36.75" customHeight="1">
      <c r="A3572" s="46" t="s">
        <v>12471</v>
      </c>
      <c r="B3572" s="30" t="s">
        <v>55</v>
      </c>
      <c r="C3572" s="69" t="str">
        <f t="shared" si="313"/>
        <v>Closed</v>
      </c>
      <c r="D3572" s="37" t="s">
        <v>20695</v>
      </c>
      <c r="E3572" s="55" t="s">
        <v>20696</v>
      </c>
      <c r="F3572" s="56" t="s">
        <v>16429</v>
      </c>
      <c r="G3572" s="88">
        <f>DATE(2022,12,8)</f>
        <v>44903</v>
      </c>
      <c r="H3572" s="142">
        <v>1.09375</v>
      </c>
      <c r="I3572" s="56" t="s">
        <v>73</v>
      </c>
      <c r="J3572" s="56" t="s">
        <v>20697</v>
      </c>
      <c r="K3572" s="56" t="s">
        <v>425</v>
      </c>
      <c r="L3572" s="56" t="s">
        <v>20698</v>
      </c>
      <c r="M3572" s="56" t="s">
        <v>63</v>
      </c>
      <c r="N3572" s="56" t="s">
        <v>142</v>
      </c>
      <c r="O3572" s="56" t="s">
        <v>77</v>
      </c>
      <c r="P3572" s="56" t="s">
        <v>78</v>
      </c>
      <c r="Q3572" s="56" t="s">
        <v>18098</v>
      </c>
      <c r="R3572" s="56" t="s">
        <v>17369</v>
      </c>
      <c r="S3572" s="56">
        <v>0</v>
      </c>
      <c r="T3572" s="56">
        <v>0</v>
      </c>
      <c r="U3572" s="56">
        <v>0</v>
      </c>
      <c r="V3572" s="56">
        <v>0</v>
      </c>
      <c r="W3572" s="56">
        <v>0</v>
      </c>
      <c r="X3572" s="56">
        <v>0</v>
      </c>
      <c r="Y3572" s="56">
        <v>0</v>
      </c>
      <c r="Z3572" s="56">
        <v>0</v>
      </c>
      <c r="AA3572" s="56">
        <v>0</v>
      </c>
      <c r="AB3572" s="56">
        <v>0</v>
      </c>
      <c r="AC3572" s="56">
        <v>0</v>
      </c>
      <c r="AD3572" s="56">
        <v>0</v>
      </c>
      <c r="AE3572" s="56" t="s">
        <v>394</v>
      </c>
      <c r="AF3572" s="56" t="s">
        <v>20699</v>
      </c>
      <c r="AG3572" s="56" t="s">
        <v>20700</v>
      </c>
      <c r="AH3572" s="72">
        <v>44903</v>
      </c>
      <c r="AI3572" s="56">
        <v>1</v>
      </c>
      <c r="AJ3572" s="56" t="s">
        <v>20701</v>
      </c>
      <c r="AK3572" s="56" t="s">
        <v>879</v>
      </c>
      <c r="AL3572" s="157">
        <v>44908</v>
      </c>
      <c r="AM3572" s="56"/>
      <c r="AN3572" s="157">
        <v>44910</v>
      </c>
      <c r="AO3572" s="157">
        <v>44880</v>
      </c>
    </row>
    <row r="3573" spans="1:55" ht="36.75" customHeight="1">
      <c r="A3573" s="46" t="s">
        <v>12471</v>
      </c>
      <c r="B3573" s="30" t="s">
        <v>55</v>
      </c>
      <c r="C3573" s="69" t="str">
        <f t="shared" si="313"/>
        <v>Closed</v>
      </c>
      <c r="D3573" s="37" t="s">
        <v>20702</v>
      </c>
      <c r="E3573" s="55" t="s">
        <v>20703</v>
      </c>
      <c r="F3573" s="56" t="s">
        <v>18131</v>
      </c>
      <c r="G3573" s="88">
        <f>DATE(2022,12,10)</f>
        <v>44905</v>
      </c>
      <c r="H3573" s="142">
        <v>1.6909722222222223</v>
      </c>
      <c r="I3573" s="56" t="s">
        <v>73</v>
      </c>
      <c r="J3573" s="56" t="s">
        <v>20704</v>
      </c>
      <c r="K3573" s="56" t="s">
        <v>379</v>
      </c>
      <c r="L3573" s="56" t="s">
        <v>20705</v>
      </c>
      <c r="M3573" s="56" t="s">
        <v>63</v>
      </c>
      <c r="N3573" s="56" t="s">
        <v>99</v>
      </c>
      <c r="O3573" s="56" t="s">
        <v>77</v>
      </c>
      <c r="P3573" s="56" t="s">
        <v>165</v>
      </c>
      <c r="Q3573" s="56" t="s">
        <v>18134</v>
      </c>
      <c r="R3573" s="56" t="s">
        <v>19534</v>
      </c>
      <c r="S3573" s="56">
        <v>0</v>
      </c>
      <c r="T3573" s="56">
        <v>0</v>
      </c>
      <c r="U3573" s="56">
        <v>0</v>
      </c>
      <c r="V3573" s="56">
        <v>0</v>
      </c>
      <c r="W3573" s="56">
        <v>0</v>
      </c>
      <c r="X3573" s="56">
        <v>0</v>
      </c>
      <c r="Y3573" s="56">
        <v>0</v>
      </c>
      <c r="Z3573" s="56">
        <v>0</v>
      </c>
      <c r="AA3573" s="56">
        <v>0</v>
      </c>
      <c r="AB3573" s="56">
        <v>0</v>
      </c>
      <c r="AC3573" s="56">
        <v>0</v>
      </c>
      <c r="AD3573" s="56">
        <v>0</v>
      </c>
      <c r="AE3573" s="56" t="s">
        <v>394</v>
      </c>
      <c r="AF3573" s="56" t="s">
        <v>20706</v>
      </c>
      <c r="AG3573" s="56" t="s">
        <v>6459</v>
      </c>
      <c r="AH3573" s="72">
        <v>44911</v>
      </c>
      <c r="AI3573" s="56">
        <v>3</v>
      </c>
      <c r="AJ3573" s="56" t="s">
        <v>20707</v>
      </c>
      <c r="AK3573" s="56" t="s">
        <v>20708</v>
      </c>
      <c r="AL3573" s="157">
        <v>44937</v>
      </c>
      <c r="AM3573" s="56"/>
      <c r="AN3573" s="157">
        <v>45531</v>
      </c>
      <c r="AO3573" s="157">
        <v>45510</v>
      </c>
      <c r="AP3573" s="157">
        <v>45533</v>
      </c>
      <c r="AQ3573" s="157">
        <v>45534</v>
      </c>
      <c r="AR3573" s="157">
        <v>45535</v>
      </c>
      <c r="AS3573" s="157">
        <v>45536</v>
      </c>
      <c r="AT3573" s="157">
        <v>45537</v>
      </c>
      <c r="AU3573" s="157">
        <v>45538</v>
      </c>
      <c r="AV3573" s="157">
        <v>45539</v>
      </c>
      <c r="AW3573" s="157">
        <v>45540</v>
      </c>
      <c r="AX3573" s="157">
        <v>45541</v>
      </c>
      <c r="AY3573" s="157">
        <v>45542</v>
      </c>
      <c r="AZ3573" s="157">
        <v>45543</v>
      </c>
      <c r="BA3573" s="157">
        <v>45544</v>
      </c>
      <c r="BB3573" s="157">
        <v>45545</v>
      </c>
      <c r="BC3573" s="157">
        <v>45546</v>
      </c>
    </row>
    <row r="3574" spans="1:55" ht="36.75" customHeight="1">
      <c r="A3574" s="46" t="s">
        <v>12471</v>
      </c>
      <c r="B3574" s="30" t="s">
        <v>55</v>
      </c>
      <c r="C3574" s="69" t="str">
        <f t="shared" si="313"/>
        <v>Closed</v>
      </c>
      <c r="D3574" s="37" t="s">
        <v>20709</v>
      </c>
      <c r="E3574" s="55" t="s">
        <v>20710</v>
      </c>
      <c r="F3574" s="56" t="s">
        <v>17057</v>
      </c>
      <c r="G3574" s="88">
        <f>DATE(2022,12,12)</f>
        <v>44907</v>
      </c>
      <c r="H3574" s="142">
        <v>1.1076388888888888</v>
      </c>
      <c r="I3574" s="56" t="s">
        <v>116</v>
      </c>
      <c r="J3574" s="56" t="s">
        <v>20711</v>
      </c>
      <c r="K3574" s="56" t="s">
        <v>2338</v>
      </c>
      <c r="L3574" s="56" t="s">
        <v>20712</v>
      </c>
      <c r="M3574" s="56" t="s">
        <v>63</v>
      </c>
      <c r="N3574" s="56" t="s">
        <v>142</v>
      </c>
      <c r="O3574" s="56" t="s">
        <v>64</v>
      </c>
      <c r="P3574" s="56" t="s">
        <v>78</v>
      </c>
      <c r="Q3574" s="56" t="s">
        <v>2975</v>
      </c>
      <c r="R3574" s="56" t="s">
        <v>2341</v>
      </c>
      <c r="S3574" s="56">
        <v>0</v>
      </c>
      <c r="T3574" s="56">
        <v>0</v>
      </c>
      <c r="U3574" s="56">
        <v>0</v>
      </c>
      <c r="V3574" s="56">
        <v>0</v>
      </c>
      <c r="W3574" s="56">
        <v>0</v>
      </c>
      <c r="X3574" s="56">
        <v>0</v>
      </c>
      <c r="Y3574" s="56">
        <v>0</v>
      </c>
      <c r="Z3574" s="56">
        <v>0</v>
      </c>
      <c r="AA3574" s="56">
        <v>0</v>
      </c>
      <c r="AB3574" s="56">
        <v>0</v>
      </c>
      <c r="AC3574" s="56">
        <v>0</v>
      </c>
      <c r="AD3574" s="56">
        <v>0</v>
      </c>
      <c r="AE3574" s="56" t="s">
        <v>92</v>
      </c>
      <c r="AF3574" s="56" t="s">
        <v>20713</v>
      </c>
      <c r="AG3574" s="56" t="s">
        <v>8859</v>
      </c>
      <c r="AH3574" s="72">
        <v>44943</v>
      </c>
      <c r="AI3574" s="56">
        <v>8</v>
      </c>
      <c r="AJ3574" s="56" t="s">
        <v>20714</v>
      </c>
      <c r="AK3574" s="56" t="s">
        <v>20715</v>
      </c>
      <c r="AL3574" s="157">
        <v>44944</v>
      </c>
      <c r="AM3574" s="56"/>
      <c r="AN3574" s="157">
        <v>45289</v>
      </c>
      <c r="AO3574" s="157">
        <v>45271</v>
      </c>
      <c r="AP3574" s="157">
        <v>44953</v>
      </c>
      <c r="AQ3574" s="157">
        <v>44954</v>
      </c>
      <c r="AR3574" s="157">
        <v>44955</v>
      </c>
      <c r="AS3574" s="157">
        <v>44956</v>
      </c>
      <c r="AT3574" s="157">
        <v>44957</v>
      </c>
      <c r="AU3574" s="157">
        <v>44958</v>
      </c>
      <c r="AV3574" s="157">
        <v>44959</v>
      </c>
      <c r="AW3574" s="157">
        <v>44960</v>
      </c>
      <c r="AX3574" s="157">
        <v>44961</v>
      </c>
      <c r="AY3574" s="157">
        <v>44962</v>
      </c>
      <c r="AZ3574" s="157">
        <v>44963</v>
      </c>
      <c r="BA3574" s="157">
        <v>44964</v>
      </c>
      <c r="BB3574" s="157">
        <v>44965</v>
      </c>
      <c r="BC3574" s="157">
        <v>44966</v>
      </c>
    </row>
    <row r="3575" spans="1:55" ht="36.75" customHeight="1">
      <c r="A3575" s="46" t="s">
        <v>12471</v>
      </c>
      <c r="B3575" s="30" t="s">
        <v>55</v>
      </c>
      <c r="C3575" s="69" t="str">
        <f t="shared" si="313"/>
        <v>Closed</v>
      </c>
      <c r="D3575" s="36" t="s">
        <v>20716</v>
      </c>
      <c r="E3575" s="55" t="s">
        <v>20717</v>
      </c>
      <c r="F3575" s="56" t="s">
        <v>17820</v>
      </c>
      <c r="G3575" s="88">
        <f>DATE(2022,12,13)</f>
        <v>44908</v>
      </c>
      <c r="H3575" s="142">
        <v>1.8125</v>
      </c>
      <c r="I3575" s="56" t="s">
        <v>198</v>
      </c>
      <c r="J3575" s="56" t="s">
        <v>20718</v>
      </c>
      <c r="K3575" s="56" t="s">
        <v>640</v>
      </c>
      <c r="L3575" s="56" t="s">
        <v>20719</v>
      </c>
      <c r="M3575" s="56" t="s">
        <v>63</v>
      </c>
      <c r="N3575" s="56" t="s">
        <v>99</v>
      </c>
      <c r="O3575" s="56" t="s">
        <v>64</v>
      </c>
      <c r="P3575" s="56" t="s">
        <v>78</v>
      </c>
      <c r="Q3575" s="56" t="s">
        <v>20720</v>
      </c>
      <c r="R3575" s="56" t="s">
        <v>2016</v>
      </c>
      <c r="S3575" s="56">
        <v>0</v>
      </c>
      <c r="T3575" s="56">
        <v>0</v>
      </c>
      <c r="U3575" s="56">
        <v>0</v>
      </c>
      <c r="V3575" s="56">
        <v>0</v>
      </c>
      <c r="W3575" s="56">
        <v>0</v>
      </c>
      <c r="X3575" s="56">
        <v>0</v>
      </c>
      <c r="Y3575" s="56">
        <v>0</v>
      </c>
      <c r="Z3575" s="56">
        <v>0</v>
      </c>
      <c r="AA3575" s="56">
        <v>0</v>
      </c>
      <c r="AB3575" s="56">
        <v>0</v>
      </c>
      <c r="AC3575" s="56">
        <v>0</v>
      </c>
      <c r="AD3575" s="56">
        <v>0</v>
      </c>
      <c r="AE3575" s="56" t="s">
        <v>92</v>
      </c>
      <c r="AF3575" s="56" t="s">
        <v>20721</v>
      </c>
      <c r="AG3575" s="56" t="s">
        <v>13537</v>
      </c>
      <c r="AH3575" s="72">
        <v>44952</v>
      </c>
      <c r="AI3575" s="56">
        <v>2</v>
      </c>
      <c r="AJ3575" s="56" t="s">
        <v>20722</v>
      </c>
      <c r="AK3575" s="56" t="s">
        <v>20723</v>
      </c>
      <c r="AL3575" s="157">
        <v>44958</v>
      </c>
      <c r="AM3575" s="56"/>
      <c r="AN3575" s="157">
        <v>45106</v>
      </c>
      <c r="AO3575" s="157">
        <v>45099</v>
      </c>
    </row>
    <row r="3576" spans="1:55" ht="36.75" customHeight="1">
      <c r="A3576" s="46" t="s">
        <v>12471</v>
      </c>
      <c r="B3576" s="30" t="s">
        <v>2124</v>
      </c>
      <c r="C3576" s="69" t="str">
        <f t="shared" si="313"/>
        <v>Open</v>
      </c>
      <c r="D3576" s="36" t="s">
        <v>20724</v>
      </c>
      <c r="E3576" s="55" t="s">
        <v>20725</v>
      </c>
      <c r="F3576" s="56" t="s">
        <v>17578</v>
      </c>
      <c r="G3576" s="88">
        <f>DATE(2022,12,19)</f>
        <v>44914</v>
      </c>
      <c r="H3576" s="142">
        <v>1.8611111111111112</v>
      </c>
      <c r="I3576" s="56" t="s">
        <v>198</v>
      </c>
      <c r="J3576" s="56" t="s">
        <v>20726</v>
      </c>
      <c r="K3576" s="56" t="s">
        <v>837</v>
      </c>
      <c r="L3576" s="56" t="s">
        <v>20727</v>
      </c>
      <c r="M3576" s="56" t="s">
        <v>255</v>
      </c>
      <c r="N3576" s="56" t="s">
        <v>142</v>
      </c>
      <c r="O3576" s="56" t="s">
        <v>64</v>
      </c>
      <c r="P3576" s="56" t="s">
        <v>6552</v>
      </c>
      <c r="Q3576" s="56" t="s">
        <v>20600</v>
      </c>
      <c r="R3576" s="56" t="s">
        <v>20600</v>
      </c>
      <c r="S3576" s="56"/>
      <c r="T3576" s="56"/>
      <c r="U3576" s="56"/>
      <c r="V3576" s="56"/>
      <c r="W3576" s="56"/>
      <c r="X3576" s="56">
        <v>0</v>
      </c>
      <c r="Y3576" s="56"/>
      <c r="Z3576" s="56"/>
      <c r="AA3576" s="56"/>
      <c r="AB3576" s="56"/>
      <c r="AC3576" s="56"/>
      <c r="AD3576" s="56">
        <v>2</v>
      </c>
      <c r="AE3576" s="56" t="s">
        <v>145</v>
      </c>
      <c r="AF3576" s="56" t="s">
        <v>20728</v>
      </c>
      <c r="AG3576" s="56" t="s">
        <v>6459</v>
      </c>
      <c r="AH3576" s="72">
        <v>44915</v>
      </c>
      <c r="AI3576" s="56"/>
      <c r="AJ3576" s="56"/>
      <c r="AK3576" s="56"/>
      <c r="AL3576" s="157">
        <v>44931</v>
      </c>
      <c r="AM3576" s="56"/>
      <c r="AN3576" s="204"/>
      <c r="AO3576" s="204"/>
    </row>
    <row r="3577" spans="1:55" ht="36.75" customHeight="1">
      <c r="A3577" s="46" t="s">
        <v>12471</v>
      </c>
      <c r="B3577" s="30" t="s">
        <v>2124</v>
      </c>
      <c r="C3577" s="69" t="str">
        <f t="shared" si="313"/>
        <v>Open</v>
      </c>
      <c r="D3577" s="36" t="s">
        <v>20729</v>
      </c>
      <c r="E3577" s="55" t="s">
        <v>20730</v>
      </c>
      <c r="F3577" s="56" t="s">
        <v>16310</v>
      </c>
      <c r="G3577" s="88">
        <f>DATE(2022,12,26)</f>
        <v>44921</v>
      </c>
      <c r="H3577" s="142">
        <v>1.8506944444444446</v>
      </c>
      <c r="I3577" s="56" t="s">
        <v>116</v>
      </c>
      <c r="J3577" s="56" t="s">
        <v>20731</v>
      </c>
      <c r="K3577" s="56" t="s">
        <v>118</v>
      </c>
      <c r="L3577" s="56" t="s">
        <v>20732</v>
      </c>
      <c r="M3577" s="56" t="s">
        <v>63</v>
      </c>
      <c r="N3577" s="56" t="s">
        <v>99</v>
      </c>
      <c r="O3577" s="56" t="s">
        <v>64</v>
      </c>
      <c r="P3577" s="56" t="s">
        <v>165</v>
      </c>
      <c r="Q3577" s="56" t="s">
        <v>16313</v>
      </c>
      <c r="R3577" s="56" t="s">
        <v>18214</v>
      </c>
      <c r="S3577" s="56">
        <v>0</v>
      </c>
      <c r="T3577" s="56">
        <v>0</v>
      </c>
      <c r="U3577" s="56">
        <v>0</v>
      </c>
      <c r="V3577" s="56">
        <v>0</v>
      </c>
      <c r="W3577" s="56">
        <v>0</v>
      </c>
      <c r="X3577" s="56">
        <v>0</v>
      </c>
      <c r="Y3577" s="56">
        <v>0</v>
      </c>
      <c r="Z3577" s="56">
        <v>0</v>
      </c>
      <c r="AA3577" s="56">
        <v>0</v>
      </c>
      <c r="AB3577" s="56">
        <v>0</v>
      </c>
      <c r="AC3577" s="56">
        <v>0</v>
      </c>
      <c r="AD3577" s="56">
        <v>0</v>
      </c>
      <c r="AE3577" s="56" t="s">
        <v>92</v>
      </c>
      <c r="AF3577" s="56" t="s">
        <v>20733</v>
      </c>
      <c r="AG3577" s="56" t="s">
        <v>8859</v>
      </c>
      <c r="AH3577" s="72">
        <v>44936</v>
      </c>
      <c r="AI3577" s="56"/>
      <c r="AJ3577" s="56"/>
      <c r="AK3577" s="56"/>
      <c r="AL3577" s="157">
        <v>44986</v>
      </c>
      <c r="AM3577" s="56"/>
      <c r="AN3577" s="158"/>
      <c r="AO3577" s="158"/>
    </row>
    <row r="3578" spans="1:55" ht="36.75" customHeight="1">
      <c r="A3578" s="46" t="s">
        <v>12471</v>
      </c>
      <c r="B3578" s="30" t="s">
        <v>55</v>
      </c>
      <c r="C3578" s="69" t="str">
        <f t="shared" si="313"/>
        <v>Closed</v>
      </c>
      <c r="D3578" s="37" t="s">
        <v>20734</v>
      </c>
      <c r="E3578" s="55" t="s">
        <v>20735</v>
      </c>
      <c r="F3578" s="56" t="s">
        <v>17682</v>
      </c>
      <c r="G3578" s="88">
        <f>DATE(2022,12,29)</f>
        <v>44924</v>
      </c>
      <c r="H3578" s="142">
        <v>1.7256944444444446</v>
      </c>
      <c r="I3578" s="56" t="s">
        <v>73</v>
      </c>
      <c r="J3578" s="56" t="s">
        <v>20736</v>
      </c>
      <c r="K3578" s="56" t="s">
        <v>1574</v>
      </c>
      <c r="L3578" s="56" t="s">
        <v>20737</v>
      </c>
      <c r="M3578" s="56" t="s">
        <v>63</v>
      </c>
      <c r="N3578" s="56" t="s">
        <v>142</v>
      </c>
      <c r="O3578" s="56" t="s">
        <v>77</v>
      </c>
      <c r="P3578" s="56" t="s">
        <v>78</v>
      </c>
      <c r="Q3578" s="56" t="s">
        <v>19056</v>
      </c>
      <c r="R3578" s="56" t="s">
        <v>19007</v>
      </c>
      <c r="S3578" s="56">
        <v>0</v>
      </c>
      <c r="T3578" s="56">
        <v>0</v>
      </c>
      <c r="U3578" s="56">
        <v>0</v>
      </c>
      <c r="V3578" s="56">
        <v>0</v>
      </c>
      <c r="W3578" s="56">
        <v>0</v>
      </c>
      <c r="X3578" s="56">
        <v>0</v>
      </c>
      <c r="Y3578" s="56">
        <v>0</v>
      </c>
      <c r="Z3578" s="56">
        <v>0</v>
      </c>
      <c r="AA3578" s="56">
        <v>0</v>
      </c>
      <c r="AB3578" s="56">
        <v>0</v>
      </c>
      <c r="AC3578" s="56">
        <v>0</v>
      </c>
      <c r="AD3578" s="56">
        <v>0</v>
      </c>
      <c r="AE3578" s="56" t="s">
        <v>92</v>
      </c>
      <c r="AF3578" s="56" t="s">
        <v>20738</v>
      </c>
      <c r="AG3578" s="56" t="s">
        <v>8859</v>
      </c>
      <c r="AH3578" s="72">
        <v>44929</v>
      </c>
      <c r="AI3578" s="56">
        <v>1</v>
      </c>
      <c r="AJ3578" s="56" t="s">
        <v>20739</v>
      </c>
      <c r="AK3578" s="56" t="s">
        <v>20740</v>
      </c>
      <c r="AL3578" s="157">
        <v>44930</v>
      </c>
      <c r="AM3578" s="56"/>
      <c r="AN3578" s="157">
        <v>45302</v>
      </c>
      <c r="AO3578" s="157">
        <v>45278</v>
      </c>
    </row>
    <row r="3579" spans="1:55" ht="36.75" customHeight="1">
      <c r="A3579" s="46" t="s">
        <v>12471</v>
      </c>
      <c r="B3579" s="30" t="s">
        <v>2124</v>
      </c>
      <c r="C3579" s="69" t="str">
        <f t="shared" si="313"/>
        <v>Open</v>
      </c>
      <c r="D3579" s="36" t="s">
        <v>20741</v>
      </c>
      <c r="E3579" s="55" t="s">
        <v>20742</v>
      </c>
      <c r="F3579" s="56" t="s">
        <v>16702</v>
      </c>
      <c r="G3579" s="88">
        <f>DATE(2023,1,1)</f>
        <v>44927</v>
      </c>
      <c r="H3579" s="142">
        <v>1.84375</v>
      </c>
      <c r="I3579" s="56" t="s">
        <v>73</v>
      </c>
      <c r="J3579" s="56" t="s">
        <v>20743</v>
      </c>
      <c r="K3579" s="56" t="s">
        <v>596</v>
      </c>
      <c r="L3579" s="56" t="s">
        <v>20744</v>
      </c>
      <c r="M3579" s="56" t="s">
        <v>63</v>
      </c>
      <c r="N3579" s="56" t="s">
        <v>99</v>
      </c>
      <c r="O3579" s="56" t="s">
        <v>64</v>
      </c>
      <c r="P3579" s="56" t="s">
        <v>65</v>
      </c>
      <c r="Q3579" s="56" t="s">
        <v>20745</v>
      </c>
      <c r="R3579" s="56" t="s">
        <v>17293</v>
      </c>
      <c r="S3579" s="56"/>
      <c r="T3579" s="56"/>
      <c r="U3579" s="56"/>
      <c r="V3579" s="56"/>
      <c r="W3579" s="56"/>
      <c r="X3579" s="56">
        <v>0</v>
      </c>
      <c r="Y3579" s="56"/>
      <c r="Z3579" s="56"/>
      <c r="AA3579" s="56"/>
      <c r="AB3579" s="56"/>
      <c r="AC3579" s="56"/>
      <c r="AD3579" s="56">
        <v>0</v>
      </c>
      <c r="AE3579" s="56" t="s">
        <v>92</v>
      </c>
      <c r="AF3579" s="56" t="s">
        <v>20746</v>
      </c>
      <c r="AG3579" s="56" t="s">
        <v>13537</v>
      </c>
      <c r="AH3579" s="72">
        <v>44957</v>
      </c>
      <c r="AI3579" s="56"/>
      <c r="AJ3579" s="56"/>
      <c r="AK3579" s="56"/>
      <c r="AL3579" s="157">
        <v>44963</v>
      </c>
      <c r="AM3579" s="56"/>
      <c r="AN3579" s="158"/>
      <c r="AO3579" s="158"/>
    </row>
    <row r="3580" spans="1:55" ht="36.75" customHeight="1">
      <c r="A3580" s="46" t="s">
        <v>12471</v>
      </c>
      <c r="B3580" s="30" t="s">
        <v>55</v>
      </c>
      <c r="C3580" s="69" t="str">
        <f t="shared" si="313"/>
        <v>Closed</v>
      </c>
      <c r="D3580" s="203" t="s">
        <v>20747</v>
      </c>
      <c r="E3580" s="55" t="s">
        <v>20748</v>
      </c>
      <c r="F3580" s="56" t="s">
        <v>17773</v>
      </c>
      <c r="G3580" s="88">
        <f>DATE(2023,1,6)</f>
        <v>44932</v>
      </c>
      <c r="H3580" s="142">
        <v>1.4583333333333333</v>
      </c>
      <c r="I3580" s="56" t="s">
        <v>125</v>
      </c>
      <c r="J3580" s="56" t="s">
        <v>20749</v>
      </c>
      <c r="K3580" s="56" t="s">
        <v>2603</v>
      </c>
      <c r="L3580" s="56" t="s">
        <v>20750</v>
      </c>
      <c r="M3580" s="56" t="s">
        <v>63</v>
      </c>
      <c r="N3580" s="56" t="s">
        <v>142</v>
      </c>
      <c r="O3580" s="56" t="s">
        <v>64</v>
      </c>
      <c r="P3580" s="56" t="s">
        <v>65</v>
      </c>
      <c r="Q3580" s="56" t="s">
        <v>20751</v>
      </c>
      <c r="R3580" s="56" t="s">
        <v>20752</v>
      </c>
      <c r="S3580" s="56">
        <v>0</v>
      </c>
      <c r="T3580" s="56">
        <v>0</v>
      </c>
      <c r="U3580" s="56">
        <v>0</v>
      </c>
      <c r="V3580" s="56">
        <v>0</v>
      </c>
      <c r="W3580" s="56">
        <v>0</v>
      </c>
      <c r="X3580" s="56">
        <v>0</v>
      </c>
      <c r="Y3580" s="56">
        <v>0</v>
      </c>
      <c r="Z3580" s="56">
        <v>0</v>
      </c>
      <c r="AA3580" s="56">
        <v>0</v>
      </c>
      <c r="AB3580" s="56">
        <v>0</v>
      </c>
      <c r="AC3580" s="56">
        <v>0</v>
      </c>
      <c r="AD3580" s="56">
        <v>0</v>
      </c>
      <c r="AE3580" s="56" t="s">
        <v>92</v>
      </c>
      <c r="AF3580" s="56" t="s">
        <v>20753</v>
      </c>
      <c r="AG3580" s="56" t="s">
        <v>8859</v>
      </c>
      <c r="AH3580" s="72">
        <v>44936</v>
      </c>
      <c r="AI3580" s="56">
        <v>8</v>
      </c>
      <c r="AJ3580" s="56" t="s">
        <v>20754</v>
      </c>
      <c r="AK3580" s="56" t="s">
        <v>20755</v>
      </c>
      <c r="AL3580" s="157">
        <v>44938</v>
      </c>
      <c r="AM3580" s="56"/>
      <c r="AN3580" s="195">
        <v>45065</v>
      </c>
      <c r="AO3580" s="195">
        <v>45029</v>
      </c>
    </row>
    <row r="3581" spans="1:55" ht="36.75" customHeight="1">
      <c r="A3581" s="46" t="s">
        <v>12471</v>
      </c>
      <c r="B3581" s="30" t="s">
        <v>55</v>
      </c>
      <c r="C3581" s="69" t="str">
        <f t="shared" si="313"/>
        <v>Closed</v>
      </c>
      <c r="D3581" s="37" t="s">
        <v>20756</v>
      </c>
      <c r="E3581" s="55" t="s">
        <v>20757</v>
      </c>
      <c r="F3581" s="56" t="s">
        <v>17682</v>
      </c>
      <c r="G3581" s="88">
        <f>DATE(2023,1,7)</f>
        <v>44933</v>
      </c>
      <c r="H3581" s="142">
        <v>1.1006944444444444</v>
      </c>
      <c r="I3581" s="56" t="s">
        <v>73</v>
      </c>
      <c r="J3581" s="56" t="s">
        <v>20758</v>
      </c>
      <c r="K3581" s="56" t="s">
        <v>1574</v>
      </c>
      <c r="L3581" s="56" t="s">
        <v>19047</v>
      </c>
      <c r="M3581" s="56" t="s">
        <v>63</v>
      </c>
      <c r="N3581" s="56" t="s">
        <v>142</v>
      </c>
      <c r="O3581" s="56" t="s">
        <v>77</v>
      </c>
      <c r="P3581" s="56" t="s">
        <v>78</v>
      </c>
      <c r="Q3581" s="56" t="s">
        <v>18063</v>
      </c>
      <c r="R3581" s="56" t="s">
        <v>19007</v>
      </c>
      <c r="S3581" s="56">
        <v>0</v>
      </c>
      <c r="T3581" s="56">
        <v>0</v>
      </c>
      <c r="U3581" s="56">
        <v>0</v>
      </c>
      <c r="V3581" s="56">
        <v>0</v>
      </c>
      <c r="W3581" s="56">
        <v>0</v>
      </c>
      <c r="X3581" s="56">
        <v>0</v>
      </c>
      <c r="Y3581" s="56">
        <v>0</v>
      </c>
      <c r="Z3581" s="56">
        <v>0</v>
      </c>
      <c r="AA3581" s="56">
        <v>0</v>
      </c>
      <c r="AB3581" s="56">
        <v>0</v>
      </c>
      <c r="AC3581" s="56">
        <v>0</v>
      </c>
      <c r="AD3581" s="56">
        <v>0</v>
      </c>
      <c r="AE3581" s="56" t="s">
        <v>92</v>
      </c>
      <c r="AF3581" s="56" t="s">
        <v>20759</v>
      </c>
      <c r="AG3581" s="56" t="s">
        <v>8859</v>
      </c>
      <c r="AH3581" s="72">
        <v>44935</v>
      </c>
      <c r="AI3581" s="56">
        <v>1</v>
      </c>
      <c r="AJ3581" s="56" t="s">
        <v>20760</v>
      </c>
      <c r="AK3581" s="56" t="s">
        <v>20761</v>
      </c>
      <c r="AL3581" s="157">
        <v>44935</v>
      </c>
      <c r="AM3581" s="56"/>
      <c r="AN3581" s="157">
        <v>45302</v>
      </c>
      <c r="AO3581" s="157">
        <v>45295</v>
      </c>
    </row>
    <row r="3582" spans="1:55" ht="36.75" customHeight="1">
      <c r="A3582" s="46" t="s">
        <v>12471</v>
      </c>
      <c r="B3582" s="30" t="s">
        <v>14882</v>
      </c>
      <c r="C3582" s="69" t="str">
        <f t="shared" si="313"/>
        <v>In progress</v>
      </c>
      <c r="D3582" s="203" t="s">
        <v>20762</v>
      </c>
      <c r="E3582" s="55" t="s">
        <v>20763</v>
      </c>
      <c r="F3582" s="56" t="s">
        <v>6455</v>
      </c>
      <c r="G3582" s="88">
        <f>DATE(2023,1,10)</f>
        <v>44936</v>
      </c>
      <c r="H3582" s="142">
        <v>1.3090277777777777</v>
      </c>
      <c r="I3582" s="56" t="s">
        <v>73</v>
      </c>
      <c r="J3582" s="228" t="s">
        <v>20764</v>
      </c>
      <c r="K3582" s="56" t="s">
        <v>584</v>
      </c>
      <c r="L3582" s="56" t="s">
        <v>20765</v>
      </c>
      <c r="M3582" s="56" t="s">
        <v>63</v>
      </c>
      <c r="N3582" s="56" t="s">
        <v>142</v>
      </c>
      <c r="O3582" s="56" t="s">
        <v>77</v>
      </c>
      <c r="P3582" s="56" t="s">
        <v>165</v>
      </c>
      <c r="Q3582" s="56" t="s">
        <v>20766</v>
      </c>
      <c r="R3582" s="56" t="s">
        <v>587</v>
      </c>
      <c r="S3582" s="56">
        <v>0</v>
      </c>
      <c r="T3582" s="56">
        <v>0</v>
      </c>
      <c r="U3582" s="56">
        <v>0</v>
      </c>
      <c r="V3582" s="56">
        <v>0</v>
      </c>
      <c r="W3582" s="56">
        <v>0</v>
      </c>
      <c r="X3582" s="56">
        <v>0</v>
      </c>
      <c r="Y3582" s="56">
        <v>0</v>
      </c>
      <c r="Z3582" s="56">
        <v>0</v>
      </c>
      <c r="AA3582" s="56">
        <v>0</v>
      </c>
      <c r="AB3582" s="56">
        <v>0</v>
      </c>
      <c r="AC3582" s="56">
        <v>0</v>
      </c>
      <c r="AD3582" s="56">
        <v>0</v>
      </c>
      <c r="AE3582" s="56" t="s">
        <v>394</v>
      </c>
      <c r="AF3582" s="56" t="s">
        <v>20767</v>
      </c>
      <c r="AG3582" s="56" t="s">
        <v>8859</v>
      </c>
      <c r="AH3582" s="72">
        <v>44964</v>
      </c>
      <c r="AI3582" s="56"/>
      <c r="AJ3582" s="56"/>
      <c r="AK3582" s="56"/>
      <c r="AL3582" s="157">
        <v>44964</v>
      </c>
      <c r="AM3582" s="195" t="s">
        <v>20768</v>
      </c>
      <c r="AN3582" s="204"/>
      <c r="AO3582" s="204"/>
    </row>
    <row r="3583" spans="1:55" ht="36.75" customHeight="1">
      <c r="A3583" s="46" t="s">
        <v>12471</v>
      </c>
      <c r="B3583" s="30" t="s">
        <v>55</v>
      </c>
      <c r="C3583" s="69" t="str">
        <f t="shared" si="313"/>
        <v>Closed</v>
      </c>
      <c r="D3583" s="37" t="s">
        <v>20769</v>
      </c>
      <c r="E3583" s="55" t="s">
        <v>20770</v>
      </c>
      <c r="F3583" s="56" t="s">
        <v>9789</v>
      </c>
      <c r="G3583" s="88">
        <f>DATE(2023,1,14)</f>
        <v>44940</v>
      </c>
      <c r="H3583" s="142">
        <v>1.9583333333333335</v>
      </c>
      <c r="I3583" s="56" t="s">
        <v>86</v>
      </c>
      <c r="J3583" s="268" t="s">
        <v>20771</v>
      </c>
      <c r="K3583" s="56" t="s">
        <v>9791</v>
      </c>
      <c r="L3583" s="56" t="s">
        <v>20772</v>
      </c>
      <c r="M3583" s="56" t="s">
        <v>63</v>
      </c>
      <c r="N3583" s="56" t="s">
        <v>99</v>
      </c>
      <c r="O3583" s="56" t="s">
        <v>77</v>
      </c>
      <c r="P3583" s="56" t="s">
        <v>165</v>
      </c>
      <c r="Q3583" s="56" t="s">
        <v>20773</v>
      </c>
      <c r="R3583" s="56" t="s">
        <v>20774</v>
      </c>
      <c r="S3583" s="56">
        <v>0</v>
      </c>
      <c r="T3583" s="56">
        <v>0</v>
      </c>
      <c r="U3583" s="56">
        <v>0</v>
      </c>
      <c r="V3583" s="56">
        <v>0</v>
      </c>
      <c r="W3583" s="56">
        <v>0</v>
      </c>
      <c r="X3583" s="56">
        <v>0</v>
      </c>
      <c r="Y3583" s="56">
        <v>0</v>
      </c>
      <c r="Z3583" s="56">
        <v>0</v>
      </c>
      <c r="AA3583" s="56">
        <v>0</v>
      </c>
      <c r="AB3583" s="56">
        <v>0</v>
      </c>
      <c r="AC3583" s="56">
        <v>0</v>
      </c>
      <c r="AD3583" s="56">
        <v>0</v>
      </c>
      <c r="AE3583" s="56" t="s">
        <v>92</v>
      </c>
      <c r="AF3583" s="56" t="s">
        <v>20775</v>
      </c>
      <c r="AG3583" s="56" t="s">
        <v>8859</v>
      </c>
      <c r="AH3583" s="72">
        <v>44943</v>
      </c>
      <c r="AI3583" s="56">
        <v>3</v>
      </c>
      <c r="AJ3583" s="56" t="s">
        <v>20776</v>
      </c>
      <c r="AK3583" s="56" t="s">
        <v>20777</v>
      </c>
      <c r="AL3583" s="157">
        <v>44950</v>
      </c>
      <c r="AM3583" s="56"/>
      <c r="AN3583" s="195">
        <v>45295</v>
      </c>
      <c r="AO3583" s="195">
        <v>45282</v>
      </c>
    </row>
    <row r="3584" spans="1:55" ht="36.75" customHeight="1">
      <c r="A3584" s="46" t="s">
        <v>12471</v>
      </c>
      <c r="B3584" s="30" t="s">
        <v>2124</v>
      </c>
      <c r="C3584" s="69" t="str">
        <f t="shared" si="313"/>
        <v>Open</v>
      </c>
      <c r="D3584" s="36" t="s">
        <v>20778</v>
      </c>
      <c r="E3584" s="55" t="s">
        <v>20779</v>
      </c>
      <c r="F3584" s="56" t="s">
        <v>17578</v>
      </c>
      <c r="G3584" s="88">
        <f>DATE(2023,1,16)</f>
        <v>44942</v>
      </c>
      <c r="H3584" s="142">
        <v>1.2118055555555556</v>
      </c>
      <c r="I3584" s="56" t="s">
        <v>4610</v>
      </c>
      <c r="J3584" s="56" t="s">
        <v>20780</v>
      </c>
      <c r="K3584" s="56" t="s">
        <v>837</v>
      </c>
      <c r="L3584" s="56" t="s">
        <v>20781</v>
      </c>
      <c r="M3584" s="56" t="s">
        <v>63</v>
      </c>
      <c r="N3584" s="56" t="s">
        <v>142</v>
      </c>
      <c r="O3584" s="56" t="s">
        <v>77</v>
      </c>
      <c r="P3584" s="56" t="s">
        <v>165</v>
      </c>
      <c r="Q3584" s="56" t="s">
        <v>2162</v>
      </c>
      <c r="R3584" s="56" t="s">
        <v>840</v>
      </c>
      <c r="S3584" s="56"/>
      <c r="T3584" s="56"/>
      <c r="U3584" s="56"/>
      <c r="V3584" s="56"/>
      <c r="W3584" s="56"/>
      <c r="X3584" s="56">
        <v>0</v>
      </c>
      <c r="Y3584" s="56"/>
      <c r="Z3584" s="56"/>
      <c r="AA3584" s="56"/>
      <c r="AB3584" s="56"/>
      <c r="AC3584" s="56"/>
      <c r="AD3584" s="56">
        <v>0</v>
      </c>
      <c r="AE3584" s="56" t="s">
        <v>92</v>
      </c>
      <c r="AF3584" s="56" t="s">
        <v>20618</v>
      </c>
      <c r="AG3584" s="56" t="s">
        <v>8859</v>
      </c>
      <c r="AH3584" s="72">
        <v>44942</v>
      </c>
      <c r="AI3584" s="56"/>
      <c r="AJ3584" s="56"/>
      <c r="AK3584" s="56"/>
      <c r="AL3584" s="157">
        <v>44944</v>
      </c>
      <c r="AM3584" s="61"/>
      <c r="AN3584" s="204"/>
      <c r="AO3584" s="204"/>
      <c r="AP3584" s="56"/>
      <c r="AQ3584" s="56"/>
      <c r="AR3584" s="56"/>
      <c r="AS3584" s="56"/>
      <c r="AT3584" s="56"/>
      <c r="AU3584" s="56"/>
      <c r="AV3584" s="56"/>
      <c r="AW3584" s="56"/>
      <c r="AX3584" s="56"/>
      <c r="AY3584" s="56"/>
      <c r="AZ3584" s="56"/>
      <c r="BA3584" s="56"/>
      <c r="BB3584" s="56"/>
      <c r="BC3584" s="56"/>
    </row>
    <row r="3585" spans="1:55" ht="36.75" customHeight="1">
      <c r="A3585" s="46" t="s">
        <v>12471</v>
      </c>
      <c r="B3585" s="30" t="s">
        <v>55</v>
      </c>
      <c r="C3585" s="69" t="str">
        <f t="shared" si="313"/>
        <v>Closed</v>
      </c>
      <c r="D3585" s="203" t="s">
        <v>20782</v>
      </c>
      <c r="E3585" s="55" t="s">
        <v>20783</v>
      </c>
      <c r="F3585" s="56" t="s">
        <v>16429</v>
      </c>
      <c r="G3585" s="88">
        <f>DATE(2023,1,18)</f>
        <v>44944</v>
      </c>
      <c r="H3585" s="142">
        <v>1.3888888888888888</v>
      </c>
      <c r="I3585" s="56" t="s">
        <v>116</v>
      </c>
      <c r="J3585" s="56" t="s">
        <v>20784</v>
      </c>
      <c r="K3585" s="56" t="s">
        <v>425</v>
      </c>
      <c r="L3585" s="56" t="s">
        <v>20785</v>
      </c>
      <c r="M3585" s="56" t="s">
        <v>63</v>
      </c>
      <c r="N3585" s="56" t="s">
        <v>99</v>
      </c>
      <c r="O3585" s="56" t="s">
        <v>64</v>
      </c>
      <c r="P3585" s="56" t="s">
        <v>165</v>
      </c>
      <c r="Q3585" s="56" t="s">
        <v>18516</v>
      </c>
      <c r="R3585" s="56" t="s">
        <v>17369</v>
      </c>
      <c r="S3585" s="56">
        <v>0</v>
      </c>
      <c r="T3585" s="56">
        <v>0</v>
      </c>
      <c r="U3585" s="56">
        <v>0</v>
      </c>
      <c r="V3585" s="56">
        <v>0</v>
      </c>
      <c r="W3585" s="56">
        <v>0</v>
      </c>
      <c r="X3585" s="56">
        <v>0</v>
      </c>
      <c r="Y3585" s="56">
        <v>0</v>
      </c>
      <c r="Z3585" s="56">
        <v>0</v>
      </c>
      <c r="AA3585" s="56">
        <v>0</v>
      </c>
      <c r="AB3585" s="56">
        <v>0</v>
      </c>
      <c r="AC3585" s="56">
        <v>0</v>
      </c>
      <c r="AD3585" s="56">
        <v>0</v>
      </c>
      <c r="AE3585" s="56" t="s">
        <v>394</v>
      </c>
      <c r="AF3585" s="56" t="s">
        <v>20786</v>
      </c>
      <c r="AG3585" s="56" t="s">
        <v>20700</v>
      </c>
      <c r="AH3585" s="72">
        <v>44944</v>
      </c>
      <c r="AI3585" s="56">
        <v>0</v>
      </c>
      <c r="AJ3585" s="56" t="s">
        <v>20787</v>
      </c>
      <c r="AK3585" s="56" t="s">
        <v>879</v>
      </c>
      <c r="AL3585" s="157">
        <v>44946</v>
      </c>
      <c r="AM3585" s="56"/>
      <c r="AN3585" s="157">
        <v>45139</v>
      </c>
      <c r="AO3585" s="157">
        <v>45138</v>
      </c>
    </row>
    <row r="3586" spans="1:55" ht="36.75" customHeight="1">
      <c r="A3586" s="46" t="s">
        <v>12471</v>
      </c>
      <c r="B3586" s="30" t="s">
        <v>55</v>
      </c>
      <c r="C3586" s="69" t="str">
        <f t="shared" si="313"/>
        <v>Closed</v>
      </c>
      <c r="D3586" s="203" t="s">
        <v>20788</v>
      </c>
      <c r="E3586" s="55" t="s">
        <v>20789</v>
      </c>
      <c r="F3586" s="56" t="s">
        <v>12910</v>
      </c>
      <c r="G3586" s="88">
        <f>DATE(2023,1,19)</f>
        <v>44945</v>
      </c>
      <c r="H3586" s="142">
        <v>1.7604166666666665</v>
      </c>
      <c r="I3586" s="56" t="s">
        <v>278</v>
      </c>
      <c r="J3586" s="56" t="s">
        <v>20790</v>
      </c>
      <c r="K3586" s="56" t="s">
        <v>453</v>
      </c>
      <c r="L3586" s="56" t="s">
        <v>20791</v>
      </c>
      <c r="M3586" s="56" t="s">
        <v>63</v>
      </c>
      <c r="N3586" s="56" t="s">
        <v>142</v>
      </c>
      <c r="O3586" s="56" t="s">
        <v>77</v>
      </c>
      <c r="P3586" s="56" t="s">
        <v>65</v>
      </c>
      <c r="Q3586" s="56" t="s">
        <v>14384</v>
      </c>
      <c r="R3586" s="56" t="s">
        <v>572</v>
      </c>
      <c r="S3586" s="56">
        <v>0</v>
      </c>
      <c r="T3586" s="56">
        <v>0</v>
      </c>
      <c r="U3586" s="56">
        <v>0</v>
      </c>
      <c r="V3586" s="56">
        <v>1</v>
      </c>
      <c r="W3586" s="56">
        <v>0</v>
      </c>
      <c r="X3586" s="56">
        <v>1</v>
      </c>
      <c r="Y3586" s="56">
        <v>0</v>
      </c>
      <c r="Z3586" s="56">
        <v>0</v>
      </c>
      <c r="AA3586" s="56">
        <v>0</v>
      </c>
      <c r="AB3586" s="56">
        <v>0</v>
      </c>
      <c r="AC3586" s="56">
        <v>0</v>
      </c>
      <c r="AD3586" s="56">
        <v>0</v>
      </c>
      <c r="AE3586" s="56" t="s">
        <v>92</v>
      </c>
      <c r="AF3586" s="56" t="s">
        <v>712</v>
      </c>
      <c r="AG3586" s="56" t="s">
        <v>6459</v>
      </c>
      <c r="AH3586" s="72">
        <v>44951</v>
      </c>
      <c r="AI3586" s="56">
        <v>0</v>
      </c>
      <c r="AJ3586" s="56" t="s">
        <v>20792</v>
      </c>
      <c r="AK3586" s="56" t="s">
        <v>20793</v>
      </c>
      <c r="AL3586" s="157">
        <v>44951</v>
      </c>
      <c r="AM3586" s="56"/>
      <c r="AN3586" s="157">
        <v>45050</v>
      </c>
      <c r="AO3586" s="157">
        <v>45050</v>
      </c>
      <c r="AP3586" s="56"/>
      <c r="AQ3586" s="56"/>
      <c r="AR3586" s="56"/>
      <c r="AS3586" s="56"/>
      <c r="AT3586" s="56"/>
      <c r="AU3586" s="56"/>
      <c r="AV3586" s="56"/>
      <c r="AW3586" s="56"/>
      <c r="AX3586" s="56"/>
      <c r="AY3586" s="56"/>
      <c r="AZ3586" s="56"/>
      <c r="BA3586" s="56"/>
      <c r="BB3586" s="56"/>
      <c r="BC3586" s="56"/>
    </row>
    <row r="3587" spans="1:55" ht="36.75" customHeight="1">
      <c r="A3587" s="46" t="s">
        <v>12471</v>
      </c>
      <c r="B3587" s="30" t="s">
        <v>55</v>
      </c>
      <c r="C3587" s="69" t="str">
        <f t="shared" si="313"/>
        <v>Closed</v>
      </c>
      <c r="D3587" s="37" t="s">
        <v>20794</v>
      </c>
      <c r="E3587" s="55" t="s">
        <v>20795</v>
      </c>
      <c r="F3587" s="56" t="s">
        <v>17057</v>
      </c>
      <c r="G3587" s="88">
        <f>DATE(2023,1,19)</f>
        <v>44945</v>
      </c>
      <c r="H3587" s="142">
        <v>1.7743055555555554</v>
      </c>
      <c r="I3587" s="56" t="s">
        <v>198</v>
      </c>
      <c r="J3587" s="56" t="s">
        <v>20796</v>
      </c>
      <c r="K3587" s="56" t="s">
        <v>2338</v>
      </c>
      <c r="L3587" s="56" t="s">
        <v>20797</v>
      </c>
      <c r="M3587" s="56" t="s">
        <v>63</v>
      </c>
      <c r="N3587" s="56" t="s">
        <v>99</v>
      </c>
      <c r="O3587" s="56" t="s">
        <v>64</v>
      </c>
      <c r="P3587" s="56" t="s">
        <v>381</v>
      </c>
      <c r="Q3587" s="56" t="s">
        <v>20798</v>
      </c>
      <c r="R3587" s="56" t="s">
        <v>2341</v>
      </c>
      <c r="S3587" s="56">
        <v>0</v>
      </c>
      <c r="T3587" s="56">
        <v>0</v>
      </c>
      <c r="U3587" s="56">
        <v>0</v>
      </c>
      <c r="V3587" s="56">
        <v>0</v>
      </c>
      <c r="W3587" s="56">
        <v>0</v>
      </c>
      <c r="X3587" s="56">
        <v>0</v>
      </c>
      <c r="Y3587" s="56">
        <v>0</v>
      </c>
      <c r="Z3587" s="56">
        <v>0</v>
      </c>
      <c r="AA3587" s="56">
        <v>0</v>
      </c>
      <c r="AB3587" s="56">
        <v>0</v>
      </c>
      <c r="AC3587" s="56">
        <v>0</v>
      </c>
      <c r="AD3587" s="56">
        <v>0</v>
      </c>
      <c r="AE3587" s="56" t="s">
        <v>394</v>
      </c>
      <c r="AF3587" s="56" t="s">
        <v>20799</v>
      </c>
      <c r="AG3587" s="56" t="s">
        <v>13537</v>
      </c>
      <c r="AH3587" s="72">
        <v>44953</v>
      </c>
      <c r="AI3587" s="56">
        <v>8</v>
      </c>
      <c r="AJ3587" s="56" t="s">
        <v>20800</v>
      </c>
      <c r="AK3587" s="56" t="s">
        <v>20801</v>
      </c>
      <c r="AL3587" s="157">
        <v>44957</v>
      </c>
      <c r="AM3587" s="61"/>
      <c r="AN3587" s="157">
        <v>45327</v>
      </c>
      <c r="AO3587" s="157">
        <v>45307</v>
      </c>
    </row>
    <row r="3588" spans="1:55" ht="36.75" customHeight="1">
      <c r="A3588" s="46" t="s">
        <v>12471</v>
      </c>
      <c r="B3588" s="30" t="s">
        <v>55</v>
      </c>
      <c r="C3588" s="69" t="str">
        <f t="shared" si="313"/>
        <v>Closed</v>
      </c>
      <c r="D3588" s="203" t="s">
        <v>20802</v>
      </c>
      <c r="E3588" s="55" t="s">
        <v>20803</v>
      </c>
      <c r="F3588" s="56" t="s">
        <v>12474</v>
      </c>
      <c r="G3588" s="88">
        <f>DATE(2023,1,20)</f>
        <v>44946</v>
      </c>
      <c r="H3588" s="142">
        <v>1.1805555555555556</v>
      </c>
      <c r="I3588" s="56" t="s">
        <v>198</v>
      </c>
      <c r="J3588" s="56" t="s">
        <v>20804</v>
      </c>
      <c r="K3588" s="56" t="s">
        <v>200</v>
      </c>
      <c r="L3588" s="56" t="s">
        <v>20805</v>
      </c>
      <c r="M3588" s="56" t="s">
        <v>63</v>
      </c>
      <c r="N3588" s="56" t="s">
        <v>142</v>
      </c>
      <c r="O3588" s="56" t="s">
        <v>77</v>
      </c>
      <c r="P3588" s="56" t="s">
        <v>78</v>
      </c>
      <c r="Q3588" s="56" t="s">
        <v>20806</v>
      </c>
      <c r="R3588" s="56" t="s">
        <v>13578</v>
      </c>
      <c r="S3588" s="56">
        <v>0</v>
      </c>
      <c r="T3588" s="56">
        <v>0</v>
      </c>
      <c r="U3588" s="56">
        <v>0</v>
      </c>
      <c r="V3588" s="56">
        <v>0</v>
      </c>
      <c r="W3588" s="56">
        <v>0</v>
      </c>
      <c r="X3588" s="56">
        <v>0</v>
      </c>
      <c r="Y3588" s="56">
        <v>0</v>
      </c>
      <c r="Z3588" s="56">
        <v>0</v>
      </c>
      <c r="AA3588" s="56">
        <v>0</v>
      </c>
      <c r="AB3588" s="56">
        <v>0</v>
      </c>
      <c r="AC3588" s="56">
        <v>0</v>
      </c>
      <c r="AD3588" s="56">
        <v>0</v>
      </c>
      <c r="AE3588" s="56" t="s">
        <v>145</v>
      </c>
      <c r="AF3588" s="55" t="s">
        <v>20807</v>
      </c>
      <c r="AG3588" s="56" t="s">
        <v>6459</v>
      </c>
      <c r="AH3588" s="72">
        <v>44951</v>
      </c>
      <c r="AI3588" s="56">
        <v>0</v>
      </c>
      <c r="AJ3588" s="56" t="s">
        <v>20808</v>
      </c>
      <c r="AK3588" s="56" t="s">
        <v>20809</v>
      </c>
      <c r="AL3588" s="157">
        <v>44953</v>
      </c>
      <c r="AM3588" s="61"/>
      <c r="AN3588" s="157">
        <v>45665</v>
      </c>
      <c r="AO3588" s="157">
        <v>45646</v>
      </c>
    </row>
    <row r="3589" spans="1:55" ht="36.75" customHeight="1">
      <c r="A3589" s="46" t="s">
        <v>12471</v>
      </c>
      <c r="B3589" s="30" t="s">
        <v>55</v>
      </c>
      <c r="C3589" s="69" t="str">
        <f t="shared" si="313"/>
        <v>Closed</v>
      </c>
      <c r="D3589" s="203" t="s">
        <v>20810</v>
      </c>
      <c r="E3589" s="55" t="s">
        <v>20811</v>
      </c>
      <c r="F3589" s="56" t="s">
        <v>16429</v>
      </c>
      <c r="G3589" s="88">
        <f>DATE(2023,1,21)</f>
        <v>44947</v>
      </c>
      <c r="H3589" s="142">
        <v>1.4222222222222223</v>
      </c>
      <c r="I3589" s="56" t="s">
        <v>116</v>
      </c>
      <c r="J3589" s="56" t="s">
        <v>20812</v>
      </c>
      <c r="K3589" s="56" t="s">
        <v>425</v>
      </c>
      <c r="L3589" s="56" t="s">
        <v>20813</v>
      </c>
      <c r="M3589" s="56" t="s">
        <v>63</v>
      </c>
      <c r="N3589" s="56" t="s">
        <v>99</v>
      </c>
      <c r="O3589" s="56" t="s">
        <v>77</v>
      </c>
      <c r="P3589" s="56" t="s">
        <v>65</v>
      </c>
      <c r="Q3589" s="56" t="s">
        <v>18615</v>
      </c>
      <c r="R3589" s="56" t="s">
        <v>17369</v>
      </c>
      <c r="S3589" s="56">
        <v>0</v>
      </c>
      <c r="T3589" s="56">
        <v>0</v>
      </c>
      <c r="U3589" s="56">
        <v>2</v>
      </c>
      <c r="V3589" s="56">
        <v>0</v>
      </c>
      <c r="W3589" s="56">
        <v>0</v>
      </c>
      <c r="X3589" s="56">
        <v>2</v>
      </c>
      <c r="Y3589" s="56">
        <v>0</v>
      </c>
      <c r="Z3589" s="56">
        <v>0</v>
      </c>
      <c r="AA3589" s="56">
        <v>0</v>
      </c>
      <c r="AB3589" s="56">
        <v>0</v>
      </c>
      <c r="AC3589" s="56">
        <v>0</v>
      </c>
      <c r="AD3589" s="56">
        <v>0</v>
      </c>
      <c r="AE3589" s="56" t="s">
        <v>92</v>
      </c>
      <c r="AF3589" s="56" t="s">
        <v>20814</v>
      </c>
      <c r="AG3589" s="56" t="s">
        <v>16283</v>
      </c>
      <c r="AH3589" s="72">
        <v>44947</v>
      </c>
      <c r="AI3589" s="56">
        <v>0</v>
      </c>
      <c r="AJ3589" s="56" t="s">
        <v>20815</v>
      </c>
      <c r="AK3589" s="56" t="s">
        <v>879</v>
      </c>
      <c r="AL3589" s="157">
        <v>44949</v>
      </c>
      <c r="AM3589" s="56"/>
      <c r="AN3589" s="157">
        <v>45138</v>
      </c>
      <c r="AO3589" s="157">
        <v>45134</v>
      </c>
    </row>
    <row r="3590" spans="1:55" ht="36.75" customHeight="1">
      <c r="A3590" s="46" t="s">
        <v>12471</v>
      </c>
      <c r="B3590" s="30" t="s">
        <v>2124</v>
      </c>
      <c r="C3590" s="69" t="str">
        <f t="shared" si="313"/>
        <v>Open</v>
      </c>
      <c r="D3590" s="36" t="s">
        <v>20816</v>
      </c>
      <c r="E3590" s="55" t="s">
        <v>20817</v>
      </c>
      <c r="F3590" s="56" t="s">
        <v>16310</v>
      </c>
      <c r="G3590" s="88">
        <f>DATE(2023,1,24)</f>
        <v>44950</v>
      </c>
      <c r="H3590" s="142">
        <v>1.2951388888888888</v>
      </c>
      <c r="I3590" s="56" t="s">
        <v>116</v>
      </c>
      <c r="J3590" s="56" t="s">
        <v>20818</v>
      </c>
      <c r="K3590" s="56" t="s">
        <v>118</v>
      </c>
      <c r="L3590" s="56" t="s">
        <v>20819</v>
      </c>
      <c r="M3590" s="56" t="s">
        <v>63</v>
      </c>
      <c r="N3590" s="56" t="s">
        <v>99</v>
      </c>
      <c r="O3590" s="56" t="s">
        <v>64</v>
      </c>
      <c r="P3590" s="56" t="s">
        <v>165</v>
      </c>
      <c r="Q3590" s="56" t="s">
        <v>16313</v>
      </c>
      <c r="R3590" s="56" t="s">
        <v>18214</v>
      </c>
      <c r="S3590" s="56">
        <v>0</v>
      </c>
      <c r="T3590" s="56">
        <v>0</v>
      </c>
      <c r="U3590" s="56">
        <v>0</v>
      </c>
      <c r="V3590" s="56">
        <v>0</v>
      </c>
      <c r="W3590" s="56">
        <v>0</v>
      </c>
      <c r="X3590" s="56">
        <v>0</v>
      </c>
      <c r="Y3590" s="56">
        <v>0</v>
      </c>
      <c r="Z3590" s="56">
        <v>0</v>
      </c>
      <c r="AA3590" s="56">
        <v>0</v>
      </c>
      <c r="AB3590" s="56">
        <v>0</v>
      </c>
      <c r="AC3590" s="56">
        <v>0</v>
      </c>
      <c r="AD3590" s="56">
        <v>0</v>
      </c>
      <c r="AE3590" s="56" t="s">
        <v>394</v>
      </c>
      <c r="AF3590" s="56" t="s">
        <v>20820</v>
      </c>
      <c r="AG3590" s="56" t="s">
        <v>8859</v>
      </c>
      <c r="AH3590" s="72">
        <v>44959</v>
      </c>
      <c r="AI3590" s="56"/>
      <c r="AJ3590" s="56"/>
      <c r="AK3590" s="56"/>
      <c r="AL3590" s="157">
        <v>44986</v>
      </c>
      <c r="AM3590" s="56"/>
      <c r="AN3590" s="158"/>
      <c r="AO3590" s="158"/>
      <c r="AP3590" s="157">
        <v>45158</v>
      </c>
      <c r="AQ3590" s="157">
        <v>45159</v>
      </c>
      <c r="AR3590" s="157">
        <v>45160</v>
      </c>
      <c r="AS3590" s="157">
        <v>45161</v>
      </c>
      <c r="AT3590" s="157">
        <v>45162</v>
      </c>
      <c r="AU3590" s="157">
        <v>45163</v>
      </c>
      <c r="AV3590" s="157">
        <v>45164</v>
      </c>
      <c r="AW3590" s="157">
        <v>45165</v>
      </c>
      <c r="AX3590" s="157">
        <v>45166</v>
      </c>
      <c r="AY3590" s="157">
        <v>45167</v>
      </c>
      <c r="AZ3590" s="157">
        <v>45168</v>
      </c>
      <c r="BA3590" s="157">
        <v>45169</v>
      </c>
      <c r="BB3590" s="157">
        <v>45170</v>
      </c>
      <c r="BC3590" s="157">
        <v>45171</v>
      </c>
    </row>
    <row r="3591" spans="1:55" ht="36.75" customHeight="1">
      <c r="A3591" s="46" t="s">
        <v>12471</v>
      </c>
      <c r="B3591" s="30" t="s">
        <v>55</v>
      </c>
      <c r="C3591" s="69" t="str">
        <f t="shared" si="313"/>
        <v>Closed</v>
      </c>
      <c r="D3591" s="37" t="s">
        <v>20821</v>
      </c>
      <c r="E3591" s="55" t="s">
        <v>20822</v>
      </c>
      <c r="F3591" s="56" t="s">
        <v>17682</v>
      </c>
      <c r="G3591" s="88">
        <f>DATE(2023,1,26)</f>
        <v>44952</v>
      </c>
      <c r="H3591" s="142">
        <v>1.5902777777777777</v>
      </c>
      <c r="I3591" s="56" t="s">
        <v>73</v>
      </c>
      <c r="J3591" s="56" t="s">
        <v>20823</v>
      </c>
      <c r="K3591" s="56" t="s">
        <v>1574</v>
      </c>
      <c r="L3591" s="56" t="s">
        <v>19107</v>
      </c>
      <c r="M3591" s="56" t="s">
        <v>63</v>
      </c>
      <c r="N3591" s="56" t="s">
        <v>142</v>
      </c>
      <c r="O3591" s="56" t="s">
        <v>77</v>
      </c>
      <c r="P3591" s="56" t="s">
        <v>78</v>
      </c>
      <c r="Q3591" s="56" t="s">
        <v>20824</v>
      </c>
      <c r="R3591" s="56" t="s">
        <v>19007</v>
      </c>
      <c r="S3591" s="56">
        <v>0</v>
      </c>
      <c r="T3591" s="56">
        <v>0</v>
      </c>
      <c r="U3591" s="56">
        <v>0</v>
      </c>
      <c r="V3591" s="56">
        <v>0</v>
      </c>
      <c r="W3591" s="56">
        <v>0</v>
      </c>
      <c r="X3591" s="56">
        <v>0</v>
      </c>
      <c r="Y3591" s="56">
        <v>0</v>
      </c>
      <c r="Z3591" s="56">
        <v>0</v>
      </c>
      <c r="AA3591" s="56">
        <v>0</v>
      </c>
      <c r="AB3591" s="56">
        <v>0</v>
      </c>
      <c r="AC3591" s="56">
        <v>0</v>
      </c>
      <c r="AD3591" s="56">
        <v>0</v>
      </c>
      <c r="AE3591" s="56" t="s">
        <v>92</v>
      </c>
      <c r="AF3591" s="56" t="s">
        <v>20825</v>
      </c>
      <c r="AG3591" s="56" t="s">
        <v>8859</v>
      </c>
      <c r="AH3591" s="72">
        <v>44956</v>
      </c>
      <c r="AI3591" s="56">
        <v>0</v>
      </c>
      <c r="AJ3591" s="56" t="s">
        <v>20826</v>
      </c>
      <c r="AK3591" s="56" t="s">
        <v>20827</v>
      </c>
      <c r="AL3591" s="157">
        <v>44957</v>
      </c>
      <c r="AM3591" s="56"/>
      <c r="AN3591" s="157">
        <v>45327</v>
      </c>
      <c r="AO3591" s="157">
        <v>45314</v>
      </c>
    </row>
    <row r="3592" spans="1:55" ht="36.75" customHeight="1">
      <c r="A3592" s="46" t="s">
        <v>12471</v>
      </c>
      <c r="B3592" s="30" t="s">
        <v>55</v>
      </c>
      <c r="C3592" s="69" t="str">
        <f t="shared" si="313"/>
        <v>Closed</v>
      </c>
      <c r="D3592" s="37" t="s">
        <v>20828</v>
      </c>
      <c r="E3592" s="55" t="s">
        <v>20829</v>
      </c>
      <c r="F3592" s="56" t="s">
        <v>18131</v>
      </c>
      <c r="G3592" s="88">
        <f>DATE(2023,1,26)</f>
        <v>44952</v>
      </c>
      <c r="H3592" s="142">
        <v>1.875</v>
      </c>
      <c r="I3592" s="56" t="s">
        <v>73</v>
      </c>
      <c r="J3592" s="56" t="s">
        <v>20830</v>
      </c>
      <c r="K3592" s="56" t="s">
        <v>379</v>
      </c>
      <c r="L3592" s="56" t="s">
        <v>20831</v>
      </c>
      <c r="M3592" s="56" t="s">
        <v>63</v>
      </c>
      <c r="N3592" s="56" t="s">
        <v>99</v>
      </c>
      <c r="O3592" s="56" t="s">
        <v>64</v>
      </c>
      <c r="P3592" s="56" t="s">
        <v>165</v>
      </c>
      <c r="Q3592" s="56" t="s">
        <v>20587</v>
      </c>
      <c r="R3592" s="56" t="s">
        <v>20587</v>
      </c>
      <c r="S3592" s="56">
        <v>0</v>
      </c>
      <c r="T3592" s="56">
        <v>0</v>
      </c>
      <c r="U3592" s="56">
        <v>0</v>
      </c>
      <c r="V3592" s="56">
        <v>0</v>
      </c>
      <c r="W3592" s="56">
        <v>0</v>
      </c>
      <c r="X3592" s="56">
        <v>0</v>
      </c>
      <c r="Y3592" s="56">
        <v>0</v>
      </c>
      <c r="Z3592" s="56">
        <v>0</v>
      </c>
      <c r="AA3592" s="56">
        <v>0</v>
      </c>
      <c r="AB3592" s="56">
        <v>0</v>
      </c>
      <c r="AC3592" s="56">
        <v>0</v>
      </c>
      <c r="AD3592" s="56">
        <v>0</v>
      </c>
      <c r="AE3592" s="56" t="s">
        <v>92</v>
      </c>
      <c r="AF3592" s="56" t="s">
        <v>20832</v>
      </c>
      <c r="AG3592" s="56" t="s">
        <v>20833</v>
      </c>
      <c r="AH3592" s="72">
        <v>44958</v>
      </c>
      <c r="AI3592" s="56">
        <v>6</v>
      </c>
      <c r="AJ3592" s="56" t="s">
        <v>20834</v>
      </c>
      <c r="AK3592" s="56" t="s">
        <v>20835</v>
      </c>
      <c r="AL3592" s="157">
        <v>44960</v>
      </c>
      <c r="AM3592" s="56"/>
      <c r="AN3592" s="157">
        <v>45412</v>
      </c>
      <c r="AO3592" s="157">
        <v>45404</v>
      </c>
    </row>
    <row r="3593" spans="1:55" ht="36.75" customHeight="1">
      <c r="A3593" s="46" t="s">
        <v>12471</v>
      </c>
      <c r="B3593" s="30" t="s">
        <v>55</v>
      </c>
      <c r="C3593" s="69" t="str">
        <f t="shared" ref="C3593:C3656" si="314">IF(B3593="Notification","Open",IF(B3593="Interim Statement","In progress","Closed"))</f>
        <v>Closed</v>
      </c>
      <c r="D3593" s="37" t="s">
        <v>20836</v>
      </c>
      <c r="E3593" s="55" t="s">
        <v>20837</v>
      </c>
      <c r="F3593" s="56" t="s">
        <v>17820</v>
      </c>
      <c r="G3593" s="88">
        <f>DATE(2023,1,30)</f>
        <v>44956</v>
      </c>
      <c r="H3593" s="142">
        <v>1.8194444444444446</v>
      </c>
      <c r="I3593" s="56" t="s">
        <v>125</v>
      </c>
      <c r="J3593" s="56" t="s">
        <v>20838</v>
      </c>
      <c r="K3593" s="56" t="s">
        <v>640</v>
      </c>
      <c r="L3593" s="56" t="s">
        <v>20839</v>
      </c>
      <c r="M3593" s="56" t="s">
        <v>63</v>
      </c>
      <c r="N3593" s="56" t="s">
        <v>89</v>
      </c>
      <c r="O3593" s="56" t="s">
        <v>86</v>
      </c>
      <c r="P3593" s="56" t="s">
        <v>65</v>
      </c>
      <c r="Q3593" s="56" t="s">
        <v>18509</v>
      </c>
      <c r="R3593" s="56" t="s">
        <v>2016</v>
      </c>
      <c r="S3593" s="56">
        <v>0</v>
      </c>
      <c r="T3593" s="56">
        <v>0</v>
      </c>
      <c r="U3593" s="56">
        <v>0</v>
      </c>
      <c r="V3593" s="56">
        <v>0</v>
      </c>
      <c r="W3593" s="56">
        <v>0</v>
      </c>
      <c r="X3593" s="56">
        <v>0</v>
      </c>
      <c r="Y3593" s="56">
        <v>0</v>
      </c>
      <c r="Z3593" s="56">
        <v>0</v>
      </c>
      <c r="AA3593" s="56">
        <v>0</v>
      </c>
      <c r="AB3593" s="56">
        <v>0</v>
      </c>
      <c r="AC3593" s="56">
        <v>0</v>
      </c>
      <c r="AD3593" s="56">
        <v>0</v>
      </c>
      <c r="AE3593" s="56" t="s">
        <v>92</v>
      </c>
      <c r="AF3593" s="56" t="s">
        <v>20840</v>
      </c>
      <c r="AG3593" s="56" t="s">
        <v>8859</v>
      </c>
      <c r="AH3593" s="72">
        <v>44980</v>
      </c>
      <c r="AI3593" s="56">
        <v>7</v>
      </c>
      <c r="AJ3593" s="56" t="s">
        <v>20841</v>
      </c>
      <c r="AK3593" s="56" t="s">
        <v>20842</v>
      </c>
      <c r="AL3593" s="157">
        <v>44985</v>
      </c>
      <c r="AM3593" s="56"/>
      <c r="AN3593" s="157">
        <v>45421</v>
      </c>
      <c r="AO3593" s="157">
        <v>45407</v>
      </c>
    </row>
    <row r="3594" spans="1:55" ht="36.75" customHeight="1">
      <c r="A3594" s="46" t="s">
        <v>12471</v>
      </c>
      <c r="B3594" s="30" t="s">
        <v>55</v>
      </c>
      <c r="C3594" s="69" t="str">
        <f t="shared" si="314"/>
        <v>Closed</v>
      </c>
      <c r="D3594" s="203" t="s">
        <v>20843</v>
      </c>
      <c r="E3594" s="55" t="s">
        <v>20844</v>
      </c>
      <c r="F3594" s="56" t="s">
        <v>12910</v>
      </c>
      <c r="G3594" s="88">
        <f>DATE(2023,2,6)</f>
        <v>44963</v>
      </c>
      <c r="H3594" s="142">
        <v>1.7604166666666665</v>
      </c>
      <c r="I3594" s="56" t="s">
        <v>9026</v>
      </c>
      <c r="J3594" s="56" t="s">
        <v>20845</v>
      </c>
      <c r="K3594" s="56" t="s">
        <v>453</v>
      </c>
      <c r="L3594" s="56" t="s">
        <v>20846</v>
      </c>
      <c r="M3594" s="56" t="s">
        <v>63</v>
      </c>
      <c r="N3594" s="56" t="s">
        <v>99</v>
      </c>
      <c r="O3594" s="56" t="s">
        <v>64</v>
      </c>
      <c r="P3594" s="56" t="s">
        <v>165</v>
      </c>
      <c r="Q3594" s="56" t="s">
        <v>12184</v>
      </c>
      <c r="R3594" s="56" t="s">
        <v>572</v>
      </c>
      <c r="S3594" s="56">
        <v>0</v>
      </c>
      <c r="T3594" s="56">
        <v>0</v>
      </c>
      <c r="U3594" s="56">
        <v>1</v>
      </c>
      <c r="V3594" s="56">
        <v>0</v>
      </c>
      <c r="W3594" s="56">
        <v>0</v>
      </c>
      <c r="X3594" s="56">
        <v>1</v>
      </c>
      <c r="Y3594" s="56">
        <v>0</v>
      </c>
      <c r="Z3594" s="56">
        <v>0</v>
      </c>
      <c r="AA3594" s="56">
        <v>0</v>
      </c>
      <c r="AB3594" s="56">
        <v>0</v>
      </c>
      <c r="AC3594" s="56">
        <v>0</v>
      </c>
      <c r="AD3594" s="56">
        <v>0</v>
      </c>
      <c r="AE3594" s="56" t="s">
        <v>92</v>
      </c>
      <c r="AF3594" s="56" t="s">
        <v>712</v>
      </c>
      <c r="AG3594" s="56" t="s">
        <v>6459</v>
      </c>
      <c r="AH3594" s="72">
        <v>44966</v>
      </c>
      <c r="AI3594" s="56">
        <v>0</v>
      </c>
      <c r="AJ3594" s="56" t="s">
        <v>20847</v>
      </c>
      <c r="AK3594" s="56" t="s">
        <v>20848</v>
      </c>
      <c r="AL3594" s="157">
        <v>44966</v>
      </c>
      <c r="AM3594" s="56"/>
      <c r="AN3594" s="157">
        <v>45113</v>
      </c>
      <c r="AO3594" s="157">
        <v>45113</v>
      </c>
    </row>
    <row r="3595" spans="1:55" ht="36.75" customHeight="1">
      <c r="A3595" s="46" t="s">
        <v>12471</v>
      </c>
      <c r="B3595" s="30" t="s">
        <v>55</v>
      </c>
      <c r="C3595" s="69" t="str">
        <f t="shared" si="314"/>
        <v>Closed</v>
      </c>
      <c r="D3595" s="37" t="s">
        <v>20849</v>
      </c>
      <c r="E3595" s="55" t="s">
        <v>20850</v>
      </c>
      <c r="F3595" s="56" t="s">
        <v>16429</v>
      </c>
      <c r="G3595" s="88">
        <f>DATE(2023,2,7)</f>
        <v>44964</v>
      </c>
      <c r="H3595" s="142">
        <v>1.9937499999999999</v>
      </c>
      <c r="I3595" s="56" t="s">
        <v>20851</v>
      </c>
      <c r="J3595" s="56" t="s">
        <v>20852</v>
      </c>
      <c r="K3595" s="56" t="s">
        <v>425</v>
      </c>
      <c r="L3595" s="56" t="s">
        <v>20853</v>
      </c>
      <c r="M3595" s="56" t="s">
        <v>63</v>
      </c>
      <c r="N3595" s="56" t="s">
        <v>142</v>
      </c>
      <c r="O3595" s="56" t="s">
        <v>77</v>
      </c>
      <c r="P3595" s="56" t="s">
        <v>165</v>
      </c>
      <c r="Q3595" s="56" t="s">
        <v>18615</v>
      </c>
      <c r="R3595" s="56" t="s">
        <v>17369</v>
      </c>
      <c r="S3595" s="56">
        <v>0</v>
      </c>
      <c r="T3595" s="56">
        <v>0</v>
      </c>
      <c r="U3595" s="56">
        <v>0</v>
      </c>
      <c r="V3595" s="56">
        <v>0</v>
      </c>
      <c r="W3595" s="56">
        <v>0</v>
      </c>
      <c r="X3595" s="56">
        <v>0</v>
      </c>
      <c r="Y3595" s="56">
        <v>0</v>
      </c>
      <c r="Z3595" s="56">
        <v>0</v>
      </c>
      <c r="AA3595" s="56">
        <v>0</v>
      </c>
      <c r="AB3595" s="56">
        <v>0</v>
      </c>
      <c r="AC3595" s="56">
        <v>0</v>
      </c>
      <c r="AD3595" s="56">
        <v>0</v>
      </c>
      <c r="AE3595" s="56" t="s">
        <v>394</v>
      </c>
      <c r="AF3595" s="56" t="s">
        <v>20854</v>
      </c>
      <c r="AG3595" s="56" t="s">
        <v>16283</v>
      </c>
      <c r="AH3595" s="72">
        <v>44964</v>
      </c>
      <c r="AI3595" s="56">
        <v>0</v>
      </c>
      <c r="AJ3595" s="56" t="s">
        <v>20855</v>
      </c>
      <c r="AK3595" s="56" t="s">
        <v>17938</v>
      </c>
      <c r="AL3595" s="157">
        <v>44965</v>
      </c>
      <c r="AM3595" s="56"/>
      <c r="AN3595" s="195">
        <v>45243</v>
      </c>
      <c r="AO3595" s="195">
        <v>45239</v>
      </c>
    </row>
    <row r="3596" spans="1:55" ht="36.75" customHeight="1">
      <c r="A3596" s="46" t="s">
        <v>12471</v>
      </c>
      <c r="B3596" s="30" t="s">
        <v>55</v>
      </c>
      <c r="C3596" s="69" t="str">
        <f t="shared" si="314"/>
        <v>Closed</v>
      </c>
      <c r="D3596" s="37" t="s">
        <v>20856</v>
      </c>
      <c r="E3596" s="55" t="s">
        <v>20857</v>
      </c>
      <c r="F3596" s="56" t="s">
        <v>17057</v>
      </c>
      <c r="G3596" s="88">
        <f>DATE(2023,2,7)</f>
        <v>44964</v>
      </c>
      <c r="H3596" s="142">
        <v>1.0833333333333333</v>
      </c>
      <c r="I3596" s="56" t="s">
        <v>73</v>
      </c>
      <c r="J3596" s="56" t="s">
        <v>20858</v>
      </c>
      <c r="K3596" s="56" t="s">
        <v>2338</v>
      </c>
      <c r="L3596" s="56" t="s">
        <v>20859</v>
      </c>
      <c r="M3596" s="56" t="s">
        <v>63</v>
      </c>
      <c r="N3596" s="56" t="s">
        <v>142</v>
      </c>
      <c r="O3596" s="56" t="s">
        <v>77</v>
      </c>
      <c r="P3596" s="56" t="s">
        <v>78</v>
      </c>
      <c r="Q3596" s="56" t="s">
        <v>20860</v>
      </c>
      <c r="R3596" s="56" t="s">
        <v>2341</v>
      </c>
      <c r="S3596" s="56">
        <v>0</v>
      </c>
      <c r="T3596" s="56">
        <v>0</v>
      </c>
      <c r="U3596" s="56">
        <v>0</v>
      </c>
      <c r="V3596" s="56">
        <v>0</v>
      </c>
      <c r="W3596" s="56">
        <v>0</v>
      </c>
      <c r="X3596" s="56">
        <v>0</v>
      </c>
      <c r="Y3596" s="56">
        <v>0</v>
      </c>
      <c r="Z3596" s="56">
        <v>0</v>
      </c>
      <c r="AA3596" s="56">
        <v>0</v>
      </c>
      <c r="AB3596" s="56">
        <v>0</v>
      </c>
      <c r="AC3596" s="56">
        <v>0</v>
      </c>
      <c r="AD3596" s="56">
        <v>0</v>
      </c>
      <c r="AE3596" s="56" t="s">
        <v>394</v>
      </c>
      <c r="AF3596" s="56" t="s">
        <v>20861</v>
      </c>
      <c r="AG3596" s="56" t="s">
        <v>13537</v>
      </c>
      <c r="AH3596" s="72">
        <v>44979</v>
      </c>
      <c r="AI3596" s="56">
        <v>7</v>
      </c>
      <c r="AJ3596" s="56" t="s">
        <v>20862</v>
      </c>
      <c r="AK3596" s="56" t="s">
        <v>20863</v>
      </c>
      <c r="AL3596" s="157">
        <v>44984</v>
      </c>
      <c r="AM3596" s="56"/>
      <c r="AN3596" s="157">
        <v>45342</v>
      </c>
      <c r="AO3596" s="157">
        <v>45314</v>
      </c>
    </row>
    <row r="3597" spans="1:55" ht="36.75" customHeight="1">
      <c r="A3597" s="46" t="s">
        <v>12471</v>
      </c>
      <c r="B3597" s="30" t="s">
        <v>55</v>
      </c>
      <c r="C3597" s="69" t="str">
        <f t="shared" si="314"/>
        <v>Closed</v>
      </c>
      <c r="D3597" s="37" t="s">
        <v>20864</v>
      </c>
      <c r="E3597" s="55" t="s">
        <v>20865</v>
      </c>
      <c r="F3597" s="56" t="s">
        <v>16429</v>
      </c>
      <c r="G3597" s="88">
        <f>DATE(2023,2,13)</f>
        <v>44970</v>
      </c>
      <c r="H3597" s="142">
        <v>1.8069444444444445</v>
      </c>
      <c r="I3597" s="56" t="s">
        <v>156</v>
      </c>
      <c r="J3597" s="56" t="s">
        <v>20866</v>
      </c>
      <c r="K3597" s="56" t="s">
        <v>425</v>
      </c>
      <c r="L3597" s="56" t="s">
        <v>20867</v>
      </c>
      <c r="M3597" s="56" t="s">
        <v>63</v>
      </c>
      <c r="N3597" s="56" t="s">
        <v>142</v>
      </c>
      <c r="O3597" s="56" t="s">
        <v>64</v>
      </c>
      <c r="P3597" s="56" t="s">
        <v>65</v>
      </c>
      <c r="Q3597" s="56" t="s">
        <v>18615</v>
      </c>
      <c r="R3597" s="56" t="s">
        <v>17369</v>
      </c>
      <c r="S3597" s="56">
        <v>0</v>
      </c>
      <c r="T3597" s="56">
        <v>0</v>
      </c>
      <c r="U3597" s="56">
        <v>0</v>
      </c>
      <c r="V3597" s="56">
        <v>0</v>
      </c>
      <c r="W3597" s="56">
        <v>0</v>
      </c>
      <c r="X3597" s="56">
        <v>0</v>
      </c>
      <c r="Y3597" s="56">
        <v>0</v>
      </c>
      <c r="Z3597" s="56">
        <v>0</v>
      </c>
      <c r="AA3597" s="56">
        <v>0</v>
      </c>
      <c r="AB3597" s="56">
        <v>0</v>
      </c>
      <c r="AC3597" s="56">
        <v>0</v>
      </c>
      <c r="AD3597" s="56">
        <v>0</v>
      </c>
      <c r="AE3597" s="56" t="s">
        <v>92</v>
      </c>
      <c r="AF3597" s="56" t="s">
        <v>20868</v>
      </c>
      <c r="AG3597" s="56" t="s">
        <v>16283</v>
      </c>
      <c r="AH3597" s="72">
        <v>44970</v>
      </c>
      <c r="AI3597" s="56">
        <v>2</v>
      </c>
      <c r="AJ3597" s="56" t="s">
        <v>20869</v>
      </c>
      <c r="AK3597" s="56" t="s">
        <v>879</v>
      </c>
      <c r="AL3597" s="157">
        <v>44973</v>
      </c>
      <c r="AM3597" s="195">
        <v>45344</v>
      </c>
      <c r="AN3597" s="195">
        <v>45546</v>
      </c>
      <c r="AO3597" s="195">
        <v>45544</v>
      </c>
    </row>
    <row r="3598" spans="1:55" ht="36.75" customHeight="1">
      <c r="A3598" s="46" t="s">
        <v>12471</v>
      </c>
      <c r="B3598" s="30" t="s">
        <v>55</v>
      </c>
      <c r="C3598" s="69" t="str">
        <f t="shared" si="314"/>
        <v>Closed</v>
      </c>
      <c r="D3598" s="37" t="s">
        <v>20870</v>
      </c>
      <c r="E3598" s="55" t="s">
        <v>20871</v>
      </c>
      <c r="F3598" s="56" t="s">
        <v>16429</v>
      </c>
      <c r="G3598" s="88">
        <f>DATE(2023,2,16)</f>
        <v>44973</v>
      </c>
      <c r="H3598" s="142">
        <v>1.2972222222222223</v>
      </c>
      <c r="I3598" s="56" t="s">
        <v>156</v>
      </c>
      <c r="J3598" s="56" t="s">
        <v>20872</v>
      </c>
      <c r="K3598" s="56" t="s">
        <v>425</v>
      </c>
      <c r="L3598" s="56" t="s">
        <v>20873</v>
      </c>
      <c r="M3598" s="56" t="s">
        <v>63</v>
      </c>
      <c r="N3598" s="56" t="s">
        <v>142</v>
      </c>
      <c r="O3598" s="56" t="s">
        <v>6875</v>
      </c>
      <c r="P3598" s="56" t="s">
        <v>91</v>
      </c>
      <c r="Q3598" s="56" t="s">
        <v>18098</v>
      </c>
      <c r="R3598" s="56" t="s">
        <v>20874</v>
      </c>
      <c r="S3598" s="56">
        <v>0</v>
      </c>
      <c r="T3598" s="56">
        <v>0</v>
      </c>
      <c r="U3598" s="56">
        <v>0</v>
      </c>
      <c r="V3598" s="56">
        <v>0</v>
      </c>
      <c r="W3598" s="56">
        <v>0</v>
      </c>
      <c r="X3598" s="56">
        <v>0</v>
      </c>
      <c r="Y3598" s="56">
        <v>0</v>
      </c>
      <c r="Z3598" s="56">
        <v>1</v>
      </c>
      <c r="AA3598" s="56">
        <v>0</v>
      </c>
      <c r="AB3598" s="56">
        <v>0</v>
      </c>
      <c r="AC3598" s="56">
        <v>0</v>
      </c>
      <c r="AD3598" s="56">
        <v>1</v>
      </c>
      <c r="AE3598" s="56" t="s">
        <v>92</v>
      </c>
      <c r="AF3598" s="56" t="s">
        <v>20875</v>
      </c>
      <c r="AG3598" s="56" t="s">
        <v>16283</v>
      </c>
      <c r="AH3598" s="72">
        <v>44973</v>
      </c>
      <c r="AI3598" s="56">
        <v>1</v>
      </c>
      <c r="AJ3598" s="56" t="s">
        <v>20876</v>
      </c>
      <c r="AK3598" s="56" t="s">
        <v>879</v>
      </c>
      <c r="AL3598" s="157">
        <v>44979</v>
      </c>
      <c r="AM3598" s="56"/>
      <c r="AN3598" s="195">
        <v>45355</v>
      </c>
      <c r="AO3598" s="195">
        <v>45349</v>
      </c>
    </row>
    <row r="3599" spans="1:55" ht="36.65" customHeight="1">
      <c r="A3599" s="46" t="s">
        <v>12471</v>
      </c>
      <c r="B3599" s="30" t="s">
        <v>55</v>
      </c>
      <c r="C3599" s="69" t="str">
        <f t="shared" si="314"/>
        <v>Closed</v>
      </c>
      <c r="D3599" s="37" t="s">
        <v>20877</v>
      </c>
      <c r="E3599" s="55" t="s">
        <v>20878</v>
      </c>
      <c r="F3599" s="56" t="s">
        <v>17057</v>
      </c>
      <c r="G3599" s="88">
        <f>DATE(2023,2,20)</f>
        <v>44977</v>
      </c>
      <c r="H3599" s="142">
        <v>1.7569444444444446</v>
      </c>
      <c r="I3599" s="56" t="s">
        <v>116</v>
      </c>
      <c r="J3599" s="56" t="s">
        <v>20879</v>
      </c>
      <c r="K3599" s="56" t="s">
        <v>2338</v>
      </c>
      <c r="L3599" s="56" t="s">
        <v>20880</v>
      </c>
      <c r="M3599" s="56" t="s">
        <v>63</v>
      </c>
      <c r="N3599" s="56" t="s">
        <v>142</v>
      </c>
      <c r="O3599" s="56" t="s">
        <v>64</v>
      </c>
      <c r="P3599" s="56" t="s">
        <v>78</v>
      </c>
      <c r="Q3599" s="56" t="s">
        <v>2975</v>
      </c>
      <c r="R3599" s="56" t="s">
        <v>2341</v>
      </c>
      <c r="S3599" s="56">
        <v>0</v>
      </c>
      <c r="T3599" s="56">
        <v>0</v>
      </c>
      <c r="U3599" s="56">
        <v>0</v>
      </c>
      <c r="V3599" s="56">
        <v>0</v>
      </c>
      <c r="W3599" s="56">
        <v>0</v>
      </c>
      <c r="X3599" s="56">
        <v>0</v>
      </c>
      <c r="Y3599" s="56">
        <v>0</v>
      </c>
      <c r="Z3599" s="56">
        <v>0</v>
      </c>
      <c r="AA3599" s="56">
        <v>0</v>
      </c>
      <c r="AB3599" s="56">
        <v>0</v>
      </c>
      <c r="AC3599" s="56">
        <v>0</v>
      </c>
      <c r="AD3599" s="56">
        <v>0</v>
      </c>
      <c r="AE3599" s="56" t="s">
        <v>92</v>
      </c>
      <c r="AF3599" s="56" t="s">
        <v>20881</v>
      </c>
      <c r="AG3599" s="56" t="s">
        <v>13537</v>
      </c>
      <c r="AH3599" s="72">
        <v>44986</v>
      </c>
      <c r="AI3599" s="56">
        <v>5</v>
      </c>
      <c r="AJ3599" s="56" t="s">
        <v>20882</v>
      </c>
      <c r="AK3599" s="56" t="s">
        <v>20883</v>
      </c>
      <c r="AL3599" s="157">
        <v>44987</v>
      </c>
      <c r="AM3599" s="56"/>
      <c r="AN3599" s="157">
        <v>45320</v>
      </c>
      <c r="AO3599" s="157">
        <v>45279</v>
      </c>
      <c r="AP3599" s="157">
        <v>45322</v>
      </c>
      <c r="AQ3599" s="157">
        <v>45323</v>
      </c>
      <c r="AR3599" s="157">
        <v>45324</v>
      </c>
      <c r="AS3599" s="157">
        <v>45325</v>
      </c>
      <c r="AT3599" s="157">
        <v>45326</v>
      </c>
      <c r="AU3599" s="157">
        <v>45327</v>
      </c>
      <c r="AV3599" s="157">
        <v>45328</v>
      </c>
      <c r="AW3599" s="157">
        <v>45329</v>
      </c>
      <c r="AX3599" s="157">
        <v>45330</v>
      </c>
      <c r="AY3599" s="157">
        <v>45331</v>
      </c>
      <c r="AZ3599" s="157">
        <v>45332</v>
      </c>
      <c r="BA3599" s="157">
        <v>45333</v>
      </c>
      <c r="BB3599" s="157">
        <v>45334</v>
      </c>
      <c r="BC3599" s="157">
        <v>45335</v>
      </c>
    </row>
    <row r="3600" spans="1:55" ht="36.75" customHeight="1">
      <c r="A3600" s="46" t="s">
        <v>12471</v>
      </c>
      <c r="B3600" s="30" t="s">
        <v>55</v>
      </c>
      <c r="C3600" s="69" t="str">
        <f t="shared" si="314"/>
        <v>Closed</v>
      </c>
      <c r="D3600" s="203" t="s">
        <v>20884</v>
      </c>
      <c r="E3600" s="55" t="s">
        <v>20885</v>
      </c>
      <c r="F3600" s="56" t="s">
        <v>16429</v>
      </c>
      <c r="G3600" s="88">
        <f>DATE(2023,2,22)</f>
        <v>44979</v>
      </c>
      <c r="H3600" s="142">
        <v>1.7680555555555557</v>
      </c>
      <c r="I3600" s="56" t="s">
        <v>73</v>
      </c>
      <c r="J3600" s="56" t="s">
        <v>20886</v>
      </c>
      <c r="K3600" s="56" t="s">
        <v>425</v>
      </c>
      <c r="L3600" s="56" t="s">
        <v>20887</v>
      </c>
      <c r="M3600" s="56" t="s">
        <v>63</v>
      </c>
      <c r="N3600" s="56" t="s">
        <v>99</v>
      </c>
      <c r="O3600" s="56" t="s">
        <v>77</v>
      </c>
      <c r="P3600" s="56" t="s">
        <v>165</v>
      </c>
      <c r="Q3600" s="56" t="s">
        <v>18516</v>
      </c>
      <c r="R3600" s="56" t="s">
        <v>17369</v>
      </c>
      <c r="S3600" s="56">
        <v>0</v>
      </c>
      <c r="T3600" s="56">
        <v>0</v>
      </c>
      <c r="U3600" s="56">
        <v>0</v>
      </c>
      <c r="V3600" s="56">
        <v>0</v>
      </c>
      <c r="W3600" s="56">
        <v>0</v>
      </c>
      <c r="X3600" s="56">
        <v>0</v>
      </c>
      <c r="Y3600" s="56">
        <v>0</v>
      </c>
      <c r="Z3600" s="56">
        <v>0</v>
      </c>
      <c r="AA3600" s="56">
        <v>0</v>
      </c>
      <c r="AB3600" s="56">
        <v>0</v>
      </c>
      <c r="AC3600" s="56">
        <v>0</v>
      </c>
      <c r="AD3600" s="56">
        <v>0</v>
      </c>
      <c r="AE3600" s="56" t="s">
        <v>92</v>
      </c>
      <c r="AF3600" s="56" t="s">
        <v>20888</v>
      </c>
      <c r="AG3600" s="56" t="s">
        <v>20700</v>
      </c>
      <c r="AH3600" s="72">
        <v>44979</v>
      </c>
      <c r="AI3600" s="56">
        <v>0</v>
      </c>
      <c r="AJ3600" s="56" t="s">
        <v>20889</v>
      </c>
      <c r="AK3600" s="56" t="s">
        <v>18878</v>
      </c>
      <c r="AL3600" s="157">
        <v>44984</v>
      </c>
      <c r="AM3600" s="56"/>
      <c r="AN3600" s="157">
        <v>45156</v>
      </c>
      <c r="AO3600" s="157">
        <v>45127</v>
      </c>
    </row>
    <row r="3601" spans="1:41" ht="36.75" customHeight="1">
      <c r="A3601" s="46" t="s">
        <v>12471</v>
      </c>
      <c r="B3601" s="30" t="s">
        <v>55</v>
      </c>
      <c r="C3601" s="69" t="str">
        <f t="shared" si="314"/>
        <v>Closed</v>
      </c>
      <c r="D3601" s="37" t="s">
        <v>20890</v>
      </c>
      <c r="E3601" s="55" t="s">
        <v>20891</v>
      </c>
      <c r="F3601" s="56" t="s">
        <v>17682</v>
      </c>
      <c r="G3601" s="88">
        <f>DATE(2023,2,22)</f>
        <v>44979</v>
      </c>
      <c r="H3601" s="142">
        <v>1.6111111111111112</v>
      </c>
      <c r="I3601" s="56" t="s">
        <v>73</v>
      </c>
      <c r="J3601" s="56" t="s">
        <v>20892</v>
      </c>
      <c r="K3601" s="56" t="s">
        <v>1574</v>
      </c>
      <c r="L3601" s="56" t="s">
        <v>20893</v>
      </c>
      <c r="M3601" s="56" t="s">
        <v>63</v>
      </c>
      <c r="N3601" s="56" t="s">
        <v>99</v>
      </c>
      <c r="O3601" s="56" t="s">
        <v>64</v>
      </c>
      <c r="P3601" s="56" t="s">
        <v>165</v>
      </c>
      <c r="Q3601" s="56" t="s">
        <v>18739</v>
      </c>
      <c r="R3601" s="56" t="s">
        <v>19007</v>
      </c>
      <c r="S3601" s="56">
        <v>0</v>
      </c>
      <c r="T3601" s="56">
        <v>0</v>
      </c>
      <c r="U3601" s="56">
        <v>0</v>
      </c>
      <c r="V3601" s="56">
        <v>0</v>
      </c>
      <c r="W3601" s="56">
        <v>0</v>
      </c>
      <c r="X3601" s="56">
        <v>0</v>
      </c>
      <c r="Y3601" s="56">
        <v>0</v>
      </c>
      <c r="Z3601" s="56">
        <v>0</v>
      </c>
      <c r="AA3601" s="56">
        <v>0</v>
      </c>
      <c r="AB3601" s="56">
        <v>0</v>
      </c>
      <c r="AC3601" s="56">
        <v>0</v>
      </c>
      <c r="AD3601" s="56">
        <v>0</v>
      </c>
      <c r="AE3601" s="56" t="s">
        <v>92</v>
      </c>
      <c r="AF3601" s="56" t="s">
        <v>20894</v>
      </c>
      <c r="AG3601" s="56" t="s">
        <v>8859</v>
      </c>
      <c r="AH3601" s="72">
        <v>44980</v>
      </c>
      <c r="AI3601" s="56">
        <v>1</v>
      </c>
      <c r="AJ3601" s="56" t="s">
        <v>20895</v>
      </c>
      <c r="AK3601" s="56" t="s">
        <v>20896</v>
      </c>
      <c r="AL3601" s="157">
        <v>44984</v>
      </c>
      <c r="AM3601" s="56"/>
      <c r="AN3601" s="157">
        <v>45348</v>
      </c>
      <c r="AO3601" s="157">
        <v>45341</v>
      </c>
    </row>
    <row r="3602" spans="1:41" ht="36.75" customHeight="1">
      <c r="A3602" s="46" t="s">
        <v>12471</v>
      </c>
      <c r="B3602" s="30" t="s">
        <v>55</v>
      </c>
      <c r="C3602" s="69" t="str">
        <f t="shared" si="314"/>
        <v>Closed</v>
      </c>
      <c r="D3602" s="37" t="s">
        <v>20897</v>
      </c>
      <c r="E3602" s="55" t="s">
        <v>20898</v>
      </c>
      <c r="F3602" s="56" t="s">
        <v>19136</v>
      </c>
      <c r="G3602" s="88">
        <f>DATE(2023,2,22)</f>
        <v>44979</v>
      </c>
      <c r="H3602" s="142">
        <v>1.4895833333333333</v>
      </c>
      <c r="I3602" s="56" t="s">
        <v>431</v>
      </c>
      <c r="J3602" s="56" t="s">
        <v>20899</v>
      </c>
      <c r="K3602" s="56" t="s">
        <v>1940</v>
      </c>
      <c r="L3602" s="56" t="s">
        <v>20900</v>
      </c>
      <c r="M3602" s="56" t="s">
        <v>63</v>
      </c>
      <c r="N3602" s="56" t="s">
        <v>142</v>
      </c>
      <c r="O3602" s="56" t="s">
        <v>64</v>
      </c>
      <c r="P3602" s="56" t="s">
        <v>165</v>
      </c>
      <c r="Q3602" s="56" t="s">
        <v>17724</v>
      </c>
      <c r="R3602" s="56" t="s">
        <v>17724</v>
      </c>
      <c r="S3602" s="56">
        <v>0</v>
      </c>
      <c r="T3602" s="56">
        <v>0</v>
      </c>
      <c r="U3602" s="56">
        <v>0</v>
      </c>
      <c r="V3602" s="56">
        <v>0</v>
      </c>
      <c r="W3602" s="56">
        <v>0</v>
      </c>
      <c r="X3602" s="56">
        <v>0</v>
      </c>
      <c r="Y3602" s="56">
        <v>0</v>
      </c>
      <c r="Z3602" s="56">
        <v>0</v>
      </c>
      <c r="AA3602" s="56">
        <v>0</v>
      </c>
      <c r="AB3602" s="56">
        <v>0</v>
      </c>
      <c r="AC3602" s="56">
        <v>0</v>
      </c>
      <c r="AD3602" s="56">
        <v>0</v>
      </c>
      <c r="AE3602" s="56" t="s">
        <v>394</v>
      </c>
      <c r="AF3602" s="56" t="s">
        <v>20901</v>
      </c>
      <c r="AG3602" s="56" t="s">
        <v>6459</v>
      </c>
      <c r="AH3602" s="72">
        <v>45035</v>
      </c>
      <c r="AI3602" s="56">
        <v>5</v>
      </c>
      <c r="AJ3602" s="56" t="s">
        <v>20902</v>
      </c>
      <c r="AK3602" s="56" t="s">
        <v>20903</v>
      </c>
      <c r="AL3602" s="157">
        <v>45036</v>
      </c>
      <c r="AM3602" s="56"/>
      <c r="AN3602" s="157">
        <v>45373</v>
      </c>
      <c r="AO3602" s="157">
        <v>45373</v>
      </c>
    </row>
    <row r="3603" spans="1:41" ht="36.75" customHeight="1">
      <c r="A3603" s="46" t="s">
        <v>12471</v>
      </c>
      <c r="B3603" s="30" t="s">
        <v>2124</v>
      </c>
      <c r="C3603" s="69" t="str">
        <f t="shared" si="314"/>
        <v>Open</v>
      </c>
      <c r="D3603" s="36" t="s">
        <v>20904</v>
      </c>
      <c r="E3603" s="55" t="s">
        <v>20905</v>
      </c>
      <c r="F3603" s="56" t="s">
        <v>19136</v>
      </c>
      <c r="G3603" s="88">
        <f>DATE(2023,2,23)</f>
        <v>44980</v>
      </c>
      <c r="H3603" s="142">
        <v>1.5451388888888888</v>
      </c>
      <c r="I3603" s="56" t="s">
        <v>431</v>
      </c>
      <c r="J3603" s="56" t="s">
        <v>20906</v>
      </c>
      <c r="K3603" s="56" t="s">
        <v>1940</v>
      </c>
      <c r="L3603" s="56" t="s">
        <v>20907</v>
      </c>
      <c r="M3603" s="56" t="s">
        <v>63</v>
      </c>
      <c r="N3603" s="56" t="s">
        <v>142</v>
      </c>
      <c r="O3603" s="56" t="s">
        <v>64</v>
      </c>
      <c r="P3603" s="56" t="s">
        <v>165</v>
      </c>
      <c r="Q3603" s="56" t="s">
        <v>17724</v>
      </c>
      <c r="R3603" s="56" t="s">
        <v>17724</v>
      </c>
      <c r="S3603" s="56"/>
      <c r="T3603" s="56"/>
      <c r="U3603" s="56"/>
      <c r="V3603" s="56"/>
      <c r="W3603" s="56"/>
      <c r="X3603" s="56">
        <v>0</v>
      </c>
      <c r="Y3603" s="56"/>
      <c r="Z3603" s="56"/>
      <c r="AA3603" s="56"/>
      <c r="AB3603" s="56"/>
      <c r="AC3603" s="56"/>
      <c r="AD3603" s="56">
        <v>0</v>
      </c>
      <c r="AE3603" s="56" t="s">
        <v>394</v>
      </c>
      <c r="AF3603" s="56" t="s">
        <v>17615</v>
      </c>
      <c r="AG3603" s="56" t="s">
        <v>6459</v>
      </c>
      <c r="AH3603" s="72">
        <v>45035</v>
      </c>
      <c r="AI3603" s="56"/>
      <c r="AJ3603" s="56"/>
      <c r="AK3603" s="56"/>
      <c r="AL3603" s="157">
        <v>45036</v>
      </c>
      <c r="AM3603" s="56"/>
      <c r="AN3603" s="158"/>
      <c r="AO3603" s="158"/>
    </row>
    <row r="3604" spans="1:41" ht="36.75" customHeight="1">
      <c r="A3604" s="46" t="s">
        <v>12471</v>
      </c>
      <c r="B3604" s="30" t="s">
        <v>55</v>
      </c>
      <c r="C3604" s="69" t="str">
        <f t="shared" si="314"/>
        <v>Closed</v>
      </c>
      <c r="D3604" s="203" t="s">
        <v>20908</v>
      </c>
      <c r="E3604" s="55" t="s">
        <v>20909</v>
      </c>
      <c r="F3604" s="56" t="s">
        <v>12910</v>
      </c>
      <c r="G3604" s="88">
        <f>DATE(2023,2,24)</f>
        <v>44981</v>
      </c>
      <c r="H3604" s="142">
        <v>1.25</v>
      </c>
      <c r="I3604" s="56" t="s">
        <v>278</v>
      </c>
      <c r="J3604" s="56" t="s">
        <v>20910</v>
      </c>
      <c r="K3604" s="56" t="s">
        <v>453</v>
      </c>
      <c r="L3604" s="56" t="s">
        <v>20911</v>
      </c>
      <c r="M3604" s="56" t="s">
        <v>63</v>
      </c>
      <c r="N3604" s="56" t="s">
        <v>99</v>
      </c>
      <c r="O3604" s="56" t="s">
        <v>64</v>
      </c>
      <c r="P3604" s="56" t="s">
        <v>86</v>
      </c>
      <c r="Q3604" s="56" t="s">
        <v>20912</v>
      </c>
      <c r="R3604" s="56" t="s">
        <v>20912</v>
      </c>
      <c r="S3604" s="56">
        <v>0</v>
      </c>
      <c r="T3604" s="56">
        <v>0</v>
      </c>
      <c r="U3604" s="56">
        <v>0</v>
      </c>
      <c r="V3604" s="56">
        <v>1</v>
      </c>
      <c r="W3604" s="56">
        <v>0</v>
      </c>
      <c r="X3604" s="56">
        <v>1</v>
      </c>
      <c r="Y3604" s="56">
        <v>0</v>
      </c>
      <c r="Z3604" s="56">
        <v>0</v>
      </c>
      <c r="AA3604" s="56">
        <v>0</v>
      </c>
      <c r="AB3604" s="56">
        <v>0</v>
      </c>
      <c r="AC3604" s="56">
        <v>0</v>
      </c>
      <c r="AD3604" s="56">
        <v>0</v>
      </c>
      <c r="AE3604" s="56" t="s">
        <v>92</v>
      </c>
      <c r="AF3604" s="56" t="s">
        <v>20912</v>
      </c>
      <c r="AG3604" s="56" t="s">
        <v>6459</v>
      </c>
      <c r="AH3604" s="72">
        <v>44998</v>
      </c>
      <c r="AI3604" s="56">
        <v>0</v>
      </c>
      <c r="AJ3604" s="56" t="s">
        <v>20913</v>
      </c>
      <c r="AK3604" s="56" t="s">
        <v>20914</v>
      </c>
      <c r="AL3604" s="157">
        <v>44998</v>
      </c>
      <c r="AM3604" s="56"/>
      <c r="AN3604" s="157">
        <v>45111</v>
      </c>
      <c r="AO3604" s="157">
        <v>45111</v>
      </c>
    </row>
    <row r="3605" spans="1:41" ht="36.75" customHeight="1">
      <c r="A3605" s="46" t="s">
        <v>12471</v>
      </c>
      <c r="B3605" s="30" t="s">
        <v>55</v>
      </c>
      <c r="C3605" s="69" t="str">
        <f t="shared" si="314"/>
        <v>Closed</v>
      </c>
      <c r="D3605" s="203" t="s">
        <v>20915</v>
      </c>
      <c r="E3605" s="55" t="s">
        <v>20916</v>
      </c>
      <c r="F3605" s="56" t="s">
        <v>17773</v>
      </c>
      <c r="G3605" s="88">
        <f>DATE(2023,2,26)</f>
        <v>44983</v>
      </c>
      <c r="H3605" s="142">
        <v>1.0277777777777777</v>
      </c>
      <c r="I3605" s="56" t="s">
        <v>73</v>
      </c>
      <c r="J3605" s="56" t="s">
        <v>20917</v>
      </c>
      <c r="K3605" s="56" t="s">
        <v>2603</v>
      </c>
      <c r="L3605" s="56" t="s">
        <v>20918</v>
      </c>
      <c r="M3605" s="56" t="s">
        <v>63</v>
      </c>
      <c r="N3605" s="56" t="s">
        <v>99</v>
      </c>
      <c r="O3605" s="56" t="s">
        <v>77</v>
      </c>
      <c r="P3605" s="56" t="s">
        <v>78</v>
      </c>
      <c r="Q3605" s="56" t="s">
        <v>20919</v>
      </c>
      <c r="R3605" s="56" t="s">
        <v>20752</v>
      </c>
      <c r="S3605" s="56">
        <v>0</v>
      </c>
      <c r="T3605" s="56">
        <v>0</v>
      </c>
      <c r="U3605" s="56">
        <v>0</v>
      </c>
      <c r="V3605" s="56">
        <v>0</v>
      </c>
      <c r="W3605" s="56">
        <v>0</v>
      </c>
      <c r="X3605" s="56">
        <v>0</v>
      </c>
      <c r="Y3605" s="56">
        <v>0</v>
      </c>
      <c r="Z3605" s="56">
        <v>0</v>
      </c>
      <c r="AA3605" s="56">
        <v>0</v>
      </c>
      <c r="AB3605" s="56">
        <v>0</v>
      </c>
      <c r="AC3605" s="56">
        <v>0</v>
      </c>
      <c r="AD3605" s="56">
        <v>0</v>
      </c>
      <c r="AE3605" s="56" t="s">
        <v>92</v>
      </c>
      <c r="AF3605" s="56" t="s">
        <v>20920</v>
      </c>
      <c r="AG3605" s="56" t="s">
        <v>8859</v>
      </c>
      <c r="AH3605" s="72">
        <v>44984</v>
      </c>
      <c r="AI3605" s="56">
        <v>3</v>
      </c>
      <c r="AJ3605" s="56" t="s">
        <v>20921</v>
      </c>
      <c r="AK3605" s="56" t="s">
        <v>20922</v>
      </c>
      <c r="AL3605" s="157">
        <v>44984</v>
      </c>
      <c r="AM3605" s="61"/>
      <c r="AN3605" s="195">
        <v>45160</v>
      </c>
      <c r="AO3605" s="195">
        <v>45139</v>
      </c>
    </row>
    <row r="3606" spans="1:41" ht="36.75" customHeight="1">
      <c r="A3606" s="46" t="s">
        <v>12471</v>
      </c>
      <c r="B3606" s="30" t="s">
        <v>55</v>
      </c>
      <c r="C3606" s="69" t="str">
        <f t="shared" si="314"/>
        <v>Closed</v>
      </c>
      <c r="D3606" s="37" t="s">
        <v>20923</v>
      </c>
      <c r="E3606" s="55" t="s">
        <v>20924</v>
      </c>
      <c r="F3606" s="56" t="s">
        <v>17682</v>
      </c>
      <c r="G3606" s="88">
        <f>DATE(2023,2,28)</f>
        <v>44985</v>
      </c>
      <c r="H3606" s="142">
        <v>1.0034722222222223</v>
      </c>
      <c r="I3606" s="56" t="s">
        <v>73</v>
      </c>
      <c r="J3606" s="56" t="s">
        <v>20925</v>
      </c>
      <c r="K3606" s="56" t="s">
        <v>1574</v>
      </c>
      <c r="L3606" s="56" t="s">
        <v>20926</v>
      </c>
      <c r="M3606" s="56" t="s">
        <v>63</v>
      </c>
      <c r="N3606" s="56" t="s">
        <v>142</v>
      </c>
      <c r="O3606" s="56" t="s">
        <v>64</v>
      </c>
      <c r="P3606" s="56" t="s">
        <v>78</v>
      </c>
      <c r="Q3606" s="56" t="s">
        <v>19243</v>
      </c>
      <c r="R3606" s="56" t="s">
        <v>19007</v>
      </c>
      <c r="S3606" s="56">
        <v>0</v>
      </c>
      <c r="T3606" s="56">
        <v>0</v>
      </c>
      <c r="U3606" s="56">
        <v>0</v>
      </c>
      <c r="V3606" s="56">
        <v>0</v>
      </c>
      <c r="W3606" s="56">
        <v>0</v>
      </c>
      <c r="X3606" s="56">
        <v>0</v>
      </c>
      <c r="Y3606" s="56">
        <v>0</v>
      </c>
      <c r="Z3606" s="56">
        <v>0</v>
      </c>
      <c r="AA3606" s="56">
        <v>0</v>
      </c>
      <c r="AB3606" s="56">
        <v>0</v>
      </c>
      <c r="AC3606" s="56">
        <v>0</v>
      </c>
      <c r="AD3606" s="56">
        <v>0</v>
      </c>
      <c r="AE3606" s="56" t="s">
        <v>92</v>
      </c>
      <c r="AF3606" s="56" t="s">
        <v>20927</v>
      </c>
      <c r="AG3606" s="56" t="s">
        <v>8859</v>
      </c>
      <c r="AH3606" s="72">
        <v>44985</v>
      </c>
      <c r="AI3606" s="56">
        <v>1</v>
      </c>
      <c r="AJ3606" s="56" t="s">
        <v>20928</v>
      </c>
      <c r="AK3606" s="56" t="s">
        <v>20929</v>
      </c>
      <c r="AL3606" s="157">
        <v>44985</v>
      </c>
      <c r="AM3606" s="56"/>
      <c r="AN3606" s="157">
        <v>45334</v>
      </c>
      <c r="AO3606" s="157">
        <v>45329</v>
      </c>
    </row>
    <row r="3607" spans="1:41" ht="36.75" customHeight="1">
      <c r="A3607" s="46" t="s">
        <v>12471</v>
      </c>
      <c r="B3607" s="30" t="s">
        <v>55</v>
      </c>
      <c r="C3607" s="69" t="str">
        <f t="shared" si="314"/>
        <v>Closed</v>
      </c>
      <c r="D3607" s="37" t="s">
        <v>20930</v>
      </c>
      <c r="E3607" s="55" t="s">
        <v>20931</v>
      </c>
      <c r="F3607" s="56" t="s">
        <v>12910</v>
      </c>
      <c r="G3607" s="88">
        <f>DATE(2023,2,28)</f>
        <v>44985</v>
      </c>
      <c r="H3607" s="142">
        <v>1.40625</v>
      </c>
      <c r="I3607" s="30" t="s">
        <v>9419</v>
      </c>
      <c r="J3607" s="56" t="s">
        <v>20932</v>
      </c>
      <c r="K3607" s="56" t="s">
        <v>453</v>
      </c>
      <c r="L3607" s="56" t="s">
        <v>20933</v>
      </c>
      <c r="M3607" s="56" t="s">
        <v>63</v>
      </c>
      <c r="N3607" s="56" t="s">
        <v>142</v>
      </c>
      <c r="O3607" s="56" t="s">
        <v>64</v>
      </c>
      <c r="P3607" s="56" t="s">
        <v>165</v>
      </c>
      <c r="Q3607" s="56" t="s">
        <v>20089</v>
      </c>
      <c r="R3607" s="56" t="s">
        <v>572</v>
      </c>
      <c r="S3607" s="56">
        <v>0</v>
      </c>
      <c r="T3607" s="56">
        <v>0</v>
      </c>
      <c r="U3607" s="56">
        <v>0</v>
      </c>
      <c r="V3607" s="56">
        <v>0</v>
      </c>
      <c r="W3607" s="56">
        <v>0</v>
      </c>
      <c r="X3607" s="56">
        <v>0</v>
      </c>
      <c r="Y3607" s="56">
        <v>0</v>
      </c>
      <c r="Z3607" s="56">
        <v>0</v>
      </c>
      <c r="AA3607" s="56">
        <v>0</v>
      </c>
      <c r="AB3607" s="56">
        <v>0</v>
      </c>
      <c r="AC3607" s="56">
        <v>0</v>
      </c>
      <c r="AD3607" s="56">
        <v>0</v>
      </c>
      <c r="AE3607" s="56" t="s">
        <v>394</v>
      </c>
      <c r="AF3607" s="56" t="s">
        <v>20934</v>
      </c>
      <c r="AG3607" s="56" t="s">
        <v>8859</v>
      </c>
      <c r="AH3607" s="72">
        <v>45033</v>
      </c>
      <c r="AI3607" s="56">
        <v>1</v>
      </c>
      <c r="AJ3607" s="56" t="s">
        <v>20935</v>
      </c>
      <c r="AK3607" s="56" t="s">
        <v>20936</v>
      </c>
      <c r="AL3607" s="157">
        <v>45033</v>
      </c>
      <c r="AM3607" s="56"/>
      <c r="AN3607" s="157">
        <v>45349</v>
      </c>
      <c r="AO3607" s="157">
        <v>45349</v>
      </c>
    </row>
    <row r="3608" spans="1:41" ht="36.75" customHeight="1">
      <c r="A3608" s="46" t="s">
        <v>12471</v>
      </c>
      <c r="B3608" s="30" t="s">
        <v>55</v>
      </c>
      <c r="C3608" s="69" t="str">
        <f t="shared" si="314"/>
        <v>Closed</v>
      </c>
      <c r="D3608" s="203" t="s">
        <v>20937</v>
      </c>
      <c r="E3608" s="55" t="s">
        <v>20938</v>
      </c>
      <c r="F3608" s="56" t="s">
        <v>20939</v>
      </c>
      <c r="G3608" s="88">
        <f>DATE(2023,2,28)</f>
        <v>44985</v>
      </c>
      <c r="H3608" s="142">
        <v>1.9708333333333332</v>
      </c>
      <c r="I3608" s="56" t="s">
        <v>198</v>
      </c>
      <c r="J3608" s="56" t="s">
        <v>20940</v>
      </c>
      <c r="K3608" s="56" t="s">
        <v>5685</v>
      </c>
      <c r="L3608" s="56" t="s">
        <v>20941</v>
      </c>
      <c r="M3608" s="56" t="s">
        <v>63</v>
      </c>
      <c r="N3608" s="56" t="s">
        <v>142</v>
      </c>
      <c r="O3608" s="56" t="s">
        <v>64</v>
      </c>
      <c r="P3608" s="56" t="s">
        <v>20942</v>
      </c>
      <c r="Q3608" s="56" t="s">
        <v>20943</v>
      </c>
      <c r="R3608" s="56" t="s">
        <v>20944</v>
      </c>
      <c r="S3608" s="56">
        <v>46</v>
      </c>
      <c r="T3608" s="56">
        <v>11</v>
      </c>
      <c r="U3608" s="56">
        <v>0</v>
      </c>
      <c r="V3608" s="56">
        <v>0</v>
      </c>
      <c r="W3608" s="56">
        <v>0</v>
      </c>
      <c r="X3608" s="56">
        <v>57</v>
      </c>
      <c r="Y3608" s="56">
        <v>81</v>
      </c>
      <c r="Z3608" s="56">
        <v>0</v>
      </c>
      <c r="AA3608" s="56">
        <v>0</v>
      </c>
      <c r="AB3608" s="56">
        <v>0</v>
      </c>
      <c r="AC3608" s="56">
        <v>0</v>
      </c>
      <c r="AD3608" s="56">
        <v>81</v>
      </c>
      <c r="AE3608" s="56" t="s">
        <v>145</v>
      </c>
      <c r="AF3608" s="56" t="s">
        <v>20945</v>
      </c>
      <c r="AG3608" s="56" t="s">
        <v>6459</v>
      </c>
      <c r="AH3608" s="72">
        <v>45343</v>
      </c>
      <c r="AI3608" s="56">
        <v>17</v>
      </c>
      <c r="AJ3608" s="56" t="s">
        <v>20946</v>
      </c>
      <c r="AK3608" s="56" t="s">
        <v>20946</v>
      </c>
      <c r="AL3608" s="157">
        <v>45342</v>
      </c>
      <c r="AM3608" s="56"/>
      <c r="AN3608" s="157">
        <v>45720</v>
      </c>
      <c r="AO3608" s="157">
        <v>45715</v>
      </c>
    </row>
    <row r="3609" spans="1:41" ht="36.75" customHeight="1">
      <c r="A3609" s="46" t="s">
        <v>12471</v>
      </c>
      <c r="B3609" s="30" t="s">
        <v>2124</v>
      </c>
      <c r="C3609" s="69" t="str">
        <f t="shared" si="314"/>
        <v>Open</v>
      </c>
      <c r="D3609" s="36" t="s">
        <v>20947</v>
      </c>
      <c r="E3609" s="55" t="s">
        <v>20948</v>
      </c>
      <c r="F3609" s="56" t="s">
        <v>16702</v>
      </c>
      <c r="G3609" s="88">
        <f>DATE(2023,3,3)</f>
        <v>44988</v>
      </c>
      <c r="H3609" s="142">
        <v>1.3715277777777777</v>
      </c>
      <c r="I3609" s="56" t="s">
        <v>6775</v>
      </c>
      <c r="J3609" s="56" t="s">
        <v>20949</v>
      </c>
      <c r="K3609" s="56" t="s">
        <v>596</v>
      </c>
      <c r="L3609" s="56" t="s">
        <v>20950</v>
      </c>
      <c r="M3609" s="56" t="s">
        <v>63</v>
      </c>
      <c r="N3609" s="56" t="s">
        <v>99</v>
      </c>
      <c r="O3609" s="56" t="s">
        <v>64</v>
      </c>
      <c r="P3609" s="56" t="s">
        <v>165</v>
      </c>
      <c r="Q3609" s="56" t="s">
        <v>20745</v>
      </c>
      <c r="R3609" s="56" t="s">
        <v>17293</v>
      </c>
      <c r="S3609" s="56">
        <v>0</v>
      </c>
      <c r="T3609" s="56">
        <v>0</v>
      </c>
      <c r="U3609" s="56">
        <v>0</v>
      </c>
      <c r="V3609" s="56">
        <v>0</v>
      </c>
      <c r="W3609" s="56">
        <v>0</v>
      </c>
      <c r="X3609" s="56">
        <v>0</v>
      </c>
      <c r="Y3609" s="56">
        <v>0</v>
      </c>
      <c r="Z3609" s="56">
        <v>0</v>
      </c>
      <c r="AA3609" s="56">
        <v>0</v>
      </c>
      <c r="AB3609" s="56">
        <v>0</v>
      </c>
      <c r="AC3609" s="56">
        <v>0</v>
      </c>
      <c r="AD3609" s="56">
        <v>0</v>
      </c>
      <c r="AE3609" s="56" t="s">
        <v>92</v>
      </c>
      <c r="AF3609" s="56" t="s">
        <v>18040</v>
      </c>
      <c r="AG3609" s="56" t="s">
        <v>13537</v>
      </c>
      <c r="AH3609" s="72">
        <v>45037</v>
      </c>
      <c r="AI3609" s="56"/>
      <c r="AJ3609" s="56"/>
      <c r="AK3609" s="56"/>
      <c r="AL3609" s="157">
        <v>45350</v>
      </c>
      <c r="AM3609" s="56"/>
      <c r="AN3609" s="158"/>
      <c r="AO3609" s="158"/>
    </row>
    <row r="3610" spans="1:41" ht="36.75" customHeight="1">
      <c r="A3610" s="46" t="s">
        <v>12471</v>
      </c>
      <c r="B3610" s="30" t="s">
        <v>55</v>
      </c>
      <c r="C3610" s="69" t="str">
        <f t="shared" si="314"/>
        <v>Closed</v>
      </c>
      <c r="D3610" s="37" t="s">
        <v>20951</v>
      </c>
      <c r="E3610" s="55" t="s">
        <v>20952</v>
      </c>
      <c r="F3610" s="56" t="s">
        <v>12910</v>
      </c>
      <c r="G3610" s="88">
        <f>DATE(2023,3,8)</f>
        <v>44993</v>
      </c>
      <c r="H3610" s="142">
        <v>1.5381944444444444</v>
      </c>
      <c r="I3610" s="56" t="s">
        <v>278</v>
      </c>
      <c r="J3610" s="56" t="s">
        <v>20953</v>
      </c>
      <c r="K3610" s="56" t="s">
        <v>453</v>
      </c>
      <c r="L3610" s="56" t="s">
        <v>20954</v>
      </c>
      <c r="M3610" s="56" t="s">
        <v>63</v>
      </c>
      <c r="N3610" s="56" t="s">
        <v>142</v>
      </c>
      <c r="O3610" s="56" t="s">
        <v>77</v>
      </c>
      <c r="P3610" s="56" t="s">
        <v>6902</v>
      </c>
      <c r="Q3610" s="56" t="s">
        <v>20089</v>
      </c>
      <c r="R3610" s="56" t="s">
        <v>20955</v>
      </c>
      <c r="S3610" s="56">
        <v>1</v>
      </c>
      <c r="T3610" s="56">
        <v>0</v>
      </c>
      <c r="U3610" s="56">
        <v>0</v>
      </c>
      <c r="V3610" s="56">
        <v>0</v>
      </c>
      <c r="W3610" s="56">
        <v>0</v>
      </c>
      <c r="X3610" s="56">
        <v>1</v>
      </c>
      <c r="Y3610" s="56">
        <v>0</v>
      </c>
      <c r="Z3610" s="56">
        <v>0</v>
      </c>
      <c r="AA3610" s="56">
        <v>0</v>
      </c>
      <c r="AB3610" s="56">
        <v>0</v>
      </c>
      <c r="AC3610" s="56">
        <v>0</v>
      </c>
      <c r="AD3610" s="56">
        <v>0</v>
      </c>
      <c r="AE3610" s="56" t="s">
        <v>92</v>
      </c>
      <c r="AF3610" s="56" t="s">
        <v>20956</v>
      </c>
      <c r="AG3610" s="56" t="s">
        <v>6459</v>
      </c>
      <c r="AH3610" s="72">
        <v>45002</v>
      </c>
      <c r="AI3610" s="56">
        <v>0</v>
      </c>
      <c r="AJ3610" s="56" t="s">
        <v>20957</v>
      </c>
      <c r="AK3610" s="56" t="s">
        <v>20958</v>
      </c>
      <c r="AL3610" s="157">
        <v>45005</v>
      </c>
      <c r="AM3610" s="56"/>
      <c r="AN3610" s="195">
        <v>45260</v>
      </c>
      <c r="AO3610" s="195">
        <v>45260</v>
      </c>
    </row>
    <row r="3611" spans="1:41" ht="36.75" customHeight="1">
      <c r="A3611" s="46" t="s">
        <v>12471</v>
      </c>
      <c r="B3611" s="30" t="s">
        <v>55</v>
      </c>
      <c r="C3611" s="69" t="str">
        <f t="shared" si="314"/>
        <v>Closed</v>
      </c>
      <c r="D3611" s="37" t="s">
        <v>20959</v>
      </c>
      <c r="E3611" s="55" t="s">
        <v>20960</v>
      </c>
      <c r="F3611" s="56" t="s">
        <v>17344</v>
      </c>
      <c r="G3611" s="88">
        <f>DATE(2023,3,12)</f>
        <v>44997</v>
      </c>
      <c r="H3611" s="142">
        <v>1.6215277777777777</v>
      </c>
      <c r="I3611" s="56" t="s">
        <v>73</v>
      </c>
      <c r="J3611" s="56" t="s">
        <v>20961</v>
      </c>
      <c r="K3611" s="56" t="s">
        <v>127</v>
      </c>
      <c r="L3611" s="56" t="s">
        <v>20962</v>
      </c>
      <c r="M3611" s="56" t="s">
        <v>63</v>
      </c>
      <c r="N3611" s="56" t="s">
        <v>89</v>
      </c>
      <c r="O3611" s="56" t="s">
        <v>77</v>
      </c>
      <c r="P3611" s="56" t="s">
        <v>78</v>
      </c>
      <c r="Q3611" s="56" t="s">
        <v>19479</v>
      </c>
      <c r="R3611" s="56" t="s">
        <v>167</v>
      </c>
      <c r="S3611" s="56">
        <v>0</v>
      </c>
      <c r="T3611" s="56">
        <v>0</v>
      </c>
      <c r="U3611" s="56">
        <v>0</v>
      </c>
      <c r="V3611" s="56">
        <v>0</v>
      </c>
      <c r="W3611" s="56">
        <v>0</v>
      </c>
      <c r="X3611" s="56">
        <v>0</v>
      </c>
      <c r="Y3611" s="56">
        <v>0</v>
      </c>
      <c r="Z3611" s="56">
        <v>0</v>
      </c>
      <c r="AA3611" s="56">
        <v>0</v>
      </c>
      <c r="AB3611" s="56">
        <v>0</v>
      </c>
      <c r="AC3611" s="56">
        <v>0</v>
      </c>
      <c r="AD3611" s="56">
        <v>0</v>
      </c>
      <c r="AE3611" s="56" t="s">
        <v>394</v>
      </c>
      <c r="AF3611" s="56" t="s">
        <v>20963</v>
      </c>
      <c r="AG3611" s="56" t="s">
        <v>8859</v>
      </c>
      <c r="AH3611" s="72">
        <v>45001</v>
      </c>
      <c r="AI3611" s="56">
        <v>1</v>
      </c>
      <c r="AJ3611" s="56" t="s">
        <v>20964</v>
      </c>
      <c r="AK3611" s="56" t="s">
        <v>20965</v>
      </c>
      <c r="AL3611" s="157">
        <v>45006</v>
      </c>
      <c r="AM3611" s="56"/>
      <c r="AN3611" s="157">
        <v>45365</v>
      </c>
      <c r="AO3611" s="195">
        <v>45362</v>
      </c>
    </row>
    <row r="3612" spans="1:41" ht="36.75" customHeight="1">
      <c r="A3612" s="46" t="s">
        <v>12471</v>
      </c>
      <c r="B3612" s="30" t="s">
        <v>55</v>
      </c>
      <c r="C3612" s="69" t="str">
        <f t="shared" si="314"/>
        <v>Closed</v>
      </c>
      <c r="D3612" s="37" t="s">
        <v>20966</v>
      </c>
      <c r="E3612" s="55" t="s">
        <v>20967</v>
      </c>
      <c r="F3612" s="56" t="s">
        <v>17682</v>
      </c>
      <c r="G3612" s="88">
        <f>DATE(2023,3,13)</f>
        <v>44998</v>
      </c>
      <c r="H3612" s="142">
        <v>1.1631944444444444</v>
      </c>
      <c r="I3612" s="56" t="s">
        <v>198</v>
      </c>
      <c r="J3612" s="56" t="s">
        <v>20968</v>
      </c>
      <c r="K3612" s="56" t="s">
        <v>1574</v>
      </c>
      <c r="L3612" s="56" t="s">
        <v>20969</v>
      </c>
      <c r="M3612" s="56" t="s">
        <v>63</v>
      </c>
      <c r="N3612" s="56" t="s">
        <v>142</v>
      </c>
      <c r="O3612" s="56" t="s">
        <v>77</v>
      </c>
      <c r="P3612" s="56" t="s">
        <v>65</v>
      </c>
      <c r="Q3612" s="56" t="s">
        <v>20970</v>
      </c>
      <c r="R3612" s="56" t="s">
        <v>19007</v>
      </c>
      <c r="S3612" s="56">
        <v>0</v>
      </c>
      <c r="T3612" s="56">
        <v>0</v>
      </c>
      <c r="U3612" s="56">
        <v>0</v>
      </c>
      <c r="V3612" s="56">
        <v>0</v>
      </c>
      <c r="W3612" s="56">
        <v>0</v>
      </c>
      <c r="X3612" s="56">
        <v>0</v>
      </c>
      <c r="Y3612" s="56">
        <v>2</v>
      </c>
      <c r="Z3612" s="56">
        <v>0</v>
      </c>
      <c r="AA3612" s="56">
        <v>0</v>
      </c>
      <c r="AB3612" s="56">
        <v>0</v>
      </c>
      <c r="AC3612" s="56">
        <v>0</v>
      </c>
      <c r="AD3612" s="56">
        <v>2</v>
      </c>
      <c r="AE3612" s="56" t="s">
        <v>394</v>
      </c>
      <c r="AF3612" s="56" t="s">
        <v>20971</v>
      </c>
      <c r="AG3612" s="56" t="s">
        <v>8859</v>
      </c>
      <c r="AH3612" s="72">
        <v>44999</v>
      </c>
      <c r="AI3612" s="56">
        <v>2</v>
      </c>
      <c r="AJ3612" s="56" t="s">
        <v>20972</v>
      </c>
      <c r="AK3612" s="56" t="s">
        <v>20973</v>
      </c>
      <c r="AL3612" s="157">
        <v>45000</v>
      </c>
      <c r="AM3612" s="56"/>
      <c r="AN3612" s="157">
        <v>45366</v>
      </c>
      <c r="AO3612" s="157">
        <v>45362</v>
      </c>
    </row>
    <row r="3613" spans="1:41" ht="36.75" customHeight="1">
      <c r="A3613" s="46" t="s">
        <v>12471</v>
      </c>
      <c r="B3613" s="30" t="s">
        <v>55</v>
      </c>
      <c r="C3613" s="69" t="str">
        <f t="shared" si="314"/>
        <v>Closed</v>
      </c>
      <c r="D3613" s="37" t="s">
        <v>20974</v>
      </c>
      <c r="E3613" s="55" t="s">
        <v>20975</v>
      </c>
      <c r="F3613" s="56" t="s">
        <v>17682</v>
      </c>
      <c r="G3613" s="88">
        <f>DATE(2023,3,17)</f>
        <v>45002</v>
      </c>
      <c r="H3613" s="142">
        <v>1.8541666666666665</v>
      </c>
      <c r="I3613" s="56" t="s">
        <v>73</v>
      </c>
      <c r="J3613" s="56" t="s">
        <v>20976</v>
      </c>
      <c r="K3613" s="56" t="s">
        <v>1574</v>
      </c>
      <c r="L3613" s="56" t="s">
        <v>20977</v>
      </c>
      <c r="M3613" s="56" t="s">
        <v>63</v>
      </c>
      <c r="N3613" s="56" t="s">
        <v>142</v>
      </c>
      <c r="O3613" s="56" t="s">
        <v>64</v>
      </c>
      <c r="P3613" s="56" t="s">
        <v>78</v>
      </c>
      <c r="Q3613" s="56" t="s">
        <v>18063</v>
      </c>
      <c r="R3613" s="56" t="s">
        <v>19007</v>
      </c>
      <c r="S3613" s="56">
        <v>0</v>
      </c>
      <c r="T3613" s="56">
        <v>0</v>
      </c>
      <c r="U3613" s="56">
        <v>0</v>
      </c>
      <c r="V3613" s="56">
        <v>0</v>
      </c>
      <c r="W3613" s="56">
        <v>0</v>
      </c>
      <c r="X3613" s="56">
        <v>0</v>
      </c>
      <c r="Y3613" s="56">
        <v>0</v>
      </c>
      <c r="Z3613" s="56">
        <v>0</v>
      </c>
      <c r="AA3613" s="56">
        <v>0</v>
      </c>
      <c r="AB3613" s="56">
        <v>0</v>
      </c>
      <c r="AC3613" s="56">
        <v>0</v>
      </c>
      <c r="AD3613" s="56">
        <v>0</v>
      </c>
      <c r="AE3613" s="56" t="s">
        <v>92</v>
      </c>
      <c r="AF3613" s="56" t="s">
        <v>20978</v>
      </c>
      <c r="AG3613" s="56" t="s">
        <v>8859</v>
      </c>
      <c r="AH3613" s="72">
        <v>45005</v>
      </c>
      <c r="AI3613" s="56">
        <v>2</v>
      </c>
      <c r="AJ3613" s="56" t="s">
        <v>20979</v>
      </c>
      <c r="AK3613" s="56" t="s">
        <v>20980</v>
      </c>
      <c r="AL3613" s="157">
        <v>45005</v>
      </c>
      <c r="AM3613" s="56"/>
      <c r="AN3613" s="195">
        <v>45364</v>
      </c>
      <c r="AO3613" s="195">
        <v>45357</v>
      </c>
    </row>
    <row r="3614" spans="1:41" ht="36.75" customHeight="1">
      <c r="A3614" s="46" t="s">
        <v>12471</v>
      </c>
      <c r="B3614" s="30" t="s">
        <v>55</v>
      </c>
      <c r="C3614" s="69" t="str">
        <f t="shared" si="314"/>
        <v>Closed</v>
      </c>
      <c r="D3614" s="203" t="s">
        <v>20981</v>
      </c>
      <c r="E3614" s="55" t="s">
        <v>20982</v>
      </c>
      <c r="F3614" s="56" t="s">
        <v>18131</v>
      </c>
      <c r="G3614" s="88">
        <f>DATE(2023,3,21)</f>
        <v>45006</v>
      </c>
      <c r="H3614" s="142">
        <v>1.3958333333333333</v>
      </c>
      <c r="I3614" s="56" t="s">
        <v>487</v>
      </c>
      <c r="J3614" s="56" t="s">
        <v>20983</v>
      </c>
      <c r="K3614" s="56" t="s">
        <v>379</v>
      </c>
      <c r="L3614" s="56" t="s">
        <v>20984</v>
      </c>
      <c r="M3614" s="56" t="s">
        <v>63</v>
      </c>
      <c r="N3614" s="56" t="s">
        <v>142</v>
      </c>
      <c r="O3614" s="56" t="s">
        <v>77</v>
      </c>
      <c r="P3614" s="56" t="s">
        <v>78</v>
      </c>
      <c r="Q3614" s="56" t="s">
        <v>20985</v>
      </c>
      <c r="R3614" s="56" t="s">
        <v>19604</v>
      </c>
      <c r="S3614" s="56">
        <v>0</v>
      </c>
      <c r="T3614" s="56">
        <v>0</v>
      </c>
      <c r="U3614" s="56">
        <v>0</v>
      </c>
      <c r="V3614" s="56">
        <v>0</v>
      </c>
      <c r="W3614" s="56">
        <v>0</v>
      </c>
      <c r="X3614" s="56">
        <v>0</v>
      </c>
      <c r="Y3614" s="56">
        <v>0</v>
      </c>
      <c r="Z3614" s="56">
        <v>0</v>
      </c>
      <c r="AA3614" s="56">
        <v>0</v>
      </c>
      <c r="AB3614" s="56">
        <v>0</v>
      </c>
      <c r="AC3614" s="56">
        <v>0</v>
      </c>
      <c r="AD3614" s="56">
        <v>0</v>
      </c>
      <c r="AE3614" s="56" t="s">
        <v>92</v>
      </c>
      <c r="AF3614" s="56" t="s">
        <v>20986</v>
      </c>
      <c r="AG3614" s="56" t="s">
        <v>8859</v>
      </c>
      <c r="AH3614" s="72">
        <v>45021</v>
      </c>
      <c r="AI3614" s="56">
        <v>3</v>
      </c>
      <c r="AJ3614" s="56" t="s">
        <v>20987</v>
      </c>
      <c r="AK3614" s="56" t="s">
        <v>20988</v>
      </c>
      <c r="AL3614" s="157">
        <v>45030</v>
      </c>
      <c r="AM3614" s="56"/>
      <c r="AN3614" s="157">
        <v>45751</v>
      </c>
      <c r="AO3614" s="157">
        <v>45735</v>
      </c>
    </row>
    <row r="3615" spans="1:41" ht="36.75" customHeight="1">
      <c r="A3615" s="46" t="s">
        <v>12471</v>
      </c>
      <c r="B3615" s="30" t="s">
        <v>55</v>
      </c>
      <c r="C3615" s="69" t="str">
        <f t="shared" si="314"/>
        <v>Closed</v>
      </c>
      <c r="D3615" s="203" t="s">
        <v>20989</v>
      </c>
      <c r="E3615" s="55" t="s">
        <v>20990</v>
      </c>
      <c r="F3615" s="56" t="s">
        <v>17682</v>
      </c>
      <c r="G3615" s="88">
        <f>DATE(2023,3,25)</f>
        <v>45010</v>
      </c>
      <c r="H3615" s="142">
        <v>1.8055555555555554</v>
      </c>
      <c r="I3615" s="30" t="s">
        <v>6872</v>
      </c>
      <c r="J3615" s="56" t="s">
        <v>20991</v>
      </c>
      <c r="K3615" s="56" t="s">
        <v>1574</v>
      </c>
      <c r="L3615" s="56" t="s">
        <v>20992</v>
      </c>
      <c r="M3615" s="56" t="s">
        <v>63</v>
      </c>
      <c r="N3615" s="56" t="s">
        <v>89</v>
      </c>
      <c r="O3615" s="56" t="s">
        <v>77</v>
      </c>
      <c r="P3615" s="56" t="s">
        <v>91</v>
      </c>
      <c r="Q3615" s="56" t="s">
        <v>20993</v>
      </c>
      <c r="R3615" s="56" t="s">
        <v>19007</v>
      </c>
      <c r="S3615" s="56">
        <v>0</v>
      </c>
      <c r="T3615" s="56">
        <v>1</v>
      </c>
      <c r="U3615" s="56">
        <v>0</v>
      </c>
      <c r="V3615" s="56">
        <v>0</v>
      </c>
      <c r="W3615" s="56">
        <v>0</v>
      </c>
      <c r="X3615" s="56">
        <v>1</v>
      </c>
      <c r="Y3615" s="56">
        <v>0</v>
      </c>
      <c r="Z3615" s="56">
        <v>1</v>
      </c>
      <c r="AA3615" s="56">
        <v>0</v>
      </c>
      <c r="AB3615" s="56">
        <v>1</v>
      </c>
      <c r="AC3615" s="56">
        <v>0</v>
      </c>
      <c r="AD3615" s="56">
        <v>2</v>
      </c>
      <c r="AE3615" s="56" t="s">
        <v>394</v>
      </c>
      <c r="AF3615" s="56" t="s">
        <v>20994</v>
      </c>
      <c r="AG3615" s="56" t="s">
        <v>6459</v>
      </c>
      <c r="AH3615" s="72">
        <v>45012</v>
      </c>
      <c r="AI3615" s="56">
        <v>2</v>
      </c>
      <c r="AJ3615" s="56" t="s">
        <v>20995</v>
      </c>
      <c r="AK3615" s="56" t="s">
        <v>20996</v>
      </c>
      <c r="AL3615" s="157">
        <v>45013</v>
      </c>
      <c r="AM3615" s="195">
        <v>45377</v>
      </c>
      <c r="AN3615" s="195">
        <v>45713</v>
      </c>
      <c r="AO3615" s="195">
        <v>45701</v>
      </c>
    </row>
    <row r="3616" spans="1:41" ht="36.75" customHeight="1">
      <c r="A3616" s="46" t="s">
        <v>12471</v>
      </c>
      <c r="B3616" s="30" t="s">
        <v>55</v>
      </c>
      <c r="C3616" s="69" t="str">
        <f t="shared" si="314"/>
        <v>Closed</v>
      </c>
      <c r="D3616" s="37" t="s">
        <v>20997</v>
      </c>
      <c r="E3616" s="55" t="s">
        <v>20998</v>
      </c>
      <c r="F3616" s="56" t="s">
        <v>17682</v>
      </c>
      <c r="G3616" s="88">
        <f>DATE(2023,3,28)</f>
        <v>45013</v>
      </c>
      <c r="H3616" s="142">
        <v>1.2638888888888888</v>
      </c>
      <c r="I3616" s="56" t="s">
        <v>73</v>
      </c>
      <c r="J3616" s="56" t="s">
        <v>20999</v>
      </c>
      <c r="K3616" s="56" t="s">
        <v>1574</v>
      </c>
      <c r="L3616" s="56" t="s">
        <v>19463</v>
      </c>
      <c r="M3616" s="56" t="s">
        <v>63</v>
      </c>
      <c r="N3616" s="56" t="s">
        <v>99</v>
      </c>
      <c r="O3616" s="56" t="s">
        <v>64</v>
      </c>
      <c r="P3616" s="56" t="s">
        <v>78</v>
      </c>
      <c r="Q3616" s="56" t="s">
        <v>18063</v>
      </c>
      <c r="R3616" s="56" t="s">
        <v>19007</v>
      </c>
      <c r="S3616" s="56">
        <v>0</v>
      </c>
      <c r="T3616" s="56">
        <v>0</v>
      </c>
      <c r="U3616" s="56">
        <v>0</v>
      </c>
      <c r="V3616" s="56">
        <v>0</v>
      </c>
      <c r="W3616" s="56">
        <v>0</v>
      </c>
      <c r="X3616" s="56">
        <v>0</v>
      </c>
      <c r="Y3616" s="56">
        <v>0</v>
      </c>
      <c r="Z3616" s="56">
        <v>0</v>
      </c>
      <c r="AA3616" s="56">
        <v>0</v>
      </c>
      <c r="AB3616" s="56">
        <v>0</v>
      </c>
      <c r="AC3616" s="56">
        <v>0</v>
      </c>
      <c r="AD3616" s="56">
        <v>0</v>
      </c>
      <c r="AE3616" s="56" t="s">
        <v>92</v>
      </c>
      <c r="AF3616" s="56" t="s">
        <v>21000</v>
      </c>
      <c r="AG3616" s="56" t="s">
        <v>8859</v>
      </c>
      <c r="AH3616" s="72">
        <v>45014</v>
      </c>
      <c r="AI3616" s="56">
        <v>1</v>
      </c>
      <c r="AJ3616" s="56" t="s">
        <v>21001</v>
      </c>
      <c r="AK3616" s="56" t="s">
        <v>21002</v>
      </c>
      <c r="AL3616" s="157">
        <v>45014</v>
      </c>
      <c r="AM3616" s="61"/>
      <c r="AN3616" s="195">
        <v>45384</v>
      </c>
      <c r="AO3616" s="195">
        <v>45377</v>
      </c>
    </row>
    <row r="3617" spans="1:55" ht="36.75" customHeight="1">
      <c r="A3617" s="46" t="s">
        <v>12471</v>
      </c>
      <c r="B3617" s="30" t="s">
        <v>55</v>
      </c>
      <c r="C3617" s="69" t="str">
        <f t="shared" si="314"/>
        <v>Closed</v>
      </c>
      <c r="D3617" s="37" t="s">
        <v>21003</v>
      </c>
      <c r="E3617" s="55" t="s">
        <v>21004</v>
      </c>
      <c r="F3617" s="56" t="s">
        <v>16429</v>
      </c>
      <c r="G3617" s="88">
        <f>DATE(2023,3,28)</f>
        <v>45013</v>
      </c>
      <c r="H3617" s="142">
        <v>1.30555555555556</v>
      </c>
      <c r="I3617" s="56" t="s">
        <v>4610</v>
      </c>
      <c r="J3617" s="56" t="s">
        <v>21005</v>
      </c>
      <c r="K3617" s="56" t="s">
        <v>425</v>
      </c>
      <c r="L3617" s="56" t="s">
        <v>20542</v>
      </c>
      <c r="M3617" s="56" t="s">
        <v>63</v>
      </c>
      <c r="N3617" s="56" t="s">
        <v>99</v>
      </c>
      <c r="O3617" s="56" t="s">
        <v>77</v>
      </c>
      <c r="P3617" s="56" t="s">
        <v>165</v>
      </c>
      <c r="Q3617" s="56" t="s">
        <v>18615</v>
      </c>
      <c r="R3617" s="56" t="s">
        <v>17369</v>
      </c>
      <c r="S3617" s="56">
        <v>0</v>
      </c>
      <c r="T3617" s="56">
        <v>0</v>
      </c>
      <c r="U3617" s="56">
        <v>0</v>
      </c>
      <c r="V3617" s="56">
        <v>0</v>
      </c>
      <c r="W3617" s="56">
        <v>0</v>
      </c>
      <c r="X3617" s="56">
        <v>0</v>
      </c>
      <c r="Y3617" s="56">
        <v>0</v>
      </c>
      <c r="Z3617" s="56">
        <v>0</v>
      </c>
      <c r="AA3617" s="56">
        <v>0</v>
      </c>
      <c r="AB3617" s="56">
        <v>0</v>
      </c>
      <c r="AC3617" s="56">
        <v>0</v>
      </c>
      <c r="AD3617" s="56">
        <v>0</v>
      </c>
      <c r="AE3617" s="56" t="s">
        <v>21006</v>
      </c>
      <c r="AF3617" s="56" t="s">
        <v>21007</v>
      </c>
      <c r="AG3617" s="56" t="s">
        <v>16283</v>
      </c>
      <c r="AH3617" s="72">
        <v>45013</v>
      </c>
      <c r="AI3617" s="56">
        <v>0</v>
      </c>
      <c r="AJ3617" s="56" t="s">
        <v>21008</v>
      </c>
      <c r="AK3617" s="56" t="s">
        <v>879</v>
      </c>
      <c r="AL3617" s="157">
        <v>45015</v>
      </c>
      <c r="AM3617" s="56"/>
      <c r="AN3617" s="195">
        <v>45368</v>
      </c>
      <c r="AO3617" s="195">
        <v>45337</v>
      </c>
    </row>
    <row r="3618" spans="1:55" ht="36.75" customHeight="1">
      <c r="A3618" s="46" t="s">
        <v>12471</v>
      </c>
      <c r="B3618" s="30" t="s">
        <v>55</v>
      </c>
      <c r="C3618" s="69" t="str">
        <f t="shared" si="314"/>
        <v>Closed</v>
      </c>
      <c r="D3618" s="37" t="s">
        <v>21009</v>
      </c>
      <c r="E3618" s="55" t="s">
        <v>21010</v>
      </c>
      <c r="F3618" s="56" t="s">
        <v>17344</v>
      </c>
      <c r="G3618" s="88">
        <f>DATE(2023,3,28)</f>
        <v>45013</v>
      </c>
      <c r="H3618" s="142">
        <v>1.4930555555555556</v>
      </c>
      <c r="I3618" s="56" t="s">
        <v>156</v>
      </c>
      <c r="J3618" s="56" t="s">
        <v>21011</v>
      </c>
      <c r="K3618" s="56" t="s">
        <v>127</v>
      </c>
      <c r="L3618" s="56" t="s">
        <v>21012</v>
      </c>
      <c r="M3618" s="56" t="s">
        <v>255</v>
      </c>
      <c r="N3618" s="56" t="s">
        <v>89</v>
      </c>
      <c r="O3618" s="56" t="s">
        <v>77</v>
      </c>
      <c r="P3618" s="56" t="s">
        <v>18468</v>
      </c>
      <c r="Q3618" s="56" t="s">
        <v>21013</v>
      </c>
      <c r="R3618" s="56" t="s">
        <v>21014</v>
      </c>
      <c r="S3618" s="56">
        <v>0</v>
      </c>
      <c r="T3618" s="56">
        <v>0</v>
      </c>
      <c r="U3618" s="56">
        <v>0</v>
      </c>
      <c r="V3618" s="56">
        <v>0</v>
      </c>
      <c r="W3618" s="56">
        <v>0</v>
      </c>
      <c r="X3618" s="56">
        <v>0</v>
      </c>
      <c r="Y3618" s="56">
        <v>0</v>
      </c>
      <c r="Z3618" s="56">
        <v>0</v>
      </c>
      <c r="AA3618" s="56">
        <v>0</v>
      </c>
      <c r="AB3618" s="56">
        <v>0</v>
      </c>
      <c r="AC3618" s="56">
        <v>0</v>
      </c>
      <c r="AD3618" s="56">
        <v>0</v>
      </c>
      <c r="AE3618" s="56" t="s">
        <v>145</v>
      </c>
      <c r="AF3618" s="56" t="s">
        <v>21015</v>
      </c>
      <c r="AG3618" s="56" t="s">
        <v>20833</v>
      </c>
      <c r="AH3618" s="72">
        <v>45013</v>
      </c>
      <c r="AI3618" s="56">
        <v>1</v>
      </c>
      <c r="AJ3618" s="56" t="s">
        <v>21016</v>
      </c>
      <c r="AK3618" s="56" t="s">
        <v>21017</v>
      </c>
      <c r="AL3618" s="157">
        <v>45027</v>
      </c>
      <c r="AM3618" s="56"/>
      <c r="AN3618" s="195">
        <v>45386</v>
      </c>
      <c r="AO3618" s="195">
        <v>45384</v>
      </c>
    </row>
    <row r="3619" spans="1:55" ht="36.75" customHeight="1">
      <c r="A3619" s="46" t="s">
        <v>12471</v>
      </c>
      <c r="B3619" s="30" t="s">
        <v>55</v>
      </c>
      <c r="C3619" s="69" t="str">
        <f t="shared" si="314"/>
        <v>Closed</v>
      </c>
      <c r="D3619" s="37" t="s">
        <v>21018</v>
      </c>
      <c r="E3619" s="55" t="s">
        <v>21019</v>
      </c>
      <c r="F3619" s="56" t="s">
        <v>21020</v>
      </c>
      <c r="G3619" s="88">
        <f>DATE(2023,4,4)</f>
        <v>45020</v>
      </c>
      <c r="H3619" s="142">
        <v>1.1423611111111112</v>
      </c>
      <c r="I3619" s="56" t="s">
        <v>156</v>
      </c>
      <c r="J3619" s="56" t="s">
        <v>21021</v>
      </c>
      <c r="K3619" s="56" t="s">
        <v>21022</v>
      </c>
      <c r="L3619" s="56" t="s">
        <v>21023</v>
      </c>
      <c r="M3619" s="56" t="s">
        <v>63</v>
      </c>
      <c r="N3619" s="56" t="s">
        <v>89</v>
      </c>
      <c r="O3619" s="56" t="s">
        <v>77</v>
      </c>
      <c r="P3619" s="56" t="s">
        <v>78</v>
      </c>
      <c r="Q3619" s="56" t="s">
        <v>21024</v>
      </c>
      <c r="R3619" s="56" t="s">
        <v>80</v>
      </c>
      <c r="S3619" s="56">
        <v>0</v>
      </c>
      <c r="T3619" s="56">
        <v>1</v>
      </c>
      <c r="U3619" s="56">
        <v>0</v>
      </c>
      <c r="V3619" s="56">
        <v>0</v>
      </c>
      <c r="W3619" s="56">
        <v>0</v>
      </c>
      <c r="X3619" s="56">
        <v>1</v>
      </c>
      <c r="Y3619" s="56">
        <v>28</v>
      </c>
      <c r="Z3619" s="56">
        <v>5</v>
      </c>
      <c r="AA3619" s="56">
        <v>0</v>
      </c>
      <c r="AB3619" s="56">
        <v>0</v>
      </c>
      <c r="AC3619" s="56">
        <v>0</v>
      </c>
      <c r="AD3619" s="56">
        <v>33</v>
      </c>
      <c r="AE3619" s="56" t="s">
        <v>145</v>
      </c>
      <c r="AF3619" s="56" t="s">
        <v>21025</v>
      </c>
      <c r="AG3619" s="56" t="s">
        <v>6459</v>
      </c>
      <c r="AH3619" s="72">
        <v>45034</v>
      </c>
      <c r="AI3619" s="56"/>
      <c r="AJ3619" s="56" t="s">
        <v>21026</v>
      </c>
      <c r="AK3619" s="56"/>
      <c r="AL3619" s="157">
        <v>45041</v>
      </c>
      <c r="AM3619" s="157">
        <v>45392</v>
      </c>
      <c r="AN3619" s="157">
        <v>45434</v>
      </c>
      <c r="AO3619" s="208">
        <v>45427</v>
      </c>
    </row>
    <row r="3620" spans="1:55" ht="36.75" customHeight="1">
      <c r="A3620" s="46" t="s">
        <v>12471</v>
      </c>
      <c r="B3620" s="30" t="s">
        <v>55</v>
      </c>
      <c r="C3620" s="69" t="str">
        <f t="shared" si="314"/>
        <v>Closed</v>
      </c>
      <c r="D3620" s="37" t="s">
        <v>21027</v>
      </c>
      <c r="E3620" s="55" t="s">
        <v>21028</v>
      </c>
      <c r="F3620" s="56" t="s">
        <v>17578</v>
      </c>
      <c r="G3620" s="88">
        <f>DATE(2023,4,15)</f>
        <v>45031</v>
      </c>
      <c r="H3620" s="142">
        <v>1.2083333333333333</v>
      </c>
      <c r="I3620" s="56" t="s">
        <v>198</v>
      </c>
      <c r="J3620" s="56" t="s">
        <v>21029</v>
      </c>
      <c r="K3620" s="56" t="s">
        <v>837</v>
      </c>
      <c r="L3620" s="56" t="s">
        <v>20654</v>
      </c>
      <c r="M3620" s="56" t="s">
        <v>63</v>
      </c>
      <c r="N3620" s="56" t="s">
        <v>142</v>
      </c>
      <c r="O3620" s="56" t="s">
        <v>77</v>
      </c>
      <c r="P3620" s="56" t="s">
        <v>78</v>
      </c>
      <c r="Q3620" s="56" t="s">
        <v>21030</v>
      </c>
      <c r="R3620" s="56" t="s">
        <v>840</v>
      </c>
      <c r="S3620" s="56">
        <v>0</v>
      </c>
      <c r="T3620" s="56">
        <v>0</v>
      </c>
      <c r="U3620" s="56">
        <v>0</v>
      </c>
      <c r="V3620" s="56">
        <v>0</v>
      </c>
      <c r="W3620" s="56">
        <v>0</v>
      </c>
      <c r="X3620" s="56">
        <v>0</v>
      </c>
      <c r="Y3620" s="56">
        <v>0</v>
      </c>
      <c r="Z3620" s="56">
        <v>0</v>
      </c>
      <c r="AA3620" s="56">
        <v>0</v>
      </c>
      <c r="AB3620" s="56">
        <v>0</v>
      </c>
      <c r="AC3620" s="56">
        <v>0</v>
      </c>
      <c r="AD3620" s="56">
        <v>0</v>
      </c>
      <c r="AE3620" s="56" t="s">
        <v>92</v>
      </c>
      <c r="AF3620" s="56" t="s">
        <v>879</v>
      </c>
      <c r="AG3620" s="56" t="s">
        <v>8859</v>
      </c>
      <c r="AH3620" s="72">
        <v>45031</v>
      </c>
      <c r="AI3620" s="56">
        <v>0</v>
      </c>
      <c r="AJ3620" s="56" t="s">
        <v>21031</v>
      </c>
      <c r="AK3620" s="56" t="s">
        <v>21032</v>
      </c>
      <c r="AL3620" s="157">
        <v>45033</v>
      </c>
      <c r="AM3620" s="56"/>
      <c r="AN3620" s="195">
        <v>45275</v>
      </c>
      <c r="AO3620" s="204"/>
    </row>
    <row r="3621" spans="1:55" ht="36.75" customHeight="1">
      <c r="A3621" s="46" t="s">
        <v>12471</v>
      </c>
      <c r="B3621" s="30" t="s">
        <v>55</v>
      </c>
      <c r="C3621" s="69" t="str">
        <f t="shared" si="314"/>
        <v>Closed</v>
      </c>
      <c r="D3621" s="37" t="s">
        <v>21033</v>
      </c>
      <c r="E3621" s="55" t="s">
        <v>21034</v>
      </c>
      <c r="F3621" s="56" t="s">
        <v>17682</v>
      </c>
      <c r="G3621" s="88">
        <f>DATE(2023,4,18)</f>
        <v>45034</v>
      </c>
      <c r="H3621" s="142">
        <v>1.8090277777777777</v>
      </c>
      <c r="I3621" s="56" t="s">
        <v>73</v>
      </c>
      <c r="J3621" s="56" t="s">
        <v>21035</v>
      </c>
      <c r="K3621" s="56" t="s">
        <v>1574</v>
      </c>
      <c r="L3621" s="56" t="s">
        <v>21036</v>
      </c>
      <c r="M3621" s="56" t="s">
        <v>63</v>
      </c>
      <c r="N3621" s="56" t="s">
        <v>99</v>
      </c>
      <c r="O3621" s="56" t="s">
        <v>64</v>
      </c>
      <c r="P3621" s="56" t="s">
        <v>165</v>
      </c>
      <c r="Q3621" s="56" t="s">
        <v>19878</v>
      </c>
      <c r="R3621" s="56" t="s">
        <v>19879</v>
      </c>
      <c r="S3621" s="56">
        <v>0</v>
      </c>
      <c r="T3621" s="56">
        <v>0</v>
      </c>
      <c r="U3621" s="56">
        <v>0</v>
      </c>
      <c r="V3621" s="56">
        <v>0</v>
      </c>
      <c r="W3621" s="56">
        <v>0</v>
      </c>
      <c r="X3621" s="56">
        <v>0</v>
      </c>
      <c r="Y3621" s="56">
        <v>0</v>
      </c>
      <c r="Z3621" s="56">
        <v>0</v>
      </c>
      <c r="AA3621" s="56">
        <v>0</v>
      </c>
      <c r="AB3621" s="56">
        <v>0</v>
      </c>
      <c r="AC3621" s="56">
        <v>0</v>
      </c>
      <c r="AD3621" s="56">
        <v>0</v>
      </c>
      <c r="AE3621" s="56" t="s">
        <v>92</v>
      </c>
      <c r="AF3621" s="56" t="s">
        <v>21037</v>
      </c>
      <c r="AG3621" s="56" t="s">
        <v>8859</v>
      </c>
      <c r="AH3621" s="72">
        <v>45035</v>
      </c>
      <c r="AI3621" s="56">
        <v>1</v>
      </c>
      <c r="AJ3621" s="56" t="s">
        <v>21038</v>
      </c>
      <c r="AK3621" s="56" t="s">
        <v>21039</v>
      </c>
      <c r="AL3621" s="157">
        <v>45036</v>
      </c>
      <c r="AM3621" s="56"/>
      <c r="AN3621" s="157">
        <v>45421</v>
      </c>
      <c r="AO3621" s="157">
        <v>45385</v>
      </c>
    </row>
    <row r="3622" spans="1:55" ht="36.75" customHeight="1">
      <c r="A3622" s="46" t="s">
        <v>12471</v>
      </c>
      <c r="B3622" s="30" t="s">
        <v>2124</v>
      </c>
      <c r="C3622" s="69" t="str">
        <f t="shared" si="314"/>
        <v>Open</v>
      </c>
      <c r="D3622" s="36" t="s">
        <v>21040</v>
      </c>
      <c r="E3622" s="55" t="s">
        <v>21041</v>
      </c>
      <c r="F3622" s="56" t="s">
        <v>18131</v>
      </c>
      <c r="G3622" s="88">
        <f>DATE(2023,4,20)</f>
        <v>45036</v>
      </c>
      <c r="H3622" s="142">
        <v>1.0972222222222223</v>
      </c>
      <c r="I3622" s="56" t="s">
        <v>73</v>
      </c>
      <c r="J3622" s="56" t="s">
        <v>21042</v>
      </c>
      <c r="K3622" s="56" t="s">
        <v>379</v>
      </c>
      <c r="L3622" s="56" t="s">
        <v>14351</v>
      </c>
      <c r="M3622" s="56" t="s">
        <v>63</v>
      </c>
      <c r="N3622" s="56" t="s">
        <v>89</v>
      </c>
      <c r="O3622" s="56" t="s">
        <v>77</v>
      </c>
      <c r="P3622" s="56" t="s">
        <v>78</v>
      </c>
      <c r="Q3622" s="56" t="s">
        <v>21043</v>
      </c>
      <c r="R3622" s="56" t="s">
        <v>19604</v>
      </c>
      <c r="S3622" s="56"/>
      <c r="T3622" s="56"/>
      <c r="U3622" s="56"/>
      <c r="V3622" s="56"/>
      <c r="W3622" s="56"/>
      <c r="X3622" s="56">
        <v>0</v>
      </c>
      <c r="Y3622" s="56"/>
      <c r="Z3622" s="56"/>
      <c r="AA3622" s="56"/>
      <c r="AB3622" s="56"/>
      <c r="AC3622" s="56"/>
      <c r="AD3622" s="56">
        <v>0</v>
      </c>
      <c r="AE3622" s="56" t="s">
        <v>394</v>
      </c>
      <c r="AF3622" s="56" t="s">
        <v>21044</v>
      </c>
      <c r="AG3622" s="56" t="s">
        <v>8859</v>
      </c>
      <c r="AH3622" s="72">
        <v>45043</v>
      </c>
      <c r="AI3622" s="56"/>
      <c r="AJ3622" s="56"/>
      <c r="AK3622" s="56"/>
      <c r="AL3622" s="157">
        <v>45048</v>
      </c>
      <c r="AM3622" s="56"/>
      <c r="AN3622" s="204"/>
      <c r="AO3622" s="204"/>
    </row>
    <row r="3623" spans="1:55" ht="36.75" customHeight="1">
      <c r="A3623" s="46" t="s">
        <v>12471</v>
      </c>
      <c r="B3623" s="30" t="s">
        <v>2124</v>
      </c>
      <c r="C3623" s="69" t="str">
        <f t="shared" si="314"/>
        <v>Open</v>
      </c>
      <c r="D3623" s="36" t="s">
        <v>21045</v>
      </c>
      <c r="E3623" s="55" t="s">
        <v>21046</v>
      </c>
      <c r="F3623" s="56" t="s">
        <v>17578</v>
      </c>
      <c r="G3623" s="88">
        <f>DATE(2023,4,29)</f>
        <v>45045</v>
      </c>
      <c r="H3623" s="142">
        <v>1</v>
      </c>
      <c r="I3623" s="56" t="s">
        <v>116</v>
      </c>
      <c r="J3623" s="56" t="s">
        <v>21047</v>
      </c>
      <c r="K3623" s="56" t="s">
        <v>837</v>
      </c>
      <c r="L3623" s="56" t="s">
        <v>21048</v>
      </c>
      <c r="M3623" s="56" t="s">
        <v>63</v>
      </c>
      <c r="N3623" s="56" t="s">
        <v>142</v>
      </c>
      <c r="O3623" s="56" t="s">
        <v>64</v>
      </c>
      <c r="P3623" s="56" t="s">
        <v>65</v>
      </c>
      <c r="Q3623" s="56" t="s">
        <v>2162</v>
      </c>
      <c r="R3623" s="56" t="s">
        <v>840</v>
      </c>
      <c r="S3623" s="56">
        <v>0</v>
      </c>
      <c r="T3623" s="56">
        <v>0</v>
      </c>
      <c r="U3623" s="56">
        <v>0</v>
      </c>
      <c r="V3623" s="56">
        <v>0</v>
      </c>
      <c r="W3623" s="56">
        <v>0</v>
      </c>
      <c r="X3623" s="56">
        <v>0</v>
      </c>
      <c r="Y3623" s="56">
        <v>0</v>
      </c>
      <c r="Z3623" s="56">
        <v>0</v>
      </c>
      <c r="AA3623" s="56">
        <v>0</v>
      </c>
      <c r="AB3623" s="56">
        <v>0</v>
      </c>
      <c r="AC3623" s="56">
        <v>0</v>
      </c>
      <c r="AD3623" s="56">
        <v>0</v>
      </c>
      <c r="AE3623" s="56" t="s">
        <v>92</v>
      </c>
      <c r="AF3623" s="56" t="s">
        <v>21049</v>
      </c>
      <c r="AG3623" s="56" t="s">
        <v>14033</v>
      </c>
      <c r="AH3623" s="72">
        <v>45051</v>
      </c>
      <c r="AI3623" s="56"/>
      <c r="AJ3623" s="56"/>
      <c r="AK3623" s="56"/>
      <c r="AL3623" s="157">
        <v>45051</v>
      </c>
      <c r="AM3623" s="56"/>
      <c r="AN3623" s="204"/>
      <c r="AO3623" s="204"/>
    </row>
    <row r="3624" spans="1:55" ht="36.75" customHeight="1">
      <c r="A3624" s="46" t="s">
        <v>12471</v>
      </c>
      <c r="B3624" s="30" t="s">
        <v>55</v>
      </c>
      <c r="C3624" s="69" t="str">
        <f t="shared" si="314"/>
        <v>Closed</v>
      </c>
      <c r="D3624" s="37" t="s">
        <v>21050</v>
      </c>
      <c r="E3624" s="55" t="s">
        <v>21051</v>
      </c>
      <c r="F3624" s="56" t="s">
        <v>12474</v>
      </c>
      <c r="G3624" s="88">
        <f>DATE(2023,4,30)</f>
        <v>45046</v>
      </c>
      <c r="H3624" s="142">
        <v>1.9027777777777777</v>
      </c>
      <c r="I3624" s="56" t="s">
        <v>198</v>
      </c>
      <c r="J3624" s="56" t="s">
        <v>21052</v>
      </c>
      <c r="K3624" s="56" t="s">
        <v>200</v>
      </c>
      <c r="L3624" s="56" t="s">
        <v>21053</v>
      </c>
      <c r="M3624" s="56" t="s">
        <v>63</v>
      </c>
      <c r="N3624" s="56" t="s">
        <v>142</v>
      </c>
      <c r="O3624" s="56" t="s">
        <v>77</v>
      </c>
      <c r="P3624" s="56" t="s">
        <v>78</v>
      </c>
      <c r="Q3624" s="56" t="s">
        <v>21054</v>
      </c>
      <c r="R3624" s="56" t="s">
        <v>13578</v>
      </c>
      <c r="S3624" s="56">
        <v>0</v>
      </c>
      <c r="T3624" s="56">
        <v>0</v>
      </c>
      <c r="U3624" s="56">
        <v>0</v>
      </c>
      <c r="V3624" s="56">
        <v>0</v>
      </c>
      <c r="W3624" s="56">
        <v>0</v>
      </c>
      <c r="X3624" s="56">
        <v>0</v>
      </c>
      <c r="Y3624" s="56">
        <v>0</v>
      </c>
      <c r="Z3624" s="56">
        <v>0</v>
      </c>
      <c r="AA3624" s="56">
        <v>0</v>
      </c>
      <c r="AB3624" s="56">
        <v>0</v>
      </c>
      <c r="AC3624" s="56">
        <v>0</v>
      </c>
      <c r="AD3624" s="56">
        <v>0</v>
      </c>
      <c r="AE3624" s="56" t="s">
        <v>145</v>
      </c>
      <c r="AF3624" s="56" t="s">
        <v>21055</v>
      </c>
      <c r="AG3624" s="56" t="s">
        <v>6459</v>
      </c>
      <c r="AH3624" s="72">
        <v>45051</v>
      </c>
      <c r="AI3624" s="56">
        <v>0</v>
      </c>
      <c r="AJ3624" s="56" t="s">
        <v>21056</v>
      </c>
      <c r="AK3624" s="56" t="s">
        <v>7019</v>
      </c>
      <c r="AL3624" s="157">
        <v>45054</v>
      </c>
      <c r="AM3624" s="157"/>
      <c r="AN3624" s="157">
        <v>45448</v>
      </c>
      <c r="AO3624" s="157">
        <v>45404</v>
      </c>
    </row>
    <row r="3625" spans="1:55" ht="36.75" customHeight="1">
      <c r="A3625" s="46" t="s">
        <v>12471</v>
      </c>
      <c r="B3625" s="30" t="s">
        <v>55</v>
      </c>
      <c r="C3625" s="69" t="str">
        <f t="shared" si="314"/>
        <v>Closed</v>
      </c>
      <c r="D3625" s="203" t="s">
        <v>21057</v>
      </c>
      <c r="E3625" s="55" t="s">
        <v>21058</v>
      </c>
      <c r="F3625" s="56" t="s">
        <v>6455</v>
      </c>
      <c r="G3625" s="88">
        <f>DATE(2023,5,4)</f>
        <v>45050</v>
      </c>
      <c r="H3625" s="142">
        <v>1.4618055555555556</v>
      </c>
      <c r="I3625" s="56" t="s">
        <v>278</v>
      </c>
      <c r="J3625" s="56" t="s">
        <v>21059</v>
      </c>
      <c r="K3625" s="56" t="s">
        <v>584</v>
      </c>
      <c r="L3625" s="56" t="s">
        <v>21060</v>
      </c>
      <c r="M3625" s="56" t="s">
        <v>63</v>
      </c>
      <c r="N3625" s="56" t="s">
        <v>142</v>
      </c>
      <c r="O3625" s="56" t="s">
        <v>64</v>
      </c>
      <c r="P3625" s="56" t="s">
        <v>462</v>
      </c>
      <c r="Q3625" s="56" t="s">
        <v>4830</v>
      </c>
      <c r="R3625" s="56" t="s">
        <v>587</v>
      </c>
      <c r="S3625" s="56">
        <v>0</v>
      </c>
      <c r="T3625" s="56">
        <v>2</v>
      </c>
      <c r="U3625" s="56">
        <v>0</v>
      </c>
      <c r="V3625" s="56">
        <v>0</v>
      </c>
      <c r="W3625" s="56">
        <v>0</v>
      </c>
      <c r="X3625" s="56">
        <v>2</v>
      </c>
      <c r="Y3625" s="56">
        <v>0</v>
      </c>
      <c r="Z3625" s="56">
        <v>0</v>
      </c>
      <c r="AA3625" s="56">
        <v>0</v>
      </c>
      <c r="AB3625" s="56">
        <v>0</v>
      </c>
      <c r="AC3625" s="56">
        <v>0</v>
      </c>
      <c r="AD3625" s="56">
        <v>0</v>
      </c>
      <c r="AE3625" s="56" t="s">
        <v>394</v>
      </c>
      <c r="AF3625" s="56" t="s">
        <v>10569</v>
      </c>
      <c r="AG3625" s="56" t="s">
        <v>6459</v>
      </c>
      <c r="AH3625" s="72">
        <v>45051</v>
      </c>
      <c r="AI3625" s="56">
        <v>2</v>
      </c>
      <c r="AJ3625" s="56" t="s">
        <v>21061</v>
      </c>
      <c r="AK3625" s="56" t="s">
        <v>21062</v>
      </c>
      <c r="AL3625" s="157">
        <v>45069</v>
      </c>
      <c r="AM3625" s="157">
        <v>45428</v>
      </c>
      <c r="AN3625" s="157">
        <v>45814</v>
      </c>
      <c r="AO3625" s="157">
        <v>45771</v>
      </c>
    </row>
    <row r="3626" spans="1:55" ht="36.75" customHeight="1">
      <c r="A3626" s="46" t="s">
        <v>12471</v>
      </c>
      <c r="B3626" s="30" t="s">
        <v>55</v>
      </c>
      <c r="C3626" s="69" t="str">
        <f t="shared" si="314"/>
        <v>Closed</v>
      </c>
      <c r="D3626" s="37" t="s">
        <v>21063</v>
      </c>
      <c r="E3626" s="55" t="s">
        <v>21064</v>
      </c>
      <c r="F3626" s="56" t="s">
        <v>9789</v>
      </c>
      <c r="G3626" s="88">
        <f>DATE(2023,5,5)</f>
        <v>45051</v>
      </c>
      <c r="H3626" s="142">
        <v>1.5208333333333335</v>
      </c>
      <c r="I3626" s="56" t="s">
        <v>2264</v>
      </c>
      <c r="J3626" s="268" t="s">
        <v>21065</v>
      </c>
      <c r="K3626" s="56" t="s">
        <v>9791</v>
      </c>
      <c r="L3626" s="56" t="s">
        <v>21066</v>
      </c>
      <c r="M3626" s="56" t="s">
        <v>63</v>
      </c>
      <c r="N3626" s="56" t="s">
        <v>142</v>
      </c>
      <c r="O3626" s="56" t="s">
        <v>64</v>
      </c>
      <c r="P3626" s="56" t="s">
        <v>165</v>
      </c>
      <c r="Q3626" s="56" t="s">
        <v>21067</v>
      </c>
      <c r="R3626" s="56" t="s">
        <v>20317</v>
      </c>
      <c r="S3626" s="56">
        <v>0</v>
      </c>
      <c r="T3626" s="56">
        <v>0</v>
      </c>
      <c r="U3626" s="56">
        <v>0</v>
      </c>
      <c r="V3626" s="56">
        <v>0</v>
      </c>
      <c r="W3626" s="56">
        <v>0</v>
      </c>
      <c r="X3626" s="56">
        <v>0</v>
      </c>
      <c r="Y3626" s="56">
        <v>0</v>
      </c>
      <c r="Z3626" s="56">
        <v>0</v>
      </c>
      <c r="AA3626" s="56">
        <v>0</v>
      </c>
      <c r="AB3626" s="56">
        <v>0</v>
      </c>
      <c r="AC3626" s="56">
        <v>0</v>
      </c>
      <c r="AD3626" s="56">
        <v>0</v>
      </c>
      <c r="AE3626" s="56" t="s">
        <v>92</v>
      </c>
      <c r="AF3626" s="56" t="s">
        <v>21068</v>
      </c>
      <c r="AG3626" s="56" t="s">
        <v>8859</v>
      </c>
      <c r="AH3626" s="72">
        <v>45051</v>
      </c>
      <c r="AI3626" s="56">
        <v>1</v>
      </c>
      <c r="AJ3626" s="56" t="s">
        <v>21069</v>
      </c>
      <c r="AK3626" s="56" t="s">
        <v>21070</v>
      </c>
      <c r="AL3626" s="157">
        <v>45055</v>
      </c>
      <c r="AM3626" s="157">
        <v>45420</v>
      </c>
      <c r="AN3626" s="157">
        <v>45503</v>
      </c>
      <c r="AO3626" s="157">
        <v>45499</v>
      </c>
    </row>
    <row r="3627" spans="1:55" ht="36.75" customHeight="1">
      <c r="A3627" s="46" t="s">
        <v>12471</v>
      </c>
      <c r="B3627" s="30" t="s">
        <v>55</v>
      </c>
      <c r="C3627" s="69" t="str">
        <f t="shared" si="314"/>
        <v>Closed</v>
      </c>
      <c r="D3627" s="203" t="s">
        <v>21071</v>
      </c>
      <c r="E3627" s="55" t="s">
        <v>21072</v>
      </c>
      <c r="F3627" s="56" t="s">
        <v>17578</v>
      </c>
      <c r="G3627" s="88">
        <f>DATE(2023,5,7)</f>
        <v>45053</v>
      </c>
      <c r="H3627" s="142">
        <v>1.4375</v>
      </c>
      <c r="I3627" s="56" t="s">
        <v>73</v>
      </c>
      <c r="J3627" s="56" t="s">
        <v>21073</v>
      </c>
      <c r="K3627" s="56" t="s">
        <v>837</v>
      </c>
      <c r="L3627" s="56" t="s">
        <v>21074</v>
      </c>
      <c r="M3627" s="56" t="s">
        <v>63</v>
      </c>
      <c r="N3627" s="56" t="s">
        <v>142</v>
      </c>
      <c r="O3627" s="56" t="s">
        <v>64</v>
      </c>
      <c r="P3627" s="56" t="s">
        <v>78</v>
      </c>
      <c r="Q3627" s="56" t="s">
        <v>4708</v>
      </c>
      <c r="R3627" s="56" t="s">
        <v>840</v>
      </c>
      <c r="S3627" s="56">
        <v>0</v>
      </c>
      <c r="T3627" s="56">
        <v>0</v>
      </c>
      <c r="U3627" s="56">
        <v>0</v>
      </c>
      <c r="V3627" s="56">
        <v>0</v>
      </c>
      <c r="W3627" s="56">
        <v>0</v>
      </c>
      <c r="X3627" s="56">
        <v>0</v>
      </c>
      <c r="Y3627" s="56">
        <v>0</v>
      </c>
      <c r="Z3627" s="56">
        <v>0</v>
      </c>
      <c r="AA3627" s="56">
        <v>0</v>
      </c>
      <c r="AB3627" s="56">
        <v>0</v>
      </c>
      <c r="AC3627" s="56">
        <v>0</v>
      </c>
      <c r="AD3627" s="56">
        <v>0</v>
      </c>
      <c r="AE3627" s="56" t="s">
        <v>394</v>
      </c>
      <c r="AF3627" s="56" t="s">
        <v>21075</v>
      </c>
      <c r="AG3627" s="56" t="s">
        <v>8859</v>
      </c>
      <c r="AH3627" s="72">
        <v>45053</v>
      </c>
      <c r="AI3627" s="56">
        <v>0</v>
      </c>
      <c r="AJ3627" s="56" t="s">
        <v>21076</v>
      </c>
      <c r="AK3627" s="56"/>
      <c r="AL3627" s="157">
        <v>45053</v>
      </c>
      <c r="AM3627" s="56"/>
      <c r="AN3627" s="205">
        <v>45635</v>
      </c>
      <c r="AO3627" s="205">
        <v>45572</v>
      </c>
    </row>
    <row r="3628" spans="1:55" ht="36.75" customHeight="1">
      <c r="A3628" s="46" t="s">
        <v>12471</v>
      </c>
      <c r="B3628" s="30" t="s">
        <v>55</v>
      </c>
      <c r="C3628" s="69" t="str">
        <f t="shared" si="314"/>
        <v>Closed</v>
      </c>
      <c r="D3628" s="37" t="s">
        <v>21077</v>
      </c>
      <c r="E3628" s="55" t="s">
        <v>21078</v>
      </c>
      <c r="F3628" s="56" t="s">
        <v>17057</v>
      </c>
      <c r="G3628" s="88">
        <f>DATE(2023,5,8)</f>
        <v>45054</v>
      </c>
      <c r="H3628" s="142">
        <v>1.3125</v>
      </c>
      <c r="I3628" s="30" t="s">
        <v>9419</v>
      </c>
      <c r="J3628" s="56" t="s">
        <v>21079</v>
      </c>
      <c r="K3628" s="56" t="s">
        <v>9791</v>
      </c>
      <c r="L3628" s="56" t="s">
        <v>21066</v>
      </c>
      <c r="M3628" s="56" t="s">
        <v>63</v>
      </c>
      <c r="N3628" s="56" t="s">
        <v>142</v>
      </c>
      <c r="O3628" s="56" t="s">
        <v>64</v>
      </c>
      <c r="P3628" s="56" t="s">
        <v>165</v>
      </c>
      <c r="Q3628" s="56" t="s">
        <v>21067</v>
      </c>
      <c r="R3628" s="56" t="s">
        <v>20317</v>
      </c>
      <c r="S3628" s="56">
        <v>0</v>
      </c>
      <c r="T3628" s="56">
        <v>0</v>
      </c>
      <c r="U3628" s="56">
        <v>0</v>
      </c>
      <c r="V3628" s="56">
        <v>0</v>
      </c>
      <c r="W3628" s="56">
        <v>0</v>
      </c>
      <c r="X3628" s="56">
        <v>0</v>
      </c>
      <c r="Y3628" s="56">
        <v>0</v>
      </c>
      <c r="Z3628" s="56">
        <v>0</v>
      </c>
      <c r="AA3628" s="56">
        <v>0</v>
      </c>
      <c r="AB3628" s="56">
        <v>0</v>
      </c>
      <c r="AC3628" s="56">
        <v>0</v>
      </c>
      <c r="AD3628" s="56">
        <v>0</v>
      </c>
      <c r="AE3628" s="56" t="s">
        <v>92</v>
      </c>
      <c r="AF3628" s="56" t="s">
        <v>21068</v>
      </c>
      <c r="AG3628" s="56" t="s">
        <v>8859</v>
      </c>
      <c r="AH3628" s="72">
        <v>45083</v>
      </c>
      <c r="AI3628" s="56">
        <v>3</v>
      </c>
      <c r="AJ3628" s="56" t="s">
        <v>21080</v>
      </c>
      <c r="AK3628" s="56" t="s">
        <v>21081</v>
      </c>
      <c r="AL3628" s="157">
        <v>45084</v>
      </c>
      <c r="AM3628" s="56"/>
      <c r="AN3628" s="157">
        <v>45399</v>
      </c>
      <c r="AO3628" s="157">
        <v>45369</v>
      </c>
    </row>
    <row r="3629" spans="1:55" ht="36.75" customHeight="1">
      <c r="A3629" s="46" t="s">
        <v>12471</v>
      </c>
      <c r="B3629" s="30" t="s">
        <v>55</v>
      </c>
      <c r="C3629" s="69" t="str">
        <f t="shared" si="314"/>
        <v>Closed</v>
      </c>
      <c r="D3629" s="37" t="s">
        <v>21082</v>
      </c>
      <c r="E3629" s="55" t="s">
        <v>21083</v>
      </c>
      <c r="F3629" s="56" t="s">
        <v>17057</v>
      </c>
      <c r="G3629" s="88">
        <f>DATE(2023,5,16)</f>
        <v>45062</v>
      </c>
      <c r="H3629" s="142">
        <v>1.4097222222222223</v>
      </c>
      <c r="I3629" s="56" t="s">
        <v>116</v>
      </c>
      <c r="J3629" s="56" t="s">
        <v>21084</v>
      </c>
      <c r="K3629" s="56" t="s">
        <v>9791</v>
      </c>
      <c r="L3629" s="56" t="s">
        <v>21066</v>
      </c>
      <c r="M3629" s="56" t="s">
        <v>63</v>
      </c>
      <c r="N3629" s="56" t="s">
        <v>142</v>
      </c>
      <c r="O3629" s="56" t="s">
        <v>64</v>
      </c>
      <c r="P3629" s="56" t="s">
        <v>165</v>
      </c>
      <c r="Q3629" s="56" t="s">
        <v>21067</v>
      </c>
      <c r="R3629" s="56" t="s">
        <v>20317</v>
      </c>
      <c r="S3629" s="56">
        <v>0</v>
      </c>
      <c r="T3629" s="56">
        <v>0</v>
      </c>
      <c r="U3629" s="56">
        <v>0</v>
      </c>
      <c r="V3629" s="56">
        <v>0</v>
      </c>
      <c r="W3629" s="56">
        <v>0</v>
      </c>
      <c r="X3629" s="56">
        <v>0</v>
      </c>
      <c r="Y3629" s="56">
        <v>0</v>
      </c>
      <c r="Z3629" s="56">
        <v>0</v>
      </c>
      <c r="AA3629" s="56">
        <v>0</v>
      </c>
      <c r="AB3629" s="56">
        <v>0</v>
      </c>
      <c r="AC3629" s="56">
        <v>0</v>
      </c>
      <c r="AD3629" s="56">
        <v>0</v>
      </c>
      <c r="AE3629" s="56" t="s">
        <v>92</v>
      </c>
      <c r="AF3629" s="56" t="s">
        <v>21068</v>
      </c>
      <c r="AG3629" s="56" t="s">
        <v>13537</v>
      </c>
      <c r="AH3629" s="72">
        <v>45076</v>
      </c>
      <c r="AI3629" s="56">
        <v>3</v>
      </c>
      <c r="AJ3629" s="56" t="s">
        <v>21085</v>
      </c>
      <c r="AK3629" s="56" t="s">
        <v>21086</v>
      </c>
      <c r="AL3629" s="157">
        <v>45078</v>
      </c>
      <c r="AM3629" s="56"/>
      <c r="AN3629" s="195">
        <v>45342</v>
      </c>
      <c r="AO3629" s="195">
        <v>45323</v>
      </c>
    </row>
    <row r="3630" spans="1:55" ht="36.75" customHeight="1">
      <c r="A3630" s="46" t="s">
        <v>12471</v>
      </c>
      <c r="B3630" s="30" t="s">
        <v>55</v>
      </c>
      <c r="C3630" s="69" t="str">
        <f t="shared" si="314"/>
        <v>Closed</v>
      </c>
      <c r="D3630" s="37" t="s">
        <v>21087</v>
      </c>
      <c r="E3630" s="55" t="s">
        <v>21088</v>
      </c>
      <c r="F3630" s="56" t="s">
        <v>17682</v>
      </c>
      <c r="G3630" s="88">
        <f>DATE(2023,5,17)</f>
        <v>45063</v>
      </c>
      <c r="H3630" s="142">
        <v>1.1215277777777777</v>
      </c>
      <c r="I3630" s="56" t="s">
        <v>198</v>
      </c>
      <c r="J3630" s="56" t="s">
        <v>21089</v>
      </c>
      <c r="K3630" s="56" t="s">
        <v>1574</v>
      </c>
      <c r="L3630" s="56" t="s">
        <v>21090</v>
      </c>
      <c r="M3630" s="56" t="s">
        <v>63</v>
      </c>
      <c r="N3630" s="56" t="s">
        <v>99</v>
      </c>
      <c r="O3630" s="56" t="s">
        <v>64</v>
      </c>
      <c r="P3630" s="56" t="s">
        <v>78</v>
      </c>
      <c r="Q3630" s="56" t="s">
        <v>21091</v>
      </c>
      <c r="R3630" s="56" t="s">
        <v>19007</v>
      </c>
      <c r="S3630" s="56">
        <v>0</v>
      </c>
      <c r="T3630" s="56">
        <v>0</v>
      </c>
      <c r="U3630" s="56">
        <v>0</v>
      </c>
      <c r="V3630" s="56">
        <v>0</v>
      </c>
      <c r="W3630" s="56">
        <v>0</v>
      </c>
      <c r="X3630" s="56">
        <v>0</v>
      </c>
      <c r="Y3630" s="56">
        <v>0</v>
      </c>
      <c r="Z3630" s="56">
        <v>1</v>
      </c>
      <c r="AA3630" s="56">
        <v>0</v>
      </c>
      <c r="AB3630" s="56">
        <v>0</v>
      </c>
      <c r="AC3630" s="56">
        <v>0</v>
      </c>
      <c r="AD3630" s="56">
        <v>1</v>
      </c>
      <c r="AE3630" s="56" t="s">
        <v>394</v>
      </c>
      <c r="AF3630" s="56" t="s">
        <v>21092</v>
      </c>
      <c r="AG3630" s="56" t="s">
        <v>8859</v>
      </c>
      <c r="AH3630" s="72">
        <v>45064</v>
      </c>
      <c r="AI3630" s="56">
        <v>2</v>
      </c>
      <c r="AJ3630" s="56" t="s">
        <v>21093</v>
      </c>
      <c r="AK3630" s="56" t="s">
        <v>21094</v>
      </c>
      <c r="AL3630" s="157">
        <v>45065</v>
      </c>
      <c r="AM3630" s="56"/>
      <c r="AN3630" s="157">
        <v>45432</v>
      </c>
      <c r="AO3630" s="157">
        <v>45428</v>
      </c>
      <c r="AP3630" s="56"/>
      <c r="AQ3630" s="56"/>
      <c r="AR3630" s="56"/>
      <c r="AS3630" s="56"/>
      <c r="AT3630" s="56"/>
      <c r="AU3630" s="56"/>
      <c r="AV3630" s="56"/>
      <c r="AW3630" s="56"/>
      <c r="AX3630" s="56"/>
      <c r="AY3630" s="56"/>
      <c r="AZ3630" s="56"/>
      <c r="BA3630" s="56"/>
      <c r="BB3630" s="56"/>
      <c r="BC3630" s="56"/>
    </row>
    <row r="3631" spans="1:55" ht="36.75" customHeight="1">
      <c r="A3631" s="46" t="s">
        <v>12471</v>
      </c>
      <c r="B3631" s="30" t="s">
        <v>55</v>
      </c>
      <c r="C3631" s="69" t="str">
        <f t="shared" si="314"/>
        <v>Closed</v>
      </c>
      <c r="D3631" s="37" t="s">
        <v>21095</v>
      </c>
      <c r="E3631" s="55" t="s">
        <v>21096</v>
      </c>
      <c r="F3631" s="56" t="s">
        <v>17820</v>
      </c>
      <c r="G3631" s="88">
        <f>DATE(2023,5,18)</f>
        <v>45064</v>
      </c>
      <c r="H3631" s="142">
        <v>1.7916666666666665</v>
      </c>
      <c r="I3631" s="56" t="s">
        <v>18340</v>
      </c>
      <c r="J3631" s="56" t="s">
        <v>21097</v>
      </c>
      <c r="K3631" s="56" t="s">
        <v>640</v>
      </c>
      <c r="L3631" s="56" t="s">
        <v>21098</v>
      </c>
      <c r="M3631" s="56" t="s">
        <v>63</v>
      </c>
      <c r="N3631" s="56" t="s">
        <v>99</v>
      </c>
      <c r="O3631" s="56" t="s">
        <v>77</v>
      </c>
      <c r="P3631" s="56" t="s">
        <v>78</v>
      </c>
      <c r="Q3631" s="56" t="s">
        <v>20720</v>
      </c>
      <c r="R3631" s="56" t="s">
        <v>2016</v>
      </c>
      <c r="S3631" s="56">
        <v>0</v>
      </c>
      <c r="T3631" s="56">
        <v>0</v>
      </c>
      <c r="U3631" s="56">
        <v>0</v>
      </c>
      <c r="V3631" s="56">
        <v>0</v>
      </c>
      <c r="W3631" s="56">
        <v>0</v>
      </c>
      <c r="X3631" s="56">
        <v>0</v>
      </c>
      <c r="Y3631" s="56">
        <v>0</v>
      </c>
      <c r="Z3631" s="56">
        <v>0</v>
      </c>
      <c r="AA3631" s="56">
        <v>0</v>
      </c>
      <c r="AB3631" s="56">
        <v>0</v>
      </c>
      <c r="AC3631" s="56">
        <v>0</v>
      </c>
      <c r="AD3631" s="56">
        <v>0</v>
      </c>
      <c r="AE3631" s="56" t="s">
        <v>92</v>
      </c>
      <c r="AF3631" s="56" t="s">
        <v>21099</v>
      </c>
      <c r="AG3631" s="56" t="s">
        <v>14033</v>
      </c>
      <c r="AH3631" s="72">
        <v>45252</v>
      </c>
      <c r="AI3631" s="56">
        <v>5</v>
      </c>
      <c r="AJ3631" s="56" t="s">
        <v>21100</v>
      </c>
      <c r="AK3631" s="56" t="s">
        <v>21101</v>
      </c>
      <c r="AL3631" s="157">
        <v>45260</v>
      </c>
      <c r="AM3631" s="157">
        <v>45474</v>
      </c>
      <c r="AN3631" s="157">
        <v>45474</v>
      </c>
      <c r="AO3631" s="157">
        <v>45463</v>
      </c>
    </row>
    <row r="3632" spans="1:55" ht="36.75" customHeight="1">
      <c r="A3632" s="46" t="s">
        <v>12471</v>
      </c>
      <c r="B3632" s="30" t="s">
        <v>55</v>
      </c>
      <c r="C3632" s="69" t="str">
        <f t="shared" si="314"/>
        <v>Closed</v>
      </c>
      <c r="D3632" s="37" t="s">
        <v>21102</v>
      </c>
      <c r="E3632" s="55" t="s">
        <v>21103</v>
      </c>
      <c r="F3632" s="56" t="s">
        <v>12910</v>
      </c>
      <c r="G3632" s="88">
        <f>DATE(2023,5,22)</f>
        <v>45068</v>
      </c>
      <c r="H3632" s="142">
        <v>1.4513888888888888</v>
      </c>
      <c r="I3632" s="56" t="s">
        <v>278</v>
      </c>
      <c r="J3632" s="56" t="s">
        <v>21104</v>
      </c>
      <c r="K3632" s="56" t="s">
        <v>453</v>
      </c>
      <c r="L3632" s="56" t="s">
        <v>21105</v>
      </c>
      <c r="M3632" s="56" t="s">
        <v>63</v>
      </c>
      <c r="N3632" s="56" t="s">
        <v>142</v>
      </c>
      <c r="O3632" s="56" t="s">
        <v>64</v>
      </c>
      <c r="P3632" s="56" t="s">
        <v>165</v>
      </c>
      <c r="Q3632" s="56" t="s">
        <v>21067</v>
      </c>
      <c r="R3632" s="56" t="s">
        <v>20317</v>
      </c>
      <c r="S3632" s="56">
        <v>0</v>
      </c>
      <c r="T3632" s="56">
        <v>0</v>
      </c>
      <c r="U3632" s="56">
        <v>0</v>
      </c>
      <c r="V3632" s="56">
        <v>0</v>
      </c>
      <c r="W3632" s="56">
        <v>0</v>
      </c>
      <c r="X3632" s="56">
        <v>0</v>
      </c>
      <c r="Y3632" s="56">
        <v>0</v>
      </c>
      <c r="Z3632" s="56">
        <v>0</v>
      </c>
      <c r="AA3632" s="56">
        <v>0</v>
      </c>
      <c r="AB3632" s="56">
        <v>0</v>
      </c>
      <c r="AC3632" s="56">
        <v>0</v>
      </c>
      <c r="AD3632" s="56">
        <v>0</v>
      </c>
      <c r="AE3632" s="56" t="s">
        <v>92</v>
      </c>
      <c r="AF3632" s="56" t="s">
        <v>21068</v>
      </c>
      <c r="AG3632" s="56" t="s">
        <v>6459</v>
      </c>
      <c r="AH3632" s="72">
        <v>45084</v>
      </c>
      <c r="AI3632" s="56">
        <v>0</v>
      </c>
      <c r="AJ3632" s="56" t="s">
        <v>21106</v>
      </c>
      <c r="AK3632" s="56" t="s">
        <v>21107</v>
      </c>
      <c r="AL3632" s="157">
        <v>45084</v>
      </c>
      <c r="AM3632" s="56"/>
      <c r="AN3632" s="195">
        <v>45336</v>
      </c>
      <c r="AO3632" s="195">
        <v>45336</v>
      </c>
    </row>
    <row r="3633" spans="1:55" ht="36.75" customHeight="1">
      <c r="A3633" s="46" t="s">
        <v>12471</v>
      </c>
      <c r="B3633" s="30" t="s">
        <v>55</v>
      </c>
      <c r="C3633" s="69" t="str">
        <f t="shared" si="314"/>
        <v>Closed</v>
      </c>
      <c r="D3633" s="37" t="s">
        <v>21108</v>
      </c>
      <c r="E3633" s="55" t="s">
        <v>21109</v>
      </c>
      <c r="F3633" s="56" t="s">
        <v>18070</v>
      </c>
      <c r="G3633" s="88">
        <f>DATE(2023,5,27)</f>
        <v>45073</v>
      </c>
      <c r="H3633" s="142">
        <v>1.1909722222222223</v>
      </c>
      <c r="I3633" s="56" t="s">
        <v>73</v>
      </c>
      <c r="J3633" s="56" t="s">
        <v>21110</v>
      </c>
      <c r="K3633" s="56" t="s">
        <v>140</v>
      </c>
      <c r="L3633" s="56" t="s">
        <v>21111</v>
      </c>
      <c r="M3633" s="56" t="s">
        <v>63</v>
      </c>
      <c r="N3633" s="56" t="s">
        <v>142</v>
      </c>
      <c r="O3633" s="56" t="s">
        <v>77</v>
      </c>
      <c r="P3633" s="56" t="s">
        <v>165</v>
      </c>
      <c r="Q3633" s="56" t="s">
        <v>21112</v>
      </c>
      <c r="R3633" s="56" t="s">
        <v>21112</v>
      </c>
      <c r="S3633" s="56">
        <v>0</v>
      </c>
      <c r="T3633" s="56">
        <v>0</v>
      </c>
      <c r="U3633" s="56">
        <v>0</v>
      </c>
      <c r="V3633" s="56">
        <v>0</v>
      </c>
      <c r="W3633" s="56">
        <v>0</v>
      </c>
      <c r="X3633" s="56">
        <v>0</v>
      </c>
      <c r="Y3633" s="56">
        <v>0</v>
      </c>
      <c r="Z3633" s="56">
        <v>0</v>
      </c>
      <c r="AA3633" s="56">
        <v>0</v>
      </c>
      <c r="AB3633" s="56">
        <v>0</v>
      </c>
      <c r="AC3633" s="56">
        <v>0</v>
      </c>
      <c r="AD3633" s="56">
        <v>0</v>
      </c>
      <c r="AE3633" s="56" t="s">
        <v>145</v>
      </c>
      <c r="AF3633" s="56" t="s">
        <v>21113</v>
      </c>
      <c r="AG3633" s="56" t="s">
        <v>8859</v>
      </c>
      <c r="AH3633" s="72">
        <v>45075</v>
      </c>
      <c r="AI3633" s="56">
        <v>6</v>
      </c>
      <c r="AJ3633" s="56" t="s">
        <v>21114</v>
      </c>
      <c r="AK3633" s="56" t="s">
        <v>21115</v>
      </c>
      <c r="AL3633" s="157">
        <v>45078</v>
      </c>
      <c r="AM3633" s="56"/>
      <c r="AN3633" s="157">
        <v>45483</v>
      </c>
      <c r="AO3633" s="157">
        <v>45460</v>
      </c>
    </row>
    <row r="3634" spans="1:55" ht="36.75" customHeight="1">
      <c r="A3634" s="46" t="s">
        <v>12471</v>
      </c>
      <c r="B3634" s="30" t="s">
        <v>55</v>
      </c>
      <c r="C3634" s="69" t="str">
        <f t="shared" si="314"/>
        <v>Closed</v>
      </c>
      <c r="D3634" s="37" t="s">
        <v>21116</v>
      </c>
      <c r="E3634" s="55" t="s">
        <v>21117</v>
      </c>
      <c r="F3634" s="56" t="s">
        <v>16429</v>
      </c>
      <c r="G3634" s="88">
        <f>DATE(2023,5,28)</f>
        <v>45074</v>
      </c>
      <c r="H3634" s="142">
        <v>1.7402777777777776</v>
      </c>
      <c r="I3634" s="56" t="s">
        <v>116</v>
      </c>
      <c r="J3634" s="56" t="s">
        <v>21118</v>
      </c>
      <c r="K3634" s="56" t="s">
        <v>425</v>
      </c>
      <c r="L3634" s="56" t="s">
        <v>21119</v>
      </c>
      <c r="M3634" s="56" t="s">
        <v>63</v>
      </c>
      <c r="N3634" s="56" t="s">
        <v>99</v>
      </c>
      <c r="O3634" s="56" t="s">
        <v>64</v>
      </c>
      <c r="P3634" s="56" t="s">
        <v>165</v>
      </c>
      <c r="Q3634" s="56" t="s">
        <v>21067</v>
      </c>
      <c r="R3634" s="56" t="s">
        <v>20317</v>
      </c>
      <c r="S3634" s="56">
        <v>0</v>
      </c>
      <c r="T3634" s="56">
        <v>0</v>
      </c>
      <c r="U3634" s="56">
        <v>0</v>
      </c>
      <c r="V3634" s="56">
        <v>0</v>
      </c>
      <c r="W3634" s="56">
        <v>0</v>
      </c>
      <c r="X3634" s="56">
        <v>0</v>
      </c>
      <c r="Y3634" s="56">
        <v>0</v>
      </c>
      <c r="Z3634" s="56">
        <v>0</v>
      </c>
      <c r="AA3634" s="56">
        <v>0</v>
      </c>
      <c r="AB3634" s="56">
        <v>0</v>
      </c>
      <c r="AC3634" s="56">
        <v>0</v>
      </c>
      <c r="AD3634" s="56">
        <v>0</v>
      </c>
      <c r="AE3634" s="56" t="s">
        <v>92</v>
      </c>
      <c r="AF3634" s="56" t="s">
        <v>21068</v>
      </c>
      <c r="AG3634" s="19" t="s">
        <v>21120</v>
      </c>
      <c r="AH3634" s="72">
        <v>45074</v>
      </c>
      <c r="AI3634" s="56">
        <v>3</v>
      </c>
      <c r="AJ3634" s="56" t="s">
        <v>21121</v>
      </c>
      <c r="AK3634" s="56" t="s">
        <v>18245</v>
      </c>
      <c r="AL3634" s="157">
        <v>45076</v>
      </c>
      <c r="AM3634" s="56"/>
      <c r="AN3634" s="157">
        <v>45258</v>
      </c>
      <c r="AO3634" s="157">
        <v>45254</v>
      </c>
    </row>
    <row r="3635" spans="1:55" ht="36.75" customHeight="1">
      <c r="A3635" s="46" t="s">
        <v>12471</v>
      </c>
      <c r="B3635" s="30" t="s">
        <v>55</v>
      </c>
      <c r="C3635" s="69" t="str">
        <f t="shared" si="314"/>
        <v>Closed</v>
      </c>
      <c r="D3635" s="37" t="s">
        <v>21122</v>
      </c>
      <c r="E3635" s="55" t="s">
        <v>21123</v>
      </c>
      <c r="F3635" s="56" t="s">
        <v>16429</v>
      </c>
      <c r="G3635" s="88">
        <f>DATE(2023,6,5)</f>
        <v>45082</v>
      </c>
      <c r="H3635" s="142">
        <v>1.3006944444444444</v>
      </c>
      <c r="I3635" s="56" t="s">
        <v>116</v>
      </c>
      <c r="J3635" s="56" t="s">
        <v>21124</v>
      </c>
      <c r="K3635" s="56" t="s">
        <v>425</v>
      </c>
      <c r="L3635" s="56" t="s">
        <v>21125</v>
      </c>
      <c r="M3635" s="56" t="s">
        <v>63</v>
      </c>
      <c r="N3635" s="56" t="s">
        <v>99</v>
      </c>
      <c r="O3635" s="56" t="s">
        <v>64</v>
      </c>
      <c r="P3635" s="56" t="s">
        <v>165</v>
      </c>
      <c r="Q3635" s="56" t="s">
        <v>21067</v>
      </c>
      <c r="R3635" s="56" t="s">
        <v>20317</v>
      </c>
      <c r="S3635" s="56">
        <v>0</v>
      </c>
      <c r="T3635" s="56">
        <v>0</v>
      </c>
      <c r="U3635" s="56">
        <v>0</v>
      </c>
      <c r="V3635" s="56">
        <v>0</v>
      </c>
      <c r="W3635" s="56">
        <v>0</v>
      </c>
      <c r="X3635" s="56">
        <v>0</v>
      </c>
      <c r="Y3635" s="56">
        <v>0</v>
      </c>
      <c r="Z3635" s="56">
        <v>0</v>
      </c>
      <c r="AA3635" s="56">
        <v>0</v>
      </c>
      <c r="AB3635" s="56">
        <v>0</v>
      </c>
      <c r="AC3635" s="56">
        <v>0</v>
      </c>
      <c r="AD3635" s="56">
        <v>0</v>
      </c>
      <c r="AE3635" s="56" t="s">
        <v>92</v>
      </c>
      <c r="AF3635" s="56" t="s">
        <v>21068</v>
      </c>
      <c r="AG3635" s="56" t="s">
        <v>21120</v>
      </c>
      <c r="AH3635" s="72">
        <v>45082</v>
      </c>
      <c r="AI3635" s="56">
        <v>1</v>
      </c>
      <c r="AJ3635" s="56" t="s">
        <v>21126</v>
      </c>
      <c r="AK3635" s="56" t="s">
        <v>18245</v>
      </c>
      <c r="AL3635" s="157">
        <v>45083</v>
      </c>
      <c r="AM3635" s="56"/>
      <c r="AN3635" s="195">
        <v>45280</v>
      </c>
      <c r="AO3635" s="195">
        <v>45279</v>
      </c>
    </row>
    <row r="3636" spans="1:55" ht="36.75" customHeight="1">
      <c r="A3636" s="46" t="s">
        <v>12471</v>
      </c>
      <c r="B3636" s="30" t="s">
        <v>55</v>
      </c>
      <c r="C3636" s="69" t="str">
        <f t="shared" si="314"/>
        <v>Closed</v>
      </c>
      <c r="D3636" s="37" t="s">
        <v>21127</v>
      </c>
      <c r="E3636" s="55" t="s">
        <v>21128</v>
      </c>
      <c r="F3636" s="56" t="s">
        <v>17682</v>
      </c>
      <c r="G3636" s="88">
        <f>DATE(2023,6,8)</f>
        <v>45085</v>
      </c>
      <c r="H3636" s="142">
        <v>1.1875</v>
      </c>
      <c r="I3636" s="56" t="s">
        <v>4610</v>
      </c>
      <c r="J3636" s="56" t="s">
        <v>21129</v>
      </c>
      <c r="K3636" s="56" t="s">
        <v>1574</v>
      </c>
      <c r="L3636" s="56" t="s">
        <v>21130</v>
      </c>
      <c r="M3636" s="56" t="s">
        <v>63</v>
      </c>
      <c r="N3636" s="56" t="s">
        <v>142</v>
      </c>
      <c r="O3636" s="56" t="s">
        <v>77</v>
      </c>
      <c r="P3636" s="56" t="s">
        <v>78</v>
      </c>
      <c r="Q3636" s="56" t="s">
        <v>17685</v>
      </c>
      <c r="R3636" s="56" t="s">
        <v>19007</v>
      </c>
      <c r="S3636" s="56">
        <v>0</v>
      </c>
      <c r="T3636" s="56">
        <v>0</v>
      </c>
      <c r="U3636" s="56">
        <v>0</v>
      </c>
      <c r="V3636" s="56">
        <v>0</v>
      </c>
      <c r="W3636" s="56">
        <v>0</v>
      </c>
      <c r="X3636" s="56">
        <v>0</v>
      </c>
      <c r="Y3636" s="56">
        <v>0</v>
      </c>
      <c r="Z3636" s="56">
        <v>0</v>
      </c>
      <c r="AA3636" s="56">
        <v>0</v>
      </c>
      <c r="AB3636" s="56">
        <v>0</v>
      </c>
      <c r="AC3636" s="56">
        <v>0</v>
      </c>
      <c r="AD3636" s="56">
        <v>0</v>
      </c>
      <c r="AE3636" s="56" t="s">
        <v>92</v>
      </c>
      <c r="AF3636" s="56" t="s">
        <v>7019</v>
      </c>
      <c r="AG3636" s="56" t="s">
        <v>8859</v>
      </c>
      <c r="AH3636" s="72">
        <v>45086</v>
      </c>
      <c r="AI3636" s="56">
        <v>3</v>
      </c>
      <c r="AJ3636" s="56" t="s">
        <v>21131</v>
      </c>
      <c r="AK3636" s="56" t="s">
        <v>21132</v>
      </c>
      <c r="AL3636" s="157">
        <v>45089</v>
      </c>
      <c r="AM3636" s="56"/>
      <c r="AN3636" s="157">
        <v>45440</v>
      </c>
      <c r="AO3636" s="157">
        <v>45435</v>
      </c>
    </row>
    <row r="3637" spans="1:55" ht="36.75" customHeight="1">
      <c r="A3637" s="46" t="s">
        <v>12471</v>
      </c>
      <c r="B3637" s="30" t="s">
        <v>55</v>
      </c>
      <c r="C3637" s="69" t="str">
        <f t="shared" si="314"/>
        <v>Closed</v>
      </c>
      <c r="D3637" s="203" t="s">
        <v>21133</v>
      </c>
      <c r="E3637" s="56" t="s">
        <v>21134</v>
      </c>
      <c r="F3637" s="56" t="s">
        <v>16429</v>
      </c>
      <c r="G3637" s="88">
        <f>DATE(2023,6,8)</f>
        <v>45085</v>
      </c>
      <c r="H3637" s="142">
        <v>1.8041666666666667</v>
      </c>
      <c r="I3637" s="56" t="s">
        <v>73</v>
      </c>
      <c r="J3637" s="56" t="s">
        <v>21135</v>
      </c>
      <c r="K3637" s="56" t="s">
        <v>425</v>
      </c>
      <c r="L3637" s="56" t="s">
        <v>21136</v>
      </c>
      <c r="M3637" s="56" t="s">
        <v>63</v>
      </c>
      <c r="N3637" s="56" t="s">
        <v>142</v>
      </c>
      <c r="O3637" s="56" t="s">
        <v>64</v>
      </c>
      <c r="P3637" s="56" t="s">
        <v>78</v>
      </c>
      <c r="Q3637" s="56" t="s">
        <v>21137</v>
      </c>
      <c r="R3637" s="56" t="s">
        <v>17369</v>
      </c>
      <c r="S3637" s="56">
        <v>0</v>
      </c>
      <c r="T3637" s="56">
        <v>0</v>
      </c>
      <c r="U3637" s="56">
        <v>0</v>
      </c>
      <c r="V3637" s="56">
        <v>0</v>
      </c>
      <c r="W3637" s="56">
        <v>0</v>
      </c>
      <c r="X3637" s="56">
        <v>0</v>
      </c>
      <c r="Y3637" s="56">
        <v>0</v>
      </c>
      <c r="Z3637" s="56">
        <v>0</v>
      </c>
      <c r="AA3637" s="56">
        <v>0</v>
      </c>
      <c r="AB3637" s="56">
        <v>0</v>
      </c>
      <c r="AC3637" s="56">
        <v>0</v>
      </c>
      <c r="AD3637" s="56">
        <v>0</v>
      </c>
      <c r="AE3637" s="55" t="s">
        <v>394</v>
      </c>
      <c r="AF3637" s="56" t="s">
        <v>21138</v>
      </c>
      <c r="AG3637" s="56" t="s">
        <v>21120</v>
      </c>
      <c r="AH3637" s="72">
        <v>45085</v>
      </c>
      <c r="AI3637" s="56">
        <v>1</v>
      </c>
      <c r="AJ3637" s="56" t="s">
        <v>21139</v>
      </c>
      <c r="AK3637" s="56" t="s">
        <v>21140</v>
      </c>
      <c r="AL3637" s="157">
        <v>45090</v>
      </c>
      <c r="AM3637" s="157">
        <v>45453</v>
      </c>
      <c r="AN3637" s="157">
        <v>45968</v>
      </c>
      <c r="AO3637" s="157">
        <v>45965</v>
      </c>
    </row>
    <row r="3638" spans="1:55" ht="36.75" customHeight="1">
      <c r="A3638" s="46" t="s">
        <v>12471</v>
      </c>
      <c r="B3638" s="30" t="s">
        <v>2124</v>
      </c>
      <c r="C3638" s="69" t="str">
        <f t="shared" si="314"/>
        <v>Open</v>
      </c>
      <c r="D3638" s="36" t="s">
        <v>21141</v>
      </c>
      <c r="E3638" s="55" t="s">
        <v>21142</v>
      </c>
      <c r="F3638" s="56" t="s">
        <v>16310</v>
      </c>
      <c r="G3638" s="88">
        <f>DATE(2023,6,19)</f>
        <v>45096</v>
      </c>
      <c r="H3638" s="142">
        <v>1.8090277777777777</v>
      </c>
      <c r="I3638" s="56" t="s">
        <v>116</v>
      </c>
      <c r="J3638" s="56" t="s">
        <v>21143</v>
      </c>
      <c r="K3638" s="56" t="s">
        <v>118</v>
      </c>
      <c r="L3638" s="56" t="s">
        <v>21144</v>
      </c>
      <c r="M3638" s="56" t="s">
        <v>63</v>
      </c>
      <c r="N3638" s="56" t="s">
        <v>142</v>
      </c>
      <c r="O3638" s="56" t="s">
        <v>64</v>
      </c>
      <c r="P3638" s="56" t="s">
        <v>165</v>
      </c>
      <c r="Q3638" s="56" t="s">
        <v>16313</v>
      </c>
      <c r="R3638" s="56" t="s">
        <v>18214</v>
      </c>
      <c r="S3638" s="56">
        <v>0</v>
      </c>
      <c r="T3638" s="56">
        <v>0</v>
      </c>
      <c r="U3638" s="56">
        <v>0</v>
      </c>
      <c r="V3638" s="56">
        <v>0</v>
      </c>
      <c r="W3638" s="56">
        <v>0</v>
      </c>
      <c r="X3638" s="56">
        <v>0</v>
      </c>
      <c r="Y3638" s="56">
        <v>0</v>
      </c>
      <c r="Z3638" s="56">
        <v>0</v>
      </c>
      <c r="AA3638" s="56">
        <v>0</v>
      </c>
      <c r="AB3638" s="56">
        <v>0</v>
      </c>
      <c r="AC3638" s="56">
        <v>0</v>
      </c>
      <c r="AD3638" s="56">
        <v>0</v>
      </c>
      <c r="AE3638" s="56" t="s">
        <v>92</v>
      </c>
      <c r="AF3638" s="56" t="s">
        <v>21068</v>
      </c>
      <c r="AG3638" s="56" t="s">
        <v>8859</v>
      </c>
      <c r="AH3638" s="72">
        <v>45119</v>
      </c>
      <c r="AI3638" s="56"/>
      <c r="AJ3638" s="56"/>
      <c r="AK3638" s="56"/>
      <c r="AL3638" s="157">
        <v>45124</v>
      </c>
      <c r="AM3638" s="56"/>
      <c r="AN3638" s="204"/>
      <c r="AO3638" s="204"/>
    </row>
    <row r="3639" spans="1:55" ht="36.75" customHeight="1">
      <c r="A3639" s="46" t="s">
        <v>12471</v>
      </c>
      <c r="B3639" s="30" t="s">
        <v>55</v>
      </c>
      <c r="C3639" s="69" t="str">
        <f t="shared" si="314"/>
        <v>Closed</v>
      </c>
      <c r="D3639" s="203" t="s">
        <v>21145</v>
      </c>
      <c r="E3639" s="56" t="s">
        <v>21146</v>
      </c>
      <c r="F3639" s="56" t="s">
        <v>16429</v>
      </c>
      <c r="G3639" s="88">
        <f>DATE(2023,6,21)</f>
        <v>45098</v>
      </c>
      <c r="H3639" s="142">
        <v>1.5784722222222223</v>
      </c>
      <c r="I3639" s="56" t="s">
        <v>116</v>
      </c>
      <c r="J3639" s="56" t="s">
        <v>21147</v>
      </c>
      <c r="K3639" s="56" t="s">
        <v>425</v>
      </c>
      <c r="L3639" s="56" t="s">
        <v>21148</v>
      </c>
      <c r="M3639" s="56" t="s">
        <v>63</v>
      </c>
      <c r="N3639" s="56" t="s">
        <v>99</v>
      </c>
      <c r="O3639" s="56" t="s">
        <v>64</v>
      </c>
      <c r="P3639" s="56" t="s">
        <v>165</v>
      </c>
      <c r="Q3639" s="56" t="s">
        <v>21149</v>
      </c>
      <c r="R3639" s="56" t="s">
        <v>17369</v>
      </c>
      <c r="S3639" s="56">
        <v>0</v>
      </c>
      <c r="T3639" s="56">
        <v>0</v>
      </c>
      <c r="U3639" s="56">
        <v>0</v>
      </c>
      <c r="V3639" s="56">
        <v>0</v>
      </c>
      <c r="W3639" s="56">
        <v>0</v>
      </c>
      <c r="X3639" s="56">
        <v>0</v>
      </c>
      <c r="Y3639" s="56">
        <v>0</v>
      </c>
      <c r="Z3639" s="56">
        <v>0</v>
      </c>
      <c r="AA3639" s="56">
        <v>0</v>
      </c>
      <c r="AB3639" s="56">
        <v>0</v>
      </c>
      <c r="AC3639" s="56">
        <v>0</v>
      </c>
      <c r="AD3639" s="56">
        <v>0</v>
      </c>
      <c r="AE3639" s="56" t="s">
        <v>16435</v>
      </c>
      <c r="AF3639" s="56" t="s">
        <v>21150</v>
      </c>
      <c r="AG3639" s="56" t="s">
        <v>8859</v>
      </c>
      <c r="AH3639" s="72">
        <v>45098</v>
      </c>
      <c r="AI3639" s="56">
        <v>1</v>
      </c>
      <c r="AJ3639" s="56" t="s">
        <v>21151</v>
      </c>
      <c r="AK3639" s="63" t="s">
        <v>879</v>
      </c>
      <c r="AL3639" s="157">
        <v>45100</v>
      </c>
      <c r="AM3639" s="157">
        <v>45523</v>
      </c>
      <c r="AN3639" s="157">
        <v>45793</v>
      </c>
      <c r="AO3639" s="157">
        <v>45792</v>
      </c>
    </row>
    <row r="3640" spans="1:55" ht="36.75" customHeight="1">
      <c r="A3640" s="46" t="s">
        <v>12471</v>
      </c>
      <c r="B3640" s="30" t="s">
        <v>55</v>
      </c>
      <c r="C3640" s="69" t="str">
        <f t="shared" si="314"/>
        <v>Closed</v>
      </c>
      <c r="D3640" s="37" t="s">
        <v>21152</v>
      </c>
      <c r="E3640" s="55" t="s">
        <v>21153</v>
      </c>
      <c r="F3640" s="56" t="s">
        <v>9789</v>
      </c>
      <c r="G3640" s="88">
        <f>DATE(2023,6,22)</f>
        <v>45099</v>
      </c>
      <c r="H3640" s="142">
        <v>1.3958333333333333</v>
      </c>
      <c r="I3640" s="56" t="s">
        <v>2264</v>
      </c>
      <c r="J3640" s="268" t="s">
        <v>21154</v>
      </c>
      <c r="K3640" s="56" t="s">
        <v>9791</v>
      </c>
      <c r="L3640" s="56" t="s">
        <v>21155</v>
      </c>
      <c r="M3640" s="56" t="s">
        <v>63</v>
      </c>
      <c r="N3640" s="56" t="s">
        <v>99</v>
      </c>
      <c r="O3640" s="56" t="s">
        <v>77</v>
      </c>
      <c r="P3640" s="56" t="s">
        <v>78</v>
      </c>
      <c r="Q3640" s="56" t="s">
        <v>21156</v>
      </c>
      <c r="R3640" s="56" t="s">
        <v>20774</v>
      </c>
      <c r="S3640" s="56">
        <v>0</v>
      </c>
      <c r="T3640" s="56">
        <v>0</v>
      </c>
      <c r="U3640" s="56">
        <v>0</v>
      </c>
      <c r="V3640" s="56">
        <v>0</v>
      </c>
      <c r="W3640" s="56">
        <v>0</v>
      </c>
      <c r="X3640" s="56">
        <v>0</v>
      </c>
      <c r="Y3640" s="56">
        <v>0</v>
      </c>
      <c r="Z3640" s="56">
        <v>0</v>
      </c>
      <c r="AA3640" s="56">
        <v>0</v>
      </c>
      <c r="AB3640" s="56">
        <v>0</v>
      </c>
      <c r="AC3640" s="56">
        <v>0</v>
      </c>
      <c r="AD3640" s="56">
        <v>0</v>
      </c>
      <c r="AE3640" s="56" t="s">
        <v>92</v>
      </c>
      <c r="AF3640" s="56" t="s">
        <v>21068</v>
      </c>
      <c r="AG3640" s="56" t="s">
        <v>8859</v>
      </c>
      <c r="AH3640" s="72">
        <v>45105</v>
      </c>
      <c r="AI3640" s="56">
        <v>1</v>
      </c>
      <c r="AJ3640" s="56" t="s">
        <v>21157</v>
      </c>
      <c r="AK3640" s="56" t="s">
        <v>21158</v>
      </c>
      <c r="AL3640" s="157">
        <v>45118</v>
      </c>
      <c r="AM3640" s="56"/>
      <c r="AN3640" s="157">
        <v>45457</v>
      </c>
      <c r="AO3640" s="157">
        <v>45453</v>
      </c>
    </row>
    <row r="3641" spans="1:55" ht="36.75" customHeight="1">
      <c r="A3641" s="46" t="s">
        <v>12471</v>
      </c>
      <c r="B3641" s="30" t="s">
        <v>55</v>
      </c>
      <c r="C3641" s="69" t="str">
        <f t="shared" si="314"/>
        <v>Closed</v>
      </c>
      <c r="D3641" s="203" t="s">
        <v>21159</v>
      </c>
      <c r="E3641" s="55" t="s">
        <v>21160</v>
      </c>
      <c r="F3641" s="56" t="s">
        <v>16310</v>
      </c>
      <c r="G3641" s="88">
        <f>DATE(2023,6,25)</f>
        <v>45102</v>
      </c>
      <c r="H3641" s="142">
        <v>1.9166666666666665</v>
      </c>
      <c r="I3641" s="56" t="s">
        <v>6775</v>
      </c>
      <c r="J3641" s="56" t="s">
        <v>21161</v>
      </c>
      <c r="K3641" s="56" t="s">
        <v>118</v>
      </c>
      <c r="L3641" s="56" t="s">
        <v>21162</v>
      </c>
      <c r="M3641" s="56" t="s">
        <v>63</v>
      </c>
      <c r="N3641" s="56" t="s">
        <v>142</v>
      </c>
      <c r="O3641" s="56" t="s">
        <v>64</v>
      </c>
      <c r="P3641" s="56" t="s">
        <v>165</v>
      </c>
      <c r="Q3641" s="56" t="s">
        <v>15882</v>
      </c>
      <c r="R3641" s="56" t="s">
        <v>18214</v>
      </c>
      <c r="S3641" s="56">
        <v>0</v>
      </c>
      <c r="T3641" s="56">
        <v>0</v>
      </c>
      <c r="U3641" s="56">
        <v>0</v>
      </c>
      <c r="V3641" s="56">
        <v>0</v>
      </c>
      <c r="W3641" s="56">
        <v>0</v>
      </c>
      <c r="X3641" s="56">
        <v>0</v>
      </c>
      <c r="Y3641" s="56">
        <v>0</v>
      </c>
      <c r="Z3641" s="56">
        <v>0</v>
      </c>
      <c r="AA3641" s="56">
        <v>0</v>
      </c>
      <c r="AB3641" s="56">
        <v>0</v>
      </c>
      <c r="AC3641" s="56">
        <v>0</v>
      </c>
      <c r="AD3641" s="56">
        <v>0</v>
      </c>
      <c r="AE3641" s="56" t="s">
        <v>92</v>
      </c>
      <c r="AF3641" s="56" t="s">
        <v>21068</v>
      </c>
      <c r="AG3641" s="56" t="s">
        <v>14033</v>
      </c>
      <c r="AH3641" s="72">
        <v>45113</v>
      </c>
      <c r="AI3641" s="56">
        <v>6</v>
      </c>
      <c r="AJ3641" s="56" t="s">
        <v>21163</v>
      </c>
      <c r="AK3641" s="56" t="s">
        <v>21163</v>
      </c>
      <c r="AL3641" s="157">
        <v>45114</v>
      </c>
      <c r="AM3641" s="56"/>
      <c r="AN3641" s="157">
        <v>45729</v>
      </c>
      <c r="AO3641" s="157">
        <v>45729</v>
      </c>
    </row>
    <row r="3642" spans="1:55" ht="36.75" customHeight="1">
      <c r="A3642" s="46" t="s">
        <v>12471</v>
      </c>
      <c r="B3642" s="30" t="s">
        <v>55</v>
      </c>
      <c r="C3642" s="69" t="str">
        <f t="shared" si="314"/>
        <v>Closed</v>
      </c>
      <c r="D3642" s="37" t="s">
        <v>21164</v>
      </c>
      <c r="E3642" s="55" t="s">
        <v>21165</v>
      </c>
      <c r="F3642" s="56" t="s">
        <v>16429</v>
      </c>
      <c r="G3642" s="88">
        <f>DATE(2023,7,6)</f>
        <v>45113</v>
      </c>
      <c r="H3642" s="142">
        <v>1.3173611111111112</v>
      </c>
      <c r="I3642" s="56" t="s">
        <v>4610</v>
      </c>
      <c r="J3642" s="56" t="s">
        <v>21166</v>
      </c>
      <c r="K3642" s="56" t="s">
        <v>425</v>
      </c>
      <c r="L3642" s="56" t="s">
        <v>21167</v>
      </c>
      <c r="M3642" s="56" t="s">
        <v>63</v>
      </c>
      <c r="N3642" s="56" t="s">
        <v>142</v>
      </c>
      <c r="O3642" s="56" t="s">
        <v>77</v>
      </c>
      <c r="P3642" s="56" t="s">
        <v>21168</v>
      </c>
      <c r="Q3642" s="56" t="s">
        <v>21169</v>
      </c>
      <c r="R3642" s="56" t="s">
        <v>17369</v>
      </c>
      <c r="S3642" s="56">
        <v>0</v>
      </c>
      <c r="T3642" s="56">
        <v>0</v>
      </c>
      <c r="U3642" s="56">
        <v>0</v>
      </c>
      <c r="V3642" s="56">
        <v>0</v>
      </c>
      <c r="W3642" s="56">
        <v>0</v>
      </c>
      <c r="X3642" s="56">
        <v>0</v>
      </c>
      <c r="Y3642" s="56">
        <v>0</v>
      </c>
      <c r="Z3642" s="56">
        <v>0</v>
      </c>
      <c r="AA3642" s="56">
        <v>0</v>
      </c>
      <c r="AB3642" s="56">
        <v>0</v>
      </c>
      <c r="AC3642" s="56">
        <v>0</v>
      </c>
      <c r="AD3642" s="56">
        <v>0</v>
      </c>
      <c r="AE3642" s="56" t="s">
        <v>92</v>
      </c>
      <c r="AF3642" s="56" t="s">
        <v>19363</v>
      </c>
      <c r="AG3642" s="56" t="s">
        <v>16283</v>
      </c>
      <c r="AH3642" s="72">
        <v>45113</v>
      </c>
      <c r="AI3642" s="56">
        <v>0</v>
      </c>
      <c r="AJ3642" s="56" t="s">
        <v>21170</v>
      </c>
      <c r="AK3642" s="56" t="s">
        <v>18245</v>
      </c>
      <c r="AL3642" s="157">
        <v>45117</v>
      </c>
      <c r="AM3642" s="157">
        <v>45153</v>
      </c>
      <c r="AN3642" s="157">
        <v>45614</v>
      </c>
      <c r="AO3642" s="157">
        <v>45608</v>
      </c>
      <c r="AP3642" s="157">
        <v>45616</v>
      </c>
      <c r="AQ3642" s="157">
        <v>45617</v>
      </c>
      <c r="AR3642" s="157">
        <v>45618</v>
      </c>
      <c r="AS3642" s="157">
        <v>45619</v>
      </c>
      <c r="AT3642" s="157">
        <v>45620</v>
      </c>
      <c r="AU3642" s="157">
        <v>45621</v>
      </c>
      <c r="AV3642" s="157">
        <v>45622</v>
      </c>
      <c r="AW3642" s="157">
        <v>45623</v>
      </c>
      <c r="AX3642" s="157">
        <v>45624</v>
      </c>
      <c r="AY3642" s="157">
        <v>45625</v>
      </c>
      <c r="AZ3642" s="157">
        <v>45626</v>
      </c>
      <c r="BA3642" s="157">
        <v>45627</v>
      </c>
      <c r="BB3642" s="157">
        <v>45628</v>
      </c>
      <c r="BC3642" s="157">
        <v>45629</v>
      </c>
    </row>
    <row r="3643" spans="1:55" ht="36.75" customHeight="1">
      <c r="A3643" s="46" t="s">
        <v>12471</v>
      </c>
      <c r="B3643" s="30" t="s">
        <v>2124</v>
      </c>
      <c r="C3643" s="69" t="str">
        <f t="shared" si="314"/>
        <v>Open</v>
      </c>
      <c r="D3643" s="36" t="s">
        <v>21171</v>
      </c>
      <c r="E3643" s="55" t="s">
        <v>21172</v>
      </c>
      <c r="F3643" s="56" t="s">
        <v>17578</v>
      </c>
      <c r="G3643" s="88">
        <f>DATE(2023,7,9)</f>
        <v>45116</v>
      </c>
      <c r="H3643" s="142">
        <v>1.5104166666666665</v>
      </c>
      <c r="I3643" s="56" t="s">
        <v>73</v>
      </c>
      <c r="J3643" s="56" t="s">
        <v>21173</v>
      </c>
      <c r="K3643" s="56" t="s">
        <v>837</v>
      </c>
      <c r="L3643" s="56" t="s">
        <v>21174</v>
      </c>
      <c r="M3643" s="56" t="s">
        <v>63</v>
      </c>
      <c r="N3643" s="56" t="s">
        <v>142</v>
      </c>
      <c r="O3643" s="56" t="s">
        <v>64</v>
      </c>
      <c r="P3643" s="56" t="s">
        <v>78</v>
      </c>
      <c r="Q3643" s="56" t="s">
        <v>21175</v>
      </c>
      <c r="R3643" s="56" t="s">
        <v>840</v>
      </c>
      <c r="S3643" s="56">
        <v>0</v>
      </c>
      <c r="T3643" s="56">
        <v>0</v>
      </c>
      <c r="U3643" s="56">
        <v>0</v>
      </c>
      <c r="V3643" s="56">
        <v>0</v>
      </c>
      <c r="W3643" s="56">
        <v>0</v>
      </c>
      <c r="X3643" s="56">
        <v>0</v>
      </c>
      <c r="Y3643" s="56">
        <v>0</v>
      </c>
      <c r="Z3643" s="56">
        <v>0</v>
      </c>
      <c r="AA3643" s="56">
        <v>0</v>
      </c>
      <c r="AB3643" s="56">
        <v>0</v>
      </c>
      <c r="AC3643" s="56">
        <v>0</v>
      </c>
      <c r="AD3643" s="56">
        <v>0</v>
      </c>
      <c r="AE3643" s="56" t="s">
        <v>145</v>
      </c>
      <c r="AF3643" s="56" t="s">
        <v>21176</v>
      </c>
      <c r="AG3643" s="56" t="s">
        <v>6459</v>
      </c>
      <c r="AH3643" s="72">
        <v>45116</v>
      </c>
      <c r="AI3643" s="56"/>
      <c r="AJ3643" s="56"/>
      <c r="AK3643" s="56"/>
      <c r="AL3643" s="157">
        <v>45117</v>
      </c>
      <c r="AM3643" s="56"/>
      <c r="AN3643" s="204"/>
      <c r="AO3643" s="204"/>
    </row>
    <row r="3644" spans="1:55" ht="36.75" customHeight="1">
      <c r="A3644" s="46" t="s">
        <v>12471</v>
      </c>
      <c r="B3644" s="30" t="s">
        <v>55</v>
      </c>
      <c r="C3644" s="69" t="str">
        <f t="shared" si="314"/>
        <v>Closed</v>
      </c>
      <c r="D3644" s="37" t="s">
        <v>21177</v>
      </c>
      <c r="E3644" s="55" t="s">
        <v>21178</v>
      </c>
      <c r="F3644" s="56" t="s">
        <v>16429</v>
      </c>
      <c r="G3644" s="88">
        <f>DATE(2023,7,10)</f>
        <v>45117</v>
      </c>
      <c r="H3644" s="142">
        <v>1.2645833333333334</v>
      </c>
      <c r="I3644" s="56" t="s">
        <v>116</v>
      </c>
      <c r="J3644" s="56" t="s">
        <v>21179</v>
      </c>
      <c r="K3644" s="56" t="s">
        <v>425</v>
      </c>
      <c r="L3644" s="56" t="s">
        <v>21180</v>
      </c>
      <c r="M3644" s="56" t="s">
        <v>63</v>
      </c>
      <c r="N3644" s="56" t="s">
        <v>99</v>
      </c>
      <c r="O3644" s="56" t="s">
        <v>77</v>
      </c>
      <c r="P3644" s="56" t="s">
        <v>165</v>
      </c>
      <c r="Q3644" s="56" t="s">
        <v>18615</v>
      </c>
      <c r="R3644" s="56" t="s">
        <v>17369</v>
      </c>
      <c r="S3644" s="56">
        <v>0</v>
      </c>
      <c r="T3644" s="56">
        <v>0</v>
      </c>
      <c r="U3644" s="56">
        <v>0</v>
      </c>
      <c r="V3644" s="56">
        <v>0</v>
      </c>
      <c r="W3644" s="56">
        <v>0</v>
      </c>
      <c r="X3644" s="56">
        <v>0</v>
      </c>
      <c r="Y3644" s="56">
        <v>0</v>
      </c>
      <c r="Z3644" s="56">
        <v>1</v>
      </c>
      <c r="AA3644" s="56">
        <v>0</v>
      </c>
      <c r="AB3644" s="56">
        <v>0</v>
      </c>
      <c r="AC3644" s="56">
        <v>0</v>
      </c>
      <c r="AD3644" s="56">
        <v>1</v>
      </c>
      <c r="AE3644" s="56" t="s">
        <v>16435</v>
      </c>
      <c r="AF3644" s="56" t="s">
        <v>21181</v>
      </c>
      <c r="AG3644" s="56" t="s">
        <v>16283</v>
      </c>
      <c r="AH3644" s="72">
        <v>45117</v>
      </c>
      <c r="AI3644" s="56">
        <v>1</v>
      </c>
      <c r="AJ3644" s="56" t="s">
        <v>21182</v>
      </c>
      <c r="AK3644" s="56" t="s">
        <v>879</v>
      </c>
      <c r="AL3644" s="157">
        <v>45119</v>
      </c>
      <c r="AM3644" s="56"/>
      <c r="AN3644" s="157">
        <v>45457</v>
      </c>
      <c r="AO3644" s="157">
        <v>45455</v>
      </c>
    </row>
    <row r="3645" spans="1:55" ht="36.75" customHeight="1">
      <c r="A3645" s="46" t="s">
        <v>12471</v>
      </c>
      <c r="B3645" s="30" t="s">
        <v>55</v>
      </c>
      <c r="C3645" s="69" t="str">
        <f t="shared" si="314"/>
        <v>Closed</v>
      </c>
      <c r="D3645" s="37" t="s">
        <v>21183</v>
      </c>
      <c r="E3645" s="55" t="s">
        <v>21184</v>
      </c>
      <c r="F3645" s="56" t="s">
        <v>14753</v>
      </c>
      <c r="G3645" s="88">
        <f>DATE(2023,7,10)</f>
        <v>45117</v>
      </c>
      <c r="H3645" s="142">
        <v>1.5868055555555556</v>
      </c>
      <c r="I3645" s="56" t="s">
        <v>10375</v>
      </c>
      <c r="J3645" s="56" t="s">
        <v>21185</v>
      </c>
      <c r="K3645" s="56" t="s">
        <v>1772</v>
      </c>
      <c r="L3645" s="56" t="s">
        <v>21186</v>
      </c>
      <c r="M3645" s="56" t="s">
        <v>63</v>
      </c>
      <c r="N3645" s="56" t="s">
        <v>142</v>
      </c>
      <c r="O3645" s="56" t="s">
        <v>64</v>
      </c>
      <c r="P3645" s="56" t="s">
        <v>86</v>
      </c>
      <c r="Q3645" s="56" t="s">
        <v>20116</v>
      </c>
      <c r="R3645" s="56" t="s">
        <v>1775</v>
      </c>
      <c r="S3645" s="56">
        <v>0</v>
      </c>
      <c r="T3645" s="56">
        <v>0</v>
      </c>
      <c r="U3645" s="56">
        <v>0</v>
      </c>
      <c r="V3645" s="56">
        <v>0</v>
      </c>
      <c r="W3645" s="56">
        <v>1</v>
      </c>
      <c r="X3645" s="56">
        <v>1</v>
      </c>
      <c r="Y3645" s="56">
        <v>0</v>
      </c>
      <c r="Z3645" s="56">
        <v>0</v>
      </c>
      <c r="AA3645" s="56">
        <v>0</v>
      </c>
      <c r="AB3645" s="56">
        <v>0</v>
      </c>
      <c r="AC3645" s="56">
        <v>0</v>
      </c>
      <c r="AD3645" s="56">
        <v>0</v>
      </c>
      <c r="AE3645" s="56" t="s">
        <v>92</v>
      </c>
      <c r="AF3645" s="56" t="s">
        <v>21187</v>
      </c>
      <c r="AG3645" s="56" t="s">
        <v>6459</v>
      </c>
      <c r="AH3645" s="72">
        <v>45147</v>
      </c>
      <c r="AI3645" s="56">
        <v>3</v>
      </c>
      <c r="AJ3645" s="56" t="s">
        <v>21188</v>
      </c>
      <c r="AK3645" s="56" t="s">
        <v>21189</v>
      </c>
      <c r="AL3645" s="157">
        <v>45148</v>
      </c>
      <c r="AM3645" s="56"/>
      <c r="AN3645" s="157">
        <v>45523</v>
      </c>
      <c r="AO3645" s="157">
        <v>45492</v>
      </c>
      <c r="AP3645" s="56"/>
      <c r="AQ3645" s="56"/>
      <c r="AR3645" s="56"/>
      <c r="AS3645" s="56"/>
      <c r="AT3645" s="56"/>
      <c r="AU3645" s="56"/>
      <c r="AV3645" s="56"/>
      <c r="AW3645" s="56"/>
      <c r="AX3645" s="56"/>
      <c r="AY3645" s="56"/>
      <c r="AZ3645" s="56"/>
      <c r="BA3645" s="56"/>
      <c r="BB3645" s="56"/>
      <c r="BC3645" s="56"/>
    </row>
    <row r="3646" spans="1:55" ht="36.75" customHeight="1">
      <c r="A3646" s="46" t="s">
        <v>12471</v>
      </c>
      <c r="B3646" s="30" t="s">
        <v>55</v>
      </c>
      <c r="C3646" s="69" t="str">
        <f t="shared" si="314"/>
        <v>Closed</v>
      </c>
      <c r="D3646" s="37" t="s">
        <v>21190</v>
      </c>
      <c r="E3646" s="55" t="s">
        <v>21191</v>
      </c>
      <c r="F3646" s="56" t="s">
        <v>14753</v>
      </c>
      <c r="G3646" s="88">
        <f>DATE(2023,7,11)</f>
        <v>45118</v>
      </c>
      <c r="H3646" s="142">
        <v>1.8541666666666665</v>
      </c>
      <c r="I3646" s="56" t="s">
        <v>2264</v>
      </c>
      <c r="J3646" s="56" t="s">
        <v>21192</v>
      </c>
      <c r="K3646" s="56" t="s">
        <v>1772</v>
      </c>
      <c r="L3646" s="56" t="s">
        <v>21193</v>
      </c>
      <c r="M3646" s="56" t="s">
        <v>63</v>
      </c>
      <c r="N3646" s="56" t="s">
        <v>142</v>
      </c>
      <c r="O3646" s="56" t="s">
        <v>64</v>
      </c>
      <c r="P3646" s="56" t="s">
        <v>165</v>
      </c>
      <c r="Q3646" s="56" t="s">
        <v>16086</v>
      </c>
      <c r="R3646" s="56" t="s">
        <v>1775</v>
      </c>
      <c r="S3646" s="56">
        <v>0</v>
      </c>
      <c r="T3646" s="56">
        <v>0</v>
      </c>
      <c r="U3646" s="56">
        <v>0</v>
      </c>
      <c r="V3646" s="56">
        <v>0</v>
      </c>
      <c r="W3646" s="56">
        <v>0</v>
      </c>
      <c r="X3646" s="56">
        <v>0</v>
      </c>
      <c r="Y3646" s="56">
        <v>0</v>
      </c>
      <c r="Z3646" s="56">
        <v>0</v>
      </c>
      <c r="AA3646" s="56">
        <v>0</v>
      </c>
      <c r="AB3646" s="56">
        <v>0</v>
      </c>
      <c r="AC3646" s="56">
        <v>0</v>
      </c>
      <c r="AD3646" s="56">
        <v>0</v>
      </c>
      <c r="AE3646" s="56" t="s">
        <v>92</v>
      </c>
      <c r="AF3646" s="56" t="s">
        <v>21194</v>
      </c>
      <c r="AG3646" s="56" t="s">
        <v>8859</v>
      </c>
      <c r="AH3646" s="72">
        <v>45147</v>
      </c>
      <c r="AI3646" s="56">
        <v>2</v>
      </c>
      <c r="AJ3646" s="56" t="s">
        <v>21195</v>
      </c>
      <c r="AK3646" s="56" t="s">
        <v>21196</v>
      </c>
      <c r="AL3646" s="157">
        <v>45148</v>
      </c>
      <c r="AM3646" s="56"/>
      <c r="AN3646" s="157">
        <v>45604</v>
      </c>
      <c r="AO3646" s="157">
        <v>45605</v>
      </c>
      <c r="AP3646" s="56"/>
      <c r="AQ3646" s="56"/>
      <c r="AR3646" s="56"/>
      <c r="AS3646" s="56"/>
      <c r="AT3646" s="56"/>
      <c r="AU3646" s="56"/>
      <c r="AV3646" s="56"/>
      <c r="AW3646" s="56"/>
      <c r="AX3646" s="56"/>
      <c r="AY3646" s="56"/>
      <c r="AZ3646" s="56"/>
      <c r="BA3646" s="56"/>
      <c r="BB3646" s="56"/>
      <c r="BC3646" s="56"/>
    </row>
    <row r="3647" spans="1:55" ht="36.75" customHeight="1">
      <c r="A3647" s="46" t="s">
        <v>12471</v>
      </c>
      <c r="B3647" s="30" t="s">
        <v>2124</v>
      </c>
      <c r="C3647" s="69" t="str">
        <f t="shared" si="314"/>
        <v>Open</v>
      </c>
      <c r="D3647" s="36" t="s">
        <v>21197</v>
      </c>
      <c r="E3647" s="55" t="s">
        <v>21198</v>
      </c>
      <c r="F3647" s="56" t="s">
        <v>17578</v>
      </c>
      <c r="G3647" s="88">
        <f>DATE(2023,7,17)</f>
        <v>45124</v>
      </c>
      <c r="H3647" s="142">
        <v>1.5520833333333335</v>
      </c>
      <c r="I3647" s="56" t="s">
        <v>125</v>
      </c>
      <c r="J3647" s="56" t="s">
        <v>21199</v>
      </c>
      <c r="K3647" s="56" t="s">
        <v>837</v>
      </c>
      <c r="L3647" s="56" t="s">
        <v>21200</v>
      </c>
      <c r="M3647" s="56" t="s">
        <v>63</v>
      </c>
      <c r="N3647" s="56" t="s">
        <v>99</v>
      </c>
      <c r="O3647" s="56" t="s">
        <v>77</v>
      </c>
      <c r="P3647" s="56" t="s">
        <v>165</v>
      </c>
      <c r="Q3647" s="56" t="s">
        <v>2162</v>
      </c>
      <c r="R3647" s="56" t="s">
        <v>840</v>
      </c>
      <c r="S3647" s="56"/>
      <c r="T3647" s="56"/>
      <c r="U3647" s="56"/>
      <c r="V3647" s="56"/>
      <c r="W3647" s="56"/>
      <c r="X3647" s="56">
        <v>0</v>
      </c>
      <c r="Y3647" s="56"/>
      <c r="Z3647" s="56"/>
      <c r="AA3647" s="56"/>
      <c r="AB3647" s="56"/>
      <c r="AC3647" s="56"/>
      <c r="AD3647" s="56">
        <v>0</v>
      </c>
      <c r="AE3647" s="56" t="s">
        <v>92</v>
      </c>
      <c r="AF3647" s="56" t="s">
        <v>21201</v>
      </c>
      <c r="AG3647" s="56" t="s">
        <v>8859</v>
      </c>
      <c r="AH3647" s="72">
        <v>45124</v>
      </c>
      <c r="AI3647" s="56"/>
      <c r="AJ3647" s="56"/>
      <c r="AK3647" s="56"/>
      <c r="AL3647" s="157">
        <v>45146</v>
      </c>
      <c r="AM3647" s="56"/>
      <c r="AN3647" s="204"/>
      <c r="AO3647" s="204"/>
    </row>
    <row r="3648" spans="1:55" ht="36.75" customHeight="1">
      <c r="A3648" s="46" t="s">
        <v>12471</v>
      </c>
      <c r="B3648" s="30" t="s">
        <v>55</v>
      </c>
      <c r="C3648" s="69" t="str">
        <f t="shared" si="314"/>
        <v>Closed</v>
      </c>
      <c r="D3648" s="37" t="s">
        <v>21202</v>
      </c>
      <c r="E3648" s="55" t="s">
        <v>21203</v>
      </c>
      <c r="F3648" s="56" t="s">
        <v>16429</v>
      </c>
      <c r="G3648" s="88">
        <f>DATE(2023,7,18)</f>
        <v>45125</v>
      </c>
      <c r="H3648" s="142">
        <v>1.6145833333333335</v>
      </c>
      <c r="I3648" s="56" t="s">
        <v>21204</v>
      </c>
      <c r="J3648" s="56" t="s">
        <v>21205</v>
      </c>
      <c r="K3648" s="56" t="s">
        <v>425</v>
      </c>
      <c r="L3648" s="56" t="s">
        <v>21206</v>
      </c>
      <c r="M3648" s="56" t="s">
        <v>63</v>
      </c>
      <c r="N3648" s="56" t="s">
        <v>142</v>
      </c>
      <c r="O3648" s="56" t="s">
        <v>21207</v>
      </c>
      <c r="P3648" s="56" t="s">
        <v>91</v>
      </c>
      <c r="Q3648" s="56" t="s">
        <v>21208</v>
      </c>
      <c r="R3648" s="56" t="s">
        <v>21208</v>
      </c>
      <c r="S3648" s="56">
        <v>0</v>
      </c>
      <c r="T3648" s="56">
        <v>0</v>
      </c>
      <c r="U3648" s="56">
        <v>0</v>
      </c>
      <c r="V3648" s="56">
        <v>0</v>
      </c>
      <c r="W3648" s="56">
        <v>0</v>
      </c>
      <c r="X3648" s="56">
        <v>0</v>
      </c>
      <c r="Y3648" s="56">
        <v>0</v>
      </c>
      <c r="Z3648" s="56">
        <v>0</v>
      </c>
      <c r="AA3648" s="56">
        <v>0</v>
      </c>
      <c r="AB3648" s="56">
        <v>0</v>
      </c>
      <c r="AC3648" s="56">
        <v>0</v>
      </c>
      <c r="AD3648" s="56">
        <v>0</v>
      </c>
      <c r="AE3648" s="56" t="s">
        <v>145</v>
      </c>
      <c r="AF3648" s="56" t="s">
        <v>21209</v>
      </c>
      <c r="AG3648" s="56" t="s">
        <v>6459</v>
      </c>
      <c r="AH3648" s="72">
        <v>45125</v>
      </c>
      <c r="AI3648" s="56">
        <v>0</v>
      </c>
      <c r="AJ3648" s="56" t="s">
        <v>21210</v>
      </c>
      <c r="AK3648" s="56" t="s">
        <v>879</v>
      </c>
      <c r="AL3648" s="157">
        <v>45128</v>
      </c>
      <c r="AM3648" s="56"/>
      <c r="AN3648" s="157">
        <v>45483</v>
      </c>
      <c r="AO3648" s="157">
        <v>45482</v>
      </c>
      <c r="AP3648" s="157">
        <v>45485</v>
      </c>
      <c r="AQ3648" s="157">
        <v>45486</v>
      </c>
      <c r="AR3648" s="157">
        <v>45487</v>
      </c>
      <c r="AS3648" s="157">
        <v>45488</v>
      </c>
      <c r="AT3648" s="157">
        <v>45489</v>
      </c>
      <c r="AU3648" s="157">
        <v>45490</v>
      </c>
      <c r="AV3648" s="157">
        <v>45491</v>
      </c>
      <c r="AW3648" s="157">
        <v>45492</v>
      </c>
      <c r="AX3648" s="157">
        <v>45493</v>
      </c>
      <c r="AY3648" s="157">
        <v>45494</v>
      </c>
      <c r="AZ3648" s="157">
        <v>45495</v>
      </c>
      <c r="BA3648" s="157">
        <v>45496</v>
      </c>
      <c r="BB3648" s="157">
        <v>45497</v>
      </c>
      <c r="BC3648" s="157">
        <v>45498</v>
      </c>
    </row>
    <row r="3649" spans="1:55" ht="36.75" customHeight="1">
      <c r="A3649" s="46" t="s">
        <v>12471</v>
      </c>
      <c r="B3649" s="30" t="s">
        <v>55</v>
      </c>
      <c r="C3649" s="69" t="str">
        <f t="shared" si="314"/>
        <v>Closed</v>
      </c>
      <c r="D3649" s="58" t="s">
        <v>21211</v>
      </c>
      <c r="E3649" s="55" t="s">
        <v>21212</v>
      </c>
      <c r="F3649" s="56" t="s">
        <v>17773</v>
      </c>
      <c r="G3649" s="88">
        <f>DATE(2023,7,20)</f>
        <v>45127</v>
      </c>
      <c r="H3649" s="142">
        <v>1.65625</v>
      </c>
      <c r="I3649" s="56" t="s">
        <v>125</v>
      </c>
      <c r="J3649" s="56" t="s">
        <v>21213</v>
      </c>
      <c r="K3649" s="56" t="s">
        <v>2603</v>
      </c>
      <c r="L3649" s="56" t="s">
        <v>21214</v>
      </c>
      <c r="M3649" s="56" t="s">
        <v>63</v>
      </c>
      <c r="N3649" s="56" t="s">
        <v>99</v>
      </c>
      <c r="O3649" s="56" t="s">
        <v>77</v>
      </c>
      <c r="P3649" s="56" t="s">
        <v>165</v>
      </c>
      <c r="Q3649" s="56" t="s">
        <v>21215</v>
      </c>
      <c r="R3649" s="56" t="s">
        <v>20752</v>
      </c>
      <c r="S3649" s="56">
        <v>0</v>
      </c>
      <c r="T3649" s="56">
        <v>0</v>
      </c>
      <c r="U3649" s="56">
        <v>0</v>
      </c>
      <c r="V3649" s="56">
        <v>0</v>
      </c>
      <c r="W3649" s="56">
        <v>0</v>
      </c>
      <c r="X3649" s="56">
        <v>0</v>
      </c>
      <c r="Y3649" s="56">
        <v>0</v>
      </c>
      <c r="Z3649" s="56">
        <v>0</v>
      </c>
      <c r="AA3649" s="56">
        <v>0</v>
      </c>
      <c r="AB3649" s="56">
        <v>0</v>
      </c>
      <c r="AC3649" s="56">
        <v>0</v>
      </c>
      <c r="AD3649" s="56">
        <v>0</v>
      </c>
      <c r="AE3649" s="56" t="s">
        <v>92</v>
      </c>
      <c r="AF3649" s="56" t="s">
        <v>21216</v>
      </c>
      <c r="AG3649" s="56" t="s">
        <v>8859</v>
      </c>
      <c r="AH3649" s="72">
        <v>45131</v>
      </c>
      <c r="AI3649" s="56">
        <v>6</v>
      </c>
      <c r="AJ3649" s="56" t="s">
        <v>21217</v>
      </c>
      <c r="AK3649" s="56" t="s">
        <v>21218</v>
      </c>
      <c r="AL3649" s="157">
        <v>45140</v>
      </c>
      <c r="AM3649" s="56"/>
      <c r="AN3649" s="195">
        <v>45212</v>
      </c>
      <c r="AO3649" s="195">
        <v>45184</v>
      </c>
      <c r="AP3649" s="56"/>
      <c r="AQ3649" s="56"/>
      <c r="AR3649" s="56"/>
      <c r="AS3649" s="56"/>
      <c r="AT3649" s="56"/>
      <c r="AU3649" s="56"/>
      <c r="AV3649" s="56"/>
      <c r="AW3649" s="56"/>
      <c r="AX3649" s="56"/>
      <c r="AY3649" s="56"/>
      <c r="AZ3649" s="56"/>
      <c r="BA3649" s="56"/>
      <c r="BB3649" s="56"/>
      <c r="BC3649" s="56"/>
    </row>
    <row r="3650" spans="1:55" ht="36.75" customHeight="1">
      <c r="A3650" s="46" t="s">
        <v>12471</v>
      </c>
      <c r="B3650" s="30" t="s">
        <v>55</v>
      </c>
      <c r="C3650" s="69" t="str">
        <f t="shared" si="314"/>
        <v>Closed</v>
      </c>
      <c r="D3650" s="37" t="s">
        <v>21219</v>
      </c>
      <c r="E3650" s="55" t="s">
        <v>21220</v>
      </c>
      <c r="F3650" s="56" t="s">
        <v>17682</v>
      </c>
      <c r="G3650" s="88">
        <f>DATE(2023,8,1)</f>
        <v>45139</v>
      </c>
      <c r="H3650" s="142">
        <v>1.375</v>
      </c>
      <c r="I3650" s="56" t="s">
        <v>73</v>
      </c>
      <c r="J3650" s="56" t="s">
        <v>21221</v>
      </c>
      <c r="K3650" s="56" t="s">
        <v>1574</v>
      </c>
      <c r="L3650" s="56" t="s">
        <v>21222</v>
      </c>
      <c r="M3650" s="56" t="s">
        <v>63</v>
      </c>
      <c r="N3650" s="56" t="s">
        <v>142</v>
      </c>
      <c r="O3650" s="56" t="s">
        <v>64</v>
      </c>
      <c r="P3650" s="56" t="s">
        <v>301</v>
      </c>
      <c r="Q3650" s="56" t="s">
        <v>19007</v>
      </c>
      <c r="R3650" s="56" t="s">
        <v>19007</v>
      </c>
      <c r="S3650" s="56">
        <v>0</v>
      </c>
      <c r="T3650" s="56">
        <v>0</v>
      </c>
      <c r="U3650" s="56">
        <v>0</v>
      </c>
      <c r="V3650" s="56">
        <v>0</v>
      </c>
      <c r="W3650" s="56">
        <v>0</v>
      </c>
      <c r="X3650" s="56">
        <v>0</v>
      </c>
      <c r="Y3650" s="56">
        <v>0</v>
      </c>
      <c r="Z3650" s="56">
        <v>0</v>
      </c>
      <c r="AA3650" s="56">
        <v>0</v>
      </c>
      <c r="AB3650" s="56">
        <v>0</v>
      </c>
      <c r="AC3650" s="56">
        <v>0</v>
      </c>
      <c r="AD3650" s="56">
        <v>0</v>
      </c>
      <c r="AE3650" s="56" t="s">
        <v>92</v>
      </c>
      <c r="AF3650" s="56" t="s">
        <v>21223</v>
      </c>
      <c r="AG3650" s="56" t="s">
        <v>8859</v>
      </c>
      <c r="AH3650" s="72">
        <v>45140</v>
      </c>
      <c r="AI3650" s="56">
        <v>2</v>
      </c>
      <c r="AJ3650" s="56" t="s">
        <v>21224</v>
      </c>
      <c r="AK3650" s="56" t="s">
        <v>21225</v>
      </c>
      <c r="AL3650" s="157">
        <v>45140</v>
      </c>
      <c r="AM3650" s="56"/>
      <c r="AN3650" s="157">
        <v>45509</v>
      </c>
      <c r="AO3650" s="157">
        <v>45504</v>
      </c>
    </row>
    <row r="3651" spans="1:55" ht="36.75" customHeight="1">
      <c r="A3651" s="46" t="s">
        <v>12471</v>
      </c>
      <c r="B3651" s="30" t="s">
        <v>55</v>
      </c>
      <c r="C3651" s="69" t="str">
        <f t="shared" si="314"/>
        <v>Closed</v>
      </c>
      <c r="D3651" s="37" t="s">
        <v>21226</v>
      </c>
      <c r="E3651" s="55" t="s">
        <v>21227</v>
      </c>
      <c r="F3651" s="56" t="s">
        <v>16429</v>
      </c>
      <c r="G3651" s="88">
        <f>DATE(2023,8,4)</f>
        <v>45142</v>
      </c>
      <c r="H3651" s="142">
        <v>1.0104166666666667</v>
      </c>
      <c r="I3651" s="56" t="s">
        <v>4610</v>
      </c>
      <c r="J3651" s="56" t="s">
        <v>21228</v>
      </c>
      <c r="K3651" s="56" t="s">
        <v>425</v>
      </c>
      <c r="L3651" s="56" t="s">
        <v>21229</v>
      </c>
      <c r="M3651" s="56" t="s">
        <v>63</v>
      </c>
      <c r="N3651" s="56" t="s">
        <v>142</v>
      </c>
      <c r="O3651" s="56" t="s">
        <v>77</v>
      </c>
      <c r="P3651" s="56" t="s">
        <v>78</v>
      </c>
      <c r="Q3651" s="56" t="s">
        <v>18098</v>
      </c>
      <c r="R3651" s="56" t="s">
        <v>17369</v>
      </c>
      <c r="S3651" s="56">
        <v>0</v>
      </c>
      <c r="T3651" s="56">
        <v>0</v>
      </c>
      <c r="U3651" s="56">
        <v>0</v>
      </c>
      <c r="V3651" s="56">
        <v>0</v>
      </c>
      <c r="W3651" s="56">
        <v>0</v>
      </c>
      <c r="X3651" s="56">
        <v>0</v>
      </c>
      <c r="Y3651" s="56">
        <v>0</v>
      </c>
      <c r="Z3651" s="56">
        <v>0</v>
      </c>
      <c r="AA3651" s="56">
        <v>0</v>
      </c>
      <c r="AB3651" s="56">
        <v>0</v>
      </c>
      <c r="AC3651" s="56">
        <v>0</v>
      </c>
      <c r="AD3651" s="56">
        <v>0</v>
      </c>
      <c r="AE3651" s="56" t="s">
        <v>92</v>
      </c>
      <c r="AF3651" s="56" t="s">
        <v>21230</v>
      </c>
      <c r="AG3651" s="56" t="s">
        <v>16283</v>
      </c>
      <c r="AH3651" s="72">
        <v>45142</v>
      </c>
      <c r="AI3651" s="56">
        <v>1</v>
      </c>
      <c r="AJ3651" s="56" t="s">
        <v>21231</v>
      </c>
      <c r="AK3651" s="56" t="s">
        <v>18245</v>
      </c>
      <c r="AL3651" s="157">
        <v>45144</v>
      </c>
      <c r="AM3651" s="56"/>
      <c r="AN3651" s="157">
        <v>45506</v>
      </c>
      <c r="AO3651" s="157">
        <v>45503</v>
      </c>
    </row>
    <row r="3652" spans="1:55" ht="36.75" customHeight="1">
      <c r="A3652" s="46" t="s">
        <v>12471</v>
      </c>
      <c r="B3652" s="30" t="s">
        <v>55</v>
      </c>
      <c r="C3652" s="69" t="str">
        <f t="shared" si="314"/>
        <v>Closed</v>
      </c>
      <c r="D3652" s="37" t="s">
        <v>21232</v>
      </c>
      <c r="E3652" s="55" t="s">
        <v>21233</v>
      </c>
      <c r="F3652" s="56" t="s">
        <v>17682</v>
      </c>
      <c r="G3652" s="88">
        <f>DATE(2023,8,5)</f>
        <v>45143</v>
      </c>
      <c r="H3652" s="142">
        <v>1.4965277777777777</v>
      </c>
      <c r="I3652" s="56" t="s">
        <v>125</v>
      </c>
      <c r="J3652" s="56" t="s">
        <v>21234</v>
      </c>
      <c r="K3652" s="56" t="s">
        <v>1574</v>
      </c>
      <c r="L3652" s="56" t="s">
        <v>21235</v>
      </c>
      <c r="M3652" s="56" t="s">
        <v>63</v>
      </c>
      <c r="N3652" s="56" t="s">
        <v>142</v>
      </c>
      <c r="O3652" s="56" t="s">
        <v>77</v>
      </c>
      <c r="P3652" s="56" t="s">
        <v>78</v>
      </c>
      <c r="Q3652" s="56" t="s">
        <v>19336</v>
      </c>
      <c r="R3652" s="56" t="s">
        <v>19007</v>
      </c>
      <c r="S3652" s="56">
        <v>0</v>
      </c>
      <c r="T3652" s="56">
        <v>0</v>
      </c>
      <c r="U3652" s="56">
        <v>0</v>
      </c>
      <c r="V3652" s="56">
        <v>0</v>
      </c>
      <c r="W3652" s="56">
        <v>0</v>
      </c>
      <c r="X3652" s="56">
        <v>0</v>
      </c>
      <c r="Y3652" s="56">
        <v>0</v>
      </c>
      <c r="Z3652" s="56">
        <v>0</v>
      </c>
      <c r="AA3652" s="56">
        <v>0</v>
      </c>
      <c r="AB3652" s="56">
        <v>0</v>
      </c>
      <c r="AC3652" s="56">
        <v>0</v>
      </c>
      <c r="AD3652" s="56">
        <v>0</v>
      </c>
      <c r="AE3652" s="56" t="s">
        <v>92</v>
      </c>
      <c r="AF3652" s="56" t="s">
        <v>21236</v>
      </c>
      <c r="AG3652" s="56" t="s">
        <v>8859</v>
      </c>
      <c r="AH3652" s="72">
        <v>45145</v>
      </c>
      <c r="AI3652" s="56">
        <v>0</v>
      </c>
      <c r="AJ3652" s="56" t="s">
        <v>21237</v>
      </c>
      <c r="AK3652" s="56" t="s">
        <v>21238</v>
      </c>
      <c r="AL3652" s="157">
        <v>45146</v>
      </c>
      <c r="AM3652" s="56"/>
      <c r="AN3652" s="157">
        <v>45513</v>
      </c>
      <c r="AO3652" s="157">
        <v>45497</v>
      </c>
      <c r="AP3652" s="157">
        <v>45149</v>
      </c>
      <c r="AQ3652" s="157">
        <v>45150</v>
      </c>
      <c r="AR3652" s="157">
        <v>45151</v>
      </c>
      <c r="AS3652" s="157">
        <v>45152</v>
      </c>
      <c r="AT3652" s="157">
        <v>45153</v>
      </c>
      <c r="AU3652" s="157">
        <v>45154</v>
      </c>
      <c r="AV3652" s="157">
        <v>45155</v>
      </c>
      <c r="AW3652" s="157">
        <v>45156</v>
      </c>
      <c r="AX3652" s="157">
        <v>45157</v>
      </c>
      <c r="AY3652" s="157">
        <v>45158</v>
      </c>
      <c r="AZ3652" s="157">
        <v>45159</v>
      </c>
      <c r="BA3652" s="157">
        <v>45160</v>
      </c>
      <c r="BB3652" s="157">
        <v>45161</v>
      </c>
      <c r="BC3652" s="157">
        <v>45162</v>
      </c>
    </row>
    <row r="3653" spans="1:55" ht="36.75" customHeight="1">
      <c r="A3653" s="46" t="s">
        <v>12471</v>
      </c>
      <c r="B3653" s="30" t="s">
        <v>55</v>
      </c>
      <c r="C3653" s="69" t="str">
        <f t="shared" si="314"/>
        <v>Closed</v>
      </c>
      <c r="D3653" s="37" t="s">
        <v>21239</v>
      </c>
      <c r="E3653" s="55" t="s">
        <v>21240</v>
      </c>
      <c r="F3653" s="56" t="s">
        <v>18070</v>
      </c>
      <c r="G3653" s="88">
        <f>DATE(2023,8,7)</f>
        <v>45145</v>
      </c>
      <c r="H3653" s="142">
        <v>1.5347222222222223</v>
      </c>
      <c r="I3653" s="56" t="s">
        <v>73</v>
      </c>
      <c r="J3653" s="56" t="s">
        <v>21241</v>
      </c>
      <c r="K3653" s="56" t="s">
        <v>140</v>
      </c>
      <c r="L3653" s="56" t="s">
        <v>21242</v>
      </c>
      <c r="M3653" s="56" t="s">
        <v>63</v>
      </c>
      <c r="N3653" s="56" t="s">
        <v>99</v>
      </c>
      <c r="O3653" s="56" t="s">
        <v>64</v>
      </c>
      <c r="P3653" s="56" t="s">
        <v>65</v>
      </c>
      <c r="Q3653" s="56" t="s">
        <v>2034</v>
      </c>
      <c r="R3653" s="56" t="s">
        <v>18530</v>
      </c>
      <c r="S3653" s="56">
        <v>0</v>
      </c>
      <c r="T3653" s="56">
        <v>0</v>
      </c>
      <c r="U3653" s="56">
        <v>0</v>
      </c>
      <c r="V3653" s="56">
        <v>0</v>
      </c>
      <c r="W3653" s="56">
        <v>0</v>
      </c>
      <c r="X3653" s="56">
        <v>0</v>
      </c>
      <c r="Y3653" s="56">
        <v>0</v>
      </c>
      <c r="Z3653" s="56">
        <v>0</v>
      </c>
      <c r="AA3653" s="56">
        <v>0</v>
      </c>
      <c r="AB3653" s="56">
        <v>0</v>
      </c>
      <c r="AC3653" s="56">
        <v>0</v>
      </c>
      <c r="AD3653" s="56">
        <v>0</v>
      </c>
      <c r="AE3653" s="56" t="s">
        <v>394</v>
      </c>
      <c r="AF3653" s="56" t="s">
        <v>21243</v>
      </c>
      <c r="AG3653" s="56" t="s">
        <v>8859</v>
      </c>
      <c r="AH3653" s="72">
        <v>45146</v>
      </c>
      <c r="AI3653" s="56">
        <v>7</v>
      </c>
      <c r="AJ3653" s="56" t="s">
        <v>21244</v>
      </c>
      <c r="AK3653" s="56" t="s">
        <v>21245</v>
      </c>
      <c r="AL3653" s="157">
        <v>45147</v>
      </c>
      <c r="AM3653" s="157">
        <v>45467</v>
      </c>
      <c r="AN3653" s="157">
        <v>45594</v>
      </c>
      <c r="AO3653" s="157">
        <v>45593</v>
      </c>
      <c r="AP3653" s="157">
        <v>45596</v>
      </c>
      <c r="AQ3653" s="157">
        <v>45597</v>
      </c>
      <c r="AR3653" s="157">
        <v>45598</v>
      </c>
      <c r="AS3653" s="157">
        <v>45599</v>
      </c>
      <c r="AT3653" s="157">
        <v>45600</v>
      </c>
      <c r="AU3653" s="157">
        <v>45601</v>
      </c>
      <c r="AV3653" s="157">
        <v>45602</v>
      </c>
      <c r="AW3653" s="157">
        <v>45603</v>
      </c>
      <c r="AX3653" s="157">
        <v>45604</v>
      </c>
      <c r="AY3653" s="157">
        <v>45605</v>
      </c>
      <c r="AZ3653" s="157">
        <v>45606</v>
      </c>
      <c r="BA3653" s="157">
        <v>45607</v>
      </c>
      <c r="BB3653" s="157">
        <v>45608</v>
      </c>
      <c r="BC3653" s="157">
        <v>45609</v>
      </c>
    </row>
    <row r="3654" spans="1:55" ht="36.75" customHeight="1">
      <c r="A3654" s="46" t="s">
        <v>12471</v>
      </c>
      <c r="B3654" s="30" t="s">
        <v>55</v>
      </c>
      <c r="C3654" s="69" t="str">
        <f t="shared" si="314"/>
        <v>Closed</v>
      </c>
      <c r="D3654" s="37" t="s">
        <v>21246</v>
      </c>
      <c r="E3654" s="55" t="s">
        <v>21247</v>
      </c>
      <c r="F3654" s="56" t="s">
        <v>17682</v>
      </c>
      <c r="G3654" s="88">
        <f>DATE(2023,8,9)</f>
        <v>45147</v>
      </c>
      <c r="H3654" s="142">
        <v>1.6180555555555556</v>
      </c>
      <c r="I3654" s="56" t="s">
        <v>73</v>
      </c>
      <c r="J3654" s="56" t="s">
        <v>21248</v>
      </c>
      <c r="K3654" s="56" t="s">
        <v>1574</v>
      </c>
      <c r="L3654" s="56" t="s">
        <v>21249</v>
      </c>
      <c r="M3654" s="56" t="s">
        <v>63</v>
      </c>
      <c r="N3654" s="56" t="s">
        <v>99</v>
      </c>
      <c r="O3654" s="56" t="s">
        <v>77</v>
      </c>
      <c r="P3654" s="56" t="s">
        <v>78</v>
      </c>
      <c r="Q3654" s="56" t="s">
        <v>18142</v>
      </c>
      <c r="R3654" s="56" t="s">
        <v>21250</v>
      </c>
      <c r="S3654" s="56">
        <v>0</v>
      </c>
      <c r="T3654" s="56">
        <v>0</v>
      </c>
      <c r="U3654" s="56">
        <v>0</v>
      </c>
      <c r="V3654" s="56">
        <v>0</v>
      </c>
      <c r="W3654" s="56">
        <v>0</v>
      </c>
      <c r="X3654" s="56">
        <v>0</v>
      </c>
      <c r="Y3654" s="56">
        <v>0</v>
      </c>
      <c r="Z3654" s="56">
        <v>0</v>
      </c>
      <c r="AA3654" s="56">
        <v>0</v>
      </c>
      <c r="AB3654" s="56">
        <v>0</v>
      </c>
      <c r="AC3654" s="56">
        <v>0</v>
      </c>
      <c r="AD3654" s="56">
        <v>0</v>
      </c>
      <c r="AE3654" s="56" t="s">
        <v>92</v>
      </c>
      <c r="AF3654" s="56" t="s">
        <v>21251</v>
      </c>
      <c r="AG3654" s="56" t="s">
        <v>8859</v>
      </c>
      <c r="AH3654" s="72">
        <v>45148</v>
      </c>
      <c r="AI3654" s="56">
        <v>2</v>
      </c>
      <c r="AJ3654" s="56" t="s">
        <v>21252</v>
      </c>
      <c r="AK3654" s="56" t="s">
        <v>21253</v>
      </c>
      <c r="AL3654" s="157">
        <v>45148</v>
      </c>
      <c r="AM3654" s="56"/>
      <c r="AN3654" s="157">
        <v>45516</v>
      </c>
      <c r="AO3654" s="157">
        <v>45512</v>
      </c>
      <c r="AP3654" s="157">
        <v>45152</v>
      </c>
      <c r="AQ3654" s="157">
        <v>45153</v>
      </c>
      <c r="AR3654" s="157">
        <v>45154</v>
      </c>
      <c r="AS3654" s="157">
        <v>45155</v>
      </c>
      <c r="AT3654" s="157">
        <v>45156</v>
      </c>
      <c r="AU3654" s="157">
        <v>45157</v>
      </c>
      <c r="AV3654" s="157">
        <v>45158</v>
      </c>
      <c r="AW3654" s="157">
        <v>45159</v>
      </c>
      <c r="AX3654" s="157">
        <v>45160</v>
      </c>
      <c r="AY3654" s="157">
        <v>45161</v>
      </c>
      <c r="AZ3654" s="157">
        <v>45162</v>
      </c>
      <c r="BA3654" s="157">
        <v>45163</v>
      </c>
      <c r="BB3654" s="157">
        <v>45164</v>
      </c>
      <c r="BC3654" s="157">
        <v>45165</v>
      </c>
    </row>
    <row r="3655" spans="1:55" ht="36.75" customHeight="1">
      <c r="A3655" s="46" t="s">
        <v>12471</v>
      </c>
      <c r="B3655" s="30" t="s">
        <v>55</v>
      </c>
      <c r="C3655" s="69" t="str">
        <f t="shared" si="314"/>
        <v>Closed</v>
      </c>
      <c r="D3655" s="203" t="s">
        <v>21254</v>
      </c>
      <c r="E3655" s="55" t="s">
        <v>21255</v>
      </c>
      <c r="F3655" s="56" t="s">
        <v>15071</v>
      </c>
      <c r="G3655" s="88">
        <f>DATE(2023,8,10)</f>
        <v>45148</v>
      </c>
      <c r="H3655" s="142">
        <v>1.5347222222222223</v>
      </c>
      <c r="I3655" s="56" t="s">
        <v>73</v>
      </c>
      <c r="J3655" s="56" t="s">
        <v>21256</v>
      </c>
      <c r="K3655" s="56" t="s">
        <v>13441</v>
      </c>
      <c r="L3655" s="56" t="s">
        <v>21257</v>
      </c>
      <c r="M3655" s="56" t="s">
        <v>63</v>
      </c>
      <c r="N3655" s="56" t="s">
        <v>89</v>
      </c>
      <c r="O3655" s="56" t="s">
        <v>64</v>
      </c>
      <c r="P3655" s="56" t="s">
        <v>78</v>
      </c>
      <c r="Q3655" s="56" t="s">
        <v>21258</v>
      </c>
      <c r="R3655" s="56" t="s">
        <v>21259</v>
      </c>
      <c r="S3655" s="56">
        <v>0</v>
      </c>
      <c r="T3655" s="56"/>
      <c r="U3655" s="56"/>
      <c r="V3655" s="56"/>
      <c r="W3655" s="56"/>
      <c r="X3655" s="56">
        <v>0</v>
      </c>
      <c r="Y3655" s="56"/>
      <c r="Z3655" s="56"/>
      <c r="AA3655" s="56"/>
      <c r="AB3655" s="56"/>
      <c r="AC3655" s="56">
        <v>0</v>
      </c>
      <c r="AD3655" s="56">
        <v>0</v>
      </c>
      <c r="AE3655" s="56" t="s">
        <v>145</v>
      </c>
      <c r="AF3655" s="56" t="s">
        <v>21260</v>
      </c>
      <c r="AG3655" s="56" t="s">
        <v>6459</v>
      </c>
      <c r="AH3655" s="72">
        <v>45153</v>
      </c>
      <c r="AI3655" s="56">
        <v>4</v>
      </c>
      <c r="AJ3655" s="56" t="s">
        <v>21261</v>
      </c>
      <c r="AK3655" s="56" t="s">
        <v>21262</v>
      </c>
      <c r="AL3655" s="157">
        <v>45163</v>
      </c>
      <c r="AM3655" s="195">
        <v>45197</v>
      </c>
      <c r="AN3655" s="195">
        <v>45810</v>
      </c>
      <c r="AO3655" s="195">
        <v>45810</v>
      </c>
    </row>
    <row r="3656" spans="1:55" ht="36.75" customHeight="1">
      <c r="A3656" s="46" t="s">
        <v>12471</v>
      </c>
      <c r="B3656" s="30" t="s">
        <v>55</v>
      </c>
      <c r="C3656" s="69" t="str">
        <f t="shared" si="314"/>
        <v>Closed</v>
      </c>
      <c r="D3656" s="203" t="s">
        <v>21263</v>
      </c>
      <c r="E3656" s="55" t="s">
        <v>21264</v>
      </c>
      <c r="F3656" s="56" t="s">
        <v>17578</v>
      </c>
      <c r="G3656" s="88">
        <f>DATE(2023,8,14)</f>
        <v>45152</v>
      </c>
      <c r="H3656" s="142">
        <v>1.5590277777777777</v>
      </c>
      <c r="I3656" s="56" t="s">
        <v>73</v>
      </c>
      <c r="J3656" s="56" t="s">
        <v>21265</v>
      </c>
      <c r="K3656" s="56" t="s">
        <v>837</v>
      </c>
      <c r="L3656" s="56" t="s">
        <v>21266</v>
      </c>
      <c r="M3656" s="56" t="s">
        <v>9919</v>
      </c>
      <c r="N3656" s="56" t="s">
        <v>99</v>
      </c>
      <c r="O3656" s="56" t="s">
        <v>64</v>
      </c>
      <c r="P3656" s="56" t="s">
        <v>7982</v>
      </c>
      <c r="Q3656" s="56" t="s">
        <v>840</v>
      </c>
      <c r="R3656" s="56" t="s">
        <v>840</v>
      </c>
      <c r="S3656" s="56">
        <v>0</v>
      </c>
      <c r="T3656" s="56">
        <v>0</v>
      </c>
      <c r="U3656" s="56">
        <v>0</v>
      </c>
      <c r="V3656" s="56">
        <v>0</v>
      </c>
      <c r="W3656" s="56">
        <v>0</v>
      </c>
      <c r="X3656" s="56">
        <v>0</v>
      </c>
      <c r="Y3656" s="56">
        <v>0</v>
      </c>
      <c r="Z3656" s="56">
        <v>0</v>
      </c>
      <c r="AA3656" s="56">
        <v>0</v>
      </c>
      <c r="AB3656" s="56">
        <v>0</v>
      </c>
      <c r="AC3656" s="56">
        <v>0</v>
      </c>
      <c r="AD3656" s="56">
        <v>0</v>
      </c>
      <c r="AE3656" s="56" t="s">
        <v>92</v>
      </c>
      <c r="AF3656" s="56" t="s">
        <v>21267</v>
      </c>
      <c r="AG3656" s="56" t="s">
        <v>21268</v>
      </c>
      <c r="AH3656" s="72">
        <v>45152</v>
      </c>
      <c r="AI3656" s="56">
        <v>2</v>
      </c>
      <c r="AJ3656" s="56" t="s">
        <v>21269</v>
      </c>
      <c r="AK3656" s="56" t="s">
        <v>21270</v>
      </c>
      <c r="AL3656" s="157">
        <v>45153</v>
      </c>
      <c r="AM3656" s="56"/>
      <c r="AN3656" s="207">
        <v>45635</v>
      </c>
      <c r="AO3656" s="207">
        <v>45595</v>
      </c>
    </row>
    <row r="3657" spans="1:55" ht="36.75" customHeight="1">
      <c r="A3657" s="46" t="s">
        <v>12471</v>
      </c>
      <c r="B3657" s="30" t="s">
        <v>55</v>
      </c>
      <c r="C3657" s="69" t="str">
        <f t="shared" ref="C3657:C3720" si="315">IF(B3657="Notification","Open",IF(B3657="Interim Statement","In progress","Closed"))</f>
        <v>Closed</v>
      </c>
      <c r="D3657" s="37" t="s">
        <v>21271</v>
      </c>
      <c r="E3657" s="55" t="s">
        <v>21272</v>
      </c>
      <c r="F3657" s="56" t="s">
        <v>12910</v>
      </c>
      <c r="G3657" s="88">
        <f>DATE(2023,8,17)</f>
        <v>45155</v>
      </c>
      <c r="H3657" s="142">
        <v>1.6805555555555554</v>
      </c>
      <c r="I3657" s="56" t="s">
        <v>116</v>
      </c>
      <c r="J3657" s="56" t="s">
        <v>21273</v>
      </c>
      <c r="K3657" s="56" t="s">
        <v>453</v>
      </c>
      <c r="L3657" s="56" t="s">
        <v>21274</v>
      </c>
      <c r="M3657" s="56" t="s">
        <v>63</v>
      </c>
      <c r="N3657" s="56" t="s">
        <v>142</v>
      </c>
      <c r="O3657" s="56" t="s">
        <v>64</v>
      </c>
      <c r="P3657" s="56" t="s">
        <v>18468</v>
      </c>
      <c r="Q3657" s="56" t="s">
        <v>16592</v>
      </c>
      <c r="R3657" s="56" t="s">
        <v>16593</v>
      </c>
      <c r="S3657" s="56">
        <v>0</v>
      </c>
      <c r="T3657" s="56">
        <v>0</v>
      </c>
      <c r="U3657" s="56">
        <v>0</v>
      </c>
      <c r="V3657" s="56">
        <v>0</v>
      </c>
      <c r="W3657" s="56">
        <v>0</v>
      </c>
      <c r="X3657" s="56">
        <v>0</v>
      </c>
      <c r="Y3657" s="56">
        <v>0</v>
      </c>
      <c r="Z3657" s="56">
        <v>0</v>
      </c>
      <c r="AA3657" s="56">
        <v>1</v>
      </c>
      <c r="AB3657" s="56">
        <v>0</v>
      </c>
      <c r="AC3657" s="56">
        <v>0</v>
      </c>
      <c r="AD3657" s="56">
        <v>1</v>
      </c>
      <c r="AE3657" s="56" t="s">
        <v>92</v>
      </c>
      <c r="AF3657" s="56" t="s">
        <v>21275</v>
      </c>
      <c r="AG3657" s="56" t="s">
        <v>13537</v>
      </c>
      <c r="AH3657" s="72">
        <v>45230</v>
      </c>
      <c r="AI3657" s="56">
        <v>1</v>
      </c>
      <c r="AJ3657" s="56" t="s">
        <v>21276</v>
      </c>
      <c r="AK3657" s="56" t="s">
        <v>21277</v>
      </c>
      <c r="AL3657" s="157">
        <v>45233</v>
      </c>
      <c r="AM3657" s="56"/>
      <c r="AN3657" s="157">
        <v>45517</v>
      </c>
      <c r="AO3657" s="157">
        <v>45517</v>
      </c>
      <c r="AP3657" s="157">
        <v>45519</v>
      </c>
      <c r="AQ3657" s="157">
        <v>45520</v>
      </c>
      <c r="AR3657" s="157">
        <v>45521</v>
      </c>
      <c r="AS3657" s="157">
        <v>45522</v>
      </c>
      <c r="AT3657" s="157">
        <v>45523</v>
      </c>
      <c r="AU3657" s="157">
        <v>45524</v>
      </c>
      <c r="AV3657" s="157">
        <v>45525</v>
      </c>
      <c r="AW3657" s="157">
        <v>45526</v>
      </c>
      <c r="AX3657" s="157">
        <v>45527</v>
      </c>
      <c r="AY3657" s="157">
        <v>45528</v>
      </c>
      <c r="AZ3657" s="157">
        <v>45529</v>
      </c>
      <c r="BA3657" s="157">
        <v>45530</v>
      </c>
      <c r="BB3657" s="157">
        <v>45531</v>
      </c>
      <c r="BC3657" s="157">
        <v>45532</v>
      </c>
    </row>
    <row r="3658" spans="1:55" ht="36.75" customHeight="1">
      <c r="A3658" s="46" t="s">
        <v>12471</v>
      </c>
      <c r="B3658" s="30" t="s">
        <v>55</v>
      </c>
      <c r="C3658" s="69" t="str">
        <f t="shared" si="315"/>
        <v>Closed</v>
      </c>
      <c r="D3658" s="37" t="s">
        <v>21278</v>
      </c>
      <c r="E3658" s="55" t="s">
        <v>21279</v>
      </c>
      <c r="F3658" s="56" t="s">
        <v>17682</v>
      </c>
      <c r="G3658" s="88">
        <f>DATE(2023,8,23)</f>
        <v>45161</v>
      </c>
      <c r="H3658" s="142">
        <v>1.5729166666666665</v>
      </c>
      <c r="I3658" s="56" t="s">
        <v>125</v>
      </c>
      <c r="J3658" s="56" t="s">
        <v>21280</v>
      </c>
      <c r="K3658" s="56" t="s">
        <v>1574</v>
      </c>
      <c r="L3658" s="56" t="s">
        <v>21281</v>
      </c>
      <c r="M3658" s="56" t="s">
        <v>63</v>
      </c>
      <c r="N3658" s="56" t="s">
        <v>99</v>
      </c>
      <c r="O3658" s="56" t="s">
        <v>64</v>
      </c>
      <c r="P3658" s="56" t="s">
        <v>165</v>
      </c>
      <c r="Q3658" s="56" t="s">
        <v>19878</v>
      </c>
      <c r="R3658" s="56" t="s">
        <v>19879</v>
      </c>
      <c r="S3658" s="56">
        <v>0</v>
      </c>
      <c r="T3658" s="56">
        <v>0</v>
      </c>
      <c r="U3658" s="56">
        <v>0</v>
      </c>
      <c r="V3658" s="56">
        <v>0</v>
      </c>
      <c r="W3658" s="56">
        <v>0</v>
      </c>
      <c r="X3658" s="56">
        <v>0</v>
      </c>
      <c r="Y3658" s="56">
        <v>0</v>
      </c>
      <c r="Z3658" s="56">
        <v>0</v>
      </c>
      <c r="AA3658" s="56">
        <v>0</v>
      </c>
      <c r="AB3658" s="56">
        <v>0</v>
      </c>
      <c r="AC3658" s="56">
        <v>0</v>
      </c>
      <c r="AD3658" s="56">
        <v>0</v>
      </c>
      <c r="AE3658" s="56" t="s">
        <v>394</v>
      </c>
      <c r="AF3658" s="56" t="s">
        <v>21282</v>
      </c>
      <c r="AG3658" s="56" t="s">
        <v>8859</v>
      </c>
      <c r="AH3658" s="72">
        <v>45162</v>
      </c>
      <c r="AI3658" s="56">
        <v>2</v>
      </c>
      <c r="AJ3658" s="56" t="s">
        <v>21283</v>
      </c>
      <c r="AK3658" s="56" t="s">
        <v>21284</v>
      </c>
      <c r="AL3658" s="157">
        <v>45174</v>
      </c>
      <c r="AM3658" s="56"/>
      <c r="AN3658" s="157">
        <v>45533</v>
      </c>
      <c r="AO3658" s="157">
        <v>45524</v>
      </c>
    </row>
    <row r="3659" spans="1:55" ht="36.75" customHeight="1">
      <c r="A3659" s="46" t="s">
        <v>12471</v>
      </c>
      <c r="B3659" s="30" t="s">
        <v>55</v>
      </c>
      <c r="C3659" s="69" t="str">
        <f t="shared" si="315"/>
        <v>Closed</v>
      </c>
      <c r="D3659" s="37" t="s">
        <v>21285</v>
      </c>
      <c r="E3659" s="55" t="s">
        <v>21286</v>
      </c>
      <c r="F3659" s="56" t="s">
        <v>17057</v>
      </c>
      <c r="G3659" s="88">
        <f>DATE(2023,8,24)</f>
        <v>45162</v>
      </c>
      <c r="H3659" s="142">
        <v>1.5034722222222223</v>
      </c>
      <c r="I3659" s="56" t="s">
        <v>198</v>
      </c>
      <c r="J3659" s="56" t="s">
        <v>21287</v>
      </c>
      <c r="K3659" s="56" t="s">
        <v>2338</v>
      </c>
      <c r="L3659" s="56" t="s">
        <v>21288</v>
      </c>
      <c r="M3659" s="56" t="s">
        <v>63</v>
      </c>
      <c r="N3659" s="56" t="s">
        <v>142</v>
      </c>
      <c r="O3659" s="56" t="s">
        <v>77</v>
      </c>
      <c r="P3659" s="56" t="s">
        <v>6902</v>
      </c>
      <c r="Q3659" s="56" t="s">
        <v>21289</v>
      </c>
      <c r="R3659" s="56" t="s">
        <v>2341</v>
      </c>
      <c r="S3659" s="56">
        <v>0</v>
      </c>
      <c r="T3659" s="56">
        <v>0</v>
      </c>
      <c r="U3659" s="56">
        <v>0</v>
      </c>
      <c r="V3659" s="56">
        <v>0</v>
      </c>
      <c r="W3659" s="56">
        <v>0</v>
      </c>
      <c r="X3659" s="56">
        <v>0</v>
      </c>
      <c r="Y3659" s="56">
        <v>0</v>
      </c>
      <c r="Z3659" s="56">
        <v>0</v>
      </c>
      <c r="AA3659" s="56">
        <v>0</v>
      </c>
      <c r="AB3659" s="56">
        <v>0</v>
      </c>
      <c r="AC3659" s="56">
        <v>0</v>
      </c>
      <c r="AD3659" s="56">
        <v>0</v>
      </c>
      <c r="AE3659" s="56" t="s">
        <v>394</v>
      </c>
      <c r="AF3659" s="56" t="s">
        <v>21290</v>
      </c>
      <c r="AG3659" s="56" t="s">
        <v>13537</v>
      </c>
      <c r="AH3659" s="72">
        <v>45170</v>
      </c>
      <c r="AI3659" s="56">
        <v>5</v>
      </c>
      <c r="AJ3659" s="56" t="s">
        <v>21291</v>
      </c>
      <c r="AK3659" s="56" t="s">
        <v>21292</v>
      </c>
      <c r="AL3659" s="157">
        <v>45170</v>
      </c>
      <c r="AM3659" s="56"/>
      <c r="AN3659" s="157">
        <v>45544</v>
      </c>
      <c r="AO3659" s="157">
        <v>45505</v>
      </c>
    </row>
    <row r="3660" spans="1:55" ht="36.75" customHeight="1">
      <c r="A3660" s="46" t="s">
        <v>12471</v>
      </c>
      <c r="B3660" s="30" t="s">
        <v>2124</v>
      </c>
      <c r="C3660" s="69" t="str">
        <f t="shared" si="315"/>
        <v>Open</v>
      </c>
      <c r="D3660" s="36" t="s">
        <v>21293</v>
      </c>
      <c r="E3660" s="55" t="s">
        <v>21294</v>
      </c>
      <c r="F3660" s="56" t="s">
        <v>17578</v>
      </c>
      <c r="G3660" s="88">
        <f>DATE(2023,8,28)</f>
        <v>45166</v>
      </c>
      <c r="H3660" s="142">
        <v>1.6597222222222223</v>
      </c>
      <c r="I3660" s="56" t="s">
        <v>73</v>
      </c>
      <c r="J3660" s="56" t="s">
        <v>21295</v>
      </c>
      <c r="K3660" s="56" t="s">
        <v>837</v>
      </c>
      <c r="L3660" s="56" t="s">
        <v>21296</v>
      </c>
      <c r="M3660" s="56" t="s">
        <v>63</v>
      </c>
      <c r="N3660" s="56" t="s">
        <v>99</v>
      </c>
      <c r="O3660" s="56" t="s">
        <v>64</v>
      </c>
      <c r="P3660" s="56" t="s">
        <v>165</v>
      </c>
      <c r="Q3660" s="56" t="s">
        <v>18858</v>
      </c>
      <c r="R3660" s="56" t="s">
        <v>840</v>
      </c>
      <c r="S3660" s="56">
        <v>0</v>
      </c>
      <c r="T3660" s="56">
        <v>0</v>
      </c>
      <c r="U3660" s="56">
        <v>0</v>
      </c>
      <c r="V3660" s="56">
        <v>0</v>
      </c>
      <c r="W3660" s="56">
        <v>0</v>
      </c>
      <c r="X3660" s="56">
        <v>0</v>
      </c>
      <c r="Y3660" s="56">
        <v>0</v>
      </c>
      <c r="Z3660" s="56">
        <v>0</v>
      </c>
      <c r="AA3660" s="56">
        <v>0</v>
      </c>
      <c r="AB3660" s="56">
        <v>0</v>
      </c>
      <c r="AC3660" s="56">
        <v>0</v>
      </c>
      <c r="AD3660" s="56">
        <v>0</v>
      </c>
      <c r="AE3660" s="56" t="s">
        <v>92</v>
      </c>
      <c r="AF3660" s="56" t="s">
        <v>879</v>
      </c>
      <c r="AG3660" s="56" t="s">
        <v>13537</v>
      </c>
      <c r="AH3660" s="72">
        <v>45166</v>
      </c>
      <c r="AI3660" s="56"/>
      <c r="AJ3660" s="56"/>
      <c r="AK3660" s="56"/>
      <c r="AL3660" s="157">
        <v>45170</v>
      </c>
      <c r="AM3660" s="56"/>
      <c r="AN3660" s="204"/>
      <c r="AO3660" s="204"/>
    </row>
    <row r="3661" spans="1:55" ht="36.75" customHeight="1">
      <c r="A3661" s="46" t="s">
        <v>12471</v>
      </c>
      <c r="B3661" s="30" t="s">
        <v>55</v>
      </c>
      <c r="C3661" s="69" t="str">
        <f t="shared" si="315"/>
        <v>Closed</v>
      </c>
      <c r="D3661" s="203" t="s">
        <v>21297</v>
      </c>
      <c r="E3661" s="55" t="s">
        <v>21298</v>
      </c>
      <c r="F3661" s="56" t="s">
        <v>18131</v>
      </c>
      <c r="G3661" s="88">
        <f>DATE(2023,8,30)</f>
        <v>45168</v>
      </c>
      <c r="H3661" s="142">
        <v>1.9930555555555554</v>
      </c>
      <c r="I3661" s="56" t="s">
        <v>278</v>
      </c>
      <c r="J3661" s="56" t="s">
        <v>21299</v>
      </c>
      <c r="K3661" s="56" t="s">
        <v>379</v>
      </c>
      <c r="L3661" s="56" t="s">
        <v>21300</v>
      </c>
      <c r="M3661" s="56" t="s">
        <v>63</v>
      </c>
      <c r="N3661" s="56" t="s">
        <v>142</v>
      </c>
      <c r="O3661" s="56" t="s">
        <v>77</v>
      </c>
      <c r="P3661" s="56" t="s">
        <v>165</v>
      </c>
      <c r="Q3661" s="56" t="s">
        <v>3193</v>
      </c>
      <c r="R3661" s="56" t="s">
        <v>19604</v>
      </c>
      <c r="S3661" s="56">
        <v>0</v>
      </c>
      <c r="T3661" s="56">
        <v>0</v>
      </c>
      <c r="U3661" s="56">
        <v>0</v>
      </c>
      <c r="V3661" s="56">
        <v>5</v>
      </c>
      <c r="W3661" s="56">
        <v>0</v>
      </c>
      <c r="X3661" s="56">
        <v>5</v>
      </c>
      <c r="Y3661" s="56">
        <v>0</v>
      </c>
      <c r="Z3661" s="56">
        <v>0</v>
      </c>
      <c r="AA3661" s="56">
        <v>0</v>
      </c>
      <c r="AB3661" s="56">
        <v>0</v>
      </c>
      <c r="AC3661" s="56">
        <v>0</v>
      </c>
      <c r="AD3661" s="56">
        <v>0</v>
      </c>
      <c r="AE3661" s="56" t="s">
        <v>92</v>
      </c>
      <c r="AF3661" s="56" t="s">
        <v>21301</v>
      </c>
      <c r="AG3661" s="56" t="s">
        <v>6459</v>
      </c>
      <c r="AH3661" s="72">
        <v>45169</v>
      </c>
      <c r="AI3661" s="56">
        <v>7</v>
      </c>
      <c r="AJ3661" s="56" t="s">
        <v>21302</v>
      </c>
      <c r="AK3661" s="56" t="s">
        <v>21303</v>
      </c>
      <c r="AL3661" s="157">
        <v>45174</v>
      </c>
      <c r="AM3661" s="56"/>
      <c r="AN3661" s="207">
        <v>45645</v>
      </c>
      <c r="AO3661" s="207">
        <v>45617</v>
      </c>
    </row>
    <row r="3662" spans="1:55" ht="36.75" customHeight="1">
      <c r="A3662" s="46" t="s">
        <v>12471</v>
      </c>
      <c r="B3662" s="30" t="s">
        <v>55</v>
      </c>
      <c r="C3662" s="69" t="str">
        <f t="shared" si="315"/>
        <v>Closed</v>
      </c>
      <c r="D3662" s="37" t="s">
        <v>21304</v>
      </c>
      <c r="E3662" s="55" t="s">
        <v>21305</v>
      </c>
      <c r="F3662" s="56" t="s">
        <v>17682</v>
      </c>
      <c r="G3662" s="88">
        <f>DATE(2023,9,1)</f>
        <v>45170</v>
      </c>
      <c r="H3662" s="142">
        <v>1.2638888888888888</v>
      </c>
      <c r="I3662" s="56" t="s">
        <v>125</v>
      </c>
      <c r="J3662" s="56" t="s">
        <v>21306</v>
      </c>
      <c r="K3662" s="56" t="s">
        <v>1574</v>
      </c>
      <c r="L3662" s="56" t="s">
        <v>21307</v>
      </c>
      <c r="M3662" s="56" t="s">
        <v>63</v>
      </c>
      <c r="N3662" s="56" t="s">
        <v>99</v>
      </c>
      <c r="O3662" s="56" t="s">
        <v>64</v>
      </c>
      <c r="P3662" s="56" t="s">
        <v>165</v>
      </c>
      <c r="Q3662" s="56" t="s">
        <v>18739</v>
      </c>
      <c r="R3662" s="56" t="s">
        <v>17686</v>
      </c>
      <c r="S3662" s="56">
        <v>0</v>
      </c>
      <c r="T3662" s="56">
        <v>0</v>
      </c>
      <c r="U3662" s="56">
        <v>0</v>
      </c>
      <c r="V3662" s="56">
        <v>0</v>
      </c>
      <c r="W3662" s="56">
        <v>0</v>
      </c>
      <c r="X3662" s="56">
        <v>0</v>
      </c>
      <c r="Y3662" s="56">
        <v>0</v>
      </c>
      <c r="Z3662" s="56">
        <v>0</v>
      </c>
      <c r="AA3662" s="56">
        <v>0</v>
      </c>
      <c r="AB3662" s="56">
        <v>0</v>
      </c>
      <c r="AC3662" s="56">
        <v>0</v>
      </c>
      <c r="AD3662" s="56">
        <v>0</v>
      </c>
      <c r="AE3662" s="56" t="s">
        <v>92</v>
      </c>
      <c r="AF3662" s="56" t="s">
        <v>21308</v>
      </c>
      <c r="AG3662" s="56" t="s">
        <v>8859</v>
      </c>
      <c r="AH3662" s="72">
        <v>45175</v>
      </c>
      <c r="AI3662" s="56">
        <v>0</v>
      </c>
      <c r="AJ3662" s="56" t="s">
        <v>21309</v>
      </c>
      <c r="AK3662" s="56" t="s">
        <v>21310</v>
      </c>
      <c r="AL3662" s="157">
        <v>45175</v>
      </c>
      <c r="AM3662" s="56"/>
      <c r="AN3662" s="157">
        <v>45545</v>
      </c>
      <c r="AO3662" s="157">
        <v>45532</v>
      </c>
    </row>
    <row r="3663" spans="1:55" ht="36.75" customHeight="1">
      <c r="A3663" s="46" t="s">
        <v>12471</v>
      </c>
      <c r="B3663" s="30" t="s">
        <v>55</v>
      </c>
      <c r="C3663" s="69" t="str">
        <f t="shared" si="315"/>
        <v>Closed</v>
      </c>
      <c r="D3663" s="37" t="s">
        <v>21311</v>
      </c>
      <c r="E3663" s="55" t="s">
        <v>21312</v>
      </c>
      <c r="F3663" s="56" t="s">
        <v>12910</v>
      </c>
      <c r="G3663" s="88">
        <f>DATE(2023,9,6)</f>
        <v>45175</v>
      </c>
      <c r="H3663" s="142">
        <v>1.1111111111111112</v>
      </c>
      <c r="I3663" s="56" t="s">
        <v>86</v>
      </c>
      <c r="J3663" s="56" t="s">
        <v>21313</v>
      </c>
      <c r="K3663" s="56" t="s">
        <v>453</v>
      </c>
      <c r="L3663" s="56" t="s">
        <v>21314</v>
      </c>
      <c r="M3663" s="56" t="s">
        <v>63</v>
      </c>
      <c r="N3663" s="56" t="s">
        <v>89</v>
      </c>
      <c r="O3663" s="56" t="s">
        <v>77</v>
      </c>
      <c r="P3663" s="56" t="s">
        <v>381</v>
      </c>
      <c r="Q3663" s="56" t="s">
        <v>18430</v>
      </c>
      <c r="R3663" s="56" t="s">
        <v>572</v>
      </c>
      <c r="S3663" s="56">
        <v>0</v>
      </c>
      <c r="T3663" s="56">
        <v>0</v>
      </c>
      <c r="U3663" s="56">
        <v>0</v>
      </c>
      <c r="V3663" s="56">
        <v>0</v>
      </c>
      <c r="W3663" s="56">
        <v>0</v>
      </c>
      <c r="X3663" s="56">
        <v>0</v>
      </c>
      <c r="Y3663" s="56">
        <v>0</v>
      </c>
      <c r="Z3663" s="56">
        <v>0</v>
      </c>
      <c r="AA3663" s="56">
        <v>0</v>
      </c>
      <c r="AB3663" s="56">
        <v>0</v>
      </c>
      <c r="AC3663" s="56">
        <v>0</v>
      </c>
      <c r="AD3663" s="56">
        <v>0</v>
      </c>
      <c r="AE3663" s="56" t="s">
        <v>92</v>
      </c>
      <c r="AF3663" s="56" t="s">
        <v>712</v>
      </c>
      <c r="AG3663" s="56" t="s">
        <v>13537</v>
      </c>
      <c r="AH3663" s="72">
        <v>45230</v>
      </c>
      <c r="AI3663" s="56">
        <v>2</v>
      </c>
      <c r="AJ3663" s="56" t="s">
        <v>21315</v>
      </c>
      <c r="AK3663" s="56" t="s">
        <v>21316</v>
      </c>
      <c r="AL3663" s="157">
        <v>45233</v>
      </c>
      <c r="AM3663" s="56"/>
      <c r="AN3663" s="157">
        <v>45539</v>
      </c>
      <c r="AO3663" s="157">
        <v>45539</v>
      </c>
    </row>
    <row r="3664" spans="1:55" ht="36.75" customHeight="1">
      <c r="A3664" s="46" t="s">
        <v>12471</v>
      </c>
      <c r="B3664" s="30" t="s">
        <v>55</v>
      </c>
      <c r="C3664" s="69" t="str">
        <f t="shared" si="315"/>
        <v>Closed</v>
      </c>
      <c r="D3664" s="203" t="s">
        <v>21317</v>
      </c>
      <c r="E3664" s="55" t="s">
        <v>21318</v>
      </c>
      <c r="F3664" s="56" t="s">
        <v>12910</v>
      </c>
      <c r="G3664" s="88">
        <f>DATE(2023,9,9)</f>
        <v>45178</v>
      </c>
      <c r="H3664" s="142">
        <v>1.2743055555555556</v>
      </c>
      <c r="I3664" s="56" t="s">
        <v>8503</v>
      </c>
      <c r="J3664" s="56" t="s">
        <v>21319</v>
      </c>
      <c r="K3664" s="56" t="s">
        <v>453</v>
      </c>
      <c r="L3664" s="56" t="s">
        <v>21320</v>
      </c>
      <c r="M3664" s="56" t="s">
        <v>63</v>
      </c>
      <c r="N3664" s="56" t="s">
        <v>142</v>
      </c>
      <c r="O3664" s="56" t="s">
        <v>77</v>
      </c>
      <c r="P3664" s="56" t="s">
        <v>65</v>
      </c>
      <c r="Q3664" s="56" t="s">
        <v>14384</v>
      </c>
      <c r="R3664" s="56" t="s">
        <v>572</v>
      </c>
      <c r="S3664" s="56">
        <v>0</v>
      </c>
      <c r="T3664" s="56">
        <v>0</v>
      </c>
      <c r="U3664" s="56">
        <v>0</v>
      </c>
      <c r="V3664" s="56">
        <v>0</v>
      </c>
      <c r="W3664" s="56">
        <v>0</v>
      </c>
      <c r="X3664" s="56">
        <v>0</v>
      </c>
      <c r="Y3664" s="56">
        <v>0</v>
      </c>
      <c r="Z3664" s="56">
        <v>0</v>
      </c>
      <c r="AA3664" s="56">
        <v>0</v>
      </c>
      <c r="AB3664" s="56">
        <v>0</v>
      </c>
      <c r="AC3664" s="56">
        <v>0</v>
      </c>
      <c r="AD3664" s="56">
        <v>0</v>
      </c>
      <c r="AE3664" s="56" t="s">
        <v>92</v>
      </c>
      <c r="AF3664" s="56" t="s">
        <v>21321</v>
      </c>
      <c r="AG3664" s="56" t="s">
        <v>8859</v>
      </c>
      <c r="AH3664" s="72">
        <v>45187</v>
      </c>
      <c r="AI3664" s="56">
        <v>2</v>
      </c>
      <c r="AJ3664" s="56" t="s">
        <v>21322</v>
      </c>
      <c r="AK3664" s="56" t="s">
        <v>21323</v>
      </c>
      <c r="AL3664" s="157">
        <v>45187</v>
      </c>
      <c r="AM3664" s="157">
        <v>45540</v>
      </c>
      <c r="AN3664" s="157">
        <v>45902</v>
      </c>
      <c r="AO3664" s="157">
        <v>45902</v>
      </c>
    </row>
    <row r="3665" spans="1:53" ht="36.75" customHeight="1">
      <c r="A3665" s="46" t="s">
        <v>12471</v>
      </c>
      <c r="B3665" s="30" t="s">
        <v>55</v>
      </c>
      <c r="C3665" s="69" t="str">
        <f t="shared" si="315"/>
        <v>Closed</v>
      </c>
      <c r="D3665" s="37" t="s">
        <v>21324</v>
      </c>
      <c r="E3665" s="55" t="s">
        <v>21325</v>
      </c>
      <c r="F3665" s="56" t="s">
        <v>17682</v>
      </c>
      <c r="G3665" s="88">
        <f>DATE(2023,9,10)</f>
        <v>45179</v>
      </c>
      <c r="H3665" s="142">
        <v>1.5451388888888888</v>
      </c>
      <c r="I3665" s="56" t="s">
        <v>73</v>
      </c>
      <c r="J3665" s="56" t="s">
        <v>21326</v>
      </c>
      <c r="K3665" s="56" t="s">
        <v>1574</v>
      </c>
      <c r="L3665" s="56" t="s">
        <v>14116</v>
      </c>
      <c r="M3665" s="56" t="s">
        <v>63</v>
      </c>
      <c r="N3665" s="56" t="s">
        <v>99</v>
      </c>
      <c r="O3665" s="56" t="s">
        <v>77</v>
      </c>
      <c r="P3665" s="56" t="s">
        <v>78</v>
      </c>
      <c r="Q3665" s="56" t="s">
        <v>21327</v>
      </c>
      <c r="R3665" s="56" t="s">
        <v>21327</v>
      </c>
      <c r="S3665" s="56">
        <v>0</v>
      </c>
      <c r="T3665" s="56">
        <v>0</v>
      </c>
      <c r="U3665" s="56">
        <v>0</v>
      </c>
      <c r="V3665" s="56">
        <v>0</v>
      </c>
      <c r="W3665" s="56">
        <v>0</v>
      </c>
      <c r="X3665" s="56">
        <v>0</v>
      </c>
      <c r="Y3665" s="56">
        <v>0</v>
      </c>
      <c r="Z3665" s="56">
        <v>0</v>
      </c>
      <c r="AA3665" s="56">
        <v>0</v>
      </c>
      <c r="AB3665" s="56">
        <v>0</v>
      </c>
      <c r="AC3665" s="56">
        <v>0</v>
      </c>
      <c r="AD3665" s="56">
        <v>0</v>
      </c>
      <c r="AE3665" s="56" t="s">
        <v>92</v>
      </c>
      <c r="AF3665" s="56" t="s">
        <v>21328</v>
      </c>
      <c r="AG3665" s="56" t="s">
        <v>8859</v>
      </c>
      <c r="AH3665" s="72">
        <v>45180</v>
      </c>
      <c r="AI3665" s="56">
        <v>0</v>
      </c>
      <c r="AJ3665" s="56" t="s">
        <v>21329</v>
      </c>
      <c r="AK3665" s="56" t="s">
        <v>21330</v>
      </c>
      <c r="AL3665" s="157">
        <v>45180</v>
      </c>
      <c r="AM3665" s="56"/>
      <c r="AN3665" s="157">
        <v>45531</v>
      </c>
      <c r="AO3665" s="157">
        <v>45525</v>
      </c>
    </row>
    <row r="3666" spans="1:53" ht="36.75" customHeight="1">
      <c r="A3666" s="46" t="s">
        <v>12471</v>
      </c>
      <c r="B3666" s="30" t="s">
        <v>55</v>
      </c>
      <c r="C3666" s="69" t="str">
        <f t="shared" si="315"/>
        <v>Closed</v>
      </c>
      <c r="D3666" s="37" t="s">
        <v>21331</v>
      </c>
      <c r="E3666" s="55" t="s">
        <v>21332</v>
      </c>
      <c r="F3666" s="56" t="s">
        <v>12910</v>
      </c>
      <c r="G3666" s="88">
        <f>DATE(2023,9,10)</f>
        <v>45179</v>
      </c>
      <c r="H3666" s="142">
        <v>1.8194444444444446</v>
      </c>
      <c r="I3666" s="56" t="s">
        <v>278</v>
      </c>
      <c r="J3666" s="56" t="s">
        <v>21333</v>
      </c>
      <c r="K3666" s="56" t="s">
        <v>453</v>
      </c>
      <c r="L3666" s="56" t="s">
        <v>21334</v>
      </c>
      <c r="M3666" s="56" t="s">
        <v>63</v>
      </c>
      <c r="N3666" s="56" t="s">
        <v>142</v>
      </c>
      <c r="O3666" s="56" t="s">
        <v>64</v>
      </c>
      <c r="P3666" s="56" t="s">
        <v>65</v>
      </c>
      <c r="Q3666" s="56" t="s">
        <v>14384</v>
      </c>
      <c r="R3666" s="56" t="s">
        <v>572</v>
      </c>
      <c r="S3666" s="56">
        <v>0</v>
      </c>
      <c r="T3666" s="56">
        <v>0</v>
      </c>
      <c r="U3666" s="56">
        <v>0</v>
      </c>
      <c r="V3666" s="56">
        <v>1</v>
      </c>
      <c r="W3666" s="56">
        <v>0</v>
      </c>
      <c r="X3666" s="56">
        <v>1</v>
      </c>
      <c r="Y3666" s="56">
        <v>0</v>
      </c>
      <c r="Z3666" s="56">
        <v>0</v>
      </c>
      <c r="AA3666" s="56">
        <v>0</v>
      </c>
      <c r="AB3666" s="56">
        <v>0</v>
      </c>
      <c r="AC3666" s="56">
        <v>0</v>
      </c>
      <c r="AD3666" s="56">
        <v>0</v>
      </c>
      <c r="AE3666" s="56" t="s">
        <v>92</v>
      </c>
      <c r="AF3666" s="56" t="s">
        <v>712</v>
      </c>
      <c r="AG3666" s="56" t="s">
        <v>6459</v>
      </c>
      <c r="AH3666" s="72">
        <v>45201</v>
      </c>
      <c r="AI3666" s="56">
        <v>0</v>
      </c>
      <c r="AJ3666" s="56" t="s">
        <v>21335</v>
      </c>
      <c r="AK3666" s="56" t="s">
        <v>21336</v>
      </c>
      <c r="AL3666" s="157">
        <v>45233</v>
      </c>
      <c r="AM3666" s="56"/>
      <c r="AN3666" s="157">
        <v>45491</v>
      </c>
      <c r="AO3666" s="157">
        <v>45491</v>
      </c>
    </row>
    <row r="3667" spans="1:53" ht="36.75" customHeight="1">
      <c r="A3667" s="46" t="s">
        <v>12471</v>
      </c>
      <c r="B3667" s="30" t="s">
        <v>14882</v>
      </c>
      <c r="C3667" s="69" t="str">
        <f t="shared" si="315"/>
        <v>In progress</v>
      </c>
      <c r="D3667" s="36" t="s">
        <v>21337</v>
      </c>
      <c r="E3667" s="55" t="s">
        <v>21338</v>
      </c>
      <c r="F3667" s="56" t="s">
        <v>6455</v>
      </c>
      <c r="G3667" s="88">
        <f>DATE(2023,9,10)</f>
        <v>45179</v>
      </c>
      <c r="H3667" s="142">
        <v>1.6458333333333335</v>
      </c>
      <c r="I3667" s="56" t="s">
        <v>73</v>
      </c>
      <c r="J3667" s="56" t="s">
        <v>21339</v>
      </c>
      <c r="K3667" s="56" t="s">
        <v>584</v>
      </c>
      <c r="L3667" s="56" t="s">
        <v>21340</v>
      </c>
      <c r="M3667" s="56" t="s">
        <v>63</v>
      </c>
      <c r="N3667" s="56" t="s">
        <v>99</v>
      </c>
      <c r="O3667" s="56" t="s">
        <v>64</v>
      </c>
      <c r="P3667" s="56" t="s">
        <v>78</v>
      </c>
      <c r="Q3667" s="56" t="s">
        <v>21341</v>
      </c>
      <c r="R3667" s="56" t="s">
        <v>587</v>
      </c>
      <c r="S3667" s="56">
        <v>0</v>
      </c>
      <c r="T3667" s="56">
        <v>1</v>
      </c>
      <c r="U3667" s="56">
        <v>0</v>
      </c>
      <c r="V3667" s="56">
        <v>0</v>
      </c>
      <c r="W3667" s="56">
        <v>0</v>
      </c>
      <c r="X3667" s="56">
        <v>0</v>
      </c>
      <c r="Y3667" s="56">
        <v>0</v>
      </c>
      <c r="Z3667" s="56">
        <v>0</v>
      </c>
      <c r="AA3667" s="56">
        <v>0</v>
      </c>
      <c r="AB3667" s="56">
        <v>0</v>
      </c>
      <c r="AC3667" s="56">
        <v>0</v>
      </c>
      <c r="AD3667" s="56">
        <v>0</v>
      </c>
      <c r="AE3667" s="56" t="s">
        <v>145</v>
      </c>
      <c r="AF3667" s="56" t="s">
        <v>21342</v>
      </c>
      <c r="AG3667" s="56" t="s">
        <v>6459</v>
      </c>
      <c r="AH3667" s="72">
        <v>45179</v>
      </c>
      <c r="AI3667" s="56"/>
      <c r="AJ3667" s="56"/>
      <c r="AK3667" s="56"/>
      <c r="AL3667" s="157">
        <v>45294</v>
      </c>
      <c r="AM3667" s="157">
        <v>45562</v>
      </c>
      <c r="AN3667" s="204"/>
      <c r="AO3667" s="204"/>
    </row>
    <row r="3668" spans="1:53" ht="36.75" customHeight="1">
      <c r="A3668" s="46" t="s">
        <v>12471</v>
      </c>
      <c r="B3668" s="30" t="s">
        <v>55</v>
      </c>
      <c r="C3668" s="69" t="str">
        <f t="shared" si="315"/>
        <v>Closed</v>
      </c>
      <c r="D3668" s="37" t="s">
        <v>21343</v>
      </c>
      <c r="E3668" s="55" t="s">
        <v>21344</v>
      </c>
      <c r="F3668" s="56" t="s">
        <v>17344</v>
      </c>
      <c r="G3668" s="88">
        <f>DATE(2023,9,11)</f>
        <v>45180</v>
      </c>
      <c r="H3668" s="142">
        <v>1.2916666666666667</v>
      </c>
      <c r="I3668" s="56" t="s">
        <v>2264</v>
      </c>
      <c r="J3668" s="56" t="s">
        <v>21345</v>
      </c>
      <c r="K3668" s="56" t="s">
        <v>127</v>
      </c>
      <c r="L3668" s="56" t="s">
        <v>21346</v>
      </c>
      <c r="M3668" s="56" t="s">
        <v>63</v>
      </c>
      <c r="N3668" s="56" t="s">
        <v>99</v>
      </c>
      <c r="O3668" s="56" t="s">
        <v>64</v>
      </c>
      <c r="P3668" s="56" t="s">
        <v>78</v>
      </c>
      <c r="Q3668" s="56" t="s">
        <v>167</v>
      </c>
      <c r="R3668" s="56" t="s">
        <v>21347</v>
      </c>
      <c r="S3668" s="56">
        <v>0</v>
      </c>
      <c r="T3668" s="56">
        <v>0</v>
      </c>
      <c r="U3668" s="56">
        <v>0</v>
      </c>
      <c r="V3668" s="56">
        <v>0</v>
      </c>
      <c r="W3668" s="56">
        <v>0</v>
      </c>
      <c r="X3668" s="56">
        <v>0</v>
      </c>
      <c r="Y3668" s="56">
        <v>0</v>
      </c>
      <c r="Z3668" s="56">
        <v>0</v>
      </c>
      <c r="AA3668" s="56">
        <v>0</v>
      </c>
      <c r="AB3668" s="56">
        <v>0</v>
      </c>
      <c r="AC3668" s="56">
        <v>0</v>
      </c>
      <c r="AD3668" s="56">
        <v>0</v>
      </c>
      <c r="AE3668" s="56" t="s">
        <v>92</v>
      </c>
      <c r="AF3668" s="56" t="s">
        <v>21348</v>
      </c>
      <c r="AG3668" s="56" t="s">
        <v>8859</v>
      </c>
      <c r="AH3668" s="72">
        <v>45191</v>
      </c>
      <c r="AI3668" s="56">
        <v>2</v>
      </c>
      <c r="AJ3668" s="56" t="s">
        <v>21349</v>
      </c>
      <c r="AK3668" s="56" t="s">
        <v>21350</v>
      </c>
      <c r="AL3668" s="157">
        <v>45195</v>
      </c>
      <c r="AM3668" s="56"/>
      <c r="AN3668" s="157">
        <v>45589</v>
      </c>
      <c r="AO3668" s="208">
        <v>45586</v>
      </c>
    </row>
    <row r="3669" spans="1:53" ht="36.75" customHeight="1">
      <c r="A3669" s="46" t="s">
        <v>12471</v>
      </c>
      <c r="B3669" s="30" t="s">
        <v>55</v>
      </c>
      <c r="C3669" s="69" t="str">
        <f t="shared" si="315"/>
        <v>Closed</v>
      </c>
      <c r="D3669" s="37" t="s">
        <v>21351</v>
      </c>
      <c r="E3669" s="55" t="s">
        <v>21352</v>
      </c>
      <c r="F3669" s="56" t="s">
        <v>16429</v>
      </c>
      <c r="G3669" s="88">
        <f>DATE(2023,9,14)</f>
        <v>45183</v>
      </c>
      <c r="H3669" s="142">
        <v>1.6798611111111112</v>
      </c>
      <c r="I3669" s="56" t="s">
        <v>198</v>
      </c>
      <c r="J3669" s="56" t="s">
        <v>21353</v>
      </c>
      <c r="K3669" s="56" t="s">
        <v>425</v>
      </c>
      <c r="L3669" s="56" t="s">
        <v>21354</v>
      </c>
      <c r="M3669" s="56" t="s">
        <v>63</v>
      </c>
      <c r="N3669" s="56" t="s">
        <v>99</v>
      </c>
      <c r="O3669" s="56" t="s">
        <v>77</v>
      </c>
      <c r="P3669" s="56" t="s">
        <v>21355</v>
      </c>
      <c r="Q3669" s="56" t="s">
        <v>21356</v>
      </c>
      <c r="R3669" s="56" t="s">
        <v>17369</v>
      </c>
      <c r="S3669" s="56">
        <v>0</v>
      </c>
      <c r="T3669" s="56">
        <v>0</v>
      </c>
      <c r="U3669" s="56">
        <v>0</v>
      </c>
      <c r="V3669" s="56">
        <v>0</v>
      </c>
      <c r="W3669" s="56">
        <v>0</v>
      </c>
      <c r="X3669" s="56">
        <v>0</v>
      </c>
      <c r="Y3669" s="56">
        <v>0</v>
      </c>
      <c r="Z3669" s="56">
        <v>0</v>
      </c>
      <c r="AA3669" s="56">
        <v>0</v>
      </c>
      <c r="AB3669" s="56">
        <v>0</v>
      </c>
      <c r="AC3669" s="56">
        <v>0</v>
      </c>
      <c r="AD3669" s="56">
        <v>0</v>
      </c>
      <c r="AE3669" s="56" t="s">
        <v>92</v>
      </c>
      <c r="AF3669" s="56" t="s">
        <v>21357</v>
      </c>
      <c r="AG3669" s="56" t="s">
        <v>16283</v>
      </c>
      <c r="AH3669" s="72">
        <v>45183</v>
      </c>
      <c r="AI3669" s="56">
        <v>0</v>
      </c>
      <c r="AJ3669" s="56" t="s">
        <v>21358</v>
      </c>
      <c r="AK3669" s="56" t="s">
        <v>18245</v>
      </c>
      <c r="AL3669" s="157">
        <v>45189</v>
      </c>
      <c r="AM3669" s="56"/>
      <c r="AN3669" s="157">
        <v>45425</v>
      </c>
      <c r="AO3669" s="157">
        <v>45422</v>
      </c>
    </row>
    <row r="3670" spans="1:53" ht="36.75" customHeight="1">
      <c r="A3670" s="46" t="s">
        <v>12471</v>
      </c>
      <c r="B3670" s="30" t="s">
        <v>55</v>
      </c>
      <c r="C3670" s="69" t="str">
        <f t="shared" si="315"/>
        <v>Closed</v>
      </c>
      <c r="D3670" s="37" t="s">
        <v>21359</v>
      </c>
      <c r="E3670" s="55" t="s">
        <v>21360</v>
      </c>
      <c r="F3670" s="56" t="s">
        <v>19149</v>
      </c>
      <c r="G3670" s="88">
        <f>DATE(2023,9,17)</f>
        <v>45186</v>
      </c>
      <c r="H3670" s="142">
        <v>1.8298611111111112</v>
      </c>
      <c r="I3670" s="56" t="s">
        <v>278</v>
      </c>
      <c r="J3670" s="56" t="s">
        <v>278</v>
      </c>
      <c r="K3670" s="56" t="s">
        <v>19151</v>
      </c>
      <c r="L3670" s="56" t="s">
        <v>21361</v>
      </c>
      <c r="M3670" s="56" t="s">
        <v>63</v>
      </c>
      <c r="N3670" s="56" t="s">
        <v>142</v>
      </c>
      <c r="O3670" s="56" t="s">
        <v>64</v>
      </c>
      <c r="P3670" s="56" t="s">
        <v>65</v>
      </c>
      <c r="Q3670" s="56" t="s">
        <v>19153</v>
      </c>
      <c r="R3670" s="56" t="s">
        <v>19154</v>
      </c>
      <c r="S3670" s="56">
        <v>0</v>
      </c>
      <c r="T3670" s="56">
        <v>0</v>
      </c>
      <c r="U3670" s="56">
        <v>0</v>
      </c>
      <c r="V3670" s="56">
        <v>1</v>
      </c>
      <c r="W3670" s="56">
        <v>0</v>
      </c>
      <c r="X3670" s="56">
        <v>1</v>
      </c>
      <c r="Y3670" s="56">
        <v>0</v>
      </c>
      <c r="Z3670" s="56">
        <v>0</v>
      </c>
      <c r="AA3670" s="56">
        <v>0</v>
      </c>
      <c r="AB3670" s="56">
        <v>0</v>
      </c>
      <c r="AC3670" s="56">
        <v>0</v>
      </c>
      <c r="AD3670" s="56">
        <v>0</v>
      </c>
      <c r="AE3670" s="56" t="s">
        <v>92</v>
      </c>
      <c r="AF3670" s="56" t="s">
        <v>10556</v>
      </c>
      <c r="AG3670" s="56" t="s">
        <v>6459</v>
      </c>
      <c r="AH3670" s="72">
        <v>45189</v>
      </c>
      <c r="AI3670" s="56">
        <v>0</v>
      </c>
      <c r="AJ3670" s="56" t="s">
        <v>21362</v>
      </c>
      <c r="AK3670" s="56" t="s">
        <v>10556</v>
      </c>
      <c r="AL3670" s="157">
        <v>45257</v>
      </c>
      <c r="AM3670" s="56"/>
      <c r="AN3670" s="195">
        <v>45257</v>
      </c>
      <c r="AO3670" s="195">
        <v>45257</v>
      </c>
    </row>
    <row r="3671" spans="1:53" ht="36.75" customHeight="1">
      <c r="A3671" s="46" t="s">
        <v>12471</v>
      </c>
      <c r="B3671" s="30" t="s">
        <v>55</v>
      </c>
      <c r="C3671" s="69" t="str">
        <f t="shared" si="315"/>
        <v>Closed</v>
      </c>
      <c r="D3671" s="37" t="s">
        <v>21363</v>
      </c>
      <c r="E3671" s="55" t="s">
        <v>21364</v>
      </c>
      <c r="F3671" s="55" t="s">
        <v>18881</v>
      </c>
      <c r="G3671" s="88">
        <f>DATE(2023,9,20)</f>
        <v>45189</v>
      </c>
      <c r="H3671" s="142">
        <v>1.3229166666666667</v>
      </c>
      <c r="I3671" s="55" t="s">
        <v>198</v>
      </c>
      <c r="J3671" s="55" t="s">
        <v>21365</v>
      </c>
      <c r="K3671" s="55" t="s">
        <v>61</v>
      </c>
      <c r="L3671" s="55" t="s">
        <v>21366</v>
      </c>
      <c r="M3671" s="55" t="s">
        <v>63</v>
      </c>
      <c r="N3671" s="55" t="s">
        <v>89</v>
      </c>
      <c r="O3671" s="55" t="s">
        <v>90</v>
      </c>
      <c r="P3671" s="55" t="s">
        <v>78</v>
      </c>
      <c r="Q3671" s="55" t="s">
        <v>66</v>
      </c>
      <c r="R3671" s="55" t="s">
        <v>18884</v>
      </c>
      <c r="S3671" s="55">
        <v>0</v>
      </c>
      <c r="T3671" s="55">
        <v>0</v>
      </c>
      <c r="U3671" s="55">
        <v>0</v>
      </c>
      <c r="V3671" s="55">
        <v>0</v>
      </c>
      <c r="W3671" s="55">
        <v>0</v>
      </c>
      <c r="X3671" s="55">
        <v>0</v>
      </c>
      <c r="Y3671" s="55">
        <v>0</v>
      </c>
      <c r="Z3671" s="55">
        <v>0</v>
      </c>
      <c r="AA3671" s="55">
        <v>0</v>
      </c>
      <c r="AB3671" s="55">
        <v>0</v>
      </c>
      <c r="AC3671" s="55">
        <v>0</v>
      </c>
      <c r="AD3671" s="55">
        <v>0</v>
      </c>
      <c r="AE3671" s="55" t="s">
        <v>394</v>
      </c>
      <c r="AF3671" s="55" t="s">
        <v>21367</v>
      </c>
      <c r="AG3671" s="55" t="s">
        <v>14033</v>
      </c>
      <c r="AH3671" s="72">
        <v>45195</v>
      </c>
      <c r="AI3671" s="55">
        <v>4</v>
      </c>
      <c r="AJ3671" s="55" t="s">
        <v>21368</v>
      </c>
      <c r="AK3671" s="55" t="s">
        <v>21369</v>
      </c>
      <c r="AL3671" s="157">
        <v>45195</v>
      </c>
      <c r="AM3671" s="55"/>
      <c r="AN3671" s="157">
        <v>45462</v>
      </c>
      <c r="AO3671" s="157">
        <v>45462</v>
      </c>
    </row>
    <row r="3672" spans="1:53" ht="36.75" customHeight="1">
      <c r="A3672" s="46" t="s">
        <v>12471</v>
      </c>
      <c r="B3672" s="30" t="s">
        <v>55</v>
      </c>
      <c r="C3672" s="69" t="str">
        <f t="shared" si="315"/>
        <v>Closed</v>
      </c>
      <c r="D3672" s="37" t="s">
        <v>21370</v>
      </c>
      <c r="E3672" s="55" t="s">
        <v>21371</v>
      </c>
      <c r="F3672" s="56" t="s">
        <v>12910</v>
      </c>
      <c r="G3672" s="88">
        <f>DATE(2023,9,24)</f>
        <v>45193</v>
      </c>
      <c r="H3672" s="142">
        <v>1.8680555555555554</v>
      </c>
      <c r="I3672" s="55" t="s">
        <v>278</v>
      </c>
      <c r="J3672" s="55" t="s">
        <v>278</v>
      </c>
      <c r="K3672" s="55" t="s">
        <v>453</v>
      </c>
      <c r="L3672" s="55" t="s">
        <v>21372</v>
      </c>
      <c r="M3672" s="55" t="s">
        <v>63</v>
      </c>
      <c r="N3672" s="55" t="s">
        <v>142</v>
      </c>
      <c r="O3672" s="55" t="s">
        <v>77</v>
      </c>
      <c r="P3672" s="55" t="s">
        <v>6902</v>
      </c>
      <c r="Q3672" s="55" t="s">
        <v>20089</v>
      </c>
      <c r="R3672" s="55" t="s">
        <v>572</v>
      </c>
      <c r="S3672" s="55">
        <v>0</v>
      </c>
      <c r="T3672" s="55">
        <v>0</v>
      </c>
      <c r="U3672" s="55">
        <v>0</v>
      </c>
      <c r="V3672" s="55">
        <v>1</v>
      </c>
      <c r="W3672" s="55">
        <v>0</v>
      </c>
      <c r="X3672" s="55">
        <v>1</v>
      </c>
      <c r="Y3672" s="55">
        <v>0</v>
      </c>
      <c r="Z3672" s="55">
        <v>0</v>
      </c>
      <c r="AA3672" s="55">
        <v>0</v>
      </c>
      <c r="AB3672" s="55">
        <v>0</v>
      </c>
      <c r="AC3672" s="55">
        <v>0</v>
      </c>
      <c r="AD3672" s="55">
        <v>0</v>
      </c>
      <c r="AE3672" s="55" t="s">
        <v>92</v>
      </c>
      <c r="AF3672" s="55" t="s">
        <v>712</v>
      </c>
      <c r="AG3672" s="55" t="s">
        <v>6459</v>
      </c>
      <c r="AH3672" s="72">
        <v>45196</v>
      </c>
      <c r="AI3672" s="55">
        <v>0</v>
      </c>
      <c r="AJ3672" s="55" t="s">
        <v>21106</v>
      </c>
      <c r="AK3672" s="55" t="s">
        <v>21373</v>
      </c>
      <c r="AL3672" s="157">
        <v>45197</v>
      </c>
      <c r="AM3672" s="55"/>
      <c r="AN3672" s="157">
        <v>45463</v>
      </c>
      <c r="AO3672" s="157">
        <v>45463</v>
      </c>
    </row>
    <row r="3673" spans="1:53" ht="36.75" customHeight="1">
      <c r="A3673" s="46" t="s">
        <v>12471</v>
      </c>
      <c r="B3673" s="30" t="s">
        <v>55</v>
      </c>
      <c r="C3673" s="69" t="str">
        <f t="shared" si="315"/>
        <v>Closed</v>
      </c>
      <c r="D3673" s="203" t="s">
        <v>21374</v>
      </c>
      <c r="E3673" s="55" t="s">
        <v>21375</v>
      </c>
      <c r="F3673" s="56" t="s">
        <v>9789</v>
      </c>
      <c r="G3673" s="88">
        <f>DATE(2023,9,27)</f>
        <v>45196</v>
      </c>
      <c r="H3673" s="142">
        <v>1.3368055555555556</v>
      </c>
      <c r="I3673" s="55" t="s">
        <v>278</v>
      </c>
      <c r="J3673" s="259" t="s">
        <v>21376</v>
      </c>
      <c r="K3673" s="55" t="s">
        <v>9791</v>
      </c>
      <c r="L3673" s="55" t="s">
        <v>21377</v>
      </c>
      <c r="M3673" s="55" t="s">
        <v>63</v>
      </c>
      <c r="N3673" s="55" t="s">
        <v>99</v>
      </c>
      <c r="O3673" s="55" t="s">
        <v>64</v>
      </c>
      <c r="P3673" s="56" t="s">
        <v>381</v>
      </c>
      <c r="Q3673" s="55" t="s">
        <v>21378</v>
      </c>
      <c r="R3673" s="55" t="s">
        <v>20774</v>
      </c>
      <c r="S3673" s="55">
        <v>0</v>
      </c>
      <c r="T3673" s="55">
        <v>0</v>
      </c>
      <c r="U3673" s="55">
        <v>0</v>
      </c>
      <c r="V3673" s="55">
        <v>0</v>
      </c>
      <c r="W3673" s="55">
        <v>0</v>
      </c>
      <c r="X3673" s="55">
        <v>0</v>
      </c>
      <c r="Y3673" s="55">
        <v>0</v>
      </c>
      <c r="Z3673" s="55">
        <v>1</v>
      </c>
      <c r="AA3673" s="55">
        <v>0</v>
      </c>
      <c r="AB3673" s="55">
        <v>0</v>
      </c>
      <c r="AC3673" s="55">
        <v>0</v>
      </c>
      <c r="AD3673" s="55">
        <v>1</v>
      </c>
      <c r="AE3673" s="55" t="s">
        <v>92</v>
      </c>
      <c r="AF3673" s="55" t="s">
        <v>21068</v>
      </c>
      <c r="AG3673" s="55" t="s">
        <v>8859</v>
      </c>
      <c r="AH3673" s="72">
        <v>45201</v>
      </c>
      <c r="AI3673" s="55">
        <v>1</v>
      </c>
      <c r="AJ3673" s="55" t="s">
        <v>21379</v>
      </c>
      <c r="AK3673" s="55" t="s">
        <v>21380</v>
      </c>
      <c r="AL3673" s="157">
        <v>45209</v>
      </c>
      <c r="AM3673" s="157">
        <v>45565</v>
      </c>
      <c r="AN3673" s="212">
        <v>45646</v>
      </c>
      <c r="AO3673" s="209"/>
    </row>
    <row r="3674" spans="1:53" ht="36.75" customHeight="1">
      <c r="A3674" s="46" t="s">
        <v>12471</v>
      </c>
      <c r="B3674" s="30" t="s">
        <v>2124</v>
      </c>
      <c r="C3674" s="69" t="str">
        <f t="shared" si="315"/>
        <v>Open</v>
      </c>
      <c r="D3674" s="36" t="s">
        <v>21381</v>
      </c>
      <c r="E3674" s="55" t="s">
        <v>21382</v>
      </c>
      <c r="F3674" s="56" t="s">
        <v>12474</v>
      </c>
      <c r="G3674" s="88">
        <f>DATE(2023,9,29)</f>
        <v>45198</v>
      </c>
      <c r="H3674" s="142">
        <v>1.6180555555555556</v>
      </c>
      <c r="I3674" s="72" t="s">
        <v>73</v>
      </c>
      <c r="J3674" s="55" t="s">
        <v>21383</v>
      </c>
      <c r="K3674" s="55" t="s">
        <v>200</v>
      </c>
      <c r="L3674" s="55" t="s">
        <v>21384</v>
      </c>
      <c r="M3674" s="55" t="s">
        <v>63</v>
      </c>
      <c r="N3674" s="55" t="s">
        <v>89</v>
      </c>
      <c r="O3674" s="55" t="s">
        <v>90</v>
      </c>
      <c r="P3674" s="55" t="s">
        <v>78</v>
      </c>
      <c r="Q3674" s="55" t="s">
        <v>2453</v>
      </c>
      <c r="R3674" s="55" t="s">
        <v>13578</v>
      </c>
      <c r="S3674" s="55"/>
      <c r="T3674" s="55"/>
      <c r="U3674" s="55"/>
      <c r="V3674" s="55"/>
      <c r="W3674" s="55"/>
      <c r="X3674" s="55">
        <v>0</v>
      </c>
      <c r="Y3674" s="55"/>
      <c r="Z3674" s="55"/>
      <c r="AA3674" s="55"/>
      <c r="AB3674" s="55"/>
      <c r="AC3674" s="55"/>
      <c r="AD3674" s="55">
        <v>0</v>
      </c>
      <c r="AE3674" s="55" t="s">
        <v>145</v>
      </c>
      <c r="AF3674" s="55" t="s">
        <v>21385</v>
      </c>
      <c r="AG3674" s="55" t="s">
        <v>6459</v>
      </c>
      <c r="AH3674" s="72">
        <v>45265</v>
      </c>
      <c r="AI3674" s="55"/>
      <c r="AJ3674" s="55"/>
      <c r="AK3674" s="55"/>
      <c r="AL3674" s="157">
        <v>45300</v>
      </c>
      <c r="AM3674" s="55"/>
      <c r="AN3674" s="209"/>
      <c r="AO3674" s="209"/>
    </row>
    <row r="3675" spans="1:53" ht="36.75" customHeight="1">
      <c r="A3675" s="46" t="s">
        <v>12471</v>
      </c>
      <c r="B3675" s="30" t="s">
        <v>55</v>
      </c>
      <c r="C3675" s="69" t="str">
        <f t="shared" si="315"/>
        <v>Closed</v>
      </c>
      <c r="D3675" s="37" t="s">
        <v>21386</v>
      </c>
      <c r="E3675" s="55" t="s">
        <v>21387</v>
      </c>
      <c r="F3675" s="55" t="s">
        <v>17682</v>
      </c>
      <c r="G3675" s="88">
        <f>DATE(2023,10,3)</f>
        <v>45202</v>
      </c>
      <c r="H3675" s="142">
        <v>1.1041666666666667</v>
      </c>
      <c r="I3675" s="56" t="s">
        <v>73</v>
      </c>
      <c r="J3675" s="55" t="s">
        <v>21388</v>
      </c>
      <c r="K3675" s="55" t="s">
        <v>1574</v>
      </c>
      <c r="L3675" s="55" t="s">
        <v>21389</v>
      </c>
      <c r="M3675" s="55" t="s">
        <v>63</v>
      </c>
      <c r="N3675" s="55" t="s">
        <v>142</v>
      </c>
      <c r="O3675" s="55" t="s">
        <v>64</v>
      </c>
      <c r="P3675" s="55" t="s">
        <v>78</v>
      </c>
      <c r="Q3675" s="55" t="s">
        <v>19970</v>
      </c>
      <c r="R3675" s="55" t="s">
        <v>19007</v>
      </c>
      <c r="S3675" s="55">
        <v>0</v>
      </c>
      <c r="T3675" s="55">
        <v>0</v>
      </c>
      <c r="U3675" s="55">
        <v>0</v>
      </c>
      <c r="V3675" s="55">
        <v>0</v>
      </c>
      <c r="W3675" s="55">
        <v>0</v>
      </c>
      <c r="X3675" s="55">
        <v>0</v>
      </c>
      <c r="Y3675" s="55">
        <v>0</v>
      </c>
      <c r="Z3675" s="55">
        <v>0</v>
      </c>
      <c r="AA3675" s="55">
        <v>0</v>
      </c>
      <c r="AB3675" s="55">
        <v>0</v>
      </c>
      <c r="AC3675" s="55">
        <v>0</v>
      </c>
      <c r="AD3675" s="55">
        <v>0</v>
      </c>
      <c r="AE3675" s="56" t="s">
        <v>92</v>
      </c>
      <c r="AF3675" s="55" t="s">
        <v>21390</v>
      </c>
      <c r="AG3675" s="55" t="s">
        <v>8859</v>
      </c>
      <c r="AH3675" s="72">
        <v>45203</v>
      </c>
      <c r="AI3675" s="55">
        <v>1</v>
      </c>
      <c r="AJ3675" s="55" t="s">
        <v>21391</v>
      </c>
      <c r="AK3675" s="55" t="s">
        <v>21392</v>
      </c>
      <c r="AL3675" s="157">
        <v>45203</v>
      </c>
      <c r="AM3675" s="55"/>
      <c r="AN3675" s="157">
        <v>45203</v>
      </c>
      <c r="AO3675" s="157">
        <v>45200</v>
      </c>
      <c r="AP3675" s="55"/>
      <c r="AQ3675" s="55"/>
      <c r="AR3675" s="55"/>
      <c r="AS3675" s="55"/>
      <c r="AT3675" s="55"/>
      <c r="AU3675" s="55"/>
      <c r="AV3675" s="55"/>
      <c r="AW3675" s="55"/>
      <c r="AX3675" s="55"/>
      <c r="AY3675" s="55"/>
      <c r="AZ3675" s="55"/>
      <c r="BA3675" s="55"/>
    </row>
    <row r="3676" spans="1:53" ht="36.75" customHeight="1">
      <c r="A3676" s="46" t="s">
        <v>12471</v>
      </c>
      <c r="B3676" s="30" t="s">
        <v>55</v>
      </c>
      <c r="C3676" s="69" t="str">
        <f t="shared" si="315"/>
        <v>Closed</v>
      </c>
      <c r="D3676" s="37" t="s">
        <v>21393</v>
      </c>
      <c r="E3676" s="55" t="s">
        <v>21394</v>
      </c>
      <c r="F3676" s="55" t="s">
        <v>16429</v>
      </c>
      <c r="G3676" s="88">
        <f>DATE(2023,10,3)</f>
        <v>45202</v>
      </c>
      <c r="H3676" s="142">
        <v>1.3847222222222222</v>
      </c>
      <c r="I3676" s="55" t="s">
        <v>278</v>
      </c>
      <c r="J3676" s="55" t="s">
        <v>21395</v>
      </c>
      <c r="K3676" s="55" t="s">
        <v>425</v>
      </c>
      <c r="L3676" s="55" t="s">
        <v>21396</v>
      </c>
      <c r="M3676" s="55" t="s">
        <v>63</v>
      </c>
      <c r="N3676" s="55" t="s">
        <v>99</v>
      </c>
      <c r="O3676" s="55" t="s">
        <v>64</v>
      </c>
      <c r="P3676" s="55" t="s">
        <v>86</v>
      </c>
      <c r="Q3676" s="55" t="s">
        <v>18615</v>
      </c>
      <c r="R3676" s="55" t="s">
        <v>17369</v>
      </c>
      <c r="S3676" s="55">
        <v>0</v>
      </c>
      <c r="T3676" s="55">
        <v>2</v>
      </c>
      <c r="U3676" s="55">
        <v>0</v>
      </c>
      <c r="V3676" s="55">
        <v>0</v>
      </c>
      <c r="W3676" s="55">
        <v>0</v>
      </c>
      <c r="X3676" s="55">
        <v>2</v>
      </c>
      <c r="Y3676" s="55">
        <v>0</v>
      </c>
      <c r="Z3676" s="55">
        <v>2</v>
      </c>
      <c r="AA3676" s="55">
        <v>0</v>
      </c>
      <c r="AB3676" s="55">
        <v>0</v>
      </c>
      <c r="AC3676" s="55">
        <v>0</v>
      </c>
      <c r="AD3676" s="55">
        <v>2</v>
      </c>
      <c r="AE3676" s="55" t="s">
        <v>92</v>
      </c>
      <c r="AF3676" s="55" t="s">
        <v>21397</v>
      </c>
      <c r="AG3676" s="55" t="s">
        <v>16283</v>
      </c>
      <c r="AH3676" s="72">
        <v>45202</v>
      </c>
      <c r="AI3676" s="55">
        <v>1</v>
      </c>
      <c r="AJ3676" s="55" t="s">
        <v>21398</v>
      </c>
      <c r="AK3676" s="55" t="s">
        <v>879</v>
      </c>
      <c r="AL3676" s="157">
        <v>45204</v>
      </c>
      <c r="AM3676" s="55"/>
      <c r="AN3676" s="157">
        <v>45471</v>
      </c>
      <c r="AO3676" s="157">
        <v>45447</v>
      </c>
    </row>
    <row r="3677" spans="1:53" ht="36.75" customHeight="1">
      <c r="A3677" s="46" t="s">
        <v>12471</v>
      </c>
      <c r="B3677" s="30" t="s">
        <v>55</v>
      </c>
      <c r="C3677" s="69" t="str">
        <f t="shared" si="315"/>
        <v>Closed</v>
      </c>
      <c r="D3677" s="203" t="s">
        <v>21399</v>
      </c>
      <c r="E3677" s="55" t="s">
        <v>21400</v>
      </c>
      <c r="F3677" s="55" t="s">
        <v>17057</v>
      </c>
      <c r="G3677" s="88">
        <f>DATE(2023,10,5)</f>
        <v>45204</v>
      </c>
      <c r="H3677" s="142">
        <v>1.2916666666666667</v>
      </c>
      <c r="I3677" s="55" t="s">
        <v>198</v>
      </c>
      <c r="J3677" s="55" t="s">
        <v>21401</v>
      </c>
      <c r="K3677" s="55" t="s">
        <v>2338</v>
      </c>
      <c r="L3677" s="55" t="s">
        <v>21402</v>
      </c>
      <c r="M3677" s="55" t="s">
        <v>63</v>
      </c>
      <c r="N3677" s="55" t="s">
        <v>89</v>
      </c>
      <c r="O3677" s="55" t="s">
        <v>77</v>
      </c>
      <c r="P3677" s="55" t="s">
        <v>165</v>
      </c>
      <c r="Q3677" s="55" t="s">
        <v>21403</v>
      </c>
      <c r="R3677" s="55" t="s">
        <v>2341</v>
      </c>
      <c r="S3677" s="55">
        <v>0</v>
      </c>
      <c r="T3677" s="55">
        <v>0</v>
      </c>
      <c r="U3677" s="55">
        <v>0</v>
      </c>
      <c r="V3677" s="55">
        <v>0</v>
      </c>
      <c r="W3677" s="55">
        <v>0</v>
      </c>
      <c r="X3677" s="55">
        <v>0</v>
      </c>
      <c r="Y3677" s="55">
        <v>0</v>
      </c>
      <c r="Z3677" s="55">
        <v>3</v>
      </c>
      <c r="AA3677" s="55">
        <v>0</v>
      </c>
      <c r="AB3677" s="55">
        <v>0</v>
      </c>
      <c r="AC3677" s="55">
        <v>0</v>
      </c>
      <c r="AD3677" s="55">
        <v>3</v>
      </c>
      <c r="AE3677" s="55" t="s">
        <v>394</v>
      </c>
      <c r="AF3677" s="55" t="s">
        <v>21404</v>
      </c>
      <c r="AG3677" s="55" t="s">
        <v>8859</v>
      </c>
      <c r="AH3677" s="72">
        <v>45205</v>
      </c>
      <c r="AI3677" s="55">
        <v>6</v>
      </c>
      <c r="AJ3677" s="55" t="s">
        <v>21405</v>
      </c>
      <c r="AK3677" s="55" t="s">
        <v>21406</v>
      </c>
      <c r="AL3677" s="157">
        <v>45209</v>
      </c>
      <c r="AM3677" s="157">
        <v>45670</v>
      </c>
      <c r="AN3677" s="157">
        <v>45747</v>
      </c>
      <c r="AO3677" s="157">
        <v>45713</v>
      </c>
    </row>
    <row r="3678" spans="1:53" ht="36.75" customHeight="1">
      <c r="A3678" s="46" t="s">
        <v>12471</v>
      </c>
      <c r="B3678" s="30" t="s">
        <v>2124</v>
      </c>
      <c r="C3678" s="69" t="str">
        <f t="shared" si="315"/>
        <v>Open</v>
      </c>
      <c r="D3678" s="36" t="s">
        <v>21407</v>
      </c>
      <c r="E3678" s="55" t="s">
        <v>21408</v>
      </c>
      <c r="F3678" s="55" t="s">
        <v>17578</v>
      </c>
      <c r="G3678" s="88">
        <f>DATE(2023,10,5)</f>
        <v>45204</v>
      </c>
      <c r="H3678" s="142">
        <v>1.2777777777777777</v>
      </c>
      <c r="I3678" s="55" t="s">
        <v>73</v>
      </c>
      <c r="J3678" s="55" t="s">
        <v>21409</v>
      </c>
      <c r="K3678" s="55" t="s">
        <v>837</v>
      </c>
      <c r="L3678" s="55" t="s">
        <v>14024</v>
      </c>
      <c r="M3678" s="55" t="s">
        <v>63</v>
      </c>
      <c r="N3678" s="55" t="s">
        <v>142</v>
      </c>
      <c r="O3678" s="55" t="s">
        <v>77</v>
      </c>
      <c r="P3678" s="55" t="s">
        <v>78</v>
      </c>
      <c r="Q3678" s="55" t="s">
        <v>21410</v>
      </c>
      <c r="R3678" s="55" t="s">
        <v>840</v>
      </c>
      <c r="S3678" s="55">
        <v>0</v>
      </c>
      <c r="T3678" s="55">
        <v>0</v>
      </c>
      <c r="U3678" s="55">
        <v>0</v>
      </c>
      <c r="V3678" s="55">
        <v>0</v>
      </c>
      <c r="W3678" s="55">
        <v>0</v>
      </c>
      <c r="X3678" s="55">
        <v>0</v>
      </c>
      <c r="Y3678" s="55">
        <v>0</v>
      </c>
      <c r="Z3678" s="55">
        <v>0</v>
      </c>
      <c r="AA3678" s="55">
        <v>0</v>
      </c>
      <c r="AB3678" s="55">
        <v>0</v>
      </c>
      <c r="AC3678" s="55">
        <v>0</v>
      </c>
      <c r="AD3678" s="55">
        <v>0</v>
      </c>
      <c r="AE3678" s="55" t="s">
        <v>92</v>
      </c>
      <c r="AF3678" s="55" t="s">
        <v>21411</v>
      </c>
      <c r="AG3678" s="55" t="s">
        <v>13537</v>
      </c>
      <c r="AH3678" s="72">
        <v>45209</v>
      </c>
      <c r="AI3678" s="55"/>
      <c r="AJ3678" s="55"/>
      <c r="AK3678" s="55"/>
      <c r="AL3678" s="157">
        <v>45211</v>
      </c>
      <c r="AM3678" s="55"/>
      <c r="AN3678" s="209"/>
      <c r="AO3678" s="209"/>
    </row>
    <row r="3679" spans="1:53" ht="36.75" customHeight="1">
      <c r="A3679" s="46" t="s">
        <v>12471</v>
      </c>
      <c r="B3679" s="30" t="s">
        <v>55</v>
      </c>
      <c r="C3679" s="69" t="str">
        <f t="shared" si="315"/>
        <v>Closed</v>
      </c>
      <c r="D3679" s="37" t="s">
        <v>21412</v>
      </c>
      <c r="E3679" s="55" t="s">
        <v>21413</v>
      </c>
      <c r="F3679" s="55" t="s">
        <v>16429</v>
      </c>
      <c r="G3679" s="88">
        <f>DATE(2023,10,6)</f>
        <v>45205</v>
      </c>
      <c r="H3679" s="142">
        <v>1.8270833333333334</v>
      </c>
      <c r="I3679" s="55" t="s">
        <v>278</v>
      </c>
      <c r="J3679" s="55" t="s">
        <v>21414</v>
      </c>
      <c r="K3679" s="55" t="s">
        <v>425</v>
      </c>
      <c r="L3679" s="55" t="s">
        <v>21415</v>
      </c>
      <c r="M3679" s="55" t="s">
        <v>63</v>
      </c>
      <c r="N3679" s="55" t="s">
        <v>142</v>
      </c>
      <c r="O3679" s="55" t="s">
        <v>64</v>
      </c>
      <c r="P3679" s="55" t="s">
        <v>78</v>
      </c>
      <c r="Q3679" s="55" t="s">
        <v>18098</v>
      </c>
      <c r="R3679" s="55" t="s">
        <v>17369</v>
      </c>
      <c r="S3679" s="55">
        <v>0</v>
      </c>
      <c r="T3679" s="55">
        <v>1</v>
      </c>
      <c r="U3679" s="55">
        <v>0</v>
      </c>
      <c r="V3679" s="55">
        <v>0</v>
      </c>
      <c r="W3679" s="55">
        <v>0</v>
      </c>
      <c r="X3679" s="55">
        <v>1</v>
      </c>
      <c r="Y3679" s="55">
        <v>0</v>
      </c>
      <c r="Z3679" s="55">
        <v>0</v>
      </c>
      <c r="AA3679" s="55">
        <v>0</v>
      </c>
      <c r="AB3679" s="55">
        <v>0</v>
      </c>
      <c r="AC3679" s="55">
        <v>0</v>
      </c>
      <c r="AD3679" s="55">
        <v>0</v>
      </c>
      <c r="AE3679" s="55" t="s">
        <v>92</v>
      </c>
      <c r="AF3679" s="55" t="s">
        <v>21416</v>
      </c>
      <c r="AG3679" s="55" t="s">
        <v>20056</v>
      </c>
      <c r="AH3679" s="72">
        <v>45205</v>
      </c>
      <c r="AI3679" s="55">
        <v>0</v>
      </c>
      <c r="AJ3679" s="55" t="s">
        <v>21417</v>
      </c>
      <c r="AK3679" s="55" t="s">
        <v>879</v>
      </c>
      <c r="AL3679" s="157">
        <v>45209</v>
      </c>
      <c r="AM3679" s="55"/>
      <c r="AN3679" s="157">
        <v>45530</v>
      </c>
      <c r="AO3679" s="157">
        <v>45524</v>
      </c>
    </row>
    <row r="3680" spans="1:53" ht="36.75" customHeight="1">
      <c r="A3680" s="46" t="s">
        <v>12471</v>
      </c>
      <c r="B3680" s="30" t="s">
        <v>55</v>
      </c>
      <c r="C3680" s="69" t="str">
        <f t="shared" si="315"/>
        <v>Closed</v>
      </c>
      <c r="D3680" s="37" t="s">
        <v>21418</v>
      </c>
      <c r="E3680" s="55" t="s">
        <v>21419</v>
      </c>
      <c r="F3680" s="55" t="s">
        <v>17344</v>
      </c>
      <c r="G3680" s="88">
        <f>DATE(2023,10,16)</f>
        <v>45215</v>
      </c>
      <c r="H3680" s="142">
        <v>1.875</v>
      </c>
      <c r="I3680" s="55" t="s">
        <v>73</v>
      </c>
      <c r="J3680" s="55" t="s">
        <v>21420</v>
      </c>
      <c r="K3680" s="55" t="s">
        <v>127</v>
      </c>
      <c r="L3680" s="55" t="s">
        <v>21421</v>
      </c>
      <c r="M3680" s="55" t="s">
        <v>63</v>
      </c>
      <c r="N3680" s="55" t="s">
        <v>99</v>
      </c>
      <c r="O3680" s="55" t="s">
        <v>77</v>
      </c>
      <c r="P3680" s="55" t="s">
        <v>165</v>
      </c>
      <c r="Q3680" s="55" t="s">
        <v>21422</v>
      </c>
      <c r="R3680" s="55" t="s">
        <v>167</v>
      </c>
      <c r="S3680" s="55">
        <v>0</v>
      </c>
      <c r="T3680" s="55">
        <v>0</v>
      </c>
      <c r="U3680" s="55">
        <v>0</v>
      </c>
      <c r="V3680" s="55">
        <v>0</v>
      </c>
      <c r="W3680" s="55">
        <v>0</v>
      </c>
      <c r="X3680" s="55">
        <v>0</v>
      </c>
      <c r="Y3680" s="55">
        <v>0</v>
      </c>
      <c r="Z3680" s="55">
        <v>0</v>
      </c>
      <c r="AA3680" s="55">
        <v>0</v>
      </c>
      <c r="AB3680" s="55">
        <v>0</v>
      </c>
      <c r="AC3680" s="55">
        <v>0</v>
      </c>
      <c r="AD3680" s="55">
        <v>0</v>
      </c>
      <c r="AE3680" s="55" t="s">
        <v>394</v>
      </c>
      <c r="AF3680" s="55" t="s">
        <v>21423</v>
      </c>
      <c r="AG3680" s="55" t="s">
        <v>8859</v>
      </c>
      <c r="AH3680" s="72">
        <v>45217</v>
      </c>
      <c r="AI3680" s="55">
        <v>1</v>
      </c>
      <c r="AJ3680" s="55" t="s">
        <v>21424</v>
      </c>
      <c r="AK3680" s="55" t="s">
        <v>21425</v>
      </c>
      <c r="AL3680" s="157">
        <v>45218</v>
      </c>
      <c r="AM3680" s="55"/>
      <c r="AN3680" s="157">
        <v>45609</v>
      </c>
      <c r="AO3680" s="157">
        <v>45609</v>
      </c>
    </row>
    <row r="3681" spans="1:55" ht="36.75" customHeight="1">
      <c r="A3681" s="46" t="s">
        <v>12471</v>
      </c>
      <c r="B3681" s="30" t="s">
        <v>55</v>
      </c>
      <c r="C3681" s="69" t="str">
        <f t="shared" si="315"/>
        <v>Closed</v>
      </c>
      <c r="D3681" s="37" t="s">
        <v>21426</v>
      </c>
      <c r="E3681" s="55" t="s">
        <v>21427</v>
      </c>
      <c r="F3681" s="55" t="s">
        <v>16429</v>
      </c>
      <c r="G3681" s="88">
        <f>DATE(2023,10,16)</f>
        <v>45215</v>
      </c>
      <c r="H3681" s="142">
        <v>1.7208333333333332</v>
      </c>
      <c r="I3681" s="55" t="s">
        <v>278</v>
      </c>
      <c r="J3681" s="55" t="s">
        <v>21428</v>
      </c>
      <c r="K3681" s="55" t="s">
        <v>425</v>
      </c>
      <c r="L3681" s="55" t="s">
        <v>21429</v>
      </c>
      <c r="M3681" s="55" t="s">
        <v>63</v>
      </c>
      <c r="N3681" s="55" t="s">
        <v>142</v>
      </c>
      <c r="O3681" s="55" t="s">
        <v>64</v>
      </c>
      <c r="P3681" s="55" t="s">
        <v>21355</v>
      </c>
      <c r="Q3681" s="55" t="s">
        <v>21430</v>
      </c>
      <c r="R3681" s="55" t="s">
        <v>17369</v>
      </c>
      <c r="S3681" s="55">
        <v>1</v>
      </c>
      <c r="T3681" s="55">
        <v>0</v>
      </c>
      <c r="U3681" s="55">
        <v>0</v>
      </c>
      <c r="V3681" s="55">
        <v>0</v>
      </c>
      <c r="W3681" s="55">
        <v>0</v>
      </c>
      <c r="X3681" s="55">
        <v>1</v>
      </c>
      <c r="Y3681" s="55">
        <v>0</v>
      </c>
      <c r="Z3681" s="55">
        <v>0</v>
      </c>
      <c r="AA3681" s="55">
        <v>0</v>
      </c>
      <c r="AB3681" s="55">
        <v>0</v>
      </c>
      <c r="AC3681" s="55">
        <v>0</v>
      </c>
      <c r="AD3681" s="55">
        <v>0</v>
      </c>
      <c r="AE3681" s="55" t="s">
        <v>92</v>
      </c>
      <c r="AF3681" s="55" t="s">
        <v>21416</v>
      </c>
      <c r="AG3681" s="55" t="s">
        <v>16283</v>
      </c>
      <c r="AH3681" s="72">
        <v>45215</v>
      </c>
      <c r="AI3681" s="55">
        <v>0</v>
      </c>
      <c r="AJ3681" s="55" t="s">
        <v>21431</v>
      </c>
      <c r="AK3681" s="55" t="s">
        <v>879</v>
      </c>
      <c r="AL3681" s="157">
        <v>45218</v>
      </c>
      <c r="AM3681" s="55"/>
      <c r="AN3681" s="157">
        <v>45530</v>
      </c>
      <c r="AO3681" s="157">
        <v>45497</v>
      </c>
    </row>
    <row r="3682" spans="1:55" ht="36.75" customHeight="1">
      <c r="A3682" s="46" t="s">
        <v>12471</v>
      </c>
      <c r="B3682" s="30" t="s">
        <v>55</v>
      </c>
      <c r="C3682" s="69" t="str">
        <f t="shared" si="315"/>
        <v>Closed</v>
      </c>
      <c r="D3682" s="37" t="s">
        <v>21432</v>
      </c>
      <c r="E3682" s="55" t="s">
        <v>21433</v>
      </c>
      <c r="F3682" s="55" t="s">
        <v>16429</v>
      </c>
      <c r="G3682" s="88">
        <f>DATE(2023,10,17)</f>
        <v>45216</v>
      </c>
      <c r="H3682" s="142">
        <v>1.3472222222222223</v>
      </c>
      <c r="I3682" s="55" t="s">
        <v>116</v>
      </c>
      <c r="J3682" s="55" t="s">
        <v>21434</v>
      </c>
      <c r="K3682" s="55" t="s">
        <v>425</v>
      </c>
      <c r="L3682" s="55" t="s">
        <v>21435</v>
      </c>
      <c r="M3682" s="55" t="s">
        <v>63</v>
      </c>
      <c r="N3682" s="55" t="s">
        <v>142</v>
      </c>
      <c r="O3682" s="55" t="s">
        <v>77</v>
      </c>
      <c r="P3682" s="55" t="s">
        <v>165</v>
      </c>
      <c r="Q3682" s="55" t="s">
        <v>18516</v>
      </c>
      <c r="R3682" s="55" t="s">
        <v>17369</v>
      </c>
      <c r="S3682" s="55">
        <v>0</v>
      </c>
      <c r="T3682" s="55">
        <v>0</v>
      </c>
      <c r="U3682" s="55">
        <v>0</v>
      </c>
      <c r="V3682" s="55">
        <v>0</v>
      </c>
      <c r="W3682" s="55">
        <v>0</v>
      </c>
      <c r="X3682" s="55">
        <v>0</v>
      </c>
      <c r="Y3682" s="55">
        <v>0</v>
      </c>
      <c r="Z3682" s="55">
        <v>0</v>
      </c>
      <c r="AA3682" s="55">
        <v>0</v>
      </c>
      <c r="AB3682" s="55">
        <v>0</v>
      </c>
      <c r="AC3682" s="55">
        <v>0</v>
      </c>
      <c r="AD3682" s="55">
        <v>0</v>
      </c>
      <c r="AE3682" s="55" t="s">
        <v>16435</v>
      </c>
      <c r="AF3682" s="55" t="s">
        <v>21436</v>
      </c>
      <c r="AG3682" s="55" t="s">
        <v>20700</v>
      </c>
      <c r="AH3682" s="72">
        <v>45216</v>
      </c>
      <c r="AI3682" s="55">
        <v>1</v>
      </c>
      <c r="AJ3682" s="55" t="s">
        <v>21437</v>
      </c>
      <c r="AK3682" s="55" t="s">
        <v>879</v>
      </c>
      <c r="AL3682" s="157">
        <v>45218</v>
      </c>
      <c r="AM3682" s="55"/>
      <c r="AN3682" s="157">
        <v>45549</v>
      </c>
      <c r="AO3682" s="157">
        <v>45547</v>
      </c>
    </row>
    <row r="3683" spans="1:55" ht="36.75" customHeight="1">
      <c r="A3683" s="46" t="s">
        <v>12471</v>
      </c>
      <c r="B3683" s="30" t="s">
        <v>55</v>
      </c>
      <c r="C3683" s="69" t="str">
        <f t="shared" si="315"/>
        <v>Closed</v>
      </c>
      <c r="D3683" s="37" t="s">
        <v>21438</v>
      </c>
      <c r="E3683" s="55" t="s">
        <v>21439</v>
      </c>
      <c r="F3683" s="55" t="s">
        <v>16429</v>
      </c>
      <c r="G3683" s="88">
        <f>DATE(2023,10,19)</f>
        <v>45218</v>
      </c>
      <c r="H3683" s="142">
        <v>1.5104166666666665</v>
      </c>
      <c r="I3683" s="55" t="s">
        <v>198</v>
      </c>
      <c r="J3683" s="55" t="s">
        <v>21440</v>
      </c>
      <c r="K3683" s="55" t="s">
        <v>425</v>
      </c>
      <c r="L3683" s="55" t="s">
        <v>21441</v>
      </c>
      <c r="M3683" s="55" t="s">
        <v>255</v>
      </c>
      <c r="N3683" s="55" t="s">
        <v>21442</v>
      </c>
      <c r="O3683" s="55" t="s">
        <v>21442</v>
      </c>
      <c r="P3683" s="55">
        <v>0</v>
      </c>
      <c r="Q3683" s="55">
        <v>0</v>
      </c>
      <c r="R3683" s="55">
        <v>0</v>
      </c>
      <c r="S3683" s="55">
        <v>0</v>
      </c>
      <c r="T3683" s="55">
        <v>0</v>
      </c>
      <c r="U3683" s="55">
        <v>0</v>
      </c>
      <c r="V3683" s="55">
        <v>0</v>
      </c>
      <c r="W3683" s="55">
        <v>0</v>
      </c>
      <c r="X3683" s="55">
        <v>0</v>
      </c>
      <c r="Y3683" s="55">
        <v>0</v>
      </c>
      <c r="Z3683" s="55">
        <v>0</v>
      </c>
      <c r="AA3683" s="55">
        <v>0</v>
      </c>
      <c r="AB3683" s="55">
        <v>0</v>
      </c>
      <c r="AC3683" s="55">
        <v>0</v>
      </c>
      <c r="AD3683" s="55">
        <v>0</v>
      </c>
      <c r="AE3683" s="55" t="s">
        <v>92</v>
      </c>
      <c r="AF3683" s="55" t="s">
        <v>21443</v>
      </c>
      <c r="AG3683" s="55" t="s">
        <v>16283</v>
      </c>
      <c r="AH3683" s="72">
        <v>45218</v>
      </c>
      <c r="AI3683" s="55">
        <v>0</v>
      </c>
      <c r="AJ3683" s="55" t="s">
        <v>21444</v>
      </c>
      <c r="AK3683" s="55" t="s">
        <v>18245</v>
      </c>
      <c r="AL3683" s="157">
        <v>45226</v>
      </c>
      <c r="AM3683" s="55"/>
      <c r="AN3683" s="157">
        <v>45408</v>
      </c>
      <c r="AO3683" s="157">
        <v>45377</v>
      </c>
    </row>
    <row r="3684" spans="1:55" ht="36.75" customHeight="1">
      <c r="A3684" s="46" t="s">
        <v>12471</v>
      </c>
      <c r="B3684" s="30" t="s">
        <v>55</v>
      </c>
      <c r="C3684" s="69" t="str">
        <f t="shared" si="315"/>
        <v>Closed</v>
      </c>
      <c r="D3684" s="37" t="s">
        <v>21445</v>
      </c>
      <c r="E3684" s="55" t="s">
        <v>21446</v>
      </c>
      <c r="F3684" s="55" t="s">
        <v>17682</v>
      </c>
      <c r="G3684" s="88">
        <f>DATE(2023,10,24)</f>
        <v>45223</v>
      </c>
      <c r="H3684" s="142">
        <v>1.4756944444444444</v>
      </c>
      <c r="I3684" s="55" t="s">
        <v>73</v>
      </c>
      <c r="J3684" s="55" t="s">
        <v>21447</v>
      </c>
      <c r="K3684" s="55" t="s">
        <v>1574</v>
      </c>
      <c r="L3684" s="55" t="s">
        <v>21448</v>
      </c>
      <c r="M3684" s="55" t="s">
        <v>63</v>
      </c>
      <c r="N3684" s="55" t="s">
        <v>99</v>
      </c>
      <c r="O3684" s="55" t="s">
        <v>64</v>
      </c>
      <c r="P3684" s="55" t="s">
        <v>78</v>
      </c>
      <c r="Q3684" s="55" t="s">
        <v>19970</v>
      </c>
      <c r="R3684" s="55" t="s">
        <v>19007</v>
      </c>
      <c r="S3684" s="55">
        <v>0</v>
      </c>
      <c r="T3684" s="55">
        <v>0</v>
      </c>
      <c r="U3684" s="55">
        <v>0</v>
      </c>
      <c r="V3684" s="55">
        <v>0</v>
      </c>
      <c r="W3684" s="55">
        <v>0</v>
      </c>
      <c r="X3684" s="55">
        <v>0</v>
      </c>
      <c r="Y3684" s="55">
        <v>0</v>
      </c>
      <c r="Z3684" s="55">
        <v>0</v>
      </c>
      <c r="AA3684" s="55">
        <v>0</v>
      </c>
      <c r="AB3684" s="55">
        <v>0</v>
      </c>
      <c r="AC3684" s="55">
        <v>0</v>
      </c>
      <c r="AD3684" s="55">
        <v>0</v>
      </c>
      <c r="AE3684" s="55" t="s">
        <v>92</v>
      </c>
      <c r="AF3684" s="55" t="s">
        <v>21449</v>
      </c>
      <c r="AG3684" s="55" t="s">
        <v>8859</v>
      </c>
      <c r="AH3684" s="72">
        <v>45224</v>
      </c>
      <c r="AI3684" s="55">
        <v>1</v>
      </c>
      <c r="AJ3684" s="55" t="s">
        <v>21450</v>
      </c>
      <c r="AK3684" s="55" t="s">
        <v>21451</v>
      </c>
      <c r="AL3684" s="157">
        <v>45236</v>
      </c>
      <c r="AM3684" s="55"/>
      <c r="AN3684" s="157">
        <v>45601</v>
      </c>
      <c r="AO3684" s="157">
        <v>45588</v>
      </c>
    </row>
    <row r="3685" spans="1:55" ht="36.75" customHeight="1">
      <c r="A3685" s="46" t="s">
        <v>12471</v>
      </c>
      <c r="B3685" s="30" t="s">
        <v>55</v>
      </c>
      <c r="C3685" s="69" t="str">
        <f t="shared" si="315"/>
        <v>Closed</v>
      </c>
      <c r="D3685" s="203" t="s">
        <v>21452</v>
      </c>
      <c r="E3685" s="55" t="s">
        <v>21453</v>
      </c>
      <c r="F3685" s="55" t="s">
        <v>14753</v>
      </c>
      <c r="G3685" s="88">
        <f>DATE(2023,10,27)</f>
        <v>45226</v>
      </c>
      <c r="H3685" s="142">
        <v>1.0590277777777777</v>
      </c>
      <c r="I3685" s="55" t="s">
        <v>278</v>
      </c>
      <c r="J3685" s="55" t="s">
        <v>21454</v>
      </c>
      <c r="K3685" s="55" t="s">
        <v>1772</v>
      </c>
      <c r="L3685" s="55" t="s">
        <v>21455</v>
      </c>
      <c r="M3685" s="55" t="s">
        <v>63</v>
      </c>
      <c r="N3685" s="55" t="s">
        <v>142</v>
      </c>
      <c r="O3685" s="55" t="s">
        <v>64</v>
      </c>
      <c r="P3685" s="55" t="s">
        <v>65</v>
      </c>
      <c r="Q3685" s="55" t="s">
        <v>18501</v>
      </c>
      <c r="R3685" s="55" t="s">
        <v>1775</v>
      </c>
      <c r="S3685" s="55">
        <v>0</v>
      </c>
      <c r="T3685" s="55">
        <v>0</v>
      </c>
      <c r="U3685" s="55">
        <v>0</v>
      </c>
      <c r="V3685" s="55">
        <v>0</v>
      </c>
      <c r="W3685" s="55">
        <v>0</v>
      </c>
      <c r="X3685" s="55">
        <v>0</v>
      </c>
      <c r="Y3685" s="55">
        <v>0</v>
      </c>
      <c r="Z3685" s="55">
        <v>1</v>
      </c>
      <c r="AA3685" s="55">
        <v>0</v>
      </c>
      <c r="AB3685" s="55">
        <v>0</v>
      </c>
      <c r="AC3685" s="55">
        <v>0</v>
      </c>
      <c r="AD3685" s="55">
        <v>1</v>
      </c>
      <c r="AE3685" s="55" t="s">
        <v>92</v>
      </c>
      <c r="AF3685" s="55" t="s">
        <v>21456</v>
      </c>
      <c r="AG3685" s="55" t="s">
        <v>8859</v>
      </c>
      <c r="AH3685" s="72">
        <v>45238</v>
      </c>
      <c r="AI3685" s="55">
        <v>1</v>
      </c>
      <c r="AJ3685" s="55" t="s">
        <v>21457</v>
      </c>
      <c r="AK3685" s="55" t="s">
        <v>21458</v>
      </c>
      <c r="AL3685" s="157">
        <v>45239</v>
      </c>
      <c r="AM3685" s="55"/>
      <c r="AN3685" s="157">
        <v>45940</v>
      </c>
      <c r="AO3685" s="157">
        <v>45924</v>
      </c>
    </row>
    <row r="3686" spans="1:55" ht="36.75" customHeight="1">
      <c r="A3686" s="46" t="s">
        <v>12471</v>
      </c>
      <c r="B3686" s="30" t="s">
        <v>55</v>
      </c>
      <c r="C3686" s="69" t="str">
        <f t="shared" si="315"/>
        <v>Closed</v>
      </c>
      <c r="D3686" s="37" t="s">
        <v>21459</v>
      </c>
      <c r="E3686" s="55" t="s">
        <v>21460</v>
      </c>
      <c r="F3686" s="55" t="s">
        <v>17682</v>
      </c>
      <c r="G3686" s="88">
        <f>DATE(2023,11,4)</f>
        <v>45234</v>
      </c>
      <c r="H3686" s="142">
        <v>1.2638888888888888</v>
      </c>
      <c r="I3686" s="55" t="s">
        <v>125</v>
      </c>
      <c r="J3686" s="55" t="s">
        <v>21461</v>
      </c>
      <c r="K3686" s="55" t="s">
        <v>1574</v>
      </c>
      <c r="L3686" s="55" t="s">
        <v>21462</v>
      </c>
      <c r="M3686" s="55" t="s">
        <v>63</v>
      </c>
      <c r="N3686" s="55" t="s">
        <v>99</v>
      </c>
      <c r="O3686" s="55" t="s">
        <v>64</v>
      </c>
      <c r="P3686" s="55" t="s">
        <v>165</v>
      </c>
      <c r="Q3686" s="55" t="s">
        <v>21463</v>
      </c>
      <c r="R3686" s="55" t="s">
        <v>21464</v>
      </c>
      <c r="S3686" s="55">
        <v>0</v>
      </c>
      <c r="T3686" s="55">
        <v>0</v>
      </c>
      <c r="U3686" s="55">
        <v>0</v>
      </c>
      <c r="V3686" s="55">
        <v>0</v>
      </c>
      <c r="W3686" s="55">
        <v>0</v>
      </c>
      <c r="X3686" s="55">
        <v>0</v>
      </c>
      <c r="Y3686" s="55">
        <v>0</v>
      </c>
      <c r="Z3686" s="55">
        <v>0</v>
      </c>
      <c r="AA3686" s="55">
        <v>0</v>
      </c>
      <c r="AB3686" s="55">
        <v>0</v>
      </c>
      <c r="AC3686" s="55">
        <v>0</v>
      </c>
      <c r="AD3686" s="55">
        <v>0</v>
      </c>
      <c r="AE3686" s="55" t="s">
        <v>92</v>
      </c>
      <c r="AF3686" s="55" t="s">
        <v>21465</v>
      </c>
      <c r="AG3686" s="55" t="s">
        <v>8859</v>
      </c>
      <c r="AH3686" s="72">
        <v>45238</v>
      </c>
      <c r="AI3686" s="55">
        <v>0</v>
      </c>
      <c r="AJ3686" s="55" t="s">
        <v>21466</v>
      </c>
      <c r="AK3686" s="55" t="s">
        <v>21467</v>
      </c>
      <c r="AL3686" s="157">
        <v>45239</v>
      </c>
      <c r="AM3686" s="55"/>
      <c r="AN3686" s="157">
        <v>45603</v>
      </c>
      <c r="AO3686" s="157">
        <v>45595</v>
      </c>
    </row>
    <row r="3687" spans="1:55" ht="36.75" customHeight="1">
      <c r="A3687" s="46" t="s">
        <v>12471</v>
      </c>
      <c r="B3687" s="30" t="s">
        <v>55</v>
      </c>
      <c r="C3687" s="69" t="str">
        <f t="shared" si="315"/>
        <v>Closed</v>
      </c>
      <c r="D3687" s="37" t="s">
        <v>21468</v>
      </c>
      <c r="E3687" s="55" t="s">
        <v>21469</v>
      </c>
      <c r="F3687" s="55" t="s">
        <v>17682</v>
      </c>
      <c r="G3687" s="88">
        <f>DATE(2023,11,5)</f>
        <v>45235</v>
      </c>
      <c r="H3687" s="142">
        <v>1.0972222222222223</v>
      </c>
      <c r="I3687" s="55" t="s">
        <v>73</v>
      </c>
      <c r="J3687" s="55" t="s">
        <v>21470</v>
      </c>
      <c r="K3687" s="55" t="s">
        <v>1574</v>
      </c>
      <c r="L3687" s="55" t="s">
        <v>21471</v>
      </c>
      <c r="M3687" s="55" t="s">
        <v>63</v>
      </c>
      <c r="N3687" s="55" t="s">
        <v>99</v>
      </c>
      <c r="O3687" s="55" t="s">
        <v>64</v>
      </c>
      <c r="P3687" s="55" t="s">
        <v>78</v>
      </c>
      <c r="Q3687" s="55" t="s">
        <v>18063</v>
      </c>
      <c r="R3687" s="55" t="s">
        <v>19007</v>
      </c>
      <c r="S3687" s="55">
        <v>0</v>
      </c>
      <c r="T3687" s="55">
        <v>0</v>
      </c>
      <c r="U3687" s="55">
        <v>0</v>
      </c>
      <c r="V3687" s="55">
        <v>0</v>
      </c>
      <c r="W3687" s="55">
        <v>0</v>
      </c>
      <c r="X3687" s="55">
        <v>0</v>
      </c>
      <c r="Y3687" s="55">
        <v>0</v>
      </c>
      <c r="Z3687" s="55">
        <v>0</v>
      </c>
      <c r="AA3687" s="55">
        <v>0</v>
      </c>
      <c r="AB3687" s="55">
        <v>0</v>
      </c>
      <c r="AC3687" s="55">
        <v>0</v>
      </c>
      <c r="AD3687" s="55">
        <v>0</v>
      </c>
      <c r="AE3687" s="55" t="s">
        <v>92</v>
      </c>
      <c r="AF3687" s="55" t="s">
        <v>21472</v>
      </c>
      <c r="AG3687" s="55" t="s">
        <v>8859</v>
      </c>
      <c r="AH3687" s="72">
        <v>45238</v>
      </c>
      <c r="AI3687" s="55">
        <v>1</v>
      </c>
      <c r="AJ3687" s="55" t="s">
        <v>21473</v>
      </c>
      <c r="AK3687" s="55" t="s">
        <v>21474</v>
      </c>
      <c r="AL3687" s="157">
        <v>45239</v>
      </c>
      <c r="AM3687" s="55"/>
      <c r="AN3687" s="157">
        <v>45607</v>
      </c>
      <c r="AO3687" s="157">
        <v>45595</v>
      </c>
    </row>
    <row r="3688" spans="1:55" ht="36.75" customHeight="1">
      <c r="A3688" s="46" t="s">
        <v>12471</v>
      </c>
      <c r="B3688" s="30" t="s">
        <v>55</v>
      </c>
      <c r="C3688" s="69" t="str">
        <f t="shared" si="315"/>
        <v>Closed</v>
      </c>
      <c r="D3688" s="37" t="s">
        <v>21475</v>
      </c>
      <c r="E3688" s="55" t="s">
        <v>21476</v>
      </c>
      <c r="F3688" s="55" t="s">
        <v>17773</v>
      </c>
      <c r="G3688" s="88">
        <f>DATE(2023,11,7)</f>
        <v>45237</v>
      </c>
      <c r="H3688" s="142">
        <v>1.4270833333333333</v>
      </c>
      <c r="I3688" s="55" t="s">
        <v>278</v>
      </c>
      <c r="J3688" s="55" t="s">
        <v>21477</v>
      </c>
      <c r="K3688" s="55" t="s">
        <v>2603</v>
      </c>
      <c r="L3688" s="55" t="s">
        <v>21478</v>
      </c>
      <c r="M3688" s="55" t="s">
        <v>63</v>
      </c>
      <c r="N3688" s="55" t="s">
        <v>91</v>
      </c>
      <c r="O3688" s="55" t="s">
        <v>21479</v>
      </c>
      <c r="P3688" s="55" t="s">
        <v>20752</v>
      </c>
      <c r="Q3688" s="55">
        <v>0</v>
      </c>
      <c r="R3688" s="55">
        <v>0</v>
      </c>
      <c r="S3688" s="55">
        <v>0</v>
      </c>
      <c r="T3688" s="55">
        <v>0</v>
      </c>
      <c r="U3688" s="55">
        <v>0</v>
      </c>
      <c r="V3688" s="55">
        <v>2</v>
      </c>
      <c r="W3688" s="55">
        <v>0</v>
      </c>
      <c r="X3688" s="55">
        <v>2</v>
      </c>
      <c r="Y3688" s="55">
        <v>0</v>
      </c>
      <c r="Z3688" s="55">
        <v>0</v>
      </c>
      <c r="AA3688" s="55">
        <v>0</v>
      </c>
      <c r="AB3688" s="55">
        <v>0</v>
      </c>
      <c r="AC3688" s="55">
        <v>0</v>
      </c>
      <c r="AD3688" s="55">
        <v>0</v>
      </c>
      <c r="AE3688" s="55" t="s">
        <v>92</v>
      </c>
      <c r="AF3688" s="55" t="s">
        <v>21480</v>
      </c>
      <c r="AG3688" s="55" t="s">
        <v>6459</v>
      </c>
      <c r="AH3688" s="72">
        <v>45237</v>
      </c>
      <c r="AI3688" s="55">
        <v>6</v>
      </c>
      <c r="AJ3688" s="55" t="s">
        <v>21481</v>
      </c>
      <c r="AK3688" s="55" t="s">
        <v>21482</v>
      </c>
      <c r="AL3688" s="157">
        <v>45239</v>
      </c>
      <c r="AM3688" s="55"/>
      <c r="AN3688" s="157">
        <v>45471</v>
      </c>
      <c r="AO3688" s="157">
        <v>45468</v>
      </c>
    </row>
    <row r="3689" spans="1:55" ht="36.75" customHeight="1">
      <c r="A3689" s="46" t="s">
        <v>12471</v>
      </c>
      <c r="B3689" s="30" t="s">
        <v>55</v>
      </c>
      <c r="C3689" s="69" t="str">
        <f t="shared" si="315"/>
        <v>Closed</v>
      </c>
      <c r="D3689" s="37" t="s">
        <v>21483</v>
      </c>
      <c r="E3689" s="55" t="s">
        <v>21484</v>
      </c>
      <c r="F3689" s="55" t="s">
        <v>16429</v>
      </c>
      <c r="G3689" s="88">
        <f>DATE(2023,11,9)</f>
        <v>45239</v>
      </c>
      <c r="H3689" s="142">
        <v>1.3444444444444446</v>
      </c>
      <c r="I3689" s="55" t="s">
        <v>116</v>
      </c>
      <c r="J3689" s="55" t="s">
        <v>21485</v>
      </c>
      <c r="K3689" s="55" t="s">
        <v>425</v>
      </c>
      <c r="L3689" s="55" t="s">
        <v>21486</v>
      </c>
      <c r="M3689" s="55" t="s">
        <v>63</v>
      </c>
      <c r="N3689" s="55" t="s">
        <v>99</v>
      </c>
      <c r="O3689" s="55" t="s">
        <v>77</v>
      </c>
      <c r="P3689" s="55" t="s">
        <v>165</v>
      </c>
      <c r="Q3689" s="55" t="s">
        <v>18516</v>
      </c>
      <c r="R3689" s="55" t="s">
        <v>17369</v>
      </c>
      <c r="S3689" s="55">
        <v>0</v>
      </c>
      <c r="T3689" s="55">
        <v>0</v>
      </c>
      <c r="U3689" s="55">
        <v>0</v>
      </c>
      <c r="V3689" s="55">
        <v>0</v>
      </c>
      <c r="W3689" s="55">
        <v>0</v>
      </c>
      <c r="X3689" s="55">
        <v>0</v>
      </c>
      <c r="Y3689" s="55">
        <v>0</v>
      </c>
      <c r="Z3689" s="55">
        <v>0</v>
      </c>
      <c r="AA3689" s="55">
        <v>0</v>
      </c>
      <c r="AB3689" s="55">
        <v>0</v>
      </c>
      <c r="AC3689" s="55">
        <v>0</v>
      </c>
      <c r="AD3689" s="55">
        <v>0</v>
      </c>
      <c r="AE3689" s="55" t="s">
        <v>16435</v>
      </c>
      <c r="AF3689" s="55" t="s">
        <v>21487</v>
      </c>
      <c r="AG3689" s="55" t="s">
        <v>20700</v>
      </c>
      <c r="AH3689" s="72">
        <v>45239</v>
      </c>
      <c r="AI3689" s="55">
        <v>1</v>
      </c>
      <c r="AJ3689" s="55" t="s">
        <v>21488</v>
      </c>
      <c r="AK3689" s="55" t="s">
        <v>879</v>
      </c>
      <c r="AL3689" s="157">
        <v>45240</v>
      </c>
      <c r="AM3689" s="55"/>
      <c r="AN3689" s="157">
        <v>45596</v>
      </c>
      <c r="AO3689" s="157">
        <v>45595</v>
      </c>
    </row>
    <row r="3690" spans="1:55" ht="36.75" customHeight="1">
      <c r="A3690" s="46" t="s">
        <v>12471</v>
      </c>
      <c r="B3690" s="30" t="s">
        <v>55</v>
      </c>
      <c r="C3690" s="69" t="str">
        <f t="shared" si="315"/>
        <v>Closed</v>
      </c>
      <c r="D3690" s="37" t="s">
        <v>21489</v>
      </c>
      <c r="E3690" s="55" t="s">
        <v>21490</v>
      </c>
      <c r="F3690" s="55" t="s">
        <v>17682</v>
      </c>
      <c r="G3690" s="88">
        <f>DATE(2023,11,14)</f>
        <v>45244</v>
      </c>
      <c r="H3690" s="142">
        <v>1.53125</v>
      </c>
      <c r="I3690" s="55" t="s">
        <v>73</v>
      </c>
      <c r="J3690" s="55" t="s">
        <v>21491</v>
      </c>
      <c r="K3690" s="55" t="s">
        <v>1574</v>
      </c>
      <c r="L3690" s="55" t="s">
        <v>21492</v>
      </c>
      <c r="M3690" s="55" t="s">
        <v>63</v>
      </c>
      <c r="N3690" s="55" t="s">
        <v>99</v>
      </c>
      <c r="O3690" s="55" t="s">
        <v>77</v>
      </c>
      <c r="P3690" s="55" t="s">
        <v>78</v>
      </c>
      <c r="Q3690" s="55" t="s">
        <v>19664</v>
      </c>
      <c r="R3690" s="55" t="s">
        <v>19007</v>
      </c>
      <c r="S3690" s="55">
        <v>0</v>
      </c>
      <c r="T3690" s="55">
        <v>0</v>
      </c>
      <c r="U3690" s="55">
        <v>0</v>
      </c>
      <c r="V3690" s="55">
        <v>0</v>
      </c>
      <c r="W3690" s="55">
        <v>0</v>
      </c>
      <c r="X3690" s="55">
        <v>0</v>
      </c>
      <c r="Y3690" s="55">
        <v>0</v>
      </c>
      <c r="Z3690" s="55">
        <v>0</v>
      </c>
      <c r="AA3690" s="55">
        <v>0</v>
      </c>
      <c r="AB3690" s="55">
        <v>0</v>
      </c>
      <c r="AC3690" s="55">
        <v>0</v>
      </c>
      <c r="AD3690" s="55">
        <v>0</v>
      </c>
      <c r="AE3690" s="55" t="s">
        <v>394</v>
      </c>
      <c r="AF3690" s="55" t="s">
        <v>21493</v>
      </c>
      <c r="AG3690" s="55" t="s">
        <v>8859</v>
      </c>
      <c r="AH3690" s="72">
        <v>45245</v>
      </c>
      <c r="AI3690" s="55">
        <v>1</v>
      </c>
      <c r="AJ3690" s="55" t="s">
        <v>21494</v>
      </c>
      <c r="AK3690" s="55" t="s">
        <v>21495</v>
      </c>
      <c r="AL3690" s="157">
        <v>45246</v>
      </c>
      <c r="AM3690" s="55"/>
      <c r="AN3690" s="157">
        <v>45580</v>
      </c>
      <c r="AO3690" s="157">
        <v>45568</v>
      </c>
      <c r="AP3690" s="157">
        <v>45582</v>
      </c>
      <c r="AQ3690" s="157">
        <v>45583</v>
      </c>
      <c r="AR3690" s="157">
        <v>45584</v>
      </c>
      <c r="AS3690" s="157">
        <v>45585</v>
      </c>
      <c r="AT3690" s="157">
        <v>45586</v>
      </c>
      <c r="AU3690" s="157">
        <v>45587</v>
      </c>
      <c r="AV3690" s="157">
        <v>45588</v>
      </c>
      <c r="AW3690" s="157">
        <v>45589</v>
      </c>
      <c r="AX3690" s="157">
        <v>45590</v>
      </c>
      <c r="AY3690" s="157">
        <v>45591</v>
      </c>
      <c r="AZ3690" s="157">
        <v>45592</v>
      </c>
      <c r="BA3690" s="157">
        <v>45593</v>
      </c>
      <c r="BB3690" s="157">
        <v>45594</v>
      </c>
      <c r="BC3690" s="157">
        <v>45595</v>
      </c>
    </row>
    <row r="3691" spans="1:55" ht="36.75" customHeight="1">
      <c r="A3691" s="46" t="s">
        <v>12471</v>
      </c>
      <c r="B3691" s="30" t="s">
        <v>55</v>
      </c>
      <c r="C3691" s="69" t="str">
        <f t="shared" si="315"/>
        <v>Closed</v>
      </c>
      <c r="D3691" s="203" t="s">
        <v>21496</v>
      </c>
      <c r="E3691" s="55" t="s">
        <v>21497</v>
      </c>
      <c r="F3691" s="55" t="s">
        <v>9789</v>
      </c>
      <c r="G3691" s="88">
        <f>DATE(2023,11,14)</f>
        <v>45244</v>
      </c>
      <c r="H3691" s="142">
        <v>1.4097222222222223</v>
      </c>
      <c r="I3691" s="55" t="s">
        <v>73</v>
      </c>
      <c r="J3691" s="259" t="s">
        <v>21498</v>
      </c>
      <c r="K3691" s="55" t="s">
        <v>9791</v>
      </c>
      <c r="L3691" s="55" t="s">
        <v>21499</v>
      </c>
      <c r="M3691" s="55" t="s">
        <v>63</v>
      </c>
      <c r="N3691" s="55" t="s">
        <v>99</v>
      </c>
      <c r="O3691" s="55" t="s">
        <v>77</v>
      </c>
      <c r="P3691" s="55" t="s">
        <v>78</v>
      </c>
      <c r="Q3691" s="55" t="s">
        <v>21500</v>
      </c>
      <c r="R3691" s="55" t="s">
        <v>20774</v>
      </c>
      <c r="S3691" s="55">
        <v>0</v>
      </c>
      <c r="T3691" s="55">
        <v>0</v>
      </c>
      <c r="U3691" s="55">
        <v>0</v>
      </c>
      <c r="V3691" s="55">
        <v>0</v>
      </c>
      <c r="W3691" s="55">
        <v>0</v>
      </c>
      <c r="X3691" s="55">
        <v>0</v>
      </c>
      <c r="Y3691" s="55">
        <v>0</v>
      </c>
      <c r="Z3691" s="55">
        <v>0</v>
      </c>
      <c r="AA3691" s="55">
        <v>0</v>
      </c>
      <c r="AB3691" s="55">
        <v>0</v>
      </c>
      <c r="AC3691" s="55">
        <v>0</v>
      </c>
      <c r="AD3691" s="55">
        <v>0</v>
      </c>
      <c r="AE3691" s="55" t="s">
        <v>92</v>
      </c>
      <c r="AF3691" s="55" t="s">
        <v>21501</v>
      </c>
      <c r="AG3691" s="55" t="s">
        <v>8859</v>
      </c>
      <c r="AH3691" s="72">
        <v>45250</v>
      </c>
      <c r="AI3691" s="55">
        <v>1</v>
      </c>
      <c r="AJ3691" s="55" t="s">
        <v>21502</v>
      </c>
      <c r="AK3691" s="55" t="s">
        <v>21503</v>
      </c>
      <c r="AL3691" s="157">
        <v>45257</v>
      </c>
      <c r="AM3691" s="55"/>
      <c r="AN3691" s="157">
        <v>45867</v>
      </c>
      <c r="AO3691" s="157">
        <v>45706</v>
      </c>
    </row>
    <row r="3692" spans="1:55" ht="36.75" customHeight="1">
      <c r="A3692" s="46" t="s">
        <v>12471</v>
      </c>
      <c r="B3692" s="30" t="s">
        <v>55</v>
      </c>
      <c r="C3692" s="69" t="str">
        <f t="shared" si="315"/>
        <v>Closed</v>
      </c>
      <c r="D3692" s="203" t="s">
        <v>21504</v>
      </c>
      <c r="E3692" s="55" t="s">
        <v>21505</v>
      </c>
      <c r="F3692" s="55" t="s">
        <v>17578</v>
      </c>
      <c r="G3692" s="88">
        <f>DATE(2023,11,15)</f>
        <v>45245</v>
      </c>
      <c r="H3692" s="142">
        <v>1.1805555555555556</v>
      </c>
      <c r="I3692" s="55" t="s">
        <v>198</v>
      </c>
      <c r="J3692" s="55" t="s">
        <v>21506</v>
      </c>
      <c r="K3692" s="55" t="s">
        <v>837</v>
      </c>
      <c r="L3692" s="55" t="s">
        <v>21507</v>
      </c>
      <c r="M3692" s="55" t="s">
        <v>63</v>
      </c>
      <c r="N3692" s="55" t="s">
        <v>99</v>
      </c>
      <c r="O3692" s="55" t="s">
        <v>77</v>
      </c>
      <c r="P3692" s="55" t="s">
        <v>78</v>
      </c>
      <c r="Q3692" s="55" t="s">
        <v>21508</v>
      </c>
      <c r="R3692" s="55" t="s">
        <v>840</v>
      </c>
      <c r="S3692" s="55">
        <v>0</v>
      </c>
      <c r="T3692" s="55">
        <v>0</v>
      </c>
      <c r="U3692" s="55">
        <v>0</v>
      </c>
      <c r="V3692" s="55">
        <v>0</v>
      </c>
      <c r="W3692" s="55">
        <v>0</v>
      </c>
      <c r="X3692" s="55">
        <v>0</v>
      </c>
      <c r="Y3692" s="55">
        <v>0</v>
      </c>
      <c r="Z3692" s="55">
        <v>1</v>
      </c>
      <c r="AA3692" s="55">
        <v>0</v>
      </c>
      <c r="AB3692" s="55">
        <v>0</v>
      </c>
      <c r="AC3692" s="55">
        <v>0</v>
      </c>
      <c r="AD3692" s="55">
        <v>1</v>
      </c>
      <c r="AE3692" s="55" t="s">
        <v>394</v>
      </c>
      <c r="AF3692" s="55" t="s">
        <v>21509</v>
      </c>
      <c r="AG3692" s="55" t="s">
        <v>14033</v>
      </c>
      <c r="AH3692" s="72">
        <v>45245</v>
      </c>
      <c r="AI3692" s="55">
        <v>1</v>
      </c>
      <c r="AJ3692" s="55" t="s">
        <v>21510</v>
      </c>
      <c r="AK3692" s="55" t="s">
        <v>21511</v>
      </c>
      <c r="AL3692" s="157">
        <v>45246</v>
      </c>
      <c r="AM3692" s="55"/>
      <c r="AN3692" s="157">
        <v>45902</v>
      </c>
      <c r="AO3692" s="157">
        <v>45881</v>
      </c>
      <c r="AP3692" s="55"/>
      <c r="AQ3692" s="55"/>
      <c r="AR3692" s="55"/>
      <c r="AS3692" s="55"/>
      <c r="AT3692" s="55"/>
      <c r="AU3692" s="55"/>
      <c r="AV3692" s="55"/>
      <c r="AW3692" s="55"/>
      <c r="AX3692" s="55"/>
      <c r="AY3692" s="55"/>
      <c r="AZ3692" s="55"/>
      <c r="BA3692" s="55"/>
      <c r="BB3692" s="55"/>
      <c r="BC3692" s="55"/>
    </row>
    <row r="3693" spans="1:55" ht="36.75" customHeight="1">
      <c r="A3693" s="46" t="s">
        <v>12471</v>
      </c>
      <c r="B3693" s="30" t="s">
        <v>55</v>
      </c>
      <c r="C3693" s="69" t="str">
        <f t="shared" si="315"/>
        <v>Closed</v>
      </c>
      <c r="D3693" s="203" t="s">
        <v>21512</v>
      </c>
      <c r="E3693" s="55" t="s">
        <v>21513</v>
      </c>
      <c r="F3693" s="55" t="s">
        <v>6455</v>
      </c>
      <c r="G3693" s="88">
        <f>DATE(2023,11,15)</f>
        <v>45245</v>
      </c>
      <c r="H3693" s="142">
        <v>1.6770833333333335</v>
      </c>
      <c r="I3693" s="89" t="s">
        <v>198</v>
      </c>
      <c r="J3693" s="55" t="s">
        <v>21514</v>
      </c>
      <c r="K3693" s="210" t="s">
        <v>584</v>
      </c>
      <c r="L3693" s="210" t="s">
        <v>21515</v>
      </c>
      <c r="M3693" s="210" t="s">
        <v>63</v>
      </c>
      <c r="N3693" s="210" t="s">
        <v>142</v>
      </c>
      <c r="O3693" s="210" t="s">
        <v>77</v>
      </c>
      <c r="P3693" s="89" t="s">
        <v>65</v>
      </c>
      <c r="Q3693" s="89" t="s">
        <v>21516</v>
      </c>
      <c r="R3693" s="89" t="s">
        <v>587</v>
      </c>
      <c r="S3693" s="55">
        <v>0</v>
      </c>
      <c r="T3693" s="55">
        <v>0</v>
      </c>
      <c r="U3693" s="55">
        <v>0</v>
      </c>
      <c r="V3693" s="55">
        <v>0</v>
      </c>
      <c r="W3693" s="55">
        <v>0</v>
      </c>
      <c r="X3693" s="55">
        <v>0</v>
      </c>
      <c r="Y3693" s="55">
        <v>0</v>
      </c>
      <c r="Z3693" s="55">
        <v>0</v>
      </c>
      <c r="AA3693" s="55">
        <v>0</v>
      </c>
      <c r="AB3693" s="55">
        <v>0</v>
      </c>
      <c r="AC3693" s="55">
        <v>0</v>
      </c>
      <c r="AD3693" s="55">
        <v>0</v>
      </c>
      <c r="AE3693" s="89" t="s">
        <v>145</v>
      </c>
      <c r="AF3693" s="89" t="s">
        <v>21517</v>
      </c>
      <c r="AG3693" s="89" t="s">
        <v>6459</v>
      </c>
      <c r="AH3693" s="72">
        <v>45245</v>
      </c>
      <c r="AI3693" s="55">
        <v>2</v>
      </c>
      <c r="AJ3693" s="30" t="s">
        <v>21518</v>
      </c>
      <c r="AK3693" s="30" t="s">
        <v>21519</v>
      </c>
      <c r="AL3693" s="157">
        <v>45294</v>
      </c>
      <c r="AM3693" s="157">
        <v>45624</v>
      </c>
      <c r="AN3693" s="157">
        <v>45835</v>
      </c>
      <c r="AO3693" s="157">
        <v>45796</v>
      </c>
    </row>
    <row r="3694" spans="1:55" ht="36.75" customHeight="1">
      <c r="A3694" s="46" t="s">
        <v>12471</v>
      </c>
      <c r="B3694" s="30" t="s">
        <v>14882</v>
      </c>
      <c r="C3694" s="69" t="str">
        <f t="shared" si="315"/>
        <v>In progress</v>
      </c>
      <c r="D3694" s="203" t="s">
        <v>21520</v>
      </c>
      <c r="E3694" s="55" t="s">
        <v>21521</v>
      </c>
      <c r="F3694" s="55" t="s">
        <v>6455</v>
      </c>
      <c r="G3694" s="88">
        <f>DATE(2023,11,17)</f>
        <v>45247</v>
      </c>
      <c r="H3694" s="142">
        <v>1.5902777777777777</v>
      </c>
      <c r="I3694" s="89" t="s">
        <v>198</v>
      </c>
      <c r="J3694" s="55" t="s">
        <v>21522</v>
      </c>
      <c r="K3694" s="55" t="s">
        <v>584</v>
      </c>
      <c r="L3694" s="55" t="s">
        <v>21523</v>
      </c>
      <c r="M3694" s="55" t="s">
        <v>63</v>
      </c>
      <c r="N3694" s="55" t="s">
        <v>142</v>
      </c>
      <c r="O3694" s="55" t="s">
        <v>77</v>
      </c>
      <c r="P3694" s="55" t="s">
        <v>65</v>
      </c>
      <c r="Q3694" s="55" t="s">
        <v>21524</v>
      </c>
      <c r="R3694" s="55" t="s">
        <v>587</v>
      </c>
      <c r="S3694" s="55">
        <v>0</v>
      </c>
      <c r="T3694" s="55">
        <v>0</v>
      </c>
      <c r="U3694" s="55">
        <v>0</v>
      </c>
      <c r="V3694" s="55">
        <v>0</v>
      </c>
      <c r="W3694" s="55">
        <v>0</v>
      </c>
      <c r="X3694" s="55">
        <v>0</v>
      </c>
      <c r="Y3694" s="55">
        <v>0</v>
      </c>
      <c r="Z3694" s="55">
        <v>0</v>
      </c>
      <c r="AA3694" s="55">
        <v>0</v>
      </c>
      <c r="AB3694" s="55">
        <v>0</v>
      </c>
      <c r="AC3694" s="55">
        <v>0</v>
      </c>
      <c r="AD3694" s="55">
        <v>0</v>
      </c>
      <c r="AE3694" s="55" t="s">
        <v>92</v>
      </c>
      <c r="AF3694" s="55" t="s">
        <v>21525</v>
      </c>
      <c r="AG3694" s="55" t="s">
        <v>14033</v>
      </c>
      <c r="AH3694" s="72">
        <v>45247</v>
      </c>
      <c r="AI3694" s="89"/>
      <c r="AJ3694" s="89"/>
      <c r="AK3694" s="89"/>
      <c r="AL3694" s="157">
        <v>45294</v>
      </c>
      <c r="AM3694" s="157">
        <v>45986</v>
      </c>
      <c r="AN3694" s="89"/>
      <c r="AO3694" s="89"/>
    </row>
    <row r="3695" spans="1:55" ht="36.75" customHeight="1">
      <c r="A3695" s="46" t="s">
        <v>12471</v>
      </c>
      <c r="B3695" s="30" t="s">
        <v>55</v>
      </c>
      <c r="C3695" s="69" t="str">
        <f t="shared" si="315"/>
        <v>Closed</v>
      </c>
      <c r="D3695" s="203" t="s">
        <v>21526</v>
      </c>
      <c r="E3695" s="55" t="s">
        <v>21527</v>
      </c>
      <c r="F3695" s="55" t="s">
        <v>18131</v>
      </c>
      <c r="G3695" s="88">
        <f>DATE(2023,11,22)</f>
        <v>45252</v>
      </c>
      <c r="H3695" s="142">
        <v>1.2916666666666667</v>
      </c>
      <c r="I3695" s="55" t="s">
        <v>487</v>
      </c>
      <c r="J3695" s="55" t="s">
        <v>21528</v>
      </c>
      <c r="K3695" s="55" t="s">
        <v>379</v>
      </c>
      <c r="L3695" s="55" t="s">
        <v>21529</v>
      </c>
      <c r="M3695" s="55" t="s">
        <v>63</v>
      </c>
      <c r="N3695" s="55" t="s">
        <v>99</v>
      </c>
      <c r="O3695" s="55" t="s">
        <v>64</v>
      </c>
      <c r="P3695" s="55" t="s">
        <v>78</v>
      </c>
      <c r="Q3695" s="55" t="s">
        <v>21258</v>
      </c>
      <c r="R3695" s="55" t="s">
        <v>19604</v>
      </c>
      <c r="S3695" s="55">
        <v>0</v>
      </c>
      <c r="T3695" s="55">
        <v>0</v>
      </c>
      <c r="U3695" s="55">
        <v>0</v>
      </c>
      <c r="V3695" s="55">
        <v>0</v>
      </c>
      <c r="W3695" s="55">
        <v>0</v>
      </c>
      <c r="X3695" s="55">
        <v>0</v>
      </c>
      <c r="Y3695" s="55">
        <v>0</v>
      </c>
      <c r="Z3695" s="55">
        <v>1</v>
      </c>
      <c r="AA3695" s="55">
        <v>0</v>
      </c>
      <c r="AB3695" s="55">
        <v>0</v>
      </c>
      <c r="AC3695" s="55">
        <v>0</v>
      </c>
      <c r="AD3695" s="55">
        <v>1</v>
      </c>
      <c r="AE3695" s="55" t="s">
        <v>92</v>
      </c>
      <c r="AF3695" s="55" t="s">
        <v>21530</v>
      </c>
      <c r="AG3695" s="55" t="s">
        <v>8859</v>
      </c>
      <c r="AH3695" s="72">
        <v>45272</v>
      </c>
      <c r="AI3695" s="55">
        <v>6</v>
      </c>
      <c r="AJ3695" s="55" t="s">
        <v>21531</v>
      </c>
      <c r="AK3695" s="55" t="s">
        <v>21532</v>
      </c>
      <c r="AL3695" s="157">
        <v>45274</v>
      </c>
      <c r="AM3695" s="55"/>
      <c r="AN3695" s="157">
        <v>45961</v>
      </c>
      <c r="AO3695" s="157">
        <v>45915</v>
      </c>
    </row>
    <row r="3696" spans="1:55" ht="36.75" customHeight="1">
      <c r="A3696" s="46" t="s">
        <v>12471</v>
      </c>
      <c r="B3696" s="30" t="s">
        <v>55</v>
      </c>
      <c r="C3696" s="69" t="str">
        <f t="shared" si="315"/>
        <v>Closed</v>
      </c>
      <c r="D3696" s="37" t="s">
        <v>21533</v>
      </c>
      <c r="E3696" s="55" t="s">
        <v>21534</v>
      </c>
      <c r="F3696" s="55" t="s">
        <v>12910</v>
      </c>
      <c r="G3696" s="88">
        <f>DATE(2023,11,25)</f>
        <v>45255</v>
      </c>
      <c r="H3696" s="142">
        <v>1.125</v>
      </c>
      <c r="I3696" s="55" t="s">
        <v>278</v>
      </c>
      <c r="J3696" s="55" t="s">
        <v>21535</v>
      </c>
      <c r="K3696" s="55" t="s">
        <v>453</v>
      </c>
      <c r="L3696" s="55" t="s">
        <v>21536</v>
      </c>
      <c r="M3696" s="55" t="s">
        <v>63</v>
      </c>
      <c r="N3696" s="55" t="s">
        <v>89</v>
      </c>
      <c r="O3696" s="55" t="s">
        <v>64</v>
      </c>
      <c r="P3696" s="55" t="s">
        <v>65</v>
      </c>
      <c r="Q3696" s="55" t="s">
        <v>14384</v>
      </c>
      <c r="R3696" s="55" t="s">
        <v>572</v>
      </c>
      <c r="S3696" s="55">
        <v>0</v>
      </c>
      <c r="T3696" s="55">
        <v>0</v>
      </c>
      <c r="U3696" s="55">
        <v>0</v>
      </c>
      <c r="V3696" s="55">
        <v>1</v>
      </c>
      <c r="W3696" s="55">
        <v>0</v>
      </c>
      <c r="X3696" s="55">
        <v>1</v>
      </c>
      <c r="Y3696" s="55">
        <v>0</v>
      </c>
      <c r="Z3696" s="55">
        <v>0</v>
      </c>
      <c r="AA3696" s="55">
        <v>0</v>
      </c>
      <c r="AB3696" s="55">
        <v>0</v>
      </c>
      <c r="AC3696" s="55">
        <v>0</v>
      </c>
      <c r="AD3696" s="55">
        <v>0</v>
      </c>
      <c r="AE3696" s="55" t="s">
        <v>92</v>
      </c>
      <c r="AF3696" s="55" t="s">
        <v>21537</v>
      </c>
      <c r="AG3696" s="55" t="s">
        <v>6459</v>
      </c>
      <c r="AH3696" s="72">
        <v>45299</v>
      </c>
      <c r="AI3696" s="55">
        <v>0</v>
      </c>
      <c r="AJ3696" s="55" t="s">
        <v>14867</v>
      </c>
      <c r="AK3696" s="55" t="s">
        <v>14867</v>
      </c>
      <c r="AL3696" s="157">
        <v>45301</v>
      </c>
      <c r="AM3696" s="55"/>
      <c r="AN3696" s="157">
        <v>45446</v>
      </c>
      <c r="AO3696" s="157">
        <v>45446</v>
      </c>
    </row>
    <row r="3697" spans="1:55" ht="36.75" customHeight="1">
      <c r="A3697" s="46" t="s">
        <v>12471</v>
      </c>
      <c r="B3697" s="30" t="s">
        <v>55</v>
      </c>
      <c r="C3697" s="69" t="str">
        <f t="shared" si="315"/>
        <v>Closed</v>
      </c>
      <c r="D3697" s="37" t="s">
        <v>21538</v>
      </c>
      <c r="E3697" s="55" t="s">
        <v>21539</v>
      </c>
      <c r="F3697" s="55" t="s">
        <v>17682</v>
      </c>
      <c r="G3697" s="88">
        <f>DATE(2023,11,27)</f>
        <v>45257</v>
      </c>
      <c r="H3697" s="142">
        <v>1.9166666666666665</v>
      </c>
      <c r="I3697" s="55" t="s">
        <v>73</v>
      </c>
      <c r="J3697" s="55" t="s">
        <v>21540</v>
      </c>
      <c r="K3697" s="55" t="s">
        <v>1574</v>
      </c>
      <c r="L3697" s="55" t="s">
        <v>21541</v>
      </c>
      <c r="M3697" s="55" t="s">
        <v>63</v>
      </c>
      <c r="N3697" s="55" t="s">
        <v>99</v>
      </c>
      <c r="O3697" s="55" t="s">
        <v>64</v>
      </c>
      <c r="P3697" s="55" t="s">
        <v>78</v>
      </c>
      <c r="Q3697" s="55" t="s">
        <v>19970</v>
      </c>
      <c r="R3697" s="55" t="s">
        <v>21542</v>
      </c>
      <c r="S3697" s="55">
        <v>0</v>
      </c>
      <c r="T3697" s="55">
        <v>0</v>
      </c>
      <c r="U3697" s="55">
        <v>0</v>
      </c>
      <c r="V3697" s="55">
        <v>0</v>
      </c>
      <c r="W3697" s="55">
        <v>0</v>
      </c>
      <c r="X3697" s="55">
        <v>0</v>
      </c>
      <c r="Y3697" s="55">
        <v>0</v>
      </c>
      <c r="Z3697" s="55">
        <v>0</v>
      </c>
      <c r="AA3697" s="55">
        <v>0</v>
      </c>
      <c r="AB3697" s="55">
        <v>0</v>
      </c>
      <c r="AC3697" s="55">
        <v>0</v>
      </c>
      <c r="AD3697" s="55">
        <v>0</v>
      </c>
      <c r="AE3697" s="55" t="s">
        <v>394</v>
      </c>
      <c r="AF3697" s="55" t="s">
        <v>21543</v>
      </c>
      <c r="AG3697" s="55" t="s">
        <v>8859</v>
      </c>
      <c r="AH3697" s="72">
        <v>45258</v>
      </c>
      <c r="AI3697" s="55">
        <v>1</v>
      </c>
      <c r="AJ3697" s="55" t="s">
        <v>21544</v>
      </c>
      <c r="AK3697" s="55" t="s">
        <v>21545</v>
      </c>
      <c r="AL3697" s="157">
        <v>45258</v>
      </c>
      <c r="AM3697" s="55"/>
      <c r="AN3697" s="157">
        <v>45601</v>
      </c>
      <c r="AO3697" s="157">
        <v>45610</v>
      </c>
    </row>
    <row r="3698" spans="1:55" ht="36.75" customHeight="1">
      <c r="A3698" s="46" t="s">
        <v>12471</v>
      </c>
      <c r="B3698" s="30" t="s">
        <v>55</v>
      </c>
      <c r="C3698" s="69" t="str">
        <f t="shared" si="315"/>
        <v>Closed</v>
      </c>
      <c r="D3698" s="203" t="s">
        <v>21546</v>
      </c>
      <c r="E3698" s="55" t="s">
        <v>21547</v>
      </c>
      <c r="F3698" s="55" t="s">
        <v>18131</v>
      </c>
      <c r="G3698" s="88">
        <f>DATE(2023,11,28)</f>
        <v>45258</v>
      </c>
      <c r="H3698" s="142">
        <v>1.7847222222222223</v>
      </c>
      <c r="I3698" s="55" t="s">
        <v>116</v>
      </c>
      <c r="J3698" s="55" t="s">
        <v>21548</v>
      </c>
      <c r="K3698" s="55" t="s">
        <v>379</v>
      </c>
      <c r="L3698" s="55" t="s">
        <v>21549</v>
      </c>
      <c r="M3698" s="55" t="s">
        <v>63</v>
      </c>
      <c r="N3698" s="55" t="s">
        <v>99</v>
      </c>
      <c r="O3698" s="55" t="s">
        <v>64</v>
      </c>
      <c r="P3698" s="55" t="s">
        <v>165</v>
      </c>
      <c r="Q3698" s="55" t="s">
        <v>3193</v>
      </c>
      <c r="R3698" s="55" t="s">
        <v>19604</v>
      </c>
      <c r="S3698" s="55">
        <v>0</v>
      </c>
      <c r="T3698" s="55">
        <v>1</v>
      </c>
      <c r="U3698" s="55">
        <v>1</v>
      </c>
      <c r="V3698" s="55">
        <v>0</v>
      </c>
      <c r="W3698" s="55">
        <v>0</v>
      </c>
      <c r="X3698" s="55">
        <v>2</v>
      </c>
      <c r="Y3698" s="55">
        <v>0</v>
      </c>
      <c r="Z3698" s="55">
        <v>0</v>
      </c>
      <c r="AA3698" s="55">
        <v>0</v>
      </c>
      <c r="AB3698" s="55">
        <v>0</v>
      </c>
      <c r="AC3698" s="55">
        <v>0</v>
      </c>
      <c r="AD3698" s="55">
        <v>0</v>
      </c>
      <c r="AE3698" s="55" t="s">
        <v>145</v>
      </c>
      <c r="AF3698" s="55" t="s">
        <v>21550</v>
      </c>
      <c r="AG3698" s="55" t="s">
        <v>6459</v>
      </c>
      <c r="AH3698" s="72">
        <v>45259</v>
      </c>
      <c r="AI3698" s="55">
        <v>4</v>
      </c>
      <c r="AJ3698" s="55" t="s">
        <v>21551</v>
      </c>
      <c r="AK3698" s="55"/>
      <c r="AL3698" s="157">
        <v>45261</v>
      </c>
      <c r="AM3698" s="55"/>
      <c r="AN3698" s="157">
        <v>45705</v>
      </c>
      <c r="AO3698" s="157">
        <v>45692</v>
      </c>
    </row>
    <row r="3699" spans="1:55" ht="36.75" customHeight="1">
      <c r="A3699" s="46" t="s">
        <v>12471</v>
      </c>
      <c r="B3699" s="30" t="s">
        <v>55</v>
      </c>
      <c r="C3699" s="69" t="str">
        <f t="shared" si="315"/>
        <v>Closed</v>
      </c>
      <c r="D3699" s="37" t="s">
        <v>21552</v>
      </c>
      <c r="E3699" s="55" t="s">
        <v>21553</v>
      </c>
      <c r="F3699" s="55" t="s">
        <v>17682</v>
      </c>
      <c r="G3699" s="88">
        <f>DATE(2023,11,28)</f>
        <v>45258</v>
      </c>
      <c r="H3699" s="142">
        <v>1.4236111111111112</v>
      </c>
      <c r="I3699" s="55" t="s">
        <v>73</v>
      </c>
      <c r="J3699" s="55" t="s">
        <v>21554</v>
      </c>
      <c r="K3699" s="55" t="s">
        <v>1574</v>
      </c>
      <c r="L3699" s="55" t="s">
        <v>21555</v>
      </c>
      <c r="M3699" s="55" t="s">
        <v>63</v>
      </c>
      <c r="N3699" s="55" t="s">
        <v>99</v>
      </c>
      <c r="O3699" s="55" t="s">
        <v>64</v>
      </c>
      <c r="P3699" s="55" t="s">
        <v>78</v>
      </c>
      <c r="Q3699" s="55" t="s">
        <v>18063</v>
      </c>
      <c r="R3699" s="55" t="s">
        <v>19007</v>
      </c>
      <c r="S3699" s="55"/>
      <c r="T3699" s="55"/>
      <c r="U3699" s="55"/>
      <c r="V3699" s="55"/>
      <c r="W3699" s="55"/>
      <c r="X3699" s="55">
        <v>0</v>
      </c>
      <c r="Y3699" s="55"/>
      <c r="Z3699" s="55"/>
      <c r="AA3699" s="55"/>
      <c r="AB3699" s="55"/>
      <c r="AC3699" s="55"/>
      <c r="AD3699" s="55">
        <v>0</v>
      </c>
      <c r="AE3699" s="55" t="s">
        <v>92</v>
      </c>
      <c r="AF3699" s="55" t="s">
        <v>21556</v>
      </c>
      <c r="AG3699" s="55" t="s">
        <v>8859</v>
      </c>
      <c r="AH3699" s="72">
        <v>45264</v>
      </c>
      <c r="AI3699" s="55">
        <v>1</v>
      </c>
      <c r="AJ3699" s="55" t="s">
        <v>21557</v>
      </c>
      <c r="AK3699" s="55" t="s">
        <v>21558</v>
      </c>
      <c r="AL3699" s="157">
        <v>45264</v>
      </c>
      <c r="AM3699" s="55"/>
      <c r="AN3699" s="157">
        <v>45629</v>
      </c>
      <c r="AO3699" s="157">
        <v>45617</v>
      </c>
    </row>
    <row r="3700" spans="1:55" ht="36.75" customHeight="1">
      <c r="A3700" s="46" t="s">
        <v>12471</v>
      </c>
      <c r="B3700" s="30" t="s">
        <v>55</v>
      </c>
      <c r="C3700" s="69" t="str">
        <f t="shared" si="315"/>
        <v>Closed</v>
      </c>
      <c r="D3700" s="62" t="s">
        <v>21559</v>
      </c>
      <c r="E3700" s="55" t="s">
        <v>21560</v>
      </c>
      <c r="F3700" s="55" t="s">
        <v>18881</v>
      </c>
      <c r="G3700" s="88">
        <f>DATE(2023,11,30)</f>
        <v>45260</v>
      </c>
      <c r="H3700" s="142">
        <v>1.8090277777777777</v>
      </c>
      <c r="I3700" s="55" t="s">
        <v>73</v>
      </c>
      <c r="J3700" s="55" t="s">
        <v>21561</v>
      </c>
      <c r="K3700" s="55" t="s">
        <v>61</v>
      </c>
      <c r="L3700" s="55" t="s">
        <v>21562</v>
      </c>
      <c r="M3700" s="55" t="s">
        <v>63</v>
      </c>
      <c r="N3700" s="55" t="s">
        <v>89</v>
      </c>
      <c r="O3700" s="55" t="s">
        <v>77</v>
      </c>
      <c r="P3700" s="55" t="s">
        <v>78</v>
      </c>
      <c r="Q3700" s="55" t="s">
        <v>21563</v>
      </c>
      <c r="R3700" s="55" t="s">
        <v>21564</v>
      </c>
      <c r="S3700" s="55">
        <v>0</v>
      </c>
      <c r="T3700" s="55">
        <v>0</v>
      </c>
      <c r="U3700" s="55">
        <v>0</v>
      </c>
      <c r="V3700" s="55">
        <v>0</v>
      </c>
      <c r="W3700" s="55">
        <v>0</v>
      </c>
      <c r="X3700" s="55">
        <v>0</v>
      </c>
      <c r="Y3700" s="55">
        <v>0</v>
      </c>
      <c r="Z3700" s="55">
        <v>0</v>
      </c>
      <c r="AA3700" s="55">
        <v>0</v>
      </c>
      <c r="AB3700" s="55">
        <v>0</v>
      </c>
      <c r="AC3700" s="55">
        <v>0</v>
      </c>
      <c r="AD3700" s="55">
        <v>0</v>
      </c>
      <c r="AE3700" s="55" t="s">
        <v>394</v>
      </c>
      <c r="AF3700" s="55" t="s">
        <v>21565</v>
      </c>
      <c r="AG3700" s="55" t="s">
        <v>17062</v>
      </c>
      <c r="AH3700" s="72">
        <v>45261</v>
      </c>
      <c r="AI3700" s="55">
        <v>5</v>
      </c>
      <c r="AJ3700" s="55" t="s">
        <v>21566</v>
      </c>
      <c r="AK3700" s="55" t="s">
        <v>21567</v>
      </c>
      <c r="AL3700" s="157">
        <v>45261</v>
      </c>
      <c r="AM3700" s="157"/>
      <c r="AN3700" s="157">
        <v>45618</v>
      </c>
      <c r="AO3700" s="209"/>
    </row>
    <row r="3701" spans="1:55" ht="36.75" customHeight="1">
      <c r="A3701" s="46" t="s">
        <v>12471</v>
      </c>
      <c r="B3701" s="30" t="s">
        <v>55</v>
      </c>
      <c r="C3701" s="69" t="str">
        <f t="shared" si="315"/>
        <v>Closed</v>
      </c>
      <c r="D3701" s="37" t="s">
        <v>21568</v>
      </c>
      <c r="E3701" s="55" t="s">
        <v>21569</v>
      </c>
      <c r="F3701" s="55" t="s">
        <v>19670</v>
      </c>
      <c r="G3701" s="88">
        <f>DATE(2023,11,30)</f>
        <v>45260</v>
      </c>
      <c r="H3701" s="142">
        <v>1.4270833333333333</v>
      </c>
      <c r="I3701" s="55" t="s">
        <v>278</v>
      </c>
      <c r="J3701" s="55" t="s">
        <v>21570</v>
      </c>
      <c r="K3701" s="55" t="s">
        <v>2549</v>
      </c>
      <c r="L3701" s="55" t="s">
        <v>21571</v>
      </c>
      <c r="M3701" s="55" t="s">
        <v>63</v>
      </c>
      <c r="N3701" s="55" t="s">
        <v>142</v>
      </c>
      <c r="O3701" s="55" t="s">
        <v>77</v>
      </c>
      <c r="P3701" s="55" t="s">
        <v>165</v>
      </c>
      <c r="Q3701" s="55" t="s">
        <v>21572</v>
      </c>
      <c r="R3701" s="55" t="s">
        <v>21573</v>
      </c>
      <c r="S3701" s="55">
        <v>0</v>
      </c>
      <c r="T3701" s="55">
        <v>1</v>
      </c>
      <c r="U3701" s="55">
        <v>0</v>
      </c>
      <c r="V3701" s="55">
        <v>0</v>
      </c>
      <c r="W3701" s="55">
        <v>0</v>
      </c>
      <c r="X3701" s="55">
        <v>1</v>
      </c>
      <c r="Y3701" s="55">
        <v>0</v>
      </c>
      <c r="Z3701" s="55">
        <v>0</v>
      </c>
      <c r="AA3701" s="55">
        <v>0</v>
      </c>
      <c r="AB3701" s="55">
        <v>0</v>
      </c>
      <c r="AC3701" s="55">
        <v>0</v>
      </c>
      <c r="AD3701" s="55">
        <v>0</v>
      </c>
      <c r="AE3701" s="55" t="s">
        <v>92</v>
      </c>
      <c r="AF3701" s="55" t="s">
        <v>19605</v>
      </c>
      <c r="AG3701" s="55" t="s">
        <v>8859</v>
      </c>
      <c r="AH3701" s="72">
        <v>45261</v>
      </c>
      <c r="AI3701" s="55">
        <v>3</v>
      </c>
      <c r="AJ3701" s="55" t="s">
        <v>21574</v>
      </c>
      <c r="AK3701" s="55" t="s">
        <v>21575</v>
      </c>
      <c r="AL3701" s="157">
        <v>45264</v>
      </c>
      <c r="AM3701" s="55"/>
      <c r="AN3701" s="157">
        <v>45628</v>
      </c>
      <c r="AO3701" s="157">
        <v>45628</v>
      </c>
      <c r="AP3701" s="55"/>
      <c r="AQ3701" s="55"/>
      <c r="AR3701" s="55"/>
      <c r="AS3701" s="55"/>
      <c r="AT3701" s="55"/>
      <c r="AU3701" s="55"/>
      <c r="AV3701" s="55"/>
      <c r="AW3701" s="55"/>
      <c r="AX3701" s="55"/>
      <c r="AY3701" s="55"/>
      <c r="AZ3701" s="55"/>
      <c r="BA3701" s="55"/>
      <c r="BB3701" s="55"/>
      <c r="BC3701" s="55"/>
    </row>
    <row r="3702" spans="1:55" ht="36.75" customHeight="1">
      <c r="A3702" s="46" t="s">
        <v>12471</v>
      </c>
      <c r="B3702" s="30" t="s">
        <v>55</v>
      </c>
      <c r="C3702" s="69" t="str">
        <f t="shared" si="315"/>
        <v>Closed</v>
      </c>
      <c r="D3702" s="37" t="s">
        <v>21576</v>
      </c>
      <c r="E3702" s="55" t="s">
        <v>21577</v>
      </c>
      <c r="F3702" s="55" t="s">
        <v>17682</v>
      </c>
      <c r="G3702" s="88">
        <f>DATE(2023,12,1)</f>
        <v>45261</v>
      </c>
      <c r="H3702" s="142">
        <v>1.6180555555555556</v>
      </c>
      <c r="I3702" s="55" t="s">
        <v>73</v>
      </c>
      <c r="J3702" s="55" t="s">
        <v>21578</v>
      </c>
      <c r="K3702" s="55" t="s">
        <v>1574</v>
      </c>
      <c r="L3702" s="55" t="s">
        <v>14116</v>
      </c>
      <c r="M3702" s="55" t="s">
        <v>63</v>
      </c>
      <c r="N3702" s="55" t="s">
        <v>99</v>
      </c>
      <c r="O3702" s="55" t="s">
        <v>77</v>
      </c>
      <c r="P3702" s="55" t="s">
        <v>78</v>
      </c>
      <c r="Q3702" s="55" t="s">
        <v>19970</v>
      </c>
      <c r="R3702" s="55" t="s">
        <v>19970</v>
      </c>
      <c r="S3702" s="55">
        <v>0</v>
      </c>
      <c r="T3702" s="55">
        <v>0</v>
      </c>
      <c r="U3702" s="55">
        <v>0</v>
      </c>
      <c r="V3702" s="55">
        <v>0</v>
      </c>
      <c r="W3702" s="55">
        <v>0</v>
      </c>
      <c r="X3702" s="55">
        <v>0</v>
      </c>
      <c r="Y3702" s="55">
        <v>0</v>
      </c>
      <c r="Z3702" s="55">
        <v>0</v>
      </c>
      <c r="AA3702" s="55">
        <v>0</v>
      </c>
      <c r="AB3702" s="55">
        <v>0</v>
      </c>
      <c r="AC3702" s="55">
        <v>0</v>
      </c>
      <c r="AD3702" s="55">
        <v>0</v>
      </c>
      <c r="AE3702" s="55" t="s">
        <v>92</v>
      </c>
      <c r="AF3702" s="55" t="s">
        <v>21579</v>
      </c>
      <c r="AG3702" s="55" t="s">
        <v>8859</v>
      </c>
      <c r="AH3702" s="72">
        <v>45264</v>
      </c>
      <c r="AI3702" s="55">
        <v>0</v>
      </c>
      <c r="AJ3702" s="55" t="s">
        <v>21580</v>
      </c>
      <c r="AK3702" s="55" t="s">
        <v>21581</v>
      </c>
      <c r="AL3702" s="157">
        <v>45264</v>
      </c>
      <c r="AM3702" s="55"/>
      <c r="AN3702" s="157">
        <v>45614</v>
      </c>
      <c r="AO3702" s="157">
        <v>45609</v>
      </c>
    </row>
    <row r="3703" spans="1:55" ht="36.75" customHeight="1">
      <c r="A3703" s="46" t="s">
        <v>12471</v>
      </c>
      <c r="B3703" s="30" t="s">
        <v>55</v>
      </c>
      <c r="C3703" s="69" t="str">
        <f t="shared" si="315"/>
        <v>Closed</v>
      </c>
      <c r="D3703" s="37" t="s">
        <v>21582</v>
      </c>
      <c r="E3703" s="55" t="s">
        <v>21583</v>
      </c>
      <c r="F3703" s="55" t="s">
        <v>17773</v>
      </c>
      <c r="G3703" s="88">
        <f>DATE(2023,12,1)</f>
        <v>45261</v>
      </c>
      <c r="H3703" s="142">
        <v>1.3194444444444444</v>
      </c>
      <c r="I3703" s="55" t="s">
        <v>125</v>
      </c>
      <c r="J3703" s="55" t="s">
        <v>21584</v>
      </c>
      <c r="K3703" s="55" t="s">
        <v>2603</v>
      </c>
      <c r="L3703" s="55" t="s">
        <v>21585</v>
      </c>
      <c r="M3703" s="55" t="s">
        <v>63</v>
      </c>
      <c r="N3703" s="55" t="s">
        <v>99</v>
      </c>
      <c r="O3703" s="55" t="s">
        <v>64</v>
      </c>
      <c r="P3703" s="55" t="s">
        <v>65</v>
      </c>
      <c r="Q3703" s="55" t="s">
        <v>20751</v>
      </c>
      <c r="R3703" s="55" t="s">
        <v>20752</v>
      </c>
      <c r="S3703" s="55">
        <v>0</v>
      </c>
      <c r="T3703" s="55">
        <v>0</v>
      </c>
      <c r="U3703" s="55">
        <v>0</v>
      </c>
      <c r="V3703" s="55">
        <v>0</v>
      </c>
      <c r="W3703" s="55">
        <v>0</v>
      </c>
      <c r="X3703" s="55">
        <v>0</v>
      </c>
      <c r="Y3703" s="55">
        <v>0</v>
      </c>
      <c r="Z3703" s="55">
        <v>0</v>
      </c>
      <c r="AA3703" s="55">
        <v>0</v>
      </c>
      <c r="AB3703" s="55">
        <v>0</v>
      </c>
      <c r="AC3703" s="55">
        <v>0</v>
      </c>
      <c r="AD3703" s="55">
        <v>0</v>
      </c>
      <c r="AE3703" s="55" t="s">
        <v>92</v>
      </c>
      <c r="AF3703" s="55" t="s">
        <v>21586</v>
      </c>
      <c r="AG3703" s="55" t="s">
        <v>8859</v>
      </c>
      <c r="AH3703" s="72">
        <v>45264</v>
      </c>
      <c r="AI3703" s="55">
        <v>5</v>
      </c>
      <c r="AJ3703" s="55" t="s">
        <v>21587</v>
      </c>
      <c r="AK3703" s="55" t="s">
        <v>21588</v>
      </c>
      <c r="AL3703" s="157">
        <v>45264</v>
      </c>
      <c r="AM3703" s="55"/>
      <c r="AN3703" s="183">
        <v>45348</v>
      </c>
      <c r="AO3703" s="183">
        <v>45328</v>
      </c>
    </row>
    <row r="3704" spans="1:55" ht="36.75" customHeight="1">
      <c r="A3704" s="46" t="s">
        <v>12471</v>
      </c>
      <c r="B3704" s="30" t="s">
        <v>14882</v>
      </c>
      <c r="C3704" s="69" t="str">
        <f t="shared" si="315"/>
        <v>In progress</v>
      </c>
      <c r="D3704" s="203" t="s">
        <v>21589</v>
      </c>
      <c r="E3704" s="55" t="s">
        <v>21590</v>
      </c>
      <c r="F3704" s="55" t="s">
        <v>6455</v>
      </c>
      <c r="G3704" s="88">
        <f>DATE(2023,12,1)</f>
        <v>45261</v>
      </c>
      <c r="H3704" s="142">
        <v>1.4861111111111112</v>
      </c>
      <c r="I3704" s="89" t="s">
        <v>198</v>
      </c>
      <c r="J3704" s="228" t="s">
        <v>21591</v>
      </c>
      <c r="K3704" s="55" t="s">
        <v>584</v>
      </c>
      <c r="L3704" s="55" t="s">
        <v>21592</v>
      </c>
      <c r="M3704" s="55" t="s">
        <v>63</v>
      </c>
      <c r="N3704" s="55" t="s">
        <v>89</v>
      </c>
      <c r="O3704" s="55" t="s">
        <v>77</v>
      </c>
      <c r="P3704" s="55" t="s">
        <v>381</v>
      </c>
      <c r="Q3704" s="210" t="s">
        <v>21593</v>
      </c>
      <c r="R3704" s="89" t="s">
        <v>587</v>
      </c>
      <c r="S3704" s="55">
        <v>0</v>
      </c>
      <c r="T3704" s="55">
        <v>0</v>
      </c>
      <c r="U3704" s="55">
        <v>0</v>
      </c>
      <c r="V3704" s="55">
        <v>0</v>
      </c>
      <c r="W3704" s="55">
        <v>0</v>
      </c>
      <c r="X3704" s="55">
        <v>0</v>
      </c>
      <c r="Y3704" s="55">
        <v>0</v>
      </c>
      <c r="Z3704" s="55">
        <v>0</v>
      </c>
      <c r="AA3704" s="55">
        <v>0</v>
      </c>
      <c r="AB3704" s="55">
        <v>0</v>
      </c>
      <c r="AC3704" s="55">
        <v>0</v>
      </c>
      <c r="AD3704" s="55">
        <v>0</v>
      </c>
      <c r="AE3704" s="89" t="s">
        <v>92</v>
      </c>
      <c r="AF3704" s="89" t="s">
        <v>21594</v>
      </c>
      <c r="AG3704" s="210" t="s">
        <v>14033</v>
      </c>
      <c r="AH3704" s="72">
        <v>45261</v>
      </c>
      <c r="AI3704" s="89"/>
      <c r="AJ3704" s="89"/>
      <c r="AK3704" s="89"/>
      <c r="AL3704" s="157">
        <v>45294</v>
      </c>
      <c r="AM3704" s="89" t="s">
        <v>21595</v>
      </c>
      <c r="AN3704" s="89"/>
      <c r="AO3704" s="89"/>
    </row>
    <row r="3705" spans="1:55" ht="36.75" customHeight="1">
      <c r="A3705" s="46" t="s">
        <v>12471</v>
      </c>
      <c r="B3705" s="30" t="s">
        <v>55</v>
      </c>
      <c r="C3705" s="69" t="str">
        <f t="shared" si="315"/>
        <v>Closed</v>
      </c>
      <c r="D3705" s="37" t="s">
        <v>21596</v>
      </c>
      <c r="E3705" s="55" t="s">
        <v>21597</v>
      </c>
      <c r="F3705" s="55" t="s">
        <v>12910</v>
      </c>
      <c r="G3705" s="88">
        <f>DATE(2023,12,2)</f>
        <v>45262</v>
      </c>
      <c r="H3705" s="142">
        <v>1.1944444444444444</v>
      </c>
      <c r="I3705" s="55" t="s">
        <v>278</v>
      </c>
      <c r="J3705" s="55" t="s">
        <v>21104</v>
      </c>
      <c r="K3705" s="55" t="s">
        <v>453</v>
      </c>
      <c r="L3705" s="55" t="s">
        <v>21598</v>
      </c>
      <c r="M3705" s="55" t="s">
        <v>63</v>
      </c>
      <c r="N3705" s="55" t="s">
        <v>142</v>
      </c>
      <c r="O3705" s="55" t="s">
        <v>64</v>
      </c>
      <c r="P3705" s="55" t="s">
        <v>6902</v>
      </c>
      <c r="Q3705" s="55" t="s">
        <v>21599</v>
      </c>
      <c r="R3705" s="55" t="s">
        <v>572</v>
      </c>
      <c r="S3705" s="55">
        <v>0</v>
      </c>
      <c r="T3705" s="55">
        <v>0</v>
      </c>
      <c r="U3705" s="55">
        <v>0</v>
      </c>
      <c r="V3705" s="55">
        <v>1</v>
      </c>
      <c r="W3705" s="55">
        <v>0</v>
      </c>
      <c r="X3705" s="55">
        <v>1</v>
      </c>
      <c r="Y3705" s="55">
        <v>0</v>
      </c>
      <c r="Z3705" s="55">
        <v>0</v>
      </c>
      <c r="AA3705" s="55">
        <v>0</v>
      </c>
      <c r="AB3705" s="55">
        <v>0</v>
      </c>
      <c r="AC3705" s="55">
        <v>0</v>
      </c>
      <c r="AD3705" s="55">
        <v>0</v>
      </c>
      <c r="AE3705" s="55" t="s">
        <v>92</v>
      </c>
      <c r="AF3705" s="55" t="s">
        <v>712</v>
      </c>
      <c r="AG3705" s="55" t="s">
        <v>6459</v>
      </c>
      <c r="AH3705" s="72">
        <v>45271</v>
      </c>
      <c r="AI3705" s="55">
        <v>0</v>
      </c>
      <c r="AJ3705" s="55" t="s">
        <v>21106</v>
      </c>
      <c r="AK3705" s="55" t="s">
        <v>21600</v>
      </c>
      <c r="AL3705" s="157">
        <v>45273</v>
      </c>
      <c r="AM3705" s="55"/>
      <c r="AN3705" s="157">
        <v>45531</v>
      </c>
      <c r="AO3705" s="157">
        <v>45531</v>
      </c>
    </row>
    <row r="3706" spans="1:55" ht="36.75" customHeight="1">
      <c r="A3706" s="46" t="s">
        <v>12471</v>
      </c>
      <c r="B3706" s="30" t="s">
        <v>55</v>
      </c>
      <c r="C3706" s="69" t="str">
        <f t="shared" si="315"/>
        <v>Closed</v>
      </c>
      <c r="D3706" s="37" t="s">
        <v>21601</v>
      </c>
      <c r="E3706" s="55" t="s">
        <v>21602</v>
      </c>
      <c r="F3706" s="55" t="s">
        <v>12910</v>
      </c>
      <c r="G3706" s="88">
        <f>DATE(2023,12,3)</f>
        <v>45263</v>
      </c>
      <c r="H3706" s="142">
        <v>1.2291666666666667</v>
      </c>
      <c r="I3706" s="55" t="s">
        <v>278</v>
      </c>
      <c r="J3706" s="55" t="s">
        <v>21104</v>
      </c>
      <c r="K3706" s="55" t="s">
        <v>453</v>
      </c>
      <c r="L3706" s="55" t="s">
        <v>21603</v>
      </c>
      <c r="M3706" s="55" t="s">
        <v>63</v>
      </c>
      <c r="N3706" s="55" t="s">
        <v>142</v>
      </c>
      <c r="O3706" s="55" t="s">
        <v>64</v>
      </c>
      <c r="P3706" s="55" t="s">
        <v>6902</v>
      </c>
      <c r="Q3706" s="55" t="s">
        <v>21599</v>
      </c>
      <c r="R3706" s="55" t="s">
        <v>572</v>
      </c>
      <c r="S3706" s="55">
        <v>0</v>
      </c>
      <c r="T3706" s="55">
        <v>0</v>
      </c>
      <c r="U3706" s="55">
        <v>0</v>
      </c>
      <c r="V3706" s="55">
        <v>1</v>
      </c>
      <c r="W3706" s="55">
        <v>0</v>
      </c>
      <c r="X3706" s="55">
        <v>1</v>
      </c>
      <c r="Y3706" s="55">
        <v>0</v>
      </c>
      <c r="Z3706" s="55">
        <v>0</v>
      </c>
      <c r="AA3706" s="55">
        <v>0</v>
      </c>
      <c r="AB3706" s="55">
        <v>0</v>
      </c>
      <c r="AC3706" s="55">
        <v>0</v>
      </c>
      <c r="AD3706" s="55">
        <v>0</v>
      </c>
      <c r="AE3706" s="55" t="s">
        <v>92</v>
      </c>
      <c r="AF3706" s="55" t="s">
        <v>712</v>
      </c>
      <c r="AG3706" s="55" t="s">
        <v>6459</v>
      </c>
      <c r="AH3706" s="72">
        <v>45271</v>
      </c>
      <c r="AI3706" s="55">
        <v>0</v>
      </c>
      <c r="AJ3706" s="55" t="s">
        <v>21604</v>
      </c>
      <c r="AK3706" s="55" t="s">
        <v>21605</v>
      </c>
      <c r="AL3706" s="157">
        <v>45273</v>
      </c>
      <c r="AM3706" s="55"/>
      <c r="AN3706" s="157">
        <v>45589</v>
      </c>
      <c r="AO3706" s="157">
        <v>45589</v>
      </c>
    </row>
    <row r="3707" spans="1:55" ht="36.75" customHeight="1">
      <c r="A3707" s="46" t="s">
        <v>12471</v>
      </c>
      <c r="B3707" s="30" t="s">
        <v>21606</v>
      </c>
      <c r="C3707" s="69" t="str">
        <f t="shared" si="315"/>
        <v>In progress</v>
      </c>
      <c r="D3707" s="36" t="s">
        <v>21607</v>
      </c>
      <c r="E3707" s="55" t="s">
        <v>21608</v>
      </c>
      <c r="F3707" s="55" t="s">
        <v>16429</v>
      </c>
      <c r="G3707" s="88">
        <f>DATE(2023,12,3)</f>
        <v>45263</v>
      </c>
      <c r="H3707" s="142">
        <v>1.2395833333333333</v>
      </c>
      <c r="I3707" s="55" t="s">
        <v>198</v>
      </c>
      <c r="J3707" s="55" t="s">
        <v>21609</v>
      </c>
      <c r="K3707" s="55" t="s">
        <v>425</v>
      </c>
      <c r="L3707" s="55" t="s">
        <v>21610</v>
      </c>
      <c r="M3707" s="55" t="s">
        <v>63</v>
      </c>
      <c r="N3707" s="55" t="s">
        <v>142</v>
      </c>
      <c r="O3707" s="55" t="s">
        <v>21611</v>
      </c>
      <c r="P3707" s="55" t="s">
        <v>78</v>
      </c>
      <c r="Q3707" s="55" t="s">
        <v>21612</v>
      </c>
      <c r="R3707" s="55" t="s">
        <v>17369</v>
      </c>
      <c r="S3707" s="55">
        <v>0</v>
      </c>
      <c r="T3707" s="55">
        <v>0</v>
      </c>
      <c r="U3707" s="55">
        <v>0</v>
      </c>
      <c r="V3707" s="55">
        <v>0</v>
      </c>
      <c r="W3707" s="55">
        <v>0</v>
      </c>
      <c r="X3707" s="55">
        <v>0</v>
      </c>
      <c r="Y3707" s="55">
        <v>0</v>
      </c>
      <c r="Z3707" s="55">
        <v>0</v>
      </c>
      <c r="AA3707" s="55">
        <v>0</v>
      </c>
      <c r="AB3707" s="55">
        <v>0</v>
      </c>
      <c r="AC3707" s="55">
        <v>0</v>
      </c>
      <c r="AD3707" s="55">
        <v>0</v>
      </c>
      <c r="AE3707" s="55" t="s">
        <v>145</v>
      </c>
      <c r="AF3707" s="55" t="s">
        <v>21613</v>
      </c>
      <c r="AG3707" s="55" t="s">
        <v>6459</v>
      </c>
      <c r="AH3707" s="72">
        <v>45263</v>
      </c>
      <c r="AI3707" s="55"/>
      <c r="AJ3707" s="55"/>
      <c r="AK3707" s="55"/>
      <c r="AL3707" s="157">
        <v>45274</v>
      </c>
      <c r="AM3707" s="157">
        <v>45762</v>
      </c>
      <c r="AN3707" s="209"/>
      <c r="AO3707" s="209"/>
    </row>
    <row r="3708" spans="1:55" ht="36.75" customHeight="1">
      <c r="A3708" s="46" t="s">
        <v>12471</v>
      </c>
      <c r="B3708" s="30" t="s">
        <v>55</v>
      </c>
      <c r="C3708" s="69" t="str">
        <f t="shared" si="315"/>
        <v>Closed</v>
      </c>
      <c r="D3708" s="203" t="s">
        <v>21614</v>
      </c>
      <c r="E3708" s="55" t="s">
        <v>21615</v>
      </c>
      <c r="F3708" s="55" t="s">
        <v>17057</v>
      </c>
      <c r="G3708" s="88">
        <f>DATE(2023,12,3)</f>
        <v>45263</v>
      </c>
      <c r="H3708" s="142">
        <v>1.4201388888888888</v>
      </c>
      <c r="I3708" s="55" t="s">
        <v>278</v>
      </c>
      <c r="J3708" s="55" t="s">
        <v>21616</v>
      </c>
      <c r="K3708" s="55" t="s">
        <v>2338</v>
      </c>
      <c r="L3708" s="55" t="s">
        <v>21617</v>
      </c>
      <c r="M3708" s="55" t="s">
        <v>63</v>
      </c>
      <c r="N3708" s="55" t="s">
        <v>142</v>
      </c>
      <c r="O3708" s="55" t="s">
        <v>77</v>
      </c>
      <c r="P3708" s="55" t="s">
        <v>165</v>
      </c>
      <c r="Q3708" s="55" t="s">
        <v>18726</v>
      </c>
      <c r="R3708" s="55" t="s">
        <v>2341</v>
      </c>
      <c r="S3708" s="55">
        <v>0</v>
      </c>
      <c r="T3708" s="55">
        <v>2</v>
      </c>
      <c r="U3708" s="55">
        <v>0</v>
      </c>
      <c r="V3708" s="55">
        <v>0</v>
      </c>
      <c r="W3708" s="55">
        <v>0</v>
      </c>
      <c r="X3708" s="55">
        <v>2</v>
      </c>
      <c r="Y3708" s="55">
        <v>0</v>
      </c>
      <c r="Z3708" s="55">
        <v>0</v>
      </c>
      <c r="AA3708" s="55">
        <v>0</v>
      </c>
      <c r="AB3708" s="55">
        <v>0</v>
      </c>
      <c r="AC3708" s="55">
        <v>0</v>
      </c>
      <c r="AD3708" s="55">
        <v>0</v>
      </c>
      <c r="AE3708" s="55" t="s">
        <v>92</v>
      </c>
      <c r="AF3708" s="55" t="s">
        <v>21618</v>
      </c>
      <c r="AG3708" s="55" t="s">
        <v>21619</v>
      </c>
      <c r="AH3708" s="72">
        <v>45324</v>
      </c>
      <c r="AI3708" s="55">
        <v>5</v>
      </c>
      <c r="AJ3708" s="55" t="s">
        <v>21620</v>
      </c>
      <c r="AK3708" s="55" t="s">
        <v>21621</v>
      </c>
      <c r="AL3708" s="157">
        <v>45327</v>
      </c>
      <c r="AM3708" s="157">
        <v>45670</v>
      </c>
      <c r="AN3708" s="157">
        <v>45812</v>
      </c>
      <c r="AO3708" s="157">
        <v>45762</v>
      </c>
    </row>
    <row r="3709" spans="1:55" ht="36.75" customHeight="1">
      <c r="A3709" s="46" t="s">
        <v>12471</v>
      </c>
      <c r="B3709" s="30" t="s">
        <v>55</v>
      </c>
      <c r="C3709" s="69" t="str">
        <f t="shared" si="315"/>
        <v>Closed</v>
      </c>
      <c r="D3709" s="203" t="s">
        <v>21622</v>
      </c>
      <c r="E3709" s="55" t="s">
        <v>21623</v>
      </c>
      <c r="F3709" s="55" t="s">
        <v>17682</v>
      </c>
      <c r="G3709" s="88">
        <f>DATE(2023,12,4)</f>
        <v>45264</v>
      </c>
      <c r="H3709" s="142">
        <v>1.28125</v>
      </c>
      <c r="I3709" s="55" t="s">
        <v>5494</v>
      </c>
      <c r="J3709" s="55" t="s">
        <v>21624</v>
      </c>
      <c r="K3709" s="55" t="s">
        <v>1574</v>
      </c>
      <c r="L3709" s="55" t="s">
        <v>21625</v>
      </c>
      <c r="M3709" s="55" t="s">
        <v>63</v>
      </c>
      <c r="N3709" s="55" t="s">
        <v>142</v>
      </c>
      <c r="O3709" s="55" t="s">
        <v>77</v>
      </c>
      <c r="P3709" s="55" t="s">
        <v>65</v>
      </c>
      <c r="Q3709" s="55" t="s">
        <v>18739</v>
      </c>
      <c r="R3709" s="55" t="s">
        <v>19007</v>
      </c>
      <c r="S3709" s="55">
        <v>0</v>
      </c>
      <c r="T3709" s="55">
        <v>0</v>
      </c>
      <c r="U3709" s="55">
        <v>0</v>
      </c>
      <c r="V3709" s="55">
        <v>0</v>
      </c>
      <c r="W3709" s="55">
        <v>0</v>
      </c>
      <c r="X3709" s="55">
        <v>0</v>
      </c>
      <c r="Y3709" s="55">
        <v>0</v>
      </c>
      <c r="Z3709" s="55">
        <v>0</v>
      </c>
      <c r="AA3709" s="55">
        <v>0</v>
      </c>
      <c r="AB3709" s="55">
        <v>0</v>
      </c>
      <c r="AC3709" s="55">
        <v>0</v>
      </c>
      <c r="AD3709" s="55">
        <v>0</v>
      </c>
      <c r="AE3709" s="55" t="s">
        <v>92</v>
      </c>
      <c r="AF3709" s="55" t="s">
        <v>21626</v>
      </c>
      <c r="AG3709" s="55" t="s">
        <v>8859</v>
      </c>
      <c r="AH3709" s="72">
        <v>45265</v>
      </c>
      <c r="AI3709" s="55">
        <v>3</v>
      </c>
      <c r="AJ3709" s="55" t="s">
        <v>21627</v>
      </c>
      <c r="AK3709" s="55" t="s">
        <v>21628</v>
      </c>
      <c r="AL3709" s="157">
        <v>45265</v>
      </c>
      <c r="AM3709" s="55"/>
      <c r="AN3709" s="157">
        <v>45971</v>
      </c>
      <c r="AO3709" s="157">
        <v>45628</v>
      </c>
    </row>
    <row r="3710" spans="1:55" ht="36.75" customHeight="1">
      <c r="A3710" s="46" t="s">
        <v>12471</v>
      </c>
      <c r="B3710" s="30" t="s">
        <v>2124</v>
      </c>
      <c r="C3710" s="69" t="str">
        <f t="shared" si="315"/>
        <v>Open</v>
      </c>
      <c r="D3710" s="36" t="s">
        <v>21629</v>
      </c>
      <c r="E3710" s="55" t="s">
        <v>21630</v>
      </c>
      <c r="F3710" s="55" t="s">
        <v>14885</v>
      </c>
      <c r="G3710" s="88">
        <f>DATE(2023,12,8)</f>
        <v>45268</v>
      </c>
      <c r="H3710" s="142">
        <v>1.5208333333333335</v>
      </c>
      <c r="I3710" s="55" t="s">
        <v>278</v>
      </c>
      <c r="J3710" s="55" t="s">
        <v>21631</v>
      </c>
      <c r="K3710" s="55" t="s">
        <v>12881</v>
      </c>
      <c r="L3710" s="55" t="s">
        <v>21632</v>
      </c>
      <c r="M3710" s="55" t="s">
        <v>63</v>
      </c>
      <c r="N3710" s="55" t="s">
        <v>99</v>
      </c>
      <c r="O3710" s="55" t="s">
        <v>6875</v>
      </c>
      <c r="P3710" s="55" t="s">
        <v>91</v>
      </c>
      <c r="Q3710" s="55" t="s">
        <v>21633</v>
      </c>
      <c r="R3710" s="55" t="s">
        <v>21634</v>
      </c>
      <c r="S3710" s="55"/>
      <c r="T3710" s="55"/>
      <c r="U3710" s="55"/>
      <c r="V3710" s="55"/>
      <c r="W3710" s="55"/>
      <c r="X3710" s="55">
        <v>1</v>
      </c>
      <c r="Y3710" s="55"/>
      <c r="Z3710" s="55"/>
      <c r="AA3710" s="55"/>
      <c r="AB3710" s="55"/>
      <c r="AC3710" s="55"/>
      <c r="AD3710" s="55">
        <v>0</v>
      </c>
      <c r="AE3710" s="55" t="s">
        <v>92</v>
      </c>
      <c r="AF3710" s="55" t="s">
        <v>712</v>
      </c>
      <c r="AG3710" s="55" t="s">
        <v>8859</v>
      </c>
      <c r="AH3710" s="72">
        <v>45329</v>
      </c>
      <c r="AI3710" s="55"/>
      <c r="AJ3710" s="55"/>
      <c r="AK3710" s="55"/>
      <c r="AL3710" s="157">
        <v>45329</v>
      </c>
      <c r="AM3710" s="55"/>
      <c r="AN3710" s="209"/>
      <c r="AO3710" s="209"/>
    </row>
    <row r="3711" spans="1:55" ht="36.75" customHeight="1">
      <c r="A3711" s="46" t="s">
        <v>12471</v>
      </c>
      <c r="B3711" s="30" t="s">
        <v>55</v>
      </c>
      <c r="C3711" s="69" t="str">
        <f t="shared" si="315"/>
        <v>Closed</v>
      </c>
      <c r="D3711" s="37" t="s">
        <v>21635</v>
      </c>
      <c r="E3711" s="55" t="s">
        <v>21636</v>
      </c>
      <c r="F3711" s="55" t="s">
        <v>12910</v>
      </c>
      <c r="G3711" s="88">
        <f>DATE(2023,12,9)</f>
        <v>45269</v>
      </c>
      <c r="H3711" s="142">
        <v>1.9652777777777777</v>
      </c>
      <c r="I3711" s="55" t="s">
        <v>116</v>
      </c>
      <c r="J3711" s="55" t="s">
        <v>21637</v>
      </c>
      <c r="K3711" s="55" t="s">
        <v>453</v>
      </c>
      <c r="L3711" s="55" t="s">
        <v>21638</v>
      </c>
      <c r="M3711" s="55" t="s">
        <v>63</v>
      </c>
      <c r="N3711" s="55" t="s">
        <v>89</v>
      </c>
      <c r="O3711" s="55" t="s">
        <v>77</v>
      </c>
      <c r="P3711" s="55" t="s">
        <v>165</v>
      </c>
      <c r="Q3711" s="55" t="s">
        <v>14384</v>
      </c>
      <c r="R3711" s="55" t="s">
        <v>572</v>
      </c>
      <c r="S3711" s="55">
        <v>0</v>
      </c>
      <c r="T3711" s="55">
        <v>0</v>
      </c>
      <c r="U3711" s="55">
        <v>1</v>
      </c>
      <c r="V3711" s="55">
        <v>0</v>
      </c>
      <c r="W3711" s="55">
        <v>0</v>
      </c>
      <c r="X3711" s="55">
        <v>1</v>
      </c>
      <c r="Y3711" s="55">
        <v>0</v>
      </c>
      <c r="Z3711" s="55">
        <v>0</v>
      </c>
      <c r="AA3711" s="55">
        <v>0</v>
      </c>
      <c r="AB3711" s="55">
        <v>0</v>
      </c>
      <c r="AC3711" s="55">
        <v>0</v>
      </c>
      <c r="AD3711" s="55">
        <v>0</v>
      </c>
      <c r="AE3711" s="55" t="s">
        <v>92</v>
      </c>
      <c r="AF3711" s="55" t="s">
        <v>712</v>
      </c>
      <c r="AG3711" s="55" t="s">
        <v>6459</v>
      </c>
      <c r="AH3711" s="72">
        <v>45299</v>
      </c>
      <c r="AI3711" s="55">
        <v>0</v>
      </c>
      <c r="AJ3711" s="55" t="s">
        <v>21639</v>
      </c>
      <c r="AK3711" s="55" t="s">
        <v>21640</v>
      </c>
      <c r="AL3711" s="157">
        <v>45301</v>
      </c>
      <c r="AM3711" s="55"/>
      <c r="AN3711" s="157">
        <v>45298</v>
      </c>
      <c r="AO3711" s="157">
        <v>45298</v>
      </c>
    </row>
    <row r="3712" spans="1:55" ht="36.75" customHeight="1">
      <c r="A3712" s="46" t="s">
        <v>12471</v>
      </c>
      <c r="B3712" s="30" t="s">
        <v>55</v>
      </c>
      <c r="C3712" s="69" t="str">
        <f t="shared" si="315"/>
        <v>Closed</v>
      </c>
      <c r="D3712" s="203" t="s">
        <v>21641</v>
      </c>
      <c r="E3712" s="55" t="s">
        <v>21642</v>
      </c>
      <c r="F3712" s="55" t="s">
        <v>18131</v>
      </c>
      <c r="G3712" s="88">
        <f>DATE(2023,12,10)</f>
        <v>45270</v>
      </c>
      <c r="H3712" s="142">
        <v>1.8263888888888888</v>
      </c>
      <c r="I3712" s="61" t="s">
        <v>198</v>
      </c>
      <c r="J3712" s="61" t="s">
        <v>21643</v>
      </c>
      <c r="K3712" s="55" t="s">
        <v>379</v>
      </c>
      <c r="L3712" s="55" t="s">
        <v>21644</v>
      </c>
      <c r="M3712" s="55" t="s">
        <v>63</v>
      </c>
      <c r="N3712" s="55" t="s">
        <v>142</v>
      </c>
      <c r="O3712" s="55" t="s">
        <v>64</v>
      </c>
      <c r="P3712" s="55" t="s">
        <v>462</v>
      </c>
      <c r="Q3712" s="61" t="s">
        <v>21645</v>
      </c>
      <c r="R3712" s="61" t="s">
        <v>19604</v>
      </c>
      <c r="S3712" s="55">
        <v>0</v>
      </c>
      <c r="T3712" s="55">
        <v>0</v>
      </c>
      <c r="U3712" s="55">
        <v>0</v>
      </c>
      <c r="V3712" s="55">
        <v>0</v>
      </c>
      <c r="W3712" s="55">
        <v>0</v>
      </c>
      <c r="X3712" s="55">
        <v>0</v>
      </c>
      <c r="Y3712" s="55">
        <v>0</v>
      </c>
      <c r="Z3712" s="55">
        <v>0</v>
      </c>
      <c r="AA3712" s="55">
        <v>0</v>
      </c>
      <c r="AB3712" s="55">
        <v>0</v>
      </c>
      <c r="AC3712" s="55">
        <v>0</v>
      </c>
      <c r="AD3712" s="55">
        <v>0</v>
      </c>
      <c r="AE3712" s="61" t="s">
        <v>394</v>
      </c>
      <c r="AF3712" s="61" t="s">
        <v>21646</v>
      </c>
      <c r="AG3712" s="61" t="s">
        <v>8859</v>
      </c>
      <c r="AH3712" s="72">
        <v>45272</v>
      </c>
      <c r="AI3712" s="61">
        <v>3</v>
      </c>
      <c r="AJ3712" s="61" t="s">
        <v>21647</v>
      </c>
      <c r="AK3712" s="61" t="s">
        <v>21648</v>
      </c>
      <c r="AL3712" s="157">
        <v>45275</v>
      </c>
      <c r="AM3712" s="61"/>
      <c r="AN3712" s="157">
        <v>45961</v>
      </c>
      <c r="AO3712" s="157">
        <v>45925</v>
      </c>
    </row>
    <row r="3713" spans="1:55" ht="36.75" customHeight="1">
      <c r="A3713" s="46" t="s">
        <v>12471</v>
      </c>
      <c r="B3713" s="30" t="s">
        <v>21606</v>
      </c>
      <c r="C3713" s="69" t="str">
        <f t="shared" si="315"/>
        <v>In progress</v>
      </c>
      <c r="D3713" s="58" t="s">
        <v>21649</v>
      </c>
      <c r="E3713" s="55" t="s">
        <v>21650</v>
      </c>
      <c r="F3713" s="55" t="s">
        <v>9789</v>
      </c>
      <c r="G3713" s="88">
        <f>DATE(2023,12,11)</f>
        <v>45271</v>
      </c>
      <c r="H3713" s="142">
        <v>1.3680555555555556</v>
      </c>
      <c r="I3713" s="61" t="s">
        <v>198</v>
      </c>
      <c r="J3713" s="259" t="s">
        <v>21651</v>
      </c>
      <c r="K3713" s="61" t="s">
        <v>9791</v>
      </c>
      <c r="L3713" s="61" t="s">
        <v>21652</v>
      </c>
      <c r="M3713" s="61" t="s">
        <v>63</v>
      </c>
      <c r="N3713" s="61" t="s">
        <v>99</v>
      </c>
      <c r="O3713" s="61" t="s">
        <v>64</v>
      </c>
      <c r="P3713" s="61" t="s">
        <v>78</v>
      </c>
      <c r="Q3713" s="61" t="s">
        <v>21500</v>
      </c>
      <c r="R3713" s="61" t="s">
        <v>20774</v>
      </c>
      <c r="S3713" s="55">
        <v>0</v>
      </c>
      <c r="T3713" s="55">
        <v>0</v>
      </c>
      <c r="U3713" s="55">
        <v>0</v>
      </c>
      <c r="V3713" s="55">
        <v>0</v>
      </c>
      <c r="W3713" s="55">
        <v>0</v>
      </c>
      <c r="X3713" s="55">
        <v>0</v>
      </c>
      <c r="Y3713" s="55">
        <v>0</v>
      </c>
      <c r="Z3713" s="55">
        <v>0</v>
      </c>
      <c r="AA3713" s="55">
        <v>0</v>
      </c>
      <c r="AB3713" s="55">
        <v>0</v>
      </c>
      <c r="AC3713" s="55">
        <v>0</v>
      </c>
      <c r="AD3713" s="55">
        <v>0</v>
      </c>
      <c r="AE3713" s="61" t="s">
        <v>145</v>
      </c>
      <c r="AF3713" s="61" t="s">
        <v>21653</v>
      </c>
      <c r="AG3713" s="61" t="s">
        <v>6459</v>
      </c>
      <c r="AH3713" s="72">
        <v>45272</v>
      </c>
      <c r="AI3713" s="61"/>
      <c r="AJ3713" s="61"/>
      <c r="AK3713" s="61"/>
      <c r="AL3713" s="157">
        <v>45275</v>
      </c>
      <c r="AM3713" s="157" t="s">
        <v>21654</v>
      </c>
      <c r="AN3713" s="158"/>
      <c r="AO3713" s="158"/>
    </row>
    <row r="3714" spans="1:55" ht="36.75" customHeight="1">
      <c r="A3714" s="46" t="s">
        <v>12471</v>
      </c>
      <c r="B3714" s="30" t="s">
        <v>55</v>
      </c>
      <c r="C3714" s="69" t="str">
        <f t="shared" si="315"/>
        <v>Closed</v>
      </c>
      <c r="D3714" s="203" t="s">
        <v>21655</v>
      </c>
      <c r="E3714" s="55" t="s">
        <v>21656</v>
      </c>
      <c r="F3714" s="55" t="s">
        <v>17682</v>
      </c>
      <c r="G3714" s="88">
        <f>DATE(2023,12,13)</f>
        <v>45273</v>
      </c>
      <c r="H3714" s="142">
        <v>1.5243055555555556</v>
      </c>
      <c r="I3714" s="61" t="s">
        <v>73</v>
      </c>
      <c r="J3714" s="55" t="s">
        <v>21657</v>
      </c>
      <c r="K3714" s="55" t="s">
        <v>1574</v>
      </c>
      <c r="L3714" s="55" t="s">
        <v>21658</v>
      </c>
      <c r="M3714" s="55" t="s">
        <v>63</v>
      </c>
      <c r="N3714" s="55" t="s">
        <v>142</v>
      </c>
      <c r="O3714" s="55" t="s">
        <v>77</v>
      </c>
      <c r="P3714" s="55" t="s">
        <v>78</v>
      </c>
      <c r="Q3714" s="55" t="s">
        <v>18063</v>
      </c>
      <c r="R3714" s="55" t="s">
        <v>19007</v>
      </c>
      <c r="S3714" s="55"/>
      <c r="T3714" s="55"/>
      <c r="U3714" s="55"/>
      <c r="V3714" s="55"/>
      <c r="W3714" s="55"/>
      <c r="X3714" s="55">
        <v>0</v>
      </c>
      <c r="Y3714" s="55"/>
      <c r="Z3714" s="55"/>
      <c r="AA3714" s="55"/>
      <c r="AB3714" s="55"/>
      <c r="AC3714" s="55"/>
      <c r="AD3714" s="55">
        <v>0</v>
      </c>
      <c r="AE3714" s="55" t="s">
        <v>92</v>
      </c>
      <c r="AF3714" s="55" t="s">
        <v>21659</v>
      </c>
      <c r="AG3714" s="55" t="s">
        <v>8859</v>
      </c>
      <c r="AH3714" s="72">
        <v>45274</v>
      </c>
      <c r="AI3714" s="61">
        <v>1</v>
      </c>
      <c r="AJ3714" s="55" t="s">
        <v>21660</v>
      </c>
      <c r="AK3714" s="55" t="s">
        <v>21661</v>
      </c>
      <c r="AL3714" s="157">
        <v>45274</v>
      </c>
      <c r="AM3714" s="61"/>
      <c r="AN3714" s="205">
        <v>45644</v>
      </c>
      <c r="AO3714" s="205">
        <v>45636</v>
      </c>
    </row>
    <row r="3715" spans="1:55" ht="36.75" customHeight="1">
      <c r="A3715" s="46" t="s">
        <v>12471</v>
      </c>
      <c r="B3715" s="30" t="s">
        <v>55</v>
      </c>
      <c r="C3715" s="69" t="str">
        <f t="shared" si="315"/>
        <v>Closed</v>
      </c>
      <c r="D3715" s="203" t="s">
        <v>21662</v>
      </c>
      <c r="E3715" s="55" t="s">
        <v>21663</v>
      </c>
      <c r="F3715" s="55" t="s">
        <v>16429</v>
      </c>
      <c r="G3715" s="88">
        <f>DATE(2023,12,13)</f>
        <v>45273</v>
      </c>
      <c r="H3715" s="142">
        <v>1.242361111111111</v>
      </c>
      <c r="I3715" s="61" t="s">
        <v>73</v>
      </c>
      <c r="J3715" s="55" t="s">
        <v>21664</v>
      </c>
      <c r="K3715" s="55" t="s">
        <v>425</v>
      </c>
      <c r="L3715" s="55" t="s">
        <v>21665</v>
      </c>
      <c r="M3715" s="55" t="s">
        <v>63</v>
      </c>
      <c r="N3715" s="55" t="s">
        <v>99</v>
      </c>
      <c r="O3715" s="55" t="s">
        <v>77</v>
      </c>
      <c r="P3715" s="55" t="s">
        <v>21666</v>
      </c>
      <c r="Q3715" s="55" t="s">
        <v>14773</v>
      </c>
      <c r="R3715" s="55" t="s">
        <v>17369</v>
      </c>
      <c r="S3715" s="55">
        <v>0</v>
      </c>
      <c r="T3715" s="55">
        <v>0</v>
      </c>
      <c r="U3715" s="55">
        <v>0</v>
      </c>
      <c r="V3715" s="55">
        <v>0</v>
      </c>
      <c r="W3715" s="55">
        <v>0</v>
      </c>
      <c r="X3715" s="55">
        <v>0</v>
      </c>
      <c r="Y3715" s="55">
        <v>0</v>
      </c>
      <c r="Z3715" s="55">
        <v>0</v>
      </c>
      <c r="AA3715" s="55">
        <v>0</v>
      </c>
      <c r="AB3715" s="55">
        <v>0</v>
      </c>
      <c r="AC3715" s="55">
        <v>0</v>
      </c>
      <c r="AD3715" s="55">
        <v>0</v>
      </c>
      <c r="AE3715" s="55" t="s">
        <v>21667</v>
      </c>
      <c r="AF3715" s="55" t="s">
        <v>21668</v>
      </c>
      <c r="AG3715" s="55" t="s">
        <v>16283</v>
      </c>
      <c r="AH3715" s="72">
        <v>45273</v>
      </c>
      <c r="AI3715" s="55">
        <v>1</v>
      </c>
      <c r="AJ3715" s="55" t="s">
        <v>21669</v>
      </c>
      <c r="AK3715" s="55" t="s">
        <v>879</v>
      </c>
      <c r="AL3715" s="157">
        <v>45275</v>
      </c>
      <c r="AM3715" s="55"/>
      <c r="AN3715" s="157">
        <v>45643</v>
      </c>
      <c r="AO3715" s="211"/>
    </row>
    <row r="3716" spans="1:55" ht="36.75" customHeight="1">
      <c r="A3716" s="46" t="s">
        <v>12471</v>
      </c>
      <c r="B3716" s="30" t="s">
        <v>55</v>
      </c>
      <c r="C3716" s="69" t="str">
        <f t="shared" si="315"/>
        <v>Closed</v>
      </c>
      <c r="D3716" s="203" t="s">
        <v>21670</v>
      </c>
      <c r="E3716" s="30" t="s">
        <v>21671</v>
      </c>
      <c r="F3716" s="55" t="s">
        <v>18070</v>
      </c>
      <c r="G3716" s="88">
        <f>DATE(2023,12,17)</f>
        <v>45277</v>
      </c>
      <c r="H3716" s="142">
        <v>1.7083333333333335</v>
      </c>
      <c r="I3716" s="55" t="s">
        <v>73</v>
      </c>
      <c r="J3716" s="55" t="s">
        <v>21672</v>
      </c>
      <c r="K3716" s="55" t="s">
        <v>140</v>
      </c>
      <c r="L3716" s="55" t="s">
        <v>21673</v>
      </c>
      <c r="M3716" s="55" t="s">
        <v>63</v>
      </c>
      <c r="N3716" s="55" t="s">
        <v>99</v>
      </c>
      <c r="O3716" s="55" t="s">
        <v>77</v>
      </c>
      <c r="P3716" s="55" t="s">
        <v>78</v>
      </c>
      <c r="Q3716" s="55" t="s">
        <v>21674</v>
      </c>
      <c r="R3716" s="55" t="s">
        <v>18530</v>
      </c>
      <c r="S3716" s="55">
        <v>0</v>
      </c>
      <c r="T3716" s="55">
        <v>0</v>
      </c>
      <c r="U3716" s="55">
        <v>0</v>
      </c>
      <c r="V3716" s="55">
        <v>0</v>
      </c>
      <c r="W3716" s="55">
        <v>0</v>
      </c>
      <c r="X3716" s="55">
        <v>0</v>
      </c>
      <c r="Y3716" s="55">
        <v>0</v>
      </c>
      <c r="Z3716" s="55">
        <v>0</v>
      </c>
      <c r="AA3716" s="55">
        <v>0</v>
      </c>
      <c r="AB3716" s="55">
        <v>0</v>
      </c>
      <c r="AC3716" s="55">
        <v>0</v>
      </c>
      <c r="AD3716" s="55">
        <v>0</v>
      </c>
      <c r="AE3716" s="55" t="s">
        <v>145</v>
      </c>
      <c r="AF3716" s="55" t="s">
        <v>21675</v>
      </c>
      <c r="AG3716" s="55" t="s">
        <v>6459</v>
      </c>
      <c r="AH3716" s="72">
        <v>45278</v>
      </c>
      <c r="AI3716" s="55">
        <v>0</v>
      </c>
      <c r="AJ3716" s="55" t="s">
        <v>21676</v>
      </c>
      <c r="AK3716" s="55" t="s">
        <v>21677</v>
      </c>
      <c r="AL3716" s="157">
        <v>45278</v>
      </c>
      <c r="AM3716" s="157">
        <v>45646</v>
      </c>
      <c r="AN3716" s="157">
        <v>45799</v>
      </c>
      <c r="AO3716" s="157">
        <v>45799</v>
      </c>
    </row>
    <row r="3717" spans="1:55" ht="36.75" customHeight="1">
      <c r="A3717" s="46" t="s">
        <v>12471</v>
      </c>
      <c r="B3717" s="30" t="s">
        <v>55</v>
      </c>
      <c r="C3717" s="69" t="str">
        <f t="shared" si="315"/>
        <v>Closed</v>
      </c>
      <c r="D3717" s="62" t="s">
        <v>21678</v>
      </c>
      <c r="E3717" s="55" t="s">
        <v>21679</v>
      </c>
      <c r="F3717" s="55" t="s">
        <v>16429</v>
      </c>
      <c r="G3717" s="88">
        <f>DATE(2023,12,18)</f>
        <v>45278</v>
      </c>
      <c r="H3717" s="142">
        <v>1.5784722222222221</v>
      </c>
      <c r="I3717" s="55" t="s">
        <v>73</v>
      </c>
      <c r="J3717" s="55" t="s">
        <v>21680</v>
      </c>
      <c r="K3717" s="55" t="s">
        <v>425</v>
      </c>
      <c r="L3717" s="55" t="s">
        <v>21681</v>
      </c>
      <c r="M3717" s="55" t="s">
        <v>63</v>
      </c>
      <c r="N3717" s="55" t="s">
        <v>99</v>
      </c>
      <c r="O3717" s="55" t="s">
        <v>77</v>
      </c>
      <c r="P3717" s="55" t="s">
        <v>165</v>
      </c>
      <c r="Q3717" s="55" t="s">
        <v>18615</v>
      </c>
      <c r="R3717" s="55" t="s">
        <v>17369</v>
      </c>
      <c r="S3717" s="55">
        <v>0</v>
      </c>
      <c r="T3717" s="55">
        <v>0</v>
      </c>
      <c r="U3717" s="55">
        <v>0</v>
      </c>
      <c r="V3717" s="55">
        <v>0</v>
      </c>
      <c r="W3717" s="55">
        <v>0</v>
      </c>
      <c r="X3717" s="55">
        <v>0</v>
      </c>
      <c r="Y3717" s="55">
        <v>0</v>
      </c>
      <c r="Z3717" s="55">
        <v>0</v>
      </c>
      <c r="AA3717" s="55">
        <v>0</v>
      </c>
      <c r="AB3717" s="55">
        <v>0</v>
      </c>
      <c r="AC3717" s="55">
        <v>0</v>
      </c>
      <c r="AD3717" s="55">
        <v>0</v>
      </c>
      <c r="AE3717" s="55" t="s">
        <v>92</v>
      </c>
      <c r="AF3717" s="55" t="s">
        <v>21682</v>
      </c>
      <c r="AG3717" s="55" t="s">
        <v>16283</v>
      </c>
      <c r="AH3717" s="72">
        <v>45278</v>
      </c>
      <c r="AI3717" s="55">
        <v>0</v>
      </c>
      <c r="AJ3717" s="55" t="s">
        <v>21683</v>
      </c>
      <c r="AK3717" s="55" t="s">
        <v>879</v>
      </c>
      <c r="AL3717" s="157">
        <v>45280</v>
      </c>
      <c r="AM3717" s="55"/>
      <c r="AN3717" s="157">
        <v>45623</v>
      </c>
      <c r="AO3717" s="157">
        <v>45601</v>
      </c>
    </row>
    <row r="3718" spans="1:55" ht="36.75" customHeight="1">
      <c r="A3718" s="46" t="s">
        <v>12471</v>
      </c>
      <c r="B3718" s="30" t="s">
        <v>2124</v>
      </c>
      <c r="C3718" s="69" t="str">
        <f t="shared" si="315"/>
        <v>Open</v>
      </c>
      <c r="D3718" s="36" t="s">
        <v>21684</v>
      </c>
      <c r="E3718" s="55" t="s">
        <v>21685</v>
      </c>
      <c r="F3718" s="55" t="s">
        <v>21686</v>
      </c>
      <c r="G3718" s="88">
        <f>DATE(2023,12,21)</f>
        <v>45281</v>
      </c>
      <c r="H3718" s="142">
        <v>1.3854166666666667</v>
      </c>
      <c r="I3718" s="55" t="s">
        <v>278</v>
      </c>
      <c r="J3718" s="55" t="s">
        <v>21687</v>
      </c>
      <c r="K3718" s="55" t="s">
        <v>3150</v>
      </c>
      <c r="L3718" s="55" t="s">
        <v>21652</v>
      </c>
      <c r="M3718" s="55" t="s">
        <v>63</v>
      </c>
      <c r="N3718" s="55" t="s">
        <v>142</v>
      </c>
      <c r="O3718" s="55" t="s">
        <v>64</v>
      </c>
      <c r="P3718" s="55" t="s">
        <v>165</v>
      </c>
      <c r="Q3718" s="55" t="s">
        <v>21688</v>
      </c>
      <c r="R3718" s="55" t="s">
        <v>21689</v>
      </c>
      <c r="S3718" s="55">
        <v>0</v>
      </c>
      <c r="T3718" s="55">
        <v>2</v>
      </c>
      <c r="U3718" s="55">
        <v>0</v>
      </c>
      <c r="V3718" s="55">
        <v>0</v>
      </c>
      <c r="W3718" s="55">
        <v>0</v>
      </c>
      <c r="X3718" s="55">
        <v>2</v>
      </c>
      <c r="Y3718" s="55">
        <v>0</v>
      </c>
      <c r="Z3718" s="55">
        <v>2</v>
      </c>
      <c r="AA3718" s="55">
        <v>0</v>
      </c>
      <c r="AB3718" s="55">
        <v>0</v>
      </c>
      <c r="AC3718" s="55">
        <v>0</v>
      </c>
      <c r="AD3718" s="55">
        <v>2</v>
      </c>
      <c r="AE3718" s="55" t="s">
        <v>68</v>
      </c>
      <c r="AF3718" s="55" t="s">
        <v>21653</v>
      </c>
      <c r="AG3718" s="55" t="s">
        <v>6459</v>
      </c>
      <c r="AH3718" s="72">
        <v>45282</v>
      </c>
      <c r="AI3718" s="55"/>
      <c r="AJ3718" s="55"/>
      <c r="AK3718" s="55"/>
      <c r="AL3718" s="157">
        <v>45327</v>
      </c>
      <c r="AM3718" s="55"/>
      <c r="AN3718" s="209"/>
      <c r="AO3718" s="209"/>
      <c r="AP3718" s="55"/>
      <c r="AQ3718" s="55"/>
      <c r="AR3718" s="55"/>
      <c r="AS3718" s="55"/>
      <c r="AT3718" s="55"/>
      <c r="AU3718" s="55"/>
      <c r="AV3718" s="55"/>
      <c r="AW3718" s="55"/>
      <c r="AX3718" s="55"/>
      <c r="AY3718" s="55"/>
      <c r="AZ3718" s="55"/>
      <c r="BA3718" s="55"/>
      <c r="BB3718" s="55"/>
      <c r="BC3718" s="55"/>
    </row>
    <row r="3719" spans="1:55" ht="36.75" customHeight="1">
      <c r="A3719" s="46" t="s">
        <v>12471</v>
      </c>
      <c r="B3719" s="30" t="s">
        <v>2124</v>
      </c>
      <c r="C3719" s="69" t="str">
        <f t="shared" si="315"/>
        <v>Open</v>
      </c>
      <c r="D3719" s="36" t="s">
        <v>21690</v>
      </c>
      <c r="E3719" s="55" t="s">
        <v>21685</v>
      </c>
      <c r="F3719" s="55" t="s">
        <v>21686</v>
      </c>
      <c r="G3719" s="88">
        <f>DATE(2023,12,21)</f>
        <v>45281</v>
      </c>
      <c r="H3719" s="142">
        <v>1.3854166666666667</v>
      </c>
      <c r="I3719" s="55" t="s">
        <v>278</v>
      </c>
      <c r="J3719" s="55" t="s">
        <v>21687</v>
      </c>
      <c r="K3719" s="55" t="s">
        <v>3150</v>
      </c>
      <c r="L3719" s="55" t="s">
        <v>21691</v>
      </c>
      <c r="M3719" s="55" t="s">
        <v>63</v>
      </c>
      <c r="N3719" s="55" t="s">
        <v>142</v>
      </c>
      <c r="O3719" s="55" t="s">
        <v>64</v>
      </c>
      <c r="P3719" s="55" t="s">
        <v>165</v>
      </c>
      <c r="Q3719" s="55" t="s">
        <v>21688</v>
      </c>
      <c r="R3719" s="55" t="s">
        <v>21689</v>
      </c>
      <c r="S3719" s="55">
        <v>0</v>
      </c>
      <c r="T3719" s="55">
        <v>2</v>
      </c>
      <c r="U3719" s="55">
        <v>0</v>
      </c>
      <c r="V3719" s="55">
        <v>0</v>
      </c>
      <c r="W3719" s="55">
        <v>0</v>
      </c>
      <c r="X3719" s="55">
        <v>2</v>
      </c>
      <c r="Y3719" s="55">
        <v>0</v>
      </c>
      <c r="Z3719" s="55">
        <v>2</v>
      </c>
      <c r="AA3719" s="55">
        <v>0</v>
      </c>
      <c r="AB3719" s="55">
        <v>0</v>
      </c>
      <c r="AC3719" s="55">
        <v>0</v>
      </c>
      <c r="AD3719" s="55">
        <v>2</v>
      </c>
      <c r="AE3719" s="55" t="s">
        <v>92</v>
      </c>
      <c r="AF3719" s="55" t="s">
        <v>21692</v>
      </c>
      <c r="AG3719" s="55" t="s">
        <v>6459</v>
      </c>
      <c r="AH3719" s="72">
        <v>45282</v>
      </c>
      <c r="AI3719" s="55"/>
      <c r="AJ3719" s="55"/>
      <c r="AK3719" s="55"/>
      <c r="AL3719" s="157">
        <v>45328</v>
      </c>
      <c r="AM3719" s="55"/>
      <c r="AN3719" s="209"/>
      <c r="AO3719" s="209"/>
    </row>
    <row r="3720" spans="1:55" ht="36.75" customHeight="1">
      <c r="A3720" s="46" t="s">
        <v>12471</v>
      </c>
      <c r="B3720" s="30" t="s">
        <v>55</v>
      </c>
      <c r="C3720" s="69" t="str">
        <f t="shared" si="315"/>
        <v>Closed</v>
      </c>
      <c r="D3720" s="203" t="s">
        <v>21693</v>
      </c>
      <c r="E3720" s="55" t="s">
        <v>21694</v>
      </c>
      <c r="F3720" s="55" t="s">
        <v>16429</v>
      </c>
      <c r="G3720" s="88">
        <f>DATE(2023,12,21)</f>
        <v>45281</v>
      </c>
      <c r="H3720" s="142">
        <v>1.9979166666666668</v>
      </c>
      <c r="I3720" s="55" t="s">
        <v>21695</v>
      </c>
      <c r="J3720" s="55" t="s">
        <v>21696</v>
      </c>
      <c r="K3720" s="55" t="s">
        <v>425</v>
      </c>
      <c r="L3720" s="55" t="s">
        <v>21697</v>
      </c>
      <c r="M3720" s="55" t="s">
        <v>63</v>
      </c>
      <c r="N3720" s="55" t="s">
        <v>142</v>
      </c>
      <c r="O3720" s="55" t="s">
        <v>77</v>
      </c>
      <c r="P3720" s="55" t="s">
        <v>21698</v>
      </c>
      <c r="Q3720" s="55" t="s">
        <v>13219</v>
      </c>
      <c r="R3720" s="55" t="s">
        <v>17369</v>
      </c>
      <c r="S3720" s="55">
        <v>0</v>
      </c>
      <c r="T3720" s="55">
        <v>0</v>
      </c>
      <c r="U3720" s="55">
        <v>0</v>
      </c>
      <c r="V3720" s="55">
        <v>0</v>
      </c>
      <c r="W3720" s="55">
        <v>0</v>
      </c>
      <c r="X3720" s="55">
        <v>0</v>
      </c>
      <c r="Y3720" s="55">
        <v>0</v>
      </c>
      <c r="Z3720" s="55">
        <v>0</v>
      </c>
      <c r="AA3720" s="55">
        <v>0</v>
      </c>
      <c r="AB3720" s="55">
        <v>0</v>
      </c>
      <c r="AC3720" s="55">
        <v>0</v>
      </c>
      <c r="AD3720" s="55">
        <v>0</v>
      </c>
      <c r="AE3720" s="55" t="s">
        <v>92</v>
      </c>
      <c r="AF3720" s="55" t="s">
        <v>21699</v>
      </c>
      <c r="AG3720" s="55" t="s">
        <v>16283</v>
      </c>
      <c r="AH3720" s="72">
        <v>45281</v>
      </c>
      <c r="AI3720" s="55">
        <v>0</v>
      </c>
      <c r="AJ3720" s="55" t="s">
        <v>21700</v>
      </c>
      <c r="AK3720" s="55" t="s">
        <v>712</v>
      </c>
      <c r="AL3720" s="157">
        <v>45282</v>
      </c>
      <c r="AM3720" s="55"/>
      <c r="AN3720" s="157">
        <v>45775</v>
      </c>
      <c r="AO3720" s="157">
        <v>45769</v>
      </c>
      <c r="AP3720" s="55"/>
      <c r="AQ3720" s="55"/>
      <c r="AR3720" s="55"/>
      <c r="AS3720" s="55"/>
      <c r="AT3720" s="55"/>
      <c r="AU3720" s="55"/>
      <c r="AV3720" s="55"/>
      <c r="AW3720" s="55"/>
      <c r="AX3720" s="55"/>
      <c r="AY3720" s="55"/>
      <c r="AZ3720" s="55"/>
      <c r="BA3720" s="55"/>
      <c r="BB3720" s="55"/>
      <c r="BC3720" s="55"/>
    </row>
    <row r="3721" spans="1:55" ht="36.75" customHeight="1">
      <c r="A3721" s="46" t="s">
        <v>12471</v>
      </c>
      <c r="B3721" s="30" t="s">
        <v>55</v>
      </c>
      <c r="C3721" s="69" t="str">
        <f t="shared" ref="C3721:C3753" si="316">IF(B3721="Notification","Open",IF(B3721="Interim Statement","In progress","Closed"))</f>
        <v>Closed</v>
      </c>
      <c r="D3721" s="203" t="s">
        <v>21701</v>
      </c>
      <c r="E3721" s="55" t="s">
        <v>21702</v>
      </c>
      <c r="F3721" s="55" t="s">
        <v>17682</v>
      </c>
      <c r="G3721" s="88">
        <f>DATE(2023,12,22)</f>
        <v>45282</v>
      </c>
      <c r="H3721" s="142">
        <v>1.2361111111111112</v>
      </c>
      <c r="I3721" s="55" t="s">
        <v>73</v>
      </c>
      <c r="J3721" s="55" t="s">
        <v>21703</v>
      </c>
      <c r="K3721" s="55" t="s">
        <v>1574</v>
      </c>
      <c r="L3721" s="55" t="s">
        <v>20159</v>
      </c>
      <c r="M3721" s="55" t="s">
        <v>63</v>
      </c>
      <c r="N3721" s="55" t="s">
        <v>142</v>
      </c>
      <c r="O3721" s="55" t="s">
        <v>77</v>
      </c>
      <c r="P3721" s="55" t="s">
        <v>165</v>
      </c>
      <c r="Q3721" s="55" t="s">
        <v>18739</v>
      </c>
      <c r="R3721" s="55" t="s">
        <v>19007</v>
      </c>
      <c r="S3721" s="55">
        <v>0</v>
      </c>
      <c r="T3721" s="55">
        <v>0</v>
      </c>
      <c r="U3721" s="55">
        <v>0</v>
      </c>
      <c r="V3721" s="55">
        <v>0</v>
      </c>
      <c r="W3721" s="55">
        <v>0</v>
      </c>
      <c r="X3721" s="55">
        <v>0</v>
      </c>
      <c r="Y3721" s="55">
        <v>0</v>
      </c>
      <c r="Z3721" s="55">
        <v>0</v>
      </c>
      <c r="AA3721" s="55">
        <v>0</v>
      </c>
      <c r="AB3721" s="55">
        <v>0</v>
      </c>
      <c r="AC3721" s="55">
        <v>0</v>
      </c>
      <c r="AD3721" s="55">
        <v>0</v>
      </c>
      <c r="AE3721" s="55" t="s">
        <v>92</v>
      </c>
      <c r="AF3721" s="55" t="s">
        <v>21704</v>
      </c>
      <c r="AG3721" s="55" t="s">
        <v>8859</v>
      </c>
      <c r="AH3721" s="72">
        <v>45288</v>
      </c>
      <c r="AI3721" s="55">
        <v>0</v>
      </c>
      <c r="AJ3721" s="55" t="s">
        <v>21705</v>
      </c>
      <c r="AK3721" s="55" t="s">
        <v>21706</v>
      </c>
      <c r="AL3721" s="157">
        <v>45288</v>
      </c>
      <c r="AM3721" s="55"/>
      <c r="AN3721" s="212">
        <v>45638</v>
      </c>
      <c r="AO3721" s="212">
        <v>45629</v>
      </c>
    </row>
    <row r="3722" spans="1:55" ht="36.75" customHeight="1">
      <c r="A3722" s="46" t="s">
        <v>12471</v>
      </c>
      <c r="B3722" s="30" t="s">
        <v>2124</v>
      </c>
      <c r="C3722" s="69" t="str">
        <f t="shared" si="316"/>
        <v>Open</v>
      </c>
      <c r="D3722" s="36" t="s">
        <v>21707</v>
      </c>
      <c r="E3722" s="55" t="s">
        <v>21708</v>
      </c>
      <c r="F3722" s="55" t="s">
        <v>16702</v>
      </c>
      <c r="G3722" s="88">
        <f>DATE(2023,12,27)</f>
        <v>45287</v>
      </c>
      <c r="H3722" s="142">
        <v>1.8020833333333335</v>
      </c>
      <c r="I3722" s="55" t="s">
        <v>116</v>
      </c>
      <c r="J3722" s="55" t="s">
        <v>21709</v>
      </c>
      <c r="K3722" s="55" t="s">
        <v>596</v>
      </c>
      <c r="L3722" s="55" t="s">
        <v>21710</v>
      </c>
      <c r="M3722" s="55" t="s">
        <v>63</v>
      </c>
      <c r="N3722" s="55" t="s">
        <v>99</v>
      </c>
      <c r="O3722" s="55" t="s">
        <v>64</v>
      </c>
      <c r="P3722" s="55" t="s">
        <v>6902</v>
      </c>
      <c r="Q3722" s="55" t="s">
        <v>20745</v>
      </c>
      <c r="R3722" s="55" t="s">
        <v>17293</v>
      </c>
      <c r="S3722" s="55">
        <v>0</v>
      </c>
      <c r="T3722" s="55">
        <v>0</v>
      </c>
      <c r="U3722" s="55">
        <v>0</v>
      </c>
      <c r="V3722" s="55">
        <v>0</v>
      </c>
      <c r="W3722" s="55">
        <v>0</v>
      </c>
      <c r="X3722" s="55">
        <v>0</v>
      </c>
      <c r="Y3722" s="55">
        <v>0</v>
      </c>
      <c r="Z3722" s="55">
        <v>0</v>
      </c>
      <c r="AA3722" s="55">
        <v>0</v>
      </c>
      <c r="AB3722" s="55">
        <v>0</v>
      </c>
      <c r="AC3722" s="55">
        <v>0</v>
      </c>
      <c r="AD3722" s="55">
        <v>0</v>
      </c>
      <c r="AE3722" s="55" t="s">
        <v>92</v>
      </c>
      <c r="AF3722" s="55" t="s">
        <v>21711</v>
      </c>
      <c r="AG3722" s="55" t="s">
        <v>13537</v>
      </c>
      <c r="AH3722" s="72">
        <v>45342</v>
      </c>
      <c r="AI3722" s="55"/>
      <c r="AJ3722" s="55"/>
      <c r="AK3722" s="55"/>
      <c r="AL3722" s="157">
        <v>45348</v>
      </c>
      <c r="AM3722" s="55"/>
      <c r="AN3722" s="209"/>
      <c r="AO3722" s="209"/>
    </row>
    <row r="3723" spans="1:55" ht="36.75" customHeight="1">
      <c r="A3723" s="46" t="s">
        <v>12471</v>
      </c>
      <c r="B3723" s="30" t="s">
        <v>2124</v>
      </c>
      <c r="C3723" s="69" t="str">
        <f t="shared" si="316"/>
        <v>Open</v>
      </c>
      <c r="D3723" s="36" t="s">
        <v>21712</v>
      </c>
      <c r="E3723" s="55" t="s">
        <v>21713</v>
      </c>
      <c r="F3723" s="55" t="s">
        <v>17578</v>
      </c>
      <c r="G3723" s="88">
        <f>DATE(2023,12,30)</f>
        <v>45290</v>
      </c>
      <c r="H3723" s="142">
        <v>1.5138888888888888</v>
      </c>
      <c r="I3723" s="55" t="s">
        <v>73</v>
      </c>
      <c r="J3723" s="55" t="s">
        <v>21714</v>
      </c>
      <c r="K3723" s="55" t="s">
        <v>837</v>
      </c>
      <c r="L3723" s="55" t="s">
        <v>21715</v>
      </c>
      <c r="M3723" s="55" t="s">
        <v>63</v>
      </c>
      <c r="N3723" s="55" t="s">
        <v>142</v>
      </c>
      <c r="O3723" s="55" t="s">
        <v>64</v>
      </c>
      <c r="P3723" s="55" t="s">
        <v>78</v>
      </c>
      <c r="Q3723" s="55" t="s">
        <v>17604</v>
      </c>
      <c r="R3723" s="55" t="s">
        <v>840</v>
      </c>
      <c r="S3723" s="55">
        <v>0</v>
      </c>
      <c r="T3723" s="55">
        <v>0</v>
      </c>
      <c r="U3723" s="55">
        <v>0</v>
      </c>
      <c r="V3723" s="55">
        <v>0</v>
      </c>
      <c r="W3723" s="55">
        <v>0</v>
      </c>
      <c r="X3723" s="55">
        <v>0</v>
      </c>
      <c r="Y3723" s="55">
        <v>0</v>
      </c>
      <c r="Z3723" s="55">
        <v>0</v>
      </c>
      <c r="AA3723" s="55">
        <v>0</v>
      </c>
      <c r="AB3723" s="55">
        <v>0</v>
      </c>
      <c r="AC3723" s="55">
        <v>0</v>
      </c>
      <c r="AD3723" s="55">
        <v>0</v>
      </c>
      <c r="AE3723" s="55" t="s">
        <v>394</v>
      </c>
      <c r="AF3723" s="55" t="s">
        <v>21716</v>
      </c>
      <c r="AG3723" s="55" t="s">
        <v>8859</v>
      </c>
      <c r="AH3723" s="72">
        <v>45293</v>
      </c>
      <c r="AI3723" s="55"/>
      <c r="AJ3723" s="55"/>
      <c r="AK3723" s="55"/>
      <c r="AL3723" s="157">
        <v>45293</v>
      </c>
      <c r="AM3723" s="55"/>
      <c r="AN3723" s="209"/>
      <c r="AO3723" s="209"/>
    </row>
    <row r="3724" spans="1:55" ht="36.75" customHeight="1">
      <c r="A3724" s="46" t="s">
        <v>12471</v>
      </c>
      <c r="B3724" s="30" t="s">
        <v>55</v>
      </c>
      <c r="C3724" s="69" t="str">
        <f t="shared" si="316"/>
        <v>Closed</v>
      </c>
      <c r="D3724" s="203" t="s">
        <v>21717</v>
      </c>
      <c r="E3724" s="55" t="s">
        <v>21718</v>
      </c>
      <c r="F3724" s="55" t="s">
        <v>17682</v>
      </c>
      <c r="G3724" s="88">
        <f>DATE(2024,1,5)</f>
        <v>45296</v>
      </c>
      <c r="H3724" s="142">
        <v>1.3333333333333333</v>
      </c>
      <c r="I3724" s="55" t="s">
        <v>73</v>
      </c>
      <c r="J3724" s="55" t="s">
        <v>21719</v>
      </c>
      <c r="K3724" s="55" t="s">
        <v>1574</v>
      </c>
      <c r="L3724" s="55" t="s">
        <v>14935</v>
      </c>
      <c r="M3724" s="55" t="s">
        <v>63</v>
      </c>
      <c r="N3724" s="55" t="s">
        <v>142</v>
      </c>
      <c r="O3724" s="55" t="s">
        <v>77</v>
      </c>
      <c r="P3724" s="55" t="s">
        <v>78</v>
      </c>
      <c r="Q3724" s="55" t="s">
        <v>18063</v>
      </c>
      <c r="R3724" s="55" t="s">
        <v>19007</v>
      </c>
      <c r="S3724" s="55">
        <v>0</v>
      </c>
      <c r="T3724" s="55">
        <v>0</v>
      </c>
      <c r="U3724" s="55">
        <v>0</v>
      </c>
      <c r="V3724" s="55">
        <v>0</v>
      </c>
      <c r="W3724" s="55">
        <v>0</v>
      </c>
      <c r="X3724" s="55">
        <v>0</v>
      </c>
      <c r="Y3724" s="55">
        <v>0</v>
      </c>
      <c r="Z3724" s="55">
        <v>0</v>
      </c>
      <c r="AA3724" s="55">
        <v>0</v>
      </c>
      <c r="AB3724" s="55">
        <v>0</v>
      </c>
      <c r="AC3724" s="55">
        <v>0</v>
      </c>
      <c r="AD3724" s="55">
        <v>0</v>
      </c>
      <c r="AE3724" s="55" t="s">
        <v>92</v>
      </c>
      <c r="AF3724" s="55" t="s">
        <v>21720</v>
      </c>
      <c r="AG3724" s="55" t="s">
        <v>8859</v>
      </c>
      <c r="AH3724" s="72">
        <v>45299</v>
      </c>
      <c r="AI3724" s="55">
        <v>0</v>
      </c>
      <c r="AJ3724" s="55" t="s">
        <v>21721</v>
      </c>
      <c r="AK3724" s="55" t="s">
        <v>21722</v>
      </c>
      <c r="AL3724" s="157">
        <v>45301</v>
      </c>
      <c r="AM3724" s="55"/>
      <c r="AN3724" s="157">
        <v>45665</v>
      </c>
      <c r="AO3724" s="157">
        <v>45646</v>
      </c>
    </row>
    <row r="3725" spans="1:55" ht="36.75" customHeight="1">
      <c r="A3725" s="46" t="s">
        <v>12471</v>
      </c>
      <c r="B3725" s="30" t="s">
        <v>55</v>
      </c>
      <c r="C3725" s="69" t="str">
        <f t="shared" si="316"/>
        <v>Closed</v>
      </c>
      <c r="D3725" s="203" t="s">
        <v>21723</v>
      </c>
      <c r="E3725" s="55" t="s">
        <v>21724</v>
      </c>
      <c r="F3725" s="55" t="s">
        <v>17682</v>
      </c>
      <c r="G3725" s="88">
        <f>DATE(2024,1,5)</f>
        <v>45296</v>
      </c>
      <c r="H3725" s="142">
        <v>1.4861111111111112</v>
      </c>
      <c r="I3725" s="55" t="s">
        <v>73</v>
      </c>
      <c r="J3725" s="55" t="s">
        <v>21725</v>
      </c>
      <c r="K3725" s="55" t="s">
        <v>1574</v>
      </c>
      <c r="L3725" s="55" t="s">
        <v>17485</v>
      </c>
      <c r="M3725" s="55" t="s">
        <v>63</v>
      </c>
      <c r="N3725" s="55" t="s">
        <v>99</v>
      </c>
      <c r="O3725" s="55" t="s">
        <v>77</v>
      </c>
      <c r="P3725" s="55" t="s">
        <v>78</v>
      </c>
      <c r="Q3725" s="55" t="s">
        <v>21726</v>
      </c>
      <c r="R3725" s="55" t="s">
        <v>19007</v>
      </c>
      <c r="S3725" s="55">
        <v>0</v>
      </c>
      <c r="T3725" s="55">
        <v>0</v>
      </c>
      <c r="U3725" s="55">
        <v>0</v>
      </c>
      <c r="V3725" s="55">
        <v>0</v>
      </c>
      <c r="W3725" s="55">
        <v>0</v>
      </c>
      <c r="X3725" s="55">
        <v>0</v>
      </c>
      <c r="Y3725" s="55">
        <v>0</v>
      </c>
      <c r="Z3725" s="55">
        <v>0</v>
      </c>
      <c r="AA3725" s="55">
        <v>0</v>
      </c>
      <c r="AB3725" s="55">
        <v>0</v>
      </c>
      <c r="AC3725" s="55">
        <v>0</v>
      </c>
      <c r="AD3725" s="55">
        <v>0</v>
      </c>
      <c r="AE3725" s="55" t="s">
        <v>92</v>
      </c>
      <c r="AF3725" s="55" t="s">
        <v>21727</v>
      </c>
      <c r="AG3725" s="55" t="s">
        <v>8859</v>
      </c>
      <c r="AH3725" s="72">
        <v>45299</v>
      </c>
      <c r="AI3725" s="55">
        <v>1</v>
      </c>
      <c r="AJ3725" s="55" t="s">
        <v>21728</v>
      </c>
      <c r="AK3725" s="55" t="s">
        <v>21729</v>
      </c>
      <c r="AL3725" s="157">
        <v>45301</v>
      </c>
      <c r="AM3725" s="55"/>
      <c r="AN3725" s="157">
        <v>45670</v>
      </c>
      <c r="AO3725" s="157">
        <v>45649</v>
      </c>
    </row>
    <row r="3726" spans="1:55" ht="36.75" customHeight="1">
      <c r="A3726" s="46" t="s">
        <v>12471</v>
      </c>
      <c r="B3726" s="30" t="s">
        <v>55</v>
      </c>
      <c r="C3726" s="69" t="str">
        <f t="shared" si="316"/>
        <v>Closed</v>
      </c>
      <c r="D3726" s="203" t="s">
        <v>21730</v>
      </c>
      <c r="E3726" s="55" t="s">
        <v>21731</v>
      </c>
      <c r="F3726" s="55" t="s">
        <v>17682</v>
      </c>
      <c r="G3726" s="88">
        <f>DATE(2024,1,10)</f>
        <v>45301</v>
      </c>
      <c r="H3726" s="142">
        <v>1.6979166666666665</v>
      </c>
      <c r="I3726" s="55" t="s">
        <v>73</v>
      </c>
      <c r="J3726" s="55" t="s">
        <v>21732</v>
      </c>
      <c r="K3726" s="55" t="s">
        <v>1574</v>
      </c>
      <c r="L3726" s="55" t="s">
        <v>21733</v>
      </c>
      <c r="M3726" s="55" t="s">
        <v>63</v>
      </c>
      <c r="N3726" s="55" t="s">
        <v>99</v>
      </c>
      <c r="O3726" s="55" t="s">
        <v>64</v>
      </c>
      <c r="P3726" s="55" t="s">
        <v>78</v>
      </c>
      <c r="Q3726" s="55" t="s">
        <v>18063</v>
      </c>
      <c r="R3726" s="55" t="s">
        <v>19007</v>
      </c>
      <c r="S3726" s="55">
        <v>0</v>
      </c>
      <c r="T3726" s="55">
        <v>0</v>
      </c>
      <c r="U3726" s="55">
        <v>0</v>
      </c>
      <c r="V3726" s="55">
        <v>0</v>
      </c>
      <c r="W3726" s="55">
        <v>0</v>
      </c>
      <c r="X3726" s="55">
        <v>0</v>
      </c>
      <c r="Y3726" s="55">
        <v>0</v>
      </c>
      <c r="Z3726" s="55">
        <v>0</v>
      </c>
      <c r="AA3726" s="55">
        <v>0</v>
      </c>
      <c r="AB3726" s="55">
        <v>0</v>
      </c>
      <c r="AC3726" s="55">
        <v>0</v>
      </c>
      <c r="AD3726" s="55">
        <v>0</v>
      </c>
      <c r="AE3726" s="55" t="s">
        <v>92</v>
      </c>
      <c r="AF3726" s="55" t="s">
        <v>21734</v>
      </c>
      <c r="AG3726" s="55" t="s">
        <v>8859</v>
      </c>
      <c r="AH3726" s="72">
        <v>45302</v>
      </c>
      <c r="AI3726" s="55">
        <v>1</v>
      </c>
      <c r="AJ3726" s="55" t="s">
        <v>21735</v>
      </c>
      <c r="AK3726" s="55" t="s">
        <v>21736</v>
      </c>
      <c r="AL3726" s="157">
        <v>45302</v>
      </c>
      <c r="AM3726" s="55"/>
      <c r="AN3726" s="157">
        <v>45667</v>
      </c>
      <c r="AO3726" s="157">
        <v>45646</v>
      </c>
    </row>
    <row r="3727" spans="1:55" ht="36.75" customHeight="1">
      <c r="A3727" s="46" t="s">
        <v>12471</v>
      </c>
      <c r="B3727" s="30" t="s">
        <v>55</v>
      </c>
      <c r="C3727" s="69" t="str">
        <f t="shared" si="316"/>
        <v>Closed</v>
      </c>
      <c r="D3727" s="203" t="s">
        <v>21737</v>
      </c>
      <c r="E3727" s="55" t="s">
        <v>21738</v>
      </c>
      <c r="F3727" s="55" t="s">
        <v>17057</v>
      </c>
      <c r="G3727" s="88">
        <f>DATE(2024,1,10)</f>
        <v>45301</v>
      </c>
      <c r="H3727" s="142">
        <v>1.3333333333333333</v>
      </c>
      <c r="I3727" s="55" t="s">
        <v>116</v>
      </c>
      <c r="J3727" s="55" t="s">
        <v>21739</v>
      </c>
      <c r="K3727" s="55" t="s">
        <v>2338</v>
      </c>
      <c r="L3727" s="55" t="s">
        <v>21740</v>
      </c>
      <c r="M3727" s="55" t="s">
        <v>63</v>
      </c>
      <c r="N3727" s="55" t="s">
        <v>99</v>
      </c>
      <c r="O3727" s="55" t="s">
        <v>64</v>
      </c>
      <c r="P3727" s="55" t="s">
        <v>165</v>
      </c>
      <c r="Q3727" s="55" t="s">
        <v>18726</v>
      </c>
      <c r="R3727" s="55" t="s">
        <v>2341</v>
      </c>
      <c r="S3727" s="55">
        <v>0</v>
      </c>
      <c r="T3727" s="55">
        <v>2</v>
      </c>
      <c r="U3727" s="55">
        <v>0</v>
      </c>
      <c r="V3727" s="55">
        <v>0</v>
      </c>
      <c r="W3727" s="55">
        <v>0</v>
      </c>
      <c r="X3727" s="55">
        <v>2</v>
      </c>
      <c r="Y3727" s="55">
        <v>0</v>
      </c>
      <c r="Z3727" s="55">
        <v>1</v>
      </c>
      <c r="AA3727" s="55">
        <v>0</v>
      </c>
      <c r="AB3727" s="55">
        <v>0</v>
      </c>
      <c r="AC3727" s="55">
        <v>0</v>
      </c>
      <c r="AD3727" s="55">
        <v>1</v>
      </c>
      <c r="AE3727" s="55" t="s">
        <v>394</v>
      </c>
      <c r="AF3727" s="55" t="s">
        <v>21741</v>
      </c>
      <c r="AG3727" s="55" t="s">
        <v>6459</v>
      </c>
      <c r="AH3727" s="72">
        <v>45314</v>
      </c>
      <c r="AI3727" s="55">
        <v>5</v>
      </c>
      <c r="AJ3727" s="55" t="s">
        <v>21742</v>
      </c>
      <c r="AK3727" s="55" t="s">
        <v>21743</v>
      </c>
      <c r="AL3727" s="157">
        <v>45317</v>
      </c>
      <c r="AM3727" s="55"/>
      <c r="AN3727" s="168">
        <v>45660</v>
      </c>
      <c r="AO3727" s="168">
        <v>45660</v>
      </c>
    </row>
    <row r="3728" spans="1:55" ht="36.75" customHeight="1">
      <c r="A3728" s="46" t="s">
        <v>12471</v>
      </c>
      <c r="B3728" s="30" t="s">
        <v>2124</v>
      </c>
      <c r="C3728" s="69" t="str">
        <f t="shared" si="316"/>
        <v>Open</v>
      </c>
      <c r="D3728" s="36" t="s">
        <v>21744</v>
      </c>
      <c r="E3728" s="55" t="s">
        <v>21745</v>
      </c>
      <c r="F3728" s="55" t="s">
        <v>18070</v>
      </c>
      <c r="G3728" s="88">
        <f>DATE(2024,1,15)</f>
        <v>45306</v>
      </c>
      <c r="H3728" s="142">
        <v>1.3541666666666667</v>
      </c>
      <c r="I3728" s="55" t="s">
        <v>116</v>
      </c>
      <c r="J3728" s="55" t="s">
        <v>21746</v>
      </c>
      <c r="K3728" s="55" t="s">
        <v>140</v>
      </c>
      <c r="L3728" s="55" t="s">
        <v>21747</v>
      </c>
      <c r="M3728" s="55" t="s">
        <v>63</v>
      </c>
      <c r="N3728" s="55" t="s">
        <v>99</v>
      </c>
      <c r="O3728" s="55" t="s">
        <v>64</v>
      </c>
      <c r="P3728" s="55" t="s">
        <v>6902</v>
      </c>
      <c r="Q3728" s="55" t="s">
        <v>18530</v>
      </c>
      <c r="R3728" s="55" t="s">
        <v>21748</v>
      </c>
      <c r="S3728" s="55">
        <v>0</v>
      </c>
      <c r="T3728" s="55">
        <v>1</v>
      </c>
      <c r="U3728" s="55">
        <v>0</v>
      </c>
      <c r="V3728" s="55">
        <v>0</v>
      </c>
      <c r="W3728" s="55">
        <v>0</v>
      </c>
      <c r="X3728" s="55">
        <v>1</v>
      </c>
      <c r="Y3728" s="55">
        <v>0</v>
      </c>
      <c r="Z3728" s="55">
        <v>0</v>
      </c>
      <c r="AA3728" s="55">
        <v>0</v>
      </c>
      <c r="AB3728" s="55">
        <v>0</v>
      </c>
      <c r="AC3728" s="55">
        <v>0</v>
      </c>
      <c r="AD3728" s="55">
        <v>0</v>
      </c>
      <c r="AE3728" s="55" t="s">
        <v>394</v>
      </c>
      <c r="AF3728" s="55" t="s">
        <v>21749</v>
      </c>
      <c r="AG3728" s="55" t="s">
        <v>8859</v>
      </c>
      <c r="AH3728" s="72">
        <v>45317</v>
      </c>
      <c r="AI3728" s="55"/>
      <c r="AJ3728" s="55"/>
      <c r="AK3728" s="55"/>
      <c r="AL3728" s="157">
        <v>45319</v>
      </c>
      <c r="AM3728" s="55"/>
      <c r="AN3728" s="209"/>
      <c r="AO3728" s="209"/>
    </row>
    <row r="3729" spans="1:54" ht="36.75" customHeight="1">
      <c r="A3729" s="46" t="s">
        <v>12471</v>
      </c>
      <c r="B3729" s="30" t="s">
        <v>55</v>
      </c>
      <c r="C3729" s="69" t="str">
        <f t="shared" si="316"/>
        <v>Closed</v>
      </c>
      <c r="D3729" s="203" t="s">
        <v>21750</v>
      </c>
      <c r="E3729" s="55" t="s">
        <v>21751</v>
      </c>
      <c r="F3729" s="55" t="s">
        <v>17682</v>
      </c>
      <c r="G3729" s="88">
        <f>DATE(2024,1,16)</f>
        <v>45307</v>
      </c>
      <c r="H3729" s="142">
        <v>1.0555555555555556</v>
      </c>
      <c r="I3729" s="55" t="s">
        <v>73</v>
      </c>
      <c r="J3729" s="55" t="s">
        <v>21752</v>
      </c>
      <c r="K3729" s="55" t="s">
        <v>1574</v>
      </c>
      <c r="L3729" s="55" t="s">
        <v>21753</v>
      </c>
      <c r="M3729" s="55" t="s">
        <v>63</v>
      </c>
      <c r="N3729" s="55" t="s">
        <v>142</v>
      </c>
      <c r="O3729" s="55" t="s">
        <v>77</v>
      </c>
      <c r="P3729" s="55" t="s">
        <v>78</v>
      </c>
      <c r="Q3729" s="55" t="s">
        <v>21754</v>
      </c>
      <c r="R3729" s="55" t="s">
        <v>19007</v>
      </c>
      <c r="S3729" s="55">
        <v>0</v>
      </c>
      <c r="T3729" s="55">
        <v>0</v>
      </c>
      <c r="U3729" s="55">
        <v>0</v>
      </c>
      <c r="V3729" s="55">
        <v>0</v>
      </c>
      <c r="W3729" s="55">
        <v>0</v>
      </c>
      <c r="X3729" s="55">
        <v>0</v>
      </c>
      <c r="Y3729" s="55">
        <v>0</v>
      </c>
      <c r="Z3729" s="55">
        <v>0</v>
      </c>
      <c r="AA3729" s="55">
        <v>0</v>
      </c>
      <c r="AB3729" s="55">
        <v>0</v>
      </c>
      <c r="AC3729" s="55">
        <v>0</v>
      </c>
      <c r="AD3729" s="55">
        <v>0</v>
      </c>
      <c r="AE3729" s="55" t="s">
        <v>394</v>
      </c>
      <c r="AF3729" s="55" t="s">
        <v>21755</v>
      </c>
      <c r="AG3729" s="55" t="s">
        <v>8859</v>
      </c>
      <c r="AH3729" s="72">
        <v>45308</v>
      </c>
      <c r="AI3729" s="55">
        <v>2</v>
      </c>
      <c r="AJ3729" s="55" t="s">
        <v>21756</v>
      </c>
      <c r="AK3729" s="55" t="s">
        <v>21757</v>
      </c>
      <c r="AL3729" s="157">
        <v>45309</v>
      </c>
      <c r="AM3729" s="55"/>
      <c r="AN3729" s="157">
        <v>45679</v>
      </c>
      <c r="AO3729" s="157">
        <v>45667</v>
      </c>
    </row>
    <row r="3730" spans="1:54" ht="36.75" customHeight="1">
      <c r="A3730" s="46" t="s">
        <v>12471</v>
      </c>
      <c r="B3730" s="30" t="s">
        <v>55</v>
      </c>
      <c r="C3730" s="69" t="str">
        <f t="shared" si="316"/>
        <v>Closed</v>
      </c>
      <c r="D3730" s="37" t="s">
        <v>21758</v>
      </c>
      <c r="E3730" s="55" t="s">
        <v>21759</v>
      </c>
      <c r="F3730" s="55" t="s">
        <v>16429</v>
      </c>
      <c r="G3730" s="88">
        <f>DATE(2024,1,16)</f>
        <v>45307</v>
      </c>
      <c r="H3730" s="142">
        <v>1.7881944444444446</v>
      </c>
      <c r="I3730" s="55" t="s">
        <v>4610</v>
      </c>
      <c r="J3730" s="55" t="s">
        <v>21760</v>
      </c>
      <c r="K3730" s="55" t="s">
        <v>425</v>
      </c>
      <c r="L3730" s="55" t="s">
        <v>21761</v>
      </c>
      <c r="M3730" s="55" t="s">
        <v>63</v>
      </c>
      <c r="N3730" s="55" t="s">
        <v>99</v>
      </c>
      <c r="O3730" s="55" t="s">
        <v>77</v>
      </c>
      <c r="P3730" s="55" t="s">
        <v>65</v>
      </c>
      <c r="Q3730" s="55" t="s">
        <v>18615</v>
      </c>
      <c r="R3730" s="55" t="s">
        <v>21762</v>
      </c>
      <c r="S3730" s="55">
        <v>0</v>
      </c>
      <c r="T3730" s="55">
        <v>0</v>
      </c>
      <c r="U3730" s="55">
        <v>0</v>
      </c>
      <c r="V3730" s="55">
        <v>0</v>
      </c>
      <c r="W3730" s="55">
        <v>0</v>
      </c>
      <c r="X3730" s="55">
        <v>0</v>
      </c>
      <c r="Y3730" s="55">
        <v>0</v>
      </c>
      <c r="Z3730" s="55">
        <v>0</v>
      </c>
      <c r="AA3730" s="55">
        <v>0</v>
      </c>
      <c r="AB3730" s="55">
        <v>0</v>
      </c>
      <c r="AC3730" s="55">
        <v>0</v>
      </c>
      <c r="AD3730" s="55">
        <v>0</v>
      </c>
      <c r="AE3730" s="55" t="s">
        <v>21006</v>
      </c>
      <c r="AF3730" s="55" t="s">
        <v>21763</v>
      </c>
      <c r="AG3730" s="55" t="s">
        <v>16283</v>
      </c>
      <c r="AH3730" s="72">
        <v>45307</v>
      </c>
      <c r="AI3730" s="55">
        <v>1</v>
      </c>
      <c r="AJ3730" s="55" t="s">
        <v>21764</v>
      </c>
      <c r="AK3730" s="55" t="s">
        <v>879</v>
      </c>
      <c r="AL3730" s="157">
        <v>45310</v>
      </c>
      <c r="AM3730" s="55"/>
      <c r="AN3730" s="157">
        <v>45453</v>
      </c>
      <c r="AO3730" s="157">
        <v>45450</v>
      </c>
      <c r="AP3730" s="55"/>
      <c r="AQ3730" s="55"/>
      <c r="AR3730" s="55"/>
      <c r="AS3730" s="55"/>
      <c r="AT3730" s="55"/>
      <c r="AU3730" s="55"/>
      <c r="AV3730" s="55"/>
      <c r="AW3730" s="55"/>
      <c r="AX3730" s="55"/>
      <c r="AY3730" s="55"/>
      <c r="AZ3730" s="55"/>
      <c r="BA3730" s="55"/>
      <c r="BB3730" s="55"/>
    </row>
    <row r="3731" spans="1:54" ht="36.75" customHeight="1">
      <c r="A3731" s="46" t="s">
        <v>12471</v>
      </c>
      <c r="B3731" s="30" t="s">
        <v>55</v>
      </c>
      <c r="C3731" s="69" t="str">
        <f t="shared" si="316"/>
        <v>Closed</v>
      </c>
      <c r="D3731" s="203" t="s">
        <v>21765</v>
      </c>
      <c r="E3731" s="55" t="s">
        <v>21766</v>
      </c>
      <c r="F3731" s="55" t="s">
        <v>17682</v>
      </c>
      <c r="G3731" s="88">
        <f>DATE(2024,1,23)</f>
        <v>45314</v>
      </c>
      <c r="H3731" s="142">
        <v>1.7430555555555556</v>
      </c>
      <c r="I3731" s="55" t="s">
        <v>125</v>
      </c>
      <c r="J3731" s="55" t="s">
        <v>21767</v>
      </c>
      <c r="K3731" s="55" t="s">
        <v>1574</v>
      </c>
      <c r="L3731" s="55" t="s">
        <v>21768</v>
      </c>
      <c r="M3731" s="55" t="s">
        <v>63</v>
      </c>
      <c r="N3731" s="55" t="s">
        <v>99</v>
      </c>
      <c r="O3731" s="55" t="s">
        <v>64</v>
      </c>
      <c r="P3731" s="55" t="s">
        <v>65</v>
      </c>
      <c r="Q3731" s="55" t="s">
        <v>18739</v>
      </c>
      <c r="R3731" s="55" t="s">
        <v>17686</v>
      </c>
      <c r="S3731" s="55">
        <v>0</v>
      </c>
      <c r="T3731" s="55">
        <v>0</v>
      </c>
      <c r="U3731" s="55">
        <v>0</v>
      </c>
      <c r="V3731" s="55">
        <v>0</v>
      </c>
      <c r="W3731" s="55">
        <v>0</v>
      </c>
      <c r="X3731" s="55">
        <v>0</v>
      </c>
      <c r="Y3731" s="55">
        <v>0</v>
      </c>
      <c r="Z3731" s="55">
        <v>0</v>
      </c>
      <c r="AA3731" s="55">
        <v>0</v>
      </c>
      <c r="AB3731" s="55">
        <v>0</v>
      </c>
      <c r="AC3731" s="55">
        <v>0</v>
      </c>
      <c r="AD3731" s="55">
        <v>0</v>
      </c>
      <c r="AE3731" s="55" t="s">
        <v>394</v>
      </c>
      <c r="AF3731" s="55" t="s">
        <v>21769</v>
      </c>
      <c r="AG3731" s="55" t="s">
        <v>8859</v>
      </c>
      <c r="AH3731" s="72">
        <v>45316</v>
      </c>
      <c r="AI3731" s="55">
        <v>0</v>
      </c>
      <c r="AJ3731" s="55" t="s">
        <v>21770</v>
      </c>
      <c r="AK3731" s="55" t="s">
        <v>21771</v>
      </c>
      <c r="AL3731" s="157">
        <v>45316</v>
      </c>
      <c r="AM3731" s="55"/>
      <c r="AN3731" s="157">
        <v>45673</v>
      </c>
      <c r="AO3731" s="157">
        <v>45649</v>
      </c>
    </row>
    <row r="3732" spans="1:54" ht="36.75" customHeight="1">
      <c r="A3732" s="46" t="s">
        <v>12471</v>
      </c>
      <c r="B3732" s="30" t="s">
        <v>55</v>
      </c>
      <c r="C3732" s="69" t="str">
        <f t="shared" ref="C3732" si="317">IF(B3732="Notification","Open",IF(B3732="Interim Statement","In progress","Closed"))</f>
        <v>Closed</v>
      </c>
      <c r="D3732" s="58" t="s">
        <v>21772</v>
      </c>
      <c r="E3732" s="55" t="s">
        <v>46029</v>
      </c>
      <c r="F3732" s="55" t="s">
        <v>16429</v>
      </c>
      <c r="G3732" s="88">
        <f>DATE(2024,1,24)</f>
        <v>45315</v>
      </c>
      <c r="H3732" s="142">
        <v>1.2375</v>
      </c>
      <c r="I3732" s="55" t="s">
        <v>116</v>
      </c>
      <c r="J3732" s="55" t="s">
        <v>46030</v>
      </c>
      <c r="K3732" s="55" t="s">
        <v>425</v>
      </c>
      <c r="L3732" s="270" t="s">
        <v>46031</v>
      </c>
      <c r="M3732" s="55" t="s">
        <v>63</v>
      </c>
      <c r="N3732" s="55" t="s">
        <v>142</v>
      </c>
      <c r="O3732" s="55" t="s">
        <v>46032</v>
      </c>
      <c r="P3732" s="55" t="s">
        <v>46033</v>
      </c>
      <c r="Q3732" s="55" t="s">
        <v>18516</v>
      </c>
      <c r="R3732" s="55" t="s">
        <v>17369</v>
      </c>
      <c r="S3732" s="55">
        <v>0</v>
      </c>
      <c r="T3732" s="55">
        <v>1</v>
      </c>
      <c r="U3732" s="55">
        <v>0</v>
      </c>
      <c r="V3732" s="55">
        <v>0</v>
      </c>
      <c r="W3732" s="55">
        <v>0</v>
      </c>
      <c r="X3732" s="55">
        <v>1</v>
      </c>
      <c r="Y3732" s="55">
        <v>0</v>
      </c>
      <c r="Z3732" s="55">
        <v>0</v>
      </c>
      <c r="AA3732" s="55">
        <v>0</v>
      </c>
      <c r="AB3732" s="55">
        <v>0</v>
      </c>
      <c r="AC3732" s="55">
        <v>0</v>
      </c>
      <c r="AD3732" s="55">
        <v>0</v>
      </c>
      <c r="AE3732" s="55" t="s">
        <v>46034</v>
      </c>
      <c r="AF3732" s="55" t="s">
        <v>46035</v>
      </c>
      <c r="AG3732" s="55" t="s">
        <v>6459</v>
      </c>
      <c r="AH3732" s="72">
        <v>45315</v>
      </c>
      <c r="AI3732" s="55">
        <v>4</v>
      </c>
      <c r="AJ3732" s="55" t="s">
        <v>46036</v>
      </c>
      <c r="AK3732" s="55" t="s">
        <v>46037</v>
      </c>
      <c r="AL3732" s="157">
        <v>45322</v>
      </c>
      <c r="AM3732" s="55"/>
      <c r="AN3732" s="212">
        <v>46095</v>
      </c>
      <c r="AO3732" s="212">
        <v>46085</v>
      </c>
    </row>
    <row r="3733" spans="1:54" ht="36.75" customHeight="1">
      <c r="A3733" s="46" t="s">
        <v>12471</v>
      </c>
      <c r="B3733" s="30" t="s">
        <v>55</v>
      </c>
      <c r="C3733" s="69" t="str">
        <f t="shared" si="316"/>
        <v>Closed</v>
      </c>
      <c r="D3733" s="37" t="s">
        <v>21773</v>
      </c>
      <c r="E3733" s="55" t="s">
        <v>21774</v>
      </c>
      <c r="F3733" s="55" t="s">
        <v>17773</v>
      </c>
      <c r="G3733" s="88">
        <f>DATE(2024,2,3)</f>
        <v>45325</v>
      </c>
      <c r="H3733" s="142">
        <v>1.4375</v>
      </c>
      <c r="I3733" s="55" t="s">
        <v>73</v>
      </c>
      <c r="J3733" s="55" t="s">
        <v>21775</v>
      </c>
      <c r="K3733" s="55" t="s">
        <v>2603</v>
      </c>
      <c r="L3733" s="55" t="s">
        <v>21776</v>
      </c>
      <c r="M3733" s="55" t="s">
        <v>63</v>
      </c>
      <c r="N3733" s="55" t="s">
        <v>99</v>
      </c>
      <c r="O3733" s="55" t="s">
        <v>64</v>
      </c>
      <c r="P3733" s="55" t="s">
        <v>78</v>
      </c>
      <c r="Q3733" s="55" t="s">
        <v>13611</v>
      </c>
      <c r="R3733" s="55" t="s">
        <v>20752</v>
      </c>
      <c r="S3733" s="55">
        <v>0</v>
      </c>
      <c r="T3733" s="55">
        <v>0</v>
      </c>
      <c r="U3733" s="55">
        <v>0</v>
      </c>
      <c r="V3733" s="55">
        <v>0</v>
      </c>
      <c r="W3733" s="55">
        <v>0</v>
      </c>
      <c r="X3733" s="55">
        <v>0</v>
      </c>
      <c r="Y3733" s="55">
        <v>0</v>
      </c>
      <c r="Z3733" s="55">
        <v>0</v>
      </c>
      <c r="AA3733" s="55">
        <v>0</v>
      </c>
      <c r="AB3733" s="55">
        <v>0</v>
      </c>
      <c r="AC3733" s="55">
        <v>0</v>
      </c>
      <c r="AD3733" s="55">
        <v>0</v>
      </c>
      <c r="AE3733" s="55" t="s">
        <v>92</v>
      </c>
      <c r="AF3733" s="55" t="s">
        <v>21777</v>
      </c>
      <c r="AG3733" s="55" t="s">
        <v>8859</v>
      </c>
      <c r="AH3733" s="72">
        <v>45329</v>
      </c>
      <c r="AI3733" s="55">
        <v>5</v>
      </c>
      <c r="AJ3733" s="55" t="s">
        <v>21778</v>
      </c>
      <c r="AK3733" s="55" t="s">
        <v>21779</v>
      </c>
      <c r="AL3733" s="157">
        <v>45334</v>
      </c>
      <c r="AM3733" s="157"/>
      <c r="AN3733" s="157">
        <v>45572</v>
      </c>
      <c r="AO3733" s="157">
        <v>45545</v>
      </c>
    </row>
    <row r="3734" spans="1:54" ht="36.75" customHeight="1">
      <c r="A3734" s="46" t="s">
        <v>12471</v>
      </c>
      <c r="B3734" s="30" t="s">
        <v>55</v>
      </c>
      <c r="C3734" s="69" t="str">
        <f t="shared" si="316"/>
        <v>Closed</v>
      </c>
      <c r="D3734" s="37" t="s">
        <v>21780</v>
      </c>
      <c r="E3734" s="55" t="s">
        <v>21781</v>
      </c>
      <c r="F3734" s="55" t="s">
        <v>12910</v>
      </c>
      <c r="G3734" s="88">
        <f>DATE(2024,2,5)</f>
        <v>45327</v>
      </c>
      <c r="H3734" s="142">
        <v>1.8159722222222223</v>
      </c>
      <c r="I3734" s="55" t="s">
        <v>278</v>
      </c>
      <c r="J3734" s="55" t="s">
        <v>21782</v>
      </c>
      <c r="K3734" s="55" t="s">
        <v>453</v>
      </c>
      <c r="L3734" s="55" t="s">
        <v>21783</v>
      </c>
      <c r="M3734" s="55" t="s">
        <v>63</v>
      </c>
      <c r="N3734" s="55" t="s">
        <v>99</v>
      </c>
      <c r="O3734" s="55" t="s">
        <v>77</v>
      </c>
      <c r="P3734" s="55" t="s">
        <v>165</v>
      </c>
      <c r="Q3734" s="55" t="s">
        <v>12184</v>
      </c>
      <c r="R3734" s="55" t="s">
        <v>572</v>
      </c>
      <c r="S3734" s="55">
        <v>0</v>
      </c>
      <c r="T3734" s="55">
        <v>0</v>
      </c>
      <c r="U3734" s="55">
        <v>0</v>
      </c>
      <c r="V3734" s="55">
        <v>1</v>
      </c>
      <c r="W3734" s="55">
        <v>0</v>
      </c>
      <c r="X3734" s="55">
        <v>1</v>
      </c>
      <c r="Y3734" s="55">
        <v>0</v>
      </c>
      <c r="Z3734" s="55">
        <v>0</v>
      </c>
      <c r="AA3734" s="55">
        <v>0</v>
      </c>
      <c r="AB3734" s="55">
        <v>0</v>
      </c>
      <c r="AC3734" s="55">
        <v>0</v>
      </c>
      <c r="AD3734" s="55">
        <v>0</v>
      </c>
      <c r="AE3734" s="55" t="s">
        <v>92</v>
      </c>
      <c r="AF3734" s="55" t="s">
        <v>879</v>
      </c>
      <c r="AG3734" s="55" t="s">
        <v>6459</v>
      </c>
      <c r="AH3734" s="72">
        <v>45329</v>
      </c>
      <c r="AI3734" s="55">
        <v>0</v>
      </c>
      <c r="AJ3734" s="55" t="s">
        <v>21784</v>
      </c>
      <c r="AK3734" s="55" t="s">
        <v>879</v>
      </c>
      <c r="AL3734" s="157">
        <v>45329</v>
      </c>
      <c r="AM3734" s="55"/>
      <c r="AN3734" s="157">
        <v>45565</v>
      </c>
      <c r="AO3734" s="209"/>
    </row>
    <row r="3735" spans="1:54" ht="36.75" customHeight="1">
      <c r="A3735" s="46" t="s">
        <v>12471</v>
      </c>
      <c r="B3735" s="30" t="s">
        <v>55</v>
      </c>
      <c r="C3735" s="69" t="str">
        <f t="shared" si="316"/>
        <v>Closed</v>
      </c>
      <c r="D3735" s="203" t="s">
        <v>21785</v>
      </c>
      <c r="E3735" s="55" t="s">
        <v>21786</v>
      </c>
      <c r="F3735" s="55" t="s">
        <v>18881</v>
      </c>
      <c r="G3735" s="88">
        <f>DATE(2024,2,6)</f>
        <v>45328</v>
      </c>
      <c r="H3735" s="142">
        <v>1.5763888888888888</v>
      </c>
      <c r="I3735" s="55" t="s">
        <v>116</v>
      </c>
      <c r="J3735" s="55" t="s">
        <v>21787</v>
      </c>
      <c r="K3735" s="55" t="s">
        <v>61</v>
      </c>
      <c r="L3735" s="55" t="s">
        <v>21788</v>
      </c>
      <c r="M3735" s="55" t="s">
        <v>63</v>
      </c>
      <c r="N3735" s="55" t="s">
        <v>89</v>
      </c>
      <c r="O3735" s="55" t="s">
        <v>6875</v>
      </c>
      <c r="P3735" s="55" t="s">
        <v>91</v>
      </c>
      <c r="Q3735" s="55" t="s">
        <v>66</v>
      </c>
      <c r="R3735" s="55" t="s">
        <v>21789</v>
      </c>
      <c r="S3735" s="55">
        <v>0</v>
      </c>
      <c r="T3735" s="55">
        <v>1</v>
      </c>
      <c r="U3735" s="55">
        <v>0</v>
      </c>
      <c r="V3735" s="55">
        <v>0</v>
      </c>
      <c r="W3735" s="55">
        <v>0</v>
      </c>
      <c r="X3735" s="55">
        <v>1</v>
      </c>
      <c r="Y3735" s="55">
        <v>0</v>
      </c>
      <c r="Z3735" s="55">
        <v>0</v>
      </c>
      <c r="AA3735" s="55">
        <v>0</v>
      </c>
      <c r="AB3735" s="55">
        <v>0</v>
      </c>
      <c r="AC3735" s="55">
        <v>0</v>
      </c>
      <c r="AD3735" s="55">
        <v>0</v>
      </c>
      <c r="AE3735" s="55" t="s">
        <v>92</v>
      </c>
      <c r="AF3735" s="55" t="s">
        <v>21790</v>
      </c>
      <c r="AG3735" s="55" t="s">
        <v>6459</v>
      </c>
      <c r="AH3735" s="72">
        <v>45330</v>
      </c>
      <c r="AI3735" s="55">
        <v>2</v>
      </c>
      <c r="AJ3735" s="55" t="s">
        <v>21791</v>
      </c>
      <c r="AK3735" s="55" t="s">
        <v>21792</v>
      </c>
      <c r="AL3735" s="157">
        <v>45330</v>
      </c>
      <c r="AM3735" s="55"/>
      <c r="AN3735" s="157">
        <v>45664</v>
      </c>
      <c r="AO3735" s="157">
        <v>45637</v>
      </c>
    </row>
    <row r="3736" spans="1:54" ht="36.75" customHeight="1">
      <c r="A3736" s="46" t="s">
        <v>12471</v>
      </c>
      <c r="B3736" s="30" t="s">
        <v>55</v>
      </c>
      <c r="C3736" s="69" t="str">
        <f t="shared" si="316"/>
        <v>Closed</v>
      </c>
      <c r="D3736" s="203" t="s">
        <v>21793</v>
      </c>
      <c r="E3736" s="55" t="s">
        <v>21794</v>
      </c>
      <c r="F3736" s="55" t="s">
        <v>17682</v>
      </c>
      <c r="G3736" s="88">
        <f>DATE(2024,2,7)</f>
        <v>45329</v>
      </c>
      <c r="H3736" s="142">
        <v>1.0416666666666667</v>
      </c>
      <c r="I3736" s="55" t="s">
        <v>198</v>
      </c>
      <c r="J3736" s="55" t="s">
        <v>21795</v>
      </c>
      <c r="K3736" s="55" t="s">
        <v>1574</v>
      </c>
      <c r="L3736" s="55" t="s">
        <v>21796</v>
      </c>
      <c r="M3736" s="55" t="s">
        <v>63</v>
      </c>
      <c r="N3736" s="55" t="s">
        <v>142</v>
      </c>
      <c r="O3736" s="55" t="s">
        <v>77</v>
      </c>
      <c r="P3736" s="55" t="s">
        <v>78</v>
      </c>
      <c r="Q3736" s="55" t="s">
        <v>21797</v>
      </c>
      <c r="R3736" s="55" t="s">
        <v>19007</v>
      </c>
      <c r="S3736" s="55">
        <v>0</v>
      </c>
      <c r="T3736" s="55">
        <v>0</v>
      </c>
      <c r="U3736" s="55">
        <v>0</v>
      </c>
      <c r="V3736" s="55">
        <v>0</v>
      </c>
      <c r="W3736" s="55">
        <v>0</v>
      </c>
      <c r="X3736" s="55">
        <v>0</v>
      </c>
      <c r="Y3736" s="55">
        <v>0</v>
      </c>
      <c r="Z3736" s="55">
        <v>0</v>
      </c>
      <c r="AA3736" s="55">
        <v>0</v>
      </c>
      <c r="AB3736" s="55">
        <v>0</v>
      </c>
      <c r="AC3736" s="55">
        <v>0</v>
      </c>
      <c r="AD3736" s="55">
        <v>0</v>
      </c>
      <c r="AE3736" s="55" t="s">
        <v>92</v>
      </c>
      <c r="AF3736" s="55" t="s">
        <v>21798</v>
      </c>
      <c r="AG3736" s="55" t="s">
        <v>8859</v>
      </c>
      <c r="AH3736" s="72">
        <v>45329</v>
      </c>
      <c r="AI3736" s="55">
        <v>0</v>
      </c>
      <c r="AJ3736" s="55" t="s">
        <v>21799</v>
      </c>
      <c r="AK3736" s="55" t="s">
        <v>712</v>
      </c>
      <c r="AL3736" s="157">
        <v>45329</v>
      </c>
      <c r="AM3736" s="55"/>
      <c r="AN3736" s="157">
        <v>45713</v>
      </c>
      <c r="AO3736" s="157">
        <v>45693</v>
      </c>
    </row>
    <row r="3737" spans="1:54" ht="36.75" customHeight="1">
      <c r="A3737" s="46" t="s">
        <v>12471</v>
      </c>
      <c r="B3737" s="30" t="s">
        <v>55</v>
      </c>
      <c r="C3737" s="69" t="str">
        <f t="shared" si="316"/>
        <v>Closed</v>
      </c>
      <c r="D3737" s="203" t="s">
        <v>21800</v>
      </c>
      <c r="E3737" s="55" t="s">
        <v>21801</v>
      </c>
      <c r="F3737" s="55" t="s">
        <v>6455</v>
      </c>
      <c r="G3737" s="88">
        <f>DATE(2024,2,10)</f>
        <v>45332</v>
      </c>
      <c r="H3737" s="142">
        <v>1.3715277777777777</v>
      </c>
      <c r="I3737" s="55" t="s">
        <v>2264</v>
      </c>
      <c r="J3737" s="55" t="s">
        <v>21802</v>
      </c>
      <c r="K3737" s="55" t="s">
        <v>584</v>
      </c>
      <c r="L3737" s="55" t="s">
        <v>21803</v>
      </c>
      <c r="M3737" s="55" t="s">
        <v>63</v>
      </c>
      <c r="N3737" s="55" t="s">
        <v>142</v>
      </c>
      <c r="O3737" s="55" t="s">
        <v>64</v>
      </c>
      <c r="P3737" s="55" t="s">
        <v>65</v>
      </c>
      <c r="Q3737" s="55" t="s">
        <v>21804</v>
      </c>
      <c r="R3737" s="55" t="s">
        <v>21805</v>
      </c>
      <c r="S3737" s="55">
        <v>0</v>
      </c>
      <c r="T3737" s="55">
        <v>0</v>
      </c>
      <c r="U3737" s="55">
        <v>0</v>
      </c>
      <c r="V3737" s="55">
        <v>0</v>
      </c>
      <c r="W3737" s="55">
        <v>0</v>
      </c>
      <c r="X3737" s="55">
        <v>0</v>
      </c>
      <c r="Y3737" s="55">
        <v>0</v>
      </c>
      <c r="Z3737" s="55">
        <v>0</v>
      </c>
      <c r="AA3737" s="55">
        <v>0</v>
      </c>
      <c r="AB3737" s="55">
        <v>0</v>
      </c>
      <c r="AC3737" s="55">
        <v>0</v>
      </c>
      <c r="AD3737" s="55">
        <v>0</v>
      </c>
      <c r="AE3737" s="55" t="s">
        <v>92</v>
      </c>
      <c r="AF3737" s="55" t="s">
        <v>21806</v>
      </c>
      <c r="AG3737" s="55" t="s">
        <v>14033</v>
      </c>
      <c r="AH3737" s="72">
        <v>45333</v>
      </c>
      <c r="AI3737" s="55" t="s">
        <v>21807</v>
      </c>
      <c r="AJ3737" s="55" t="s">
        <v>21808</v>
      </c>
      <c r="AK3737" s="55" t="s">
        <v>21809</v>
      </c>
      <c r="AL3737" s="157">
        <v>45344</v>
      </c>
      <c r="AM3737" s="157">
        <v>45709</v>
      </c>
      <c r="AN3737" s="157">
        <v>45835</v>
      </c>
      <c r="AO3737" s="157">
        <v>45755</v>
      </c>
    </row>
    <row r="3738" spans="1:54" ht="36.75" customHeight="1">
      <c r="A3738" s="46" t="s">
        <v>12471</v>
      </c>
      <c r="B3738" s="30" t="s">
        <v>55</v>
      </c>
      <c r="C3738" s="69" t="str">
        <f t="shared" ref="C3738" si="318">IF(B3738="Notification","Open",IF(B3738="Interim Statement","In progress","Closed"))</f>
        <v>Closed</v>
      </c>
      <c r="D3738" s="58" t="s">
        <v>21810</v>
      </c>
      <c r="E3738" s="55" t="s">
        <v>21811</v>
      </c>
      <c r="F3738" s="55" t="s">
        <v>17344</v>
      </c>
      <c r="G3738" s="88">
        <f>DATE(2024,2,12)</f>
        <v>45334</v>
      </c>
      <c r="H3738" s="142">
        <v>1.4583333333333333</v>
      </c>
      <c r="I3738" s="55" t="s">
        <v>487</v>
      </c>
      <c r="J3738" s="55" t="s">
        <v>21812</v>
      </c>
      <c r="K3738" s="55" t="s">
        <v>127</v>
      </c>
      <c r="L3738" s="55" t="s">
        <v>21813</v>
      </c>
      <c r="M3738" s="55" t="s">
        <v>255</v>
      </c>
      <c r="N3738" s="55" t="s">
        <v>142</v>
      </c>
      <c r="O3738" s="55" t="s">
        <v>64</v>
      </c>
      <c r="P3738" s="55" t="s">
        <v>86</v>
      </c>
      <c r="Q3738" s="55" t="s">
        <v>10555</v>
      </c>
      <c r="R3738" s="55" t="s">
        <v>10555</v>
      </c>
      <c r="S3738" s="55">
        <v>0</v>
      </c>
      <c r="T3738" s="55">
        <v>0</v>
      </c>
      <c r="U3738" s="55">
        <v>0</v>
      </c>
      <c r="V3738" s="55">
        <v>0</v>
      </c>
      <c r="W3738" s="55">
        <v>0</v>
      </c>
      <c r="X3738" s="55">
        <v>0</v>
      </c>
      <c r="Y3738" s="55">
        <v>0</v>
      </c>
      <c r="Z3738" s="55">
        <v>0</v>
      </c>
      <c r="AA3738" s="55">
        <v>0</v>
      </c>
      <c r="AB3738" s="55">
        <v>0</v>
      </c>
      <c r="AC3738" s="55">
        <v>0</v>
      </c>
      <c r="AD3738" s="55">
        <v>0</v>
      </c>
      <c r="AE3738" s="55" t="s">
        <v>92</v>
      </c>
      <c r="AF3738" s="55" t="s">
        <v>21814</v>
      </c>
      <c r="AG3738" s="55" t="s">
        <v>21815</v>
      </c>
      <c r="AH3738" s="72">
        <v>45344</v>
      </c>
      <c r="AI3738" s="55">
        <v>2</v>
      </c>
      <c r="AJ3738" s="55" t="s">
        <v>45898</v>
      </c>
      <c r="AK3738" s="55" t="s">
        <v>45899</v>
      </c>
      <c r="AL3738" s="157">
        <v>45350</v>
      </c>
      <c r="AM3738" s="55"/>
      <c r="AN3738" s="157">
        <v>46064</v>
      </c>
      <c r="AO3738" s="157">
        <v>45811</v>
      </c>
    </row>
    <row r="3739" spans="1:54" ht="36.75" customHeight="1">
      <c r="A3739" s="46" t="s">
        <v>12471</v>
      </c>
      <c r="B3739" s="30" t="s">
        <v>55</v>
      </c>
      <c r="C3739" s="69" t="str">
        <f t="shared" si="316"/>
        <v>Closed</v>
      </c>
      <c r="D3739" s="203" t="s">
        <v>21816</v>
      </c>
      <c r="E3739" s="55" t="s">
        <v>21817</v>
      </c>
      <c r="F3739" s="55" t="s">
        <v>16429</v>
      </c>
      <c r="G3739" s="88">
        <f>DATE(2024,2,16)</f>
        <v>45338</v>
      </c>
      <c r="H3739" s="142">
        <v>1.6270833333333332</v>
      </c>
      <c r="I3739" s="55" t="s">
        <v>21818</v>
      </c>
      <c r="J3739" s="55" t="s">
        <v>21819</v>
      </c>
      <c r="K3739" s="55" t="s">
        <v>425</v>
      </c>
      <c r="L3739" s="55" t="s">
        <v>21820</v>
      </c>
      <c r="M3739" s="55" t="s">
        <v>63</v>
      </c>
      <c r="N3739" s="55" t="s">
        <v>142</v>
      </c>
      <c r="O3739" s="55" t="s">
        <v>77</v>
      </c>
      <c r="P3739" s="55" t="s">
        <v>21821</v>
      </c>
      <c r="Q3739" s="55" t="s">
        <v>18615</v>
      </c>
      <c r="R3739" s="55" t="s">
        <v>17369</v>
      </c>
      <c r="S3739" s="55">
        <v>0</v>
      </c>
      <c r="T3739" s="55">
        <v>0</v>
      </c>
      <c r="U3739" s="55">
        <v>0</v>
      </c>
      <c r="V3739" s="55">
        <v>0</v>
      </c>
      <c r="W3739" s="55">
        <v>0</v>
      </c>
      <c r="X3739" s="55">
        <v>0</v>
      </c>
      <c r="Y3739" s="55">
        <v>0</v>
      </c>
      <c r="Z3739" s="55">
        <v>0</v>
      </c>
      <c r="AA3739" s="55">
        <v>0</v>
      </c>
      <c r="AB3739" s="55">
        <v>0</v>
      </c>
      <c r="AC3739" s="55">
        <v>0</v>
      </c>
      <c r="AD3739" s="55">
        <v>0</v>
      </c>
      <c r="AE3739" s="55" t="s">
        <v>92</v>
      </c>
      <c r="AF3739" s="55" t="s">
        <v>21822</v>
      </c>
      <c r="AG3739" s="55" t="s">
        <v>21823</v>
      </c>
      <c r="AH3739" s="72">
        <v>45338</v>
      </c>
      <c r="AI3739" s="55"/>
      <c r="AJ3739" s="55" t="s">
        <v>21824</v>
      </c>
      <c r="AK3739" s="55" t="s">
        <v>18245</v>
      </c>
      <c r="AL3739" s="157">
        <v>45341</v>
      </c>
      <c r="AM3739" s="55"/>
      <c r="AN3739" s="157">
        <v>45678</v>
      </c>
      <c r="AO3739" s="157">
        <v>45677</v>
      </c>
    </row>
    <row r="3740" spans="1:54" ht="36.75" customHeight="1">
      <c r="A3740" s="46" t="s">
        <v>12471</v>
      </c>
      <c r="B3740" s="30" t="s">
        <v>55</v>
      </c>
      <c r="C3740" s="69" t="str">
        <f t="shared" si="316"/>
        <v>Closed</v>
      </c>
      <c r="D3740" s="203" t="s">
        <v>21825</v>
      </c>
      <c r="E3740" s="55" t="s">
        <v>21826</v>
      </c>
      <c r="F3740" s="55" t="s">
        <v>17682</v>
      </c>
      <c r="G3740" s="88">
        <f>DATE(2024,2,27)</f>
        <v>45349</v>
      </c>
      <c r="H3740" s="142">
        <v>1.7951388888888888</v>
      </c>
      <c r="I3740" s="55" t="s">
        <v>198</v>
      </c>
      <c r="J3740" s="55" t="s">
        <v>21827</v>
      </c>
      <c r="K3740" s="55" t="s">
        <v>1574</v>
      </c>
      <c r="L3740" s="55" t="s">
        <v>21828</v>
      </c>
      <c r="M3740" s="55" t="s">
        <v>129</v>
      </c>
      <c r="N3740" s="55" t="s">
        <v>142</v>
      </c>
      <c r="O3740" s="55" t="s">
        <v>77</v>
      </c>
      <c r="P3740" s="55" t="s">
        <v>129</v>
      </c>
      <c r="Q3740" s="55" t="s">
        <v>18685</v>
      </c>
      <c r="R3740" s="55" t="s">
        <v>18685</v>
      </c>
      <c r="S3740" s="55">
        <v>0</v>
      </c>
      <c r="T3740" s="55">
        <v>0</v>
      </c>
      <c r="U3740" s="55">
        <v>0</v>
      </c>
      <c r="V3740" s="55">
        <v>0</v>
      </c>
      <c r="W3740" s="55">
        <v>0</v>
      </c>
      <c r="X3740" s="55">
        <v>0</v>
      </c>
      <c r="Y3740" s="55">
        <v>0</v>
      </c>
      <c r="Z3740" s="55">
        <v>0</v>
      </c>
      <c r="AA3740" s="55">
        <v>0</v>
      </c>
      <c r="AB3740" s="55">
        <v>0</v>
      </c>
      <c r="AC3740" s="55">
        <v>0</v>
      </c>
      <c r="AD3740" s="55">
        <v>0</v>
      </c>
      <c r="AE3740" s="55" t="s">
        <v>92</v>
      </c>
      <c r="AF3740" s="55" t="s">
        <v>21829</v>
      </c>
      <c r="AG3740" s="55" t="s">
        <v>16938</v>
      </c>
      <c r="AH3740" s="72">
        <v>45350</v>
      </c>
      <c r="AI3740" s="55">
        <v>3</v>
      </c>
      <c r="AJ3740" s="55" t="s">
        <v>21830</v>
      </c>
      <c r="AK3740" s="55" t="s">
        <v>21831</v>
      </c>
      <c r="AL3740" s="157">
        <v>45350</v>
      </c>
      <c r="AM3740" s="55"/>
      <c r="AN3740" s="157">
        <v>45715</v>
      </c>
      <c r="AO3740" s="157">
        <v>45712</v>
      </c>
    </row>
    <row r="3741" spans="1:54" ht="36.75" customHeight="1">
      <c r="A3741" s="46" t="s">
        <v>12471</v>
      </c>
      <c r="B3741" s="30" t="s">
        <v>55</v>
      </c>
      <c r="C3741" s="69" t="str">
        <f t="shared" si="316"/>
        <v>Closed</v>
      </c>
      <c r="D3741" s="203" t="s">
        <v>21832</v>
      </c>
      <c r="E3741" s="55" t="s">
        <v>21833</v>
      </c>
      <c r="F3741" s="55" t="s">
        <v>17682</v>
      </c>
      <c r="G3741" s="88">
        <f>DATE(2024,3,1)</f>
        <v>45352</v>
      </c>
      <c r="H3741" s="142">
        <v>1.0694444444444444</v>
      </c>
      <c r="I3741" s="55" t="s">
        <v>73</v>
      </c>
      <c r="J3741" s="55" t="s">
        <v>21834</v>
      </c>
      <c r="K3741" s="55" t="s">
        <v>1574</v>
      </c>
      <c r="L3741" s="55" t="s">
        <v>21835</v>
      </c>
      <c r="M3741" s="55" t="s">
        <v>63</v>
      </c>
      <c r="N3741" s="55" t="s">
        <v>99</v>
      </c>
      <c r="O3741" s="55" t="s">
        <v>77</v>
      </c>
      <c r="P3741" s="55" t="s">
        <v>78</v>
      </c>
      <c r="Q3741" s="55" t="s">
        <v>18063</v>
      </c>
      <c r="R3741" s="55" t="s">
        <v>19007</v>
      </c>
      <c r="S3741" s="55">
        <v>0</v>
      </c>
      <c r="T3741" s="55">
        <v>0</v>
      </c>
      <c r="U3741" s="55">
        <v>0</v>
      </c>
      <c r="V3741" s="55">
        <v>0</v>
      </c>
      <c r="W3741" s="55">
        <v>0</v>
      </c>
      <c r="X3741" s="55">
        <v>0</v>
      </c>
      <c r="Y3741" s="55">
        <v>0</v>
      </c>
      <c r="Z3741" s="55">
        <v>0</v>
      </c>
      <c r="AA3741" s="55">
        <v>0</v>
      </c>
      <c r="AB3741" s="55">
        <v>0</v>
      </c>
      <c r="AC3741" s="55">
        <v>0</v>
      </c>
      <c r="AD3741" s="55">
        <v>0</v>
      </c>
      <c r="AE3741" s="55" t="s">
        <v>92</v>
      </c>
      <c r="AF3741" s="55" t="s">
        <v>21836</v>
      </c>
      <c r="AG3741" s="55" t="s">
        <v>8859</v>
      </c>
      <c r="AH3741" s="72">
        <v>45356</v>
      </c>
      <c r="AI3741" s="55">
        <v>1</v>
      </c>
      <c r="AJ3741" s="55" t="s">
        <v>21837</v>
      </c>
      <c r="AK3741" s="55" t="s">
        <v>21838</v>
      </c>
      <c r="AL3741" s="157">
        <v>45356</v>
      </c>
      <c r="AM3741" s="55"/>
      <c r="AN3741" s="157">
        <v>45722</v>
      </c>
      <c r="AO3741" s="157">
        <v>45714</v>
      </c>
    </row>
    <row r="3742" spans="1:54" ht="36.75" customHeight="1">
      <c r="A3742" s="46" t="s">
        <v>12471</v>
      </c>
      <c r="B3742" s="30" t="s">
        <v>55</v>
      </c>
      <c r="C3742" s="69" t="str">
        <f t="shared" si="316"/>
        <v>Closed</v>
      </c>
      <c r="D3742" s="203" t="s">
        <v>21839</v>
      </c>
      <c r="E3742" s="55" t="s">
        <v>21840</v>
      </c>
      <c r="F3742" s="55" t="s">
        <v>16429</v>
      </c>
      <c r="G3742" s="88">
        <f>DATE(2024,3,5)</f>
        <v>45356</v>
      </c>
      <c r="H3742" s="142">
        <v>1.3652777777777778</v>
      </c>
      <c r="I3742" s="55" t="s">
        <v>278</v>
      </c>
      <c r="J3742" s="55" t="s">
        <v>21841</v>
      </c>
      <c r="K3742" s="55" t="s">
        <v>425</v>
      </c>
      <c r="L3742" s="55" t="s">
        <v>21842</v>
      </c>
      <c r="M3742" s="55" t="s">
        <v>63</v>
      </c>
      <c r="N3742" s="55" t="s">
        <v>99</v>
      </c>
      <c r="O3742" s="55" t="s">
        <v>64</v>
      </c>
      <c r="P3742" s="55" t="s">
        <v>165</v>
      </c>
      <c r="Q3742" s="55" t="s">
        <v>18516</v>
      </c>
      <c r="R3742" s="55" t="s">
        <v>17369</v>
      </c>
      <c r="S3742" s="55">
        <v>0</v>
      </c>
      <c r="T3742" s="55">
        <v>1</v>
      </c>
      <c r="U3742" s="55">
        <v>0</v>
      </c>
      <c r="V3742" s="55">
        <v>0</v>
      </c>
      <c r="W3742" s="55">
        <v>0</v>
      </c>
      <c r="X3742" s="55">
        <v>1</v>
      </c>
      <c r="Y3742" s="55">
        <v>0</v>
      </c>
      <c r="Z3742" s="55">
        <v>0</v>
      </c>
      <c r="AA3742" s="55">
        <v>0</v>
      </c>
      <c r="AB3742" s="55">
        <v>0</v>
      </c>
      <c r="AC3742" s="55">
        <v>0</v>
      </c>
      <c r="AD3742" s="55">
        <v>0</v>
      </c>
      <c r="AE3742" s="55" t="s">
        <v>92</v>
      </c>
      <c r="AF3742" s="55" t="s">
        <v>21843</v>
      </c>
      <c r="AG3742" s="55" t="s">
        <v>16283</v>
      </c>
      <c r="AH3742" s="72">
        <v>45356</v>
      </c>
      <c r="AI3742" s="55">
        <v>1</v>
      </c>
      <c r="AJ3742" s="55" t="s">
        <v>21844</v>
      </c>
      <c r="AK3742" s="55" t="s">
        <v>712</v>
      </c>
      <c r="AL3742" s="157">
        <v>45358</v>
      </c>
      <c r="AM3742" s="55"/>
      <c r="AN3742" s="157">
        <v>45716</v>
      </c>
      <c r="AO3742" s="157">
        <v>45713</v>
      </c>
    </row>
    <row r="3743" spans="1:54" ht="36.75" customHeight="1">
      <c r="A3743" s="46" t="s">
        <v>12471</v>
      </c>
      <c r="B3743" s="30" t="s">
        <v>55</v>
      </c>
      <c r="C3743" s="69" t="str">
        <f t="shared" ref="C3743" si="319">IF(B3743="Notification","Open",IF(B3743="Interim Statement","In progress","Closed"))</f>
        <v>Closed</v>
      </c>
      <c r="D3743" s="58" t="s">
        <v>21845</v>
      </c>
      <c r="E3743" s="55" t="s">
        <v>21846</v>
      </c>
      <c r="F3743" s="55" t="s">
        <v>6455</v>
      </c>
      <c r="G3743" s="88">
        <f>DATE(2024,3,7)</f>
        <v>45358</v>
      </c>
      <c r="H3743" s="142">
        <v>1.3888888888888888</v>
      </c>
      <c r="I3743" s="55" t="s">
        <v>198</v>
      </c>
      <c r="J3743" s="55" t="s">
        <v>21847</v>
      </c>
      <c r="K3743" s="55" t="s">
        <v>584</v>
      </c>
      <c r="L3743" s="55" t="s">
        <v>21848</v>
      </c>
      <c r="M3743" s="55" t="s">
        <v>63</v>
      </c>
      <c r="N3743" s="55" t="s">
        <v>142</v>
      </c>
      <c r="O3743" s="55" t="s">
        <v>90</v>
      </c>
      <c r="P3743" s="55" t="s">
        <v>78</v>
      </c>
      <c r="Q3743" s="55" t="s">
        <v>21849</v>
      </c>
      <c r="R3743" s="55" t="s">
        <v>21805</v>
      </c>
      <c r="S3743" s="55">
        <v>0</v>
      </c>
      <c r="T3743" s="55">
        <v>0</v>
      </c>
      <c r="U3743" s="55">
        <v>0</v>
      </c>
      <c r="V3743" s="55">
        <v>0</v>
      </c>
      <c r="W3743" s="55">
        <v>0</v>
      </c>
      <c r="X3743" s="55">
        <v>0</v>
      </c>
      <c r="Y3743" s="55">
        <v>0</v>
      </c>
      <c r="Z3743" s="55">
        <v>0</v>
      </c>
      <c r="AA3743" s="55">
        <v>0</v>
      </c>
      <c r="AB3743" s="55">
        <v>0</v>
      </c>
      <c r="AC3743" s="55">
        <v>0</v>
      </c>
      <c r="AD3743" s="55">
        <v>0</v>
      </c>
      <c r="AE3743" s="55" t="s">
        <v>394</v>
      </c>
      <c r="AF3743" s="55" t="s">
        <v>21850</v>
      </c>
      <c r="AG3743" s="55" t="s">
        <v>13537</v>
      </c>
      <c r="AH3743" s="72">
        <v>45358</v>
      </c>
      <c r="AI3743" s="55">
        <v>1</v>
      </c>
      <c r="AJ3743" s="55" t="s">
        <v>21851</v>
      </c>
      <c r="AK3743" s="55" t="s">
        <v>21852</v>
      </c>
      <c r="AL3743" s="157">
        <v>45372</v>
      </c>
      <c r="AM3743" s="157">
        <v>45364</v>
      </c>
      <c r="AN3743" s="157">
        <v>46034</v>
      </c>
      <c r="AO3743" s="157">
        <v>45995</v>
      </c>
    </row>
    <row r="3744" spans="1:54" ht="36.75" customHeight="1">
      <c r="A3744" s="46" t="s">
        <v>12471</v>
      </c>
      <c r="B3744" s="30" t="s">
        <v>55</v>
      </c>
      <c r="C3744" s="69" t="str">
        <f t="shared" si="316"/>
        <v>Closed</v>
      </c>
      <c r="D3744" s="203" t="s">
        <v>21853</v>
      </c>
      <c r="E3744" s="55" t="s">
        <v>21854</v>
      </c>
      <c r="F3744" s="55" t="s">
        <v>14753</v>
      </c>
      <c r="G3744" s="88">
        <f>DATE(2024,3,12)</f>
        <v>45363</v>
      </c>
      <c r="H3744" s="142">
        <v>1.9722222222222223</v>
      </c>
      <c r="I3744" s="55" t="s">
        <v>156</v>
      </c>
      <c r="J3744" s="55" t="s">
        <v>21855</v>
      </c>
      <c r="K3744" s="55" t="s">
        <v>1772</v>
      </c>
      <c r="L3744" s="55" t="s">
        <v>21856</v>
      </c>
      <c r="M3744" s="55" t="s">
        <v>63</v>
      </c>
      <c r="N3744" s="55" t="s">
        <v>142</v>
      </c>
      <c r="O3744" s="55" t="s">
        <v>64</v>
      </c>
      <c r="P3744" s="55" t="s">
        <v>165</v>
      </c>
      <c r="Q3744" s="55" t="s">
        <v>18501</v>
      </c>
      <c r="R3744" s="55" t="s">
        <v>1775</v>
      </c>
      <c r="S3744" s="55">
        <v>0</v>
      </c>
      <c r="T3744" s="55">
        <v>0</v>
      </c>
      <c r="U3744" s="55">
        <v>0</v>
      </c>
      <c r="V3744" s="55">
        <v>0</v>
      </c>
      <c r="W3744" s="55">
        <v>0</v>
      </c>
      <c r="X3744" s="55">
        <v>0</v>
      </c>
      <c r="Y3744" s="55">
        <v>0</v>
      </c>
      <c r="Z3744" s="55">
        <v>0</v>
      </c>
      <c r="AA3744" s="55">
        <v>0</v>
      </c>
      <c r="AB3744" s="55">
        <v>0</v>
      </c>
      <c r="AC3744" s="55">
        <v>0</v>
      </c>
      <c r="AD3744" s="55">
        <v>0</v>
      </c>
      <c r="AE3744" s="55" t="s">
        <v>394</v>
      </c>
      <c r="AF3744" s="55" t="s">
        <v>21857</v>
      </c>
      <c r="AG3744" s="55" t="s">
        <v>8859</v>
      </c>
      <c r="AH3744" s="72">
        <v>45365</v>
      </c>
      <c r="AI3744" s="55">
        <v>1</v>
      </c>
      <c r="AJ3744" s="55" t="s">
        <v>21858</v>
      </c>
      <c r="AK3744" s="213" t="s">
        <v>21859</v>
      </c>
      <c r="AL3744" s="157">
        <v>45372</v>
      </c>
      <c r="AM3744" s="55"/>
      <c r="AN3744" s="157">
        <v>45826</v>
      </c>
      <c r="AO3744" s="157">
        <v>45821</v>
      </c>
    </row>
    <row r="3745" spans="1:55" ht="36.75" customHeight="1">
      <c r="A3745" s="46" t="s">
        <v>12471</v>
      </c>
      <c r="B3745" s="30" t="s">
        <v>55</v>
      </c>
      <c r="C3745" s="69" t="str">
        <f t="shared" si="316"/>
        <v>Closed</v>
      </c>
      <c r="D3745" s="203" t="s">
        <v>21860</v>
      </c>
      <c r="E3745" s="55" t="s">
        <v>21861</v>
      </c>
      <c r="F3745" s="55" t="s">
        <v>17682</v>
      </c>
      <c r="G3745" s="88">
        <f>DATE(2024,3,13)</f>
        <v>45364</v>
      </c>
      <c r="H3745" s="142">
        <v>1.5347222222222223</v>
      </c>
      <c r="I3745" s="55" t="s">
        <v>73</v>
      </c>
      <c r="J3745" s="55" t="s">
        <v>21862</v>
      </c>
      <c r="K3745" s="55" t="s">
        <v>1574</v>
      </c>
      <c r="L3745" s="55" t="s">
        <v>21863</v>
      </c>
      <c r="M3745" s="55" t="s">
        <v>63</v>
      </c>
      <c r="N3745" s="55" t="s">
        <v>142</v>
      </c>
      <c r="O3745" s="55" t="s">
        <v>64</v>
      </c>
      <c r="P3745" s="55" t="s">
        <v>78</v>
      </c>
      <c r="Q3745" s="55" t="s">
        <v>19664</v>
      </c>
      <c r="R3745" s="55" t="s">
        <v>19007</v>
      </c>
      <c r="S3745" s="55">
        <v>0</v>
      </c>
      <c r="T3745" s="55">
        <v>0</v>
      </c>
      <c r="U3745" s="55">
        <v>0</v>
      </c>
      <c r="V3745" s="55">
        <v>0</v>
      </c>
      <c r="W3745" s="55">
        <v>0</v>
      </c>
      <c r="X3745" s="55">
        <v>0</v>
      </c>
      <c r="Y3745" s="55">
        <v>0</v>
      </c>
      <c r="Z3745" s="55">
        <v>0</v>
      </c>
      <c r="AA3745" s="55">
        <v>0</v>
      </c>
      <c r="AB3745" s="55">
        <v>0</v>
      </c>
      <c r="AC3745" s="55">
        <v>0</v>
      </c>
      <c r="AD3745" s="55">
        <v>0</v>
      </c>
      <c r="AE3745" s="55" t="s">
        <v>394</v>
      </c>
      <c r="AF3745" s="55" t="s">
        <v>21864</v>
      </c>
      <c r="AG3745" s="55" t="s">
        <v>8859</v>
      </c>
      <c r="AH3745" s="72">
        <v>45366</v>
      </c>
      <c r="AI3745" s="55">
        <v>1</v>
      </c>
      <c r="AJ3745" s="55" t="s">
        <v>21865</v>
      </c>
      <c r="AK3745" s="55" t="s">
        <v>21866</v>
      </c>
      <c r="AL3745" s="157">
        <v>45366</v>
      </c>
      <c r="AM3745" s="55"/>
      <c r="AN3745" s="157">
        <v>45728</v>
      </c>
      <c r="AO3745" s="157">
        <v>45722</v>
      </c>
    </row>
    <row r="3746" spans="1:55" ht="36.75" customHeight="1">
      <c r="A3746" s="46" t="s">
        <v>12471</v>
      </c>
      <c r="B3746" s="30" t="s">
        <v>21606</v>
      </c>
      <c r="C3746" s="69" t="str">
        <f t="shared" si="316"/>
        <v>In progress</v>
      </c>
      <c r="D3746" s="36" t="s">
        <v>21867</v>
      </c>
      <c r="E3746" s="55" t="s">
        <v>21868</v>
      </c>
      <c r="F3746" s="55" t="s">
        <v>16429</v>
      </c>
      <c r="G3746" s="88">
        <f>DATE(2024,3,18)</f>
        <v>45369</v>
      </c>
      <c r="H3746" s="142">
        <v>1.2118055555555556</v>
      </c>
      <c r="I3746" s="55" t="s">
        <v>4610</v>
      </c>
      <c r="J3746" s="55" t="s">
        <v>21869</v>
      </c>
      <c r="K3746" s="55" t="s">
        <v>425</v>
      </c>
      <c r="L3746" s="55" t="s">
        <v>21870</v>
      </c>
      <c r="M3746" s="55" t="s">
        <v>63</v>
      </c>
      <c r="N3746" s="55" t="s">
        <v>99</v>
      </c>
      <c r="O3746" s="55" t="s">
        <v>77</v>
      </c>
      <c r="P3746" s="55" t="s">
        <v>165</v>
      </c>
      <c r="Q3746" s="55" t="s">
        <v>21871</v>
      </c>
      <c r="R3746" s="55" t="s">
        <v>17369</v>
      </c>
      <c r="S3746" s="55">
        <v>0</v>
      </c>
      <c r="T3746" s="55">
        <v>0</v>
      </c>
      <c r="U3746" s="55">
        <v>0</v>
      </c>
      <c r="V3746" s="55">
        <v>0</v>
      </c>
      <c r="W3746" s="55">
        <v>0</v>
      </c>
      <c r="X3746" s="55">
        <v>0</v>
      </c>
      <c r="Y3746" s="55">
        <v>0</v>
      </c>
      <c r="Z3746" s="55">
        <v>0</v>
      </c>
      <c r="AA3746" s="55">
        <v>0</v>
      </c>
      <c r="AB3746" s="55">
        <v>0</v>
      </c>
      <c r="AC3746" s="55">
        <v>0</v>
      </c>
      <c r="AD3746" s="55">
        <v>0</v>
      </c>
      <c r="AE3746" s="55" t="s">
        <v>92</v>
      </c>
      <c r="AF3746" s="55" t="s">
        <v>21872</v>
      </c>
      <c r="AG3746" s="55" t="s">
        <v>16283</v>
      </c>
      <c r="AH3746" s="72">
        <v>45369</v>
      </c>
      <c r="AI3746" s="55"/>
      <c r="AJ3746" s="55"/>
      <c r="AK3746" s="55"/>
      <c r="AL3746" s="157">
        <v>45371</v>
      </c>
      <c r="AM3746" s="55"/>
      <c r="AN3746" s="209"/>
      <c r="AO3746" s="209"/>
    </row>
    <row r="3747" spans="1:55" ht="199.5" customHeight="1">
      <c r="A3747" s="46" t="s">
        <v>12471</v>
      </c>
      <c r="B3747" s="30" t="s">
        <v>55</v>
      </c>
      <c r="C3747" s="69" t="str">
        <f t="shared" si="316"/>
        <v>Closed</v>
      </c>
      <c r="D3747" s="58" t="s">
        <v>21873</v>
      </c>
      <c r="E3747" s="55" t="s">
        <v>21874</v>
      </c>
      <c r="F3747" s="55" t="s">
        <v>17344</v>
      </c>
      <c r="G3747" s="88">
        <f>DATE(2024,3,22)</f>
        <v>45373</v>
      </c>
      <c r="H3747" s="142">
        <v>1.7986111111111112</v>
      </c>
      <c r="I3747" s="30" t="s">
        <v>4610</v>
      </c>
      <c r="J3747" s="55" t="s">
        <v>21875</v>
      </c>
      <c r="K3747" s="55" t="s">
        <v>127</v>
      </c>
      <c r="L3747" s="55" t="s">
        <v>21876</v>
      </c>
      <c r="M3747" s="55" t="s">
        <v>63</v>
      </c>
      <c r="N3747" s="55" t="s">
        <v>89</v>
      </c>
      <c r="O3747" s="55" t="s">
        <v>77</v>
      </c>
      <c r="P3747" s="55" t="s">
        <v>78</v>
      </c>
      <c r="Q3747" s="55" t="s">
        <v>21877</v>
      </c>
      <c r="R3747" s="55" t="s">
        <v>167</v>
      </c>
      <c r="S3747" s="55">
        <v>0</v>
      </c>
      <c r="T3747" s="55">
        <v>0</v>
      </c>
      <c r="U3747" s="55">
        <v>0</v>
      </c>
      <c r="V3747" s="55">
        <v>0</v>
      </c>
      <c r="W3747" s="55">
        <v>0</v>
      </c>
      <c r="X3747" s="55">
        <v>0</v>
      </c>
      <c r="Y3747" s="55">
        <v>0</v>
      </c>
      <c r="Z3747" s="55">
        <v>0</v>
      </c>
      <c r="AA3747" s="55">
        <v>0</v>
      </c>
      <c r="AB3747" s="55">
        <v>0</v>
      </c>
      <c r="AC3747" s="55">
        <v>0</v>
      </c>
      <c r="AD3747" s="55">
        <v>0</v>
      </c>
      <c r="AE3747" s="55" t="s">
        <v>145</v>
      </c>
      <c r="AF3747" s="55" t="s">
        <v>21878</v>
      </c>
      <c r="AG3747" s="55" t="s">
        <v>8859</v>
      </c>
      <c r="AH3747" s="72">
        <v>45375</v>
      </c>
      <c r="AI3747" s="55">
        <v>3</v>
      </c>
      <c r="AJ3747" s="55" t="s">
        <v>21879</v>
      </c>
      <c r="AK3747" s="55" t="s">
        <v>21880</v>
      </c>
      <c r="AL3747" s="157">
        <v>45378</v>
      </c>
      <c r="AM3747" s="212"/>
      <c r="AN3747" s="212">
        <v>45944</v>
      </c>
      <c r="AO3747" s="212">
        <v>45944</v>
      </c>
      <c r="AP3747" s="55"/>
      <c r="AQ3747" s="55"/>
      <c r="AR3747" s="55"/>
      <c r="AS3747" s="55"/>
      <c r="AT3747" s="55"/>
      <c r="AU3747" s="55"/>
      <c r="AV3747" s="55"/>
      <c r="AW3747" s="55"/>
      <c r="AX3747" s="55"/>
      <c r="AY3747" s="55"/>
      <c r="AZ3747" s="55"/>
      <c r="BA3747" s="55"/>
      <c r="BB3747" s="55"/>
      <c r="BC3747" s="55"/>
    </row>
    <row r="3748" spans="1:55" ht="199.5" customHeight="1">
      <c r="A3748" s="46" t="s">
        <v>12471</v>
      </c>
      <c r="B3748" s="30" t="s">
        <v>55</v>
      </c>
      <c r="C3748" s="69" t="str">
        <f t="shared" si="316"/>
        <v>Closed</v>
      </c>
      <c r="D3748" s="58" t="s">
        <v>21881</v>
      </c>
      <c r="E3748" s="55" t="s">
        <v>21882</v>
      </c>
      <c r="F3748" s="55" t="s">
        <v>17682</v>
      </c>
      <c r="G3748" s="88">
        <f>DATE(2024,3,26)</f>
        <v>45377</v>
      </c>
      <c r="H3748" s="142">
        <v>1.6423611111111112</v>
      </c>
      <c r="I3748" s="30" t="s">
        <v>73</v>
      </c>
      <c r="J3748" s="55" t="s">
        <v>21883</v>
      </c>
      <c r="K3748" s="55" t="s">
        <v>1574</v>
      </c>
      <c r="L3748" s="55" t="s">
        <v>21884</v>
      </c>
      <c r="M3748" s="55" t="s">
        <v>63</v>
      </c>
      <c r="N3748" s="55" t="s">
        <v>99</v>
      </c>
      <c r="O3748" s="55" t="s">
        <v>64</v>
      </c>
      <c r="P3748" s="55" t="s">
        <v>78</v>
      </c>
      <c r="Q3748" s="55" t="s">
        <v>18063</v>
      </c>
      <c r="R3748" s="55" t="s">
        <v>19007</v>
      </c>
      <c r="S3748" s="55">
        <v>0</v>
      </c>
      <c r="T3748" s="55">
        <v>0</v>
      </c>
      <c r="U3748" s="55">
        <v>0</v>
      </c>
      <c r="V3748" s="55">
        <v>0</v>
      </c>
      <c r="W3748" s="55">
        <v>0</v>
      </c>
      <c r="X3748" s="55">
        <v>0</v>
      </c>
      <c r="Y3748" s="55">
        <v>0</v>
      </c>
      <c r="Z3748" s="55">
        <v>0</v>
      </c>
      <c r="AA3748" s="55">
        <v>0</v>
      </c>
      <c r="AB3748" s="55">
        <v>0</v>
      </c>
      <c r="AC3748" s="55">
        <v>0</v>
      </c>
      <c r="AD3748" s="55">
        <v>0</v>
      </c>
      <c r="AE3748" s="55" t="s">
        <v>92</v>
      </c>
      <c r="AF3748" s="55" t="s">
        <v>21885</v>
      </c>
      <c r="AG3748" s="55" t="s">
        <v>8859</v>
      </c>
      <c r="AH3748" s="72">
        <v>45378</v>
      </c>
      <c r="AI3748" s="55">
        <v>0</v>
      </c>
      <c r="AJ3748" s="55" t="s">
        <v>21886</v>
      </c>
      <c r="AK3748" s="55" t="s">
        <v>21887</v>
      </c>
      <c r="AL3748" s="157">
        <v>45379</v>
      </c>
      <c r="AM3748" s="212"/>
      <c r="AN3748" s="212">
        <v>45750</v>
      </c>
      <c r="AO3748" s="212">
        <v>45740</v>
      </c>
      <c r="AP3748" s="55"/>
      <c r="AQ3748" s="55"/>
      <c r="AR3748" s="55"/>
      <c r="AS3748" s="55"/>
      <c r="AT3748" s="55"/>
      <c r="AU3748" s="55"/>
      <c r="AV3748" s="55"/>
      <c r="AW3748" s="55"/>
      <c r="AX3748" s="55"/>
      <c r="AY3748" s="55"/>
      <c r="AZ3748" s="55"/>
      <c r="BA3748" s="55"/>
      <c r="BB3748" s="55"/>
      <c r="BC3748" s="55"/>
    </row>
    <row r="3749" spans="1:55" ht="199.5" customHeight="1">
      <c r="A3749" s="46" t="s">
        <v>12471</v>
      </c>
      <c r="B3749" s="30" t="s">
        <v>55</v>
      </c>
      <c r="C3749" s="69" t="str">
        <f t="shared" ref="C3749" si="320">IF(B3749="Notification","Open",IF(B3749="Interim Statement","In progress","Closed"))</f>
        <v>Closed</v>
      </c>
      <c r="D3749" s="58" t="s">
        <v>21888</v>
      </c>
      <c r="E3749" s="55" t="s">
        <v>45946</v>
      </c>
      <c r="F3749" s="55" t="s">
        <v>20939</v>
      </c>
      <c r="G3749" s="88">
        <f>DATE(2023,12,23)</f>
        <v>45283</v>
      </c>
      <c r="H3749" s="142">
        <v>1.53125</v>
      </c>
      <c r="I3749" s="30" t="s">
        <v>104</v>
      </c>
      <c r="J3749" s="55" t="s">
        <v>45947</v>
      </c>
      <c r="K3749" s="55" t="s">
        <v>5685</v>
      </c>
      <c r="L3749" s="55" t="s">
        <v>21889</v>
      </c>
      <c r="M3749" s="55" t="s">
        <v>63</v>
      </c>
      <c r="N3749" s="55" t="s">
        <v>142</v>
      </c>
      <c r="O3749" s="55" t="s">
        <v>64</v>
      </c>
      <c r="P3749" s="55" t="s">
        <v>165</v>
      </c>
      <c r="Q3749" s="55" t="s">
        <v>45948</v>
      </c>
      <c r="R3749" s="55" t="s">
        <v>20944</v>
      </c>
      <c r="S3749" s="55">
        <v>0</v>
      </c>
      <c r="T3749" s="55">
        <v>0</v>
      </c>
      <c r="U3749" s="55">
        <v>0</v>
      </c>
      <c r="V3749" s="55">
        <v>0</v>
      </c>
      <c r="W3749" s="55">
        <v>0</v>
      </c>
      <c r="X3749" s="55">
        <v>0</v>
      </c>
      <c r="Y3749" s="55">
        <v>0</v>
      </c>
      <c r="Z3749" s="55">
        <v>0</v>
      </c>
      <c r="AA3749" s="55">
        <v>0</v>
      </c>
      <c r="AB3749" s="55">
        <v>0</v>
      </c>
      <c r="AC3749" s="55">
        <v>0</v>
      </c>
      <c r="AD3749" s="55">
        <v>0</v>
      </c>
      <c r="AE3749" s="55" t="s">
        <v>92</v>
      </c>
      <c r="AF3749" s="55" t="s">
        <v>21348</v>
      </c>
      <c r="AG3749" s="55" t="s">
        <v>17062</v>
      </c>
      <c r="AH3749" s="72">
        <v>45366</v>
      </c>
      <c r="AI3749" s="55">
        <v>0</v>
      </c>
      <c r="AJ3749" s="55" t="s">
        <v>45949</v>
      </c>
      <c r="AK3749" s="259">
        <v>0</v>
      </c>
      <c r="AL3749" s="157">
        <v>45383</v>
      </c>
      <c r="AM3749" s="212">
        <v>45642</v>
      </c>
      <c r="AN3749" s="212">
        <v>46083</v>
      </c>
      <c r="AO3749" s="212">
        <v>46080</v>
      </c>
      <c r="AP3749" s="55"/>
      <c r="AQ3749" s="55"/>
      <c r="AR3749" s="55"/>
      <c r="AS3749" s="55"/>
      <c r="AT3749" s="55"/>
      <c r="AU3749" s="55"/>
      <c r="AV3749" s="55"/>
      <c r="AW3749" s="55"/>
      <c r="AX3749" s="55"/>
      <c r="AY3749" s="55"/>
      <c r="AZ3749" s="55"/>
      <c r="BA3749" s="55"/>
      <c r="BB3749" s="55"/>
      <c r="BC3749" s="55"/>
    </row>
    <row r="3750" spans="1:55" ht="36.75" customHeight="1">
      <c r="A3750" s="46" t="s">
        <v>12471</v>
      </c>
      <c r="B3750" s="30" t="s">
        <v>55</v>
      </c>
      <c r="C3750" s="69" t="str">
        <f t="shared" si="316"/>
        <v>Closed</v>
      </c>
      <c r="D3750" s="203" t="s">
        <v>21890</v>
      </c>
      <c r="E3750" s="55" t="s">
        <v>21891</v>
      </c>
      <c r="F3750" s="55" t="s">
        <v>20939</v>
      </c>
      <c r="G3750" s="88">
        <f>DATE(2024,1,17)</f>
        <v>45308</v>
      </c>
      <c r="H3750" s="142">
        <v>1.7569444444444446</v>
      </c>
      <c r="I3750" s="55" t="s">
        <v>278</v>
      </c>
      <c r="J3750" s="55" t="s">
        <v>21892</v>
      </c>
      <c r="K3750" s="55" t="s">
        <v>5685</v>
      </c>
      <c r="L3750" s="55" t="s">
        <v>21893</v>
      </c>
      <c r="M3750" s="55" t="s">
        <v>63</v>
      </c>
      <c r="N3750" s="55" t="s">
        <v>142</v>
      </c>
      <c r="O3750" s="55" t="s">
        <v>64</v>
      </c>
      <c r="P3750" s="55" t="s">
        <v>165</v>
      </c>
      <c r="Q3750" s="55" t="s">
        <v>20943</v>
      </c>
      <c r="R3750" s="55" t="s">
        <v>20944</v>
      </c>
      <c r="S3750" s="55">
        <v>0</v>
      </c>
      <c r="T3750" s="55">
        <v>0</v>
      </c>
      <c r="U3750" s="55">
        <v>0</v>
      </c>
      <c r="V3750" s="55">
        <v>1</v>
      </c>
      <c r="W3750" s="55">
        <v>0</v>
      </c>
      <c r="X3750" s="55">
        <v>1</v>
      </c>
      <c r="Y3750" s="55">
        <v>0</v>
      </c>
      <c r="Z3750" s="55">
        <v>0</v>
      </c>
      <c r="AA3750" s="55">
        <v>0</v>
      </c>
      <c r="AB3750" s="55">
        <v>0</v>
      </c>
      <c r="AC3750" s="55">
        <v>0</v>
      </c>
      <c r="AD3750" s="55">
        <v>0</v>
      </c>
      <c r="AE3750" s="55" t="s">
        <v>92</v>
      </c>
      <c r="AF3750" s="55" t="s">
        <v>21894</v>
      </c>
      <c r="AG3750" s="55" t="s">
        <v>6459</v>
      </c>
      <c r="AH3750" s="72">
        <v>45366</v>
      </c>
      <c r="AI3750" s="55"/>
      <c r="AJ3750" s="55"/>
      <c r="AK3750" s="55"/>
      <c r="AL3750" s="157">
        <v>45383</v>
      </c>
      <c r="AM3750" s="157">
        <v>45675</v>
      </c>
      <c r="AN3750" s="157">
        <v>45967</v>
      </c>
      <c r="AO3750" s="157">
        <v>45965</v>
      </c>
    </row>
    <row r="3751" spans="1:55" ht="199.5" customHeight="1">
      <c r="A3751" s="46" t="s">
        <v>12471</v>
      </c>
      <c r="B3751" s="30" t="s">
        <v>55</v>
      </c>
      <c r="C3751" s="69" t="str">
        <f t="shared" ref="C3751" si="321">IF(B3751="Notification","Open",IF(B3751="Interim Statement","In progress","Closed"))</f>
        <v>Closed</v>
      </c>
      <c r="D3751" s="58" t="s">
        <v>21895</v>
      </c>
      <c r="E3751" s="55" t="str">
        <f>(E3755&amp;", "&amp;E3753&amp;", "&amp;E3759)</f>
        <v>Train derailment, 15/4/2024, Aachen West, Derailment on Malmbanan at Vassujaure station, Trains collision near miss, 8/5/2024, Kaposmérő</v>
      </c>
      <c r="F3751" s="55" t="s">
        <v>19670</v>
      </c>
      <c r="G3751" s="88">
        <f>DATE(2024,2,24)</f>
        <v>45346</v>
      </c>
      <c r="H3751" s="142">
        <v>1.15625</v>
      </c>
      <c r="I3751" s="30" t="s">
        <v>6872</v>
      </c>
      <c r="J3751" s="55" t="s">
        <v>21896</v>
      </c>
      <c r="K3751" s="55" t="s">
        <v>2549</v>
      </c>
      <c r="L3751" s="55" t="s">
        <v>21897</v>
      </c>
      <c r="M3751" s="55" t="s">
        <v>63</v>
      </c>
      <c r="N3751" s="55" t="s">
        <v>89</v>
      </c>
      <c r="O3751" s="55" t="s">
        <v>90</v>
      </c>
      <c r="P3751" s="55" t="s">
        <v>91</v>
      </c>
      <c r="Q3751" s="55" t="s">
        <v>21898</v>
      </c>
      <c r="R3751" s="55" t="s">
        <v>21899</v>
      </c>
      <c r="S3751" s="55">
        <v>0</v>
      </c>
      <c r="T3751" s="55">
        <v>0</v>
      </c>
      <c r="U3751" s="55">
        <v>0</v>
      </c>
      <c r="V3751" s="55">
        <v>0</v>
      </c>
      <c r="W3751" s="55">
        <v>0</v>
      </c>
      <c r="X3751" s="55">
        <v>0</v>
      </c>
      <c r="Y3751" s="55">
        <v>0</v>
      </c>
      <c r="Z3751" s="55">
        <v>0</v>
      </c>
      <c r="AA3751" s="55">
        <v>0</v>
      </c>
      <c r="AB3751" s="55">
        <v>0</v>
      </c>
      <c r="AC3751" s="55">
        <v>0</v>
      </c>
      <c r="AD3751" s="55">
        <v>0</v>
      </c>
      <c r="AE3751" s="55" t="s">
        <v>92</v>
      </c>
      <c r="AF3751" s="55" t="s">
        <v>21900</v>
      </c>
      <c r="AG3751" s="55" t="s">
        <v>8859</v>
      </c>
      <c r="AH3751" s="72">
        <v>45389</v>
      </c>
      <c r="AI3751" s="55">
        <v>1</v>
      </c>
      <c r="AJ3751" s="55" t="s">
        <v>21901</v>
      </c>
      <c r="AK3751" s="55" t="s">
        <v>21902</v>
      </c>
      <c r="AL3751" s="157">
        <v>45394</v>
      </c>
      <c r="AM3751" s="212">
        <v>45782</v>
      </c>
      <c r="AN3751" s="212">
        <v>46043</v>
      </c>
      <c r="AO3751" s="212">
        <v>46031</v>
      </c>
      <c r="AP3751" s="55"/>
      <c r="AQ3751" s="55"/>
      <c r="AR3751" s="55"/>
      <c r="AS3751" s="55"/>
      <c r="AT3751" s="55"/>
      <c r="AU3751" s="55"/>
      <c r="AV3751" s="55"/>
      <c r="AW3751" s="55"/>
      <c r="AX3751" s="55"/>
      <c r="AY3751" s="55"/>
      <c r="AZ3751" s="55"/>
      <c r="BA3751" s="55"/>
      <c r="BB3751" s="55"/>
      <c r="BC3751" s="55"/>
    </row>
    <row r="3752" spans="1:55" ht="36.75" customHeight="1">
      <c r="A3752" s="46" t="s">
        <v>12471</v>
      </c>
      <c r="B3752" s="30" t="s">
        <v>55</v>
      </c>
      <c r="C3752" s="69" t="str">
        <f t="shared" si="316"/>
        <v>Closed</v>
      </c>
      <c r="D3752" s="203" t="s">
        <v>21903</v>
      </c>
      <c r="E3752" s="55" t="s">
        <v>21904</v>
      </c>
      <c r="F3752" s="55" t="s">
        <v>9789</v>
      </c>
      <c r="G3752" s="88">
        <f>DATE(2024,2,15)</f>
        <v>45337</v>
      </c>
      <c r="H3752" s="142">
        <v>1.7048611111111112</v>
      </c>
      <c r="I3752" s="55" t="s">
        <v>116</v>
      </c>
      <c r="J3752" s="259" t="s">
        <v>21905</v>
      </c>
      <c r="K3752" s="55" t="s">
        <v>9791</v>
      </c>
      <c r="L3752" s="55" t="s">
        <v>21906</v>
      </c>
      <c r="M3752" s="55" t="s">
        <v>63</v>
      </c>
      <c r="N3752" s="55" t="s">
        <v>99</v>
      </c>
      <c r="O3752" s="55" t="s">
        <v>64</v>
      </c>
      <c r="P3752" s="55" t="s">
        <v>165</v>
      </c>
      <c r="Q3752" s="55" t="s">
        <v>21907</v>
      </c>
      <c r="R3752" s="55" t="s">
        <v>20774</v>
      </c>
      <c r="S3752" s="55">
        <v>0</v>
      </c>
      <c r="T3752" s="55">
        <v>0</v>
      </c>
      <c r="U3752" s="55">
        <v>0</v>
      </c>
      <c r="V3752" s="55">
        <v>0</v>
      </c>
      <c r="W3752" s="55">
        <v>0</v>
      </c>
      <c r="X3752" s="55">
        <v>0</v>
      </c>
      <c r="Y3752" s="55">
        <v>0</v>
      </c>
      <c r="Z3752" s="55">
        <v>0</v>
      </c>
      <c r="AA3752" s="55">
        <v>0</v>
      </c>
      <c r="AB3752" s="55">
        <v>0</v>
      </c>
      <c r="AC3752" s="55">
        <v>0</v>
      </c>
      <c r="AD3752" s="55">
        <v>0</v>
      </c>
      <c r="AE3752" s="55" t="s">
        <v>92</v>
      </c>
      <c r="AF3752" s="55" t="s">
        <v>21908</v>
      </c>
      <c r="AG3752" s="55" t="s">
        <v>8859</v>
      </c>
      <c r="AH3752" s="72">
        <v>45357</v>
      </c>
      <c r="AI3752" s="55">
        <v>2</v>
      </c>
      <c r="AJ3752" s="55" t="s">
        <v>21909</v>
      </c>
      <c r="AK3752" s="55" t="s">
        <v>21910</v>
      </c>
      <c r="AL3752" s="157">
        <v>45400</v>
      </c>
      <c r="AM3752" s="55"/>
      <c r="AN3752" s="212">
        <v>45646</v>
      </c>
      <c r="AO3752" s="212">
        <v>45638</v>
      </c>
    </row>
    <row r="3753" spans="1:55" ht="36.75" customHeight="1">
      <c r="A3753" s="46" t="s">
        <v>12471</v>
      </c>
      <c r="B3753" s="30" t="s">
        <v>55</v>
      </c>
      <c r="C3753" s="69" t="str">
        <f t="shared" si="316"/>
        <v>Closed</v>
      </c>
      <c r="D3753" s="203" t="s">
        <v>21911</v>
      </c>
      <c r="E3753" s="46" t="s">
        <v>21912</v>
      </c>
      <c r="F3753" s="55" t="s">
        <v>18070</v>
      </c>
      <c r="G3753" s="88">
        <f>DATE(2024,2,24)</f>
        <v>45346</v>
      </c>
      <c r="H3753" s="142">
        <v>1.8125</v>
      </c>
      <c r="I3753" s="55" t="s">
        <v>73</v>
      </c>
      <c r="J3753" s="55" t="s">
        <v>21913</v>
      </c>
      <c r="K3753" s="55" t="s">
        <v>140</v>
      </c>
      <c r="L3753" s="55" t="s">
        <v>21673</v>
      </c>
      <c r="M3753" s="55" t="s">
        <v>63</v>
      </c>
      <c r="N3753" s="55" t="s">
        <v>99</v>
      </c>
      <c r="O3753" s="55" t="s">
        <v>77</v>
      </c>
      <c r="P3753" s="55" t="s">
        <v>78</v>
      </c>
      <c r="Q3753" s="55" t="s">
        <v>21674</v>
      </c>
      <c r="R3753" s="55" t="s">
        <v>18530</v>
      </c>
      <c r="S3753" s="55">
        <v>0</v>
      </c>
      <c r="T3753" s="55">
        <v>0</v>
      </c>
      <c r="U3753" s="55">
        <v>0</v>
      </c>
      <c r="V3753" s="55">
        <v>0</v>
      </c>
      <c r="W3753" s="55">
        <v>0</v>
      </c>
      <c r="X3753" s="55">
        <v>0</v>
      </c>
      <c r="Y3753" s="55">
        <v>0</v>
      </c>
      <c r="Z3753" s="55">
        <v>0</v>
      </c>
      <c r="AA3753" s="55">
        <v>0</v>
      </c>
      <c r="AB3753" s="55">
        <v>0</v>
      </c>
      <c r="AC3753" s="55">
        <v>0</v>
      </c>
      <c r="AD3753" s="55">
        <v>0</v>
      </c>
      <c r="AE3753" s="55" t="s">
        <v>145</v>
      </c>
      <c r="AF3753" s="55" t="s">
        <v>21914</v>
      </c>
      <c r="AG3753" s="55" t="s">
        <v>21915</v>
      </c>
      <c r="AH3753" s="72">
        <v>45356</v>
      </c>
      <c r="AI3753" s="55">
        <v>2</v>
      </c>
      <c r="AJ3753" s="55" t="s">
        <v>21916</v>
      </c>
      <c r="AK3753" s="55" t="s">
        <v>21917</v>
      </c>
      <c r="AL3753" s="157">
        <v>45401</v>
      </c>
      <c r="AM3753" s="55"/>
      <c r="AN3753" s="157">
        <v>45713</v>
      </c>
      <c r="AO3753" s="157">
        <v>45695</v>
      </c>
    </row>
    <row r="3754" spans="1:55" ht="36.75" customHeight="1">
      <c r="A3754" s="46" t="s">
        <v>12471</v>
      </c>
      <c r="B3754" s="30" t="s">
        <v>55</v>
      </c>
      <c r="C3754" s="69" t="str">
        <f t="shared" ref="C3754" si="322">IF(B3754="Notification","Open",IF(B3754="Interim Statement","In progress","Closed"))</f>
        <v>Closed</v>
      </c>
      <c r="D3754" s="203" t="s">
        <v>21918</v>
      </c>
      <c r="E3754" s="55" t="s">
        <v>21919</v>
      </c>
      <c r="F3754" s="55" t="s">
        <v>17682</v>
      </c>
      <c r="G3754" s="88">
        <f>DATE(2024,4,21)</f>
        <v>45403</v>
      </c>
      <c r="H3754" s="142">
        <v>1.0659722222222223</v>
      </c>
      <c r="I3754" s="55" t="s">
        <v>125</v>
      </c>
      <c r="J3754" s="55" t="s">
        <v>21920</v>
      </c>
      <c r="K3754" s="55" t="s">
        <v>1574</v>
      </c>
      <c r="L3754" s="55" t="s">
        <v>21921</v>
      </c>
      <c r="M3754" s="55" t="s">
        <v>63</v>
      </c>
      <c r="N3754" s="55" t="s">
        <v>142</v>
      </c>
      <c r="O3754" s="55" t="s">
        <v>64</v>
      </c>
      <c r="P3754" s="55" t="s">
        <v>78</v>
      </c>
      <c r="Q3754" s="55" t="s">
        <v>19664</v>
      </c>
      <c r="R3754" s="55" t="s">
        <v>19007</v>
      </c>
      <c r="S3754" s="55">
        <v>0</v>
      </c>
      <c r="T3754" s="55">
        <v>0</v>
      </c>
      <c r="U3754" s="55">
        <v>0</v>
      </c>
      <c r="V3754" s="55">
        <v>0</v>
      </c>
      <c r="W3754" s="55">
        <v>0</v>
      </c>
      <c r="X3754" s="55">
        <v>0</v>
      </c>
      <c r="Y3754" s="55">
        <v>0</v>
      </c>
      <c r="Z3754" s="55">
        <v>0</v>
      </c>
      <c r="AA3754" s="55">
        <v>0</v>
      </c>
      <c r="AB3754" s="55">
        <v>0</v>
      </c>
      <c r="AC3754" s="55">
        <v>0</v>
      </c>
      <c r="AD3754" s="55">
        <v>0</v>
      </c>
      <c r="AE3754" s="55" t="s">
        <v>92</v>
      </c>
      <c r="AF3754" s="55" t="s">
        <v>21922</v>
      </c>
      <c r="AG3754" s="55" t="s">
        <v>8859</v>
      </c>
      <c r="AH3754" s="72">
        <v>45405</v>
      </c>
      <c r="AI3754" s="55">
        <v>3</v>
      </c>
      <c r="AJ3754" s="55" t="s">
        <v>21923</v>
      </c>
      <c r="AK3754" s="55" t="s">
        <v>21924</v>
      </c>
      <c r="AL3754" s="157">
        <v>45406</v>
      </c>
      <c r="AM3754" s="55"/>
      <c r="AN3754" s="157">
        <v>45411</v>
      </c>
      <c r="AO3754" s="157">
        <v>45398</v>
      </c>
    </row>
    <row r="3755" spans="1:55" ht="36.75" customHeight="1">
      <c r="A3755" s="46" t="s">
        <v>12471</v>
      </c>
      <c r="B3755" s="30" t="s">
        <v>21606</v>
      </c>
      <c r="C3755" s="69" t="str">
        <f t="shared" ref="C3755" si="323">IF(B3755="Notification","Open",IF(B3755="Interim Statement","In progress","Closed"))</f>
        <v>In progress</v>
      </c>
      <c r="D3755" s="36" t="s">
        <v>21925</v>
      </c>
      <c r="E3755" s="55" t="s">
        <v>21926</v>
      </c>
      <c r="F3755" s="55" t="s">
        <v>6455</v>
      </c>
      <c r="G3755" s="88">
        <f>DATE(2024,4,15)</f>
        <v>45397</v>
      </c>
      <c r="H3755" s="142">
        <v>1.5520833333333335</v>
      </c>
      <c r="I3755" s="55" t="s">
        <v>73</v>
      </c>
      <c r="J3755" s="55" t="s">
        <v>21927</v>
      </c>
      <c r="K3755" s="55" t="s">
        <v>584</v>
      </c>
      <c r="L3755" s="55" t="s">
        <v>21928</v>
      </c>
      <c r="M3755" s="55" t="s">
        <v>63</v>
      </c>
      <c r="N3755" s="55" t="s">
        <v>142</v>
      </c>
      <c r="O3755" s="55" t="s">
        <v>77</v>
      </c>
      <c r="P3755" s="55" t="s">
        <v>78</v>
      </c>
      <c r="Q3755" s="55" t="s">
        <v>21929</v>
      </c>
      <c r="R3755" s="55" t="s">
        <v>21805</v>
      </c>
      <c r="S3755" s="55">
        <v>0</v>
      </c>
      <c r="T3755" s="55">
        <v>0</v>
      </c>
      <c r="U3755" s="55">
        <v>0</v>
      </c>
      <c r="V3755" s="55">
        <v>0</v>
      </c>
      <c r="W3755" s="55">
        <v>0</v>
      </c>
      <c r="X3755" s="55">
        <v>0</v>
      </c>
      <c r="Y3755" s="55">
        <v>0</v>
      </c>
      <c r="Z3755" s="55">
        <v>0</v>
      </c>
      <c r="AA3755" s="55">
        <v>0</v>
      </c>
      <c r="AB3755" s="55">
        <v>0</v>
      </c>
      <c r="AC3755" s="55">
        <v>0</v>
      </c>
      <c r="AD3755" s="55">
        <v>0</v>
      </c>
      <c r="AE3755" s="55" t="s">
        <v>394</v>
      </c>
      <c r="AF3755" s="55" t="s">
        <v>21930</v>
      </c>
      <c r="AG3755" s="55" t="s">
        <v>13537</v>
      </c>
      <c r="AH3755" s="72">
        <v>45397</v>
      </c>
      <c r="AI3755" s="55"/>
      <c r="AJ3755" s="55"/>
      <c r="AK3755" s="55"/>
      <c r="AL3755" s="157">
        <v>45411</v>
      </c>
      <c r="AM3755" s="157">
        <v>45419</v>
      </c>
      <c r="AN3755" s="209"/>
      <c r="AO3755" s="209"/>
    </row>
    <row r="3756" spans="1:55" ht="36.75" customHeight="1">
      <c r="A3756" s="46" t="s">
        <v>12471</v>
      </c>
      <c r="B3756" s="30" t="s">
        <v>21606</v>
      </c>
      <c r="C3756" s="69" t="str">
        <f t="shared" ref="C3756" si="324">IF(B3756="Notification","Open",IF(B3756="Interim Statement","In progress","Closed"))</f>
        <v>In progress</v>
      </c>
      <c r="D3756" s="36" t="s">
        <v>21931</v>
      </c>
      <c r="E3756" s="55" t="s">
        <v>21932</v>
      </c>
      <c r="F3756" s="55" t="s">
        <v>6455</v>
      </c>
      <c r="G3756" s="88">
        <f>DATE(2024,4,16)</f>
        <v>45398</v>
      </c>
      <c r="H3756" s="142">
        <v>1.3680555555555556</v>
      </c>
      <c r="I3756" s="55" t="s">
        <v>198</v>
      </c>
      <c r="J3756" s="55" t="s">
        <v>21933</v>
      </c>
      <c r="K3756" s="55" t="s">
        <v>584</v>
      </c>
      <c r="L3756" s="55" t="s">
        <v>21934</v>
      </c>
      <c r="M3756" s="55" t="s">
        <v>63</v>
      </c>
      <c r="N3756" s="55" t="s">
        <v>142</v>
      </c>
      <c r="O3756" s="55" t="s">
        <v>77</v>
      </c>
      <c r="P3756" s="55" t="s">
        <v>462</v>
      </c>
      <c r="Q3756" s="55" t="s">
        <v>21524</v>
      </c>
      <c r="R3756" s="55" t="s">
        <v>21935</v>
      </c>
      <c r="S3756" s="55">
        <v>0</v>
      </c>
      <c r="T3756" s="55">
        <v>0</v>
      </c>
      <c r="U3756" s="55">
        <v>0</v>
      </c>
      <c r="V3756" s="55">
        <v>0</v>
      </c>
      <c r="W3756" s="55">
        <v>0</v>
      </c>
      <c r="X3756" s="55">
        <v>0</v>
      </c>
      <c r="Y3756" s="55">
        <v>0</v>
      </c>
      <c r="Z3756" s="55">
        <v>0</v>
      </c>
      <c r="AA3756" s="55">
        <v>0</v>
      </c>
      <c r="AB3756" s="55">
        <v>0</v>
      </c>
      <c r="AC3756" s="55">
        <v>0</v>
      </c>
      <c r="AD3756" s="55">
        <v>0</v>
      </c>
      <c r="AE3756" s="55" t="s">
        <v>394</v>
      </c>
      <c r="AF3756" s="55" t="s">
        <v>21936</v>
      </c>
      <c r="AG3756" s="55" t="s">
        <v>13537</v>
      </c>
      <c r="AH3756" s="72">
        <v>45398</v>
      </c>
      <c r="AI3756" s="55"/>
      <c r="AJ3756" s="55"/>
      <c r="AK3756" s="55"/>
      <c r="AL3756" s="157">
        <v>45411</v>
      </c>
      <c r="AM3756" s="157">
        <v>45419</v>
      </c>
      <c r="AN3756" s="209"/>
      <c r="AO3756" s="209"/>
    </row>
    <row r="3757" spans="1:55" ht="36.75" customHeight="1">
      <c r="A3757" s="46" t="s">
        <v>12471</v>
      </c>
      <c r="B3757" s="30" t="s">
        <v>2124</v>
      </c>
      <c r="C3757" s="69" t="str">
        <f t="shared" ref="C3757:C3764" si="325">IF(B3757="Notification","Open",IF(B3757="Interim Statement","In progress","Closed"))</f>
        <v>Open</v>
      </c>
      <c r="D3757" s="36" t="s">
        <v>21937</v>
      </c>
      <c r="E3757" s="55" t="s">
        <v>21938</v>
      </c>
      <c r="F3757" s="55" t="s">
        <v>16429</v>
      </c>
      <c r="G3757" s="88">
        <f>DATE(2024,5,2)</f>
        <v>45414</v>
      </c>
      <c r="H3757" s="142">
        <v>1.5520833333333335</v>
      </c>
      <c r="I3757" s="55" t="s">
        <v>73</v>
      </c>
      <c r="J3757" s="55" t="s">
        <v>21939</v>
      </c>
      <c r="K3757" s="55" t="s">
        <v>425</v>
      </c>
      <c r="L3757" s="55" t="s">
        <v>21940</v>
      </c>
      <c r="M3757" s="55" t="s">
        <v>63</v>
      </c>
      <c r="N3757" s="55" t="s">
        <v>99</v>
      </c>
      <c r="O3757" s="55" t="s">
        <v>21941</v>
      </c>
      <c r="P3757" s="55" t="s">
        <v>21942</v>
      </c>
      <c r="Q3757" s="55" t="s">
        <v>18516</v>
      </c>
      <c r="R3757" s="55" t="s">
        <v>17369</v>
      </c>
      <c r="S3757" s="55">
        <v>0</v>
      </c>
      <c r="T3757" s="55">
        <v>0</v>
      </c>
      <c r="U3757" s="55">
        <v>0</v>
      </c>
      <c r="V3757" s="55">
        <v>0</v>
      </c>
      <c r="W3757" s="55">
        <v>0</v>
      </c>
      <c r="X3757" s="55">
        <v>0</v>
      </c>
      <c r="Y3757" s="55">
        <v>0</v>
      </c>
      <c r="Z3757" s="55">
        <v>0</v>
      </c>
      <c r="AA3757" s="55">
        <v>0</v>
      </c>
      <c r="AB3757" s="55">
        <v>0</v>
      </c>
      <c r="AC3757" s="55">
        <v>0</v>
      </c>
      <c r="AD3757" s="55">
        <v>0</v>
      </c>
      <c r="AE3757" s="55" t="s">
        <v>16435</v>
      </c>
      <c r="AF3757" s="55" t="s">
        <v>21943</v>
      </c>
      <c r="AG3757" s="55" t="s">
        <v>21120</v>
      </c>
      <c r="AH3757" s="72">
        <v>45414</v>
      </c>
      <c r="AI3757" s="55"/>
      <c r="AJ3757" s="55"/>
      <c r="AK3757" s="55"/>
      <c r="AL3757" s="157">
        <v>45418</v>
      </c>
      <c r="AM3757" s="55"/>
      <c r="AN3757" s="209"/>
      <c r="AO3757" s="209"/>
      <c r="AP3757" s="55"/>
      <c r="AQ3757" s="55"/>
      <c r="AR3757" s="55"/>
      <c r="AS3757" s="55"/>
      <c r="AT3757" s="55"/>
      <c r="AU3757" s="55"/>
      <c r="AV3757" s="55"/>
      <c r="AW3757" s="55"/>
    </row>
    <row r="3758" spans="1:55" ht="36.75" customHeight="1">
      <c r="A3758" s="46" t="s">
        <v>12471</v>
      </c>
      <c r="B3758" s="30" t="s">
        <v>2124</v>
      </c>
      <c r="C3758" s="69" t="str">
        <f t="shared" si="325"/>
        <v>Open</v>
      </c>
      <c r="D3758" s="36" t="s">
        <v>21944</v>
      </c>
      <c r="E3758" s="55" t="s">
        <v>21945</v>
      </c>
      <c r="F3758" s="55" t="s">
        <v>17578</v>
      </c>
      <c r="G3758" s="88">
        <f>DATE(2024,5,7)</f>
        <v>45419</v>
      </c>
      <c r="H3758" s="142">
        <v>1.40625</v>
      </c>
      <c r="I3758" s="55" t="s">
        <v>116</v>
      </c>
      <c r="J3758" s="55" t="s">
        <v>21946</v>
      </c>
      <c r="K3758" s="55" t="s">
        <v>837</v>
      </c>
      <c r="L3758" s="55" t="s">
        <v>21947</v>
      </c>
      <c r="M3758" s="55" t="s">
        <v>63</v>
      </c>
      <c r="N3758" s="55" t="s">
        <v>142</v>
      </c>
      <c r="O3758" s="55" t="s">
        <v>64</v>
      </c>
      <c r="P3758" s="55" t="s">
        <v>78</v>
      </c>
      <c r="Q3758" s="55" t="s">
        <v>21948</v>
      </c>
      <c r="R3758" s="55" t="s">
        <v>840</v>
      </c>
      <c r="S3758" s="55">
        <v>0</v>
      </c>
      <c r="T3758" s="55">
        <v>0</v>
      </c>
      <c r="U3758" s="55">
        <v>0</v>
      </c>
      <c r="V3758" s="55">
        <v>0</v>
      </c>
      <c r="W3758" s="55">
        <v>0</v>
      </c>
      <c r="X3758" s="55">
        <v>0</v>
      </c>
      <c r="Y3758" s="55">
        <v>0</v>
      </c>
      <c r="Z3758" s="55">
        <v>1</v>
      </c>
      <c r="AA3758" s="55">
        <v>0</v>
      </c>
      <c r="AB3758" s="55">
        <v>0</v>
      </c>
      <c r="AC3758" s="55">
        <v>0</v>
      </c>
      <c r="AD3758" s="55">
        <v>1</v>
      </c>
      <c r="AE3758" s="55" t="s">
        <v>394</v>
      </c>
      <c r="AF3758" s="55" t="s">
        <v>21949</v>
      </c>
      <c r="AG3758" s="55" t="s">
        <v>13537</v>
      </c>
      <c r="AH3758" s="72">
        <v>45419</v>
      </c>
      <c r="AI3758" s="55"/>
      <c r="AJ3758" s="55"/>
      <c r="AK3758" s="55"/>
      <c r="AL3758" s="157">
        <v>45427</v>
      </c>
      <c r="AM3758" s="55"/>
      <c r="AN3758" s="209"/>
      <c r="AO3758" s="209"/>
    </row>
    <row r="3759" spans="1:55" ht="36.75" customHeight="1">
      <c r="A3759" s="46" t="s">
        <v>12471</v>
      </c>
      <c r="B3759" s="30" t="s">
        <v>55</v>
      </c>
      <c r="C3759" s="69" t="str">
        <f t="shared" si="325"/>
        <v>Closed</v>
      </c>
      <c r="D3759" s="203" t="s">
        <v>21950</v>
      </c>
      <c r="E3759" s="55" t="s">
        <v>21951</v>
      </c>
      <c r="F3759" s="55" t="s">
        <v>17578</v>
      </c>
      <c r="G3759" s="88">
        <f>DATE(2024,5,8)</f>
        <v>45420</v>
      </c>
      <c r="H3759" s="142">
        <v>1.9583333333333335</v>
      </c>
      <c r="I3759" s="55" t="s">
        <v>2264</v>
      </c>
      <c r="J3759" s="55" t="s">
        <v>21952</v>
      </c>
      <c r="K3759" s="55" t="s">
        <v>837</v>
      </c>
      <c r="L3759" s="55" t="s">
        <v>21953</v>
      </c>
      <c r="M3759" s="55" t="s">
        <v>63</v>
      </c>
      <c r="N3759" s="55" t="s">
        <v>99</v>
      </c>
      <c r="O3759" s="55" t="s">
        <v>77</v>
      </c>
      <c r="P3759" s="55" t="s">
        <v>165</v>
      </c>
      <c r="Q3759" s="55" t="s">
        <v>21954</v>
      </c>
      <c r="R3759" s="55" t="s">
        <v>840</v>
      </c>
      <c r="S3759" s="55">
        <v>0</v>
      </c>
      <c r="T3759" s="55">
        <v>0</v>
      </c>
      <c r="U3759" s="55">
        <v>0</v>
      </c>
      <c r="V3759" s="55">
        <v>0</v>
      </c>
      <c r="W3759" s="55">
        <v>0</v>
      </c>
      <c r="X3759" s="55">
        <v>0</v>
      </c>
      <c r="Y3759" s="55">
        <v>0</v>
      </c>
      <c r="Z3759" s="55">
        <v>0</v>
      </c>
      <c r="AA3759" s="55">
        <v>0</v>
      </c>
      <c r="AB3759" s="55">
        <v>0</v>
      </c>
      <c r="AC3759" s="55">
        <v>0</v>
      </c>
      <c r="AD3759" s="55">
        <v>0</v>
      </c>
      <c r="AE3759" s="55" t="s">
        <v>92</v>
      </c>
      <c r="AF3759" s="55" t="s">
        <v>21955</v>
      </c>
      <c r="AG3759" s="55" t="s">
        <v>13537</v>
      </c>
      <c r="AH3759" s="72">
        <v>45420</v>
      </c>
      <c r="AI3759" s="55">
        <v>1</v>
      </c>
      <c r="AJ3759" s="55" t="s">
        <v>21956</v>
      </c>
      <c r="AK3759" s="55" t="s">
        <v>21957</v>
      </c>
      <c r="AL3759" s="157">
        <v>45428</v>
      </c>
      <c r="AM3759" s="55"/>
      <c r="AN3759" s="157">
        <v>45902</v>
      </c>
      <c r="AO3759" s="157">
        <v>45880</v>
      </c>
    </row>
    <row r="3760" spans="1:55" ht="36.75" customHeight="1">
      <c r="A3760" s="46" t="s">
        <v>12471</v>
      </c>
      <c r="B3760" s="30" t="s">
        <v>55</v>
      </c>
      <c r="C3760" s="69" t="str">
        <f t="shared" si="325"/>
        <v>Closed</v>
      </c>
      <c r="D3760" s="203" t="s">
        <v>21958</v>
      </c>
      <c r="E3760" s="55" t="s">
        <v>21959</v>
      </c>
      <c r="F3760" s="55" t="s">
        <v>17682</v>
      </c>
      <c r="G3760" s="88">
        <f>DATE(2024,5,15)</f>
        <v>45427</v>
      </c>
      <c r="H3760" s="142">
        <v>1.8506944444444446</v>
      </c>
      <c r="I3760" s="55" t="s">
        <v>125</v>
      </c>
      <c r="J3760" s="55" t="s">
        <v>21960</v>
      </c>
      <c r="K3760" s="55" t="s">
        <v>1574</v>
      </c>
      <c r="L3760" s="55" t="s">
        <v>21961</v>
      </c>
      <c r="M3760" s="55" t="s">
        <v>63</v>
      </c>
      <c r="N3760" s="55" t="s">
        <v>142</v>
      </c>
      <c r="O3760" s="55" t="s">
        <v>64</v>
      </c>
      <c r="P3760" s="55" t="s">
        <v>78</v>
      </c>
      <c r="Q3760" s="55" t="s">
        <v>19664</v>
      </c>
      <c r="R3760" s="55" t="s">
        <v>19007</v>
      </c>
      <c r="S3760" s="55">
        <v>0</v>
      </c>
      <c r="T3760" s="55">
        <v>0</v>
      </c>
      <c r="U3760" s="55">
        <v>0</v>
      </c>
      <c r="V3760" s="55">
        <v>0</v>
      </c>
      <c r="W3760" s="55">
        <v>0</v>
      </c>
      <c r="X3760" s="55">
        <v>0</v>
      </c>
      <c r="Y3760" s="55">
        <v>0</v>
      </c>
      <c r="Z3760" s="55">
        <v>0</v>
      </c>
      <c r="AA3760" s="55">
        <v>0</v>
      </c>
      <c r="AB3760" s="55">
        <v>0</v>
      </c>
      <c r="AC3760" s="55">
        <v>0</v>
      </c>
      <c r="AD3760" s="55">
        <v>0</v>
      </c>
      <c r="AE3760" s="55" t="s">
        <v>92</v>
      </c>
      <c r="AF3760" s="55" t="s">
        <v>21962</v>
      </c>
      <c r="AG3760" s="55" t="s">
        <v>8859</v>
      </c>
      <c r="AH3760" s="72">
        <v>45432</v>
      </c>
      <c r="AI3760" s="55">
        <v>2</v>
      </c>
      <c r="AJ3760" s="55" t="s">
        <v>21963</v>
      </c>
      <c r="AK3760" s="55" t="s">
        <v>21964</v>
      </c>
      <c r="AL3760" s="157">
        <v>45432</v>
      </c>
      <c r="AM3760" s="55"/>
      <c r="AN3760" s="157">
        <v>45764</v>
      </c>
      <c r="AO3760" s="157">
        <v>45762</v>
      </c>
    </row>
    <row r="3761" spans="1:54" ht="36.75" customHeight="1">
      <c r="A3761" s="46" t="s">
        <v>12471</v>
      </c>
      <c r="B3761" s="30" t="s">
        <v>55</v>
      </c>
      <c r="C3761" s="69" t="str">
        <f t="shared" si="325"/>
        <v>Closed</v>
      </c>
      <c r="D3761" s="203" t="s">
        <v>21965</v>
      </c>
      <c r="E3761" s="55" t="s">
        <v>21966</v>
      </c>
      <c r="F3761" s="55" t="s">
        <v>17057</v>
      </c>
      <c r="G3761" s="88">
        <f>DATE(2024,5,1)</f>
        <v>45413</v>
      </c>
      <c r="H3761" s="142">
        <v>1.4409722222222223</v>
      </c>
      <c r="I3761" s="55" t="s">
        <v>73</v>
      </c>
      <c r="J3761" s="55" t="s">
        <v>21967</v>
      </c>
      <c r="K3761" s="55" t="s">
        <v>2338</v>
      </c>
      <c r="L3761" s="55" t="s">
        <v>21968</v>
      </c>
      <c r="M3761" s="55" t="s">
        <v>63</v>
      </c>
      <c r="N3761" s="55" t="s">
        <v>99</v>
      </c>
      <c r="O3761" s="55" t="s">
        <v>77</v>
      </c>
      <c r="P3761" s="55" t="s">
        <v>78</v>
      </c>
      <c r="Q3761" s="55" t="s">
        <v>21969</v>
      </c>
      <c r="R3761" s="55" t="s">
        <v>2341</v>
      </c>
      <c r="S3761" s="55">
        <v>0</v>
      </c>
      <c r="T3761" s="55">
        <v>0</v>
      </c>
      <c r="U3761" s="55">
        <v>0</v>
      </c>
      <c r="V3761" s="55">
        <v>0</v>
      </c>
      <c r="W3761" s="55">
        <v>0</v>
      </c>
      <c r="X3761" s="55">
        <v>0</v>
      </c>
      <c r="Y3761" s="55">
        <v>0</v>
      </c>
      <c r="Z3761" s="55">
        <v>0</v>
      </c>
      <c r="AA3761" s="55">
        <v>0</v>
      </c>
      <c r="AB3761" s="55">
        <v>0</v>
      </c>
      <c r="AC3761" s="55">
        <v>0</v>
      </c>
      <c r="AD3761" s="55">
        <v>0</v>
      </c>
      <c r="AE3761" s="55" t="s">
        <v>394</v>
      </c>
      <c r="AF3761" s="55" t="s">
        <v>21970</v>
      </c>
      <c r="AG3761" s="55" t="s">
        <v>13537</v>
      </c>
      <c r="AH3761" s="72">
        <v>45428</v>
      </c>
      <c r="AI3761" s="55">
        <v>3</v>
      </c>
      <c r="AJ3761" s="55" t="s">
        <v>21971</v>
      </c>
      <c r="AK3761" s="55" t="s">
        <v>21972</v>
      </c>
      <c r="AL3761" s="157">
        <v>45434</v>
      </c>
      <c r="AM3761" s="55"/>
      <c r="AN3761" s="157">
        <v>45828</v>
      </c>
      <c r="AO3761" s="157">
        <v>45810</v>
      </c>
    </row>
    <row r="3762" spans="1:54" ht="36.75" customHeight="1">
      <c r="A3762" s="46" t="s">
        <v>12471</v>
      </c>
      <c r="B3762" s="30" t="s">
        <v>55</v>
      </c>
      <c r="C3762" s="69" t="str">
        <f t="shared" si="325"/>
        <v>Closed</v>
      </c>
      <c r="D3762" s="203" t="s">
        <v>21973</v>
      </c>
      <c r="E3762" s="55" t="s">
        <v>21974</v>
      </c>
      <c r="F3762" s="55" t="s">
        <v>16429</v>
      </c>
      <c r="G3762" s="88">
        <f>DATE(2024,5,21)</f>
        <v>45433</v>
      </c>
      <c r="H3762" s="142">
        <v>1.7166666666666668</v>
      </c>
      <c r="I3762" s="55" t="s">
        <v>116</v>
      </c>
      <c r="J3762" s="55" t="s">
        <v>21975</v>
      </c>
      <c r="K3762" s="55" t="s">
        <v>425</v>
      </c>
      <c r="L3762" s="55" t="s">
        <v>21435</v>
      </c>
      <c r="M3762" s="55" t="s">
        <v>63</v>
      </c>
      <c r="N3762" s="55" t="s">
        <v>99</v>
      </c>
      <c r="O3762" s="55" t="s">
        <v>64</v>
      </c>
      <c r="P3762" s="55" t="s">
        <v>21976</v>
      </c>
      <c r="Q3762" s="55" t="s">
        <v>18615</v>
      </c>
      <c r="R3762" s="55" t="s">
        <v>17369</v>
      </c>
      <c r="S3762" s="55">
        <v>0</v>
      </c>
      <c r="T3762" s="55">
        <v>0</v>
      </c>
      <c r="U3762" s="55">
        <v>2</v>
      </c>
      <c r="V3762" s="55">
        <v>0</v>
      </c>
      <c r="W3762" s="55">
        <v>0</v>
      </c>
      <c r="X3762" s="55">
        <v>2</v>
      </c>
      <c r="Y3762" s="55">
        <v>0</v>
      </c>
      <c r="Z3762" s="55">
        <v>0</v>
      </c>
      <c r="AA3762" s="55">
        <v>0</v>
      </c>
      <c r="AB3762" s="55">
        <v>0</v>
      </c>
      <c r="AC3762" s="55">
        <v>0</v>
      </c>
      <c r="AD3762" s="55">
        <v>0</v>
      </c>
      <c r="AE3762" s="55" t="s">
        <v>92</v>
      </c>
      <c r="AF3762" s="55" t="s">
        <v>21977</v>
      </c>
      <c r="AG3762" s="55" t="s">
        <v>16283</v>
      </c>
      <c r="AH3762" s="72">
        <v>45433</v>
      </c>
      <c r="AI3762" s="55">
        <v>1</v>
      </c>
      <c r="AJ3762" s="55" t="s">
        <v>21978</v>
      </c>
      <c r="AK3762" s="55" t="s">
        <v>712</v>
      </c>
      <c r="AL3762" s="157">
        <v>45434</v>
      </c>
      <c r="AM3762" s="55"/>
      <c r="AN3762" s="212">
        <v>45679</v>
      </c>
      <c r="AO3762" s="212">
        <v>45677</v>
      </c>
    </row>
    <row r="3763" spans="1:54" ht="36.75" customHeight="1">
      <c r="A3763" s="46" t="s">
        <v>12471</v>
      </c>
      <c r="B3763" s="30" t="s">
        <v>55</v>
      </c>
      <c r="C3763" s="69" t="str">
        <f t="shared" si="325"/>
        <v>Closed</v>
      </c>
      <c r="D3763" s="203" t="s">
        <v>21979</v>
      </c>
      <c r="E3763" s="55" t="s">
        <v>21980</v>
      </c>
      <c r="F3763" s="55" t="s">
        <v>12910</v>
      </c>
      <c r="G3763" s="88">
        <f>DATE(2024,5,12)</f>
        <v>45424</v>
      </c>
      <c r="H3763" s="142">
        <v>1.0083333333333333</v>
      </c>
      <c r="I3763" s="55" t="s">
        <v>278</v>
      </c>
      <c r="J3763" s="55" t="s">
        <v>21981</v>
      </c>
      <c r="K3763" s="55" t="s">
        <v>453</v>
      </c>
      <c r="L3763" s="55" t="s">
        <v>21982</v>
      </c>
      <c r="M3763" s="55" t="s">
        <v>63</v>
      </c>
      <c r="N3763" s="55" t="s">
        <v>142</v>
      </c>
      <c r="O3763" s="55" t="s">
        <v>77</v>
      </c>
      <c r="P3763" s="55" t="s">
        <v>6902</v>
      </c>
      <c r="Q3763" s="55" t="s">
        <v>21983</v>
      </c>
      <c r="R3763" s="55" t="s">
        <v>572</v>
      </c>
      <c r="S3763" s="55">
        <v>1</v>
      </c>
      <c r="T3763" s="55">
        <v>0</v>
      </c>
      <c r="U3763" s="55">
        <v>0</v>
      </c>
      <c r="V3763" s="55">
        <v>0</v>
      </c>
      <c r="W3763" s="55">
        <v>0</v>
      </c>
      <c r="X3763" s="55">
        <v>1</v>
      </c>
      <c r="Y3763" s="55">
        <v>0</v>
      </c>
      <c r="Z3763" s="55">
        <v>0</v>
      </c>
      <c r="AA3763" s="55">
        <v>0</v>
      </c>
      <c r="AB3763" s="55">
        <v>0</v>
      </c>
      <c r="AC3763" s="55">
        <v>0</v>
      </c>
      <c r="AD3763" s="55">
        <v>0</v>
      </c>
      <c r="AE3763" s="55" t="s">
        <v>92</v>
      </c>
      <c r="AF3763" s="55" t="s">
        <v>10556</v>
      </c>
      <c r="AG3763" s="55" t="s">
        <v>6459</v>
      </c>
      <c r="AH3763" s="72">
        <v>45436</v>
      </c>
      <c r="AI3763" s="55">
        <v>0</v>
      </c>
      <c r="AJ3763" s="55" t="s">
        <v>21984</v>
      </c>
      <c r="AK3763" s="55" t="s">
        <v>21985</v>
      </c>
      <c r="AL3763" s="157">
        <v>45439</v>
      </c>
      <c r="AM3763" s="55"/>
      <c r="AN3763" s="157">
        <v>45757</v>
      </c>
      <c r="AO3763" s="157">
        <v>45757</v>
      </c>
    </row>
    <row r="3764" spans="1:54" ht="36.75" customHeight="1">
      <c r="A3764" s="46" t="s">
        <v>12471</v>
      </c>
      <c r="B3764" s="30" t="s">
        <v>55</v>
      </c>
      <c r="C3764" s="69" t="str">
        <f t="shared" si="325"/>
        <v>Closed</v>
      </c>
      <c r="D3764" s="203" t="s">
        <v>21986</v>
      </c>
      <c r="E3764" s="55" t="s">
        <v>21987</v>
      </c>
      <c r="F3764" s="55" t="s">
        <v>12910</v>
      </c>
      <c r="G3764" s="88">
        <f>DATE(2024,3,27)</f>
        <v>45378</v>
      </c>
      <c r="H3764" s="142">
        <v>1.78125</v>
      </c>
      <c r="I3764" s="55" t="s">
        <v>2264</v>
      </c>
      <c r="J3764" s="55" t="s">
        <v>21988</v>
      </c>
      <c r="K3764" s="55" t="s">
        <v>453</v>
      </c>
      <c r="L3764" s="55" t="s">
        <v>21989</v>
      </c>
      <c r="M3764" s="55" t="s">
        <v>63</v>
      </c>
      <c r="N3764" s="55" t="s">
        <v>99</v>
      </c>
      <c r="O3764" s="55" t="s">
        <v>77</v>
      </c>
      <c r="P3764" s="55" t="s">
        <v>165</v>
      </c>
      <c r="Q3764" s="55" t="s">
        <v>21990</v>
      </c>
      <c r="R3764" s="55" t="s">
        <v>21990</v>
      </c>
      <c r="S3764" s="55">
        <v>0</v>
      </c>
      <c r="T3764" s="55">
        <v>0</v>
      </c>
      <c r="U3764" s="55">
        <v>0</v>
      </c>
      <c r="V3764" s="55">
        <v>0</v>
      </c>
      <c r="W3764" s="55">
        <v>0</v>
      </c>
      <c r="X3764" s="55">
        <v>0</v>
      </c>
      <c r="Y3764" s="55">
        <v>0</v>
      </c>
      <c r="Z3764" s="55">
        <v>0</v>
      </c>
      <c r="AA3764" s="55">
        <v>0</v>
      </c>
      <c r="AB3764" s="55">
        <v>0</v>
      </c>
      <c r="AC3764" s="55">
        <v>0</v>
      </c>
      <c r="AD3764" s="55">
        <v>0</v>
      </c>
      <c r="AE3764" s="55" t="s">
        <v>92</v>
      </c>
      <c r="AF3764" s="55" t="s">
        <v>712</v>
      </c>
      <c r="AG3764" s="55" t="s">
        <v>13537</v>
      </c>
      <c r="AH3764" s="72">
        <v>45439</v>
      </c>
      <c r="AI3764" s="55">
        <v>1</v>
      </c>
      <c r="AJ3764" s="55" t="s">
        <v>21991</v>
      </c>
      <c r="AK3764" s="55" t="s">
        <v>21992</v>
      </c>
      <c r="AL3764" s="157">
        <v>45440</v>
      </c>
      <c r="AM3764" s="55"/>
      <c r="AN3764" s="157">
        <v>45746</v>
      </c>
      <c r="AO3764" s="157">
        <v>45743</v>
      </c>
    </row>
    <row r="3765" spans="1:54" ht="36.75" customHeight="1">
      <c r="A3765" s="46" t="s">
        <v>12471</v>
      </c>
      <c r="B3765" s="30" t="s">
        <v>55</v>
      </c>
      <c r="C3765" s="69" t="str">
        <f t="shared" ref="C3765" si="326">IF(B3765="Notification","Open",IF(B3765="Interim Statement","In progress","Closed"))</f>
        <v>Closed</v>
      </c>
      <c r="D3765" s="203" t="s">
        <v>21993</v>
      </c>
      <c r="E3765" s="55" t="s">
        <v>21994</v>
      </c>
      <c r="F3765" s="55" t="s">
        <v>17773</v>
      </c>
      <c r="G3765" s="88">
        <f>DATE(2024,5,28)</f>
        <v>45440</v>
      </c>
      <c r="H3765" s="142">
        <v>1.6909722222222223</v>
      </c>
      <c r="I3765" s="55" t="s">
        <v>198</v>
      </c>
      <c r="J3765" s="55" t="s">
        <v>21995</v>
      </c>
      <c r="K3765" s="55" t="s">
        <v>2603</v>
      </c>
      <c r="L3765" s="55" t="s">
        <v>21996</v>
      </c>
      <c r="M3765" s="55" t="s">
        <v>63</v>
      </c>
      <c r="N3765" s="55" t="s">
        <v>99</v>
      </c>
      <c r="O3765" s="55" t="s">
        <v>77</v>
      </c>
      <c r="P3765" s="55" t="s">
        <v>381</v>
      </c>
      <c r="Q3765" s="55" t="s">
        <v>21997</v>
      </c>
      <c r="R3765" s="55" t="s">
        <v>20752</v>
      </c>
      <c r="S3765" s="55">
        <v>0</v>
      </c>
      <c r="T3765" s="55">
        <v>0</v>
      </c>
      <c r="U3765" s="55">
        <v>0</v>
      </c>
      <c r="V3765" s="55">
        <v>0</v>
      </c>
      <c r="W3765" s="55">
        <v>0</v>
      </c>
      <c r="X3765" s="55">
        <v>0</v>
      </c>
      <c r="Y3765" s="55">
        <v>0</v>
      </c>
      <c r="Z3765" s="55">
        <v>0</v>
      </c>
      <c r="AA3765" s="55">
        <v>0</v>
      </c>
      <c r="AB3765" s="55">
        <v>0</v>
      </c>
      <c r="AC3765" s="55">
        <v>0</v>
      </c>
      <c r="AD3765" s="55">
        <v>0</v>
      </c>
      <c r="AE3765" s="55" t="s">
        <v>92</v>
      </c>
      <c r="AF3765" s="55" t="s">
        <v>21998</v>
      </c>
      <c r="AG3765" s="55" t="s">
        <v>8859</v>
      </c>
      <c r="AH3765" s="72">
        <v>45440</v>
      </c>
      <c r="AI3765" s="55">
        <v>5</v>
      </c>
      <c r="AJ3765" s="24" t="s">
        <v>21999</v>
      </c>
      <c r="AK3765" s="55" t="s">
        <v>22000</v>
      </c>
      <c r="AL3765" s="157">
        <v>45442</v>
      </c>
      <c r="AM3765" s="55"/>
      <c r="AN3765" s="157">
        <v>45649</v>
      </c>
      <c r="AO3765" s="157">
        <v>45645</v>
      </c>
    </row>
    <row r="3766" spans="1:54" ht="36.75" customHeight="1">
      <c r="A3766" s="46" t="s">
        <v>12471</v>
      </c>
      <c r="B3766" s="30" t="s">
        <v>2124</v>
      </c>
      <c r="C3766" s="69" t="str">
        <f t="shared" ref="C3766" si="327">IF(B3766="Notification","Open",IF(B3766="Interim Statement","In progress","Closed"))</f>
        <v>Open</v>
      </c>
      <c r="D3766" s="36" t="s">
        <v>22001</v>
      </c>
      <c r="E3766" s="55" t="s">
        <v>22002</v>
      </c>
      <c r="F3766" s="55" t="s">
        <v>16429</v>
      </c>
      <c r="G3766" s="88">
        <f>DATE(2024,5,24)</f>
        <v>45436</v>
      </c>
      <c r="H3766" s="142">
        <v>1.4381944444444446</v>
      </c>
      <c r="I3766" s="55" t="s">
        <v>198</v>
      </c>
      <c r="J3766" s="55" t="s">
        <v>22003</v>
      </c>
      <c r="K3766" s="55" t="s">
        <v>425</v>
      </c>
      <c r="L3766" s="55" t="s">
        <v>22004</v>
      </c>
      <c r="M3766" s="55" t="s">
        <v>63</v>
      </c>
      <c r="N3766" s="55" t="s">
        <v>89</v>
      </c>
      <c r="O3766" s="55" t="s">
        <v>77</v>
      </c>
      <c r="P3766" s="55" t="s">
        <v>22005</v>
      </c>
      <c r="Q3766" s="55" t="s">
        <v>18516</v>
      </c>
      <c r="R3766" s="55" t="s">
        <v>17369</v>
      </c>
      <c r="S3766" s="55">
        <v>0</v>
      </c>
      <c r="T3766" s="55">
        <v>0</v>
      </c>
      <c r="U3766" s="55">
        <v>0</v>
      </c>
      <c r="V3766" s="55">
        <v>0</v>
      </c>
      <c r="W3766" s="55">
        <v>0</v>
      </c>
      <c r="X3766" s="55">
        <v>0</v>
      </c>
      <c r="Y3766" s="55">
        <v>0</v>
      </c>
      <c r="Z3766" s="55">
        <v>0</v>
      </c>
      <c r="AA3766" s="55">
        <v>0</v>
      </c>
      <c r="AB3766" s="55">
        <v>0</v>
      </c>
      <c r="AC3766" s="55">
        <v>0</v>
      </c>
      <c r="AD3766" s="55">
        <v>0</v>
      </c>
      <c r="AE3766" s="55" t="s">
        <v>145</v>
      </c>
      <c r="AF3766" s="55" t="s">
        <v>22006</v>
      </c>
      <c r="AG3766" s="55" t="s">
        <v>21120</v>
      </c>
      <c r="AH3766" s="72">
        <v>45436</v>
      </c>
      <c r="AI3766" s="55"/>
      <c r="AJ3766" s="55"/>
      <c r="AK3766" s="55"/>
      <c r="AL3766" s="157">
        <v>45442</v>
      </c>
      <c r="AM3766" s="55"/>
      <c r="AN3766" s="209"/>
      <c r="AO3766" s="209"/>
    </row>
    <row r="3767" spans="1:54" ht="36.75" customHeight="1">
      <c r="A3767" s="46" t="s">
        <v>12471</v>
      </c>
      <c r="B3767" s="30" t="s">
        <v>55</v>
      </c>
      <c r="C3767" s="69" t="str">
        <f t="shared" ref="C3767" si="328">IF(B3767="Notification","Open",IF(B3767="Interim Statement","In progress","Closed"))</f>
        <v>Closed</v>
      </c>
      <c r="D3767" s="203" t="s">
        <v>22007</v>
      </c>
      <c r="E3767" s="55" t="s">
        <v>22008</v>
      </c>
      <c r="F3767" s="55" t="s">
        <v>12910</v>
      </c>
      <c r="G3767" s="88">
        <f>DATE(2024,5,15)</f>
        <v>45427</v>
      </c>
      <c r="H3767" s="142">
        <v>1.7847222222222223</v>
      </c>
      <c r="I3767" s="55" t="s">
        <v>86</v>
      </c>
      <c r="J3767" s="55" t="s">
        <v>22009</v>
      </c>
      <c r="K3767" s="55" t="s">
        <v>453</v>
      </c>
      <c r="L3767" s="55" t="s">
        <v>22010</v>
      </c>
      <c r="M3767" s="55" t="s">
        <v>63</v>
      </c>
      <c r="N3767" s="55" t="s">
        <v>89</v>
      </c>
      <c r="O3767" s="55" t="s">
        <v>77</v>
      </c>
      <c r="P3767" s="55" t="s">
        <v>91</v>
      </c>
      <c r="Q3767" s="55" t="s">
        <v>22011</v>
      </c>
      <c r="R3767" s="55" t="s">
        <v>572</v>
      </c>
      <c r="S3767" s="55">
        <v>0</v>
      </c>
      <c r="T3767" s="55">
        <v>0</v>
      </c>
      <c r="U3767" s="55">
        <v>0</v>
      </c>
      <c r="V3767" s="55">
        <v>0</v>
      </c>
      <c r="W3767" s="55">
        <v>0</v>
      </c>
      <c r="X3767" s="55">
        <v>0</v>
      </c>
      <c r="Y3767" s="55">
        <v>0</v>
      </c>
      <c r="Z3767" s="55">
        <v>0</v>
      </c>
      <c r="AA3767" s="55">
        <v>0</v>
      </c>
      <c r="AB3767" s="55">
        <v>0</v>
      </c>
      <c r="AC3767" s="55">
        <v>0</v>
      </c>
      <c r="AD3767" s="55">
        <v>0</v>
      </c>
      <c r="AE3767" s="55" t="s">
        <v>92</v>
      </c>
      <c r="AF3767" s="55" t="s">
        <v>22012</v>
      </c>
      <c r="AG3767" s="55" t="s">
        <v>8859</v>
      </c>
      <c r="AH3767" s="72">
        <v>45446</v>
      </c>
      <c r="AI3767" s="55">
        <v>1</v>
      </c>
      <c r="AJ3767" s="55" t="s">
        <v>22013</v>
      </c>
      <c r="AK3767" s="55" t="s">
        <v>22014</v>
      </c>
      <c r="AL3767" s="157">
        <v>45446</v>
      </c>
      <c r="AM3767" s="55"/>
      <c r="AN3767" s="157">
        <v>45793</v>
      </c>
      <c r="AO3767" s="157">
        <v>45793</v>
      </c>
    </row>
    <row r="3768" spans="1:54" ht="36.75" customHeight="1">
      <c r="A3768" s="46" t="s">
        <v>12471</v>
      </c>
      <c r="B3768" s="30" t="s">
        <v>55</v>
      </c>
      <c r="C3768" s="69" t="str">
        <f t="shared" ref="C3768" si="329">IF(B3768="Notification","Open",IF(B3768="Interim Statement","In progress","Closed"))</f>
        <v>Closed</v>
      </c>
      <c r="D3768" s="203" t="s">
        <v>22015</v>
      </c>
      <c r="E3768" s="55" t="s">
        <v>22016</v>
      </c>
      <c r="F3768" s="55" t="s">
        <v>14753</v>
      </c>
      <c r="G3768" s="88">
        <f>DATE(2024,5,24)</f>
        <v>45436</v>
      </c>
      <c r="H3768" s="142">
        <v>1.3854166666666667</v>
      </c>
      <c r="I3768" s="55" t="s">
        <v>487</v>
      </c>
      <c r="J3768" s="55" t="s">
        <v>22017</v>
      </c>
      <c r="K3768" s="55" t="s">
        <v>1772</v>
      </c>
      <c r="L3768" s="55" t="s">
        <v>22018</v>
      </c>
      <c r="M3768" s="55" t="s">
        <v>63</v>
      </c>
      <c r="N3768" s="55" t="s">
        <v>142</v>
      </c>
      <c r="O3768" s="55" t="s">
        <v>77</v>
      </c>
      <c r="P3768" s="55" t="s">
        <v>165</v>
      </c>
      <c r="Q3768" s="55" t="s">
        <v>18501</v>
      </c>
      <c r="R3768" s="55" t="s">
        <v>1775</v>
      </c>
      <c r="S3768" s="55">
        <v>0</v>
      </c>
      <c r="T3768" s="55">
        <v>0</v>
      </c>
      <c r="U3768" s="55">
        <v>0</v>
      </c>
      <c r="V3768" s="55">
        <v>0</v>
      </c>
      <c r="W3768" s="55">
        <v>0</v>
      </c>
      <c r="X3768" s="55">
        <v>0</v>
      </c>
      <c r="Y3768" s="55">
        <v>0</v>
      </c>
      <c r="Z3768" s="55">
        <v>0</v>
      </c>
      <c r="AA3768" s="55">
        <v>0</v>
      </c>
      <c r="AB3768" s="55">
        <v>0</v>
      </c>
      <c r="AC3768" s="55">
        <v>0</v>
      </c>
      <c r="AD3768" s="55">
        <v>0</v>
      </c>
      <c r="AE3768" s="55" t="s">
        <v>92</v>
      </c>
      <c r="AF3768" s="55" t="s">
        <v>22019</v>
      </c>
      <c r="AG3768" s="55" t="s">
        <v>8859</v>
      </c>
      <c r="AH3768" s="72">
        <v>45439</v>
      </c>
      <c r="AI3768" s="55">
        <v>3</v>
      </c>
      <c r="AJ3768" s="55" t="s">
        <v>22020</v>
      </c>
      <c r="AK3768" s="55" t="s">
        <v>22021</v>
      </c>
      <c r="AL3768" s="157">
        <v>45447</v>
      </c>
      <c r="AM3768" s="55"/>
      <c r="AN3768" s="157">
        <v>45883</v>
      </c>
      <c r="AO3768" s="157">
        <v>45866</v>
      </c>
    </row>
    <row r="3769" spans="1:54" ht="36.75" customHeight="1">
      <c r="A3769" s="46" t="s">
        <v>12471</v>
      </c>
      <c r="B3769" s="30" t="s">
        <v>2124</v>
      </c>
      <c r="C3769" s="69" t="str">
        <f t="shared" ref="C3769:C3770" si="330">IF(B3769="Notification","Open",IF(B3769="Interim Statement","In progress","Closed"))</f>
        <v>Open</v>
      </c>
      <c r="D3769" s="36" t="s">
        <v>22022</v>
      </c>
      <c r="E3769" s="55" t="s">
        <v>22023</v>
      </c>
      <c r="F3769" s="55" t="s">
        <v>16429</v>
      </c>
      <c r="G3769" s="88">
        <f>DATE(2024,6,5)</f>
        <v>45448</v>
      </c>
      <c r="H3769" s="142">
        <v>1.9506944444444443</v>
      </c>
      <c r="I3769" s="55" t="s">
        <v>198</v>
      </c>
      <c r="J3769" s="55" t="s">
        <v>22024</v>
      </c>
      <c r="K3769" s="55" t="s">
        <v>425</v>
      </c>
      <c r="L3769" s="55" t="s">
        <v>22025</v>
      </c>
      <c r="M3769" s="55" t="s">
        <v>63</v>
      </c>
      <c r="N3769" s="55" t="s">
        <v>142</v>
      </c>
      <c r="O3769" s="55" t="s">
        <v>77</v>
      </c>
      <c r="P3769" s="55" t="s">
        <v>22026</v>
      </c>
      <c r="Q3769" s="55" t="s">
        <v>22027</v>
      </c>
      <c r="R3769" s="55" t="s">
        <v>17369</v>
      </c>
      <c r="S3769" s="55">
        <v>4</v>
      </c>
      <c r="T3769" s="55">
        <v>0</v>
      </c>
      <c r="U3769" s="55">
        <v>0</v>
      </c>
      <c r="V3769" s="55">
        <v>0</v>
      </c>
      <c r="W3769" s="55">
        <v>0</v>
      </c>
      <c r="X3769" s="55">
        <v>4</v>
      </c>
      <c r="Y3769" s="55">
        <v>6</v>
      </c>
      <c r="Z3769" s="55">
        <v>0</v>
      </c>
      <c r="AA3769" s="55">
        <v>0</v>
      </c>
      <c r="AB3769" s="55">
        <v>0</v>
      </c>
      <c r="AC3769" s="55">
        <v>0</v>
      </c>
      <c r="AD3769" s="55">
        <v>6</v>
      </c>
      <c r="AE3769" s="55" t="s">
        <v>145</v>
      </c>
      <c r="AF3769" s="55" t="s">
        <v>22028</v>
      </c>
      <c r="AG3769" s="55" t="s">
        <v>6459</v>
      </c>
      <c r="AH3769" s="72">
        <v>45448</v>
      </c>
      <c r="AI3769" s="55"/>
      <c r="AJ3769" s="55"/>
      <c r="AK3769" s="55"/>
      <c r="AL3769" s="157">
        <v>45453</v>
      </c>
      <c r="AM3769" s="55"/>
      <c r="AN3769" s="209"/>
      <c r="AO3769" s="209"/>
    </row>
    <row r="3770" spans="1:54" ht="36.75" customHeight="1">
      <c r="A3770" s="46" t="s">
        <v>12471</v>
      </c>
      <c r="B3770" s="30" t="s">
        <v>55</v>
      </c>
      <c r="C3770" s="69" t="str">
        <f t="shared" si="330"/>
        <v>Closed</v>
      </c>
      <c r="D3770" s="58" t="s">
        <v>22029</v>
      </c>
      <c r="E3770" s="55" t="s">
        <v>22030</v>
      </c>
      <c r="F3770" s="55" t="s">
        <v>17578</v>
      </c>
      <c r="G3770" s="88">
        <f>DATE(2024,6,7)</f>
        <v>45450</v>
      </c>
      <c r="H3770" s="142">
        <v>1.8055555555555554</v>
      </c>
      <c r="I3770" s="55" t="s">
        <v>4610</v>
      </c>
      <c r="J3770" s="55" t="s">
        <v>22031</v>
      </c>
      <c r="K3770" s="55" t="s">
        <v>837</v>
      </c>
      <c r="L3770" s="55" t="s">
        <v>22032</v>
      </c>
      <c r="M3770" s="55" t="s">
        <v>63</v>
      </c>
      <c r="N3770" s="55" t="s">
        <v>142</v>
      </c>
      <c r="O3770" s="55" t="s">
        <v>77</v>
      </c>
      <c r="P3770" s="55" t="s">
        <v>165</v>
      </c>
      <c r="Q3770" s="55" t="s">
        <v>18858</v>
      </c>
      <c r="R3770" s="55" t="s">
        <v>840</v>
      </c>
      <c r="S3770" s="55">
        <v>0</v>
      </c>
      <c r="T3770" s="55">
        <v>0</v>
      </c>
      <c r="U3770" s="55">
        <v>0</v>
      </c>
      <c r="V3770" s="55">
        <v>0</v>
      </c>
      <c r="W3770" s="55">
        <v>0</v>
      </c>
      <c r="X3770" s="55">
        <v>0</v>
      </c>
      <c r="Y3770" s="55">
        <v>0</v>
      </c>
      <c r="Z3770" s="55">
        <v>0</v>
      </c>
      <c r="AA3770" s="55">
        <v>0</v>
      </c>
      <c r="AB3770" s="55">
        <v>0</v>
      </c>
      <c r="AC3770" s="55">
        <v>0</v>
      </c>
      <c r="AD3770" s="55">
        <v>0</v>
      </c>
      <c r="AE3770" s="55" t="s">
        <v>92</v>
      </c>
      <c r="AF3770" s="55" t="s">
        <v>22033</v>
      </c>
      <c r="AG3770" s="55" t="s">
        <v>13537</v>
      </c>
      <c r="AH3770" s="72">
        <v>45419</v>
      </c>
      <c r="AI3770" s="55">
        <v>0</v>
      </c>
      <c r="AJ3770" s="55" t="s">
        <v>45911</v>
      </c>
      <c r="AK3770" s="55" t="s">
        <v>45912</v>
      </c>
      <c r="AL3770" s="157">
        <v>45454</v>
      </c>
      <c r="AM3770" s="55"/>
      <c r="AN3770" s="157">
        <v>46066</v>
      </c>
      <c r="AO3770" s="212">
        <v>46058</v>
      </c>
    </row>
    <row r="3771" spans="1:54" ht="36.75" customHeight="1">
      <c r="A3771" s="46" t="s">
        <v>12471</v>
      </c>
      <c r="B3771" s="30" t="s">
        <v>55</v>
      </c>
      <c r="C3771" s="69" t="str">
        <f t="shared" ref="C3771" si="331">IF(B3771="Notification","Open",IF(B3771="Interim Statement","In progress","Closed"))</f>
        <v>Closed</v>
      </c>
      <c r="D3771" s="203" t="s">
        <v>22034</v>
      </c>
      <c r="E3771" s="55" t="s">
        <v>22035</v>
      </c>
      <c r="F3771" s="55" t="s">
        <v>16429</v>
      </c>
      <c r="G3771" s="88">
        <f>DATE(2024,6,9)</f>
        <v>45452</v>
      </c>
      <c r="H3771" s="142">
        <v>1.6944444444444446</v>
      </c>
      <c r="I3771" s="55" t="s">
        <v>22036</v>
      </c>
      <c r="J3771" s="55" t="s">
        <v>22037</v>
      </c>
      <c r="K3771" s="55" t="s">
        <v>425</v>
      </c>
      <c r="L3771" s="55" t="s">
        <v>22038</v>
      </c>
      <c r="M3771" s="55" t="s">
        <v>63</v>
      </c>
      <c r="N3771" s="55" t="s">
        <v>99</v>
      </c>
      <c r="O3771" s="55" t="s">
        <v>77</v>
      </c>
      <c r="P3771" s="55" t="s">
        <v>165</v>
      </c>
      <c r="Q3771" s="55" t="s">
        <v>18516</v>
      </c>
      <c r="R3771" s="55" t="s">
        <v>17369</v>
      </c>
      <c r="S3771" s="55">
        <v>0</v>
      </c>
      <c r="T3771" s="55">
        <v>0</v>
      </c>
      <c r="U3771" s="55">
        <v>0</v>
      </c>
      <c r="V3771" s="55">
        <v>0</v>
      </c>
      <c r="W3771" s="55">
        <v>0</v>
      </c>
      <c r="X3771" s="55">
        <v>0</v>
      </c>
      <c r="Y3771" s="55">
        <v>0</v>
      </c>
      <c r="Z3771" s="55">
        <v>0</v>
      </c>
      <c r="AA3771" s="55">
        <v>0</v>
      </c>
      <c r="AB3771" s="55">
        <v>0</v>
      </c>
      <c r="AC3771" s="55">
        <v>0</v>
      </c>
      <c r="AD3771" s="55">
        <v>0</v>
      </c>
      <c r="AE3771" s="55" t="s">
        <v>92</v>
      </c>
      <c r="AF3771" s="55" t="s">
        <v>22039</v>
      </c>
      <c r="AG3771" s="55" t="s">
        <v>16283</v>
      </c>
      <c r="AH3771" s="72">
        <v>45452</v>
      </c>
      <c r="AI3771" s="55">
        <v>0</v>
      </c>
      <c r="AJ3771" s="55" t="s">
        <v>22040</v>
      </c>
      <c r="AK3771" s="55" t="s">
        <v>712</v>
      </c>
      <c r="AL3771" s="157">
        <v>45455</v>
      </c>
      <c r="AM3771" s="55"/>
      <c r="AN3771" s="157">
        <v>45861</v>
      </c>
      <c r="AO3771" s="157">
        <v>45859</v>
      </c>
    </row>
    <row r="3772" spans="1:54" ht="36.75" customHeight="1">
      <c r="A3772" s="46" t="s">
        <v>12471</v>
      </c>
      <c r="B3772" s="30" t="s">
        <v>55</v>
      </c>
      <c r="C3772" s="69" t="str">
        <f t="shared" ref="C3772" si="332">IF(B3772="Notification","Open",IF(B3772="Interim Statement","In progress","Closed"))</f>
        <v>Closed</v>
      </c>
      <c r="D3772" s="37" t="s">
        <v>22041</v>
      </c>
      <c r="E3772" s="55" t="s">
        <v>22042</v>
      </c>
      <c r="F3772" s="55" t="s">
        <v>17773</v>
      </c>
      <c r="G3772" s="88">
        <f>DATE(2024,6,6)</f>
        <v>45449</v>
      </c>
      <c r="H3772" s="142">
        <v>1.9201388888888888</v>
      </c>
      <c r="I3772" s="55" t="s">
        <v>278</v>
      </c>
      <c r="J3772" s="55" t="s">
        <v>22043</v>
      </c>
      <c r="K3772" s="55" t="s">
        <v>2603</v>
      </c>
      <c r="L3772" s="55" t="s">
        <v>22044</v>
      </c>
      <c r="M3772" s="55" t="s">
        <v>63</v>
      </c>
      <c r="N3772" s="55" t="s">
        <v>142</v>
      </c>
      <c r="O3772" s="55" t="s">
        <v>64</v>
      </c>
      <c r="P3772" s="55" t="s">
        <v>65</v>
      </c>
      <c r="Q3772" s="55" t="s">
        <v>22045</v>
      </c>
      <c r="R3772" s="55" t="s">
        <v>20752</v>
      </c>
      <c r="S3772" s="55">
        <v>0</v>
      </c>
      <c r="T3772" s="55">
        <v>1</v>
      </c>
      <c r="U3772" s="55">
        <v>0</v>
      </c>
      <c r="V3772" s="55">
        <v>0</v>
      </c>
      <c r="W3772" s="55">
        <v>0</v>
      </c>
      <c r="X3772" s="55">
        <v>1</v>
      </c>
      <c r="Y3772" s="55">
        <v>0</v>
      </c>
      <c r="Z3772" s="55">
        <v>1</v>
      </c>
      <c r="AA3772" s="55">
        <v>0</v>
      </c>
      <c r="AB3772" s="55">
        <v>0</v>
      </c>
      <c r="AC3772" s="55">
        <v>0</v>
      </c>
      <c r="AD3772" s="55">
        <v>1</v>
      </c>
      <c r="AE3772" s="55" t="s">
        <v>92</v>
      </c>
      <c r="AF3772" s="55" t="s">
        <v>22046</v>
      </c>
      <c r="AG3772" s="55" t="s">
        <v>6459</v>
      </c>
      <c r="AH3772" s="72">
        <v>45449</v>
      </c>
      <c r="AI3772" s="55">
        <v>6</v>
      </c>
      <c r="AJ3772" s="55" t="s">
        <v>22047</v>
      </c>
      <c r="AK3772" s="55" t="s">
        <v>22048</v>
      </c>
      <c r="AL3772" s="157">
        <v>45455</v>
      </c>
      <c r="AM3772" s="55"/>
      <c r="AN3772" s="157">
        <v>45616</v>
      </c>
      <c r="AO3772" s="157">
        <v>45596</v>
      </c>
    </row>
    <row r="3773" spans="1:54" ht="36.75" customHeight="1">
      <c r="A3773" s="46" t="s">
        <v>12471</v>
      </c>
      <c r="B3773" s="30" t="s">
        <v>55</v>
      </c>
      <c r="C3773" s="69" t="str">
        <f t="shared" ref="C3773" si="333">IF(B3773="Notification","Open",IF(B3773="Interim Statement","In progress","Closed"))</f>
        <v>Closed</v>
      </c>
      <c r="D3773" s="37" t="s">
        <v>22049</v>
      </c>
      <c r="E3773" s="55" t="s">
        <v>22050</v>
      </c>
      <c r="F3773" s="55" t="s">
        <v>17773</v>
      </c>
      <c r="G3773" s="88">
        <f>DATE(2024,6,11)</f>
        <v>45454</v>
      </c>
      <c r="H3773" s="142">
        <v>1.6111111111111112</v>
      </c>
      <c r="I3773" s="55" t="s">
        <v>73</v>
      </c>
      <c r="J3773" s="55" t="s">
        <v>22051</v>
      </c>
      <c r="K3773" s="55" t="s">
        <v>2603</v>
      </c>
      <c r="L3773" s="55" t="s">
        <v>22052</v>
      </c>
      <c r="M3773" s="55" t="s">
        <v>63</v>
      </c>
      <c r="N3773" s="55" t="s">
        <v>99</v>
      </c>
      <c r="O3773" s="55" t="s">
        <v>64</v>
      </c>
      <c r="P3773" s="55" t="s">
        <v>6902</v>
      </c>
      <c r="Q3773" s="55" t="s">
        <v>22053</v>
      </c>
      <c r="R3773" s="55" t="s">
        <v>20752</v>
      </c>
      <c r="S3773" s="55">
        <v>0</v>
      </c>
      <c r="T3773" s="55">
        <v>0</v>
      </c>
      <c r="U3773" s="55">
        <v>0</v>
      </c>
      <c r="V3773" s="55">
        <v>0</v>
      </c>
      <c r="W3773" s="55">
        <v>0</v>
      </c>
      <c r="X3773" s="55">
        <v>0</v>
      </c>
      <c r="Y3773" s="55">
        <v>0</v>
      </c>
      <c r="Z3773" s="55">
        <v>0</v>
      </c>
      <c r="AA3773" s="55">
        <v>0</v>
      </c>
      <c r="AB3773" s="55">
        <v>0</v>
      </c>
      <c r="AC3773" s="55">
        <v>0</v>
      </c>
      <c r="AD3773" s="55">
        <v>0</v>
      </c>
      <c r="AE3773" s="55" t="s">
        <v>92</v>
      </c>
      <c r="AF3773" s="55" t="s">
        <v>22054</v>
      </c>
      <c r="AG3773" s="55" t="s">
        <v>8859</v>
      </c>
      <c r="AH3773" s="72">
        <v>45454</v>
      </c>
      <c r="AI3773" s="55">
        <v>2</v>
      </c>
      <c r="AJ3773" s="55" t="s">
        <v>22055</v>
      </c>
      <c r="AK3773" s="55" t="s">
        <v>22056</v>
      </c>
      <c r="AL3773" s="157">
        <v>45455</v>
      </c>
      <c r="AM3773" s="55"/>
      <c r="AN3773" s="157">
        <v>45601</v>
      </c>
      <c r="AO3773" s="157">
        <v>45581</v>
      </c>
    </row>
    <row r="3774" spans="1:54" ht="36.75" customHeight="1">
      <c r="A3774" s="46" t="s">
        <v>12471</v>
      </c>
      <c r="B3774" s="30" t="s">
        <v>55</v>
      </c>
      <c r="C3774" s="69" t="str">
        <f t="shared" ref="C3774" si="334">IF(B3774="Notification","Open",IF(B3774="Interim Statement","In progress","Closed"))</f>
        <v>Closed</v>
      </c>
      <c r="D3774" s="203" t="s">
        <v>22057</v>
      </c>
      <c r="E3774" s="55" t="s">
        <v>22058</v>
      </c>
      <c r="F3774" s="55" t="s">
        <v>17682</v>
      </c>
      <c r="G3774" s="88">
        <f>DATE(2024,6,8)</f>
        <v>45451</v>
      </c>
      <c r="H3774" s="142">
        <v>1.5381944444444444</v>
      </c>
      <c r="I3774" s="55" t="s">
        <v>73</v>
      </c>
      <c r="J3774" s="55" t="s">
        <v>22059</v>
      </c>
      <c r="K3774" s="55" t="s">
        <v>1574</v>
      </c>
      <c r="L3774" s="55" t="s">
        <v>22060</v>
      </c>
      <c r="M3774" s="55" t="s">
        <v>63</v>
      </c>
      <c r="N3774" s="55" t="s">
        <v>142</v>
      </c>
      <c r="O3774" s="55" t="s">
        <v>77</v>
      </c>
      <c r="P3774" s="55" t="s">
        <v>78</v>
      </c>
      <c r="Q3774" s="55" t="s">
        <v>22061</v>
      </c>
      <c r="R3774" s="55" t="s">
        <v>19007</v>
      </c>
      <c r="S3774" s="55">
        <v>0</v>
      </c>
      <c r="T3774" s="55">
        <v>0</v>
      </c>
      <c r="U3774" s="55">
        <v>0</v>
      </c>
      <c r="V3774" s="55">
        <v>0</v>
      </c>
      <c r="W3774" s="55">
        <v>0</v>
      </c>
      <c r="X3774" s="55">
        <v>0</v>
      </c>
      <c r="Y3774" s="55">
        <v>0</v>
      </c>
      <c r="Z3774" s="55">
        <v>0</v>
      </c>
      <c r="AA3774" s="55">
        <v>0</v>
      </c>
      <c r="AB3774" s="55">
        <v>0</v>
      </c>
      <c r="AC3774" s="55">
        <v>0</v>
      </c>
      <c r="AD3774" s="55">
        <v>0</v>
      </c>
      <c r="AE3774" s="55" t="s">
        <v>92</v>
      </c>
      <c r="AF3774" s="55" t="s">
        <v>22062</v>
      </c>
      <c r="AG3774" s="55" t="s">
        <v>8859</v>
      </c>
      <c r="AH3774" s="72">
        <v>45454</v>
      </c>
      <c r="AI3774" s="55">
        <v>0</v>
      </c>
      <c r="AJ3774" s="55" t="s">
        <v>22063</v>
      </c>
      <c r="AK3774" s="55" t="s">
        <v>22064</v>
      </c>
      <c r="AL3774" s="157">
        <v>45455</v>
      </c>
      <c r="AM3774" s="55"/>
      <c r="AN3774" s="157">
        <v>45792</v>
      </c>
      <c r="AO3774" s="157">
        <v>45785</v>
      </c>
    </row>
    <row r="3775" spans="1:54" ht="36.75" customHeight="1">
      <c r="A3775" s="46" t="s">
        <v>12471</v>
      </c>
      <c r="B3775" s="30" t="s">
        <v>55</v>
      </c>
      <c r="C3775" s="69" t="str">
        <f t="shared" ref="C3775" si="335">IF(B3775="Notification","Open",IF(B3775="Interim Statement","In progress","Closed"))</f>
        <v>Closed</v>
      </c>
      <c r="D3775" s="203" t="s">
        <v>22065</v>
      </c>
      <c r="E3775" s="55" t="s">
        <v>22066</v>
      </c>
      <c r="F3775" s="55" t="s">
        <v>17682</v>
      </c>
      <c r="G3775" s="88">
        <f>DATE(2024,6,11)</f>
        <v>45454</v>
      </c>
      <c r="H3775" s="142">
        <v>1.6805555555555556</v>
      </c>
      <c r="I3775" s="55" t="s">
        <v>73</v>
      </c>
      <c r="J3775" s="55" t="s">
        <v>22067</v>
      </c>
      <c r="K3775" s="55" t="s">
        <v>1574</v>
      </c>
      <c r="L3775" s="55" t="s">
        <v>21222</v>
      </c>
      <c r="M3775" s="55" t="s">
        <v>63</v>
      </c>
      <c r="N3775" s="55" t="s">
        <v>142</v>
      </c>
      <c r="O3775" s="55" t="s">
        <v>64</v>
      </c>
      <c r="P3775" s="55" t="s">
        <v>65</v>
      </c>
      <c r="Q3775" s="55" t="s">
        <v>18739</v>
      </c>
      <c r="R3775" s="55" t="s">
        <v>19007</v>
      </c>
      <c r="S3775" s="55">
        <v>0</v>
      </c>
      <c r="T3775" s="55">
        <v>0</v>
      </c>
      <c r="U3775" s="55">
        <v>0</v>
      </c>
      <c r="V3775" s="55">
        <v>0</v>
      </c>
      <c r="W3775" s="55">
        <v>0</v>
      </c>
      <c r="X3775" s="55">
        <v>0</v>
      </c>
      <c r="Y3775" s="55">
        <v>0</v>
      </c>
      <c r="Z3775" s="55">
        <v>0</v>
      </c>
      <c r="AA3775" s="55">
        <v>0</v>
      </c>
      <c r="AB3775" s="55">
        <v>0</v>
      </c>
      <c r="AC3775" s="55">
        <v>0</v>
      </c>
      <c r="AD3775" s="55">
        <v>0</v>
      </c>
      <c r="AE3775" s="55" t="s">
        <v>92</v>
      </c>
      <c r="AF3775" s="55" t="s">
        <v>22068</v>
      </c>
      <c r="AG3775" s="55" t="s">
        <v>8859</v>
      </c>
      <c r="AH3775" s="72">
        <v>45456</v>
      </c>
      <c r="AI3775" s="55">
        <v>1</v>
      </c>
      <c r="AJ3775" s="55" t="s">
        <v>22069</v>
      </c>
      <c r="AK3775" s="55" t="s">
        <v>22070</v>
      </c>
      <c r="AL3775" s="157">
        <v>45456</v>
      </c>
      <c r="AM3775" s="55"/>
      <c r="AN3775" s="157">
        <v>45810</v>
      </c>
      <c r="AO3775" s="157">
        <v>45797</v>
      </c>
    </row>
    <row r="3776" spans="1:54" ht="36.75" customHeight="1">
      <c r="A3776" s="46" t="s">
        <v>12471</v>
      </c>
      <c r="B3776" s="30" t="s">
        <v>55</v>
      </c>
      <c r="C3776" s="69" t="str">
        <f t="shared" ref="C3776" si="336">IF(B3776="Notification","Open",IF(B3776="Interim Statement","In progress","Closed"))</f>
        <v>Closed</v>
      </c>
      <c r="D3776" s="203" t="s">
        <v>22071</v>
      </c>
      <c r="E3776" s="55" t="s">
        <v>22072</v>
      </c>
      <c r="F3776" s="55" t="s">
        <v>16429</v>
      </c>
      <c r="G3776" s="88">
        <f>DATE(2024,6,10)</f>
        <v>45453</v>
      </c>
      <c r="H3776" s="142">
        <v>1.2645833333333334</v>
      </c>
      <c r="I3776" s="55" t="s">
        <v>4610</v>
      </c>
      <c r="J3776" s="55" t="s">
        <v>22073</v>
      </c>
      <c r="K3776" s="55" t="s">
        <v>425</v>
      </c>
      <c r="L3776" s="55" t="s">
        <v>22074</v>
      </c>
      <c r="M3776" s="55" t="s">
        <v>63</v>
      </c>
      <c r="N3776" s="55" t="s">
        <v>142</v>
      </c>
      <c r="O3776" s="55" t="s">
        <v>77</v>
      </c>
      <c r="P3776" s="55" t="s">
        <v>165</v>
      </c>
      <c r="Q3776" s="55" t="s">
        <v>18615</v>
      </c>
      <c r="R3776" s="55" t="s">
        <v>17369</v>
      </c>
      <c r="S3776" s="55">
        <v>0</v>
      </c>
      <c r="T3776" s="55">
        <v>0</v>
      </c>
      <c r="U3776" s="55">
        <v>0</v>
      </c>
      <c r="V3776" s="55">
        <v>0</v>
      </c>
      <c r="W3776" s="55">
        <v>0</v>
      </c>
      <c r="X3776" s="55">
        <v>0</v>
      </c>
      <c r="Y3776" s="55">
        <v>0</v>
      </c>
      <c r="Z3776" s="55">
        <v>0</v>
      </c>
      <c r="AA3776" s="55">
        <v>0</v>
      </c>
      <c r="AB3776" s="55">
        <v>0</v>
      </c>
      <c r="AC3776" s="55">
        <v>0</v>
      </c>
      <c r="AD3776" s="55">
        <v>0</v>
      </c>
      <c r="AE3776" s="55" t="s">
        <v>92</v>
      </c>
      <c r="AF3776" s="55" t="s">
        <v>21699</v>
      </c>
      <c r="AG3776" s="55" t="s">
        <v>16283</v>
      </c>
      <c r="AH3776" s="72">
        <v>45453</v>
      </c>
      <c r="AI3776" s="55">
        <v>0</v>
      </c>
      <c r="AJ3776" s="55" t="s">
        <v>22075</v>
      </c>
      <c r="AK3776" s="55" t="s">
        <v>712</v>
      </c>
      <c r="AL3776" s="157">
        <v>45457</v>
      </c>
      <c r="AM3776" s="55"/>
      <c r="AN3776" s="157">
        <v>45712</v>
      </c>
      <c r="AO3776" s="157">
        <v>45701</v>
      </c>
      <c r="AP3776" s="55"/>
      <c r="AQ3776" s="55"/>
      <c r="AR3776" s="55"/>
      <c r="AS3776" s="55"/>
      <c r="AT3776" s="55"/>
      <c r="AU3776" s="55"/>
      <c r="AV3776" s="55"/>
      <c r="AW3776" s="55"/>
      <c r="AX3776" s="55"/>
      <c r="AY3776" s="55"/>
      <c r="AZ3776" s="55"/>
      <c r="BA3776" s="55"/>
      <c r="BB3776" s="55"/>
    </row>
    <row r="3777" spans="1:41" ht="36.75" customHeight="1">
      <c r="A3777" s="46" t="s">
        <v>12471</v>
      </c>
      <c r="B3777" s="30" t="s">
        <v>55</v>
      </c>
      <c r="C3777" s="69" t="str">
        <f t="shared" ref="C3777" si="337">IF(B3777="Notification","Open",IF(B3777="Interim Statement","In progress","Closed"))</f>
        <v>Closed</v>
      </c>
      <c r="D3777" s="203" t="s">
        <v>22076</v>
      </c>
      <c r="E3777" s="55" t="s">
        <v>22077</v>
      </c>
      <c r="F3777" s="55" t="s">
        <v>16429</v>
      </c>
      <c r="G3777" s="88">
        <f>DATE(2024,6,15)</f>
        <v>45458</v>
      </c>
      <c r="H3777" s="142">
        <v>1.6326388888888888</v>
      </c>
      <c r="I3777" s="55" t="s">
        <v>73</v>
      </c>
      <c r="J3777" s="55" t="s">
        <v>22078</v>
      </c>
      <c r="K3777" s="55" t="s">
        <v>425</v>
      </c>
      <c r="L3777" s="55" t="s">
        <v>22079</v>
      </c>
      <c r="M3777" s="55" t="s">
        <v>63</v>
      </c>
      <c r="N3777" s="55" t="s">
        <v>99</v>
      </c>
      <c r="O3777" s="55" t="s">
        <v>77</v>
      </c>
      <c r="P3777" s="55" t="s">
        <v>165</v>
      </c>
      <c r="Q3777" s="55" t="s">
        <v>14773</v>
      </c>
      <c r="R3777" s="55" t="s">
        <v>17369</v>
      </c>
      <c r="S3777" s="55">
        <v>0</v>
      </c>
      <c r="T3777" s="55">
        <v>0</v>
      </c>
      <c r="U3777" s="55">
        <v>0</v>
      </c>
      <c r="V3777" s="55">
        <v>0</v>
      </c>
      <c r="W3777" s="55">
        <v>0</v>
      </c>
      <c r="X3777" s="55">
        <v>0</v>
      </c>
      <c r="Y3777" s="55">
        <v>0</v>
      </c>
      <c r="Z3777" s="55">
        <v>0</v>
      </c>
      <c r="AA3777" s="55">
        <v>0</v>
      </c>
      <c r="AB3777" s="55">
        <v>0</v>
      </c>
      <c r="AC3777" s="55">
        <v>0</v>
      </c>
      <c r="AD3777" s="55">
        <v>0</v>
      </c>
      <c r="AE3777" s="55" t="s">
        <v>92</v>
      </c>
      <c r="AF3777" s="55" t="s">
        <v>22080</v>
      </c>
      <c r="AG3777" s="55" t="s">
        <v>16283</v>
      </c>
      <c r="AH3777" s="72">
        <v>45458</v>
      </c>
      <c r="AI3777" s="55">
        <v>0</v>
      </c>
      <c r="AJ3777" s="157" t="s">
        <v>22081</v>
      </c>
      <c r="AK3777" s="55" t="s">
        <v>712</v>
      </c>
      <c r="AL3777" s="157">
        <v>45461</v>
      </c>
      <c r="AM3777" s="55"/>
      <c r="AN3777" s="157">
        <v>45749</v>
      </c>
      <c r="AO3777" s="157">
        <v>45744</v>
      </c>
    </row>
    <row r="3778" spans="1:41" ht="36.75" customHeight="1">
      <c r="A3778" s="46" t="s">
        <v>12471</v>
      </c>
      <c r="B3778" s="30" t="s">
        <v>55</v>
      </c>
      <c r="C3778" s="69" t="str">
        <f t="shared" ref="C3778" si="338">IF(B3778="Notification","Open",IF(B3778="Interim Statement","In progress","Closed"))</f>
        <v>Closed</v>
      </c>
      <c r="D3778" s="203" t="s">
        <v>22082</v>
      </c>
      <c r="E3778" s="55" t="s">
        <v>22083</v>
      </c>
      <c r="F3778" s="55" t="s">
        <v>14753</v>
      </c>
      <c r="G3778" s="88">
        <f>DATE(2024,5,13)</f>
        <v>45425</v>
      </c>
      <c r="H3778" s="142">
        <v>1.4652777777777777</v>
      </c>
      <c r="I3778" s="55" t="s">
        <v>198</v>
      </c>
      <c r="J3778" s="55" t="s">
        <v>22084</v>
      </c>
      <c r="K3778" s="55" t="s">
        <v>1772</v>
      </c>
      <c r="L3778" s="55" t="s">
        <v>10425</v>
      </c>
      <c r="M3778" s="55" t="s">
        <v>63</v>
      </c>
      <c r="N3778" s="55" t="s">
        <v>89</v>
      </c>
      <c r="O3778" s="55" t="s">
        <v>90</v>
      </c>
      <c r="P3778" s="55" t="s">
        <v>91</v>
      </c>
      <c r="Q3778" s="55" t="s">
        <v>18501</v>
      </c>
      <c r="R3778" s="55" t="s">
        <v>1775</v>
      </c>
      <c r="S3778" s="55">
        <v>0</v>
      </c>
      <c r="T3778" s="55">
        <v>0</v>
      </c>
      <c r="U3778" s="55">
        <v>0</v>
      </c>
      <c r="V3778" s="55">
        <v>0</v>
      </c>
      <c r="W3778" s="55">
        <v>0</v>
      </c>
      <c r="X3778" s="55">
        <v>0</v>
      </c>
      <c r="Y3778" s="55">
        <v>0</v>
      </c>
      <c r="Z3778" s="55">
        <v>0</v>
      </c>
      <c r="AA3778" s="55">
        <v>0</v>
      </c>
      <c r="AB3778" s="55">
        <v>0</v>
      </c>
      <c r="AC3778" s="55">
        <v>0</v>
      </c>
      <c r="AD3778" s="55">
        <v>0</v>
      </c>
      <c r="AE3778" s="55" t="s">
        <v>92</v>
      </c>
      <c r="AF3778" s="55" t="s">
        <v>22085</v>
      </c>
      <c r="AG3778" s="55" t="s">
        <v>8859</v>
      </c>
      <c r="AH3778" s="72">
        <v>45454</v>
      </c>
      <c r="AI3778" s="55">
        <v>3</v>
      </c>
      <c r="AJ3778" s="55" t="s">
        <v>22086</v>
      </c>
      <c r="AK3778" s="55" t="s">
        <v>22087</v>
      </c>
      <c r="AL3778" s="157">
        <v>45464</v>
      </c>
      <c r="AM3778" s="55"/>
      <c r="AN3778" s="157">
        <v>45869</v>
      </c>
      <c r="AO3778" s="157">
        <v>45853</v>
      </c>
    </row>
    <row r="3779" spans="1:41" ht="36.75" customHeight="1">
      <c r="A3779" s="46" t="s">
        <v>12471</v>
      </c>
      <c r="B3779" s="30" t="s">
        <v>55</v>
      </c>
      <c r="C3779" s="69" t="str">
        <f t="shared" ref="C3779" si="339">IF(B3779="Notification","Open",IF(B3779="Interim Statement","In progress","Closed"))</f>
        <v>Closed</v>
      </c>
      <c r="D3779" s="37" t="s">
        <v>22088</v>
      </c>
      <c r="E3779" s="55" t="s">
        <v>22089</v>
      </c>
      <c r="F3779" s="55" t="s">
        <v>12910</v>
      </c>
      <c r="G3779" s="88">
        <f>DATE(2024,6,22)</f>
        <v>45465</v>
      </c>
      <c r="H3779" s="142">
        <v>1.5</v>
      </c>
      <c r="I3779" s="55" t="s">
        <v>278</v>
      </c>
      <c r="J3779" s="55" t="s">
        <v>22090</v>
      </c>
      <c r="K3779" s="55" t="s">
        <v>453</v>
      </c>
      <c r="L3779" s="55" t="s">
        <v>22091</v>
      </c>
      <c r="M3779" s="55" t="s">
        <v>255</v>
      </c>
      <c r="N3779" s="55" t="s">
        <v>142</v>
      </c>
      <c r="O3779" s="55" t="s">
        <v>64</v>
      </c>
      <c r="P3779" s="55" t="s">
        <v>18468</v>
      </c>
      <c r="Q3779" s="55" t="s">
        <v>16592</v>
      </c>
      <c r="R3779" s="55" t="s">
        <v>22092</v>
      </c>
      <c r="S3779" s="55">
        <v>0</v>
      </c>
      <c r="T3779" s="55">
        <v>0</v>
      </c>
      <c r="U3779" s="55">
        <v>0</v>
      </c>
      <c r="V3779" s="55">
        <v>1</v>
      </c>
      <c r="W3779" s="55">
        <v>0</v>
      </c>
      <c r="X3779" s="55">
        <v>1</v>
      </c>
      <c r="Y3779" s="55">
        <v>0</v>
      </c>
      <c r="Z3779" s="55">
        <v>0</v>
      </c>
      <c r="AA3779" s="55">
        <v>0</v>
      </c>
      <c r="AB3779" s="55">
        <v>0</v>
      </c>
      <c r="AC3779" s="55">
        <v>0</v>
      </c>
      <c r="AD3779" s="55">
        <v>0</v>
      </c>
      <c r="AE3779" s="55" t="s">
        <v>92</v>
      </c>
      <c r="AF3779" s="55" t="s">
        <v>22093</v>
      </c>
      <c r="AG3779" s="55" t="s">
        <v>6459</v>
      </c>
      <c r="AH3779" s="72">
        <v>45467</v>
      </c>
      <c r="AI3779" s="55">
        <v>0</v>
      </c>
      <c r="AJ3779" s="55" t="s">
        <v>22094</v>
      </c>
      <c r="AK3779" s="55" t="s">
        <v>22095</v>
      </c>
      <c r="AL3779" s="157">
        <v>45467</v>
      </c>
      <c r="AM3779" s="55"/>
      <c r="AN3779" s="157">
        <v>45616</v>
      </c>
      <c r="AO3779" s="157">
        <v>45616</v>
      </c>
    </row>
    <row r="3780" spans="1:41" ht="36.75" customHeight="1">
      <c r="A3780" s="46" t="s">
        <v>12471</v>
      </c>
      <c r="B3780" s="30" t="s">
        <v>55</v>
      </c>
      <c r="C3780" s="69" t="str">
        <f t="shared" ref="C3780" si="340">IF(B3780="Notification","Open",IF(B3780="Interim Statement","In progress","Closed"))</f>
        <v>Closed</v>
      </c>
      <c r="D3780" s="203" t="s">
        <v>22096</v>
      </c>
      <c r="E3780" s="55" t="s">
        <v>22097</v>
      </c>
      <c r="F3780" s="55" t="s">
        <v>17578</v>
      </c>
      <c r="G3780" s="88">
        <f>DATE(2024,6,24)</f>
        <v>45467</v>
      </c>
      <c r="H3780" s="142">
        <v>1.8784722222222223</v>
      </c>
      <c r="I3780" s="55" t="s">
        <v>73</v>
      </c>
      <c r="J3780" s="55" t="s">
        <v>22098</v>
      </c>
      <c r="K3780" s="55" t="s">
        <v>837</v>
      </c>
      <c r="L3780" s="55" t="s">
        <v>22099</v>
      </c>
      <c r="M3780" s="55" t="s">
        <v>63</v>
      </c>
      <c r="N3780" s="55" t="s">
        <v>142</v>
      </c>
      <c r="O3780" s="55" t="s">
        <v>77</v>
      </c>
      <c r="P3780" s="55" t="s">
        <v>86</v>
      </c>
      <c r="Q3780" s="55" t="s">
        <v>18858</v>
      </c>
      <c r="R3780" s="55" t="s">
        <v>840</v>
      </c>
      <c r="S3780" s="55">
        <v>0</v>
      </c>
      <c r="T3780" s="55">
        <v>0</v>
      </c>
      <c r="U3780" s="55">
        <v>0</v>
      </c>
      <c r="V3780" s="55">
        <v>0</v>
      </c>
      <c r="W3780" s="55">
        <v>0</v>
      </c>
      <c r="X3780" s="55">
        <v>0</v>
      </c>
      <c r="Y3780" s="55">
        <v>0</v>
      </c>
      <c r="Z3780" s="55">
        <v>0</v>
      </c>
      <c r="AA3780" s="55">
        <v>0</v>
      </c>
      <c r="AB3780" s="55">
        <v>0</v>
      </c>
      <c r="AC3780" s="55">
        <v>0</v>
      </c>
      <c r="AD3780" s="55">
        <v>0</v>
      </c>
      <c r="AE3780" s="55" t="s">
        <v>394</v>
      </c>
      <c r="AF3780" s="55" t="s">
        <v>22100</v>
      </c>
      <c r="AG3780" s="55" t="s">
        <v>14033</v>
      </c>
      <c r="AH3780" s="72">
        <v>45470</v>
      </c>
      <c r="AI3780" s="55">
        <v>1</v>
      </c>
      <c r="AJ3780" s="55" t="s">
        <v>22101</v>
      </c>
      <c r="AK3780" s="55" t="s">
        <v>22102</v>
      </c>
      <c r="AL3780" s="157">
        <v>45471</v>
      </c>
      <c r="AM3780" s="55"/>
      <c r="AN3780" s="157">
        <v>45902</v>
      </c>
      <c r="AO3780" s="157">
        <v>45880</v>
      </c>
    </row>
    <row r="3781" spans="1:41" ht="36.75" customHeight="1">
      <c r="A3781" s="46" t="s">
        <v>12471</v>
      </c>
      <c r="B3781" s="30" t="s">
        <v>55</v>
      </c>
      <c r="C3781" s="69" t="str">
        <f t="shared" ref="C3781" si="341">IF(B3781="Notification","Open",IF(B3781="Interim Statement","In progress","Closed"))</f>
        <v>Closed</v>
      </c>
      <c r="D3781" s="203" t="s">
        <v>22103</v>
      </c>
      <c r="E3781" s="55" t="s">
        <v>22104</v>
      </c>
      <c r="F3781" s="55" t="s">
        <v>16429</v>
      </c>
      <c r="G3781" s="88">
        <f>DATE(2024,6,27)</f>
        <v>45470</v>
      </c>
      <c r="H3781" s="142">
        <v>1.3631944444444444</v>
      </c>
      <c r="I3781" s="55" t="s">
        <v>198</v>
      </c>
      <c r="J3781" s="55" t="s">
        <v>22105</v>
      </c>
      <c r="K3781" s="55" t="s">
        <v>425</v>
      </c>
      <c r="L3781" s="55" t="s">
        <v>22106</v>
      </c>
      <c r="M3781" s="55" t="s">
        <v>63</v>
      </c>
      <c r="N3781" s="55" t="s">
        <v>99</v>
      </c>
      <c r="O3781" s="55" t="s">
        <v>77</v>
      </c>
      <c r="P3781" s="55" t="s">
        <v>78</v>
      </c>
      <c r="Q3781" s="55" t="s">
        <v>22107</v>
      </c>
      <c r="R3781" s="55" t="s">
        <v>17369</v>
      </c>
      <c r="S3781" s="55">
        <v>0</v>
      </c>
      <c r="T3781" s="55">
        <v>0</v>
      </c>
      <c r="U3781" s="55">
        <v>0</v>
      </c>
      <c r="V3781" s="55">
        <v>0</v>
      </c>
      <c r="W3781" s="55">
        <v>0</v>
      </c>
      <c r="X3781" s="55">
        <v>0</v>
      </c>
      <c r="Y3781" s="55">
        <v>0</v>
      </c>
      <c r="Z3781" s="55">
        <v>0</v>
      </c>
      <c r="AA3781" s="55">
        <v>0</v>
      </c>
      <c r="AB3781" s="55">
        <v>0</v>
      </c>
      <c r="AC3781" s="55">
        <v>0</v>
      </c>
      <c r="AD3781" s="55">
        <v>0</v>
      </c>
      <c r="AE3781" s="55" t="s">
        <v>394</v>
      </c>
      <c r="AF3781" s="55" t="s">
        <v>22108</v>
      </c>
      <c r="AG3781" s="55" t="s">
        <v>16283</v>
      </c>
      <c r="AH3781" s="72">
        <v>45470</v>
      </c>
      <c r="AI3781" s="55">
        <v>0</v>
      </c>
      <c r="AJ3781" s="55" t="s">
        <v>22109</v>
      </c>
      <c r="AK3781" s="55" t="s">
        <v>712</v>
      </c>
      <c r="AL3781" s="157">
        <v>45472</v>
      </c>
      <c r="AM3781" s="55"/>
      <c r="AN3781" s="157">
        <v>45959</v>
      </c>
      <c r="AO3781" s="157">
        <v>45957</v>
      </c>
    </row>
    <row r="3782" spans="1:41" ht="36.75" customHeight="1">
      <c r="A3782" s="46" t="s">
        <v>12471</v>
      </c>
      <c r="B3782" s="30" t="s">
        <v>55</v>
      </c>
      <c r="C3782" s="69" t="str">
        <f t="shared" ref="C3782" si="342">IF(B3782="Notification","Open",IF(B3782="Interim Statement","In progress","Closed"))</f>
        <v>Closed</v>
      </c>
      <c r="D3782" s="203" t="s">
        <v>22110</v>
      </c>
      <c r="E3782" s="55" t="s">
        <v>22111</v>
      </c>
      <c r="F3782" s="55" t="s">
        <v>19149</v>
      </c>
      <c r="G3782" s="88">
        <f>DATE(2024,6,27)</f>
        <v>45470</v>
      </c>
      <c r="H3782" s="142">
        <v>1.7083333333333335</v>
      </c>
      <c r="I3782" s="55" t="s">
        <v>116</v>
      </c>
      <c r="J3782" s="55" t="s">
        <v>116</v>
      </c>
      <c r="K3782" s="55" t="s">
        <v>19151</v>
      </c>
      <c r="L3782" s="55" t="s">
        <v>22112</v>
      </c>
      <c r="M3782" s="55" t="s">
        <v>63</v>
      </c>
      <c r="N3782" s="55" t="s">
        <v>142</v>
      </c>
      <c r="O3782" s="55" t="s">
        <v>64</v>
      </c>
      <c r="P3782" s="55" t="s">
        <v>65</v>
      </c>
      <c r="Q3782" s="55" t="s">
        <v>19153</v>
      </c>
      <c r="R3782" s="55" t="s">
        <v>19154</v>
      </c>
      <c r="S3782" s="55">
        <v>0</v>
      </c>
      <c r="T3782" s="55">
        <v>0</v>
      </c>
      <c r="U3782" s="55">
        <v>7</v>
      </c>
      <c r="V3782" s="55">
        <v>0</v>
      </c>
      <c r="W3782" s="55">
        <v>0</v>
      </c>
      <c r="X3782" s="55">
        <v>7</v>
      </c>
      <c r="Y3782" s="55">
        <v>0</v>
      </c>
      <c r="Z3782" s="55">
        <v>1</v>
      </c>
      <c r="AA3782" s="55">
        <v>4</v>
      </c>
      <c r="AB3782" s="55">
        <v>0</v>
      </c>
      <c r="AC3782" s="55">
        <v>0</v>
      </c>
      <c r="AD3782" s="55">
        <v>5</v>
      </c>
      <c r="AE3782" s="55" t="s">
        <v>145</v>
      </c>
      <c r="AF3782" s="55" t="s">
        <v>22113</v>
      </c>
      <c r="AG3782" s="55" t="s">
        <v>6459</v>
      </c>
      <c r="AH3782" s="72">
        <v>45470</v>
      </c>
      <c r="AI3782" s="55">
        <v>4</v>
      </c>
      <c r="AJ3782" s="55" t="s">
        <v>22114</v>
      </c>
      <c r="AK3782" s="55" t="s">
        <v>10556</v>
      </c>
      <c r="AL3782" s="157">
        <v>45474</v>
      </c>
      <c r="AM3782" s="55"/>
      <c r="AN3782" s="157">
        <v>45656</v>
      </c>
      <c r="AO3782" s="157">
        <v>45626</v>
      </c>
    </row>
    <row r="3783" spans="1:41" ht="36.75" customHeight="1">
      <c r="A3783" s="46" t="s">
        <v>12471</v>
      </c>
      <c r="B3783" s="30" t="s">
        <v>2124</v>
      </c>
      <c r="C3783" s="69" t="str">
        <f t="shared" ref="C3783:C3785" si="343">IF(B3783="Notification","Open",IF(B3783="Interim Statement","In progress","Closed"))</f>
        <v>Open</v>
      </c>
      <c r="D3783" s="36" t="s">
        <v>22115</v>
      </c>
      <c r="E3783" s="55" t="s">
        <v>22116</v>
      </c>
      <c r="F3783" s="55" t="s">
        <v>19136</v>
      </c>
      <c r="G3783" s="88">
        <f>DATE(2024,3,8)</f>
        <v>45359</v>
      </c>
      <c r="H3783" s="142">
        <v>1.4131944444444444</v>
      </c>
      <c r="I3783" s="55" t="s">
        <v>198</v>
      </c>
      <c r="J3783" s="55" t="s">
        <v>22117</v>
      </c>
      <c r="K3783" s="55" t="s">
        <v>1940</v>
      </c>
      <c r="L3783" s="55" t="s">
        <v>22118</v>
      </c>
      <c r="M3783" s="55" t="s">
        <v>63</v>
      </c>
      <c r="N3783" s="55" t="s">
        <v>89</v>
      </c>
      <c r="O3783" s="55" t="s">
        <v>64</v>
      </c>
      <c r="P3783" s="55" t="s">
        <v>86</v>
      </c>
      <c r="Q3783" s="55" t="s">
        <v>17724</v>
      </c>
      <c r="R3783" s="55" t="s">
        <v>17724</v>
      </c>
      <c r="S3783" s="55"/>
      <c r="T3783" s="55"/>
      <c r="U3783" s="55"/>
      <c r="V3783" s="55"/>
      <c r="W3783" s="55"/>
      <c r="X3783" s="55">
        <v>0</v>
      </c>
      <c r="Y3783" s="55"/>
      <c r="Z3783" s="55"/>
      <c r="AA3783" s="55"/>
      <c r="AB3783" s="55"/>
      <c r="AC3783" s="55"/>
      <c r="AD3783" s="55">
        <v>0</v>
      </c>
      <c r="AE3783" s="55" t="s">
        <v>92</v>
      </c>
      <c r="AF3783" s="55" t="s">
        <v>22119</v>
      </c>
      <c r="AG3783" s="55" t="s">
        <v>6459</v>
      </c>
      <c r="AH3783" s="72">
        <v>45398</v>
      </c>
      <c r="AI3783" s="55"/>
      <c r="AJ3783" s="55"/>
      <c r="AK3783" s="55"/>
      <c r="AL3783" s="157">
        <v>45482</v>
      </c>
      <c r="AM3783" s="55"/>
      <c r="AN3783" s="209"/>
      <c r="AO3783" s="209"/>
    </row>
    <row r="3784" spans="1:41" ht="36.75" customHeight="1">
      <c r="A3784" s="46" t="s">
        <v>12471</v>
      </c>
      <c r="B3784" s="30" t="s">
        <v>2124</v>
      </c>
      <c r="C3784" s="69" t="str">
        <f t="shared" si="343"/>
        <v>Open</v>
      </c>
      <c r="D3784" s="36" t="s">
        <v>22120</v>
      </c>
      <c r="E3784" s="55" t="s">
        <v>22121</v>
      </c>
      <c r="F3784" s="55" t="s">
        <v>19136</v>
      </c>
      <c r="G3784" s="88">
        <f>DATE(2024,3,28)</f>
        <v>45379</v>
      </c>
      <c r="H3784" s="142">
        <v>1.6631944444444444</v>
      </c>
      <c r="I3784" s="55" t="s">
        <v>6775</v>
      </c>
      <c r="J3784" s="55" t="s">
        <v>11650</v>
      </c>
      <c r="K3784" s="55" t="s">
        <v>1940</v>
      </c>
      <c r="L3784" s="55" t="s">
        <v>22122</v>
      </c>
      <c r="M3784" s="55" t="s">
        <v>63</v>
      </c>
      <c r="N3784" s="55" t="s">
        <v>142</v>
      </c>
      <c r="O3784" s="55" t="s">
        <v>64</v>
      </c>
      <c r="P3784" s="55" t="s">
        <v>165</v>
      </c>
      <c r="Q3784" s="55" t="s">
        <v>17724</v>
      </c>
      <c r="R3784" s="55" t="s">
        <v>17724</v>
      </c>
      <c r="S3784" s="55"/>
      <c r="T3784" s="55"/>
      <c r="U3784" s="55"/>
      <c r="V3784" s="55"/>
      <c r="W3784" s="55"/>
      <c r="X3784" s="55">
        <v>0</v>
      </c>
      <c r="Y3784" s="55"/>
      <c r="Z3784" s="55"/>
      <c r="AA3784" s="55"/>
      <c r="AB3784" s="55"/>
      <c r="AC3784" s="55"/>
      <c r="AD3784" s="55">
        <v>0</v>
      </c>
      <c r="AE3784" s="55" t="s">
        <v>92</v>
      </c>
      <c r="AF3784" s="55" t="s">
        <v>22123</v>
      </c>
      <c r="AG3784" s="55" t="s">
        <v>6459</v>
      </c>
      <c r="AH3784" s="72">
        <v>45371</v>
      </c>
      <c r="AI3784" s="55"/>
      <c r="AJ3784" s="55"/>
      <c r="AK3784" s="55"/>
      <c r="AL3784" s="157">
        <v>45482</v>
      </c>
      <c r="AM3784" s="55"/>
      <c r="AN3784" s="209"/>
      <c r="AO3784" s="209"/>
    </row>
    <row r="3785" spans="1:41" ht="36.75" customHeight="1">
      <c r="A3785" s="46" t="s">
        <v>12471</v>
      </c>
      <c r="B3785" s="30" t="s">
        <v>55</v>
      </c>
      <c r="C3785" s="69" t="str">
        <f t="shared" si="343"/>
        <v>Closed</v>
      </c>
      <c r="D3785" s="203" t="s">
        <v>22124</v>
      </c>
      <c r="E3785" s="55" t="s">
        <v>22125</v>
      </c>
      <c r="F3785" s="55" t="s">
        <v>17057</v>
      </c>
      <c r="G3785" s="88">
        <f>DATE(2024,7,1)</f>
        <v>45474</v>
      </c>
      <c r="H3785" s="142">
        <v>1.3888888888888888</v>
      </c>
      <c r="I3785" s="55" t="s">
        <v>116</v>
      </c>
      <c r="J3785" s="55" t="s">
        <v>22126</v>
      </c>
      <c r="K3785" s="55" t="s">
        <v>2338</v>
      </c>
      <c r="L3785" s="55" t="s">
        <v>22127</v>
      </c>
      <c r="M3785" s="55" t="s">
        <v>63</v>
      </c>
      <c r="N3785" s="55" t="s">
        <v>142</v>
      </c>
      <c r="O3785" s="55" t="s">
        <v>64</v>
      </c>
      <c r="P3785" s="55" t="s">
        <v>6902</v>
      </c>
      <c r="Q3785" s="55" t="s">
        <v>22128</v>
      </c>
      <c r="R3785" s="55" t="s">
        <v>2341</v>
      </c>
      <c r="S3785" s="55">
        <v>0</v>
      </c>
      <c r="T3785" s="55">
        <v>1</v>
      </c>
      <c r="U3785" s="55">
        <v>0</v>
      </c>
      <c r="V3785" s="55">
        <v>0</v>
      </c>
      <c r="W3785" s="55">
        <v>0</v>
      </c>
      <c r="X3785" s="55">
        <v>1</v>
      </c>
      <c r="Y3785" s="55">
        <v>0</v>
      </c>
      <c r="Z3785" s="55">
        <v>0</v>
      </c>
      <c r="AA3785" s="55">
        <v>0</v>
      </c>
      <c r="AB3785" s="55">
        <v>0</v>
      </c>
      <c r="AC3785" s="55">
        <v>0</v>
      </c>
      <c r="AD3785" s="55">
        <v>0</v>
      </c>
      <c r="AE3785" s="55" t="s">
        <v>145</v>
      </c>
      <c r="AF3785" s="55" t="s">
        <v>22129</v>
      </c>
      <c r="AG3785" s="55" t="s">
        <v>6459</v>
      </c>
      <c r="AH3785" s="72">
        <v>45476</v>
      </c>
      <c r="AI3785" s="55">
        <v>8</v>
      </c>
      <c r="AJ3785" s="55" t="s">
        <v>22130</v>
      </c>
      <c r="AK3785" s="55" t="s">
        <v>22131</v>
      </c>
      <c r="AL3785" s="157">
        <v>45482</v>
      </c>
      <c r="AM3785" s="55"/>
      <c r="AN3785" s="157">
        <v>45849</v>
      </c>
      <c r="AO3785" s="157">
        <v>45833</v>
      </c>
    </row>
    <row r="3786" spans="1:41" ht="36.75" customHeight="1">
      <c r="A3786" s="46" t="s">
        <v>12471</v>
      </c>
      <c r="B3786" s="30" t="s">
        <v>2124</v>
      </c>
      <c r="C3786" s="69" t="str">
        <f t="shared" ref="C3786" si="344">IF(B3786="Notification","Open",IF(B3786="Interim Statement","In progress","Closed"))</f>
        <v>Open</v>
      </c>
      <c r="D3786" s="36" t="s">
        <v>22132</v>
      </c>
      <c r="E3786" s="55" t="s">
        <v>22133</v>
      </c>
      <c r="F3786" s="55" t="s">
        <v>19136</v>
      </c>
      <c r="G3786" s="88">
        <f>DATE(2024,5,1)</f>
        <v>45413</v>
      </c>
      <c r="H3786" s="142">
        <v>1.0486111111111112</v>
      </c>
      <c r="I3786" s="55" t="s">
        <v>6775</v>
      </c>
      <c r="J3786" s="55" t="s">
        <v>22134</v>
      </c>
      <c r="K3786" s="55" t="s">
        <v>1940</v>
      </c>
      <c r="L3786" s="55" t="s">
        <v>19570</v>
      </c>
      <c r="M3786" s="55" t="s">
        <v>63</v>
      </c>
      <c r="N3786" s="55" t="s">
        <v>89</v>
      </c>
      <c r="O3786" s="55" t="s">
        <v>64</v>
      </c>
      <c r="P3786" s="55" t="s">
        <v>165</v>
      </c>
      <c r="Q3786" s="55" t="s">
        <v>17724</v>
      </c>
      <c r="R3786" s="55" t="s">
        <v>22135</v>
      </c>
      <c r="S3786" s="55"/>
      <c r="T3786" s="55"/>
      <c r="U3786" s="55"/>
      <c r="V3786" s="55"/>
      <c r="W3786" s="55"/>
      <c r="X3786" s="55">
        <v>0</v>
      </c>
      <c r="Y3786" s="55"/>
      <c r="Z3786" s="55"/>
      <c r="AA3786" s="55"/>
      <c r="AB3786" s="55"/>
      <c r="AC3786" s="55"/>
      <c r="AD3786" s="55">
        <v>0</v>
      </c>
      <c r="AE3786" s="55" t="s">
        <v>92</v>
      </c>
      <c r="AF3786" s="55" t="s">
        <v>22136</v>
      </c>
      <c r="AG3786" s="55" t="s">
        <v>6459</v>
      </c>
      <c r="AH3786" s="72">
        <v>45432</v>
      </c>
      <c r="AI3786" s="55"/>
      <c r="AJ3786" s="55"/>
      <c r="AK3786" s="55"/>
      <c r="AL3786" s="157">
        <v>45482</v>
      </c>
      <c r="AM3786" s="55"/>
      <c r="AN3786" s="209"/>
      <c r="AO3786" s="209"/>
    </row>
    <row r="3787" spans="1:41" ht="36.75" customHeight="1">
      <c r="A3787" s="46" t="s">
        <v>12471</v>
      </c>
      <c r="B3787" s="30" t="s">
        <v>55</v>
      </c>
      <c r="C3787" s="69" t="str">
        <f t="shared" ref="C3787" si="345">IF(B3787="Notification","Open",IF(B3787="Interim Statement","In progress","Closed"))</f>
        <v>Closed</v>
      </c>
      <c r="D3787" s="203" t="s">
        <v>22137</v>
      </c>
      <c r="E3787" s="55" t="s">
        <v>22138</v>
      </c>
      <c r="F3787" s="55" t="s">
        <v>18131</v>
      </c>
      <c r="G3787" s="88">
        <f>DATE(2024,7,9)</f>
        <v>45482</v>
      </c>
      <c r="H3787" s="142">
        <v>1.6875</v>
      </c>
      <c r="I3787" s="55" t="s">
        <v>73</v>
      </c>
      <c r="J3787" s="55" t="s">
        <v>22139</v>
      </c>
      <c r="K3787" s="55" t="s">
        <v>379</v>
      </c>
      <c r="L3787" s="55" t="s">
        <v>22140</v>
      </c>
      <c r="M3787" s="55" t="s">
        <v>63</v>
      </c>
      <c r="N3787" s="55" t="s">
        <v>142</v>
      </c>
      <c r="O3787" s="55" t="s">
        <v>77</v>
      </c>
      <c r="P3787" s="55" t="s">
        <v>78</v>
      </c>
      <c r="Q3787" s="55" t="s">
        <v>19603</v>
      </c>
      <c r="R3787" s="55" t="s">
        <v>19604</v>
      </c>
      <c r="S3787" s="55">
        <v>0</v>
      </c>
      <c r="T3787" s="55">
        <v>0</v>
      </c>
      <c r="U3787" s="55">
        <v>0</v>
      </c>
      <c r="V3787" s="55">
        <v>0</v>
      </c>
      <c r="W3787" s="55">
        <v>0</v>
      </c>
      <c r="X3787" s="55">
        <v>0</v>
      </c>
      <c r="Y3787" s="55">
        <v>0</v>
      </c>
      <c r="Z3787" s="55">
        <v>0</v>
      </c>
      <c r="AA3787" s="55">
        <v>0</v>
      </c>
      <c r="AB3787" s="55">
        <v>0</v>
      </c>
      <c r="AC3787" s="55">
        <v>0</v>
      </c>
      <c r="AD3787" s="55">
        <v>0</v>
      </c>
      <c r="AE3787" s="55" t="s">
        <v>394</v>
      </c>
      <c r="AF3787" s="55" t="s">
        <v>22141</v>
      </c>
      <c r="AG3787" s="55" t="s">
        <v>8859</v>
      </c>
      <c r="AH3787" s="72">
        <v>45483</v>
      </c>
      <c r="AI3787" s="55">
        <v>4</v>
      </c>
      <c r="AJ3787" s="55" t="s">
        <v>22142</v>
      </c>
      <c r="AK3787" s="55" t="s">
        <v>22143</v>
      </c>
      <c r="AL3787" s="157">
        <v>45488</v>
      </c>
      <c r="AM3787" s="55"/>
      <c r="AN3787" s="157">
        <v>45467</v>
      </c>
      <c r="AO3787" s="157">
        <v>45446</v>
      </c>
    </row>
    <row r="3788" spans="1:41" ht="36.75" customHeight="1">
      <c r="A3788" s="46" t="s">
        <v>12471</v>
      </c>
      <c r="B3788" s="30" t="s">
        <v>55</v>
      </c>
      <c r="C3788" s="69" t="str">
        <f t="shared" ref="C3788" si="346">IF(B3788="Notification","Open",IF(B3788="Interim Statement","In progress","Closed"))</f>
        <v>Closed</v>
      </c>
      <c r="D3788" s="203" t="s">
        <v>22144</v>
      </c>
      <c r="E3788" s="55" t="s">
        <v>22145</v>
      </c>
      <c r="F3788" s="55" t="s">
        <v>17682</v>
      </c>
      <c r="G3788" s="88">
        <f>DATE(2024,7,13)</f>
        <v>45486</v>
      </c>
      <c r="H3788" s="142">
        <v>1.5034722222222223</v>
      </c>
      <c r="I3788" s="55" t="s">
        <v>73</v>
      </c>
      <c r="J3788" s="55" t="s">
        <v>22146</v>
      </c>
      <c r="K3788" s="55" t="s">
        <v>1574</v>
      </c>
      <c r="L3788" s="55" t="s">
        <v>22147</v>
      </c>
      <c r="M3788" s="55" t="s">
        <v>63</v>
      </c>
      <c r="N3788" s="55" t="s">
        <v>142</v>
      </c>
      <c r="O3788" s="55" t="s">
        <v>64</v>
      </c>
      <c r="P3788" s="55" t="s">
        <v>65</v>
      </c>
      <c r="Q3788" s="55" t="s">
        <v>18739</v>
      </c>
      <c r="R3788" s="55" t="s">
        <v>19007</v>
      </c>
      <c r="S3788" s="55">
        <v>0</v>
      </c>
      <c r="T3788" s="55">
        <v>0</v>
      </c>
      <c r="U3788" s="55">
        <v>0</v>
      </c>
      <c r="V3788" s="55">
        <v>0</v>
      </c>
      <c r="W3788" s="55">
        <v>0</v>
      </c>
      <c r="X3788" s="55">
        <v>0</v>
      </c>
      <c r="Y3788" s="55">
        <v>0</v>
      </c>
      <c r="Z3788" s="55">
        <v>0</v>
      </c>
      <c r="AA3788" s="55">
        <v>0</v>
      </c>
      <c r="AB3788" s="55">
        <v>0</v>
      </c>
      <c r="AC3788" s="55">
        <v>0</v>
      </c>
      <c r="AD3788" s="55">
        <v>0</v>
      </c>
      <c r="AE3788" s="55" t="s">
        <v>92</v>
      </c>
      <c r="AF3788" s="55" t="s">
        <v>22148</v>
      </c>
      <c r="AG3788" s="55" t="s">
        <v>8859</v>
      </c>
      <c r="AH3788" s="72">
        <v>45488</v>
      </c>
      <c r="AI3788" s="55">
        <v>0</v>
      </c>
      <c r="AJ3788" s="55" t="s">
        <v>22149</v>
      </c>
      <c r="AK3788" s="55" t="s">
        <v>22150</v>
      </c>
      <c r="AL3788" s="157">
        <v>45488</v>
      </c>
      <c r="AM3788" s="55"/>
      <c r="AN3788" s="157">
        <v>45854</v>
      </c>
      <c r="AO3788" s="157">
        <v>45847</v>
      </c>
    </row>
    <row r="3789" spans="1:41" ht="36.75" customHeight="1">
      <c r="A3789" s="46" t="s">
        <v>12471</v>
      </c>
      <c r="B3789" s="30" t="s">
        <v>55</v>
      </c>
      <c r="C3789" s="69" t="str">
        <f t="shared" ref="C3789" si="347">IF(B3789="Notification","Open",IF(B3789="Interim Statement","In progress","Closed"))</f>
        <v>Closed</v>
      </c>
      <c r="D3789" s="203" t="s">
        <v>22151</v>
      </c>
      <c r="E3789" s="55" t="s">
        <v>22152</v>
      </c>
      <c r="F3789" s="55" t="s">
        <v>12910</v>
      </c>
      <c r="G3789" s="88">
        <f>DATE(2024,6,1)</f>
        <v>45444</v>
      </c>
      <c r="H3789" s="142">
        <v>1.7604166666666665</v>
      </c>
      <c r="I3789" s="30" t="s">
        <v>6600</v>
      </c>
      <c r="J3789" s="55" t="s">
        <v>22153</v>
      </c>
      <c r="K3789" s="55" t="s">
        <v>453</v>
      </c>
      <c r="L3789" s="55" t="s">
        <v>22154</v>
      </c>
      <c r="M3789" s="55" t="s">
        <v>63</v>
      </c>
      <c r="N3789" s="55" t="s">
        <v>99</v>
      </c>
      <c r="O3789" s="55" t="s">
        <v>77</v>
      </c>
      <c r="P3789" s="55" t="s">
        <v>165</v>
      </c>
      <c r="Q3789" s="55" t="s">
        <v>22155</v>
      </c>
      <c r="R3789" s="55" t="s">
        <v>572</v>
      </c>
      <c r="S3789" s="55">
        <v>0</v>
      </c>
      <c r="T3789" s="55">
        <v>0</v>
      </c>
      <c r="U3789" s="55">
        <v>0</v>
      </c>
      <c r="V3789" s="55">
        <v>0</v>
      </c>
      <c r="W3789" s="55">
        <v>0</v>
      </c>
      <c r="X3789" s="55">
        <v>0</v>
      </c>
      <c r="Y3789" s="55">
        <v>0</v>
      </c>
      <c r="Z3789" s="55">
        <v>0</v>
      </c>
      <c r="AA3789" s="55">
        <v>0</v>
      </c>
      <c r="AB3789" s="55">
        <v>0</v>
      </c>
      <c r="AC3789" s="55">
        <v>0</v>
      </c>
      <c r="AD3789" s="55">
        <v>0</v>
      </c>
      <c r="AE3789" s="55" t="s">
        <v>92</v>
      </c>
      <c r="AF3789" s="55" t="s">
        <v>22156</v>
      </c>
      <c r="AG3789" s="55" t="s">
        <v>14033</v>
      </c>
      <c r="AH3789" s="72">
        <v>45488</v>
      </c>
      <c r="AI3789" s="55">
        <v>0</v>
      </c>
      <c r="AJ3789" s="55" t="s">
        <v>22157</v>
      </c>
      <c r="AK3789" s="55" t="s">
        <v>22158</v>
      </c>
      <c r="AL3789" s="157">
        <v>45488</v>
      </c>
      <c r="AM3789" s="55"/>
      <c r="AN3789" s="157">
        <v>45673</v>
      </c>
      <c r="AO3789" s="157">
        <v>45671</v>
      </c>
    </row>
    <row r="3790" spans="1:41" ht="36.75" customHeight="1">
      <c r="A3790" s="46" t="s">
        <v>12471</v>
      </c>
      <c r="B3790" s="30" t="s">
        <v>55</v>
      </c>
      <c r="C3790" s="69" t="str">
        <f t="shared" ref="C3790" si="348">IF(B3790="Notification","Open",IF(B3790="Interim Statement","In progress","Closed"))</f>
        <v>Closed</v>
      </c>
      <c r="D3790" s="203" t="s">
        <v>22159</v>
      </c>
      <c r="E3790" s="30" t="s">
        <v>22160</v>
      </c>
      <c r="F3790" s="55" t="s">
        <v>16429</v>
      </c>
      <c r="G3790" s="88">
        <f>DATE(2024,7,14)</f>
        <v>45487</v>
      </c>
      <c r="H3790" s="142">
        <v>1.5194444444444444</v>
      </c>
      <c r="I3790" s="55" t="s">
        <v>73</v>
      </c>
      <c r="J3790" s="55" t="s">
        <v>22161</v>
      </c>
      <c r="K3790" s="55" t="s">
        <v>425</v>
      </c>
      <c r="L3790" s="55" t="s">
        <v>22162</v>
      </c>
      <c r="M3790" s="55" t="s">
        <v>63</v>
      </c>
      <c r="N3790" s="55" t="s">
        <v>99</v>
      </c>
      <c r="O3790" s="55" t="s">
        <v>64</v>
      </c>
      <c r="P3790" s="55" t="s">
        <v>165</v>
      </c>
      <c r="Q3790" s="55" t="s">
        <v>18615</v>
      </c>
      <c r="R3790" s="55" t="s">
        <v>17369</v>
      </c>
      <c r="S3790" s="55">
        <v>0</v>
      </c>
      <c r="T3790" s="55">
        <v>0</v>
      </c>
      <c r="U3790" s="55">
        <v>0</v>
      </c>
      <c r="V3790" s="55">
        <v>0</v>
      </c>
      <c r="W3790" s="55">
        <v>0</v>
      </c>
      <c r="X3790" s="55">
        <v>0</v>
      </c>
      <c r="Y3790" s="55">
        <v>0</v>
      </c>
      <c r="Z3790" s="55">
        <v>0</v>
      </c>
      <c r="AA3790" s="55">
        <v>0</v>
      </c>
      <c r="AB3790" s="55">
        <v>0</v>
      </c>
      <c r="AC3790" s="55">
        <v>0</v>
      </c>
      <c r="AD3790" s="55">
        <v>0</v>
      </c>
      <c r="AE3790" s="55" t="s">
        <v>92</v>
      </c>
      <c r="AF3790" s="55" t="s">
        <v>22163</v>
      </c>
      <c r="AG3790" s="55" t="s">
        <v>16283</v>
      </c>
      <c r="AH3790" s="72">
        <v>45487</v>
      </c>
      <c r="AI3790" s="55">
        <v>0</v>
      </c>
      <c r="AJ3790" s="55" t="s">
        <v>22164</v>
      </c>
      <c r="AK3790" s="55" t="s">
        <v>712</v>
      </c>
      <c r="AL3790" s="157">
        <v>45489</v>
      </c>
      <c r="AM3790" s="55"/>
      <c r="AN3790" s="157">
        <v>45834</v>
      </c>
      <c r="AO3790" s="157">
        <v>45832</v>
      </c>
    </row>
    <row r="3791" spans="1:41" ht="36.75" customHeight="1">
      <c r="A3791" s="46" t="s">
        <v>12471</v>
      </c>
      <c r="B3791" s="30" t="s">
        <v>55</v>
      </c>
      <c r="C3791" s="69" t="str">
        <f t="shared" ref="C3791:C3792" si="349">IF(B3791="Notification","Open",IF(B3791="Interim Statement","In progress","Closed"))</f>
        <v>Closed</v>
      </c>
      <c r="D3791" s="203" t="s">
        <v>22165</v>
      </c>
      <c r="E3791" s="55" t="s">
        <v>22166</v>
      </c>
      <c r="F3791" s="55" t="s">
        <v>12910</v>
      </c>
      <c r="G3791" s="88">
        <f>DATE(2024,6,14)</f>
        <v>45457</v>
      </c>
      <c r="H3791" s="142">
        <v>1.9236111111111112</v>
      </c>
      <c r="I3791" s="55" t="s">
        <v>156</v>
      </c>
      <c r="J3791" s="55" t="s">
        <v>22167</v>
      </c>
      <c r="K3791" s="55" t="s">
        <v>453</v>
      </c>
      <c r="L3791" s="55" t="s">
        <v>22168</v>
      </c>
      <c r="M3791" s="55" t="s">
        <v>63</v>
      </c>
      <c r="N3791" s="55" t="s">
        <v>99</v>
      </c>
      <c r="O3791" s="55" t="s">
        <v>64</v>
      </c>
      <c r="P3791" s="55" t="s">
        <v>165</v>
      </c>
      <c r="Q3791" s="55" t="s">
        <v>22169</v>
      </c>
      <c r="R3791" s="55" t="s">
        <v>572</v>
      </c>
      <c r="S3791" s="55">
        <v>0</v>
      </c>
      <c r="T3791" s="55">
        <v>0</v>
      </c>
      <c r="U3791" s="55">
        <v>0</v>
      </c>
      <c r="V3791" s="55">
        <v>0</v>
      </c>
      <c r="W3791" s="55">
        <v>0</v>
      </c>
      <c r="X3791" s="55">
        <v>0</v>
      </c>
      <c r="Y3791" s="55">
        <v>0</v>
      </c>
      <c r="Z3791" s="55">
        <v>0</v>
      </c>
      <c r="AA3791" s="55">
        <v>0</v>
      </c>
      <c r="AB3791" s="55">
        <v>0</v>
      </c>
      <c r="AC3791" s="55">
        <v>0</v>
      </c>
      <c r="AD3791" s="55">
        <v>0</v>
      </c>
      <c r="AE3791" s="55" t="s">
        <v>394</v>
      </c>
      <c r="AF3791" s="55" t="s">
        <v>22170</v>
      </c>
      <c r="AG3791" s="55" t="s">
        <v>8859</v>
      </c>
      <c r="AH3791" s="72">
        <v>45488</v>
      </c>
      <c r="AI3791" s="55">
        <v>0</v>
      </c>
      <c r="AJ3791" s="55" t="s">
        <v>22171</v>
      </c>
      <c r="AK3791" s="55" t="s">
        <v>22172</v>
      </c>
      <c r="AL3791" s="157">
        <v>45489</v>
      </c>
      <c r="AM3791" s="55"/>
      <c r="AN3791" s="157">
        <v>45758</v>
      </c>
      <c r="AO3791" s="157">
        <v>45758</v>
      </c>
    </row>
    <row r="3792" spans="1:41" ht="36.75" customHeight="1">
      <c r="A3792" s="46" t="s">
        <v>12471</v>
      </c>
      <c r="B3792" s="30" t="s">
        <v>55</v>
      </c>
      <c r="C3792" s="69" t="str">
        <f t="shared" si="349"/>
        <v>Closed</v>
      </c>
      <c r="D3792" s="203" t="s">
        <v>22173</v>
      </c>
      <c r="E3792" s="55" t="s">
        <v>22174</v>
      </c>
      <c r="F3792" s="55" t="s">
        <v>12910</v>
      </c>
      <c r="G3792" s="88">
        <f>DATE(2024,7,3)</f>
        <v>45476</v>
      </c>
      <c r="H3792" s="215">
        <v>1.5249999999999999</v>
      </c>
      <c r="I3792" s="55" t="s">
        <v>4610</v>
      </c>
      <c r="J3792" s="55" t="s">
        <v>22175</v>
      </c>
      <c r="K3792" s="55" t="s">
        <v>453</v>
      </c>
      <c r="L3792" s="55" t="s">
        <v>22176</v>
      </c>
      <c r="M3792" s="55" t="s">
        <v>63</v>
      </c>
      <c r="N3792" s="55" t="s">
        <v>99</v>
      </c>
      <c r="O3792" s="55" t="s">
        <v>77</v>
      </c>
      <c r="P3792" s="55" t="s">
        <v>165</v>
      </c>
      <c r="Q3792" s="55" t="s">
        <v>21990</v>
      </c>
      <c r="R3792" s="55" t="s">
        <v>21990</v>
      </c>
      <c r="S3792" s="55">
        <v>0</v>
      </c>
      <c r="T3792" s="55">
        <v>0</v>
      </c>
      <c r="U3792" s="55">
        <v>0</v>
      </c>
      <c r="V3792" s="55">
        <v>0</v>
      </c>
      <c r="W3792" s="55">
        <v>0</v>
      </c>
      <c r="X3792" s="55">
        <v>0</v>
      </c>
      <c r="Y3792" s="55">
        <v>0</v>
      </c>
      <c r="Z3792" s="55">
        <v>0</v>
      </c>
      <c r="AA3792" s="55">
        <v>0</v>
      </c>
      <c r="AB3792" s="55">
        <v>0</v>
      </c>
      <c r="AC3792" s="55">
        <v>0</v>
      </c>
      <c r="AD3792" s="55">
        <v>0</v>
      </c>
      <c r="AE3792" s="55" t="s">
        <v>92</v>
      </c>
      <c r="AF3792" s="55" t="s">
        <v>712</v>
      </c>
      <c r="AG3792" s="55" t="s">
        <v>8859</v>
      </c>
      <c r="AH3792" s="72">
        <v>45488</v>
      </c>
      <c r="AI3792" s="55">
        <v>0</v>
      </c>
      <c r="AJ3792" s="55" t="s">
        <v>22177</v>
      </c>
      <c r="AK3792" s="55" t="s">
        <v>22178</v>
      </c>
      <c r="AL3792" s="157">
        <v>45489</v>
      </c>
      <c r="AM3792" s="55"/>
      <c r="AN3792" s="157">
        <v>45824</v>
      </c>
      <c r="AO3792" s="157">
        <v>45819</v>
      </c>
    </row>
    <row r="3793" spans="1:54" ht="36.75" customHeight="1">
      <c r="A3793" s="46" t="s">
        <v>12471</v>
      </c>
      <c r="B3793" s="30" t="s">
        <v>55</v>
      </c>
      <c r="C3793" s="69" t="str">
        <f t="shared" ref="C3793" si="350">IF(B3793="Notification","Open",IF(B3793="Interim Statement","In progress","Closed"))</f>
        <v>Closed</v>
      </c>
      <c r="D3793" s="203" t="s">
        <v>22179</v>
      </c>
      <c r="E3793" s="55" t="s">
        <v>22180</v>
      </c>
      <c r="F3793" s="55" t="s">
        <v>18131</v>
      </c>
      <c r="G3793" s="88">
        <f>DATE(2024,7,11)</f>
        <v>45484</v>
      </c>
      <c r="H3793" s="142">
        <v>1.6875</v>
      </c>
      <c r="I3793" s="55" t="s">
        <v>73</v>
      </c>
      <c r="J3793" s="55" t="s">
        <v>22181</v>
      </c>
      <c r="K3793" s="55" t="s">
        <v>379</v>
      </c>
      <c r="L3793" s="55" t="s">
        <v>22182</v>
      </c>
      <c r="M3793" s="55" t="s">
        <v>63</v>
      </c>
      <c r="N3793" s="55" t="s">
        <v>142</v>
      </c>
      <c r="O3793" s="55" t="s">
        <v>64</v>
      </c>
      <c r="P3793" s="55" t="s">
        <v>78</v>
      </c>
      <c r="Q3793" s="55" t="s">
        <v>22183</v>
      </c>
      <c r="R3793" s="55" t="s">
        <v>19604</v>
      </c>
      <c r="S3793" s="55">
        <v>0</v>
      </c>
      <c r="T3793" s="55">
        <v>0</v>
      </c>
      <c r="U3793" s="55">
        <v>0</v>
      </c>
      <c r="V3793" s="55">
        <v>0</v>
      </c>
      <c r="W3793" s="55">
        <v>0</v>
      </c>
      <c r="X3793" s="55">
        <v>0</v>
      </c>
      <c r="Y3793" s="55">
        <v>0</v>
      </c>
      <c r="Z3793" s="55">
        <v>0</v>
      </c>
      <c r="AA3793" s="55">
        <v>0</v>
      </c>
      <c r="AB3793" s="55">
        <v>0</v>
      </c>
      <c r="AC3793" s="55">
        <v>0</v>
      </c>
      <c r="AD3793" s="55">
        <v>0</v>
      </c>
      <c r="AE3793" s="55" t="s">
        <v>145</v>
      </c>
      <c r="AF3793" s="55" t="s">
        <v>22184</v>
      </c>
      <c r="AG3793" s="55" t="s">
        <v>6459</v>
      </c>
      <c r="AH3793" s="72">
        <v>45484</v>
      </c>
      <c r="AI3793" s="55">
        <v>4</v>
      </c>
      <c r="AJ3793" s="55" t="s">
        <v>22185</v>
      </c>
      <c r="AK3793" s="55" t="s">
        <v>22186</v>
      </c>
      <c r="AL3793" s="157">
        <v>45489</v>
      </c>
      <c r="AM3793" s="55"/>
      <c r="AN3793" s="157">
        <v>45980</v>
      </c>
      <c r="AO3793" s="157">
        <v>45966</v>
      </c>
    </row>
    <row r="3794" spans="1:54" ht="36.75" customHeight="1">
      <c r="A3794" s="46" t="s">
        <v>12471</v>
      </c>
      <c r="B3794" s="30" t="s">
        <v>55</v>
      </c>
      <c r="C3794" s="69" t="str">
        <f t="shared" ref="C3794" si="351">IF(B3794="Notification","Open",IF(B3794="Interim Statement","In progress","Closed"))</f>
        <v>Closed</v>
      </c>
      <c r="D3794" s="203" t="s">
        <v>22187</v>
      </c>
      <c r="E3794" s="30" t="s">
        <v>22188</v>
      </c>
      <c r="F3794" s="55" t="s">
        <v>17682</v>
      </c>
      <c r="G3794" s="88">
        <f>DATE(2024,7,19)</f>
        <v>45492</v>
      </c>
      <c r="H3794" s="142">
        <v>1.7604166666666665</v>
      </c>
      <c r="I3794" s="30" t="s">
        <v>6872</v>
      </c>
      <c r="J3794" s="55" t="s">
        <v>22189</v>
      </c>
      <c r="K3794" s="55" t="s">
        <v>1574</v>
      </c>
      <c r="L3794" s="55" t="s">
        <v>14303</v>
      </c>
      <c r="M3794" s="55" t="s">
        <v>63</v>
      </c>
      <c r="N3794" s="55" t="s">
        <v>89</v>
      </c>
      <c r="O3794" s="55" t="s">
        <v>77</v>
      </c>
      <c r="P3794" s="55" t="s">
        <v>91</v>
      </c>
      <c r="Q3794" s="55" t="s">
        <v>22190</v>
      </c>
      <c r="R3794" s="55" t="s">
        <v>19007</v>
      </c>
      <c r="S3794" s="55">
        <v>0</v>
      </c>
      <c r="T3794" s="55">
        <v>0</v>
      </c>
      <c r="U3794" s="55">
        <v>0</v>
      </c>
      <c r="V3794" s="55">
        <v>0</v>
      </c>
      <c r="W3794" s="55">
        <v>0</v>
      </c>
      <c r="X3794" s="55">
        <v>0</v>
      </c>
      <c r="Y3794" s="55">
        <v>0</v>
      </c>
      <c r="Z3794" s="55">
        <v>0</v>
      </c>
      <c r="AA3794" s="55">
        <v>0</v>
      </c>
      <c r="AB3794" s="55">
        <v>0</v>
      </c>
      <c r="AC3794" s="55">
        <v>0</v>
      </c>
      <c r="AD3794" s="55">
        <v>0</v>
      </c>
      <c r="AE3794" s="55" t="s">
        <v>92</v>
      </c>
      <c r="AF3794" s="55" t="s">
        <v>22191</v>
      </c>
      <c r="AG3794" s="55" t="s">
        <v>14033</v>
      </c>
      <c r="AH3794" s="72">
        <v>45495</v>
      </c>
      <c r="AI3794" s="55">
        <v>1</v>
      </c>
      <c r="AJ3794" s="55" t="s">
        <v>22192</v>
      </c>
      <c r="AK3794" s="55" t="s">
        <v>22193</v>
      </c>
      <c r="AL3794" s="157">
        <v>45497</v>
      </c>
      <c r="AM3794" s="55"/>
      <c r="AN3794" s="157">
        <v>45847</v>
      </c>
      <c r="AO3794" s="157">
        <v>45841</v>
      </c>
    </row>
    <row r="3795" spans="1:54" ht="36.75" customHeight="1">
      <c r="A3795" s="46" t="s">
        <v>12471</v>
      </c>
      <c r="B3795" s="30" t="s">
        <v>55</v>
      </c>
      <c r="C3795" s="69" t="str">
        <f t="shared" ref="C3795" si="352">IF(B3795="Notification","Open",IF(B3795="Interim Statement","In progress","Closed"))</f>
        <v>Closed</v>
      </c>
      <c r="D3795" s="203" t="s">
        <v>22194</v>
      </c>
      <c r="E3795" s="55" t="s">
        <v>22195</v>
      </c>
      <c r="F3795" s="55" t="s">
        <v>17682</v>
      </c>
      <c r="G3795" s="88">
        <f>DATE(2024,7,24)</f>
        <v>45497</v>
      </c>
      <c r="H3795" s="142">
        <v>1.4652777777777777</v>
      </c>
      <c r="I3795" s="55" t="s">
        <v>73</v>
      </c>
      <c r="J3795" s="55" t="s">
        <v>22196</v>
      </c>
      <c r="K3795" s="55" t="s">
        <v>1574</v>
      </c>
      <c r="L3795" s="55" t="s">
        <v>19463</v>
      </c>
      <c r="M3795" s="55" t="s">
        <v>63</v>
      </c>
      <c r="N3795" s="55" t="s">
        <v>99</v>
      </c>
      <c r="O3795" s="55" t="s">
        <v>64</v>
      </c>
      <c r="P3795" s="55" t="s">
        <v>78</v>
      </c>
      <c r="Q3795" s="55" t="s">
        <v>18063</v>
      </c>
      <c r="R3795" s="55" t="s">
        <v>19007</v>
      </c>
      <c r="S3795" s="55">
        <v>0</v>
      </c>
      <c r="T3795" s="55">
        <v>0</v>
      </c>
      <c r="U3795" s="55">
        <v>0</v>
      </c>
      <c r="V3795" s="55">
        <v>0</v>
      </c>
      <c r="W3795" s="55">
        <v>0</v>
      </c>
      <c r="X3795" s="55">
        <v>0</v>
      </c>
      <c r="Y3795" s="55">
        <v>0</v>
      </c>
      <c r="Z3795" s="55">
        <v>0</v>
      </c>
      <c r="AA3795" s="55">
        <v>0</v>
      </c>
      <c r="AB3795" s="55">
        <v>0</v>
      </c>
      <c r="AC3795" s="55">
        <v>0</v>
      </c>
      <c r="AD3795" s="55">
        <v>0</v>
      </c>
      <c r="AE3795" s="55" t="s">
        <v>92</v>
      </c>
      <c r="AF3795" s="55" t="s">
        <v>22197</v>
      </c>
      <c r="AG3795" s="55" t="s">
        <v>8859</v>
      </c>
      <c r="AH3795" s="72">
        <v>45502</v>
      </c>
      <c r="AI3795" s="55">
        <v>0</v>
      </c>
      <c r="AJ3795" s="55" t="s">
        <v>22198</v>
      </c>
      <c r="AK3795" s="55" t="s">
        <v>22199</v>
      </c>
      <c r="AL3795" s="157">
        <v>45502</v>
      </c>
      <c r="AM3795" s="55"/>
      <c r="AN3795" s="157">
        <v>45873</v>
      </c>
      <c r="AO3795" s="157">
        <v>45853</v>
      </c>
    </row>
    <row r="3796" spans="1:54" ht="36.75" customHeight="1">
      <c r="A3796" s="46" t="s">
        <v>12471</v>
      </c>
      <c r="B3796" s="30" t="s">
        <v>55</v>
      </c>
      <c r="C3796" s="69" t="str">
        <f t="shared" ref="C3796" si="353">IF(B3796="Notification","Open",IF(B3796="Interim Statement","In progress","Closed"))</f>
        <v>Closed</v>
      </c>
      <c r="D3796" s="203" t="s">
        <v>22200</v>
      </c>
      <c r="E3796" s="55" t="s">
        <v>22201</v>
      </c>
      <c r="F3796" s="55" t="s">
        <v>17682</v>
      </c>
      <c r="G3796" s="88">
        <f>DATE(2024,7,25)</f>
        <v>45498</v>
      </c>
      <c r="H3796" s="142">
        <v>1.6111111111111112</v>
      </c>
      <c r="I3796" s="55" t="s">
        <v>73</v>
      </c>
      <c r="J3796" s="55" t="s">
        <v>22202</v>
      </c>
      <c r="K3796" s="55" t="s">
        <v>1574</v>
      </c>
      <c r="L3796" s="55" t="s">
        <v>22203</v>
      </c>
      <c r="M3796" s="55" t="s">
        <v>63</v>
      </c>
      <c r="N3796" s="55" t="s">
        <v>99</v>
      </c>
      <c r="O3796" s="55" t="s">
        <v>64</v>
      </c>
      <c r="P3796" s="55" t="s">
        <v>78</v>
      </c>
      <c r="Q3796" s="55" t="s">
        <v>18063</v>
      </c>
      <c r="R3796" s="55" t="s">
        <v>22204</v>
      </c>
      <c r="S3796" s="55">
        <v>0</v>
      </c>
      <c r="T3796" s="55">
        <v>0</v>
      </c>
      <c r="U3796" s="55">
        <v>0</v>
      </c>
      <c r="V3796" s="55">
        <v>0</v>
      </c>
      <c r="W3796" s="55">
        <v>0</v>
      </c>
      <c r="X3796" s="55">
        <v>0</v>
      </c>
      <c r="Y3796" s="55">
        <v>0</v>
      </c>
      <c r="Z3796" s="55">
        <v>0</v>
      </c>
      <c r="AA3796" s="55">
        <v>0</v>
      </c>
      <c r="AB3796" s="55">
        <v>0</v>
      </c>
      <c r="AC3796" s="55">
        <v>0</v>
      </c>
      <c r="AD3796" s="55">
        <v>0</v>
      </c>
      <c r="AE3796" s="55" t="s">
        <v>92</v>
      </c>
      <c r="AF3796" s="55" t="s">
        <v>22205</v>
      </c>
      <c r="AG3796" s="55" t="s">
        <v>8859</v>
      </c>
      <c r="AH3796" s="72">
        <v>45502</v>
      </c>
      <c r="AI3796" s="55">
        <v>0</v>
      </c>
      <c r="AJ3796" s="55" t="s">
        <v>22206</v>
      </c>
      <c r="AK3796" s="55" t="s">
        <v>22207</v>
      </c>
      <c r="AL3796" s="157">
        <v>45502</v>
      </c>
      <c r="AM3796" s="55"/>
      <c r="AN3796" s="157">
        <v>45873</v>
      </c>
      <c r="AO3796" s="157">
        <v>45852</v>
      </c>
    </row>
    <row r="3797" spans="1:54" ht="36.75" customHeight="1">
      <c r="A3797" s="46" t="s">
        <v>12471</v>
      </c>
      <c r="B3797" s="30" t="s">
        <v>55</v>
      </c>
      <c r="C3797" s="69" t="str">
        <f t="shared" ref="C3797" si="354">IF(B3797="Notification","Open",IF(B3797="Interim Statement","In progress","Closed"))</f>
        <v>Closed</v>
      </c>
      <c r="D3797" s="203" t="s">
        <v>22208</v>
      </c>
      <c r="E3797" s="55" t="s">
        <v>22209</v>
      </c>
      <c r="F3797" s="55" t="s">
        <v>12910</v>
      </c>
      <c r="G3797" s="88">
        <f>DATE(2024,7,21)</f>
        <v>45494</v>
      </c>
      <c r="H3797" s="142">
        <v>1.6979166666666665</v>
      </c>
      <c r="I3797" s="55" t="s">
        <v>278</v>
      </c>
      <c r="J3797" s="55" t="s">
        <v>22210</v>
      </c>
      <c r="K3797" s="55" t="s">
        <v>453</v>
      </c>
      <c r="L3797" s="55" t="s">
        <v>13285</v>
      </c>
      <c r="M3797" s="55" t="s">
        <v>63</v>
      </c>
      <c r="N3797" s="55" t="s">
        <v>99</v>
      </c>
      <c r="O3797" s="55" t="s">
        <v>64</v>
      </c>
      <c r="P3797" s="55" t="s">
        <v>165</v>
      </c>
      <c r="Q3797" s="55" t="s">
        <v>19577</v>
      </c>
      <c r="R3797" s="55" t="s">
        <v>19577</v>
      </c>
      <c r="S3797" s="55">
        <v>0</v>
      </c>
      <c r="T3797" s="55">
        <v>0</v>
      </c>
      <c r="U3797" s="55">
        <v>1</v>
      </c>
      <c r="V3797" s="55">
        <v>0</v>
      </c>
      <c r="W3797" s="55">
        <v>0</v>
      </c>
      <c r="X3797" s="55">
        <v>1</v>
      </c>
      <c r="Y3797" s="55">
        <v>0</v>
      </c>
      <c r="Z3797" s="55">
        <v>0</v>
      </c>
      <c r="AA3797" s="55">
        <v>0</v>
      </c>
      <c r="AB3797" s="55">
        <v>0</v>
      </c>
      <c r="AC3797" s="55">
        <v>0</v>
      </c>
      <c r="AD3797" s="55">
        <v>0</v>
      </c>
      <c r="AE3797" s="55" t="s">
        <v>92</v>
      </c>
      <c r="AF3797" s="55" t="s">
        <v>712</v>
      </c>
      <c r="AG3797" s="55" t="s">
        <v>6459</v>
      </c>
      <c r="AH3797" s="72">
        <v>45502</v>
      </c>
      <c r="AI3797" s="55">
        <v>1</v>
      </c>
      <c r="AJ3797" s="55" t="s">
        <v>22211</v>
      </c>
      <c r="AK3797" s="55" t="s">
        <v>22212</v>
      </c>
      <c r="AL3797" s="157">
        <v>45509</v>
      </c>
      <c r="AM3797" s="55"/>
      <c r="AN3797" s="157">
        <v>45853</v>
      </c>
      <c r="AO3797" s="157">
        <v>45853</v>
      </c>
    </row>
    <row r="3798" spans="1:54" ht="36.75" customHeight="1">
      <c r="A3798" s="46" t="s">
        <v>12471</v>
      </c>
      <c r="B3798" s="30" t="s">
        <v>55</v>
      </c>
      <c r="C3798" s="69" t="str">
        <f t="shared" ref="C3798" si="355">IF(B3798="Notification","Open",IF(B3798="Interim Statement","In progress","Closed"))</f>
        <v>Closed</v>
      </c>
      <c r="D3798" s="58" t="s">
        <v>22213</v>
      </c>
      <c r="E3798" s="55" t="s">
        <v>22214</v>
      </c>
      <c r="F3798" s="55" t="s">
        <v>16429</v>
      </c>
      <c r="G3798" s="88">
        <f>DATE(2024,8,4)</f>
        <v>45508</v>
      </c>
      <c r="H3798" s="142">
        <v>1.8840277777777779</v>
      </c>
      <c r="I3798" s="55" t="s">
        <v>4610</v>
      </c>
      <c r="J3798" s="55" t="s">
        <v>22215</v>
      </c>
      <c r="K3798" s="55" t="s">
        <v>425</v>
      </c>
      <c r="L3798" s="55" t="s">
        <v>18014</v>
      </c>
      <c r="M3798" s="55" t="s">
        <v>63</v>
      </c>
      <c r="N3798" s="55" t="s">
        <v>99</v>
      </c>
      <c r="O3798" s="55" t="s">
        <v>77</v>
      </c>
      <c r="P3798" s="55" t="s">
        <v>22216</v>
      </c>
      <c r="Q3798" s="55" t="s">
        <v>18015</v>
      </c>
      <c r="R3798" s="55" t="s">
        <v>17369</v>
      </c>
      <c r="S3798" s="55">
        <v>0</v>
      </c>
      <c r="T3798" s="55">
        <v>0</v>
      </c>
      <c r="U3798" s="55">
        <v>0</v>
      </c>
      <c r="V3798" s="55">
        <v>0</v>
      </c>
      <c r="W3798" s="55">
        <v>0</v>
      </c>
      <c r="X3798" s="55">
        <v>0</v>
      </c>
      <c r="Y3798" s="55">
        <v>0</v>
      </c>
      <c r="Z3798" s="55">
        <v>0</v>
      </c>
      <c r="AA3798" s="55">
        <v>0</v>
      </c>
      <c r="AB3798" s="55">
        <v>0</v>
      </c>
      <c r="AC3798" s="55">
        <v>0</v>
      </c>
      <c r="AD3798" s="55">
        <v>0</v>
      </c>
      <c r="AE3798" s="55" t="s">
        <v>92</v>
      </c>
      <c r="AF3798" s="55" t="s">
        <v>18047</v>
      </c>
      <c r="AG3798" s="55" t="s">
        <v>22217</v>
      </c>
      <c r="AH3798" s="72">
        <v>45508</v>
      </c>
      <c r="AI3798" s="55">
        <v>1</v>
      </c>
      <c r="AJ3798" s="55" t="s">
        <v>22218</v>
      </c>
      <c r="AK3798" s="55" t="s">
        <v>879</v>
      </c>
      <c r="AL3798" s="157">
        <v>45514</v>
      </c>
      <c r="AM3798" s="55"/>
      <c r="AN3798" s="212">
        <v>46057</v>
      </c>
      <c r="AO3798" s="212">
        <v>46056</v>
      </c>
    </row>
    <row r="3799" spans="1:54" ht="36.75" customHeight="1">
      <c r="A3799" s="46" t="s">
        <v>12471</v>
      </c>
      <c r="B3799" s="30" t="s">
        <v>55</v>
      </c>
      <c r="C3799" s="69" t="str">
        <f t="shared" ref="C3799" si="356">IF(B3799="Notification","Open",IF(B3799="Interim Statement","In progress","Closed"))</f>
        <v>Closed</v>
      </c>
      <c r="D3799" s="203" t="s">
        <v>22219</v>
      </c>
      <c r="E3799" s="55" t="s">
        <v>22220</v>
      </c>
      <c r="F3799" s="55" t="s">
        <v>16429</v>
      </c>
      <c r="G3799" s="88">
        <f>DATE(2024,8,6)</f>
        <v>45510</v>
      </c>
      <c r="H3799" s="142">
        <v>1.6930555555555555</v>
      </c>
      <c r="I3799" s="55" t="s">
        <v>4610</v>
      </c>
      <c r="J3799" s="55" t="s">
        <v>22221</v>
      </c>
      <c r="K3799" s="55" t="s">
        <v>425</v>
      </c>
      <c r="L3799" s="55" t="s">
        <v>15969</v>
      </c>
      <c r="M3799" s="55" t="s">
        <v>63</v>
      </c>
      <c r="N3799" s="55" t="s">
        <v>99</v>
      </c>
      <c r="O3799" s="55" t="s">
        <v>77</v>
      </c>
      <c r="P3799" s="55" t="s">
        <v>165</v>
      </c>
      <c r="Q3799" s="55" t="s">
        <v>18615</v>
      </c>
      <c r="R3799" s="55" t="s">
        <v>17369</v>
      </c>
      <c r="S3799" s="55">
        <v>0</v>
      </c>
      <c r="T3799" s="55">
        <v>0</v>
      </c>
      <c r="U3799" s="55">
        <v>0</v>
      </c>
      <c r="V3799" s="55">
        <v>0</v>
      </c>
      <c r="W3799" s="55">
        <v>0</v>
      </c>
      <c r="X3799" s="55">
        <v>0</v>
      </c>
      <c r="Y3799" s="55">
        <v>0</v>
      </c>
      <c r="Z3799" s="55">
        <v>0</v>
      </c>
      <c r="AA3799" s="55">
        <v>0</v>
      </c>
      <c r="AB3799" s="55">
        <v>0</v>
      </c>
      <c r="AC3799" s="55">
        <v>0</v>
      </c>
      <c r="AD3799" s="55">
        <v>0</v>
      </c>
      <c r="AE3799" s="55" t="s">
        <v>92</v>
      </c>
      <c r="AF3799" s="55" t="s">
        <v>22222</v>
      </c>
      <c r="AG3799" s="55" t="s">
        <v>16283</v>
      </c>
      <c r="AH3799" s="72">
        <v>45510</v>
      </c>
      <c r="AI3799" s="55">
        <v>1</v>
      </c>
      <c r="AJ3799" s="55" t="s">
        <v>22223</v>
      </c>
      <c r="AK3799" s="55" t="s">
        <v>712</v>
      </c>
      <c r="AL3799" s="157">
        <v>45518</v>
      </c>
      <c r="AM3799" s="55"/>
      <c r="AN3799" s="157">
        <v>45757</v>
      </c>
      <c r="AO3799" s="157">
        <v>45754</v>
      </c>
    </row>
    <row r="3800" spans="1:54" ht="36.75" customHeight="1">
      <c r="A3800" s="46" t="s">
        <v>12471</v>
      </c>
      <c r="B3800" s="30" t="s">
        <v>55</v>
      </c>
      <c r="C3800" s="69" t="str">
        <f t="shared" ref="C3800" si="357">IF(B3800="Notification","Open",IF(B3800="Interim Statement","In progress","Closed"))</f>
        <v>Closed</v>
      </c>
      <c r="D3800" s="203" t="s">
        <v>22224</v>
      </c>
      <c r="E3800" s="55" t="s">
        <v>22225</v>
      </c>
      <c r="F3800" s="55" t="s">
        <v>9789</v>
      </c>
      <c r="G3800" s="88">
        <f>DATE(2024,7,18)</f>
        <v>45491</v>
      </c>
      <c r="H3800" s="142">
        <v>1.5173611111111112</v>
      </c>
      <c r="I3800" s="55" t="s">
        <v>86</v>
      </c>
      <c r="J3800" s="259" t="s">
        <v>22226</v>
      </c>
      <c r="K3800" s="55" t="s">
        <v>9791</v>
      </c>
      <c r="L3800" s="55" t="s">
        <v>22227</v>
      </c>
      <c r="M3800" s="55" t="s">
        <v>63</v>
      </c>
      <c r="N3800" s="55" t="s">
        <v>142</v>
      </c>
      <c r="O3800" s="55" t="s">
        <v>64</v>
      </c>
      <c r="P3800" s="55" t="s">
        <v>165</v>
      </c>
      <c r="Q3800" s="55" t="s">
        <v>21907</v>
      </c>
      <c r="R3800" s="55" t="s">
        <v>20774</v>
      </c>
      <c r="S3800" s="55">
        <v>0</v>
      </c>
      <c r="T3800" s="55">
        <v>0</v>
      </c>
      <c r="U3800" s="55">
        <v>0</v>
      </c>
      <c r="V3800" s="55">
        <v>0</v>
      </c>
      <c r="W3800" s="55">
        <v>0</v>
      </c>
      <c r="X3800" s="55">
        <v>0</v>
      </c>
      <c r="Y3800" s="55">
        <v>0</v>
      </c>
      <c r="Z3800" s="55">
        <v>0</v>
      </c>
      <c r="AA3800" s="55">
        <v>0</v>
      </c>
      <c r="AB3800" s="55">
        <v>0</v>
      </c>
      <c r="AC3800" s="55">
        <v>0</v>
      </c>
      <c r="AD3800" s="55">
        <v>0</v>
      </c>
      <c r="AE3800" s="55" t="s">
        <v>92</v>
      </c>
      <c r="AF3800" s="55" t="s">
        <v>22228</v>
      </c>
      <c r="AG3800" s="55" t="s">
        <v>8859</v>
      </c>
      <c r="AH3800" s="72">
        <v>45523</v>
      </c>
      <c r="AI3800" s="55">
        <v>3</v>
      </c>
      <c r="AJ3800" s="55" t="s">
        <v>22229</v>
      </c>
      <c r="AK3800" s="55" t="s">
        <v>22230</v>
      </c>
      <c r="AL3800" s="157">
        <v>45527</v>
      </c>
      <c r="AM3800" s="157">
        <v>45856</v>
      </c>
      <c r="AN3800" s="157">
        <v>45958</v>
      </c>
      <c r="AO3800" s="157">
        <v>45957</v>
      </c>
    </row>
    <row r="3801" spans="1:54" ht="36.75" customHeight="1">
      <c r="A3801" s="46" t="s">
        <v>12471</v>
      </c>
      <c r="B3801" s="30" t="s">
        <v>55</v>
      </c>
      <c r="C3801" s="69" t="str">
        <f t="shared" ref="C3801" si="358">IF(B3801="Notification","Open",IF(B3801="Interim Statement","In progress","Closed"))</f>
        <v>Closed</v>
      </c>
      <c r="D3801" s="203" t="s">
        <v>22231</v>
      </c>
      <c r="E3801" s="55" t="s">
        <v>22232</v>
      </c>
      <c r="F3801" s="55" t="s">
        <v>9789</v>
      </c>
      <c r="G3801" s="88">
        <f>DATE(2024,8,8)</f>
        <v>45512</v>
      </c>
      <c r="H3801" s="142">
        <v>1.8159722222222223</v>
      </c>
      <c r="I3801" s="55" t="s">
        <v>73</v>
      </c>
      <c r="J3801" s="259" t="s">
        <v>22233</v>
      </c>
      <c r="K3801" s="55" t="s">
        <v>9791</v>
      </c>
      <c r="L3801" s="55" t="s">
        <v>22234</v>
      </c>
      <c r="M3801" s="55" t="s">
        <v>63</v>
      </c>
      <c r="N3801" s="55" t="s">
        <v>99</v>
      </c>
      <c r="O3801" s="55" t="s">
        <v>64</v>
      </c>
      <c r="P3801" s="55" t="s">
        <v>78</v>
      </c>
      <c r="Q3801" s="55" t="s">
        <v>22235</v>
      </c>
      <c r="R3801" s="55" t="s">
        <v>20774</v>
      </c>
      <c r="S3801" s="55">
        <v>0</v>
      </c>
      <c r="T3801" s="55">
        <v>0</v>
      </c>
      <c r="U3801" s="55">
        <v>0</v>
      </c>
      <c r="V3801" s="55">
        <v>0</v>
      </c>
      <c r="W3801" s="55">
        <v>0</v>
      </c>
      <c r="X3801" s="55">
        <v>0</v>
      </c>
      <c r="Y3801" s="55">
        <v>0</v>
      </c>
      <c r="Z3801" s="55">
        <v>0</v>
      </c>
      <c r="AA3801" s="55">
        <v>0</v>
      </c>
      <c r="AB3801" s="55">
        <v>0</v>
      </c>
      <c r="AC3801" s="55">
        <v>0</v>
      </c>
      <c r="AD3801" s="55">
        <v>0</v>
      </c>
      <c r="AE3801" s="55" t="s">
        <v>92</v>
      </c>
      <c r="AF3801" s="55" t="s">
        <v>22236</v>
      </c>
      <c r="AG3801" s="55" t="s">
        <v>8859</v>
      </c>
      <c r="AH3801" s="72">
        <v>45524</v>
      </c>
      <c r="AI3801" s="55">
        <v>1</v>
      </c>
      <c r="AJ3801" s="55" t="s">
        <v>22237</v>
      </c>
      <c r="AK3801" s="55" t="s">
        <v>22238</v>
      </c>
      <c r="AL3801" s="157">
        <v>45527</v>
      </c>
      <c r="AM3801" s="55"/>
      <c r="AN3801" s="157">
        <v>45867</v>
      </c>
      <c r="AO3801" s="157">
        <v>45856</v>
      </c>
    </row>
    <row r="3802" spans="1:54" ht="36.75" customHeight="1">
      <c r="A3802" s="46" t="s">
        <v>12471</v>
      </c>
      <c r="B3802" s="30" t="s">
        <v>55</v>
      </c>
      <c r="C3802" s="69" t="str">
        <f t="shared" ref="C3802" si="359">IF(B3802="Notification","Open",IF(B3802="Interim Statement","In progress","Closed"))</f>
        <v>Closed</v>
      </c>
      <c r="D3802" s="203" t="s">
        <v>22239</v>
      </c>
      <c r="E3802" s="55" t="s">
        <v>22240</v>
      </c>
      <c r="F3802" s="55" t="s">
        <v>17682</v>
      </c>
      <c r="G3802" s="88">
        <f>DATE(2024,8,14)</f>
        <v>45518</v>
      </c>
      <c r="H3802" s="142">
        <v>1.6215277777777777</v>
      </c>
      <c r="I3802" s="55" t="s">
        <v>73</v>
      </c>
      <c r="J3802" s="55" t="s">
        <v>22241</v>
      </c>
      <c r="K3802" s="55" t="s">
        <v>1574</v>
      </c>
      <c r="L3802" s="55" t="s">
        <v>22242</v>
      </c>
      <c r="M3802" s="55" t="s">
        <v>63</v>
      </c>
      <c r="N3802" s="55" t="s">
        <v>99</v>
      </c>
      <c r="O3802" s="55" t="s">
        <v>64</v>
      </c>
      <c r="P3802" s="55" t="s">
        <v>78</v>
      </c>
      <c r="Q3802" s="55" t="s">
        <v>18063</v>
      </c>
      <c r="R3802" s="55" t="s">
        <v>19007</v>
      </c>
      <c r="S3802" s="55">
        <v>0</v>
      </c>
      <c r="T3802" s="55">
        <v>0</v>
      </c>
      <c r="U3802" s="55">
        <v>0</v>
      </c>
      <c r="V3802" s="55">
        <v>0</v>
      </c>
      <c r="W3802" s="55">
        <v>0</v>
      </c>
      <c r="X3802" s="55">
        <v>0</v>
      </c>
      <c r="Y3802" s="55">
        <v>0</v>
      </c>
      <c r="Z3802" s="55">
        <v>0</v>
      </c>
      <c r="AA3802" s="55">
        <v>0</v>
      </c>
      <c r="AB3802" s="55">
        <v>0</v>
      </c>
      <c r="AC3802" s="55">
        <v>0</v>
      </c>
      <c r="AD3802" s="55">
        <v>0</v>
      </c>
      <c r="AE3802" s="55" t="s">
        <v>92</v>
      </c>
      <c r="AF3802" s="55" t="s">
        <v>22243</v>
      </c>
      <c r="AG3802" s="55" t="s">
        <v>8859</v>
      </c>
      <c r="AH3802" s="72">
        <v>45523</v>
      </c>
      <c r="AI3802" s="55">
        <v>0</v>
      </c>
      <c r="AJ3802" s="55" t="s">
        <v>22244</v>
      </c>
      <c r="AK3802" s="55" t="s">
        <v>22245</v>
      </c>
      <c r="AL3802" s="157">
        <v>45530</v>
      </c>
      <c r="AM3802" s="55"/>
      <c r="AN3802" s="157">
        <v>45954</v>
      </c>
      <c r="AO3802" s="157">
        <v>45880</v>
      </c>
    </row>
    <row r="3803" spans="1:54" ht="36.75" customHeight="1">
      <c r="A3803" s="46" t="s">
        <v>12471</v>
      </c>
      <c r="B3803" s="30" t="s">
        <v>55</v>
      </c>
      <c r="C3803" s="69" t="str">
        <f t="shared" ref="C3803" si="360">IF(B3803="Notification","Open",IF(B3803="Interim Statement","In progress","Closed"))</f>
        <v>Closed</v>
      </c>
      <c r="D3803" s="203" t="s">
        <v>22246</v>
      </c>
      <c r="E3803" s="55" t="s">
        <v>22247</v>
      </c>
      <c r="F3803" s="55" t="s">
        <v>16429</v>
      </c>
      <c r="G3803" s="88">
        <f>DATE(2024,8,22)</f>
        <v>45526</v>
      </c>
      <c r="H3803" s="142">
        <v>1.5645833333333332</v>
      </c>
      <c r="I3803" s="55" t="s">
        <v>22248</v>
      </c>
      <c r="J3803" s="55" t="s">
        <v>22249</v>
      </c>
      <c r="K3803" s="55" t="s">
        <v>425</v>
      </c>
      <c r="L3803" s="55" t="s">
        <v>22250</v>
      </c>
      <c r="M3803" s="55" t="s">
        <v>63</v>
      </c>
      <c r="N3803" s="55" t="s">
        <v>142</v>
      </c>
      <c r="O3803" s="55" t="s">
        <v>64</v>
      </c>
      <c r="P3803" s="55" t="s">
        <v>165</v>
      </c>
      <c r="Q3803" s="55" t="s">
        <v>18516</v>
      </c>
      <c r="R3803" s="55" t="s">
        <v>17369</v>
      </c>
      <c r="S3803" s="55">
        <v>0</v>
      </c>
      <c r="T3803" s="55">
        <v>0</v>
      </c>
      <c r="U3803" s="55">
        <v>0</v>
      </c>
      <c r="V3803" s="55">
        <v>0</v>
      </c>
      <c r="W3803" s="55">
        <v>0</v>
      </c>
      <c r="X3803" s="55">
        <v>0</v>
      </c>
      <c r="Y3803" s="55">
        <v>0</v>
      </c>
      <c r="Z3803" s="55">
        <v>0</v>
      </c>
      <c r="AA3803" s="55">
        <v>0</v>
      </c>
      <c r="AB3803" s="55">
        <v>0</v>
      </c>
      <c r="AC3803" s="55">
        <v>0</v>
      </c>
      <c r="AD3803" s="55">
        <v>0</v>
      </c>
      <c r="AE3803" s="55" t="s">
        <v>92</v>
      </c>
      <c r="AF3803" s="55" t="s">
        <v>22251</v>
      </c>
      <c r="AG3803" s="55" t="s">
        <v>20056</v>
      </c>
      <c r="AH3803" s="72">
        <v>45533</v>
      </c>
      <c r="AI3803" s="55">
        <v>1</v>
      </c>
      <c r="AJ3803" s="55"/>
      <c r="AK3803" s="55"/>
      <c r="AL3803" s="157">
        <v>45537</v>
      </c>
      <c r="AM3803" s="55"/>
      <c r="AN3803" s="157">
        <v>45930</v>
      </c>
      <c r="AO3803" s="157">
        <v>45930</v>
      </c>
    </row>
    <row r="3804" spans="1:54" ht="36.75" customHeight="1">
      <c r="A3804" s="46" t="s">
        <v>12471</v>
      </c>
      <c r="B3804" s="30" t="s">
        <v>55</v>
      </c>
      <c r="C3804" s="69" t="str">
        <f t="shared" ref="C3804" si="361">IF(B3804="Notification","Open",IF(B3804="Interim Statement","In progress","Closed"))</f>
        <v>Closed</v>
      </c>
      <c r="D3804" s="203" t="s">
        <v>22252</v>
      </c>
      <c r="E3804" s="55" t="s">
        <v>22253</v>
      </c>
      <c r="F3804" s="55" t="s">
        <v>17682</v>
      </c>
      <c r="G3804" s="88">
        <f>DATE(2024,9,1)</f>
        <v>45536</v>
      </c>
      <c r="H3804" s="142">
        <v>1.6458333333333335</v>
      </c>
      <c r="I3804" s="55" t="s">
        <v>73</v>
      </c>
      <c r="J3804" s="55" t="s">
        <v>22254</v>
      </c>
      <c r="K3804" s="55" t="s">
        <v>1574</v>
      </c>
      <c r="L3804" s="55" t="s">
        <v>22255</v>
      </c>
      <c r="M3804" s="55" t="s">
        <v>63</v>
      </c>
      <c r="N3804" s="55" t="s">
        <v>99</v>
      </c>
      <c r="O3804" s="55" t="s">
        <v>64</v>
      </c>
      <c r="P3804" s="55" t="s">
        <v>78</v>
      </c>
      <c r="Q3804" s="55" t="s">
        <v>22256</v>
      </c>
      <c r="R3804" s="55" t="s">
        <v>19007</v>
      </c>
      <c r="S3804" s="55">
        <v>0</v>
      </c>
      <c r="T3804" s="55">
        <v>0</v>
      </c>
      <c r="U3804" s="55">
        <v>0</v>
      </c>
      <c r="V3804" s="55">
        <v>0</v>
      </c>
      <c r="W3804" s="55">
        <v>0</v>
      </c>
      <c r="X3804" s="55">
        <v>0</v>
      </c>
      <c r="Y3804" s="55">
        <v>0</v>
      </c>
      <c r="Z3804" s="55">
        <v>0</v>
      </c>
      <c r="AA3804" s="55">
        <v>0</v>
      </c>
      <c r="AB3804" s="55">
        <v>0</v>
      </c>
      <c r="AC3804" s="55">
        <v>0</v>
      </c>
      <c r="AD3804" s="55">
        <v>0</v>
      </c>
      <c r="AE3804" s="55" t="s">
        <v>92</v>
      </c>
      <c r="AF3804" s="55" t="s">
        <v>22257</v>
      </c>
      <c r="AG3804" s="55" t="s">
        <v>8859</v>
      </c>
      <c r="AH3804" s="72">
        <v>45540</v>
      </c>
      <c r="AI3804" s="55">
        <v>1</v>
      </c>
      <c r="AJ3804" s="55" t="s">
        <v>22258</v>
      </c>
      <c r="AK3804" s="55" t="s">
        <v>22259</v>
      </c>
      <c r="AL3804" s="157">
        <v>45540</v>
      </c>
      <c r="AM3804" s="55"/>
      <c r="AN3804" s="157">
        <v>45901</v>
      </c>
      <c r="AO3804" s="157">
        <v>45894</v>
      </c>
    </row>
    <row r="3805" spans="1:54" ht="36.75" customHeight="1">
      <c r="A3805" s="46" t="s">
        <v>12471</v>
      </c>
      <c r="B3805" s="30" t="s">
        <v>2124</v>
      </c>
      <c r="C3805" s="69" t="str">
        <f t="shared" ref="C3805" si="362">IF(B3805="Notification","Open",IF(B3805="Interim Statement","In progress","Closed"))</f>
        <v>Open</v>
      </c>
      <c r="D3805" s="36" t="s">
        <v>22260</v>
      </c>
      <c r="E3805" s="55" t="s">
        <v>22261</v>
      </c>
      <c r="F3805" s="55" t="s">
        <v>16702</v>
      </c>
      <c r="G3805" s="88">
        <f>DATE(2024,7,12)</f>
        <v>45485</v>
      </c>
      <c r="H3805" s="142">
        <v>1.34375</v>
      </c>
      <c r="I3805" s="55" t="s">
        <v>116</v>
      </c>
      <c r="J3805" s="55" t="s">
        <v>22262</v>
      </c>
      <c r="K3805" s="55" t="s">
        <v>596</v>
      </c>
      <c r="L3805" s="55" t="s">
        <v>22263</v>
      </c>
      <c r="M3805" s="55" t="s">
        <v>63</v>
      </c>
      <c r="N3805" s="55" t="s">
        <v>99</v>
      </c>
      <c r="O3805" s="55" t="s">
        <v>64</v>
      </c>
      <c r="P3805" s="55" t="s">
        <v>165</v>
      </c>
      <c r="Q3805" s="55" t="s">
        <v>20745</v>
      </c>
      <c r="R3805" s="55" t="s">
        <v>17293</v>
      </c>
      <c r="S3805" s="55">
        <v>0</v>
      </c>
      <c r="T3805" s="55">
        <v>0</v>
      </c>
      <c r="U3805" s="55">
        <v>1</v>
      </c>
      <c r="V3805" s="55">
        <v>0</v>
      </c>
      <c r="W3805" s="55">
        <v>0</v>
      </c>
      <c r="X3805" s="55">
        <v>1</v>
      </c>
      <c r="Y3805" s="55">
        <v>0</v>
      </c>
      <c r="Z3805" s="55">
        <v>0</v>
      </c>
      <c r="AA3805" s="55">
        <v>2</v>
      </c>
      <c r="AB3805" s="55">
        <v>0</v>
      </c>
      <c r="AC3805" s="55">
        <v>0</v>
      </c>
      <c r="AD3805" s="55">
        <v>2</v>
      </c>
      <c r="AE3805" s="55" t="s">
        <v>92</v>
      </c>
      <c r="AF3805" s="55" t="s">
        <v>22264</v>
      </c>
      <c r="AG3805" s="55" t="s">
        <v>6459</v>
      </c>
      <c r="AH3805" s="72">
        <v>45533</v>
      </c>
      <c r="AI3805" s="55"/>
      <c r="AJ3805" s="55"/>
      <c r="AK3805" s="55"/>
      <c r="AL3805" s="157">
        <v>45541</v>
      </c>
      <c r="AM3805" s="55"/>
      <c r="AN3805" s="209"/>
      <c r="AO3805" s="209"/>
    </row>
    <row r="3806" spans="1:54" ht="36.75" customHeight="1">
      <c r="A3806" s="46" t="s">
        <v>12471</v>
      </c>
      <c r="B3806" s="30" t="s">
        <v>55</v>
      </c>
      <c r="C3806" s="69" t="str">
        <f t="shared" ref="C3806" si="363">IF(B3806="Notification","Open",IF(B3806="Interim Statement","In progress","Closed"))</f>
        <v>Closed</v>
      </c>
      <c r="D3806" s="203" t="s">
        <v>22265</v>
      </c>
      <c r="E3806" s="55" t="s">
        <v>22266</v>
      </c>
      <c r="F3806" s="55" t="s">
        <v>17578</v>
      </c>
      <c r="G3806" s="88">
        <f>DATE(2024,8,10)</f>
        <v>45514</v>
      </c>
      <c r="H3806" s="142">
        <v>1.5902777777777777</v>
      </c>
      <c r="I3806" s="55" t="s">
        <v>116</v>
      </c>
      <c r="J3806" s="55" t="s">
        <v>22267</v>
      </c>
      <c r="K3806" s="55" t="s">
        <v>837</v>
      </c>
      <c r="L3806" s="55" t="s">
        <v>22268</v>
      </c>
      <c r="M3806" s="55" t="s">
        <v>63</v>
      </c>
      <c r="N3806" s="55" t="s">
        <v>99</v>
      </c>
      <c r="O3806" s="55" t="s">
        <v>64</v>
      </c>
      <c r="P3806" s="55" t="s">
        <v>78</v>
      </c>
      <c r="Q3806" s="55" t="s">
        <v>18250</v>
      </c>
      <c r="R3806" s="55" t="s">
        <v>840</v>
      </c>
      <c r="S3806" s="55">
        <v>0</v>
      </c>
      <c r="T3806" s="55">
        <v>0</v>
      </c>
      <c r="U3806" s="55">
        <v>0</v>
      </c>
      <c r="V3806" s="55">
        <v>0</v>
      </c>
      <c r="W3806" s="55">
        <v>0</v>
      </c>
      <c r="X3806" s="55">
        <v>0</v>
      </c>
      <c r="Y3806" s="55">
        <v>0</v>
      </c>
      <c r="Z3806" s="55">
        <v>0</v>
      </c>
      <c r="AA3806" s="55">
        <v>0</v>
      </c>
      <c r="AB3806" s="55">
        <v>0</v>
      </c>
      <c r="AC3806" s="55">
        <v>0</v>
      </c>
      <c r="AD3806" s="55">
        <v>0</v>
      </c>
      <c r="AE3806" s="55" t="s">
        <v>92</v>
      </c>
      <c r="AF3806" s="55" t="s">
        <v>22269</v>
      </c>
      <c r="AG3806" s="55" t="s">
        <v>16938</v>
      </c>
      <c r="AH3806" s="72">
        <v>45539</v>
      </c>
      <c r="AI3806" s="55">
        <v>0</v>
      </c>
      <c r="AJ3806" s="55" t="s">
        <v>9109</v>
      </c>
      <c r="AK3806" s="55" t="s">
        <v>22270</v>
      </c>
      <c r="AL3806" s="157">
        <v>45545</v>
      </c>
      <c r="AM3806" s="55"/>
      <c r="AN3806" s="157">
        <v>45902</v>
      </c>
      <c r="AO3806" s="157">
        <v>45880</v>
      </c>
    </row>
    <row r="3807" spans="1:54" ht="36.75" customHeight="1">
      <c r="A3807" s="46" t="s">
        <v>12471</v>
      </c>
      <c r="B3807" s="30" t="s">
        <v>55</v>
      </c>
      <c r="C3807" s="69" t="str">
        <f t="shared" ref="C3807" si="364">IF(B3807="Notification","Open",IF(B3807="Interim Statement","In progress","Closed"))</f>
        <v>Closed</v>
      </c>
      <c r="D3807" s="203" t="s">
        <v>22271</v>
      </c>
      <c r="E3807" s="55" t="s">
        <v>22272</v>
      </c>
      <c r="F3807" s="55" t="s">
        <v>17682</v>
      </c>
      <c r="G3807" s="88">
        <f>DATE(2024,9,7)</f>
        <v>45542</v>
      </c>
      <c r="H3807" s="142">
        <v>1.6458333333333335</v>
      </c>
      <c r="I3807" s="55" t="s">
        <v>73</v>
      </c>
      <c r="J3807" s="55" t="s">
        <v>22273</v>
      </c>
      <c r="K3807" s="55" t="s">
        <v>1574</v>
      </c>
      <c r="L3807" s="55" t="s">
        <v>15130</v>
      </c>
      <c r="M3807" s="55" t="s">
        <v>63</v>
      </c>
      <c r="N3807" s="55" t="s">
        <v>142</v>
      </c>
      <c r="O3807" s="55" t="s">
        <v>77</v>
      </c>
      <c r="P3807" s="55" t="s">
        <v>78</v>
      </c>
      <c r="Q3807" s="55" t="s">
        <v>22274</v>
      </c>
      <c r="R3807" s="55" t="s">
        <v>19007</v>
      </c>
      <c r="S3807" s="55">
        <v>0</v>
      </c>
      <c r="T3807" s="55">
        <v>0</v>
      </c>
      <c r="U3807" s="55">
        <v>0</v>
      </c>
      <c r="V3807" s="55">
        <v>0</v>
      </c>
      <c r="W3807" s="55">
        <v>0</v>
      </c>
      <c r="X3807" s="55">
        <v>0</v>
      </c>
      <c r="Y3807" s="55">
        <v>0</v>
      </c>
      <c r="Z3807" s="55">
        <v>0</v>
      </c>
      <c r="AA3807" s="55">
        <v>0</v>
      </c>
      <c r="AB3807" s="55">
        <v>0</v>
      </c>
      <c r="AC3807" s="55">
        <v>0</v>
      </c>
      <c r="AD3807" s="55">
        <v>0</v>
      </c>
      <c r="AE3807" s="55" t="s">
        <v>92</v>
      </c>
      <c r="AF3807" s="55" t="s">
        <v>22275</v>
      </c>
      <c r="AG3807" s="55" t="s">
        <v>8859</v>
      </c>
      <c r="AH3807" s="72">
        <v>45544</v>
      </c>
      <c r="AI3807" s="55">
        <v>0</v>
      </c>
      <c r="AJ3807" s="55" t="s">
        <v>22276</v>
      </c>
      <c r="AK3807" s="55" t="s">
        <v>22277</v>
      </c>
      <c r="AL3807" s="157">
        <v>45546</v>
      </c>
      <c r="AM3807" s="55"/>
      <c r="AN3807" s="157">
        <v>45915</v>
      </c>
      <c r="AO3807" s="157">
        <v>45902</v>
      </c>
      <c r="AP3807" s="55"/>
      <c r="AQ3807" s="55"/>
      <c r="AR3807" s="55"/>
      <c r="AS3807" s="55"/>
      <c r="AT3807" s="55"/>
      <c r="AU3807" s="55"/>
      <c r="AV3807" s="55"/>
      <c r="AW3807" s="55"/>
      <c r="AX3807" s="55"/>
      <c r="AY3807" s="55"/>
      <c r="AZ3807" s="55"/>
      <c r="BA3807" s="55"/>
      <c r="BB3807" s="55"/>
    </row>
    <row r="3808" spans="1:54" ht="36.75" customHeight="1">
      <c r="A3808" s="46" t="s">
        <v>12471</v>
      </c>
      <c r="B3808" s="30" t="s">
        <v>21606</v>
      </c>
      <c r="C3808" s="69" t="str">
        <f t="shared" ref="C3808" si="365">IF(B3808="Notification","Open",IF(B3808="Interim Statement","In progress","Closed"))</f>
        <v>In progress</v>
      </c>
      <c r="D3808" s="36" t="s">
        <v>22278</v>
      </c>
      <c r="E3808" s="30" t="s">
        <v>22279</v>
      </c>
      <c r="F3808" s="55" t="s">
        <v>12910</v>
      </c>
      <c r="G3808" s="88">
        <f>DATE(2024,9,10)</f>
        <v>45545</v>
      </c>
      <c r="H3808" s="142">
        <v>1.4131944444444444</v>
      </c>
      <c r="I3808" s="55" t="s">
        <v>278</v>
      </c>
      <c r="J3808" s="55" t="s">
        <v>22280</v>
      </c>
      <c r="K3808" s="55" t="s">
        <v>453</v>
      </c>
      <c r="L3808" s="55" t="s">
        <v>22281</v>
      </c>
      <c r="M3808" s="55" t="s">
        <v>63</v>
      </c>
      <c r="N3808" s="55" t="s">
        <v>142</v>
      </c>
      <c r="O3808" s="55" t="s">
        <v>64</v>
      </c>
      <c r="P3808" s="55" t="s">
        <v>6902</v>
      </c>
      <c r="Q3808" s="55" t="s">
        <v>14384</v>
      </c>
      <c r="R3808" s="55" t="s">
        <v>572</v>
      </c>
      <c r="S3808" s="55">
        <v>0</v>
      </c>
      <c r="T3808" s="55">
        <v>1</v>
      </c>
      <c r="U3808" s="55">
        <v>0</v>
      </c>
      <c r="V3808" s="55">
        <v>0</v>
      </c>
      <c r="W3808" s="55">
        <v>0</v>
      </c>
      <c r="X3808" s="55">
        <v>1</v>
      </c>
      <c r="Y3808" s="55">
        <v>0</v>
      </c>
      <c r="Z3808" s="55">
        <v>0</v>
      </c>
      <c r="AA3808" s="55">
        <v>0</v>
      </c>
      <c r="AB3808" s="55">
        <v>0</v>
      </c>
      <c r="AC3808" s="55">
        <v>0</v>
      </c>
      <c r="AD3808" s="55">
        <v>0</v>
      </c>
      <c r="AE3808" s="55" t="s">
        <v>92</v>
      </c>
      <c r="AF3808" s="55" t="s">
        <v>712</v>
      </c>
      <c r="AG3808" s="55" t="s">
        <v>6459</v>
      </c>
      <c r="AH3808" s="72">
        <v>45551</v>
      </c>
      <c r="AI3808" s="55"/>
      <c r="AJ3808" s="55"/>
      <c r="AK3808" s="55"/>
      <c r="AL3808" s="157">
        <v>45552</v>
      </c>
      <c r="AM3808" s="157">
        <v>45909</v>
      </c>
      <c r="AN3808" s="209"/>
      <c r="AO3808" s="209"/>
    </row>
    <row r="3809" spans="1:55" ht="36.75" customHeight="1">
      <c r="A3809" s="46" t="s">
        <v>12471</v>
      </c>
      <c r="B3809" s="30" t="s">
        <v>55</v>
      </c>
      <c r="C3809" s="69" t="str">
        <f t="shared" ref="C3809" si="366">IF(B3809="Notification","Open",IF(B3809="Interim Statement","In progress","Closed"))</f>
        <v>Closed</v>
      </c>
      <c r="D3809" s="203" t="s">
        <v>22282</v>
      </c>
      <c r="E3809" s="55" t="s">
        <v>22283</v>
      </c>
      <c r="F3809" s="55" t="s">
        <v>17682</v>
      </c>
      <c r="G3809" s="88">
        <f>DATE(2024,9,12)</f>
        <v>45547</v>
      </c>
      <c r="H3809" s="142">
        <v>1.8229166666666665</v>
      </c>
      <c r="I3809" s="55" t="s">
        <v>73</v>
      </c>
      <c r="J3809" s="55" t="s">
        <v>22284</v>
      </c>
      <c r="K3809" s="55" t="s">
        <v>1574</v>
      </c>
      <c r="L3809" s="55" t="s">
        <v>19463</v>
      </c>
      <c r="M3809" s="55" t="s">
        <v>63</v>
      </c>
      <c r="N3809" s="55" t="s">
        <v>99</v>
      </c>
      <c r="O3809" s="55" t="s">
        <v>64</v>
      </c>
      <c r="P3809" s="55" t="s">
        <v>78</v>
      </c>
      <c r="Q3809" s="55" t="s">
        <v>18063</v>
      </c>
      <c r="R3809" s="55" t="s">
        <v>19007</v>
      </c>
      <c r="S3809" s="55">
        <v>0</v>
      </c>
      <c r="T3809" s="55">
        <v>0</v>
      </c>
      <c r="U3809" s="55">
        <v>0</v>
      </c>
      <c r="V3809" s="55">
        <v>0</v>
      </c>
      <c r="W3809" s="55">
        <v>0</v>
      </c>
      <c r="X3809" s="55">
        <v>0</v>
      </c>
      <c r="Y3809" s="55">
        <v>0</v>
      </c>
      <c r="Z3809" s="55">
        <v>0</v>
      </c>
      <c r="AA3809" s="55">
        <v>0</v>
      </c>
      <c r="AB3809" s="55">
        <v>0</v>
      </c>
      <c r="AC3809" s="55">
        <v>0</v>
      </c>
      <c r="AD3809" s="55">
        <v>0</v>
      </c>
      <c r="AE3809" s="55" t="s">
        <v>92</v>
      </c>
      <c r="AF3809" s="55" t="s">
        <v>22285</v>
      </c>
      <c r="AG3809" s="55" t="s">
        <v>8859</v>
      </c>
      <c r="AH3809" s="72">
        <v>45551</v>
      </c>
      <c r="AI3809" s="55">
        <v>0</v>
      </c>
      <c r="AJ3809" s="55" t="s">
        <v>22286</v>
      </c>
      <c r="AK3809" s="55" t="s">
        <v>22287</v>
      </c>
      <c r="AL3809" s="157">
        <v>45552</v>
      </c>
      <c r="AM3809" s="55"/>
      <c r="AN3809" s="157">
        <v>45918</v>
      </c>
      <c r="AO3809" s="157">
        <v>45911</v>
      </c>
      <c r="AP3809" s="55"/>
      <c r="AQ3809" s="55"/>
      <c r="AR3809" s="55"/>
      <c r="AS3809" s="55"/>
      <c r="AT3809" s="55"/>
      <c r="AU3809" s="55"/>
      <c r="AV3809" s="55"/>
      <c r="AW3809" s="55"/>
      <c r="AX3809" s="55"/>
      <c r="AY3809" s="55"/>
      <c r="AZ3809" s="55"/>
      <c r="BA3809" s="55"/>
      <c r="BB3809" s="55"/>
      <c r="BC3809" s="55"/>
    </row>
    <row r="3810" spans="1:55" ht="36.75" customHeight="1">
      <c r="A3810" s="46" t="s">
        <v>12471</v>
      </c>
      <c r="B3810" s="30" t="s">
        <v>55</v>
      </c>
      <c r="C3810" s="69" t="str">
        <f t="shared" ref="C3810" si="367">IF(B3810="Notification","Open",IF(B3810="Interim Statement","In progress","Closed"))</f>
        <v>Closed</v>
      </c>
      <c r="D3810" s="203" t="s">
        <v>22288</v>
      </c>
      <c r="E3810" s="55" t="s">
        <v>22289</v>
      </c>
      <c r="F3810" s="55" t="s">
        <v>17773</v>
      </c>
      <c r="G3810" s="88">
        <f>DATE(2024,8,25)</f>
        <v>45529</v>
      </c>
      <c r="H3810" s="142">
        <v>1.9375</v>
      </c>
      <c r="I3810" s="55" t="s">
        <v>125</v>
      </c>
      <c r="J3810" s="55" t="s">
        <v>22290</v>
      </c>
      <c r="K3810" s="55" t="s">
        <v>2603</v>
      </c>
      <c r="L3810" s="55" t="s">
        <v>22291</v>
      </c>
      <c r="M3810" s="55" t="s">
        <v>63</v>
      </c>
      <c r="N3810" s="55" t="s">
        <v>99</v>
      </c>
      <c r="O3810" s="55" t="s">
        <v>64</v>
      </c>
      <c r="P3810" s="55" t="s">
        <v>65</v>
      </c>
      <c r="Q3810" s="55" t="s">
        <v>20555</v>
      </c>
      <c r="R3810" s="55" t="s">
        <v>18439</v>
      </c>
      <c r="S3810" s="55">
        <v>0</v>
      </c>
      <c r="T3810" s="55">
        <v>0</v>
      </c>
      <c r="U3810" s="55">
        <v>0</v>
      </c>
      <c r="V3810" s="55">
        <v>0</v>
      </c>
      <c r="W3810" s="55">
        <v>0</v>
      </c>
      <c r="X3810" s="55">
        <v>0</v>
      </c>
      <c r="Y3810" s="55">
        <v>0</v>
      </c>
      <c r="Z3810" s="55">
        <v>0</v>
      </c>
      <c r="AA3810" s="55">
        <v>0</v>
      </c>
      <c r="AB3810" s="55">
        <v>0</v>
      </c>
      <c r="AC3810" s="55">
        <v>0</v>
      </c>
      <c r="AD3810" s="55">
        <v>0</v>
      </c>
      <c r="AE3810" s="55" t="s">
        <v>92</v>
      </c>
      <c r="AF3810" s="55" t="s">
        <v>22292</v>
      </c>
      <c r="AG3810" s="55" t="s">
        <v>8859</v>
      </c>
      <c r="AH3810" s="72">
        <v>45544</v>
      </c>
      <c r="AI3810" s="55">
        <v>6</v>
      </c>
      <c r="AJ3810" s="55" t="s">
        <v>22293</v>
      </c>
      <c r="AK3810" s="55" t="s">
        <v>22294</v>
      </c>
      <c r="AL3810" s="157">
        <v>45553</v>
      </c>
      <c r="AM3810" s="55"/>
      <c r="AN3810" s="157">
        <v>45680</v>
      </c>
      <c r="AO3810" s="157">
        <v>45671</v>
      </c>
    </row>
    <row r="3811" spans="1:55" ht="36.75" customHeight="1">
      <c r="A3811" s="46" t="s">
        <v>12471</v>
      </c>
      <c r="B3811" s="30" t="s">
        <v>55</v>
      </c>
      <c r="C3811" s="69" t="str">
        <f t="shared" ref="C3811" si="368">IF(B3811="Notification","Open",IF(B3811="Interim Statement","In progress","Closed"))</f>
        <v>Closed</v>
      </c>
      <c r="D3811" s="203" t="s">
        <v>22295</v>
      </c>
      <c r="E3811" s="55" t="s">
        <v>22296</v>
      </c>
      <c r="F3811" s="55" t="s">
        <v>16429</v>
      </c>
      <c r="G3811" s="88">
        <f>DATE(2024,9,18)</f>
        <v>45553</v>
      </c>
      <c r="H3811" s="142">
        <v>1.3180555555555555</v>
      </c>
      <c r="I3811" s="55" t="s">
        <v>198</v>
      </c>
      <c r="J3811" s="55" t="s">
        <v>22297</v>
      </c>
      <c r="K3811" s="55" t="s">
        <v>425</v>
      </c>
      <c r="L3811" s="55" t="s">
        <v>22298</v>
      </c>
      <c r="M3811" s="55" t="s">
        <v>63</v>
      </c>
      <c r="N3811" s="55" t="s">
        <v>142</v>
      </c>
      <c r="O3811" s="55" t="s">
        <v>22299</v>
      </c>
      <c r="P3811" s="55" t="s">
        <v>165</v>
      </c>
      <c r="Q3811" s="55" t="s">
        <v>22300</v>
      </c>
      <c r="R3811" s="55" t="s">
        <v>17369</v>
      </c>
      <c r="S3811" s="55">
        <v>0</v>
      </c>
      <c r="T3811" s="55">
        <v>0</v>
      </c>
      <c r="U3811" s="55">
        <v>0</v>
      </c>
      <c r="V3811" s="55">
        <v>0</v>
      </c>
      <c r="W3811" s="55">
        <v>0</v>
      </c>
      <c r="X3811" s="55">
        <v>0</v>
      </c>
      <c r="Y3811" s="55">
        <v>0</v>
      </c>
      <c r="Z3811" s="55">
        <v>0</v>
      </c>
      <c r="AA3811" s="55">
        <v>0</v>
      </c>
      <c r="AB3811" s="55">
        <v>0</v>
      </c>
      <c r="AC3811" s="55">
        <v>0</v>
      </c>
      <c r="AD3811" s="55">
        <v>0</v>
      </c>
      <c r="AE3811" s="55" t="s">
        <v>394</v>
      </c>
      <c r="AF3811" s="55" t="s">
        <v>22301</v>
      </c>
      <c r="AG3811" s="55" t="s">
        <v>6459</v>
      </c>
      <c r="AH3811" s="72">
        <v>45553</v>
      </c>
      <c r="AI3811" s="55">
        <v>1</v>
      </c>
      <c r="AJ3811" s="55" t="s">
        <v>22302</v>
      </c>
      <c r="AK3811" s="55" t="s">
        <v>712</v>
      </c>
      <c r="AL3811" s="157">
        <v>45554</v>
      </c>
      <c r="AM3811" s="55"/>
      <c r="AN3811" s="157">
        <v>45918</v>
      </c>
      <c r="AO3811" s="157">
        <v>45916</v>
      </c>
    </row>
    <row r="3812" spans="1:55" ht="36.75" customHeight="1">
      <c r="A3812" s="46" t="s">
        <v>12471</v>
      </c>
      <c r="B3812" s="30" t="s">
        <v>2124</v>
      </c>
      <c r="C3812" s="69" t="str">
        <f t="shared" ref="C3812" si="369">IF(B3812="Notification","Open",IF(B3812="Interim Statement","In progress","Closed"))</f>
        <v>Open</v>
      </c>
      <c r="D3812" s="36" t="s">
        <v>22303</v>
      </c>
      <c r="E3812" s="55" t="s">
        <v>22304</v>
      </c>
      <c r="F3812" s="55" t="s">
        <v>18131</v>
      </c>
      <c r="G3812" s="88">
        <f>DATE(2024,9,13)</f>
        <v>45548</v>
      </c>
      <c r="H3812" s="142">
        <v>1.2708333333333333</v>
      </c>
      <c r="I3812" s="55" t="s">
        <v>198</v>
      </c>
      <c r="J3812" s="55" t="s">
        <v>22305</v>
      </c>
      <c r="K3812" s="55" t="s">
        <v>379</v>
      </c>
      <c r="L3812" s="55" t="s">
        <v>22306</v>
      </c>
      <c r="M3812" s="55" t="s">
        <v>63</v>
      </c>
      <c r="N3812" s="55" t="s">
        <v>89</v>
      </c>
      <c r="O3812" s="55" t="s">
        <v>64</v>
      </c>
      <c r="P3812" s="55" t="s">
        <v>78</v>
      </c>
      <c r="Q3812" s="55" t="s">
        <v>22307</v>
      </c>
      <c r="R3812" s="55" t="s">
        <v>19604</v>
      </c>
      <c r="S3812" s="55"/>
      <c r="T3812" s="55"/>
      <c r="U3812" s="55"/>
      <c r="V3812" s="55"/>
      <c r="W3812" s="55"/>
      <c r="X3812" s="55">
        <v>0</v>
      </c>
      <c r="Y3812" s="55"/>
      <c r="Z3812" s="55"/>
      <c r="AA3812" s="55"/>
      <c r="AB3812" s="55"/>
      <c r="AC3812" s="55"/>
      <c r="AD3812" s="55">
        <v>0</v>
      </c>
      <c r="AE3812" s="55" t="s">
        <v>145</v>
      </c>
      <c r="AF3812" s="55" t="s">
        <v>22308</v>
      </c>
      <c r="AG3812" s="55" t="s">
        <v>6459</v>
      </c>
      <c r="AH3812" s="72">
        <v>45548</v>
      </c>
      <c r="AI3812" s="55"/>
      <c r="AJ3812" s="55"/>
      <c r="AK3812" s="55"/>
      <c r="AL3812" s="157">
        <v>45555</v>
      </c>
      <c r="AM3812" s="55"/>
      <c r="AN3812" s="209"/>
      <c r="AO3812" s="209"/>
    </row>
    <row r="3813" spans="1:55" ht="36.75" customHeight="1">
      <c r="A3813" s="46" t="s">
        <v>12471</v>
      </c>
      <c r="B3813" s="30" t="s">
        <v>55</v>
      </c>
      <c r="C3813" s="69" t="str">
        <f t="shared" ref="C3813" si="370">IF(B3813="Notification","Open",IF(B3813="Interim Statement","In progress","Closed"))</f>
        <v>Closed</v>
      </c>
      <c r="D3813" s="203" t="s">
        <v>22309</v>
      </c>
      <c r="E3813" s="55" t="s">
        <v>22310</v>
      </c>
      <c r="F3813" s="55" t="s">
        <v>17682</v>
      </c>
      <c r="G3813" s="88">
        <f>DATE(2024,9,19)</f>
        <v>45554</v>
      </c>
      <c r="H3813" s="142">
        <v>1.2916666666666667</v>
      </c>
      <c r="I3813" s="55" t="s">
        <v>73</v>
      </c>
      <c r="J3813" s="55" t="s">
        <v>22311</v>
      </c>
      <c r="K3813" s="55" t="s">
        <v>1574</v>
      </c>
      <c r="L3813" s="55" t="s">
        <v>22312</v>
      </c>
      <c r="M3813" s="55" t="s">
        <v>63</v>
      </c>
      <c r="N3813" s="55" t="s">
        <v>99</v>
      </c>
      <c r="O3813" s="55" t="s">
        <v>77</v>
      </c>
      <c r="P3813" s="55" t="s">
        <v>165</v>
      </c>
      <c r="Q3813" s="55" t="s">
        <v>22313</v>
      </c>
      <c r="R3813" s="55" t="s">
        <v>19007</v>
      </c>
      <c r="S3813" s="55">
        <v>0</v>
      </c>
      <c r="T3813" s="55">
        <v>0</v>
      </c>
      <c r="U3813" s="55">
        <v>0</v>
      </c>
      <c r="V3813" s="55">
        <v>0</v>
      </c>
      <c r="W3813" s="55">
        <v>0</v>
      </c>
      <c r="X3813" s="55">
        <v>0</v>
      </c>
      <c r="Y3813" s="55">
        <v>0</v>
      </c>
      <c r="Z3813" s="55">
        <v>0</v>
      </c>
      <c r="AA3813" s="55">
        <v>0</v>
      </c>
      <c r="AB3813" s="55">
        <v>0</v>
      </c>
      <c r="AC3813" s="55">
        <v>0</v>
      </c>
      <c r="AD3813" s="55">
        <v>0</v>
      </c>
      <c r="AE3813" s="55" t="s">
        <v>92</v>
      </c>
      <c r="AF3813" s="55" t="s">
        <v>22314</v>
      </c>
      <c r="AG3813" s="55" t="s">
        <v>8859</v>
      </c>
      <c r="AH3813" s="72">
        <v>45555</v>
      </c>
      <c r="AI3813" s="55">
        <v>1</v>
      </c>
      <c r="AJ3813" s="55" t="s">
        <v>22315</v>
      </c>
      <c r="AK3813" s="55" t="s">
        <v>22316</v>
      </c>
      <c r="AL3813" s="157">
        <v>45560</v>
      </c>
      <c r="AM3813" s="55"/>
      <c r="AN3813" s="157">
        <v>45916</v>
      </c>
      <c r="AO3813" s="157">
        <v>45894</v>
      </c>
    </row>
    <row r="3814" spans="1:55" ht="36.75" customHeight="1">
      <c r="A3814" s="46" t="s">
        <v>12471</v>
      </c>
      <c r="B3814" s="30" t="s">
        <v>55</v>
      </c>
      <c r="C3814" s="69" t="str">
        <f t="shared" ref="C3814" si="371">IF(B3814="Notification","Open",IF(B3814="Interim Statement","In progress","Closed"))</f>
        <v>Closed</v>
      </c>
      <c r="D3814" s="203" t="s">
        <v>22317</v>
      </c>
      <c r="E3814" s="55" t="s">
        <v>22318</v>
      </c>
      <c r="F3814" s="55" t="s">
        <v>17682</v>
      </c>
      <c r="G3814" s="88">
        <f>DATE(2024,9,22)</f>
        <v>45557</v>
      </c>
      <c r="H3814" s="142">
        <v>1.7534722222222223</v>
      </c>
      <c r="I3814" s="55" t="s">
        <v>73</v>
      </c>
      <c r="J3814" s="55" t="s">
        <v>22319</v>
      </c>
      <c r="K3814" s="55" t="s">
        <v>1574</v>
      </c>
      <c r="L3814" s="55" t="s">
        <v>14935</v>
      </c>
      <c r="M3814" s="55" t="s">
        <v>63</v>
      </c>
      <c r="N3814" s="55" t="s">
        <v>89</v>
      </c>
      <c r="O3814" s="55" t="s">
        <v>77</v>
      </c>
      <c r="P3814" s="55" t="s">
        <v>78</v>
      </c>
      <c r="Q3814" s="55" t="s">
        <v>22320</v>
      </c>
      <c r="R3814" s="55" t="s">
        <v>19007</v>
      </c>
      <c r="S3814" s="55">
        <v>0</v>
      </c>
      <c r="T3814" s="55">
        <v>0</v>
      </c>
      <c r="U3814" s="55">
        <v>0</v>
      </c>
      <c r="V3814" s="55">
        <v>0</v>
      </c>
      <c r="W3814" s="55">
        <v>0</v>
      </c>
      <c r="X3814" s="55">
        <v>0</v>
      </c>
      <c r="Y3814" s="55">
        <v>0</v>
      </c>
      <c r="Z3814" s="55">
        <v>0</v>
      </c>
      <c r="AA3814" s="55">
        <v>0</v>
      </c>
      <c r="AB3814" s="55">
        <v>0</v>
      </c>
      <c r="AC3814" s="55">
        <v>0</v>
      </c>
      <c r="AD3814" s="55">
        <v>0</v>
      </c>
      <c r="AE3814" s="55" t="s">
        <v>92</v>
      </c>
      <c r="AF3814" s="55" t="s">
        <v>22321</v>
      </c>
      <c r="AG3814" s="55" t="s">
        <v>8859</v>
      </c>
      <c r="AH3814" s="72">
        <v>45559</v>
      </c>
      <c r="AI3814" s="55">
        <v>0</v>
      </c>
      <c r="AJ3814" s="55" t="s">
        <v>22322</v>
      </c>
      <c r="AK3814" s="55" t="s">
        <v>22323</v>
      </c>
      <c r="AL3814" s="157">
        <v>45562</v>
      </c>
      <c r="AM3814" s="55"/>
      <c r="AN3814" s="157">
        <v>45922</v>
      </c>
      <c r="AO3814" s="157">
        <v>45915</v>
      </c>
    </row>
    <row r="3815" spans="1:55" ht="36.75" customHeight="1">
      <c r="A3815" s="46" t="s">
        <v>12471</v>
      </c>
      <c r="B3815" s="30" t="s">
        <v>55</v>
      </c>
      <c r="C3815" s="69" t="str">
        <f t="shared" ref="C3815" si="372">IF(B3815="Notification","Open",IF(B3815="Interim Statement","In progress","Closed"))</f>
        <v>Closed</v>
      </c>
      <c r="D3815" s="203" t="s">
        <v>22324</v>
      </c>
      <c r="E3815" s="55" t="s">
        <v>22325</v>
      </c>
      <c r="F3815" s="55" t="s">
        <v>17682</v>
      </c>
      <c r="G3815" s="88">
        <f>DATE(2024,9,26)</f>
        <v>45561</v>
      </c>
      <c r="H3815" s="142">
        <v>1.7048611111111112</v>
      </c>
      <c r="I3815" s="55" t="s">
        <v>73</v>
      </c>
      <c r="J3815" s="55" t="s">
        <v>22326</v>
      </c>
      <c r="K3815" s="55" t="s">
        <v>1574</v>
      </c>
      <c r="L3815" s="55" t="s">
        <v>12355</v>
      </c>
      <c r="M3815" s="55" t="s">
        <v>63</v>
      </c>
      <c r="N3815" s="55" t="s">
        <v>89</v>
      </c>
      <c r="O3815" s="55" t="s">
        <v>77</v>
      </c>
      <c r="P3815" s="55" t="s">
        <v>78</v>
      </c>
      <c r="Q3815" s="55" t="s">
        <v>22327</v>
      </c>
      <c r="R3815" s="55" t="s">
        <v>19007</v>
      </c>
      <c r="S3815" s="55">
        <v>0</v>
      </c>
      <c r="T3815" s="55">
        <v>0</v>
      </c>
      <c r="U3815" s="55">
        <v>0</v>
      </c>
      <c r="V3815" s="55">
        <v>0</v>
      </c>
      <c r="W3815" s="55">
        <v>0</v>
      </c>
      <c r="X3815" s="55">
        <v>0</v>
      </c>
      <c r="Y3815" s="55">
        <v>0</v>
      </c>
      <c r="Z3815" s="55">
        <v>0</v>
      </c>
      <c r="AA3815" s="55">
        <v>0</v>
      </c>
      <c r="AB3815" s="55">
        <v>0</v>
      </c>
      <c r="AC3815" s="55">
        <v>0</v>
      </c>
      <c r="AD3815" s="55">
        <v>0</v>
      </c>
      <c r="AE3815" s="55" t="s">
        <v>92</v>
      </c>
      <c r="AF3815" s="55" t="s">
        <v>22328</v>
      </c>
      <c r="AG3815" s="55" t="s">
        <v>8859</v>
      </c>
      <c r="AH3815" s="72">
        <v>45566</v>
      </c>
      <c r="AI3815" s="55">
        <v>2</v>
      </c>
      <c r="AJ3815" s="55" t="s">
        <v>22329</v>
      </c>
      <c r="AK3815" s="55" t="s">
        <v>22330</v>
      </c>
      <c r="AL3815" s="157">
        <v>45566</v>
      </c>
      <c r="AM3815" s="55"/>
      <c r="AN3815" s="157">
        <v>45917</v>
      </c>
      <c r="AO3815" s="157">
        <v>45908</v>
      </c>
      <c r="AP3815" s="55"/>
      <c r="AQ3815" s="55"/>
      <c r="AR3815" s="55"/>
      <c r="AS3815" s="55"/>
      <c r="AT3815" s="55"/>
      <c r="AU3815" s="55"/>
      <c r="AV3815" s="55"/>
      <c r="AW3815" s="55"/>
      <c r="AX3815" s="55"/>
      <c r="AY3815" s="55"/>
      <c r="AZ3815" s="55"/>
      <c r="BA3815" s="55"/>
    </row>
    <row r="3816" spans="1:55" ht="36.75" customHeight="1">
      <c r="A3816" s="46" t="s">
        <v>12471</v>
      </c>
      <c r="B3816" s="30" t="s">
        <v>2124</v>
      </c>
      <c r="C3816" s="69" t="str">
        <f t="shared" ref="C3816" si="373">IF(B3816="Notification","Open",IF(B3816="Interim Statement","In progress","Closed"))</f>
        <v>Open</v>
      </c>
      <c r="D3816" s="36" t="s">
        <v>22331</v>
      </c>
      <c r="E3816" s="55" t="s">
        <v>22332</v>
      </c>
      <c r="F3816" s="55" t="s">
        <v>17578</v>
      </c>
      <c r="G3816" s="88">
        <f>DATE(2024,8,25)</f>
        <v>45529</v>
      </c>
      <c r="H3816" s="142">
        <v>1.7847222222222223</v>
      </c>
      <c r="I3816" s="55" t="s">
        <v>73</v>
      </c>
      <c r="J3816" s="55" t="s">
        <v>22333</v>
      </c>
      <c r="K3816" s="55" t="s">
        <v>837</v>
      </c>
      <c r="L3816" s="55" t="s">
        <v>8645</v>
      </c>
      <c r="M3816" s="55" t="s">
        <v>63</v>
      </c>
      <c r="N3816" s="55" t="s">
        <v>89</v>
      </c>
      <c r="O3816" s="55" t="s">
        <v>77</v>
      </c>
      <c r="P3816" s="55" t="s">
        <v>65</v>
      </c>
      <c r="Q3816" s="55" t="s">
        <v>2162</v>
      </c>
      <c r="R3816" s="55" t="s">
        <v>840</v>
      </c>
      <c r="S3816" s="55">
        <v>0</v>
      </c>
      <c r="T3816" s="55">
        <v>0</v>
      </c>
      <c r="U3816" s="55">
        <v>0</v>
      </c>
      <c r="V3816" s="55">
        <v>0</v>
      </c>
      <c r="W3816" s="55">
        <v>0</v>
      </c>
      <c r="X3816" s="55">
        <v>0</v>
      </c>
      <c r="Y3816" s="55">
        <v>0</v>
      </c>
      <c r="Z3816" s="55">
        <v>0</v>
      </c>
      <c r="AA3816" s="55">
        <v>0</v>
      </c>
      <c r="AB3816" s="55">
        <v>0</v>
      </c>
      <c r="AC3816" s="55">
        <v>0</v>
      </c>
      <c r="AD3816" s="55">
        <v>0</v>
      </c>
      <c r="AE3816" s="55" t="s">
        <v>394</v>
      </c>
      <c r="AF3816" s="55" t="s">
        <v>22334</v>
      </c>
      <c r="AG3816" s="55" t="s">
        <v>8859</v>
      </c>
      <c r="AH3816" s="72">
        <v>45529</v>
      </c>
      <c r="AI3816" s="55"/>
      <c r="AJ3816" s="55"/>
      <c r="AK3816" s="55"/>
      <c r="AL3816" s="157">
        <v>45580</v>
      </c>
      <c r="AM3816" s="55"/>
      <c r="AN3816" s="209"/>
      <c r="AO3816" s="209"/>
    </row>
    <row r="3817" spans="1:55" ht="36.75" customHeight="1">
      <c r="A3817" s="46" t="s">
        <v>12471</v>
      </c>
      <c r="B3817" s="30" t="s">
        <v>55</v>
      </c>
      <c r="C3817" s="69" t="str">
        <f t="shared" ref="C3817" si="374">IF(B3817="Notification","Open",IF(B3817="Interim Statement","In progress","Closed"))</f>
        <v>Closed</v>
      </c>
      <c r="D3817" s="58" t="s">
        <v>22335</v>
      </c>
      <c r="E3817" s="55" t="s">
        <v>22336</v>
      </c>
      <c r="F3817" s="55" t="s">
        <v>21020</v>
      </c>
      <c r="G3817" s="88">
        <f>DATE(2024,8,28)</f>
        <v>45532</v>
      </c>
      <c r="H3817" s="142">
        <v>1.5659722222222223</v>
      </c>
      <c r="I3817" s="55" t="s">
        <v>116</v>
      </c>
      <c r="J3817" s="55" t="s">
        <v>22337</v>
      </c>
      <c r="K3817" s="55" t="s">
        <v>21022</v>
      </c>
      <c r="L3817" s="55" t="s">
        <v>22338</v>
      </c>
      <c r="M3817" s="55" t="s">
        <v>63</v>
      </c>
      <c r="N3817" s="55" t="s">
        <v>99</v>
      </c>
      <c r="O3817" s="55" t="s">
        <v>64</v>
      </c>
      <c r="P3817" s="55" t="s">
        <v>78</v>
      </c>
      <c r="Q3817" s="55" t="s">
        <v>22339</v>
      </c>
      <c r="R3817" s="55" t="s">
        <v>80</v>
      </c>
      <c r="S3817" s="55">
        <v>0</v>
      </c>
      <c r="T3817" s="55">
        <v>1</v>
      </c>
      <c r="U3817" s="55">
        <v>0</v>
      </c>
      <c r="V3817" s="55">
        <v>0</v>
      </c>
      <c r="W3817" s="55">
        <v>0</v>
      </c>
      <c r="X3817" s="55">
        <v>1</v>
      </c>
      <c r="Y3817" s="55">
        <v>0</v>
      </c>
      <c r="Z3817" s="55">
        <v>0</v>
      </c>
      <c r="AA3817" s="55">
        <v>0</v>
      </c>
      <c r="AB3817" s="55">
        <v>0</v>
      </c>
      <c r="AC3817" s="55">
        <v>0</v>
      </c>
      <c r="AD3817" s="55">
        <v>0</v>
      </c>
      <c r="AE3817" s="55" t="s">
        <v>92</v>
      </c>
      <c r="AF3817" s="55" t="s">
        <v>22340</v>
      </c>
      <c r="AG3817" s="55" t="s">
        <v>6459</v>
      </c>
      <c r="AH3817" s="72">
        <v>45565</v>
      </c>
      <c r="AI3817" s="55">
        <v>3</v>
      </c>
      <c r="AJ3817" s="55" t="s">
        <v>22341</v>
      </c>
      <c r="AK3817" s="55" t="s">
        <v>22342</v>
      </c>
      <c r="AL3817" s="157">
        <v>45583</v>
      </c>
      <c r="AM3817" s="55"/>
      <c r="AN3817" s="212">
        <v>46000</v>
      </c>
      <c r="AO3817" s="209"/>
    </row>
    <row r="3818" spans="1:55" ht="36.75" customHeight="1">
      <c r="A3818" s="46" t="s">
        <v>12471</v>
      </c>
      <c r="B3818" s="30" t="s">
        <v>55</v>
      </c>
      <c r="C3818" s="69" t="str">
        <f t="shared" ref="C3818" si="375">IF(B3818="Notification","Open",IF(B3818="Interim Statement","In progress","Closed"))</f>
        <v>Closed</v>
      </c>
      <c r="D3818" s="203" t="s">
        <v>22343</v>
      </c>
      <c r="E3818" s="55" t="s">
        <v>22344</v>
      </c>
      <c r="F3818" s="55" t="s">
        <v>17682</v>
      </c>
      <c r="G3818" s="88">
        <f>DATE(2024,10,19)</f>
        <v>45584</v>
      </c>
      <c r="H3818" s="142">
        <v>1.0486111111111112</v>
      </c>
      <c r="I3818" s="55" t="s">
        <v>125</v>
      </c>
      <c r="J3818" s="55" t="s">
        <v>22345</v>
      </c>
      <c r="K3818" s="55" t="s">
        <v>1574</v>
      </c>
      <c r="L3818" s="55" t="s">
        <v>22346</v>
      </c>
      <c r="M3818" s="55" t="s">
        <v>63</v>
      </c>
      <c r="N3818" s="55" t="s">
        <v>142</v>
      </c>
      <c r="O3818" s="55" t="s">
        <v>64</v>
      </c>
      <c r="P3818" s="55" t="s">
        <v>78</v>
      </c>
      <c r="Q3818" s="55" t="s">
        <v>18592</v>
      </c>
      <c r="R3818" s="55" t="s">
        <v>19007</v>
      </c>
      <c r="S3818" s="55">
        <v>0</v>
      </c>
      <c r="T3818" s="55">
        <v>0</v>
      </c>
      <c r="U3818" s="55">
        <v>0</v>
      </c>
      <c r="V3818" s="55">
        <v>0</v>
      </c>
      <c r="W3818" s="55">
        <v>0</v>
      </c>
      <c r="X3818" s="55">
        <v>0</v>
      </c>
      <c r="Y3818" s="55">
        <v>0</v>
      </c>
      <c r="Z3818" s="55">
        <v>0</v>
      </c>
      <c r="AA3818" s="55">
        <v>0</v>
      </c>
      <c r="AB3818" s="55">
        <v>0</v>
      </c>
      <c r="AC3818" s="55">
        <v>0</v>
      </c>
      <c r="AD3818" s="55">
        <v>0</v>
      </c>
      <c r="AE3818" s="55" t="s">
        <v>92</v>
      </c>
      <c r="AF3818" s="55" t="s">
        <v>22347</v>
      </c>
      <c r="AG3818" s="55" t="s">
        <v>8859</v>
      </c>
      <c r="AH3818" s="72">
        <v>45586</v>
      </c>
      <c r="AI3818" s="55">
        <v>0</v>
      </c>
      <c r="AJ3818" s="55" t="s">
        <v>22348</v>
      </c>
      <c r="AK3818" s="55" t="s">
        <v>22349</v>
      </c>
      <c r="AL3818" s="157">
        <v>45586</v>
      </c>
      <c r="AM3818" s="55"/>
      <c r="AN3818" s="157">
        <v>45971</v>
      </c>
      <c r="AO3818" s="157">
        <v>45940</v>
      </c>
    </row>
    <row r="3819" spans="1:55" ht="36.75" customHeight="1">
      <c r="A3819" s="46" t="s">
        <v>12471</v>
      </c>
      <c r="B3819" s="30" t="s">
        <v>21606</v>
      </c>
      <c r="C3819" s="69" t="str">
        <f t="shared" ref="C3819" si="376">IF(B3819="Notification","Open",IF(B3819="Interim Statement","In progress","Closed"))</f>
        <v>In progress</v>
      </c>
      <c r="D3819" s="36" t="s">
        <v>22350</v>
      </c>
      <c r="E3819" s="55" t="s">
        <v>22351</v>
      </c>
      <c r="F3819" s="55" t="s">
        <v>6455</v>
      </c>
      <c r="G3819" s="88">
        <f>DATE(2024,9,24)</f>
        <v>45559</v>
      </c>
      <c r="H3819" s="142">
        <v>1.3020833333333333</v>
      </c>
      <c r="I3819" s="55" t="s">
        <v>198</v>
      </c>
      <c r="J3819" s="55" t="s">
        <v>22352</v>
      </c>
      <c r="K3819" s="55" t="s">
        <v>584</v>
      </c>
      <c r="L3819" s="55" t="s">
        <v>22353</v>
      </c>
      <c r="M3819" s="55" t="s">
        <v>63</v>
      </c>
      <c r="N3819" s="55" t="s">
        <v>99</v>
      </c>
      <c r="O3819" s="55" t="s">
        <v>77</v>
      </c>
      <c r="P3819" s="55" t="s">
        <v>165</v>
      </c>
      <c r="Q3819" s="214"/>
      <c r="R3819" s="55" t="s">
        <v>22354</v>
      </c>
      <c r="S3819" s="55">
        <v>0</v>
      </c>
      <c r="T3819" s="55">
        <v>0</v>
      </c>
      <c r="U3819" s="55">
        <v>0</v>
      </c>
      <c r="V3819" s="55">
        <v>0</v>
      </c>
      <c r="W3819" s="55">
        <v>0</v>
      </c>
      <c r="X3819" s="55">
        <v>0</v>
      </c>
      <c r="Y3819" s="55">
        <v>0</v>
      </c>
      <c r="Z3819" s="55"/>
      <c r="AA3819" s="55">
        <v>0</v>
      </c>
      <c r="AB3819" s="55">
        <v>0</v>
      </c>
      <c r="AC3819" s="55">
        <v>0</v>
      </c>
      <c r="AD3819" s="55">
        <v>4</v>
      </c>
      <c r="AE3819" s="214"/>
      <c r="AF3819" s="55" t="s">
        <v>19357</v>
      </c>
      <c r="AG3819" s="55" t="s">
        <v>8859</v>
      </c>
      <c r="AH3819" s="72">
        <v>45559</v>
      </c>
      <c r="AI3819" s="55"/>
      <c r="AJ3819" s="55"/>
      <c r="AK3819" s="55"/>
      <c r="AL3819" s="157">
        <v>45587</v>
      </c>
      <c r="AM3819" s="157">
        <v>45947</v>
      </c>
      <c r="AN3819" s="209"/>
      <c r="AO3819" s="209"/>
      <c r="AP3819" s="55"/>
      <c r="AQ3819" s="55"/>
      <c r="AR3819" s="55"/>
      <c r="AS3819" s="55"/>
      <c r="AT3819" s="55"/>
      <c r="AU3819" s="55"/>
      <c r="AV3819" s="55"/>
      <c r="AW3819" s="55"/>
      <c r="AX3819" s="55"/>
      <c r="AY3819" s="55"/>
    </row>
    <row r="3820" spans="1:55" ht="36.75" customHeight="1">
      <c r="A3820" s="46" t="s">
        <v>12471</v>
      </c>
      <c r="B3820" s="30" t="s">
        <v>21606</v>
      </c>
      <c r="C3820" s="69" t="str">
        <f t="shared" ref="C3820:C3821" si="377">IF(B3820="Notification","Open",IF(B3820="Interim Statement","In progress","Closed"))</f>
        <v>In progress</v>
      </c>
      <c r="D3820" s="36" t="s">
        <v>22355</v>
      </c>
      <c r="E3820" s="55" t="s">
        <v>22356</v>
      </c>
      <c r="F3820" s="55" t="s">
        <v>6455</v>
      </c>
      <c r="G3820" s="88">
        <f>DATE(2024,9,16)</f>
        <v>45551</v>
      </c>
      <c r="H3820" s="142">
        <v>1.4270833333333333</v>
      </c>
      <c r="I3820" s="55" t="s">
        <v>198</v>
      </c>
      <c r="J3820" s="55" t="s">
        <v>22357</v>
      </c>
      <c r="K3820" s="55" t="s">
        <v>584</v>
      </c>
      <c r="L3820" s="55" t="s">
        <v>22358</v>
      </c>
      <c r="M3820" s="55" t="s">
        <v>63</v>
      </c>
      <c r="N3820" s="55" t="s">
        <v>142</v>
      </c>
      <c r="O3820" s="55" t="s">
        <v>77</v>
      </c>
      <c r="P3820" s="55" t="s">
        <v>462</v>
      </c>
      <c r="Q3820" s="55" t="s">
        <v>22359</v>
      </c>
      <c r="R3820" s="55" t="s">
        <v>21805</v>
      </c>
      <c r="S3820" s="55">
        <v>0</v>
      </c>
      <c r="T3820" s="55">
        <v>0</v>
      </c>
      <c r="U3820" s="55">
        <v>0</v>
      </c>
      <c r="V3820" s="55">
        <v>0</v>
      </c>
      <c r="W3820" s="55">
        <v>0</v>
      </c>
      <c r="X3820" s="55">
        <v>0</v>
      </c>
      <c r="Y3820" s="55">
        <v>0</v>
      </c>
      <c r="Z3820" s="55">
        <v>0</v>
      </c>
      <c r="AA3820" s="55">
        <v>0</v>
      </c>
      <c r="AB3820" s="55">
        <v>0</v>
      </c>
      <c r="AC3820" s="55">
        <v>0</v>
      </c>
      <c r="AD3820" s="55">
        <v>0</v>
      </c>
      <c r="AE3820" s="55" t="s">
        <v>145</v>
      </c>
      <c r="AF3820" s="55" t="s">
        <v>22360</v>
      </c>
      <c r="AG3820" s="55" t="s">
        <v>8859</v>
      </c>
      <c r="AH3820" s="72">
        <v>45551</v>
      </c>
      <c r="AI3820" s="55"/>
      <c r="AJ3820" s="55"/>
      <c r="AK3820" s="55"/>
      <c r="AL3820" s="157">
        <v>45587</v>
      </c>
      <c r="AM3820" s="157">
        <v>45947</v>
      </c>
      <c r="AN3820" s="209"/>
      <c r="AO3820" s="209"/>
    </row>
    <row r="3821" spans="1:55" ht="36.75" customHeight="1">
      <c r="A3821" s="46" t="s">
        <v>12471</v>
      </c>
      <c r="B3821" s="30" t="s">
        <v>55</v>
      </c>
      <c r="C3821" s="69" t="str">
        <f t="shared" si="377"/>
        <v>Closed</v>
      </c>
      <c r="D3821" s="203" t="s">
        <v>22361</v>
      </c>
      <c r="E3821" s="55" t="s">
        <v>22362</v>
      </c>
      <c r="F3821" s="55" t="s">
        <v>6455</v>
      </c>
      <c r="G3821" s="88">
        <f>DATE(2024,7,23)</f>
        <v>45496</v>
      </c>
      <c r="H3821" s="142">
        <v>1.84375</v>
      </c>
      <c r="I3821" s="55" t="s">
        <v>278</v>
      </c>
      <c r="J3821" s="55" t="s">
        <v>22363</v>
      </c>
      <c r="K3821" s="55" t="s">
        <v>584</v>
      </c>
      <c r="L3821" s="55" t="s">
        <v>22364</v>
      </c>
      <c r="M3821" s="55" t="s">
        <v>63</v>
      </c>
      <c r="N3821" s="55" t="s">
        <v>142</v>
      </c>
      <c r="O3821" s="55" t="s">
        <v>77</v>
      </c>
      <c r="P3821" s="55" t="s">
        <v>165</v>
      </c>
      <c r="Q3821" s="55" t="s">
        <v>17377</v>
      </c>
      <c r="R3821" s="55" t="s">
        <v>21805</v>
      </c>
      <c r="S3821" s="55">
        <v>0</v>
      </c>
      <c r="T3821" s="55">
        <v>0</v>
      </c>
      <c r="U3821" s="55">
        <v>0</v>
      </c>
      <c r="V3821" s="55">
        <v>1</v>
      </c>
      <c r="W3821" s="55">
        <v>0</v>
      </c>
      <c r="X3821" s="55">
        <v>1</v>
      </c>
      <c r="Y3821" s="55">
        <v>0</v>
      </c>
      <c r="Z3821" s="55">
        <v>0</v>
      </c>
      <c r="AA3821" s="55">
        <v>0</v>
      </c>
      <c r="AB3821" s="55">
        <v>0</v>
      </c>
      <c r="AC3821" s="55">
        <v>0</v>
      </c>
      <c r="AD3821" s="55">
        <v>0</v>
      </c>
      <c r="AE3821" s="55" t="s">
        <v>92</v>
      </c>
      <c r="AF3821" s="55" t="s">
        <v>22365</v>
      </c>
      <c r="AG3821" s="55" t="s">
        <v>6459</v>
      </c>
      <c r="AH3821" s="72">
        <v>45559</v>
      </c>
      <c r="AI3821" s="55">
        <v>1</v>
      </c>
      <c r="AJ3821" s="55" t="s">
        <v>22366</v>
      </c>
      <c r="AK3821" s="55" t="s">
        <v>22367</v>
      </c>
      <c r="AL3821" s="157">
        <v>45587</v>
      </c>
      <c r="AM3821" s="55"/>
      <c r="AN3821" s="157">
        <v>45838</v>
      </c>
      <c r="AO3821" s="157">
        <v>45800</v>
      </c>
    </row>
    <row r="3822" spans="1:55" ht="36.75" customHeight="1">
      <c r="A3822" s="46" t="s">
        <v>12471</v>
      </c>
      <c r="B3822" s="30" t="s">
        <v>21606</v>
      </c>
      <c r="C3822" s="69" t="str">
        <f t="shared" ref="C3822" si="378">IF(B3822="Notification","Open",IF(B3822="Interim Statement","In progress","Closed"))</f>
        <v>In progress</v>
      </c>
      <c r="D3822" s="36" t="s">
        <v>22368</v>
      </c>
      <c r="E3822" s="55" t="s">
        <v>22369</v>
      </c>
      <c r="F3822" s="55" t="s">
        <v>9789</v>
      </c>
      <c r="G3822" s="88">
        <f>DATE(2024,10,9)</f>
        <v>45574</v>
      </c>
      <c r="H3822" s="142">
        <v>1.9444444444444446</v>
      </c>
      <c r="I3822" s="55" t="s">
        <v>73</v>
      </c>
      <c r="J3822" s="259" t="s">
        <v>22370</v>
      </c>
      <c r="K3822" s="55" t="s">
        <v>9791</v>
      </c>
      <c r="L3822" s="55" t="s">
        <v>22371</v>
      </c>
      <c r="M3822" s="55" t="s">
        <v>63</v>
      </c>
      <c r="N3822" s="55" t="s">
        <v>89</v>
      </c>
      <c r="O3822" s="55" t="s">
        <v>77</v>
      </c>
      <c r="P3822" s="55" t="s">
        <v>78</v>
      </c>
      <c r="Q3822" s="55" t="s">
        <v>22372</v>
      </c>
      <c r="R3822" s="55" t="s">
        <v>20774</v>
      </c>
      <c r="S3822" s="55">
        <v>0</v>
      </c>
      <c r="T3822" s="55">
        <v>0</v>
      </c>
      <c r="U3822" s="55">
        <v>0</v>
      </c>
      <c r="V3822" s="55">
        <v>0</v>
      </c>
      <c r="W3822" s="55">
        <v>0</v>
      </c>
      <c r="X3822" s="55">
        <v>0</v>
      </c>
      <c r="Y3822" s="55">
        <v>0</v>
      </c>
      <c r="Z3822" s="55">
        <v>0</v>
      </c>
      <c r="AA3822" s="55">
        <v>0</v>
      </c>
      <c r="AB3822" s="55">
        <v>0</v>
      </c>
      <c r="AC3822" s="55">
        <v>0</v>
      </c>
      <c r="AD3822" s="55">
        <v>0</v>
      </c>
      <c r="AE3822" s="55" t="s">
        <v>145</v>
      </c>
      <c r="AF3822" s="55" t="s">
        <v>22373</v>
      </c>
      <c r="AG3822" s="55" t="s">
        <v>21619</v>
      </c>
      <c r="AH3822" s="72">
        <v>45580</v>
      </c>
      <c r="AI3822" s="55"/>
      <c r="AJ3822" s="55"/>
      <c r="AK3822" s="55"/>
      <c r="AL3822" s="157">
        <v>45589</v>
      </c>
      <c r="AM3822" s="55"/>
      <c r="AN3822" s="209"/>
      <c r="AO3822" s="209"/>
    </row>
    <row r="3823" spans="1:55" ht="36.75" customHeight="1">
      <c r="A3823" s="46" t="s">
        <v>12471</v>
      </c>
      <c r="B3823" s="30" t="s">
        <v>2124</v>
      </c>
      <c r="C3823" s="69" t="str">
        <f t="shared" ref="C3823" si="379">IF(B3823="Notification","Open",IF(B3823="Interim Statement","In progress","Closed"))</f>
        <v>Open</v>
      </c>
      <c r="D3823" s="36" t="s">
        <v>22374</v>
      </c>
      <c r="E3823" s="55" t="s">
        <v>22375</v>
      </c>
      <c r="F3823" s="55" t="s">
        <v>17820</v>
      </c>
      <c r="G3823" s="88">
        <f>DATE(2024,10,19)</f>
        <v>45584</v>
      </c>
      <c r="H3823" s="142">
        <v>1.6701388888888888</v>
      </c>
      <c r="I3823" s="55" t="s">
        <v>487</v>
      </c>
      <c r="J3823" s="55" t="s">
        <v>22376</v>
      </c>
      <c r="K3823" s="55" t="s">
        <v>640</v>
      </c>
      <c r="L3823" s="55" t="s">
        <v>22377</v>
      </c>
      <c r="M3823" s="55" t="s">
        <v>63</v>
      </c>
      <c r="N3823" s="55" t="s">
        <v>142</v>
      </c>
      <c r="O3823" s="55" t="s">
        <v>86</v>
      </c>
      <c r="P3823" s="55" t="s">
        <v>91</v>
      </c>
      <c r="Q3823" s="55" t="s">
        <v>18509</v>
      </c>
      <c r="R3823" s="55" t="s">
        <v>2016</v>
      </c>
      <c r="S3823" s="55">
        <v>0</v>
      </c>
      <c r="T3823" s="55">
        <v>0</v>
      </c>
      <c r="U3823" s="55">
        <v>0</v>
      </c>
      <c r="V3823" s="55">
        <v>0</v>
      </c>
      <c r="W3823" s="55">
        <v>0</v>
      </c>
      <c r="X3823" s="55">
        <v>0</v>
      </c>
      <c r="Y3823" s="55">
        <v>0</v>
      </c>
      <c r="Z3823" s="55">
        <v>0</v>
      </c>
      <c r="AA3823" s="55">
        <v>0</v>
      </c>
      <c r="AB3823" s="55">
        <v>0</v>
      </c>
      <c r="AC3823" s="55">
        <v>0</v>
      </c>
      <c r="AD3823" s="55">
        <v>0</v>
      </c>
      <c r="AE3823" s="55" t="s">
        <v>145</v>
      </c>
      <c r="AF3823" s="55" t="s">
        <v>22378</v>
      </c>
      <c r="AG3823" s="55" t="s">
        <v>6459</v>
      </c>
      <c r="AH3823" s="72">
        <v>45584</v>
      </c>
      <c r="AI3823" s="55"/>
      <c r="AJ3823" s="55"/>
      <c r="AK3823" s="55"/>
      <c r="AL3823" s="157">
        <v>45593</v>
      </c>
      <c r="AM3823" s="55"/>
      <c r="AN3823" s="209"/>
      <c r="AO3823" s="209"/>
    </row>
    <row r="3824" spans="1:55" ht="36.75" customHeight="1">
      <c r="A3824" s="46" t="s">
        <v>12471</v>
      </c>
      <c r="B3824" s="30" t="s">
        <v>2124</v>
      </c>
      <c r="C3824" s="69" t="str">
        <f t="shared" ref="C3824" si="380">IF(B3824="Notification","Open",IF(B3824="Interim Statement","In progress","Closed"))</f>
        <v>Open</v>
      </c>
      <c r="D3824" s="36" t="s">
        <v>22379</v>
      </c>
      <c r="E3824" s="55" t="s">
        <v>22380</v>
      </c>
      <c r="F3824" s="55" t="s">
        <v>17344</v>
      </c>
      <c r="G3824" s="88">
        <f>DATE(2024,10,24)</f>
        <v>45589</v>
      </c>
      <c r="H3824" s="142">
        <v>1.59375</v>
      </c>
      <c r="I3824" s="55" t="s">
        <v>156</v>
      </c>
      <c r="J3824" s="55" t="s">
        <v>22381</v>
      </c>
      <c r="K3824" s="55" t="s">
        <v>127</v>
      </c>
      <c r="L3824" s="55" t="s">
        <v>22382</v>
      </c>
      <c r="M3824" s="55" t="s">
        <v>63</v>
      </c>
      <c r="N3824" s="55" t="s">
        <v>99</v>
      </c>
      <c r="O3824" s="55" t="s">
        <v>64</v>
      </c>
      <c r="P3824" s="55" t="s">
        <v>65</v>
      </c>
      <c r="Q3824" s="55" t="s">
        <v>20040</v>
      </c>
      <c r="R3824" s="55" t="s">
        <v>167</v>
      </c>
      <c r="S3824" s="55">
        <v>0</v>
      </c>
      <c r="T3824" s="55">
        <v>1</v>
      </c>
      <c r="U3824" s="55">
        <v>0</v>
      </c>
      <c r="V3824" s="55">
        <v>0</v>
      </c>
      <c r="W3824" s="55">
        <v>0</v>
      </c>
      <c r="X3824" s="55">
        <v>1</v>
      </c>
      <c r="Y3824" s="55">
        <v>4</v>
      </c>
      <c r="Z3824" s="55">
        <v>0</v>
      </c>
      <c r="AA3824" s="55">
        <v>0</v>
      </c>
      <c r="AB3824" s="55">
        <v>0</v>
      </c>
      <c r="AC3824" s="55">
        <v>0</v>
      </c>
      <c r="AD3824" s="55">
        <v>4</v>
      </c>
      <c r="AE3824" s="55" t="s">
        <v>145</v>
      </c>
      <c r="AF3824" s="55" t="s">
        <v>22383</v>
      </c>
      <c r="AG3824" s="55" t="s">
        <v>8859</v>
      </c>
      <c r="AH3824" s="72">
        <v>45589</v>
      </c>
      <c r="AI3824" s="55"/>
      <c r="AJ3824" s="55"/>
      <c r="AK3824" s="55"/>
      <c r="AL3824" s="157">
        <v>45593</v>
      </c>
      <c r="AM3824" s="55"/>
      <c r="AN3824" s="209"/>
      <c r="AO3824" s="209"/>
    </row>
    <row r="3825" spans="1:41" ht="36.75" customHeight="1">
      <c r="A3825" s="46" t="s">
        <v>12471</v>
      </c>
      <c r="B3825" s="30" t="s">
        <v>55</v>
      </c>
      <c r="C3825" s="69" t="str">
        <f t="shared" ref="C3825" si="381">IF(B3825="Notification","Open",IF(B3825="Interim Statement","In progress","Closed"))</f>
        <v>Closed</v>
      </c>
      <c r="D3825" s="203" t="s">
        <v>22384</v>
      </c>
      <c r="E3825" s="55" t="s">
        <v>22385</v>
      </c>
      <c r="F3825" s="55" t="s">
        <v>17820</v>
      </c>
      <c r="G3825" s="88">
        <f>DATE(2024,6,25)</f>
        <v>45468</v>
      </c>
      <c r="H3825" s="142">
        <v>1.8958333333333335</v>
      </c>
      <c r="I3825" s="55" t="s">
        <v>4610</v>
      </c>
      <c r="J3825" s="55" t="s">
        <v>22386</v>
      </c>
      <c r="K3825" s="55" t="s">
        <v>640</v>
      </c>
      <c r="L3825" s="55" t="s">
        <v>22387</v>
      </c>
      <c r="M3825" s="55" t="s">
        <v>63</v>
      </c>
      <c r="N3825" s="55" t="s">
        <v>89</v>
      </c>
      <c r="O3825" s="55" t="s">
        <v>77</v>
      </c>
      <c r="P3825" s="55" t="s">
        <v>462</v>
      </c>
      <c r="Q3825" s="55" t="s">
        <v>18509</v>
      </c>
      <c r="R3825" s="55" t="s">
        <v>22388</v>
      </c>
      <c r="S3825" s="55">
        <v>0</v>
      </c>
      <c r="T3825" s="55">
        <v>0</v>
      </c>
      <c r="U3825" s="55">
        <v>0</v>
      </c>
      <c r="V3825" s="55">
        <v>0</v>
      </c>
      <c r="W3825" s="55">
        <v>0</v>
      </c>
      <c r="X3825" s="55">
        <v>0</v>
      </c>
      <c r="Y3825" s="55">
        <v>0</v>
      </c>
      <c r="Z3825" s="55">
        <v>0</v>
      </c>
      <c r="AA3825" s="55">
        <v>0</v>
      </c>
      <c r="AB3825" s="55">
        <v>0</v>
      </c>
      <c r="AC3825" s="55">
        <v>0</v>
      </c>
      <c r="AD3825" s="55">
        <v>0</v>
      </c>
      <c r="AE3825" s="55" t="s">
        <v>92</v>
      </c>
      <c r="AF3825" s="55" t="s">
        <v>21099</v>
      </c>
      <c r="AG3825" s="55" t="s">
        <v>14033</v>
      </c>
      <c r="AH3825" s="72">
        <v>45584</v>
      </c>
      <c r="AI3825" s="55">
        <v>7</v>
      </c>
      <c r="AJ3825" s="55" t="s">
        <v>22389</v>
      </c>
      <c r="AK3825" s="55" t="s">
        <v>22390</v>
      </c>
      <c r="AL3825" s="157">
        <v>45594</v>
      </c>
      <c r="AM3825" s="55"/>
      <c r="AN3825" s="212">
        <v>45835</v>
      </c>
      <c r="AO3825" s="209"/>
    </row>
    <row r="3826" spans="1:41" ht="36.75" customHeight="1">
      <c r="A3826" s="46" t="s">
        <v>12471</v>
      </c>
      <c r="B3826" s="30" t="s">
        <v>55</v>
      </c>
      <c r="C3826" s="69" t="str">
        <f t="shared" ref="C3826:C3827" si="382">IF(B3826="Notification","Open",IF(B3826="Interim Statement","In progress","Closed"))</f>
        <v>Closed</v>
      </c>
      <c r="D3826" s="251" t="s">
        <v>22391</v>
      </c>
      <c r="E3826" s="55" t="s">
        <v>22392</v>
      </c>
      <c r="F3826" s="55" t="s">
        <v>12910</v>
      </c>
      <c r="G3826" s="88">
        <f>DATE(2024,9,13)</f>
        <v>45548</v>
      </c>
      <c r="H3826" s="142">
        <v>1.9479166666666665</v>
      </c>
      <c r="I3826" s="55" t="s">
        <v>86</v>
      </c>
      <c r="J3826" s="55" t="s">
        <v>22393</v>
      </c>
      <c r="K3826" s="55" t="s">
        <v>453</v>
      </c>
      <c r="L3826" s="55" t="s">
        <v>22394</v>
      </c>
      <c r="M3826" s="55" t="s">
        <v>63</v>
      </c>
      <c r="N3826" s="55" t="s">
        <v>142</v>
      </c>
      <c r="O3826" s="55" t="s">
        <v>64</v>
      </c>
      <c r="P3826" s="55" t="s">
        <v>78</v>
      </c>
      <c r="Q3826" s="55" t="s">
        <v>19732</v>
      </c>
      <c r="R3826" s="55" t="s">
        <v>572</v>
      </c>
      <c r="S3826" s="55">
        <v>0</v>
      </c>
      <c r="T3826" s="55">
        <v>0</v>
      </c>
      <c r="U3826" s="55">
        <v>0</v>
      </c>
      <c r="V3826" s="55">
        <v>0</v>
      </c>
      <c r="W3826" s="55">
        <v>0</v>
      </c>
      <c r="X3826" s="55">
        <v>0</v>
      </c>
      <c r="Y3826" s="55">
        <v>0</v>
      </c>
      <c r="Z3826" s="55">
        <v>0</v>
      </c>
      <c r="AA3826" s="55">
        <v>0</v>
      </c>
      <c r="AB3826" s="55">
        <v>0</v>
      </c>
      <c r="AC3826" s="55">
        <v>0</v>
      </c>
      <c r="AD3826" s="55">
        <v>0</v>
      </c>
      <c r="AE3826" s="55" t="s">
        <v>92</v>
      </c>
      <c r="AF3826" s="55" t="s">
        <v>712</v>
      </c>
      <c r="AG3826" s="55" t="s">
        <v>13537</v>
      </c>
      <c r="AH3826" s="72">
        <v>45593</v>
      </c>
      <c r="AI3826" s="55">
        <v>1</v>
      </c>
      <c r="AJ3826" s="55" t="s">
        <v>22395</v>
      </c>
      <c r="AK3826" s="55" t="s">
        <v>22396</v>
      </c>
      <c r="AL3826" s="157">
        <v>45595</v>
      </c>
      <c r="AM3826" s="55"/>
      <c r="AN3826" s="157">
        <v>45911</v>
      </c>
      <c r="AO3826" s="157">
        <v>45911</v>
      </c>
    </row>
    <row r="3827" spans="1:41" ht="36.75" customHeight="1">
      <c r="A3827" s="46" t="s">
        <v>12471</v>
      </c>
      <c r="B3827" s="30" t="s">
        <v>55</v>
      </c>
      <c r="C3827" s="69" t="str">
        <f t="shared" si="382"/>
        <v>Closed</v>
      </c>
      <c r="D3827" s="244" t="s">
        <v>22397</v>
      </c>
      <c r="E3827" s="55" t="s">
        <v>22398</v>
      </c>
      <c r="F3827" s="55" t="s">
        <v>17820</v>
      </c>
      <c r="G3827" s="88">
        <f>DATE(2023,11,26)</f>
        <v>45256</v>
      </c>
      <c r="H3827" s="142">
        <v>1.4722222222222223</v>
      </c>
      <c r="I3827" s="55" t="s">
        <v>73</v>
      </c>
      <c r="J3827" s="55" t="s">
        <v>22399</v>
      </c>
      <c r="K3827" s="55" t="s">
        <v>640</v>
      </c>
      <c r="L3827" s="55" t="s">
        <v>22400</v>
      </c>
      <c r="M3827" s="55" t="s">
        <v>63</v>
      </c>
      <c r="N3827" s="55" t="s">
        <v>89</v>
      </c>
      <c r="O3827" s="55" t="s">
        <v>77</v>
      </c>
      <c r="P3827" s="55" t="s">
        <v>65</v>
      </c>
      <c r="Q3827" s="55" t="s">
        <v>18509</v>
      </c>
      <c r="R3827" s="55" t="s">
        <v>2016</v>
      </c>
      <c r="S3827" s="55">
        <v>0</v>
      </c>
      <c r="T3827" s="55">
        <v>0</v>
      </c>
      <c r="U3827" s="55">
        <v>0</v>
      </c>
      <c r="V3827" s="55">
        <v>0</v>
      </c>
      <c r="W3827" s="55">
        <v>0</v>
      </c>
      <c r="X3827" s="55">
        <v>0</v>
      </c>
      <c r="Y3827" s="55">
        <v>0</v>
      </c>
      <c r="Z3827" s="55">
        <v>0</v>
      </c>
      <c r="AA3827" s="55">
        <v>0</v>
      </c>
      <c r="AB3827" s="55">
        <v>0</v>
      </c>
      <c r="AC3827" s="55">
        <v>0</v>
      </c>
      <c r="AD3827" s="55">
        <v>0</v>
      </c>
      <c r="AE3827" s="55" t="s">
        <v>394</v>
      </c>
      <c r="AF3827" s="55" t="s">
        <v>22401</v>
      </c>
      <c r="AG3827" s="55" t="s">
        <v>13537</v>
      </c>
      <c r="AH3827" s="72">
        <v>45584</v>
      </c>
      <c r="AI3827" s="55">
        <v>3</v>
      </c>
      <c r="AJ3827" s="55" t="s">
        <v>22402</v>
      </c>
      <c r="AK3827" s="55" t="s">
        <v>22403</v>
      </c>
      <c r="AL3827" s="157">
        <v>45596</v>
      </c>
      <c r="AM3827" s="55"/>
      <c r="AN3827" s="157">
        <v>46062</v>
      </c>
      <c r="AO3827" s="157">
        <v>46050</v>
      </c>
    </row>
    <row r="3828" spans="1:41" ht="36.75" customHeight="1">
      <c r="A3828" s="46" t="s">
        <v>12471</v>
      </c>
      <c r="B3828" s="30" t="s">
        <v>55</v>
      </c>
      <c r="C3828" s="69" t="str">
        <f t="shared" ref="C3828" si="383">IF(B3828="Notification","Open",IF(B3828="Interim Statement","In progress","Closed"))</f>
        <v>Closed</v>
      </c>
      <c r="D3828" s="252" t="s">
        <v>22404</v>
      </c>
      <c r="E3828" s="55" t="s">
        <v>22405</v>
      </c>
      <c r="F3828" s="55" t="s">
        <v>17682</v>
      </c>
      <c r="G3828" s="88">
        <f>DATE(2024,10,29)</f>
        <v>45594</v>
      </c>
      <c r="H3828" s="142">
        <v>1.6875</v>
      </c>
      <c r="I3828" s="55" t="s">
        <v>73</v>
      </c>
      <c r="J3828" s="55" t="s">
        <v>22406</v>
      </c>
      <c r="K3828" s="55" t="s">
        <v>1574</v>
      </c>
      <c r="L3828" s="55" t="s">
        <v>18767</v>
      </c>
      <c r="M3828" s="55" t="s">
        <v>63</v>
      </c>
      <c r="N3828" s="55" t="s">
        <v>99</v>
      </c>
      <c r="O3828" s="55" t="s">
        <v>64</v>
      </c>
      <c r="P3828" s="55" t="s">
        <v>78</v>
      </c>
      <c r="Q3828" s="55" t="s">
        <v>19664</v>
      </c>
      <c r="R3828" s="55" t="s">
        <v>19007</v>
      </c>
      <c r="S3828" s="55">
        <v>0</v>
      </c>
      <c r="T3828" s="55">
        <v>0</v>
      </c>
      <c r="U3828" s="55">
        <v>0</v>
      </c>
      <c r="V3828" s="55">
        <v>0</v>
      </c>
      <c r="W3828" s="55">
        <v>0</v>
      </c>
      <c r="X3828" s="55">
        <v>0</v>
      </c>
      <c r="Y3828" s="55">
        <v>0</v>
      </c>
      <c r="Z3828" s="55">
        <v>0</v>
      </c>
      <c r="AA3828" s="55">
        <v>0</v>
      </c>
      <c r="AB3828" s="55">
        <v>0</v>
      </c>
      <c r="AC3828" s="55">
        <v>0</v>
      </c>
      <c r="AD3828" s="55">
        <v>0</v>
      </c>
      <c r="AE3828" s="55" t="s">
        <v>92</v>
      </c>
      <c r="AF3828" s="55" t="s">
        <v>22407</v>
      </c>
      <c r="AG3828" s="55" t="s">
        <v>8859</v>
      </c>
      <c r="AH3828" s="72">
        <v>45596</v>
      </c>
      <c r="AI3828" s="55">
        <v>1</v>
      </c>
      <c r="AJ3828" s="55" t="s">
        <v>22408</v>
      </c>
      <c r="AK3828" s="55" t="s">
        <v>22409</v>
      </c>
      <c r="AL3828" s="157">
        <v>45600</v>
      </c>
      <c r="AM3828" s="55"/>
      <c r="AN3828" s="157">
        <v>45971</v>
      </c>
      <c r="AO3828" s="157">
        <v>45953</v>
      </c>
    </row>
    <row r="3829" spans="1:41" ht="36.75" customHeight="1">
      <c r="A3829" s="46" t="s">
        <v>12471</v>
      </c>
      <c r="B3829" s="30" t="s">
        <v>55</v>
      </c>
      <c r="C3829" s="69" t="str">
        <f t="shared" ref="C3829" si="384">IF(B3829="Notification","Open",IF(B3829="Interim Statement","In progress","Closed"))</f>
        <v>Closed</v>
      </c>
      <c r="D3829" s="203" t="s">
        <v>22410</v>
      </c>
      <c r="E3829" s="55" t="s">
        <v>22411</v>
      </c>
      <c r="F3829" s="55" t="s">
        <v>12474</v>
      </c>
      <c r="G3829" s="88">
        <f>DATE(2024,9,17)</f>
        <v>45552</v>
      </c>
      <c r="H3829" s="142">
        <v>1.8263888888888888</v>
      </c>
      <c r="I3829" s="55" t="s">
        <v>198</v>
      </c>
      <c r="J3829" s="55" t="s">
        <v>22412</v>
      </c>
      <c r="K3829" s="55" t="s">
        <v>200</v>
      </c>
      <c r="L3829" s="55" t="s">
        <v>22413</v>
      </c>
      <c r="M3829" s="55" t="s">
        <v>63</v>
      </c>
      <c r="N3829" s="55" t="s">
        <v>99</v>
      </c>
      <c r="O3829" s="55" t="s">
        <v>77</v>
      </c>
      <c r="P3829" s="55" t="s">
        <v>78</v>
      </c>
      <c r="Q3829" s="55" t="s">
        <v>22414</v>
      </c>
      <c r="R3829" s="55" t="s">
        <v>13578</v>
      </c>
      <c r="S3829" s="55">
        <v>0</v>
      </c>
      <c r="T3829" s="55">
        <v>0</v>
      </c>
      <c r="U3829" s="55">
        <v>0</v>
      </c>
      <c r="V3829" s="55">
        <v>0</v>
      </c>
      <c r="W3829" s="55">
        <v>0</v>
      </c>
      <c r="X3829" s="55">
        <v>0</v>
      </c>
      <c r="Y3829" s="55">
        <v>0</v>
      </c>
      <c r="Z3829" s="55">
        <v>1</v>
      </c>
      <c r="AA3829" s="55">
        <v>0</v>
      </c>
      <c r="AB3829" s="55">
        <v>0</v>
      </c>
      <c r="AC3829" s="55">
        <v>0</v>
      </c>
      <c r="AD3829" s="55">
        <v>1</v>
      </c>
      <c r="AE3829" s="55" t="s">
        <v>145</v>
      </c>
      <c r="AF3829" s="55" t="s">
        <v>22415</v>
      </c>
      <c r="AG3829" s="55" t="s">
        <v>21619</v>
      </c>
      <c r="AH3829" s="72">
        <v>45600</v>
      </c>
      <c r="AI3829" s="55">
        <v>8</v>
      </c>
      <c r="AJ3829" s="55" t="s">
        <v>22416</v>
      </c>
      <c r="AK3829" s="55" t="s">
        <v>22417</v>
      </c>
      <c r="AL3829" s="157">
        <v>45601</v>
      </c>
      <c r="AM3829" s="55"/>
      <c r="AN3829" s="157">
        <v>45866</v>
      </c>
      <c r="AO3829" s="157">
        <v>45859</v>
      </c>
    </row>
    <row r="3830" spans="1:41" ht="36.75" customHeight="1">
      <c r="A3830" s="46" t="s">
        <v>12471</v>
      </c>
      <c r="B3830" s="30" t="s">
        <v>55</v>
      </c>
      <c r="C3830" s="69" t="str">
        <f t="shared" ref="C3830" si="385">IF(B3830="Notification","Open",IF(B3830="Interim Statement","In progress","Closed"))</f>
        <v>Closed</v>
      </c>
      <c r="D3830" s="203" t="s">
        <v>22418</v>
      </c>
      <c r="E3830" s="55" t="s">
        <v>22419</v>
      </c>
      <c r="F3830" s="55" t="s">
        <v>12910</v>
      </c>
      <c r="G3830" s="88">
        <f>DATE(2024,9,9)</f>
        <v>45544</v>
      </c>
      <c r="H3830" s="142">
        <v>1.7777777777777777</v>
      </c>
      <c r="I3830" s="55" t="s">
        <v>278</v>
      </c>
      <c r="J3830" s="55" t="s">
        <v>22420</v>
      </c>
      <c r="K3830" s="55" t="s">
        <v>453</v>
      </c>
      <c r="L3830" s="55" t="s">
        <v>22421</v>
      </c>
      <c r="M3830" s="55" t="s">
        <v>63</v>
      </c>
      <c r="N3830" s="55" t="s">
        <v>99</v>
      </c>
      <c r="O3830" s="55" t="s">
        <v>77</v>
      </c>
      <c r="P3830" s="55" t="s">
        <v>165</v>
      </c>
      <c r="Q3830" s="55" t="s">
        <v>21990</v>
      </c>
      <c r="R3830" s="55" t="s">
        <v>21990</v>
      </c>
      <c r="S3830" s="55">
        <v>0</v>
      </c>
      <c r="T3830" s="55">
        <v>0</v>
      </c>
      <c r="U3830" s="55">
        <v>0</v>
      </c>
      <c r="V3830" s="55">
        <v>0</v>
      </c>
      <c r="W3830" s="55">
        <v>0</v>
      </c>
      <c r="X3830" s="55">
        <v>0</v>
      </c>
      <c r="Y3830" s="55">
        <v>1</v>
      </c>
      <c r="Z3830" s="55">
        <v>0</v>
      </c>
      <c r="AA3830" s="55">
        <v>0</v>
      </c>
      <c r="AB3830" s="55">
        <v>0</v>
      </c>
      <c r="AC3830" s="55">
        <v>0</v>
      </c>
      <c r="AD3830" s="55">
        <v>1</v>
      </c>
      <c r="AE3830" s="55" t="s">
        <v>92</v>
      </c>
      <c r="AF3830" s="55" t="s">
        <v>879</v>
      </c>
      <c r="AG3830" s="55" t="s">
        <v>8859</v>
      </c>
      <c r="AH3830" s="72">
        <v>45600</v>
      </c>
      <c r="AI3830" s="55">
        <v>1</v>
      </c>
      <c r="AJ3830" s="55" t="s">
        <v>22422</v>
      </c>
      <c r="AK3830" s="55" t="s">
        <v>22423</v>
      </c>
      <c r="AL3830" s="157">
        <v>45601</v>
      </c>
      <c r="AM3830" s="55"/>
      <c r="AN3830" s="157">
        <v>45909</v>
      </c>
      <c r="AO3830" s="157">
        <v>45902</v>
      </c>
    </row>
    <row r="3831" spans="1:41" ht="36.75" customHeight="1">
      <c r="A3831" s="46" t="s">
        <v>12471</v>
      </c>
      <c r="B3831" s="30" t="s">
        <v>55</v>
      </c>
      <c r="C3831" s="69" t="str">
        <f t="shared" ref="C3831" si="386">IF(B3831="Notification","Open",IF(B3831="Interim Statement","In progress","Closed"))</f>
        <v>Closed</v>
      </c>
      <c r="D3831" s="203" t="s">
        <v>22424</v>
      </c>
      <c r="E3831" s="55" t="s">
        <v>22425</v>
      </c>
      <c r="F3831" s="55" t="s">
        <v>16429</v>
      </c>
      <c r="G3831" s="88">
        <f>DATE(2024,11,1)</f>
        <v>45597</v>
      </c>
      <c r="H3831" s="142">
        <v>1.4333333333333333</v>
      </c>
      <c r="I3831" s="55" t="s">
        <v>198</v>
      </c>
      <c r="J3831" s="55" t="s">
        <v>22426</v>
      </c>
      <c r="K3831" s="55" t="s">
        <v>425</v>
      </c>
      <c r="L3831" s="55" t="s">
        <v>21697</v>
      </c>
      <c r="M3831" s="55" t="s">
        <v>63</v>
      </c>
      <c r="N3831" s="55" t="s">
        <v>142</v>
      </c>
      <c r="O3831" s="55" t="s">
        <v>77</v>
      </c>
      <c r="P3831" s="55" t="s">
        <v>18717</v>
      </c>
      <c r="Q3831" s="55" t="s">
        <v>22427</v>
      </c>
      <c r="R3831" s="55" t="s">
        <v>17369</v>
      </c>
      <c r="S3831" s="55">
        <v>0</v>
      </c>
      <c r="T3831" s="55">
        <v>0</v>
      </c>
      <c r="U3831" s="55">
        <v>0</v>
      </c>
      <c r="V3831" s="55">
        <v>0</v>
      </c>
      <c r="W3831" s="55">
        <v>0</v>
      </c>
      <c r="X3831" s="55">
        <v>0</v>
      </c>
      <c r="Y3831" s="55">
        <v>0</v>
      </c>
      <c r="Z3831" s="55">
        <v>0</v>
      </c>
      <c r="AA3831" s="55">
        <v>0</v>
      </c>
      <c r="AB3831" s="55">
        <v>0</v>
      </c>
      <c r="AC3831" s="55">
        <v>0</v>
      </c>
      <c r="AD3831" s="55">
        <v>0</v>
      </c>
      <c r="AE3831" s="55" t="s">
        <v>394</v>
      </c>
      <c r="AF3831" s="55" t="s">
        <v>22428</v>
      </c>
      <c r="AG3831" s="55" t="s">
        <v>21120</v>
      </c>
      <c r="AH3831" s="72">
        <v>45597</v>
      </c>
      <c r="AI3831" s="55">
        <v>0</v>
      </c>
      <c r="AJ3831" s="55" t="s">
        <v>22429</v>
      </c>
      <c r="AK3831" s="55" t="s">
        <v>712</v>
      </c>
      <c r="AL3831" s="157">
        <v>45602</v>
      </c>
      <c r="AM3831" s="55"/>
      <c r="AN3831" s="157">
        <v>45868</v>
      </c>
      <c r="AO3831" s="157">
        <v>45866</v>
      </c>
    </row>
    <row r="3832" spans="1:41" ht="36.75" customHeight="1">
      <c r="A3832" s="46" t="s">
        <v>12471</v>
      </c>
      <c r="B3832" s="30" t="s">
        <v>55</v>
      </c>
      <c r="C3832" s="69" t="str">
        <f t="shared" ref="C3832" si="387">IF(B3832="Notification","Open",IF(B3832="Interim Statement","In progress","Closed"))</f>
        <v>Closed</v>
      </c>
      <c r="D3832" s="203" t="s">
        <v>22430</v>
      </c>
      <c r="E3832" s="55" t="s">
        <v>22431</v>
      </c>
      <c r="F3832" s="55" t="s">
        <v>17682</v>
      </c>
      <c r="G3832" s="88">
        <f>DATE(2024,11,4)</f>
        <v>45600</v>
      </c>
      <c r="H3832" s="142">
        <v>1.1736111111111112</v>
      </c>
      <c r="I3832" s="55" t="s">
        <v>73</v>
      </c>
      <c r="J3832" s="55" t="s">
        <v>22432</v>
      </c>
      <c r="K3832" s="55" t="s">
        <v>1574</v>
      </c>
      <c r="L3832" s="55" t="s">
        <v>22060</v>
      </c>
      <c r="M3832" s="55" t="s">
        <v>63</v>
      </c>
      <c r="N3832" s="55" t="s">
        <v>142</v>
      </c>
      <c r="O3832" s="55" t="s">
        <v>77</v>
      </c>
      <c r="P3832" s="55" t="s">
        <v>78</v>
      </c>
      <c r="Q3832" s="55" t="s">
        <v>22433</v>
      </c>
      <c r="R3832" s="55" t="s">
        <v>19007</v>
      </c>
      <c r="S3832" s="55">
        <v>0</v>
      </c>
      <c r="T3832" s="55">
        <v>0</v>
      </c>
      <c r="U3832" s="55">
        <v>0</v>
      </c>
      <c r="V3832" s="55">
        <v>0</v>
      </c>
      <c r="W3832" s="55">
        <v>0</v>
      </c>
      <c r="X3832" s="55">
        <v>0</v>
      </c>
      <c r="Y3832" s="55">
        <v>0</v>
      </c>
      <c r="Z3832" s="55">
        <v>0</v>
      </c>
      <c r="AA3832" s="55">
        <v>0</v>
      </c>
      <c r="AB3832" s="55">
        <v>0</v>
      </c>
      <c r="AC3832" s="55">
        <v>0</v>
      </c>
      <c r="AD3832" s="55">
        <v>0</v>
      </c>
      <c r="AE3832" s="55" t="s">
        <v>92</v>
      </c>
      <c r="AF3832" s="55" t="s">
        <v>22434</v>
      </c>
      <c r="AG3832" s="55" t="s">
        <v>8859</v>
      </c>
      <c r="AH3832" s="72">
        <v>45601</v>
      </c>
      <c r="AI3832" s="55">
        <v>1</v>
      </c>
      <c r="AJ3832" s="55" t="s">
        <v>22435</v>
      </c>
      <c r="AK3832" s="55" t="s">
        <v>22436</v>
      </c>
      <c r="AL3832" s="157">
        <v>45603</v>
      </c>
      <c r="AM3832" s="55"/>
      <c r="AN3832" s="157">
        <v>45971</v>
      </c>
      <c r="AO3832" s="157">
        <v>45960</v>
      </c>
    </row>
    <row r="3833" spans="1:41" ht="36.75" customHeight="1">
      <c r="A3833" s="46" t="s">
        <v>12471</v>
      </c>
      <c r="B3833" s="30" t="s">
        <v>55</v>
      </c>
      <c r="C3833" s="69" t="str">
        <f t="shared" ref="C3833" si="388">IF(B3833="Notification","Open",IF(B3833="Interim Statement","In progress","Closed"))</f>
        <v>Closed</v>
      </c>
      <c r="D3833" s="251" t="s">
        <v>22437</v>
      </c>
      <c r="E3833" s="55" t="s">
        <v>22438</v>
      </c>
      <c r="F3833" s="55" t="s">
        <v>17682</v>
      </c>
      <c r="G3833" s="88">
        <f>DATE(2024,11,5)</f>
        <v>45601</v>
      </c>
      <c r="H3833" s="142">
        <v>1.7361111111111112</v>
      </c>
      <c r="I3833" s="55" t="s">
        <v>73</v>
      </c>
      <c r="J3833" s="55" t="s">
        <v>22439</v>
      </c>
      <c r="K3833" s="55" t="s">
        <v>1574</v>
      </c>
      <c r="L3833" s="55" t="s">
        <v>22440</v>
      </c>
      <c r="M3833" s="55" t="s">
        <v>63</v>
      </c>
      <c r="N3833" s="55" t="s">
        <v>99</v>
      </c>
      <c r="O3833" s="55" t="s">
        <v>64</v>
      </c>
      <c r="P3833" s="55" t="s">
        <v>78</v>
      </c>
      <c r="Q3833" s="55" t="s">
        <v>18063</v>
      </c>
      <c r="R3833" s="55" t="s">
        <v>19007</v>
      </c>
      <c r="S3833" s="55">
        <v>0</v>
      </c>
      <c r="T3833" s="55">
        <v>0</v>
      </c>
      <c r="U3833" s="55">
        <v>0</v>
      </c>
      <c r="V3833" s="55">
        <v>0</v>
      </c>
      <c r="W3833" s="55">
        <v>0</v>
      </c>
      <c r="X3833" s="55">
        <v>0</v>
      </c>
      <c r="Y3833" s="55">
        <v>0</v>
      </c>
      <c r="Z3833" s="55">
        <v>0</v>
      </c>
      <c r="AA3833" s="55">
        <v>0</v>
      </c>
      <c r="AB3833" s="55">
        <v>0</v>
      </c>
      <c r="AC3833" s="55">
        <v>0</v>
      </c>
      <c r="AD3833" s="55">
        <v>0</v>
      </c>
      <c r="AE3833" s="55" t="s">
        <v>394</v>
      </c>
      <c r="AF3833" s="55" t="s">
        <v>22441</v>
      </c>
      <c r="AG3833" s="55" t="s">
        <v>8859</v>
      </c>
      <c r="AH3833" s="72">
        <v>45603</v>
      </c>
      <c r="AI3833" s="55">
        <v>1</v>
      </c>
      <c r="AJ3833" s="55" t="s">
        <v>22442</v>
      </c>
      <c r="AK3833" s="55" t="s">
        <v>22443</v>
      </c>
      <c r="AL3833" s="157">
        <v>45604</v>
      </c>
      <c r="AM3833" s="55"/>
      <c r="AN3833" s="157">
        <v>45575</v>
      </c>
      <c r="AO3833" s="157">
        <v>45567</v>
      </c>
    </row>
    <row r="3834" spans="1:41" ht="36.75" customHeight="1">
      <c r="A3834" s="46" t="s">
        <v>12471</v>
      </c>
      <c r="B3834" s="30" t="s">
        <v>55</v>
      </c>
      <c r="C3834" s="69" t="str">
        <f t="shared" ref="C3834:C3835" si="389">IF(B3834="Notification","Open",IF(B3834="Interim Statement","In progress","Closed"))</f>
        <v>Closed</v>
      </c>
      <c r="D3834" s="244" t="s">
        <v>22444</v>
      </c>
      <c r="E3834" s="55" t="s">
        <v>22445</v>
      </c>
      <c r="F3834" s="55" t="s">
        <v>6455</v>
      </c>
      <c r="G3834" s="88">
        <f>DATE(2024,10,31)</f>
        <v>45596</v>
      </c>
      <c r="H3834" s="142">
        <v>1.9444444444444446</v>
      </c>
      <c r="I3834" s="55" t="s">
        <v>73</v>
      </c>
      <c r="J3834" s="55" t="s">
        <v>22446</v>
      </c>
      <c r="K3834" s="55" t="s">
        <v>584</v>
      </c>
      <c r="L3834" s="55" t="s">
        <v>22447</v>
      </c>
      <c r="M3834" s="55" t="s">
        <v>63</v>
      </c>
      <c r="N3834" s="55" t="s">
        <v>142</v>
      </c>
      <c r="O3834" s="55" t="s">
        <v>77</v>
      </c>
      <c r="P3834" s="55" t="s">
        <v>381</v>
      </c>
      <c r="Q3834" s="55" t="s">
        <v>17377</v>
      </c>
      <c r="R3834" s="55" t="s">
        <v>21805</v>
      </c>
      <c r="S3834" s="55">
        <v>0</v>
      </c>
      <c r="T3834" s="55">
        <v>0</v>
      </c>
      <c r="U3834" s="55">
        <v>0</v>
      </c>
      <c r="V3834" s="55">
        <v>0</v>
      </c>
      <c r="W3834" s="55">
        <v>0</v>
      </c>
      <c r="X3834" s="55">
        <v>0</v>
      </c>
      <c r="Y3834" s="55">
        <v>0</v>
      </c>
      <c r="Z3834" s="55">
        <v>0</v>
      </c>
      <c r="AA3834" s="55">
        <v>0</v>
      </c>
      <c r="AB3834" s="55">
        <v>0</v>
      </c>
      <c r="AC3834" s="55">
        <v>0</v>
      </c>
      <c r="AD3834" s="55">
        <v>0</v>
      </c>
      <c r="AE3834" s="55" t="s">
        <v>92</v>
      </c>
      <c r="AF3834" s="55" t="s">
        <v>22448</v>
      </c>
      <c r="AG3834" s="55" t="s">
        <v>13537</v>
      </c>
      <c r="AH3834" s="72">
        <v>45600</v>
      </c>
      <c r="AI3834" s="55">
        <v>0</v>
      </c>
      <c r="AJ3834" s="55" t="s">
        <v>22449</v>
      </c>
      <c r="AK3834" s="55" t="s">
        <v>10556</v>
      </c>
      <c r="AL3834" s="157">
        <v>45609</v>
      </c>
      <c r="AM3834" s="216">
        <v>45986</v>
      </c>
      <c r="AN3834" s="212">
        <v>46034</v>
      </c>
      <c r="AO3834" s="157">
        <v>45995</v>
      </c>
    </row>
    <row r="3835" spans="1:41" ht="36.75" customHeight="1">
      <c r="A3835" s="46" t="s">
        <v>12471</v>
      </c>
      <c r="B3835" s="30" t="s">
        <v>21606</v>
      </c>
      <c r="C3835" s="69" t="str">
        <f t="shared" si="389"/>
        <v>In progress</v>
      </c>
      <c r="D3835" s="252" t="s">
        <v>22450</v>
      </c>
      <c r="E3835" s="55" t="s">
        <v>22451</v>
      </c>
      <c r="F3835" s="55" t="s">
        <v>6455</v>
      </c>
      <c r="G3835" s="88">
        <f>DATE(2024,11,2)</f>
        <v>45598</v>
      </c>
      <c r="H3835" s="142">
        <v>1.9027777777777777</v>
      </c>
      <c r="I3835" s="55" t="s">
        <v>125</v>
      </c>
      <c r="J3835" s="55" t="s">
        <v>22452</v>
      </c>
      <c r="K3835" s="55" t="s">
        <v>584</v>
      </c>
      <c r="L3835" s="55" t="s">
        <v>22453</v>
      </c>
      <c r="M3835" s="55" t="s">
        <v>63</v>
      </c>
      <c r="N3835" s="55" t="s">
        <v>142</v>
      </c>
      <c r="O3835" s="55" t="s">
        <v>77</v>
      </c>
      <c r="P3835" s="55" t="s">
        <v>165</v>
      </c>
      <c r="Q3835" s="55" t="s">
        <v>12027</v>
      </c>
      <c r="R3835" s="55" t="s">
        <v>21805</v>
      </c>
      <c r="S3835" s="55">
        <v>0</v>
      </c>
      <c r="T3835" s="55">
        <v>0</v>
      </c>
      <c r="U3835" s="55">
        <v>0</v>
      </c>
      <c r="V3835" s="55">
        <v>0</v>
      </c>
      <c r="W3835" s="55">
        <v>0</v>
      </c>
      <c r="X3835" s="55">
        <v>0</v>
      </c>
      <c r="Y3835" s="55">
        <v>0</v>
      </c>
      <c r="Z3835" s="55">
        <v>0</v>
      </c>
      <c r="AA3835" s="55">
        <v>0</v>
      </c>
      <c r="AB3835" s="55">
        <v>0</v>
      </c>
      <c r="AC3835" s="55">
        <v>0</v>
      </c>
      <c r="AD3835" s="55">
        <v>0</v>
      </c>
      <c r="AE3835" s="55" t="s">
        <v>145</v>
      </c>
      <c r="AF3835" s="55" t="s">
        <v>22448</v>
      </c>
      <c r="AG3835" s="55" t="s">
        <v>6459</v>
      </c>
      <c r="AH3835" s="72">
        <v>45598</v>
      </c>
      <c r="AI3835" s="55"/>
      <c r="AJ3835" s="55"/>
      <c r="AK3835" s="55"/>
      <c r="AL3835" s="157">
        <v>45609</v>
      </c>
      <c r="AM3835" s="216">
        <v>45986</v>
      </c>
      <c r="AN3835" s="209"/>
      <c r="AO3835" s="209"/>
    </row>
    <row r="3836" spans="1:41" ht="36.75" customHeight="1">
      <c r="A3836" s="46" t="s">
        <v>12471</v>
      </c>
      <c r="B3836" s="30" t="s">
        <v>55</v>
      </c>
      <c r="C3836" s="69" t="str">
        <f t="shared" ref="C3836" si="390">IF(B3836="Notification","Open",IF(B3836="Interim Statement","In progress","Closed"))</f>
        <v>Closed</v>
      </c>
      <c r="D3836" s="58" t="s">
        <v>22454</v>
      </c>
      <c r="E3836" s="55" t="s">
        <v>22455</v>
      </c>
      <c r="F3836" s="55" t="s">
        <v>17344</v>
      </c>
      <c r="G3836" s="88">
        <f>DATE(2024,10,29)</f>
        <v>45594</v>
      </c>
      <c r="H3836" s="142">
        <v>1.4583333333333333</v>
      </c>
      <c r="I3836" s="55" t="s">
        <v>73</v>
      </c>
      <c r="J3836" s="55" t="s">
        <v>22456</v>
      </c>
      <c r="K3836" s="55" t="s">
        <v>127</v>
      </c>
      <c r="L3836" s="55" t="s">
        <v>22457</v>
      </c>
      <c r="M3836" s="55" t="s">
        <v>255</v>
      </c>
      <c r="N3836" s="55" t="s">
        <v>142</v>
      </c>
      <c r="O3836" s="55" t="s">
        <v>64</v>
      </c>
      <c r="P3836" s="55" t="s">
        <v>18468</v>
      </c>
      <c r="Q3836" s="55" t="s">
        <v>10555</v>
      </c>
      <c r="R3836" s="55" t="s">
        <v>10555</v>
      </c>
      <c r="S3836" s="55">
        <v>0</v>
      </c>
      <c r="T3836" s="55">
        <v>0</v>
      </c>
      <c r="U3836" s="55">
        <v>0</v>
      </c>
      <c r="V3836" s="55">
        <v>0</v>
      </c>
      <c r="W3836" s="55">
        <v>0</v>
      </c>
      <c r="X3836" s="55">
        <v>0</v>
      </c>
      <c r="Y3836" s="55">
        <v>0</v>
      </c>
      <c r="Z3836" s="55">
        <v>0</v>
      </c>
      <c r="AA3836" s="55">
        <v>0</v>
      </c>
      <c r="AB3836" s="55">
        <v>0</v>
      </c>
      <c r="AC3836" s="55">
        <v>0</v>
      </c>
      <c r="AD3836" s="55">
        <v>0</v>
      </c>
      <c r="AE3836" s="55" t="s">
        <v>394</v>
      </c>
      <c r="AF3836" s="55" t="s">
        <v>22458</v>
      </c>
      <c r="AG3836" s="55" t="s">
        <v>16938</v>
      </c>
      <c r="AH3836" s="72">
        <v>45604</v>
      </c>
      <c r="AI3836" s="55">
        <v>0</v>
      </c>
      <c r="AJ3836" s="55" t="s">
        <v>22459</v>
      </c>
      <c r="AK3836" s="55"/>
      <c r="AL3836" s="157">
        <v>45609</v>
      </c>
      <c r="AM3836" s="55"/>
      <c r="AN3836" s="212">
        <v>46064</v>
      </c>
      <c r="AO3836" s="157">
        <v>45880</v>
      </c>
    </row>
    <row r="3837" spans="1:41" ht="36.75" customHeight="1">
      <c r="A3837" s="46" t="s">
        <v>12471</v>
      </c>
      <c r="B3837" s="30" t="s">
        <v>55</v>
      </c>
      <c r="C3837" s="69" t="str">
        <f t="shared" ref="C3837" si="391">IF(B3837="Notification","Open",IF(B3837="Interim Statement","In progress","Closed"))</f>
        <v>Closed</v>
      </c>
      <c r="D3837" s="203" t="s">
        <v>22460</v>
      </c>
      <c r="E3837" s="55" t="s">
        <v>22461</v>
      </c>
      <c r="F3837" s="55" t="s">
        <v>9789</v>
      </c>
      <c r="G3837" s="88">
        <f>DATE(2024,9,30)</f>
        <v>45565</v>
      </c>
      <c r="H3837" s="142">
        <v>1.3611111111111112</v>
      </c>
      <c r="I3837" s="55" t="s">
        <v>116</v>
      </c>
      <c r="J3837" s="259" t="s">
        <v>22462</v>
      </c>
      <c r="K3837" s="55" t="s">
        <v>9791</v>
      </c>
      <c r="L3837" s="55" t="s">
        <v>22463</v>
      </c>
      <c r="M3837" s="55" t="s">
        <v>63</v>
      </c>
      <c r="N3837" s="55" t="s">
        <v>99</v>
      </c>
      <c r="O3837" s="55" t="s">
        <v>64</v>
      </c>
      <c r="P3837" s="55" t="s">
        <v>165</v>
      </c>
      <c r="Q3837" s="55" t="s">
        <v>21907</v>
      </c>
      <c r="R3837" s="55" t="s">
        <v>20774</v>
      </c>
      <c r="S3837" s="55">
        <v>0</v>
      </c>
      <c r="T3837" s="55">
        <v>0</v>
      </c>
      <c r="U3837" s="55">
        <v>1</v>
      </c>
      <c r="V3837" s="55">
        <v>0</v>
      </c>
      <c r="W3837" s="55">
        <v>0</v>
      </c>
      <c r="X3837" s="55">
        <v>1</v>
      </c>
      <c r="Y3837" s="55">
        <v>0</v>
      </c>
      <c r="Z3837" s="55">
        <v>0</v>
      </c>
      <c r="AA3837" s="55">
        <v>0</v>
      </c>
      <c r="AB3837" s="55">
        <v>0</v>
      </c>
      <c r="AC3837" s="55">
        <v>0</v>
      </c>
      <c r="AD3837" s="55">
        <v>0</v>
      </c>
      <c r="AE3837" s="55" t="s">
        <v>92</v>
      </c>
      <c r="AF3837" s="55" t="s">
        <v>22464</v>
      </c>
      <c r="AG3837" s="55" t="s">
        <v>6459</v>
      </c>
      <c r="AH3837" s="72">
        <v>45602</v>
      </c>
      <c r="AI3837" s="55">
        <v>5</v>
      </c>
      <c r="AJ3837" s="55" t="s">
        <v>22465</v>
      </c>
      <c r="AK3837" s="55" t="s">
        <v>22466</v>
      </c>
      <c r="AL3837" s="157">
        <v>45610</v>
      </c>
      <c r="AM3837" s="157">
        <v>45571</v>
      </c>
      <c r="AN3837" s="157">
        <v>45958</v>
      </c>
      <c r="AO3837" s="157">
        <v>45957</v>
      </c>
    </row>
    <row r="3838" spans="1:41" ht="36.75" customHeight="1">
      <c r="A3838" s="46" t="s">
        <v>12471</v>
      </c>
      <c r="B3838" s="30" t="s">
        <v>55</v>
      </c>
      <c r="C3838" s="69" t="str">
        <f t="shared" ref="C3838" si="392">IF(B3838="Notification","Open",IF(B3838="Interim Statement","In progress","Closed"))</f>
        <v>Closed</v>
      </c>
      <c r="D3838" s="58" t="s">
        <v>22467</v>
      </c>
      <c r="E3838" s="55" t="s">
        <v>22511</v>
      </c>
      <c r="F3838" s="55" t="s">
        <v>17578</v>
      </c>
      <c r="G3838" s="88">
        <f>DATE(2024,10,23)</f>
        <v>45588</v>
      </c>
      <c r="H3838" s="142">
        <v>1.7638888888888888</v>
      </c>
      <c r="I3838" s="55" t="s">
        <v>4610</v>
      </c>
      <c r="J3838" s="55" t="s">
        <v>22468</v>
      </c>
      <c r="K3838" s="55" t="s">
        <v>837</v>
      </c>
      <c r="L3838" s="55" t="s">
        <v>22469</v>
      </c>
      <c r="M3838" s="55" t="s">
        <v>63</v>
      </c>
      <c r="N3838" s="55" t="s">
        <v>99</v>
      </c>
      <c r="O3838" s="55" t="s">
        <v>77</v>
      </c>
      <c r="P3838" s="55" t="s">
        <v>165</v>
      </c>
      <c r="Q3838" s="55" t="s">
        <v>2162</v>
      </c>
      <c r="R3838" s="55" t="s">
        <v>840</v>
      </c>
      <c r="S3838" s="55">
        <v>0</v>
      </c>
      <c r="T3838" s="55">
        <v>0</v>
      </c>
      <c r="U3838" s="55">
        <v>0</v>
      </c>
      <c r="V3838" s="55">
        <v>0</v>
      </c>
      <c r="W3838" s="55">
        <v>0</v>
      </c>
      <c r="X3838" s="55">
        <v>0</v>
      </c>
      <c r="Y3838" s="55">
        <v>0</v>
      </c>
      <c r="Z3838" s="55">
        <v>0</v>
      </c>
      <c r="AA3838" s="55">
        <v>0</v>
      </c>
      <c r="AB3838" s="55">
        <v>0</v>
      </c>
      <c r="AC3838" s="55">
        <v>0</v>
      </c>
      <c r="AD3838" s="55">
        <v>0</v>
      </c>
      <c r="AE3838" s="55" t="s">
        <v>92</v>
      </c>
      <c r="AF3838" s="55" t="s">
        <v>22470</v>
      </c>
      <c r="AG3838" s="55" t="s">
        <v>13537</v>
      </c>
      <c r="AH3838" s="72">
        <v>45615</v>
      </c>
      <c r="AI3838" s="55">
        <v>0</v>
      </c>
      <c r="AJ3838" s="55" t="s">
        <v>45909</v>
      </c>
      <c r="AK3838" s="55" t="s">
        <v>45910</v>
      </c>
      <c r="AL3838" s="157">
        <v>45615</v>
      </c>
      <c r="AM3838" s="55"/>
      <c r="AN3838" s="157">
        <v>46066</v>
      </c>
      <c r="AO3838" s="212">
        <v>46058</v>
      </c>
    </row>
    <row r="3839" spans="1:41" ht="36.75" customHeight="1">
      <c r="A3839" s="46" t="s">
        <v>12471</v>
      </c>
      <c r="B3839" s="30" t="s">
        <v>55</v>
      </c>
      <c r="C3839" s="69" t="str">
        <f t="shared" ref="C3839" si="393">IF(B3839="Notification","Open",IF(B3839="Interim Statement","In progress","Closed"))</f>
        <v>Closed</v>
      </c>
      <c r="D3839" s="58" t="s">
        <v>22471</v>
      </c>
      <c r="E3839" s="55" t="s">
        <v>22472</v>
      </c>
      <c r="F3839" s="55" t="s">
        <v>17057</v>
      </c>
      <c r="G3839" s="88">
        <f>DATE(2024,11,3)</f>
        <v>45599</v>
      </c>
      <c r="H3839" s="142">
        <v>1.6875</v>
      </c>
      <c r="I3839" s="55" t="s">
        <v>116</v>
      </c>
      <c r="J3839" s="55" t="s">
        <v>22473</v>
      </c>
      <c r="K3839" s="55" t="s">
        <v>2338</v>
      </c>
      <c r="L3839" s="55" t="s">
        <v>22474</v>
      </c>
      <c r="M3839" s="55" t="s">
        <v>63</v>
      </c>
      <c r="N3839" s="55" t="s">
        <v>99</v>
      </c>
      <c r="O3839" s="55" t="s">
        <v>64</v>
      </c>
      <c r="P3839" s="55" t="s">
        <v>65</v>
      </c>
      <c r="Q3839" s="55" t="s">
        <v>2945</v>
      </c>
      <c r="R3839" s="55" t="s">
        <v>2341</v>
      </c>
      <c r="S3839" s="55">
        <v>0</v>
      </c>
      <c r="T3839" s="55">
        <v>0</v>
      </c>
      <c r="U3839" s="55">
        <v>5</v>
      </c>
      <c r="V3839" s="55">
        <v>0</v>
      </c>
      <c r="W3839" s="55">
        <v>0</v>
      </c>
      <c r="X3839" s="55">
        <v>5</v>
      </c>
      <c r="Y3839" s="55">
        <v>0</v>
      </c>
      <c r="Z3839" s="55">
        <v>0</v>
      </c>
      <c r="AA3839" s="55">
        <v>0</v>
      </c>
      <c r="AB3839" s="55">
        <v>0</v>
      </c>
      <c r="AC3839" s="55">
        <v>0</v>
      </c>
      <c r="AD3839" s="55">
        <v>0</v>
      </c>
      <c r="AE3839" s="55" t="s">
        <v>92</v>
      </c>
      <c r="AF3839" s="55" t="s">
        <v>22475</v>
      </c>
      <c r="AG3839" s="55" t="s">
        <v>13537</v>
      </c>
      <c r="AH3839" s="72">
        <v>45611</v>
      </c>
      <c r="AI3839" s="55">
        <v>1</v>
      </c>
      <c r="AJ3839" s="55" t="s">
        <v>22476</v>
      </c>
      <c r="AK3839" s="55" t="s">
        <v>22477</v>
      </c>
      <c r="AL3839" s="157">
        <v>45615</v>
      </c>
      <c r="AM3839" s="55"/>
      <c r="AN3839" s="157">
        <v>46053</v>
      </c>
      <c r="AO3839" s="157">
        <v>45960</v>
      </c>
    </row>
    <row r="3840" spans="1:41" ht="57.75" customHeight="1">
      <c r="A3840" s="46" t="s">
        <v>12471</v>
      </c>
      <c r="B3840" s="30" t="s">
        <v>55</v>
      </c>
      <c r="C3840" s="69" t="str">
        <f t="shared" ref="C3840" si="394">IF(B3840="Notification","Open",IF(B3840="Interim Statement","In progress","Closed"))</f>
        <v>Closed</v>
      </c>
      <c r="D3840" s="58" t="s">
        <v>22478</v>
      </c>
      <c r="E3840" s="55" t="s">
        <v>22479</v>
      </c>
      <c r="F3840" s="55" t="s">
        <v>14753</v>
      </c>
      <c r="G3840" s="88">
        <f>DATE(2024,8,20)</f>
        <v>45524</v>
      </c>
      <c r="H3840" s="142">
        <v>1.5833333333333335</v>
      </c>
      <c r="I3840" s="55" t="s">
        <v>6775</v>
      </c>
      <c r="J3840" s="55" t="s">
        <v>45926</v>
      </c>
      <c r="K3840" s="55" t="s">
        <v>1772</v>
      </c>
      <c r="L3840" s="55" t="s">
        <v>22480</v>
      </c>
      <c r="M3840" s="55" t="s">
        <v>63</v>
      </c>
      <c r="N3840" s="55" t="s">
        <v>89</v>
      </c>
      <c r="O3840" s="55" t="s">
        <v>90</v>
      </c>
      <c r="P3840" s="55" t="s">
        <v>91</v>
      </c>
      <c r="Q3840" s="55" t="s">
        <v>45927</v>
      </c>
      <c r="R3840" s="55" t="s">
        <v>1775</v>
      </c>
      <c r="S3840" s="55">
        <v>0</v>
      </c>
      <c r="T3840" s="55">
        <v>0</v>
      </c>
      <c r="U3840" s="55">
        <v>0</v>
      </c>
      <c r="V3840" s="55">
        <v>0</v>
      </c>
      <c r="W3840" s="55">
        <v>0</v>
      </c>
      <c r="X3840" s="55">
        <v>0</v>
      </c>
      <c r="Y3840" s="55">
        <v>0</v>
      </c>
      <c r="Z3840" s="55">
        <v>0</v>
      </c>
      <c r="AA3840" s="55">
        <v>0</v>
      </c>
      <c r="AB3840" s="55">
        <v>0</v>
      </c>
      <c r="AC3840" s="55">
        <v>0</v>
      </c>
      <c r="AD3840" s="55">
        <v>0</v>
      </c>
      <c r="AE3840" s="55" t="s">
        <v>92</v>
      </c>
      <c r="AF3840" s="55" t="s">
        <v>22481</v>
      </c>
      <c r="AG3840" s="55" t="s">
        <v>8859</v>
      </c>
      <c r="AH3840" s="72">
        <v>45604</v>
      </c>
      <c r="AI3840" s="55">
        <v>2</v>
      </c>
      <c r="AJ3840" s="55" t="s">
        <v>45928</v>
      </c>
      <c r="AK3840" s="55" t="s">
        <v>45929</v>
      </c>
      <c r="AL3840" s="157">
        <v>45617</v>
      </c>
      <c r="AM3840" s="55"/>
      <c r="AN3840" s="157">
        <v>46071</v>
      </c>
      <c r="AO3840" s="157">
        <v>46063</v>
      </c>
    </row>
    <row r="3841" spans="1:54" ht="36.75" customHeight="1">
      <c r="A3841" s="46" t="s">
        <v>12471</v>
      </c>
      <c r="B3841" s="30" t="s">
        <v>55</v>
      </c>
      <c r="C3841" s="69" t="str">
        <f t="shared" ref="C3841" si="395">IF(B3841="Notification","Open",IF(B3841="Interim Statement","In progress","Closed"))</f>
        <v>Closed</v>
      </c>
      <c r="D3841" s="203" t="s">
        <v>22482</v>
      </c>
      <c r="E3841" s="55" t="s">
        <v>22483</v>
      </c>
      <c r="F3841" s="55" t="s">
        <v>17682</v>
      </c>
      <c r="G3841" s="88">
        <f>DATE(2024,11,20)</f>
        <v>45616</v>
      </c>
      <c r="H3841" s="142">
        <v>1.3368055555555556</v>
      </c>
      <c r="I3841" s="55" t="s">
        <v>73</v>
      </c>
      <c r="J3841" s="55" t="s">
        <v>22484</v>
      </c>
      <c r="K3841" s="55" t="s">
        <v>1574</v>
      </c>
      <c r="L3841" s="55" t="s">
        <v>22485</v>
      </c>
      <c r="M3841" s="55" t="s">
        <v>63</v>
      </c>
      <c r="N3841" s="55" t="s">
        <v>142</v>
      </c>
      <c r="O3841" s="55" t="s">
        <v>64</v>
      </c>
      <c r="P3841" s="55" t="s">
        <v>301</v>
      </c>
      <c r="Q3841" s="55" t="s">
        <v>22486</v>
      </c>
      <c r="R3841" s="55" t="s">
        <v>19007</v>
      </c>
      <c r="S3841" s="55">
        <v>0</v>
      </c>
      <c r="T3841" s="55">
        <v>0</v>
      </c>
      <c r="U3841" s="55">
        <v>0</v>
      </c>
      <c r="V3841" s="55">
        <v>0</v>
      </c>
      <c r="W3841" s="55">
        <v>0</v>
      </c>
      <c r="X3841" s="55">
        <v>0</v>
      </c>
      <c r="Y3841" s="55">
        <v>0</v>
      </c>
      <c r="Z3841" s="55">
        <v>0</v>
      </c>
      <c r="AA3841" s="55">
        <v>0</v>
      </c>
      <c r="AB3841" s="55">
        <v>0</v>
      </c>
      <c r="AC3841" s="55">
        <v>0</v>
      </c>
      <c r="AD3841" s="55">
        <v>0</v>
      </c>
      <c r="AE3841" s="55" t="s">
        <v>92</v>
      </c>
      <c r="AF3841" s="55" t="s">
        <v>22487</v>
      </c>
      <c r="AG3841" s="55" t="s">
        <v>8859</v>
      </c>
      <c r="AH3841" s="72">
        <v>45617</v>
      </c>
      <c r="AI3841" s="55">
        <v>3</v>
      </c>
      <c r="AJ3841" s="55" t="s">
        <v>22488</v>
      </c>
      <c r="AK3841" s="55" t="s">
        <v>22489</v>
      </c>
      <c r="AL3841" s="157">
        <v>45618</v>
      </c>
      <c r="AM3841" s="55"/>
      <c r="AN3841" s="157">
        <v>45946</v>
      </c>
      <c r="AO3841" s="157">
        <v>45943</v>
      </c>
    </row>
    <row r="3842" spans="1:54" ht="36.75" customHeight="1" thickBot="1">
      <c r="A3842" s="46" t="s">
        <v>12471</v>
      </c>
      <c r="B3842" s="30" t="s">
        <v>22490</v>
      </c>
      <c r="C3842" s="69" t="str">
        <f t="shared" ref="C3842:C3845" si="396">IF(B3842="Notification","Open",IF(B3842="Interim Statement","In progress","Closed"))</f>
        <v>Closed</v>
      </c>
      <c r="D3842" s="203" t="s">
        <v>22491</v>
      </c>
      <c r="E3842" s="55" t="s">
        <v>22492</v>
      </c>
      <c r="F3842" s="55" t="s">
        <v>18881</v>
      </c>
      <c r="G3842" s="88">
        <f>DATE(2024,11,15)</f>
        <v>45611</v>
      </c>
      <c r="H3842" s="142">
        <v>1.4861111111111112</v>
      </c>
      <c r="I3842" s="55" t="s">
        <v>156</v>
      </c>
      <c r="J3842" s="55" t="s">
        <v>22493</v>
      </c>
      <c r="K3842" s="55" t="s">
        <v>61</v>
      </c>
      <c r="L3842" s="55" t="s">
        <v>22494</v>
      </c>
      <c r="M3842" s="55" t="s">
        <v>255</v>
      </c>
      <c r="N3842" s="55" t="s">
        <v>142</v>
      </c>
      <c r="O3842" s="55" t="s">
        <v>77</v>
      </c>
      <c r="P3842" s="55" t="s">
        <v>18468</v>
      </c>
      <c r="Q3842" s="55" t="s">
        <v>22495</v>
      </c>
      <c r="R3842" s="55" t="s">
        <v>22495</v>
      </c>
      <c r="S3842" s="55">
        <v>0</v>
      </c>
      <c r="T3842" s="55">
        <v>0</v>
      </c>
      <c r="U3842" s="55">
        <v>0</v>
      </c>
      <c r="V3842" s="55">
        <v>0</v>
      </c>
      <c r="W3842" s="55">
        <v>0</v>
      </c>
      <c r="X3842" s="55">
        <v>0</v>
      </c>
      <c r="Y3842" s="55">
        <v>4</v>
      </c>
      <c r="Z3842" s="55">
        <v>1</v>
      </c>
      <c r="AA3842" s="55">
        <v>0</v>
      </c>
      <c r="AB3842" s="55">
        <v>0</v>
      </c>
      <c r="AC3842" s="55">
        <v>0</v>
      </c>
      <c r="AD3842" s="55">
        <v>5</v>
      </c>
      <c r="AE3842" s="55" t="s">
        <v>394</v>
      </c>
      <c r="AF3842" s="55" t="s">
        <v>22496</v>
      </c>
      <c r="AG3842" s="55" t="s">
        <v>21815</v>
      </c>
      <c r="AH3842" s="72">
        <v>45616</v>
      </c>
      <c r="AI3842" s="55">
        <v>4</v>
      </c>
      <c r="AJ3842" s="55" t="s">
        <v>22497</v>
      </c>
      <c r="AK3842" s="229" t="s">
        <v>22498</v>
      </c>
      <c r="AL3842" s="157">
        <v>45618</v>
      </c>
      <c r="AM3842" s="55"/>
      <c r="AN3842" s="157">
        <v>45978</v>
      </c>
      <c r="AO3842" s="157">
        <v>45978</v>
      </c>
      <c r="AP3842" s="55"/>
      <c r="AQ3842" s="55"/>
      <c r="AR3842" s="55"/>
      <c r="AS3842" s="55"/>
      <c r="AT3842" s="55"/>
      <c r="AU3842" s="55"/>
      <c r="AV3842" s="55"/>
      <c r="AW3842" s="55"/>
      <c r="AX3842" s="55"/>
      <c r="AY3842" s="55"/>
      <c r="AZ3842" s="55"/>
      <c r="BA3842" s="55"/>
      <c r="BB3842" s="55"/>
    </row>
    <row r="3843" spans="1:54" ht="36.75" customHeight="1" thickBot="1">
      <c r="A3843" s="46" t="s">
        <v>12471</v>
      </c>
      <c r="B3843" s="30" t="s">
        <v>22490</v>
      </c>
      <c r="C3843" s="69" t="str">
        <f t="shared" ref="C3843:C3844" si="397">IF(B3843="Notification","Open",IF(B3843="Interim Statement","In progress","Closed"))</f>
        <v>Closed</v>
      </c>
      <c r="D3843" s="58" t="s">
        <v>22499</v>
      </c>
      <c r="E3843" s="55" t="s">
        <v>22500</v>
      </c>
      <c r="F3843" s="55" t="s">
        <v>12910</v>
      </c>
      <c r="G3843" s="88">
        <f>DATE(2024,11,30)</f>
        <v>45626</v>
      </c>
      <c r="H3843" s="142">
        <v>1.3888888888888888</v>
      </c>
      <c r="I3843" s="30" t="s">
        <v>6872</v>
      </c>
      <c r="J3843" s="55" t="s">
        <v>22501</v>
      </c>
      <c r="K3843" s="55" t="s">
        <v>453</v>
      </c>
      <c r="L3843" s="55" t="s">
        <v>22502</v>
      </c>
      <c r="M3843" s="55" t="s">
        <v>63</v>
      </c>
      <c r="N3843" s="55" t="s">
        <v>142</v>
      </c>
      <c r="O3843" s="55" t="s">
        <v>64</v>
      </c>
      <c r="P3843" s="55" t="s">
        <v>65</v>
      </c>
      <c r="Q3843" s="55" t="s">
        <v>14384</v>
      </c>
      <c r="R3843" s="55" t="s">
        <v>572</v>
      </c>
      <c r="S3843" s="55">
        <v>0</v>
      </c>
      <c r="T3843" s="55">
        <v>0</v>
      </c>
      <c r="U3843" s="55">
        <v>0</v>
      </c>
      <c r="V3843" s="55">
        <v>0</v>
      </c>
      <c r="W3843" s="55">
        <v>0</v>
      </c>
      <c r="X3843" s="55">
        <v>0</v>
      </c>
      <c r="Y3843" s="55">
        <v>0</v>
      </c>
      <c r="Z3843" s="55">
        <v>0</v>
      </c>
      <c r="AA3843" s="55">
        <v>0</v>
      </c>
      <c r="AB3843" s="55">
        <v>0</v>
      </c>
      <c r="AC3843" s="55">
        <v>0</v>
      </c>
      <c r="AD3843" s="55">
        <v>0</v>
      </c>
      <c r="AE3843" s="55" t="s">
        <v>92</v>
      </c>
      <c r="AF3843" s="55" t="s">
        <v>712</v>
      </c>
      <c r="AG3843" s="55" t="s">
        <v>8859</v>
      </c>
      <c r="AH3843" s="72">
        <v>45621</v>
      </c>
      <c r="AI3843" s="55">
        <v>1</v>
      </c>
      <c r="AJ3843" s="55" t="s">
        <v>22503</v>
      </c>
      <c r="AK3843" s="229" t="s">
        <v>22504</v>
      </c>
      <c r="AL3843" s="157">
        <v>45628</v>
      </c>
      <c r="AM3843" s="157">
        <v>45960</v>
      </c>
      <c r="AN3843" s="157">
        <v>46007</v>
      </c>
      <c r="AO3843" s="157">
        <v>46007</v>
      </c>
    </row>
    <row r="3844" spans="1:54" ht="36.75" customHeight="1">
      <c r="A3844" s="46" t="s">
        <v>12471</v>
      </c>
      <c r="B3844" s="30" t="s">
        <v>55</v>
      </c>
      <c r="C3844" s="69" t="str">
        <f t="shared" si="397"/>
        <v>Closed</v>
      </c>
      <c r="D3844" s="203" t="s">
        <v>22505</v>
      </c>
      <c r="E3844" s="55" t="s">
        <v>22506</v>
      </c>
      <c r="F3844" s="55" t="s">
        <v>17057</v>
      </c>
      <c r="G3844" s="88">
        <f>DATE(2024,11,26)</f>
        <v>45622</v>
      </c>
      <c r="H3844" s="142">
        <v>1.5208333333333335</v>
      </c>
      <c r="I3844" s="55" t="s">
        <v>116</v>
      </c>
      <c r="J3844" s="55" t="s">
        <v>22126</v>
      </c>
      <c r="K3844" s="55" t="s">
        <v>2338</v>
      </c>
      <c r="L3844" s="55" t="s">
        <v>22507</v>
      </c>
      <c r="M3844" s="55" t="s">
        <v>63</v>
      </c>
      <c r="N3844" s="55" t="s">
        <v>142</v>
      </c>
      <c r="O3844" s="55" t="s">
        <v>64</v>
      </c>
      <c r="P3844" s="55" t="s">
        <v>65</v>
      </c>
      <c r="Q3844" s="55" t="s">
        <v>2945</v>
      </c>
      <c r="R3844" s="55" t="s">
        <v>2341</v>
      </c>
      <c r="S3844" s="55">
        <v>0</v>
      </c>
      <c r="T3844" s="55">
        <v>0</v>
      </c>
      <c r="U3844" s="55">
        <v>0</v>
      </c>
      <c r="V3844" s="55">
        <v>0</v>
      </c>
      <c r="W3844" s="55">
        <v>0</v>
      </c>
      <c r="X3844" s="55">
        <v>0</v>
      </c>
      <c r="Y3844" s="55">
        <v>0</v>
      </c>
      <c r="Z3844" s="55">
        <v>0</v>
      </c>
      <c r="AA3844" s="55">
        <v>0</v>
      </c>
      <c r="AB3844" s="55">
        <v>0</v>
      </c>
      <c r="AC3844" s="55">
        <v>0</v>
      </c>
      <c r="AD3844" s="55">
        <v>0</v>
      </c>
      <c r="AE3844" s="55" t="s">
        <v>145</v>
      </c>
      <c r="AF3844" s="55" t="s">
        <v>22129</v>
      </c>
      <c r="AG3844" s="55" t="s">
        <v>13537</v>
      </c>
      <c r="AH3844" s="72">
        <v>45628</v>
      </c>
      <c r="AI3844" s="55">
        <v>3</v>
      </c>
      <c r="AJ3844" s="55" t="s">
        <v>22508</v>
      </c>
      <c r="AK3844" s="55" t="s">
        <v>22509</v>
      </c>
      <c r="AL3844" s="157">
        <v>45630</v>
      </c>
      <c r="AM3844" s="55"/>
      <c r="AN3844" s="157">
        <v>46053</v>
      </c>
      <c r="AO3844" s="157">
        <v>45980</v>
      </c>
    </row>
    <row r="3845" spans="1:54" ht="36.75" customHeight="1">
      <c r="A3845" s="46" t="s">
        <v>12471</v>
      </c>
      <c r="B3845" s="46" t="s">
        <v>2124</v>
      </c>
      <c r="C3845" s="69" t="str">
        <f t="shared" si="396"/>
        <v>Open</v>
      </c>
      <c r="D3845" s="36" t="s">
        <v>22510</v>
      </c>
      <c r="E3845" s="55" t="s">
        <v>22511</v>
      </c>
      <c r="F3845" s="55" t="s">
        <v>17578</v>
      </c>
      <c r="G3845" s="88">
        <f>DATE(2024,11,7)</f>
        <v>45603</v>
      </c>
      <c r="H3845" s="142">
        <v>1.4236111111111112</v>
      </c>
      <c r="I3845" s="55" t="s">
        <v>104</v>
      </c>
      <c r="J3845" s="55" t="s">
        <v>22512</v>
      </c>
      <c r="K3845" s="55" t="s">
        <v>837</v>
      </c>
      <c r="L3845" s="55" t="s">
        <v>22513</v>
      </c>
      <c r="M3845" s="55" t="s">
        <v>63</v>
      </c>
      <c r="N3845" s="55" t="s">
        <v>22514</v>
      </c>
      <c r="O3845" s="55" t="s">
        <v>77</v>
      </c>
      <c r="P3845" s="55" t="s">
        <v>165</v>
      </c>
      <c r="Q3845" s="55" t="s">
        <v>2162</v>
      </c>
      <c r="R3845" s="55" t="s">
        <v>840</v>
      </c>
      <c r="S3845" s="55">
        <v>0</v>
      </c>
      <c r="T3845" s="55">
        <v>0</v>
      </c>
      <c r="U3845" s="55">
        <v>0</v>
      </c>
      <c r="V3845" s="55">
        <v>0</v>
      </c>
      <c r="W3845" s="55">
        <v>0</v>
      </c>
      <c r="X3845" s="55">
        <v>0</v>
      </c>
      <c r="Y3845" s="55">
        <v>0</v>
      </c>
      <c r="Z3845" s="55">
        <v>0</v>
      </c>
      <c r="AA3845" s="55">
        <v>0</v>
      </c>
      <c r="AB3845" s="55">
        <v>0</v>
      </c>
      <c r="AC3845" s="55">
        <v>0</v>
      </c>
      <c r="AD3845" s="55">
        <v>0</v>
      </c>
      <c r="AE3845" s="55" t="s">
        <v>92</v>
      </c>
      <c r="AF3845" s="55" t="s">
        <v>22123</v>
      </c>
      <c r="AG3845" s="55" t="s">
        <v>13537</v>
      </c>
      <c r="AH3845" s="72">
        <v>45630</v>
      </c>
      <c r="AI3845" s="55"/>
      <c r="AJ3845" s="55"/>
      <c r="AK3845" s="55"/>
      <c r="AL3845" s="157">
        <v>45631</v>
      </c>
      <c r="AM3845" s="55"/>
      <c r="AN3845" s="209"/>
      <c r="AO3845" s="209"/>
    </row>
    <row r="3846" spans="1:54" ht="36.75" customHeight="1">
      <c r="A3846" s="46" t="s">
        <v>12471</v>
      </c>
      <c r="B3846" s="46" t="s">
        <v>55</v>
      </c>
      <c r="C3846" s="69" t="str">
        <f t="shared" ref="C3846" si="398">IF(B3846="Notification","Open",IF(B3846="Interim Statement","In progress","Closed"))</f>
        <v>Closed</v>
      </c>
      <c r="D3846" s="203" t="s">
        <v>22515</v>
      </c>
      <c r="E3846" s="55" t="s">
        <v>22516</v>
      </c>
      <c r="F3846" s="55" t="s">
        <v>16429</v>
      </c>
      <c r="G3846" s="88">
        <f>DATE(2024,12,3)</f>
        <v>45629</v>
      </c>
      <c r="H3846" s="142">
        <v>1.3583333333333334</v>
      </c>
      <c r="I3846" s="55" t="s">
        <v>22517</v>
      </c>
      <c r="J3846" s="55" t="s">
        <v>22518</v>
      </c>
      <c r="K3846" s="55" t="s">
        <v>425</v>
      </c>
      <c r="L3846" s="55" t="s">
        <v>22519</v>
      </c>
      <c r="M3846" s="55" t="s">
        <v>63</v>
      </c>
      <c r="N3846" s="55" t="s">
        <v>99</v>
      </c>
      <c r="O3846" s="55" t="s">
        <v>77</v>
      </c>
      <c r="P3846" s="55" t="s">
        <v>22520</v>
      </c>
      <c r="Q3846" s="55" t="s">
        <v>14773</v>
      </c>
      <c r="R3846" s="55" t="s">
        <v>17369</v>
      </c>
      <c r="S3846" s="55">
        <v>0</v>
      </c>
      <c r="T3846" s="55">
        <v>0</v>
      </c>
      <c r="U3846" s="55">
        <v>0</v>
      </c>
      <c r="V3846" s="55">
        <v>0</v>
      </c>
      <c r="W3846" s="55">
        <v>0</v>
      </c>
      <c r="X3846" s="55">
        <v>0</v>
      </c>
      <c r="Y3846" s="55">
        <v>0</v>
      </c>
      <c r="Z3846" s="55">
        <v>0</v>
      </c>
      <c r="AA3846" s="55">
        <v>0</v>
      </c>
      <c r="AB3846" s="55">
        <v>0</v>
      </c>
      <c r="AC3846" s="55">
        <v>0</v>
      </c>
      <c r="AD3846" s="55">
        <v>0</v>
      </c>
      <c r="AE3846" s="55" t="s">
        <v>92</v>
      </c>
      <c r="AF3846" s="55" t="s">
        <v>19363</v>
      </c>
      <c r="AG3846" s="55" t="s">
        <v>20471</v>
      </c>
      <c r="AH3846" s="72">
        <v>45629</v>
      </c>
      <c r="AI3846" s="55">
        <v>0</v>
      </c>
      <c r="AJ3846" s="55" t="s">
        <v>22521</v>
      </c>
      <c r="AK3846" s="55" t="s">
        <v>20473</v>
      </c>
      <c r="AL3846" s="157">
        <v>45633</v>
      </c>
      <c r="AM3846" s="55"/>
      <c r="AN3846" s="157">
        <v>45930</v>
      </c>
      <c r="AO3846" s="157">
        <v>45923</v>
      </c>
    </row>
    <row r="3847" spans="1:54" ht="36.75" customHeight="1">
      <c r="A3847" s="46" t="s">
        <v>12471</v>
      </c>
      <c r="B3847" s="46" t="s">
        <v>55</v>
      </c>
      <c r="C3847" s="69" t="str">
        <f t="shared" ref="C3847" si="399">IF(B3847="Notification","Open",IF(B3847="Interim Statement","In progress","Closed"))</f>
        <v>Closed</v>
      </c>
      <c r="D3847" s="58" t="s">
        <v>22522</v>
      </c>
      <c r="E3847" s="55" t="s">
        <v>22523</v>
      </c>
      <c r="F3847" s="55" t="s">
        <v>6455</v>
      </c>
      <c r="G3847" s="88">
        <f>DATE(2024,11,22)</f>
        <v>45618</v>
      </c>
      <c r="H3847" s="142">
        <v>1.0451388888888888</v>
      </c>
      <c r="I3847" s="55" t="s">
        <v>198</v>
      </c>
      <c r="J3847" s="224" t="s">
        <v>22524</v>
      </c>
      <c r="K3847" s="55" t="s">
        <v>584</v>
      </c>
      <c r="L3847" s="55" t="s">
        <v>22525</v>
      </c>
      <c r="M3847" s="55" t="s">
        <v>63</v>
      </c>
      <c r="N3847" s="55" t="s">
        <v>142</v>
      </c>
      <c r="O3847" s="55" t="s">
        <v>77</v>
      </c>
      <c r="P3847" s="55" t="s">
        <v>22526</v>
      </c>
      <c r="Q3847" s="55" t="s">
        <v>22527</v>
      </c>
      <c r="R3847" s="55" t="s">
        <v>21805</v>
      </c>
      <c r="S3847" s="55">
        <v>0</v>
      </c>
      <c r="T3847" s="55">
        <v>0</v>
      </c>
      <c r="U3847" s="55">
        <v>0</v>
      </c>
      <c r="V3847" s="55">
        <v>0</v>
      </c>
      <c r="W3847" s="55">
        <v>0</v>
      </c>
      <c r="X3847" s="55">
        <v>0</v>
      </c>
      <c r="Y3847" s="55">
        <v>0</v>
      </c>
      <c r="Z3847" s="55">
        <v>1</v>
      </c>
      <c r="AA3847" s="55">
        <v>0</v>
      </c>
      <c r="AB3847" s="55">
        <v>0</v>
      </c>
      <c r="AC3847" s="55">
        <v>0</v>
      </c>
      <c r="AD3847" s="55">
        <v>1</v>
      </c>
      <c r="AE3847" s="55" t="s">
        <v>145</v>
      </c>
      <c r="AF3847" s="55" t="s">
        <v>22528</v>
      </c>
      <c r="AG3847" s="55" t="s">
        <v>6459</v>
      </c>
      <c r="AH3847" s="72">
        <v>45618</v>
      </c>
      <c r="AI3847" s="55">
        <v>1</v>
      </c>
      <c r="AJ3847" s="55" t="s">
        <v>22529</v>
      </c>
      <c r="AK3847" s="55" t="s">
        <v>22530</v>
      </c>
      <c r="AL3847" s="157">
        <v>45637</v>
      </c>
      <c r="AM3847" s="55"/>
      <c r="AN3847" s="157">
        <v>46013</v>
      </c>
      <c r="AO3847" s="212">
        <v>45981</v>
      </c>
    </row>
    <row r="3848" spans="1:54" ht="36.75" customHeight="1">
      <c r="A3848" s="46" t="s">
        <v>12471</v>
      </c>
      <c r="B3848" s="46" t="s">
        <v>2124</v>
      </c>
      <c r="C3848" s="69" t="str">
        <f t="shared" ref="C3848" si="400">IF(B3848="Notification","Open",IF(B3848="Interim Statement","In progress","Closed"))</f>
        <v>Open</v>
      </c>
      <c r="D3848" s="36" t="s">
        <v>22531</v>
      </c>
      <c r="E3848" s="55" t="s">
        <v>22532</v>
      </c>
      <c r="F3848" s="55" t="s">
        <v>14753</v>
      </c>
      <c r="G3848" s="88">
        <f>DATE(2024,10,31)</f>
        <v>45596</v>
      </c>
      <c r="H3848" s="142">
        <v>1.7152777777777777</v>
      </c>
      <c r="I3848" s="30" t="s">
        <v>6872</v>
      </c>
      <c r="J3848" s="55" t="s">
        <v>22533</v>
      </c>
      <c r="K3848" s="55" t="s">
        <v>1772</v>
      </c>
      <c r="L3848" s="55" t="s">
        <v>20017</v>
      </c>
      <c r="M3848" s="55" t="s">
        <v>63</v>
      </c>
      <c r="N3848" s="55" t="s">
        <v>22514</v>
      </c>
      <c r="O3848" s="55" t="s">
        <v>90</v>
      </c>
      <c r="P3848" s="55" t="s">
        <v>91</v>
      </c>
      <c r="Q3848" s="55" t="s">
        <v>14755</v>
      </c>
      <c r="R3848" s="55" t="s">
        <v>1775</v>
      </c>
      <c r="S3848" s="55">
        <v>0</v>
      </c>
      <c r="T3848" s="55">
        <v>0</v>
      </c>
      <c r="U3848" s="55">
        <v>0</v>
      </c>
      <c r="V3848" s="55">
        <v>0</v>
      </c>
      <c r="W3848" s="55">
        <v>0</v>
      </c>
      <c r="X3848" s="55">
        <v>0</v>
      </c>
      <c r="Y3848" s="55">
        <v>0</v>
      </c>
      <c r="Z3848" s="55">
        <v>0</v>
      </c>
      <c r="AA3848" s="55">
        <v>0</v>
      </c>
      <c r="AB3848" s="55">
        <v>0</v>
      </c>
      <c r="AC3848" s="55">
        <v>0</v>
      </c>
      <c r="AD3848" s="55">
        <v>0</v>
      </c>
      <c r="AE3848" s="55" t="s">
        <v>145</v>
      </c>
      <c r="AF3848" s="55" t="s">
        <v>22534</v>
      </c>
      <c r="AG3848" s="55" t="s">
        <v>6459</v>
      </c>
      <c r="AH3848" s="72">
        <v>45630</v>
      </c>
      <c r="AI3848" s="55"/>
      <c r="AJ3848" s="55"/>
      <c r="AK3848" s="55"/>
      <c r="AL3848" s="157">
        <v>45637</v>
      </c>
      <c r="AM3848" s="55"/>
      <c r="AN3848" s="209"/>
      <c r="AO3848" s="209"/>
    </row>
    <row r="3849" spans="1:54" ht="36.75" customHeight="1">
      <c r="A3849" s="46" t="s">
        <v>12471</v>
      </c>
      <c r="B3849" s="46" t="s">
        <v>2124</v>
      </c>
      <c r="C3849" s="69" t="str">
        <f t="shared" ref="C3849" si="401">IF(B3849="Notification","Open",IF(B3849="Interim Statement","In progress","Closed"))</f>
        <v>Open</v>
      </c>
      <c r="D3849" s="36" t="s">
        <v>22535</v>
      </c>
      <c r="E3849" s="55" t="s">
        <v>22536</v>
      </c>
      <c r="F3849" s="55" t="s">
        <v>16702</v>
      </c>
      <c r="G3849" s="88">
        <f>DATE(2024,10,20)</f>
        <v>45585</v>
      </c>
      <c r="H3849" s="142">
        <v>1.6180555555555556</v>
      </c>
      <c r="I3849" s="55" t="s">
        <v>116</v>
      </c>
      <c r="J3849" s="55" t="s">
        <v>22537</v>
      </c>
      <c r="K3849" s="55" t="s">
        <v>596</v>
      </c>
      <c r="L3849" s="55" t="s">
        <v>22538</v>
      </c>
      <c r="M3849" s="55" t="s">
        <v>63</v>
      </c>
      <c r="N3849" s="55" t="s">
        <v>99</v>
      </c>
      <c r="O3849" s="55" t="s">
        <v>64</v>
      </c>
      <c r="P3849" s="55" t="s">
        <v>165</v>
      </c>
      <c r="Q3849" s="55" t="s">
        <v>20745</v>
      </c>
      <c r="R3849" s="55" t="s">
        <v>17293</v>
      </c>
      <c r="S3849" s="55">
        <v>0</v>
      </c>
      <c r="T3849" s="55">
        <v>0</v>
      </c>
      <c r="U3849" s="55">
        <v>1</v>
      </c>
      <c r="V3849" s="55">
        <v>0</v>
      </c>
      <c r="W3849" s="55">
        <v>0</v>
      </c>
      <c r="X3849" s="55">
        <v>1</v>
      </c>
      <c r="Y3849" s="55">
        <v>0</v>
      </c>
      <c r="Z3849" s="55">
        <v>0</v>
      </c>
      <c r="AA3849" s="55">
        <v>0</v>
      </c>
      <c r="AB3849" s="55">
        <v>0</v>
      </c>
      <c r="AC3849" s="55">
        <v>0</v>
      </c>
      <c r="AD3849" s="55">
        <v>0</v>
      </c>
      <c r="AE3849" s="55" t="s">
        <v>92</v>
      </c>
      <c r="AF3849" s="55" t="s">
        <v>22264</v>
      </c>
      <c r="AG3849" s="55" t="s">
        <v>6459</v>
      </c>
      <c r="AH3849" s="72">
        <v>45643</v>
      </c>
      <c r="AI3849" s="55"/>
      <c r="AJ3849" s="55"/>
      <c r="AK3849" s="55"/>
      <c r="AL3849" s="157">
        <v>45643</v>
      </c>
      <c r="AM3849" s="55"/>
      <c r="AN3849" s="209"/>
      <c r="AO3849" s="209"/>
    </row>
    <row r="3850" spans="1:54" ht="36.75" customHeight="1">
      <c r="A3850" s="46" t="s">
        <v>12471</v>
      </c>
      <c r="B3850" s="46" t="s">
        <v>55</v>
      </c>
      <c r="C3850" s="69" t="str">
        <f t="shared" ref="C3850" si="402">IF(B3850="Notification","Open",IF(B3850="Interim Statement","In progress","Closed"))</f>
        <v>Closed</v>
      </c>
      <c r="D3850" s="203" t="s">
        <v>22539</v>
      </c>
      <c r="E3850" s="55" t="s">
        <v>22540</v>
      </c>
      <c r="F3850" s="55" t="s">
        <v>17773</v>
      </c>
      <c r="G3850" s="88">
        <f>DATE(2024,12,16)</f>
        <v>45642</v>
      </c>
      <c r="H3850" s="142">
        <v>1.4409722222222223</v>
      </c>
      <c r="I3850" s="55" t="s">
        <v>278</v>
      </c>
      <c r="J3850" s="55" t="s">
        <v>22541</v>
      </c>
      <c r="K3850" s="55" t="s">
        <v>2603</v>
      </c>
      <c r="L3850" s="55" t="s">
        <v>22542</v>
      </c>
      <c r="M3850" s="55" t="s">
        <v>63</v>
      </c>
      <c r="N3850" s="55" t="s">
        <v>99</v>
      </c>
      <c r="O3850" s="55" t="s">
        <v>64</v>
      </c>
      <c r="P3850" s="55" t="s">
        <v>301</v>
      </c>
      <c r="Q3850" s="55" t="s">
        <v>18439</v>
      </c>
      <c r="R3850" s="55" t="s">
        <v>18439</v>
      </c>
      <c r="S3850" s="55">
        <v>0</v>
      </c>
      <c r="T3850" s="55">
        <v>2</v>
      </c>
      <c r="U3850" s="55">
        <v>0</v>
      </c>
      <c r="V3850" s="55">
        <v>0</v>
      </c>
      <c r="W3850" s="55">
        <v>0</v>
      </c>
      <c r="X3850" s="55">
        <v>2</v>
      </c>
      <c r="Y3850" s="55">
        <v>0</v>
      </c>
      <c r="Z3850" s="55">
        <v>1</v>
      </c>
      <c r="AA3850" s="55">
        <v>0</v>
      </c>
      <c r="AB3850" s="55">
        <v>0</v>
      </c>
      <c r="AC3850" s="55">
        <v>0</v>
      </c>
      <c r="AD3850" s="55">
        <v>1</v>
      </c>
      <c r="AE3850" s="55" t="s">
        <v>394</v>
      </c>
      <c r="AF3850" s="55" t="s">
        <v>22543</v>
      </c>
      <c r="AG3850" s="55" t="s">
        <v>6459</v>
      </c>
      <c r="AH3850" s="72">
        <v>45642</v>
      </c>
      <c r="AI3850" s="55">
        <v>7</v>
      </c>
      <c r="AJ3850" s="55" t="s">
        <v>22544</v>
      </c>
      <c r="AK3850" s="55" t="s">
        <v>22545</v>
      </c>
      <c r="AL3850" s="157">
        <v>45643</v>
      </c>
      <c r="AM3850" s="55"/>
      <c r="AN3850" s="157">
        <v>45818</v>
      </c>
      <c r="AO3850" s="157">
        <v>45755</v>
      </c>
    </row>
    <row r="3851" spans="1:54" ht="36.75" customHeight="1" thickBot="1">
      <c r="A3851" s="46" t="s">
        <v>12471</v>
      </c>
      <c r="B3851" s="46" t="s">
        <v>55</v>
      </c>
      <c r="C3851" s="69" t="str">
        <f t="shared" ref="C3851" si="403">IF(B3851="Notification","Open",IF(B3851="Interim Statement","In progress","Closed"))</f>
        <v>Closed</v>
      </c>
      <c r="D3851" s="58" t="s">
        <v>22546</v>
      </c>
      <c r="E3851" s="55" t="s">
        <v>22547</v>
      </c>
      <c r="F3851" s="55" t="s">
        <v>12910</v>
      </c>
      <c r="G3851" s="88">
        <f>DATE(2024,12,27)</f>
        <v>45653</v>
      </c>
      <c r="H3851" s="142">
        <v>1.6527777777777777</v>
      </c>
      <c r="I3851" s="55" t="s">
        <v>278</v>
      </c>
      <c r="J3851" s="55" t="s">
        <v>22548</v>
      </c>
      <c r="K3851" s="55" t="s">
        <v>453</v>
      </c>
      <c r="L3851" s="55" t="s">
        <v>22549</v>
      </c>
      <c r="M3851" s="55" t="s">
        <v>63</v>
      </c>
      <c r="N3851" s="55" t="s">
        <v>142</v>
      </c>
      <c r="O3851" s="55" t="s">
        <v>77</v>
      </c>
      <c r="P3851" s="55" t="s">
        <v>65</v>
      </c>
      <c r="Q3851" s="55" t="s">
        <v>14384</v>
      </c>
      <c r="R3851" s="55" t="s">
        <v>572</v>
      </c>
      <c r="S3851" s="55">
        <v>1</v>
      </c>
      <c r="T3851" s="55">
        <v>0</v>
      </c>
      <c r="U3851" s="55">
        <v>0</v>
      </c>
      <c r="V3851" s="55">
        <v>0</v>
      </c>
      <c r="W3851" s="55">
        <v>0</v>
      </c>
      <c r="X3851" s="55">
        <v>1</v>
      </c>
      <c r="Y3851" s="55">
        <v>0</v>
      </c>
      <c r="Z3851" s="55">
        <v>0</v>
      </c>
      <c r="AA3851" s="55">
        <v>0</v>
      </c>
      <c r="AB3851" s="55">
        <v>0</v>
      </c>
      <c r="AC3851" s="55">
        <v>0</v>
      </c>
      <c r="AD3851" s="55">
        <v>0</v>
      </c>
      <c r="AE3851" s="55" t="s">
        <v>92</v>
      </c>
      <c r="AF3851" s="55" t="s">
        <v>712</v>
      </c>
      <c r="AG3851" s="55" t="s">
        <v>6459</v>
      </c>
      <c r="AH3851" s="72">
        <v>45654</v>
      </c>
      <c r="AI3851" s="55">
        <v>1</v>
      </c>
      <c r="AJ3851" s="224" t="s">
        <v>22550</v>
      </c>
      <c r="AK3851" s="225" t="s">
        <v>22551</v>
      </c>
      <c r="AL3851" s="157">
        <v>45660</v>
      </c>
      <c r="AM3851" s="157" t="s">
        <v>1525</v>
      </c>
      <c r="AN3851" s="157">
        <v>46007</v>
      </c>
      <c r="AO3851" s="157">
        <v>46008</v>
      </c>
    </row>
    <row r="3852" spans="1:54" ht="36.75" customHeight="1">
      <c r="A3852" s="46" t="s">
        <v>12471</v>
      </c>
      <c r="B3852" s="46" t="s">
        <v>2124</v>
      </c>
      <c r="C3852" s="69" t="str">
        <f t="shared" ref="C3852" si="404">IF(B3852="Notification","Open",IF(B3852="Interim Statement","In progress","Closed"))</f>
        <v>Open</v>
      </c>
      <c r="D3852" s="36" t="s">
        <v>22552</v>
      </c>
      <c r="E3852" s="55" t="s">
        <v>22553</v>
      </c>
      <c r="F3852" s="55" t="s">
        <v>16702</v>
      </c>
      <c r="G3852" s="88">
        <f>DATE(2024,12,3)</f>
        <v>45629</v>
      </c>
      <c r="H3852" s="142">
        <v>1.7847222222222223</v>
      </c>
      <c r="I3852" s="55" t="s">
        <v>116</v>
      </c>
      <c r="J3852" s="55" t="s">
        <v>22554</v>
      </c>
      <c r="K3852" s="55" t="s">
        <v>596</v>
      </c>
      <c r="L3852" s="55" t="s">
        <v>22555</v>
      </c>
      <c r="M3852" s="55" t="s">
        <v>22556</v>
      </c>
      <c r="N3852" s="55" t="s">
        <v>142</v>
      </c>
      <c r="O3852" s="55" t="s">
        <v>64</v>
      </c>
      <c r="P3852" s="55" t="s">
        <v>6902</v>
      </c>
      <c r="Q3852" s="55" t="s">
        <v>20745</v>
      </c>
      <c r="R3852" s="55" t="s">
        <v>17293</v>
      </c>
      <c r="S3852" s="55">
        <v>0</v>
      </c>
      <c r="T3852" s="55">
        <v>0</v>
      </c>
      <c r="U3852" s="55">
        <v>1</v>
      </c>
      <c r="V3852" s="55">
        <v>0</v>
      </c>
      <c r="W3852" s="55">
        <v>0</v>
      </c>
      <c r="X3852" s="55">
        <v>1</v>
      </c>
      <c r="Y3852" s="55">
        <v>0</v>
      </c>
      <c r="Z3852" s="55">
        <v>0</v>
      </c>
      <c r="AA3852" s="55">
        <v>0</v>
      </c>
      <c r="AB3852" s="55">
        <v>0</v>
      </c>
      <c r="AC3852" s="55">
        <v>0</v>
      </c>
      <c r="AD3852" s="55">
        <v>0</v>
      </c>
      <c r="AE3852" s="55" t="s">
        <v>92</v>
      </c>
      <c r="AF3852" s="55" t="s">
        <v>17241</v>
      </c>
      <c r="AG3852" s="55" t="s">
        <v>6459</v>
      </c>
      <c r="AH3852" s="72">
        <v>45672</v>
      </c>
      <c r="AI3852" s="55"/>
      <c r="AJ3852" s="55"/>
      <c r="AK3852" s="55"/>
      <c r="AL3852" s="157">
        <v>45673</v>
      </c>
      <c r="AM3852" s="55"/>
      <c r="AN3852" s="209"/>
      <c r="AO3852" s="209"/>
    </row>
    <row r="3853" spans="1:54" ht="61.5" customHeight="1">
      <c r="A3853" s="46" t="s">
        <v>12471</v>
      </c>
      <c r="B3853" s="46" t="s">
        <v>55</v>
      </c>
      <c r="C3853" s="69" t="str">
        <f t="shared" ref="C3853" si="405">IF(B3853="Notification","Open",IF(B3853="Interim Statement","In progress","Closed"))</f>
        <v>Closed</v>
      </c>
      <c r="D3853" s="203" t="s">
        <v>22557</v>
      </c>
      <c r="E3853" s="55" t="s">
        <v>22558</v>
      </c>
      <c r="F3853" s="55" t="s">
        <v>17773</v>
      </c>
      <c r="G3853" s="88">
        <f>DATE(2025,1,15)</f>
        <v>45672</v>
      </c>
      <c r="H3853" s="142">
        <v>1.6631944444444444</v>
      </c>
      <c r="I3853" s="55" t="s">
        <v>198</v>
      </c>
      <c r="J3853" s="55" t="s">
        <v>22559</v>
      </c>
      <c r="K3853" s="55" t="s">
        <v>2603</v>
      </c>
      <c r="L3853" s="55" t="s">
        <v>22560</v>
      </c>
      <c r="M3853" s="55" t="s">
        <v>63</v>
      </c>
      <c r="N3853" s="55" t="s">
        <v>20011</v>
      </c>
      <c r="O3853" s="55" t="s">
        <v>64</v>
      </c>
      <c r="P3853" s="55" t="s">
        <v>78</v>
      </c>
      <c r="Q3853" s="55" t="s">
        <v>22561</v>
      </c>
      <c r="R3853" s="55" t="s">
        <v>18439</v>
      </c>
      <c r="S3853" s="55"/>
      <c r="T3853" s="55">
        <v>2</v>
      </c>
      <c r="U3853" s="55"/>
      <c r="V3853" s="55"/>
      <c r="W3853" s="55"/>
      <c r="X3853" s="55">
        <v>2</v>
      </c>
      <c r="Y3853" s="55"/>
      <c r="Z3853" s="55">
        <v>6</v>
      </c>
      <c r="AA3853" s="55"/>
      <c r="AB3853" s="55"/>
      <c r="AC3853" s="55"/>
      <c r="AD3853" s="55">
        <v>6</v>
      </c>
      <c r="AE3853" s="55" t="s">
        <v>145</v>
      </c>
      <c r="AF3853" s="55" t="s">
        <v>22562</v>
      </c>
      <c r="AG3853" s="55" t="s">
        <v>6459</v>
      </c>
      <c r="AH3853" s="72">
        <v>45672</v>
      </c>
      <c r="AI3853" s="55">
        <v>7</v>
      </c>
      <c r="AJ3853" s="55" t="s">
        <v>22563</v>
      </c>
      <c r="AK3853" s="55" t="s">
        <v>22564</v>
      </c>
      <c r="AL3853" s="157">
        <v>45674</v>
      </c>
      <c r="AM3853" s="55"/>
      <c r="AN3853" s="157">
        <v>45973</v>
      </c>
      <c r="AO3853" s="157">
        <v>45910</v>
      </c>
    </row>
    <row r="3854" spans="1:54" ht="36.75" customHeight="1">
      <c r="A3854" s="46" t="s">
        <v>12471</v>
      </c>
      <c r="B3854" s="46" t="s">
        <v>2124</v>
      </c>
      <c r="C3854" s="69" t="str">
        <f t="shared" ref="C3854" si="406">IF(B3854="Notification","Open",IF(B3854="Interim Statement","In progress","Closed"))</f>
        <v>Open</v>
      </c>
      <c r="D3854" s="36" t="s">
        <v>22565</v>
      </c>
      <c r="E3854" s="55" t="s">
        <v>22566</v>
      </c>
      <c r="F3854" s="55" t="s">
        <v>16429</v>
      </c>
      <c r="G3854" s="88">
        <f>DATE(2025,1,13)</f>
        <v>45670</v>
      </c>
      <c r="H3854" s="142">
        <v>1.4041666666666668</v>
      </c>
      <c r="I3854" s="55" t="s">
        <v>4610</v>
      </c>
      <c r="J3854" s="55" t="s">
        <v>22567</v>
      </c>
      <c r="K3854" s="55" t="s">
        <v>425</v>
      </c>
      <c r="L3854" s="55" t="s">
        <v>16154</v>
      </c>
      <c r="M3854" s="55" t="s">
        <v>63</v>
      </c>
      <c r="N3854" s="55" t="s">
        <v>20011</v>
      </c>
      <c r="O3854" s="55" t="s">
        <v>77</v>
      </c>
      <c r="P3854" s="55" t="s">
        <v>22568</v>
      </c>
      <c r="Q3854" s="55" t="s">
        <v>18615</v>
      </c>
      <c r="R3854" s="55" t="s">
        <v>17369</v>
      </c>
      <c r="S3854" s="55">
        <v>0</v>
      </c>
      <c r="T3854" s="55">
        <v>0</v>
      </c>
      <c r="U3854" s="55">
        <v>0</v>
      </c>
      <c r="V3854" s="55">
        <v>0</v>
      </c>
      <c r="W3854" s="55">
        <v>0</v>
      </c>
      <c r="X3854" s="55">
        <v>0</v>
      </c>
      <c r="Y3854" s="55">
        <v>0</v>
      </c>
      <c r="Z3854" s="55">
        <v>0</v>
      </c>
      <c r="AA3854" s="55">
        <v>0</v>
      </c>
      <c r="AB3854" s="55">
        <v>0</v>
      </c>
      <c r="AC3854" s="55">
        <v>0</v>
      </c>
      <c r="AD3854" s="55">
        <v>0</v>
      </c>
      <c r="AE3854" s="55" t="s">
        <v>92</v>
      </c>
      <c r="AF3854" s="55" t="s">
        <v>21699</v>
      </c>
      <c r="AG3854" s="55" t="s">
        <v>16283</v>
      </c>
      <c r="AH3854" s="72">
        <v>45670</v>
      </c>
      <c r="AI3854" s="55"/>
      <c r="AJ3854" s="55"/>
      <c r="AK3854" s="55"/>
      <c r="AL3854" s="157">
        <v>45675</v>
      </c>
      <c r="AM3854" s="55"/>
      <c r="AN3854" s="209"/>
      <c r="AO3854" s="209"/>
    </row>
    <row r="3855" spans="1:54" ht="36.75" customHeight="1">
      <c r="A3855" s="46" t="s">
        <v>12471</v>
      </c>
      <c r="B3855" s="46" t="s">
        <v>2124</v>
      </c>
      <c r="C3855" s="69" t="str">
        <f t="shared" ref="C3855:C3856" si="407">IF(B3855="Notification","Open",IF(B3855="Interim Statement","In progress","Closed"))</f>
        <v>Open</v>
      </c>
      <c r="D3855" s="36" t="s">
        <v>22569</v>
      </c>
      <c r="E3855" s="55" t="s">
        <v>22570</v>
      </c>
      <c r="F3855" s="55" t="s">
        <v>15071</v>
      </c>
      <c r="G3855" s="88">
        <f>DATE(2024,12,20)</f>
        <v>45646</v>
      </c>
      <c r="H3855" s="142">
        <v>1.4895833333333333</v>
      </c>
      <c r="I3855" s="55" t="s">
        <v>487</v>
      </c>
      <c r="J3855" s="55" t="s">
        <v>22571</v>
      </c>
      <c r="K3855" s="55" t="s">
        <v>13441</v>
      </c>
      <c r="L3855" s="55" t="s">
        <v>22572</v>
      </c>
      <c r="M3855" s="55" t="s">
        <v>63</v>
      </c>
      <c r="N3855" s="55" t="s">
        <v>142</v>
      </c>
      <c r="O3855" s="55" t="s">
        <v>77</v>
      </c>
      <c r="P3855" s="55" t="s">
        <v>381</v>
      </c>
      <c r="Q3855" s="55" t="s">
        <v>22573</v>
      </c>
      <c r="R3855" s="55" t="s">
        <v>22574</v>
      </c>
      <c r="S3855" s="55">
        <v>0</v>
      </c>
      <c r="T3855" s="55">
        <v>0</v>
      </c>
      <c r="U3855" s="55">
        <v>0</v>
      </c>
      <c r="V3855" s="55">
        <v>0</v>
      </c>
      <c r="W3855" s="55">
        <v>0</v>
      </c>
      <c r="X3855" s="55">
        <v>0</v>
      </c>
      <c r="Y3855" s="55">
        <v>0</v>
      </c>
      <c r="Z3855" s="55">
        <v>0</v>
      </c>
      <c r="AA3855" s="55">
        <v>0</v>
      </c>
      <c r="AB3855" s="55">
        <v>0</v>
      </c>
      <c r="AC3855" s="55">
        <v>0</v>
      </c>
      <c r="AD3855" s="55">
        <v>0</v>
      </c>
      <c r="AE3855" s="55" t="s">
        <v>145</v>
      </c>
      <c r="AF3855" s="55" t="s">
        <v>22575</v>
      </c>
      <c r="AG3855" s="55" t="s">
        <v>6459</v>
      </c>
      <c r="AH3855" s="72">
        <v>45670</v>
      </c>
      <c r="AI3855" s="55"/>
      <c r="AJ3855" s="55"/>
      <c r="AK3855" s="55"/>
      <c r="AL3855" s="157">
        <v>45677</v>
      </c>
      <c r="AM3855" s="55"/>
      <c r="AN3855" s="209"/>
      <c r="AO3855" s="209"/>
    </row>
    <row r="3856" spans="1:54" ht="36.75" customHeight="1">
      <c r="A3856" s="46" t="s">
        <v>12471</v>
      </c>
      <c r="B3856" s="46" t="s">
        <v>55</v>
      </c>
      <c r="C3856" s="69" t="str">
        <f t="shared" si="407"/>
        <v>Closed</v>
      </c>
      <c r="D3856" s="58" t="s">
        <v>22576</v>
      </c>
      <c r="E3856" s="55" t="s">
        <v>22577</v>
      </c>
      <c r="F3856" s="55" t="s">
        <v>12910</v>
      </c>
      <c r="G3856" s="88">
        <f>DATE(2025,1,7)</f>
        <v>45664</v>
      </c>
      <c r="H3856" s="142">
        <v>1.1145833333333333</v>
      </c>
      <c r="I3856" s="55" t="s">
        <v>86</v>
      </c>
      <c r="J3856" s="228" t="s">
        <v>22578</v>
      </c>
      <c r="K3856" s="55" t="s">
        <v>453</v>
      </c>
      <c r="L3856" s="55" t="s">
        <v>22579</v>
      </c>
      <c r="M3856" s="55" t="s">
        <v>63</v>
      </c>
      <c r="N3856" s="55" t="s">
        <v>142</v>
      </c>
      <c r="O3856" s="55" t="s">
        <v>77</v>
      </c>
      <c r="P3856" s="55" t="s">
        <v>78</v>
      </c>
      <c r="Q3856" s="55" t="s">
        <v>18430</v>
      </c>
      <c r="R3856" s="55" t="s">
        <v>572</v>
      </c>
      <c r="S3856" s="55">
        <v>0</v>
      </c>
      <c r="T3856" s="55">
        <v>0</v>
      </c>
      <c r="U3856" s="55">
        <v>0</v>
      </c>
      <c r="V3856" s="55">
        <v>0</v>
      </c>
      <c r="W3856" s="55">
        <v>0</v>
      </c>
      <c r="X3856" s="55">
        <v>0</v>
      </c>
      <c r="Y3856" s="55">
        <v>0</v>
      </c>
      <c r="Z3856" s="55">
        <v>0</v>
      </c>
      <c r="AA3856" s="55">
        <v>0</v>
      </c>
      <c r="AB3856" s="55">
        <v>0</v>
      </c>
      <c r="AC3856" s="55">
        <v>0</v>
      </c>
      <c r="AD3856" s="55">
        <v>0</v>
      </c>
      <c r="AE3856" s="55" t="s">
        <v>92</v>
      </c>
      <c r="AF3856" s="55" t="s">
        <v>22580</v>
      </c>
      <c r="AG3856" s="55" t="s">
        <v>13537</v>
      </c>
      <c r="AH3856" s="72">
        <v>45670</v>
      </c>
      <c r="AI3856" s="55">
        <v>1</v>
      </c>
      <c r="AJ3856" s="55" t="s">
        <v>22581</v>
      </c>
      <c r="AK3856" s="55" t="s">
        <v>22582</v>
      </c>
      <c r="AL3856" s="157">
        <v>45672</v>
      </c>
      <c r="AM3856" s="157">
        <v>45726</v>
      </c>
      <c r="AN3856" s="212">
        <v>46008</v>
      </c>
      <c r="AO3856" s="212">
        <v>46009</v>
      </c>
    </row>
    <row r="3857" spans="1:54" ht="36.75" customHeight="1">
      <c r="A3857" s="46" t="s">
        <v>12471</v>
      </c>
      <c r="B3857" s="46" t="s">
        <v>55</v>
      </c>
      <c r="C3857" s="69" t="str">
        <f t="shared" ref="C3857" si="408">IF(B3857="Notification","Open",IF(B3857="Interim Statement","In progress","Closed"))</f>
        <v>Closed</v>
      </c>
      <c r="D3857" s="58" t="s">
        <v>22583</v>
      </c>
      <c r="E3857" s="55" t="s">
        <v>22584</v>
      </c>
      <c r="F3857" s="55" t="s">
        <v>17682</v>
      </c>
      <c r="G3857" s="88">
        <f>DATE(2025,1,17)</f>
        <v>45674</v>
      </c>
      <c r="H3857" s="142">
        <v>1.9756944444444444</v>
      </c>
      <c r="I3857" s="55" t="s">
        <v>73</v>
      </c>
      <c r="J3857" s="228" t="s">
        <v>22585</v>
      </c>
      <c r="K3857" s="55" t="s">
        <v>1574</v>
      </c>
      <c r="L3857" s="55" t="s">
        <v>22586</v>
      </c>
      <c r="M3857" s="55" t="s">
        <v>63</v>
      </c>
      <c r="N3857" s="55" t="s">
        <v>142</v>
      </c>
      <c r="O3857" s="55" t="s">
        <v>64</v>
      </c>
      <c r="P3857" s="55" t="s">
        <v>78</v>
      </c>
      <c r="Q3857" s="55" t="s">
        <v>22587</v>
      </c>
      <c r="R3857" s="55" t="s">
        <v>19007</v>
      </c>
      <c r="S3857" s="55">
        <v>0</v>
      </c>
      <c r="T3857" s="55">
        <v>0</v>
      </c>
      <c r="U3857" s="55">
        <v>0</v>
      </c>
      <c r="V3857" s="55">
        <v>0</v>
      </c>
      <c r="W3857" s="55">
        <v>0</v>
      </c>
      <c r="X3857" s="55">
        <v>0</v>
      </c>
      <c r="Y3857" s="55">
        <v>0</v>
      </c>
      <c r="Z3857" s="55">
        <v>0</v>
      </c>
      <c r="AA3857" s="55">
        <v>0</v>
      </c>
      <c r="AB3857" s="55">
        <v>0</v>
      </c>
      <c r="AC3857" s="55">
        <v>0</v>
      </c>
      <c r="AD3857" s="55">
        <v>0</v>
      </c>
      <c r="AE3857" s="55" t="s">
        <v>394</v>
      </c>
      <c r="AF3857" s="250" t="s">
        <v>22588</v>
      </c>
      <c r="AG3857" s="55" t="s">
        <v>8859</v>
      </c>
      <c r="AH3857" s="72">
        <v>45677</v>
      </c>
      <c r="AI3857" s="55">
        <v>7</v>
      </c>
      <c r="AJ3857" s="55" t="s">
        <v>22589</v>
      </c>
      <c r="AK3857" s="55" t="s">
        <v>22590</v>
      </c>
      <c r="AL3857" s="157">
        <v>45678</v>
      </c>
      <c r="AM3857" s="157"/>
      <c r="AN3857" s="212">
        <v>46042</v>
      </c>
      <c r="AO3857" s="157">
        <v>46037</v>
      </c>
    </row>
    <row r="3858" spans="1:54" ht="36.75" customHeight="1">
      <c r="A3858" s="46" t="s">
        <v>12471</v>
      </c>
      <c r="B3858" s="46" t="s">
        <v>55</v>
      </c>
      <c r="C3858" s="69" t="str">
        <f t="shared" ref="C3858:C3860" si="409">IF(B3858="Notification","Open",IF(B3858="Interim Statement","In progress","Closed"))</f>
        <v>Closed</v>
      </c>
      <c r="D3858" s="203" t="s">
        <v>22591</v>
      </c>
      <c r="E3858" s="55" t="s">
        <v>22592</v>
      </c>
      <c r="F3858" s="55" t="s">
        <v>17820</v>
      </c>
      <c r="G3858" s="88">
        <f>DATE(2024,12,13)</f>
        <v>45639</v>
      </c>
      <c r="H3858" s="142">
        <v>1.1597222222222223</v>
      </c>
      <c r="I3858" s="55" t="s">
        <v>73</v>
      </c>
      <c r="J3858" s="55" t="s">
        <v>22593</v>
      </c>
      <c r="K3858" s="55" t="s">
        <v>640</v>
      </c>
      <c r="L3858" s="55" t="s">
        <v>22594</v>
      </c>
      <c r="M3858" s="55" t="s">
        <v>22556</v>
      </c>
      <c r="N3858" s="55" t="s">
        <v>89</v>
      </c>
      <c r="O3858" s="55" t="s">
        <v>90</v>
      </c>
      <c r="P3858" s="55" t="s">
        <v>78</v>
      </c>
      <c r="Q3858" s="55" t="s">
        <v>20720</v>
      </c>
      <c r="R3858" s="55" t="s">
        <v>2016</v>
      </c>
      <c r="S3858" s="55">
        <v>0</v>
      </c>
      <c r="T3858" s="55">
        <v>0</v>
      </c>
      <c r="U3858" s="55">
        <v>0</v>
      </c>
      <c r="V3858" s="55">
        <v>0</v>
      </c>
      <c r="W3858" s="55">
        <v>0</v>
      </c>
      <c r="X3858" s="55">
        <v>0</v>
      </c>
      <c r="Y3858" s="55">
        <v>0</v>
      </c>
      <c r="Z3858" s="55">
        <v>0</v>
      </c>
      <c r="AA3858" s="55">
        <v>0</v>
      </c>
      <c r="AB3858" s="55">
        <v>0</v>
      </c>
      <c r="AC3858" s="55">
        <v>0</v>
      </c>
      <c r="AD3858" s="55">
        <v>0</v>
      </c>
      <c r="AE3858" s="55" t="s">
        <v>92</v>
      </c>
      <c r="AF3858" s="55" t="s">
        <v>22595</v>
      </c>
      <c r="AG3858" s="55" t="s">
        <v>14033</v>
      </c>
      <c r="AH3858" s="72">
        <v>45672</v>
      </c>
      <c r="AI3858" s="55">
        <v>3</v>
      </c>
      <c r="AJ3858" s="55" t="s">
        <v>22596</v>
      </c>
      <c r="AK3858" s="55" t="s">
        <v>22597</v>
      </c>
      <c r="AL3858" s="157">
        <v>45684</v>
      </c>
      <c r="AM3858" s="55"/>
      <c r="AN3858" s="157">
        <v>45958</v>
      </c>
      <c r="AO3858" s="157">
        <v>45946</v>
      </c>
    </row>
    <row r="3859" spans="1:54" ht="36.75" customHeight="1">
      <c r="A3859" s="46" t="s">
        <v>12471</v>
      </c>
      <c r="B3859" s="46" t="s">
        <v>2124</v>
      </c>
      <c r="C3859" s="69" t="str">
        <f t="shared" si="409"/>
        <v>Open</v>
      </c>
      <c r="D3859" s="36" t="s">
        <v>22598</v>
      </c>
      <c r="E3859" s="55" t="s">
        <v>22599</v>
      </c>
      <c r="F3859" s="55" t="s">
        <v>17344</v>
      </c>
      <c r="G3859" s="88">
        <f>DATE(2025,1,22)</f>
        <v>45679</v>
      </c>
      <c r="H3859" s="142">
        <v>1.5798611111111112</v>
      </c>
      <c r="I3859" s="55" t="s">
        <v>116</v>
      </c>
      <c r="J3859" s="55" t="s">
        <v>22600</v>
      </c>
      <c r="K3859" s="55" t="s">
        <v>127</v>
      </c>
      <c r="L3859" s="55" t="s">
        <v>22601</v>
      </c>
      <c r="M3859" s="55" t="s">
        <v>63</v>
      </c>
      <c r="N3859" s="55" t="s">
        <v>99</v>
      </c>
      <c r="O3859" s="55" t="s">
        <v>64</v>
      </c>
      <c r="P3859" s="55" t="s">
        <v>165</v>
      </c>
      <c r="Q3859" s="55" t="s">
        <v>17730</v>
      </c>
      <c r="R3859" s="55" t="s">
        <v>167</v>
      </c>
      <c r="S3859" s="55">
        <v>0</v>
      </c>
      <c r="T3859" s="55">
        <v>0</v>
      </c>
      <c r="U3859" s="55">
        <v>1</v>
      </c>
      <c r="V3859" s="55">
        <v>0</v>
      </c>
      <c r="W3859" s="55">
        <v>0</v>
      </c>
      <c r="X3859" s="55">
        <v>1</v>
      </c>
      <c r="Y3859" s="55">
        <v>0</v>
      </c>
      <c r="Z3859" s="55">
        <v>0</v>
      </c>
      <c r="AA3859" s="55">
        <v>0</v>
      </c>
      <c r="AB3859" s="55">
        <v>0</v>
      </c>
      <c r="AC3859" s="55">
        <v>0</v>
      </c>
      <c r="AD3859" s="55">
        <v>0</v>
      </c>
      <c r="AE3859" s="55" t="s">
        <v>394</v>
      </c>
      <c r="AF3859" s="55" t="s">
        <v>22602</v>
      </c>
      <c r="AG3859" s="55" t="s">
        <v>8859</v>
      </c>
      <c r="AH3859" s="72">
        <v>45684</v>
      </c>
      <c r="AI3859" s="55"/>
      <c r="AJ3859" s="55"/>
      <c r="AK3859" s="55"/>
      <c r="AL3859" s="157">
        <v>45684</v>
      </c>
      <c r="AM3859" s="55"/>
      <c r="AN3859" s="209"/>
      <c r="AO3859" s="209"/>
    </row>
    <row r="3860" spans="1:54" ht="36.75" customHeight="1">
      <c r="A3860" s="46" t="s">
        <v>12471</v>
      </c>
      <c r="B3860" s="46" t="s">
        <v>2124</v>
      </c>
      <c r="C3860" s="69" t="str">
        <f t="shared" si="409"/>
        <v>Open</v>
      </c>
      <c r="D3860" s="36" t="s">
        <v>22603</v>
      </c>
      <c r="E3860" s="55" t="s">
        <v>22604</v>
      </c>
      <c r="F3860" s="55" t="s">
        <v>6455</v>
      </c>
      <c r="G3860" s="88">
        <f>DATE(2024,12,13)</f>
        <v>45639</v>
      </c>
      <c r="H3860" s="142">
        <v>1.4861111111111112</v>
      </c>
      <c r="I3860" s="55" t="s">
        <v>116</v>
      </c>
      <c r="J3860" s="55" t="s">
        <v>22605</v>
      </c>
      <c r="K3860" s="55" t="s">
        <v>584</v>
      </c>
      <c r="L3860" s="55" t="s">
        <v>22606</v>
      </c>
      <c r="M3860" s="55" t="s">
        <v>63</v>
      </c>
      <c r="N3860" s="55" t="s">
        <v>142</v>
      </c>
      <c r="O3860" s="55" t="s">
        <v>64</v>
      </c>
      <c r="P3860" s="55" t="s">
        <v>78</v>
      </c>
      <c r="Q3860" s="55" t="s">
        <v>17377</v>
      </c>
      <c r="R3860" s="55" t="s">
        <v>21805</v>
      </c>
      <c r="S3860" s="55" t="s">
        <v>1525</v>
      </c>
      <c r="T3860" s="55" t="s">
        <v>1525</v>
      </c>
      <c r="U3860" s="55" t="s">
        <v>1525</v>
      </c>
      <c r="V3860" s="55" t="s">
        <v>1525</v>
      </c>
      <c r="W3860" s="55" t="s">
        <v>1525</v>
      </c>
      <c r="X3860" s="55" t="s">
        <v>1525</v>
      </c>
      <c r="Y3860" s="55" t="s">
        <v>1525</v>
      </c>
      <c r="Z3860" s="55" t="s">
        <v>1525</v>
      </c>
      <c r="AA3860" s="55" t="s">
        <v>1525</v>
      </c>
      <c r="AB3860" s="55" t="s">
        <v>1525</v>
      </c>
      <c r="AC3860" s="55" t="s">
        <v>1525</v>
      </c>
      <c r="AD3860" s="55" t="s">
        <v>1525</v>
      </c>
      <c r="AE3860" s="55" t="s">
        <v>145</v>
      </c>
      <c r="AF3860" s="55" t="s">
        <v>1525</v>
      </c>
      <c r="AG3860" s="55" t="s">
        <v>8859</v>
      </c>
      <c r="AH3860" s="72">
        <v>45667</v>
      </c>
      <c r="AI3860" s="55"/>
      <c r="AJ3860" s="55"/>
      <c r="AK3860" s="55"/>
      <c r="AL3860" s="157">
        <v>45686</v>
      </c>
      <c r="AM3860" s="55"/>
      <c r="AN3860" s="209"/>
      <c r="AO3860" s="209"/>
    </row>
    <row r="3861" spans="1:54" ht="36.75" customHeight="1">
      <c r="A3861" s="46" t="s">
        <v>12471</v>
      </c>
      <c r="B3861" s="46" t="s">
        <v>2124</v>
      </c>
      <c r="C3861" s="69" t="str">
        <f t="shared" ref="C3861:C3862" si="410">IF(B3861="Notification","Open",IF(B3861="Interim Statement","In progress","Closed"))</f>
        <v>Open</v>
      </c>
      <c r="D3861" s="36" t="s">
        <v>22607</v>
      </c>
      <c r="E3861" s="55" t="s">
        <v>22608</v>
      </c>
      <c r="F3861" s="55" t="s">
        <v>9789</v>
      </c>
      <c r="G3861" s="88">
        <f>DATE(2025,1,28)</f>
        <v>45685</v>
      </c>
      <c r="H3861" s="142">
        <v>1.4027777777777777</v>
      </c>
      <c r="I3861" s="55" t="s">
        <v>278</v>
      </c>
      <c r="J3861" s="259" t="s">
        <v>22609</v>
      </c>
      <c r="K3861" s="55" t="s">
        <v>9791</v>
      </c>
      <c r="L3861" s="55" t="s">
        <v>22610</v>
      </c>
      <c r="M3861" s="55" t="s">
        <v>63</v>
      </c>
      <c r="N3861" s="55" t="s">
        <v>99</v>
      </c>
      <c r="O3861" s="55" t="s">
        <v>64</v>
      </c>
      <c r="P3861" s="55" t="s">
        <v>165</v>
      </c>
      <c r="Q3861" s="55" t="s">
        <v>22611</v>
      </c>
      <c r="R3861" s="55" t="s">
        <v>22612</v>
      </c>
      <c r="S3861" s="55">
        <v>0</v>
      </c>
      <c r="T3861" s="55">
        <v>1</v>
      </c>
      <c r="U3861" s="55">
        <v>0</v>
      </c>
      <c r="V3861" s="55">
        <v>0</v>
      </c>
      <c r="W3861" s="55">
        <v>0</v>
      </c>
      <c r="X3861" s="55">
        <v>1</v>
      </c>
      <c r="Y3861" s="55">
        <v>0</v>
      </c>
      <c r="Z3861" s="55">
        <v>0</v>
      </c>
      <c r="AA3861" s="55">
        <v>0</v>
      </c>
      <c r="AB3861" s="55">
        <v>0</v>
      </c>
      <c r="AC3861" s="55">
        <v>0</v>
      </c>
      <c r="AD3861" s="55">
        <v>0</v>
      </c>
      <c r="AE3861" s="55" t="s">
        <v>92</v>
      </c>
      <c r="AF3861" s="55" t="s">
        <v>22613</v>
      </c>
      <c r="AG3861" s="55" t="s">
        <v>6459</v>
      </c>
      <c r="AH3861" s="72">
        <v>45691</v>
      </c>
      <c r="AI3861" s="55"/>
      <c r="AJ3861" s="55"/>
      <c r="AK3861" s="254"/>
      <c r="AL3861" s="157">
        <v>45691</v>
      </c>
      <c r="AM3861" s="55"/>
      <c r="AN3861" s="209"/>
      <c r="AO3861" s="209"/>
    </row>
    <row r="3862" spans="1:54" ht="36.75" customHeight="1">
      <c r="A3862" s="46" t="s">
        <v>12471</v>
      </c>
      <c r="B3862" s="30" t="s">
        <v>55</v>
      </c>
      <c r="C3862" s="253" t="str">
        <f t="shared" si="410"/>
        <v>Closed</v>
      </c>
      <c r="D3862" s="58" t="s">
        <v>22614</v>
      </c>
      <c r="E3862" s="55" t="s">
        <v>22615</v>
      </c>
      <c r="F3862" s="55" t="s">
        <v>16429</v>
      </c>
      <c r="G3862" s="88">
        <f>DATE(2025,2,4)</f>
        <v>45692</v>
      </c>
      <c r="H3862" s="142">
        <v>1.5152777777777777</v>
      </c>
      <c r="I3862" s="55" t="s">
        <v>73</v>
      </c>
      <c r="J3862" s="55" t="s">
        <v>22616</v>
      </c>
      <c r="K3862" s="55" t="s">
        <v>425</v>
      </c>
      <c r="L3862" s="55" t="s">
        <v>22617</v>
      </c>
      <c r="M3862" s="55" t="s">
        <v>63</v>
      </c>
      <c r="N3862" s="55" t="s">
        <v>142</v>
      </c>
      <c r="O3862" s="55" t="s">
        <v>77</v>
      </c>
      <c r="P3862" s="55" t="s">
        <v>165</v>
      </c>
      <c r="Q3862" s="55" t="s">
        <v>18615</v>
      </c>
      <c r="R3862" s="55" t="s">
        <v>17369</v>
      </c>
      <c r="S3862" s="55">
        <v>0</v>
      </c>
      <c r="T3862" s="55">
        <v>0</v>
      </c>
      <c r="U3862" s="55">
        <v>0</v>
      </c>
      <c r="V3862" s="55">
        <v>0</v>
      </c>
      <c r="W3862" s="55">
        <v>0</v>
      </c>
      <c r="X3862" s="55">
        <v>0</v>
      </c>
      <c r="Y3862" s="55">
        <v>0</v>
      </c>
      <c r="Z3862" s="55">
        <v>0</v>
      </c>
      <c r="AA3862" s="55">
        <v>0</v>
      </c>
      <c r="AB3862" s="55">
        <v>0</v>
      </c>
      <c r="AC3862" s="55">
        <v>0</v>
      </c>
      <c r="AD3862" s="55">
        <v>0</v>
      </c>
      <c r="AE3862" s="55" t="s">
        <v>394</v>
      </c>
      <c r="AF3862" s="55" t="s">
        <v>22618</v>
      </c>
      <c r="AG3862" s="55" t="s">
        <v>16283</v>
      </c>
      <c r="AH3862" s="72">
        <v>45692</v>
      </c>
      <c r="AI3862" s="55">
        <v>1</v>
      </c>
      <c r="AJ3862" s="256" t="s">
        <v>22619</v>
      </c>
      <c r="AK3862" s="185" t="s">
        <v>22620</v>
      </c>
      <c r="AL3862" s="257">
        <v>45693</v>
      </c>
      <c r="AM3862" s="55"/>
      <c r="AN3862" s="157">
        <v>46062</v>
      </c>
      <c r="AO3862" s="157">
        <v>46057</v>
      </c>
    </row>
    <row r="3863" spans="1:54" ht="36.75" customHeight="1">
      <c r="A3863" s="46" t="s">
        <v>12471</v>
      </c>
      <c r="B3863" s="30" t="s">
        <v>55</v>
      </c>
      <c r="C3863" s="69" t="str">
        <f t="shared" ref="C3863" si="411">IF(B3863="Notification","Open",IF(B3863="Interim Statement","In progress","Closed"))</f>
        <v>Closed</v>
      </c>
      <c r="D3863" s="203" t="s">
        <v>22621</v>
      </c>
      <c r="E3863" s="55" t="s">
        <v>22622</v>
      </c>
      <c r="F3863" s="55" t="s">
        <v>16429</v>
      </c>
      <c r="G3863" s="88">
        <f>DATE(2025,1,22)</f>
        <v>45679</v>
      </c>
      <c r="H3863" s="142">
        <v>1.6423611111111112</v>
      </c>
      <c r="I3863" s="55" t="s">
        <v>20851</v>
      </c>
      <c r="J3863" s="55" t="s">
        <v>22623</v>
      </c>
      <c r="K3863" s="55" t="s">
        <v>425</v>
      </c>
      <c r="L3863" s="55" t="s">
        <v>22624</v>
      </c>
      <c r="M3863" s="55" t="s">
        <v>63</v>
      </c>
      <c r="N3863" s="55" t="s">
        <v>142</v>
      </c>
      <c r="O3863" s="55" t="s">
        <v>77</v>
      </c>
      <c r="P3863" s="55" t="s">
        <v>22625</v>
      </c>
      <c r="Q3863" s="55" t="s">
        <v>18098</v>
      </c>
      <c r="R3863" s="55" t="s">
        <v>17369</v>
      </c>
      <c r="S3863" s="55">
        <v>0</v>
      </c>
      <c r="T3863" s="55">
        <v>0</v>
      </c>
      <c r="U3863" s="55">
        <v>0</v>
      </c>
      <c r="V3863" s="55">
        <v>0</v>
      </c>
      <c r="W3863" s="55">
        <v>0</v>
      </c>
      <c r="X3863" s="55">
        <v>0</v>
      </c>
      <c r="Y3863" s="55">
        <v>0</v>
      </c>
      <c r="Z3863" s="55">
        <v>0</v>
      </c>
      <c r="AA3863" s="55">
        <v>0</v>
      </c>
      <c r="AB3863" s="55">
        <v>0</v>
      </c>
      <c r="AC3863" s="55">
        <v>0</v>
      </c>
      <c r="AD3863" s="55">
        <v>0</v>
      </c>
      <c r="AE3863" s="55" t="s">
        <v>394</v>
      </c>
      <c r="AF3863" s="55" t="s">
        <v>22626</v>
      </c>
      <c r="AG3863" s="55" t="s">
        <v>16283</v>
      </c>
      <c r="AH3863" s="72">
        <v>45692</v>
      </c>
      <c r="AI3863" s="55">
        <v>0</v>
      </c>
      <c r="AJ3863" s="55" t="s">
        <v>22627</v>
      </c>
      <c r="AK3863" s="255" t="s">
        <v>712</v>
      </c>
      <c r="AL3863" s="157">
        <v>45693</v>
      </c>
      <c r="AM3863" s="55"/>
      <c r="AN3863" s="157">
        <v>46043</v>
      </c>
      <c r="AO3863" s="157">
        <v>46042</v>
      </c>
    </row>
    <row r="3864" spans="1:54" ht="36.75" customHeight="1">
      <c r="A3864" s="46" t="s">
        <v>12471</v>
      </c>
      <c r="B3864" s="46" t="s">
        <v>55</v>
      </c>
      <c r="C3864" s="69" t="str">
        <f t="shared" ref="C3864:C3885" si="412">IF(B3864="Notification","Open",IF(B3864="Interim Statement","In progress","Closed"))</f>
        <v>Closed</v>
      </c>
      <c r="D3864" s="203" t="s">
        <v>22628</v>
      </c>
      <c r="E3864" s="55" t="s">
        <v>22629</v>
      </c>
      <c r="F3864" s="55" t="s">
        <v>16429</v>
      </c>
      <c r="G3864" s="88">
        <f>DATE(2025,1,22)</f>
        <v>45679</v>
      </c>
      <c r="H3864" s="142">
        <v>1.70625</v>
      </c>
      <c r="I3864" s="55" t="s">
        <v>156</v>
      </c>
      <c r="J3864" s="55" t="s">
        <v>22630</v>
      </c>
      <c r="K3864" s="55" t="s">
        <v>425</v>
      </c>
      <c r="L3864" s="55" t="s">
        <v>22631</v>
      </c>
      <c r="M3864" s="55" t="s">
        <v>63</v>
      </c>
      <c r="N3864" s="55" t="s">
        <v>99</v>
      </c>
      <c r="O3864" s="55" t="s">
        <v>64</v>
      </c>
      <c r="P3864" s="55" t="s">
        <v>22632</v>
      </c>
      <c r="Q3864" s="55" t="s">
        <v>18516</v>
      </c>
      <c r="R3864" s="55" t="s">
        <v>17369</v>
      </c>
      <c r="S3864" s="55">
        <v>0</v>
      </c>
      <c r="T3864" s="55">
        <v>0</v>
      </c>
      <c r="U3864" s="55">
        <v>0</v>
      </c>
      <c r="V3864" s="55">
        <v>0</v>
      </c>
      <c r="W3864" s="55">
        <v>0</v>
      </c>
      <c r="X3864" s="55">
        <v>0</v>
      </c>
      <c r="Y3864" s="55">
        <v>0</v>
      </c>
      <c r="Z3864" s="55">
        <v>1</v>
      </c>
      <c r="AA3864" s="55">
        <v>0</v>
      </c>
      <c r="AB3864" s="55">
        <v>0</v>
      </c>
      <c r="AC3864" s="55">
        <v>0</v>
      </c>
      <c r="AD3864" s="55">
        <v>1</v>
      </c>
      <c r="AE3864" s="55" t="s">
        <v>92</v>
      </c>
      <c r="AF3864" s="55" t="s">
        <v>22633</v>
      </c>
      <c r="AG3864" s="55" t="s">
        <v>16283</v>
      </c>
      <c r="AH3864" s="72">
        <v>45679</v>
      </c>
      <c r="AI3864" s="55">
        <v>0</v>
      </c>
      <c r="AJ3864" s="55" t="s">
        <v>22634</v>
      </c>
      <c r="AK3864" s="55" t="s">
        <v>712</v>
      </c>
      <c r="AL3864" s="157">
        <v>45694</v>
      </c>
      <c r="AM3864" s="55"/>
      <c r="AN3864" s="157">
        <v>45930</v>
      </c>
      <c r="AO3864" s="157">
        <v>45923</v>
      </c>
    </row>
    <row r="3865" spans="1:54" ht="36.75" customHeight="1">
      <c r="A3865" s="46" t="s">
        <v>12471</v>
      </c>
      <c r="B3865" s="46" t="s">
        <v>55</v>
      </c>
      <c r="C3865" s="69" t="str">
        <f t="shared" ref="C3865" si="413">IF(B3865="Notification","Open",IF(B3865="Interim Statement","In progress","Closed"))</f>
        <v>Closed</v>
      </c>
      <c r="D3865" s="203" t="s">
        <v>22635</v>
      </c>
      <c r="E3865" s="55" t="s">
        <v>22636</v>
      </c>
      <c r="F3865" s="55" t="s">
        <v>17682</v>
      </c>
      <c r="G3865" s="88">
        <f>DATE(2025,2,12)</f>
        <v>45700</v>
      </c>
      <c r="H3865" s="142">
        <v>1.0451388888888888</v>
      </c>
      <c r="I3865" s="55" t="s">
        <v>73</v>
      </c>
      <c r="J3865" s="55" t="s">
        <v>22637</v>
      </c>
      <c r="K3865" s="55" t="s">
        <v>1574</v>
      </c>
      <c r="L3865" s="55" t="s">
        <v>22638</v>
      </c>
      <c r="M3865" s="55" t="s">
        <v>63</v>
      </c>
      <c r="N3865" s="55" t="s">
        <v>142</v>
      </c>
      <c r="O3865" s="55" t="s">
        <v>77</v>
      </c>
      <c r="P3865" s="55" t="s">
        <v>78</v>
      </c>
      <c r="Q3865" s="55" t="s">
        <v>22639</v>
      </c>
      <c r="R3865" s="55" t="s">
        <v>19007</v>
      </c>
      <c r="S3865" s="55">
        <v>0</v>
      </c>
      <c r="T3865" s="55">
        <v>0</v>
      </c>
      <c r="U3865" s="55">
        <v>0</v>
      </c>
      <c r="V3865" s="55">
        <v>0</v>
      </c>
      <c r="W3865" s="55">
        <v>0</v>
      </c>
      <c r="X3865" s="55">
        <v>0</v>
      </c>
      <c r="Y3865" s="55">
        <v>0</v>
      </c>
      <c r="Z3865" s="55">
        <v>0</v>
      </c>
      <c r="AA3865" s="55">
        <v>0</v>
      </c>
      <c r="AB3865" s="55">
        <v>0</v>
      </c>
      <c r="AC3865" s="55">
        <v>0</v>
      </c>
      <c r="AD3865" s="55">
        <v>0</v>
      </c>
      <c r="AE3865" s="55" t="s">
        <v>92</v>
      </c>
      <c r="AF3865" s="55" t="s">
        <v>22640</v>
      </c>
      <c r="AG3865" s="55" t="s">
        <v>8859</v>
      </c>
      <c r="AH3865" s="72">
        <v>45701</v>
      </c>
      <c r="AI3865" s="55">
        <v>1</v>
      </c>
      <c r="AJ3865" s="55" t="s">
        <v>22641</v>
      </c>
      <c r="AK3865" s="55" t="s">
        <v>22642</v>
      </c>
      <c r="AL3865" s="157">
        <v>45701</v>
      </c>
      <c r="AM3865" s="55"/>
      <c r="AN3865" s="212">
        <v>46056</v>
      </c>
      <c r="AO3865" s="212">
        <v>46050</v>
      </c>
    </row>
    <row r="3866" spans="1:54" ht="36.75" customHeight="1">
      <c r="A3866" s="46" t="s">
        <v>12471</v>
      </c>
      <c r="B3866" s="46" t="s">
        <v>55</v>
      </c>
      <c r="C3866" s="69" t="str">
        <f t="shared" ref="C3866" si="414">IF(B3866="Notification","Open",IF(B3866="Interim Statement","In progress","Closed"))</f>
        <v>Closed</v>
      </c>
      <c r="D3866" s="58" t="s">
        <v>22643</v>
      </c>
      <c r="E3866" s="55" t="s">
        <v>22644</v>
      </c>
      <c r="F3866" s="55" t="s">
        <v>17682</v>
      </c>
      <c r="G3866" s="88">
        <f>DATE(2025,2,12)</f>
        <v>45700</v>
      </c>
      <c r="H3866" s="142">
        <v>1.3819444444444444</v>
      </c>
      <c r="I3866" s="55" t="s">
        <v>73</v>
      </c>
      <c r="J3866" s="55" t="s">
        <v>22645</v>
      </c>
      <c r="K3866" s="55" t="s">
        <v>1574</v>
      </c>
      <c r="L3866" s="55" t="s">
        <v>22646</v>
      </c>
      <c r="M3866" s="55" t="s">
        <v>63</v>
      </c>
      <c r="N3866" s="55" t="s">
        <v>99</v>
      </c>
      <c r="O3866" s="55" t="s">
        <v>64</v>
      </c>
      <c r="P3866" s="55" t="s">
        <v>78</v>
      </c>
      <c r="Q3866" s="55" t="s">
        <v>19664</v>
      </c>
      <c r="R3866" s="55" t="s">
        <v>19007</v>
      </c>
      <c r="S3866" s="55">
        <v>0</v>
      </c>
      <c r="T3866" s="55">
        <v>0</v>
      </c>
      <c r="U3866" s="55">
        <v>0</v>
      </c>
      <c r="V3866" s="55">
        <v>0</v>
      </c>
      <c r="W3866" s="55">
        <v>0</v>
      </c>
      <c r="X3866" s="55">
        <v>0</v>
      </c>
      <c r="Y3866" s="55">
        <v>0</v>
      </c>
      <c r="Z3866" s="55">
        <v>0</v>
      </c>
      <c r="AA3866" s="55">
        <v>0</v>
      </c>
      <c r="AB3866" s="55">
        <v>0</v>
      </c>
      <c r="AC3866" s="55">
        <v>0</v>
      </c>
      <c r="AD3866" s="55">
        <v>0</v>
      </c>
      <c r="AE3866" s="55" t="s">
        <v>92</v>
      </c>
      <c r="AF3866" s="55" t="s">
        <v>22647</v>
      </c>
      <c r="AG3866" s="55" t="s">
        <v>8859</v>
      </c>
      <c r="AH3866" s="72">
        <v>45701</v>
      </c>
      <c r="AI3866" s="55">
        <v>1</v>
      </c>
      <c r="AJ3866" s="55" t="s">
        <v>22648</v>
      </c>
      <c r="AK3866" s="55" t="s">
        <v>22649</v>
      </c>
      <c r="AL3866" s="157">
        <v>45701</v>
      </c>
      <c r="AM3866" s="55"/>
      <c r="AN3866" s="212">
        <v>46058</v>
      </c>
      <c r="AO3866" s="212">
        <v>46055</v>
      </c>
    </row>
    <row r="3867" spans="1:54" ht="36.75" customHeight="1">
      <c r="A3867" s="46" t="s">
        <v>12471</v>
      </c>
      <c r="B3867" s="46" t="s">
        <v>55</v>
      </c>
      <c r="C3867" s="69" t="str">
        <f t="shared" ref="C3867" si="415">IF(B3867="Notification","Open",IF(B3867="Interim Statement","In progress","Closed"))</f>
        <v>Closed</v>
      </c>
      <c r="D3867" s="58" t="s">
        <v>22650</v>
      </c>
      <c r="E3867" s="55" t="s">
        <v>73</v>
      </c>
      <c r="F3867" s="55" t="s">
        <v>17578</v>
      </c>
      <c r="G3867" s="88">
        <f>DATE(2025,1,25)</f>
        <v>45682</v>
      </c>
      <c r="H3867" s="142">
        <v>1.5694444444444444</v>
      </c>
      <c r="I3867" s="55" t="s">
        <v>73</v>
      </c>
      <c r="J3867" s="55" t="s">
        <v>22651</v>
      </c>
      <c r="K3867" s="55" t="s">
        <v>837</v>
      </c>
      <c r="L3867" s="55" t="s">
        <v>10231</v>
      </c>
      <c r="M3867" s="55" t="s">
        <v>63</v>
      </c>
      <c r="N3867" s="55" t="s">
        <v>99</v>
      </c>
      <c r="O3867" s="55" t="s">
        <v>77</v>
      </c>
      <c r="P3867" s="55" t="s">
        <v>78</v>
      </c>
      <c r="Q3867" s="55" t="s">
        <v>11481</v>
      </c>
      <c r="R3867" s="55" t="s">
        <v>22652</v>
      </c>
      <c r="S3867" s="55">
        <v>0</v>
      </c>
      <c r="T3867" s="55">
        <v>0</v>
      </c>
      <c r="U3867" s="55">
        <v>0</v>
      </c>
      <c r="V3867" s="55">
        <v>0</v>
      </c>
      <c r="W3867" s="55">
        <v>0</v>
      </c>
      <c r="X3867" s="55">
        <v>0</v>
      </c>
      <c r="Y3867" s="55">
        <v>0</v>
      </c>
      <c r="Z3867" s="55">
        <v>0</v>
      </c>
      <c r="AA3867" s="55">
        <v>0</v>
      </c>
      <c r="AB3867" s="55">
        <v>0</v>
      </c>
      <c r="AC3867" s="55">
        <v>0</v>
      </c>
      <c r="AD3867" s="55">
        <v>0</v>
      </c>
      <c r="AE3867" s="55" t="s">
        <v>394</v>
      </c>
      <c r="AF3867" s="55" t="s">
        <v>22653</v>
      </c>
      <c r="AG3867" s="55" t="s">
        <v>13537</v>
      </c>
      <c r="AH3867" s="72">
        <v>45705</v>
      </c>
      <c r="AI3867" s="55">
        <v>3</v>
      </c>
      <c r="AJ3867" s="55" t="s">
        <v>45913</v>
      </c>
      <c r="AK3867" s="55" t="s">
        <v>45914</v>
      </c>
      <c r="AL3867" s="157">
        <v>45705</v>
      </c>
      <c r="AM3867" s="55"/>
      <c r="AN3867" s="212">
        <v>46066</v>
      </c>
      <c r="AO3867" s="212">
        <v>46058</v>
      </c>
    </row>
    <row r="3868" spans="1:54" ht="36.75" customHeight="1">
      <c r="A3868" s="46" t="s">
        <v>12471</v>
      </c>
      <c r="B3868" s="46" t="s">
        <v>2124</v>
      </c>
      <c r="C3868" s="69" t="str">
        <f t="shared" si="412"/>
        <v>Open</v>
      </c>
      <c r="D3868" s="36" t="s">
        <v>22654</v>
      </c>
      <c r="E3868" s="55" t="s">
        <v>22655</v>
      </c>
      <c r="F3868" s="55" t="s">
        <v>12474</v>
      </c>
      <c r="G3868" s="88">
        <f>DATE(2024,11,19)</f>
        <v>45615</v>
      </c>
      <c r="H3868" s="142">
        <v>1.6944444444444444</v>
      </c>
      <c r="I3868" s="55" t="s">
        <v>125</v>
      </c>
      <c r="J3868" s="55" t="s">
        <v>22656</v>
      </c>
      <c r="K3868" s="55" t="s">
        <v>200</v>
      </c>
      <c r="L3868" s="55" t="s">
        <v>22657</v>
      </c>
      <c r="M3868" s="55" t="s">
        <v>129</v>
      </c>
      <c r="N3868" s="55" t="s">
        <v>142</v>
      </c>
      <c r="O3868" s="55" t="s">
        <v>64</v>
      </c>
      <c r="P3868" s="55" t="s">
        <v>129</v>
      </c>
      <c r="Q3868" s="55" t="s">
        <v>22658</v>
      </c>
      <c r="R3868" s="55" t="s">
        <v>22658</v>
      </c>
      <c r="S3868" s="55">
        <v>0</v>
      </c>
      <c r="T3868" s="55">
        <v>0</v>
      </c>
      <c r="U3868" s="55">
        <v>0</v>
      </c>
      <c r="V3868" s="55">
        <v>0</v>
      </c>
      <c r="W3868" s="55">
        <v>0</v>
      </c>
      <c r="X3868" s="55">
        <v>0</v>
      </c>
      <c r="Y3868" s="55">
        <v>0</v>
      </c>
      <c r="Z3868" s="55">
        <v>0</v>
      </c>
      <c r="AA3868" s="55">
        <v>0</v>
      </c>
      <c r="AB3868" s="55">
        <v>0</v>
      </c>
      <c r="AC3868" s="55">
        <v>0</v>
      </c>
      <c r="AD3868" s="55">
        <v>0</v>
      </c>
      <c r="AE3868" s="55" t="s">
        <v>145</v>
      </c>
      <c r="AF3868" s="55" t="s">
        <v>22659</v>
      </c>
      <c r="AG3868" s="55" t="s">
        <v>6459</v>
      </c>
      <c r="AH3868" s="72">
        <v>45672</v>
      </c>
      <c r="AI3868" s="55"/>
      <c r="AJ3868" s="55"/>
      <c r="AK3868" s="55"/>
      <c r="AL3868" s="157">
        <v>45707</v>
      </c>
      <c r="AM3868" s="55"/>
      <c r="AN3868" s="209"/>
      <c r="AO3868" s="209"/>
    </row>
    <row r="3869" spans="1:54" s="283" customFormat="1" ht="103.5" customHeight="1">
      <c r="A3869" s="271" t="s">
        <v>12471</v>
      </c>
      <c r="B3869" s="271" t="s">
        <v>21606</v>
      </c>
      <c r="C3869" s="272" t="str">
        <f t="shared" ref="C3869" si="416">IF(B3869="Notification","Open",IF(B3869="Interim Statement","In progress","Closed"))</f>
        <v>In progress</v>
      </c>
      <c r="D3869" s="285" t="s">
        <v>22660</v>
      </c>
      <c r="E3869" s="273" t="s">
        <v>22661</v>
      </c>
      <c r="F3869" s="273" t="s">
        <v>6455</v>
      </c>
      <c r="G3869" s="274">
        <f>DATE(2025,2,11)</f>
        <v>45699</v>
      </c>
      <c r="H3869" s="275">
        <v>1.5902777777777777</v>
      </c>
      <c r="I3869" s="273" t="s">
        <v>116</v>
      </c>
      <c r="J3869" s="55" t="s">
        <v>22662</v>
      </c>
      <c r="K3869" s="273" t="s">
        <v>584</v>
      </c>
      <c r="L3869" s="273" t="s">
        <v>22663</v>
      </c>
      <c r="M3869" s="273" t="s">
        <v>63</v>
      </c>
      <c r="N3869" s="273" t="s">
        <v>142</v>
      </c>
      <c r="O3869" s="273" t="s">
        <v>64</v>
      </c>
      <c r="P3869" s="273" t="s">
        <v>462</v>
      </c>
      <c r="Q3869" s="273" t="s">
        <v>4830</v>
      </c>
      <c r="R3869" s="273" t="s">
        <v>21805</v>
      </c>
      <c r="S3869" s="273">
        <v>1</v>
      </c>
      <c r="T3869" s="273">
        <v>0</v>
      </c>
      <c r="U3869" s="273">
        <v>0</v>
      </c>
      <c r="V3869" s="273">
        <v>0</v>
      </c>
      <c r="W3869" s="273">
        <v>0</v>
      </c>
      <c r="X3869" s="273">
        <v>1</v>
      </c>
      <c r="Y3869" s="273">
        <v>1</v>
      </c>
      <c r="Z3869" s="273">
        <v>0</v>
      </c>
      <c r="AA3869" s="273">
        <v>0</v>
      </c>
      <c r="AB3869" s="273">
        <v>0</v>
      </c>
      <c r="AC3869" s="273">
        <v>0</v>
      </c>
      <c r="AD3869" s="273">
        <v>1</v>
      </c>
      <c r="AE3869" s="273" t="s">
        <v>145</v>
      </c>
      <c r="AF3869" s="55" t="s">
        <v>46046</v>
      </c>
      <c r="AG3869" s="273" t="s">
        <v>8859</v>
      </c>
      <c r="AH3869" s="276">
        <v>45700</v>
      </c>
      <c r="AI3869" s="273"/>
      <c r="AJ3869" s="273"/>
      <c r="AK3869" s="273"/>
      <c r="AL3869" s="277">
        <v>45709</v>
      </c>
      <c r="AM3869" s="284">
        <v>46098</v>
      </c>
      <c r="AN3869" s="278"/>
      <c r="AO3869" s="278"/>
      <c r="AP3869" s="279"/>
      <c r="AQ3869" s="280"/>
      <c r="AR3869" s="280"/>
      <c r="AS3869" s="280"/>
      <c r="AT3869" s="281"/>
      <c r="AU3869" s="279"/>
      <c r="AV3869" s="279"/>
      <c r="AW3869" s="279"/>
      <c r="AX3869" s="282"/>
      <c r="AY3869" s="282"/>
      <c r="AZ3869" s="282"/>
      <c r="BA3869" s="282"/>
      <c r="BB3869" s="282"/>
    </row>
    <row r="3870" spans="1:54" ht="36.75" customHeight="1">
      <c r="A3870" s="46" t="s">
        <v>12471</v>
      </c>
      <c r="B3870" s="46" t="s">
        <v>55</v>
      </c>
      <c r="C3870" s="69" t="str">
        <f t="shared" si="412"/>
        <v>Closed</v>
      </c>
      <c r="D3870" s="203" t="s">
        <v>22664</v>
      </c>
      <c r="E3870" s="55" t="s">
        <v>22665</v>
      </c>
      <c r="F3870" s="55" t="s">
        <v>17682</v>
      </c>
      <c r="G3870" s="88">
        <f>DATE(2025,2,17)</f>
        <v>45705</v>
      </c>
      <c r="H3870" s="142">
        <v>1.3472222222222223</v>
      </c>
      <c r="I3870" s="55" t="s">
        <v>73</v>
      </c>
      <c r="J3870" s="55" t="s">
        <v>22666</v>
      </c>
      <c r="K3870" s="55" t="s">
        <v>1574</v>
      </c>
      <c r="L3870" s="55" t="s">
        <v>22667</v>
      </c>
      <c r="M3870" s="55" t="s">
        <v>63</v>
      </c>
      <c r="N3870" s="55" t="s">
        <v>99</v>
      </c>
      <c r="O3870" s="55" t="s">
        <v>77</v>
      </c>
      <c r="P3870" s="55" t="s">
        <v>165</v>
      </c>
      <c r="Q3870" s="55" t="s">
        <v>18739</v>
      </c>
      <c r="R3870" s="55" t="s">
        <v>19007</v>
      </c>
      <c r="S3870" s="55">
        <v>0</v>
      </c>
      <c r="T3870" s="55">
        <v>0</v>
      </c>
      <c r="U3870" s="55">
        <v>0</v>
      </c>
      <c r="V3870" s="55">
        <v>0</v>
      </c>
      <c r="W3870" s="55">
        <v>0</v>
      </c>
      <c r="X3870" s="55">
        <v>0</v>
      </c>
      <c r="Y3870" s="55">
        <v>0</v>
      </c>
      <c r="Z3870" s="55">
        <v>0</v>
      </c>
      <c r="AA3870" s="55">
        <v>0</v>
      </c>
      <c r="AB3870" s="55">
        <v>0</v>
      </c>
      <c r="AC3870" s="55">
        <v>0</v>
      </c>
      <c r="AD3870" s="55">
        <v>0</v>
      </c>
      <c r="AE3870" s="55" t="s">
        <v>92</v>
      </c>
      <c r="AF3870" s="55" t="s">
        <v>22668</v>
      </c>
      <c r="AG3870" s="55" t="s">
        <v>8859</v>
      </c>
      <c r="AH3870" s="72">
        <v>45707</v>
      </c>
      <c r="AI3870" s="55">
        <v>2</v>
      </c>
      <c r="AJ3870" s="55" t="s">
        <v>22669</v>
      </c>
      <c r="AK3870" s="55" t="s">
        <v>22670</v>
      </c>
      <c r="AL3870" s="157">
        <v>45712</v>
      </c>
      <c r="AM3870" s="55"/>
      <c r="AN3870" s="249">
        <v>46008</v>
      </c>
      <c r="AO3870" s="249">
        <v>46003</v>
      </c>
    </row>
    <row r="3871" spans="1:54" ht="36.75" customHeight="1">
      <c r="A3871" s="46" t="s">
        <v>12471</v>
      </c>
      <c r="B3871" s="46" t="s">
        <v>55</v>
      </c>
      <c r="C3871" s="69" t="str">
        <f t="shared" ref="C3871" si="417">IF(B3871="Notification","Open",IF(B3871="Interim Statement","In progress","Closed"))</f>
        <v>Closed</v>
      </c>
      <c r="D3871" s="203" t="s">
        <v>22671</v>
      </c>
      <c r="E3871" s="55" t="s">
        <v>22672</v>
      </c>
      <c r="F3871" s="55" t="s">
        <v>17682</v>
      </c>
      <c r="G3871" s="88">
        <f>DATE(2025,2,17)</f>
        <v>45705</v>
      </c>
      <c r="H3871" s="142">
        <v>1.5208333333333335</v>
      </c>
      <c r="I3871" s="55" t="s">
        <v>125</v>
      </c>
      <c r="J3871" s="55" t="s">
        <v>22673</v>
      </c>
      <c r="K3871" s="55" t="s">
        <v>1574</v>
      </c>
      <c r="L3871" s="55" t="s">
        <v>22674</v>
      </c>
      <c r="M3871" s="55" t="s">
        <v>63</v>
      </c>
      <c r="N3871" s="55" t="s">
        <v>142</v>
      </c>
      <c r="O3871" s="55" t="s">
        <v>64</v>
      </c>
      <c r="P3871" s="55" t="s">
        <v>65</v>
      </c>
      <c r="Q3871" s="55" t="s">
        <v>18739</v>
      </c>
      <c r="R3871" s="55" t="s">
        <v>17686</v>
      </c>
      <c r="S3871" s="55">
        <v>0</v>
      </c>
      <c r="T3871" s="55">
        <v>0</v>
      </c>
      <c r="U3871" s="55">
        <v>0</v>
      </c>
      <c r="V3871" s="55">
        <v>0</v>
      </c>
      <c r="W3871" s="55">
        <v>0</v>
      </c>
      <c r="X3871" s="55">
        <v>0</v>
      </c>
      <c r="Y3871" s="55">
        <v>0</v>
      </c>
      <c r="Z3871" s="55">
        <v>0</v>
      </c>
      <c r="AA3871" s="55">
        <v>0</v>
      </c>
      <c r="AB3871" s="55">
        <v>0</v>
      </c>
      <c r="AC3871" s="55">
        <v>0</v>
      </c>
      <c r="AD3871" s="55">
        <v>0</v>
      </c>
      <c r="AE3871" s="55" t="s">
        <v>394</v>
      </c>
      <c r="AF3871" s="55" t="s">
        <v>22675</v>
      </c>
      <c r="AG3871" s="55" t="s">
        <v>8859</v>
      </c>
      <c r="AH3871" s="72">
        <v>45707</v>
      </c>
      <c r="AI3871" s="55">
        <v>0</v>
      </c>
      <c r="AJ3871" s="55" t="s">
        <v>22676</v>
      </c>
      <c r="AK3871" s="55" t="s">
        <v>22677</v>
      </c>
      <c r="AL3871" s="157">
        <v>45712</v>
      </c>
      <c r="AM3871" s="55"/>
      <c r="AN3871" s="249">
        <v>46038</v>
      </c>
      <c r="AO3871" s="249">
        <v>46036</v>
      </c>
    </row>
    <row r="3872" spans="1:54" ht="36.75" customHeight="1">
      <c r="A3872" s="46" t="s">
        <v>12471</v>
      </c>
      <c r="B3872" s="46" t="s">
        <v>21606</v>
      </c>
      <c r="C3872" s="69" t="str">
        <f t="shared" si="412"/>
        <v>In progress</v>
      </c>
      <c r="D3872" s="203" t="s">
        <v>22678</v>
      </c>
      <c r="E3872" s="55" t="s">
        <v>22679</v>
      </c>
      <c r="F3872" s="55" t="s">
        <v>17682</v>
      </c>
      <c r="G3872" s="88">
        <f>DATE(2025,2,19)</f>
        <v>45707</v>
      </c>
      <c r="H3872" s="142">
        <v>1.4479166666666667</v>
      </c>
      <c r="I3872" s="55" t="s">
        <v>73</v>
      </c>
      <c r="J3872" s="55" t="s">
        <v>22680</v>
      </c>
      <c r="K3872" s="55" t="s">
        <v>1574</v>
      </c>
      <c r="L3872" s="55" t="s">
        <v>22681</v>
      </c>
      <c r="M3872" s="55" t="s">
        <v>63</v>
      </c>
      <c r="N3872" s="55" t="s">
        <v>142</v>
      </c>
      <c r="O3872" s="55" t="s">
        <v>77</v>
      </c>
      <c r="P3872" s="55" t="s">
        <v>78</v>
      </c>
      <c r="Q3872" s="55" t="s">
        <v>22682</v>
      </c>
      <c r="R3872" s="55" t="s">
        <v>19007</v>
      </c>
      <c r="S3872" s="55" t="s">
        <v>1525</v>
      </c>
      <c r="T3872" s="55">
        <v>1</v>
      </c>
      <c r="U3872" s="55" t="s">
        <v>1525</v>
      </c>
      <c r="V3872" s="55" t="s">
        <v>1525</v>
      </c>
      <c r="W3872" s="55" t="s">
        <v>1525</v>
      </c>
      <c r="X3872" s="55">
        <v>1</v>
      </c>
      <c r="Y3872" s="55" t="s">
        <v>1525</v>
      </c>
      <c r="Z3872" s="55" t="s">
        <v>1525</v>
      </c>
      <c r="AA3872" s="55" t="s">
        <v>1525</v>
      </c>
      <c r="AB3872" s="55" t="s">
        <v>1525</v>
      </c>
      <c r="AC3872" s="55" t="s">
        <v>1525</v>
      </c>
      <c r="AD3872" s="55">
        <v>0</v>
      </c>
      <c r="AE3872" s="55" t="s">
        <v>394</v>
      </c>
      <c r="AF3872" s="55" t="s">
        <v>22683</v>
      </c>
      <c r="AG3872" s="55" t="s">
        <v>6459</v>
      </c>
      <c r="AH3872" s="72">
        <v>45709</v>
      </c>
      <c r="AI3872" s="55"/>
      <c r="AJ3872" s="55"/>
      <c r="AK3872" s="55"/>
      <c r="AL3872" s="157">
        <v>45712</v>
      </c>
      <c r="AM3872" s="216">
        <v>46055</v>
      </c>
      <c r="AN3872" s="209"/>
      <c r="AO3872" s="209"/>
    </row>
    <row r="3873" spans="1:41" ht="36.75" customHeight="1">
      <c r="A3873" s="46" t="s">
        <v>12471</v>
      </c>
      <c r="B3873" s="46" t="s">
        <v>2124</v>
      </c>
      <c r="C3873" s="69" t="str">
        <f t="shared" si="412"/>
        <v>Open</v>
      </c>
      <c r="D3873" s="36" t="s">
        <v>22684</v>
      </c>
      <c r="E3873" s="55" t="s">
        <v>22685</v>
      </c>
      <c r="F3873" s="55" t="s">
        <v>12474</v>
      </c>
      <c r="G3873" s="88">
        <f>DATE(2025,1,7)</f>
        <v>45664</v>
      </c>
      <c r="H3873" s="142">
        <v>1.4618055555555556</v>
      </c>
      <c r="I3873" s="55" t="s">
        <v>116</v>
      </c>
      <c r="J3873" s="55" t="s">
        <v>22686</v>
      </c>
      <c r="K3873" s="55" t="s">
        <v>200</v>
      </c>
      <c r="L3873" s="55" t="s">
        <v>22687</v>
      </c>
      <c r="M3873" s="55" t="s">
        <v>63</v>
      </c>
      <c r="N3873" s="55" t="s">
        <v>20011</v>
      </c>
      <c r="O3873" s="55" t="s">
        <v>64</v>
      </c>
      <c r="P3873" s="55" t="s">
        <v>165</v>
      </c>
      <c r="Q3873" s="55" t="s">
        <v>22688</v>
      </c>
      <c r="R3873" s="55" t="s">
        <v>22689</v>
      </c>
      <c r="S3873" s="55" t="s">
        <v>1525</v>
      </c>
      <c r="T3873" s="55" t="s">
        <v>1525</v>
      </c>
      <c r="U3873" s="55" t="s">
        <v>1525</v>
      </c>
      <c r="V3873" s="55" t="s">
        <v>1525</v>
      </c>
      <c r="W3873" s="55" t="s">
        <v>1525</v>
      </c>
      <c r="X3873" s="55">
        <v>0</v>
      </c>
      <c r="Y3873" s="55" t="s">
        <v>1525</v>
      </c>
      <c r="Z3873" s="55" t="s">
        <v>1525</v>
      </c>
      <c r="AA3873" s="55" t="s">
        <v>1525</v>
      </c>
      <c r="AB3873" s="55" t="s">
        <v>1525</v>
      </c>
      <c r="AC3873" s="55" t="s">
        <v>1525</v>
      </c>
      <c r="AD3873" s="55">
        <v>0</v>
      </c>
      <c r="AE3873" s="55" t="s">
        <v>394</v>
      </c>
      <c r="AF3873" s="55" t="s">
        <v>22690</v>
      </c>
      <c r="AG3873" s="55" t="s">
        <v>14033</v>
      </c>
      <c r="AH3873" s="72">
        <v>45699</v>
      </c>
      <c r="AI3873" s="55"/>
      <c r="AJ3873" s="55"/>
      <c r="AK3873" s="55"/>
      <c r="AL3873" s="157">
        <v>45713</v>
      </c>
      <c r="AM3873" s="55"/>
      <c r="AN3873" s="209"/>
      <c r="AO3873" s="209"/>
    </row>
    <row r="3874" spans="1:41" ht="36.75" customHeight="1">
      <c r="A3874" s="46" t="s">
        <v>12471</v>
      </c>
      <c r="B3874" s="46" t="s">
        <v>55</v>
      </c>
      <c r="C3874" s="69" t="str">
        <f t="shared" si="412"/>
        <v>Closed</v>
      </c>
      <c r="D3874" s="58" t="s">
        <v>22691</v>
      </c>
      <c r="E3874" s="55" t="s">
        <v>22692</v>
      </c>
      <c r="F3874" s="55" t="s">
        <v>17682</v>
      </c>
      <c r="G3874" s="88">
        <f>DATE(2025,2,25)</f>
        <v>45713</v>
      </c>
      <c r="H3874" s="142">
        <v>1.8472222222222223</v>
      </c>
      <c r="I3874" s="55" t="s">
        <v>73</v>
      </c>
      <c r="J3874" s="55" t="s">
        <v>22693</v>
      </c>
      <c r="K3874" s="55" t="s">
        <v>1574</v>
      </c>
      <c r="L3874" s="55" t="s">
        <v>22694</v>
      </c>
      <c r="M3874" s="55" t="s">
        <v>63</v>
      </c>
      <c r="N3874" s="55" t="s">
        <v>89</v>
      </c>
      <c r="O3874" s="55" t="s">
        <v>77</v>
      </c>
      <c r="P3874" s="55" t="s">
        <v>78</v>
      </c>
      <c r="Q3874" s="55" t="s">
        <v>19664</v>
      </c>
      <c r="R3874" s="55" t="s">
        <v>19007</v>
      </c>
      <c r="S3874" s="55">
        <v>0</v>
      </c>
      <c r="T3874" s="55">
        <v>0</v>
      </c>
      <c r="U3874" s="55">
        <v>0</v>
      </c>
      <c r="V3874" s="55">
        <v>0</v>
      </c>
      <c r="W3874" s="55">
        <v>0</v>
      </c>
      <c r="X3874" s="55">
        <v>0</v>
      </c>
      <c r="Y3874" s="55">
        <v>0</v>
      </c>
      <c r="Z3874" s="55">
        <v>0</v>
      </c>
      <c r="AA3874" s="55">
        <v>0</v>
      </c>
      <c r="AB3874" s="55">
        <v>0</v>
      </c>
      <c r="AC3874" s="55">
        <v>0</v>
      </c>
      <c r="AD3874" s="55">
        <v>0</v>
      </c>
      <c r="AE3874" s="55" t="s">
        <v>92</v>
      </c>
      <c r="AF3874" s="55" t="s">
        <v>22695</v>
      </c>
      <c r="AG3874" s="55" t="s">
        <v>8859</v>
      </c>
      <c r="AH3874" s="72">
        <v>45716</v>
      </c>
      <c r="AI3874" s="55">
        <v>0</v>
      </c>
      <c r="AJ3874" s="261" t="s">
        <v>45907</v>
      </c>
      <c r="AK3874" s="55" t="s">
        <v>45908</v>
      </c>
      <c r="AL3874" s="157">
        <v>45716</v>
      </c>
      <c r="AM3874" s="55"/>
      <c r="AN3874" s="249">
        <v>46064</v>
      </c>
      <c r="AO3874" s="249">
        <v>46063</v>
      </c>
    </row>
    <row r="3875" spans="1:41" ht="36.75" customHeight="1">
      <c r="A3875" s="46" t="s">
        <v>12471</v>
      </c>
      <c r="B3875" s="46" t="s">
        <v>2124</v>
      </c>
      <c r="C3875" s="69" t="str">
        <f t="shared" si="412"/>
        <v>Open</v>
      </c>
      <c r="D3875" s="36" t="s">
        <v>22696</v>
      </c>
      <c r="E3875" s="55" t="s">
        <v>22697</v>
      </c>
      <c r="F3875" s="55" t="s">
        <v>16429</v>
      </c>
      <c r="G3875" s="88">
        <f>DATE(2025,2,28)</f>
        <v>45716</v>
      </c>
      <c r="H3875" s="142">
        <v>1.4861111111111112</v>
      </c>
      <c r="I3875" s="55" t="s">
        <v>73</v>
      </c>
      <c r="J3875" s="55" t="s">
        <v>22698</v>
      </c>
      <c r="K3875" s="55" t="s">
        <v>425</v>
      </c>
      <c r="L3875" s="55" t="s">
        <v>22699</v>
      </c>
      <c r="M3875" s="55" t="s">
        <v>22556</v>
      </c>
      <c r="N3875" s="55" t="s">
        <v>142</v>
      </c>
      <c r="O3875" s="55" t="s">
        <v>77</v>
      </c>
      <c r="P3875" s="55" t="s">
        <v>78</v>
      </c>
      <c r="Q3875" s="55" t="s">
        <v>22700</v>
      </c>
      <c r="R3875" s="55" t="s">
        <v>17369</v>
      </c>
      <c r="S3875" s="55">
        <v>0</v>
      </c>
      <c r="T3875" s="55">
        <v>0</v>
      </c>
      <c r="U3875" s="55">
        <v>0</v>
      </c>
      <c r="V3875" s="55">
        <v>0</v>
      </c>
      <c r="W3875" s="55">
        <v>0</v>
      </c>
      <c r="X3875" s="55">
        <v>0</v>
      </c>
      <c r="Y3875" s="55">
        <v>0</v>
      </c>
      <c r="Z3875" s="55">
        <v>0</v>
      </c>
      <c r="AA3875" s="55">
        <v>0</v>
      </c>
      <c r="AB3875" s="55">
        <v>0</v>
      </c>
      <c r="AC3875" s="55">
        <v>0</v>
      </c>
      <c r="AD3875" s="55">
        <v>0</v>
      </c>
      <c r="AE3875" s="55" t="s">
        <v>145</v>
      </c>
      <c r="AF3875" s="55" t="s">
        <v>22701</v>
      </c>
      <c r="AG3875" s="55" t="s">
        <v>6459</v>
      </c>
      <c r="AH3875" s="72">
        <v>45716</v>
      </c>
      <c r="AI3875" s="55"/>
      <c r="AJ3875" s="55"/>
      <c r="AK3875" s="55"/>
      <c r="AL3875" s="157">
        <v>45720</v>
      </c>
      <c r="AM3875" s="55"/>
      <c r="AN3875" s="209"/>
      <c r="AO3875" s="209"/>
    </row>
    <row r="3876" spans="1:41" ht="36.75" customHeight="1">
      <c r="A3876" s="46" t="s">
        <v>12471</v>
      </c>
      <c r="B3876" s="46" t="s">
        <v>2124</v>
      </c>
      <c r="C3876" s="69" t="str">
        <f t="shared" si="412"/>
        <v>Open</v>
      </c>
      <c r="D3876" s="36" t="s">
        <v>22702</v>
      </c>
      <c r="E3876" s="55" t="s">
        <v>73</v>
      </c>
      <c r="F3876" s="55" t="s">
        <v>17578</v>
      </c>
      <c r="G3876" s="88">
        <f>DATE(2025,3,7)</f>
        <v>45723</v>
      </c>
      <c r="H3876" s="142">
        <v>1.0381944444444444</v>
      </c>
      <c r="I3876" s="55" t="s">
        <v>73</v>
      </c>
      <c r="J3876" s="55" t="s">
        <v>22703</v>
      </c>
      <c r="K3876" s="55" t="s">
        <v>837</v>
      </c>
      <c r="L3876" s="55" t="s">
        <v>22704</v>
      </c>
      <c r="M3876" s="55" t="s">
        <v>22556</v>
      </c>
      <c r="N3876" s="55" t="s">
        <v>99</v>
      </c>
      <c r="O3876" s="55" t="s">
        <v>6875</v>
      </c>
      <c r="P3876" s="55" t="s">
        <v>78</v>
      </c>
      <c r="Q3876" s="55" t="s">
        <v>18250</v>
      </c>
      <c r="R3876" s="55" t="s">
        <v>22652</v>
      </c>
      <c r="S3876" s="55">
        <v>0</v>
      </c>
      <c r="T3876" s="55">
        <v>0</v>
      </c>
      <c r="U3876" s="55">
        <v>0</v>
      </c>
      <c r="V3876" s="55">
        <v>0</v>
      </c>
      <c r="W3876" s="55">
        <v>0</v>
      </c>
      <c r="X3876" s="55">
        <v>0</v>
      </c>
      <c r="Y3876" s="55">
        <v>0</v>
      </c>
      <c r="Z3876" s="55">
        <v>0</v>
      </c>
      <c r="AA3876" s="55">
        <v>0</v>
      </c>
      <c r="AB3876" s="55">
        <v>0</v>
      </c>
      <c r="AC3876" s="55">
        <v>0</v>
      </c>
      <c r="AD3876" s="55">
        <v>0</v>
      </c>
      <c r="AE3876" s="55" t="s">
        <v>394</v>
      </c>
      <c r="AF3876" s="55" t="s">
        <v>22705</v>
      </c>
      <c r="AG3876" s="55" t="s">
        <v>8859</v>
      </c>
      <c r="AH3876" s="72">
        <v>45728</v>
      </c>
      <c r="AI3876" s="55"/>
      <c r="AJ3876" s="55"/>
      <c r="AK3876" s="55"/>
      <c r="AL3876" s="157">
        <v>45728</v>
      </c>
      <c r="AM3876" s="55"/>
      <c r="AN3876" s="209"/>
      <c r="AO3876" s="209"/>
    </row>
    <row r="3877" spans="1:41" ht="36.75" customHeight="1">
      <c r="A3877" s="46" t="s">
        <v>12471</v>
      </c>
      <c r="B3877" s="46" t="s">
        <v>2124</v>
      </c>
      <c r="C3877" s="69" t="str">
        <f t="shared" si="412"/>
        <v>Open</v>
      </c>
      <c r="D3877" s="36" t="s">
        <v>22706</v>
      </c>
      <c r="E3877" s="55" t="s">
        <v>22707</v>
      </c>
      <c r="F3877" s="55" t="s">
        <v>16429</v>
      </c>
      <c r="G3877" s="88">
        <f>DATE(2025,3,12)</f>
        <v>45728</v>
      </c>
      <c r="H3877" s="142">
        <v>1.6263888888888889</v>
      </c>
      <c r="I3877" s="55" t="s">
        <v>73</v>
      </c>
      <c r="J3877" s="55" t="s">
        <v>22708</v>
      </c>
      <c r="K3877" s="55" t="s">
        <v>425</v>
      </c>
      <c r="L3877" s="55" t="s">
        <v>22709</v>
      </c>
      <c r="M3877" s="55" t="s">
        <v>63</v>
      </c>
      <c r="N3877" s="55" t="s">
        <v>20011</v>
      </c>
      <c r="O3877" s="55" t="s">
        <v>77</v>
      </c>
      <c r="P3877" s="55" t="s">
        <v>165</v>
      </c>
      <c r="Q3877" s="55" t="s">
        <v>14773</v>
      </c>
      <c r="R3877" s="55" t="s">
        <v>22710</v>
      </c>
      <c r="S3877" s="55">
        <v>0</v>
      </c>
      <c r="T3877" s="55">
        <v>0</v>
      </c>
      <c r="U3877" s="55">
        <v>0</v>
      </c>
      <c r="V3877" s="55">
        <v>0</v>
      </c>
      <c r="W3877" s="55">
        <v>0</v>
      </c>
      <c r="X3877" s="55">
        <v>0</v>
      </c>
      <c r="Y3877" s="55">
        <v>0</v>
      </c>
      <c r="Z3877" s="55">
        <v>0</v>
      </c>
      <c r="AA3877" s="55">
        <v>0</v>
      </c>
      <c r="AB3877" s="55">
        <v>0</v>
      </c>
      <c r="AC3877" s="55">
        <v>0</v>
      </c>
      <c r="AD3877" s="55">
        <v>0</v>
      </c>
      <c r="AE3877" s="55" t="s">
        <v>92</v>
      </c>
      <c r="AF3877" s="55" t="s">
        <v>22711</v>
      </c>
      <c r="AG3877" s="55" t="s">
        <v>20289</v>
      </c>
      <c r="AH3877" s="72">
        <v>45728</v>
      </c>
      <c r="AI3877" s="55"/>
      <c r="AJ3877" s="55"/>
      <c r="AK3877" s="55"/>
      <c r="AL3877" s="157">
        <v>45734</v>
      </c>
      <c r="AM3877" s="55"/>
      <c r="AN3877" s="209"/>
      <c r="AO3877" s="209"/>
    </row>
    <row r="3878" spans="1:41" ht="36.75" customHeight="1">
      <c r="A3878" s="46" t="s">
        <v>12471</v>
      </c>
      <c r="B3878" s="46" t="s">
        <v>55</v>
      </c>
      <c r="C3878" s="69" t="str">
        <f t="shared" ref="C3878" si="418">IF(B3878="Notification","Open",IF(B3878="Interim Statement","In progress","Closed"))</f>
        <v>Closed</v>
      </c>
      <c r="D3878" s="203" t="s">
        <v>22712</v>
      </c>
      <c r="E3878" s="55" t="s">
        <v>22713</v>
      </c>
      <c r="F3878" s="55" t="s">
        <v>17682</v>
      </c>
      <c r="G3878" s="88">
        <f>DATE(2025,3,16)</f>
        <v>45732</v>
      </c>
      <c r="H3878" s="142">
        <v>1.8923611111111112</v>
      </c>
      <c r="I3878" s="55" t="s">
        <v>73</v>
      </c>
      <c r="J3878" s="55" t="s">
        <v>46006</v>
      </c>
      <c r="K3878" s="55" t="s">
        <v>1574</v>
      </c>
      <c r="L3878" s="55" t="s">
        <v>22714</v>
      </c>
      <c r="M3878" s="55" t="s">
        <v>22556</v>
      </c>
      <c r="N3878" s="55" t="s">
        <v>99</v>
      </c>
      <c r="O3878" s="55" t="s">
        <v>64</v>
      </c>
      <c r="P3878" s="55" t="s">
        <v>78</v>
      </c>
      <c r="Q3878" s="55" t="s">
        <v>18063</v>
      </c>
      <c r="R3878" s="55" t="s">
        <v>19007</v>
      </c>
      <c r="S3878" s="55">
        <v>0</v>
      </c>
      <c r="T3878" s="55">
        <v>0</v>
      </c>
      <c r="U3878" s="55">
        <v>0</v>
      </c>
      <c r="V3878" s="55">
        <v>0</v>
      </c>
      <c r="W3878" s="55">
        <v>0</v>
      </c>
      <c r="X3878" s="55">
        <v>0</v>
      </c>
      <c r="Y3878" s="55">
        <v>0</v>
      </c>
      <c r="Z3878" s="55">
        <v>0</v>
      </c>
      <c r="AA3878" s="55">
        <v>0</v>
      </c>
      <c r="AB3878" s="55">
        <v>0</v>
      </c>
      <c r="AC3878" s="55">
        <v>0</v>
      </c>
      <c r="AD3878" s="55">
        <v>0</v>
      </c>
      <c r="AE3878" s="55" t="s">
        <v>92</v>
      </c>
      <c r="AF3878" s="55" t="s">
        <v>22715</v>
      </c>
      <c r="AG3878" s="55" t="s">
        <v>8859</v>
      </c>
      <c r="AH3878" s="72">
        <v>45733</v>
      </c>
      <c r="AI3878" s="55">
        <v>2</v>
      </c>
      <c r="AJ3878" s="55" t="s">
        <v>46007</v>
      </c>
      <c r="AK3878" s="55" t="s">
        <v>46008</v>
      </c>
      <c r="AL3878" s="157">
        <v>45734</v>
      </c>
      <c r="AM3878" s="55"/>
      <c r="AN3878" s="209">
        <v>46092</v>
      </c>
      <c r="AO3878" s="209"/>
    </row>
    <row r="3879" spans="1:41" ht="36.75" customHeight="1">
      <c r="A3879" s="46" t="s">
        <v>12471</v>
      </c>
      <c r="B3879" s="46" t="s">
        <v>2124</v>
      </c>
      <c r="C3879" s="69" t="str">
        <f t="shared" si="412"/>
        <v>Open</v>
      </c>
      <c r="D3879" s="36" t="s">
        <v>22716</v>
      </c>
      <c r="E3879" s="55" t="s">
        <v>22717</v>
      </c>
      <c r="F3879" s="55" t="s">
        <v>17578</v>
      </c>
      <c r="G3879" s="88">
        <f>DATE(2025,3,20)</f>
        <v>45736</v>
      </c>
      <c r="H3879" s="142">
        <v>1.2986111111111112</v>
      </c>
      <c r="I3879" s="55" t="s">
        <v>116</v>
      </c>
      <c r="J3879" s="55" t="s">
        <v>22718</v>
      </c>
      <c r="K3879" s="55" t="s">
        <v>837</v>
      </c>
      <c r="L3879" s="55" t="s">
        <v>22719</v>
      </c>
      <c r="M3879" s="55" t="s">
        <v>22556</v>
      </c>
      <c r="N3879" s="55" t="s">
        <v>99</v>
      </c>
      <c r="O3879" s="55" t="s">
        <v>64</v>
      </c>
      <c r="P3879" s="55" t="s">
        <v>165</v>
      </c>
      <c r="Q3879" s="55" t="s">
        <v>22720</v>
      </c>
      <c r="R3879" s="55" t="s">
        <v>22652</v>
      </c>
      <c r="S3879" s="55">
        <v>0</v>
      </c>
      <c r="T3879" s="55">
        <v>0</v>
      </c>
      <c r="U3879" s="55">
        <v>1</v>
      </c>
      <c r="V3879" s="55">
        <v>0</v>
      </c>
      <c r="W3879" s="55">
        <v>0</v>
      </c>
      <c r="X3879" s="55">
        <v>1</v>
      </c>
      <c r="Y3879" s="55">
        <v>0</v>
      </c>
      <c r="Z3879" s="55">
        <v>0</v>
      </c>
      <c r="AA3879" s="55">
        <v>0</v>
      </c>
      <c r="AB3879" s="55">
        <v>0</v>
      </c>
      <c r="AC3879" s="55">
        <v>0</v>
      </c>
      <c r="AD3879" s="55">
        <v>0</v>
      </c>
      <c r="AE3879" s="55" t="s">
        <v>92</v>
      </c>
      <c r="AF3879" s="55" t="s">
        <v>22721</v>
      </c>
      <c r="AG3879" s="55" t="s">
        <v>8859</v>
      </c>
      <c r="AH3879" s="72">
        <v>45743</v>
      </c>
      <c r="AI3879" s="55"/>
      <c r="AJ3879" s="55"/>
      <c r="AK3879" s="55"/>
      <c r="AL3879" s="157">
        <v>45744</v>
      </c>
      <c r="AM3879" s="55"/>
      <c r="AN3879" s="209"/>
      <c r="AO3879" s="209"/>
    </row>
    <row r="3880" spans="1:41" ht="36.75" customHeight="1">
      <c r="A3880" s="46" t="s">
        <v>12471</v>
      </c>
      <c r="B3880" s="46" t="s">
        <v>2124</v>
      </c>
      <c r="C3880" s="69" t="str">
        <f t="shared" si="412"/>
        <v>Open</v>
      </c>
      <c r="D3880" s="36" t="s">
        <v>22722</v>
      </c>
      <c r="E3880" s="55" t="s">
        <v>22723</v>
      </c>
      <c r="F3880" s="55" t="s">
        <v>18131</v>
      </c>
      <c r="G3880" s="88">
        <f>DATE(2024,11,7)</f>
        <v>45603</v>
      </c>
      <c r="H3880" s="142">
        <v>1.2222222222222223</v>
      </c>
      <c r="I3880" s="55" t="s">
        <v>73</v>
      </c>
      <c r="J3880" s="55" t="s">
        <v>22724</v>
      </c>
      <c r="K3880" s="55" t="s">
        <v>379</v>
      </c>
      <c r="L3880" s="55" t="s">
        <v>22725</v>
      </c>
      <c r="M3880" s="55" t="s">
        <v>63</v>
      </c>
      <c r="N3880" s="55" t="s">
        <v>89</v>
      </c>
      <c r="O3880" s="55" t="s">
        <v>77</v>
      </c>
      <c r="P3880" s="55" t="s">
        <v>91</v>
      </c>
      <c r="Q3880" s="55" t="s">
        <v>18134</v>
      </c>
      <c r="R3880" s="55" t="s">
        <v>19604</v>
      </c>
      <c r="S3880" s="55"/>
      <c r="T3880" s="55"/>
      <c r="U3880" s="55"/>
      <c r="V3880" s="55"/>
      <c r="W3880" s="55"/>
      <c r="X3880" s="55">
        <v>0</v>
      </c>
      <c r="Y3880" s="55"/>
      <c r="Z3880" s="55"/>
      <c r="AA3880" s="55"/>
      <c r="AB3880" s="55"/>
      <c r="AC3880" s="55"/>
      <c r="AD3880" s="55">
        <v>0</v>
      </c>
      <c r="AE3880" s="55" t="s">
        <v>145</v>
      </c>
      <c r="AF3880" s="55" t="s">
        <v>22308</v>
      </c>
      <c r="AG3880" s="55" t="s">
        <v>6459</v>
      </c>
      <c r="AH3880" s="72">
        <v>45744</v>
      </c>
      <c r="AI3880" s="55"/>
      <c r="AJ3880" s="55"/>
      <c r="AK3880" s="55"/>
      <c r="AL3880" s="157">
        <v>45747</v>
      </c>
      <c r="AM3880" s="55"/>
      <c r="AN3880" s="209"/>
      <c r="AO3880" s="209"/>
    </row>
    <row r="3881" spans="1:41" ht="36.75" customHeight="1">
      <c r="A3881" s="46" t="s">
        <v>12471</v>
      </c>
      <c r="B3881" s="46" t="s">
        <v>2124</v>
      </c>
      <c r="C3881" s="69" t="str">
        <f t="shared" si="412"/>
        <v>Open</v>
      </c>
      <c r="D3881" s="36" t="s">
        <v>22726</v>
      </c>
      <c r="E3881" s="55" t="s">
        <v>22727</v>
      </c>
      <c r="F3881" s="55" t="s">
        <v>16429</v>
      </c>
      <c r="G3881" s="88">
        <f>DATE(2025,4,2)</f>
        <v>45749</v>
      </c>
      <c r="H3881" s="142">
        <v>1.2881944444444444</v>
      </c>
      <c r="I3881" s="55" t="s">
        <v>73</v>
      </c>
      <c r="J3881" s="55" t="s">
        <v>22728</v>
      </c>
      <c r="K3881" s="55" t="s">
        <v>425</v>
      </c>
      <c r="L3881" s="55" t="s">
        <v>22729</v>
      </c>
      <c r="M3881" s="55" t="s">
        <v>63</v>
      </c>
      <c r="N3881" s="55" t="s">
        <v>142</v>
      </c>
      <c r="O3881" s="55" t="s">
        <v>77</v>
      </c>
      <c r="P3881" s="55" t="s">
        <v>22730</v>
      </c>
      <c r="Q3881" s="55" t="s">
        <v>13219</v>
      </c>
      <c r="R3881" s="55" t="s">
        <v>17369</v>
      </c>
      <c r="S3881" s="55">
        <v>0</v>
      </c>
      <c r="T3881" s="55">
        <v>0</v>
      </c>
      <c r="U3881" s="55">
        <v>0</v>
      </c>
      <c r="V3881" s="55">
        <v>0</v>
      </c>
      <c r="W3881" s="55">
        <v>0</v>
      </c>
      <c r="X3881" s="55">
        <v>0</v>
      </c>
      <c r="Y3881" s="55">
        <v>0</v>
      </c>
      <c r="Z3881" s="55">
        <v>0</v>
      </c>
      <c r="AA3881" s="55">
        <v>0</v>
      </c>
      <c r="AB3881" s="55">
        <v>0</v>
      </c>
      <c r="AC3881" s="55">
        <v>0</v>
      </c>
      <c r="AD3881" s="55">
        <v>0</v>
      </c>
      <c r="AE3881" s="55" t="s">
        <v>394</v>
      </c>
      <c r="AF3881" s="55" t="s">
        <v>22731</v>
      </c>
      <c r="AG3881" s="55" t="s">
        <v>20289</v>
      </c>
      <c r="AH3881" s="72">
        <v>45749</v>
      </c>
      <c r="AI3881" s="55"/>
      <c r="AJ3881" s="55"/>
      <c r="AK3881" s="55"/>
      <c r="AL3881" s="157">
        <v>45750</v>
      </c>
      <c r="AM3881" s="55"/>
      <c r="AN3881" s="209"/>
      <c r="AO3881" s="209"/>
    </row>
    <row r="3882" spans="1:41" ht="36.75" customHeight="1">
      <c r="A3882" s="46" t="s">
        <v>12471</v>
      </c>
      <c r="B3882" s="46" t="s">
        <v>2124</v>
      </c>
      <c r="C3882" s="69" t="str">
        <f t="shared" si="412"/>
        <v>Open</v>
      </c>
      <c r="D3882" s="36" t="s">
        <v>22732</v>
      </c>
      <c r="E3882" s="55" t="s">
        <v>22733</v>
      </c>
      <c r="F3882" s="55" t="s">
        <v>16429</v>
      </c>
      <c r="G3882" s="88">
        <f>DATE(2025,4,2)</f>
        <v>45749</v>
      </c>
      <c r="H3882" s="142">
        <v>1.4861111111111112</v>
      </c>
      <c r="I3882" s="55" t="s">
        <v>73</v>
      </c>
      <c r="J3882" s="55" t="s">
        <v>22734</v>
      </c>
      <c r="K3882" s="55" t="s">
        <v>425</v>
      </c>
      <c r="L3882" s="55" t="s">
        <v>22735</v>
      </c>
      <c r="M3882" s="55" t="s">
        <v>63</v>
      </c>
      <c r="N3882" s="55" t="s">
        <v>99</v>
      </c>
      <c r="O3882" s="55" t="s">
        <v>64</v>
      </c>
      <c r="P3882" s="55" t="s">
        <v>165</v>
      </c>
      <c r="Q3882" s="55" t="s">
        <v>18615</v>
      </c>
      <c r="R3882" s="55" t="s">
        <v>17369</v>
      </c>
      <c r="S3882" s="55">
        <v>0</v>
      </c>
      <c r="T3882" s="55">
        <v>0</v>
      </c>
      <c r="U3882" s="55">
        <v>0</v>
      </c>
      <c r="V3882" s="55">
        <v>0</v>
      </c>
      <c r="W3882" s="55">
        <v>0</v>
      </c>
      <c r="X3882" s="55">
        <v>0</v>
      </c>
      <c r="Y3882" s="55">
        <v>0</v>
      </c>
      <c r="Z3882" s="55">
        <v>0</v>
      </c>
      <c r="AA3882" s="55">
        <v>0</v>
      </c>
      <c r="AB3882" s="55">
        <v>0</v>
      </c>
      <c r="AC3882" s="55">
        <v>0</v>
      </c>
      <c r="AD3882" s="55">
        <v>0</v>
      </c>
      <c r="AE3882" s="55" t="s">
        <v>394</v>
      </c>
      <c r="AF3882" s="55" t="s">
        <v>22736</v>
      </c>
      <c r="AG3882" s="55" t="s">
        <v>16283</v>
      </c>
      <c r="AH3882" s="72">
        <v>45749</v>
      </c>
      <c r="AI3882" s="55"/>
      <c r="AJ3882" s="55"/>
      <c r="AK3882" s="55"/>
      <c r="AL3882" s="157">
        <v>45751</v>
      </c>
      <c r="AM3882" s="55"/>
      <c r="AN3882" s="209"/>
      <c r="AO3882" s="209"/>
    </row>
    <row r="3883" spans="1:41" ht="36.75" customHeight="1">
      <c r="A3883" s="46" t="s">
        <v>12471</v>
      </c>
      <c r="B3883" s="46" t="s">
        <v>2124</v>
      </c>
      <c r="C3883" s="69" t="str">
        <f t="shared" si="412"/>
        <v>Open</v>
      </c>
      <c r="D3883" s="36" t="s">
        <v>22737</v>
      </c>
      <c r="E3883" s="55" t="s">
        <v>22738</v>
      </c>
      <c r="F3883" s="55" t="s">
        <v>9789</v>
      </c>
      <c r="G3883" s="88">
        <f>DATE(2025,3,19)</f>
        <v>45735</v>
      </c>
      <c r="H3883" s="142">
        <v>1.3472222222222223</v>
      </c>
      <c r="I3883" s="55" t="s">
        <v>22739</v>
      </c>
      <c r="J3883" s="259" t="s">
        <v>22740</v>
      </c>
      <c r="K3883" s="55" t="s">
        <v>9791</v>
      </c>
      <c r="L3883" s="55" t="s">
        <v>22741</v>
      </c>
      <c r="M3883" s="55" t="s">
        <v>63</v>
      </c>
      <c r="N3883" s="55" t="s">
        <v>99</v>
      </c>
      <c r="O3883" s="55" t="s">
        <v>64</v>
      </c>
      <c r="P3883" s="55" t="s">
        <v>78</v>
      </c>
      <c r="Q3883" s="55" t="s">
        <v>22742</v>
      </c>
      <c r="R3883" s="55" t="s">
        <v>20317</v>
      </c>
      <c r="S3883" s="55">
        <v>0</v>
      </c>
      <c r="T3883" s="55">
        <v>0</v>
      </c>
      <c r="U3883" s="55">
        <v>0</v>
      </c>
      <c r="V3883" s="55">
        <v>0</v>
      </c>
      <c r="W3883" s="55">
        <v>0</v>
      </c>
      <c r="X3883" s="55">
        <v>0</v>
      </c>
      <c r="Y3883" s="55">
        <v>0</v>
      </c>
      <c r="Z3883" s="55">
        <v>0</v>
      </c>
      <c r="AA3883" s="55">
        <v>0</v>
      </c>
      <c r="AB3883" s="55">
        <v>0</v>
      </c>
      <c r="AC3883" s="55">
        <v>0</v>
      </c>
      <c r="AD3883" s="55">
        <v>0</v>
      </c>
      <c r="AE3883" s="55" t="s">
        <v>92</v>
      </c>
      <c r="AF3883" s="55" t="s">
        <v>21068</v>
      </c>
      <c r="AG3883" s="55" t="s">
        <v>16283</v>
      </c>
      <c r="AH3883" s="72">
        <v>45751</v>
      </c>
      <c r="AI3883" s="55"/>
      <c r="AJ3883" s="55"/>
      <c r="AK3883" s="55"/>
      <c r="AL3883" s="157">
        <v>45751</v>
      </c>
      <c r="AM3883" s="55"/>
      <c r="AN3883" s="209"/>
      <c r="AO3883" s="209"/>
    </row>
    <row r="3884" spans="1:41" ht="36.75" customHeight="1">
      <c r="A3884" s="46" t="s">
        <v>12471</v>
      </c>
      <c r="B3884" s="46" t="s">
        <v>2124</v>
      </c>
      <c r="C3884" s="69" t="str">
        <f t="shared" si="412"/>
        <v>Open</v>
      </c>
      <c r="D3884" s="36" t="s">
        <v>22743</v>
      </c>
      <c r="E3884" s="55" t="s">
        <v>22744</v>
      </c>
      <c r="F3884" s="55" t="s">
        <v>17682</v>
      </c>
      <c r="G3884" s="88">
        <f>DATE(2025,4,14)</f>
        <v>45761</v>
      </c>
      <c r="H3884" s="142">
        <v>1.0972222222222223</v>
      </c>
      <c r="I3884" s="55" t="s">
        <v>73</v>
      </c>
      <c r="J3884" s="55" t="s">
        <v>22745</v>
      </c>
      <c r="K3884" s="55" t="s">
        <v>1574</v>
      </c>
      <c r="L3884" s="55" t="s">
        <v>14935</v>
      </c>
      <c r="M3884" s="55" t="s">
        <v>63</v>
      </c>
      <c r="N3884" s="55" t="s">
        <v>142</v>
      </c>
      <c r="O3884" s="55" t="s">
        <v>77</v>
      </c>
      <c r="P3884" s="55" t="s">
        <v>78</v>
      </c>
      <c r="Q3884" s="55" t="s">
        <v>19235</v>
      </c>
      <c r="R3884" s="55" t="s">
        <v>19007</v>
      </c>
      <c r="S3884" s="55"/>
      <c r="T3884" s="55"/>
      <c r="U3884" s="55"/>
      <c r="V3884" s="55"/>
      <c r="W3884" s="55"/>
      <c r="X3884" s="55">
        <v>0</v>
      </c>
      <c r="Y3884" s="55"/>
      <c r="Z3884" s="55"/>
      <c r="AA3884" s="55"/>
      <c r="AB3884" s="55"/>
      <c r="AC3884" s="55"/>
      <c r="AD3884" s="55">
        <v>0</v>
      </c>
      <c r="AE3884" s="55" t="s">
        <v>92</v>
      </c>
      <c r="AF3884" s="55" t="s">
        <v>22746</v>
      </c>
      <c r="AG3884" s="55" t="s">
        <v>8859</v>
      </c>
      <c r="AH3884" s="72">
        <v>45761</v>
      </c>
      <c r="AI3884" s="55"/>
      <c r="AJ3884" s="55"/>
      <c r="AK3884" s="55"/>
      <c r="AL3884" s="157">
        <v>45762</v>
      </c>
      <c r="AM3884" s="55"/>
      <c r="AN3884" s="209"/>
      <c r="AO3884" s="209"/>
    </row>
    <row r="3885" spans="1:41" ht="314" customHeight="1">
      <c r="A3885" s="46" t="s">
        <v>12471</v>
      </c>
      <c r="B3885" s="46" t="s">
        <v>55</v>
      </c>
      <c r="C3885" s="69" t="str">
        <f t="shared" si="412"/>
        <v>Closed</v>
      </c>
      <c r="D3885" s="58" t="s">
        <v>22747</v>
      </c>
      <c r="E3885" s="55" t="s">
        <v>22748</v>
      </c>
      <c r="F3885" s="55" t="s">
        <v>9789</v>
      </c>
      <c r="G3885" s="88">
        <f>DATE(2025,3,19)</f>
        <v>45735</v>
      </c>
      <c r="H3885" s="142">
        <v>1.6458333333333335</v>
      </c>
      <c r="I3885" s="55" t="s">
        <v>125</v>
      </c>
      <c r="J3885" s="259" t="s">
        <v>45968</v>
      </c>
      <c r="K3885" s="55" t="s">
        <v>9791</v>
      </c>
      <c r="L3885" s="55" t="s">
        <v>22749</v>
      </c>
      <c r="M3885" s="55" t="s">
        <v>63</v>
      </c>
      <c r="N3885" s="55" t="s">
        <v>99</v>
      </c>
      <c r="O3885" s="55" t="s">
        <v>77</v>
      </c>
      <c r="P3885" s="55" t="s">
        <v>22750</v>
      </c>
      <c r="Q3885" s="55" t="s">
        <v>22751</v>
      </c>
      <c r="R3885" s="55" t="s">
        <v>20317</v>
      </c>
      <c r="S3885" s="55">
        <v>0</v>
      </c>
      <c r="T3885" s="55">
        <v>0</v>
      </c>
      <c r="U3885" s="55">
        <v>0</v>
      </c>
      <c r="V3885" s="55">
        <v>0</v>
      </c>
      <c r="W3885" s="55">
        <v>0</v>
      </c>
      <c r="X3885" s="55">
        <v>0</v>
      </c>
      <c r="Y3885" s="55">
        <v>0</v>
      </c>
      <c r="Z3885" s="55">
        <v>0</v>
      </c>
      <c r="AA3885" s="55">
        <v>0</v>
      </c>
      <c r="AB3885" s="55">
        <v>0</v>
      </c>
      <c r="AC3885" s="55">
        <v>0</v>
      </c>
      <c r="AD3885" s="55">
        <v>0</v>
      </c>
      <c r="AE3885" s="55" t="s">
        <v>394</v>
      </c>
      <c r="AF3885" s="55" t="s">
        <v>22752</v>
      </c>
      <c r="AG3885" s="55" t="s">
        <v>8859</v>
      </c>
      <c r="AH3885" s="72">
        <v>45761</v>
      </c>
      <c r="AI3885" s="55">
        <v>4</v>
      </c>
      <c r="AJ3885" s="55" t="s">
        <v>45969</v>
      </c>
      <c r="AK3885" s="55" t="s">
        <v>45970</v>
      </c>
      <c r="AL3885" s="157">
        <v>45769</v>
      </c>
      <c r="AM3885" s="55"/>
      <c r="AN3885" s="212">
        <v>46087</v>
      </c>
      <c r="AO3885" s="212">
        <v>46085</v>
      </c>
    </row>
    <row r="3886" spans="1:41" ht="36.75" customHeight="1">
      <c r="A3886" s="46" t="s">
        <v>12471</v>
      </c>
      <c r="B3886" s="46" t="s">
        <v>2124</v>
      </c>
      <c r="C3886" s="69" t="str">
        <f t="shared" ref="C3886" si="419">IF(B3886="Notification","Open",IF(B3886="Interim Statement","In progress","Closed"))</f>
        <v>Open</v>
      </c>
      <c r="D3886" s="36" t="s">
        <v>22753</v>
      </c>
      <c r="E3886" s="55" t="s">
        <v>22754</v>
      </c>
      <c r="F3886" s="55" t="s">
        <v>12910</v>
      </c>
      <c r="G3886" s="88">
        <f>DATE(2025,4,22)</f>
        <v>45769</v>
      </c>
      <c r="H3886" s="142">
        <v>1.9895833333333335</v>
      </c>
      <c r="I3886" s="55" t="s">
        <v>278</v>
      </c>
      <c r="J3886" s="55" t="s">
        <v>22755</v>
      </c>
      <c r="K3886" s="55" t="s">
        <v>453</v>
      </c>
      <c r="L3886" s="55" t="s">
        <v>22756</v>
      </c>
      <c r="M3886" s="55" t="s">
        <v>63</v>
      </c>
      <c r="N3886" s="55" t="s">
        <v>142</v>
      </c>
      <c r="O3886" s="55" t="s">
        <v>77</v>
      </c>
      <c r="P3886" s="55" t="s">
        <v>165</v>
      </c>
      <c r="Q3886" s="55" t="s">
        <v>20089</v>
      </c>
      <c r="R3886" s="55" t="s">
        <v>572</v>
      </c>
      <c r="S3886" s="55">
        <v>0</v>
      </c>
      <c r="T3886" s="55">
        <v>1</v>
      </c>
      <c r="U3886" s="55">
        <v>0</v>
      </c>
      <c r="V3886" s="55">
        <v>0</v>
      </c>
      <c r="W3886" s="55">
        <v>0</v>
      </c>
      <c r="X3886" s="55">
        <v>1</v>
      </c>
      <c r="Y3886" s="55">
        <v>0</v>
      </c>
      <c r="Z3886" s="55">
        <v>0</v>
      </c>
      <c r="AA3886" s="55">
        <v>0</v>
      </c>
      <c r="AB3886" s="55">
        <v>0</v>
      </c>
      <c r="AC3886" s="55">
        <v>0</v>
      </c>
      <c r="AD3886" s="55">
        <v>0</v>
      </c>
      <c r="AE3886" s="55" t="s">
        <v>92</v>
      </c>
      <c r="AF3886" s="55" t="s">
        <v>712</v>
      </c>
      <c r="AG3886" s="55" t="s">
        <v>6459</v>
      </c>
      <c r="AH3886" s="72">
        <v>45775</v>
      </c>
      <c r="AI3886" s="55"/>
      <c r="AJ3886" s="55"/>
      <c r="AK3886" s="55"/>
      <c r="AL3886" s="157">
        <v>45776</v>
      </c>
      <c r="AM3886" s="55"/>
      <c r="AN3886" s="209"/>
      <c r="AO3886" s="209"/>
    </row>
    <row r="3887" spans="1:41" ht="36.75" customHeight="1">
      <c r="A3887" s="46" t="s">
        <v>12471</v>
      </c>
      <c r="B3887" s="46" t="s">
        <v>2124</v>
      </c>
      <c r="C3887" s="69" t="str">
        <f t="shared" ref="C3887" si="420">IF(B3887="Notification","Open",IF(B3887="Interim Statement","In progress","Closed"))</f>
        <v>Open</v>
      </c>
      <c r="D3887" s="36" t="s">
        <v>22757</v>
      </c>
      <c r="E3887" s="55" t="s">
        <v>22758</v>
      </c>
      <c r="F3887" s="55" t="s">
        <v>15071</v>
      </c>
      <c r="G3887" s="88">
        <f>DATE(2025,4,9)</f>
        <v>45756</v>
      </c>
      <c r="H3887" s="142">
        <v>1.0034722222222223</v>
      </c>
      <c r="I3887" s="30" t="s">
        <v>6600</v>
      </c>
      <c r="J3887" s="55" t="s">
        <v>22759</v>
      </c>
      <c r="K3887" s="55" t="s">
        <v>13441</v>
      </c>
      <c r="L3887" s="55" t="s">
        <v>22760</v>
      </c>
      <c r="M3887" s="55" t="s">
        <v>22556</v>
      </c>
      <c r="N3887" s="55" t="s">
        <v>89</v>
      </c>
      <c r="O3887" s="55" t="s">
        <v>77</v>
      </c>
      <c r="P3887" s="55" t="s">
        <v>78</v>
      </c>
      <c r="Q3887" s="55" t="s">
        <v>15602</v>
      </c>
      <c r="R3887" s="55" t="s">
        <v>13444</v>
      </c>
      <c r="S3887" s="55">
        <v>0</v>
      </c>
      <c r="T3887" s="55">
        <v>0</v>
      </c>
      <c r="U3887" s="55">
        <v>0</v>
      </c>
      <c r="V3887" s="55">
        <v>0</v>
      </c>
      <c r="W3887" s="55">
        <v>0</v>
      </c>
      <c r="X3887" s="55">
        <v>0</v>
      </c>
      <c r="Y3887" s="55">
        <v>0</v>
      </c>
      <c r="Z3887" s="55">
        <v>0</v>
      </c>
      <c r="AA3887" s="55">
        <v>0</v>
      </c>
      <c r="AB3887" s="55">
        <v>0</v>
      </c>
      <c r="AC3887" s="55">
        <v>0</v>
      </c>
      <c r="AD3887" s="55">
        <v>0</v>
      </c>
      <c r="AE3887" s="55" t="s">
        <v>92</v>
      </c>
      <c r="AF3887" s="55" t="s">
        <v>22761</v>
      </c>
      <c r="AG3887" s="55" t="s">
        <v>13537</v>
      </c>
      <c r="AH3887" s="72">
        <v>45775</v>
      </c>
      <c r="AI3887" s="55"/>
      <c r="AJ3887" s="55"/>
      <c r="AK3887" s="55"/>
      <c r="AL3887" s="157">
        <v>45778</v>
      </c>
      <c r="AM3887" s="55"/>
      <c r="AN3887" s="209"/>
      <c r="AO3887" s="209"/>
    </row>
    <row r="3888" spans="1:41" ht="36.75" customHeight="1">
      <c r="A3888" s="46" t="s">
        <v>12471</v>
      </c>
      <c r="B3888" s="46" t="s">
        <v>2124</v>
      </c>
      <c r="C3888" s="69" t="str">
        <f t="shared" ref="C3888" si="421">IF(B3888="Notification","Open",IF(B3888="Interim Statement","In progress","Closed"))</f>
        <v>Open</v>
      </c>
      <c r="D3888" s="36" t="s">
        <v>22762</v>
      </c>
      <c r="E3888" s="24" t="s">
        <v>22763</v>
      </c>
      <c r="F3888" s="55" t="s">
        <v>17682</v>
      </c>
      <c r="G3888" s="88">
        <f>DATE(2025,5,4)</f>
        <v>45781</v>
      </c>
      <c r="H3888" s="142">
        <v>1.59375</v>
      </c>
      <c r="I3888" s="30" t="s">
        <v>6872</v>
      </c>
      <c r="J3888" s="55" t="s">
        <v>22764</v>
      </c>
      <c r="K3888" s="55" t="s">
        <v>1574</v>
      </c>
      <c r="L3888" s="55" t="s">
        <v>22765</v>
      </c>
      <c r="M3888" s="55" t="s">
        <v>22556</v>
      </c>
      <c r="N3888" s="55" t="s">
        <v>89</v>
      </c>
      <c r="O3888" s="55" t="s">
        <v>77</v>
      </c>
      <c r="P3888" s="55" t="s">
        <v>65</v>
      </c>
      <c r="Q3888" s="55" t="s">
        <v>18739</v>
      </c>
      <c r="R3888" s="55" t="s">
        <v>19007</v>
      </c>
      <c r="S3888" s="55">
        <v>0</v>
      </c>
      <c r="T3888" s="55">
        <v>0</v>
      </c>
      <c r="U3888" s="55">
        <v>0</v>
      </c>
      <c r="V3888" s="55">
        <v>0</v>
      </c>
      <c r="W3888" s="55">
        <v>0</v>
      </c>
      <c r="X3888" s="55">
        <v>0</v>
      </c>
      <c r="Y3888" s="55">
        <v>1</v>
      </c>
      <c r="Z3888" s="55">
        <v>0</v>
      </c>
      <c r="AA3888" s="55">
        <v>0</v>
      </c>
      <c r="AB3888" s="55">
        <v>0</v>
      </c>
      <c r="AC3888" s="55">
        <v>0</v>
      </c>
      <c r="AD3888" s="55">
        <v>1</v>
      </c>
      <c r="AE3888" s="55" t="s">
        <v>394</v>
      </c>
      <c r="AF3888" s="55" t="s">
        <v>22766</v>
      </c>
      <c r="AG3888" s="55" t="s">
        <v>8859</v>
      </c>
      <c r="AH3888" s="72">
        <v>45782</v>
      </c>
      <c r="AI3888" s="55"/>
      <c r="AJ3888" s="55"/>
      <c r="AK3888" s="55"/>
      <c r="AL3888" s="157">
        <v>45782</v>
      </c>
      <c r="AM3888" s="55"/>
      <c r="AN3888" s="209"/>
      <c r="AO3888" s="209"/>
    </row>
    <row r="3889" spans="1:41" ht="36.75" customHeight="1">
      <c r="A3889" s="46" t="s">
        <v>12471</v>
      </c>
      <c r="B3889" s="46" t="s">
        <v>2124</v>
      </c>
      <c r="C3889" s="69" t="str">
        <f t="shared" ref="C3889:C3890" si="422">IF(B3889="Notification","Open",IF(B3889="Interim Statement","In progress","Closed"))</f>
        <v>Open</v>
      </c>
      <c r="D3889" s="36" t="s">
        <v>22767</v>
      </c>
      <c r="E3889" s="55" t="s">
        <v>22768</v>
      </c>
      <c r="F3889" s="55" t="s">
        <v>6455</v>
      </c>
      <c r="G3889" s="88">
        <f>DATE(2025,4,23)</f>
        <v>45770</v>
      </c>
      <c r="H3889" s="142">
        <v>1.3715277777777777</v>
      </c>
      <c r="I3889" s="55" t="s">
        <v>73</v>
      </c>
      <c r="J3889" s="55" t="s">
        <v>22769</v>
      </c>
      <c r="K3889" s="55" t="s">
        <v>584</v>
      </c>
      <c r="L3889" s="55" t="s">
        <v>22770</v>
      </c>
      <c r="M3889" s="55" t="s">
        <v>22556</v>
      </c>
      <c r="N3889" s="55" t="s">
        <v>89</v>
      </c>
      <c r="O3889" s="55" t="s">
        <v>77</v>
      </c>
      <c r="P3889" s="55" t="s">
        <v>78</v>
      </c>
      <c r="Q3889" s="55" t="s">
        <v>17790</v>
      </c>
      <c r="R3889" s="55" t="s">
        <v>21805</v>
      </c>
      <c r="S3889" s="55"/>
      <c r="T3889" s="55"/>
      <c r="U3889" s="55"/>
      <c r="V3889" s="55"/>
      <c r="W3889" s="55"/>
      <c r="X3889" s="55">
        <v>0</v>
      </c>
      <c r="Y3889" s="55"/>
      <c r="Z3889" s="55"/>
      <c r="AA3889" s="55"/>
      <c r="AB3889" s="55"/>
      <c r="AC3889" s="55"/>
      <c r="AD3889" s="55">
        <v>0</v>
      </c>
      <c r="AE3889" s="214"/>
      <c r="AF3889" s="55" t="s">
        <v>22771</v>
      </c>
      <c r="AG3889" s="55" t="s">
        <v>8859</v>
      </c>
      <c r="AH3889" s="72">
        <v>45771</v>
      </c>
      <c r="AI3889" s="55"/>
      <c r="AJ3889" s="55"/>
      <c r="AK3889" s="55"/>
      <c r="AL3889" s="157">
        <v>45784</v>
      </c>
      <c r="AM3889" s="55"/>
      <c r="AN3889" s="209"/>
      <c r="AO3889" s="209"/>
    </row>
    <row r="3890" spans="1:41" ht="38" customHeight="1">
      <c r="A3890" s="46" t="s">
        <v>12471</v>
      </c>
      <c r="B3890" s="46" t="s">
        <v>55</v>
      </c>
      <c r="C3890" s="69" t="str">
        <f t="shared" si="422"/>
        <v>Closed</v>
      </c>
      <c r="D3890" s="58" t="s">
        <v>22772</v>
      </c>
      <c r="E3890" s="55" t="s">
        <v>22773</v>
      </c>
      <c r="F3890" s="55" t="s">
        <v>12474</v>
      </c>
      <c r="G3890" s="88">
        <f>DATE(2025,3,11)</f>
        <v>45727</v>
      </c>
      <c r="H3890" s="142">
        <v>1.9895833333333335</v>
      </c>
      <c r="I3890" s="55" t="s">
        <v>6775</v>
      </c>
      <c r="J3890" s="55" t="s">
        <v>22774</v>
      </c>
      <c r="K3890" s="55" t="s">
        <v>200</v>
      </c>
      <c r="L3890" s="55" t="s">
        <v>22775</v>
      </c>
      <c r="M3890" s="55" t="s">
        <v>22556</v>
      </c>
      <c r="N3890" s="55" t="s">
        <v>142</v>
      </c>
      <c r="O3890" s="55" t="s">
        <v>77</v>
      </c>
      <c r="P3890" s="55" t="s">
        <v>165</v>
      </c>
      <c r="Q3890" s="55" t="s">
        <v>20032</v>
      </c>
      <c r="R3890" s="55" t="s">
        <v>13578</v>
      </c>
      <c r="S3890" s="55">
        <v>0</v>
      </c>
      <c r="T3890" s="55">
        <v>0</v>
      </c>
      <c r="U3890" s="55">
        <v>0</v>
      </c>
      <c r="V3890" s="55">
        <v>0</v>
      </c>
      <c r="W3890" s="55">
        <v>0</v>
      </c>
      <c r="X3890" s="55">
        <v>0</v>
      </c>
      <c r="Y3890" s="55">
        <v>0</v>
      </c>
      <c r="Z3890" s="55">
        <v>0</v>
      </c>
      <c r="AA3890" s="55">
        <v>0</v>
      </c>
      <c r="AB3890" s="55">
        <v>0</v>
      </c>
      <c r="AC3890" s="55">
        <v>0</v>
      </c>
      <c r="AD3890" s="55">
        <v>0</v>
      </c>
      <c r="AE3890" s="55" t="s">
        <v>92</v>
      </c>
      <c r="AF3890" s="55" t="s">
        <v>22776</v>
      </c>
      <c r="AG3890" s="55" t="s">
        <v>14033</v>
      </c>
      <c r="AH3890" s="72">
        <v>45784</v>
      </c>
      <c r="AI3890" s="55">
        <v>3</v>
      </c>
      <c r="AJ3890" s="55" t="s">
        <v>45992</v>
      </c>
      <c r="AK3890" s="55" t="s">
        <v>45993</v>
      </c>
      <c r="AL3890" s="157">
        <v>45785</v>
      </c>
      <c r="AM3890" s="55"/>
      <c r="AN3890" s="212">
        <v>46091</v>
      </c>
      <c r="AO3890" s="212">
        <v>46091</v>
      </c>
    </row>
    <row r="3891" spans="1:41" ht="36.75" customHeight="1">
      <c r="A3891" s="46" t="s">
        <v>12471</v>
      </c>
      <c r="B3891" s="46" t="s">
        <v>55</v>
      </c>
      <c r="C3891" s="69" t="str">
        <f t="shared" ref="C3891" si="423">IF(B3891="Notification","Open",IF(B3891="Interim Statement","In progress","Closed"))</f>
        <v>Closed</v>
      </c>
      <c r="D3891" s="58" t="s">
        <v>22777</v>
      </c>
      <c r="E3891" s="55" t="s">
        <v>22778</v>
      </c>
      <c r="F3891" s="55" t="s">
        <v>17057</v>
      </c>
      <c r="G3891" s="88">
        <f>DATE(2025,5,5)</f>
        <v>45782</v>
      </c>
      <c r="H3891" s="142">
        <v>1.3611111111111112</v>
      </c>
      <c r="I3891" s="55" t="s">
        <v>116</v>
      </c>
      <c r="J3891" s="55" t="s">
        <v>22126</v>
      </c>
      <c r="K3891" s="55" t="s">
        <v>2338</v>
      </c>
      <c r="L3891" s="55" t="s">
        <v>22779</v>
      </c>
      <c r="M3891" s="55" t="s">
        <v>22556</v>
      </c>
      <c r="N3891" s="55" t="s">
        <v>142</v>
      </c>
      <c r="O3891" s="55" t="s">
        <v>77</v>
      </c>
      <c r="P3891" s="55" t="s">
        <v>165</v>
      </c>
      <c r="Q3891" s="55" t="s">
        <v>18726</v>
      </c>
      <c r="R3891" s="55" t="s">
        <v>2341</v>
      </c>
      <c r="S3891" s="55">
        <v>0</v>
      </c>
      <c r="T3891" s="55">
        <v>0</v>
      </c>
      <c r="U3891" s="55">
        <v>1</v>
      </c>
      <c r="V3891" s="55">
        <v>0</v>
      </c>
      <c r="W3891" s="55">
        <v>0</v>
      </c>
      <c r="X3891" s="55">
        <v>1</v>
      </c>
      <c r="Y3891" s="55">
        <v>0</v>
      </c>
      <c r="Z3891" s="55">
        <v>0</v>
      </c>
      <c r="AA3891" s="55">
        <v>0</v>
      </c>
      <c r="AB3891" s="55">
        <v>0</v>
      </c>
      <c r="AC3891" s="55">
        <v>0</v>
      </c>
      <c r="AD3891" s="55">
        <v>0</v>
      </c>
      <c r="AE3891" s="55" t="s">
        <v>92</v>
      </c>
      <c r="AF3891" s="55" t="s">
        <v>22129</v>
      </c>
      <c r="AG3891" s="55" t="s">
        <v>6459</v>
      </c>
      <c r="AH3891" s="72">
        <v>45784</v>
      </c>
      <c r="AI3891" s="55">
        <v>5</v>
      </c>
      <c r="AJ3891" s="55" t="s">
        <v>22780</v>
      </c>
      <c r="AK3891" s="55" t="s">
        <v>22781</v>
      </c>
      <c r="AL3891" s="157">
        <v>45785</v>
      </c>
      <c r="AM3891" s="55"/>
      <c r="AN3891" s="212">
        <v>46053</v>
      </c>
      <c r="AO3891" s="212">
        <v>46007</v>
      </c>
    </row>
    <row r="3892" spans="1:41" ht="36.75" customHeight="1">
      <c r="A3892" s="46" t="s">
        <v>12471</v>
      </c>
      <c r="B3892" s="46" t="s">
        <v>2124</v>
      </c>
      <c r="C3892" s="69" t="str">
        <f t="shared" ref="C3892" si="424">IF(B3892="Notification","Open",IF(B3892="Interim Statement","In progress","Closed"))</f>
        <v>Open</v>
      </c>
      <c r="D3892" s="36" t="s">
        <v>22782</v>
      </c>
      <c r="E3892" s="55" t="s">
        <v>22783</v>
      </c>
      <c r="F3892" s="55" t="s">
        <v>18070</v>
      </c>
      <c r="G3892" s="88">
        <f>DATE(2025,4,24)</f>
        <v>45771</v>
      </c>
      <c r="H3892" s="142">
        <v>1.65625</v>
      </c>
      <c r="I3892" s="55" t="s">
        <v>278</v>
      </c>
      <c r="J3892" s="55" t="s">
        <v>22784</v>
      </c>
      <c r="K3892" s="55" t="s">
        <v>140</v>
      </c>
      <c r="L3892" s="55" t="s">
        <v>22785</v>
      </c>
      <c r="M3892" s="55" t="s">
        <v>63</v>
      </c>
      <c r="N3892" s="55" t="s">
        <v>89</v>
      </c>
      <c r="O3892" s="55" t="s">
        <v>64</v>
      </c>
      <c r="P3892" s="55" t="s">
        <v>165</v>
      </c>
      <c r="Q3892" s="55" t="s">
        <v>22786</v>
      </c>
      <c r="R3892" s="55" t="s">
        <v>18530</v>
      </c>
      <c r="S3892" s="55">
        <v>0</v>
      </c>
      <c r="T3892" s="55">
        <v>1</v>
      </c>
      <c r="U3892" s="55">
        <v>0</v>
      </c>
      <c r="V3892" s="55">
        <v>0</v>
      </c>
      <c r="W3892" s="55">
        <v>0</v>
      </c>
      <c r="X3892" s="55">
        <v>1</v>
      </c>
      <c r="Y3892" s="55">
        <v>0</v>
      </c>
      <c r="Z3892" s="55">
        <v>1</v>
      </c>
      <c r="AA3892" s="55">
        <v>0</v>
      </c>
      <c r="AB3892" s="55">
        <v>0</v>
      </c>
      <c r="AC3892" s="55">
        <v>0</v>
      </c>
      <c r="AD3892" s="55">
        <v>1</v>
      </c>
      <c r="AE3892" s="55" t="s">
        <v>92</v>
      </c>
      <c r="AF3892" s="55" t="s">
        <v>22787</v>
      </c>
      <c r="AG3892" s="55" t="s">
        <v>6459</v>
      </c>
      <c r="AH3892" s="72">
        <v>45777</v>
      </c>
      <c r="AI3892" s="55"/>
      <c r="AJ3892" s="55"/>
      <c r="AK3892" s="55"/>
      <c r="AL3892" s="157">
        <v>45785</v>
      </c>
      <c r="AM3892" s="55"/>
      <c r="AN3892" s="209"/>
      <c r="AO3892" s="209"/>
    </row>
    <row r="3893" spans="1:41" ht="36.75" customHeight="1">
      <c r="A3893" s="46" t="s">
        <v>12471</v>
      </c>
      <c r="B3893" s="46" t="s">
        <v>2124</v>
      </c>
      <c r="C3893" s="69" t="str">
        <f t="shared" ref="C3893" si="425">IF(B3893="Notification","Open",IF(B3893="Interim Statement","In progress","Closed"))</f>
        <v>Open</v>
      </c>
      <c r="D3893" s="36" t="s">
        <v>22788</v>
      </c>
      <c r="E3893" s="55" t="s">
        <v>22789</v>
      </c>
      <c r="F3893" s="55" t="s">
        <v>17682</v>
      </c>
      <c r="G3893" s="88">
        <f>DATE(2025,5,10)</f>
        <v>45787</v>
      </c>
      <c r="H3893" s="142">
        <v>1.9305555555555556</v>
      </c>
      <c r="I3893" s="55" t="s">
        <v>73</v>
      </c>
      <c r="J3893" s="55" t="s">
        <v>22790</v>
      </c>
      <c r="K3893" s="55" t="s">
        <v>1574</v>
      </c>
      <c r="L3893" s="55" t="s">
        <v>11908</v>
      </c>
      <c r="M3893" s="55" t="s">
        <v>63</v>
      </c>
      <c r="N3893" s="55" t="s">
        <v>142</v>
      </c>
      <c r="O3893" s="55" t="s">
        <v>77</v>
      </c>
      <c r="P3893" s="55" t="s">
        <v>78</v>
      </c>
      <c r="Q3893" s="55" t="s">
        <v>18063</v>
      </c>
      <c r="R3893" s="55" t="s">
        <v>19007</v>
      </c>
      <c r="S3893" s="55">
        <v>0</v>
      </c>
      <c r="T3893" s="55">
        <v>0</v>
      </c>
      <c r="U3893" s="55">
        <v>0</v>
      </c>
      <c r="V3893" s="55">
        <v>0</v>
      </c>
      <c r="W3893" s="55">
        <v>0</v>
      </c>
      <c r="X3893" s="55">
        <v>0</v>
      </c>
      <c r="Y3893" s="55">
        <v>0</v>
      </c>
      <c r="Z3893" s="55">
        <v>0</v>
      </c>
      <c r="AA3893" s="55">
        <v>0</v>
      </c>
      <c r="AB3893" s="55">
        <v>0</v>
      </c>
      <c r="AC3893" s="55">
        <v>0</v>
      </c>
      <c r="AD3893" s="55">
        <v>0</v>
      </c>
      <c r="AE3893" s="55" t="s">
        <v>92</v>
      </c>
      <c r="AF3893" s="55" t="s">
        <v>22791</v>
      </c>
      <c r="AG3893" s="55" t="s">
        <v>8859</v>
      </c>
      <c r="AH3893" s="72">
        <v>45789</v>
      </c>
      <c r="AI3893" s="55"/>
      <c r="AJ3893" s="55"/>
      <c r="AK3893" s="55"/>
      <c r="AL3893" s="157">
        <v>45789</v>
      </c>
      <c r="AM3893" s="55"/>
      <c r="AN3893" s="209"/>
      <c r="AO3893" s="209"/>
    </row>
    <row r="3894" spans="1:41" ht="36.75" customHeight="1">
      <c r="A3894" s="46" t="s">
        <v>12471</v>
      </c>
      <c r="B3894" s="46" t="s">
        <v>2124</v>
      </c>
      <c r="C3894" s="69" t="str">
        <f t="shared" ref="C3894" si="426">IF(B3894="Notification","Open",IF(B3894="Interim Statement","In progress","Closed"))</f>
        <v>Open</v>
      </c>
      <c r="D3894" s="36" t="s">
        <v>22792</v>
      </c>
      <c r="E3894" s="55" t="s">
        <v>22793</v>
      </c>
      <c r="F3894" s="55" t="s">
        <v>16429</v>
      </c>
      <c r="G3894" s="88">
        <f>DATE(2025,5,18)</f>
        <v>45795</v>
      </c>
      <c r="H3894" s="142">
        <v>1.598611111111111</v>
      </c>
      <c r="I3894" s="55" t="s">
        <v>73</v>
      </c>
      <c r="J3894" s="55" t="s">
        <v>22794</v>
      </c>
      <c r="K3894" s="55" t="s">
        <v>425</v>
      </c>
      <c r="L3894" s="55" t="s">
        <v>22795</v>
      </c>
      <c r="M3894" s="55" t="s">
        <v>63</v>
      </c>
      <c r="N3894" s="55" t="s">
        <v>142</v>
      </c>
      <c r="O3894" s="55" t="s">
        <v>77</v>
      </c>
      <c r="P3894" s="55" t="s">
        <v>165</v>
      </c>
      <c r="Q3894" s="55" t="s">
        <v>18516</v>
      </c>
      <c r="R3894" s="55" t="s">
        <v>17369</v>
      </c>
      <c r="S3894" s="55">
        <v>0</v>
      </c>
      <c r="T3894" s="55">
        <v>0</v>
      </c>
      <c r="U3894" s="55">
        <v>0</v>
      </c>
      <c r="V3894" s="55">
        <v>0</v>
      </c>
      <c r="W3894" s="55">
        <v>0</v>
      </c>
      <c r="X3894" s="55">
        <v>0</v>
      </c>
      <c r="Y3894" s="55">
        <v>0</v>
      </c>
      <c r="Z3894" s="55">
        <v>0</v>
      </c>
      <c r="AA3894" s="55">
        <v>0</v>
      </c>
      <c r="AB3894" s="55">
        <v>0</v>
      </c>
      <c r="AC3894" s="55">
        <v>0</v>
      </c>
      <c r="AD3894" s="55">
        <v>0</v>
      </c>
      <c r="AE3894" s="55" t="s">
        <v>92</v>
      </c>
      <c r="AF3894" s="55" t="s">
        <v>22796</v>
      </c>
      <c r="AG3894" s="55" t="s">
        <v>22797</v>
      </c>
      <c r="AH3894" s="72">
        <v>45795</v>
      </c>
      <c r="AI3894" s="55"/>
      <c r="AJ3894" s="55"/>
      <c r="AK3894" s="55"/>
      <c r="AL3894" s="157">
        <v>45797</v>
      </c>
      <c r="AM3894" s="55"/>
      <c r="AN3894" s="209"/>
      <c r="AO3894" s="209"/>
    </row>
    <row r="3895" spans="1:41" ht="36.75" customHeight="1">
      <c r="A3895" s="46" t="s">
        <v>12471</v>
      </c>
      <c r="B3895" s="46" t="s">
        <v>2124</v>
      </c>
      <c r="C3895" s="69" t="str">
        <f t="shared" ref="C3895" si="427">IF(B3895="Notification","Open",IF(B3895="Interim Statement","In progress","Closed"))</f>
        <v>Open</v>
      </c>
      <c r="D3895" s="36" t="s">
        <v>22798</v>
      </c>
      <c r="E3895" s="55" t="s">
        <v>73</v>
      </c>
      <c r="F3895" s="55" t="s">
        <v>17578</v>
      </c>
      <c r="G3895" s="88">
        <f>DATE(2025,5,17)</f>
        <v>45794</v>
      </c>
      <c r="H3895" s="142">
        <v>1.6006944444444444</v>
      </c>
      <c r="I3895" s="55" t="s">
        <v>73</v>
      </c>
      <c r="J3895" s="55" t="s">
        <v>22799</v>
      </c>
      <c r="K3895" s="55" t="s">
        <v>837</v>
      </c>
      <c r="L3895" s="55" t="s">
        <v>22800</v>
      </c>
      <c r="M3895" s="55" t="s">
        <v>63</v>
      </c>
      <c r="N3895" s="55" t="s">
        <v>99</v>
      </c>
      <c r="O3895" s="55" t="s">
        <v>64</v>
      </c>
      <c r="P3895" s="55" t="s">
        <v>78</v>
      </c>
      <c r="Q3895" s="55" t="s">
        <v>17830</v>
      </c>
      <c r="R3895" s="55" t="s">
        <v>2797</v>
      </c>
      <c r="S3895" s="55">
        <v>0</v>
      </c>
      <c r="T3895" s="55">
        <v>0</v>
      </c>
      <c r="U3895" s="55">
        <v>0</v>
      </c>
      <c r="V3895" s="55">
        <v>0</v>
      </c>
      <c r="W3895" s="55">
        <v>0</v>
      </c>
      <c r="X3895" s="55">
        <v>0</v>
      </c>
      <c r="Y3895" s="55">
        <v>0</v>
      </c>
      <c r="Z3895" s="55">
        <v>0</v>
      </c>
      <c r="AA3895" s="55">
        <v>0</v>
      </c>
      <c r="AB3895" s="55">
        <v>0</v>
      </c>
      <c r="AC3895" s="55">
        <v>0</v>
      </c>
      <c r="AD3895" s="55">
        <v>0</v>
      </c>
      <c r="AE3895" s="55" t="s">
        <v>92</v>
      </c>
      <c r="AF3895" s="55" t="s">
        <v>22801</v>
      </c>
      <c r="AG3895" s="55" t="s">
        <v>8859</v>
      </c>
      <c r="AH3895" s="72">
        <v>45796</v>
      </c>
      <c r="AI3895" s="55"/>
      <c r="AJ3895" s="55"/>
      <c r="AK3895" s="55"/>
      <c r="AL3895" s="157">
        <v>45798</v>
      </c>
      <c r="AM3895" s="55"/>
      <c r="AN3895" s="209"/>
      <c r="AO3895" s="209"/>
    </row>
    <row r="3896" spans="1:41" ht="36.75" customHeight="1">
      <c r="A3896" s="46" t="s">
        <v>12471</v>
      </c>
      <c r="B3896" s="46" t="s">
        <v>2124</v>
      </c>
      <c r="C3896" s="69" t="str">
        <f t="shared" ref="C3896" si="428">IF(B3896="Notification","Open",IF(B3896="Interim Statement","In progress","Closed"))</f>
        <v>Open</v>
      </c>
      <c r="D3896" s="36" t="s">
        <v>22802</v>
      </c>
      <c r="E3896" s="55" t="s">
        <v>22803</v>
      </c>
      <c r="F3896" s="55" t="s">
        <v>17682</v>
      </c>
      <c r="G3896" s="88">
        <f>DATE(2025,5,21)</f>
        <v>45798</v>
      </c>
      <c r="H3896" s="142">
        <v>1.7847222222222223</v>
      </c>
      <c r="I3896" s="55" t="s">
        <v>73</v>
      </c>
      <c r="J3896" s="55" t="s">
        <v>22804</v>
      </c>
      <c r="K3896" s="55" t="s">
        <v>1574</v>
      </c>
      <c r="L3896" s="55" t="s">
        <v>21753</v>
      </c>
      <c r="M3896" s="55" t="s">
        <v>22556</v>
      </c>
      <c r="N3896" s="55" t="s">
        <v>142</v>
      </c>
      <c r="O3896" s="55" t="s">
        <v>77</v>
      </c>
      <c r="P3896" s="55" t="s">
        <v>78</v>
      </c>
      <c r="Q3896" s="55" t="s">
        <v>18063</v>
      </c>
      <c r="R3896" s="55" t="s">
        <v>19007</v>
      </c>
      <c r="S3896" s="55">
        <v>0</v>
      </c>
      <c r="T3896" s="55">
        <v>0</v>
      </c>
      <c r="U3896" s="55">
        <v>0</v>
      </c>
      <c r="V3896" s="55">
        <v>0</v>
      </c>
      <c r="W3896" s="55">
        <v>0</v>
      </c>
      <c r="X3896" s="55">
        <v>0</v>
      </c>
      <c r="Y3896" s="55">
        <v>0</v>
      </c>
      <c r="Z3896" s="55">
        <v>0</v>
      </c>
      <c r="AA3896" s="55">
        <v>0</v>
      </c>
      <c r="AB3896" s="55">
        <v>0</v>
      </c>
      <c r="AC3896" s="55">
        <v>0</v>
      </c>
      <c r="AD3896" s="55">
        <v>0</v>
      </c>
      <c r="AE3896" s="55" t="s">
        <v>92</v>
      </c>
      <c r="AF3896" s="55" t="s">
        <v>22805</v>
      </c>
      <c r="AG3896" s="55" t="s">
        <v>8859</v>
      </c>
      <c r="AH3896" s="72">
        <v>45800</v>
      </c>
      <c r="AI3896" s="55"/>
      <c r="AJ3896" s="55"/>
      <c r="AK3896" s="55"/>
      <c r="AL3896" s="157">
        <v>45800</v>
      </c>
      <c r="AM3896" s="55"/>
      <c r="AN3896" s="209"/>
      <c r="AO3896" s="209"/>
    </row>
    <row r="3897" spans="1:41" ht="36.75" customHeight="1">
      <c r="A3897" s="46" t="s">
        <v>12471</v>
      </c>
      <c r="B3897" s="46" t="s">
        <v>2124</v>
      </c>
      <c r="C3897" s="69" t="str">
        <f t="shared" ref="C3897" si="429">IF(B3897="Notification","Open",IF(B3897="Interim Statement","In progress","Closed"))</f>
        <v>Open</v>
      </c>
      <c r="D3897" s="36" t="s">
        <v>22806</v>
      </c>
      <c r="E3897" s="55" t="s">
        <v>22807</v>
      </c>
      <c r="F3897" s="55" t="s">
        <v>17682</v>
      </c>
      <c r="G3897" s="88">
        <f>DATE(2025,5,26)</f>
        <v>45803</v>
      </c>
      <c r="H3897" s="142">
        <v>1.2951388888888888</v>
      </c>
      <c r="I3897" s="30" t="s">
        <v>6872</v>
      </c>
      <c r="J3897" s="55" t="s">
        <v>22808</v>
      </c>
      <c r="K3897" s="55" t="s">
        <v>1574</v>
      </c>
      <c r="L3897" s="55" t="s">
        <v>22809</v>
      </c>
      <c r="M3897" s="55" t="s">
        <v>63</v>
      </c>
      <c r="N3897" s="55" t="s">
        <v>89</v>
      </c>
      <c r="O3897" s="55" t="s">
        <v>77</v>
      </c>
      <c r="P3897" s="55" t="s">
        <v>165</v>
      </c>
      <c r="Q3897" s="55" t="s">
        <v>18739</v>
      </c>
      <c r="R3897" s="55" t="s">
        <v>19007</v>
      </c>
      <c r="S3897" s="55">
        <v>0</v>
      </c>
      <c r="T3897" s="55">
        <v>0</v>
      </c>
      <c r="U3897" s="55">
        <v>0</v>
      </c>
      <c r="V3897" s="55">
        <v>0</v>
      </c>
      <c r="W3897" s="55">
        <v>0</v>
      </c>
      <c r="X3897" s="55">
        <v>0</v>
      </c>
      <c r="Y3897" s="55">
        <v>0</v>
      </c>
      <c r="Z3897" s="55">
        <v>0</v>
      </c>
      <c r="AA3897" s="55">
        <v>0</v>
      </c>
      <c r="AB3897" s="55">
        <v>0</v>
      </c>
      <c r="AC3897" s="55">
        <v>0</v>
      </c>
      <c r="AD3897" s="55">
        <v>0</v>
      </c>
      <c r="AE3897" s="55" t="s">
        <v>92</v>
      </c>
      <c r="AF3897" s="55" t="s">
        <v>22810</v>
      </c>
      <c r="AG3897" s="55" t="s">
        <v>8859</v>
      </c>
      <c r="AH3897" s="72">
        <v>45803</v>
      </c>
      <c r="AI3897" s="55"/>
      <c r="AJ3897" s="55"/>
      <c r="AK3897" s="55"/>
      <c r="AL3897" s="157">
        <v>45803</v>
      </c>
      <c r="AM3897" s="55"/>
      <c r="AN3897" s="209"/>
      <c r="AO3897" s="209"/>
    </row>
    <row r="3898" spans="1:41" ht="36.75" customHeight="1">
      <c r="A3898" s="46" t="s">
        <v>12471</v>
      </c>
      <c r="B3898" s="46" t="s">
        <v>2124</v>
      </c>
      <c r="C3898" s="69" t="str">
        <f t="shared" ref="C3898" si="430">IF(B3898="Notification","Open",IF(B3898="Interim Statement","In progress","Closed"))</f>
        <v>Open</v>
      </c>
      <c r="D3898" s="36" t="s">
        <v>22811</v>
      </c>
      <c r="E3898" s="55" t="s">
        <v>22812</v>
      </c>
      <c r="F3898" s="55" t="s">
        <v>17820</v>
      </c>
      <c r="G3898" s="88">
        <f>DATE(2025,2,7)</f>
        <v>45695</v>
      </c>
      <c r="H3898" s="142">
        <v>1.7881944444444444</v>
      </c>
      <c r="I3898" s="55" t="s">
        <v>6775</v>
      </c>
      <c r="J3898" s="55" t="s">
        <v>22813</v>
      </c>
      <c r="K3898" s="55" t="s">
        <v>640</v>
      </c>
      <c r="L3898" s="55" t="s">
        <v>22814</v>
      </c>
      <c r="M3898" s="55" t="s">
        <v>63</v>
      </c>
      <c r="N3898" s="55" t="s">
        <v>142</v>
      </c>
      <c r="O3898" s="55" t="s">
        <v>64</v>
      </c>
      <c r="P3898" s="55" t="s">
        <v>78</v>
      </c>
      <c r="Q3898" s="55" t="s">
        <v>20720</v>
      </c>
      <c r="R3898" s="55" t="s">
        <v>643</v>
      </c>
      <c r="S3898" s="55">
        <v>0</v>
      </c>
      <c r="T3898" s="55">
        <v>0</v>
      </c>
      <c r="U3898" s="55">
        <v>0</v>
      </c>
      <c r="V3898" s="55">
        <v>0</v>
      </c>
      <c r="W3898" s="55">
        <v>0</v>
      </c>
      <c r="X3898" s="55">
        <v>0</v>
      </c>
      <c r="Y3898" s="55">
        <v>0</v>
      </c>
      <c r="Z3898" s="55">
        <v>0</v>
      </c>
      <c r="AA3898" s="55">
        <v>0</v>
      </c>
      <c r="AB3898" s="55">
        <v>0</v>
      </c>
      <c r="AC3898" s="55">
        <v>0</v>
      </c>
      <c r="AD3898" s="55">
        <v>0</v>
      </c>
      <c r="AE3898" s="55" t="s">
        <v>92</v>
      </c>
      <c r="AF3898" s="55" t="s">
        <v>712</v>
      </c>
      <c r="AG3898" s="55" t="s">
        <v>14033</v>
      </c>
      <c r="AH3898" s="72">
        <v>45799</v>
      </c>
      <c r="AI3898" s="55"/>
      <c r="AJ3898" s="55"/>
      <c r="AK3898" s="55"/>
      <c r="AL3898" s="157">
        <v>45807</v>
      </c>
      <c r="AM3898" s="55"/>
      <c r="AN3898" s="209"/>
      <c r="AO3898" s="209"/>
    </row>
    <row r="3899" spans="1:41" ht="36.75" customHeight="1">
      <c r="A3899" s="46" t="s">
        <v>12471</v>
      </c>
      <c r="B3899" s="46" t="s">
        <v>2124</v>
      </c>
      <c r="C3899" s="69" t="str">
        <f t="shared" ref="C3899" si="431">IF(B3899="Notification","Open",IF(B3899="Interim Statement","In progress","Closed"))</f>
        <v>Open</v>
      </c>
      <c r="D3899" s="36" t="s">
        <v>22815</v>
      </c>
      <c r="E3899" s="55" t="s">
        <v>22816</v>
      </c>
      <c r="F3899" s="55" t="s">
        <v>12910</v>
      </c>
      <c r="G3899" s="88">
        <f>DATE(2025,5,20)</f>
        <v>45797</v>
      </c>
      <c r="H3899" s="142">
        <v>1.3333333333333333</v>
      </c>
      <c r="I3899" s="55" t="s">
        <v>198</v>
      </c>
      <c r="J3899" s="55" t="s">
        <v>22817</v>
      </c>
      <c r="K3899" s="55" t="s">
        <v>453</v>
      </c>
      <c r="L3899" s="55" t="s">
        <v>22818</v>
      </c>
      <c r="M3899" s="55" t="s">
        <v>63</v>
      </c>
      <c r="N3899" s="55" t="s">
        <v>89</v>
      </c>
      <c r="O3899" s="55" t="s">
        <v>77</v>
      </c>
      <c r="P3899" s="55" t="s">
        <v>165</v>
      </c>
      <c r="Q3899" s="55" t="s">
        <v>22819</v>
      </c>
      <c r="R3899" s="55" t="s">
        <v>572</v>
      </c>
      <c r="S3899" s="55">
        <v>0</v>
      </c>
      <c r="T3899" s="55">
        <v>0</v>
      </c>
      <c r="U3899" s="55">
        <v>0</v>
      </c>
      <c r="V3899" s="55">
        <v>0</v>
      </c>
      <c r="W3899" s="55">
        <v>0</v>
      </c>
      <c r="X3899" s="55">
        <v>0</v>
      </c>
      <c r="Y3899" s="55">
        <v>0</v>
      </c>
      <c r="Z3899" s="55">
        <v>0</v>
      </c>
      <c r="AA3899" s="55">
        <v>0</v>
      </c>
      <c r="AB3899" s="55">
        <v>0</v>
      </c>
      <c r="AC3899" s="55">
        <v>0</v>
      </c>
      <c r="AD3899" s="55">
        <v>0</v>
      </c>
      <c r="AE3899" s="55" t="s">
        <v>92</v>
      </c>
      <c r="AF3899" s="55" t="s">
        <v>22820</v>
      </c>
      <c r="AG3899" s="55" t="s">
        <v>8859</v>
      </c>
      <c r="AH3899" s="72">
        <v>45810</v>
      </c>
      <c r="AI3899" s="55"/>
      <c r="AJ3899" s="55"/>
      <c r="AK3899" s="55"/>
      <c r="AL3899" s="157">
        <v>45810</v>
      </c>
      <c r="AM3899" s="55"/>
      <c r="AN3899" s="209"/>
      <c r="AO3899" s="209"/>
    </row>
    <row r="3900" spans="1:41" ht="36.75" customHeight="1">
      <c r="A3900" s="46" t="s">
        <v>12471</v>
      </c>
      <c r="B3900" s="46" t="s">
        <v>2124</v>
      </c>
      <c r="C3900" s="69" t="str">
        <f t="shared" ref="C3900" si="432">IF(B3900="Notification","Open",IF(B3900="Interim Statement","In progress","Closed"))</f>
        <v>Open</v>
      </c>
      <c r="D3900" s="36" t="s">
        <v>22821</v>
      </c>
      <c r="E3900" s="55" t="s">
        <v>22822</v>
      </c>
      <c r="F3900" s="55" t="s">
        <v>16429</v>
      </c>
      <c r="G3900" s="88">
        <f>DATE(2025,6,2)</f>
        <v>45810</v>
      </c>
      <c r="H3900" s="142">
        <v>1.5958333333333332</v>
      </c>
      <c r="I3900" s="55" t="s">
        <v>2078</v>
      </c>
      <c r="J3900" s="55" t="s">
        <v>22823</v>
      </c>
      <c r="K3900" s="55" t="s">
        <v>425</v>
      </c>
      <c r="L3900" s="55" t="s">
        <v>22824</v>
      </c>
      <c r="M3900" s="55" t="s">
        <v>63</v>
      </c>
      <c r="N3900" s="55" t="s">
        <v>142</v>
      </c>
      <c r="O3900" s="55" t="s">
        <v>77</v>
      </c>
      <c r="P3900" s="55" t="s">
        <v>165</v>
      </c>
      <c r="Q3900" s="55" t="s">
        <v>18615</v>
      </c>
      <c r="R3900" s="55" t="s">
        <v>17369</v>
      </c>
      <c r="S3900" s="55">
        <v>0</v>
      </c>
      <c r="T3900" s="55">
        <v>0</v>
      </c>
      <c r="U3900" s="55">
        <v>0</v>
      </c>
      <c r="V3900" s="55">
        <v>0</v>
      </c>
      <c r="W3900" s="55">
        <v>0</v>
      </c>
      <c r="X3900" s="55">
        <v>0</v>
      </c>
      <c r="Y3900" s="55">
        <v>0</v>
      </c>
      <c r="Z3900" s="55">
        <v>0</v>
      </c>
      <c r="AA3900" s="55">
        <v>0</v>
      </c>
      <c r="AB3900" s="55">
        <v>0</v>
      </c>
      <c r="AC3900" s="55">
        <v>0</v>
      </c>
      <c r="AD3900" s="55">
        <v>0</v>
      </c>
      <c r="AE3900" s="55" t="s">
        <v>92</v>
      </c>
      <c r="AF3900" s="55" t="s">
        <v>21699</v>
      </c>
      <c r="AG3900" s="55" t="s">
        <v>16283</v>
      </c>
      <c r="AH3900" s="72">
        <v>45810</v>
      </c>
      <c r="AI3900" s="55"/>
      <c r="AJ3900" s="55"/>
      <c r="AK3900" s="55"/>
      <c r="AL3900" s="157">
        <v>45813</v>
      </c>
      <c r="AM3900" s="55"/>
      <c r="AN3900" s="209"/>
      <c r="AO3900" s="209"/>
    </row>
    <row r="3901" spans="1:41" ht="36.75" customHeight="1">
      <c r="A3901" s="46" t="s">
        <v>12471</v>
      </c>
      <c r="B3901" s="46" t="s">
        <v>2124</v>
      </c>
      <c r="C3901" s="69" t="str">
        <f t="shared" ref="C3901" si="433">IF(B3901="Notification","Open",IF(B3901="Interim Statement","In progress","Closed"))</f>
        <v>Open</v>
      </c>
      <c r="D3901" s="36" t="s">
        <v>22825</v>
      </c>
      <c r="E3901" s="55" t="s">
        <v>22826</v>
      </c>
      <c r="F3901" s="55" t="s">
        <v>16429</v>
      </c>
      <c r="G3901" s="88">
        <f>DATE(2025,6,5)</f>
        <v>45813</v>
      </c>
      <c r="H3901" s="142">
        <v>1.8187500000000001</v>
      </c>
      <c r="I3901" s="55" t="s">
        <v>4610</v>
      </c>
      <c r="J3901" s="55" t="s">
        <v>22827</v>
      </c>
      <c r="K3901" s="55" t="s">
        <v>425</v>
      </c>
      <c r="L3901" s="55" t="s">
        <v>22828</v>
      </c>
      <c r="M3901" s="55" t="s">
        <v>63</v>
      </c>
      <c r="N3901" s="55" t="s">
        <v>142</v>
      </c>
      <c r="O3901" s="55" t="s">
        <v>77</v>
      </c>
      <c r="P3901" s="55" t="s">
        <v>78</v>
      </c>
      <c r="Q3901" s="55" t="s">
        <v>20005</v>
      </c>
      <c r="R3901" s="55" t="s">
        <v>17369</v>
      </c>
      <c r="S3901" s="55">
        <v>0</v>
      </c>
      <c r="T3901" s="55">
        <v>0</v>
      </c>
      <c r="U3901" s="55">
        <v>0</v>
      </c>
      <c r="V3901" s="55">
        <v>0</v>
      </c>
      <c r="W3901" s="55">
        <v>0</v>
      </c>
      <c r="X3901" s="55">
        <v>0</v>
      </c>
      <c r="Y3901" s="55">
        <v>0</v>
      </c>
      <c r="Z3901" s="55">
        <v>0</v>
      </c>
      <c r="AA3901" s="55">
        <v>0</v>
      </c>
      <c r="AB3901" s="55">
        <v>0</v>
      </c>
      <c r="AC3901" s="55">
        <v>0</v>
      </c>
      <c r="AD3901" s="55">
        <v>0</v>
      </c>
      <c r="AE3901" s="55" t="s">
        <v>92</v>
      </c>
      <c r="AF3901" s="55" t="s">
        <v>21699</v>
      </c>
      <c r="AG3901" s="55" t="s">
        <v>16283</v>
      </c>
      <c r="AH3901" s="72">
        <v>45813</v>
      </c>
      <c r="AI3901" s="55"/>
      <c r="AJ3901" s="55"/>
      <c r="AK3901" s="55"/>
      <c r="AL3901" s="157">
        <v>45818</v>
      </c>
      <c r="AM3901" s="55"/>
      <c r="AN3901" s="209"/>
      <c r="AO3901" s="209"/>
    </row>
    <row r="3902" spans="1:41" ht="36.75" customHeight="1">
      <c r="A3902" s="46" t="s">
        <v>12471</v>
      </c>
      <c r="B3902" s="46" t="s">
        <v>2124</v>
      </c>
      <c r="C3902" s="69" t="str">
        <f t="shared" ref="C3902" si="434">IF(B3902="Notification","Open",IF(B3902="Interim Statement","In progress","Closed"))</f>
        <v>Open</v>
      </c>
      <c r="D3902" s="36" t="s">
        <v>22829</v>
      </c>
      <c r="E3902" s="55" t="s">
        <v>22830</v>
      </c>
      <c r="F3902" s="55" t="s">
        <v>16429</v>
      </c>
      <c r="G3902" s="88">
        <f>DATE(2025,6,5)</f>
        <v>45813</v>
      </c>
      <c r="H3902" s="142">
        <v>1.76875</v>
      </c>
      <c r="I3902" s="55" t="s">
        <v>21818</v>
      </c>
      <c r="J3902" s="55" t="s">
        <v>22831</v>
      </c>
      <c r="K3902" s="55" t="s">
        <v>425</v>
      </c>
      <c r="L3902" s="55" t="s">
        <v>22832</v>
      </c>
      <c r="M3902" s="55" t="s">
        <v>63</v>
      </c>
      <c r="N3902" s="55" t="s">
        <v>142</v>
      </c>
      <c r="O3902" s="55" t="s">
        <v>77</v>
      </c>
      <c r="P3902" s="55" t="s">
        <v>22833</v>
      </c>
      <c r="Q3902" s="55" t="s">
        <v>18516</v>
      </c>
      <c r="R3902" s="55" t="s">
        <v>17369</v>
      </c>
      <c r="S3902" s="55">
        <v>0</v>
      </c>
      <c r="T3902" s="55">
        <v>0</v>
      </c>
      <c r="U3902" s="55">
        <v>0</v>
      </c>
      <c r="V3902" s="55">
        <v>0</v>
      </c>
      <c r="W3902" s="55">
        <v>0</v>
      </c>
      <c r="X3902" s="55">
        <v>0</v>
      </c>
      <c r="Y3902" s="55">
        <v>0</v>
      </c>
      <c r="Z3902" s="55">
        <v>0</v>
      </c>
      <c r="AA3902" s="55">
        <v>0</v>
      </c>
      <c r="AB3902" s="55">
        <v>0</v>
      </c>
      <c r="AC3902" s="55">
        <v>0</v>
      </c>
      <c r="AD3902" s="55">
        <v>0</v>
      </c>
      <c r="AE3902" s="55" t="s">
        <v>92</v>
      </c>
      <c r="AF3902" s="55" t="s">
        <v>22834</v>
      </c>
      <c r="AG3902" s="55" t="s">
        <v>22835</v>
      </c>
      <c r="AH3902" s="72">
        <v>45813</v>
      </c>
      <c r="AI3902" s="55"/>
      <c r="AJ3902" s="55"/>
      <c r="AK3902" s="55"/>
      <c r="AL3902" s="157">
        <v>45819</v>
      </c>
      <c r="AM3902" s="55"/>
      <c r="AN3902" s="209"/>
      <c r="AO3902" s="209"/>
    </row>
    <row r="3903" spans="1:41" ht="36.75" customHeight="1">
      <c r="A3903" s="46" t="s">
        <v>12471</v>
      </c>
      <c r="B3903" s="46" t="s">
        <v>2124</v>
      </c>
      <c r="C3903" s="69" t="str">
        <f t="shared" ref="C3903" si="435">IF(B3903="Notification","Open",IF(B3903="Interim Statement","In progress","Closed"))</f>
        <v>Open</v>
      </c>
      <c r="D3903" s="36" t="s">
        <v>22836</v>
      </c>
      <c r="E3903" s="55" t="s">
        <v>22837</v>
      </c>
      <c r="F3903" s="55" t="s">
        <v>17682</v>
      </c>
      <c r="G3903" s="88">
        <f>DATE(2025,6,7)</f>
        <v>45815</v>
      </c>
      <c r="H3903" s="142">
        <v>1.0555555555555556</v>
      </c>
      <c r="I3903" s="55" t="s">
        <v>73</v>
      </c>
      <c r="J3903" s="55" t="s">
        <v>22838</v>
      </c>
      <c r="K3903" s="55" t="s">
        <v>1574</v>
      </c>
      <c r="L3903" s="55" t="s">
        <v>22839</v>
      </c>
      <c r="M3903" s="55" t="s">
        <v>63</v>
      </c>
      <c r="N3903" s="55" t="s">
        <v>142</v>
      </c>
      <c r="O3903" s="55" t="s">
        <v>77</v>
      </c>
      <c r="P3903" s="55" t="s">
        <v>78</v>
      </c>
      <c r="Q3903" s="55" t="s">
        <v>19970</v>
      </c>
      <c r="R3903" s="55" t="s">
        <v>19007</v>
      </c>
      <c r="S3903" s="55">
        <v>0</v>
      </c>
      <c r="T3903" s="55">
        <v>0</v>
      </c>
      <c r="U3903" s="55">
        <v>0</v>
      </c>
      <c r="V3903" s="55">
        <v>0</v>
      </c>
      <c r="W3903" s="55">
        <v>0</v>
      </c>
      <c r="X3903" s="55">
        <v>0</v>
      </c>
      <c r="Y3903" s="55">
        <v>0</v>
      </c>
      <c r="Z3903" s="55">
        <v>0</v>
      </c>
      <c r="AA3903" s="55">
        <v>0</v>
      </c>
      <c r="AB3903" s="55">
        <v>0</v>
      </c>
      <c r="AC3903" s="55">
        <v>0</v>
      </c>
      <c r="AD3903" s="55">
        <v>0</v>
      </c>
      <c r="AE3903" s="55" t="s">
        <v>394</v>
      </c>
      <c r="AF3903" s="55" t="s">
        <v>22840</v>
      </c>
      <c r="AG3903" s="55" t="s">
        <v>16283</v>
      </c>
      <c r="AH3903" s="72">
        <v>45819</v>
      </c>
      <c r="AI3903" s="55"/>
      <c r="AJ3903" s="55"/>
      <c r="AK3903" s="55"/>
      <c r="AL3903" s="157">
        <v>45819</v>
      </c>
      <c r="AM3903" s="55"/>
      <c r="AN3903" s="209"/>
      <c r="AO3903" s="209"/>
    </row>
    <row r="3904" spans="1:41" ht="36.75" customHeight="1">
      <c r="A3904" s="46" t="s">
        <v>12471</v>
      </c>
      <c r="B3904" s="46" t="s">
        <v>2124</v>
      </c>
      <c r="C3904" s="69" t="str">
        <f t="shared" ref="C3904" si="436">IF(B3904="Notification","Open",IF(B3904="Interim Statement","In progress","Closed"))</f>
        <v>Open</v>
      </c>
      <c r="D3904" s="36" t="s">
        <v>22841</v>
      </c>
      <c r="E3904" s="55" t="s">
        <v>22842</v>
      </c>
      <c r="F3904" s="55" t="s">
        <v>17682</v>
      </c>
      <c r="G3904" s="88">
        <f>DATE(2025,5,30)</f>
        <v>45807</v>
      </c>
      <c r="H3904" s="142">
        <v>1.8333333333333335</v>
      </c>
      <c r="I3904" s="55" t="s">
        <v>125</v>
      </c>
      <c r="J3904" s="55" t="s">
        <v>22843</v>
      </c>
      <c r="K3904" s="55" t="s">
        <v>1574</v>
      </c>
      <c r="L3904" s="55" t="s">
        <v>22844</v>
      </c>
      <c r="M3904" s="55" t="s">
        <v>63</v>
      </c>
      <c r="N3904" s="55" t="s">
        <v>142</v>
      </c>
      <c r="O3904" s="55" t="s">
        <v>77</v>
      </c>
      <c r="P3904" s="55" t="s">
        <v>78</v>
      </c>
      <c r="Q3904" s="55" t="s">
        <v>18677</v>
      </c>
      <c r="R3904" s="55" t="s">
        <v>19007</v>
      </c>
      <c r="S3904" s="55">
        <v>0</v>
      </c>
      <c r="T3904" s="55">
        <v>0</v>
      </c>
      <c r="U3904" s="55">
        <v>0</v>
      </c>
      <c r="V3904" s="55">
        <v>0</v>
      </c>
      <c r="W3904" s="55">
        <v>0</v>
      </c>
      <c r="X3904" s="55">
        <v>0</v>
      </c>
      <c r="Y3904" s="55">
        <v>0</v>
      </c>
      <c r="Z3904" s="55">
        <v>0</v>
      </c>
      <c r="AA3904" s="55">
        <v>0</v>
      </c>
      <c r="AB3904" s="55">
        <v>0</v>
      </c>
      <c r="AC3904" s="55">
        <v>0</v>
      </c>
      <c r="AD3904" s="55">
        <v>0</v>
      </c>
      <c r="AE3904" s="55" t="s">
        <v>92</v>
      </c>
      <c r="AF3904" s="55" t="s">
        <v>22845</v>
      </c>
      <c r="AG3904" s="55" t="s">
        <v>16283</v>
      </c>
      <c r="AH3904" s="72">
        <v>45831</v>
      </c>
      <c r="AI3904" s="55"/>
      <c r="AJ3904" s="55"/>
      <c r="AK3904" s="55"/>
      <c r="AL3904" s="157">
        <v>45832</v>
      </c>
      <c r="AM3904" s="55"/>
      <c r="AN3904" s="209"/>
      <c r="AO3904" s="209"/>
    </row>
    <row r="3905" spans="1:41" ht="36.75" customHeight="1">
      <c r="A3905" s="46" t="s">
        <v>12471</v>
      </c>
      <c r="B3905" s="46" t="s">
        <v>2124</v>
      </c>
      <c r="C3905" s="69" t="str">
        <f t="shared" ref="C3905" si="437">IF(B3905="Notification","Open",IF(B3905="Interim Statement","In progress","Closed"))</f>
        <v>Open</v>
      </c>
      <c r="D3905" s="36" t="s">
        <v>22846</v>
      </c>
      <c r="E3905" s="55" t="s">
        <v>22847</v>
      </c>
      <c r="F3905" s="55" t="s">
        <v>18070</v>
      </c>
      <c r="G3905" s="88">
        <f>DATE(2025,6,20)</f>
        <v>45828</v>
      </c>
      <c r="H3905" s="142">
        <v>3.125E-2</v>
      </c>
      <c r="I3905" s="55" t="s">
        <v>73</v>
      </c>
      <c r="J3905" s="55" t="s">
        <v>22848</v>
      </c>
      <c r="K3905" s="55" t="s">
        <v>140</v>
      </c>
      <c r="L3905" s="55" t="s">
        <v>22849</v>
      </c>
      <c r="M3905" s="55" t="s">
        <v>255</v>
      </c>
      <c r="N3905" s="55" t="s">
        <v>142</v>
      </c>
      <c r="O3905" s="55" t="s">
        <v>77</v>
      </c>
      <c r="P3905" s="55" t="s">
        <v>22850</v>
      </c>
      <c r="Q3905" s="55" t="s">
        <v>22851</v>
      </c>
      <c r="R3905" s="55" t="s">
        <v>22852</v>
      </c>
      <c r="S3905" s="55">
        <v>0</v>
      </c>
      <c r="T3905" s="55">
        <v>0</v>
      </c>
      <c r="U3905" s="55">
        <v>0</v>
      </c>
      <c r="V3905" s="55">
        <v>0</v>
      </c>
      <c r="W3905" s="55">
        <v>0</v>
      </c>
      <c r="X3905" s="55">
        <v>0</v>
      </c>
      <c r="Y3905" s="55">
        <v>1</v>
      </c>
      <c r="Z3905" s="55">
        <v>0</v>
      </c>
      <c r="AA3905" s="55">
        <v>0</v>
      </c>
      <c r="AB3905" s="55">
        <v>0</v>
      </c>
      <c r="AC3905" s="55">
        <v>3</v>
      </c>
      <c r="AD3905" s="55">
        <v>4</v>
      </c>
      <c r="AE3905" s="55" t="s">
        <v>394</v>
      </c>
      <c r="AF3905" s="55" t="s">
        <v>22853</v>
      </c>
      <c r="AG3905" s="55" t="s">
        <v>16283</v>
      </c>
      <c r="AH3905" s="72">
        <v>45831</v>
      </c>
      <c r="AI3905" s="55"/>
      <c r="AJ3905" s="55"/>
      <c r="AK3905" s="55"/>
      <c r="AL3905" s="157">
        <v>45834</v>
      </c>
      <c r="AM3905" s="55"/>
      <c r="AN3905" s="209"/>
      <c r="AO3905" s="209"/>
    </row>
    <row r="3906" spans="1:41" ht="36.75" customHeight="1">
      <c r="A3906" s="46" t="s">
        <v>12471</v>
      </c>
      <c r="B3906" s="46" t="s">
        <v>2124</v>
      </c>
      <c r="C3906" s="69" t="str">
        <f t="shared" ref="C3906" si="438">IF(B3906="Notification","Open",IF(B3906="Interim Statement","In progress","Closed"))</f>
        <v>Open</v>
      </c>
      <c r="D3906" s="36" t="s">
        <v>22854</v>
      </c>
      <c r="E3906" s="55" t="s">
        <v>22855</v>
      </c>
      <c r="F3906" s="55" t="s">
        <v>12910</v>
      </c>
      <c r="G3906" s="88">
        <f>DATE(2025,7,5)</f>
        <v>45843</v>
      </c>
      <c r="H3906" s="142">
        <v>0.78472222222222221</v>
      </c>
      <c r="I3906" s="55" t="s">
        <v>116</v>
      </c>
      <c r="J3906" s="55" t="s">
        <v>22856</v>
      </c>
      <c r="K3906" s="55" t="s">
        <v>453</v>
      </c>
      <c r="L3906" s="55" t="s">
        <v>22857</v>
      </c>
      <c r="M3906" s="55" t="s">
        <v>63</v>
      </c>
      <c r="N3906" s="55" t="s">
        <v>99</v>
      </c>
      <c r="O3906" s="55" t="s">
        <v>64</v>
      </c>
      <c r="P3906" s="55" t="s">
        <v>462</v>
      </c>
      <c r="Q3906" s="55" t="s">
        <v>14384</v>
      </c>
      <c r="R3906" s="55" t="s">
        <v>572</v>
      </c>
      <c r="S3906" s="55">
        <v>0</v>
      </c>
      <c r="T3906" s="55">
        <v>0</v>
      </c>
      <c r="U3906" s="55">
        <v>1</v>
      </c>
      <c r="V3906" s="55">
        <v>0</v>
      </c>
      <c r="W3906" s="55">
        <v>0</v>
      </c>
      <c r="X3906" s="55">
        <v>1</v>
      </c>
      <c r="Y3906" s="55">
        <v>0</v>
      </c>
      <c r="Z3906" s="55">
        <v>0</v>
      </c>
      <c r="AA3906" s="55">
        <v>0</v>
      </c>
      <c r="AB3906" s="55">
        <v>0</v>
      </c>
      <c r="AC3906" s="55">
        <v>0</v>
      </c>
      <c r="AD3906" s="55">
        <v>0</v>
      </c>
      <c r="AE3906" s="55" t="s">
        <v>394</v>
      </c>
      <c r="AF3906" s="55" t="s">
        <v>22858</v>
      </c>
      <c r="AG3906" s="55" t="s">
        <v>6459</v>
      </c>
      <c r="AH3906" s="72">
        <v>45843</v>
      </c>
      <c r="AI3906" s="55"/>
      <c r="AJ3906" s="55"/>
      <c r="AK3906" s="55"/>
      <c r="AL3906" s="157">
        <v>45846</v>
      </c>
      <c r="AM3906" s="55"/>
      <c r="AN3906" s="209"/>
      <c r="AO3906" s="209"/>
    </row>
    <row r="3907" spans="1:41" ht="36.75" customHeight="1">
      <c r="A3907" s="46" t="s">
        <v>12471</v>
      </c>
      <c r="B3907" s="46" t="s">
        <v>2124</v>
      </c>
      <c r="C3907" s="69" t="str">
        <f t="shared" ref="C3907" si="439">IF(B3907="Notification","Open",IF(B3907="Interim Statement","In progress","Closed"))</f>
        <v>Open</v>
      </c>
      <c r="D3907" s="36" t="s">
        <v>22859</v>
      </c>
      <c r="E3907" s="55" t="s">
        <v>22860</v>
      </c>
      <c r="F3907" s="55" t="s">
        <v>17682</v>
      </c>
      <c r="G3907" s="88">
        <f>DATE(2025,7,13)</f>
        <v>45851</v>
      </c>
      <c r="H3907" s="142">
        <v>5.5555555555555552E-2</v>
      </c>
      <c r="I3907" s="55" t="s">
        <v>125</v>
      </c>
      <c r="J3907" s="55" t="s">
        <v>22861</v>
      </c>
      <c r="K3907" s="55" t="s">
        <v>1574</v>
      </c>
      <c r="L3907" s="55" t="s">
        <v>22862</v>
      </c>
      <c r="M3907" s="55" t="s">
        <v>63</v>
      </c>
      <c r="N3907" s="55" t="s">
        <v>142</v>
      </c>
      <c r="O3907" s="55" t="s">
        <v>64</v>
      </c>
      <c r="P3907" s="55" t="s">
        <v>78</v>
      </c>
      <c r="Q3907" s="55" t="s">
        <v>22863</v>
      </c>
      <c r="R3907" s="55" t="s">
        <v>19007</v>
      </c>
      <c r="S3907" s="55">
        <v>0</v>
      </c>
      <c r="T3907" s="55">
        <v>0</v>
      </c>
      <c r="U3907" s="55">
        <v>0</v>
      </c>
      <c r="V3907" s="55">
        <v>0</v>
      </c>
      <c r="W3907" s="55">
        <v>0</v>
      </c>
      <c r="X3907" s="55">
        <v>0</v>
      </c>
      <c r="Y3907" s="55">
        <v>0</v>
      </c>
      <c r="Z3907" s="55">
        <v>0</v>
      </c>
      <c r="AA3907" s="55">
        <v>0</v>
      </c>
      <c r="AB3907" s="55">
        <v>0</v>
      </c>
      <c r="AC3907" s="55">
        <v>0</v>
      </c>
      <c r="AD3907" s="55">
        <v>0</v>
      </c>
      <c r="AE3907" s="55" t="s">
        <v>92</v>
      </c>
      <c r="AF3907" s="55" t="s">
        <v>22864</v>
      </c>
      <c r="AG3907" s="55" t="s">
        <v>8859</v>
      </c>
      <c r="AH3907" s="72">
        <v>45853</v>
      </c>
      <c r="AI3907" s="55"/>
      <c r="AJ3907" s="55"/>
      <c r="AK3907" s="55"/>
      <c r="AL3907" s="157">
        <v>45853</v>
      </c>
      <c r="AM3907" s="55"/>
      <c r="AN3907" s="209"/>
      <c r="AO3907" s="209"/>
    </row>
    <row r="3908" spans="1:41" ht="36.75" customHeight="1">
      <c r="A3908" s="46" t="s">
        <v>12471</v>
      </c>
      <c r="B3908" s="46" t="s">
        <v>2124</v>
      </c>
      <c r="C3908" s="69" t="str">
        <f t="shared" ref="C3908" si="440">IF(B3908="Notification","Open",IF(B3908="Interim Statement","In progress","Closed"))</f>
        <v>Open</v>
      </c>
      <c r="D3908" s="36" t="s">
        <v>22865</v>
      </c>
      <c r="E3908" s="55" t="s">
        <v>22866</v>
      </c>
      <c r="F3908" s="55" t="s">
        <v>17682</v>
      </c>
      <c r="G3908" s="88">
        <f>DATE(2025,7,13)</f>
        <v>45851</v>
      </c>
      <c r="H3908" s="142">
        <v>0.63194444444444442</v>
      </c>
      <c r="I3908" s="55" t="s">
        <v>73</v>
      </c>
      <c r="J3908" s="55" t="s">
        <v>22867</v>
      </c>
      <c r="K3908" s="55" t="s">
        <v>1574</v>
      </c>
      <c r="L3908" s="55" t="s">
        <v>19107</v>
      </c>
      <c r="M3908" s="55" t="s">
        <v>63</v>
      </c>
      <c r="N3908" s="55" t="s">
        <v>89</v>
      </c>
      <c r="O3908" s="55" t="s">
        <v>77</v>
      </c>
      <c r="P3908" s="55" t="s">
        <v>78</v>
      </c>
      <c r="Q3908" s="55" t="s">
        <v>22327</v>
      </c>
      <c r="R3908" s="55" t="s">
        <v>19007</v>
      </c>
      <c r="S3908" s="55">
        <v>0</v>
      </c>
      <c r="T3908" s="55">
        <v>0</v>
      </c>
      <c r="U3908" s="55">
        <v>0</v>
      </c>
      <c r="V3908" s="55">
        <v>0</v>
      </c>
      <c r="W3908" s="55">
        <v>0</v>
      </c>
      <c r="X3908" s="55">
        <v>0</v>
      </c>
      <c r="Y3908" s="55">
        <v>0</v>
      </c>
      <c r="Z3908" s="55">
        <v>0</v>
      </c>
      <c r="AA3908" s="55">
        <v>0</v>
      </c>
      <c r="AB3908" s="55">
        <v>0</v>
      </c>
      <c r="AC3908" s="55">
        <v>0</v>
      </c>
      <c r="AD3908" s="55">
        <v>0</v>
      </c>
      <c r="AE3908" s="55" t="s">
        <v>92</v>
      </c>
      <c r="AF3908" s="55" t="s">
        <v>22868</v>
      </c>
      <c r="AG3908" s="55" t="s">
        <v>8859</v>
      </c>
      <c r="AH3908" s="72">
        <v>45853</v>
      </c>
      <c r="AI3908" s="55"/>
      <c r="AJ3908" s="55"/>
      <c r="AK3908" s="55"/>
      <c r="AL3908" s="157">
        <v>45853</v>
      </c>
      <c r="AM3908" s="55"/>
      <c r="AN3908" s="209"/>
      <c r="AO3908" s="209"/>
    </row>
    <row r="3909" spans="1:41" ht="36.75" customHeight="1">
      <c r="A3909" s="46" t="s">
        <v>12471</v>
      </c>
      <c r="B3909" s="46" t="s">
        <v>2124</v>
      </c>
      <c r="C3909" s="69" t="str">
        <f t="shared" ref="C3909" si="441">IF(B3909="Notification","Open",IF(B3909="Interim Statement","In progress","Closed"))</f>
        <v>Open</v>
      </c>
      <c r="D3909" s="36" t="s">
        <v>22869</v>
      </c>
      <c r="E3909" s="55" t="s">
        <v>22870</v>
      </c>
      <c r="F3909" s="55" t="s">
        <v>17578</v>
      </c>
      <c r="G3909" s="88">
        <f>DATE(2025,7,17)</f>
        <v>45855</v>
      </c>
      <c r="H3909" s="142">
        <v>0.625</v>
      </c>
      <c r="I3909" s="55" t="s">
        <v>116</v>
      </c>
      <c r="J3909" s="55" t="s">
        <v>22871</v>
      </c>
      <c r="K3909" s="55" t="s">
        <v>837</v>
      </c>
      <c r="L3909" s="55" t="s">
        <v>22872</v>
      </c>
      <c r="M3909" s="55" t="s">
        <v>63</v>
      </c>
      <c r="N3909" s="55" t="s">
        <v>99</v>
      </c>
      <c r="O3909" s="55" t="s">
        <v>77</v>
      </c>
      <c r="P3909" s="55" t="s">
        <v>78</v>
      </c>
      <c r="Q3909" s="55" t="s">
        <v>4708</v>
      </c>
      <c r="R3909" s="55" t="s">
        <v>2797</v>
      </c>
      <c r="S3909" s="55">
        <v>0</v>
      </c>
      <c r="T3909" s="55">
        <v>0</v>
      </c>
      <c r="U3909" s="55">
        <v>0</v>
      </c>
      <c r="V3909" s="55">
        <v>0</v>
      </c>
      <c r="W3909" s="55">
        <v>0</v>
      </c>
      <c r="X3909" s="55">
        <v>0</v>
      </c>
      <c r="Y3909" s="55">
        <v>0</v>
      </c>
      <c r="Z3909" s="55">
        <v>0</v>
      </c>
      <c r="AA3909" s="55">
        <v>0</v>
      </c>
      <c r="AB3909" s="55">
        <v>0</v>
      </c>
      <c r="AC3909" s="55">
        <v>0</v>
      </c>
      <c r="AD3909" s="55">
        <v>0</v>
      </c>
      <c r="AE3909" s="55" t="s">
        <v>92</v>
      </c>
      <c r="AF3909" s="55" t="s">
        <v>22873</v>
      </c>
      <c r="AG3909" s="55" t="s">
        <v>8859</v>
      </c>
      <c r="AH3909" s="72">
        <v>45856</v>
      </c>
      <c r="AI3909" s="55"/>
      <c r="AJ3909" s="55"/>
      <c r="AK3909" s="55"/>
      <c r="AL3909" s="157">
        <v>45856</v>
      </c>
      <c r="AM3909" s="55"/>
      <c r="AN3909" s="209"/>
      <c r="AO3909" s="209"/>
    </row>
    <row r="3910" spans="1:41" ht="36.75" customHeight="1">
      <c r="A3910" s="46" t="s">
        <v>12471</v>
      </c>
      <c r="B3910" s="46" t="s">
        <v>2124</v>
      </c>
      <c r="C3910" s="69" t="str">
        <f t="shared" ref="C3910" si="442">IF(B3910="Notification","Open",IF(B3910="Interim Statement","In progress","Closed"))</f>
        <v>Open</v>
      </c>
      <c r="D3910" s="36" t="s">
        <v>22874</v>
      </c>
      <c r="E3910" s="55" t="s">
        <v>22875</v>
      </c>
      <c r="F3910" s="55" t="s">
        <v>17820</v>
      </c>
      <c r="G3910" s="88">
        <f>DATE(2024,10,29)</f>
        <v>45594</v>
      </c>
      <c r="H3910" s="142">
        <v>0.50347222222222221</v>
      </c>
      <c r="I3910" s="55" t="s">
        <v>73</v>
      </c>
      <c r="J3910" s="55" t="s">
        <v>22876</v>
      </c>
      <c r="K3910" s="55" t="s">
        <v>640</v>
      </c>
      <c r="L3910" s="55" t="s">
        <v>22877</v>
      </c>
      <c r="M3910" s="55" t="s">
        <v>63</v>
      </c>
      <c r="N3910" s="55" t="s">
        <v>142</v>
      </c>
      <c r="O3910" s="55" t="s">
        <v>64</v>
      </c>
      <c r="P3910" s="55" t="s">
        <v>462</v>
      </c>
      <c r="Q3910" s="55" t="s">
        <v>18509</v>
      </c>
      <c r="R3910" s="55" t="s">
        <v>22388</v>
      </c>
      <c r="S3910" s="55">
        <v>0</v>
      </c>
      <c r="T3910" s="55">
        <v>0</v>
      </c>
      <c r="U3910" s="55">
        <v>0</v>
      </c>
      <c r="V3910" s="55">
        <v>0</v>
      </c>
      <c r="W3910" s="55">
        <v>0</v>
      </c>
      <c r="X3910" s="55">
        <v>0</v>
      </c>
      <c r="Y3910" s="55">
        <v>0</v>
      </c>
      <c r="Z3910" s="55">
        <v>0</v>
      </c>
      <c r="AA3910" s="55">
        <v>0</v>
      </c>
      <c r="AB3910" s="55">
        <v>0</v>
      </c>
      <c r="AC3910" s="55">
        <v>0</v>
      </c>
      <c r="AD3910" s="55">
        <v>0</v>
      </c>
      <c r="AE3910" s="55" t="s">
        <v>92</v>
      </c>
      <c r="AF3910" s="55" t="s">
        <v>712</v>
      </c>
      <c r="AG3910" s="55" t="s">
        <v>14033</v>
      </c>
      <c r="AH3910" s="72">
        <v>45854</v>
      </c>
      <c r="AI3910" s="55"/>
      <c r="AJ3910" s="55"/>
      <c r="AK3910" s="55"/>
      <c r="AL3910" s="157">
        <v>45856</v>
      </c>
      <c r="AM3910" s="55"/>
      <c r="AN3910" s="209"/>
      <c r="AO3910" s="209"/>
    </row>
    <row r="3911" spans="1:41" ht="36.75" customHeight="1">
      <c r="A3911" s="46" t="s">
        <v>12471</v>
      </c>
      <c r="B3911" s="46" t="s">
        <v>2124</v>
      </c>
      <c r="C3911" s="69" t="str">
        <f t="shared" ref="C3911:C3913" si="443">IF(B3911="Notification","Open",IF(B3911="Interim Statement","In progress","Closed"))</f>
        <v>Open</v>
      </c>
      <c r="D3911" s="36" t="s">
        <v>22878</v>
      </c>
      <c r="E3911" s="55" t="s">
        <v>22879</v>
      </c>
      <c r="F3911" s="55" t="s">
        <v>17682</v>
      </c>
      <c r="G3911" s="88">
        <f>DATE(2025,7,24)</f>
        <v>45862</v>
      </c>
      <c r="H3911" s="142">
        <v>0.1736111111111111</v>
      </c>
      <c r="I3911" s="55" t="s">
        <v>73</v>
      </c>
      <c r="J3911" s="55" t="s">
        <v>22880</v>
      </c>
      <c r="K3911" s="55" t="s">
        <v>1574</v>
      </c>
      <c r="L3911" s="55" t="s">
        <v>22881</v>
      </c>
      <c r="M3911" s="55" t="s">
        <v>63</v>
      </c>
      <c r="N3911" s="55" t="s">
        <v>20011</v>
      </c>
      <c r="O3911" s="55" t="s">
        <v>64</v>
      </c>
      <c r="P3911" s="55" t="s">
        <v>78</v>
      </c>
      <c r="Q3911" s="55" t="s">
        <v>18205</v>
      </c>
      <c r="R3911" s="55" t="s">
        <v>19007</v>
      </c>
      <c r="S3911" s="55">
        <v>0</v>
      </c>
      <c r="T3911" s="55">
        <v>0</v>
      </c>
      <c r="U3911" s="55">
        <v>0</v>
      </c>
      <c r="V3911" s="55">
        <v>0</v>
      </c>
      <c r="W3911" s="55">
        <v>0</v>
      </c>
      <c r="X3911" s="55">
        <v>0</v>
      </c>
      <c r="Y3911" s="55">
        <v>0</v>
      </c>
      <c r="Z3911" s="55">
        <v>0</v>
      </c>
      <c r="AA3911" s="55">
        <v>0</v>
      </c>
      <c r="AB3911" s="55">
        <v>0</v>
      </c>
      <c r="AC3911" s="55">
        <v>0</v>
      </c>
      <c r="AD3911" s="55">
        <v>0</v>
      </c>
      <c r="AE3911" s="55" t="s">
        <v>92</v>
      </c>
      <c r="AF3911" s="55" t="s">
        <v>22882</v>
      </c>
      <c r="AG3911" s="55" t="s">
        <v>8859</v>
      </c>
      <c r="AH3911" s="72">
        <v>45863</v>
      </c>
      <c r="AI3911" s="55"/>
      <c r="AJ3911" s="55"/>
      <c r="AK3911" s="55"/>
      <c r="AL3911" s="157">
        <v>45873</v>
      </c>
      <c r="AM3911" s="55"/>
      <c r="AN3911" s="209"/>
      <c r="AO3911" s="209"/>
    </row>
    <row r="3912" spans="1:41" ht="36.75" customHeight="1">
      <c r="A3912" s="46" t="s">
        <v>12471</v>
      </c>
      <c r="B3912" s="46" t="s">
        <v>2124</v>
      </c>
      <c r="C3912" s="69" t="str">
        <f t="shared" si="443"/>
        <v>Open</v>
      </c>
      <c r="D3912" s="36" t="s">
        <v>22883</v>
      </c>
      <c r="E3912" s="55" t="s">
        <v>22884</v>
      </c>
      <c r="F3912" s="55" t="s">
        <v>17682</v>
      </c>
      <c r="G3912" s="88">
        <f>DATE(2025,7,25)</f>
        <v>45863</v>
      </c>
      <c r="H3912" s="142">
        <v>0.41666666666666669</v>
      </c>
      <c r="I3912" s="55" t="s">
        <v>125</v>
      </c>
      <c r="J3912" s="55" t="s">
        <v>22885</v>
      </c>
      <c r="K3912" s="55" t="s">
        <v>1574</v>
      </c>
      <c r="L3912" s="55" t="s">
        <v>22886</v>
      </c>
      <c r="M3912" s="55" t="s">
        <v>63</v>
      </c>
      <c r="N3912" s="55" t="s">
        <v>99</v>
      </c>
      <c r="O3912" s="55" t="s">
        <v>77</v>
      </c>
      <c r="P3912" s="55" t="s">
        <v>78</v>
      </c>
      <c r="Q3912" s="55" t="s">
        <v>22863</v>
      </c>
      <c r="R3912" s="55" t="s">
        <v>19007</v>
      </c>
      <c r="S3912" s="55">
        <v>0</v>
      </c>
      <c r="T3912" s="55">
        <v>0</v>
      </c>
      <c r="U3912" s="55">
        <v>0</v>
      </c>
      <c r="V3912" s="55">
        <v>0</v>
      </c>
      <c r="W3912" s="55">
        <v>0</v>
      </c>
      <c r="X3912" s="55">
        <v>0</v>
      </c>
      <c r="Y3912" s="55">
        <v>0</v>
      </c>
      <c r="Z3912" s="55">
        <v>0</v>
      </c>
      <c r="AA3912" s="55">
        <v>0</v>
      </c>
      <c r="AB3912" s="55">
        <v>0</v>
      </c>
      <c r="AC3912" s="55">
        <v>0</v>
      </c>
      <c r="AD3912" s="55">
        <v>0</v>
      </c>
      <c r="AE3912" s="55" t="s">
        <v>92</v>
      </c>
      <c r="AF3912" s="55" t="s">
        <v>22887</v>
      </c>
      <c r="AG3912" s="55" t="s">
        <v>8859</v>
      </c>
      <c r="AH3912" s="72">
        <v>45867</v>
      </c>
      <c r="AI3912" s="55"/>
      <c r="AJ3912" s="55"/>
      <c r="AK3912" s="55"/>
      <c r="AL3912" s="157">
        <v>45873</v>
      </c>
      <c r="AM3912" s="55"/>
      <c r="AN3912" s="209"/>
      <c r="AO3912" s="209"/>
    </row>
    <row r="3913" spans="1:41" ht="36.75" customHeight="1">
      <c r="A3913" s="46" t="s">
        <v>12471</v>
      </c>
      <c r="B3913" s="46" t="s">
        <v>2124</v>
      </c>
      <c r="C3913" s="69" t="str">
        <f t="shared" si="443"/>
        <v>Open</v>
      </c>
      <c r="D3913" s="36" t="s">
        <v>22888</v>
      </c>
      <c r="E3913" s="55" t="s">
        <v>22889</v>
      </c>
      <c r="F3913" s="55" t="s">
        <v>17682</v>
      </c>
      <c r="G3913" s="88">
        <f>DATE(2025,7,25)</f>
        <v>45863</v>
      </c>
      <c r="H3913" s="142">
        <v>0.63541666666666663</v>
      </c>
      <c r="I3913" s="55" t="s">
        <v>73</v>
      </c>
      <c r="J3913" s="55" t="s">
        <v>22890</v>
      </c>
      <c r="K3913" s="55" t="s">
        <v>1574</v>
      </c>
      <c r="L3913" s="55" t="s">
        <v>22891</v>
      </c>
      <c r="M3913" s="55" t="s">
        <v>63</v>
      </c>
      <c r="N3913" s="55" t="s">
        <v>89</v>
      </c>
      <c r="O3913" s="55" t="s">
        <v>77</v>
      </c>
      <c r="P3913" s="55" t="s">
        <v>78</v>
      </c>
      <c r="Q3913" s="55" t="s">
        <v>22327</v>
      </c>
      <c r="R3913" s="55" t="s">
        <v>19007</v>
      </c>
      <c r="S3913" s="55">
        <v>0</v>
      </c>
      <c r="T3913" s="55">
        <v>0</v>
      </c>
      <c r="U3913" s="55">
        <v>0</v>
      </c>
      <c r="V3913" s="55">
        <v>0</v>
      </c>
      <c r="W3913" s="55">
        <v>0</v>
      </c>
      <c r="X3913" s="55">
        <v>0</v>
      </c>
      <c r="Y3913" s="55">
        <v>0</v>
      </c>
      <c r="Z3913" s="55">
        <v>0</v>
      </c>
      <c r="AA3913" s="55">
        <v>0</v>
      </c>
      <c r="AB3913" s="55">
        <v>0</v>
      </c>
      <c r="AC3913" s="55">
        <v>0</v>
      </c>
      <c r="AD3913" s="55">
        <v>0</v>
      </c>
      <c r="AE3913" s="55" t="s">
        <v>92</v>
      </c>
      <c r="AF3913" s="55" t="s">
        <v>22892</v>
      </c>
      <c r="AG3913" s="55" t="s">
        <v>8859</v>
      </c>
      <c r="AH3913" s="72">
        <v>45867</v>
      </c>
      <c r="AI3913" s="55"/>
      <c r="AJ3913" s="55"/>
      <c r="AK3913" s="55"/>
      <c r="AL3913" s="157">
        <v>45873</v>
      </c>
      <c r="AM3913" s="55"/>
      <c r="AN3913" s="209"/>
      <c r="AO3913" s="209"/>
    </row>
    <row r="3914" spans="1:41" ht="36.75" customHeight="1">
      <c r="A3914" s="46" t="s">
        <v>12471</v>
      </c>
      <c r="B3914" s="46" t="s">
        <v>2124</v>
      </c>
      <c r="C3914" s="69" t="str">
        <f t="shared" ref="C3914" si="444">IF(B3914="Notification","Open",IF(B3914="Interim Statement","In progress","Closed"))</f>
        <v>Open</v>
      </c>
      <c r="D3914" s="36" t="s">
        <v>22893</v>
      </c>
      <c r="E3914" s="55" t="s">
        <v>22894</v>
      </c>
      <c r="F3914" s="55" t="s">
        <v>17682</v>
      </c>
      <c r="G3914" s="88">
        <f>DATE(2025,8,1)</f>
        <v>45870</v>
      </c>
      <c r="H3914" s="142">
        <v>0.25</v>
      </c>
      <c r="I3914" s="55" t="s">
        <v>73</v>
      </c>
      <c r="J3914" s="55" t="s">
        <v>22895</v>
      </c>
      <c r="K3914" s="55" t="s">
        <v>1574</v>
      </c>
      <c r="L3914" s="55" t="s">
        <v>22896</v>
      </c>
      <c r="M3914" s="55" t="s">
        <v>63</v>
      </c>
      <c r="N3914" s="55" t="s">
        <v>99</v>
      </c>
      <c r="O3914" s="55" t="s">
        <v>77</v>
      </c>
      <c r="P3914" s="55" t="s">
        <v>78</v>
      </c>
      <c r="Q3914" s="55" t="s">
        <v>22897</v>
      </c>
      <c r="R3914" s="55" t="s">
        <v>19007</v>
      </c>
      <c r="S3914" s="55"/>
      <c r="T3914" s="55"/>
      <c r="U3914" s="55"/>
      <c r="V3914" s="55"/>
      <c r="W3914" s="55"/>
      <c r="X3914" s="55">
        <v>0</v>
      </c>
      <c r="Y3914" s="55"/>
      <c r="Z3914" s="55"/>
      <c r="AA3914" s="55"/>
      <c r="AB3914" s="55"/>
      <c r="AC3914" s="55"/>
      <c r="AD3914" s="55">
        <v>0</v>
      </c>
      <c r="AE3914" s="55" t="s">
        <v>394</v>
      </c>
      <c r="AF3914" s="55" t="s">
        <v>22898</v>
      </c>
      <c r="AG3914" s="55" t="s">
        <v>8859</v>
      </c>
      <c r="AH3914" s="72">
        <v>45875</v>
      </c>
      <c r="AI3914" s="55"/>
      <c r="AJ3914" s="55"/>
      <c r="AK3914" s="55"/>
      <c r="AL3914" s="157">
        <v>45876</v>
      </c>
      <c r="AM3914" s="55"/>
      <c r="AN3914" s="209"/>
      <c r="AO3914" s="209"/>
    </row>
    <row r="3915" spans="1:41" ht="36.75" customHeight="1">
      <c r="A3915" s="46" t="s">
        <v>12471</v>
      </c>
      <c r="B3915" s="46" t="s">
        <v>2124</v>
      </c>
      <c r="C3915" s="69" t="str">
        <f t="shared" ref="C3915:C3917" si="445">IF(B3915="Notification","Open",IF(B3915="Interim Statement","In progress","Closed"))</f>
        <v>Open</v>
      </c>
      <c r="D3915" s="36" t="s">
        <v>22899</v>
      </c>
      <c r="E3915" s="55" t="s">
        <v>22900</v>
      </c>
      <c r="F3915" s="55" t="s">
        <v>17682</v>
      </c>
      <c r="G3915" s="88">
        <f>DATE(2025,8,3)</f>
        <v>45872</v>
      </c>
      <c r="H3915" s="142">
        <v>0.67708333333333337</v>
      </c>
      <c r="I3915" s="55" t="s">
        <v>125</v>
      </c>
      <c r="J3915" s="55" t="s">
        <v>22901</v>
      </c>
      <c r="K3915" s="55" t="s">
        <v>1574</v>
      </c>
      <c r="L3915" s="55" t="s">
        <v>22902</v>
      </c>
      <c r="M3915" s="55" t="s">
        <v>63</v>
      </c>
      <c r="N3915" s="55" t="s">
        <v>99</v>
      </c>
      <c r="O3915" s="55" t="s">
        <v>64</v>
      </c>
      <c r="P3915" s="55" t="s">
        <v>165</v>
      </c>
      <c r="Q3915" s="55" t="s">
        <v>22903</v>
      </c>
      <c r="R3915" s="55" t="s">
        <v>19007</v>
      </c>
      <c r="S3915" s="55">
        <v>0</v>
      </c>
      <c r="T3915" s="55">
        <v>0</v>
      </c>
      <c r="U3915" s="55">
        <v>0</v>
      </c>
      <c r="V3915" s="55">
        <v>0</v>
      </c>
      <c r="W3915" s="55">
        <v>0</v>
      </c>
      <c r="X3915" s="55">
        <v>0</v>
      </c>
      <c r="Y3915" s="55">
        <v>0</v>
      </c>
      <c r="Z3915" s="55">
        <v>0</v>
      </c>
      <c r="AA3915" s="55">
        <v>0</v>
      </c>
      <c r="AB3915" s="55">
        <v>0</v>
      </c>
      <c r="AC3915" s="55">
        <v>0</v>
      </c>
      <c r="AD3915" s="55">
        <v>0</v>
      </c>
      <c r="AE3915" s="55" t="s">
        <v>92</v>
      </c>
      <c r="AF3915" s="55" t="s">
        <v>22904</v>
      </c>
      <c r="AG3915" s="55" t="s">
        <v>8859</v>
      </c>
      <c r="AH3915" s="72">
        <v>45875</v>
      </c>
      <c r="AI3915" s="55"/>
      <c r="AJ3915" s="55"/>
      <c r="AK3915" s="55"/>
      <c r="AL3915" s="157">
        <v>45876</v>
      </c>
      <c r="AM3915" s="55"/>
      <c r="AN3915" s="209"/>
      <c r="AO3915" s="209"/>
    </row>
    <row r="3916" spans="1:41" ht="36.75" customHeight="1">
      <c r="A3916" s="46" t="s">
        <v>12471</v>
      </c>
      <c r="B3916" s="46" t="s">
        <v>2124</v>
      </c>
      <c r="C3916" s="69" t="str">
        <f t="shared" si="445"/>
        <v>Open</v>
      </c>
      <c r="D3916" s="36" t="s">
        <v>22905</v>
      </c>
      <c r="E3916" s="55" t="s">
        <v>22906</v>
      </c>
      <c r="F3916" s="55" t="s">
        <v>17682</v>
      </c>
      <c r="G3916" s="88">
        <f>DATE(2025,8,4)</f>
        <v>45873</v>
      </c>
      <c r="H3916" s="142">
        <v>0.14583333333333334</v>
      </c>
      <c r="I3916" s="55" t="s">
        <v>73</v>
      </c>
      <c r="J3916" s="55" t="s">
        <v>22907</v>
      </c>
      <c r="K3916" s="55" t="s">
        <v>1574</v>
      </c>
      <c r="L3916" s="55" t="s">
        <v>22908</v>
      </c>
      <c r="M3916" s="55" t="s">
        <v>63</v>
      </c>
      <c r="N3916" s="55" t="s">
        <v>99</v>
      </c>
      <c r="O3916" s="55" t="s">
        <v>64</v>
      </c>
      <c r="P3916" s="55" t="s">
        <v>78</v>
      </c>
      <c r="Q3916" s="55" t="s">
        <v>22909</v>
      </c>
      <c r="R3916" s="55" t="s">
        <v>22910</v>
      </c>
      <c r="S3916" s="55">
        <v>0</v>
      </c>
      <c r="T3916" s="55">
        <v>0</v>
      </c>
      <c r="U3916" s="55">
        <v>0</v>
      </c>
      <c r="V3916" s="55">
        <v>0</v>
      </c>
      <c r="W3916" s="55">
        <v>0</v>
      </c>
      <c r="X3916" s="55">
        <v>0</v>
      </c>
      <c r="Y3916" s="55">
        <v>0</v>
      </c>
      <c r="Z3916" s="55">
        <v>0</v>
      </c>
      <c r="AA3916" s="55">
        <v>0</v>
      </c>
      <c r="AB3916" s="55">
        <v>0</v>
      </c>
      <c r="AC3916" s="55">
        <v>0</v>
      </c>
      <c r="AD3916" s="55">
        <v>0</v>
      </c>
      <c r="AE3916" s="55" t="s">
        <v>92</v>
      </c>
      <c r="AF3916" s="55" t="s">
        <v>22911</v>
      </c>
      <c r="AG3916" s="55" t="s">
        <v>8859</v>
      </c>
      <c r="AH3916" s="72">
        <v>45875</v>
      </c>
      <c r="AI3916" s="55"/>
      <c r="AJ3916" s="55"/>
      <c r="AK3916" s="55"/>
      <c r="AL3916" s="157">
        <v>45876</v>
      </c>
      <c r="AM3916" s="55"/>
      <c r="AN3916" s="209"/>
      <c r="AO3916" s="209"/>
    </row>
    <row r="3917" spans="1:41" ht="36.75" customHeight="1">
      <c r="A3917" s="46" t="s">
        <v>12471</v>
      </c>
      <c r="B3917" s="46" t="s">
        <v>2124</v>
      </c>
      <c r="C3917" s="69" t="str">
        <f t="shared" si="445"/>
        <v>Open</v>
      </c>
      <c r="D3917" s="36" t="s">
        <v>22912</v>
      </c>
      <c r="E3917" s="55" t="s">
        <v>22913</v>
      </c>
      <c r="F3917" s="55" t="s">
        <v>17682</v>
      </c>
      <c r="G3917" s="88">
        <f>DATE(2025,8,4)</f>
        <v>45873</v>
      </c>
      <c r="H3917" s="142">
        <v>0.65277777777777779</v>
      </c>
      <c r="I3917" s="55" t="s">
        <v>73</v>
      </c>
      <c r="J3917" s="55" t="s">
        <v>22914</v>
      </c>
      <c r="K3917" s="55" t="s">
        <v>1574</v>
      </c>
      <c r="L3917" s="55" t="s">
        <v>22891</v>
      </c>
      <c r="M3917" s="55" t="s">
        <v>63</v>
      </c>
      <c r="N3917" s="55" t="s">
        <v>89</v>
      </c>
      <c r="O3917" s="55" t="s">
        <v>77</v>
      </c>
      <c r="P3917" s="55" t="s">
        <v>78</v>
      </c>
      <c r="Q3917" s="55" t="s">
        <v>22327</v>
      </c>
      <c r="R3917" s="55" t="s">
        <v>19007</v>
      </c>
      <c r="S3917" s="55">
        <v>0</v>
      </c>
      <c r="T3917" s="55">
        <v>0</v>
      </c>
      <c r="U3917" s="55">
        <v>0</v>
      </c>
      <c r="V3917" s="55">
        <v>0</v>
      </c>
      <c r="W3917" s="55">
        <v>0</v>
      </c>
      <c r="X3917" s="55">
        <v>0</v>
      </c>
      <c r="Y3917" s="55">
        <v>0</v>
      </c>
      <c r="Z3917" s="55">
        <v>0</v>
      </c>
      <c r="AA3917" s="55">
        <v>0</v>
      </c>
      <c r="AB3917" s="55">
        <v>0</v>
      </c>
      <c r="AC3917" s="55">
        <v>0</v>
      </c>
      <c r="AD3917" s="55">
        <v>0</v>
      </c>
      <c r="AE3917" s="55" t="s">
        <v>92</v>
      </c>
      <c r="AF3917" s="55" t="s">
        <v>22915</v>
      </c>
      <c r="AG3917" s="55" t="s">
        <v>8859</v>
      </c>
      <c r="AH3917" s="72">
        <v>45875</v>
      </c>
      <c r="AI3917" s="55"/>
      <c r="AJ3917" s="55"/>
      <c r="AK3917" s="55"/>
      <c r="AL3917" s="157">
        <v>45876</v>
      </c>
      <c r="AM3917" s="55"/>
      <c r="AN3917" s="209"/>
      <c r="AO3917" s="209"/>
    </row>
    <row r="3918" spans="1:41" ht="36.75" customHeight="1">
      <c r="A3918" s="46" t="s">
        <v>12471</v>
      </c>
      <c r="B3918" s="46" t="s">
        <v>2124</v>
      </c>
      <c r="C3918" s="69" t="str">
        <f t="shared" ref="C3918" si="446">IF(B3918="Notification","Open",IF(B3918="Interim Statement","In progress","Closed"))</f>
        <v>Open</v>
      </c>
      <c r="D3918" s="36" t="s">
        <v>22916</v>
      </c>
      <c r="E3918" s="55" t="s">
        <v>22917</v>
      </c>
      <c r="F3918" s="55" t="s">
        <v>6455</v>
      </c>
      <c r="G3918" s="88">
        <f>DATE(2025,7,27)</f>
        <v>45865</v>
      </c>
      <c r="H3918" s="142">
        <v>0.75694444444444442</v>
      </c>
      <c r="I3918" s="55" t="s">
        <v>73</v>
      </c>
      <c r="J3918" s="55" t="s">
        <v>22918</v>
      </c>
      <c r="K3918" s="55" t="s">
        <v>584</v>
      </c>
      <c r="L3918" s="55" t="s">
        <v>22919</v>
      </c>
      <c r="M3918" s="55" t="s">
        <v>63</v>
      </c>
      <c r="N3918" s="55" t="s">
        <v>20011</v>
      </c>
      <c r="O3918" s="55" t="s">
        <v>64</v>
      </c>
      <c r="P3918" s="55" t="s">
        <v>165</v>
      </c>
      <c r="Q3918" s="55" t="s">
        <v>4487</v>
      </c>
      <c r="R3918" s="55" t="s">
        <v>21805</v>
      </c>
      <c r="S3918" s="55">
        <v>1</v>
      </c>
      <c r="T3918" s="55">
        <v>2</v>
      </c>
      <c r="U3918" s="55">
        <v>0</v>
      </c>
      <c r="V3918" s="55">
        <v>0</v>
      </c>
      <c r="W3918" s="55">
        <v>0</v>
      </c>
      <c r="X3918" s="55">
        <v>3</v>
      </c>
      <c r="Y3918" s="55">
        <v>5</v>
      </c>
      <c r="Z3918" s="55">
        <v>0</v>
      </c>
      <c r="AA3918" s="55">
        <v>0</v>
      </c>
      <c r="AB3918" s="55">
        <v>0</v>
      </c>
      <c r="AC3918" s="55">
        <v>0</v>
      </c>
      <c r="AD3918" s="55">
        <v>5</v>
      </c>
      <c r="AE3918" s="55" t="s">
        <v>145</v>
      </c>
      <c r="AF3918" s="55" t="s">
        <v>22920</v>
      </c>
      <c r="AG3918" s="55" t="s">
        <v>6459</v>
      </c>
      <c r="AH3918" s="72">
        <v>45866</v>
      </c>
      <c r="AI3918" s="55"/>
      <c r="AJ3918" s="55"/>
      <c r="AK3918" s="55"/>
      <c r="AL3918" s="157">
        <v>45880</v>
      </c>
      <c r="AM3918" s="55"/>
      <c r="AN3918" s="209"/>
      <c r="AO3918" s="209"/>
    </row>
    <row r="3919" spans="1:41" ht="36.75" customHeight="1">
      <c r="A3919" s="46" t="s">
        <v>12471</v>
      </c>
      <c r="B3919" s="46" t="s">
        <v>55</v>
      </c>
      <c r="C3919" s="69" t="str">
        <f t="shared" ref="C3919" si="447">IF(B3919="Notification","Open",IF(B3919="Interim Statement","In progress","Closed"))</f>
        <v>Closed</v>
      </c>
      <c r="D3919" s="203" t="s">
        <v>22921</v>
      </c>
      <c r="E3919" s="55" t="s">
        <v>22922</v>
      </c>
      <c r="F3919" s="55" t="s">
        <v>12910</v>
      </c>
      <c r="G3919" s="88">
        <f>DATE(2025,7,27)</f>
        <v>45865</v>
      </c>
      <c r="H3919" s="142">
        <v>0.2673611111111111</v>
      </c>
      <c r="I3919" s="55" t="s">
        <v>278</v>
      </c>
      <c r="J3919" s="55" t="s">
        <v>22923</v>
      </c>
      <c r="K3919" s="55" t="s">
        <v>453</v>
      </c>
      <c r="L3919" s="55" t="s">
        <v>22924</v>
      </c>
      <c r="M3919" s="55" t="s">
        <v>63</v>
      </c>
      <c r="N3919" s="55" t="s">
        <v>20011</v>
      </c>
      <c r="O3919" s="55" t="s">
        <v>64</v>
      </c>
      <c r="P3919" s="55" t="s">
        <v>165</v>
      </c>
      <c r="Q3919" s="55" t="s">
        <v>21990</v>
      </c>
      <c r="R3919" s="55" t="s">
        <v>21990</v>
      </c>
      <c r="S3919" s="55">
        <v>0</v>
      </c>
      <c r="T3919" s="55">
        <v>0</v>
      </c>
      <c r="U3919" s="55">
        <v>0</v>
      </c>
      <c r="V3919" s="55">
        <v>1</v>
      </c>
      <c r="W3919" s="55">
        <v>0</v>
      </c>
      <c r="X3919" s="55">
        <v>1</v>
      </c>
      <c r="Y3919" s="55">
        <v>0</v>
      </c>
      <c r="Z3919" s="55">
        <v>0</v>
      </c>
      <c r="AA3919" s="55">
        <v>0</v>
      </c>
      <c r="AB3919" s="55">
        <v>0</v>
      </c>
      <c r="AC3919" s="55">
        <v>0</v>
      </c>
      <c r="AD3919" s="55">
        <v>0</v>
      </c>
      <c r="AE3919" s="55" t="s">
        <v>92</v>
      </c>
      <c r="AF3919" s="55" t="s">
        <v>22925</v>
      </c>
      <c r="AG3919" s="55" t="s">
        <v>6459</v>
      </c>
      <c r="AH3919" s="72">
        <v>45880</v>
      </c>
      <c r="AI3919" s="55">
        <v>0</v>
      </c>
      <c r="AJ3919" s="55" t="s">
        <v>22926</v>
      </c>
      <c r="AK3919" s="55" t="s">
        <v>22927</v>
      </c>
      <c r="AL3919" s="157">
        <v>45881</v>
      </c>
      <c r="AM3919" s="55"/>
      <c r="AN3919" s="212">
        <v>45992</v>
      </c>
      <c r="AO3919" s="212">
        <v>45993</v>
      </c>
    </row>
    <row r="3920" spans="1:41" ht="36.75" customHeight="1">
      <c r="A3920" s="46" t="s">
        <v>12471</v>
      </c>
      <c r="B3920" s="46" t="s">
        <v>2124</v>
      </c>
      <c r="C3920" s="69" t="str">
        <f t="shared" ref="C3920:C3921" si="448">IF(B3920="Notification","Open",IF(B3920="Interim Statement","In progress","Closed"))</f>
        <v>Open</v>
      </c>
      <c r="D3920" s="36" t="s">
        <v>22928</v>
      </c>
      <c r="E3920" s="55" t="s">
        <v>22929</v>
      </c>
      <c r="F3920" s="55" t="s">
        <v>19670</v>
      </c>
      <c r="G3920" s="88">
        <f>DATE(2025,7,3)</f>
        <v>45841</v>
      </c>
      <c r="H3920" s="142">
        <v>0.51388888888888884</v>
      </c>
      <c r="I3920" s="55" t="s">
        <v>86</v>
      </c>
      <c r="J3920" s="55" t="s">
        <v>22930</v>
      </c>
      <c r="K3920" s="55" t="s">
        <v>2549</v>
      </c>
      <c r="L3920" s="55" t="s">
        <v>22931</v>
      </c>
      <c r="M3920" s="55" t="s">
        <v>63</v>
      </c>
      <c r="N3920" s="55" t="s">
        <v>142</v>
      </c>
      <c r="O3920" s="55" t="s">
        <v>64</v>
      </c>
      <c r="P3920" s="55" t="s">
        <v>165</v>
      </c>
      <c r="Q3920" s="55" t="s">
        <v>21572</v>
      </c>
      <c r="R3920" s="55" t="s">
        <v>21573</v>
      </c>
      <c r="S3920" s="55"/>
      <c r="T3920" s="55"/>
      <c r="U3920" s="55"/>
      <c r="V3920" s="55"/>
      <c r="W3920" s="55"/>
      <c r="X3920" s="55">
        <v>0</v>
      </c>
      <c r="Y3920" s="55"/>
      <c r="Z3920" s="55"/>
      <c r="AA3920" s="55"/>
      <c r="AB3920" s="55"/>
      <c r="AC3920" s="55"/>
      <c r="AD3920" s="55">
        <v>0</v>
      </c>
      <c r="AE3920" s="55" t="s">
        <v>394</v>
      </c>
      <c r="AF3920" s="55" t="s">
        <v>22932</v>
      </c>
      <c r="AG3920" s="55" t="s">
        <v>14033</v>
      </c>
      <c r="AH3920" s="72">
        <v>45874</v>
      </c>
      <c r="AI3920" s="55"/>
      <c r="AJ3920" s="55"/>
      <c r="AK3920" s="55"/>
      <c r="AL3920" s="157">
        <v>45883</v>
      </c>
      <c r="AM3920" s="55"/>
      <c r="AN3920" s="209"/>
      <c r="AO3920" s="209"/>
    </row>
    <row r="3921" spans="1:54" ht="36.75" customHeight="1">
      <c r="A3921" s="46" t="s">
        <v>12471</v>
      </c>
      <c r="B3921" s="46" t="s">
        <v>2124</v>
      </c>
      <c r="C3921" s="69" t="str">
        <f t="shared" si="448"/>
        <v>Open</v>
      </c>
      <c r="D3921" s="36" t="s">
        <v>22933</v>
      </c>
      <c r="E3921" s="55" t="s">
        <v>22934</v>
      </c>
      <c r="F3921" s="55" t="s">
        <v>19670</v>
      </c>
      <c r="G3921" s="88">
        <f>DATE(2025,8,7)</f>
        <v>45876</v>
      </c>
      <c r="H3921" s="142">
        <v>0.59027777777777779</v>
      </c>
      <c r="I3921" s="55" t="s">
        <v>198</v>
      </c>
      <c r="J3921" s="55" t="s">
        <v>22935</v>
      </c>
      <c r="K3921" s="55" t="s">
        <v>2549</v>
      </c>
      <c r="L3921" s="55" t="s">
        <v>22936</v>
      </c>
      <c r="M3921" s="55" t="s">
        <v>63</v>
      </c>
      <c r="N3921" s="55" t="s">
        <v>89</v>
      </c>
      <c r="O3921" s="55" t="s">
        <v>77</v>
      </c>
      <c r="P3921" s="55" t="s">
        <v>165</v>
      </c>
      <c r="Q3921" s="55" t="s">
        <v>21572</v>
      </c>
      <c r="R3921" s="55" t="s">
        <v>21573</v>
      </c>
      <c r="S3921" s="55"/>
      <c r="T3921" s="55">
        <v>0</v>
      </c>
      <c r="U3921" s="55"/>
      <c r="V3921" s="55"/>
      <c r="W3921" s="55"/>
      <c r="X3921" s="55">
        <v>0</v>
      </c>
      <c r="Y3921" s="55"/>
      <c r="Z3921" s="55"/>
      <c r="AA3921" s="55"/>
      <c r="AB3921" s="55"/>
      <c r="AC3921" s="55"/>
      <c r="AD3921" s="55">
        <v>0</v>
      </c>
      <c r="AE3921" s="55" t="s">
        <v>394</v>
      </c>
      <c r="AF3921" s="55" t="s">
        <v>22937</v>
      </c>
      <c r="AG3921" s="55" t="s">
        <v>8859</v>
      </c>
      <c r="AH3921" s="72">
        <v>45877</v>
      </c>
      <c r="AI3921" s="55"/>
      <c r="AJ3921" s="55"/>
      <c r="AK3921" s="55"/>
      <c r="AL3921" s="157">
        <v>45883</v>
      </c>
      <c r="AM3921" s="55"/>
      <c r="AN3921" s="209"/>
      <c r="AO3921" s="209"/>
    </row>
    <row r="3922" spans="1:54" ht="36.75" customHeight="1">
      <c r="A3922" s="46" t="s">
        <v>12471</v>
      </c>
      <c r="B3922" s="46" t="s">
        <v>55</v>
      </c>
      <c r="C3922" s="69" t="str">
        <f t="shared" ref="C3922" si="449">IF(B3922="Notification","Open",IF(B3922="Interim Statement","In progress","Closed"))</f>
        <v>Closed</v>
      </c>
      <c r="D3922" s="58" t="s">
        <v>22938</v>
      </c>
      <c r="E3922" s="55" t="s">
        <v>22939</v>
      </c>
      <c r="F3922" s="55" t="s">
        <v>17773</v>
      </c>
      <c r="G3922" s="88">
        <f>DATE(2025,8,15)</f>
        <v>45884</v>
      </c>
      <c r="H3922" s="142">
        <v>0.21180555555555555</v>
      </c>
      <c r="I3922" s="55" t="s">
        <v>73</v>
      </c>
      <c r="J3922" s="55" t="s">
        <v>22940</v>
      </c>
      <c r="K3922" s="55" t="s">
        <v>2603</v>
      </c>
      <c r="L3922" s="55" t="s">
        <v>22941</v>
      </c>
      <c r="M3922" s="55" t="s">
        <v>63</v>
      </c>
      <c r="N3922" s="55" t="s">
        <v>20011</v>
      </c>
      <c r="O3922" s="55" t="s">
        <v>64</v>
      </c>
      <c r="P3922" s="55" t="s">
        <v>78</v>
      </c>
      <c r="Q3922" s="55" t="s">
        <v>22942</v>
      </c>
      <c r="R3922" s="55" t="s">
        <v>18439</v>
      </c>
      <c r="S3922" s="55">
        <v>0</v>
      </c>
      <c r="T3922" s="55">
        <v>0</v>
      </c>
      <c r="U3922" s="55">
        <v>0</v>
      </c>
      <c r="V3922" s="55">
        <v>0</v>
      </c>
      <c r="W3922" s="55">
        <v>0</v>
      </c>
      <c r="X3922" s="55">
        <v>0</v>
      </c>
      <c r="Y3922" s="55">
        <v>0</v>
      </c>
      <c r="Z3922" s="55">
        <v>0</v>
      </c>
      <c r="AA3922" s="55">
        <v>0</v>
      </c>
      <c r="AB3922" s="55">
        <v>0</v>
      </c>
      <c r="AC3922" s="55">
        <v>0</v>
      </c>
      <c r="AD3922" s="55">
        <v>0</v>
      </c>
      <c r="AE3922" s="55" t="s">
        <v>394</v>
      </c>
      <c r="AF3922" s="55" t="s">
        <v>22943</v>
      </c>
      <c r="AG3922" s="55" t="s">
        <v>6459</v>
      </c>
      <c r="AH3922" s="72">
        <v>45884</v>
      </c>
      <c r="AI3922" s="55">
        <v>5</v>
      </c>
      <c r="AJ3922" s="55" t="s">
        <v>45950</v>
      </c>
      <c r="AK3922" s="55" t="s">
        <v>45951</v>
      </c>
      <c r="AL3922" s="157">
        <v>45887</v>
      </c>
      <c r="AM3922" s="55"/>
      <c r="AN3922" s="212">
        <v>46085</v>
      </c>
      <c r="AO3922" s="212">
        <v>46059</v>
      </c>
      <c r="AP3922" s="68"/>
      <c r="AQ3922" s="68"/>
      <c r="AR3922" s="68"/>
      <c r="AS3922" s="68"/>
      <c r="AT3922" s="68"/>
      <c r="AU3922" s="68"/>
      <c r="AV3922" s="68"/>
      <c r="AW3922" s="68"/>
      <c r="AX3922" s="68"/>
      <c r="AY3922" s="68"/>
      <c r="AZ3922" s="68"/>
      <c r="BA3922" s="68"/>
      <c r="BB3922" s="68"/>
    </row>
    <row r="3923" spans="1:54" ht="36.75" customHeight="1">
      <c r="A3923" s="46" t="s">
        <v>12471</v>
      </c>
      <c r="B3923" s="46" t="s">
        <v>2124</v>
      </c>
      <c r="C3923" s="69" t="str">
        <f t="shared" ref="C3923" si="450">IF(B3923="Notification","Open",IF(B3923="Interim Statement","In progress","Closed"))</f>
        <v>Open</v>
      </c>
      <c r="D3923" s="36" t="s">
        <v>22944</v>
      </c>
      <c r="E3923" s="55" t="s">
        <v>22945</v>
      </c>
      <c r="F3923" s="55" t="s">
        <v>17057</v>
      </c>
      <c r="G3923" s="88">
        <f>DATE(2025,8,13)</f>
        <v>45882</v>
      </c>
      <c r="H3923" s="142">
        <v>0.15277777777777779</v>
      </c>
      <c r="I3923" s="55" t="s">
        <v>6775</v>
      </c>
      <c r="J3923" s="55" t="s">
        <v>22946</v>
      </c>
      <c r="K3923" s="55" t="s">
        <v>2338</v>
      </c>
      <c r="L3923" s="55" t="s">
        <v>22947</v>
      </c>
      <c r="M3923" s="55" t="s">
        <v>63</v>
      </c>
      <c r="N3923" s="55" t="s">
        <v>89</v>
      </c>
      <c r="O3923" s="55" t="s">
        <v>77</v>
      </c>
      <c r="P3923" s="55" t="s">
        <v>165</v>
      </c>
      <c r="Q3923" s="55" t="s">
        <v>22948</v>
      </c>
      <c r="R3923" s="55" t="s">
        <v>2341</v>
      </c>
      <c r="S3923" s="55">
        <v>0</v>
      </c>
      <c r="T3923" s="55">
        <v>0</v>
      </c>
      <c r="U3923" s="55">
        <v>0</v>
      </c>
      <c r="V3923" s="55">
        <v>0</v>
      </c>
      <c r="W3923" s="55">
        <v>0</v>
      </c>
      <c r="X3923" s="55">
        <v>0</v>
      </c>
      <c r="Y3923" s="55">
        <v>0</v>
      </c>
      <c r="Z3923" s="55">
        <v>0</v>
      </c>
      <c r="AA3923" s="55">
        <v>0</v>
      </c>
      <c r="AB3923" s="55">
        <v>0</v>
      </c>
      <c r="AC3923" s="55">
        <v>0</v>
      </c>
      <c r="AD3923" s="55">
        <v>0</v>
      </c>
      <c r="AE3923" s="55" t="s">
        <v>92</v>
      </c>
      <c r="AF3923" s="55" t="s">
        <v>18510</v>
      </c>
      <c r="AG3923" s="55" t="s">
        <v>13537</v>
      </c>
      <c r="AH3923" s="72">
        <v>45889</v>
      </c>
      <c r="AI3923" s="55"/>
      <c r="AJ3923" s="55"/>
      <c r="AK3923" s="55"/>
      <c r="AL3923" s="157">
        <v>45890</v>
      </c>
      <c r="AM3923" s="55"/>
      <c r="AN3923" s="209"/>
      <c r="AO3923" s="209"/>
    </row>
    <row r="3924" spans="1:54" ht="36.75" customHeight="1">
      <c r="A3924" s="46" t="s">
        <v>12471</v>
      </c>
      <c r="B3924" s="46" t="s">
        <v>2124</v>
      </c>
      <c r="C3924" s="69" t="str">
        <f t="shared" ref="C3924" si="451">IF(B3924="Notification","Open",IF(B3924="Interim Statement","In progress","Closed"))</f>
        <v>Open</v>
      </c>
      <c r="D3924" s="36" t="s">
        <v>22949</v>
      </c>
      <c r="E3924" s="55" t="s">
        <v>22950</v>
      </c>
      <c r="F3924" s="55" t="s">
        <v>17682</v>
      </c>
      <c r="G3924" s="88">
        <f>DATE(2025,8,18)</f>
        <v>45887</v>
      </c>
      <c r="H3924" s="142">
        <v>6.9444444444444448E-2</v>
      </c>
      <c r="I3924" s="55" t="s">
        <v>73</v>
      </c>
      <c r="J3924" s="55" t="s">
        <v>22951</v>
      </c>
      <c r="K3924" s="55" t="s">
        <v>1574</v>
      </c>
      <c r="L3924" s="55" t="s">
        <v>19107</v>
      </c>
      <c r="M3924" s="55" t="s">
        <v>63</v>
      </c>
      <c r="N3924" s="55" t="s">
        <v>89</v>
      </c>
      <c r="O3924" s="55" t="s">
        <v>77</v>
      </c>
      <c r="P3924" s="55" t="s">
        <v>78</v>
      </c>
      <c r="Q3924" s="55" t="s">
        <v>22952</v>
      </c>
      <c r="R3924" s="55" t="s">
        <v>19007</v>
      </c>
      <c r="S3924" s="55">
        <v>0</v>
      </c>
      <c r="T3924" s="55">
        <v>0</v>
      </c>
      <c r="U3924" s="55">
        <v>0</v>
      </c>
      <c r="V3924" s="55">
        <v>0</v>
      </c>
      <c r="W3924" s="55">
        <v>0</v>
      </c>
      <c r="X3924" s="55">
        <v>0</v>
      </c>
      <c r="Y3924" s="55">
        <v>0</v>
      </c>
      <c r="Z3924" s="55">
        <v>0</v>
      </c>
      <c r="AA3924" s="55">
        <v>0</v>
      </c>
      <c r="AB3924" s="55">
        <v>0</v>
      </c>
      <c r="AC3924" s="55">
        <v>0</v>
      </c>
      <c r="AD3924" s="55">
        <v>0</v>
      </c>
      <c r="AE3924" s="55" t="s">
        <v>92</v>
      </c>
      <c r="AF3924" s="214" t="s">
        <v>22953</v>
      </c>
      <c r="AG3924" s="55" t="s">
        <v>8859</v>
      </c>
      <c r="AH3924" s="72">
        <v>45887</v>
      </c>
      <c r="AI3924" s="55"/>
      <c r="AJ3924" s="55"/>
      <c r="AK3924" s="55"/>
      <c r="AL3924" s="157">
        <v>45890</v>
      </c>
      <c r="AM3924" s="55"/>
      <c r="AN3924" s="209"/>
      <c r="AO3924" s="209"/>
    </row>
    <row r="3925" spans="1:54" ht="36.75" customHeight="1">
      <c r="A3925" s="46" t="s">
        <v>12471</v>
      </c>
      <c r="B3925" s="46" t="s">
        <v>2124</v>
      </c>
      <c r="C3925" s="69" t="str">
        <f t="shared" ref="C3925" si="452">IF(B3925="Notification","Open",IF(B3925="Interim Statement","In progress","Closed"))</f>
        <v>Open</v>
      </c>
      <c r="D3925" s="36" t="s">
        <v>22954</v>
      </c>
      <c r="E3925" s="55" t="s">
        <v>22955</v>
      </c>
      <c r="F3925" s="55" t="s">
        <v>17682</v>
      </c>
      <c r="G3925" s="88">
        <f>DATE(2025,8,19)</f>
        <v>45888</v>
      </c>
      <c r="H3925" s="142">
        <v>0.13194444444444445</v>
      </c>
      <c r="I3925" s="55" t="s">
        <v>73</v>
      </c>
      <c r="J3925" s="55" t="s">
        <v>22956</v>
      </c>
      <c r="K3925" s="55" t="s">
        <v>1574</v>
      </c>
      <c r="L3925" s="55" t="s">
        <v>12355</v>
      </c>
      <c r="M3925" s="55" t="s">
        <v>63</v>
      </c>
      <c r="N3925" s="55" t="s">
        <v>89</v>
      </c>
      <c r="O3925" s="55" t="s">
        <v>77</v>
      </c>
      <c r="P3925" s="55" t="s">
        <v>78</v>
      </c>
      <c r="Q3925" s="55" t="s">
        <v>19650</v>
      </c>
      <c r="R3925" s="55" t="s">
        <v>19007</v>
      </c>
      <c r="S3925" s="55">
        <v>0</v>
      </c>
      <c r="T3925" s="55">
        <v>0</v>
      </c>
      <c r="U3925" s="55">
        <v>0</v>
      </c>
      <c r="V3925" s="55">
        <v>0</v>
      </c>
      <c r="W3925" s="55">
        <v>0</v>
      </c>
      <c r="X3925" s="55">
        <v>0</v>
      </c>
      <c r="Y3925" s="55">
        <v>0</v>
      </c>
      <c r="Z3925" s="55">
        <v>0</v>
      </c>
      <c r="AA3925" s="55">
        <v>0</v>
      </c>
      <c r="AB3925" s="55">
        <v>0</v>
      </c>
      <c r="AC3925" s="55">
        <v>0</v>
      </c>
      <c r="AD3925" s="55">
        <v>0</v>
      </c>
      <c r="AE3925" s="55" t="s">
        <v>92</v>
      </c>
      <c r="AF3925" s="55" t="s">
        <v>22957</v>
      </c>
      <c r="AG3925" s="55" t="s">
        <v>8859</v>
      </c>
      <c r="AH3925" s="72">
        <v>45890</v>
      </c>
      <c r="AI3925" s="55"/>
      <c r="AJ3925" s="55"/>
      <c r="AK3925" s="55"/>
      <c r="AL3925" s="157">
        <v>45890</v>
      </c>
      <c r="AM3925" s="55"/>
      <c r="AN3925" s="209"/>
      <c r="AO3925" s="209"/>
    </row>
    <row r="3926" spans="1:54" ht="36.75" customHeight="1">
      <c r="A3926" s="46" t="s">
        <v>12471</v>
      </c>
      <c r="B3926" s="46" t="s">
        <v>2124</v>
      </c>
      <c r="C3926" s="69" t="str">
        <f t="shared" ref="C3926" si="453">IF(B3926="Notification","Open",IF(B3926="Interim Statement","In progress","Closed"))</f>
        <v>Open</v>
      </c>
      <c r="D3926" s="36" t="s">
        <v>22958</v>
      </c>
      <c r="E3926" s="55" t="s">
        <v>22959</v>
      </c>
      <c r="F3926" s="55" t="s">
        <v>18131</v>
      </c>
      <c r="G3926" s="88">
        <f>DATE(2025,8,20)</f>
        <v>45889</v>
      </c>
      <c r="H3926" s="142">
        <v>0.34722222222222221</v>
      </c>
      <c r="I3926" s="55" t="s">
        <v>198</v>
      </c>
      <c r="J3926" s="55" t="s">
        <v>22960</v>
      </c>
      <c r="K3926" s="55" t="s">
        <v>379</v>
      </c>
      <c r="L3926" s="55" t="s">
        <v>22961</v>
      </c>
      <c r="M3926" s="55" t="s">
        <v>63</v>
      </c>
      <c r="N3926" s="55" t="s">
        <v>142</v>
      </c>
      <c r="O3926" s="55" t="s">
        <v>77</v>
      </c>
      <c r="P3926" s="55" t="s">
        <v>78</v>
      </c>
      <c r="Q3926" s="55" t="s">
        <v>22962</v>
      </c>
      <c r="R3926" s="55" t="s">
        <v>19604</v>
      </c>
      <c r="S3926" s="55"/>
      <c r="T3926" s="55"/>
      <c r="U3926" s="55"/>
      <c r="V3926" s="55"/>
      <c r="W3926" s="55"/>
      <c r="X3926" s="55">
        <v>0</v>
      </c>
      <c r="Y3926" s="55"/>
      <c r="Z3926" s="55"/>
      <c r="AA3926" s="55"/>
      <c r="AB3926" s="55"/>
      <c r="AC3926" s="55"/>
      <c r="AD3926" s="55">
        <v>0</v>
      </c>
      <c r="AE3926" s="55" t="s">
        <v>394</v>
      </c>
      <c r="AF3926" s="55" t="s">
        <v>22308</v>
      </c>
      <c r="AG3926" s="55" t="s">
        <v>14033</v>
      </c>
      <c r="AH3926" s="72">
        <v>45889</v>
      </c>
      <c r="AI3926" s="55"/>
      <c r="AJ3926" s="55"/>
      <c r="AK3926" s="55"/>
      <c r="AL3926" s="157">
        <v>45891</v>
      </c>
      <c r="AM3926" s="55"/>
      <c r="AN3926" s="209"/>
      <c r="AO3926" s="209"/>
    </row>
    <row r="3927" spans="1:54" ht="36.75" customHeight="1">
      <c r="A3927" s="46" t="s">
        <v>12471</v>
      </c>
      <c r="B3927" s="46" t="s">
        <v>2124</v>
      </c>
      <c r="C3927" s="69" t="str">
        <f t="shared" ref="C3927" si="454">IF(B3927="Notification","Open",IF(B3927="Interim Statement","In progress","Closed"))</f>
        <v>Open</v>
      </c>
      <c r="D3927" s="36" t="s">
        <v>22963</v>
      </c>
      <c r="E3927" s="55" t="s">
        <v>22964</v>
      </c>
      <c r="F3927" s="55" t="s">
        <v>17057</v>
      </c>
      <c r="G3927" s="88">
        <f>DATE(2025,8,15)</f>
        <v>45884</v>
      </c>
      <c r="H3927" s="142">
        <v>0.57986111111111116</v>
      </c>
      <c r="I3927" s="55" t="s">
        <v>116</v>
      </c>
      <c r="J3927" s="55" t="s">
        <v>22473</v>
      </c>
      <c r="K3927" s="55" t="s">
        <v>2338</v>
      </c>
      <c r="L3927" s="55" t="s">
        <v>22965</v>
      </c>
      <c r="M3927" s="55" t="s">
        <v>63</v>
      </c>
      <c r="N3927" s="55" t="s">
        <v>142</v>
      </c>
      <c r="O3927" s="55" t="s">
        <v>64</v>
      </c>
      <c r="P3927" s="55" t="s">
        <v>165</v>
      </c>
      <c r="Q3927" s="55" t="s">
        <v>18726</v>
      </c>
      <c r="R3927" s="55" t="s">
        <v>2341</v>
      </c>
      <c r="S3927" s="55">
        <v>0</v>
      </c>
      <c r="T3927" s="55">
        <v>0</v>
      </c>
      <c r="U3927" s="55">
        <v>4</v>
      </c>
      <c r="V3927" s="55">
        <v>0</v>
      </c>
      <c r="W3927" s="55">
        <v>0</v>
      </c>
      <c r="X3927" s="55">
        <v>0</v>
      </c>
      <c r="Y3927" s="55">
        <v>0</v>
      </c>
      <c r="Z3927" s="55">
        <v>0</v>
      </c>
      <c r="AA3927" s="55">
        <v>0</v>
      </c>
      <c r="AB3927" s="55">
        <v>0</v>
      </c>
      <c r="AC3927" s="55">
        <v>0</v>
      </c>
      <c r="AD3927" s="55">
        <v>0</v>
      </c>
      <c r="AE3927" s="55" t="s">
        <v>92</v>
      </c>
      <c r="AF3927" s="55" t="s">
        <v>22966</v>
      </c>
      <c r="AG3927" s="55" t="s">
        <v>13537</v>
      </c>
      <c r="AH3927" s="72">
        <v>45890</v>
      </c>
      <c r="AI3927" s="55"/>
      <c r="AJ3927" s="55"/>
      <c r="AK3927" s="55"/>
      <c r="AL3927" s="157">
        <v>45891</v>
      </c>
      <c r="AM3927" s="55"/>
      <c r="AN3927" s="209"/>
      <c r="AO3927" s="209"/>
    </row>
    <row r="3928" spans="1:54" ht="36.75" customHeight="1">
      <c r="A3928" s="46" t="s">
        <v>12471</v>
      </c>
      <c r="B3928" s="46" t="s">
        <v>2124</v>
      </c>
      <c r="C3928" s="69" t="str">
        <f t="shared" ref="C3928" si="455">IF(B3928="Notification","Open",IF(B3928="Interim Statement","In progress","Closed"))</f>
        <v>Open</v>
      </c>
      <c r="D3928" s="36" t="s">
        <v>22967</v>
      </c>
      <c r="E3928" s="55" t="s">
        <v>22968</v>
      </c>
      <c r="F3928" s="55" t="s">
        <v>12910</v>
      </c>
      <c r="G3928" s="88">
        <f>DATE(2025,8,15)</f>
        <v>45884</v>
      </c>
      <c r="H3928" s="142">
        <v>0.69791666666666663</v>
      </c>
      <c r="I3928" s="55" t="s">
        <v>116</v>
      </c>
      <c r="J3928" s="55" t="s">
        <v>22969</v>
      </c>
      <c r="K3928" s="55" t="s">
        <v>453</v>
      </c>
      <c r="L3928" s="55" t="s">
        <v>22970</v>
      </c>
      <c r="M3928" s="55" t="s">
        <v>22556</v>
      </c>
      <c r="N3928" s="55" t="s">
        <v>20011</v>
      </c>
      <c r="O3928" s="55" t="s">
        <v>64</v>
      </c>
      <c r="P3928" s="55" t="s">
        <v>65</v>
      </c>
      <c r="Q3928" s="55" t="s">
        <v>14384</v>
      </c>
      <c r="R3928" s="55" t="s">
        <v>572</v>
      </c>
      <c r="S3928" s="55">
        <v>1</v>
      </c>
      <c r="T3928" s="55">
        <v>0</v>
      </c>
      <c r="U3928" s="55">
        <v>0</v>
      </c>
      <c r="V3928" s="55">
        <v>0</v>
      </c>
      <c r="W3928" s="55">
        <v>0</v>
      </c>
      <c r="X3928" s="55">
        <v>1</v>
      </c>
      <c r="Y3928" s="55">
        <v>0</v>
      </c>
      <c r="Z3928" s="55">
        <v>1</v>
      </c>
      <c r="AA3928" s="55">
        <v>1</v>
      </c>
      <c r="AB3928" s="55">
        <v>0</v>
      </c>
      <c r="AC3928" s="55">
        <v>0</v>
      </c>
      <c r="AD3928" s="55">
        <v>2</v>
      </c>
      <c r="AE3928" s="55" t="s">
        <v>145</v>
      </c>
      <c r="AF3928" s="55" t="s">
        <v>22971</v>
      </c>
      <c r="AG3928" s="55" t="s">
        <v>6459</v>
      </c>
      <c r="AH3928" s="72">
        <v>45887</v>
      </c>
      <c r="AI3928" s="55"/>
      <c r="AJ3928" s="55"/>
      <c r="AK3928" s="55"/>
      <c r="AL3928" s="157">
        <v>45894</v>
      </c>
      <c r="AM3928" s="55"/>
      <c r="AN3928" s="209"/>
      <c r="AO3928" s="209"/>
    </row>
    <row r="3929" spans="1:54" ht="36.75" customHeight="1">
      <c r="A3929" s="46" t="s">
        <v>12471</v>
      </c>
      <c r="B3929" s="46" t="s">
        <v>2124</v>
      </c>
      <c r="C3929" s="69" t="str">
        <f t="shared" ref="C3929" si="456">IF(B3929="Notification","Open",IF(B3929="Interim Statement","In progress","Closed"))</f>
        <v>Open</v>
      </c>
      <c r="D3929" s="36" t="s">
        <v>22972</v>
      </c>
      <c r="E3929" s="55" t="s">
        <v>22973</v>
      </c>
      <c r="F3929" s="55" t="s">
        <v>14753</v>
      </c>
      <c r="G3929" s="88">
        <f>DATE(2025,7,29)</f>
        <v>45867</v>
      </c>
      <c r="H3929" s="142">
        <v>0.81597222222222221</v>
      </c>
      <c r="I3929" s="55" t="s">
        <v>116</v>
      </c>
      <c r="J3929" s="55" t="s">
        <v>22974</v>
      </c>
      <c r="K3929" s="55" t="s">
        <v>1772</v>
      </c>
      <c r="L3929" s="55" t="s">
        <v>22975</v>
      </c>
      <c r="M3929" s="55" t="s">
        <v>63</v>
      </c>
      <c r="N3929" s="55" t="s">
        <v>142</v>
      </c>
      <c r="O3929" s="55" t="s">
        <v>64</v>
      </c>
      <c r="P3929" s="55" t="s">
        <v>78</v>
      </c>
      <c r="Q3929" s="55" t="s">
        <v>16522</v>
      </c>
      <c r="R3929" s="55" t="s">
        <v>1775</v>
      </c>
      <c r="S3929" s="55">
        <v>0</v>
      </c>
      <c r="T3929" s="55">
        <v>0</v>
      </c>
      <c r="U3929" s="55">
        <v>0</v>
      </c>
      <c r="V3929" s="55">
        <v>0</v>
      </c>
      <c r="W3929" s="55">
        <v>0</v>
      </c>
      <c r="X3929" s="55">
        <v>0</v>
      </c>
      <c r="Y3929" s="55">
        <v>0</v>
      </c>
      <c r="Z3929" s="55">
        <v>0</v>
      </c>
      <c r="AA3929" s="55">
        <v>0</v>
      </c>
      <c r="AB3929" s="55">
        <v>0</v>
      </c>
      <c r="AC3929" s="55">
        <v>0</v>
      </c>
      <c r="AD3929" s="55">
        <v>0</v>
      </c>
      <c r="AE3929" s="55" t="s">
        <v>394</v>
      </c>
      <c r="AF3929" s="55" t="s">
        <v>22976</v>
      </c>
      <c r="AG3929" s="55" t="s">
        <v>8859</v>
      </c>
      <c r="AH3929" s="72">
        <v>45881</v>
      </c>
      <c r="AI3929" s="55"/>
      <c r="AJ3929" s="55"/>
      <c r="AK3929" s="55"/>
      <c r="AL3929" s="157">
        <v>45897</v>
      </c>
      <c r="AM3929" s="55"/>
      <c r="AN3929" s="209"/>
      <c r="AO3929" s="209"/>
    </row>
    <row r="3930" spans="1:54" ht="36.75" customHeight="1">
      <c r="A3930" s="46" t="s">
        <v>12471</v>
      </c>
      <c r="B3930" s="46" t="s">
        <v>2124</v>
      </c>
      <c r="C3930" s="69" t="str">
        <f t="shared" ref="C3930" si="457">IF(B3930="Notification","Open",IF(B3930="Interim Statement","In progress","Closed"))</f>
        <v>Open</v>
      </c>
      <c r="D3930" s="36" t="s">
        <v>22977</v>
      </c>
      <c r="E3930" s="55" t="s">
        <v>22978</v>
      </c>
      <c r="F3930" s="55" t="s">
        <v>17344</v>
      </c>
      <c r="G3930" s="88">
        <f>DATE(2025,8,25)</f>
        <v>45894</v>
      </c>
      <c r="H3930" s="142">
        <v>0.79861111111111116</v>
      </c>
      <c r="I3930" s="55" t="s">
        <v>116</v>
      </c>
      <c r="J3930" s="55" t="s">
        <v>22979</v>
      </c>
      <c r="K3930" s="55" t="s">
        <v>127</v>
      </c>
      <c r="L3930" s="55" t="s">
        <v>22980</v>
      </c>
      <c r="M3930" s="55" t="s">
        <v>22556</v>
      </c>
      <c r="N3930" s="55" t="s">
        <v>20011</v>
      </c>
      <c r="O3930" s="55" t="s">
        <v>64</v>
      </c>
      <c r="P3930" s="55" t="s">
        <v>165</v>
      </c>
      <c r="Q3930" s="55" t="s">
        <v>17730</v>
      </c>
      <c r="R3930" s="55" t="s">
        <v>167</v>
      </c>
      <c r="S3930" s="55">
        <v>0</v>
      </c>
      <c r="T3930" s="55">
        <v>0</v>
      </c>
      <c r="U3930" s="55">
        <v>1</v>
      </c>
      <c r="V3930" s="55">
        <v>0</v>
      </c>
      <c r="W3930" s="55">
        <v>0</v>
      </c>
      <c r="X3930" s="55">
        <v>1</v>
      </c>
      <c r="Y3930" s="55">
        <v>0</v>
      </c>
      <c r="Z3930" s="55">
        <v>0</v>
      </c>
      <c r="AA3930" s="55">
        <v>0</v>
      </c>
      <c r="AB3930" s="55">
        <v>0</v>
      </c>
      <c r="AC3930" s="55">
        <v>0</v>
      </c>
      <c r="AD3930" s="55">
        <v>0</v>
      </c>
      <c r="AE3930" s="55" t="s">
        <v>394</v>
      </c>
      <c r="AF3930" s="55" t="s">
        <v>22981</v>
      </c>
      <c r="AG3930" s="55" t="s">
        <v>8859</v>
      </c>
      <c r="AH3930" s="72">
        <v>45901</v>
      </c>
      <c r="AI3930" s="55"/>
      <c r="AJ3930" s="55"/>
      <c r="AK3930" s="55"/>
      <c r="AL3930" s="157">
        <v>45901</v>
      </c>
      <c r="AM3930" s="55"/>
      <c r="AN3930" s="209"/>
      <c r="AO3930" s="209"/>
    </row>
    <row r="3931" spans="1:54" ht="36.75" customHeight="1">
      <c r="A3931" s="46" t="s">
        <v>12471</v>
      </c>
      <c r="B3931" s="46" t="s">
        <v>2124</v>
      </c>
      <c r="C3931" s="69" t="str">
        <f t="shared" ref="C3931" si="458">IF(B3931="Notification","Open",IF(B3931="Interim Statement","In progress","Closed"))</f>
        <v>Open</v>
      </c>
      <c r="D3931" s="36" t="s">
        <v>22982</v>
      </c>
      <c r="E3931" s="55" t="s">
        <v>22983</v>
      </c>
      <c r="F3931" s="55" t="s">
        <v>17682</v>
      </c>
      <c r="G3931" s="88">
        <f>DATE(2025,8,31)</f>
        <v>45900</v>
      </c>
      <c r="H3931" s="142">
        <v>0.65625</v>
      </c>
      <c r="I3931" s="55" t="s">
        <v>125</v>
      </c>
      <c r="J3931" s="55" t="s">
        <v>22984</v>
      </c>
      <c r="K3931" s="55" t="s">
        <v>1574</v>
      </c>
      <c r="L3931" s="55" t="s">
        <v>22985</v>
      </c>
      <c r="M3931" s="55" t="s">
        <v>63</v>
      </c>
      <c r="N3931" s="55" t="s">
        <v>89</v>
      </c>
      <c r="O3931" s="55" t="s">
        <v>77</v>
      </c>
      <c r="P3931" s="55" t="s">
        <v>65</v>
      </c>
      <c r="Q3931" s="55" t="s">
        <v>22986</v>
      </c>
      <c r="R3931" s="55" t="s">
        <v>19007</v>
      </c>
      <c r="S3931" s="55">
        <v>0</v>
      </c>
      <c r="T3931" s="55">
        <v>0</v>
      </c>
      <c r="U3931" s="55">
        <v>0</v>
      </c>
      <c r="V3931" s="55">
        <v>0</v>
      </c>
      <c r="W3931" s="55">
        <v>0</v>
      </c>
      <c r="X3931" s="55">
        <v>0</v>
      </c>
      <c r="Y3931" s="55">
        <v>0</v>
      </c>
      <c r="Z3931" s="55">
        <v>0</v>
      </c>
      <c r="AA3931" s="55">
        <v>0</v>
      </c>
      <c r="AB3931" s="55">
        <v>0</v>
      </c>
      <c r="AC3931" s="55">
        <v>0</v>
      </c>
      <c r="AD3931" s="55">
        <v>0</v>
      </c>
      <c r="AE3931" s="55" t="s">
        <v>92</v>
      </c>
      <c r="AF3931" s="55" t="s">
        <v>22987</v>
      </c>
      <c r="AG3931" s="55" t="s">
        <v>8859</v>
      </c>
      <c r="AH3931" s="72">
        <v>45902</v>
      </c>
      <c r="AI3931" s="55"/>
      <c r="AJ3931" s="55"/>
      <c r="AK3931" s="55"/>
      <c r="AL3931" s="157">
        <v>45902</v>
      </c>
      <c r="AM3931" s="55"/>
      <c r="AN3931" s="209"/>
      <c r="AO3931" s="209"/>
    </row>
    <row r="3932" spans="1:54" ht="36.75" customHeight="1">
      <c r="A3932" s="46" t="s">
        <v>12471</v>
      </c>
      <c r="B3932" s="46" t="s">
        <v>2124</v>
      </c>
      <c r="C3932" s="69" t="str">
        <f t="shared" ref="C3932" si="459">IF(B3932="Notification","Open",IF(B3932="Interim Statement","In progress","Closed"))</f>
        <v>Open</v>
      </c>
      <c r="D3932" s="36" t="s">
        <v>22988</v>
      </c>
      <c r="E3932" s="55" t="s">
        <v>22989</v>
      </c>
      <c r="F3932" s="55" t="s">
        <v>17578</v>
      </c>
      <c r="G3932" s="88">
        <f>DATE(2025,8,17)</f>
        <v>45886</v>
      </c>
      <c r="H3932" s="142">
        <v>0.62152777777777779</v>
      </c>
      <c r="I3932" s="55" t="s">
        <v>4610</v>
      </c>
      <c r="J3932" s="55" t="s">
        <v>22990</v>
      </c>
      <c r="K3932" s="55" t="s">
        <v>837</v>
      </c>
      <c r="L3932" s="55" t="s">
        <v>22991</v>
      </c>
      <c r="M3932" s="55" t="s">
        <v>63</v>
      </c>
      <c r="N3932" s="55" t="s">
        <v>142</v>
      </c>
      <c r="O3932" s="55" t="s">
        <v>77</v>
      </c>
      <c r="P3932" s="55" t="s">
        <v>381</v>
      </c>
      <c r="Q3932" s="55" t="s">
        <v>22992</v>
      </c>
      <c r="R3932" s="55" t="s">
        <v>22652</v>
      </c>
      <c r="S3932" s="55">
        <v>0</v>
      </c>
      <c r="T3932" s="55">
        <v>0</v>
      </c>
      <c r="U3932" s="55">
        <v>0</v>
      </c>
      <c r="V3932" s="55">
        <v>0</v>
      </c>
      <c r="W3932" s="55">
        <v>0</v>
      </c>
      <c r="X3932" s="55">
        <v>0</v>
      </c>
      <c r="Y3932" s="55">
        <v>0</v>
      </c>
      <c r="Z3932" s="55">
        <v>0</v>
      </c>
      <c r="AA3932" s="55">
        <v>0</v>
      </c>
      <c r="AB3932" s="55">
        <v>0</v>
      </c>
      <c r="AC3932" s="55">
        <v>0</v>
      </c>
      <c r="AD3932" s="55">
        <v>0</v>
      </c>
      <c r="AE3932" s="55" t="s">
        <v>92</v>
      </c>
      <c r="AF3932" s="55" t="s">
        <v>22993</v>
      </c>
      <c r="AG3932" s="55" t="s">
        <v>13537</v>
      </c>
      <c r="AH3932" s="72">
        <v>45902</v>
      </c>
      <c r="AI3932" s="55"/>
      <c r="AJ3932" s="55"/>
      <c r="AK3932" s="55"/>
      <c r="AL3932" s="157">
        <v>45904</v>
      </c>
      <c r="AM3932" s="55"/>
      <c r="AN3932" s="209"/>
      <c r="AO3932" s="209"/>
    </row>
    <row r="3933" spans="1:54" ht="36.75" customHeight="1">
      <c r="A3933" s="46" t="s">
        <v>12471</v>
      </c>
      <c r="B3933" s="46" t="s">
        <v>2124</v>
      </c>
      <c r="C3933" s="69" t="str">
        <f t="shared" ref="C3933" si="460">IF(B3933="Notification","Open",IF(B3933="Interim Statement","In progress","Closed"))</f>
        <v>Open</v>
      </c>
      <c r="D3933" s="36" t="s">
        <v>22994</v>
      </c>
      <c r="E3933" s="55" t="s">
        <v>22995</v>
      </c>
      <c r="F3933" s="55" t="s">
        <v>17578</v>
      </c>
      <c r="G3933" s="88">
        <f>DATE(2025,8,14)</f>
        <v>45883</v>
      </c>
      <c r="H3933" s="142">
        <v>0.28472222222222221</v>
      </c>
      <c r="I3933" s="55" t="s">
        <v>7482</v>
      </c>
      <c r="J3933" s="55" t="s">
        <v>22996</v>
      </c>
      <c r="K3933" s="55" t="s">
        <v>837</v>
      </c>
      <c r="L3933" s="55" t="s">
        <v>22997</v>
      </c>
      <c r="M3933" s="55" t="s">
        <v>63</v>
      </c>
      <c r="N3933" s="55" t="s">
        <v>99</v>
      </c>
      <c r="O3933" s="55" t="s">
        <v>64</v>
      </c>
      <c r="P3933" s="55" t="s">
        <v>165</v>
      </c>
      <c r="Q3933" s="55" t="s">
        <v>22720</v>
      </c>
      <c r="R3933" s="55" t="s">
        <v>22652</v>
      </c>
      <c r="S3933" s="55">
        <v>0</v>
      </c>
      <c r="T3933" s="55">
        <v>0</v>
      </c>
      <c r="U3933" s="55">
        <v>0</v>
      </c>
      <c r="V3933" s="55">
        <v>0</v>
      </c>
      <c r="W3933" s="55">
        <v>0</v>
      </c>
      <c r="X3933" s="55">
        <v>0</v>
      </c>
      <c r="Y3933" s="55">
        <v>0</v>
      </c>
      <c r="Z3933" s="55">
        <v>0</v>
      </c>
      <c r="AA3933" s="55">
        <v>0</v>
      </c>
      <c r="AB3933" s="55">
        <v>0</v>
      </c>
      <c r="AC3933" s="55">
        <v>0</v>
      </c>
      <c r="AD3933" s="55">
        <v>0</v>
      </c>
      <c r="AE3933" s="55" t="s">
        <v>92</v>
      </c>
      <c r="AF3933" s="55" t="s">
        <v>22998</v>
      </c>
      <c r="AG3933" s="55" t="s">
        <v>14033</v>
      </c>
      <c r="AH3933" s="72">
        <v>45905</v>
      </c>
      <c r="AI3933" s="55"/>
      <c r="AJ3933" s="55"/>
      <c r="AK3933" s="55"/>
      <c r="AL3933" s="157">
        <v>45908</v>
      </c>
      <c r="AM3933" s="55"/>
      <c r="AN3933" s="209"/>
      <c r="AO3933" s="209"/>
    </row>
    <row r="3934" spans="1:54" ht="36.75" customHeight="1">
      <c r="A3934" s="46" t="s">
        <v>12471</v>
      </c>
      <c r="B3934" s="46" t="s">
        <v>2124</v>
      </c>
      <c r="C3934" s="69" t="str">
        <f t="shared" ref="C3934:C3935" si="461">IF(B3934="Notification","Open",IF(B3934="Interim Statement","In progress","Closed"))</f>
        <v>Open</v>
      </c>
      <c r="D3934" s="36" t="s">
        <v>22999</v>
      </c>
      <c r="E3934" s="55" t="s">
        <v>23000</v>
      </c>
      <c r="F3934" s="55" t="s">
        <v>17682</v>
      </c>
      <c r="G3934" s="88">
        <f>DATE(2025,9,6)</f>
        <v>45906</v>
      </c>
      <c r="H3934" s="142">
        <v>0.76736111111111116</v>
      </c>
      <c r="I3934" s="55" t="s">
        <v>73</v>
      </c>
      <c r="J3934" s="55" t="s">
        <v>23001</v>
      </c>
      <c r="K3934" s="55" t="s">
        <v>1574</v>
      </c>
      <c r="L3934" s="55" t="s">
        <v>23002</v>
      </c>
      <c r="M3934" s="55" t="s">
        <v>63</v>
      </c>
      <c r="N3934" s="55" t="s">
        <v>99</v>
      </c>
      <c r="O3934" s="55" t="s">
        <v>64</v>
      </c>
      <c r="P3934" s="55" t="s">
        <v>78</v>
      </c>
      <c r="Q3934" s="55" t="s">
        <v>18063</v>
      </c>
      <c r="R3934" s="55" t="s">
        <v>19007</v>
      </c>
      <c r="S3934" s="55">
        <v>0</v>
      </c>
      <c r="T3934" s="55">
        <v>0</v>
      </c>
      <c r="U3934" s="55">
        <v>0</v>
      </c>
      <c r="V3934" s="55">
        <v>0</v>
      </c>
      <c r="W3934" s="55">
        <v>0</v>
      </c>
      <c r="X3934" s="55">
        <v>0</v>
      </c>
      <c r="Y3934" s="55">
        <v>0</v>
      </c>
      <c r="Z3934" s="55">
        <v>0</v>
      </c>
      <c r="AA3934" s="55">
        <v>0</v>
      </c>
      <c r="AB3934" s="55">
        <v>0</v>
      </c>
      <c r="AC3934" s="55">
        <v>0</v>
      </c>
      <c r="AD3934" s="55">
        <v>0</v>
      </c>
      <c r="AE3934" s="55" t="s">
        <v>92</v>
      </c>
      <c r="AF3934" s="55" t="s">
        <v>23003</v>
      </c>
      <c r="AG3934" s="55" t="s">
        <v>8859</v>
      </c>
      <c r="AH3934" s="72">
        <v>45910</v>
      </c>
      <c r="AI3934" s="55"/>
      <c r="AJ3934" s="55"/>
      <c r="AK3934" s="55"/>
      <c r="AL3934" s="157">
        <v>45910</v>
      </c>
      <c r="AM3934" s="55"/>
      <c r="AN3934" s="209"/>
      <c r="AO3934" s="209"/>
    </row>
    <row r="3935" spans="1:54" ht="36.75" customHeight="1">
      <c r="A3935" s="46" t="s">
        <v>12471</v>
      </c>
      <c r="B3935" s="46" t="s">
        <v>2124</v>
      </c>
      <c r="C3935" s="69" t="str">
        <f t="shared" si="461"/>
        <v>Open</v>
      </c>
      <c r="D3935" s="36" t="s">
        <v>23004</v>
      </c>
      <c r="E3935" s="55" t="s">
        <v>23005</v>
      </c>
      <c r="F3935" s="55" t="s">
        <v>17682</v>
      </c>
      <c r="G3935" s="88">
        <f>DATE(2025,9,8)</f>
        <v>45908</v>
      </c>
      <c r="H3935" s="142">
        <v>0.82291666666666663</v>
      </c>
      <c r="I3935" s="55" t="s">
        <v>125</v>
      </c>
      <c r="J3935" s="55" t="s">
        <v>23006</v>
      </c>
      <c r="K3935" s="55" t="s">
        <v>1574</v>
      </c>
      <c r="L3935" s="55" t="s">
        <v>23007</v>
      </c>
      <c r="M3935" s="55" t="s">
        <v>63</v>
      </c>
      <c r="N3935" s="55" t="s">
        <v>99</v>
      </c>
      <c r="O3935" s="55" t="s">
        <v>64</v>
      </c>
      <c r="P3935" s="55" t="s">
        <v>165</v>
      </c>
      <c r="Q3935" s="55" t="s">
        <v>22986</v>
      </c>
      <c r="R3935" s="55" t="s">
        <v>19007</v>
      </c>
      <c r="S3935" s="55">
        <v>0</v>
      </c>
      <c r="T3935" s="55">
        <v>0</v>
      </c>
      <c r="U3935" s="55">
        <v>0</v>
      </c>
      <c r="V3935" s="55">
        <v>0</v>
      </c>
      <c r="W3935" s="55">
        <v>0</v>
      </c>
      <c r="X3935" s="55">
        <v>0</v>
      </c>
      <c r="Y3935" s="55">
        <v>0</v>
      </c>
      <c r="Z3935" s="55">
        <v>0</v>
      </c>
      <c r="AA3935" s="55">
        <v>0</v>
      </c>
      <c r="AB3935" s="55">
        <v>0</v>
      </c>
      <c r="AC3935" s="55">
        <v>0</v>
      </c>
      <c r="AD3935" s="55">
        <v>0</v>
      </c>
      <c r="AE3935" s="55" t="s">
        <v>92</v>
      </c>
      <c r="AF3935" s="55" t="s">
        <v>23008</v>
      </c>
      <c r="AG3935" s="55" t="s">
        <v>8859</v>
      </c>
      <c r="AH3935" s="72">
        <v>45910</v>
      </c>
      <c r="AI3935" s="55"/>
      <c r="AJ3935" s="55"/>
      <c r="AK3935" s="55"/>
      <c r="AL3935" s="157">
        <v>45910</v>
      </c>
      <c r="AM3935" s="55"/>
      <c r="AN3935" s="209"/>
      <c r="AO3935" s="209"/>
    </row>
    <row r="3936" spans="1:54" ht="36.75" customHeight="1">
      <c r="A3936" s="46" t="s">
        <v>12471</v>
      </c>
      <c r="B3936" s="46" t="s">
        <v>2124</v>
      </c>
      <c r="C3936" s="69" t="str">
        <f t="shared" ref="C3936" si="462">IF(B3936="Notification","Open",IF(B3936="Interim Statement","In progress","Closed"))</f>
        <v>Open</v>
      </c>
      <c r="D3936" s="36" t="s">
        <v>23009</v>
      </c>
      <c r="E3936" s="55" t="s">
        <v>23010</v>
      </c>
      <c r="F3936" s="55" t="s">
        <v>16429</v>
      </c>
      <c r="G3936" s="88">
        <f>DATE(2025,9,9)</f>
        <v>45909</v>
      </c>
      <c r="H3936" s="142">
        <v>0.47430555555555554</v>
      </c>
      <c r="I3936" s="55" t="s">
        <v>156</v>
      </c>
      <c r="J3936" s="55" t="s">
        <v>23011</v>
      </c>
      <c r="K3936" s="55" t="s">
        <v>425</v>
      </c>
      <c r="L3936" s="55" t="s">
        <v>23012</v>
      </c>
      <c r="M3936" s="55" t="s">
        <v>63</v>
      </c>
      <c r="N3936" s="55" t="s">
        <v>99</v>
      </c>
      <c r="O3936" s="55" t="s">
        <v>64</v>
      </c>
      <c r="P3936" s="55" t="s">
        <v>23013</v>
      </c>
      <c r="Q3936" s="55" t="s">
        <v>17369</v>
      </c>
      <c r="R3936" s="55" t="s">
        <v>17369</v>
      </c>
      <c r="S3936" s="55">
        <v>0</v>
      </c>
      <c r="T3936" s="55">
        <v>0</v>
      </c>
      <c r="U3936" s="55">
        <v>0</v>
      </c>
      <c r="V3936" s="55">
        <v>0</v>
      </c>
      <c r="W3936" s="55">
        <v>0</v>
      </c>
      <c r="X3936" s="55">
        <v>0</v>
      </c>
      <c r="Y3936" s="55">
        <v>0</v>
      </c>
      <c r="Z3936" s="55">
        <v>1</v>
      </c>
      <c r="AA3936" s="55">
        <v>0</v>
      </c>
      <c r="AB3936" s="55">
        <v>0</v>
      </c>
      <c r="AC3936" s="55">
        <v>0</v>
      </c>
      <c r="AD3936" s="55">
        <v>1</v>
      </c>
      <c r="AE3936" s="55" t="s">
        <v>92</v>
      </c>
      <c r="AF3936" s="55" t="s">
        <v>19363</v>
      </c>
      <c r="AG3936" s="55" t="s">
        <v>20700</v>
      </c>
      <c r="AH3936" s="72">
        <v>45909</v>
      </c>
      <c r="AI3936" s="55"/>
      <c r="AJ3936" s="55"/>
      <c r="AK3936" s="55"/>
      <c r="AL3936" s="157">
        <v>45912</v>
      </c>
      <c r="AM3936" s="55"/>
      <c r="AN3936" s="209"/>
      <c r="AO3936" s="209"/>
    </row>
    <row r="3937" spans="1:41" ht="36.75" customHeight="1">
      <c r="A3937" s="46" t="s">
        <v>12471</v>
      </c>
      <c r="B3937" s="46" t="s">
        <v>2124</v>
      </c>
      <c r="C3937" s="69" t="str">
        <f t="shared" ref="C3937" si="463">IF(B3937="Notification","Open",IF(B3937="Interim Statement","In progress","Closed"))</f>
        <v>Open</v>
      </c>
      <c r="D3937" s="36" t="s">
        <v>23014</v>
      </c>
      <c r="E3937" s="55" t="s">
        <v>23015</v>
      </c>
      <c r="F3937" s="55" t="s">
        <v>17578</v>
      </c>
      <c r="G3937" s="88">
        <f>DATE(2025,9,12)</f>
        <v>45912</v>
      </c>
      <c r="H3937" s="142">
        <v>0.33333333333333331</v>
      </c>
      <c r="I3937" s="55" t="s">
        <v>73</v>
      </c>
      <c r="J3937" s="55" t="s">
        <v>23016</v>
      </c>
      <c r="K3937" s="55" t="s">
        <v>837</v>
      </c>
      <c r="L3937" s="55" t="s">
        <v>23017</v>
      </c>
      <c r="M3937" s="55" t="s">
        <v>63</v>
      </c>
      <c r="N3937" s="55" t="s">
        <v>99</v>
      </c>
      <c r="O3937" s="55" t="s">
        <v>77</v>
      </c>
      <c r="P3937" s="55" t="s">
        <v>165</v>
      </c>
      <c r="Q3937" s="55" t="s">
        <v>23018</v>
      </c>
      <c r="R3937" s="55" t="s">
        <v>22652</v>
      </c>
      <c r="S3937" s="55">
        <v>0</v>
      </c>
      <c r="T3937" s="55">
        <v>0</v>
      </c>
      <c r="U3937" s="55">
        <v>0</v>
      </c>
      <c r="V3937" s="55">
        <v>0</v>
      </c>
      <c r="W3937" s="55">
        <v>0</v>
      </c>
      <c r="X3937" s="55">
        <v>0</v>
      </c>
      <c r="Y3937" s="55">
        <v>0</v>
      </c>
      <c r="Z3937" s="55">
        <v>0</v>
      </c>
      <c r="AA3937" s="55">
        <v>0</v>
      </c>
      <c r="AB3937" s="55">
        <v>0</v>
      </c>
      <c r="AC3937" s="55">
        <v>0</v>
      </c>
      <c r="AD3937" s="55">
        <v>0</v>
      </c>
      <c r="AE3937" s="55" t="s">
        <v>394</v>
      </c>
      <c r="AF3937" s="55" t="s">
        <v>23019</v>
      </c>
      <c r="AG3937" s="55" t="s">
        <v>8859</v>
      </c>
      <c r="AH3937" s="72">
        <v>45912</v>
      </c>
      <c r="AI3937" s="55"/>
      <c r="AJ3937" s="55"/>
      <c r="AK3937" s="55"/>
      <c r="AL3937" s="157">
        <v>45915</v>
      </c>
      <c r="AM3937" s="55"/>
      <c r="AN3937" s="209"/>
      <c r="AO3937" s="209"/>
    </row>
    <row r="3938" spans="1:41" ht="36.75" customHeight="1">
      <c r="A3938" s="46" t="s">
        <v>12471</v>
      </c>
      <c r="B3938" s="46" t="s">
        <v>2124</v>
      </c>
      <c r="C3938" s="69" t="str">
        <f t="shared" ref="C3938" si="464">IF(B3938="Notification","Open",IF(B3938="Interim Statement","In progress","Closed"))</f>
        <v>Open</v>
      </c>
      <c r="D3938" s="36" t="s">
        <v>23020</v>
      </c>
      <c r="E3938" s="55" t="s">
        <v>23021</v>
      </c>
      <c r="F3938" s="55" t="s">
        <v>9789</v>
      </c>
      <c r="G3938" s="88">
        <f>DATE(2025,8,11)</f>
        <v>45880</v>
      </c>
      <c r="H3938" s="142">
        <v>0.30902777777777779</v>
      </c>
      <c r="I3938" s="55" t="s">
        <v>198</v>
      </c>
      <c r="J3938" s="259" t="s">
        <v>23022</v>
      </c>
      <c r="K3938" s="55" t="s">
        <v>9791</v>
      </c>
      <c r="L3938" s="55" t="s">
        <v>23023</v>
      </c>
      <c r="M3938" s="55" t="s">
        <v>63</v>
      </c>
      <c r="N3938" s="55" t="s">
        <v>89</v>
      </c>
      <c r="O3938" s="55" t="s">
        <v>77</v>
      </c>
      <c r="P3938" s="55" t="s">
        <v>301</v>
      </c>
      <c r="Q3938" s="55" t="s">
        <v>23024</v>
      </c>
      <c r="R3938" s="55" t="s">
        <v>20317</v>
      </c>
      <c r="S3938" s="55">
        <v>0</v>
      </c>
      <c r="T3938" s="55">
        <v>1</v>
      </c>
      <c r="U3938" s="55">
        <v>0</v>
      </c>
      <c r="V3938" s="55">
        <v>0</v>
      </c>
      <c r="W3938" s="55">
        <v>0</v>
      </c>
      <c r="X3938" s="55">
        <v>1</v>
      </c>
      <c r="Y3938" s="55">
        <v>0</v>
      </c>
      <c r="Z3938" s="55">
        <v>0</v>
      </c>
      <c r="AA3938" s="55">
        <v>0</v>
      </c>
      <c r="AB3938" s="55">
        <v>0</v>
      </c>
      <c r="AC3938" s="55">
        <v>0</v>
      </c>
      <c r="AD3938" s="55">
        <v>0</v>
      </c>
      <c r="AE3938" s="55" t="s">
        <v>92</v>
      </c>
      <c r="AF3938" s="55" t="s">
        <v>23025</v>
      </c>
      <c r="AG3938" s="55" t="s">
        <v>6459</v>
      </c>
      <c r="AH3938" s="72">
        <v>45909</v>
      </c>
      <c r="AI3938" s="55"/>
      <c r="AJ3938" s="55"/>
      <c r="AK3938" s="55"/>
      <c r="AL3938" s="157">
        <v>45915</v>
      </c>
      <c r="AM3938" s="55"/>
      <c r="AN3938" s="209"/>
      <c r="AO3938" s="209"/>
    </row>
    <row r="3939" spans="1:41" ht="36.75" customHeight="1">
      <c r="A3939" s="46" t="s">
        <v>12471</v>
      </c>
      <c r="B3939" s="46" t="s">
        <v>2124</v>
      </c>
      <c r="C3939" s="69" t="str">
        <f t="shared" ref="C3939" si="465">IF(B3939="Notification","Open",IF(B3939="Interim Statement","In progress","Closed"))</f>
        <v>Open</v>
      </c>
      <c r="D3939" s="36" t="s">
        <v>23026</v>
      </c>
      <c r="E3939" s="55" t="s">
        <v>23027</v>
      </c>
      <c r="F3939" s="55" t="s">
        <v>17820</v>
      </c>
      <c r="G3939" s="88">
        <f>DATE(2025,5,22)</f>
        <v>45799</v>
      </c>
      <c r="H3939" s="142">
        <v>0.91319444444444442</v>
      </c>
      <c r="I3939" s="55" t="s">
        <v>6775</v>
      </c>
      <c r="J3939" s="55" t="s">
        <v>23028</v>
      </c>
      <c r="K3939" s="55" t="s">
        <v>640</v>
      </c>
      <c r="L3939" s="55" t="s">
        <v>23029</v>
      </c>
      <c r="M3939" s="55" t="s">
        <v>22556</v>
      </c>
      <c r="N3939" s="55" t="s">
        <v>142</v>
      </c>
      <c r="O3939" s="55" t="s">
        <v>77</v>
      </c>
      <c r="P3939" s="55" t="s">
        <v>165</v>
      </c>
      <c r="Q3939" s="55" t="s">
        <v>18509</v>
      </c>
      <c r="R3939" s="55" t="s">
        <v>2016</v>
      </c>
      <c r="S3939" s="55">
        <v>0</v>
      </c>
      <c r="T3939" s="55">
        <v>0</v>
      </c>
      <c r="U3939" s="55">
        <v>0</v>
      </c>
      <c r="V3939" s="55">
        <v>0</v>
      </c>
      <c r="W3939" s="55">
        <v>0</v>
      </c>
      <c r="X3939" s="55">
        <v>0</v>
      </c>
      <c r="Y3939" s="55">
        <v>0</v>
      </c>
      <c r="Z3939" s="55">
        <v>0</v>
      </c>
      <c r="AA3939" s="55">
        <v>0</v>
      </c>
      <c r="AB3939" s="55">
        <v>0</v>
      </c>
      <c r="AC3939" s="55">
        <v>0</v>
      </c>
      <c r="AD3939" s="55">
        <v>0</v>
      </c>
      <c r="AE3939" s="55" t="s">
        <v>92</v>
      </c>
      <c r="AF3939" s="55" t="s">
        <v>23030</v>
      </c>
      <c r="AG3939" s="55" t="s">
        <v>13537</v>
      </c>
      <c r="AH3939" s="72">
        <v>45910</v>
      </c>
      <c r="AI3939" s="55"/>
      <c r="AJ3939" s="55"/>
      <c r="AK3939" s="55"/>
      <c r="AL3939" s="157">
        <v>45916</v>
      </c>
      <c r="AM3939" s="55"/>
      <c r="AN3939" s="209"/>
      <c r="AO3939" s="209"/>
    </row>
    <row r="3940" spans="1:41" ht="36.75" customHeight="1">
      <c r="A3940" s="46" t="s">
        <v>12471</v>
      </c>
      <c r="B3940" s="46" t="s">
        <v>2124</v>
      </c>
      <c r="C3940" s="69" t="str">
        <f t="shared" ref="C3940" si="466">IF(B3940="Notification","Open",IF(B3940="Interim Statement","In progress","Closed"))</f>
        <v>Open</v>
      </c>
      <c r="D3940" s="36" t="s">
        <v>23031</v>
      </c>
      <c r="E3940" s="55" t="s">
        <v>23032</v>
      </c>
      <c r="F3940" s="55" t="s">
        <v>16429</v>
      </c>
      <c r="G3940" s="88">
        <f>DATE(2025,9,18)</f>
        <v>45918</v>
      </c>
      <c r="H3940" s="142">
        <v>0.43402777777777779</v>
      </c>
      <c r="I3940" s="55" t="s">
        <v>4610</v>
      </c>
      <c r="J3940" s="55" t="s">
        <v>23033</v>
      </c>
      <c r="K3940" s="55" t="s">
        <v>425</v>
      </c>
      <c r="L3940" s="55" t="s">
        <v>23034</v>
      </c>
      <c r="M3940" s="55" t="s">
        <v>22556</v>
      </c>
      <c r="N3940" s="55" t="s">
        <v>142</v>
      </c>
      <c r="O3940" s="55" t="s">
        <v>77</v>
      </c>
      <c r="P3940" s="55" t="s">
        <v>23035</v>
      </c>
      <c r="Q3940" s="55" t="s">
        <v>23036</v>
      </c>
      <c r="R3940" s="55" t="s">
        <v>17369</v>
      </c>
      <c r="S3940" s="55">
        <v>0</v>
      </c>
      <c r="T3940" s="55">
        <v>0</v>
      </c>
      <c r="U3940" s="55">
        <v>0</v>
      </c>
      <c r="V3940" s="55">
        <v>0</v>
      </c>
      <c r="W3940" s="55">
        <v>0</v>
      </c>
      <c r="X3940" s="55">
        <v>0</v>
      </c>
      <c r="Y3940" s="55">
        <v>0</v>
      </c>
      <c r="Z3940" s="55">
        <v>0</v>
      </c>
      <c r="AA3940" s="55">
        <v>0</v>
      </c>
      <c r="AB3940" s="55">
        <v>0</v>
      </c>
      <c r="AC3940" s="55">
        <v>0</v>
      </c>
      <c r="AD3940" s="55">
        <v>0</v>
      </c>
      <c r="AE3940" s="55" t="s">
        <v>92</v>
      </c>
      <c r="AF3940" s="55" t="s">
        <v>21699</v>
      </c>
      <c r="AG3940" s="55" t="s">
        <v>16283</v>
      </c>
      <c r="AH3940" s="72">
        <v>45918</v>
      </c>
      <c r="AI3940" s="55"/>
      <c r="AJ3940" s="55"/>
      <c r="AK3940" s="55"/>
      <c r="AL3940" s="157">
        <v>45924</v>
      </c>
      <c r="AM3940" s="55"/>
      <c r="AN3940" s="209"/>
      <c r="AO3940" s="209"/>
    </row>
    <row r="3941" spans="1:41" ht="36.75" customHeight="1">
      <c r="A3941" s="46" t="s">
        <v>12471</v>
      </c>
      <c r="B3941" s="46" t="s">
        <v>2124</v>
      </c>
      <c r="C3941" s="69" t="str">
        <f t="shared" ref="C3941" si="467">IF(B3941="Notification","Open",IF(B3941="Interim Statement","In progress","Closed"))</f>
        <v>Open</v>
      </c>
      <c r="D3941" s="36" t="s">
        <v>23037</v>
      </c>
      <c r="E3941" s="55" t="s">
        <v>23038</v>
      </c>
      <c r="F3941" s="55" t="s">
        <v>6455</v>
      </c>
      <c r="G3941" s="88">
        <f>DATE(2025,9,19)</f>
        <v>45919</v>
      </c>
      <c r="H3941" s="142">
        <v>0.34027777777777779</v>
      </c>
      <c r="I3941" s="55" t="s">
        <v>73</v>
      </c>
      <c r="J3941" s="55" t="s">
        <v>23039</v>
      </c>
      <c r="K3941" s="55" t="s">
        <v>584</v>
      </c>
      <c r="L3941" s="55" t="s">
        <v>23040</v>
      </c>
      <c r="M3941" s="55" t="s">
        <v>22556</v>
      </c>
      <c r="N3941" s="55" t="s">
        <v>142</v>
      </c>
      <c r="O3941" s="55" t="s">
        <v>77</v>
      </c>
      <c r="P3941" s="55" t="s">
        <v>78</v>
      </c>
      <c r="Q3941" s="55" t="s">
        <v>23041</v>
      </c>
      <c r="R3941" s="55" t="s">
        <v>21805</v>
      </c>
      <c r="S3941" s="55">
        <v>0</v>
      </c>
      <c r="T3941" s="55">
        <v>0</v>
      </c>
      <c r="U3941" s="55">
        <v>0</v>
      </c>
      <c r="V3941" s="55">
        <v>0</v>
      </c>
      <c r="W3941" s="55">
        <v>0</v>
      </c>
      <c r="X3941" s="55">
        <v>0</v>
      </c>
      <c r="Y3941" s="55">
        <v>0</v>
      </c>
      <c r="Z3941" s="55">
        <v>0</v>
      </c>
      <c r="AA3941" s="55">
        <v>0</v>
      </c>
      <c r="AB3941" s="55">
        <v>0</v>
      </c>
      <c r="AC3941" s="55">
        <v>0</v>
      </c>
      <c r="AD3941" s="55">
        <v>0</v>
      </c>
      <c r="AE3941" s="55" t="s">
        <v>394</v>
      </c>
      <c r="AF3941" s="55" t="s">
        <v>23042</v>
      </c>
      <c r="AG3941" s="55" t="s">
        <v>16283</v>
      </c>
      <c r="AH3941" s="72">
        <v>45922</v>
      </c>
      <c r="AI3941" s="55"/>
      <c r="AJ3941" s="55"/>
      <c r="AK3941" s="55"/>
      <c r="AL3941" s="157">
        <v>45924</v>
      </c>
      <c r="AM3941" s="55"/>
      <c r="AN3941" s="209"/>
      <c r="AO3941" s="209"/>
    </row>
    <row r="3942" spans="1:41" ht="36.75" customHeight="1">
      <c r="A3942" s="46" t="s">
        <v>12471</v>
      </c>
      <c r="B3942" s="46" t="s">
        <v>2124</v>
      </c>
      <c r="C3942" s="69" t="str">
        <f t="shared" ref="C3942" si="468">IF(B3942="Notification","Open",IF(B3942="Interim Statement","In progress","Closed"))</f>
        <v>Open</v>
      </c>
      <c r="D3942" s="36" t="s">
        <v>23043</v>
      </c>
      <c r="E3942" s="55" t="s">
        <v>23044</v>
      </c>
      <c r="F3942" s="55" t="s">
        <v>6455</v>
      </c>
      <c r="G3942" s="88">
        <f>DATE(2025,8,26)</f>
        <v>45895</v>
      </c>
      <c r="H3942" s="142">
        <v>0.30902777777777779</v>
      </c>
      <c r="I3942" s="55" t="s">
        <v>116</v>
      </c>
      <c r="J3942" s="55" t="s">
        <v>23045</v>
      </c>
      <c r="K3942" s="55" t="s">
        <v>584</v>
      </c>
      <c r="L3942" s="55" t="s">
        <v>23046</v>
      </c>
      <c r="M3942" s="55" t="s">
        <v>22556</v>
      </c>
      <c r="N3942" s="55" t="s">
        <v>142</v>
      </c>
      <c r="O3942" s="55" t="s">
        <v>64</v>
      </c>
      <c r="P3942" s="55" t="s">
        <v>165</v>
      </c>
      <c r="Q3942" s="55" t="s">
        <v>23047</v>
      </c>
      <c r="R3942" s="55" t="s">
        <v>21805</v>
      </c>
      <c r="S3942" s="55">
        <v>0</v>
      </c>
      <c r="T3942" s="55">
        <v>0</v>
      </c>
      <c r="U3942" s="55">
        <v>1</v>
      </c>
      <c r="V3942" s="55">
        <v>0</v>
      </c>
      <c r="W3942" s="55">
        <v>0</v>
      </c>
      <c r="X3942" s="55">
        <v>1</v>
      </c>
      <c r="Y3942" s="55">
        <v>0</v>
      </c>
      <c r="Z3942" s="55">
        <v>0</v>
      </c>
      <c r="AA3942" s="55">
        <v>0</v>
      </c>
      <c r="AB3942" s="55">
        <v>0</v>
      </c>
      <c r="AC3942" s="55">
        <v>0</v>
      </c>
      <c r="AD3942" s="55">
        <v>0</v>
      </c>
      <c r="AE3942" s="55" t="s">
        <v>92</v>
      </c>
      <c r="AF3942" s="55" t="s">
        <v>23048</v>
      </c>
      <c r="AG3942" s="55" t="s">
        <v>16283</v>
      </c>
      <c r="AH3942" s="72">
        <v>45924</v>
      </c>
      <c r="AI3942" s="55"/>
      <c r="AJ3942" s="55"/>
      <c r="AK3942" s="55"/>
      <c r="AL3942" s="157">
        <v>45924</v>
      </c>
      <c r="AM3942" s="55"/>
      <c r="AN3942" s="209"/>
      <c r="AO3942" s="209"/>
    </row>
    <row r="3943" spans="1:41" ht="36.75" customHeight="1">
      <c r="A3943" s="46" t="s">
        <v>12471</v>
      </c>
      <c r="B3943" s="46" t="s">
        <v>2124</v>
      </c>
      <c r="C3943" s="69" t="str">
        <f t="shared" ref="C3943" si="469">IF(B3943="Notification","Open",IF(B3943="Interim Statement","In progress","Closed"))</f>
        <v>Open</v>
      </c>
      <c r="D3943" s="36" t="s">
        <v>23049</v>
      </c>
      <c r="E3943" s="55" t="s">
        <v>23050</v>
      </c>
      <c r="F3943" s="55" t="s">
        <v>17682</v>
      </c>
      <c r="G3943" s="88">
        <f>DATE(2025,9,23)</f>
        <v>45923</v>
      </c>
      <c r="H3943" s="142">
        <v>0.81597222222222221</v>
      </c>
      <c r="I3943" s="55" t="s">
        <v>73</v>
      </c>
      <c r="J3943" s="55" t="s">
        <v>23051</v>
      </c>
      <c r="K3943" s="55" t="s">
        <v>1574</v>
      </c>
      <c r="L3943" s="55" t="s">
        <v>19463</v>
      </c>
      <c r="M3943" s="55" t="s">
        <v>22556</v>
      </c>
      <c r="N3943" s="55" t="s">
        <v>99</v>
      </c>
      <c r="O3943" s="55" t="s">
        <v>64</v>
      </c>
      <c r="P3943" s="55" t="s">
        <v>78</v>
      </c>
      <c r="Q3943" s="55" t="s">
        <v>18063</v>
      </c>
      <c r="R3943" s="55" t="s">
        <v>19007</v>
      </c>
      <c r="S3943" s="55">
        <v>0</v>
      </c>
      <c r="T3943" s="55">
        <v>0</v>
      </c>
      <c r="U3943" s="55">
        <v>0</v>
      </c>
      <c r="V3943" s="55">
        <v>0</v>
      </c>
      <c r="W3943" s="55">
        <v>0</v>
      </c>
      <c r="X3943" s="55">
        <v>0</v>
      </c>
      <c r="Y3943" s="55">
        <v>0</v>
      </c>
      <c r="Z3943" s="55">
        <v>0</v>
      </c>
      <c r="AA3943" s="55">
        <v>0</v>
      </c>
      <c r="AB3943" s="55">
        <v>0</v>
      </c>
      <c r="AC3943" s="55">
        <v>0</v>
      </c>
      <c r="AD3943" s="55">
        <v>0</v>
      </c>
      <c r="AE3943" s="55" t="s">
        <v>92</v>
      </c>
      <c r="AF3943" s="55" t="s">
        <v>23052</v>
      </c>
      <c r="AG3943" s="55" t="s">
        <v>16283</v>
      </c>
      <c r="AH3943" s="72">
        <v>45926</v>
      </c>
      <c r="AI3943" s="55"/>
      <c r="AJ3943" s="55"/>
      <c r="AK3943" s="55"/>
      <c r="AL3943" s="157">
        <v>45926</v>
      </c>
      <c r="AM3943" s="55"/>
      <c r="AN3943" s="209"/>
      <c r="AO3943" s="209"/>
    </row>
    <row r="3944" spans="1:41" ht="36.75" customHeight="1">
      <c r="A3944" s="46" t="s">
        <v>12471</v>
      </c>
      <c r="B3944" s="46" t="s">
        <v>2124</v>
      </c>
      <c r="C3944" s="69" t="str">
        <f t="shared" ref="C3944" si="470">IF(B3944="Notification","Open",IF(B3944="Interim Statement","In progress","Closed"))</f>
        <v>Open</v>
      </c>
      <c r="D3944" s="36" t="s">
        <v>23053</v>
      </c>
      <c r="E3944" s="55" t="s">
        <v>23054</v>
      </c>
      <c r="F3944" s="55" t="s">
        <v>16429</v>
      </c>
      <c r="G3944" s="88">
        <f>DATE(2025,9,17)</f>
        <v>45917</v>
      </c>
      <c r="H3944" s="142">
        <v>0.9868055555555556</v>
      </c>
      <c r="I3944" s="55" t="s">
        <v>73</v>
      </c>
      <c r="J3944" s="55" t="s">
        <v>23055</v>
      </c>
      <c r="K3944" s="55" t="s">
        <v>425</v>
      </c>
      <c r="L3944" s="55" t="s">
        <v>23056</v>
      </c>
      <c r="M3944" s="55" t="s">
        <v>22556</v>
      </c>
      <c r="N3944" s="55" t="s">
        <v>142</v>
      </c>
      <c r="O3944" s="55" t="s">
        <v>64</v>
      </c>
      <c r="P3944" s="55" t="s">
        <v>78</v>
      </c>
      <c r="Q3944" s="55" t="s">
        <v>23057</v>
      </c>
      <c r="R3944" s="55" t="s">
        <v>17369</v>
      </c>
      <c r="S3944" s="55">
        <v>0</v>
      </c>
      <c r="T3944" s="55">
        <v>0</v>
      </c>
      <c r="U3944" s="55">
        <v>0</v>
      </c>
      <c r="V3944" s="55">
        <v>0</v>
      </c>
      <c r="W3944" s="55">
        <v>0</v>
      </c>
      <c r="X3944" s="55">
        <v>0</v>
      </c>
      <c r="Y3944" s="55">
        <v>0</v>
      </c>
      <c r="Z3944" s="55">
        <v>0</v>
      </c>
      <c r="AA3944" s="55">
        <v>0</v>
      </c>
      <c r="AB3944" s="55">
        <v>0</v>
      </c>
      <c r="AC3944" s="55">
        <v>0</v>
      </c>
      <c r="AD3944" s="55">
        <v>0</v>
      </c>
      <c r="AE3944" s="55" t="s">
        <v>92</v>
      </c>
      <c r="AF3944" s="55" t="s">
        <v>23058</v>
      </c>
      <c r="AG3944" s="55" t="s">
        <v>20056</v>
      </c>
      <c r="AH3944" s="72">
        <v>45918</v>
      </c>
      <c r="AI3944" s="55"/>
      <c r="AJ3944" s="55"/>
      <c r="AK3944" s="55"/>
      <c r="AL3944" s="157">
        <v>45926</v>
      </c>
      <c r="AM3944" s="55"/>
      <c r="AN3944" s="209"/>
      <c r="AO3944" s="209"/>
    </row>
    <row r="3945" spans="1:41" ht="36.75" customHeight="1">
      <c r="A3945" s="46" t="s">
        <v>12471</v>
      </c>
      <c r="B3945" s="46" t="s">
        <v>2124</v>
      </c>
      <c r="C3945" s="69" t="str">
        <f t="shared" ref="C3945" si="471">IF(B3945="Notification","Open",IF(B3945="Interim Statement","In progress","Closed"))</f>
        <v>Open</v>
      </c>
      <c r="D3945" s="36" t="s">
        <v>23059</v>
      </c>
      <c r="E3945" s="55" t="s">
        <v>23060</v>
      </c>
      <c r="F3945" s="55" t="s">
        <v>12910</v>
      </c>
      <c r="G3945" s="88">
        <f>DATE(2025,8,20)</f>
        <v>45889</v>
      </c>
      <c r="H3945" s="142">
        <v>0.29166666666666669</v>
      </c>
      <c r="I3945" s="55" t="s">
        <v>9026</v>
      </c>
      <c r="J3945" s="55" t="s">
        <v>23061</v>
      </c>
      <c r="K3945" s="55" t="s">
        <v>453</v>
      </c>
      <c r="L3945" s="55" t="s">
        <v>12900</v>
      </c>
      <c r="M3945" s="55" t="s">
        <v>255</v>
      </c>
      <c r="N3945" s="55" t="s">
        <v>142</v>
      </c>
      <c r="O3945" s="55" t="s">
        <v>64</v>
      </c>
      <c r="P3945" s="55" t="s">
        <v>22850</v>
      </c>
      <c r="Q3945" s="55" t="s">
        <v>16592</v>
      </c>
      <c r="R3945" s="55" t="s">
        <v>23062</v>
      </c>
      <c r="S3945" s="55">
        <v>0</v>
      </c>
      <c r="T3945" s="55">
        <v>0</v>
      </c>
      <c r="U3945" s="55">
        <v>0</v>
      </c>
      <c r="V3945" s="55">
        <v>0</v>
      </c>
      <c r="W3945" s="55">
        <v>0</v>
      </c>
      <c r="X3945" s="55">
        <v>0</v>
      </c>
      <c r="Y3945" s="55">
        <v>0</v>
      </c>
      <c r="Z3945" s="55">
        <v>0</v>
      </c>
      <c r="AA3945" s="55">
        <v>0</v>
      </c>
      <c r="AB3945" s="55">
        <v>0</v>
      </c>
      <c r="AC3945" s="55">
        <v>0</v>
      </c>
      <c r="AD3945" s="55">
        <v>0</v>
      </c>
      <c r="AE3945" s="55" t="s">
        <v>394</v>
      </c>
      <c r="AF3945" s="55" t="s">
        <v>23063</v>
      </c>
      <c r="AG3945" s="55" t="s">
        <v>8859</v>
      </c>
      <c r="AH3945" s="72">
        <v>45933</v>
      </c>
      <c r="AI3945" s="55"/>
      <c r="AJ3945" s="55"/>
      <c r="AK3945" s="55"/>
      <c r="AL3945" s="157">
        <v>45936</v>
      </c>
      <c r="AM3945" s="55"/>
      <c r="AN3945" s="209"/>
      <c r="AO3945" s="209"/>
    </row>
    <row r="3946" spans="1:41" ht="36.75" customHeight="1">
      <c r="A3946" s="46" t="s">
        <v>12471</v>
      </c>
      <c r="B3946" s="46" t="s">
        <v>2124</v>
      </c>
      <c r="C3946" s="69" t="str">
        <f t="shared" ref="C3946" si="472">IF(B3946="Notification","Open",IF(B3946="Interim Statement","In progress","Closed"))</f>
        <v>Open</v>
      </c>
      <c r="D3946" s="36" t="s">
        <v>23064</v>
      </c>
      <c r="E3946" s="55" t="s">
        <v>23065</v>
      </c>
      <c r="F3946" s="55" t="s">
        <v>12910</v>
      </c>
      <c r="G3946" s="88">
        <f>DATE(2025,9,4)</f>
        <v>45904</v>
      </c>
      <c r="H3946" s="142">
        <v>0.28472222222222221</v>
      </c>
      <c r="I3946" s="55" t="s">
        <v>278</v>
      </c>
      <c r="J3946" s="55" t="s">
        <v>23066</v>
      </c>
      <c r="K3946" s="55" t="s">
        <v>453</v>
      </c>
      <c r="L3946" s="55" t="s">
        <v>23067</v>
      </c>
      <c r="M3946" s="55" t="s">
        <v>63</v>
      </c>
      <c r="N3946" s="55" t="s">
        <v>99</v>
      </c>
      <c r="O3946" s="55" t="s">
        <v>64</v>
      </c>
      <c r="P3946" s="55" t="s">
        <v>165</v>
      </c>
      <c r="Q3946" s="55" t="s">
        <v>19577</v>
      </c>
      <c r="R3946" s="55" t="s">
        <v>19577</v>
      </c>
      <c r="S3946" s="55"/>
      <c r="T3946" s="55"/>
      <c r="U3946" s="55"/>
      <c r="V3946" s="55"/>
      <c r="W3946" s="55"/>
      <c r="X3946" s="55">
        <v>0</v>
      </c>
      <c r="Y3946" s="55"/>
      <c r="Z3946" s="55"/>
      <c r="AA3946" s="55"/>
      <c r="AB3946" s="55"/>
      <c r="AC3946" s="55"/>
      <c r="AD3946" s="55">
        <v>1</v>
      </c>
      <c r="AE3946" s="55" t="s">
        <v>92</v>
      </c>
      <c r="AF3946" s="55" t="s">
        <v>23068</v>
      </c>
      <c r="AG3946" s="55" t="s">
        <v>8859</v>
      </c>
      <c r="AH3946" s="72">
        <v>45932</v>
      </c>
      <c r="AI3946" s="55"/>
      <c r="AJ3946" s="55"/>
      <c r="AK3946" s="55"/>
      <c r="AL3946" s="157">
        <v>45936</v>
      </c>
      <c r="AM3946" s="55"/>
      <c r="AN3946" s="209"/>
      <c r="AO3946" s="209"/>
    </row>
    <row r="3947" spans="1:41" ht="36.75" customHeight="1">
      <c r="A3947" s="46" t="s">
        <v>12471</v>
      </c>
      <c r="B3947" s="46" t="s">
        <v>2124</v>
      </c>
      <c r="C3947" s="69" t="str">
        <f t="shared" ref="C3947" si="473">IF(B3947="Notification","Open",IF(B3947="Interim Statement","In progress","Closed"))</f>
        <v>Open</v>
      </c>
      <c r="D3947" s="36" t="s">
        <v>23069</v>
      </c>
      <c r="E3947" s="55" t="s">
        <v>23070</v>
      </c>
      <c r="F3947" s="55" t="s">
        <v>17057</v>
      </c>
      <c r="G3947" s="88">
        <f>DATE(2025,10,6)</f>
        <v>45936</v>
      </c>
      <c r="H3947" s="142">
        <v>0.49305555555555558</v>
      </c>
      <c r="I3947" s="55" t="s">
        <v>278</v>
      </c>
      <c r="J3947" s="55" t="s">
        <v>23071</v>
      </c>
      <c r="K3947" s="55" t="s">
        <v>2338</v>
      </c>
      <c r="L3947" s="55" t="s">
        <v>23072</v>
      </c>
      <c r="M3947" s="55" t="s">
        <v>63</v>
      </c>
      <c r="N3947" s="55" t="s">
        <v>89</v>
      </c>
      <c r="O3947" s="55" t="s">
        <v>77</v>
      </c>
      <c r="P3947" s="55" t="s">
        <v>91</v>
      </c>
      <c r="Q3947" s="55" t="s">
        <v>2341</v>
      </c>
      <c r="R3947" s="55" t="s">
        <v>2341</v>
      </c>
      <c r="S3947" s="55">
        <v>0</v>
      </c>
      <c r="T3947" s="55">
        <v>1</v>
      </c>
      <c r="U3947" s="55">
        <v>0</v>
      </c>
      <c r="V3947" s="55">
        <v>0</v>
      </c>
      <c r="W3947" s="55">
        <v>0</v>
      </c>
      <c r="X3947" s="55">
        <v>1</v>
      </c>
      <c r="Y3947" s="55">
        <v>0</v>
      </c>
      <c r="Z3947" s="55">
        <v>0</v>
      </c>
      <c r="AA3947" s="55">
        <v>0</v>
      </c>
      <c r="AB3947" s="55">
        <v>0</v>
      </c>
      <c r="AC3947" s="55">
        <v>0</v>
      </c>
      <c r="AD3947" s="55">
        <v>0</v>
      </c>
      <c r="AE3947" s="55" t="s">
        <v>92</v>
      </c>
      <c r="AF3947" s="55" t="s">
        <v>23073</v>
      </c>
      <c r="AG3947" s="55" t="s">
        <v>8859</v>
      </c>
      <c r="AH3947" s="72">
        <v>45938</v>
      </c>
      <c r="AI3947" s="55"/>
      <c r="AJ3947" s="55"/>
      <c r="AK3947" s="55"/>
      <c r="AL3947" s="157">
        <v>45940</v>
      </c>
      <c r="AM3947" s="55"/>
      <c r="AN3947" s="209"/>
      <c r="AO3947" s="209"/>
    </row>
    <row r="3948" spans="1:41" ht="36.75" customHeight="1">
      <c r="A3948" s="46" t="s">
        <v>12471</v>
      </c>
      <c r="B3948" s="46" t="s">
        <v>2124</v>
      </c>
      <c r="C3948" s="69" t="str">
        <f t="shared" ref="C3948" si="474">IF(B3948="Notification","Open",IF(B3948="Interim Statement","In progress","Closed"))</f>
        <v>Open</v>
      </c>
      <c r="D3948" s="36" t="s">
        <v>23074</v>
      </c>
      <c r="E3948" s="55" t="s">
        <v>23075</v>
      </c>
      <c r="F3948" s="55" t="s">
        <v>17682</v>
      </c>
      <c r="G3948" s="88">
        <f>DATE(2025,10,10)</f>
        <v>45940</v>
      </c>
      <c r="H3948" s="142">
        <v>0.94791666666666663</v>
      </c>
      <c r="I3948" s="55" t="s">
        <v>116</v>
      </c>
      <c r="J3948" s="55" t="s">
        <v>23076</v>
      </c>
      <c r="K3948" s="55" t="s">
        <v>1574</v>
      </c>
      <c r="L3948" s="55" t="s">
        <v>23077</v>
      </c>
      <c r="M3948" s="55" t="s">
        <v>63</v>
      </c>
      <c r="N3948" s="55" t="s">
        <v>20011</v>
      </c>
      <c r="O3948" s="55" t="s">
        <v>64</v>
      </c>
      <c r="P3948" s="55" t="s">
        <v>165</v>
      </c>
      <c r="Q3948" s="55" t="s">
        <v>23078</v>
      </c>
      <c r="R3948" s="55" t="s">
        <v>23079</v>
      </c>
      <c r="S3948" s="55">
        <v>0</v>
      </c>
      <c r="T3948" s="55">
        <v>0</v>
      </c>
      <c r="U3948" s="55">
        <v>0</v>
      </c>
      <c r="V3948" s="55">
        <v>0</v>
      </c>
      <c r="W3948" s="55">
        <v>0</v>
      </c>
      <c r="X3948" s="55">
        <v>0</v>
      </c>
      <c r="Y3948" s="55">
        <v>0</v>
      </c>
      <c r="Z3948" s="55">
        <v>0</v>
      </c>
      <c r="AA3948" s="55">
        <v>0</v>
      </c>
      <c r="AB3948" s="55">
        <v>0</v>
      </c>
      <c r="AC3948" s="55">
        <v>0</v>
      </c>
      <c r="AD3948" s="55">
        <v>0</v>
      </c>
      <c r="AE3948" s="55" t="s">
        <v>92</v>
      </c>
      <c r="AF3948" s="55" t="s">
        <v>23080</v>
      </c>
      <c r="AG3948" s="55" t="s">
        <v>14033</v>
      </c>
      <c r="AH3948" s="72">
        <v>45943</v>
      </c>
      <c r="AI3948" s="55"/>
      <c r="AJ3948" s="55"/>
      <c r="AK3948" s="55"/>
      <c r="AL3948" s="157">
        <v>45943</v>
      </c>
      <c r="AM3948" s="55"/>
      <c r="AN3948" s="209"/>
      <c r="AO3948" s="209"/>
    </row>
    <row r="3949" spans="1:41" ht="36.75" customHeight="1">
      <c r="A3949" s="46" t="s">
        <v>12471</v>
      </c>
      <c r="B3949" s="46" t="s">
        <v>55</v>
      </c>
      <c r="C3949" s="69" t="str">
        <f t="shared" ref="C3949" si="475">IF(B3949="Notification","Open",IF(B3949="Interim Statement","In progress","Closed"))</f>
        <v>Closed</v>
      </c>
      <c r="D3949" s="203" t="s">
        <v>23081</v>
      </c>
      <c r="E3949" s="55" t="s">
        <v>23082</v>
      </c>
      <c r="F3949" s="55" t="s">
        <v>19149</v>
      </c>
      <c r="G3949" s="88">
        <f>DATE(2025,10,13)</f>
        <v>45943</v>
      </c>
      <c r="H3949" s="142">
        <v>0.4236111111111111</v>
      </c>
      <c r="I3949" s="55" t="s">
        <v>18698</v>
      </c>
      <c r="J3949" s="55" t="s">
        <v>198</v>
      </c>
      <c r="K3949" s="55" t="s">
        <v>19151</v>
      </c>
      <c r="L3949" s="55" t="s">
        <v>23083</v>
      </c>
      <c r="M3949" s="55" t="s">
        <v>63</v>
      </c>
      <c r="N3949" s="55" t="s">
        <v>142</v>
      </c>
      <c r="O3949" s="55" t="s">
        <v>64</v>
      </c>
      <c r="P3949" s="55" t="s">
        <v>65</v>
      </c>
      <c r="Q3949" s="55" t="s">
        <v>19153</v>
      </c>
      <c r="R3949" s="55" t="s">
        <v>19154</v>
      </c>
      <c r="S3949" s="55">
        <v>0</v>
      </c>
      <c r="T3949" s="55">
        <v>0</v>
      </c>
      <c r="U3949" s="55">
        <v>0</v>
      </c>
      <c r="V3949" s="55">
        <v>0</v>
      </c>
      <c r="W3949" s="55">
        <v>0</v>
      </c>
      <c r="X3949" s="55">
        <v>0</v>
      </c>
      <c r="Y3949" s="55">
        <v>26</v>
      </c>
      <c r="Z3949" s="55">
        <v>1</v>
      </c>
      <c r="AA3949" s="55">
        <v>0</v>
      </c>
      <c r="AB3949" s="55">
        <v>0</v>
      </c>
      <c r="AC3949" s="55">
        <v>0</v>
      </c>
      <c r="AD3949" s="55">
        <v>27</v>
      </c>
      <c r="AE3949" s="55" t="s">
        <v>394</v>
      </c>
      <c r="AF3949" s="55" t="s">
        <v>23084</v>
      </c>
      <c r="AG3949" s="55" t="s">
        <v>6459</v>
      </c>
      <c r="AH3949" s="72">
        <v>45943</v>
      </c>
      <c r="AI3949" s="55">
        <v>3</v>
      </c>
      <c r="AJ3949" s="55" t="s">
        <v>23085</v>
      </c>
      <c r="AK3949" s="55" t="s">
        <v>23084</v>
      </c>
      <c r="AL3949" s="157">
        <v>45945</v>
      </c>
      <c r="AM3949" s="55"/>
      <c r="AN3949" s="212">
        <v>45996</v>
      </c>
      <c r="AO3949" s="212">
        <v>45979</v>
      </c>
    </row>
    <row r="3950" spans="1:41" ht="36.75" customHeight="1">
      <c r="A3950" s="46" t="s">
        <v>12471</v>
      </c>
      <c r="B3950" s="46" t="s">
        <v>2124</v>
      </c>
      <c r="C3950" s="69" t="str">
        <f t="shared" ref="C3950:C3951" si="476">IF(B3950="Notification","Open",IF(B3950="Interim Statement","In progress","Closed"))</f>
        <v>Open</v>
      </c>
      <c r="D3950" s="36" t="s">
        <v>23086</v>
      </c>
      <c r="E3950" s="55" t="s">
        <v>23087</v>
      </c>
      <c r="F3950" s="55" t="s">
        <v>12910</v>
      </c>
      <c r="G3950" s="88">
        <f>DATE(2025,10,11)</f>
        <v>45941</v>
      </c>
      <c r="H3950" s="142">
        <v>0.58333333333333337</v>
      </c>
      <c r="I3950" s="55" t="s">
        <v>116</v>
      </c>
      <c r="J3950" s="55" t="s">
        <v>23088</v>
      </c>
      <c r="K3950" s="55" t="s">
        <v>453</v>
      </c>
      <c r="L3950" s="55" t="s">
        <v>23089</v>
      </c>
      <c r="M3950" s="55" t="s">
        <v>255</v>
      </c>
      <c r="N3950" s="55" t="s">
        <v>142</v>
      </c>
      <c r="O3950" s="55" t="s">
        <v>64</v>
      </c>
      <c r="P3950" s="55" t="s">
        <v>6552</v>
      </c>
      <c r="Q3950" s="55" t="s">
        <v>23090</v>
      </c>
      <c r="R3950" s="55" t="s">
        <v>23090</v>
      </c>
      <c r="S3950" s="55">
        <v>0</v>
      </c>
      <c r="T3950" s="55">
        <v>0</v>
      </c>
      <c r="U3950" s="55">
        <v>1</v>
      </c>
      <c r="V3950" s="55">
        <v>0</v>
      </c>
      <c r="W3950" s="55"/>
      <c r="X3950" s="55">
        <v>1</v>
      </c>
      <c r="Y3950" s="55">
        <v>0</v>
      </c>
      <c r="Z3950" s="55">
        <v>0</v>
      </c>
      <c r="AA3950" s="55">
        <v>0</v>
      </c>
      <c r="AB3950" s="55">
        <v>0</v>
      </c>
      <c r="AC3950" s="55">
        <v>0</v>
      </c>
      <c r="AD3950" s="55">
        <v>0</v>
      </c>
      <c r="AE3950" s="55" t="s">
        <v>92</v>
      </c>
      <c r="AF3950" s="55" t="s">
        <v>23091</v>
      </c>
      <c r="AG3950" s="55" t="s">
        <v>16938</v>
      </c>
      <c r="AH3950" s="72">
        <v>45943</v>
      </c>
      <c r="AI3950" s="55"/>
      <c r="AJ3950" s="55"/>
      <c r="AK3950" s="55"/>
      <c r="AL3950" s="157">
        <v>45946</v>
      </c>
      <c r="AM3950" s="55"/>
      <c r="AN3950" s="209"/>
      <c r="AO3950" s="209"/>
    </row>
    <row r="3951" spans="1:41" ht="36.75" customHeight="1">
      <c r="A3951" s="46" t="s">
        <v>12471</v>
      </c>
      <c r="B3951" s="46" t="s">
        <v>2124</v>
      </c>
      <c r="C3951" s="69" t="str">
        <f t="shared" si="476"/>
        <v>Open</v>
      </c>
      <c r="D3951" s="36" t="s">
        <v>23092</v>
      </c>
      <c r="E3951" s="55" t="s">
        <v>23093</v>
      </c>
      <c r="F3951" s="55" t="s">
        <v>19670</v>
      </c>
      <c r="G3951" s="88">
        <f>DATE(2025,10,1)</f>
        <v>45931</v>
      </c>
      <c r="H3951" s="142">
        <v>0.75</v>
      </c>
      <c r="I3951" s="55" t="s">
        <v>278</v>
      </c>
      <c r="J3951" s="55" t="s">
        <v>23094</v>
      </c>
      <c r="K3951" s="55" t="s">
        <v>2549</v>
      </c>
      <c r="L3951" s="55" t="s">
        <v>23095</v>
      </c>
      <c r="M3951" s="55" t="s">
        <v>63</v>
      </c>
      <c r="N3951" s="55" t="s">
        <v>142</v>
      </c>
      <c r="O3951" s="55" t="s">
        <v>64</v>
      </c>
      <c r="P3951" s="55" t="s">
        <v>165</v>
      </c>
      <c r="Q3951" s="55" t="s">
        <v>21572</v>
      </c>
      <c r="R3951" s="55" t="s">
        <v>21573</v>
      </c>
      <c r="S3951" s="55"/>
      <c r="T3951" s="55"/>
      <c r="U3951" s="55"/>
      <c r="V3951" s="55"/>
      <c r="W3951" s="55"/>
      <c r="X3951" s="55">
        <v>2</v>
      </c>
      <c r="Y3951" s="55"/>
      <c r="Z3951" s="55"/>
      <c r="AA3951" s="55"/>
      <c r="AB3951" s="55"/>
      <c r="AC3951" s="55"/>
      <c r="AD3951" s="55">
        <v>0</v>
      </c>
      <c r="AE3951" s="55" t="s">
        <v>92</v>
      </c>
      <c r="AF3951" s="55" t="s">
        <v>23096</v>
      </c>
      <c r="AG3951" s="55" t="s">
        <v>8859</v>
      </c>
      <c r="AH3951" s="72">
        <v>45944</v>
      </c>
      <c r="AI3951" s="55"/>
      <c r="AJ3951" s="55"/>
      <c r="AK3951" s="55"/>
      <c r="AL3951" s="157">
        <v>45946</v>
      </c>
      <c r="AM3951" s="55"/>
      <c r="AN3951" s="209"/>
      <c r="AO3951" s="209"/>
    </row>
    <row r="3952" spans="1:41" ht="36.75" customHeight="1">
      <c r="A3952" s="46" t="s">
        <v>12471</v>
      </c>
      <c r="B3952" s="46" t="s">
        <v>2124</v>
      </c>
      <c r="C3952" s="69" t="str">
        <f t="shared" ref="C3952" si="477">IF(B3952="Notification","Open",IF(B3952="Interim Statement","In progress","Closed"))</f>
        <v>Open</v>
      </c>
      <c r="D3952" s="36" t="s">
        <v>23097</v>
      </c>
      <c r="E3952" s="55" t="s">
        <v>23098</v>
      </c>
      <c r="F3952" s="55" t="s">
        <v>16429</v>
      </c>
      <c r="G3952" s="88">
        <f>DATE(2025,10,14)</f>
        <v>45944</v>
      </c>
      <c r="H3952" s="142">
        <v>0.52777777777777779</v>
      </c>
      <c r="I3952" s="55" t="s">
        <v>198</v>
      </c>
      <c r="J3952" s="55" t="s">
        <v>23099</v>
      </c>
      <c r="K3952" s="55" t="s">
        <v>425</v>
      </c>
      <c r="L3952" s="55" t="s">
        <v>23100</v>
      </c>
      <c r="M3952" s="55" t="s">
        <v>63</v>
      </c>
      <c r="N3952" s="55" t="s">
        <v>23101</v>
      </c>
      <c r="O3952" s="55" t="s">
        <v>23102</v>
      </c>
      <c r="P3952" s="55" t="s">
        <v>23103</v>
      </c>
      <c r="Q3952" s="55" t="s">
        <v>19275</v>
      </c>
      <c r="R3952" s="55" t="s">
        <v>17369</v>
      </c>
      <c r="S3952" s="55">
        <v>0</v>
      </c>
      <c r="T3952" s="55">
        <v>0</v>
      </c>
      <c r="U3952" s="55">
        <v>0</v>
      </c>
      <c r="V3952" s="55">
        <v>0</v>
      </c>
      <c r="W3952" s="55">
        <v>0</v>
      </c>
      <c r="X3952" s="55">
        <v>0</v>
      </c>
      <c r="Y3952" s="55">
        <v>0</v>
      </c>
      <c r="Z3952" s="55">
        <v>0</v>
      </c>
      <c r="AA3952" s="55">
        <v>0</v>
      </c>
      <c r="AB3952" s="55">
        <v>0</v>
      </c>
      <c r="AC3952" s="55">
        <v>0</v>
      </c>
      <c r="AD3952" s="55">
        <v>0</v>
      </c>
      <c r="AE3952" s="55" t="s">
        <v>92</v>
      </c>
      <c r="AF3952" s="55" t="s">
        <v>23104</v>
      </c>
      <c r="AG3952" s="55" t="s">
        <v>20056</v>
      </c>
      <c r="AH3952" s="72">
        <v>45944</v>
      </c>
      <c r="AI3952" s="55"/>
      <c r="AJ3952" s="55"/>
      <c r="AK3952" s="55"/>
      <c r="AL3952" s="157">
        <v>45951</v>
      </c>
      <c r="AM3952" s="55"/>
      <c r="AN3952" s="209"/>
      <c r="AO3952" s="209"/>
    </row>
    <row r="3953" spans="1:54" ht="36.75" customHeight="1">
      <c r="A3953" s="46" t="s">
        <v>12471</v>
      </c>
      <c r="B3953" s="46" t="s">
        <v>2124</v>
      </c>
      <c r="C3953" s="69" t="str">
        <f t="shared" ref="C3953:C3954" si="478">IF(B3953="Notification","Open",IF(B3953="Interim Statement","In progress","Closed"))</f>
        <v>Open</v>
      </c>
      <c r="D3953" s="36" t="s">
        <v>23105</v>
      </c>
      <c r="E3953" s="55" t="s">
        <v>23106</v>
      </c>
      <c r="F3953" s="55" t="s">
        <v>16429</v>
      </c>
      <c r="G3953" s="88">
        <f>DATE(2025,10,15)</f>
        <v>45945</v>
      </c>
      <c r="H3953" s="142">
        <v>5.7638888888888892E-2</v>
      </c>
      <c r="I3953" s="55" t="s">
        <v>73</v>
      </c>
      <c r="J3953" s="55" t="s">
        <v>23107</v>
      </c>
      <c r="K3953" s="55" t="s">
        <v>425</v>
      </c>
      <c r="L3953" s="55" t="s">
        <v>12719</v>
      </c>
      <c r="M3953" s="55" t="s">
        <v>63</v>
      </c>
      <c r="N3953" s="55" t="s">
        <v>89</v>
      </c>
      <c r="O3953" s="55" t="s">
        <v>77</v>
      </c>
      <c r="P3953" s="55" t="s">
        <v>78</v>
      </c>
      <c r="Q3953" s="55" t="s">
        <v>18098</v>
      </c>
      <c r="R3953" s="55" t="s">
        <v>17369</v>
      </c>
      <c r="S3953" s="55">
        <v>0</v>
      </c>
      <c r="T3953" s="55">
        <v>0</v>
      </c>
      <c r="U3953" s="55">
        <v>0</v>
      </c>
      <c r="V3953" s="55">
        <v>0</v>
      </c>
      <c r="W3953" s="55">
        <v>0</v>
      </c>
      <c r="X3953" s="55">
        <v>0</v>
      </c>
      <c r="Y3953" s="55">
        <v>0</v>
      </c>
      <c r="Z3953" s="55">
        <v>0</v>
      </c>
      <c r="AA3953" s="55">
        <v>0</v>
      </c>
      <c r="AB3953" s="55">
        <v>0</v>
      </c>
      <c r="AC3953" s="55">
        <v>0</v>
      </c>
      <c r="AD3953" s="55">
        <v>0</v>
      </c>
      <c r="AE3953" s="55" t="s">
        <v>394</v>
      </c>
      <c r="AF3953" s="55" t="s">
        <v>23108</v>
      </c>
      <c r="AG3953" s="55" t="s">
        <v>16283</v>
      </c>
      <c r="AH3953" s="72">
        <v>45945</v>
      </c>
      <c r="AI3953" s="55"/>
      <c r="AJ3953" s="55"/>
      <c r="AK3953" s="55"/>
      <c r="AL3953" s="157">
        <v>45951</v>
      </c>
      <c r="AM3953" s="55"/>
      <c r="AN3953" s="209"/>
      <c r="AO3953" s="209"/>
    </row>
    <row r="3954" spans="1:54" ht="36.75" customHeight="1">
      <c r="A3954" s="46" t="s">
        <v>12471</v>
      </c>
      <c r="B3954" s="46" t="s">
        <v>2124</v>
      </c>
      <c r="C3954" s="69" t="str">
        <f t="shared" si="478"/>
        <v>Open</v>
      </c>
      <c r="D3954" s="36" t="s">
        <v>23109</v>
      </c>
      <c r="E3954" s="55" t="s">
        <v>23110</v>
      </c>
      <c r="F3954" s="55" t="s">
        <v>12910</v>
      </c>
      <c r="G3954" s="88">
        <f>DATE(2025,8,26)</f>
        <v>45895</v>
      </c>
      <c r="H3954" s="142">
        <v>0.39583333333333331</v>
      </c>
      <c r="I3954" s="55" t="s">
        <v>116</v>
      </c>
      <c r="J3954" s="55" t="s">
        <v>23111</v>
      </c>
      <c r="K3954" s="55" t="s">
        <v>453</v>
      </c>
      <c r="L3954" s="55" t="s">
        <v>23112</v>
      </c>
      <c r="M3954" s="55" t="s">
        <v>63</v>
      </c>
      <c r="N3954" s="55" t="s">
        <v>20011</v>
      </c>
      <c r="O3954" s="55" t="s">
        <v>64</v>
      </c>
      <c r="P3954" s="55" t="s">
        <v>165</v>
      </c>
      <c r="Q3954" s="55" t="s">
        <v>22155</v>
      </c>
      <c r="R3954" s="55" t="s">
        <v>19760</v>
      </c>
      <c r="S3954" s="55">
        <v>0</v>
      </c>
      <c r="T3954" s="55">
        <v>0</v>
      </c>
      <c r="U3954" s="55">
        <v>0</v>
      </c>
      <c r="V3954" s="55">
        <v>0</v>
      </c>
      <c r="W3954" s="55">
        <v>0</v>
      </c>
      <c r="X3954" s="55">
        <v>0</v>
      </c>
      <c r="Y3954" s="55">
        <v>0</v>
      </c>
      <c r="Z3954" s="55">
        <v>0</v>
      </c>
      <c r="AA3954" s="55">
        <v>0</v>
      </c>
      <c r="AB3954" s="55">
        <v>0</v>
      </c>
      <c r="AC3954" s="55">
        <v>0</v>
      </c>
      <c r="AD3954" s="55">
        <v>0</v>
      </c>
      <c r="AE3954" s="55" t="s">
        <v>394</v>
      </c>
      <c r="AF3954" s="55" t="s">
        <v>23113</v>
      </c>
      <c r="AG3954" s="55" t="s">
        <v>16283</v>
      </c>
      <c r="AH3954" s="72">
        <v>45950</v>
      </c>
      <c r="AI3954" s="55"/>
      <c r="AJ3954" s="55"/>
      <c r="AK3954" s="55"/>
      <c r="AL3954" s="157">
        <v>45952</v>
      </c>
      <c r="AM3954" s="55"/>
      <c r="AN3954" s="209"/>
      <c r="AO3954" s="209"/>
    </row>
    <row r="3955" spans="1:54" ht="36.75" customHeight="1">
      <c r="A3955" s="46" t="s">
        <v>12471</v>
      </c>
      <c r="B3955" s="46" t="s">
        <v>2124</v>
      </c>
      <c r="C3955" s="69" t="str">
        <f t="shared" ref="C3955:C3956" si="479">IF(B3955="Notification","Open",IF(B3955="Interim Statement","In progress","Closed"))</f>
        <v>Open</v>
      </c>
      <c r="D3955" s="36" t="s">
        <v>23114</v>
      </c>
      <c r="E3955" s="55" t="s">
        <v>23115</v>
      </c>
      <c r="F3955" s="55" t="s">
        <v>16429</v>
      </c>
      <c r="G3955" s="88">
        <f>DATE(2025,10,20)</f>
        <v>45950</v>
      </c>
      <c r="H3955" s="142">
        <v>0.63749999999999996</v>
      </c>
      <c r="I3955" s="55" t="s">
        <v>4610</v>
      </c>
      <c r="J3955" s="55" t="s">
        <v>23116</v>
      </c>
      <c r="K3955" s="55" t="s">
        <v>425</v>
      </c>
      <c r="L3955" s="55" t="s">
        <v>11446</v>
      </c>
      <c r="M3955" s="55" t="s">
        <v>63</v>
      </c>
      <c r="N3955" s="55" t="s">
        <v>142</v>
      </c>
      <c r="O3955" s="55" t="s">
        <v>77</v>
      </c>
      <c r="P3955" s="55" t="s">
        <v>23117</v>
      </c>
      <c r="Q3955" s="55" t="s">
        <v>18615</v>
      </c>
      <c r="R3955" s="55" t="s">
        <v>17369</v>
      </c>
      <c r="S3955" s="55">
        <v>0</v>
      </c>
      <c r="T3955" s="55">
        <v>0</v>
      </c>
      <c r="U3955" s="55">
        <v>0</v>
      </c>
      <c r="V3955" s="55">
        <v>0</v>
      </c>
      <c r="W3955" s="55">
        <v>0</v>
      </c>
      <c r="X3955" s="55">
        <v>0</v>
      </c>
      <c r="Y3955" s="55">
        <v>0</v>
      </c>
      <c r="Z3955" s="55">
        <v>0</v>
      </c>
      <c r="AA3955" s="55">
        <v>0</v>
      </c>
      <c r="AB3955" s="55">
        <v>0</v>
      </c>
      <c r="AC3955" s="55">
        <v>0</v>
      </c>
      <c r="AD3955" s="55">
        <v>0</v>
      </c>
      <c r="AE3955" s="55" t="s">
        <v>92</v>
      </c>
      <c r="AF3955" s="55" t="s">
        <v>21699</v>
      </c>
      <c r="AG3955" s="55" t="s">
        <v>16283</v>
      </c>
      <c r="AH3955" s="72">
        <v>45950</v>
      </c>
      <c r="AI3955" s="55"/>
      <c r="AJ3955" s="55"/>
      <c r="AK3955" s="55"/>
      <c r="AL3955" s="157">
        <v>45957</v>
      </c>
      <c r="AM3955" s="55"/>
      <c r="AN3955" s="209"/>
      <c r="AO3955" s="209"/>
    </row>
    <row r="3956" spans="1:54" ht="36.75" customHeight="1">
      <c r="A3956" s="46" t="s">
        <v>12471</v>
      </c>
      <c r="B3956" s="46" t="s">
        <v>2124</v>
      </c>
      <c r="C3956" s="69" t="str">
        <f t="shared" si="479"/>
        <v>Open</v>
      </c>
      <c r="D3956" s="36" t="s">
        <v>23118</v>
      </c>
      <c r="E3956" s="55" t="s">
        <v>23119</v>
      </c>
      <c r="F3956" s="55" t="s">
        <v>17578</v>
      </c>
      <c r="G3956" s="88">
        <f>DATE(2025,10,26)</f>
        <v>45956</v>
      </c>
      <c r="H3956" s="142">
        <v>8.3333333333333329E-2</v>
      </c>
      <c r="I3956" s="55" t="s">
        <v>487</v>
      </c>
      <c r="J3956" s="55" t="s">
        <v>23120</v>
      </c>
      <c r="K3956" s="55" t="s">
        <v>837</v>
      </c>
      <c r="L3956" s="55" t="s">
        <v>20192</v>
      </c>
      <c r="M3956" s="55" t="s">
        <v>63</v>
      </c>
      <c r="N3956" s="55" t="s">
        <v>99</v>
      </c>
      <c r="O3956" s="55" t="s">
        <v>77</v>
      </c>
      <c r="P3956" s="55" t="s">
        <v>86</v>
      </c>
      <c r="Q3956" s="55" t="s">
        <v>22720</v>
      </c>
      <c r="R3956" s="55" t="s">
        <v>22652</v>
      </c>
      <c r="S3956" s="55">
        <v>0</v>
      </c>
      <c r="T3956" s="55">
        <v>0</v>
      </c>
      <c r="U3956" s="55">
        <v>0</v>
      </c>
      <c r="V3956" s="55">
        <v>0</v>
      </c>
      <c r="W3956" s="55">
        <v>0</v>
      </c>
      <c r="X3956" s="55">
        <v>0</v>
      </c>
      <c r="Y3956" s="55">
        <v>0</v>
      </c>
      <c r="Z3956" s="55">
        <v>0</v>
      </c>
      <c r="AA3956" s="55">
        <v>0</v>
      </c>
      <c r="AB3956" s="55">
        <v>0</v>
      </c>
      <c r="AC3956" s="55">
        <v>0</v>
      </c>
      <c r="AD3956" s="55">
        <v>0</v>
      </c>
      <c r="AE3956" s="55" t="s">
        <v>92</v>
      </c>
      <c r="AF3956" s="55" t="s">
        <v>23121</v>
      </c>
      <c r="AG3956" s="55" t="s">
        <v>16283</v>
      </c>
      <c r="AH3956" s="72">
        <v>45957</v>
      </c>
      <c r="AI3956" s="55"/>
      <c r="AJ3956" s="55"/>
      <c r="AK3956" s="55"/>
      <c r="AL3956" s="157">
        <v>45957</v>
      </c>
      <c r="AM3956" s="55"/>
      <c r="AN3956" s="209"/>
      <c r="AO3956" s="209"/>
    </row>
    <row r="3957" spans="1:54" ht="36.75" customHeight="1">
      <c r="A3957" s="46" t="s">
        <v>12471</v>
      </c>
      <c r="B3957" s="46" t="s">
        <v>21606</v>
      </c>
      <c r="C3957" s="69" t="str">
        <f t="shared" ref="C3957" si="480">IF(B3957="Notification","Open",IF(B3957="Interim Statement","In progress","Closed"))</f>
        <v>In progress</v>
      </c>
      <c r="D3957" s="203" t="s">
        <v>23122</v>
      </c>
      <c r="E3957" s="55" t="s">
        <v>23123</v>
      </c>
      <c r="F3957" s="55" t="s">
        <v>6455</v>
      </c>
      <c r="G3957" s="88">
        <f>DATE(2024,10,19)</f>
        <v>45584</v>
      </c>
      <c r="H3957" s="142">
        <v>0.60416666666666663</v>
      </c>
      <c r="I3957" s="55" t="s">
        <v>73</v>
      </c>
      <c r="J3957" s="55" t="s">
        <v>23124</v>
      </c>
      <c r="K3957" s="55" t="s">
        <v>584</v>
      </c>
      <c r="L3957" s="55" t="s">
        <v>23125</v>
      </c>
      <c r="M3957" s="55" t="s">
        <v>63</v>
      </c>
      <c r="N3957" s="55" t="s">
        <v>142</v>
      </c>
      <c r="O3957" s="55" t="s">
        <v>64</v>
      </c>
      <c r="P3957" s="55" t="s">
        <v>78</v>
      </c>
      <c r="Q3957" s="55" t="s">
        <v>23126</v>
      </c>
      <c r="R3957" s="55" t="s">
        <v>21805</v>
      </c>
      <c r="S3957" s="55">
        <v>0</v>
      </c>
      <c r="T3957" s="55">
        <v>0</v>
      </c>
      <c r="U3957" s="55">
        <v>0</v>
      </c>
      <c r="V3957" s="55">
        <v>0</v>
      </c>
      <c r="W3957" s="55">
        <v>0</v>
      </c>
      <c r="X3957" s="55">
        <v>0</v>
      </c>
      <c r="Y3957" s="55">
        <v>0</v>
      </c>
      <c r="Z3957" s="55">
        <v>0</v>
      </c>
      <c r="AA3957" s="55">
        <v>0</v>
      </c>
      <c r="AB3957" s="55">
        <v>0</v>
      </c>
      <c r="AC3957" s="55">
        <v>0</v>
      </c>
      <c r="AD3957" s="55">
        <v>0</v>
      </c>
      <c r="AE3957" s="55" t="s">
        <v>394</v>
      </c>
      <c r="AF3957" s="55" t="s">
        <v>23127</v>
      </c>
      <c r="AG3957" s="55" t="s">
        <v>12480</v>
      </c>
      <c r="AH3957" s="72">
        <v>45584</v>
      </c>
      <c r="AI3957" s="55"/>
      <c r="AJ3957" s="55"/>
      <c r="AK3957" s="55"/>
      <c r="AL3957" s="157">
        <v>45958</v>
      </c>
      <c r="AM3957" s="157">
        <v>45961</v>
      </c>
      <c r="AN3957" s="209"/>
      <c r="AO3957" s="209"/>
    </row>
    <row r="3958" spans="1:54" ht="36.75" customHeight="1">
      <c r="A3958" s="46" t="s">
        <v>12471</v>
      </c>
      <c r="B3958" s="46" t="s">
        <v>2124</v>
      </c>
      <c r="C3958" s="69" t="str">
        <f t="shared" ref="C3958:C3959" si="481">IF(B3958="Notification","Open",IF(B3958="Interim Statement","In progress","Closed"))</f>
        <v>Open</v>
      </c>
      <c r="D3958" s="36" t="s">
        <v>23128</v>
      </c>
      <c r="E3958" s="55" t="s">
        <v>23129</v>
      </c>
      <c r="F3958" s="55" t="s">
        <v>16429</v>
      </c>
      <c r="G3958" s="88">
        <f>DATE(2025,10,27)</f>
        <v>45957</v>
      </c>
      <c r="H3958" s="142">
        <v>0.56805555555555554</v>
      </c>
      <c r="I3958" s="55" t="s">
        <v>116</v>
      </c>
      <c r="J3958" s="55" t="s">
        <v>23130</v>
      </c>
      <c r="K3958" s="55" t="s">
        <v>425</v>
      </c>
      <c r="L3958" s="55" t="s">
        <v>23131</v>
      </c>
      <c r="M3958" s="55" t="s">
        <v>63</v>
      </c>
      <c r="N3958" s="55" t="s">
        <v>99</v>
      </c>
      <c r="O3958" s="55" t="s">
        <v>64</v>
      </c>
      <c r="P3958" s="55" t="s">
        <v>165</v>
      </c>
      <c r="Q3958" s="55" t="s">
        <v>18615</v>
      </c>
      <c r="R3958" s="55" t="s">
        <v>17369</v>
      </c>
      <c r="S3958" s="55">
        <v>0</v>
      </c>
      <c r="T3958" s="55">
        <v>0</v>
      </c>
      <c r="U3958" s="55">
        <v>0</v>
      </c>
      <c r="V3958" s="55">
        <v>0</v>
      </c>
      <c r="W3958" s="55">
        <v>0</v>
      </c>
      <c r="X3958" s="55">
        <v>0</v>
      </c>
      <c r="Y3958" s="55">
        <v>0</v>
      </c>
      <c r="Z3958" s="55">
        <v>0</v>
      </c>
      <c r="AA3958" s="55">
        <v>1</v>
      </c>
      <c r="AB3958" s="55">
        <v>0</v>
      </c>
      <c r="AC3958" s="55">
        <v>0</v>
      </c>
      <c r="AD3958" s="55">
        <v>1</v>
      </c>
      <c r="AE3958" s="55" t="s">
        <v>394</v>
      </c>
      <c r="AF3958" s="55" t="s">
        <v>23132</v>
      </c>
      <c r="AG3958" s="55" t="s">
        <v>16283</v>
      </c>
      <c r="AH3958" s="72">
        <v>45957</v>
      </c>
      <c r="AI3958" s="55"/>
      <c r="AJ3958" s="55"/>
      <c r="AK3958" s="55"/>
      <c r="AL3958" s="157">
        <v>45959</v>
      </c>
      <c r="AM3958" s="55"/>
      <c r="AN3958" s="209"/>
      <c r="AO3958" s="209"/>
    </row>
    <row r="3959" spans="1:54" ht="36.75" customHeight="1">
      <c r="A3959" s="46" t="s">
        <v>12471</v>
      </c>
      <c r="B3959" s="46" t="s">
        <v>2124</v>
      </c>
      <c r="C3959" s="69" t="str">
        <f t="shared" si="481"/>
        <v>Open</v>
      </c>
      <c r="D3959" s="36" t="s">
        <v>23133</v>
      </c>
      <c r="E3959" s="55" t="s">
        <v>23134</v>
      </c>
      <c r="F3959" s="55" t="s">
        <v>17773</v>
      </c>
      <c r="G3959" s="88">
        <f>DATE(2025,9,21)</f>
        <v>45921</v>
      </c>
      <c r="H3959" s="142">
        <v>0.9375</v>
      </c>
      <c r="I3959" s="55" t="s">
        <v>73</v>
      </c>
      <c r="J3959" s="55" t="s">
        <v>23135</v>
      </c>
      <c r="K3959" s="55" t="s">
        <v>2603</v>
      </c>
      <c r="L3959" s="55" t="s">
        <v>23136</v>
      </c>
      <c r="M3959" s="55" t="s">
        <v>63</v>
      </c>
      <c r="N3959" s="55" t="s">
        <v>142</v>
      </c>
      <c r="O3959" s="55" t="s">
        <v>77</v>
      </c>
      <c r="P3959" s="55" t="s">
        <v>78</v>
      </c>
      <c r="Q3959" s="55" t="s">
        <v>18439</v>
      </c>
      <c r="R3959" s="55" t="s">
        <v>18914</v>
      </c>
      <c r="S3959" s="55"/>
      <c r="T3959" s="55"/>
      <c r="U3959" s="55"/>
      <c r="V3959" s="55"/>
      <c r="W3959" s="55"/>
      <c r="X3959" s="55">
        <v>0</v>
      </c>
      <c r="Y3959" s="55"/>
      <c r="Z3959" s="55"/>
      <c r="AA3959" s="55"/>
      <c r="AB3959" s="55"/>
      <c r="AC3959" s="55"/>
      <c r="AD3959" s="55">
        <v>0</v>
      </c>
      <c r="AE3959" s="55" t="s">
        <v>145</v>
      </c>
      <c r="AF3959" s="55" t="s">
        <v>23137</v>
      </c>
      <c r="AG3959" s="55" t="s">
        <v>17062</v>
      </c>
      <c r="AH3959" s="72">
        <v>45924</v>
      </c>
      <c r="AI3959" s="55"/>
      <c r="AJ3959" s="55"/>
      <c r="AK3959" s="55"/>
      <c r="AL3959" s="157">
        <v>45964</v>
      </c>
      <c r="AM3959" s="55"/>
      <c r="AN3959" s="209"/>
      <c r="AO3959" s="209"/>
    </row>
    <row r="3960" spans="1:54" s="221" customFormat="1" ht="60" customHeight="1">
      <c r="A3960" s="46" t="s">
        <v>12471</v>
      </c>
      <c r="B3960" s="46" t="s">
        <v>55</v>
      </c>
      <c r="C3960" s="69" t="str">
        <f t="shared" ref="C3960" si="482">IF(B3960="Notification","Open",IF(B3960="Interim Statement","In progress","Closed"))</f>
        <v>Closed</v>
      </c>
      <c r="D3960" s="58" t="s">
        <v>23138</v>
      </c>
      <c r="E3960" s="55" t="s">
        <v>23139</v>
      </c>
      <c r="F3960" s="55" t="s">
        <v>17773</v>
      </c>
      <c r="G3960" s="88">
        <f>DATE(2025,7,1)</f>
        <v>45839</v>
      </c>
      <c r="H3960" s="142">
        <v>0.54166666666666663</v>
      </c>
      <c r="I3960" s="55" t="s">
        <v>125</v>
      </c>
      <c r="J3960" s="55" t="s">
        <v>23140</v>
      </c>
      <c r="K3960" s="55" t="s">
        <v>2603</v>
      </c>
      <c r="L3960" s="55" t="s">
        <v>23141</v>
      </c>
      <c r="M3960" s="55" t="s">
        <v>63</v>
      </c>
      <c r="N3960" s="55" t="s">
        <v>142</v>
      </c>
      <c r="O3960" s="55" t="s">
        <v>64</v>
      </c>
      <c r="P3960" s="55" t="s">
        <v>165</v>
      </c>
      <c r="Q3960" s="55" t="s">
        <v>23142</v>
      </c>
      <c r="R3960" s="55" t="s">
        <v>20752</v>
      </c>
      <c r="S3960" s="55">
        <v>0</v>
      </c>
      <c r="T3960" s="55">
        <v>0</v>
      </c>
      <c r="U3960" s="55">
        <v>0</v>
      </c>
      <c r="V3960" s="55">
        <v>0</v>
      </c>
      <c r="W3960" s="55">
        <v>0</v>
      </c>
      <c r="X3960" s="55">
        <v>0</v>
      </c>
      <c r="Y3960" s="55">
        <v>0</v>
      </c>
      <c r="Z3960" s="55">
        <v>0</v>
      </c>
      <c r="AA3960" s="55">
        <v>0</v>
      </c>
      <c r="AB3960" s="55">
        <v>0</v>
      </c>
      <c r="AC3960" s="55">
        <v>0</v>
      </c>
      <c r="AD3960" s="55">
        <v>0</v>
      </c>
      <c r="AE3960" s="55" t="s">
        <v>92</v>
      </c>
      <c r="AF3960" s="55" t="s">
        <v>23143</v>
      </c>
      <c r="AG3960" s="55" t="s">
        <v>8859</v>
      </c>
      <c r="AH3960" s="72">
        <v>45842</v>
      </c>
      <c r="AI3960" s="55">
        <v>7</v>
      </c>
      <c r="AJ3960" s="55" t="s">
        <v>23144</v>
      </c>
      <c r="AK3960" s="55" t="s">
        <v>23145</v>
      </c>
      <c r="AL3960" s="157">
        <v>45964</v>
      </c>
      <c r="AM3960" s="55"/>
      <c r="AN3960" s="212">
        <v>46002</v>
      </c>
      <c r="AO3960" s="212">
        <v>45929</v>
      </c>
      <c r="AP3960" s="217"/>
      <c r="AQ3960" s="218"/>
      <c r="AR3960" s="218"/>
      <c r="AS3960" s="218"/>
      <c r="AT3960" s="219"/>
      <c r="AU3960" s="217"/>
      <c r="AV3960" s="217"/>
      <c r="AW3960" s="217"/>
      <c r="AX3960" s="220"/>
      <c r="AY3960" s="220"/>
      <c r="AZ3960" s="220"/>
      <c r="BA3960" s="220"/>
      <c r="BB3960" s="220"/>
    </row>
    <row r="3961" spans="1:54" ht="36.75" customHeight="1">
      <c r="A3961" s="46" t="s">
        <v>12471</v>
      </c>
      <c r="B3961" s="46" t="s">
        <v>2124</v>
      </c>
      <c r="C3961" s="69" t="str">
        <f t="shared" ref="C3961" si="483">IF(B3961="Notification","Open",IF(B3961="Interim Statement","In progress","Closed"))</f>
        <v>Open</v>
      </c>
      <c r="D3961" s="36" t="s">
        <v>23146</v>
      </c>
      <c r="E3961" s="55" t="s">
        <v>23147</v>
      </c>
      <c r="F3961" s="55" t="s">
        <v>16429</v>
      </c>
      <c r="G3961" s="88">
        <f>DATE(2025,11,2)</f>
        <v>45963</v>
      </c>
      <c r="H3961" s="142">
        <v>0.52361111111111114</v>
      </c>
      <c r="I3961" s="55" t="s">
        <v>73</v>
      </c>
      <c r="J3961" s="55" t="s">
        <v>23148</v>
      </c>
      <c r="K3961" s="55" t="s">
        <v>425</v>
      </c>
      <c r="L3961" s="55" t="s">
        <v>23149</v>
      </c>
      <c r="M3961" s="55" t="s">
        <v>63</v>
      </c>
      <c r="N3961" s="55" t="s">
        <v>99</v>
      </c>
      <c r="O3961" s="55" t="s">
        <v>77</v>
      </c>
      <c r="P3961" s="55" t="s">
        <v>165</v>
      </c>
      <c r="Q3961" s="55" t="s">
        <v>18516</v>
      </c>
      <c r="R3961" s="55" t="s">
        <v>17369</v>
      </c>
      <c r="S3961" s="55">
        <v>0</v>
      </c>
      <c r="T3961" s="55">
        <v>0</v>
      </c>
      <c r="U3961" s="55">
        <v>0</v>
      </c>
      <c r="V3961" s="55">
        <v>0</v>
      </c>
      <c r="W3961" s="55">
        <v>0</v>
      </c>
      <c r="X3961" s="55">
        <v>0</v>
      </c>
      <c r="Y3961" s="55">
        <v>0</v>
      </c>
      <c r="Z3961" s="55">
        <v>0</v>
      </c>
      <c r="AA3961" s="55">
        <v>0</v>
      </c>
      <c r="AB3961" s="55">
        <v>0</v>
      </c>
      <c r="AC3961" s="55">
        <v>0</v>
      </c>
      <c r="AD3961" s="55">
        <v>0</v>
      </c>
      <c r="AE3961" s="55" t="s">
        <v>92</v>
      </c>
      <c r="AF3961" s="55" t="s">
        <v>23150</v>
      </c>
      <c r="AG3961" s="55" t="s">
        <v>22835</v>
      </c>
      <c r="AH3961" s="72">
        <v>45963</v>
      </c>
      <c r="AI3961" s="55"/>
      <c r="AJ3961" s="55"/>
      <c r="AK3961" s="55"/>
      <c r="AL3961" s="157">
        <v>45967</v>
      </c>
      <c r="AM3961" s="55"/>
      <c r="AN3961" s="209"/>
      <c r="AO3961" s="209"/>
    </row>
    <row r="3962" spans="1:54" ht="36.75" customHeight="1">
      <c r="A3962" s="46" t="s">
        <v>12471</v>
      </c>
      <c r="B3962" s="46" t="s">
        <v>2124</v>
      </c>
      <c r="C3962" s="69" t="str">
        <f t="shared" ref="C3962" si="484">IF(B3962="Notification","Open",IF(B3962="Interim Statement","In progress","Closed"))</f>
        <v>Open</v>
      </c>
      <c r="D3962" s="36" t="s">
        <v>23151</v>
      </c>
      <c r="E3962" s="55" t="s">
        <v>23152</v>
      </c>
      <c r="F3962" s="55" t="s">
        <v>16429</v>
      </c>
      <c r="G3962" s="88">
        <f>DATE(2025,10,26)</f>
        <v>45956</v>
      </c>
      <c r="H3962" s="142">
        <v>0.68680555555555556</v>
      </c>
      <c r="I3962" s="55" t="s">
        <v>73</v>
      </c>
      <c r="J3962" s="55" t="s">
        <v>23153</v>
      </c>
      <c r="K3962" s="55" t="s">
        <v>425</v>
      </c>
      <c r="L3962" s="55" t="s">
        <v>23154</v>
      </c>
      <c r="M3962" s="55" t="s">
        <v>63</v>
      </c>
      <c r="N3962" s="55" t="s">
        <v>142</v>
      </c>
      <c r="O3962" s="55" t="s">
        <v>77</v>
      </c>
      <c r="P3962" s="55" t="s">
        <v>91</v>
      </c>
      <c r="Q3962" s="55" t="s">
        <v>18516</v>
      </c>
      <c r="R3962" s="55" t="s">
        <v>17369</v>
      </c>
      <c r="S3962" s="55">
        <v>0</v>
      </c>
      <c r="T3962" s="55">
        <v>0</v>
      </c>
      <c r="U3962" s="55">
        <v>0</v>
      </c>
      <c r="V3962" s="55">
        <v>0</v>
      </c>
      <c r="W3962" s="55">
        <v>0</v>
      </c>
      <c r="X3962" s="55">
        <v>0</v>
      </c>
      <c r="Y3962" s="55">
        <v>0</v>
      </c>
      <c r="Z3962" s="55">
        <v>0</v>
      </c>
      <c r="AA3962" s="55">
        <v>0</v>
      </c>
      <c r="AB3962" s="55">
        <v>0</v>
      </c>
      <c r="AC3962" s="55">
        <v>0</v>
      </c>
      <c r="AD3962" s="55">
        <v>0</v>
      </c>
      <c r="AE3962" s="55" t="s">
        <v>92</v>
      </c>
      <c r="AF3962" s="55" t="s">
        <v>23155</v>
      </c>
      <c r="AG3962" s="55" t="s">
        <v>22835</v>
      </c>
      <c r="AH3962" s="72">
        <v>45966</v>
      </c>
      <c r="AI3962" s="55"/>
      <c r="AJ3962" s="55"/>
      <c r="AK3962" s="55"/>
      <c r="AL3962" s="157">
        <v>45967</v>
      </c>
      <c r="AM3962" s="55"/>
      <c r="AN3962" s="209"/>
      <c r="AO3962" s="209"/>
    </row>
    <row r="3963" spans="1:54" ht="36.75" customHeight="1">
      <c r="A3963" s="46" t="s">
        <v>12471</v>
      </c>
      <c r="B3963" s="46" t="s">
        <v>2124</v>
      </c>
      <c r="C3963" s="69" t="str">
        <f t="shared" ref="C3963" si="485">IF(B3963="Notification","Open",IF(B3963="Interim Statement","In progress","Closed"))</f>
        <v>Open</v>
      </c>
      <c r="D3963" s="36" t="s">
        <v>23156</v>
      </c>
      <c r="E3963" s="55" t="s">
        <v>23157</v>
      </c>
      <c r="F3963" s="55" t="s">
        <v>16702</v>
      </c>
      <c r="G3963" s="88">
        <f>DATE(2025,9,13)</f>
        <v>45913</v>
      </c>
      <c r="H3963" s="142">
        <v>0.46527777777777779</v>
      </c>
      <c r="I3963" s="55" t="s">
        <v>116</v>
      </c>
      <c r="J3963" s="55" t="s">
        <v>23158</v>
      </c>
      <c r="K3963" s="55" t="s">
        <v>596</v>
      </c>
      <c r="L3963" s="55" t="s">
        <v>23159</v>
      </c>
      <c r="M3963" s="55" t="s">
        <v>63</v>
      </c>
      <c r="N3963" s="55" t="s">
        <v>99</v>
      </c>
      <c r="O3963" s="55" t="s">
        <v>64</v>
      </c>
      <c r="P3963" s="55" t="s">
        <v>65</v>
      </c>
      <c r="Q3963" s="55" t="s">
        <v>20745</v>
      </c>
      <c r="R3963" s="55" t="s">
        <v>17293</v>
      </c>
      <c r="S3963" s="55">
        <v>0</v>
      </c>
      <c r="T3963" s="55">
        <v>0</v>
      </c>
      <c r="U3963" s="55">
        <v>2</v>
      </c>
      <c r="V3963" s="55">
        <v>0</v>
      </c>
      <c r="W3963" s="55">
        <v>0</v>
      </c>
      <c r="X3963" s="55">
        <v>0</v>
      </c>
      <c r="Y3963" s="55">
        <v>0</v>
      </c>
      <c r="Z3963" s="55">
        <v>0</v>
      </c>
      <c r="AA3963" s="55">
        <v>0</v>
      </c>
      <c r="AB3963" s="55">
        <v>0</v>
      </c>
      <c r="AC3963" s="55">
        <v>0</v>
      </c>
      <c r="AD3963" s="55">
        <v>0</v>
      </c>
      <c r="AE3963" s="55" t="s">
        <v>92</v>
      </c>
      <c r="AF3963" s="55" t="s">
        <v>17241</v>
      </c>
      <c r="AG3963" s="55" t="s">
        <v>6459</v>
      </c>
      <c r="AH3963" s="72">
        <v>45964</v>
      </c>
      <c r="AI3963" s="55"/>
      <c r="AJ3963" s="55"/>
      <c r="AK3963" s="55"/>
      <c r="AL3963" s="157">
        <v>45967</v>
      </c>
      <c r="AM3963" s="55"/>
      <c r="AN3963" s="209"/>
      <c r="AO3963" s="209"/>
    </row>
    <row r="3964" spans="1:54" ht="36.75" customHeight="1">
      <c r="A3964" s="46" t="s">
        <v>12471</v>
      </c>
      <c r="B3964" s="46" t="s">
        <v>2124</v>
      </c>
      <c r="C3964" s="69" t="str">
        <f t="shared" ref="C3964" si="486">IF(B3964="Notification","Open",IF(B3964="Interim Statement","In progress","Closed"))</f>
        <v>Open</v>
      </c>
      <c r="D3964" s="36" t="s">
        <v>23160</v>
      </c>
      <c r="E3964" s="55" t="s">
        <v>23161</v>
      </c>
      <c r="F3964" s="55" t="s">
        <v>16702</v>
      </c>
      <c r="G3964" s="88">
        <f>DATE(2025,6,18)</f>
        <v>45826</v>
      </c>
      <c r="H3964" s="142">
        <v>0.82986111111111116</v>
      </c>
      <c r="I3964" s="55" t="s">
        <v>116</v>
      </c>
      <c r="J3964" s="55" t="s">
        <v>21709</v>
      </c>
      <c r="K3964" s="55" t="s">
        <v>596</v>
      </c>
      <c r="L3964" s="55" t="s">
        <v>23162</v>
      </c>
      <c r="M3964" s="55" t="s">
        <v>63</v>
      </c>
      <c r="N3964" s="55" t="s">
        <v>99</v>
      </c>
      <c r="O3964" s="55" t="s">
        <v>64</v>
      </c>
      <c r="P3964" s="55" t="s">
        <v>65</v>
      </c>
      <c r="Q3964" s="55" t="s">
        <v>20745</v>
      </c>
      <c r="R3964" s="55" t="s">
        <v>17293</v>
      </c>
      <c r="S3964" s="55">
        <v>0</v>
      </c>
      <c r="T3964" s="55">
        <v>0</v>
      </c>
      <c r="U3964" s="55">
        <v>0</v>
      </c>
      <c r="V3964" s="55">
        <v>0</v>
      </c>
      <c r="W3964" s="55">
        <v>0</v>
      </c>
      <c r="X3964" s="55">
        <v>0</v>
      </c>
      <c r="Y3964" s="55">
        <v>0</v>
      </c>
      <c r="Z3964" s="55">
        <v>0</v>
      </c>
      <c r="AA3964" s="55">
        <v>0</v>
      </c>
      <c r="AB3964" s="55">
        <v>0</v>
      </c>
      <c r="AC3964" s="55">
        <v>0</v>
      </c>
      <c r="AD3964" s="55">
        <v>0</v>
      </c>
      <c r="AE3964" s="55" t="s">
        <v>145</v>
      </c>
      <c r="AF3964" s="55" t="s">
        <v>23163</v>
      </c>
      <c r="AG3964" s="55" t="s">
        <v>6459</v>
      </c>
      <c r="AH3964" s="72">
        <v>45832</v>
      </c>
      <c r="AI3964" s="55"/>
      <c r="AJ3964" s="55"/>
      <c r="AK3964" s="55"/>
      <c r="AL3964" s="157">
        <v>45967</v>
      </c>
      <c r="AM3964" s="55"/>
      <c r="AN3964" s="209"/>
      <c r="AO3964" s="209"/>
    </row>
    <row r="3965" spans="1:54" ht="36.75" customHeight="1">
      <c r="A3965" s="46" t="s">
        <v>12471</v>
      </c>
      <c r="B3965" s="46" t="s">
        <v>55</v>
      </c>
      <c r="C3965" s="69" t="str">
        <f t="shared" ref="C3965:C3966" si="487">IF(B3965="Notification","Open",IF(B3965="Interim Statement","In progress","Closed"))</f>
        <v>Closed</v>
      </c>
      <c r="D3965" s="58" t="s">
        <v>23164</v>
      </c>
      <c r="E3965" s="55" t="s">
        <v>23165</v>
      </c>
      <c r="F3965" s="55" t="s">
        <v>19149</v>
      </c>
      <c r="G3965" s="88">
        <f>DATE(2025,11,9)</f>
        <v>45970</v>
      </c>
      <c r="H3965" s="142">
        <v>0.8125</v>
      </c>
      <c r="I3965" s="55" t="s">
        <v>198</v>
      </c>
      <c r="J3965" s="55" t="s">
        <v>198</v>
      </c>
      <c r="K3965" s="55" t="s">
        <v>19151</v>
      </c>
      <c r="L3965" s="55" t="s">
        <v>23166</v>
      </c>
      <c r="M3965" s="55" t="s">
        <v>63</v>
      </c>
      <c r="N3965" s="55" t="s">
        <v>142</v>
      </c>
      <c r="O3965" s="55" t="s">
        <v>64</v>
      </c>
      <c r="P3965" s="55" t="s">
        <v>165</v>
      </c>
      <c r="Q3965" s="55" t="s">
        <v>19153</v>
      </c>
      <c r="R3965" s="55" t="s">
        <v>19154</v>
      </c>
      <c r="S3965" s="55">
        <v>0</v>
      </c>
      <c r="T3965" s="55">
        <v>0</v>
      </c>
      <c r="U3965" s="55">
        <v>0</v>
      </c>
      <c r="V3965" s="55">
        <v>0</v>
      </c>
      <c r="W3965" s="55">
        <v>0</v>
      </c>
      <c r="X3965" s="55">
        <v>0</v>
      </c>
      <c r="Y3965" s="55">
        <v>19</v>
      </c>
      <c r="Z3965" s="55">
        <v>4</v>
      </c>
      <c r="AA3965" s="55">
        <v>0</v>
      </c>
      <c r="AB3965" s="55">
        <v>0</v>
      </c>
      <c r="AC3965" s="55">
        <v>0</v>
      </c>
      <c r="AD3965" s="55">
        <f>Y3965+Z3965</f>
        <v>23</v>
      </c>
      <c r="AE3965" s="55" t="s">
        <v>145</v>
      </c>
      <c r="AF3965" s="55"/>
      <c r="AG3965" s="55" t="s">
        <v>6459</v>
      </c>
      <c r="AH3965" s="72">
        <v>45970</v>
      </c>
      <c r="AI3965" s="55">
        <v>6</v>
      </c>
      <c r="AJ3965" s="55" t="s">
        <v>198</v>
      </c>
      <c r="AK3965" s="55" t="s">
        <v>10556</v>
      </c>
      <c r="AL3965" s="157">
        <v>45972</v>
      </c>
      <c r="AM3965" s="55"/>
      <c r="AN3965" s="212">
        <v>46093</v>
      </c>
      <c r="AO3965" s="212">
        <v>46093</v>
      </c>
    </row>
    <row r="3966" spans="1:54" ht="36.75" customHeight="1">
      <c r="A3966" s="46" t="s">
        <v>12471</v>
      </c>
      <c r="B3966" s="46" t="s">
        <v>2124</v>
      </c>
      <c r="C3966" s="69" t="str">
        <f t="shared" si="487"/>
        <v>Open</v>
      </c>
      <c r="D3966" s="36" t="s">
        <v>23167</v>
      </c>
      <c r="E3966" s="55" t="s">
        <v>23168</v>
      </c>
      <c r="F3966" s="55" t="s">
        <v>17682</v>
      </c>
      <c r="G3966" s="88">
        <f>DATE(2025,11,6)</f>
        <v>45967</v>
      </c>
      <c r="H3966" s="142">
        <v>0.63194444444444442</v>
      </c>
      <c r="I3966" s="55" t="s">
        <v>73</v>
      </c>
      <c r="J3966" s="55" t="s">
        <v>23169</v>
      </c>
      <c r="K3966" s="55" t="s">
        <v>1574</v>
      </c>
      <c r="L3966" s="55" t="s">
        <v>23170</v>
      </c>
      <c r="M3966" s="55" t="s">
        <v>63</v>
      </c>
      <c r="N3966" s="55" t="s">
        <v>99</v>
      </c>
      <c r="O3966" s="55" t="s">
        <v>64</v>
      </c>
      <c r="P3966" s="55" t="s">
        <v>78</v>
      </c>
      <c r="Q3966" s="55" t="s">
        <v>23171</v>
      </c>
      <c r="R3966" s="55" t="s">
        <v>19007</v>
      </c>
      <c r="S3966" s="55">
        <v>0</v>
      </c>
      <c r="T3966" s="55">
        <v>0</v>
      </c>
      <c r="U3966" s="55">
        <v>0</v>
      </c>
      <c r="V3966" s="55">
        <v>0</v>
      </c>
      <c r="W3966" s="55">
        <v>0</v>
      </c>
      <c r="X3966" s="55">
        <v>0</v>
      </c>
      <c r="Y3966" s="55">
        <v>0</v>
      </c>
      <c r="Z3966" s="55">
        <v>0</v>
      </c>
      <c r="AA3966" s="55">
        <v>0</v>
      </c>
      <c r="AB3966" s="55">
        <v>0</v>
      </c>
      <c r="AC3966" s="55">
        <v>0</v>
      </c>
      <c r="AD3966" s="55">
        <v>0</v>
      </c>
      <c r="AE3966" s="55" t="s">
        <v>92</v>
      </c>
      <c r="AF3966" s="55" t="s">
        <v>23172</v>
      </c>
      <c r="AG3966" s="55" t="s">
        <v>8859</v>
      </c>
      <c r="AH3966" s="72">
        <v>45972</v>
      </c>
      <c r="AI3966" s="55"/>
      <c r="AJ3966" s="55"/>
      <c r="AK3966" s="55"/>
      <c r="AL3966" s="157">
        <v>45972</v>
      </c>
      <c r="AM3966" s="55"/>
      <c r="AN3966" s="209"/>
      <c r="AO3966" s="209"/>
    </row>
    <row r="3967" spans="1:54" ht="36.75" customHeight="1">
      <c r="A3967" s="46" t="s">
        <v>12471</v>
      </c>
      <c r="B3967" s="46" t="s">
        <v>2124</v>
      </c>
      <c r="C3967" s="69" t="str">
        <f t="shared" ref="C3967" si="488">IF(B3967="Notification","Open",IF(B3967="Interim Statement","In progress","Closed"))</f>
        <v>Open</v>
      </c>
      <c r="D3967" s="36" t="s">
        <v>23173</v>
      </c>
      <c r="E3967" s="55" t="s">
        <v>23174</v>
      </c>
      <c r="F3967" s="55" t="s">
        <v>17820</v>
      </c>
      <c r="G3967" s="88">
        <f>DATE(2025,10,13)</f>
        <v>45943</v>
      </c>
      <c r="H3967" s="142">
        <v>0.15972222222222221</v>
      </c>
      <c r="I3967" s="55" t="s">
        <v>156</v>
      </c>
      <c r="J3967" s="55" t="s">
        <v>23175</v>
      </c>
      <c r="K3967" s="55" t="s">
        <v>640</v>
      </c>
      <c r="L3967" s="55" t="s">
        <v>23176</v>
      </c>
      <c r="M3967" s="55" t="s">
        <v>63</v>
      </c>
      <c r="N3967" s="55" t="s">
        <v>99</v>
      </c>
      <c r="O3967" s="55" t="s">
        <v>64</v>
      </c>
      <c r="P3967" s="55" t="s">
        <v>78</v>
      </c>
      <c r="Q3967" s="55" t="s">
        <v>23177</v>
      </c>
      <c r="R3967" s="55" t="s">
        <v>2016</v>
      </c>
      <c r="S3967" s="55">
        <v>0</v>
      </c>
      <c r="T3967" s="55">
        <v>0</v>
      </c>
      <c r="U3967" s="55">
        <v>0</v>
      </c>
      <c r="V3967" s="55">
        <v>0</v>
      </c>
      <c r="W3967" s="55">
        <v>1</v>
      </c>
      <c r="X3967" s="55">
        <v>1</v>
      </c>
      <c r="Y3967" s="55">
        <v>0</v>
      </c>
      <c r="Z3967" s="55">
        <v>0</v>
      </c>
      <c r="AA3967" s="55">
        <v>0</v>
      </c>
      <c r="AB3967" s="55">
        <v>0</v>
      </c>
      <c r="AC3967" s="55">
        <v>0</v>
      </c>
      <c r="AD3967" s="55">
        <v>0</v>
      </c>
      <c r="AE3967" s="55" t="s">
        <v>92</v>
      </c>
      <c r="AF3967" s="55"/>
      <c r="AG3967" s="55" t="s">
        <v>13537</v>
      </c>
      <c r="AH3967" s="72">
        <v>45973</v>
      </c>
      <c r="AI3967" s="55"/>
      <c r="AJ3967" s="55"/>
      <c r="AK3967" s="55"/>
      <c r="AL3967" s="157">
        <v>45975</v>
      </c>
      <c r="AM3967" s="55"/>
      <c r="AN3967" s="209"/>
      <c r="AO3967" s="209"/>
    </row>
    <row r="3968" spans="1:54" ht="36.75" customHeight="1">
      <c r="A3968" s="46" t="s">
        <v>12471</v>
      </c>
      <c r="B3968" s="46" t="s">
        <v>2124</v>
      </c>
      <c r="C3968" s="69" t="str">
        <f t="shared" ref="C3968:C3975" si="489">IF(B3968="Notification","Open",IF(B3968="Interim Statement","In progress","Closed"))</f>
        <v>Open</v>
      </c>
      <c r="D3968" s="36" t="s">
        <v>23178</v>
      </c>
      <c r="E3968" s="55" t="s">
        <v>23179</v>
      </c>
      <c r="F3968" s="55" t="s">
        <v>17682</v>
      </c>
      <c r="G3968" s="88">
        <f>DATE(2025,11,19)</f>
        <v>45980</v>
      </c>
      <c r="H3968" s="142">
        <v>0.19444444444444445</v>
      </c>
      <c r="I3968" s="55" t="s">
        <v>198</v>
      </c>
      <c r="J3968" s="55" t="s">
        <v>23180</v>
      </c>
      <c r="K3968" s="55" t="s">
        <v>1574</v>
      </c>
      <c r="L3968" s="55" t="s">
        <v>23181</v>
      </c>
      <c r="M3968" s="55" t="s">
        <v>63</v>
      </c>
      <c r="N3968" s="55" t="s">
        <v>142</v>
      </c>
      <c r="O3968" s="55" t="s">
        <v>64</v>
      </c>
      <c r="P3968" s="55" t="s">
        <v>78</v>
      </c>
      <c r="Q3968" s="55" t="s">
        <v>23182</v>
      </c>
      <c r="R3968" s="55" t="s">
        <v>19007</v>
      </c>
      <c r="S3968" s="55">
        <v>0</v>
      </c>
      <c r="T3968" s="55">
        <v>0</v>
      </c>
      <c r="U3968" s="55">
        <v>0</v>
      </c>
      <c r="V3968" s="55">
        <v>0</v>
      </c>
      <c r="W3968" s="55">
        <v>0</v>
      </c>
      <c r="X3968" s="55">
        <v>0</v>
      </c>
      <c r="Y3968" s="55">
        <v>0</v>
      </c>
      <c r="Z3968" s="55">
        <v>0</v>
      </c>
      <c r="AA3968" s="55">
        <v>0</v>
      </c>
      <c r="AB3968" s="55">
        <v>0</v>
      </c>
      <c r="AC3968" s="55">
        <v>0</v>
      </c>
      <c r="AD3968" s="55">
        <v>0</v>
      </c>
      <c r="AE3968" s="55" t="s">
        <v>92</v>
      </c>
      <c r="AF3968" s="55" t="s">
        <v>18510</v>
      </c>
      <c r="AG3968" s="55" t="s">
        <v>8859</v>
      </c>
      <c r="AH3968" s="72">
        <v>45981</v>
      </c>
      <c r="AI3968" s="55"/>
      <c r="AJ3968" s="55"/>
      <c r="AK3968" s="55"/>
      <c r="AL3968" s="157">
        <v>45981</v>
      </c>
      <c r="AM3968" s="55"/>
      <c r="AN3968" s="209"/>
      <c r="AO3968" s="209"/>
    </row>
    <row r="3969" spans="1:41" ht="36.75" customHeight="1">
      <c r="A3969" s="46" t="s">
        <v>12471</v>
      </c>
      <c r="B3969" s="46" t="s">
        <v>2124</v>
      </c>
      <c r="C3969" s="69" t="str">
        <f t="shared" si="489"/>
        <v>Open</v>
      </c>
      <c r="D3969" s="36" t="s">
        <v>23183</v>
      </c>
      <c r="E3969" s="55" t="s">
        <v>23184</v>
      </c>
      <c r="F3969" s="55" t="s">
        <v>16429</v>
      </c>
      <c r="G3969" s="88">
        <f>DATE(2025,11,20)</f>
        <v>45981</v>
      </c>
      <c r="H3969" s="142">
        <v>4.5138888888888888E-2</v>
      </c>
      <c r="I3969" s="55" t="s">
        <v>23185</v>
      </c>
      <c r="J3969" s="55" t="s">
        <v>23186</v>
      </c>
      <c r="K3969" s="55" t="s">
        <v>425</v>
      </c>
      <c r="L3969" s="55" t="s">
        <v>23187</v>
      </c>
      <c r="M3969" s="55" t="s">
        <v>129</v>
      </c>
      <c r="N3969" s="55" t="s">
        <v>99</v>
      </c>
      <c r="O3969" s="55" t="s">
        <v>77</v>
      </c>
      <c r="P3969" s="55" t="s">
        <v>301</v>
      </c>
      <c r="Q3969" s="55" t="s">
        <v>23188</v>
      </c>
      <c r="R3969" s="55" t="s">
        <v>23188</v>
      </c>
      <c r="S3969" s="55">
        <v>0</v>
      </c>
      <c r="T3969" s="55">
        <v>1</v>
      </c>
      <c r="U3969" s="55">
        <v>0</v>
      </c>
      <c r="V3969" s="55">
        <v>0</v>
      </c>
      <c r="W3969" s="55">
        <v>0</v>
      </c>
      <c r="X3969" s="55">
        <v>1</v>
      </c>
      <c r="Y3969" s="55">
        <v>0</v>
      </c>
      <c r="Z3969" s="55">
        <v>0</v>
      </c>
      <c r="AA3969" s="55">
        <v>0</v>
      </c>
      <c r="AB3969" s="55">
        <v>0</v>
      </c>
      <c r="AC3969" s="55">
        <v>0</v>
      </c>
      <c r="AD3969" s="55">
        <v>0</v>
      </c>
      <c r="AE3969" s="55" t="s">
        <v>92</v>
      </c>
      <c r="AF3969" s="55" t="s">
        <v>23189</v>
      </c>
      <c r="AG3969" s="55" t="s">
        <v>16283</v>
      </c>
      <c r="AH3969" s="72">
        <v>45981</v>
      </c>
      <c r="AI3969" s="55"/>
      <c r="AJ3969" s="55"/>
      <c r="AK3969" s="55"/>
      <c r="AL3969" s="157">
        <v>45983</v>
      </c>
      <c r="AM3969" s="55"/>
      <c r="AN3969" s="209"/>
      <c r="AO3969" s="209"/>
    </row>
    <row r="3970" spans="1:41" ht="36.75" customHeight="1">
      <c r="A3970" s="46" t="s">
        <v>12471</v>
      </c>
      <c r="B3970" s="46" t="s">
        <v>2124</v>
      </c>
      <c r="C3970" s="69" t="str">
        <f t="shared" si="489"/>
        <v>Open</v>
      </c>
      <c r="D3970" s="36" t="s">
        <v>23190</v>
      </c>
      <c r="E3970" s="55" t="s">
        <v>23191</v>
      </c>
      <c r="F3970" s="55" t="s">
        <v>17057</v>
      </c>
      <c r="G3970" s="88">
        <f>DATE(2025,11,16)</f>
        <v>45977</v>
      </c>
      <c r="H3970" s="142">
        <v>0.27777777777777779</v>
      </c>
      <c r="I3970" s="55" t="s">
        <v>431</v>
      </c>
      <c r="J3970" s="55" t="s">
        <v>23192</v>
      </c>
      <c r="K3970" s="55" t="s">
        <v>2338</v>
      </c>
      <c r="L3970" s="55" t="s">
        <v>23193</v>
      </c>
      <c r="M3970" s="55" t="s">
        <v>63</v>
      </c>
      <c r="N3970" s="55" t="s">
        <v>142</v>
      </c>
      <c r="O3970" s="55" t="s">
        <v>64</v>
      </c>
      <c r="P3970" s="55" t="s">
        <v>165</v>
      </c>
      <c r="Q3970" s="55" t="s">
        <v>23194</v>
      </c>
      <c r="R3970" s="55" t="s">
        <v>2341</v>
      </c>
      <c r="S3970" s="55">
        <v>0</v>
      </c>
      <c r="T3970" s="55">
        <v>0</v>
      </c>
      <c r="U3970" s="55">
        <v>0</v>
      </c>
      <c r="V3970" s="55">
        <v>0</v>
      </c>
      <c r="W3970" s="55">
        <v>0</v>
      </c>
      <c r="X3970" s="55">
        <v>0</v>
      </c>
      <c r="Y3970" s="55">
        <v>0</v>
      </c>
      <c r="Z3970" s="55">
        <v>0</v>
      </c>
      <c r="AA3970" s="55">
        <v>0</v>
      </c>
      <c r="AB3970" s="55">
        <v>0</v>
      </c>
      <c r="AC3970" s="55">
        <v>0</v>
      </c>
      <c r="AD3970" s="55">
        <v>0</v>
      </c>
      <c r="AE3970" s="55" t="s">
        <v>92</v>
      </c>
      <c r="AF3970" s="55" t="s">
        <v>23195</v>
      </c>
      <c r="AG3970" s="55" t="s">
        <v>16283</v>
      </c>
      <c r="AH3970" s="72">
        <v>45982</v>
      </c>
      <c r="AI3970" s="55"/>
      <c r="AJ3970" s="55"/>
      <c r="AK3970" s="55"/>
      <c r="AL3970" s="157">
        <v>45985</v>
      </c>
      <c r="AM3970" s="55"/>
      <c r="AN3970" s="209"/>
      <c r="AO3970" s="209"/>
    </row>
    <row r="3971" spans="1:41" ht="36.75" customHeight="1">
      <c r="A3971" s="46" t="s">
        <v>12471</v>
      </c>
      <c r="B3971" s="46" t="s">
        <v>2124</v>
      </c>
      <c r="C3971" s="69" t="str">
        <f t="shared" si="489"/>
        <v>Open</v>
      </c>
      <c r="D3971" s="36" t="s">
        <v>23196</v>
      </c>
      <c r="E3971" s="55" t="s">
        <v>23197</v>
      </c>
      <c r="F3971" s="55" t="s">
        <v>17057</v>
      </c>
      <c r="G3971" s="88">
        <f>DATE(2025,11,16)</f>
        <v>45977</v>
      </c>
      <c r="H3971" s="142">
        <v>0.84375</v>
      </c>
      <c r="I3971" s="55" t="s">
        <v>9419</v>
      </c>
      <c r="J3971" s="55" t="s">
        <v>23198</v>
      </c>
      <c r="K3971" s="55" t="s">
        <v>2338</v>
      </c>
      <c r="L3971" s="55" t="s">
        <v>23199</v>
      </c>
      <c r="M3971" s="55" t="s">
        <v>63</v>
      </c>
      <c r="N3971" s="55" t="s">
        <v>142</v>
      </c>
      <c r="O3971" s="55" t="s">
        <v>64</v>
      </c>
      <c r="P3971" s="55" t="s">
        <v>65</v>
      </c>
      <c r="Q3971" s="55" t="s">
        <v>2945</v>
      </c>
      <c r="R3971" s="55" t="s">
        <v>2341</v>
      </c>
      <c r="S3971" s="55">
        <v>0</v>
      </c>
      <c r="T3971" s="55">
        <v>0</v>
      </c>
      <c r="U3971" s="55">
        <v>0</v>
      </c>
      <c r="V3971" s="55">
        <v>0</v>
      </c>
      <c r="W3971" s="55">
        <v>0</v>
      </c>
      <c r="X3971" s="55">
        <v>0</v>
      </c>
      <c r="Y3971" s="55">
        <v>0</v>
      </c>
      <c r="Z3971" s="55">
        <v>0</v>
      </c>
      <c r="AA3971" s="55">
        <v>0</v>
      </c>
      <c r="AB3971" s="55">
        <v>0</v>
      </c>
      <c r="AC3971" s="55">
        <v>0</v>
      </c>
      <c r="AD3971" s="55">
        <v>0</v>
      </c>
      <c r="AE3971" s="55" t="s">
        <v>23200</v>
      </c>
      <c r="AF3971" s="55" t="s">
        <v>23201</v>
      </c>
      <c r="AG3971" s="55" t="s">
        <v>16283</v>
      </c>
      <c r="AH3971" s="72">
        <v>45982</v>
      </c>
      <c r="AI3971" s="55"/>
      <c r="AJ3971" s="55"/>
      <c r="AK3971" s="55"/>
      <c r="AL3971" s="157">
        <v>45985</v>
      </c>
      <c r="AM3971" s="55"/>
      <c r="AN3971" s="209"/>
      <c r="AO3971" s="209"/>
    </row>
    <row r="3972" spans="1:41" ht="36.75" customHeight="1">
      <c r="A3972" s="46" t="s">
        <v>12471</v>
      </c>
      <c r="B3972" s="46" t="s">
        <v>2124</v>
      </c>
      <c r="C3972" s="69" t="str">
        <f t="shared" si="489"/>
        <v>Open</v>
      </c>
      <c r="D3972" s="36" t="s">
        <v>23202</v>
      </c>
      <c r="E3972" s="55" t="s">
        <v>23203</v>
      </c>
      <c r="F3972" s="55" t="s">
        <v>16429</v>
      </c>
      <c r="G3972" s="88">
        <f t="shared" ref="G3972" si="490">DATE(2025,11,20)</f>
        <v>45981</v>
      </c>
      <c r="H3972" s="142">
        <v>0.26319444444444445</v>
      </c>
      <c r="I3972" s="55" t="s">
        <v>198</v>
      </c>
      <c r="J3972" s="55" t="s">
        <v>23204</v>
      </c>
      <c r="K3972" s="55" t="s">
        <v>425</v>
      </c>
      <c r="L3972" s="55" t="s">
        <v>23205</v>
      </c>
      <c r="M3972" s="55" t="s">
        <v>63</v>
      </c>
      <c r="N3972" s="55" t="s">
        <v>23206</v>
      </c>
      <c r="O3972" s="55" t="s">
        <v>77</v>
      </c>
      <c r="P3972" s="55" t="s">
        <v>23207</v>
      </c>
      <c r="Q3972" s="55" t="s">
        <v>18516</v>
      </c>
      <c r="R3972" s="55" t="s">
        <v>17369</v>
      </c>
      <c r="S3972" s="55">
        <v>0</v>
      </c>
      <c r="T3972" s="55">
        <v>0</v>
      </c>
      <c r="U3972" s="55">
        <v>0</v>
      </c>
      <c r="V3972" s="55">
        <v>0</v>
      </c>
      <c r="W3972" s="55">
        <v>0</v>
      </c>
      <c r="X3972" s="55">
        <v>0</v>
      </c>
      <c r="Y3972" s="55">
        <v>18</v>
      </c>
      <c r="Z3972" s="55">
        <v>2</v>
      </c>
      <c r="AA3972" s="55">
        <v>0</v>
      </c>
      <c r="AB3972" s="55">
        <v>0</v>
      </c>
      <c r="AC3972" s="55">
        <v>0</v>
      </c>
      <c r="AD3972" s="55">
        <v>20</v>
      </c>
      <c r="AE3972" s="55" t="s">
        <v>145</v>
      </c>
      <c r="AF3972" s="55" t="s">
        <v>23208</v>
      </c>
      <c r="AG3972" s="55" t="s">
        <v>6459</v>
      </c>
      <c r="AH3972" s="72">
        <v>45981</v>
      </c>
      <c r="AI3972" s="55"/>
      <c r="AJ3972" s="55"/>
      <c r="AK3972" s="55"/>
      <c r="AL3972" s="157">
        <v>45985</v>
      </c>
      <c r="AM3972" s="55"/>
      <c r="AN3972" s="209"/>
      <c r="AO3972" s="209"/>
    </row>
    <row r="3973" spans="1:41" ht="36.75" customHeight="1">
      <c r="A3973" s="46" t="s">
        <v>12471</v>
      </c>
      <c r="B3973" s="46" t="s">
        <v>2124</v>
      </c>
      <c r="C3973" s="69" t="str">
        <f t="shared" si="489"/>
        <v>Open</v>
      </c>
      <c r="D3973" s="36" t="s">
        <v>23209</v>
      </c>
      <c r="E3973" s="55" t="s">
        <v>23210</v>
      </c>
      <c r="F3973" s="55" t="s">
        <v>12910</v>
      </c>
      <c r="G3973" s="88">
        <f>DATE(2025,11,30)</f>
        <v>45991</v>
      </c>
      <c r="H3973" s="142">
        <v>0.76041666666666663</v>
      </c>
      <c r="I3973" s="55" t="s">
        <v>278</v>
      </c>
      <c r="J3973" s="55" t="s">
        <v>23211</v>
      </c>
      <c r="K3973" s="55" t="s">
        <v>453</v>
      </c>
      <c r="L3973" s="55" t="s">
        <v>23212</v>
      </c>
      <c r="M3973" s="55" t="s">
        <v>63</v>
      </c>
      <c r="N3973" s="55" t="s">
        <v>99</v>
      </c>
      <c r="O3973" s="55" t="s">
        <v>77</v>
      </c>
      <c r="P3973" s="55" t="s">
        <v>165</v>
      </c>
      <c r="Q3973" s="55" t="s">
        <v>19577</v>
      </c>
      <c r="R3973" s="55" t="s">
        <v>19577</v>
      </c>
      <c r="S3973" s="55">
        <v>0</v>
      </c>
      <c r="T3973" s="55">
        <v>0</v>
      </c>
      <c r="U3973" s="55">
        <v>0</v>
      </c>
      <c r="V3973" s="55">
        <v>1</v>
      </c>
      <c r="W3973" s="55">
        <v>0</v>
      </c>
      <c r="X3973" s="55">
        <v>1</v>
      </c>
      <c r="Y3973" s="55">
        <v>0</v>
      </c>
      <c r="Z3973" s="55">
        <v>0</v>
      </c>
      <c r="AA3973" s="55">
        <v>0</v>
      </c>
      <c r="AB3973" s="55">
        <v>0</v>
      </c>
      <c r="AC3973" s="55">
        <v>0</v>
      </c>
      <c r="AD3973" s="55">
        <v>0</v>
      </c>
      <c r="AE3973" s="55" t="s">
        <v>92</v>
      </c>
      <c r="AF3973" s="55" t="s">
        <v>23213</v>
      </c>
      <c r="AG3973" s="55" t="s">
        <v>6459</v>
      </c>
      <c r="AH3973" s="72">
        <v>45992</v>
      </c>
      <c r="AI3973" s="55"/>
      <c r="AJ3973" s="55"/>
      <c r="AK3973" s="55"/>
      <c r="AL3973" s="157">
        <v>45993</v>
      </c>
      <c r="AM3973" s="55"/>
      <c r="AN3973" s="209"/>
      <c r="AO3973" s="209"/>
    </row>
    <row r="3974" spans="1:41" ht="36.75" customHeight="1">
      <c r="A3974" s="46" t="s">
        <v>12471</v>
      </c>
      <c r="B3974" s="46" t="s">
        <v>2124</v>
      </c>
      <c r="C3974" s="69" t="str">
        <f t="shared" si="489"/>
        <v>Open</v>
      </c>
      <c r="D3974" s="36" t="s">
        <v>23214</v>
      </c>
      <c r="E3974" s="55" t="s">
        <v>23215</v>
      </c>
      <c r="F3974" s="55" t="s">
        <v>18131</v>
      </c>
      <c r="G3974" s="88">
        <f>DATE(2025,11,25)</f>
        <v>45986</v>
      </c>
      <c r="H3974" s="142">
        <v>0.2951388888888889</v>
      </c>
      <c r="I3974" s="55" t="s">
        <v>116</v>
      </c>
      <c r="J3974" s="55" t="s">
        <v>23216</v>
      </c>
      <c r="K3974" s="55" t="s">
        <v>379</v>
      </c>
      <c r="L3974" s="55" t="s">
        <v>23217</v>
      </c>
      <c r="M3974" s="55" t="s">
        <v>63</v>
      </c>
      <c r="N3974" s="55" t="s">
        <v>99</v>
      </c>
      <c r="O3974" s="55" t="s">
        <v>64</v>
      </c>
      <c r="P3974" s="55" t="s">
        <v>165</v>
      </c>
      <c r="Q3974" s="55" t="s">
        <v>23218</v>
      </c>
      <c r="R3974" s="55" t="s">
        <v>23219</v>
      </c>
      <c r="S3974" s="55">
        <v>0</v>
      </c>
      <c r="T3974" s="55">
        <v>0</v>
      </c>
      <c r="U3974" s="55">
        <v>0</v>
      </c>
      <c r="V3974" s="55">
        <v>0</v>
      </c>
      <c r="W3974" s="55">
        <v>0</v>
      </c>
      <c r="X3974" s="55">
        <v>0</v>
      </c>
      <c r="Y3974" s="55">
        <v>0</v>
      </c>
      <c r="Z3974" s="55">
        <v>1</v>
      </c>
      <c r="AA3974" s="55">
        <v>1</v>
      </c>
      <c r="AB3974" s="55">
        <v>0</v>
      </c>
      <c r="AC3974" s="55">
        <v>0</v>
      </c>
      <c r="AD3974" s="55">
        <v>2</v>
      </c>
      <c r="AE3974" s="55" t="s">
        <v>23200</v>
      </c>
      <c r="AF3974" s="55" t="s">
        <v>23220</v>
      </c>
      <c r="AG3974" s="55" t="s">
        <v>16283</v>
      </c>
      <c r="AH3974" s="72">
        <v>45987</v>
      </c>
      <c r="AI3974" s="55"/>
      <c r="AJ3974" s="55"/>
      <c r="AK3974" s="55"/>
      <c r="AL3974" s="157">
        <v>45993</v>
      </c>
      <c r="AM3974" s="55"/>
      <c r="AN3974" s="209"/>
      <c r="AO3974" s="209"/>
    </row>
    <row r="3975" spans="1:41" ht="36.75" customHeight="1">
      <c r="A3975" s="46" t="s">
        <v>12471</v>
      </c>
      <c r="B3975" s="46" t="s">
        <v>2124</v>
      </c>
      <c r="C3975" s="69" t="str">
        <f t="shared" si="489"/>
        <v>Open</v>
      </c>
      <c r="D3975" s="36" t="s">
        <v>23221</v>
      </c>
      <c r="E3975" s="55" t="s">
        <v>23222</v>
      </c>
      <c r="F3975" s="55" t="s">
        <v>16429</v>
      </c>
      <c r="G3975" s="88">
        <f>DATE(2025,11,25)</f>
        <v>45986</v>
      </c>
      <c r="H3975" s="142">
        <v>0.98611111111111116</v>
      </c>
      <c r="I3975" s="55" t="s">
        <v>86</v>
      </c>
      <c r="J3975" s="55" t="s">
        <v>23223</v>
      </c>
      <c r="K3975" s="55" t="s">
        <v>425</v>
      </c>
      <c r="L3975" s="55" t="s">
        <v>23224</v>
      </c>
      <c r="M3975" s="55" t="s">
        <v>63</v>
      </c>
      <c r="N3975" s="55" t="s">
        <v>142</v>
      </c>
      <c r="O3975" s="55" t="s">
        <v>77</v>
      </c>
      <c r="P3975" s="55" t="s">
        <v>23225</v>
      </c>
      <c r="Q3975" s="55" t="s">
        <v>23226</v>
      </c>
      <c r="R3975" s="55" t="s">
        <v>17369</v>
      </c>
      <c r="S3975" s="55">
        <v>0</v>
      </c>
      <c r="T3975" s="55">
        <v>0</v>
      </c>
      <c r="U3975" s="55">
        <v>0</v>
      </c>
      <c r="V3975" s="55">
        <v>0</v>
      </c>
      <c r="W3975" s="55">
        <v>0</v>
      </c>
      <c r="X3975" s="55">
        <v>0</v>
      </c>
      <c r="Y3975" s="55">
        <v>0</v>
      </c>
      <c r="Z3975" s="55">
        <v>0</v>
      </c>
      <c r="AA3975" s="55">
        <v>0</v>
      </c>
      <c r="AB3975" s="55">
        <v>0</v>
      </c>
      <c r="AC3975" s="55">
        <v>0</v>
      </c>
      <c r="AD3975" s="55">
        <v>0</v>
      </c>
      <c r="AE3975" s="55" t="s">
        <v>92</v>
      </c>
      <c r="AF3975" s="55" t="s">
        <v>23227</v>
      </c>
      <c r="AG3975" s="55" t="s">
        <v>16283</v>
      </c>
      <c r="AH3975" s="72">
        <v>45989</v>
      </c>
      <c r="AI3975" s="55"/>
      <c r="AJ3975" s="55"/>
      <c r="AK3975" s="55"/>
      <c r="AL3975" s="157">
        <v>45994</v>
      </c>
      <c r="AM3975" s="55"/>
      <c r="AN3975" s="209"/>
      <c r="AO3975" s="209"/>
    </row>
    <row r="3976" spans="1:41" ht="36.75" customHeight="1">
      <c r="A3976" s="46" t="s">
        <v>12471</v>
      </c>
      <c r="B3976" s="46" t="s">
        <v>2124</v>
      </c>
      <c r="C3976" s="69" t="str">
        <f t="shared" ref="C3976:C3977" si="491">IF(B3976="Notification","Open",IF(B3976="Interim Statement","In progress","Closed"))</f>
        <v>Open</v>
      </c>
      <c r="D3976" s="36" t="s">
        <v>23228</v>
      </c>
      <c r="E3976" s="55" t="s">
        <v>23229</v>
      </c>
      <c r="F3976" s="55" t="s">
        <v>14753</v>
      </c>
      <c r="G3976" s="88">
        <f>DATE(2025,10,13)</f>
        <v>45943</v>
      </c>
      <c r="H3976" s="142">
        <v>0.51736111111111105</v>
      </c>
      <c r="I3976" s="55" t="s">
        <v>6872</v>
      </c>
      <c r="J3976" s="55" t="s">
        <v>23230</v>
      </c>
      <c r="K3976" s="55" t="s">
        <v>1772</v>
      </c>
      <c r="L3976" s="55" t="s">
        <v>23231</v>
      </c>
      <c r="M3976" s="55" t="s">
        <v>63</v>
      </c>
      <c r="N3976" s="55" t="s">
        <v>142</v>
      </c>
      <c r="O3976" s="55" t="s">
        <v>64</v>
      </c>
      <c r="P3976" s="55" t="s">
        <v>78</v>
      </c>
      <c r="Q3976" s="55" t="s">
        <v>14755</v>
      </c>
      <c r="R3976" s="55" t="s">
        <v>1775</v>
      </c>
      <c r="S3976" s="55">
        <v>0</v>
      </c>
      <c r="T3976" s="55">
        <v>0</v>
      </c>
      <c r="U3976" s="55">
        <v>0</v>
      </c>
      <c r="V3976" s="55">
        <v>0</v>
      </c>
      <c r="W3976" s="55">
        <v>0</v>
      </c>
      <c r="X3976" s="55">
        <v>0</v>
      </c>
      <c r="Y3976" s="55">
        <v>0</v>
      </c>
      <c r="Z3976" s="55">
        <v>0</v>
      </c>
      <c r="AA3976" s="55">
        <v>0</v>
      </c>
      <c r="AB3976" s="55">
        <v>0</v>
      </c>
      <c r="AC3976" s="55">
        <v>0</v>
      </c>
      <c r="AD3976" s="55">
        <v>0</v>
      </c>
      <c r="AE3976" s="55" t="s">
        <v>92</v>
      </c>
      <c r="AF3976" s="55" t="s">
        <v>18510</v>
      </c>
      <c r="AG3976" s="55" t="s">
        <v>16283</v>
      </c>
      <c r="AH3976" s="72">
        <v>45953</v>
      </c>
      <c r="AI3976" s="55"/>
      <c r="AJ3976" s="55"/>
      <c r="AK3976" s="55"/>
      <c r="AL3976" s="157">
        <v>45996</v>
      </c>
      <c r="AM3976" s="55"/>
      <c r="AN3976" s="209"/>
      <c r="AO3976" s="209"/>
    </row>
    <row r="3977" spans="1:41" ht="36.75" customHeight="1">
      <c r="A3977" s="46" t="s">
        <v>12471</v>
      </c>
      <c r="B3977" s="46" t="s">
        <v>2124</v>
      </c>
      <c r="C3977" s="69" t="str">
        <f t="shared" si="491"/>
        <v>Open</v>
      </c>
      <c r="D3977" s="36" t="s">
        <v>23232</v>
      </c>
      <c r="E3977" s="24" t="s">
        <v>23233</v>
      </c>
      <c r="F3977" s="55" t="s">
        <v>17682</v>
      </c>
      <c r="G3977" s="88">
        <f>DATE(2025,12,13)</f>
        <v>46004</v>
      </c>
      <c r="H3977" s="142">
        <v>0.14930555555555555</v>
      </c>
      <c r="I3977" s="55" t="s">
        <v>125</v>
      </c>
      <c r="J3977" s="55" t="s">
        <v>23234</v>
      </c>
      <c r="K3977" s="55" t="s">
        <v>1574</v>
      </c>
      <c r="L3977" s="223" t="s">
        <v>23235</v>
      </c>
      <c r="M3977" s="55" t="s">
        <v>63</v>
      </c>
      <c r="N3977" s="55" t="s">
        <v>99</v>
      </c>
      <c r="O3977" s="55" t="s">
        <v>64</v>
      </c>
      <c r="P3977" s="55" t="s">
        <v>78</v>
      </c>
      <c r="Q3977" s="55" t="s">
        <v>22863</v>
      </c>
      <c r="R3977" s="55" t="s">
        <v>19007</v>
      </c>
      <c r="S3977" s="55">
        <v>0</v>
      </c>
      <c r="T3977" s="55">
        <v>0</v>
      </c>
      <c r="U3977" s="55">
        <v>0</v>
      </c>
      <c r="V3977" s="55">
        <v>0</v>
      </c>
      <c r="W3977" s="55">
        <v>0</v>
      </c>
      <c r="X3977" s="55">
        <v>0</v>
      </c>
      <c r="Y3977" s="55">
        <v>0</v>
      </c>
      <c r="Z3977" s="55">
        <v>0</v>
      </c>
      <c r="AA3977" s="55">
        <v>0</v>
      </c>
      <c r="AB3977" s="55">
        <v>0</v>
      </c>
      <c r="AC3977" s="55">
        <v>0</v>
      </c>
      <c r="AD3977" s="55">
        <v>0</v>
      </c>
      <c r="AE3977" s="55" t="s">
        <v>92</v>
      </c>
      <c r="AF3977" s="223" t="s">
        <v>23236</v>
      </c>
      <c r="AG3977" s="55" t="s">
        <v>16283</v>
      </c>
      <c r="AH3977" s="72">
        <v>46006</v>
      </c>
      <c r="AI3977" s="55"/>
      <c r="AJ3977" s="55"/>
      <c r="AK3977" s="55"/>
      <c r="AL3977" s="157">
        <v>46007</v>
      </c>
      <c r="AM3977" s="55"/>
      <c r="AN3977" s="209"/>
      <c r="AO3977" s="209"/>
    </row>
    <row r="3978" spans="1:41" ht="36.75" customHeight="1">
      <c r="A3978" s="46" t="s">
        <v>12471</v>
      </c>
      <c r="B3978" s="46" t="s">
        <v>2124</v>
      </c>
      <c r="C3978" s="69" t="str">
        <f t="shared" ref="C3978" si="492">IF(B3978="Notification","Open",IF(B3978="Interim Statement","In progress","Closed"))</f>
        <v>Open</v>
      </c>
      <c r="D3978" s="36" t="s">
        <v>46048</v>
      </c>
      <c r="E3978" s="24" t="s">
        <v>23237</v>
      </c>
      <c r="F3978" s="55" t="s">
        <v>17057</v>
      </c>
      <c r="G3978" s="88">
        <f>DATE(2025,12,21)</f>
        <v>46012</v>
      </c>
      <c r="H3978" s="142">
        <v>0.46180555555555558</v>
      </c>
      <c r="I3978" s="55" t="s">
        <v>116</v>
      </c>
      <c r="J3978" s="55" t="s">
        <v>23238</v>
      </c>
      <c r="K3978" s="55" t="s">
        <v>2338</v>
      </c>
      <c r="L3978" s="223" t="s">
        <v>23239</v>
      </c>
      <c r="M3978" s="55" t="s">
        <v>63</v>
      </c>
      <c r="N3978" s="55" t="s">
        <v>89</v>
      </c>
      <c r="O3978" s="55" t="s">
        <v>64</v>
      </c>
      <c r="P3978" s="55" t="s">
        <v>65</v>
      </c>
      <c r="Q3978" s="55" t="s">
        <v>2945</v>
      </c>
      <c r="R3978" s="55" t="s">
        <v>2341</v>
      </c>
      <c r="S3978" s="55">
        <v>0</v>
      </c>
      <c r="T3978" s="55">
        <v>0</v>
      </c>
      <c r="U3978" s="55">
        <v>2</v>
      </c>
      <c r="V3978" s="55">
        <v>0</v>
      </c>
      <c r="W3978" s="55">
        <v>0</v>
      </c>
      <c r="X3978" s="55">
        <v>0</v>
      </c>
      <c r="Y3978" s="55">
        <v>0</v>
      </c>
      <c r="Z3978" s="55">
        <v>0</v>
      </c>
      <c r="AA3978" s="55">
        <v>0</v>
      </c>
      <c r="AB3978" s="55">
        <v>0</v>
      </c>
      <c r="AC3978" s="55">
        <v>0</v>
      </c>
      <c r="AD3978" s="55">
        <v>0</v>
      </c>
      <c r="AE3978" s="55" t="s">
        <v>92</v>
      </c>
      <c r="AF3978" s="223" t="s">
        <v>23240</v>
      </c>
      <c r="AG3978" s="55" t="s">
        <v>6459</v>
      </c>
      <c r="AH3978" s="72">
        <v>46013</v>
      </c>
      <c r="AI3978" s="55"/>
      <c r="AJ3978" s="55"/>
      <c r="AK3978" s="55"/>
      <c r="AL3978" s="157">
        <v>46016</v>
      </c>
      <c r="AM3978" s="55"/>
      <c r="AN3978" s="209"/>
      <c r="AO3978" s="209"/>
    </row>
    <row r="3979" spans="1:41" ht="36.75" customHeight="1">
      <c r="A3979" s="46" t="s">
        <v>12471</v>
      </c>
      <c r="B3979" s="46" t="s">
        <v>21606</v>
      </c>
      <c r="C3979" s="69" t="str">
        <f t="shared" ref="C3979" si="493">IF(B3979="Notification","Open",IF(B3979="Interim Statement","In progress","Closed"))</f>
        <v>In progress</v>
      </c>
      <c r="D3979" s="58" t="s">
        <v>23241</v>
      </c>
      <c r="E3979" s="24" t="s">
        <v>23242</v>
      </c>
      <c r="F3979" s="55" t="s">
        <v>6455</v>
      </c>
      <c r="G3979" s="88">
        <f>DATE(2025,12,23)</f>
        <v>46014</v>
      </c>
      <c r="H3979" s="142">
        <v>0.52430555555555558</v>
      </c>
      <c r="I3979" s="55" t="s">
        <v>73</v>
      </c>
      <c r="J3979" s="55" t="s">
        <v>23243</v>
      </c>
      <c r="K3979" s="55" t="s">
        <v>584</v>
      </c>
      <c r="L3979" s="223" t="s">
        <v>23244</v>
      </c>
      <c r="M3979" s="55" t="s">
        <v>63</v>
      </c>
      <c r="N3979" s="55" t="s">
        <v>142</v>
      </c>
      <c r="O3979" s="55" t="s">
        <v>64</v>
      </c>
      <c r="P3979" s="55" t="s">
        <v>78</v>
      </c>
      <c r="Q3979" s="55" t="s">
        <v>17377</v>
      </c>
      <c r="R3979" s="55" t="s">
        <v>21805</v>
      </c>
      <c r="S3979" s="55">
        <v>0</v>
      </c>
      <c r="T3979" s="55">
        <v>0</v>
      </c>
      <c r="U3979" s="55">
        <v>0</v>
      </c>
      <c r="V3979" s="55">
        <v>0</v>
      </c>
      <c r="W3979" s="55">
        <v>0</v>
      </c>
      <c r="X3979" s="55">
        <v>0</v>
      </c>
      <c r="Y3979" s="55">
        <v>0</v>
      </c>
      <c r="Z3979" s="55">
        <v>0</v>
      </c>
      <c r="AA3979" s="55">
        <v>0</v>
      </c>
      <c r="AB3979" s="55">
        <v>0</v>
      </c>
      <c r="AC3979" s="55">
        <v>0</v>
      </c>
      <c r="AD3979" s="55">
        <v>0</v>
      </c>
      <c r="AE3979" s="55" t="s">
        <v>145</v>
      </c>
      <c r="AF3979" s="223" t="s">
        <v>23245</v>
      </c>
      <c r="AG3979" s="55" t="s">
        <v>6459</v>
      </c>
      <c r="AH3979" s="72">
        <v>46021</v>
      </c>
      <c r="AI3979" s="55"/>
      <c r="AJ3979" s="55"/>
      <c r="AK3979" s="55"/>
      <c r="AL3979" s="157">
        <v>46017</v>
      </c>
      <c r="AM3979" s="216">
        <v>46094</v>
      </c>
      <c r="AN3979" s="209"/>
      <c r="AO3979" s="209"/>
    </row>
    <row r="3980" spans="1:41" ht="36.75" customHeight="1">
      <c r="A3980" s="46" t="s">
        <v>12471</v>
      </c>
      <c r="B3980" s="46" t="s">
        <v>2124</v>
      </c>
      <c r="C3980" s="69" t="str">
        <f t="shared" ref="C3980" si="494">IF(B3980="Notification","Open",IF(B3980="Interim Statement","In progress","Closed"))</f>
        <v>Open</v>
      </c>
      <c r="D3980" s="36" t="s">
        <v>23246</v>
      </c>
      <c r="E3980" s="24" t="s">
        <v>23247</v>
      </c>
      <c r="F3980" s="55" t="s">
        <v>16429</v>
      </c>
      <c r="G3980" s="88">
        <f>DATE(2025,12,23)</f>
        <v>46014</v>
      </c>
      <c r="H3980" s="142">
        <v>0.37291666666666667</v>
      </c>
      <c r="I3980" s="55" t="s">
        <v>116</v>
      </c>
      <c r="J3980" s="55" t="s">
        <v>23248</v>
      </c>
      <c r="K3980" s="55" t="s">
        <v>425</v>
      </c>
      <c r="L3980" s="223" t="s">
        <v>23249</v>
      </c>
      <c r="M3980" s="55" t="s">
        <v>63</v>
      </c>
      <c r="N3980" s="55" t="s">
        <v>99</v>
      </c>
      <c r="O3980" s="55" t="s">
        <v>64</v>
      </c>
      <c r="P3980" s="55" t="s">
        <v>23250</v>
      </c>
      <c r="Q3980" s="55" t="s">
        <v>19947</v>
      </c>
      <c r="R3980" s="55" t="s">
        <v>17369</v>
      </c>
      <c r="S3980" s="55">
        <v>0</v>
      </c>
      <c r="T3980" s="55">
        <v>0</v>
      </c>
      <c r="U3980" s="55">
        <v>1</v>
      </c>
      <c r="V3980" s="55">
        <v>0</v>
      </c>
      <c r="W3980" s="55">
        <v>0</v>
      </c>
      <c r="X3980" s="55">
        <v>1</v>
      </c>
      <c r="Y3980" s="55">
        <v>0</v>
      </c>
      <c r="Z3980" s="55">
        <v>0</v>
      </c>
      <c r="AA3980" s="55">
        <v>1</v>
      </c>
      <c r="AB3980" s="55">
        <v>0</v>
      </c>
      <c r="AC3980" s="55">
        <v>0</v>
      </c>
      <c r="AD3980" s="55">
        <v>1</v>
      </c>
      <c r="AE3980" s="55" t="s">
        <v>92</v>
      </c>
      <c r="AF3980" s="223" t="s">
        <v>23251</v>
      </c>
      <c r="AG3980" s="55" t="s">
        <v>16283</v>
      </c>
      <c r="AH3980" s="72">
        <v>46014</v>
      </c>
      <c r="AI3980" s="55"/>
      <c r="AJ3980" s="55"/>
      <c r="AK3980" s="55"/>
      <c r="AL3980" s="157">
        <v>46020</v>
      </c>
      <c r="AM3980" s="55"/>
      <c r="AN3980" s="209"/>
      <c r="AO3980" s="209"/>
    </row>
    <row r="3981" spans="1:41" ht="36.75" customHeight="1">
      <c r="A3981" s="46" t="s">
        <v>12471</v>
      </c>
      <c r="B3981" s="46" t="s">
        <v>2124</v>
      </c>
      <c r="C3981" s="69" t="str">
        <f t="shared" ref="C3981" si="495">IF(B3981="Notification","Open",IF(B3981="Interim Statement","In progress","Closed"))</f>
        <v>Open</v>
      </c>
      <c r="D3981" s="36" t="s">
        <v>23252</v>
      </c>
      <c r="E3981" s="24" t="s">
        <v>23253</v>
      </c>
      <c r="F3981" s="55" t="s">
        <v>12910</v>
      </c>
      <c r="G3981" s="88">
        <f>DATE(2025,12,31)</f>
        <v>46022</v>
      </c>
      <c r="H3981" s="142">
        <v>0.72569444444444442</v>
      </c>
      <c r="I3981" s="55" t="s">
        <v>5494</v>
      </c>
      <c r="J3981" s="55" t="s">
        <v>23254</v>
      </c>
      <c r="K3981" s="55" t="s">
        <v>453</v>
      </c>
      <c r="L3981" s="223" t="s">
        <v>23255</v>
      </c>
      <c r="M3981" s="55" t="s">
        <v>63</v>
      </c>
      <c r="N3981" s="55" t="s">
        <v>99</v>
      </c>
      <c r="O3981" s="55" t="s">
        <v>77</v>
      </c>
      <c r="P3981" s="55" t="s">
        <v>165</v>
      </c>
      <c r="Q3981" s="55" t="s">
        <v>21990</v>
      </c>
      <c r="R3981" s="55" t="s">
        <v>21990</v>
      </c>
      <c r="S3981" s="55">
        <v>0</v>
      </c>
      <c r="T3981" s="55">
        <v>0</v>
      </c>
      <c r="U3981" s="55">
        <v>0</v>
      </c>
      <c r="V3981" s="55">
        <v>1</v>
      </c>
      <c r="W3981" s="55">
        <v>0</v>
      </c>
      <c r="X3981" s="55">
        <v>1</v>
      </c>
      <c r="Y3981" s="55">
        <v>0</v>
      </c>
      <c r="Z3981" s="55">
        <v>0</v>
      </c>
      <c r="AA3981" s="55">
        <v>0</v>
      </c>
      <c r="AB3981" s="55">
        <v>0</v>
      </c>
      <c r="AC3981" s="55">
        <v>0</v>
      </c>
      <c r="AD3981" s="55">
        <v>0</v>
      </c>
      <c r="AE3981" s="55" t="s">
        <v>92</v>
      </c>
      <c r="AF3981" s="223" t="s">
        <v>23256</v>
      </c>
      <c r="AG3981" s="55" t="s">
        <v>6459</v>
      </c>
      <c r="AH3981" s="72">
        <v>46028</v>
      </c>
      <c r="AI3981" s="55"/>
      <c r="AJ3981" s="55"/>
      <c r="AK3981" s="55"/>
      <c r="AL3981" s="157">
        <v>46029</v>
      </c>
      <c r="AM3981" s="55"/>
      <c r="AN3981" s="263"/>
      <c r="AO3981" s="209"/>
    </row>
    <row r="3982" spans="1:41" ht="36.75" customHeight="1">
      <c r="A3982" s="46" t="s">
        <v>12471</v>
      </c>
      <c r="B3982" s="46" t="s">
        <v>21606</v>
      </c>
      <c r="C3982" s="69" t="str">
        <f t="shared" ref="C3982" si="496">IF(B3982="Notification","Open",IF(B3982="Interim Statement","In progress","Closed"))</f>
        <v>In progress</v>
      </c>
      <c r="D3982" s="203" t="s">
        <v>23257</v>
      </c>
      <c r="E3982" s="24" t="s">
        <v>23258</v>
      </c>
      <c r="F3982" s="55" t="s">
        <v>6455</v>
      </c>
      <c r="G3982" s="88">
        <f>DATE(2025,12,31)</f>
        <v>46022</v>
      </c>
      <c r="H3982" s="142">
        <v>0.61111111111111116</v>
      </c>
      <c r="I3982" s="55" t="s">
        <v>73</v>
      </c>
      <c r="J3982" s="55" t="s">
        <v>23259</v>
      </c>
      <c r="K3982" s="55" t="s">
        <v>584</v>
      </c>
      <c r="L3982" s="223" t="s">
        <v>23260</v>
      </c>
      <c r="M3982" s="55" t="s">
        <v>63</v>
      </c>
      <c r="N3982" s="55" t="s">
        <v>142</v>
      </c>
      <c r="O3982" s="55" t="s">
        <v>64</v>
      </c>
      <c r="P3982" s="55" t="s">
        <v>78</v>
      </c>
      <c r="Q3982" s="55" t="s">
        <v>23261</v>
      </c>
      <c r="R3982" s="55" t="s">
        <v>21805</v>
      </c>
      <c r="S3982" s="55">
        <v>0</v>
      </c>
      <c r="T3982" s="55">
        <v>0</v>
      </c>
      <c r="U3982" s="55">
        <v>0</v>
      </c>
      <c r="V3982" s="55">
        <v>0</v>
      </c>
      <c r="W3982" s="55">
        <v>0</v>
      </c>
      <c r="X3982" s="55">
        <v>0</v>
      </c>
      <c r="Y3982" s="55">
        <v>0</v>
      </c>
      <c r="Z3982" s="55">
        <v>0</v>
      </c>
      <c r="AA3982" s="55">
        <v>0</v>
      </c>
      <c r="AB3982" s="55">
        <v>0</v>
      </c>
      <c r="AC3982" s="55">
        <v>0</v>
      </c>
      <c r="AD3982" s="55">
        <v>0</v>
      </c>
      <c r="AE3982" s="55" t="s">
        <v>145</v>
      </c>
      <c r="AF3982" s="223" t="s">
        <v>23262</v>
      </c>
      <c r="AG3982" s="55" t="s">
        <v>6459</v>
      </c>
      <c r="AH3982" s="72">
        <v>46024</v>
      </c>
      <c r="AI3982" s="55"/>
      <c r="AJ3982" s="55"/>
      <c r="AK3982" s="55"/>
      <c r="AL3982" s="157">
        <v>46029</v>
      </c>
      <c r="AM3982" s="262">
        <v>46094</v>
      </c>
      <c r="AN3982" s="158"/>
      <c r="AO3982" s="209"/>
    </row>
    <row r="3983" spans="1:41" ht="36.75" customHeight="1">
      <c r="A3983" s="46" t="s">
        <v>12471</v>
      </c>
      <c r="B3983" s="46" t="s">
        <v>2124</v>
      </c>
      <c r="C3983" s="69" t="str">
        <f t="shared" ref="C3983" si="497">IF(B3983="Notification","Open",IF(B3983="Interim Statement","In progress","Closed"))</f>
        <v>Open</v>
      </c>
      <c r="D3983" s="36" t="s">
        <v>23263</v>
      </c>
      <c r="E3983" s="24" t="s">
        <v>23264</v>
      </c>
      <c r="F3983" s="55" t="s">
        <v>17578</v>
      </c>
      <c r="G3983" s="88">
        <f>DATE(2025,9,25)</f>
        <v>45925</v>
      </c>
      <c r="H3983" s="142">
        <v>0.24305555555555555</v>
      </c>
      <c r="I3983" s="55" t="s">
        <v>2078</v>
      </c>
      <c r="J3983" s="55" t="s">
        <v>23265</v>
      </c>
      <c r="K3983" s="55" t="s">
        <v>837</v>
      </c>
      <c r="L3983" s="223" t="s">
        <v>23266</v>
      </c>
      <c r="M3983" s="55" t="s">
        <v>63</v>
      </c>
      <c r="N3983" s="55" t="s">
        <v>142</v>
      </c>
      <c r="O3983" s="55" t="s">
        <v>77</v>
      </c>
      <c r="P3983" s="55" t="s">
        <v>165</v>
      </c>
      <c r="Q3983" s="55" t="s">
        <v>22720</v>
      </c>
      <c r="R3983" s="55" t="s">
        <v>22652</v>
      </c>
      <c r="S3983" s="55">
        <v>0</v>
      </c>
      <c r="T3983" s="55">
        <v>0</v>
      </c>
      <c r="U3983" s="55">
        <v>0</v>
      </c>
      <c r="V3983" s="55">
        <v>0</v>
      </c>
      <c r="W3983" s="55">
        <v>0</v>
      </c>
      <c r="X3983" s="55">
        <v>0</v>
      </c>
      <c r="Y3983" s="55">
        <v>0</v>
      </c>
      <c r="Z3983" s="55">
        <v>0</v>
      </c>
      <c r="AA3983" s="55">
        <v>0</v>
      </c>
      <c r="AB3983" s="55">
        <v>0</v>
      </c>
      <c r="AC3983" s="55">
        <v>0</v>
      </c>
      <c r="AD3983" s="55">
        <v>0</v>
      </c>
      <c r="AE3983" s="55" t="s">
        <v>92</v>
      </c>
      <c r="AF3983" s="223" t="s">
        <v>23267</v>
      </c>
      <c r="AG3983" s="55" t="s">
        <v>16283</v>
      </c>
      <c r="AH3983" s="72">
        <v>46027</v>
      </c>
      <c r="AI3983" s="55"/>
      <c r="AJ3983" s="55"/>
      <c r="AK3983" s="55"/>
      <c r="AL3983" s="157">
        <v>46030</v>
      </c>
      <c r="AM3983" s="55"/>
      <c r="AN3983" s="264"/>
      <c r="AO3983" s="209"/>
    </row>
    <row r="3984" spans="1:41" ht="36.75" customHeight="1">
      <c r="A3984" s="46" t="s">
        <v>12471</v>
      </c>
      <c r="B3984" s="46" t="s">
        <v>2124</v>
      </c>
      <c r="C3984" s="69" t="str">
        <f t="shared" ref="C3984" si="498">IF(B3984="Notification","Open",IF(B3984="Interim Statement","In progress","Closed"))</f>
        <v>Open</v>
      </c>
      <c r="D3984" s="36" t="s">
        <v>23268</v>
      </c>
      <c r="E3984" s="24" t="s">
        <v>23269</v>
      </c>
      <c r="F3984" s="55" t="s">
        <v>17682</v>
      </c>
      <c r="G3984" s="88">
        <f>DATE(2026,1,1)</f>
        <v>46023</v>
      </c>
      <c r="H3984" s="142">
        <v>0.15972222222222199</v>
      </c>
      <c r="I3984" s="55" t="s">
        <v>73</v>
      </c>
      <c r="J3984" s="55" t="s">
        <v>23270</v>
      </c>
      <c r="K3984" s="55" t="s">
        <v>1574</v>
      </c>
      <c r="L3984" s="223" t="s">
        <v>23271</v>
      </c>
      <c r="M3984" s="55" t="s">
        <v>129</v>
      </c>
      <c r="N3984" s="55" t="s">
        <v>142</v>
      </c>
      <c r="O3984" s="55" t="s">
        <v>77</v>
      </c>
      <c r="P3984" s="55" t="s">
        <v>129</v>
      </c>
      <c r="Q3984" s="55" t="s">
        <v>18685</v>
      </c>
      <c r="R3984" s="55" t="s">
        <v>18685</v>
      </c>
      <c r="S3984" s="55"/>
      <c r="T3984" s="55"/>
      <c r="U3984" s="55"/>
      <c r="V3984" s="55"/>
      <c r="W3984" s="55"/>
      <c r="X3984" s="55">
        <v>0</v>
      </c>
      <c r="Y3984" s="55"/>
      <c r="Z3984" s="55"/>
      <c r="AA3984" s="55"/>
      <c r="AB3984" s="55"/>
      <c r="AC3984" s="55"/>
      <c r="AD3984" s="55">
        <v>0</v>
      </c>
      <c r="AE3984" s="55" t="s">
        <v>92</v>
      </c>
      <c r="AF3984" s="223" t="s">
        <v>23272</v>
      </c>
      <c r="AG3984" s="55" t="s">
        <v>16938</v>
      </c>
      <c r="AH3984" s="72">
        <v>46030</v>
      </c>
      <c r="AI3984" s="55"/>
      <c r="AJ3984" s="55"/>
      <c r="AK3984" s="55"/>
      <c r="AL3984" s="72">
        <v>46030</v>
      </c>
      <c r="AM3984" s="55"/>
      <c r="AN3984" s="209"/>
      <c r="AO3984" s="209"/>
    </row>
    <row r="3985" spans="1:41" ht="36.75" customHeight="1">
      <c r="A3985" s="46" t="s">
        <v>12471</v>
      </c>
      <c r="B3985" s="46" t="s">
        <v>2124</v>
      </c>
      <c r="C3985" s="69" t="str">
        <f t="shared" ref="C3985" si="499">IF(B3985="Notification","Open",IF(B3985="Interim Statement","In progress","Closed"))</f>
        <v>Open</v>
      </c>
      <c r="D3985" s="36" t="s">
        <v>23273</v>
      </c>
      <c r="E3985" s="24" t="s">
        <v>23274</v>
      </c>
      <c r="F3985" s="55" t="s">
        <v>16429</v>
      </c>
      <c r="G3985" s="88">
        <f>DATE(2026,1,8)</f>
        <v>46030</v>
      </c>
      <c r="H3985" s="142">
        <v>0.15972222222222199</v>
      </c>
      <c r="I3985" s="55" t="s">
        <v>73</v>
      </c>
      <c r="J3985" s="55" t="s">
        <v>23275</v>
      </c>
      <c r="K3985" s="55" t="s">
        <v>425</v>
      </c>
      <c r="L3985" s="223" t="s">
        <v>23276</v>
      </c>
      <c r="M3985" s="55" t="s">
        <v>63</v>
      </c>
      <c r="N3985" s="55" t="s">
        <v>142</v>
      </c>
      <c r="O3985" s="55" t="s">
        <v>6602</v>
      </c>
      <c r="P3985" s="55" t="s">
        <v>78</v>
      </c>
      <c r="Q3985" s="55" t="s">
        <v>18098</v>
      </c>
      <c r="R3985" s="55" t="s">
        <v>17369</v>
      </c>
      <c r="S3985" s="55">
        <v>0</v>
      </c>
      <c r="T3985" s="55">
        <v>0</v>
      </c>
      <c r="U3985" s="55">
        <v>0</v>
      </c>
      <c r="V3985" s="55">
        <v>0</v>
      </c>
      <c r="W3985" s="55">
        <v>0</v>
      </c>
      <c r="X3985" s="55">
        <v>0</v>
      </c>
      <c r="Y3985" s="55">
        <v>0</v>
      </c>
      <c r="Z3985" s="55">
        <v>0</v>
      </c>
      <c r="AA3985" s="55">
        <v>0</v>
      </c>
      <c r="AB3985" s="55">
        <v>0</v>
      </c>
      <c r="AC3985" s="55">
        <v>0</v>
      </c>
      <c r="AD3985" s="55">
        <v>0</v>
      </c>
      <c r="AE3985" s="55" t="s">
        <v>23277</v>
      </c>
      <c r="AF3985" s="223" t="s">
        <v>23278</v>
      </c>
      <c r="AG3985" s="245" t="s">
        <v>16283</v>
      </c>
      <c r="AH3985" s="72">
        <v>46030</v>
      </c>
      <c r="AI3985" s="55"/>
      <c r="AJ3985" s="55"/>
      <c r="AK3985" s="55"/>
      <c r="AL3985" s="72">
        <v>46031</v>
      </c>
      <c r="AM3985" s="55"/>
      <c r="AN3985" s="209"/>
      <c r="AO3985" s="209"/>
    </row>
    <row r="3986" spans="1:41" ht="36.75" customHeight="1">
      <c r="A3986" s="46" t="s">
        <v>12471</v>
      </c>
      <c r="B3986" s="46" t="s">
        <v>2124</v>
      </c>
      <c r="C3986" s="69" t="str">
        <f t="shared" ref="C3986" si="500">IF(B3986="Notification","Open",IF(B3986="Interim Statement","In progress","Closed"))</f>
        <v>Open</v>
      </c>
      <c r="D3986" s="36" t="s">
        <v>23279</v>
      </c>
      <c r="E3986" s="24" t="s">
        <v>23280</v>
      </c>
      <c r="F3986" s="55" t="s">
        <v>17820</v>
      </c>
      <c r="G3986" s="88">
        <f>DATE(2025,11,15)</f>
        <v>45976</v>
      </c>
      <c r="H3986" s="142">
        <v>0.78819444444444442</v>
      </c>
      <c r="I3986" s="55" t="s">
        <v>198</v>
      </c>
      <c r="J3986" s="55" t="s">
        <v>23281</v>
      </c>
      <c r="K3986" s="55" t="s">
        <v>640</v>
      </c>
      <c r="L3986" s="223" t="s">
        <v>23282</v>
      </c>
      <c r="M3986" s="55" t="s">
        <v>63</v>
      </c>
      <c r="N3986" s="55" t="s">
        <v>99</v>
      </c>
      <c r="O3986" s="55" t="s">
        <v>64</v>
      </c>
      <c r="P3986" s="55" t="s">
        <v>78</v>
      </c>
      <c r="Q3986" s="55" t="s">
        <v>23177</v>
      </c>
      <c r="R3986" s="55" t="s">
        <v>2016</v>
      </c>
      <c r="S3986" s="55">
        <v>0</v>
      </c>
      <c r="T3986" s="55">
        <v>0</v>
      </c>
      <c r="U3986" s="55">
        <v>0</v>
      </c>
      <c r="V3986" s="55">
        <v>0</v>
      </c>
      <c r="W3986" s="55">
        <v>0</v>
      </c>
      <c r="X3986" s="55">
        <v>0</v>
      </c>
      <c r="Y3986" s="55">
        <v>0</v>
      </c>
      <c r="Z3986" s="55">
        <v>0</v>
      </c>
      <c r="AA3986" s="55">
        <v>0</v>
      </c>
      <c r="AB3986" s="55">
        <v>0</v>
      </c>
      <c r="AC3986" s="55">
        <v>0</v>
      </c>
      <c r="AD3986" s="55">
        <v>0</v>
      </c>
      <c r="AE3986" s="55" t="s">
        <v>145</v>
      </c>
      <c r="AF3986" s="223" t="s">
        <v>23283</v>
      </c>
      <c r="AG3986" s="245" t="s">
        <v>6459</v>
      </c>
      <c r="AH3986" s="72">
        <v>46036</v>
      </c>
      <c r="AI3986" s="55"/>
      <c r="AJ3986" s="55"/>
      <c r="AK3986" s="55"/>
      <c r="AL3986" s="72">
        <v>46036</v>
      </c>
      <c r="AM3986" s="55"/>
      <c r="AN3986" s="209"/>
      <c r="AO3986" s="209"/>
    </row>
    <row r="3987" spans="1:41" ht="36.75" customHeight="1">
      <c r="A3987" s="46" t="s">
        <v>12471</v>
      </c>
      <c r="B3987" s="46" t="s">
        <v>2124</v>
      </c>
      <c r="C3987" s="69" t="str">
        <f t="shared" ref="C3987" si="501">IF(B3987="Notification","Open",IF(B3987="Interim Statement","In progress","Closed"))</f>
        <v>Open</v>
      </c>
      <c r="D3987" s="36" t="s">
        <v>23284</v>
      </c>
      <c r="E3987" s="24" t="s">
        <v>23285</v>
      </c>
      <c r="F3987" s="55" t="s">
        <v>17820</v>
      </c>
      <c r="G3987" s="88" t="s">
        <v>23286</v>
      </c>
      <c r="H3987" s="142">
        <v>0.82291666666666663</v>
      </c>
      <c r="I3987" s="55" t="s">
        <v>73</v>
      </c>
      <c r="J3987" s="55" t="s">
        <v>23287</v>
      </c>
      <c r="K3987" s="55" t="s">
        <v>640</v>
      </c>
      <c r="L3987" s="223" t="s">
        <v>23288</v>
      </c>
      <c r="M3987" s="55" t="s">
        <v>63</v>
      </c>
      <c r="N3987" s="55" t="s">
        <v>142</v>
      </c>
      <c r="O3987" s="55" t="s">
        <v>64</v>
      </c>
      <c r="P3987" s="55" t="s">
        <v>462</v>
      </c>
      <c r="Q3987" s="55" t="s">
        <v>23289</v>
      </c>
      <c r="R3987" s="55" t="s">
        <v>22388</v>
      </c>
      <c r="S3987" s="55">
        <v>42</v>
      </c>
      <c r="T3987" s="55">
        <v>3</v>
      </c>
      <c r="U3987" s="55">
        <v>0</v>
      </c>
      <c r="V3987" s="55">
        <v>0</v>
      </c>
      <c r="W3987" s="55">
        <v>0</v>
      </c>
      <c r="X3987" s="55">
        <v>45</v>
      </c>
      <c r="Y3987" s="55">
        <v>29</v>
      </c>
      <c r="Z3987" s="55">
        <v>0</v>
      </c>
      <c r="AA3987" s="55">
        <v>0</v>
      </c>
      <c r="AB3987" s="55">
        <v>0</v>
      </c>
      <c r="AC3987" s="55">
        <v>0</v>
      </c>
      <c r="AD3987" s="55">
        <v>29</v>
      </c>
      <c r="AE3987" s="55" t="s">
        <v>145</v>
      </c>
      <c r="AF3987" s="223" t="s">
        <v>23290</v>
      </c>
      <c r="AG3987" s="245" t="s">
        <v>6459</v>
      </c>
      <c r="AH3987" s="72" t="s">
        <v>23286</v>
      </c>
      <c r="AI3987" s="55"/>
      <c r="AJ3987" s="55"/>
      <c r="AK3987" s="55"/>
      <c r="AL3987" s="72">
        <v>46046</v>
      </c>
      <c r="AM3987" s="55"/>
      <c r="AN3987" s="209"/>
      <c r="AO3987" s="209"/>
    </row>
    <row r="3988" spans="1:41" ht="36.75" customHeight="1">
      <c r="A3988" s="46" t="s">
        <v>12471</v>
      </c>
      <c r="B3988" s="46" t="s">
        <v>2124</v>
      </c>
      <c r="C3988" s="69" t="str">
        <f t="shared" ref="C3988" si="502">IF(B3988="Notification","Open",IF(B3988="Interim Statement","In progress","Closed"))</f>
        <v>Open</v>
      </c>
      <c r="D3988" s="36" t="s">
        <v>23291</v>
      </c>
      <c r="E3988" s="24" t="s">
        <v>23292</v>
      </c>
      <c r="F3988" s="55" t="s">
        <v>17820</v>
      </c>
      <c r="G3988" s="88" t="s">
        <v>23293</v>
      </c>
      <c r="H3988" s="142">
        <v>0.89236111111111116</v>
      </c>
      <c r="I3988" s="55" t="s">
        <v>156</v>
      </c>
      <c r="J3988" s="55" t="s">
        <v>23294</v>
      </c>
      <c r="K3988" s="55" t="s">
        <v>640</v>
      </c>
      <c r="L3988" s="223" t="s">
        <v>23295</v>
      </c>
      <c r="M3988" s="55" t="s">
        <v>63</v>
      </c>
      <c r="N3988" s="55" t="s">
        <v>142</v>
      </c>
      <c r="O3988" s="55" t="s">
        <v>64</v>
      </c>
      <c r="P3988" s="55" t="s">
        <v>6902</v>
      </c>
      <c r="Q3988" s="55" t="s">
        <v>18509</v>
      </c>
      <c r="R3988" s="55" t="s">
        <v>2016</v>
      </c>
      <c r="S3988" s="55">
        <v>0</v>
      </c>
      <c r="T3988" s="55">
        <v>1</v>
      </c>
      <c r="U3988" s="55">
        <v>0</v>
      </c>
      <c r="V3988" s="55">
        <v>0</v>
      </c>
      <c r="W3988" s="55">
        <v>0</v>
      </c>
      <c r="X3988" s="55">
        <v>1</v>
      </c>
      <c r="Y3988" s="55">
        <v>2</v>
      </c>
      <c r="Z3988" s="55">
        <v>3</v>
      </c>
      <c r="AA3988" s="55">
        <v>0</v>
      </c>
      <c r="AB3988" s="55">
        <v>0</v>
      </c>
      <c r="AC3988" s="55">
        <v>0</v>
      </c>
      <c r="AD3988" s="55">
        <v>5</v>
      </c>
      <c r="AE3988" s="55" t="s">
        <v>394</v>
      </c>
      <c r="AF3988" s="223" t="s">
        <v>23296</v>
      </c>
      <c r="AG3988" s="245" t="s">
        <v>6459</v>
      </c>
      <c r="AH3988" s="72" t="s">
        <v>23293</v>
      </c>
      <c r="AI3988" s="55"/>
      <c r="AJ3988" s="55"/>
      <c r="AK3988" s="55"/>
      <c r="AL3988" s="72">
        <v>46046</v>
      </c>
      <c r="AM3988" s="55"/>
      <c r="AN3988" s="209"/>
      <c r="AO3988" s="209"/>
    </row>
    <row r="3989" spans="1:41" ht="36.75" customHeight="1">
      <c r="A3989" s="46" t="s">
        <v>12471</v>
      </c>
      <c r="B3989" s="46" t="s">
        <v>2124</v>
      </c>
      <c r="C3989" s="69" t="str">
        <f t="shared" ref="C3989" si="503">IF(B3989="Notification","Open",IF(B3989="Interim Statement","In progress","Closed"))</f>
        <v>Open</v>
      </c>
      <c r="D3989" s="36" t="s">
        <v>23297</v>
      </c>
      <c r="E3989" s="24" t="s">
        <v>23298</v>
      </c>
      <c r="F3989" s="55" t="s">
        <v>17057</v>
      </c>
      <c r="G3989" s="88" t="s">
        <v>23293</v>
      </c>
      <c r="H3989" s="142">
        <v>0.87847222222222221</v>
      </c>
      <c r="I3989" s="55" t="s">
        <v>73</v>
      </c>
      <c r="J3989" s="55" t="s">
        <v>23299</v>
      </c>
      <c r="K3989" s="55" t="s">
        <v>2338</v>
      </c>
      <c r="L3989" s="223" t="s">
        <v>23300</v>
      </c>
      <c r="M3989" s="55" t="s">
        <v>63</v>
      </c>
      <c r="N3989" s="55" t="s">
        <v>142</v>
      </c>
      <c r="O3989" s="55" t="s">
        <v>64</v>
      </c>
      <c r="P3989" s="55" t="s">
        <v>165</v>
      </c>
      <c r="Q3989" s="55" t="s">
        <v>18726</v>
      </c>
      <c r="R3989" s="55" t="s">
        <v>2341</v>
      </c>
      <c r="S3989" s="55">
        <v>0</v>
      </c>
      <c r="T3989" s="55">
        <v>0</v>
      </c>
      <c r="U3989" s="55">
        <v>0</v>
      </c>
      <c r="V3989" s="55">
        <v>0</v>
      </c>
      <c r="W3989" s="55">
        <v>0</v>
      </c>
      <c r="X3989" s="55">
        <v>0</v>
      </c>
      <c r="Y3989" s="55">
        <v>0</v>
      </c>
      <c r="Z3989" s="55">
        <v>0</v>
      </c>
      <c r="AA3989" s="55">
        <v>0</v>
      </c>
      <c r="AB3989" s="55">
        <v>0</v>
      </c>
      <c r="AC3989" s="55">
        <v>0</v>
      </c>
      <c r="AD3989" s="55">
        <v>0</v>
      </c>
      <c r="AE3989" s="55" t="s">
        <v>394</v>
      </c>
      <c r="AF3989" s="223" t="s">
        <v>23301</v>
      </c>
      <c r="AG3989" s="245" t="s">
        <v>8859</v>
      </c>
      <c r="AH3989" s="72" t="s">
        <v>23302</v>
      </c>
      <c r="AI3989" s="55"/>
      <c r="AJ3989" s="55"/>
      <c r="AK3989" s="55"/>
      <c r="AL3989" s="72">
        <v>46049</v>
      </c>
      <c r="AM3989" s="55"/>
      <c r="AN3989" s="209"/>
      <c r="AO3989" s="209"/>
    </row>
    <row r="3990" spans="1:41" ht="36.75" customHeight="1">
      <c r="A3990" s="46" t="s">
        <v>12471</v>
      </c>
      <c r="B3990" s="46" t="s">
        <v>2124</v>
      </c>
      <c r="C3990" s="69" t="str">
        <f t="shared" ref="C3990" si="504">IF(B3990="Notification","Open",IF(B3990="Interim Statement","In progress","Closed"))</f>
        <v>Open</v>
      </c>
      <c r="D3990" s="36" t="s">
        <v>23303</v>
      </c>
      <c r="E3990" s="24" t="s">
        <v>23304</v>
      </c>
      <c r="F3990" s="55" t="s">
        <v>17682</v>
      </c>
      <c r="G3990" s="88" t="s">
        <v>23305</v>
      </c>
      <c r="H3990" s="142">
        <v>0.89236111111111116</v>
      </c>
      <c r="I3990" s="55" t="s">
        <v>4610</v>
      </c>
      <c r="J3990" s="55" t="s">
        <v>23306</v>
      </c>
      <c r="K3990" s="55" t="s">
        <v>1574</v>
      </c>
      <c r="L3990" s="223" t="s">
        <v>23307</v>
      </c>
      <c r="M3990" s="55" t="s">
        <v>63</v>
      </c>
      <c r="N3990" s="55" t="s">
        <v>142</v>
      </c>
      <c r="O3990" s="55" t="s">
        <v>77</v>
      </c>
      <c r="P3990" s="55" t="s">
        <v>65</v>
      </c>
      <c r="Q3990" s="55" t="s">
        <v>18739</v>
      </c>
      <c r="R3990" s="55" t="s">
        <v>19007</v>
      </c>
      <c r="S3990" s="55">
        <v>0</v>
      </c>
      <c r="T3990" s="55">
        <v>0</v>
      </c>
      <c r="U3990" s="55">
        <v>0</v>
      </c>
      <c r="V3990" s="55">
        <v>0</v>
      </c>
      <c r="W3990" s="55">
        <v>0</v>
      </c>
      <c r="X3990" s="55">
        <v>0</v>
      </c>
      <c r="Y3990" s="55">
        <v>0</v>
      </c>
      <c r="Z3990" s="55">
        <v>0</v>
      </c>
      <c r="AA3990" s="55">
        <v>0</v>
      </c>
      <c r="AB3990" s="55">
        <v>0</v>
      </c>
      <c r="AC3990" s="55">
        <v>0</v>
      </c>
      <c r="AD3990" s="55">
        <v>0</v>
      </c>
      <c r="AE3990" s="55" t="s">
        <v>92</v>
      </c>
      <c r="AF3990" s="223" t="s">
        <v>7019</v>
      </c>
      <c r="AG3990" s="245" t="s">
        <v>13537</v>
      </c>
      <c r="AH3990" s="72" t="s">
        <v>23308</v>
      </c>
      <c r="AI3990" s="55"/>
      <c r="AJ3990" s="55"/>
      <c r="AK3990" s="55"/>
      <c r="AL3990" s="72" t="s">
        <v>23308</v>
      </c>
      <c r="AM3990" s="55"/>
      <c r="AN3990" s="209"/>
      <c r="AO3990" s="209"/>
    </row>
    <row r="3991" spans="1:41" ht="36.75" customHeight="1">
      <c r="A3991" s="46" t="s">
        <v>12471</v>
      </c>
      <c r="B3991" s="46" t="s">
        <v>2124</v>
      </c>
      <c r="C3991" s="69" t="str">
        <f t="shared" ref="C3991" si="505">IF(B3991="Notification","Open",IF(B3991="Interim Statement","In progress","Closed"))</f>
        <v>Open</v>
      </c>
      <c r="D3991" s="36" t="s">
        <v>23309</v>
      </c>
      <c r="E3991" s="24" t="s">
        <v>23310</v>
      </c>
      <c r="F3991" s="55" t="s">
        <v>14753</v>
      </c>
      <c r="G3991" s="88" t="s">
        <v>23311</v>
      </c>
      <c r="H3991" s="142">
        <v>0.90625</v>
      </c>
      <c r="I3991" s="55" t="s">
        <v>198</v>
      </c>
      <c r="J3991" s="55" t="s">
        <v>23312</v>
      </c>
      <c r="K3991" s="55" t="s">
        <v>1772</v>
      </c>
      <c r="L3991" s="223" t="s">
        <v>23313</v>
      </c>
      <c r="M3991" s="55" t="s">
        <v>63</v>
      </c>
      <c r="N3991" s="55" t="s">
        <v>142</v>
      </c>
      <c r="O3991" s="55" t="s">
        <v>64</v>
      </c>
      <c r="P3991" s="55" t="s">
        <v>78</v>
      </c>
      <c r="Q3991" s="55" t="s">
        <v>23314</v>
      </c>
      <c r="R3991" s="55" t="s">
        <v>1775</v>
      </c>
      <c r="S3991" s="55">
        <v>0</v>
      </c>
      <c r="T3991" s="55">
        <v>0</v>
      </c>
      <c r="U3991" s="55">
        <v>0</v>
      </c>
      <c r="V3991" s="55">
        <v>0</v>
      </c>
      <c r="W3991" s="55">
        <v>0</v>
      </c>
      <c r="X3991" s="55">
        <v>0</v>
      </c>
      <c r="Y3991" s="55">
        <v>0</v>
      </c>
      <c r="Z3991" s="55">
        <v>0</v>
      </c>
      <c r="AA3991" s="55">
        <v>0</v>
      </c>
      <c r="AB3991" s="55">
        <v>0</v>
      </c>
      <c r="AC3991" s="55">
        <v>0</v>
      </c>
      <c r="AD3991" s="55">
        <v>0</v>
      </c>
      <c r="AE3991" s="55" t="s">
        <v>92</v>
      </c>
      <c r="AF3991" s="223" t="s">
        <v>23315</v>
      </c>
      <c r="AG3991" s="245" t="s">
        <v>13537</v>
      </c>
      <c r="AH3991" s="72">
        <v>46058</v>
      </c>
      <c r="AI3991" s="55"/>
      <c r="AJ3991" s="55"/>
      <c r="AK3991" s="55"/>
      <c r="AL3991" s="72">
        <v>46059</v>
      </c>
      <c r="AM3991" s="55"/>
      <c r="AN3991" s="209"/>
      <c r="AO3991" s="209"/>
    </row>
    <row r="3992" spans="1:41" ht="36.75" customHeight="1">
      <c r="A3992" s="46" t="s">
        <v>12471</v>
      </c>
      <c r="B3992" s="46" t="s">
        <v>2124</v>
      </c>
      <c r="C3992" s="69" t="str">
        <f t="shared" ref="C3992" si="506">IF(B3992="Notification","Open",IF(B3992="Interim Statement","In progress","Closed"))</f>
        <v>Open</v>
      </c>
      <c r="D3992" s="36" t="s">
        <v>23316</v>
      </c>
      <c r="E3992" s="24" t="s">
        <v>23317</v>
      </c>
      <c r="F3992" s="55" t="s">
        <v>16429</v>
      </c>
      <c r="G3992" s="88">
        <v>46058</v>
      </c>
      <c r="H3992" s="142">
        <v>0.72916666666666696</v>
      </c>
      <c r="I3992" s="55" t="s">
        <v>116</v>
      </c>
      <c r="J3992" s="55" t="s">
        <v>23318</v>
      </c>
      <c r="K3992" s="55" t="s">
        <v>425</v>
      </c>
      <c r="L3992" s="223" t="s">
        <v>23319</v>
      </c>
      <c r="M3992" s="55" t="s">
        <v>63</v>
      </c>
      <c r="N3992" s="55" t="s">
        <v>99</v>
      </c>
      <c r="O3992" s="55" t="s">
        <v>64</v>
      </c>
      <c r="P3992" s="55" t="s">
        <v>23320</v>
      </c>
      <c r="Q3992" s="55" t="s">
        <v>18615</v>
      </c>
      <c r="R3992" s="55" t="s">
        <v>17369</v>
      </c>
      <c r="S3992" s="55">
        <v>0</v>
      </c>
      <c r="T3992" s="55">
        <v>0</v>
      </c>
      <c r="U3992" s="55">
        <v>0</v>
      </c>
      <c r="V3992" s="55">
        <v>0</v>
      </c>
      <c r="W3992" s="55">
        <v>0</v>
      </c>
      <c r="X3992" s="55">
        <v>0</v>
      </c>
      <c r="Y3992" s="55">
        <v>0</v>
      </c>
      <c r="Z3992" s="55">
        <v>0</v>
      </c>
      <c r="AA3992" s="55">
        <v>0</v>
      </c>
      <c r="AB3992" s="55">
        <v>0</v>
      </c>
      <c r="AC3992" s="55">
        <v>0</v>
      </c>
      <c r="AD3992" s="55">
        <v>0</v>
      </c>
      <c r="AE3992" s="223" t="s">
        <v>92</v>
      </c>
      <c r="AF3992" s="245" t="s">
        <v>23321</v>
      </c>
      <c r="AG3992" s="245" t="s">
        <v>6459</v>
      </c>
      <c r="AH3992" s="72">
        <v>46058</v>
      </c>
      <c r="AI3992" s="55"/>
      <c r="AJ3992" s="55"/>
      <c r="AK3992" s="55"/>
      <c r="AL3992" s="72">
        <v>46060</v>
      </c>
      <c r="AM3992" s="55"/>
      <c r="AN3992" s="209"/>
      <c r="AO3992" s="209"/>
    </row>
    <row r="3993" spans="1:41" ht="36.75" customHeight="1">
      <c r="A3993" s="46" t="s">
        <v>12471</v>
      </c>
      <c r="B3993" s="46" t="s">
        <v>2124</v>
      </c>
      <c r="C3993" s="69" t="str">
        <f t="shared" ref="C3993" si="507">IF(B3993="Notification","Open",IF(B3993="Interim Statement","In progress","Closed"))</f>
        <v>Open</v>
      </c>
      <c r="D3993" s="36" t="s">
        <v>23322</v>
      </c>
      <c r="E3993" s="24" t="s">
        <v>23323</v>
      </c>
      <c r="F3993" s="55" t="s">
        <v>19868</v>
      </c>
      <c r="G3993" s="88" t="s">
        <v>23324</v>
      </c>
      <c r="H3993" s="142">
        <v>0.38541666666666669</v>
      </c>
      <c r="I3993" s="55" t="s">
        <v>116</v>
      </c>
      <c r="J3993" s="55" t="s">
        <v>23325</v>
      </c>
      <c r="K3993" s="55" t="s">
        <v>1751</v>
      </c>
      <c r="L3993" s="223" t="s">
        <v>23326</v>
      </c>
      <c r="M3993" s="55" t="s">
        <v>63</v>
      </c>
      <c r="N3993" s="55" t="s">
        <v>99</v>
      </c>
      <c r="O3993" s="55" t="s">
        <v>64</v>
      </c>
      <c r="P3993" s="55" t="s">
        <v>165</v>
      </c>
      <c r="Q3993" s="55" t="s">
        <v>23327</v>
      </c>
      <c r="R3993" s="55" t="s">
        <v>1753</v>
      </c>
      <c r="S3993" s="55"/>
      <c r="T3993" s="55"/>
      <c r="U3993" s="55"/>
      <c r="V3993" s="55"/>
      <c r="W3993" s="55"/>
      <c r="X3993" s="55"/>
      <c r="Y3993" s="55"/>
      <c r="Z3993" s="55"/>
      <c r="AA3993" s="55"/>
      <c r="AB3993" s="55"/>
      <c r="AC3993" s="55"/>
      <c r="AD3993" s="55"/>
      <c r="AE3993" s="223" t="s">
        <v>394</v>
      </c>
      <c r="AF3993" s="245" t="s">
        <v>21348</v>
      </c>
      <c r="AG3993" s="245" t="s">
        <v>6459</v>
      </c>
      <c r="AH3993" s="72">
        <v>46364</v>
      </c>
      <c r="AI3993" s="55"/>
      <c r="AJ3993" s="55"/>
      <c r="AK3993" s="55"/>
      <c r="AL3993" s="72">
        <v>46062</v>
      </c>
      <c r="AM3993" s="55"/>
      <c r="AN3993" s="209"/>
      <c r="AO3993" s="209"/>
    </row>
    <row r="3994" spans="1:41" ht="36.75" customHeight="1">
      <c r="A3994" s="46" t="s">
        <v>12471</v>
      </c>
      <c r="B3994" s="46" t="s">
        <v>2124</v>
      </c>
      <c r="C3994" s="69" t="str">
        <f t="shared" ref="C3994" si="508">IF(B3994="Notification","Open",IF(B3994="Interim Statement","In progress","Closed"))</f>
        <v>Open</v>
      </c>
      <c r="D3994" s="36" t="s">
        <v>23328</v>
      </c>
      <c r="E3994" s="24" t="s">
        <v>23329</v>
      </c>
      <c r="F3994" s="55" t="s">
        <v>17344</v>
      </c>
      <c r="G3994" s="88" t="s">
        <v>23330</v>
      </c>
      <c r="H3994" s="142">
        <v>0.30208333333333331</v>
      </c>
      <c r="I3994" s="55" t="s">
        <v>73</v>
      </c>
      <c r="J3994" s="55" t="s">
        <v>23331</v>
      </c>
      <c r="K3994" s="55" t="s">
        <v>127</v>
      </c>
      <c r="L3994" s="223" t="s">
        <v>23332</v>
      </c>
      <c r="M3994" s="55" t="s">
        <v>63</v>
      </c>
      <c r="N3994" s="55" t="s">
        <v>142</v>
      </c>
      <c r="O3994" s="55" t="s">
        <v>77</v>
      </c>
      <c r="P3994" s="55" t="s">
        <v>6902</v>
      </c>
      <c r="Q3994" s="55" t="s">
        <v>23333</v>
      </c>
      <c r="R3994" s="55" t="s">
        <v>167</v>
      </c>
      <c r="S3994" s="55">
        <v>0</v>
      </c>
      <c r="T3994" s="55">
        <v>0</v>
      </c>
      <c r="U3994" s="55">
        <v>0</v>
      </c>
      <c r="V3994" s="55">
        <v>0</v>
      </c>
      <c r="W3994" s="55">
        <v>0</v>
      </c>
      <c r="X3994" s="55">
        <v>0</v>
      </c>
      <c r="Y3994" s="55">
        <v>0</v>
      </c>
      <c r="Z3994" s="55">
        <v>0</v>
      </c>
      <c r="AA3994" s="55">
        <v>0</v>
      </c>
      <c r="AB3994" s="55">
        <v>0</v>
      </c>
      <c r="AC3994" s="55">
        <v>0</v>
      </c>
      <c r="AD3994" s="55">
        <v>0</v>
      </c>
      <c r="AE3994" s="223" t="s">
        <v>145</v>
      </c>
      <c r="AF3994" s="245" t="s">
        <v>23334</v>
      </c>
      <c r="AG3994" s="245" t="s">
        <v>13537</v>
      </c>
      <c r="AH3994" s="72">
        <v>46057</v>
      </c>
      <c r="AI3994" s="55"/>
      <c r="AJ3994" s="55"/>
      <c r="AK3994" s="55"/>
      <c r="AL3994" s="72">
        <v>46063</v>
      </c>
      <c r="AM3994" s="55"/>
      <c r="AN3994" s="209"/>
      <c r="AO3994" s="209"/>
    </row>
    <row r="3995" spans="1:41" ht="36.75" customHeight="1">
      <c r="A3995" s="46" t="s">
        <v>12471</v>
      </c>
      <c r="B3995" s="46" t="s">
        <v>2124</v>
      </c>
      <c r="C3995" s="69" t="str">
        <f t="shared" ref="C3995" si="509">IF(B3995="Notification","Open",IF(B3995="Interim Statement","In progress","Closed"))</f>
        <v>Open</v>
      </c>
      <c r="D3995" s="36" t="s">
        <v>23335</v>
      </c>
      <c r="E3995" s="24" t="s">
        <v>23336</v>
      </c>
      <c r="F3995" s="55" t="s">
        <v>16429</v>
      </c>
      <c r="G3995" s="88">
        <v>46059</v>
      </c>
      <c r="H3995" s="142">
        <v>0.68541666666666701</v>
      </c>
      <c r="I3995" s="55" t="s">
        <v>73</v>
      </c>
      <c r="J3995" s="55" t="s">
        <v>23337</v>
      </c>
      <c r="K3995" s="55" t="s">
        <v>425</v>
      </c>
      <c r="L3995" s="223" t="s">
        <v>23338</v>
      </c>
      <c r="M3995" s="55" t="s">
        <v>63</v>
      </c>
      <c r="N3995" s="55" t="s">
        <v>99</v>
      </c>
      <c r="O3995" s="55" t="s">
        <v>77</v>
      </c>
      <c r="P3995" s="55" t="s">
        <v>22632</v>
      </c>
      <c r="Q3995" s="55" t="s">
        <v>18516</v>
      </c>
      <c r="R3995" s="55" t="s">
        <v>17369</v>
      </c>
      <c r="S3995" s="55">
        <v>0</v>
      </c>
      <c r="T3995" s="55">
        <v>0</v>
      </c>
      <c r="U3995" s="55">
        <v>0</v>
      </c>
      <c r="V3995" s="55">
        <v>0</v>
      </c>
      <c r="W3995" s="55">
        <v>0</v>
      </c>
      <c r="X3995" s="55">
        <v>0</v>
      </c>
      <c r="Y3995" s="55">
        <v>0</v>
      </c>
      <c r="Z3995" s="55">
        <v>0</v>
      </c>
      <c r="AA3995" s="55">
        <v>0</v>
      </c>
      <c r="AB3995" s="55">
        <v>0</v>
      </c>
      <c r="AC3995" s="55">
        <v>0</v>
      </c>
      <c r="AD3995" s="55">
        <v>0</v>
      </c>
      <c r="AE3995" s="223" t="s">
        <v>16435</v>
      </c>
      <c r="AF3995" s="245" t="s">
        <v>23339</v>
      </c>
      <c r="AG3995" s="245" t="s">
        <v>13537</v>
      </c>
      <c r="AH3995" s="72">
        <v>46059</v>
      </c>
      <c r="AI3995" s="55"/>
      <c r="AJ3995" s="55"/>
      <c r="AK3995" s="55"/>
      <c r="AL3995" s="72">
        <v>46063</v>
      </c>
      <c r="AM3995" s="55"/>
      <c r="AN3995" s="209"/>
      <c r="AO3995" s="209"/>
    </row>
    <row r="3996" spans="1:41" ht="36.75" customHeight="1">
      <c r="A3996" s="46" t="s">
        <v>12471</v>
      </c>
      <c r="B3996" s="46" t="s">
        <v>2124</v>
      </c>
      <c r="C3996" s="69" t="str">
        <f t="shared" ref="C3996" si="510">IF(B3996="Notification","Open",IF(B3996="Interim Statement","In progress","Closed"))</f>
        <v>Open</v>
      </c>
      <c r="D3996" s="36" t="s">
        <v>23340</v>
      </c>
      <c r="E3996" s="24" t="s">
        <v>73</v>
      </c>
      <c r="F3996" s="55" t="s">
        <v>17578</v>
      </c>
      <c r="G3996" s="88" t="s">
        <v>23341</v>
      </c>
      <c r="H3996" s="142">
        <v>0.12152777777777778</v>
      </c>
      <c r="I3996" s="55" t="s">
        <v>73</v>
      </c>
      <c r="J3996" s="55" t="s">
        <v>23342</v>
      </c>
      <c r="K3996" s="55" t="s">
        <v>837</v>
      </c>
      <c r="L3996" s="223" t="s">
        <v>23343</v>
      </c>
      <c r="M3996" s="55" t="s">
        <v>63</v>
      </c>
      <c r="N3996" s="55" t="s">
        <v>89</v>
      </c>
      <c r="O3996" s="55" t="s">
        <v>90</v>
      </c>
      <c r="P3996" s="55" t="s">
        <v>78</v>
      </c>
      <c r="Q3996" s="55" t="s">
        <v>18250</v>
      </c>
      <c r="R3996" s="55" t="s">
        <v>22652</v>
      </c>
      <c r="S3996" s="55">
        <v>0</v>
      </c>
      <c r="T3996" s="55">
        <v>0</v>
      </c>
      <c r="U3996" s="55">
        <v>0</v>
      </c>
      <c r="V3996" s="55">
        <v>0</v>
      </c>
      <c r="W3996" s="55">
        <v>0</v>
      </c>
      <c r="X3996" s="55">
        <v>0</v>
      </c>
      <c r="Y3996" s="55">
        <v>0</v>
      </c>
      <c r="Z3996" s="55">
        <v>0</v>
      </c>
      <c r="AA3996" s="55">
        <v>0</v>
      </c>
      <c r="AB3996" s="55">
        <v>0</v>
      </c>
      <c r="AC3996" s="55">
        <v>0</v>
      </c>
      <c r="AD3996" s="55">
        <v>0</v>
      </c>
      <c r="AE3996" s="223" t="s">
        <v>92</v>
      </c>
      <c r="AF3996" s="245" t="s">
        <v>23344</v>
      </c>
      <c r="AG3996" s="245" t="s">
        <v>13537</v>
      </c>
      <c r="AH3996" s="72">
        <v>46064</v>
      </c>
      <c r="AI3996" s="55"/>
      <c r="AJ3996" s="55"/>
      <c r="AK3996" s="55"/>
      <c r="AL3996" s="72">
        <v>46065</v>
      </c>
      <c r="AM3996" s="55"/>
      <c r="AN3996" s="209"/>
      <c r="AO3996" s="209"/>
    </row>
    <row r="3997" spans="1:41" ht="36.75" customHeight="1">
      <c r="A3997" s="46" t="s">
        <v>12471</v>
      </c>
      <c r="B3997" s="46" t="s">
        <v>2124</v>
      </c>
      <c r="C3997" s="69" t="str">
        <f t="shared" ref="C3997" si="511">IF(B3997="Notification","Open",IF(B3997="Interim Statement","In progress","Closed"))</f>
        <v>Open</v>
      </c>
      <c r="D3997" s="36" t="s">
        <v>45939</v>
      </c>
      <c r="E3997" s="24" t="s">
        <v>45937</v>
      </c>
      <c r="F3997" s="55" t="s">
        <v>14753</v>
      </c>
      <c r="G3997" s="88" t="s">
        <v>45938</v>
      </c>
      <c r="H3997" s="142">
        <v>0.29166666666666669</v>
      </c>
      <c r="I3997" s="55" t="s">
        <v>73</v>
      </c>
      <c r="J3997" s="55" t="s">
        <v>45936</v>
      </c>
      <c r="K3997" s="55" t="s">
        <v>1772</v>
      </c>
      <c r="L3997" s="223" t="s">
        <v>20017</v>
      </c>
      <c r="M3997" s="55" t="s">
        <v>63</v>
      </c>
      <c r="N3997" s="55" t="s">
        <v>89</v>
      </c>
      <c r="O3997" s="55" t="s">
        <v>90</v>
      </c>
      <c r="P3997" s="55" t="s">
        <v>91</v>
      </c>
      <c r="Q3997" s="55" t="s">
        <v>14755</v>
      </c>
      <c r="R3997" s="55" t="s">
        <v>1775</v>
      </c>
      <c r="S3997" s="55">
        <v>0</v>
      </c>
      <c r="T3997" s="55">
        <v>0</v>
      </c>
      <c r="U3997" s="55">
        <v>0</v>
      </c>
      <c r="V3997" s="55">
        <v>0</v>
      </c>
      <c r="W3997" s="55">
        <v>0</v>
      </c>
      <c r="X3997" s="55">
        <v>0</v>
      </c>
      <c r="Y3997" s="55">
        <v>0</v>
      </c>
      <c r="Z3997" s="55">
        <v>0</v>
      </c>
      <c r="AA3997" s="55">
        <v>0</v>
      </c>
      <c r="AB3997" s="55">
        <v>0</v>
      </c>
      <c r="AC3997" s="55">
        <v>0</v>
      </c>
      <c r="AD3997" s="55">
        <v>0</v>
      </c>
      <c r="AE3997" s="223" t="s">
        <v>92</v>
      </c>
      <c r="AF3997" s="245" t="s">
        <v>45940</v>
      </c>
      <c r="AG3997" s="245" t="s">
        <v>13537</v>
      </c>
      <c r="AH3997" s="72">
        <v>46073</v>
      </c>
      <c r="AI3997" s="55"/>
      <c r="AJ3997" s="55"/>
      <c r="AK3997" s="55"/>
      <c r="AL3997" s="72">
        <v>46080</v>
      </c>
      <c r="AM3997" s="55"/>
      <c r="AN3997" s="209"/>
      <c r="AO3997" s="209"/>
    </row>
    <row r="3998" spans="1:41" ht="36.75" customHeight="1">
      <c r="A3998" s="46" t="s">
        <v>12471</v>
      </c>
      <c r="B3998" s="46" t="s">
        <v>2124</v>
      </c>
      <c r="C3998" s="69" t="str">
        <f t="shared" ref="C3998" si="512">IF(B3998="Notification","Open",IF(B3998="Interim Statement","In progress","Closed"))</f>
        <v>Open</v>
      </c>
      <c r="D3998" s="36" t="s">
        <v>45941</v>
      </c>
      <c r="E3998" s="24" t="s">
        <v>45943</v>
      </c>
      <c r="F3998" s="55" t="s">
        <v>14753</v>
      </c>
      <c r="G3998" s="88" t="s">
        <v>45938</v>
      </c>
      <c r="H3998" s="142">
        <v>0.4236111111111111</v>
      </c>
      <c r="I3998" s="55" t="s">
        <v>73</v>
      </c>
      <c r="J3998" s="55" t="s">
        <v>45942</v>
      </c>
      <c r="K3998" s="55" t="s">
        <v>1772</v>
      </c>
      <c r="L3998" s="223" t="s">
        <v>4305</v>
      </c>
      <c r="M3998" s="55" t="s">
        <v>63</v>
      </c>
      <c r="N3998" s="55" t="s">
        <v>89</v>
      </c>
      <c r="O3998" s="55" t="s">
        <v>77</v>
      </c>
      <c r="P3998" s="55" t="s">
        <v>78</v>
      </c>
      <c r="Q3998" s="55" t="s">
        <v>14755</v>
      </c>
      <c r="R3998" s="55" t="s">
        <v>1775</v>
      </c>
      <c r="S3998" s="55">
        <v>0</v>
      </c>
      <c r="T3998" s="55">
        <v>0</v>
      </c>
      <c r="U3998" s="55">
        <v>0</v>
      </c>
      <c r="V3998" s="55">
        <v>0</v>
      </c>
      <c r="W3998" s="55">
        <v>0</v>
      </c>
      <c r="X3998" s="55">
        <v>0</v>
      </c>
      <c r="Y3998" s="55">
        <v>0</v>
      </c>
      <c r="Z3998" s="55">
        <v>0</v>
      </c>
      <c r="AA3998" s="55">
        <v>0</v>
      </c>
      <c r="AB3998" s="55">
        <v>0</v>
      </c>
      <c r="AC3998" s="55">
        <v>0</v>
      </c>
      <c r="AD3998" s="55">
        <v>0</v>
      </c>
      <c r="AE3998" s="223" t="s">
        <v>394</v>
      </c>
      <c r="AF3998" s="245" t="s">
        <v>45944</v>
      </c>
      <c r="AG3998" s="245" t="s">
        <v>8859</v>
      </c>
      <c r="AH3998" s="72" t="s">
        <v>45945</v>
      </c>
      <c r="AI3998" s="55"/>
      <c r="AJ3998" s="55"/>
      <c r="AK3998" s="55"/>
      <c r="AL3998" s="72">
        <v>46080</v>
      </c>
      <c r="AM3998" s="55"/>
      <c r="AN3998" s="209"/>
      <c r="AO3998" s="209"/>
    </row>
    <row r="3999" spans="1:41" ht="36.75" customHeight="1">
      <c r="A3999" s="46" t="s">
        <v>12471</v>
      </c>
      <c r="B3999" s="46" t="s">
        <v>2124</v>
      </c>
      <c r="C3999" s="69" t="str">
        <f t="shared" ref="C3999" si="513">IF(B3999="Notification","Open",IF(B3999="Interim Statement","In progress","Closed"))</f>
        <v>Open</v>
      </c>
      <c r="D3999" s="36" t="s">
        <v>45984</v>
      </c>
      <c r="E3999" s="24" t="s">
        <v>45986</v>
      </c>
      <c r="F3999" s="55" t="s">
        <v>17578</v>
      </c>
      <c r="G3999" s="88" t="s">
        <v>45987</v>
      </c>
      <c r="H3999" s="142">
        <v>0.52777777777777779</v>
      </c>
      <c r="I3999" s="55" t="s">
        <v>73</v>
      </c>
      <c r="J3999" s="55" t="s">
        <v>45985</v>
      </c>
      <c r="K3999" s="55" t="s">
        <v>837</v>
      </c>
      <c r="L3999" s="223" t="s">
        <v>45988</v>
      </c>
      <c r="M3999" s="55" t="s">
        <v>9919</v>
      </c>
      <c r="N3999" s="55" t="s">
        <v>99</v>
      </c>
      <c r="O3999" s="55" t="s">
        <v>77</v>
      </c>
      <c r="P3999" s="55" t="s">
        <v>7982</v>
      </c>
      <c r="Q3999" s="55" t="s">
        <v>45989</v>
      </c>
      <c r="R3999" s="55" t="s">
        <v>45989</v>
      </c>
      <c r="S3999" s="55">
        <v>0</v>
      </c>
      <c r="T3999" s="55">
        <v>0</v>
      </c>
      <c r="U3999" s="55">
        <v>0</v>
      </c>
      <c r="V3999" s="55">
        <v>0</v>
      </c>
      <c r="W3999" s="55">
        <v>0</v>
      </c>
      <c r="X3999" s="55">
        <v>0</v>
      </c>
      <c r="Y3999" s="55">
        <v>0</v>
      </c>
      <c r="Z3999" s="55">
        <v>0</v>
      </c>
      <c r="AA3999" s="55">
        <v>0</v>
      </c>
      <c r="AB3999" s="55">
        <v>0</v>
      </c>
      <c r="AC3999" s="55">
        <v>0</v>
      </c>
      <c r="AD3999" s="55">
        <v>0</v>
      </c>
      <c r="AE3999" s="223" t="s">
        <v>92</v>
      </c>
      <c r="AF3999" s="245" t="s">
        <v>45991</v>
      </c>
      <c r="AG3999" s="260" t="s">
        <v>14033</v>
      </c>
      <c r="AH3999" s="224" t="s">
        <v>45990</v>
      </c>
      <c r="AI3999" s="55"/>
      <c r="AJ3999" s="55"/>
      <c r="AK3999" s="55"/>
      <c r="AL3999" s="72">
        <v>46090</v>
      </c>
      <c r="AM3999" s="55"/>
      <c r="AN3999" s="209"/>
      <c r="AO3999" s="209"/>
    </row>
    <row r="4000" spans="1:41" ht="36.75" customHeight="1">
      <c r="D4000" s="186"/>
      <c r="E4000" s="186"/>
      <c r="F4000" s="186"/>
      <c r="I4000" s="186"/>
      <c r="K4000" s="186"/>
      <c r="L4000" s="186"/>
      <c r="M4000" s="186"/>
      <c r="N4000" s="186"/>
      <c r="P4000" s="68"/>
      <c r="Q4000" s="68"/>
      <c r="R4000" s="68"/>
    </row>
    <row r="4001" spans="4:17" ht="36.75" customHeight="1">
      <c r="D4001" s="186"/>
      <c r="E4001" s="186"/>
      <c r="F4001" s="186"/>
      <c r="I4001" s="186"/>
      <c r="K4001" s="186"/>
      <c r="L4001" s="186"/>
      <c r="M4001" s="186"/>
      <c r="N4001" s="186"/>
      <c r="P4001" s="68"/>
      <c r="Q4001" s="68"/>
    </row>
    <row r="4002" spans="4:17" ht="36.75" customHeight="1">
      <c r="K4002" s="186"/>
      <c r="P4002" s="68"/>
      <c r="Q4002" s="68"/>
    </row>
    <row r="4003" spans="4:17" ht="36.75" customHeight="1">
      <c r="K4003" s="186"/>
      <c r="P4003" s="68"/>
      <c r="Q4003" s="68"/>
    </row>
    <row r="4004" spans="4:17" ht="36.75" customHeight="1">
      <c r="K4004" s="186"/>
      <c r="P4004" s="68"/>
      <c r="Q4004" s="68"/>
    </row>
    <row r="4005" spans="4:17" ht="36.75" customHeight="1">
      <c r="P4005" s="68"/>
      <c r="Q4005" s="68"/>
    </row>
    <row r="4006" spans="4:17" ht="36.75" customHeight="1">
      <c r="P4006" s="68"/>
      <c r="Q4006" s="68"/>
    </row>
    <row r="4007" spans="4:17" ht="36.75" customHeight="1">
      <c r="P4007" s="68"/>
      <c r="Q4007" s="68"/>
    </row>
    <row r="4008" spans="4:17" ht="36.75" customHeight="1">
      <c r="P4008" s="68"/>
      <c r="Q4008" s="68"/>
    </row>
    <row r="4009" spans="4:17" ht="36.75" customHeight="1">
      <c r="P4009" s="68"/>
      <c r="Q4009" s="68"/>
    </row>
    <row r="4010" spans="4:17" ht="36.75" customHeight="1">
      <c r="P4010" s="68"/>
      <c r="Q4010" s="68"/>
    </row>
    <row r="4011" spans="4:17" ht="36.75" customHeight="1">
      <c r="P4011" s="68"/>
      <c r="Q4011" s="68"/>
    </row>
    <row r="4012" spans="4:17" ht="36.75" customHeight="1">
      <c r="P4012" s="68"/>
      <c r="Q4012" s="68"/>
    </row>
    <row r="4013" spans="4:17" ht="36.75" customHeight="1">
      <c r="P4013" s="68"/>
      <c r="Q4013" s="68"/>
    </row>
    <row r="4014" spans="4:17" ht="36.75" customHeight="1">
      <c r="P4014" s="68"/>
      <c r="Q4014" s="68"/>
    </row>
    <row r="4015" spans="4:17" ht="36.75" customHeight="1">
      <c r="P4015" s="68"/>
      <c r="Q4015" s="68"/>
    </row>
  </sheetData>
  <autoFilter ref="A1:BL3999" xr:uid="{00000000-0001-0000-0000-000000000000}"/>
  <sortState xmlns:xlrd2="http://schemas.microsoft.com/office/spreadsheetml/2017/richdata2" ref="A2:BC3748">
    <sortCondition descending="1" ref="G2:G3748"/>
  </sortState>
  <phoneticPr fontId="11" type="noConversion"/>
  <conditionalFormatting sqref="H3251 AG3985:AG3991">
    <cfRule type="cellIs" dxfId="17" priority="295" operator="equal">
      <formula>""</formula>
    </cfRule>
  </conditionalFormatting>
  <conditionalFormatting sqref="H3264">
    <cfRule type="cellIs" dxfId="16" priority="296" operator="equal">
      <formula>""</formula>
    </cfRule>
  </conditionalFormatting>
  <conditionalFormatting sqref="J3278">
    <cfRule type="cellIs" dxfId="15" priority="292" operator="equal">
      <formula>""</formula>
    </cfRule>
  </conditionalFormatting>
  <conditionalFormatting sqref="J3435">
    <cfRule type="cellIs" dxfId="14" priority="232" operator="equal">
      <formula>""</formula>
    </cfRule>
  </conditionalFormatting>
  <conditionalFormatting sqref="J3582 AF3977:AF3991 AE3992:AE3999">
    <cfRule type="cellIs" dxfId="13" priority="186" operator="equal">
      <formula>""</formula>
    </cfRule>
  </conditionalFormatting>
  <conditionalFormatting sqref="J3704">
    <cfRule type="cellIs" dxfId="12" priority="185" operator="equal">
      <formula>""</formula>
    </cfRule>
  </conditionalFormatting>
  <conditionalFormatting sqref="J3847">
    <cfRule type="cellIs" dxfId="11" priority="228" operator="equal">
      <formula>""</formula>
    </cfRule>
  </conditionalFormatting>
  <conditionalFormatting sqref="J3856:J3857">
    <cfRule type="cellIs" dxfId="10" priority="234" operator="equal">
      <formula>""</formula>
    </cfRule>
  </conditionalFormatting>
  <conditionalFormatting sqref="L3732">
    <cfRule type="cellIs" dxfId="9" priority="6" operator="equal">
      <formula>""</formula>
    </cfRule>
  </conditionalFormatting>
  <conditionalFormatting sqref="L3977:L3999">
    <cfRule type="cellIs" dxfId="8" priority="242" operator="equal">
      <formula>""</formula>
    </cfRule>
  </conditionalFormatting>
  <conditionalFormatting sqref="AF3435">
    <cfRule type="cellIs" dxfId="7" priority="231" operator="equal">
      <formula>""</formula>
    </cfRule>
  </conditionalFormatting>
  <conditionalFormatting sqref="AF3857">
    <cfRule type="cellIs" dxfId="6" priority="174" operator="equal">
      <formula>""</formula>
    </cfRule>
  </conditionalFormatting>
  <conditionalFormatting sqref="AF3999">
    <cfRule type="cellIs" dxfId="5" priority="18" operator="equal">
      <formula>""</formula>
    </cfRule>
  </conditionalFormatting>
  <conditionalFormatting sqref="AF3992:AG3998">
    <cfRule type="cellIs" dxfId="4" priority="35" operator="equal">
      <formula>""</formula>
    </cfRule>
  </conditionalFormatting>
  <conditionalFormatting sqref="AG3413">
    <cfRule type="cellIs" dxfId="3" priority="291" operator="equal">
      <formula>""</formula>
    </cfRule>
  </conditionalFormatting>
  <conditionalFormatting sqref="AG3461">
    <cfRule type="cellIs" priority="289" operator="equal">
      <formula>""</formula>
    </cfRule>
  </conditionalFormatting>
  <conditionalFormatting sqref="AG3557">
    <cfRule type="cellIs" dxfId="2" priority="287" operator="equal">
      <formula>""</formula>
    </cfRule>
  </conditionalFormatting>
  <conditionalFormatting sqref="AG3999:AH3999">
    <cfRule type="cellIs" dxfId="1" priority="17" operator="equal">
      <formula>""</formula>
    </cfRule>
  </conditionalFormatting>
  <conditionalFormatting sqref="AJ3851:AK3851">
    <cfRule type="cellIs" dxfId="0" priority="238" operator="equal">
      <formula>""</formula>
    </cfRule>
  </conditionalFormatting>
  <conditionalFormatting sqref="AJ3862:AK3862">
    <cfRule type="cellIs" priority="91" operator="equal">
      <formula>""</formula>
    </cfRule>
  </conditionalFormatting>
  <dataValidations count="2">
    <dataValidation type="whole" operator="greaterThanOrEqual" allowBlank="1" showInputMessage="1" showErrorMessage="1" errorTitle="Wronf data format" error="Please provide a numeric value" sqref="S3985:AD3985 S3992:AD3992 S3975:AD3975 S3980:AD3980 S3995:AD3995" xr:uid="{35208956-D996-4629-9C0E-F64A96AC0553}">
      <formula1>0</formula1>
      <formula2>0</formula2>
    </dataValidation>
    <dataValidation type="whole" operator="greaterThanOrEqual" allowBlank="1" showInputMessage="1" showErrorMessage="1" errorTitle="Wronf data format" error="Please provide a numeric value" sqref="S3996:AD3999 S3986:AD3991 S3978:AD3979 S3981:AD3984 S3994:AD3994 S3865:AD3866 S3890:AD3890 S3878:AD3878 S3965:AD3965" xr:uid="{8CD27F02-E6A8-47FA-B033-137FCEDE21ED}">
      <formula1>0</formula1>
    </dataValidation>
  </dataValidations>
  <hyperlinks>
    <hyperlink ref="AI3230" r:id="rId1" display="http://erail.era.europa.eu/recommendations.aspx?sfn=AT-6365&amp;sr=6&amp;public=1" xr:uid="{00000000-0004-0000-0000-00007E0C0000}"/>
    <hyperlink ref="AI3229" r:id="rId2" display="http://erail.era.europa.eu/recommendations.aspx?sfn=CZ-6364&amp;sr=12&amp;public=1" xr:uid="{00000000-0004-0000-0000-0000800C0000}"/>
    <hyperlink ref="AI3231" r:id="rId3" display="http://erail.era.europa.eu/recommendations.aspx?sfn=CZ-6366&amp;sr=12&amp;public=1" xr:uid="{00000000-0004-0000-0000-0000820C0000}"/>
    <hyperlink ref="AI3232" r:id="rId4" display="http://erail.era.europa.eu/recommendations.aspx?sfn=CZ-6367&amp;sr=12&amp;public=1" xr:uid="{00000000-0004-0000-0000-0000840C0000}"/>
    <hyperlink ref="AI3227" r:id="rId5" display="http://erail.era.europa.eu/recommendations.aspx?sfn=HU-6360&amp;sr=22&amp;public=1" xr:uid="{00000000-0004-0000-0000-0000860C0000}"/>
    <hyperlink ref="AI3226" r:id="rId6" display="http://erail.era.europa.eu/recommendations.aspx?sfn=PL-6362&amp;sr=36&amp;public=1" xr:uid="{00000000-0004-0000-0000-0000880C0000}"/>
    <hyperlink ref="AI3217" r:id="rId7" display="http://erail.era.europa.eu/recommendations.aspx?sfn=CZ-6369&amp;sr=12&amp;public=1" xr:uid="{00000000-0004-0000-0000-00008B0C0000}"/>
    <hyperlink ref="AI3235" r:id="rId8" display="http://erail.era.europa.eu/recommendations.aspx?sfn=PT-6375&amp;sr=61&amp;public=1" xr:uid="{00000000-0004-0000-0000-0000920C0000}"/>
    <hyperlink ref="BC867" r:id="rId9" xr:uid="{00000000-0004-0000-0000-0000930C0000}"/>
    <hyperlink ref="D3649" r:id="rId10" xr:uid="{B688D41A-B56F-437E-8986-32760756609B}"/>
    <hyperlink ref="D3548" r:id="rId11" display="https://www.era.europa.eu/system/files/2023-10/RO-10329 - RI Racari 01 11 2022 final trimis.pdf" xr:uid="{2E90CC6B-2D11-4907-A6ED-5CAEBD6C4DDE}"/>
    <hyperlink ref="D3557" r:id="rId12" display="https://www.era.europa.eu/system/files/2023-10/DK-10334 - 2022-517 Statement Odense personp%C3%A5k%C3%B8rsel %2812-11-2022%29 %28002%29.pdf" xr:uid="{F564F9CD-3493-4A48-9D89-3B41FB212869}"/>
    <hyperlink ref="D3550" r:id="rId13" display="https://www.era.europa.eu/system/files/2023-10/PL-10352 - Report_EN_No_PKBWK_03_2023.pdf" xr:uid="{771831F4-1B04-4CFD-8213-228537CC1471}"/>
    <hyperlink ref="D3449" r:id="rId14" display="https://www.era.europa.eu/system/files/2023-10/IT-10276 - Relazione Finale_Rastignano_19-03-2022.pdf" xr:uid="{56A16C58-CDD0-486E-AFDB-0F687DC1E3C7}"/>
    <hyperlink ref="D3571" r:id="rId15" display="https://www.era.europa.eu/system/files/2023-11/CZ-10346 - 231107_final_report_Bzenec_privoz_Mor_Pisek.pdf" xr:uid="{80FB0129-0D84-46B6-8ACC-1C1903C5AAE1}"/>
    <hyperlink ref="D3555" r:id="rId16" display="https://www.era.europa.eu/system/files/2023-11/CZ-10332 - Final_Report_M%C4%9Bln%C3%ADk_CZ-10332.pdf" xr:uid="{3CA62DBE-4F98-40FE-BE3F-999EFFA6E8D1}"/>
    <hyperlink ref="D3595" r:id="rId17" display="https://www.era.europa.eu/system/files/2023-11/CZ-10373- Final_Report_Cesky_Tesin_CZ-10373.pdf" xr:uid="{842F64D1-383D-4AA2-B93D-3CA162B82A4D}"/>
    <hyperlink ref="D3558" r:id="rId18" display="https://www.era.europa.eu/system/files/2023-11/RO-10333 - RI Popesti Valcea Berbesti 13 11 2022 final transmis.pdf" xr:uid="{25291B91-CE6B-4BB9-AEF1-3A8693428596}"/>
    <hyperlink ref="D3562" r:id="rId19" display="https://www.era.europa.eu/system/files/2023-11/SE-10343 - SHK2023_13-Slutrapport-V%C3%A4r%C3%B6.pdf" xr:uid="{37F59AC3-31CB-446D-A859-6C5C3CA630E8}"/>
    <hyperlink ref="D2903" r:id="rId20" display="https://www.era.europa.eu/system/files/2023-11/CZ-5978 - Final_report_Hrivice_CZ-5978.pdf" xr:uid="{DEC13CD8-408A-4442-8CF8-8A82BE2C2984}"/>
    <hyperlink ref="D3670" r:id="rId21" display="https://www.era.europa.eu/system/files/2023-11/SK-10476 - 34_Martin__Vr%C3%BAtky.pdf" xr:uid="{55A69D80-0C72-47C7-905D-71DA2DD467ED}"/>
    <hyperlink ref="D3634" r:id="rId22" display="https://www.era.europa.eu/system/files/2023-11/CZ-10414 - 231128_final_report_Krasna_Lipa_Rumburk.pdf" xr:uid="{767C726D-7B39-43A6-95F9-F678EBEC6AAC}"/>
    <hyperlink ref="D3610" r:id="rId23" display="https://www.era.europa.eu/system/files/2023-11/DK-10391 - 2023-185 Statement Peter Bangsvej personp%C3%A5k%C3%B8rsel %2808-03-2023%29.pdf" xr:uid="{B8173A7E-77FD-4F90-9EA1-A5B3E7ED5E66}"/>
    <hyperlink ref="D3482" r:id="rId24" display="https://www.era.europa.eu/system/files/2023-12/IT-10270 -Relazione finale_Prenestina_03-06-2022_pubblica.pdf" xr:uid="{F54D4A01-6C77-4B22-98F7-53A724A5F705}"/>
    <hyperlink ref="D3568" r:id="rId25" display="https://www.era.europa.eu/system/files/2023-12/RO-10344 - RI Gugesti 01 12 2022 final transmis.pdf" xr:uid="{073C66A0-4E3E-4E69-B34E-9546569C9044}"/>
    <hyperlink ref="D3554" r:id="rId26" display="https://www.era.europa.eu/system/files/2023-12/IT-10335 - Relazione finale_Pompei_07-11-2022_pubblica.pdf" xr:uid="{CEF2B4CC-18C3-4AD9-83CB-EA15751601A3}"/>
    <hyperlink ref="D3553" r:id="rId27" display="https://www.era.europa.eu/system/files/2023-12/PT-10369 - RI2023_01.pdf" xr:uid="{47736B6E-3A58-459A-A25C-3FFE2A103B4C}"/>
    <hyperlink ref="D3565" r:id="rId28" display="https://www.era.europa.eu/system/files/2023-12/HU-10336 - 2022-1289-5_zj_EN.pdf" xr:uid="{1924C5FA-0D5F-49D6-9F2C-AD5E9B8C8527}"/>
    <hyperlink ref="D2705" r:id="rId29" display="https://www.era.europa.eu/system/files/2023-12/DE-5705 Final Report Oberhausen_West.pdf" xr:uid="{51DA2C03-EC3A-4F98-8D7E-EBFA80AAF21A}"/>
    <hyperlink ref="D3620" r:id="rId30" display="https://www.era.europa.eu/system/files/2023-12/HU-10400 - 2023-0366-5_zj_EN.pdf" xr:uid="{A2DBD23E-42F2-4E45-8EEE-292EB20DEE24}"/>
    <hyperlink ref="D2148" r:id="rId31" display="https://www.era.europa.eu/system/files/2023-12/DE-4976 - Final Report - Biesdorfer_Kreuz_Ost_-_Berlin_Kaulsdorf.pdf" xr:uid="{03D331E1-93AF-4299-82E7-F4C461A83B9F}"/>
    <hyperlink ref="D2847" r:id="rId32" display="https://www.era.europa.eu/system/files/2023-12/DE-5973 - Final Report - 20190212 Augsburg Hbf Zugkollision.pdf" xr:uid="{7BC280BD-22BC-44AD-BEA1-E93D7BD22298}"/>
    <hyperlink ref="D3050" r:id="rId33" display="https://www.era.europa.eu/system/files/2023-12/DE-6173 Final Report - 20200123 Hamburg-Altona Zugkollision.pdf" xr:uid="{A71F611A-3385-4A23-BF37-ED0C1C9DE54F}"/>
    <hyperlink ref="D3572" r:id="rId34" display="https://www.era.europa.eu/system/files/2023-12/CZ-10347 - ZZ_Final_report_Brno-Malomerice.pdf" xr:uid="{5300AA8D-84C5-4A99-8591-CD74B9C58C09}"/>
    <hyperlink ref="D3544" r:id="rId35" display="https://www.era.europa.eu/system/files/2023-12/NO-10423 - 2023-05 Alnabru.pdf" xr:uid="{B43CF327-4161-4C12-A73B-499D69761135}"/>
    <hyperlink ref="D3419" r:id="rId36" display="https://www.era.europa.eu/system/files/2023-12/IT-10253 - Relazione finale_Barletta_04-01-2022_pubblica.pdf" xr:uid="{F2D7B306-4644-4B7D-822E-D5156AE94FD0}"/>
    <hyperlink ref="D3635" r:id="rId37" display="https://www.era.europa.eu/system/files/2023-12/CZ-10417 - 231217_final_report_Bystrice_pod_Hostynem_Holesov.pdf" xr:uid="{9FB51CDC-46C6-461E-874E-F227A13E569F}"/>
    <hyperlink ref="D3574" r:id="rId38" display="https://www.era.europa.eu/system/files/2024-01/PL-10357 - Report_PKBWK_4_2023_EN.pdf" xr:uid="{08E75353-DE4F-43C0-9A3B-4BCB2E3010A5}"/>
    <hyperlink ref="D3561" r:id="rId39" display="https://www.era.europa.eu/system/files/2024-01/HR-10342 - Kona%C4%8Dno izvje%C5%A1%C4%87e %C5%A0krljevo14.11.2022 z.pdf" xr:uid="{430FB449-D69C-45D5-8EA1-5EE600A3494B}"/>
    <hyperlink ref="D3583" r:id="rId40" display="https://www.era.europa.eu/system/files/2024-01/HR-10361 -Kona%C4%8Dno nesre%C4%87a Pula nalet  14.01.2023. objava_.pdf" xr:uid="{B679A266-0A4F-4716-AF81-C4427A839999}"/>
    <hyperlink ref="D3578" r:id="rId41" display="https://www.era.europa.eu/system/files/2024-01/RO-10348 - RI Timisoara Est  29 12 2022 final transmis.pdf" xr:uid="{FD8AEBCD-B3DA-4E80-B4BA-A91FB7A653DA}"/>
    <hyperlink ref="D3581" r:id="rId42" display="https://www.era.europa.eu/system/files/2024-01/RO-10350 - RI Campia Turzii 07 01 2023 final transmis.pdf" xr:uid="{25EE55CB-8EED-49BE-8C7A-2F19FB943A58}"/>
    <hyperlink ref="D3551" r:id="rId43" display="https://www.era.europa.eu/system/files/2024-01/NO-10331 - 2024-01 Heskestad.pdf" xr:uid="{FA2F377A-73AA-49C7-A2F2-2B73AE4352EB}"/>
    <hyperlink ref="D3472" r:id="rId44" display="https://www.era.europa.eu/system/files/2024-01/DE-10233_German investigation report trains collision Altheim %28Hess%29 - Dieburg.pdf" xr:uid="{F10CA0C7-6450-40E9-AA22-BDF126D39CB6}"/>
    <hyperlink ref="D3599" r:id="rId45" display="https://www.era.europa.eu/system/files/2024-02/PL-10387 - Raport nr PKBWK 5 2023_en.pdf" xr:uid="{73A20EA4-8F13-49C3-A8A0-F73F408D35F8}"/>
    <hyperlink ref="D3537" r:id="rId46" display="https://www.era.europa.eu/system/files/2024-02/CZ-10319 - ZZ_Final_report_Poricany.pdf" xr:uid="{525F9AFB-3F91-4017-8D84-C9F30BAC837F}"/>
    <hyperlink ref="D2579" r:id="rId47" display="https://www.era.europa.eu/system/files/2024-02/AT-5618 - 795.390_UB_1.0.pdf" xr:uid="{E13C7826-E689-4688-9788-206F35BC9ADE}"/>
    <hyperlink ref="D3591" r:id="rId48" display="https://www.era.europa.eu/system/files/2024-02/RO-10365 - RI Bucurestii Noi 26 01 2023 final transmis.pdf" xr:uid="{5E4EF331-3548-4A3E-9289-27925F1E52F2}"/>
    <hyperlink ref="D3587" r:id="rId49" display="https://www.era.europa.eu/system/files/2024-02/PL-10366 - Report PKBWK 1 2024_EN.docx.pdf" xr:uid="{B1F26773-573A-4EAA-A937-59157F5C9216}"/>
    <hyperlink ref="D2974" r:id="rId50" display="https://www.era.europa.eu/system/files/2023-07/DE-6099 - K%C3%B6ln Bonntor  K%C3%B6ln S%C3%BCd.pdf" xr:uid="{E50CC32C-D58C-4C20-B397-06FCC8AC10D2}"/>
    <hyperlink ref="D2666" r:id="rId51" display="https://www.era.europa.eu/system/files/2024-02/DE-5660 investigation report Train collision M%C3%BCnchen-Riem.pdf" xr:uid="{E1622F89-CD90-443E-B157-0BEB876CF081}"/>
    <hyperlink ref="D3048" r:id="rId52" display="https://www.era.europa.eu/system/files/2024-02/DE-6204 investigation report trains collision near miss Griesen Obb.pdf" xr:uid="{EA0EF2C2-5FD0-4D4C-BB4A-0EC81F684E60}"/>
    <hyperlink ref="D3606" r:id="rId53" display="https://www.era.europa.eu/system/files/2024-02/RO-10384 - RI Augustin Apata 28 02 2023 final transmis.pdf" xr:uid="{3C78D379-883A-423D-9F7A-1F02C4EA548B}"/>
    <hyperlink ref="D905" r:id="rId54" display="https://www.era.europa.eu/system/files/2024-02/PT-962 - Relat%C3%B3rio_Sumario_ferro_PT_962_RF202304.pdf" xr:uid="{F375E4A8-BBBD-4241-B064-779D11D1BD8E}"/>
    <hyperlink ref="D149" r:id="rId55" display="https://www.era.europa.eu/system/files/2024-02/PT-240 - Relat%C3%B3rio_Sumario_ferro_PT_240_RF202303.pdf" xr:uid="{A3EC10A3-0066-4D21-A7FC-DBC81CC50B95}"/>
    <hyperlink ref="D193" r:id="rId56" display="https://www.era.europa.eu/system/files/2024-02/PT-239 - Relat%C3%B3rio_Sumario_ferro_PT_239_RF202301.pdf" xr:uid="{DF09C582-914C-4AA3-BA6F-23011FEE6AE3}"/>
    <hyperlink ref="D117" r:id="rId57" display="https://www.era.europa.eu/system/files/2024-02/PT-78 - Relat%C3%B3rio_Sumario_ferro_PT_78_RF202302.pdf" xr:uid="{125D55B7-2FD3-414A-9503-63414ACA2625}"/>
    <hyperlink ref="D3632" r:id="rId58" display="https://www.era.europa.eu/system/files/2024-02/DK-10419 - Serious accident ID DK-10419 Eskilstrup  Person struck by train %2822-05-2023%29.pdf" xr:uid="{4D925679-BEE0-4182-ACB2-38175838CEF3}"/>
    <hyperlink ref="D3596" r:id="rId59" display="https://www.era.europa.eu/system/files/2024-02/PL-10379 - Report 2 2024_EN.pdf" xr:uid="{D6C64026-773F-4BFE-B2E2-3C05F7457465}"/>
    <hyperlink ref="D3629" r:id="rId60" display="https://www.era.europa.eu/system/files/2024-02/PL-10416 - Report 3 2024_EN.pdf" xr:uid="{B1CDF240-0E6D-4ED5-86EC-DC3BB376ED29}"/>
    <hyperlink ref="D3203" r:id="rId61" display="https://www.era.europa.eu/system/files/2024-02/DE-10309 Summary in english Train derailment K%C3%B6ln Eifeltor.pdf" xr:uid="{E5DAD0BA-4FA0-4FF2-8FD7-2211B658A21B}"/>
    <hyperlink ref="D3601" r:id="rId62" display="https://www.era.europa.eu/system/files/2024-03/RO-10380 - RI Zalau Nord Mirsid 22 02 2023 final transmis.pdf" xr:uid="{19A51AD7-4B25-4D89-9A0C-C0D00C6DB68D}"/>
    <hyperlink ref="D3703" r:id="rId63" display="https://www.era.europa.eu/system/files/2024-03/BG-10485 - Final report 44202_NIB BG ENG 1.pdf" xr:uid="{5D94D66F-ED7C-48F6-957A-5DE218F759DB}"/>
    <hyperlink ref="D3607" r:id="rId64" display="https://www.era.europa.eu/system/files/2024-03/DK-10401 - 2023-163 EN Report Summary Conclusion and Recommendations.pdf" xr:uid="{C2CA4F03-0A25-4571-A99A-7422C70CCC21}"/>
    <hyperlink ref="D3598" r:id="rId65" display="https://www.era.europa.eu/system/files/2024-03/CZ-10377 - Final_report_Chlumcany_u_Dobran.pdf" xr:uid="{792E684B-C544-4D0A-8909-D670B0B7633D}"/>
    <hyperlink ref="D3613" r:id="rId66" display="https://www.era.europa.eu/system/files/2024-03/RO-10392 - RI Beia Cata 17 03 2023 final transmis.pdf" xr:uid="{EC7B8994-51FB-4F67-AF41-4D46B34A25AC}"/>
    <hyperlink ref="D3611" r:id="rId67" display="https://www.era.europa.eu/system/files/2024-03/NO-10393 - 2024-02 Narvik.pdf" xr:uid="{0B6B737B-17E3-4670-B3B4-ACF924DC3EE0}"/>
    <hyperlink ref="D3612" r:id="rId68" display="https://www.era.europa.eu/system/files/2024-03/RO-10390 - RI Rosiori Nord 13 03 2023 final transmis.pdf" xr:uid="{B9120F62-C05C-476C-BFDA-C5E9D3475F28}"/>
    <hyperlink ref="D3617" r:id="rId69" display="https://www.era.europa.eu/system/files/2024-03/CZ-10396 - Final_report_Vlastec_II_CZ-10396.pdf" xr:uid="{BC02CD37-7115-452D-9D69-27345CE59262}"/>
    <hyperlink ref="D3540" r:id="rId70" display="https://www.era.europa.eu/system/files/2024-03/HU-10322 - 2022-1166-5_zj_EN.pdf" xr:uid="{EAD3BC45-BCB7-4C37-9BC6-910FBD3400E4}"/>
    <hyperlink ref="D3488" r:id="rId71" display="https://www.era.europa.eu/system/files/2024-03/HU-10242 - 2022-0629-5_zj_EN.pdf" xr:uid="{1C820893-F189-4EC7-96A9-01E1881B05B0}"/>
    <hyperlink ref="D3602" r:id="rId72" display="https://www.era.europa.eu/system/files/2024-03/IE-10404 - 230222 Broken Rail Emly.pdf" xr:uid="{C604E05C-851F-4A69-9134-567B5355B43C}"/>
    <hyperlink ref="D3616" r:id="rId73" display="https://www.era.europa.eu/system/files/2024-04/RO-10395 - RI Berbesti Popesti 28 03 2023 final transmis.pdf" xr:uid="{3C2B1E55-52DB-4682-9D53-81C4E3A532F1}"/>
    <hyperlink ref="D3493" r:id="rId74" display="https://www.era.europa.eu/system/files/2024-04/HU-10247 - 2022-0682-5_zj_EN.docx" xr:uid="{DA6009A9-DE64-4F03-8B37-26CD5D1EA043}"/>
    <hyperlink ref="D3502" r:id="rId75" display="https://www.era.europa.eu/system/files/2024-04/HU-10256 - 2022-0740-5_zj_EN.pdf" xr:uid="{7AC4BDA5-53DE-4D83-B852-EB204121ADC1}"/>
    <hyperlink ref="D3470" r:id="rId76" display="https://www.era.europa.eu/system/files/2024-04/HU-10356 - 2022-0512-5_zj_EN.pdf" xr:uid="{FD9F9714-28D2-4E7C-9F63-49A0BCDDEE05}"/>
    <hyperlink ref="D3618" r:id="rId77" display="https://www.era.europa.eu/system/files/2024-04/NO-10398 - 2024-03 Bybanen.pdf" xr:uid="{8EF86340-6694-438E-820B-837AF8EE7D74}"/>
    <hyperlink ref="D3424" r:id="rId78" display="https://www.era.europa.eu/system/files/2024-04/DK-10283 - 2022-34 Report Ejby wheel failure_ EN.pdf" xr:uid="{CFEC6E03-9A88-476A-AFA5-844803B4AE2E}"/>
    <hyperlink ref="D3443" r:id="rId79" display="https://www.era.europa.eu/system/files/2024-04/CZ-10200 - Final_report_Skaly_CZ-10200.pdf" xr:uid="{AAEEA4E5-AE35-4B0C-9D32-58994666A796}"/>
    <hyperlink ref="D3422" r:id="rId80" display="https://www.era.europa.eu/system/files/2024-04/HU-10178 - 2022-0048-5_zj_EN_EN_BT.docx" xr:uid="{3C0B8017-35BF-410D-AF2E-29BD1D23F438}"/>
    <hyperlink ref="D3427" r:id="rId81" display="https://www.era.europa.eu/system/files/2024-04/HU-10184 - 2022-0075-5_zj_EN_EN_BT.docx" xr:uid="{27CC1EFC-20B6-4418-AC39-1BD85EF2CA8F}"/>
    <hyperlink ref="D3417" r:id="rId82" display="https://www.era.europa.eu/system/files/2024-04/HU-10240 - 2022-0002-5_zj_EN_EN_BT.docx" xr:uid="{AC2A6EA8-03EF-42A6-8233-6E49EB8B40B2}"/>
    <hyperlink ref="D3430" r:id="rId83" display="https://www.era.europa.eu/system/files/2024-04/HU-10183 - 2022-0107-5_zj_EN_EN_BT.docx" xr:uid="{A571B01B-E0FF-4780-A4F3-E699C05A897C}"/>
    <hyperlink ref="D3525" r:id="rId84" display="https://www.era.europa.eu/system/files/2024-04/HU-10310 - 2022-0960-5_zj_EN_EN_BT.docx" xr:uid="{B0FDD33E-BA92-4903-8E5E-763260A71642}"/>
    <hyperlink ref="D3628" r:id="rId85" display="https://www.era.europa.eu/system/files/2024-04/PL-10418 - Report No PKBWK 04 2024_EN.pdf" xr:uid="{DBF1F4C5-B1E2-45E9-813D-472899EEE72F}"/>
    <hyperlink ref="D3683" r:id="rId86" display="https://www.era.europa.eu/system/files/2024-04/CZ-10463 - 240426_final_report_DP_Plzen_Karlovarska.pdf" xr:uid="{383DECB7-7022-426C-9FB3-3B6A90A181FC}"/>
    <hyperlink ref="D3592" r:id="rId87" display="https://www.era.europa.eu/system/files/2024-05/IT-10368 - Relazione finale_Pozzano_26-01-2023_pubblica.pdf" xr:uid="{3F52B584-DBA8-4A2E-8B26-7095123D0635}"/>
    <hyperlink ref="D3621" r:id="rId88" display="https://www.era.europa.eu/system/files/2024-05/RO-10402 - RI Sannicolau  Mare Cenad 18 04 2023 final transmis.pdf" xr:uid="{4E5517F8-AFAE-4FD6-9C15-43C503848C83}"/>
    <hyperlink ref="D3593" r:id="rId89" display="https://www.era.europa.eu/system/files/2024-05/ES-10383 - 2023-11-0130-IF.pdf" xr:uid="{083739E5-A888-4BF7-B94C-66FF53886553}"/>
    <hyperlink ref="D3669" r:id="rId90" display="https://www.era.europa.eu/system/files/2024-05/CZ-10450 - 240513_final_report_Bezdecin.pdf" xr:uid="{942659F7-77FD-4000-AB3B-A1AF4908BA49}"/>
    <hyperlink ref="D3630" r:id="rId91" display="https://www.era.europa.eu/system/files/2024-05/RO-10411 - RI Toporu 17 05 2023 final transmis.pdf" xr:uid="{07E2DA9D-810E-4A70-AA24-FB273B7673FD}"/>
    <hyperlink ref="D3619" r:id="rId92" display="https://www.era.europa.eu/system/files/2024-05/NL-10405 - Final report_0.pdf" xr:uid="{8BB514CA-7FEC-40BB-93BD-8FA42BBE3939}"/>
    <hyperlink ref="D3542" r:id="rId93" display="https://www.era.europa.eu/system/files/2024-05/HU-10324 - 2022-1184-5_zj_EN.pdf" xr:uid="{B02BACD3-AB92-4F30-A133-753A7B18F33A}"/>
    <hyperlink ref="D3519" r:id="rId94" display="https://www.era.europa.eu/system/files/2024-05/HU-10289 - 2022-0917-5_zj_EN.pdf" xr:uid="{EFA69C35-3F29-42BF-B0A8-A398DF2B9EDB}"/>
    <hyperlink ref="D3524" r:id="rId95" display="https://www.era.europa.eu/system/files/2024-05/HU-10296 - 2022-0940-5_zj_EN.pdf" xr:uid="{51B39D8C-CBEA-43B1-95DB-E28D22D31CAA}"/>
    <hyperlink ref="D3468" r:id="rId96" display="https://www.era.europa.eu/system/files/2024-05/AT-10226 - 795.404_UB_1.0_Optimized.pdf" xr:uid="{128D77BD-6646-45D0-9CCA-807D9F1FE4A1}"/>
    <hyperlink ref="D3636" r:id="rId97" display="https://www.era.europa.eu/system/files/2024-05/RO-10420 - RI Sighisoara 08 06 2023 final transmis.pdf" xr:uid="{F2CB5E96-4B72-4F9E-A3C9-B52DEF398656}"/>
    <hyperlink ref="D3696" r:id="rId98" display="https://www.era.europa.eu/system/files/2024-06/DK-10507 - Statement K%C3%B8benhavn H. - Hvidovre Fjern Personp%C3%A5k%C3%B8rsel %2825-11-2023%29.pdf" xr:uid="{9E8181FE-7F07-41F1-934D-D0829E05D492}"/>
    <hyperlink ref="D3624" r:id="rId99" display="https://www.era.europa.eu/system/files/2024-06/AT-10408 - final  795.406 UB 1.0.pdf" xr:uid="{DB5670ED-3E4D-4648-A401-BFFB079411CD}"/>
    <hyperlink ref="D3730" r:id="rId100" display="https://www.era.europa.eu/system/files/2024-06/CZ-10511 - Final_report_Rynoltice.pdf" xr:uid="{E2D90463-37CF-4DE9-A4F9-05AB5E6299D0}"/>
    <hyperlink ref="D3644" r:id="rId101" display="https://www.era.europa.eu/system/files/2024-06/CZ-10429 - Final_report_Bozice_u_Znojma_P7118.pdf" xr:uid="{368DCB71-7476-4178-8DCC-C28A94290FA3}"/>
    <hyperlink ref="D3640" r:id="rId102" display="https://www.era.europa.eu/system/files/2024-06/HR-10428 - KI incident izbjegnut sudar Su%C5%A1ak Pe%C4%87ine    22.06.2023._.pdf" xr:uid="{E5F5F037-377E-4FFB-9534-28B71EF26AC9}"/>
    <hyperlink ref="D3671" r:id="rId103" display="https://www.era.europa.eu/era-folder/fi-10451" xr:uid="{2BD42A8F-B902-4DE5-88EB-F1F4409C41AD}"/>
    <hyperlink ref="D3672" r:id="rId104" display="https://www.era.europa.eu/system/files/2024-06/DK-10453 - 2023-482 Statement K%C3%B8ge Personp%C3%A5k%C3%B8rsel %2824-09-2023%29.pdf" xr:uid="{CE03149D-743D-4CEA-9ECB-0C9832A8F79D}"/>
    <hyperlink ref="D2927" r:id="rId105" display="https://www.era.europa.eu/system/files/2024-06/AT-6217 - 190701_Kollision_Bf_Floridsdorf_795399_EUB %288%29_0.pdf" xr:uid="{FC3FCFDB-D3CF-459E-8AA1-0FFA97889AEB}"/>
    <hyperlink ref="D3688" r:id="rId106" display="https://www.era.europa.eu/system/files/2024-06/BG-10472 - Final report IP4IL_NIB BG.pdf" xr:uid="{F5593D91-EDF7-45BB-BC88-6D2BE30A0B55}"/>
    <hyperlink ref="D3676" r:id="rId107" display="https://www.era.europa.eu/system/files/2024-07/CZ-10455 - Final_report_Belcice_Blatna.pdf" xr:uid="{BC69EAF8-7544-4C57-94A4-19334C9FB48B}"/>
    <hyperlink ref="D3631" r:id="rId108" display="https://www.era.europa.eu/system/files/2024-07/ES-10479 - Final Report - 2023-43-0518-IF.pdf" xr:uid="{383827C2-27E9-4C49-BFDC-87B7244442A4}"/>
    <hyperlink ref="D3648" r:id="rId109" display="https://www.era.europa.eu/system/files/2024-07/CZ-10431 - Final_report_Cerhenice.pdf" xr:uid="{90FA1F50-EDAE-4B43-855B-A7C214905261}"/>
    <hyperlink ref="D3633" r:id="rId110" display="https://www.era.europa.eu/system/files/2024-07/SE-10415 - SHK 2024_ 08 Slutrapport - Arlanda Express.pdf" xr:uid="{5D82FE47-B38E-463C-9D3E-BB1CF702344E}"/>
    <hyperlink ref="D3439" r:id="rId111" display="https://www.era.europa.eu/system/files/2024-07/DE-10206 investigation excerpts Bf R%C3%BCsselsheim train derailment 230202022.pdf" xr:uid="{95AAAF0E-CE90-4B85-A532-46FD57831647}"/>
    <hyperlink ref="D3225" r:id="rId112" display="https://www.era.europa.eu/system/files/2024-07/CH-10119 - 2020101901_EB_SB-EU_Basel_Gefahrgutereignis_V7_1_D_lus.pdf" xr:uid="{8AF2AA8D-8DD9-4BD5-839C-6EF68A9B2522}"/>
    <hyperlink ref="D3436" r:id="rId113" display="https://www.era.europa.eu/system/files/2024-07/CZ-10194 - Final_report_Zdarec_Hlinsko.pdf" xr:uid="{F7063768-B558-4E35-9CAB-2A8AF0F3D28A}"/>
    <hyperlink ref="D3666" r:id="rId114" display="https://www.era.europa.eu/system/files/2024-07/DK-10466 - Redeg%C3%B8relse Holmstrup-Tommerup Person faldet af tog %2810-09-2023%29.pdf" xr:uid="{70637968-80C6-4E75-9BF6-EB92AC334E20}"/>
    <hyperlink ref="D3279" r:id="rId115" display="https://www.era.europa.eu/system/files/2024-07/DE-10040 final report train collision Fallersleben 31032021.pdf" xr:uid="{B3D670BC-EEFC-4FC2-A297-913AFFB8BBE3}"/>
    <hyperlink ref="D3626" r:id="rId116" display="https://www.era.europa.eu/system/files/2024-07/HR-10410 - Final Report  KONA%C4%8CNO izvje%C5%A1%C4%87e Andrijevci WEB.pdf" xr:uid="{DBBCA7F1-04A7-495D-B68E-3B9B81CD5784}"/>
    <hyperlink ref="D2916" r:id="rId117" display="https://www.era.europa.eu/system/files/2024-07/AT-6004 - Final report - 795.398_EUB_1.0.pdf" xr:uid="{FD5D1994-4028-41DC-B670-A80A00B2E2D7}"/>
    <hyperlink ref="D3180" r:id="rId118" display="https://www.era.europa.eu/system/files/2024-07/DE-6327 Interim statement_2 -report level crosing accident Hp Gro%C3%9Fwalbur  Hp Meeder 27072020.pdf" xr:uid="{427B721F-E1DB-40EF-ADAD-CED82CC19084}"/>
    <hyperlink ref="D3212" r:id="rId119" display="https://www.era.europa.eu/system/files/2024-08/CZ-6346 - 240802_final_report_Uporiny.pdf" xr:uid="{469A30DC-7661-4F06-9A77-9D24E38E79DB}"/>
    <hyperlink ref="D3651" r:id="rId120" display="https://www.era.europa.eu/system/files/2024-08/CZ-10434 - 240802_final_report_Dluhonice.pdf" xr:uid="{D080F296-217C-4641-BB2A-02F3781A7E00}"/>
    <hyperlink ref="D3650" r:id="rId121" display="https://www.era.europa.eu/system/files/2024-08/RO-10432 - RI Rosiori Atarnati 01 08 2023 final transmis.pdf" xr:uid="{9FB21605-6DBA-421A-A127-1CFC3AE1063D}"/>
    <hyperlink ref="D3652" r:id="rId122" display="https://www.era.europa.eu/system/files/2024-08/RO-10435 - RI Dumbraveni 05 08 2024 final transmis.pdf" xr:uid="{3D4B546B-FC2A-4372-A2F3-A5B9AB56334A}"/>
    <hyperlink ref="D3654" r:id="rId123" display="https://www.era.europa.eu/system/files/2024-08/RO-10438 - RI Catusa 09 08 2023 final transmis.pdf" xr:uid="{A96E6D3F-AC86-43B3-AB66-2DA4333DDF16}"/>
    <hyperlink ref="D3657" r:id="rId124" display="https://www.era.europa.eu/system/files/2024-08/DK-10465 - 2023-422 Redeg%C3%B8relse Aarhus Letbane Personp%C3%A5k%C3%B8rsel %2817-08-2023%29.pdf" xr:uid="{08D3A6F3-1ACC-480D-A9B0-AFD95749EE88}"/>
    <hyperlink ref="D3645" r:id="rId125" display="https://www.era.europa.eu/system/files/2024-08/BE-10439 - rapport Qu%C3%A9vy.pdf" xr:uid="{1E35AF64-5847-4DAA-985F-11920473DF03}"/>
    <hyperlink ref="D3705" r:id="rId126" display="https://www.era.europa.eu/system/files/2024-08/DK-10488 - 2023-602 Statement Ballerup-M%C3%A5l%C3%B8v personp%C3%A5k%C3%B8rsel.pdf" xr:uid="{ED11ED29-BCF5-4845-BC86-806571CA39A2}"/>
    <hyperlink ref="D3665" r:id="rId127" display="https://www.era.europa.eu/system/files/2024-08/RO-10448 - RI Capu Midia 10 09 2023 final transmis.pdf" xr:uid="{C35D9480-8943-450E-AA3A-2BFD63DFB0FF}"/>
    <hyperlink ref="D3573" r:id="rId128" display="https://www.era.europa.eu/system/files/2024-08/IT-10351 - Relazione finale_Iseo_10-12-2022_pubblica.pdf" xr:uid="{516415F7-CBD3-4437-AB71-8DDEFCBAEB51}"/>
    <hyperlink ref="D3679" r:id="rId129" display="https://www.era.europa.eu/system/files/2024-08/CZ-10457 - Final_report_Brno_Zidenice.pdf" xr:uid="{6B1A711E-C6AD-44D1-9C57-AA4C98B68BC6}"/>
    <hyperlink ref="D3681" r:id="rId130" display="https://www.era.europa.eu/system/files/2024-08/CZ-10462 - Final_report_Moravsky_Pisek_Nedakonice.pdf" xr:uid="{C104268F-AE38-489F-9174-AEAC4ED8FBEE}"/>
    <hyperlink ref="D3658" r:id="rId131" display="https://www.era.europa.eu/system/files/2024-08/RO-10445 - RI Tarnaveni Vest Jidvei 23 08 2024 final transmis.pdf" xr:uid="{74D32705-1B1E-4365-BB46-37EF530D85A2}"/>
    <hyperlink ref="D3663" r:id="rId132" display="https://www.era.europa.eu/system/files/2024-09/DK-10467 - 2023-452 Redeg%C3%B8relse N%C3%A6rved-p%C3%A5k%C3%B8rsel af banearbejdere %28d. 06-09-2023%29.pdf" xr:uid="{4EE621C2-C19E-4DB3-9A71-8B42D881256F}"/>
    <hyperlink ref="D3659" r:id="rId133" display="https://www.era.europa.eu/system/files/2024-09/pl-10444 - report_pkbwk_06_2024_en.pdf" xr:uid="{311144C6-D131-4C99-95AA-C6C0D2FEAE59}"/>
    <hyperlink ref="D3662" r:id="rId134" display="https://www.era.europa.eu/system/files/2024-09/ro-10447 - ri les bihor oradea vest 01 09 2023 final transmis.pdf" xr:uid="{8E3A0BA0-4600-48A5-B8E6-FEA98EAA6B15}"/>
    <hyperlink ref="D3462" r:id="rId135" display="https://www.era.europa.eu/system/files/2024-09/pl-10422 - report no. pkbwk 5_2024_en.pdf" xr:uid="{09912F21-F5F3-4069-AE3C-E25C00F999FF}"/>
    <hyperlink ref="D3597" r:id="rId136" display="https://www.era.europa.eu/system/files/2024-09/cz-10376 - final_report_cervenka_stepanov.pdf" xr:uid="{5EE1BE2D-20F2-4DB5-906B-37084BF2514B}"/>
    <hyperlink ref="D3433" r:id="rId137" display="https://www.era.europa.eu/system/files/2024-09/cz-10190 - 240912_final_report_decin_prostr_zleb.pdf" xr:uid="{078E138B-A986-4304-A042-DC4F0EC40F26}"/>
    <hyperlink ref="D3682" r:id="rId138" display="https://www.era.europa.eu/system/files/2024-09/cz-10461 - final_report_olomouc_hl_n_cz-10461.pdf" xr:uid="{21CCA354-32B6-4829-A51E-E12269932D5C}"/>
    <hyperlink ref="D3734" r:id="rId139" display="https://www.era.europa.eu/system/files/2024-10/dk-10520 - thisted station personp%C3%A5k%C3%B8rsel d. 05-02-2024.pdf" xr:uid="{0023281D-B88C-4567-9E79-FC7FEDB4F6D9}"/>
    <hyperlink ref="D3733" r:id="rId140" display="https://www.era.europa.eu/system/files/2024-10/bg-10523 - final report_46660_eng %D1%81%D1%82%D1%80.pdf" xr:uid="{0AF7654B-5A97-49C6-A192-7465FD75917D}"/>
    <hyperlink ref="D3675" r:id="rId141" display="https://www.era.europa.eu/system/files/2024-10/ro-10454 - ri augustin racos 03 10 2023 final transmis.pdf" xr:uid="{39F540D9-9BE7-4E3C-BEBA-77C12841A9CD}"/>
    <hyperlink ref="D3690" r:id="rId142" display="https://www.era.europa.eu/system/files/2024-10/ro-10474 - ri aradu nou 14 11 2023 final transmis.pdf" xr:uid="{B844CF9D-3371-4386-8A51-5F17822AF725}"/>
    <hyperlink ref="D3668" r:id="rId143" display="https://www.era.europa.eu/system/files/2024-10/no-10452 - 2024-05 dunderland-bolna.pdf" xr:uid="{519813F1-066B-42D0-B4A1-115E52FF9C57}"/>
    <hyperlink ref="D3706" r:id="rId144" display="https://www.era.europa.eu/system/files/2024-10/dk-10487 - 2023-603 statement personp%C3%A5k%C3%B8rsel mellem nordhavnen og svanem%C3%B8llen personp%C3%A5k%C3%B8rsel %2803-12-2023%29.pdf" xr:uid="{BB79D5BC-9995-4F05-B707-AEF14FC42A0D}"/>
    <hyperlink ref="D3653" r:id="rId145" display="https://www.era.europa.eu/system/files/2024-10/se-10437 - final report shk 2024_14 slutrapport - iggesund.pdf" xr:uid="{FF3FDFA1-F6AE-4471-8B04-881649D58550}"/>
    <hyperlink ref="D3689" r:id="rId146" display="https://www.era.europa.eu/system/files/2024-10/cz-10473 - final_report_pelhrimov.pdf" xr:uid="{46CECB48-2B26-47D0-BACF-576C23783A71}"/>
    <hyperlink ref="D3773" r:id="rId147" display="https://www.era.europa.eu/system/files/2024-11/bg-10562 - final report_30114_nib bg.pdf" xr:uid="{F569E575-8024-40A6-9BC9-A6A67A24BD21}"/>
    <hyperlink ref="D3684" r:id="rId148" display="https://www.era.europa.eu/system/files/2024-11/ro-10468 - ri mirosi costesti  24 10 2023 final transmis.pdf" xr:uid="{975F94B0-C27A-4359-9E05-3B983C9FD0E2}"/>
    <hyperlink ref="D3711" r:id="rId149" display="https://www.era.europa.eu/system/files/2024-11/dk-10508 - k%C3%B8ge overk%C3%B8rsel 115 personp%C3%A5k%C3%B8rsel d. 09-12-2023.pdf" xr:uid="{0043B19E-8D06-4DE1-A6F9-9B6DE083F23D}"/>
    <hyperlink ref="D3686" r:id="rId150" display="https://www.era.europa.eu/system/files/2024-11/ro-10469 - ri periam zadareni 2023 final transmis.pdf" xr:uid="{B31A9F6F-8941-411F-A8DC-122640E668C0}"/>
    <hyperlink ref="D3646" r:id="rId151" display="https://www.era.europa.eu/era-folder/be-10440" xr:uid="{D05365BE-E670-420C-B083-2532197ADC11}"/>
    <hyperlink ref="D3687" r:id="rId152" display="https://www.era.europa.eu/system/files/2024-11/ro-10470 - ri dragotesti borascu 05 11 2023 final transmis.pdf" xr:uid="{81F115A2-55FB-4C9C-823C-CC5C30F44C03}"/>
    <hyperlink ref="D3680" r:id="rId153" display="https://www.era.europa.eu/system/files/2024-11/no-10460 - 2024-04 %C3%A5neby.pdf" xr:uid="{2791578A-831B-4241-9D86-7236866F7B6F}"/>
    <hyperlink ref="D3697" r:id="rId154" display="https://www.era.europa.eu/system/files/2024-11/ro-10478 - ri todireni trusesti 27 11 2023 final transmis.pdf" xr:uid="{A555E8B9-7E22-4B29-BB83-6E238721A2DC}"/>
    <hyperlink ref="D2489" r:id="rId155" display="https://www.era.europa.eu/system/files/2024-11/at-5425 - 170823_bf_linz_795388_ub %282%29.pdf" xr:uid="{3836A41D-AF8C-473E-81A0-C36EEF06BB9D}"/>
    <hyperlink ref="D3642" r:id="rId156" display="https://www.era.europa.eu/system/files/2024-11/cz-10427 - 241118_final_report_usti_nad_labem_sever.pdf" xr:uid="{9CDE7AA3-B86C-48EE-B243-E27F7378095A}"/>
    <hyperlink ref="D3702" r:id="rId157" display="https://www.era.europa.eu/system/files/2024-11/ro-10484 - ri capu midia 01 12 2023 final transmis.pdf" xr:uid="{428C7BBF-2547-4045-9579-23A71A254A2D}"/>
    <hyperlink ref="D3779" r:id="rId158" display="https://www.era.europa.eu/system/files/2024-11/dk-10568 - 2024-326 summary en.pdf" xr:uid="{BAA8E78A-5E72-4751-8454-FC6DD8341BB7}"/>
    <hyperlink ref="D3772" r:id="rId159" display="https://www.era.europa.eu/system/files/2024-11/bg-10561 - final report_nib bg_2654.pdf" xr:uid="{200967D9-56D3-41DC-981C-46AFE80249DA}"/>
    <hyperlink ref="D3211" r:id="rId160" display="https://www.era.europa.eu/system/files/2024-11/de-6359 - investigation_report_excerpts_train_derailment_bietigheim-bissingen_v1.1_0.pdf" xr:uid="{6FAE2AE4-F1CD-43B4-A957-E65229C8E09B}"/>
    <hyperlink ref="D3700" r:id="rId161" display="https://www.era.europa.eu/sites/default/files/2024-11/r2023-02 summary.docx" xr:uid="{537BC236-5B7A-4D6F-9369-B3273D1EF486}"/>
    <hyperlink ref="D3717" r:id="rId162" display="https://www.era.europa.eu/sites/default/files/2024-11/cz-10496 - final_report_stupno.pdf" xr:uid="{BB1C3406-55FF-402C-B366-2E1B97F6B81F}"/>
    <hyperlink ref="D3701" r:id="rId163" display="https://www.era.europa.eu/sites/default/files/2024-12/lv-10482 - final report 5_02_1_23_lv.pdf" xr:uid="{1555385B-D0FC-45BB-9272-73FBB42BB3F7}"/>
    <hyperlink ref="D3580" r:id="rId164" xr:uid="{91573714-4E9F-4AD7-A7AC-5B5B509FA68E}"/>
    <hyperlink ref="D3585" r:id="rId165" xr:uid="{063EA1B9-0C53-43A4-AE56-A02A52F3C21E}"/>
    <hyperlink ref="D3586" r:id="rId166" xr:uid="{89B21850-7E25-4ECE-B9CA-1F0B7A22C353}"/>
    <hyperlink ref="D3588" r:id="rId167" xr:uid="{1D888C4E-53FB-4CB1-9649-17ADD2E2A81B}"/>
    <hyperlink ref="D3589" r:id="rId168" xr:uid="{BAE7AEE8-FD93-4211-8700-2F0E25484E5E}"/>
    <hyperlink ref="D3594" r:id="rId169" xr:uid="{6DDF95B3-A17E-4060-9AE1-1E857E34EF77}"/>
    <hyperlink ref="D3604" r:id="rId170" xr:uid="{F1940510-9179-41B5-B235-970D7F6AE9B2}"/>
    <hyperlink ref="D3600" r:id="rId171" xr:uid="{8311912D-B359-464A-A849-5ACA2A3F4A79}"/>
    <hyperlink ref="D3605" r:id="rId172" xr:uid="{4F97E211-7E87-4E45-811C-2F7BD9978869}"/>
    <hyperlink ref="D3608" r:id="rId173" xr:uid="{DC064E18-6B63-4406-BFE4-138E0657A51B}"/>
    <hyperlink ref="D3615" r:id="rId174" xr:uid="{C4A24BB6-BDD9-4180-A3AA-52D23FF3E0B7}"/>
    <hyperlink ref="D3625" r:id="rId175" xr:uid="{55681C72-A00E-4EF9-B4CE-0641237856A2}"/>
    <hyperlink ref="D3627" r:id="rId176" xr:uid="{93E503BA-190E-4842-B505-AA688242B429}"/>
    <hyperlink ref="D3639" r:id="rId177" xr:uid="{903896EB-82F3-42AB-8716-99B9FBEC765B}"/>
    <hyperlink ref="D3641" r:id="rId178" xr:uid="{5A9FE5F0-2F9F-44D0-A196-72BE9F07415D}"/>
    <hyperlink ref="D3655" r:id="rId179" xr:uid="{297CC4F1-2D2A-4C65-8027-CEB1A794FA3D}"/>
    <hyperlink ref="D3656" r:id="rId180" xr:uid="{3DA01F71-C21A-4986-AC29-D60AA8CE54FF}"/>
    <hyperlink ref="D3661" r:id="rId181" xr:uid="{14F35D1F-E400-4ECA-972B-7E57811C7DA5}"/>
    <hyperlink ref="D3673" r:id="rId182" xr:uid="{421282D6-6B36-4A8E-A2F9-70877DAC339D}"/>
    <hyperlink ref="D3677" r:id="rId183" xr:uid="{523A9AD4-D6C1-4E68-A120-F75677F7428F}"/>
    <hyperlink ref="D3691" r:id="rId184" xr:uid="{D975681E-F8D2-4988-87DF-9E8C5F3C13A9}"/>
    <hyperlink ref="D3693" r:id="rId185" xr:uid="{63F0E692-2E02-4693-BBF5-B17FC098F577}"/>
    <hyperlink ref="D3698" r:id="rId186" xr:uid="{1F48617A-C1A7-4C7F-A7CF-CDBEC37FCACA}"/>
    <hyperlink ref="D3708" r:id="rId187" xr:uid="{C2F2D2C0-1A6F-49CA-BDB6-7A154DFA67FB}"/>
    <hyperlink ref="D3664" r:id="rId188" xr:uid="{15996716-7B43-46BE-A457-0B3529E476B2}"/>
    <hyperlink ref="D3714" r:id="rId189" xr:uid="{107AE62B-160F-4E26-AB28-749BA38B370D}"/>
    <hyperlink ref="D3715" r:id="rId190" xr:uid="{1B23BA0B-8211-471C-96E9-3713AD5FCBF9}"/>
    <hyperlink ref="D3716" r:id="rId191" xr:uid="{D544A73B-71B8-4312-8CC2-FDA2017C8C6C}"/>
    <hyperlink ref="D3720" r:id="rId192" xr:uid="{157D750A-437C-4FB9-8A10-74FBACA77595}"/>
    <hyperlink ref="D3721" r:id="rId193" xr:uid="{7C3070B8-7D87-4018-850A-369EA511EAF9}"/>
    <hyperlink ref="D3724" r:id="rId194" xr:uid="{62919341-0FB8-492D-88B9-7E89012BC9B6}"/>
    <hyperlink ref="D3725" r:id="rId195" xr:uid="{DC2166D4-38C1-4CAA-9E64-0E884B91DBCE}"/>
    <hyperlink ref="D3726" r:id="rId196" xr:uid="{AF89D5DA-593B-487F-A64C-3BE86FD4957E}"/>
    <hyperlink ref="D3729" r:id="rId197" xr:uid="{599412B0-7FC8-4D1A-8686-4BE742F24702}"/>
    <hyperlink ref="D3736" r:id="rId198" xr:uid="{4127F6E8-8A93-40FA-90F9-91C16CD1F790}"/>
    <hyperlink ref="D3741" r:id="rId199" xr:uid="{53ABB01A-4124-4C0D-88C6-2AA828A70DF3}"/>
    <hyperlink ref="D3745" r:id="rId200" xr:uid="{F28C8587-0AB4-4107-BAE4-E293F1888271}"/>
    <hyperlink ref="D3748" r:id="rId201" xr:uid="{A49DA97C-8BDB-47E4-9A48-3DCB8D6CE026}"/>
    <hyperlink ref="D3754" r:id="rId202" xr:uid="{84BA2B62-DD15-4370-986E-5058D0482701}"/>
    <hyperlink ref="D3760" r:id="rId203" xr:uid="{11235317-0FC6-4D3F-8E77-AADE2DC589CA}"/>
    <hyperlink ref="D3774" r:id="rId204" xr:uid="{C52F9750-F7EF-4E09-B2DD-381E194A1503}"/>
    <hyperlink ref="D3775" r:id="rId205" xr:uid="{BF590687-E138-40A4-9BB2-A9789C6F99ED}"/>
    <hyperlink ref="D3788" r:id="rId206" xr:uid="{D3430179-3D50-41D8-A6D3-497AE38F999B}"/>
    <hyperlink ref="D3794" r:id="rId207" xr:uid="{D280CF05-173C-4ABB-9827-F7E61B7C05AB}"/>
    <hyperlink ref="D3795" r:id="rId208" xr:uid="{20E1FBAB-DB74-4A0E-A3B2-294AA12AB746}"/>
    <hyperlink ref="D3796" r:id="rId209" xr:uid="{04FEF7C6-0DD5-477E-9662-FDF126536697}"/>
    <hyperlink ref="D3739" r:id="rId210" xr:uid="{F72EEC9D-00A4-4623-A6B0-6DC9EB0227A8}"/>
    <hyperlink ref="D3762" r:id="rId211" xr:uid="{3213B37B-3CAB-434C-840C-6CF7A9000462}"/>
    <hyperlink ref="D3771" r:id="rId212" xr:uid="{DE632491-EA99-42CC-B6E0-FE73700494A1}"/>
    <hyperlink ref="D3776" r:id="rId213" xr:uid="{8E53CAFD-3AEA-467E-9C72-70B6C5A268CB}"/>
    <hyperlink ref="D3777" r:id="rId214" xr:uid="{9D0ABAE3-2FC5-4433-9AE8-1EE9FA58C52C}"/>
    <hyperlink ref="D3790" r:id="rId215" xr:uid="{2F61BE54-9CAD-44CC-B10C-970B27967415}"/>
    <hyperlink ref="D3799" r:id="rId216" xr:uid="{0C88C67D-965D-4B82-A037-8B08953CC459}"/>
    <hyperlink ref="D3831" r:id="rId217" xr:uid="{59B02274-74E5-4774-958C-7A5AE10E0105}"/>
    <hyperlink ref="D3763" r:id="rId218" xr:uid="{D1E15DD8-FEDC-4540-8004-AED3D596ACE8}"/>
    <hyperlink ref="D3764" r:id="rId219" xr:uid="{710A5311-9E2A-4730-A6F0-D31923CDE28A}"/>
    <hyperlink ref="D3789" r:id="rId220" xr:uid="{F93F1E33-3C07-48D0-A520-B61FF15506FC}"/>
    <hyperlink ref="D3791" r:id="rId221" xr:uid="{65426A0A-C2A6-4958-90FA-E8FCBB8B10F2}"/>
    <hyperlink ref="D3797" r:id="rId222" xr:uid="{EF7D3905-1A79-47BB-9A3C-E9934765D234}"/>
    <hyperlink ref="D3830" r:id="rId223" xr:uid="{02282AF5-3196-45A3-9BC4-A93A57F9A4D0}"/>
    <hyperlink ref="D3727" r:id="rId224" xr:uid="{93BC4F67-B2C9-4F53-879A-86C20C83C481}"/>
    <hyperlink ref="D3761" r:id="rId225" xr:uid="{F6962AEC-5F07-478C-8D68-9A89A83DD08F}"/>
    <hyperlink ref="D3785" r:id="rId226" xr:uid="{04FAD9AB-0D0E-4750-90CD-103B18D306F0}"/>
    <hyperlink ref="D3765" r:id="rId227" xr:uid="{10B68838-BDE2-4A0F-A029-E2F3F02C9FEC}"/>
    <hyperlink ref="D3810" r:id="rId228" xr:uid="{4F2A7693-7684-4FCF-88C1-FF45AB2DDDDD}"/>
    <hyperlink ref="D3850" r:id="rId229" xr:uid="{8F0E4FF4-C25A-4E22-A337-704D585B1A1A}"/>
    <hyperlink ref="D3744" r:id="rId230" xr:uid="{7C3DFAB9-8103-4529-B5BD-8F18BCE2B12A}"/>
    <hyperlink ref="D3768" r:id="rId231" xr:uid="{8610263B-3083-4AE9-A622-007A386BEDC8}"/>
    <hyperlink ref="D3778" r:id="rId232" xr:uid="{8C181FCB-63D0-424F-8C72-B21D833463C2}"/>
    <hyperlink ref="D3737" r:id="rId233" xr:uid="{8BABC1FD-3B06-4EAD-BFDB-9D78D1284530}"/>
    <hyperlink ref="D3821" r:id="rId234" xr:uid="{7865CBED-A149-4F9F-8502-A15E45A59216}"/>
    <hyperlink ref="D3752" r:id="rId235" xr:uid="{11E75D02-DA6D-447F-A5A1-52B9CDD9BF2C}"/>
    <hyperlink ref="D3801" r:id="rId236" xr:uid="{D23161AC-E4BD-4953-841A-D1178B52E67C}"/>
    <hyperlink ref="D3735" r:id="rId237" xr:uid="{3AFA657E-E469-4ABF-9658-73C686A2A830}"/>
    <hyperlink ref="D3753" r:id="rId238" xr:uid="{74092912-F2B0-4D69-A7C8-0ECEC015C877}"/>
    <hyperlink ref="D3782" r:id="rId239" xr:uid="{BE6D330C-5809-46C6-AFB8-7FDA9D83F630}"/>
    <hyperlink ref="D3787" r:id="rId240" xr:uid="{BF21BAE1-78DE-4D36-9954-FE90963E3D61}"/>
    <hyperlink ref="D3825" r:id="rId241" xr:uid="{A93986C6-1D9D-40F8-B0BA-ECBC75E8D936}"/>
    <hyperlink ref="D3829" r:id="rId242" xr:uid="{98C634B2-DF71-4757-8792-0B04C8D5FA82}"/>
    <hyperlink ref="D3792" r:id="rId243" xr:uid="{0CBD98B5-39F4-4A8F-AC98-CE2EA282CDB7}"/>
    <hyperlink ref="D3826" r:id="rId244" xr:uid="{05B73360-9BAB-480B-8D54-3D02DB70F5FA}"/>
    <hyperlink ref="D3807" r:id="rId245" xr:uid="{52668207-6152-4678-BBD2-77B3B8033552}"/>
    <hyperlink ref="D3813" r:id="rId246" xr:uid="{8E09F577-6233-468A-B381-4604D53BF850}"/>
    <hyperlink ref="D3815" r:id="rId247" xr:uid="{333AB1A8-225B-4A32-89BD-1F3050902A41}"/>
    <hyperlink ref="D3809" r:id="rId248" xr:uid="{97CFB407-36A7-4003-A0BD-2D832184E205}"/>
    <hyperlink ref="D3811" r:id="rId249" xr:uid="{033F6BF5-DD34-4FC8-9B58-4D79CDA2334E}"/>
    <hyperlink ref="D3814" r:id="rId250" xr:uid="{1B48E9D9-53E6-4532-B7FA-3F150A791461}"/>
    <hyperlink ref="D3864" r:id="rId251" xr:uid="{788DCDF4-9E96-4C26-894A-F6E84B6544C8}"/>
    <hyperlink ref="D3569" r:id="rId252" xr:uid="{F35B4F86-22DB-4328-A53F-89E74187EE53}"/>
    <hyperlink ref="D3846" r:id="rId253" xr:uid="{15C17B4F-C4F6-4ADB-9D79-B8C384C72FD6}"/>
    <hyperlink ref="D3803" r:id="rId254" xr:uid="{8078EEA6-0CA4-442A-923D-419408FD3744}"/>
    <hyperlink ref="D3833" r:id="rId255" xr:uid="{08783277-1545-4FA4-8144-AA0EC3BD0975}"/>
    <hyperlink ref="D3685" r:id="rId256" xr:uid="{03CBC8D0-ECF9-41C3-8CD5-1AFC551034E5}"/>
    <hyperlink ref="D3747" r:id="rId257" xr:uid="{1A47E6C3-9127-4352-9A4A-46FA9390592C}"/>
    <hyperlink ref="D3841" r:id="rId258" xr:uid="{69386F2C-0DAF-472A-A5A2-9B76771B6C17}"/>
    <hyperlink ref="D3802" r:id="rId259" xr:uid="{47269D23-12D6-4A11-B221-7922A0E55A41}"/>
    <hyperlink ref="D3804" r:id="rId260" xr:uid="{DA7C2871-4FDB-4040-9309-F58BE9E11884}"/>
    <hyperlink ref="D3614" r:id="rId261" xr:uid="{EC0EFDA1-CAE4-4E25-8F1A-4806D57680B8}"/>
    <hyperlink ref="D3692" r:id="rId262" xr:uid="{9406CE24-34F6-416B-B1DF-CEA042329D4B}"/>
    <hyperlink ref="D3731" r:id="rId263" xr:uid="{F82F11FD-FFCE-4049-8DBF-E5AAF619471A}"/>
    <hyperlink ref="D3740" r:id="rId264" xr:uid="{44C8269B-8280-4DDA-8D20-F9A0433E753C}"/>
    <hyperlink ref="D3742" r:id="rId265" xr:uid="{DFB13341-6454-43DA-A954-AF71659C2F4B}"/>
    <hyperlink ref="D3759" r:id="rId266" xr:uid="{CCB6EE97-C858-40DA-8CAD-5780CEA2D7C8}"/>
    <hyperlink ref="D3767" r:id="rId267" xr:uid="{4941E441-B5B2-4C12-8E6E-EFEEF5F164B1}"/>
    <hyperlink ref="D3780" r:id="rId268" xr:uid="{F4CC4AB9-7ACA-4240-8D54-CEC16D47D0B9}"/>
    <hyperlink ref="D3806" r:id="rId269" xr:uid="{BEE1CA08-26CC-4A4E-8099-C98A295D391C}"/>
    <hyperlink ref="D3800" r:id="rId270" xr:uid="{2F795B34-B532-489E-B244-FDE3F53F17B0}"/>
    <hyperlink ref="D3837" r:id="rId271" xr:uid="{89DA8CB7-2759-4D07-805E-4F89AC368394}"/>
    <hyperlink ref="D3858" r:id="rId272" xr:uid="{BA6A5E0F-6FA8-403A-A781-E4E5A4AF80D7}"/>
    <hyperlink ref="D3781" r:id="rId273" xr:uid="{DFE6F940-B151-44CA-BBDB-CFBDA72466FB}"/>
    <hyperlink ref="D3526" r:id="rId274" xr:uid="{F1FA453D-6603-4FE3-9FF0-02828016DD85}"/>
    <hyperlink ref="D3957" r:id="rId275" xr:uid="{90C14AF6-3125-41C7-B468-44F52F4AE6BF}"/>
    <hyperlink ref="D3695" r:id="rId276" xr:uid="{EF218898-8E3C-4E92-B22C-A446BFA95783}"/>
    <hyperlink ref="D3712" r:id="rId277" xr:uid="{CB5E050F-BA40-4275-A209-0A2E89D09134}"/>
    <hyperlink ref="D3637" r:id="rId278" xr:uid="{E0D6BF09-6E4A-44DA-9A37-0A110A46E9A2}"/>
    <hyperlink ref="D3750" r:id="rId279" xr:uid="{7DB52A3F-AE7F-4CCE-99C8-6C58B0240226}"/>
    <hyperlink ref="D3709" r:id="rId280" xr:uid="{78BE75FE-E9BB-4572-9CBC-F23F66F33C71}"/>
    <hyperlink ref="D3818" r:id="rId281" xr:uid="{ADF5F15E-7882-4B74-AE8C-E1E195F5720C}"/>
    <hyperlink ref="D3828" r:id="rId282" xr:uid="{D7E61891-DF36-4E59-94A6-5BCB559BE904}"/>
    <hyperlink ref="D3832" r:id="rId283" xr:uid="{3A651D3B-2DBC-4F19-AECF-8A2AFA0E8BE5}"/>
    <hyperlink ref="D3853" r:id="rId284" xr:uid="{41D84DDE-3CE0-4A28-9695-B2E7AA9973ED}"/>
    <hyperlink ref="D3842" r:id="rId285" xr:uid="{2D07CEF8-986C-4E38-9F9B-2DB84118C102}"/>
    <hyperlink ref="D3793" r:id="rId286" xr:uid="{EB1A2B78-7DF6-4728-838B-16C65D924382}"/>
    <hyperlink ref="D3835" r:id="rId287" xr:uid="{F1DE4FB2-0498-4AD0-8F99-42B2B2DD9123}"/>
    <hyperlink ref="D3694" r:id="rId288" xr:uid="{721A095A-4FB9-4145-856B-A55474DB434A}"/>
    <hyperlink ref="D3570" r:id="rId289" xr:uid="{1D7B1BD7-DBA9-4956-9D12-987FF8A7547A}"/>
    <hyperlink ref="D3541" r:id="rId290" xr:uid="{FF4549A4-0702-4E34-8AB8-AE6DD0F6BBE5}"/>
    <hyperlink ref="D3919" r:id="rId291" xr:uid="{0364FE7C-C57F-4AEE-8FA7-E12B15FD1BC4}"/>
    <hyperlink ref="D3949" r:id="rId292" xr:uid="{563535D6-8DDF-42B4-93C3-BFEDD04B3630}"/>
    <hyperlink ref="D3960" r:id="rId293" xr:uid="{17773378-951F-4407-B03C-0559A72351C2}"/>
    <hyperlink ref="D3817" r:id="rId294" xr:uid="{E9FCDB89-71B9-4F5B-A2E0-78E0ABA30D9F}"/>
    <hyperlink ref="D3713" r:id="rId295" xr:uid="{67146732-04F2-4591-9C79-BBF6BE0F73CB}"/>
    <hyperlink ref="D3851" r:id="rId296" xr:uid="{F0F783C1-8561-408E-AB01-80705F6853A4}"/>
    <hyperlink ref="D3843" r:id="rId297" xr:uid="{DBEBEA04-B3F8-4247-835C-E09ECB70DE75}"/>
    <hyperlink ref="D3870" r:id="rId298" xr:uid="{C9B31D4A-5E02-4D83-96EB-40FAB47652B4}"/>
    <hyperlink ref="D3856" r:id="rId299" xr:uid="{769803DE-F156-4BC1-BF55-6CA3F46DF5F2}"/>
    <hyperlink ref="D3223" r:id="rId300" xr:uid="{7B72254A-1E88-462F-B4A7-3165D6778A8C}"/>
    <hyperlink ref="D3435" r:id="rId301" xr:uid="{13FB189B-81EE-43AF-96F8-85B74750AA0F}"/>
    <hyperlink ref="D3847" r:id="rId302" xr:uid="{FB189BF0-91BD-448A-BE5A-7D82175FACCE}"/>
    <hyperlink ref="D3743" r:id="rId303" xr:uid="{AB419E59-D4D9-4D53-B351-AC84322793B1}"/>
    <hyperlink ref="D3834" r:id="rId304" xr:uid="{55E5FA3F-4615-48BF-BBC7-DD25450AF766}"/>
    <hyperlink ref="D3582" r:id="rId305" xr:uid="{148DF0AA-AAA8-4C3F-A415-66839432C3AB}"/>
    <hyperlink ref="D3704" r:id="rId306" xr:uid="{C8BE72CA-54DA-406B-85F5-28F9512F2923}"/>
    <hyperlink ref="D3871" r:id="rId307" xr:uid="{08BBC4FC-8345-4199-BD88-3233FE7DD1A0}"/>
    <hyperlink ref="D3857" r:id="rId308" xr:uid="{5E706AF8-C4F0-4373-943D-DEE26104F54E}"/>
    <hyperlink ref="D3863" r:id="rId309" xr:uid="{D9659EB6-257B-4324-9149-466D0CD2C118}"/>
    <hyperlink ref="D3751" r:id="rId310" xr:uid="{AC2FB236-823B-4523-A5DC-A067E8126361}"/>
    <hyperlink ref="D3891" r:id="rId311" xr:uid="{FAB8681A-3D7B-4F14-8846-3728EE9393B7}"/>
    <hyperlink ref="D3839" r:id="rId312" xr:uid="{0C7F37FD-26E2-4B2E-B8E9-A5F508785E5C}"/>
    <hyperlink ref="D3844" r:id="rId313" xr:uid="{00160BE8-4039-459B-8C2B-5A66A60172E8}"/>
    <hyperlink ref="D3872" r:id="rId314" xr:uid="{12A77EFE-DABA-450C-8404-8CC27513845A}"/>
    <hyperlink ref="D3865" r:id="rId315" xr:uid="{B5CEBDE6-9562-4B40-B9E0-B4AAF654B899}"/>
    <hyperlink ref="D3798" r:id="rId316" xr:uid="{9AC79890-E82D-4714-AE4B-70DB6F52434F}"/>
    <hyperlink ref="D3866" r:id="rId317" xr:uid="{18A05E72-30F5-4DE5-9DF8-1C227F0F68A9}"/>
    <hyperlink ref="D3827" r:id="rId318" xr:uid="{63ABFF4B-2A42-442D-BE56-DD528F0EE5FD}"/>
    <hyperlink ref="D3862" r:id="rId319" xr:uid="{53C67DD3-7F74-4D39-8A82-33C89165A1ED}"/>
    <hyperlink ref="D3836" r:id="rId320" xr:uid="{268EEA6A-3532-4ECC-B53C-0955C6577565}"/>
    <hyperlink ref="D3738" r:id="rId321" xr:uid="{0104D4B2-1104-464E-A4E2-B0EFAF913E9A}"/>
    <hyperlink ref="D3874" r:id="rId322" xr:uid="{81679FB0-E640-4A1D-8E2C-747786E436A4}"/>
    <hyperlink ref="D3838" r:id="rId323" xr:uid="{B8A3F825-78D8-4656-8F8E-7CA5A97B25EC}"/>
    <hyperlink ref="D3770" r:id="rId324" xr:uid="{F5D95844-5C9B-4134-B37E-17E84C000864}"/>
    <hyperlink ref="D3867" r:id="rId325" xr:uid="{79DFC07C-709B-45B4-9926-318F84132917}"/>
    <hyperlink ref="D3840" r:id="rId326" xr:uid="{BA9A99B6-2B4D-48A0-B4C8-2BB14865C0B8}"/>
    <hyperlink ref="D3749" r:id="rId327" xr:uid="{438C4DF5-BEE0-49B8-8E30-66D34E4F1531}"/>
    <hyperlink ref="D3922" r:id="rId328" xr:uid="{F2257847-EFE7-4A86-85FA-CF239EB62231}"/>
    <hyperlink ref="D3885" r:id="rId329" xr:uid="{7D7C9B0B-FE14-47AD-BFE3-D567C38333BC}"/>
    <hyperlink ref="D3890" r:id="rId330" xr:uid="{820533E0-1E3A-4301-A82F-01E78E1C1585}"/>
    <hyperlink ref="D3878" r:id="rId331" xr:uid="{AA696278-BA14-483A-9F20-DFCF84F598AB}"/>
    <hyperlink ref="D3965" r:id="rId332" xr:uid="{5070FA92-561B-4211-B870-8A47C6C989D5}"/>
    <hyperlink ref="D3979" r:id="rId333" xr:uid="{C9503AF6-AA00-4848-B910-3BF7A8F1DEA2}"/>
    <hyperlink ref="D3982" r:id="rId334" xr:uid="{8B4AAD5A-4CAE-4AD7-94E5-2312B621D656}"/>
    <hyperlink ref="D3732" r:id="rId335" xr:uid="{8552CECC-2517-4095-ABC2-B628536DB16F}"/>
    <hyperlink ref="D3869" r:id="rId336" xr:uid="{1C893642-5D3C-44C4-A038-4C3B01AE424E}"/>
  </hyperlinks>
  <pageMargins left="0.75" right="0.75" top="1" bottom="1" header="0.5" footer="0.5"/>
  <pageSetup paperSize="9" scale="17" orientation="landscape" r:id="rId337"/>
  <ignoredErrors>
    <ignoredError sqref="G3859 G3752" formula="1"/>
  </ignoredErrors>
  <legacyDrawing r:id="rId3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513"/>
  <sheetViews>
    <sheetView zoomScale="52" zoomScaleNormal="52" workbookViewId="0">
      <pane ySplit="1" topLeftCell="A8502" activePane="bottomLeft" state="frozen"/>
      <selection pane="bottomLeft" activeCell="E8510" sqref="E8510"/>
    </sheetView>
  </sheetViews>
  <sheetFormatPr defaultColWidth="8.54296875" defaultRowHeight="14.5"/>
  <cols>
    <col min="1" max="1" width="19.453125" style="25" bestFit="1" customWidth="1"/>
    <col min="2" max="2" width="19.453125" style="25" customWidth="1"/>
    <col min="3" max="3" width="36.54296875" style="25" bestFit="1" customWidth="1"/>
    <col min="4" max="4" width="14.81640625" style="180" bestFit="1" customWidth="1"/>
    <col min="5" max="5" width="81.54296875" style="25" customWidth="1"/>
    <col min="6" max="6" width="11.1796875" style="25" bestFit="1" customWidth="1"/>
    <col min="7" max="7" width="17" style="25" customWidth="1"/>
    <col min="8" max="9" width="36.54296875" style="25" bestFit="1" customWidth="1"/>
    <col min="10" max="16384" width="8.54296875" style="25"/>
  </cols>
  <sheetData>
    <row r="1" spans="1:9" ht="51.75" customHeight="1">
      <c r="A1" s="14" t="s">
        <v>23345</v>
      </c>
      <c r="B1" s="14" t="s">
        <v>23346</v>
      </c>
      <c r="C1" s="14" t="s">
        <v>23347</v>
      </c>
      <c r="D1" s="14" t="s">
        <v>23348</v>
      </c>
      <c r="E1" s="14" t="s">
        <v>23349</v>
      </c>
      <c r="F1" s="15" t="s">
        <v>23350</v>
      </c>
      <c r="G1" s="14" t="s">
        <v>23351</v>
      </c>
      <c r="H1" s="16" t="s">
        <v>4</v>
      </c>
      <c r="I1" s="16" t="s">
        <v>5</v>
      </c>
    </row>
    <row r="2" spans="1:9" ht="51.75" customHeight="1">
      <c r="A2" s="5">
        <v>1</v>
      </c>
      <c r="B2" s="5" t="s">
        <v>23352</v>
      </c>
      <c r="C2" s="5" t="s">
        <v>23353</v>
      </c>
      <c r="D2" s="246">
        <v>40827</v>
      </c>
      <c r="E2" s="5" t="s">
        <v>23354</v>
      </c>
      <c r="F2" s="26"/>
      <c r="G2" s="27" t="s">
        <v>5364</v>
      </c>
      <c r="H2" s="28" t="s">
        <v>5365</v>
      </c>
      <c r="I2" s="5" t="s">
        <v>124</v>
      </c>
    </row>
    <row r="3" spans="1:9" ht="51.75" customHeight="1">
      <c r="A3" s="5">
        <v>2</v>
      </c>
      <c r="B3" s="5" t="s">
        <v>23355</v>
      </c>
      <c r="C3" s="5" t="s">
        <v>23356</v>
      </c>
      <c r="D3" s="246">
        <v>40827</v>
      </c>
      <c r="E3" s="5" t="s">
        <v>23357</v>
      </c>
      <c r="F3" s="26"/>
      <c r="G3" s="27" t="s">
        <v>5364</v>
      </c>
      <c r="H3" s="28" t="s">
        <v>5365</v>
      </c>
      <c r="I3" s="5" t="s">
        <v>124</v>
      </c>
    </row>
    <row r="4" spans="1:9" ht="51.75" customHeight="1">
      <c r="A4" s="5">
        <v>1</v>
      </c>
      <c r="B4" s="5" t="s">
        <v>23358</v>
      </c>
      <c r="C4" s="5" t="s">
        <v>23359</v>
      </c>
      <c r="D4" s="246">
        <v>39038</v>
      </c>
      <c r="E4" s="5" t="s">
        <v>23360</v>
      </c>
      <c r="F4" s="26"/>
      <c r="G4" s="27" t="s">
        <v>1239</v>
      </c>
      <c r="H4" s="28" t="s">
        <v>1240</v>
      </c>
      <c r="I4" s="5" t="s">
        <v>124</v>
      </c>
    </row>
    <row r="5" spans="1:9" ht="51.75" customHeight="1">
      <c r="A5" s="5">
        <v>2</v>
      </c>
      <c r="B5" s="5" t="s">
        <v>23361</v>
      </c>
      <c r="C5" s="5" t="s">
        <v>23362</v>
      </c>
      <c r="D5" s="246">
        <v>39038</v>
      </c>
      <c r="E5" s="5" t="s">
        <v>23363</v>
      </c>
      <c r="F5" s="26"/>
      <c r="G5" s="27" t="s">
        <v>1239</v>
      </c>
      <c r="H5" s="28" t="s">
        <v>1240</v>
      </c>
      <c r="I5" s="5" t="s">
        <v>124</v>
      </c>
    </row>
    <row r="6" spans="1:9" ht="51.75" customHeight="1">
      <c r="A6" s="5">
        <v>1</v>
      </c>
      <c r="B6" s="5" t="s">
        <v>23364</v>
      </c>
      <c r="C6" s="5" t="s">
        <v>23365</v>
      </c>
      <c r="D6" s="246">
        <v>40728</v>
      </c>
      <c r="E6" s="5" t="s">
        <v>23366</v>
      </c>
      <c r="F6" s="26"/>
      <c r="G6" s="27" t="s">
        <v>4844</v>
      </c>
      <c r="H6" s="28" t="s">
        <v>4845</v>
      </c>
      <c r="I6" s="5" t="s">
        <v>124</v>
      </c>
    </row>
    <row r="7" spans="1:9" ht="51.75" customHeight="1">
      <c r="A7" s="5">
        <v>1</v>
      </c>
      <c r="B7" s="5" t="s">
        <v>23367</v>
      </c>
      <c r="C7" s="5" t="s">
        <v>23368</v>
      </c>
      <c r="D7" s="246">
        <v>40326</v>
      </c>
      <c r="E7" s="5" t="s">
        <v>23369</v>
      </c>
      <c r="F7" s="26"/>
      <c r="G7" s="27" t="s">
        <v>3971</v>
      </c>
      <c r="H7" s="28" t="s">
        <v>3972</v>
      </c>
      <c r="I7" s="5" t="s">
        <v>124</v>
      </c>
    </row>
    <row r="8" spans="1:9" ht="51.75" customHeight="1">
      <c r="A8" s="5">
        <v>1</v>
      </c>
      <c r="B8" s="5" t="s">
        <v>23370</v>
      </c>
      <c r="C8" s="5" t="s">
        <v>23371</v>
      </c>
      <c r="D8" s="246">
        <v>40662</v>
      </c>
      <c r="E8" s="5" t="s">
        <v>23371</v>
      </c>
      <c r="F8" s="26"/>
      <c r="G8" s="27" t="s">
        <v>4753</v>
      </c>
      <c r="H8" s="28" t="s">
        <v>4754</v>
      </c>
      <c r="I8" s="5" t="s">
        <v>124</v>
      </c>
    </row>
    <row r="9" spans="1:9" ht="51.75" customHeight="1">
      <c r="A9" s="5">
        <v>1</v>
      </c>
      <c r="B9" s="5" t="s">
        <v>23372</v>
      </c>
      <c r="C9" s="5" t="s">
        <v>23373</v>
      </c>
      <c r="D9" s="246">
        <v>40325</v>
      </c>
      <c r="E9" s="5" t="s">
        <v>23374</v>
      </c>
      <c r="F9" s="26"/>
      <c r="G9" s="27" t="s">
        <v>4731</v>
      </c>
      <c r="H9" s="28" t="s">
        <v>4732</v>
      </c>
      <c r="I9" s="5" t="s">
        <v>124</v>
      </c>
    </row>
    <row r="10" spans="1:9" ht="51.75" customHeight="1">
      <c r="A10" s="5">
        <v>2</v>
      </c>
      <c r="B10" s="5" t="s">
        <v>23375</v>
      </c>
      <c r="C10" s="5" t="s">
        <v>23376</v>
      </c>
      <c r="D10" s="246">
        <v>40325</v>
      </c>
      <c r="E10" s="5" t="s">
        <v>23377</v>
      </c>
      <c r="F10" s="26"/>
      <c r="G10" s="27" t="s">
        <v>4731</v>
      </c>
      <c r="H10" s="28" t="s">
        <v>4732</v>
      </c>
      <c r="I10" s="5" t="s">
        <v>124</v>
      </c>
    </row>
    <row r="11" spans="1:9" ht="51.75" customHeight="1">
      <c r="A11" s="5">
        <v>3</v>
      </c>
      <c r="B11" s="5" t="s">
        <v>23378</v>
      </c>
      <c r="C11" s="5" t="s">
        <v>23379</v>
      </c>
      <c r="D11" s="246">
        <v>40325</v>
      </c>
      <c r="E11" s="5" t="s">
        <v>23380</v>
      </c>
      <c r="F11" s="26"/>
      <c r="G11" s="27" t="s">
        <v>4731</v>
      </c>
      <c r="H11" s="28" t="s">
        <v>4732</v>
      </c>
      <c r="I11" s="5" t="s">
        <v>124</v>
      </c>
    </row>
    <row r="12" spans="1:9" ht="51.75" customHeight="1">
      <c r="A12" s="5">
        <v>4</v>
      </c>
      <c r="B12" s="5" t="s">
        <v>23381</v>
      </c>
      <c r="C12" s="5" t="s">
        <v>23382</v>
      </c>
      <c r="D12" s="246">
        <v>40325</v>
      </c>
      <c r="E12" s="5" t="s">
        <v>23383</v>
      </c>
      <c r="F12" s="26"/>
      <c r="G12" s="27" t="s">
        <v>4731</v>
      </c>
      <c r="H12" s="28" t="s">
        <v>4732</v>
      </c>
      <c r="I12" s="5" t="s">
        <v>124</v>
      </c>
    </row>
    <row r="13" spans="1:9" ht="51.75" customHeight="1">
      <c r="A13" s="5">
        <v>5</v>
      </c>
      <c r="B13" s="5" t="s">
        <v>23384</v>
      </c>
      <c r="C13" s="5" t="s">
        <v>23385</v>
      </c>
      <c r="D13" s="246">
        <v>40325</v>
      </c>
      <c r="E13" s="5" t="s">
        <v>23386</v>
      </c>
      <c r="F13" s="26"/>
      <c r="G13" s="27" t="s">
        <v>4731</v>
      </c>
      <c r="H13" s="28" t="s">
        <v>4732</v>
      </c>
      <c r="I13" s="5" t="s">
        <v>124</v>
      </c>
    </row>
    <row r="14" spans="1:9" ht="51.75" customHeight="1">
      <c r="A14" s="5">
        <v>6</v>
      </c>
      <c r="B14" s="5" t="s">
        <v>23387</v>
      </c>
      <c r="C14" s="5" t="s">
        <v>23388</v>
      </c>
      <c r="D14" s="246">
        <v>40325</v>
      </c>
      <c r="E14" s="5" t="s">
        <v>23389</v>
      </c>
      <c r="F14" s="26"/>
      <c r="G14" s="27" t="s">
        <v>4731</v>
      </c>
      <c r="H14" s="28" t="s">
        <v>4732</v>
      </c>
      <c r="I14" s="5" t="s">
        <v>124</v>
      </c>
    </row>
    <row r="15" spans="1:9" ht="51.75" customHeight="1">
      <c r="A15" s="5">
        <v>7</v>
      </c>
      <c r="B15" s="5" t="s">
        <v>23390</v>
      </c>
      <c r="C15" s="5" t="s">
        <v>23391</v>
      </c>
      <c r="D15" s="246">
        <v>40325</v>
      </c>
      <c r="E15" s="5" t="s">
        <v>23392</v>
      </c>
      <c r="F15" s="26"/>
      <c r="G15" s="27" t="s">
        <v>4731</v>
      </c>
      <c r="H15" s="28" t="s">
        <v>4732</v>
      </c>
      <c r="I15" s="5" t="s">
        <v>124</v>
      </c>
    </row>
    <row r="16" spans="1:9" ht="51.75" customHeight="1">
      <c r="A16" s="5">
        <v>1</v>
      </c>
      <c r="B16" s="5" t="s">
        <v>23393</v>
      </c>
      <c r="C16" s="5" t="s">
        <v>23394</v>
      </c>
      <c r="D16" s="246">
        <v>40694</v>
      </c>
      <c r="E16" s="5" t="s">
        <v>23394</v>
      </c>
      <c r="F16" s="26"/>
      <c r="G16" s="27" t="s">
        <v>4511</v>
      </c>
      <c r="H16" s="28" t="s">
        <v>4512</v>
      </c>
      <c r="I16" s="5" t="s">
        <v>124</v>
      </c>
    </row>
    <row r="17" spans="1:9" ht="51.75" customHeight="1">
      <c r="A17" s="5">
        <v>1</v>
      </c>
      <c r="B17" s="5" t="s">
        <v>23395</v>
      </c>
      <c r="C17" s="5" t="s">
        <v>23396</v>
      </c>
      <c r="D17" s="246">
        <v>40547</v>
      </c>
      <c r="E17" s="5" t="s">
        <v>23397</v>
      </c>
      <c r="F17" s="26"/>
      <c r="G17" s="27" t="s">
        <v>4416</v>
      </c>
      <c r="H17" s="28" t="s">
        <v>4417</v>
      </c>
      <c r="I17" s="5" t="s">
        <v>124</v>
      </c>
    </row>
    <row r="18" spans="1:9" ht="51.75" customHeight="1">
      <c r="A18" s="5">
        <v>2</v>
      </c>
      <c r="B18" s="5" t="s">
        <v>23398</v>
      </c>
      <c r="C18" s="5" t="s">
        <v>23399</v>
      </c>
      <c r="D18" s="246">
        <v>40547</v>
      </c>
      <c r="E18" s="5" t="s">
        <v>23400</v>
      </c>
      <c r="F18" s="26"/>
      <c r="G18" s="27" t="s">
        <v>4416</v>
      </c>
      <c r="H18" s="28" t="s">
        <v>4417</v>
      </c>
      <c r="I18" s="5" t="s">
        <v>124</v>
      </c>
    </row>
    <row r="19" spans="1:9" ht="51.75" customHeight="1">
      <c r="A19" s="5">
        <v>1</v>
      </c>
      <c r="B19" s="5" t="s">
        <v>23401</v>
      </c>
      <c r="C19" s="5" t="s">
        <v>23402</v>
      </c>
      <c r="D19" s="246">
        <v>40662</v>
      </c>
      <c r="E19" s="5" t="s">
        <v>23403</v>
      </c>
      <c r="F19" s="26"/>
      <c r="G19" s="27" t="s">
        <v>4394</v>
      </c>
      <c r="H19" s="28" t="s">
        <v>4395</v>
      </c>
      <c r="I19" s="5" t="s">
        <v>124</v>
      </c>
    </row>
    <row r="20" spans="1:9" ht="51.75" customHeight="1">
      <c r="A20" s="5">
        <v>2</v>
      </c>
      <c r="B20" s="5" t="s">
        <v>23404</v>
      </c>
      <c r="C20" s="5" t="s">
        <v>23405</v>
      </c>
      <c r="D20" s="246">
        <v>40662</v>
      </c>
      <c r="E20" s="5" t="s">
        <v>23406</v>
      </c>
      <c r="F20" s="26"/>
      <c r="G20" s="27" t="s">
        <v>4394</v>
      </c>
      <c r="H20" s="28" t="s">
        <v>4395</v>
      </c>
      <c r="I20" s="5" t="s">
        <v>124</v>
      </c>
    </row>
    <row r="21" spans="1:9" ht="51.75" customHeight="1">
      <c r="A21" s="5">
        <v>1</v>
      </c>
      <c r="B21" s="5" t="s">
        <v>23407</v>
      </c>
      <c r="C21" s="5" t="s">
        <v>23408</v>
      </c>
      <c r="D21" s="246">
        <v>40469</v>
      </c>
      <c r="E21" s="5" t="s">
        <v>23408</v>
      </c>
      <c r="F21" s="26"/>
      <c r="G21" s="27" t="s">
        <v>4112</v>
      </c>
      <c r="H21" s="28" t="s">
        <v>4113</v>
      </c>
      <c r="I21" s="5" t="s">
        <v>124</v>
      </c>
    </row>
    <row r="22" spans="1:9" ht="51.75" customHeight="1">
      <c r="A22" s="5">
        <v>2</v>
      </c>
      <c r="B22" s="5" t="s">
        <v>23409</v>
      </c>
      <c r="C22" s="5" t="s">
        <v>23410</v>
      </c>
      <c r="D22" s="246">
        <v>40469</v>
      </c>
      <c r="E22" s="5" t="s">
        <v>23411</v>
      </c>
      <c r="F22" s="26"/>
      <c r="G22" s="27" t="s">
        <v>4112</v>
      </c>
      <c r="H22" s="28" t="s">
        <v>4113</v>
      </c>
      <c r="I22" s="5" t="s">
        <v>124</v>
      </c>
    </row>
    <row r="23" spans="1:9" ht="51.75" customHeight="1">
      <c r="A23" s="5">
        <v>1</v>
      </c>
      <c r="B23" s="5" t="s">
        <v>23412</v>
      </c>
      <c r="C23" s="5" t="s">
        <v>23413</v>
      </c>
      <c r="D23" s="246">
        <v>40205</v>
      </c>
      <c r="E23" s="5" t="s">
        <v>23414</v>
      </c>
      <c r="F23" s="26"/>
      <c r="G23" s="27" t="s">
        <v>3833</v>
      </c>
      <c r="H23" s="28" t="s">
        <v>3834</v>
      </c>
      <c r="I23" s="5" t="s">
        <v>124</v>
      </c>
    </row>
    <row r="24" spans="1:9" ht="51.75" customHeight="1">
      <c r="A24" s="5">
        <v>1</v>
      </c>
      <c r="B24" s="5" t="s">
        <v>23415</v>
      </c>
      <c r="C24" s="5" t="s">
        <v>23416</v>
      </c>
      <c r="D24" s="246">
        <v>40662</v>
      </c>
      <c r="E24" s="5" t="s">
        <v>23416</v>
      </c>
      <c r="F24" s="26"/>
      <c r="G24" s="27" t="s">
        <v>4107</v>
      </c>
      <c r="H24" s="28" t="s">
        <v>4108</v>
      </c>
      <c r="I24" s="5" t="s">
        <v>124</v>
      </c>
    </row>
    <row r="25" spans="1:9" ht="51.75" customHeight="1">
      <c r="A25" s="5">
        <v>2</v>
      </c>
      <c r="B25" s="5" t="s">
        <v>23417</v>
      </c>
      <c r="C25" s="5" t="s">
        <v>23418</v>
      </c>
      <c r="D25" s="246">
        <v>40662</v>
      </c>
      <c r="E25" s="5" t="s">
        <v>23418</v>
      </c>
      <c r="F25" s="26"/>
      <c r="G25" s="27" t="s">
        <v>4107</v>
      </c>
      <c r="H25" s="28" t="s">
        <v>4108</v>
      </c>
      <c r="I25" s="5" t="s">
        <v>124</v>
      </c>
    </row>
    <row r="26" spans="1:9" ht="51.75" customHeight="1">
      <c r="A26" s="5">
        <v>3</v>
      </c>
      <c r="B26" s="5" t="s">
        <v>23419</v>
      </c>
      <c r="C26" s="5" t="s">
        <v>23420</v>
      </c>
      <c r="D26" s="246">
        <v>40662</v>
      </c>
      <c r="E26" s="5" t="s">
        <v>23420</v>
      </c>
      <c r="F26" s="26"/>
      <c r="G26" s="27" t="s">
        <v>4107</v>
      </c>
      <c r="H26" s="28" t="s">
        <v>4108</v>
      </c>
      <c r="I26" s="5" t="s">
        <v>124</v>
      </c>
    </row>
    <row r="27" spans="1:9" ht="51.75" customHeight="1">
      <c r="A27" s="5">
        <v>4</v>
      </c>
      <c r="B27" s="5" t="s">
        <v>23421</v>
      </c>
      <c r="C27" s="5" t="s">
        <v>23422</v>
      </c>
      <c r="D27" s="246">
        <v>40662</v>
      </c>
      <c r="E27" s="5" t="s">
        <v>23422</v>
      </c>
      <c r="F27" s="26"/>
      <c r="G27" s="27" t="s">
        <v>4107</v>
      </c>
      <c r="H27" s="28" t="s">
        <v>4108</v>
      </c>
      <c r="I27" s="5" t="s">
        <v>124</v>
      </c>
    </row>
    <row r="28" spans="1:9" ht="51.75" customHeight="1">
      <c r="A28" s="5">
        <v>1</v>
      </c>
      <c r="B28" s="5" t="s">
        <v>23423</v>
      </c>
      <c r="C28" s="5" t="s">
        <v>23424</v>
      </c>
      <c r="D28" s="246">
        <v>40252</v>
      </c>
      <c r="E28" s="5" t="s">
        <v>23425</v>
      </c>
      <c r="F28" s="26"/>
      <c r="G28" s="27" t="s">
        <v>3849</v>
      </c>
      <c r="H28" s="28" t="s">
        <v>3850</v>
      </c>
      <c r="I28" s="5" t="s">
        <v>124</v>
      </c>
    </row>
    <row r="29" spans="1:9" ht="51.75" customHeight="1">
      <c r="A29" s="5">
        <v>2</v>
      </c>
      <c r="B29" s="5" t="s">
        <v>23426</v>
      </c>
      <c r="C29" s="5" t="s">
        <v>23427</v>
      </c>
      <c r="D29" s="246">
        <v>40252</v>
      </c>
      <c r="E29" s="5" t="s">
        <v>23428</v>
      </c>
      <c r="F29" s="26"/>
      <c r="G29" s="27" t="s">
        <v>3849</v>
      </c>
      <c r="H29" s="28" t="s">
        <v>3850</v>
      </c>
      <c r="I29" s="5" t="s">
        <v>124</v>
      </c>
    </row>
    <row r="30" spans="1:9" ht="51.75" customHeight="1">
      <c r="A30" s="5">
        <v>3</v>
      </c>
      <c r="B30" s="5" t="s">
        <v>23429</v>
      </c>
      <c r="C30" s="5" t="s">
        <v>23430</v>
      </c>
      <c r="D30" s="246">
        <v>40252</v>
      </c>
      <c r="E30" s="5" t="s">
        <v>23431</v>
      </c>
      <c r="F30" s="26"/>
      <c r="G30" s="27" t="s">
        <v>3849</v>
      </c>
      <c r="H30" s="28" t="s">
        <v>3850</v>
      </c>
      <c r="I30" s="5" t="s">
        <v>124</v>
      </c>
    </row>
    <row r="31" spans="1:9" ht="51.75" customHeight="1">
      <c r="A31" s="5">
        <v>4</v>
      </c>
      <c r="B31" s="5" t="s">
        <v>23432</v>
      </c>
      <c r="C31" s="5" t="s">
        <v>23433</v>
      </c>
      <c r="D31" s="246">
        <v>40252</v>
      </c>
      <c r="E31" s="5" t="s">
        <v>23434</v>
      </c>
      <c r="F31" s="26"/>
      <c r="G31" s="27" t="s">
        <v>3849</v>
      </c>
      <c r="H31" s="28" t="s">
        <v>3850</v>
      </c>
      <c r="I31" s="5" t="s">
        <v>124</v>
      </c>
    </row>
    <row r="32" spans="1:9" ht="51.75" customHeight="1">
      <c r="A32" s="5">
        <v>1</v>
      </c>
      <c r="B32" s="5" t="s">
        <v>23435</v>
      </c>
      <c r="C32" s="5" t="s">
        <v>23436</v>
      </c>
      <c r="D32" s="246">
        <v>40662</v>
      </c>
      <c r="E32" s="5" t="s">
        <v>23437</v>
      </c>
      <c r="F32" s="26"/>
      <c r="G32" s="27" t="s">
        <v>3594</v>
      </c>
      <c r="H32" s="28" t="s">
        <v>3595</v>
      </c>
      <c r="I32" s="5" t="s">
        <v>124</v>
      </c>
    </row>
    <row r="33" spans="1:9" ht="51.75" customHeight="1">
      <c r="A33" s="5">
        <v>1</v>
      </c>
      <c r="B33" s="5" t="s">
        <v>23438</v>
      </c>
      <c r="C33" s="5" t="s">
        <v>23439</v>
      </c>
      <c r="D33" s="246">
        <v>39890</v>
      </c>
      <c r="E33" s="5" t="s">
        <v>23440</v>
      </c>
      <c r="F33" s="26"/>
      <c r="G33" s="27" t="s">
        <v>3629</v>
      </c>
      <c r="H33" s="28" t="s">
        <v>3630</v>
      </c>
      <c r="I33" s="5" t="s">
        <v>124</v>
      </c>
    </row>
    <row r="34" spans="1:9" ht="51.75" customHeight="1">
      <c r="A34" s="5">
        <v>2</v>
      </c>
      <c r="B34" s="5" t="s">
        <v>23441</v>
      </c>
      <c r="C34" s="5" t="s">
        <v>23442</v>
      </c>
      <c r="D34" s="246">
        <v>39890</v>
      </c>
      <c r="E34" s="5" t="s">
        <v>23443</v>
      </c>
      <c r="F34" s="26"/>
      <c r="G34" s="27" t="s">
        <v>3629</v>
      </c>
      <c r="H34" s="28" t="s">
        <v>3630</v>
      </c>
      <c r="I34" s="5" t="s">
        <v>124</v>
      </c>
    </row>
    <row r="35" spans="1:9" ht="51.75" customHeight="1">
      <c r="A35" s="5">
        <v>3</v>
      </c>
      <c r="B35" s="5" t="s">
        <v>23444</v>
      </c>
      <c r="C35" s="5" t="s">
        <v>23445</v>
      </c>
      <c r="D35" s="246">
        <v>39890</v>
      </c>
      <c r="E35" s="5" t="s">
        <v>23446</v>
      </c>
      <c r="F35" s="26"/>
      <c r="G35" s="27" t="s">
        <v>3629</v>
      </c>
      <c r="H35" s="28" t="s">
        <v>3630</v>
      </c>
      <c r="I35" s="5" t="s">
        <v>124</v>
      </c>
    </row>
    <row r="36" spans="1:9" ht="51.75" customHeight="1">
      <c r="A36" s="5">
        <v>1</v>
      </c>
      <c r="B36" s="5" t="s">
        <v>23447</v>
      </c>
      <c r="C36" s="5" t="s">
        <v>23448</v>
      </c>
      <c r="D36" s="246">
        <v>39996</v>
      </c>
      <c r="E36" s="5" t="s">
        <v>23449</v>
      </c>
      <c r="F36" s="26"/>
      <c r="G36" s="27" t="s">
        <v>3076</v>
      </c>
      <c r="H36" s="28" t="s">
        <v>3077</v>
      </c>
      <c r="I36" s="5" t="s">
        <v>124</v>
      </c>
    </row>
    <row r="37" spans="1:9" ht="51.75" customHeight="1">
      <c r="A37" s="5">
        <v>1</v>
      </c>
      <c r="B37" s="5" t="s">
        <v>23450</v>
      </c>
      <c r="C37" s="5" t="s">
        <v>23451</v>
      </c>
      <c r="D37" s="246">
        <v>39828</v>
      </c>
      <c r="E37" s="5" t="s">
        <v>23451</v>
      </c>
      <c r="F37" s="26"/>
      <c r="G37" s="27" t="s">
        <v>122</v>
      </c>
      <c r="H37" s="28" t="s">
        <v>123</v>
      </c>
      <c r="I37" s="5" t="s">
        <v>124</v>
      </c>
    </row>
    <row r="38" spans="1:9" ht="51.75" customHeight="1">
      <c r="A38" s="5">
        <v>2</v>
      </c>
      <c r="B38" s="5" t="s">
        <v>23452</v>
      </c>
      <c r="C38" s="5" t="s">
        <v>23453</v>
      </c>
      <c r="D38" s="246">
        <v>39828</v>
      </c>
      <c r="E38" s="5" t="s">
        <v>23454</v>
      </c>
      <c r="F38" s="26"/>
      <c r="G38" s="27" t="s">
        <v>122</v>
      </c>
      <c r="H38" s="28" t="s">
        <v>123</v>
      </c>
      <c r="I38" s="5" t="s">
        <v>124</v>
      </c>
    </row>
    <row r="39" spans="1:9" ht="51.75" customHeight="1">
      <c r="A39" s="5">
        <v>3</v>
      </c>
      <c r="B39" s="5" t="s">
        <v>23455</v>
      </c>
      <c r="C39" s="5" t="s">
        <v>23456</v>
      </c>
      <c r="D39" s="246">
        <v>39828</v>
      </c>
      <c r="E39" s="5" t="s">
        <v>23457</v>
      </c>
      <c r="F39" s="26"/>
      <c r="G39" s="27" t="s">
        <v>122</v>
      </c>
      <c r="H39" s="28" t="s">
        <v>123</v>
      </c>
      <c r="I39" s="5" t="s">
        <v>124</v>
      </c>
    </row>
    <row r="40" spans="1:9" ht="51.75" customHeight="1">
      <c r="A40" s="5">
        <v>4</v>
      </c>
      <c r="B40" s="5" t="s">
        <v>23458</v>
      </c>
      <c r="C40" s="5" t="s">
        <v>23459</v>
      </c>
      <c r="D40" s="246">
        <v>39828</v>
      </c>
      <c r="E40" s="5" t="s">
        <v>23460</v>
      </c>
      <c r="F40" s="26"/>
      <c r="G40" s="27" t="s">
        <v>122</v>
      </c>
      <c r="H40" s="28" t="s">
        <v>123</v>
      </c>
      <c r="I40" s="5" t="s">
        <v>124</v>
      </c>
    </row>
    <row r="41" spans="1:9" ht="51.75" customHeight="1">
      <c r="A41" s="5">
        <v>5</v>
      </c>
      <c r="B41" s="5" t="s">
        <v>23461</v>
      </c>
      <c r="C41" s="5" t="s">
        <v>23462</v>
      </c>
      <c r="D41" s="246">
        <v>39828</v>
      </c>
      <c r="E41" s="5" t="s">
        <v>23463</v>
      </c>
      <c r="F41" s="26"/>
      <c r="G41" s="27" t="s">
        <v>122</v>
      </c>
      <c r="H41" s="28" t="s">
        <v>123</v>
      </c>
      <c r="I41" s="5" t="s">
        <v>124</v>
      </c>
    </row>
    <row r="42" spans="1:9" ht="51.75" customHeight="1">
      <c r="A42" s="5">
        <v>6</v>
      </c>
      <c r="B42" s="5" t="s">
        <v>23464</v>
      </c>
      <c r="C42" s="5" t="s">
        <v>23465</v>
      </c>
      <c r="D42" s="246">
        <v>39828</v>
      </c>
      <c r="E42" s="5" t="s">
        <v>23466</v>
      </c>
      <c r="F42" s="26"/>
      <c r="G42" s="27" t="s">
        <v>122</v>
      </c>
      <c r="H42" s="28" t="s">
        <v>123</v>
      </c>
      <c r="I42" s="5" t="s">
        <v>124</v>
      </c>
    </row>
    <row r="43" spans="1:9" ht="51.75" customHeight="1">
      <c r="A43" s="5">
        <v>7</v>
      </c>
      <c r="B43" s="5" t="s">
        <v>23467</v>
      </c>
      <c r="C43" s="5" t="s">
        <v>23468</v>
      </c>
      <c r="D43" s="246">
        <v>39828</v>
      </c>
      <c r="E43" s="5" t="s">
        <v>23469</v>
      </c>
      <c r="F43" s="26"/>
      <c r="G43" s="27" t="s">
        <v>122</v>
      </c>
      <c r="H43" s="28" t="s">
        <v>123</v>
      </c>
      <c r="I43" s="5" t="s">
        <v>124</v>
      </c>
    </row>
    <row r="44" spans="1:9" ht="51.75" customHeight="1">
      <c r="A44" s="5">
        <v>8</v>
      </c>
      <c r="B44" s="5" t="s">
        <v>23470</v>
      </c>
      <c r="C44" s="5" t="s">
        <v>23471</v>
      </c>
      <c r="D44" s="246">
        <v>39828</v>
      </c>
      <c r="E44" s="5" t="s">
        <v>23472</v>
      </c>
      <c r="F44" s="26"/>
      <c r="G44" s="27" t="s">
        <v>122</v>
      </c>
      <c r="H44" s="28" t="s">
        <v>123</v>
      </c>
      <c r="I44" s="5" t="s">
        <v>124</v>
      </c>
    </row>
    <row r="45" spans="1:9" ht="51.75" customHeight="1">
      <c r="A45" s="5">
        <v>9</v>
      </c>
      <c r="B45" s="5" t="s">
        <v>23473</v>
      </c>
      <c r="C45" s="5" t="s">
        <v>23474</v>
      </c>
      <c r="D45" s="246">
        <v>39828</v>
      </c>
      <c r="E45" s="5" t="s">
        <v>23475</v>
      </c>
      <c r="F45" s="26"/>
      <c r="G45" s="27" t="s">
        <v>122</v>
      </c>
      <c r="H45" s="28" t="s">
        <v>123</v>
      </c>
      <c r="I45" s="5" t="s">
        <v>124</v>
      </c>
    </row>
    <row r="46" spans="1:9" ht="51.75" customHeight="1">
      <c r="A46" s="5">
        <v>1</v>
      </c>
      <c r="B46" s="5" t="s">
        <v>23476</v>
      </c>
      <c r="C46" s="5" t="s">
        <v>23477</v>
      </c>
      <c r="D46" s="246">
        <v>40123</v>
      </c>
      <c r="E46" s="5" t="s">
        <v>23477</v>
      </c>
      <c r="F46" s="26"/>
      <c r="G46" s="27" t="s">
        <v>3171</v>
      </c>
      <c r="H46" s="28" t="s">
        <v>3172</v>
      </c>
      <c r="I46" s="5" t="s">
        <v>124</v>
      </c>
    </row>
    <row r="47" spans="1:9" ht="51.75" customHeight="1">
      <c r="A47" s="5">
        <v>2</v>
      </c>
      <c r="B47" s="5" t="s">
        <v>23478</v>
      </c>
      <c r="C47" s="5" t="s">
        <v>23479</v>
      </c>
      <c r="D47" s="246">
        <v>40123</v>
      </c>
      <c r="E47" s="5" t="s">
        <v>23479</v>
      </c>
      <c r="F47" s="26"/>
      <c r="G47" s="27" t="s">
        <v>3171</v>
      </c>
      <c r="H47" s="28" t="s">
        <v>3172</v>
      </c>
      <c r="I47" s="5" t="s">
        <v>124</v>
      </c>
    </row>
    <row r="48" spans="1:9" ht="51.75" customHeight="1">
      <c r="A48" s="5">
        <v>3</v>
      </c>
      <c r="B48" s="5" t="s">
        <v>23480</v>
      </c>
      <c r="C48" s="5" t="s">
        <v>23481</v>
      </c>
      <c r="D48" s="246">
        <v>40123</v>
      </c>
      <c r="E48" s="5" t="s">
        <v>23481</v>
      </c>
      <c r="F48" s="26"/>
      <c r="G48" s="27" t="s">
        <v>3171</v>
      </c>
      <c r="H48" s="28" t="s">
        <v>3172</v>
      </c>
      <c r="I48" s="5" t="s">
        <v>124</v>
      </c>
    </row>
    <row r="49" spans="1:9" ht="51.75" customHeight="1">
      <c r="A49" s="5">
        <v>4</v>
      </c>
      <c r="B49" s="5" t="s">
        <v>23482</v>
      </c>
      <c r="C49" s="5" t="s">
        <v>23483</v>
      </c>
      <c r="D49" s="246">
        <v>40123</v>
      </c>
      <c r="E49" s="5" t="s">
        <v>23483</v>
      </c>
      <c r="F49" s="26"/>
      <c r="G49" s="27" t="s">
        <v>3171</v>
      </c>
      <c r="H49" s="28" t="s">
        <v>3172</v>
      </c>
      <c r="I49" s="5" t="s">
        <v>124</v>
      </c>
    </row>
    <row r="50" spans="1:9" ht="51.75" customHeight="1">
      <c r="A50" s="5">
        <v>5</v>
      </c>
      <c r="B50" s="5" t="s">
        <v>23484</v>
      </c>
      <c r="C50" s="5" t="s">
        <v>23485</v>
      </c>
      <c r="D50" s="246">
        <v>40123</v>
      </c>
      <c r="E50" s="5" t="s">
        <v>23485</v>
      </c>
      <c r="F50" s="26"/>
      <c r="G50" s="27" t="s">
        <v>3171</v>
      </c>
      <c r="H50" s="28" t="s">
        <v>3172</v>
      </c>
      <c r="I50" s="5" t="s">
        <v>124</v>
      </c>
    </row>
    <row r="51" spans="1:9" ht="51.75" customHeight="1">
      <c r="A51" s="5">
        <v>1</v>
      </c>
      <c r="B51" s="5" t="s">
        <v>23486</v>
      </c>
      <c r="C51" s="5" t="s">
        <v>23487</v>
      </c>
      <c r="D51" s="246">
        <v>40030</v>
      </c>
      <c r="E51" s="5" t="s">
        <v>23488</v>
      </c>
      <c r="F51" s="26"/>
      <c r="G51" s="27" t="s">
        <v>3070</v>
      </c>
      <c r="H51" s="28" t="s">
        <v>3071</v>
      </c>
      <c r="I51" s="5" t="s">
        <v>124</v>
      </c>
    </row>
    <row r="52" spans="1:9" ht="51.75" customHeight="1">
      <c r="A52" s="5">
        <v>2</v>
      </c>
      <c r="B52" s="5" t="s">
        <v>23489</v>
      </c>
      <c r="C52" s="5" t="s">
        <v>23490</v>
      </c>
      <c r="D52" s="246">
        <v>40030</v>
      </c>
      <c r="E52" s="5" t="s">
        <v>23491</v>
      </c>
      <c r="F52" s="26"/>
      <c r="G52" s="27" t="s">
        <v>3070</v>
      </c>
      <c r="H52" s="28" t="s">
        <v>3071</v>
      </c>
      <c r="I52" s="5" t="s">
        <v>124</v>
      </c>
    </row>
    <row r="53" spans="1:9" ht="51.75" customHeight="1">
      <c r="A53" s="5">
        <v>1</v>
      </c>
      <c r="B53" s="5" t="s">
        <v>23492</v>
      </c>
      <c r="C53" s="5" t="s">
        <v>23493</v>
      </c>
      <c r="D53" s="246">
        <v>40101</v>
      </c>
      <c r="E53" s="5" t="s">
        <v>23493</v>
      </c>
      <c r="F53" s="26"/>
      <c r="G53" s="27" t="s">
        <v>2765</v>
      </c>
      <c r="H53" s="28" t="s">
        <v>2766</v>
      </c>
      <c r="I53" s="5" t="s">
        <v>124</v>
      </c>
    </row>
    <row r="54" spans="1:9" ht="51.75" customHeight="1">
      <c r="A54" s="5">
        <v>2</v>
      </c>
      <c r="B54" s="5" t="s">
        <v>23494</v>
      </c>
      <c r="C54" s="5" t="s">
        <v>23495</v>
      </c>
      <c r="D54" s="246">
        <v>40101</v>
      </c>
      <c r="E54" s="5" t="s">
        <v>23495</v>
      </c>
      <c r="F54" s="26"/>
      <c r="G54" s="27" t="s">
        <v>2765</v>
      </c>
      <c r="H54" s="28" t="s">
        <v>2766</v>
      </c>
      <c r="I54" s="5" t="s">
        <v>124</v>
      </c>
    </row>
    <row r="55" spans="1:9" ht="51.75" customHeight="1">
      <c r="A55" s="5">
        <v>3</v>
      </c>
      <c r="B55" s="5" t="s">
        <v>23496</v>
      </c>
      <c r="C55" s="5" t="s">
        <v>23497</v>
      </c>
      <c r="D55" s="246">
        <v>40101</v>
      </c>
      <c r="E55" s="5" t="s">
        <v>23497</v>
      </c>
      <c r="F55" s="26"/>
      <c r="G55" s="27" t="s">
        <v>2765</v>
      </c>
      <c r="H55" s="28" t="s">
        <v>2766</v>
      </c>
      <c r="I55" s="5" t="s">
        <v>124</v>
      </c>
    </row>
    <row r="56" spans="1:9" ht="51.75" customHeight="1">
      <c r="A56" s="5">
        <v>4</v>
      </c>
      <c r="B56" s="5" t="s">
        <v>23498</v>
      </c>
      <c r="C56" s="5" t="s">
        <v>23499</v>
      </c>
      <c r="D56" s="246">
        <v>40101</v>
      </c>
      <c r="E56" s="5" t="s">
        <v>23499</v>
      </c>
      <c r="F56" s="26"/>
      <c r="G56" s="27" t="s">
        <v>2765</v>
      </c>
      <c r="H56" s="28" t="s">
        <v>2766</v>
      </c>
      <c r="I56" s="5" t="s">
        <v>124</v>
      </c>
    </row>
    <row r="57" spans="1:9" ht="51.75" customHeight="1">
      <c r="A57" s="5">
        <v>1</v>
      </c>
      <c r="B57" s="5" t="s">
        <v>23500</v>
      </c>
      <c r="C57" s="5" t="s">
        <v>23501</v>
      </c>
      <c r="D57" s="246">
        <v>39794</v>
      </c>
      <c r="E57" s="5" t="s">
        <v>23502</v>
      </c>
      <c r="F57" s="26"/>
      <c r="G57" s="27" t="s">
        <v>2636</v>
      </c>
      <c r="H57" s="28" t="s">
        <v>2637</v>
      </c>
      <c r="I57" s="5" t="s">
        <v>124</v>
      </c>
    </row>
    <row r="58" spans="1:9" ht="51.75" customHeight="1">
      <c r="A58" s="5">
        <v>2</v>
      </c>
      <c r="B58" s="5" t="s">
        <v>23503</v>
      </c>
      <c r="C58" s="5" t="s">
        <v>23504</v>
      </c>
      <c r="D58" s="246">
        <v>39794</v>
      </c>
      <c r="E58" s="5" t="s">
        <v>23505</v>
      </c>
      <c r="F58" s="26"/>
      <c r="G58" s="27" t="s">
        <v>2636</v>
      </c>
      <c r="H58" s="28" t="s">
        <v>2637</v>
      </c>
      <c r="I58" s="5" t="s">
        <v>124</v>
      </c>
    </row>
    <row r="59" spans="1:9" ht="51.75" customHeight="1">
      <c r="A59" s="5">
        <v>1</v>
      </c>
      <c r="B59" s="5" t="s">
        <v>23506</v>
      </c>
      <c r="C59" s="5" t="s">
        <v>23507</v>
      </c>
      <c r="D59" s="246">
        <v>39588</v>
      </c>
      <c r="E59" s="5" t="s">
        <v>23508</v>
      </c>
      <c r="F59" s="26"/>
      <c r="G59" s="27" t="s">
        <v>1115</v>
      </c>
      <c r="H59" s="28" t="s">
        <v>1116</v>
      </c>
      <c r="I59" s="5" t="s">
        <v>124</v>
      </c>
    </row>
    <row r="60" spans="1:9" ht="51.75" customHeight="1">
      <c r="A60" s="5">
        <v>2</v>
      </c>
      <c r="B60" s="5" t="s">
        <v>23509</v>
      </c>
      <c r="C60" s="5" t="s">
        <v>23510</v>
      </c>
      <c r="D60" s="246">
        <v>39588</v>
      </c>
      <c r="E60" s="5" t="s">
        <v>23511</v>
      </c>
      <c r="F60" s="26"/>
      <c r="G60" s="27" t="s">
        <v>1115</v>
      </c>
      <c r="H60" s="28" t="s">
        <v>1116</v>
      </c>
      <c r="I60" s="5" t="s">
        <v>124</v>
      </c>
    </row>
    <row r="61" spans="1:9" ht="51.75" customHeight="1">
      <c r="A61" s="5">
        <v>1</v>
      </c>
      <c r="B61" s="5" t="s">
        <v>23512</v>
      </c>
      <c r="C61" s="5" t="s">
        <v>23513</v>
      </c>
      <c r="D61" s="246">
        <v>39428</v>
      </c>
      <c r="E61" s="5" t="s">
        <v>23513</v>
      </c>
      <c r="F61" s="26"/>
      <c r="G61" s="27" t="s">
        <v>941</v>
      </c>
      <c r="H61" s="28" t="s">
        <v>942</v>
      </c>
      <c r="I61" s="5" t="s">
        <v>124</v>
      </c>
    </row>
    <row r="62" spans="1:9" ht="51.75" customHeight="1">
      <c r="A62" s="5">
        <v>2</v>
      </c>
      <c r="B62" s="5" t="s">
        <v>23514</v>
      </c>
      <c r="C62" s="5" t="s">
        <v>23515</v>
      </c>
      <c r="D62" s="246">
        <v>39428</v>
      </c>
      <c r="E62" s="5" t="s">
        <v>23515</v>
      </c>
      <c r="F62" s="26"/>
      <c r="G62" s="27" t="s">
        <v>941</v>
      </c>
      <c r="H62" s="28" t="s">
        <v>942</v>
      </c>
      <c r="I62" s="5" t="s">
        <v>124</v>
      </c>
    </row>
    <row r="63" spans="1:9" ht="51.75" customHeight="1">
      <c r="A63" s="5">
        <v>1</v>
      </c>
      <c r="B63" s="5" t="s">
        <v>23516</v>
      </c>
      <c r="C63" s="5" t="s">
        <v>23517</v>
      </c>
      <c r="D63" s="246">
        <v>39414</v>
      </c>
      <c r="E63" s="5" t="s">
        <v>23517</v>
      </c>
      <c r="F63" s="26"/>
      <c r="G63" s="27" t="s">
        <v>2360</v>
      </c>
      <c r="H63" s="28" t="s">
        <v>2361</v>
      </c>
      <c r="I63" s="5" t="s">
        <v>124</v>
      </c>
    </row>
    <row r="64" spans="1:9" ht="51.75" customHeight="1">
      <c r="A64" s="5">
        <v>2</v>
      </c>
      <c r="B64" s="5" t="s">
        <v>23518</v>
      </c>
      <c r="C64" s="5" t="s">
        <v>23519</v>
      </c>
      <c r="D64" s="246">
        <v>39414</v>
      </c>
      <c r="E64" s="5" t="s">
        <v>23519</v>
      </c>
      <c r="F64" s="26"/>
      <c r="G64" s="27" t="s">
        <v>2360</v>
      </c>
      <c r="H64" s="28" t="s">
        <v>2361</v>
      </c>
      <c r="I64" s="5" t="s">
        <v>124</v>
      </c>
    </row>
    <row r="65" spans="1:9" ht="51.75" customHeight="1">
      <c r="A65" s="5">
        <v>3</v>
      </c>
      <c r="B65" s="5" t="s">
        <v>23520</v>
      </c>
      <c r="C65" s="5" t="s">
        <v>23521</v>
      </c>
      <c r="D65" s="246">
        <v>39414</v>
      </c>
      <c r="E65" s="5" t="s">
        <v>23522</v>
      </c>
      <c r="F65" s="26"/>
      <c r="G65" s="27" t="s">
        <v>2360</v>
      </c>
      <c r="H65" s="28" t="s">
        <v>2361</v>
      </c>
      <c r="I65" s="5" t="s">
        <v>124</v>
      </c>
    </row>
    <row r="66" spans="1:9" ht="51.75" customHeight="1">
      <c r="A66" s="5">
        <v>1</v>
      </c>
      <c r="B66" s="5" t="s">
        <v>23523</v>
      </c>
      <c r="C66" s="5" t="s">
        <v>23524</v>
      </c>
      <c r="D66" s="246">
        <v>39695</v>
      </c>
      <c r="E66" s="5" t="s">
        <v>23525</v>
      </c>
      <c r="F66" s="26"/>
      <c r="G66" s="27" t="s">
        <v>2208</v>
      </c>
      <c r="H66" s="28" t="s">
        <v>2209</v>
      </c>
      <c r="I66" s="5" t="s">
        <v>124</v>
      </c>
    </row>
    <row r="67" spans="1:9" ht="51.75" customHeight="1">
      <c r="A67" s="5">
        <v>1</v>
      </c>
      <c r="B67" s="5" t="s">
        <v>23526</v>
      </c>
      <c r="C67" s="5" t="s">
        <v>23527</v>
      </c>
      <c r="D67" s="246">
        <v>39295</v>
      </c>
      <c r="E67" s="5" t="s">
        <v>23528</v>
      </c>
      <c r="F67" s="26"/>
      <c r="G67" s="27" t="s">
        <v>225</v>
      </c>
      <c r="H67" s="28" t="s">
        <v>226</v>
      </c>
      <c r="I67" s="5" t="s">
        <v>124</v>
      </c>
    </row>
    <row r="68" spans="1:9" ht="51.75" customHeight="1">
      <c r="A68" s="5">
        <v>2</v>
      </c>
      <c r="B68" s="5" t="s">
        <v>23529</v>
      </c>
      <c r="C68" s="5" t="s">
        <v>23530</v>
      </c>
      <c r="D68" s="246">
        <v>39295</v>
      </c>
      <c r="E68" s="5" t="s">
        <v>23531</v>
      </c>
      <c r="F68" s="26"/>
      <c r="G68" s="27" t="s">
        <v>225</v>
      </c>
      <c r="H68" s="28" t="s">
        <v>226</v>
      </c>
      <c r="I68" s="5" t="s">
        <v>124</v>
      </c>
    </row>
    <row r="69" spans="1:9" ht="51.75" customHeight="1">
      <c r="A69" s="5">
        <v>3</v>
      </c>
      <c r="B69" s="5" t="s">
        <v>23532</v>
      </c>
      <c r="C69" s="5" t="s">
        <v>23533</v>
      </c>
      <c r="D69" s="246">
        <v>39295</v>
      </c>
      <c r="E69" s="5" t="s">
        <v>23534</v>
      </c>
      <c r="F69" s="26"/>
      <c r="G69" s="27" t="s">
        <v>225</v>
      </c>
      <c r="H69" s="28" t="s">
        <v>226</v>
      </c>
      <c r="I69" s="5" t="s">
        <v>124</v>
      </c>
    </row>
    <row r="70" spans="1:9" ht="51.75" customHeight="1">
      <c r="A70" s="5">
        <v>4</v>
      </c>
      <c r="B70" s="5" t="s">
        <v>23535</v>
      </c>
      <c r="C70" s="5" t="s">
        <v>23536</v>
      </c>
      <c r="D70" s="246">
        <v>39295</v>
      </c>
      <c r="E70" s="5" t="s">
        <v>23537</v>
      </c>
      <c r="F70" s="26"/>
      <c r="G70" s="27" t="s">
        <v>225</v>
      </c>
      <c r="H70" s="28" t="s">
        <v>226</v>
      </c>
      <c r="I70" s="5" t="s">
        <v>124</v>
      </c>
    </row>
    <row r="71" spans="1:9" ht="51.75" customHeight="1">
      <c r="A71" s="5">
        <v>5</v>
      </c>
      <c r="B71" s="5" t="s">
        <v>23538</v>
      </c>
      <c r="C71" s="5" t="s">
        <v>23539</v>
      </c>
      <c r="D71" s="246">
        <v>39295</v>
      </c>
      <c r="E71" s="5" t="s">
        <v>23540</v>
      </c>
      <c r="F71" s="26"/>
      <c r="G71" s="27" t="s">
        <v>225</v>
      </c>
      <c r="H71" s="28" t="s">
        <v>226</v>
      </c>
      <c r="I71" s="5" t="s">
        <v>124</v>
      </c>
    </row>
    <row r="72" spans="1:9" ht="51.75" customHeight="1">
      <c r="A72" s="5">
        <v>1</v>
      </c>
      <c r="B72" s="5" t="s">
        <v>23541</v>
      </c>
      <c r="C72" s="5" t="s">
        <v>23542</v>
      </c>
      <c r="D72" s="246">
        <v>39295</v>
      </c>
      <c r="E72" s="5" t="s">
        <v>23543</v>
      </c>
      <c r="F72" s="26"/>
      <c r="G72" s="27" t="s">
        <v>161</v>
      </c>
      <c r="H72" s="28" t="s">
        <v>162</v>
      </c>
      <c r="I72" s="5" t="s">
        <v>124</v>
      </c>
    </row>
    <row r="73" spans="1:9" ht="51.75" customHeight="1">
      <c r="A73" s="5">
        <v>2</v>
      </c>
      <c r="B73" s="5" t="s">
        <v>23544</v>
      </c>
      <c r="C73" s="5" t="s">
        <v>23545</v>
      </c>
      <c r="D73" s="246">
        <v>39295</v>
      </c>
      <c r="E73" s="5" t="s">
        <v>23546</v>
      </c>
      <c r="F73" s="26"/>
      <c r="G73" s="27" t="s">
        <v>161</v>
      </c>
      <c r="H73" s="28" t="s">
        <v>162</v>
      </c>
      <c r="I73" s="5" t="s">
        <v>124</v>
      </c>
    </row>
    <row r="74" spans="1:9" ht="51.75" customHeight="1">
      <c r="A74" s="5">
        <v>3</v>
      </c>
      <c r="B74" s="5" t="s">
        <v>23547</v>
      </c>
      <c r="C74" s="5" t="s">
        <v>23548</v>
      </c>
      <c r="D74" s="246">
        <v>39295</v>
      </c>
      <c r="E74" s="5" t="s">
        <v>23549</v>
      </c>
      <c r="F74" s="26"/>
      <c r="G74" s="27" t="s">
        <v>161</v>
      </c>
      <c r="H74" s="28" t="s">
        <v>162</v>
      </c>
      <c r="I74" s="5" t="s">
        <v>124</v>
      </c>
    </row>
    <row r="75" spans="1:9" ht="51.75" customHeight="1">
      <c r="A75" s="5">
        <v>4</v>
      </c>
      <c r="B75" s="5" t="s">
        <v>23550</v>
      </c>
      <c r="C75" s="5" t="s">
        <v>23551</v>
      </c>
      <c r="D75" s="246">
        <v>39295</v>
      </c>
      <c r="E75" s="5" t="s">
        <v>23552</v>
      </c>
      <c r="F75" s="26"/>
      <c r="G75" s="27" t="s">
        <v>161</v>
      </c>
      <c r="H75" s="28" t="s">
        <v>162</v>
      </c>
      <c r="I75" s="5" t="s">
        <v>124</v>
      </c>
    </row>
    <row r="76" spans="1:9" ht="51.75" customHeight="1">
      <c r="A76" s="5">
        <v>5</v>
      </c>
      <c r="B76" s="5" t="s">
        <v>23553</v>
      </c>
      <c r="C76" s="5" t="s">
        <v>23554</v>
      </c>
      <c r="D76" s="246">
        <v>39295</v>
      </c>
      <c r="E76" s="5" t="s">
        <v>23555</v>
      </c>
      <c r="F76" s="26"/>
      <c r="G76" s="27" t="s">
        <v>161</v>
      </c>
      <c r="H76" s="28" t="s">
        <v>162</v>
      </c>
      <c r="I76" s="5" t="s">
        <v>124</v>
      </c>
    </row>
    <row r="77" spans="1:9" ht="51.75" customHeight="1">
      <c r="A77" s="5">
        <v>1</v>
      </c>
      <c r="B77" s="5" t="s">
        <v>23556</v>
      </c>
      <c r="C77" s="5" t="s">
        <v>23557</v>
      </c>
      <c r="D77" s="246">
        <v>39294</v>
      </c>
      <c r="E77" s="5" t="s">
        <v>23558</v>
      </c>
      <c r="F77" s="26"/>
      <c r="G77" s="27" t="s">
        <v>963</v>
      </c>
      <c r="H77" s="28" t="s">
        <v>964</v>
      </c>
      <c r="I77" s="5" t="s">
        <v>124</v>
      </c>
    </row>
    <row r="78" spans="1:9" ht="51.75" customHeight="1">
      <c r="A78" s="5">
        <v>2</v>
      </c>
      <c r="B78" s="5" t="s">
        <v>23559</v>
      </c>
      <c r="C78" s="5" t="s">
        <v>23560</v>
      </c>
      <c r="D78" s="246">
        <v>39294</v>
      </c>
      <c r="E78" s="5" t="s">
        <v>23561</v>
      </c>
      <c r="F78" s="26"/>
      <c r="G78" s="27" t="s">
        <v>963</v>
      </c>
      <c r="H78" s="28" t="s">
        <v>964</v>
      </c>
      <c r="I78" s="5" t="s">
        <v>124</v>
      </c>
    </row>
    <row r="79" spans="1:9" ht="51.75" customHeight="1">
      <c r="A79" s="5">
        <v>1</v>
      </c>
      <c r="B79" s="5" t="s">
        <v>23562</v>
      </c>
      <c r="C79" s="5" t="s">
        <v>23563</v>
      </c>
      <c r="D79" s="246">
        <v>39294</v>
      </c>
      <c r="E79" s="5" t="s">
        <v>23564</v>
      </c>
      <c r="F79" s="26"/>
      <c r="G79" s="27" t="s">
        <v>397</v>
      </c>
      <c r="H79" s="28" t="s">
        <v>398</v>
      </c>
      <c r="I79" s="5" t="s">
        <v>124</v>
      </c>
    </row>
    <row r="80" spans="1:9" ht="51.75" customHeight="1">
      <c r="A80" s="5">
        <v>1</v>
      </c>
      <c r="B80" s="5" t="s">
        <v>23565</v>
      </c>
      <c r="C80" s="5" t="s">
        <v>23566</v>
      </c>
      <c r="D80" s="246">
        <v>39294</v>
      </c>
      <c r="E80" s="5" t="s">
        <v>23567</v>
      </c>
      <c r="F80" s="26"/>
      <c r="G80" s="27" t="s">
        <v>699</v>
      </c>
      <c r="H80" s="28" t="s">
        <v>700</v>
      </c>
      <c r="I80" s="5" t="s">
        <v>124</v>
      </c>
    </row>
    <row r="81" spans="1:9" ht="51.75" customHeight="1">
      <c r="A81" s="5">
        <v>2</v>
      </c>
      <c r="B81" s="5" t="s">
        <v>23568</v>
      </c>
      <c r="C81" s="5" t="s">
        <v>23569</v>
      </c>
      <c r="D81" s="246">
        <v>39294</v>
      </c>
      <c r="E81" s="5" t="s">
        <v>23570</v>
      </c>
      <c r="F81" s="26"/>
      <c r="G81" s="27" t="s">
        <v>699</v>
      </c>
      <c r="H81" s="28" t="s">
        <v>700</v>
      </c>
      <c r="I81" s="5" t="s">
        <v>124</v>
      </c>
    </row>
    <row r="82" spans="1:9" ht="51.75" customHeight="1">
      <c r="A82" s="5">
        <v>1</v>
      </c>
      <c r="B82" s="5" t="s">
        <v>23571</v>
      </c>
      <c r="C82" s="5" t="s">
        <v>23572</v>
      </c>
      <c r="D82" s="246">
        <v>39294</v>
      </c>
      <c r="E82" s="5" t="s">
        <v>23573</v>
      </c>
      <c r="F82" s="26"/>
      <c r="G82" s="27" t="s">
        <v>974</v>
      </c>
      <c r="H82" s="28" t="s">
        <v>975</v>
      </c>
      <c r="I82" s="5" t="s">
        <v>124</v>
      </c>
    </row>
    <row r="83" spans="1:9" ht="51.75" customHeight="1">
      <c r="A83" s="5">
        <v>2</v>
      </c>
      <c r="B83" s="5" t="s">
        <v>23574</v>
      </c>
      <c r="C83" s="5" t="s">
        <v>23575</v>
      </c>
      <c r="D83" s="246">
        <v>39294</v>
      </c>
      <c r="E83" s="5" t="s">
        <v>23576</v>
      </c>
      <c r="F83" s="26"/>
      <c r="G83" s="27" t="s">
        <v>974</v>
      </c>
      <c r="H83" s="28" t="s">
        <v>975</v>
      </c>
      <c r="I83" s="5" t="s">
        <v>124</v>
      </c>
    </row>
    <row r="84" spans="1:9" ht="51.75" customHeight="1">
      <c r="A84" s="5">
        <v>1</v>
      </c>
      <c r="B84" s="5" t="s">
        <v>23577</v>
      </c>
      <c r="C84" s="5" t="s">
        <v>23578</v>
      </c>
      <c r="D84" s="246">
        <v>39294</v>
      </c>
      <c r="E84" s="5" t="s">
        <v>23579</v>
      </c>
      <c r="F84" s="26"/>
      <c r="G84" s="27" t="s">
        <v>819</v>
      </c>
      <c r="H84" s="28" t="s">
        <v>820</v>
      </c>
      <c r="I84" s="5" t="s">
        <v>124</v>
      </c>
    </row>
    <row r="85" spans="1:9" ht="51.75" customHeight="1">
      <c r="A85" s="5">
        <v>2</v>
      </c>
      <c r="B85" s="5" t="s">
        <v>23580</v>
      </c>
      <c r="C85" s="5" t="s">
        <v>23581</v>
      </c>
      <c r="D85" s="246">
        <v>39294</v>
      </c>
      <c r="E85" s="5" t="s">
        <v>23582</v>
      </c>
      <c r="F85" s="26"/>
      <c r="G85" s="27" t="s">
        <v>819</v>
      </c>
      <c r="H85" s="28" t="s">
        <v>820</v>
      </c>
      <c r="I85" s="5" t="s">
        <v>124</v>
      </c>
    </row>
    <row r="86" spans="1:9" ht="51.75" customHeight="1">
      <c r="A86" s="5">
        <v>1</v>
      </c>
      <c r="B86" s="5" t="s">
        <v>23583</v>
      </c>
      <c r="C86" s="5" t="s">
        <v>23584</v>
      </c>
      <c r="D86" s="246">
        <v>39294</v>
      </c>
      <c r="E86" s="5" t="s">
        <v>23585</v>
      </c>
      <c r="F86" s="26"/>
      <c r="G86" s="27" t="s">
        <v>362</v>
      </c>
      <c r="H86" s="28" t="s">
        <v>363</v>
      </c>
      <c r="I86" s="5" t="s">
        <v>124</v>
      </c>
    </row>
    <row r="87" spans="1:9" ht="51.75" customHeight="1">
      <c r="A87" s="5">
        <v>2</v>
      </c>
      <c r="B87" s="5" t="s">
        <v>23586</v>
      </c>
      <c r="C87" s="5" t="s">
        <v>23587</v>
      </c>
      <c r="D87" s="246">
        <v>39294</v>
      </c>
      <c r="E87" s="5" t="s">
        <v>23588</v>
      </c>
      <c r="F87" s="26"/>
      <c r="G87" s="27" t="s">
        <v>362</v>
      </c>
      <c r="H87" s="28" t="s">
        <v>363</v>
      </c>
      <c r="I87" s="5" t="s">
        <v>124</v>
      </c>
    </row>
    <row r="88" spans="1:9" ht="51.75" customHeight="1">
      <c r="A88" s="5">
        <v>1</v>
      </c>
      <c r="B88" s="5" t="s">
        <v>23589</v>
      </c>
      <c r="C88" s="5" t="s">
        <v>23590</v>
      </c>
      <c r="D88" s="246">
        <v>39240</v>
      </c>
      <c r="E88" s="5" t="s">
        <v>23590</v>
      </c>
      <c r="F88" s="26"/>
      <c r="G88" s="27" t="s">
        <v>1564</v>
      </c>
      <c r="H88" s="28" t="s">
        <v>1565</v>
      </c>
      <c r="I88" s="5" t="s">
        <v>124</v>
      </c>
    </row>
    <row r="89" spans="1:9" ht="51.75" customHeight="1">
      <c r="A89" s="5">
        <v>2</v>
      </c>
      <c r="B89" s="5" t="s">
        <v>23591</v>
      </c>
      <c r="C89" s="5" t="s">
        <v>23592</v>
      </c>
      <c r="D89" s="246">
        <v>39240</v>
      </c>
      <c r="E89" s="5" t="s">
        <v>23592</v>
      </c>
      <c r="F89" s="26"/>
      <c r="G89" s="27" t="s">
        <v>1564</v>
      </c>
      <c r="H89" s="28" t="s">
        <v>1565</v>
      </c>
      <c r="I89" s="5" t="s">
        <v>124</v>
      </c>
    </row>
    <row r="90" spans="1:9" ht="51.75" customHeight="1">
      <c r="A90" s="5">
        <v>3</v>
      </c>
      <c r="B90" s="5" t="s">
        <v>23593</v>
      </c>
      <c r="C90" s="5" t="s">
        <v>23594</v>
      </c>
      <c r="D90" s="246">
        <v>39240</v>
      </c>
      <c r="E90" s="5" t="s">
        <v>23595</v>
      </c>
      <c r="F90" s="26"/>
      <c r="G90" s="27" t="s">
        <v>1564</v>
      </c>
      <c r="H90" s="28" t="s">
        <v>1565</v>
      </c>
      <c r="I90" s="5" t="s">
        <v>124</v>
      </c>
    </row>
    <row r="91" spans="1:9" ht="51.75" customHeight="1">
      <c r="A91" s="5" t="s">
        <v>23596</v>
      </c>
      <c r="B91" s="5" t="s">
        <v>23597</v>
      </c>
      <c r="C91" s="5" t="s">
        <v>23598</v>
      </c>
      <c r="D91" s="246">
        <v>41416</v>
      </c>
      <c r="E91" s="5" t="s">
        <v>23599</v>
      </c>
      <c r="F91" s="26" t="s">
        <v>23600</v>
      </c>
      <c r="G91" s="27" t="s">
        <v>7607</v>
      </c>
      <c r="H91" s="28" t="s">
        <v>7608</v>
      </c>
      <c r="I91" s="5" t="s">
        <v>124</v>
      </c>
    </row>
    <row r="92" spans="1:9" ht="51.75" customHeight="1">
      <c r="A92" s="5" t="s">
        <v>23601</v>
      </c>
      <c r="B92" s="5" t="s">
        <v>23602</v>
      </c>
      <c r="C92" s="5" t="s">
        <v>23603</v>
      </c>
      <c r="D92" s="246">
        <v>41220</v>
      </c>
      <c r="E92" s="5" t="s">
        <v>23604</v>
      </c>
      <c r="F92" s="26" t="s">
        <v>23605</v>
      </c>
      <c r="G92" s="27" t="s">
        <v>7144</v>
      </c>
      <c r="H92" s="28" t="s">
        <v>7145</v>
      </c>
      <c r="I92" s="5" t="s">
        <v>124</v>
      </c>
    </row>
    <row r="93" spans="1:9" ht="51.75" customHeight="1">
      <c r="A93" s="5" t="s">
        <v>23601</v>
      </c>
      <c r="B93" s="5" t="s">
        <v>23606</v>
      </c>
      <c r="C93" s="5" t="s">
        <v>23603</v>
      </c>
      <c r="D93" s="246">
        <v>41220</v>
      </c>
      <c r="E93" s="5" t="s">
        <v>23607</v>
      </c>
      <c r="F93" s="26" t="s">
        <v>23600</v>
      </c>
      <c r="G93" s="27" t="s">
        <v>7144</v>
      </c>
      <c r="H93" s="28" t="s">
        <v>7145</v>
      </c>
      <c r="I93" s="5" t="s">
        <v>124</v>
      </c>
    </row>
    <row r="94" spans="1:9" ht="51.75" customHeight="1">
      <c r="A94" s="5" t="s">
        <v>23608</v>
      </c>
      <c r="B94" s="5" t="s">
        <v>23609</v>
      </c>
      <c r="C94" s="5" t="s">
        <v>23610</v>
      </c>
      <c r="D94" s="246">
        <v>41318</v>
      </c>
      <c r="E94" s="5" t="s">
        <v>23611</v>
      </c>
      <c r="F94" s="26" t="s">
        <v>23600</v>
      </c>
      <c r="G94" s="27" t="s">
        <v>7150</v>
      </c>
      <c r="H94" s="28" t="s">
        <v>7151</v>
      </c>
      <c r="I94" s="5" t="s">
        <v>124</v>
      </c>
    </row>
    <row r="95" spans="1:9" ht="51.75" customHeight="1">
      <c r="A95" s="5" t="s">
        <v>23612</v>
      </c>
      <c r="B95" s="5" t="s">
        <v>23613</v>
      </c>
      <c r="C95" s="5" t="s">
        <v>23614</v>
      </c>
      <c r="D95" s="246">
        <v>41285</v>
      </c>
      <c r="E95" s="5" t="s">
        <v>23615</v>
      </c>
      <c r="F95" s="26" t="s">
        <v>23600</v>
      </c>
      <c r="G95" s="27" t="s">
        <v>6981</v>
      </c>
      <c r="H95" s="28" t="s">
        <v>6982</v>
      </c>
      <c r="I95" s="5" t="s">
        <v>124</v>
      </c>
    </row>
    <row r="96" spans="1:9" ht="51.75" customHeight="1">
      <c r="A96" s="5">
        <v>1</v>
      </c>
      <c r="B96" s="5" t="s">
        <v>23616</v>
      </c>
      <c r="C96" s="5" t="s">
        <v>23617</v>
      </c>
      <c r="D96" s="246">
        <v>40931</v>
      </c>
      <c r="E96" s="5" t="s">
        <v>23618</v>
      </c>
      <c r="F96" s="26"/>
      <c r="G96" s="27" t="s">
        <v>6467</v>
      </c>
      <c r="H96" s="28" t="s">
        <v>6468</v>
      </c>
      <c r="I96" s="5" t="s">
        <v>124</v>
      </c>
    </row>
    <row r="97" spans="1:9" ht="51.75" customHeight="1">
      <c r="A97" s="5" t="s">
        <v>23619</v>
      </c>
      <c r="B97" s="5" t="s">
        <v>23620</v>
      </c>
      <c r="C97" s="5" t="s">
        <v>23621</v>
      </c>
      <c r="D97" s="246">
        <v>41116</v>
      </c>
      <c r="E97" s="5" t="s">
        <v>23622</v>
      </c>
      <c r="F97" s="26" t="s">
        <v>23600</v>
      </c>
      <c r="G97" s="27" t="s">
        <v>6510</v>
      </c>
      <c r="H97" s="28" t="s">
        <v>6511</v>
      </c>
      <c r="I97" s="5" t="s">
        <v>124</v>
      </c>
    </row>
    <row r="98" spans="1:9" ht="51.75" customHeight="1">
      <c r="A98" s="5" t="s">
        <v>23623</v>
      </c>
      <c r="B98" s="5" t="s">
        <v>23624</v>
      </c>
      <c r="C98" s="5" t="s">
        <v>23625</v>
      </c>
      <c r="D98" s="246">
        <v>41116</v>
      </c>
      <c r="E98" s="5" t="s">
        <v>23626</v>
      </c>
      <c r="F98" s="26" t="s">
        <v>23600</v>
      </c>
      <c r="G98" s="27" t="s">
        <v>6510</v>
      </c>
      <c r="H98" s="28" t="s">
        <v>6511</v>
      </c>
      <c r="I98" s="5" t="s">
        <v>124</v>
      </c>
    </row>
    <row r="99" spans="1:9" ht="51.75" customHeight="1">
      <c r="A99" s="5">
        <v>1</v>
      </c>
      <c r="B99" s="5" t="s">
        <v>23627</v>
      </c>
      <c r="C99" s="5" t="s">
        <v>23617</v>
      </c>
      <c r="D99" s="246">
        <v>40931</v>
      </c>
      <c r="E99" s="5" t="s">
        <v>23628</v>
      </c>
      <c r="F99" s="26"/>
      <c r="G99" s="27" t="s">
        <v>6238</v>
      </c>
      <c r="H99" s="28" t="s">
        <v>6239</v>
      </c>
      <c r="I99" s="5" t="s">
        <v>124</v>
      </c>
    </row>
    <row r="100" spans="1:9" ht="51.75" customHeight="1">
      <c r="A100" s="5">
        <v>1</v>
      </c>
      <c r="B100" s="5" t="s">
        <v>23629</v>
      </c>
      <c r="C100" s="5" t="s">
        <v>23630</v>
      </c>
      <c r="D100" s="246">
        <v>41081</v>
      </c>
      <c r="E100" s="5" t="s">
        <v>23631</v>
      </c>
      <c r="F100" s="26"/>
      <c r="G100" s="27" t="s">
        <v>6203</v>
      </c>
      <c r="H100" s="28" t="s">
        <v>6204</v>
      </c>
      <c r="I100" s="5" t="s">
        <v>124</v>
      </c>
    </row>
    <row r="101" spans="1:9" ht="51.75" customHeight="1">
      <c r="A101" s="5">
        <v>2</v>
      </c>
      <c r="B101" s="5" t="s">
        <v>23632</v>
      </c>
      <c r="C101" s="5" t="s">
        <v>23633</v>
      </c>
      <c r="D101" s="246">
        <v>41081</v>
      </c>
      <c r="E101" s="5" t="s">
        <v>23634</v>
      </c>
      <c r="F101" s="26"/>
      <c r="G101" s="27" t="s">
        <v>6203</v>
      </c>
      <c r="H101" s="28" t="s">
        <v>6204</v>
      </c>
      <c r="I101" s="5" t="s">
        <v>124</v>
      </c>
    </row>
    <row r="102" spans="1:9" ht="51.75" customHeight="1">
      <c r="A102" s="5">
        <v>1</v>
      </c>
      <c r="B102" s="5" t="s">
        <v>23635</v>
      </c>
      <c r="C102" s="5" t="s">
        <v>23636</v>
      </c>
      <c r="D102" s="246">
        <v>41075</v>
      </c>
      <c r="E102" s="5" t="s">
        <v>23637</v>
      </c>
      <c r="F102" s="26"/>
      <c r="G102" s="27" t="s">
        <v>6127</v>
      </c>
      <c r="H102" s="28" t="s">
        <v>6128</v>
      </c>
      <c r="I102" s="5" t="s">
        <v>124</v>
      </c>
    </row>
    <row r="103" spans="1:9" ht="51.75" customHeight="1">
      <c r="A103" s="5">
        <v>1</v>
      </c>
      <c r="B103" s="5" t="s">
        <v>23638</v>
      </c>
      <c r="C103" s="5" t="s">
        <v>23639</v>
      </c>
      <c r="D103" s="246">
        <v>41017</v>
      </c>
      <c r="E103" s="5" t="s">
        <v>23640</v>
      </c>
      <c r="F103" s="26"/>
      <c r="G103" s="27" t="s">
        <v>5915</v>
      </c>
      <c r="H103" s="28" t="s">
        <v>5916</v>
      </c>
      <c r="I103" s="5" t="s">
        <v>124</v>
      </c>
    </row>
    <row r="104" spans="1:9" ht="51.75" customHeight="1">
      <c r="A104" s="5" t="s">
        <v>23641</v>
      </c>
      <c r="B104" s="5" t="s">
        <v>23642</v>
      </c>
      <c r="C104" s="5" t="s">
        <v>23643</v>
      </c>
      <c r="D104" s="246" t="s">
        <v>68</v>
      </c>
      <c r="E104" s="5" t="s">
        <v>23644</v>
      </c>
      <c r="F104" s="26" t="s">
        <v>23600</v>
      </c>
      <c r="G104" s="27" t="s">
        <v>5327</v>
      </c>
      <c r="H104" s="28" t="s">
        <v>5328</v>
      </c>
      <c r="I104" s="5" t="s">
        <v>124</v>
      </c>
    </row>
    <row r="105" spans="1:9" ht="51.75" customHeight="1">
      <c r="A105" s="5">
        <v>1</v>
      </c>
      <c r="B105" s="5" t="s">
        <v>23645</v>
      </c>
      <c r="C105" s="5" t="s">
        <v>23646</v>
      </c>
      <c r="D105" s="246">
        <v>40911</v>
      </c>
      <c r="E105" s="5" t="s">
        <v>23646</v>
      </c>
      <c r="F105" s="26"/>
      <c r="G105" s="27" t="s">
        <v>5518</v>
      </c>
      <c r="H105" s="28" t="s">
        <v>5519</v>
      </c>
      <c r="I105" s="5" t="s">
        <v>124</v>
      </c>
    </row>
    <row r="106" spans="1:9" ht="51.75" customHeight="1">
      <c r="A106" s="5">
        <v>1</v>
      </c>
      <c r="B106" s="5" t="s">
        <v>23647</v>
      </c>
      <c r="C106" s="5" t="s">
        <v>23648</v>
      </c>
      <c r="D106" s="246">
        <v>39773</v>
      </c>
      <c r="E106" s="5" t="s">
        <v>23649</v>
      </c>
      <c r="F106" s="26"/>
      <c r="G106" s="27" t="s">
        <v>1254</v>
      </c>
      <c r="H106" s="28" t="s">
        <v>1255</v>
      </c>
      <c r="I106" s="5" t="s">
        <v>124</v>
      </c>
    </row>
    <row r="107" spans="1:9" ht="51.75" customHeight="1">
      <c r="A107" s="5">
        <v>2</v>
      </c>
      <c r="B107" s="5" t="s">
        <v>23650</v>
      </c>
      <c r="C107" s="5" t="s">
        <v>23651</v>
      </c>
      <c r="D107" s="246">
        <v>39773</v>
      </c>
      <c r="E107" s="5" t="s">
        <v>23652</v>
      </c>
      <c r="F107" s="26"/>
      <c r="G107" s="27" t="s">
        <v>1254</v>
      </c>
      <c r="H107" s="28" t="s">
        <v>1255</v>
      </c>
      <c r="I107" s="5" t="s">
        <v>124</v>
      </c>
    </row>
    <row r="108" spans="1:9" ht="51.75" customHeight="1">
      <c r="A108" s="5">
        <v>3</v>
      </c>
      <c r="B108" s="5" t="s">
        <v>23653</v>
      </c>
      <c r="C108" s="5" t="s">
        <v>23654</v>
      </c>
      <c r="D108" s="246">
        <v>39773</v>
      </c>
      <c r="E108" s="5" t="s">
        <v>23655</v>
      </c>
      <c r="F108" s="26"/>
      <c r="G108" s="27" t="s">
        <v>1254</v>
      </c>
      <c r="H108" s="28" t="s">
        <v>1255</v>
      </c>
      <c r="I108" s="5" t="s">
        <v>124</v>
      </c>
    </row>
    <row r="109" spans="1:9" ht="51.75" customHeight="1">
      <c r="A109" s="5">
        <v>1</v>
      </c>
      <c r="B109" s="5" t="s">
        <v>23656</v>
      </c>
      <c r="C109" s="5" t="s">
        <v>23657</v>
      </c>
      <c r="D109" s="246">
        <v>40750</v>
      </c>
      <c r="E109" s="5" t="s">
        <v>23658</v>
      </c>
      <c r="F109" s="26"/>
      <c r="G109" s="27" t="s">
        <v>4536</v>
      </c>
      <c r="H109" s="28" t="s">
        <v>4537</v>
      </c>
      <c r="I109" s="5" t="s">
        <v>124</v>
      </c>
    </row>
    <row r="110" spans="1:9" ht="51.75" customHeight="1">
      <c r="A110" s="5">
        <v>1</v>
      </c>
      <c r="B110" s="5" t="s">
        <v>23659</v>
      </c>
      <c r="C110" s="5" t="s">
        <v>23660</v>
      </c>
      <c r="D110" s="246">
        <v>39798</v>
      </c>
      <c r="E110" s="5" t="s">
        <v>23661</v>
      </c>
      <c r="F110" s="26"/>
      <c r="G110" s="27" t="s">
        <v>814</v>
      </c>
      <c r="H110" s="28" t="s">
        <v>815</v>
      </c>
      <c r="I110" s="5" t="s">
        <v>124</v>
      </c>
    </row>
    <row r="111" spans="1:9" ht="51.75" customHeight="1">
      <c r="A111" s="5">
        <v>2</v>
      </c>
      <c r="B111" s="5" t="s">
        <v>23662</v>
      </c>
      <c r="C111" s="5" t="s">
        <v>23663</v>
      </c>
      <c r="D111" s="246">
        <v>39798</v>
      </c>
      <c r="E111" s="5" t="s">
        <v>23664</v>
      </c>
      <c r="F111" s="26"/>
      <c r="G111" s="27" t="s">
        <v>814</v>
      </c>
      <c r="H111" s="28" t="s">
        <v>815</v>
      </c>
      <c r="I111" s="5" t="s">
        <v>124</v>
      </c>
    </row>
    <row r="112" spans="1:9" ht="51.75" customHeight="1">
      <c r="A112" s="5">
        <v>1</v>
      </c>
      <c r="B112" s="5" t="s">
        <v>23665</v>
      </c>
      <c r="C112" s="5" t="s">
        <v>23666</v>
      </c>
      <c r="D112" s="246">
        <v>39093</v>
      </c>
      <c r="E112" s="5" t="s">
        <v>23667</v>
      </c>
      <c r="F112" s="26"/>
      <c r="G112" s="27" t="s">
        <v>828</v>
      </c>
      <c r="H112" s="28" t="s">
        <v>829</v>
      </c>
      <c r="I112" s="5" t="s">
        <v>124</v>
      </c>
    </row>
    <row r="113" spans="1:9" ht="51.75" customHeight="1">
      <c r="A113" s="5">
        <v>2</v>
      </c>
      <c r="B113" s="5" t="s">
        <v>23668</v>
      </c>
      <c r="C113" s="5" t="s">
        <v>23669</v>
      </c>
      <c r="D113" s="246">
        <v>39093</v>
      </c>
      <c r="E113" s="5" t="s">
        <v>23670</v>
      </c>
      <c r="F113" s="26"/>
      <c r="G113" s="27" t="s">
        <v>828</v>
      </c>
      <c r="H113" s="28" t="s">
        <v>829</v>
      </c>
      <c r="I113" s="5" t="s">
        <v>124</v>
      </c>
    </row>
    <row r="114" spans="1:9" ht="51.75" customHeight="1">
      <c r="A114" s="5">
        <v>3</v>
      </c>
      <c r="B114" s="5" t="s">
        <v>23671</v>
      </c>
      <c r="C114" s="5" t="s">
        <v>23672</v>
      </c>
      <c r="D114" s="246">
        <v>39093</v>
      </c>
      <c r="E114" s="5" t="s">
        <v>23673</v>
      </c>
      <c r="F114" s="26"/>
      <c r="G114" s="27" t="s">
        <v>828</v>
      </c>
      <c r="H114" s="28" t="s">
        <v>829</v>
      </c>
      <c r="I114" s="5" t="s">
        <v>124</v>
      </c>
    </row>
    <row r="115" spans="1:9" ht="51.75" customHeight="1">
      <c r="A115" s="5">
        <v>1</v>
      </c>
      <c r="B115" s="5" t="s">
        <v>23674</v>
      </c>
      <c r="C115" s="5" t="s">
        <v>23675</v>
      </c>
      <c r="D115" s="246">
        <v>40724</v>
      </c>
      <c r="E115" s="5" t="s">
        <v>23676</v>
      </c>
      <c r="F115" s="26"/>
      <c r="G115" s="27" t="s">
        <v>5304</v>
      </c>
      <c r="H115" s="28" t="s">
        <v>5305</v>
      </c>
      <c r="I115" s="5" t="s">
        <v>124</v>
      </c>
    </row>
    <row r="116" spans="1:9" ht="51.75" customHeight="1">
      <c r="A116" s="5">
        <v>1</v>
      </c>
      <c r="B116" s="5" t="s">
        <v>23677</v>
      </c>
      <c r="C116" s="5" t="s">
        <v>23678</v>
      </c>
      <c r="D116" s="246">
        <v>39798</v>
      </c>
      <c r="E116" s="5" t="s">
        <v>23679</v>
      </c>
      <c r="F116" s="26"/>
      <c r="G116" s="27" t="s">
        <v>686</v>
      </c>
      <c r="H116" s="28" t="s">
        <v>687</v>
      </c>
      <c r="I116" s="5" t="s">
        <v>124</v>
      </c>
    </row>
    <row r="117" spans="1:9" ht="51.75" customHeight="1">
      <c r="A117" s="5">
        <v>1</v>
      </c>
      <c r="B117" s="5" t="s">
        <v>23680</v>
      </c>
      <c r="C117" s="5" t="s">
        <v>23681</v>
      </c>
      <c r="D117" s="246">
        <v>39038</v>
      </c>
      <c r="E117" s="5" t="s">
        <v>23682</v>
      </c>
      <c r="F117" s="26"/>
      <c r="G117" s="27" t="s">
        <v>1212</v>
      </c>
      <c r="H117" s="28" t="s">
        <v>1213</v>
      </c>
      <c r="I117" s="5" t="s">
        <v>124</v>
      </c>
    </row>
    <row r="118" spans="1:9" ht="51.75" customHeight="1">
      <c r="A118" s="5">
        <v>2</v>
      </c>
      <c r="B118" s="5" t="s">
        <v>23683</v>
      </c>
      <c r="C118" s="5" t="s">
        <v>23681</v>
      </c>
      <c r="D118" s="246">
        <v>39038</v>
      </c>
      <c r="E118" s="5" t="s">
        <v>23684</v>
      </c>
      <c r="F118" s="26"/>
      <c r="G118" s="27" t="s">
        <v>1212</v>
      </c>
      <c r="H118" s="28" t="s">
        <v>1213</v>
      </c>
      <c r="I118" s="5" t="s">
        <v>124</v>
      </c>
    </row>
    <row r="119" spans="1:9" ht="51.75" customHeight="1">
      <c r="A119" s="5">
        <v>3</v>
      </c>
      <c r="B119" s="5" t="s">
        <v>23685</v>
      </c>
      <c r="C119" s="5" t="s">
        <v>23359</v>
      </c>
      <c r="D119" s="246">
        <v>39038</v>
      </c>
      <c r="E119" s="5" t="s">
        <v>23686</v>
      </c>
      <c r="F119" s="26"/>
      <c r="G119" s="27" t="s">
        <v>1212</v>
      </c>
      <c r="H119" s="28" t="s">
        <v>1213</v>
      </c>
      <c r="I119" s="5" t="s">
        <v>124</v>
      </c>
    </row>
    <row r="120" spans="1:9" ht="51.75" customHeight="1">
      <c r="A120" s="5">
        <v>4</v>
      </c>
      <c r="B120" s="5" t="s">
        <v>23687</v>
      </c>
      <c r="C120" s="5" t="s">
        <v>23359</v>
      </c>
      <c r="D120" s="246">
        <v>39038</v>
      </c>
      <c r="E120" s="5" t="s">
        <v>23688</v>
      </c>
      <c r="F120" s="26"/>
      <c r="G120" s="27" t="s">
        <v>1212</v>
      </c>
      <c r="H120" s="28" t="s">
        <v>1213</v>
      </c>
      <c r="I120" s="5" t="s">
        <v>124</v>
      </c>
    </row>
    <row r="121" spans="1:9" ht="51.75" customHeight="1">
      <c r="A121" s="5">
        <v>5</v>
      </c>
      <c r="B121" s="5" t="s">
        <v>23689</v>
      </c>
      <c r="C121" s="5" t="s">
        <v>23690</v>
      </c>
      <c r="D121" s="246">
        <v>39038</v>
      </c>
      <c r="E121" s="5" t="s">
        <v>23691</v>
      </c>
      <c r="F121" s="26"/>
      <c r="G121" s="27" t="s">
        <v>1212</v>
      </c>
      <c r="H121" s="28" t="s">
        <v>1213</v>
      </c>
      <c r="I121" s="5" t="s">
        <v>124</v>
      </c>
    </row>
    <row r="122" spans="1:9" ht="51.75" customHeight="1">
      <c r="A122" s="5" t="s">
        <v>23692</v>
      </c>
      <c r="B122" s="5" t="s">
        <v>23693</v>
      </c>
      <c r="C122" s="5" t="s">
        <v>23694</v>
      </c>
      <c r="D122" s="246" t="s">
        <v>68</v>
      </c>
      <c r="E122" s="5" t="s">
        <v>23695</v>
      </c>
      <c r="F122" s="26" t="s">
        <v>23600</v>
      </c>
      <c r="G122" s="27" t="s">
        <v>7899</v>
      </c>
      <c r="H122" s="28" t="s">
        <v>7900</v>
      </c>
      <c r="I122" s="5" t="s">
        <v>124</v>
      </c>
    </row>
    <row r="123" spans="1:9" ht="51.75" customHeight="1">
      <c r="A123" s="5" t="s">
        <v>23696</v>
      </c>
      <c r="B123" s="5" t="s">
        <v>23697</v>
      </c>
      <c r="C123" s="5" t="s">
        <v>23698</v>
      </c>
      <c r="D123" s="246" t="s">
        <v>68</v>
      </c>
      <c r="E123" s="5" t="s">
        <v>23699</v>
      </c>
      <c r="F123" s="26" t="s">
        <v>23600</v>
      </c>
      <c r="G123" s="27" t="s">
        <v>8021</v>
      </c>
      <c r="H123" s="28" t="s">
        <v>8022</v>
      </c>
      <c r="I123" s="5" t="s">
        <v>124</v>
      </c>
    </row>
    <row r="124" spans="1:9" ht="51.75" customHeight="1">
      <c r="A124" s="5" t="s">
        <v>23700</v>
      </c>
      <c r="B124" s="5" t="s">
        <v>23701</v>
      </c>
      <c r="C124" s="5" t="s">
        <v>23702</v>
      </c>
      <c r="D124" s="246" t="s">
        <v>68</v>
      </c>
      <c r="E124" s="5" t="s">
        <v>23703</v>
      </c>
      <c r="F124" s="26" t="s">
        <v>23600</v>
      </c>
      <c r="G124" s="27" t="s">
        <v>8315</v>
      </c>
      <c r="H124" s="28" t="s">
        <v>8316</v>
      </c>
      <c r="I124" s="5" t="s">
        <v>124</v>
      </c>
    </row>
    <row r="125" spans="1:9" ht="51.75" customHeight="1">
      <c r="A125" s="5" t="s">
        <v>23704</v>
      </c>
      <c r="B125" s="5" t="s">
        <v>23705</v>
      </c>
      <c r="C125" s="5" t="s">
        <v>23706</v>
      </c>
      <c r="D125" s="246" t="s">
        <v>68</v>
      </c>
      <c r="E125" s="5" t="s">
        <v>23707</v>
      </c>
      <c r="F125" s="26" t="s">
        <v>23600</v>
      </c>
      <c r="G125" s="27" t="s">
        <v>8315</v>
      </c>
      <c r="H125" s="28" t="s">
        <v>8316</v>
      </c>
      <c r="I125" s="5" t="s">
        <v>124</v>
      </c>
    </row>
    <row r="126" spans="1:9" ht="51.75" customHeight="1">
      <c r="A126" s="5" t="s">
        <v>23708</v>
      </c>
      <c r="B126" s="5" t="s">
        <v>23709</v>
      </c>
      <c r="C126" s="5" t="s">
        <v>23710</v>
      </c>
      <c r="D126" s="246" t="s">
        <v>68</v>
      </c>
      <c r="E126" s="5" t="s">
        <v>23711</v>
      </c>
      <c r="F126" s="26" t="s">
        <v>23600</v>
      </c>
      <c r="G126" s="27" t="s">
        <v>8054</v>
      </c>
      <c r="H126" s="28" t="s">
        <v>8055</v>
      </c>
      <c r="I126" s="5" t="s">
        <v>124</v>
      </c>
    </row>
    <row r="127" spans="1:9" ht="51.75" customHeight="1">
      <c r="A127" s="5" t="s">
        <v>23712</v>
      </c>
      <c r="B127" s="5" t="s">
        <v>23713</v>
      </c>
      <c r="C127" s="5" t="s">
        <v>23714</v>
      </c>
      <c r="D127" s="246" t="s">
        <v>68</v>
      </c>
      <c r="E127" s="5" t="s">
        <v>23715</v>
      </c>
      <c r="F127" s="26" t="s">
        <v>23600</v>
      </c>
      <c r="G127" s="27" t="s">
        <v>8860</v>
      </c>
      <c r="H127" s="28" t="s">
        <v>8861</v>
      </c>
      <c r="I127" s="5" t="s">
        <v>124</v>
      </c>
    </row>
    <row r="128" spans="1:9" ht="51.75" customHeight="1">
      <c r="A128" s="5" t="s">
        <v>23716</v>
      </c>
      <c r="B128" s="5" t="s">
        <v>23717</v>
      </c>
      <c r="C128" s="5" t="s">
        <v>23718</v>
      </c>
      <c r="D128" s="246">
        <v>41806</v>
      </c>
      <c r="E128" s="5" t="s">
        <v>23719</v>
      </c>
      <c r="F128" s="26" t="s">
        <v>23600</v>
      </c>
      <c r="G128" s="27" t="s">
        <v>9000</v>
      </c>
      <c r="H128" s="28" t="s">
        <v>9001</v>
      </c>
      <c r="I128" s="5" t="s">
        <v>124</v>
      </c>
    </row>
    <row r="129" spans="1:9" ht="51.75" customHeight="1">
      <c r="A129" s="5" t="s">
        <v>23720</v>
      </c>
      <c r="B129" s="5" t="s">
        <v>23721</v>
      </c>
      <c r="C129" s="5" t="s">
        <v>23722</v>
      </c>
      <c r="D129" s="246">
        <v>41806</v>
      </c>
      <c r="E129" s="5" t="s">
        <v>23723</v>
      </c>
      <c r="F129" s="26" t="s">
        <v>23600</v>
      </c>
      <c r="G129" s="27" t="s">
        <v>9000</v>
      </c>
      <c r="H129" s="28" t="s">
        <v>9001</v>
      </c>
      <c r="I129" s="5" t="s">
        <v>124</v>
      </c>
    </row>
    <row r="130" spans="1:9" ht="51.75" customHeight="1">
      <c r="A130" s="5" t="s">
        <v>23724</v>
      </c>
      <c r="B130" s="5" t="s">
        <v>23725</v>
      </c>
      <c r="C130" s="5" t="s">
        <v>23726</v>
      </c>
      <c r="D130" s="246">
        <v>41809</v>
      </c>
      <c r="E130" s="5" t="s">
        <v>23727</v>
      </c>
      <c r="F130" s="26" t="s">
        <v>23600</v>
      </c>
      <c r="G130" s="27" t="s">
        <v>8928</v>
      </c>
      <c r="H130" s="28" t="s">
        <v>8929</v>
      </c>
      <c r="I130" s="5" t="s">
        <v>124</v>
      </c>
    </row>
    <row r="131" spans="1:9" ht="51.75" customHeight="1">
      <c r="A131" s="5" t="s">
        <v>23728</v>
      </c>
      <c r="B131" s="5" t="s">
        <v>23729</v>
      </c>
      <c r="C131" s="5" t="s">
        <v>23730</v>
      </c>
      <c r="D131" s="246">
        <v>41817</v>
      </c>
      <c r="E131" s="5" t="s">
        <v>23731</v>
      </c>
      <c r="F131" s="26" t="s">
        <v>23600</v>
      </c>
      <c r="G131" s="27" t="s">
        <v>9024</v>
      </c>
      <c r="H131" s="28" t="s">
        <v>9025</v>
      </c>
      <c r="I131" s="5" t="s">
        <v>124</v>
      </c>
    </row>
    <row r="132" spans="1:9" ht="51.75" customHeight="1">
      <c r="A132" s="5" t="s">
        <v>23732</v>
      </c>
      <c r="B132" s="5" t="s">
        <v>23733</v>
      </c>
      <c r="C132" s="5" t="s">
        <v>23734</v>
      </c>
      <c r="D132" s="246">
        <v>41947</v>
      </c>
      <c r="E132" s="5" t="s">
        <v>23735</v>
      </c>
      <c r="F132" s="26" t="s">
        <v>23600</v>
      </c>
      <c r="G132" s="27" t="s">
        <v>9363</v>
      </c>
      <c r="H132" s="28" t="s">
        <v>9364</v>
      </c>
      <c r="I132" s="5" t="s">
        <v>124</v>
      </c>
    </row>
    <row r="133" spans="1:9" ht="51.75" customHeight="1">
      <c r="A133" s="5" t="s">
        <v>23736</v>
      </c>
      <c r="B133" s="5" t="s">
        <v>23737</v>
      </c>
      <c r="C133" s="5" t="s">
        <v>23738</v>
      </c>
      <c r="D133" s="246">
        <v>41927</v>
      </c>
      <c r="E133" s="5" t="s">
        <v>23739</v>
      </c>
      <c r="F133" s="26" t="s">
        <v>23600</v>
      </c>
      <c r="G133" s="27" t="s">
        <v>9309</v>
      </c>
      <c r="H133" s="28" t="s">
        <v>9310</v>
      </c>
      <c r="I133" s="5" t="s">
        <v>124</v>
      </c>
    </row>
    <row r="134" spans="1:9" ht="51.75" customHeight="1">
      <c r="A134" s="5" t="s">
        <v>23740</v>
      </c>
      <c r="B134" s="5" t="s">
        <v>23741</v>
      </c>
      <c r="C134" s="5" t="s">
        <v>23742</v>
      </c>
      <c r="D134" s="246" t="s">
        <v>68</v>
      </c>
      <c r="E134" s="5" t="s">
        <v>23743</v>
      </c>
      <c r="F134" s="26" t="s">
        <v>23600</v>
      </c>
      <c r="G134" s="27" t="s">
        <v>9582</v>
      </c>
      <c r="H134" s="28" t="s">
        <v>9583</v>
      </c>
      <c r="I134" s="5" t="s">
        <v>124</v>
      </c>
    </row>
    <row r="135" spans="1:9" ht="51.75" customHeight="1">
      <c r="A135" s="5" t="s">
        <v>23744</v>
      </c>
      <c r="B135" s="5" t="s">
        <v>23745</v>
      </c>
      <c r="C135" s="5" t="s">
        <v>23746</v>
      </c>
      <c r="D135" s="246">
        <v>42023</v>
      </c>
      <c r="E135" s="5" t="s">
        <v>23747</v>
      </c>
      <c r="F135" s="26" t="s">
        <v>23600</v>
      </c>
      <c r="G135" s="27" t="s">
        <v>9633</v>
      </c>
      <c r="H135" s="28" t="s">
        <v>9634</v>
      </c>
      <c r="I135" s="5" t="s">
        <v>124</v>
      </c>
    </row>
    <row r="136" spans="1:9" ht="51.75" customHeight="1">
      <c r="A136" s="5" t="s">
        <v>23748</v>
      </c>
      <c r="B136" s="5" t="s">
        <v>23749</v>
      </c>
      <c r="C136" s="5" t="s">
        <v>23750</v>
      </c>
      <c r="D136" s="246">
        <v>42093</v>
      </c>
      <c r="E136" s="5" t="s">
        <v>23751</v>
      </c>
      <c r="F136" s="26" t="s">
        <v>23600</v>
      </c>
      <c r="G136" s="27" t="s">
        <v>9824</v>
      </c>
      <c r="H136" s="28" t="s">
        <v>9825</v>
      </c>
      <c r="I136" s="5" t="s">
        <v>124</v>
      </c>
    </row>
    <row r="137" spans="1:9" ht="51.75" customHeight="1">
      <c r="A137" s="5" t="s">
        <v>23752</v>
      </c>
      <c r="B137" s="5" t="s">
        <v>23753</v>
      </c>
      <c r="C137" s="5" t="s">
        <v>23754</v>
      </c>
      <c r="D137" s="246">
        <v>42201</v>
      </c>
      <c r="E137" s="5" t="s">
        <v>23755</v>
      </c>
      <c r="F137" s="26" t="s">
        <v>23600</v>
      </c>
      <c r="G137" s="27" t="s">
        <v>10115</v>
      </c>
      <c r="H137" s="28" t="s">
        <v>10116</v>
      </c>
      <c r="I137" s="5" t="s">
        <v>124</v>
      </c>
    </row>
    <row r="138" spans="1:9" ht="51.75" customHeight="1">
      <c r="A138" s="5" t="s">
        <v>23756</v>
      </c>
      <c r="B138" s="5" t="s">
        <v>23757</v>
      </c>
      <c r="C138" s="5" t="s">
        <v>23758</v>
      </c>
      <c r="D138" s="246" t="s">
        <v>68</v>
      </c>
      <c r="E138" s="5" t="s">
        <v>23759</v>
      </c>
      <c r="F138" s="26" t="s">
        <v>23600</v>
      </c>
      <c r="G138" s="27" t="s">
        <v>10490</v>
      </c>
      <c r="H138" s="28" t="s">
        <v>10491</v>
      </c>
      <c r="I138" s="5" t="s">
        <v>124</v>
      </c>
    </row>
    <row r="139" spans="1:9" ht="51.75" customHeight="1">
      <c r="A139" s="5" t="s">
        <v>23760</v>
      </c>
      <c r="B139" s="5" t="s">
        <v>23761</v>
      </c>
      <c r="C139" s="5" t="s">
        <v>23762</v>
      </c>
      <c r="D139" s="246" t="s">
        <v>68</v>
      </c>
      <c r="E139" s="5" t="s">
        <v>23763</v>
      </c>
      <c r="F139" s="26" t="s">
        <v>23600</v>
      </c>
      <c r="G139" s="27" t="s">
        <v>10490</v>
      </c>
      <c r="H139" s="28" t="s">
        <v>10491</v>
      </c>
      <c r="I139" s="5" t="s">
        <v>124</v>
      </c>
    </row>
    <row r="140" spans="1:9" ht="51.75" customHeight="1">
      <c r="A140" s="5" t="s">
        <v>23764</v>
      </c>
      <c r="B140" s="5" t="s">
        <v>23765</v>
      </c>
      <c r="C140" s="5" t="s">
        <v>23766</v>
      </c>
      <c r="D140" s="246">
        <v>42355</v>
      </c>
      <c r="E140" s="5" t="s">
        <v>23767</v>
      </c>
      <c r="F140" s="26" t="s">
        <v>23600</v>
      </c>
      <c r="G140" s="27" t="s">
        <v>10884</v>
      </c>
      <c r="H140" s="28" t="s">
        <v>10885</v>
      </c>
      <c r="I140" s="5" t="s">
        <v>124</v>
      </c>
    </row>
    <row r="141" spans="1:9" ht="51.75" customHeight="1">
      <c r="A141" s="5" t="s">
        <v>23768</v>
      </c>
      <c r="B141" s="5" t="s">
        <v>23769</v>
      </c>
      <c r="C141" s="5" t="s">
        <v>23770</v>
      </c>
      <c r="D141" s="246">
        <v>42409</v>
      </c>
      <c r="E141" s="5" t="s">
        <v>23771</v>
      </c>
      <c r="F141" s="26" t="s">
        <v>23600</v>
      </c>
      <c r="G141" s="27" t="s">
        <v>10889</v>
      </c>
      <c r="H141" s="28" t="s">
        <v>10890</v>
      </c>
      <c r="I141" s="5" t="s">
        <v>124</v>
      </c>
    </row>
    <row r="142" spans="1:9" ht="51.75" customHeight="1">
      <c r="A142" s="5" t="s">
        <v>23772</v>
      </c>
      <c r="B142" s="5" t="s">
        <v>23773</v>
      </c>
      <c r="C142" s="5" t="s">
        <v>23774</v>
      </c>
      <c r="D142" s="246" t="s">
        <v>68</v>
      </c>
      <c r="E142" s="5" t="s">
        <v>23775</v>
      </c>
      <c r="F142" s="26" t="s">
        <v>23600</v>
      </c>
      <c r="G142" s="27" t="s">
        <v>10997</v>
      </c>
      <c r="H142" s="28" t="s">
        <v>10998</v>
      </c>
      <c r="I142" s="5" t="s">
        <v>124</v>
      </c>
    </row>
    <row r="143" spans="1:9" ht="51.75" customHeight="1">
      <c r="A143" s="5" t="s">
        <v>23776</v>
      </c>
      <c r="B143" s="5" t="s">
        <v>23777</v>
      </c>
      <c r="C143" s="5" t="s">
        <v>23778</v>
      </c>
      <c r="D143" s="246">
        <v>42510</v>
      </c>
      <c r="E143" s="5" t="s">
        <v>23779</v>
      </c>
      <c r="F143" s="26" t="s">
        <v>23600</v>
      </c>
      <c r="G143" s="27" t="s">
        <v>11225</v>
      </c>
      <c r="H143" s="28" t="s">
        <v>11226</v>
      </c>
      <c r="I143" s="5" t="s">
        <v>124</v>
      </c>
    </row>
    <row r="144" spans="1:9" ht="51.75" customHeight="1">
      <c r="A144" s="5" t="s">
        <v>23780</v>
      </c>
      <c r="B144" s="5" t="s">
        <v>23781</v>
      </c>
      <c r="C144" s="5" t="s">
        <v>23782</v>
      </c>
      <c r="D144" s="246">
        <v>42510</v>
      </c>
      <c r="E144" s="5" t="s">
        <v>23783</v>
      </c>
      <c r="F144" s="26" t="s">
        <v>23600</v>
      </c>
      <c r="G144" s="27" t="s">
        <v>11225</v>
      </c>
      <c r="H144" s="28" t="s">
        <v>11226</v>
      </c>
      <c r="I144" s="5" t="s">
        <v>124</v>
      </c>
    </row>
    <row r="145" spans="1:9" ht="51.75" customHeight="1">
      <c r="A145" s="5" t="s">
        <v>23784</v>
      </c>
      <c r="B145" s="5" t="s">
        <v>23785</v>
      </c>
      <c r="C145" s="5" t="s">
        <v>23786</v>
      </c>
      <c r="D145" s="246">
        <v>42635</v>
      </c>
      <c r="E145" s="5" t="s">
        <v>23787</v>
      </c>
      <c r="F145" s="26" t="s">
        <v>23600</v>
      </c>
      <c r="G145" s="27" t="s">
        <v>11703</v>
      </c>
      <c r="H145" s="28" t="s">
        <v>11704</v>
      </c>
      <c r="I145" s="5" t="s">
        <v>124</v>
      </c>
    </row>
    <row r="146" spans="1:9" ht="51.75" customHeight="1">
      <c r="A146" s="5" t="s">
        <v>23788</v>
      </c>
      <c r="B146" s="5" t="s">
        <v>23789</v>
      </c>
      <c r="C146" s="5" t="s">
        <v>23790</v>
      </c>
      <c r="D146" s="246">
        <v>42723</v>
      </c>
      <c r="E146" s="5" t="s">
        <v>23791</v>
      </c>
      <c r="F146" s="26" t="s">
        <v>23600</v>
      </c>
      <c r="G146" s="27" t="s">
        <v>12198</v>
      </c>
      <c r="H146" s="28" t="s">
        <v>12199</v>
      </c>
      <c r="I146" s="5" t="s">
        <v>124</v>
      </c>
    </row>
    <row r="147" spans="1:9" ht="51.75" customHeight="1">
      <c r="A147" s="5" t="s">
        <v>23788</v>
      </c>
      <c r="B147" s="5" t="s">
        <v>23792</v>
      </c>
      <c r="C147" s="5" t="s">
        <v>23790</v>
      </c>
      <c r="D147" s="246">
        <v>42723</v>
      </c>
      <c r="E147" s="5" t="s">
        <v>23793</v>
      </c>
      <c r="F147" s="26" t="s">
        <v>23605</v>
      </c>
      <c r="G147" s="27" t="s">
        <v>12198</v>
      </c>
      <c r="H147" s="28" t="s">
        <v>12199</v>
      </c>
      <c r="I147" s="5" t="s">
        <v>124</v>
      </c>
    </row>
    <row r="148" spans="1:9" ht="51.75" customHeight="1">
      <c r="A148" s="5" t="s">
        <v>23794</v>
      </c>
      <c r="B148" s="5" t="s">
        <v>23795</v>
      </c>
      <c r="C148" s="5" t="s">
        <v>23796</v>
      </c>
      <c r="D148" s="246">
        <v>42713</v>
      </c>
      <c r="E148" s="5" t="s">
        <v>23797</v>
      </c>
      <c r="F148" s="26" t="s">
        <v>23605</v>
      </c>
      <c r="G148" s="27" t="s">
        <v>12286</v>
      </c>
      <c r="H148" s="28" t="s">
        <v>12287</v>
      </c>
      <c r="I148" s="5" t="s">
        <v>124</v>
      </c>
    </row>
    <row r="149" spans="1:9" ht="51.75" customHeight="1">
      <c r="A149" s="5" t="s">
        <v>23794</v>
      </c>
      <c r="B149" s="5" t="s">
        <v>23798</v>
      </c>
      <c r="C149" s="5" t="s">
        <v>23796</v>
      </c>
      <c r="D149" s="246">
        <v>42713</v>
      </c>
      <c r="E149" s="5" t="s">
        <v>23799</v>
      </c>
      <c r="F149" s="26" t="s">
        <v>23600</v>
      </c>
      <c r="G149" s="27" t="s">
        <v>12286</v>
      </c>
      <c r="H149" s="28" t="s">
        <v>12287</v>
      </c>
      <c r="I149" s="5" t="s">
        <v>124</v>
      </c>
    </row>
    <row r="150" spans="1:9" ht="51.75" customHeight="1">
      <c r="A150" s="5" t="s">
        <v>23800</v>
      </c>
      <c r="B150" s="5" t="s">
        <v>23801</v>
      </c>
      <c r="C150" s="5" t="s">
        <v>23802</v>
      </c>
      <c r="D150" s="246">
        <v>42713</v>
      </c>
      <c r="E150" s="5" t="s">
        <v>23803</v>
      </c>
      <c r="F150" s="26" t="s">
        <v>23605</v>
      </c>
      <c r="G150" s="27" t="s">
        <v>12286</v>
      </c>
      <c r="H150" s="28" t="s">
        <v>12287</v>
      </c>
      <c r="I150" s="5" t="s">
        <v>124</v>
      </c>
    </row>
    <row r="151" spans="1:9" ht="51.75" customHeight="1">
      <c r="A151" s="5" t="s">
        <v>23800</v>
      </c>
      <c r="B151" s="5" t="s">
        <v>23804</v>
      </c>
      <c r="C151" s="5" t="s">
        <v>23802</v>
      </c>
      <c r="D151" s="246">
        <v>42713</v>
      </c>
      <c r="E151" s="5" t="s">
        <v>23805</v>
      </c>
      <c r="F151" s="26" t="s">
        <v>23600</v>
      </c>
      <c r="G151" s="27" t="s">
        <v>12286</v>
      </c>
      <c r="H151" s="28" t="s">
        <v>12287</v>
      </c>
      <c r="I151" s="5" t="s">
        <v>124</v>
      </c>
    </row>
    <row r="152" spans="1:9" ht="51.75" customHeight="1">
      <c r="A152" s="5" t="s">
        <v>23806</v>
      </c>
      <c r="B152" s="5" t="s">
        <v>23807</v>
      </c>
      <c r="C152" s="5" t="s">
        <v>23808</v>
      </c>
      <c r="D152" s="246">
        <v>42818</v>
      </c>
      <c r="E152" s="5" t="s">
        <v>23809</v>
      </c>
      <c r="F152" s="26" t="s">
        <v>23600</v>
      </c>
      <c r="G152" s="27" t="s">
        <v>12358</v>
      </c>
      <c r="H152" s="28" t="s">
        <v>12359</v>
      </c>
      <c r="I152" s="5" t="s">
        <v>124</v>
      </c>
    </row>
    <row r="153" spans="1:9" ht="51.75" customHeight="1">
      <c r="A153" s="5" t="s">
        <v>23810</v>
      </c>
      <c r="B153" s="5" t="s">
        <v>23811</v>
      </c>
      <c r="C153" s="5" t="s">
        <v>23812</v>
      </c>
      <c r="D153" s="246">
        <v>42859</v>
      </c>
      <c r="E153" s="5" t="s">
        <v>23813</v>
      </c>
      <c r="F153" s="26" t="s">
        <v>23600</v>
      </c>
      <c r="G153" s="27" t="s">
        <v>12384</v>
      </c>
      <c r="H153" s="28" t="s">
        <v>12385</v>
      </c>
      <c r="I153" s="5" t="s">
        <v>124</v>
      </c>
    </row>
    <row r="154" spans="1:9" ht="51.75" customHeight="1">
      <c r="A154" s="5" t="s">
        <v>23814</v>
      </c>
      <c r="B154" s="5" t="s">
        <v>23815</v>
      </c>
      <c r="C154" s="5" t="s">
        <v>23816</v>
      </c>
      <c r="D154" s="246">
        <v>42879</v>
      </c>
      <c r="E154" s="5" t="s">
        <v>23817</v>
      </c>
      <c r="F154" s="26" t="s">
        <v>23605</v>
      </c>
      <c r="G154" s="27" t="s">
        <v>12466</v>
      </c>
      <c r="H154" s="28" t="s">
        <v>12467</v>
      </c>
      <c r="I154" s="5" t="s">
        <v>124</v>
      </c>
    </row>
    <row r="155" spans="1:9" ht="51.75" customHeight="1">
      <c r="A155" s="5" t="s">
        <v>23814</v>
      </c>
      <c r="B155" s="5" t="s">
        <v>23818</v>
      </c>
      <c r="C155" s="5" t="s">
        <v>23816</v>
      </c>
      <c r="D155" s="246">
        <v>42879</v>
      </c>
      <c r="E155" s="5" t="s">
        <v>23819</v>
      </c>
      <c r="F155" s="26" t="s">
        <v>23600</v>
      </c>
      <c r="G155" s="27" t="s">
        <v>12466</v>
      </c>
      <c r="H155" s="28" t="s">
        <v>12467</v>
      </c>
      <c r="I155" s="5" t="s">
        <v>124</v>
      </c>
    </row>
    <row r="156" spans="1:9" ht="51.75" customHeight="1">
      <c r="A156" s="5" t="s">
        <v>23820</v>
      </c>
      <c r="B156" s="5" t="s">
        <v>23821</v>
      </c>
      <c r="C156" s="5" t="s">
        <v>23822</v>
      </c>
      <c r="D156" s="246">
        <v>42879</v>
      </c>
      <c r="E156" s="5" t="s">
        <v>23823</v>
      </c>
      <c r="F156" s="26" t="s">
        <v>23600</v>
      </c>
      <c r="G156" s="27" t="s">
        <v>12466</v>
      </c>
      <c r="H156" s="28" t="s">
        <v>12467</v>
      </c>
      <c r="I156" s="5" t="s">
        <v>124</v>
      </c>
    </row>
    <row r="157" spans="1:9" ht="51.75" customHeight="1">
      <c r="A157" s="5" t="s">
        <v>23824</v>
      </c>
      <c r="B157" s="5" t="s">
        <v>23825</v>
      </c>
      <c r="C157" s="5" t="s">
        <v>23826</v>
      </c>
      <c r="D157" s="246" t="s">
        <v>68</v>
      </c>
      <c r="E157" s="5" t="s">
        <v>23827</v>
      </c>
      <c r="F157" s="26" t="s">
        <v>23600</v>
      </c>
      <c r="G157" s="27" t="s">
        <v>12819</v>
      </c>
      <c r="H157" s="28" t="s">
        <v>12820</v>
      </c>
      <c r="I157" s="5" t="s">
        <v>124</v>
      </c>
    </row>
    <row r="158" spans="1:9" ht="51.75" customHeight="1">
      <c r="A158" s="5" t="s">
        <v>23828</v>
      </c>
      <c r="B158" s="5" t="s">
        <v>23829</v>
      </c>
      <c r="C158" s="5" t="s">
        <v>23830</v>
      </c>
      <c r="D158" s="246">
        <v>43018</v>
      </c>
      <c r="E158" s="5" t="s">
        <v>23831</v>
      </c>
      <c r="F158" s="26" t="s">
        <v>23600</v>
      </c>
      <c r="G158" s="27" t="s">
        <v>12849</v>
      </c>
      <c r="H158" s="28" t="s">
        <v>12850</v>
      </c>
      <c r="I158" s="5" t="s">
        <v>124</v>
      </c>
    </row>
    <row r="159" spans="1:9" ht="51.75" customHeight="1">
      <c r="A159" s="5" t="s">
        <v>23832</v>
      </c>
      <c r="B159" s="5" t="s">
        <v>23833</v>
      </c>
      <c r="C159" s="5" t="s">
        <v>23834</v>
      </c>
      <c r="D159" s="246" t="s">
        <v>68</v>
      </c>
      <c r="E159" s="5" t="s">
        <v>23835</v>
      </c>
      <c r="F159" s="26" t="s">
        <v>23600</v>
      </c>
      <c r="G159" s="27" t="s">
        <v>12914</v>
      </c>
      <c r="H159" s="28" t="s">
        <v>12915</v>
      </c>
      <c r="I159" s="5" t="s">
        <v>124</v>
      </c>
    </row>
    <row r="160" spans="1:9" ht="51.75" customHeight="1">
      <c r="A160" s="5" t="s">
        <v>23772</v>
      </c>
      <c r="B160" s="5" t="s">
        <v>23836</v>
      </c>
      <c r="C160" s="5" t="s">
        <v>23837</v>
      </c>
      <c r="D160" s="246">
        <v>43125</v>
      </c>
      <c r="E160" s="5" t="s">
        <v>23838</v>
      </c>
      <c r="F160" s="26" t="s">
        <v>23600</v>
      </c>
      <c r="G160" s="27" t="s">
        <v>13239</v>
      </c>
      <c r="H160" s="28" t="s">
        <v>13240</v>
      </c>
      <c r="I160" s="5" t="s">
        <v>124</v>
      </c>
    </row>
    <row r="161" spans="1:9" ht="51.75" customHeight="1">
      <c r="A161" s="5" t="s">
        <v>23839</v>
      </c>
      <c r="B161" s="5" t="s">
        <v>23840</v>
      </c>
      <c r="C161" s="5" t="s">
        <v>23841</v>
      </c>
      <c r="D161" s="246">
        <v>43116</v>
      </c>
      <c r="E161" s="5" t="s">
        <v>23842</v>
      </c>
      <c r="F161" s="26" t="s">
        <v>23600</v>
      </c>
      <c r="G161" s="27" t="s">
        <v>13239</v>
      </c>
      <c r="H161" s="28" t="s">
        <v>13240</v>
      </c>
      <c r="I161" s="5" t="s">
        <v>124</v>
      </c>
    </row>
    <row r="162" spans="1:9" ht="51.75" customHeight="1">
      <c r="A162" s="5" t="s">
        <v>23843</v>
      </c>
      <c r="B162" s="5" t="s">
        <v>23844</v>
      </c>
      <c r="C162" s="5" t="s">
        <v>23845</v>
      </c>
      <c r="D162" s="246">
        <v>43116</v>
      </c>
      <c r="E162" s="5" t="s">
        <v>23846</v>
      </c>
      <c r="F162" s="26" t="s">
        <v>23600</v>
      </c>
      <c r="G162" s="27" t="s">
        <v>13239</v>
      </c>
      <c r="H162" s="28" t="s">
        <v>13240</v>
      </c>
      <c r="I162" s="5" t="s">
        <v>124</v>
      </c>
    </row>
    <row r="163" spans="1:9" ht="51.75" customHeight="1">
      <c r="A163" s="5" t="s">
        <v>23847</v>
      </c>
      <c r="B163" s="5" t="s">
        <v>23848</v>
      </c>
      <c r="C163" s="5" t="s">
        <v>23849</v>
      </c>
      <c r="D163" s="246">
        <v>43083</v>
      </c>
      <c r="E163" s="5" t="s">
        <v>23850</v>
      </c>
      <c r="F163" s="26" t="s">
        <v>23605</v>
      </c>
      <c r="G163" s="27" t="s">
        <v>13384</v>
      </c>
      <c r="H163" s="28" t="s">
        <v>13385</v>
      </c>
      <c r="I163" s="5" t="s">
        <v>124</v>
      </c>
    </row>
    <row r="164" spans="1:9" ht="51.75" customHeight="1">
      <c r="A164" s="5" t="s">
        <v>23847</v>
      </c>
      <c r="B164" s="5" t="s">
        <v>23851</v>
      </c>
      <c r="C164" s="5" t="s">
        <v>23849</v>
      </c>
      <c r="D164" s="246">
        <v>43083</v>
      </c>
      <c r="E164" s="5" t="s">
        <v>23852</v>
      </c>
      <c r="F164" s="26" t="s">
        <v>23600</v>
      </c>
      <c r="G164" s="27" t="s">
        <v>13384</v>
      </c>
      <c r="H164" s="28" t="s">
        <v>13385</v>
      </c>
      <c r="I164" s="5" t="s">
        <v>124</v>
      </c>
    </row>
    <row r="165" spans="1:9" ht="51.75" customHeight="1">
      <c r="A165" s="5" t="s">
        <v>23712</v>
      </c>
      <c r="B165" s="5" t="s">
        <v>23853</v>
      </c>
      <c r="C165" s="5" t="s">
        <v>23854</v>
      </c>
      <c r="D165" s="246">
        <v>43202</v>
      </c>
      <c r="E165" s="5" t="s">
        <v>23855</v>
      </c>
      <c r="F165" s="26" t="s">
        <v>23600</v>
      </c>
      <c r="G165" s="27" t="s">
        <v>13557</v>
      </c>
      <c r="H165" s="28" t="s">
        <v>13558</v>
      </c>
      <c r="I165" s="5" t="s">
        <v>124</v>
      </c>
    </row>
    <row r="166" spans="1:9" ht="51.75" customHeight="1">
      <c r="A166" s="5" t="s">
        <v>23856</v>
      </c>
      <c r="B166" s="5" t="s">
        <v>23857</v>
      </c>
      <c r="C166" s="5" t="s">
        <v>23858</v>
      </c>
      <c r="D166" s="246" t="s">
        <v>68</v>
      </c>
      <c r="E166" s="5" t="s">
        <v>23859</v>
      </c>
      <c r="F166" s="26" t="s">
        <v>23600</v>
      </c>
      <c r="G166" s="27" t="s">
        <v>13770</v>
      </c>
      <c r="H166" s="28" t="s">
        <v>13771</v>
      </c>
      <c r="I166" s="5" t="s">
        <v>124</v>
      </c>
    </row>
    <row r="167" spans="1:9" ht="51.75" customHeight="1">
      <c r="A167" s="5" t="s">
        <v>23860</v>
      </c>
      <c r="B167" s="5" t="s">
        <v>23861</v>
      </c>
      <c r="C167" s="5" t="s">
        <v>23862</v>
      </c>
      <c r="D167" s="246" t="s">
        <v>68</v>
      </c>
      <c r="E167" s="5" t="s">
        <v>23863</v>
      </c>
      <c r="F167" s="26" t="s">
        <v>23600</v>
      </c>
      <c r="G167" s="27" t="s">
        <v>13770</v>
      </c>
      <c r="H167" s="28" t="s">
        <v>13771</v>
      </c>
      <c r="I167" s="5" t="s">
        <v>124</v>
      </c>
    </row>
    <row r="168" spans="1:9" ht="51.75" customHeight="1">
      <c r="A168" s="5" t="s">
        <v>23864</v>
      </c>
      <c r="B168" s="5" t="s">
        <v>23865</v>
      </c>
      <c r="C168" s="5" t="s">
        <v>23866</v>
      </c>
      <c r="D168" s="246" t="s">
        <v>68</v>
      </c>
      <c r="E168" s="5" t="s">
        <v>23867</v>
      </c>
      <c r="F168" s="26" t="s">
        <v>23600</v>
      </c>
      <c r="G168" s="27" t="s">
        <v>13781</v>
      </c>
      <c r="H168" s="28" t="s">
        <v>13782</v>
      </c>
      <c r="I168" s="5" t="s">
        <v>124</v>
      </c>
    </row>
    <row r="169" spans="1:9" ht="51.75" customHeight="1">
      <c r="A169" s="5" t="s">
        <v>23868</v>
      </c>
      <c r="B169" s="5" t="s">
        <v>23869</v>
      </c>
      <c r="C169" s="5" t="s">
        <v>23870</v>
      </c>
      <c r="D169" s="246">
        <v>43277</v>
      </c>
      <c r="E169" s="5" t="s">
        <v>23871</v>
      </c>
      <c r="F169" s="26" t="s">
        <v>23600</v>
      </c>
      <c r="G169" s="27" t="s">
        <v>14166</v>
      </c>
      <c r="H169" s="28" t="s">
        <v>14167</v>
      </c>
      <c r="I169" s="5" t="s">
        <v>124</v>
      </c>
    </row>
    <row r="170" spans="1:9" ht="51.75" customHeight="1">
      <c r="A170" s="5" t="s">
        <v>23872</v>
      </c>
      <c r="B170" s="5" t="s">
        <v>23873</v>
      </c>
      <c r="C170" s="5" t="s">
        <v>23874</v>
      </c>
      <c r="D170" s="246">
        <v>43328</v>
      </c>
      <c r="E170" s="5" t="s">
        <v>23875</v>
      </c>
      <c r="F170" s="26" t="s">
        <v>23600</v>
      </c>
      <c r="G170" s="27" t="s">
        <v>14263</v>
      </c>
      <c r="H170" s="28" t="s">
        <v>14264</v>
      </c>
      <c r="I170" s="5" t="s">
        <v>124</v>
      </c>
    </row>
    <row r="171" spans="1:9" ht="51.75" customHeight="1">
      <c r="A171" s="5" t="s">
        <v>23876</v>
      </c>
      <c r="B171" s="5" t="s">
        <v>23877</v>
      </c>
      <c r="C171" s="5" t="s">
        <v>23878</v>
      </c>
      <c r="D171" s="246">
        <v>43328</v>
      </c>
      <c r="E171" s="5" t="s">
        <v>23879</v>
      </c>
      <c r="F171" s="26" t="s">
        <v>23600</v>
      </c>
      <c r="G171" s="27" t="s">
        <v>14263</v>
      </c>
      <c r="H171" s="28" t="s">
        <v>14264</v>
      </c>
      <c r="I171" s="5" t="s">
        <v>124</v>
      </c>
    </row>
    <row r="172" spans="1:9" ht="51.75" customHeight="1">
      <c r="A172" s="5" t="s">
        <v>23880</v>
      </c>
      <c r="B172" s="5" t="s">
        <v>23881</v>
      </c>
      <c r="C172" s="5" t="s">
        <v>23882</v>
      </c>
      <c r="D172" s="246" t="s">
        <v>68</v>
      </c>
      <c r="E172" s="5" t="s">
        <v>23883</v>
      </c>
      <c r="F172" s="26" t="s">
        <v>23600</v>
      </c>
      <c r="G172" s="27" t="s">
        <v>14408</v>
      </c>
      <c r="H172" s="28" t="s">
        <v>14409</v>
      </c>
      <c r="I172" s="5" t="s">
        <v>124</v>
      </c>
    </row>
    <row r="173" spans="1:9" ht="51.75" customHeight="1">
      <c r="A173" s="5" t="s">
        <v>23884</v>
      </c>
      <c r="B173" s="5" t="s">
        <v>23885</v>
      </c>
      <c r="C173" s="5" t="s">
        <v>23886</v>
      </c>
      <c r="D173" s="246" t="s">
        <v>68</v>
      </c>
      <c r="E173" s="5" t="s">
        <v>23887</v>
      </c>
      <c r="F173" s="26" t="s">
        <v>23600</v>
      </c>
      <c r="G173" s="27" t="s">
        <v>14408</v>
      </c>
      <c r="H173" s="28" t="s">
        <v>14409</v>
      </c>
      <c r="I173" s="5" t="s">
        <v>124</v>
      </c>
    </row>
    <row r="174" spans="1:9" ht="51.75" customHeight="1">
      <c r="A174" s="5" t="s">
        <v>23888</v>
      </c>
      <c r="B174" s="5" t="s">
        <v>23889</v>
      </c>
      <c r="C174" s="5" t="s">
        <v>23890</v>
      </c>
      <c r="D174" s="246" t="s">
        <v>68</v>
      </c>
      <c r="E174" s="5" t="s">
        <v>23891</v>
      </c>
      <c r="F174" s="26" t="s">
        <v>23600</v>
      </c>
      <c r="G174" s="27" t="s">
        <v>14540</v>
      </c>
      <c r="H174" s="28" t="s">
        <v>14541</v>
      </c>
      <c r="I174" s="5" t="s">
        <v>124</v>
      </c>
    </row>
    <row r="175" spans="1:9" ht="51.75" customHeight="1">
      <c r="A175" s="5" t="s">
        <v>23892</v>
      </c>
      <c r="B175" s="5" t="s">
        <v>23893</v>
      </c>
      <c r="C175" s="5" t="s">
        <v>23894</v>
      </c>
      <c r="D175" s="246" t="s">
        <v>68</v>
      </c>
      <c r="E175" s="5" t="s">
        <v>23895</v>
      </c>
      <c r="F175" s="26" t="s">
        <v>23600</v>
      </c>
      <c r="G175" s="27" t="s">
        <v>14677</v>
      </c>
      <c r="H175" s="28" t="s">
        <v>14678</v>
      </c>
      <c r="I175" s="5" t="s">
        <v>124</v>
      </c>
    </row>
    <row r="176" spans="1:9" ht="51.75" customHeight="1">
      <c r="A176" s="5" t="s">
        <v>23896</v>
      </c>
      <c r="B176" s="5" t="s">
        <v>23897</v>
      </c>
      <c r="C176" s="5" t="s">
        <v>23898</v>
      </c>
      <c r="D176" s="246" t="s">
        <v>68</v>
      </c>
      <c r="E176" s="5" t="s">
        <v>23899</v>
      </c>
      <c r="F176" s="26" t="s">
        <v>23600</v>
      </c>
      <c r="G176" s="27" t="s">
        <v>14677</v>
      </c>
      <c r="H176" s="28" t="s">
        <v>14678</v>
      </c>
      <c r="I176" s="5" t="s">
        <v>124</v>
      </c>
    </row>
    <row r="177" spans="1:9" ht="51.75" customHeight="1">
      <c r="A177" s="5" t="s">
        <v>23900</v>
      </c>
      <c r="B177" s="5" t="s">
        <v>23901</v>
      </c>
      <c r="C177" s="5" t="s">
        <v>23902</v>
      </c>
      <c r="D177" s="246" t="s">
        <v>68</v>
      </c>
      <c r="E177" s="5" t="s">
        <v>23903</v>
      </c>
      <c r="F177" s="26" t="s">
        <v>23600</v>
      </c>
      <c r="G177" s="27" t="s">
        <v>14834</v>
      </c>
      <c r="H177" s="28" t="s">
        <v>14835</v>
      </c>
      <c r="I177" s="5" t="s">
        <v>124</v>
      </c>
    </row>
    <row r="178" spans="1:9" ht="51.75" customHeight="1">
      <c r="A178" s="5" t="s">
        <v>23904</v>
      </c>
      <c r="B178" s="5" t="s">
        <v>23905</v>
      </c>
      <c r="C178" s="5" t="s">
        <v>23906</v>
      </c>
      <c r="D178" s="246" t="s">
        <v>68</v>
      </c>
      <c r="E178" s="5" t="s">
        <v>23907</v>
      </c>
      <c r="F178" s="26" t="s">
        <v>23600</v>
      </c>
      <c r="G178" s="27" t="s">
        <v>12058</v>
      </c>
      <c r="H178" s="28" t="s">
        <v>12059</v>
      </c>
      <c r="I178" s="5" t="s">
        <v>124</v>
      </c>
    </row>
    <row r="179" spans="1:9" ht="51.75" customHeight="1">
      <c r="A179" s="5" t="s">
        <v>23908</v>
      </c>
      <c r="B179" s="5" t="s">
        <v>23909</v>
      </c>
      <c r="C179" s="5" t="s">
        <v>23910</v>
      </c>
      <c r="D179" s="246" t="s">
        <v>68</v>
      </c>
      <c r="E179" s="5" t="s">
        <v>23911</v>
      </c>
      <c r="F179" s="26" t="s">
        <v>23600</v>
      </c>
      <c r="G179" s="27" t="s">
        <v>12058</v>
      </c>
      <c r="H179" s="28" t="s">
        <v>12059</v>
      </c>
      <c r="I179" s="5" t="s">
        <v>124</v>
      </c>
    </row>
    <row r="180" spans="1:9" ht="51.75" customHeight="1">
      <c r="A180" s="5" t="s">
        <v>23884</v>
      </c>
      <c r="B180" s="5" t="s">
        <v>23912</v>
      </c>
      <c r="C180" s="5" t="s">
        <v>23913</v>
      </c>
      <c r="D180" s="246" t="s">
        <v>68</v>
      </c>
      <c r="E180" s="5" t="s">
        <v>23914</v>
      </c>
      <c r="F180" s="26" t="s">
        <v>23600</v>
      </c>
      <c r="G180" s="27" t="s">
        <v>15170</v>
      </c>
      <c r="H180" s="28" t="s">
        <v>15171</v>
      </c>
      <c r="I180" s="5" t="s">
        <v>124</v>
      </c>
    </row>
    <row r="181" spans="1:9" ht="51.75" customHeight="1">
      <c r="A181" s="5" t="s">
        <v>23915</v>
      </c>
      <c r="B181" s="5" t="s">
        <v>23916</v>
      </c>
      <c r="C181" s="5" t="s">
        <v>23917</v>
      </c>
      <c r="D181" s="246">
        <v>43599</v>
      </c>
      <c r="E181" s="5" t="s">
        <v>23918</v>
      </c>
      <c r="F181" s="26" t="s">
        <v>23600</v>
      </c>
      <c r="G181" s="27" t="s">
        <v>15217</v>
      </c>
      <c r="H181" s="28" t="s">
        <v>15218</v>
      </c>
      <c r="I181" s="5" t="s">
        <v>124</v>
      </c>
    </row>
    <row r="182" spans="1:9" ht="51.75" customHeight="1">
      <c r="A182" s="5" t="s">
        <v>23919</v>
      </c>
      <c r="B182" s="5" t="s">
        <v>23920</v>
      </c>
      <c r="C182" s="5" t="s">
        <v>23921</v>
      </c>
      <c r="D182" s="246" t="s">
        <v>68</v>
      </c>
      <c r="E182" s="5" t="s">
        <v>23922</v>
      </c>
      <c r="F182" s="26" t="s">
        <v>23600</v>
      </c>
      <c r="G182" s="27" t="s">
        <v>15314</v>
      </c>
      <c r="H182" s="28" t="s">
        <v>15315</v>
      </c>
      <c r="I182" s="5" t="s">
        <v>124</v>
      </c>
    </row>
    <row r="183" spans="1:9" ht="51.75" customHeight="1">
      <c r="A183" s="5" t="s">
        <v>23923</v>
      </c>
      <c r="B183" s="5" t="s">
        <v>23924</v>
      </c>
      <c r="C183" s="5" t="s">
        <v>23925</v>
      </c>
      <c r="D183" s="246">
        <v>43647</v>
      </c>
      <c r="E183" s="5" t="s">
        <v>23926</v>
      </c>
      <c r="F183" s="26" t="s">
        <v>23600</v>
      </c>
      <c r="G183" s="27" t="s">
        <v>15432</v>
      </c>
      <c r="H183" s="28" t="s">
        <v>15433</v>
      </c>
      <c r="I183" s="5" t="s">
        <v>124</v>
      </c>
    </row>
    <row r="184" spans="1:9" ht="51.75" customHeight="1">
      <c r="A184" s="5" t="s">
        <v>23927</v>
      </c>
      <c r="B184" s="5" t="s">
        <v>23928</v>
      </c>
      <c r="C184" s="5" t="s">
        <v>23929</v>
      </c>
      <c r="D184" s="246">
        <v>43647</v>
      </c>
      <c r="E184" s="5" t="s">
        <v>23930</v>
      </c>
      <c r="F184" s="26" t="s">
        <v>23600</v>
      </c>
      <c r="G184" s="27" t="s">
        <v>15432</v>
      </c>
      <c r="H184" s="28" t="s">
        <v>15433</v>
      </c>
      <c r="I184" s="5" t="s">
        <v>124</v>
      </c>
    </row>
    <row r="185" spans="1:9" ht="51.75" customHeight="1">
      <c r="A185" s="5" t="s">
        <v>23896</v>
      </c>
      <c r="B185" s="5" t="s">
        <v>23931</v>
      </c>
      <c r="C185" s="5" t="s">
        <v>23932</v>
      </c>
      <c r="D185" s="246" t="s">
        <v>68</v>
      </c>
      <c r="E185" s="5" t="s">
        <v>23933</v>
      </c>
      <c r="F185" s="26" t="s">
        <v>23600</v>
      </c>
      <c r="G185" s="27" t="s">
        <v>15704</v>
      </c>
      <c r="H185" s="28" t="s">
        <v>15705</v>
      </c>
      <c r="I185" s="5" t="s">
        <v>124</v>
      </c>
    </row>
    <row r="186" spans="1:9" ht="51.75" customHeight="1">
      <c r="A186" s="5" t="s">
        <v>23934</v>
      </c>
      <c r="B186" s="5" t="s">
        <v>23935</v>
      </c>
      <c r="C186" s="5" t="s">
        <v>23936</v>
      </c>
      <c r="D186" s="246">
        <v>43791</v>
      </c>
      <c r="E186" s="5" t="s">
        <v>23937</v>
      </c>
      <c r="F186" s="26" t="s">
        <v>23600</v>
      </c>
      <c r="G186" s="27" t="s">
        <v>15824</v>
      </c>
      <c r="H186" s="28" t="s">
        <v>15825</v>
      </c>
      <c r="I186" s="5" t="s">
        <v>124</v>
      </c>
    </row>
    <row r="187" spans="1:9" ht="51.75" customHeight="1">
      <c r="A187" s="5" t="s">
        <v>23938</v>
      </c>
      <c r="B187" s="5" t="s">
        <v>23939</v>
      </c>
      <c r="C187" s="5" t="s">
        <v>23940</v>
      </c>
      <c r="D187" s="246" t="s">
        <v>68</v>
      </c>
      <c r="E187" s="5" t="s">
        <v>23941</v>
      </c>
      <c r="F187" s="26" t="s">
        <v>23600</v>
      </c>
      <c r="G187" s="27" t="s">
        <v>15879</v>
      </c>
      <c r="H187" s="28" t="s">
        <v>15880</v>
      </c>
      <c r="I187" s="5" t="s">
        <v>124</v>
      </c>
    </row>
    <row r="188" spans="1:9" ht="51.75" customHeight="1">
      <c r="A188" s="5" t="s">
        <v>23942</v>
      </c>
      <c r="B188" s="5" t="s">
        <v>23943</v>
      </c>
      <c r="C188" s="5" t="s">
        <v>23944</v>
      </c>
      <c r="D188" s="246" t="s">
        <v>68</v>
      </c>
      <c r="E188" s="5" t="s">
        <v>23945</v>
      </c>
      <c r="F188" s="26" t="s">
        <v>23600</v>
      </c>
      <c r="G188" s="27" t="s">
        <v>15961</v>
      </c>
      <c r="H188" s="28" t="s">
        <v>15962</v>
      </c>
      <c r="I188" s="5" t="s">
        <v>124</v>
      </c>
    </row>
    <row r="189" spans="1:9" ht="51.75" customHeight="1">
      <c r="A189" s="5" t="s">
        <v>23946</v>
      </c>
      <c r="B189" s="5" t="s">
        <v>23947</v>
      </c>
      <c r="C189" s="5" t="s">
        <v>23948</v>
      </c>
      <c r="D189" s="246">
        <v>43852</v>
      </c>
      <c r="E189" s="5" t="s">
        <v>23949</v>
      </c>
      <c r="F189" s="26" t="s">
        <v>23605</v>
      </c>
      <c r="G189" s="27" t="s">
        <v>16140</v>
      </c>
      <c r="H189" s="28" t="s">
        <v>16141</v>
      </c>
      <c r="I189" s="5" t="s">
        <v>124</v>
      </c>
    </row>
    <row r="190" spans="1:9" ht="51.75" customHeight="1">
      <c r="A190" s="5" t="s">
        <v>23946</v>
      </c>
      <c r="B190" s="5" t="s">
        <v>23950</v>
      </c>
      <c r="C190" s="5" t="s">
        <v>23948</v>
      </c>
      <c r="D190" s="246">
        <v>43852</v>
      </c>
      <c r="E190" s="5" t="s">
        <v>23951</v>
      </c>
      <c r="F190" s="26" t="s">
        <v>23600</v>
      </c>
      <c r="G190" s="27" t="s">
        <v>16140</v>
      </c>
      <c r="H190" s="28" t="s">
        <v>16141</v>
      </c>
      <c r="I190" s="5" t="s">
        <v>124</v>
      </c>
    </row>
    <row r="191" spans="1:9" ht="51.75" customHeight="1">
      <c r="A191" s="5" t="s">
        <v>23952</v>
      </c>
      <c r="B191" s="5" t="s">
        <v>23953</v>
      </c>
      <c r="C191" s="5" t="s">
        <v>23954</v>
      </c>
      <c r="D191" s="246">
        <v>43852</v>
      </c>
      <c r="E191" s="5" t="s">
        <v>23955</v>
      </c>
      <c r="F191" s="26" t="s">
        <v>23600</v>
      </c>
      <c r="G191" s="27" t="s">
        <v>16140</v>
      </c>
      <c r="H191" s="28" t="s">
        <v>16141</v>
      </c>
      <c r="I191" s="5" t="s">
        <v>124</v>
      </c>
    </row>
    <row r="192" spans="1:9" ht="51.75" customHeight="1">
      <c r="A192" s="5" t="s">
        <v>23956</v>
      </c>
      <c r="B192" s="5" t="s">
        <v>23957</v>
      </c>
      <c r="C192" s="5" t="s">
        <v>23958</v>
      </c>
      <c r="D192" s="246" t="s">
        <v>68</v>
      </c>
      <c r="E192" s="5" t="s">
        <v>23959</v>
      </c>
      <c r="F192" s="26" t="s">
        <v>23600</v>
      </c>
      <c r="G192" s="27" t="s">
        <v>16247</v>
      </c>
      <c r="H192" s="28" t="s">
        <v>16248</v>
      </c>
      <c r="I192" s="5" t="s">
        <v>124</v>
      </c>
    </row>
    <row r="193" spans="1:9" ht="51.75" customHeight="1">
      <c r="A193" s="5" t="s">
        <v>23960</v>
      </c>
      <c r="B193" s="5" t="s">
        <v>23961</v>
      </c>
      <c r="C193" s="5" t="s">
        <v>23962</v>
      </c>
      <c r="D193" s="246" t="s">
        <v>68</v>
      </c>
      <c r="E193" s="5" t="s">
        <v>23963</v>
      </c>
      <c r="F193" s="26" t="s">
        <v>23600</v>
      </c>
      <c r="G193" s="27" t="s">
        <v>16398</v>
      </c>
      <c r="H193" s="28" t="s">
        <v>16399</v>
      </c>
      <c r="I193" s="5" t="s">
        <v>124</v>
      </c>
    </row>
    <row r="194" spans="1:9" ht="51.75" customHeight="1">
      <c r="A194" s="5" t="s">
        <v>23964</v>
      </c>
      <c r="B194" s="5" t="s">
        <v>23965</v>
      </c>
      <c r="C194" s="5" t="s">
        <v>23966</v>
      </c>
      <c r="D194" s="246">
        <v>43950</v>
      </c>
      <c r="E194" s="5" t="s">
        <v>23967</v>
      </c>
      <c r="F194" s="26" t="s">
        <v>23600</v>
      </c>
      <c r="G194" s="27" t="s">
        <v>16688</v>
      </c>
      <c r="H194" s="28" t="s">
        <v>16689</v>
      </c>
      <c r="I194" s="5" t="s">
        <v>124</v>
      </c>
    </row>
    <row r="195" spans="1:9" ht="51.75" customHeight="1">
      <c r="A195" s="5" t="s">
        <v>23968</v>
      </c>
      <c r="B195" s="5" t="s">
        <v>23969</v>
      </c>
      <c r="C195" s="5" t="s">
        <v>23970</v>
      </c>
      <c r="D195" s="246" t="s">
        <v>68</v>
      </c>
      <c r="E195" s="5" t="s">
        <v>23971</v>
      </c>
      <c r="F195" s="26" t="s">
        <v>23605</v>
      </c>
      <c r="G195" s="27" t="s">
        <v>16726</v>
      </c>
      <c r="H195" s="28" t="s">
        <v>16727</v>
      </c>
      <c r="I195" s="5" t="s">
        <v>124</v>
      </c>
    </row>
    <row r="196" spans="1:9" ht="51.75" customHeight="1">
      <c r="A196" s="5" t="s">
        <v>23968</v>
      </c>
      <c r="B196" s="5" t="s">
        <v>23972</v>
      </c>
      <c r="C196" s="5" t="s">
        <v>23970</v>
      </c>
      <c r="D196" s="246" t="s">
        <v>68</v>
      </c>
      <c r="E196" s="5" t="s">
        <v>23973</v>
      </c>
      <c r="F196" s="26" t="s">
        <v>23600</v>
      </c>
      <c r="G196" s="27" t="s">
        <v>16726</v>
      </c>
      <c r="H196" s="28" t="s">
        <v>16727</v>
      </c>
      <c r="I196" s="5" t="s">
        <v>124</v>
      </c>
    </row>
    <row r="197" spans="1:9" ht="51.75" customHeight="1">
      <c r="A197" s="5" t="s">
        <v>23974</v>
      </c>
      <c r="B197" s="5" t="s">
        <v>23975</v>
      </c>
      <c r="C197" s="5" t="s">
        <v>23976</v>
      </c>
      <c r="D197" s="246" t="s">
        <v>68</v>
      </c>
      <c r="E197" s="5" t="s">
        <v>23977</v>
      </c>
      <c r="F197" s="26" t="s">
        <v>23605</v>
      </c>
      <c r="G197" s="27" t="s">
        <v>16726</v>
      </c>
      <c r="H197" s="28" t="s">
        <v>16727</v>
      </c>
      <c r="I197" s="5" t="s">
        <v>124</v>
      </c>
    </row>
    <row r="198" spans="1:9" ht="51.75" customHeight="1">
      <c r="A198" s="5" t="s">
        <v>23974</v>
      </c>
      <c r="B198" s="5" t="s">
        <v>23978</v>
      </c>
      <c r="C198" s="5" t="s">
        <v>23976</v>
      </c>
      <c r="D198" s="246" t="s">
        <v>68</v>
      </c>
      <c r="E198" s="5" t="s">
        <v>23979</v>
      </c>
      <c r="F198" s="26" t="s">
        <v>23600</v>
      </c>
      <c r="G198" s="27" t="s">
        <v>16726</v>
      </c>
      <c r="H198" s="28" t="s">
        <v>16727</v>
      </c>
      <c r="I198" s="5" t="s">
        <v>124</v>
      </c>
    </row>
    <row r="199" spans="1:9" ht="51.75" customHeight="1">
      <c r="A199" s="5" t="s">
        <v>23980</v>
      </c>
      <c r="B199" s="5" t="s">
        <v>23981</v>
      </c>
      <c r="C199" s="5" t="s">
        <v>23982</v>
      </c>
      <c r="D199" s="246" t="s">
        <v>68</v>
      </c>
      <c r="E199" s="5" t="s">
        <v>23983</v>
      </c>
      <c r="F199" s="26" t="s">
        <v>23600</v>
      </c>
      <c r="G199" s="27" t="s">
        <v>17000</v>
      </c>
      <c r="H199" s="28" t="s">
        <v>17001</v>
      </c>
      <c r="I199" s="5" t="s">
        <v>124</v>
      </c>
    </row>
    <row r="200" spans="1:9" ht="51.75" customHeight="1">
      <c r="A200" s="5"/>
      <c r="B200" s="5" t="s">
        <v>23984</v>
      </c>
      <c r="C200" s="5" t="s">
        <v>23985</v>
      </c>
      <c r="D200" s="246">
        <v>44221</v>
      </c>
      <c r="E200" s="5" t="s">
        <v>23986</v>
      </c>
      <c r="F200" s="26" t="s">
        <v>23600</v>
      </c>
      <c r="G200" s="27" t="s">
        <v>17325</v>
      </c>
      <c r="H200" s="28" t="s">
        <v>17326</v>
      </c>
      <c r="I200" s="5" t="s">
        <v>124</v>
      </c>
    </row>
    <row r="201" spans="1:9" ht="51.75" customHeight="1">
      <c r="A201" s="5"/>
      <c r="B201" s="5" t="s">
        <v>23987</v>
      </c>
      <c r="C201" s="5" t="s">
        <v>23988</v>
      </c>
      <c r="D201" s="246">
        <v>44315</v>
      </c>
      <c r="E201" s="5" t="s">
        <v>23989</v>
      </c>
      <c r="F201" s="26" t="s">
        <v>23600</v>
      </c>
      <c r="G201" s="27" t="s">
        <v>17726</v>
      </c>
      <c r="H201" s="28" t="s">
        <v>17727</v>
      </c>
      <c r="I201" s="5" t="s">
        <v>124</v>
      </c>
    </row>
    <row r="202" spans="1:9" ht="51.75" customHeight="1">
      <c r="A202" s="5"/>
      <c r="B202" s="5" t="s">
        <v>23990</v>
      </c>
      <c r="C202" s="5" t="s">
        <v>23991</v>
      </c>
      <c r="D202" s="246">
        <v>44315</v>
      </c>
      <c r="E202" s="5" t="s">
        <v>23992</v>
      </c>
      <c r="F202" s="26" t="s">
        <v>23600</v>
      </c>
      <c r="G202" s="27" t="s">
        <v>17726</v>
      </c>
      <c r="H202" s="28" t="s">
        <v>17727</v>
      </c>
      <c r="I202" s="5" t="s">
        <v>124</v>
      </c>
    </row>
    <row r="203" spans="1:9" ht="51.75" customHeight="1">
      <c r="A203" s="5"/>
      <c r="B203" s="5" t="s">
        <v>23993</v>
      </c>
      <c r="C203" s="5" t="s">
        <v>23994</v>
      </c>
      <c r="D203" s="246">
        <v>44315</v>
      </c>
      <c r="E203" s="5" t="s">
        <v>23995</v>
      </c>
      <c r="F203" s="26" t="s">
        <v>23600</v>
      </c>
      <c r="G203" s="27" t="s">
        <v>17726</v>
      </c>
      <c r="H203" s="28" t="s">
        <v>17727</v>
      </c>
      <c r="I203" s="5" t="s">
        <v>124</v>
      </c>
    </row>
    <row r="204" spans="1:9" ht="51.75" customHeight="1">
      <c r="A204" s="5"/>
      <c r="B204" s="5" t="s">
        <v>23996</v>
      </c>
      <c r="C204" s="5" t="s">
        <v>23997</v>
      </c>
      <c r="D204" s="246">
        <v>44315</v>
      </c>
      <c r="E204" s="5" t="s">
        <v>23998</v>
      </c>
      <c r="F204" s="26" t="s">
        <v>23600</v>
      </c>
      <c r="G204" s="27" t="s">
        <v>17726</v>
      </c>
      <c r="H204" s="28" t="s">
        <v>17727</v>
      </c>
      <c r="I204" s="5" t="s">
        <v>124</v>
      </c>
    </row>
    <row r="205" spans="1:9" ht="51.75" customHeight="1">
      <c r="A205" s="5"/>
      <c r="B205" s="5" t="s">
        <v>23999</v>
      </c>
      <c r="C205" s="5" t="s">
        <v>24000</v>
      </c>
      <c r="D205" s="246">
        <v>44165</v>
      </c>
      <c r="E205" s="5" t="s">
        <v>24001</v>
      </c>
      <c r="F205" s="26" t="s">
        <v>23600</v>
      </c>
      <c r="G205" s="27" t="s">
        <v>17194</v>
      </c>
      <c r="H205" s="29" t="s">
        <v>17195</v>
      </c>
      <c r="I205" s="30" t="s">
        <v>124</v>
      </c>
    </row>
    <row r="206" spans="1:9" ht="51.75" customHeight="1">
      <c r="A206" s="5"/>
      <c r="B206" s="5" t="s">
        <v>24002</v>
      </c>
      <c r="C206" s="5" t="s">
        <v>24003</v>
      </c>
      <c r="D206" s="246">
        <v>44165</v>
      </c>
      <c r="E206" s="5" t="s">
        <v>24004</v>
      </c>
      <c r="F206" s="26" t="s">
        <v>23600</v>
      </c>
      <c r="G206" s="27" t="s">
        <v>17194</v>
      </c>
      <c r="H206" s="29" t="s">
        <v>17195</v>
      </c>
      <c r="I206" s="30" t="s">
        <v>124</v>
      </c>
    </row>
    <row r="207" spans="1:9" ht="51.75" customHeight="1">
      <c r="A207" s="5"/>
      <c r="B207" s="5" t="s">
        <v>24005</v>
      </c>
      <c r="C207" s="5" t="s">
        <v>24006</v>
      </c>
      <c r="D207" s="246">
        <v>43996</v>
      </c>
      <c r="E207" s="5" t="s">
        <v>24007</v>
      </c>
      <c r="F207" s="26" t="s">
        <v>23600</v>
      </c>
      <c r="G207" s="27" t="s">
        <v>17893</v>
      </c>
      <c r="H207" s="29" t="s">
        <v>17894</v>
      </c>
      <c r="I207" s="30" t="s">
        <v>124</v>
      </c>
    </row>
    <row r="208" spans="1:9" ht="51.75" customHeight="1">
      <c r="A208" s="5"/>
      <c r="B208" s="5" t="s">
        <v>24008</v>
      </c>
      <c r="C208" s="5" t="s">
        <v>24009</v>
      </c>
      <c r="D208" s="246">
        <v>44322</v>
      </c>
      <c r="E208" s="5" t="s">
        <v>24010</v>
      </c>
      <c r="F208" s="26" t="s">
        <v>23600</v>
      </c>
      <c r="G208" s="27" t="s">
        <v>17119</v>
      </c>
      <c r="H208" s="29" t="s">
        <v>17120</v>
      </c>
      <c r="I208" s="30" t="s">
        <v>124</v>
      </c>
    </row>
    <row r="209" spans="1:9" ht="51.75" customHeight="1">
      <c r="A209" s="5"/>
      <c r="B209" s="5" t="s">
        <v>24011</v>
      </c>
      <c r="C209" s="5" t="s">
        <v>24012</v>
      </c>
      <c r="D209" s="246">
        <v>44322</v>
      </c>
      <c r="E209" s="5" t="s">
        <v>24013</v>
      </c>
      <c r="F209" s="26" t="s">
        <v>23600</v>
      </c>
      <c r="G209" s="27" t="s">
        <v>17119</v>
      </c>
      <c r="H209" s="29" t="s">
        <v>17120</v>
      </c>
      <c r="I209" s="30" t="s">
        <v>124</v>
      </c>
    </row>
    <row r="210" spans="1:9" ht="51.75" customHeight="1">
      <c r="A210" s="5"/>
      <c r="B210" s="5" t="s">
        <v>24014</v>
      </c>
      <c r="C210" s="5" t="s">
        <v>24015</v>
      </c>
      <c r="D210" s="246">
        <v>44322</v>
      </c>
      <c r="E210" s="5" t="s">
        <v>24016</v>
      </c>
      <c r="F210" s="26" t="s">
        <v>23600</v>
      </c>
      <c r="G210" s="27" t="s">
        <v>17119</v>
      </c>
      <c r="H210" s="29" t="s">
        <v>17120</v>
      </c>
      <c r="I210" s="30" t="s">
        <v>124</v>
      </c>
    </row>
    <row r="211" spans="1:9" ht="51.75" customHeight="1">
      <c r="A211" s="5"/>
      <c r="B211" s="5" t="s">
        <v>24017</v>
      </c>
      <c r="C211" s="5" t="s">
        <v>24009</v>
      </c>
      <c r="D211" s="246">
        <v>44322</v>
      </c>
      <c r="E211" s="5" t="s">
        <v>24010</v>
      </c>
      <c r="F211" s="26" t="s">
        <v>23600</v>
      </c>
      <c r="G211" s="30" t="s">
        <v>17632</v>
      </c>
      <c r="H211" s="29" t="s">
        <v>17120</v>
      </c>
      <c r="I211" s="30" t="s">
        <v>124</v>
      </c>
    </row>
    <row r="212" spans="1:9" ht="51.75" customHeight="1">
      <c r="A212" s="5"/>
      <c r="B212" s="5" t="s">
        <v>24018</v>
      </c>
      <c r="C212" s="5" t="s">
        <v>24012</v>
      </c>
      <c r="D212" s="246">
        <v>44322</v>
      </c>
      <c r="E212" s="5" t="s">
        <v>24013</v>
      </c>
      <c r="F212" s="26" t="s">
        <v>23600</v>
      </c>
      <c r="G212" s="30" t="s">
        <v>17632</v>
      </c>
      <c r="H212" s="29" t="s">
        <v>17120</v>
      </c>
      <c r="I212" s="30" t="s">
        <v>124</v>
      </c>
    </row>
    <row r="213" spans="1:9" ht="51.75" customHeight="1">
      <c r="A213" s="5"/>
      <c r="B213" s="5" t="s">
        <v>24019</v>
      </c>
      <c r="C213" s="5" t="s">
        <v>24015</v>
      </c>
      <c r="D213" s="246">
        <v>44322</v>
      </c>
      <c r="E213" s="5" t="s">
        <v>24016</v>
      </c>
      <c r="F213" s="26" t="s">
        <v>23600</v>
      </c>
      <c r="G213" s="30" t="s">
        <v>17632</v>
      </c>
      <c r="H213" s="29" t="s">
        <v>17120</v>
      </c>
      <c r="I213" s="30" t="s">
        <v>124</v>
      </c>
    </row>
    <row r="214" spans="1:9" ht="51.75" customHeight="1">
      <c r="A214" s="5">
        <v>1</v>
      </c>
      <c r="B214" s="5" t="s">
        <v>24020</v>
      </c>
      <c r="C214" s="5" t="s">
        <v>24021</v>
      </c>
      <c r="D214" s="246">
        <v>40640</v>
      </c>
      <c r="E214" s="5" t="s">
        <v>24022</v>
      </c>
      <c r="F214" s="26" t="s">
        <v>23600</v>
      </c>
      <c r="G214" s="27" t="s">
        <v>4838</v>
      </c>
      <c r="H214" s="28" t="s">
        <v>4839</v>
      </c>
      <c r="I214" s="5" t="s">
        <v>58</v>
      </c>
    </row>
    <row r="215" spans="1:9" ht="51.75" customHeight="1">
      <c r="A215" s="5">
        <v>2</v>
      </c>
      <c r="B215" s="5" t="s">
        <v>24023</v>
      </c>
      <c r="C215" s="5" t="s">
        <v>24024</v>
      </c>
      <c r="D215" s="246">
        <v>40640</v>
      </c>
      <c r="E215" s="5" t="s">
        <v>24025</v>
      </c>
      <c r="F215" s="26" t="s">
        <v>23600</v>
      </c>
      <c r="G215" s="27" t="s">
        <v>4838</v>
      </c>
      <c r="H215" s="28" t="s">
        <v>4839</v>
      </c>
      <c r="I215" s="5" t="s">
        <v>58</v>
      </c>
    </row>
    <row r="216" spans="1:9" ht="51.75" customHeight="1">
      <c r="A216" s="5">
        <v>1</v>
      </c>
      <c r="B216" s="5" t="s">
        <v>24026</v>
      </c>
      <c r="C216" s="5" t="s">
        <v>24027</v>
      </c>
      <c r="D216" s="246">
        <v>40690</v>
      </c>
      <c r="E216" s="5" t="s">
        <v>24027</v>
      </c>
      <c r="F216" s="26" t="s">
        <v>23600</v>
      </c>
      <c r="G216" s="27" t="s">
        <v>4803</v>
      </c>
      <c r="H216" s="28" t="s">
        <v>4804</v>
      </c>
      <c r="I216" s="5" t="s">
        <v>58</v>
      </c>
    </row>
    <row r="217" spans="1:9" ht="51.75" customHeight="1">
      <c r="A217" s="5">
        <v>1</v>
      </c>
      <c r="B217" s="5" t="s">
        <v>24028</v>
      </c>
      <c r="C217" s="5" t="s">
        <v>24029</v>
      </c>
      <c r="D217" s="246">
        <v>40247</v>
      </c>
      <c r="E217" s="5" t="s">
        <v>24030</v>
      </c>
      <c r="F217" s="26" t="s">
        <v>23600</v>
      </c>
      <c r="G217" s="27" t="s">
        <v>3651</v>
      </c>
      <c r="H217" s="28" t="s">
        <v>3652</v>
      </c>
      <c r="I217" s="5" t="s">
        <v>58</v>
      </c>
    </row>
    <row r="218" spans="1:9" ht="51.75" customHeight="1">
      <c r="A218" s="5">
        <v>1</v>
      </c>
      <c r="B218" s="5" t="s">
        <v>24031</v>
      </c>
      <c r="C218" s="5" t="s">
        <v>24032</v>
      </c>
      <c r="D218" s="246">
        <v>40646</v>
      </c>
      <c r="E218" s="5" t="s">
        <v>24033</v>
      </c>
      <c r="F218" s="26" t="s">
        <v>23600</v>
      </c>
      <c r="G218" s="27" t="s">
        <v>4615</v>
      </c>
      <c r="H218" s="28" t="s">
        <v>4616</v>
      </c>
      <c r="I218" s="5" t="s">
        <v>58</v>
      </c>
    </row>
    <row r="219" spans="1:9" ht="51.75" customHeight="1">
      <c r="A219" s="5">
        <v>2</v>
      </c>
      <c r="B219" s="5" t="s">
        <v>24034</v>
      </c>
      <c r="C219" s="5" t="s">
        <v>24035</v>
      </c>
      <c r="D219" s="246">
        <v>40646</v>
      </c>
      <c r="E219" s="5" t="s">
        <v>24036</v>
      </c>
      <c r="F219" s="26" t="s">
        <v>23600</v>
      </c>
      <c r="G219" s="27" t="s">
        <v>4615</v>
      </c>
      <c r="H219" s="28" t="s">
        <v>4616</v>
      </c>
      <c r="I219" s="5" t="s">
        <v>58</v>
      </c>
    </row>
    <row r="220" spans="1:9" ht="51.75" customHeight="1">
      <c r="A220" s="5">
        <v>3</v>
      </c>
      <c r="B220" s="5" t="s">
        <v>24037</v>
      </c>
      <c r="C220" s="5" t="s">
        <v>24038</v>
      </c>
      <c r="D220" s="246">
        <v>40646</v>
      </c>
      <c r="E220" s="5" t="s">
        <v>24039</v>
      </c>
      <c r="F220" s="26" t="s">
        <v>23600</v>
      </c>
      <c r="G220" s="27" t="s">
        <v>4615</v>
      </c>
      <c r="H220" s="28" t="s">
        <v>4616</v>
      </c>
      <c r="I220" s="5" t="s">
        <v>58</v>
      </c>
    </row>
    <row r="221" spans="1:9" ht="51.75" customHeight="1">
      <c r="A221" s="5">
        <v>1</v>
      </c>
      <c r="B221" s="5" t="s">
        <v>24040</v>
      </c>
      <c r="C221" s="5" t="s">
        <v>24041</v>
      </c>
      <c r="D221" s="246">
        <v>40743</v>
      </c>
      <c r="E221" s="5" t="s">
        <v>24041</v>
      </c>
      <c r="F221" s="26" t="s">
        <v>23600</v>
      </c>
      <c r="G221" s="27" t="s">
        <v>4635</v>
      </c>
      <c r="H221" s="28" t="s">
        <v>4636</v>
      </c>
      <c r="I221" s="5" t="s">
        <v>58</v>
      </c>
    </row>
    <row r="222" spans="1:9" ht="51.75" customHeight="1">
      <c r="A222" s="5">
        <v>1</v>
      </c>
      <c r="B222" s="5" t="s">
        <v>24042</v>
      </c>
      <c r="C222" s="5" t="s">
        <v>24043</v>
      </c>
      <c r="D222" s="246">
        <v>40668</v>
      </c>
      <c r="E222" s="5" t="s">
        <v>24044</v>
      </c>
      <c r="F222" s="26" t="s">
        <v>23600</v>
      </c>
      <c r="G222" s="27" t="s">
        <v>4438</v>
      </c>
      <c r="H222" s="28" t="s">
        <v>4439</v>
      </c>
      <c r="I222" s="5" t="s">
        <v>58</v>
      </c>
    </row>
    <row r="223" spans="1:9" ht="51.75" customHeight="1">
      <c r="A223" s="5">
        <v>2</v>
      </c>
      <c r="B223" s="5" t="s">
        <v>24045</v>
      </c>
      <c r="C223" s="5" t="s">
        <v>24046</v>
      </c>
      <c r="D223" s="246">
        <v>40668</v>
      </c>
      <c r="E223" s="5" t="s">
        <v>24047</v>
      </c>
      <c r="F223" s="26" t="s">
        <v>23600</v>
      </c>
      <c r="G223" s="27" t="s">
        <v>4438</v>
      </c>
      <c r="H223" s="28" t="s">
        <v>4439</v>
      </c>
      <c r="I223" s="5" t="s">
        <v>58</v>
      </c>
    </row>
    <row r="224" spans="1:9" ht="51.75" customHeight="1">
      <c r="A224" s="5">
        <v>3</v>
      </c>
      <c r="B224" s="5" t="s">
        <v>24048</v>
      </c>
      <c r="C224" s="5" t="s">
        <v>24049</v>
      </c>
      <c r="D224" s="246">
        <v>40668</v>
      </c>
      <c r="E224" s="5" t="s">
        <v>24050</v>
      </c>
      <c r="F224" s="26" t="s">
        <v>23600</v>
      </c>
      <c r="G224" s="27" t="s">
        <v>4438</v>
      </c>
      <c r="H224" s="28" t="s">
        <v>4439</v>
      </c>
      <c r="I224" s="5" t="s">
        <v>58</v>
      </c>
    </row>
    <row r="225" spans="1:9" ht="51.75" customHeight="1">
      <c r="A225" s="5">
        <v>4</v>
      </c>
      <c r="B225" s="5" t="s">
        <v>24051</v>
      </c>
      <c r="C225" s="5" t="s">
        <v>24052</v>
      </c>
      <c r="D225" s="246">
        <v>40668</v>
      </c>
      <c r="E225" s="5" t="s">
        <v>24053</v>
      </c>
      <c r="F225" s="26" t="s">
        <v>23600</v>
      </c>
      <c r="G225" s="27" t="s">
        <v>4438</v>
      </c>
      <c r="H225" s="28" t="s">
        <v>4439</v>
      </c>
      <c r="I225" s="5" t="s">
        <v>58</v>
      </c>
    </row>
    <row r="226" spans="1:9" ht="51.75" customHeight="1">
      <c r="A226" s="5">
        <v>1</v>
      </c>
      <c r="B226" s="5" t="s">
        <v>24054</v>
      </c>
      <c r="C226" s="5" t="s">
        <v>24055</v>
      </c>
      <c r="D226" s="246">
        <v>40673</v>
      </c>
      <c r="E226" s="5" t="s">
        <v>24056</v>
      </c>
      <c r="F226" s="26" t="s">
        <v>23600</v>
      </c>
      <c r="G226" s="27" t="s">
        <v>4381</v>
      </c>
      <c r="H226" s="28" t="s">
        <v>4382</v>
      </c>
      <c r="I226" s="5" t="s">
        <v>58</v>
      </c>
    </row>
    <row r="227" spans="1:9" ht="51.75" customHeight="1">
      <c r="A227" s="5">
        <v>1</v>
      </c>
      <c r="B227" s="5" t="s">
        <v>24057</v>
      </c>
      <c r="C227" s="5" t="s">
        <v>24058</v>
      </c>
      <c r="D227" s="246">
        <v>40316</v>
      </c>
      <c r="E227" s="5" t="s">
        <v>24059</v>
      </c>
      <c r="F227" s="26" t="s">
        <v>23600</v>
      </c>
      <c r="G227" s="27" t="s">
        <v>4199</v>
      </c>
      <c r="H227" s="28" t="s">
        <v>4200</v>
      </c>
      <c r="I227" s="5" t="s">
        <v>58</v>
      </c>
    </row>
    <row r="228" spans="1:9" ht="51.75" customHeight="1">
      <c r="A228" s="5">
        <v>1</v>
      </c>
      <c r="B228" s="5" t="s">
        <v>24060</v>
      </c>
      <c r="C228" s="5" t="s">
        <v>24061</v>
      </c>
      <c r="D228" s="246">
        <v>40507</v>
      </c>
      <c r="E228" s="5" t="s">
        <v>24062</v>
      </c>
      <c r="F228" s="26" t="s">
        <v>23600</v>
      </c>
      <c r="G228" s="27" t="s">
        <v>4133</v>
      </c>
      <c r="H228" s="28" t="s">
        <v>4134</v>
      </c>
      <c r="I228" s="5" t="s">
        <v>58</v>
      </c>
    </row>
    <row r="229" spans="1:9" ht="51.75" customHeight="1">
      <c r="A229" s="5">
        <v>1</v>
      </c>
      <c r="B229" s="5" t="s">
        <v>24063</v>
      </c>
      <c r="C229" s="5" t="s">
        <v>24064</v>
      </c>
      <c r="D229" s="246">
        <v>40673</v>
      </c>
      <c r="E229" s="5" t="s">
        <v>24065</v>
      </c>
      <c r="F229" s="26"/>
      <c r="G229" s="27" t="s">
        <v>3980</v>
      </c>
      <c r="H229" s="28" t="s">
        <v>3981</v>
      </c>
      <c r="I229" s="5" t="s">
        <v>58</v>
      </c>
    </row>
    <row r="230" spans="1:9" ht="51.75" customHeight="1">
      <c r="A230" s="5">
        <v>1</v>
      </c>
      <c r="B230" s="5" t="s">
        <v>24066</v>
      </c>
      <c r="C230" s="5" t="s">
        <v>24067</v>
      </c>
      <c r="D230" s="246">
        <v>40466</v>
      </c>
      <c r="E230" s="5" t="s">
        <v>24068</v>
      </c>
      <c r="F230" s="26" t="s">
        <v>23600</v>
      </c>
      <c r="G230" s="27" t="s">
        <v>3965</v>
      </c>
      <c r="H230" s="28" t="s">
        <v>3966</v>
      </c>
      <c r="I230" s="5" t="s">
        <v>58</v>
      </c>
    </row>
    <row r="231" spans="1:9" ht="51.75" customHeight="1">
      <c r="A231" s="5">
        <v>1</v>
      </c>
      <c r="B231" s="5" t="s">
        <v>24069</v>
      </c>
      <c r="C231" s="5" t="s">
        <v>24070</v>
      </c>
      <c r="D231" s="246">
        <v>40667</v>
      </c>
      <c r="E231" s="5" t="s">
        <v>24071</v>
      </c>
      <c r="F231" s="26" t="s">
        <v>23600</v>
      </c>
      <c r="G231" s="27" t="s">
        <v>3853</v>
      </c>
      <c r="H231" s="28" t="s">
        <v>3854</v>
      </c>
      <c r="I231" s="5" t="s">
        <v>58</v>
      </c>
    </row>
    <row r="232" spans="1:9" ht="51.75" customHeight="1">
      <c r="A232" s="5">
        <v>2</v>
      </c>
      <c r="B232" s="5" t="s">
        <v>24072</v>
      </c>
      <c r="C232" s="5" t="s">
        <v>24073</v>
      </c>
      <c r="D232" s="246">
        <v>40667</v>
      </c>
      <c r="E232" s="5" t="s">
        <v>24074</v>
      </c>
      <c r="F232" s="26" t="s">
        <v>23600</v>
      </c>
      <c r="G232" s="27" t="s">
        <v>3853</v>
      </c>
      <c r="H232" s="28" t="s">
        <v>3854</v>
      </c>
      <c r="I232" s="5" t="s">
        <v>58</v>
      </c>
    </row>
    <row r="233" spans="1:9" ht="51.75" customHeight="1">
      <c r="A233" s="5">
        <v>3</v>
      </c>
      <c r="B233" s="5" t="s">
        <v>24075</v>
      </c>
      <c r="C233" s="5" t="s">
        <v>24076</v>
      </c>
      <c r="D233" s="246">
        <v>40667</v>
      </c>
      <c r="E233" s="5" t="s">
        <v>24077</v>
      </c>
      <c r="F233" s="26" t="s">
        <v>23600</v>
      </c>
      <c r="G233" s="27" t="s">
        <v>3853</v>
      </c>
      <c r="H233" s="28" t="s">
        <v>3854</v>
      </c>
      <c r="I233" s="5" t="s">
        <v>58</v>
      </c>
    </row>
    <row r="234" spans="1:9" ht="51.75" customHeight="1">
      <c r="A234" s="5">
        <v>4</v>
      </c>
      <c r="B234" s="5" t="s">
        <v>24078</v>
      </c>
      <c r="C234" s="5" t="s">
        <v>24079</v>
      </c>
      <c r="D234" s="246">
        <v>40667</v>
      </c>
      <c r="E234" s="5" t="s">
        <v>24080</v>
      </c>
      <c r="F234" s="26" t="s">
        <v>23600</v>
      </c>
      <c r="G234" s="27" t="s">
        <v>3853</v>
      </c>
      <c r="H234" s="28" t="s">
        <v>3854</v>
      </c>
      <c r="I234" s="5" t="s">
        <v>58</v>
      </c>
    </row>
    <row r="235" spans="1:9" ht="51.75" customHeight="1">
      <c r="A235" s="5">
        <v>5</v>
      </c>
      <c r="B235" s="5" t="s">
        <v>24081</v>
      </c>
      <c r="C235" s="5" t="s">
        <v>24082</v>
      </c>
      <c r="D235" s="246">
        <v>40667</v>
      </c>
      <c r="E235" s="5" t="s">
        <v>24083</v>
      </c>
      <c r="F235" s="26" t="s">
        <v>23600</v>
      </c>
      <c r="G235" s="27" t="s">
        <v>3853</v>
      </c>
      <c r="H235" s="28" t="s">
        <v>3854</v>
      </c>
      <c r="I235" s="5" t="s">
        <v>58</v>
      </c>
    </row>
    <row r="236" spans="1:9" ht="51.75" customHeight="1">
      <c r="A236" s="5">
        <v>1</v>
      </c>
      <c r="B236" s="5" t="s">
        <v>24084</v>
      </c>
      <c r="C236" s="5" t="s">
        <v>24085</v>
      </c>
      <c r="D236" s="246">
        <v>40291</v>
      </c>
      <c r="E236" s="5" t="s">
        <v>24086</v>
      </c>
      <c r="F236" s="26" t="s">
        <v>23600</v>
      </c>
      <c r="G236" s="27" t="s">
        <v>3828</v>
      </c>
      <c r="H236" s="28" t="s">
        <v>3829</v>
      </c>
      <c r="I236" s="5" t="s">
        <v>58</v>
      </c>
    </row>
    <row r="237" spans="1:9" ht="51.75" customHeight="1">
      <c r="A237" s="5">
        <v>1</v>
      </c>
      <c r="B237" s="5" t="s">
        <v>24087</v>
      </c>
      <c r="C237" s="5" t="s">
        <v>24088</v>
      </c>
      <c r="D237" s="246">
        <v>40672</v>
      </c>
      <c r="E237" s="5" t="s">
        <v>24089</v>
      </c>
      <c r="F237" s="26" t="s">
        <v>23600</v>
      </c>
      <c r="G237" s="27" t="s">
        <v>3783</v>
      </c>
      <c r="H237" s="28" t="s">
        <v>3784</v>
      </c>
      <c r="I237" s="5" t="s">
        <v>58</v>
      </c>
    </row>
    <row r="238" spans="1:9" ht="51.75" customHeight="1">
      <c r="A238" s="5">
        <v>1</v>
      </c>
      <c r="B238" s="5" t="s">
        <v>24090</v>
      </c>
      <c r="C238" s="5" t="s">
        <v>24091</v>
      </c>
      <c r="D238" s="246">
        <v>40287</v>
      </c>
      <c r="E238" s="5" t="s">
        <v>24092</v>
      </c>
      <c r="F238" s="26" t="s">
        <v>23600</v>
      </c>
      <c r="G238" s="27" t="s">
        <v>3694</v>
      </c>
      <c r="H238" s="28" t="s">
        <v>3695</v>
      </c>
      <c r="I238" s="5" t="s">
        <v>58</v>
      </c>
    </row>
    <row r="239" spans="1:9" ht="51.75" customHeight="1">
      <c r="A239" s="5">
        <v>1</v>
      </c>
      <c r="B239" s="5" t="s">
        <v>24093</v>
      </c>
      <c r="C239" s="5" t="s">
        <v>24094</v>
      </c>
      <c r="D239" s="246">
        <v>40674</v>
      </c>
      <c r="E239" s="5" t="s">
        <v>24095</v>
      </c>
      <c r="F239" s="26" t="s">
        <v>23600</v>
      </c>
      <c r="G239" s="27" t="s">
        <v>3513</v>
      </c>
      <c r="H239" s="28" t="s">
        <v>3514</v>
      </c>
      <c r="I239" s="5" t="s">
        <v>58</v>
      </c>
    </row>
    <row r="240" spans="1:9" ht="51.75" customHeight="1">
      <c r="A240" s="5">
        <v>2</v>
      </c>
      <c r="B240" s="5" t="s">
        <v>24096</v>
      </c>
      <c r="C240" s="5" t="s">
        <v>24097</v>
      </c>
      <c r="D240" s="246">
        <v>40674</v>
      </c>
      <c r="E240" s="5" t="s">
        <v>24098</v>
      </c>
      <c r="F240" s="26" t="s">
        <v>23600</v>
      </c>
      <c r="G240" s="27" t="s">
        <v>3513</v>
      </c>
      <c r="H240" s="28" t="s">
        <v>3514</v>
      </c>
      <c r="I240" s="5" t="s">
        <v>58</v>
      </c>
    </row>
    <row r="241" spans="1:9" ht="51.75" customHeight="1">
      <c r="A241" s="5">
        <v>1</v>
      </c>
      <c r="B241" s="5" t="s">
        <v>24099</v>
      </c>
      <c r="C241" s="5" t="s">
        <v>24100</v>
      </c>
      <c r="D241" s="246">
        <v>40287</v>
      </c>
      <c r="E241" s="5" t="s">
        <v>24101</v>
      </c>
      <c r="F241" s="26" t="s">
        <v>23600</v>
      </c>
      <c r="G241" s="27" t="s">
        <v>3582</v>
      </c>
      <c r="H241" s="28" t="s">
        <v>3583</v>
      </c>
      <c r="I241" s="5" t="s">
        <v>58</v>
      </c>
    </row>
    <row r="242" spans="1:9" ht="51.75" customHeight="1">
      <c r="A242" s="5">
        <v>2</v>
      </c>
      <c r="B242" s="5" t="s">
        <v>24102</v>
      </c>
      <c r="C242" s="5" t="s">
        <v>24103</v>
      </c>
      <c r="D242" s="246">
        <v>40287</v>
      </c>
      <c r="E242" s="5" t="s">
        <v>24104</v>
      </c>
      <c r="F242" s="26" t="s">
        <v>23600</v>
      </c>
      <c r="G242" s="27" t="s">
        <v>3582</v>
      </c>
      <c r="H242" s="28" t="s">
        <v>3583</v>
      </c>
      <c r="I242" s="5" t="s">
        <v>58</v>
      </c>
    </row>
    <row r="243" spans="1:9" ht="51.75" customHeight="1">
      <c r="A243" s="5">
        <v>1</v>
      </c>
      <c r="B243" s="5" t="s">
        <v>24105</v>
      </c>
      <c r="C243" s="5" t="s">
        <v>24106</v>
      </c>
      <c r="D243" s="246">
        <v>40280</v>
      </c>
      <c r="E243" s="5" t="s">
        <v>24107</v>
      </c>
      <c r="F243" s="26" t="s">
        <v>23600</v>
      </c>
      <c r="G243" s="27" t="s">
        <v>3296</v>
      </c>
      <c r="H243" s="28" t="s">
        <v>3297</v>
      </c>
      <c r="I243" s="5" t="s">
        <v>58</v>
      </c>
    </row>
    <row r="244" spans="1:9" ht="51.75" customHeight="1">
      <c r="A244" s="5">
        <v>2</v>
      </c>
      <c r="B244" s="5" t="s">
        <v>24108</v>
      </c>
      <c r="C244" s="5" t="s">
        <v>24109</v>
      </c>
      <c r="D244" s="246">
        <v>40280</v>
      </c>
      <c r="E244" s="5" t="s">
        <v>24110</v>
      </c>
      <c r="F244" s="26" t="s">
        <v>23600</v>
      </c>
      <c r="G244" s="27" t="s">
        <v>3296</v>
      </c>
      <c r="H244" s="28" t="s">
        <v>3297</v>
      </c>
      <c r="I244" s="5" t="s">
        <v>58</v>
      </c>
    </row>
    <row r="245" spans="1:9" ht="51.75" customHeight="1">
      <c r="A245" s="5">
        <v>3</v>
      </c>
      <c r="B245" s="5" t="s">
        <v>24111</v>
      </c>
      <c r="C245" s="5" t="s">
        <v>24112</v>
      </c>
      <c r="D245" s="246">
        <v>40280</v>
      </c>
      <c r="E245" s="5" t="s">
        <v>24113</v>
      </c>
      <c r="F245" s="26" t="s">
        <v>23600</v>
      </c>
      <c r="G245" s="27" t="s">
        <v>3296</v>
      </c>
      <c r="H245" s="28" t="s">
        <v>3297</v>
      </c>
      <c r="I245" s="5" t="s">
        <v>58</v>
      </c>
    </row>
    <row r="246" spans="1:9" ht="51.75" customHeight="1">
      <c r="A246" s="5">
        <v>4</v>
      </c>
      <c r="B246" s="5" t="s">
        <v>24114</v>
      </c>
      <c r="C246" s="5" t="s">
        <v>24115</v>
      </c>
      <c r="D246" s="246">
        <v>40280</v>
      </c>
      <c r="E246" s="5" t="s">
        <v>24116</v>
      </c>
      <c r="F246" s="26" t="s">
        <v>23600</v>
      </c>
      <c r="G246" s="27" t="s">
        <v>3296</v>
      </c>
      <c r="H246" s="28" t="s">
        <v>3297</v>
      </c>
      <c r="I246" s="5" t="s">
        <v>58</v>
      </c>
    </row>
    <row r="247" spans="1:9" ht="51.75" customHeight="1">
      <c r="A247" s="5">
        <v>1</v>
      </c>
      <c r="B247" s="5" t="s">
        <v>24117</v>
      </c>
      <c r="C247" s="5" t="s">
        <v>24118</v>
      </c>
      <c r="D247" s="246">
        <v>39990</v>
      </c>
      <c r="E247" s="5" t="s">
        <v>24119</v>
      </c>
      <c r="F247" s="26" t="s">
        <v>23600</v>
      </c>
      <c r="G247" s="27" t="s">
        <v>3160</v>
      </c>
      <c r="H247" s="28" t="s">
        <v>3161</v>
      </c>
      <c r="I247" s="5" t="s">
        <v>58</v>
      </c>
    </row>
    <row r="248" spans="1:9" ht="51.75" customHeight="1">
      <c r="A248" s="5">
        <v>2</v>
      </c>
      <c r="B248" s="5" t="s">
        <v>24120</v>
      </c>
      <c r="C248" s="5" t="s">
        <v>24121</v>
      </c>
      <c r="D248" s="246">
        <v>39990</v>
      </c>
      <c r="E248" s="5" t="s">
        <v>24122</v>
      </c>
      <c r="F248" s="26" t="s">
        <v>23600</v>
      </c>
      <c r="G248" s="27" t="s">
        <v>3160</v>
      </c>
      <c r="H248" s="28" t="s">
        <v>3161</v>
      </c>
      <c r="I248" s="5" t="s">
        <v>58</v>
      </c>
    </row>
    <row r="249" spans="1:9" ht="51.75" customHeight="1">
      <c r="A249" s="5" t="s">
        <v>24123</v>
      </c>
      <c r="B249" s="5" t="s">
        <v>24124</v>
      </c>
      <c r="C249" s="5" t="s">
        <v>24125</v>
      </c>
      <c r="D249" s="246">
        <v>39979</v>
      </c>
      <c r="E249" s="5" t="s">
        <v>24126</v>
      </c>
      <c r="F249" s="26" t="s">
        <v>23600</v>
      </c>
      <c r="G249" s="27" t="s">
        <v>3160</v>
      </c>
      <c r="H249" s="28" t="s">
        <v>3161</v>
      </c>
      <c r="I249" s="5" t="s">
        <v>58</v>
      </c>
    </row>
    <row r="250" spans="1:9" ht="51.75" customHeight="1">
      <c r="A250" s="5">
        <v>1</v>
      </c>
      <c r="B250" s="5" t="s">
        <v>24127</v>
      </c>
      <c r="C250" s="5" t="s">
        <v>24128</v>
      </c>
      <c r="D250" s="246">
        <v>40056</v>
      </c>
      <c r="E250" s="5" t="s">
        <v>24129</v>
      </c>
      <c r="F250" s="26" t="s">
        <v>23600</v>
      </c>
      <c r="G250" s="27" t="s">
        <v>2842</v>
      </c>
      <c r="H250" s="28" t="s">
        <v>2843</v>
      </c>
      <c r="I250" s="5" t="s">
        <v>58</v>
      </c>
    </row>
    <row r="251" spans="1:9" ht="51.75" customHeight="1">
      <c r="A251" s="5">
        <v>2</v>
      </c>
      <c r="B251" s="5" t="s">
        <v>24130</v>
      </c>
      <c r="C251" s="5" t="s">
        <v>24131</v>
      </c>
      <c r="D251" s="246">
        <v>40056</v>
      </c>
      <c r="E251" s="5" t="s">
        <v>24132</v>
      </c>
      <c r="F251" s="26" t="s">
        <v>23600</v>
      </c>
      <c r="G251" s="27" t="s">
        <v>2842</v>
      </c>
      <c r="H251" s="28" t="s">
        <v>2843</v>
      </c>
      <c r="I251" s="5" t="s">
        <v>58</v>
      </c>
    </row>
    <row r="252" spans="1:9" ht="51.75" customHeight="1">
      <c r="A252" s="5">
        <v>1</v>
      </c>
      <c r="B252" s="5" t="s">
        <v>24133</v>
      </c>
      <c r="C252" s="5" t="s">
        <v>24134</v>
      </c>
      <c r="D252" s="246">
        <v>40031</v>
      </c>
      <c r="E252" s="5" t="s">
        <v>24135</v>
      </c>
      <c r="F252" s="26" t="s">
        <v>23600</v>
      </c>
      <c r="G252" s="27" t="s">
        <v>2921</v>
      </c>
      <c r="H252" s="28" t="s">
        <v>2922</v>
      </c>
      <c r="I252" s="5" t="s">
        <v>58</v>
      </c>
    </row>
    <row r="253" spans="1:9" ht="51.75" customHeight="1">
      <c r="A253" s="5">
        <v>2</v>
      </c>
      <c r="B253" s="5" t="s">
        <v>24136</v>
      </c>
      <c r="C253" s="5" t="s">
        <v>24137</v>
      </c>
      <c r="D253" s="246">
        <v>40031</v>
      </c>
      <c r="E253" s="5" t="s">
        <v>24138</v>
      </c>
      <c r="F253" s="26" t="s">
        <v>23600</v>
      </c>
      <c r="G253" s="27" t="s">
        <v>2921</v>
      </c>
      <c r="H253" s="28" t="s">
        <v>2922</v>
      </c>
      <c r="I253" s="5" t="s">
        <v>58</v>
      </c>
    </row>
    <row r="254" spans="1:9" ht="51.75" customHeight="1">
      <c r="A254" s="5">
        <v>1</v>
      </c>
      <c r="B254" s="5" t="s">
        <v>24139</v>
      </c>
      <c r="C254" s="5" t="s">
        <v>24140</v>
      </c>
      <c r="D254" s="246">
        <v>39990</v>
      </c>
      <c r="E254" s="5" t="s">
        <v>24141</v>
      </c>
      <c r="F254" s="26" t="s">
        <v>23600</v>
      </c>
      <c r="G254" s="27" t="s">
        <v>3040</v>
      </c>
      <c r="H254" s="28" t="s">
        <v>3041</v>
      </c>
      <c r="I254" s="5" t="s">
        <v>58</v>
      </c>
    </row>
    <row r="255" spans="1:9" ht="51.75" customHeight="1">
      <c r="A255" s="5">
        <v>2</v>
      </c>
      <c r="B255" s="5" t="s">
        <v>24142</v>
      </c>
      <c r="C255" s="5" t="s">
        <v>24143</v>
      </c>
      <c r="D255" s="246">
        <v>39990</v>
      </c>
      <c r="E255" s="5" t="s">
        <v>24144</v>
      </c>
      <c r="F255" s="26" t="s">
        <v>23600</v>
      </c>
      <c r="G255" s="27" t="s">
        <v>3040</v>
      </c>
      <c r="H255" s="28" t="s">
        <v>3041</v>
      </c>
      <c r="I255" s="5" t="s">
        <v>58</v>
      </c>
    </row>
    <row r="256" spans="1:9" ht="51.75" customHeight="1">
      <c r="A256" s="5">
        <v>1</v>
      </c>
      <c r="B256" s="5" t="s">
        <v>24145</v>
      </c>
      <c r="C256" s="5" t="s">
        <v>24146</v>
      </c>
      <c r="D256" s="246">
        <v>40066</v>
      </c>
      <c r="E256" s="5" t="s">
        <v>24146</v>
      </c>
      <c r="F256" s="26" t="s">
        <v>23600</v>
      </c>
      <c r="G256" s="27" t="s">
        <v>3002</v>
      </c>
      <c r="H256" s="28" t="s">
        <v>3003</v>
      </c>
      <c r="I256" s="5" t="s">
        <v>58</v>
      </c>
    </row>
    <row r="257" spans="1:9" ht="51.75" customHeight="1">
      <c r="A257" s="5">
        <v>1</v>
      </c>
      <c r="B257" s="5" t="s">
        <v>24147</v>
      </c>
      <c r="C257" s="5" t="s">
        <v>24148</v>
      </c>
      <c r="D257" s="246">
        <v>40121</v>
      </c>
      <c r="E257" s="5" t="s">
        <v>24149</v>
      </c>
      <c r="F257" s="26" t="s">
        <v>23600</v>
      </c>
      <c r="G257" s="27" t="s">
        <v>2957</v>
      </c>
      <c r="H257" s="28" t="s">
        <v>2958</v>
      </c>
      <c r="I257" s="5" t="s">
        <v>58</v>
      </c>
    </row>
    <row r="258" spans="1:9" ht="51.75" customHeight="1">
      <c r="A258" s="5">
        <v>2</v>
      </c>
      <c r="B258" s="5" t="s">
        <v>24150</v>
      </c>
      <c r="C258" s="5" t="s">
        <v>24151</v>
      </c>
      <c r="D258" s="246">
        <v>40121</v>
      </c>
      <c r="E258" s="5" t="s">
        <v>24152</v>
      </c>
      <c r="F258" s="26" t="s">
        <v>23600</v>
      </c>
      <c r="G258" s="27" t="s">
        <v>2957</v>
      </c>
      <c r="H258" s="28" t="s">
        <v>2958</v>
      </c>
      <c r="I258" s="5" t="s">
        <v>58</v>
      </c>
    </row>
    <row r="259" spans="1:9" ht="51.75" customHeight="1">
      <c r="A259" s="5">
        <v>3</v>
      </c>
      <c r="B259" s="5" t="s">
        <v>24153</v>
      </c>
      <c r="C259" s="5" t="s">
        <v>24154</v>
      </c>
      <c r="D259" s="246">
        <v>40121</v>
      </c>
      <c r="E259" s="5" t="s">
        <v>24155</v>
      </c>
      <c r="F259" s="26" t="s">
        <v>23600</v>
      </c>
      <c r="G259" s="27" t="s">
        <v>2957</v>
      </c>
      <c r="H259" s="28" t="s">
        <v>2958</v>
      </c>
      <c r="I259" s="5" t="s">
        <v>58</v>
      </c>
    </row>
    <row r="260" spans="1:9" ht="51.75" customHeight="1">
      <c r="A260" s="5">
        <v>4</v>
      </c>
      <c r="B260" s="5" t="s">
        <v>24156</v>
      </c>
      <c r="C260" s="5" t="s">
        <v>24157</v>
      </c>
      <c r="D260" s="246">
        <v>40121</v>
      </c>
      <c r="E260" s="5" t="s">
        <v>24158</v>
      </c>
      <c r="F260" s="26" t="s">
        <v>23600</v>
      </c>
      <c r="G260" s="27" t="s">
        <v>2957</v>
      </c>
      <c r="H260" s="28" t="s">
        <v>2958</v>
      </c>
      <c r="I260" s="5" t="s">
        <v>58</v>
      </c>
    </row>
    <row r="261" spans="1:9" ht="51.75" customHeight="1">
      <c r="A261" s="5">
        <v>5</v>
      </c>
      <c r="B261" s="5" t="s">
        <v>24159</v>
      </c>
      <c r="C261" s="5" t="s">
        <v>24160</v>
      </c>
      <c r="D261" s="246">
        <v>40121</v>
      </c>
      <c r="E261" s="5" t="s">
        <v>24161</v>
      </c>
      <c r="F261" s="26" t="s">
        <v>23600</v>
      </c>
      <c r="G261" s="27" t="s">
        <v>2957</v>
      </c>
      <c r="H261" s="28" t="s">
        <v>2958</v>
      </c>
      <c r="I261" s="5" t="s">
        <v>58</v>
      </c>
    </row>
    <row r="262" spans="1:9" ht="51.75" customHeight="1">
      <c r="A262" s="5" t="s">
        <v>24162</v>
      </c>
      <c r="B262" s="5" t="s">
        <v>24163</v>
      </c>
      <c r="C262" s="5" t="s">
        <v>24164</v>
      </c>
      <c r="D262" s="246">
        <v>39253</v>
      </c>
      <c r="E262" s="5" t="s">
        <v>24165</v>
      </c>
      <c r="F262" s="26" t="s">
        <v>23600</v>
      </c>
      <c r="G262" s="27" t="s">
        <v>390</v>
      </c>
      <c r="H262" s="28" t="s">
        <v>391</v>
      </c>
      <c r="I262" s="5" t="s">
        <v>58</v>
      </c>
    </row>
    <row r="263" spans="1:9" ht="51.75" customHeight="1">
      <c r="A263" s="5" t="s">
        <v>24166</v>
      </c>
      <c r="B263" s="5" t="s">
        <v>24167</v>
      </c>
      <c r="C263" s="5" t="s">
        <v>24168</v>
      </c>
      <c r="D263" s="246">
        <v>39253</v>
      </c>
      <c r="E263" s="5" t="s">
        <v>24169</v>
      </c>
      <c r="F263" s="26" t="s">
        <v>23600</v>
      </c>
      <c r="G263" s="27" t="s">
        <v>390</v>
      </c>
      <c r="H263" s="28" t="s">
        <v>391</v>
      </c>
      <c r="I263" s="5" t="s">
        <v>58</v>
      </c>
    </row>
    <row r="264" spans="1:9" ht="51.75" customHeight="1">
      <c r="A264" s="5" t="s">
        <v>24170</v>
      </c>
      <c r="B264" s="5" t="s">
        <v>24171</v>
      </c>
      <c r="C264" s="5" t="s">
        <v>24172</v>
      </c>
      <c r="D264" s="246">
        <v>39253</v>
      </c>
      <c r="E264" s="5" t="s">
        <v>24173</v>
      </c>
      <c r="F264" s="26" t="s">
        <v>23600</v>
      </c>
      <c r="G264" s="27" t="s">
        <v>390</v>
      </c>
      <c r="H264" s="28" t="s">
        <v>391</v>
      </c>
      <c r="I264" s="5" t="s">
        <v>58</v>
      </c>
    </row>
    <row r="265" spans="1:9" ht="51.75" customHeight="1">
      <c r="A265" s="5" t="s">
        <v>24174</v>
      </c>
      <c r="B265" s="5" t="s">
        <v>24175</v>
      </c>
      <c r="C265" s="5" t="s">
        <v>24176</v>
      </c>
      <c r="D265" s="246">
        <v>39253</v>
      </c>
      <c r="E265" s="5" t="s">
        <v>24177</v>
      </c>
      <c r="F265" s="26" t="s">
        <v>23600</v>
      </c>
      <c r="G265" s="27" t="s">
        <v>390</v>
      </c>
      <c r="H265" s="28" t="s">
        <v>391</v>
      </c>
      <c r="I265" s="5" t="s">
        <v>58</v>
      </c>
    </row>
    <row r="266" spans="1:9" ht="51.75" customHeight="1">
      <c r="A266" s="5" t="s">
        <v>24178</v>
      </c>
      <c r="B266" s="5" t="s">
        <v>24179</v>
      </c>
      <c r="C266" s="5" t="s">
        <v>24180</v>
      </c>
      <c r="D266" s="246">
        <v>39253</v>
      </c>
      <c r="E266" s="5" t="s">
        <v>24181</v>
      </c>
      <c r="F266" s="26" t="s">
        <v>23600</v>
      </c>
      <c r="G266" s="27" t="s">
        <v>390</v>
      </c>
      <c r="H266" s="28" t="s">
        <v>391</v>
      </c>
      <c r="I266" s="5" t="s">
        <v>58</v>
      </c>
    </row>
    <row r="267" spans="1:9" ht="51.75" customHeight="1">
      <c r="A267" s="5" t="s">
        <v>24182</v>
      </c>
      <c r="B267" s="5" t="s">
        <v>24183</v>
      </c>
      <c r="C267" s="5" t="s">
        <v>24184</v>
      </c>
      <c r="D267" s="246">
        <v>39253</v>
      </c>
      <c r="E267" s="5" t="s">
        <v>24185</v>
      </c>
      <c r="F267" s="26" t="s">
        <v>23600</v>
      </c>
      <c r="G267" s="27" t="s">
        <v>390</v>
      </c>
      <c r="H267" s="28" t="s">
        <v>391</v>
      </c>
      <c r="I267" s="5" t="s">
        <v>58</v>
      </c>
    </row>
    <row r="268" spans="1:9" ht="51.75" customHeight="1">
      <c r="A268" s="5" t="s">
        <v>23788</v>
      </c>
      <c r="B268" s="5" t="s">
        <v>24186</v>
      </c>
      <c r="C268" s="5" t="s">
        <v>24187</v>
      </c>
      <c r="D268" s="246">
        <v>39253</v>
      </c>
      <c r="E268" s="5" t="s">
        <v>24188</v>
      </c>
      <c r="F268" s="26" t="s">
        <v>23600</v>
      </c>
      <c r="G268" s="27" t="s">
        <v>390</v>
      </c>
      <c r="H268" s="28" t="s">
        <v>391</v>
      </c>
      <c r="I268" s="5" t="s">
        <v>58</v>
      </c>
    </row>
    <row r="269" spans="1:9" ht="51.75" customHeight="1">
      <c r="A269" s="5" t="s">
        <v>23806</v>
      </c>
      <c r="B269" s="5" t="s">
        <v>24189</v>
      </c>
      <c r="C269" s="5" t="s">
        <v>24190</v>
      </c>
      <c r="D269" s="246">
        <v>39253</v>
      </c>
      <c r="E269" s="5" t="s">
        <v>24191</v>
      </c>
      <c r="F269" s="26" t="s">
        <v>23600</v>
      </c>
      <c r="G269" s="27" t="s">
        <v>390</v>
      </c>
      <c r="H269" s="28" t="s">
        <v>391</v>
      </c>
      <c r="I269" s="5" t="s">
        <v>58</v>
      </c>
    </row>
    <row r="270" spans="1:9" ht="51.75" customHeight="1">
      <c r="A270" s="5" t="s">
        <v>24192</v>
      </c>
      <c r="B270" s="5" t="s">
        <v>24193</v>
      </c>
      <c r="C270" s="5" t="s">
        <v>24194</v>
      </c>
      <c r="D270" s="246">
        <v>39253</v>
      </c>
      <c r="E270" s="5" t="s">
        <v>24195</v>
      </c>
      <c r="F270" s="26" t="s">
        <v>23600</v>
      </c>
      <c r="G270" s="27" t="s">
        <v>390</v>
      </c>
      <c r="H270" s="28" t="s">
        <v>391</v>
      </c>
      <c r="I270" s="5" t="s">
        <v>58</v>
      </c>
    </row>
    <row r="271" spans="1:9" ht="51.75" customHeight="1">
      <c r="A271" s="5" t="s">
        <v>24196</v>
      </c>
      <c r="B271" s="5" t="s">
        <v>24197</v>
      </c>
      <c r="C271" s="5" t="s">
        <v>24198</v>
      </c>
      <c r="D271" s="246">
        <v>39253</v>
      </c>
      <c r="E271" s="5" t="s">
        <v>24199</v>
      </c>
      <c r="F271" s="26" t="s">
        <v>23600</v>
      </c>
      <c r="G271" s="27" t="s">
        <v>390</v>
      </c>
      <c r="H271" s="28" t="s">
        <v>391</v>
      </c>
      <c r="I271" s="5" t="s">
        <v>58</v>
      </c>
    </row>
    <row r="272" spans="1:9" ht="51.75" customHeight="1">
      <c r="A272" s="5">
        <v>1</v>
      </c>
      <c r="B272" s="5" t="s">
        <v>24200</v>
      </c>
      <c r="C272" s="5" t="s">
        <v>24201</v>
      </c>
      <c r="D272" s="246">
        <v>39553</v>
      </c>
      <c r="E272" s="5" t="s">
        <v>24202</v>
      </c>
      <c r="F272" s="26" t="s">
        <v>23600</v>
      </c>
      <c r="G272" s="27" t="s">
        <v>409</v>
      </c>
      <c r="H272" s="28" t="s">
        <v>410</v>
      </c>
      <c r="I272" s="5" t="s">
        <v>58</v>
      </c>
    </row>
    <row r="273" spans="1:9" ht="51.75" customHeight="1">
      <c r="A273" s="5">
        <v>2</v>
      </c>
      <c r="B273" s="5" t="s">
        <v>24203</v>
      </c>
      <c r="C273" s="5" t="s">
        <v>24204</v>
      </c>
      <c r="D273" s="246">
        <v>39553</v>
      </c>
      <c r="E273" s="5" t="s">
        <v>24205</v>
      </c>
      <c r="F273" s="26" t="s">
        <v>23600</v>
      </c>
      <c r="G273" s="27" t="s">
        <v>409</v>
      </c>
      <c r="H273" s="28" t="s">
        <v>410</v>
      </c>
      <c r="I273" s="5" t="s">
        <v>58</v>
      </c>
    </row>
    <row r="274" spans="1:9" ht="51.75" customHeight="1">
      <c r="A274" s="5">
        <v>1</v>
      </c>
      <c r="B274" s="5" t="s">
        <v>24206</v>
      </c>
      <c r="C274" s="5" t="s">
        <v>24207</v>
      </c>
      <c r="D274" s="246">
        <v>39097</v>
      </c>
      <c r="E274" s="5" t="s">
        <v>24208</v>
      </c>
      <c r="F274" s="26" t="s">
        <v>23600</v>
      </c>
      <c r="G274" s="27" t="s">
        <v>403</v>
      </c>
      <c r="H274" s="28" t="s">
        <v>404</v>
      </c>
      <c r="I274" s="5" t="s">
        <v>58</v>
      </c>
    </row>
    <row r="275" spans="1:9" ht="51.75" customHeight="1">
      <c r="A275" s="5">
        <v>1</v>
      </c>
      <c r="B275" s="5" t="s">
        <v>24209</v>
      </c>
      <c r="C275" s="5" t="s">
        <v>24210</v>
      </c>
      <c r="D275" s="246">
        <v>39351</v>
      </c>
      <c r="E275" s="5" t="s">
        <v>24211</v>
      </c>
      <c r="F275" s="26" t="s">
        <v>23600</v>
      </c>
      <c r="G275" s="27" t="s">
        <v>154</v>
      </c>
      <c r="H275" s="28" t="s">
        <v>155</v>
      </c>
      <c r="I275" s="5" t="s">
        <v>58</v>
      </c>
    </row>
    <row r="276" spans="1:9" ht="51.75" customHeight="1">
      <c r="A276" s="5">
        <v>1</v>
      </c>
      <c r="B276" s="5" t="s">
        <v>24212</v>
      </c>
      <c r="C276" s="5" t="s">
        <v>24213</v>
      </c>
      <c r="D276" s="246">
        <v>39813</v>
      </c>
      <c r="E276" s="5" t="s">
        <v>24214</v>
      </c>
      <c r="F276" s="26" t="s">
        <v>23600</v>
      </c>
      <c r="G276" s="27" t="s">
        <v>2769</v>
      </c>
      <c r="H276" s="28" t="s">
        <v>2770</v>
      </c>
      <c r="I276" s="5" t="s">
        <v>58</v>
      </c>
    </row>
    <row r="277" spans="1:9" ht="51.75" customHeight="1">
      <c r="A277" s="5">
        <v>1</v>
      </c>
      <c r="B277" s="5" t="s">
        <v>24215</v>
      </c>
      <c r="C277" s="5" t="s">
        <v>24216</v>
      </c>
      <c r="D277" s="246">
        <v>39776</v>
      </c>
      <c r="E277" s="5" t="s">
        <v>24217</v>
      </c>
      <c r="F277" s="26" t="s">
        <v>23600</v>
      </c>
      <c r="G277" s="27" t="s">
        <v>2612</v>
      </c>
      <c r="H277" s="28" t="s">
        <v>2613</v>
      </c>
      <c r="I277" s="5" t="s">
        <v>58</v>
      </c>
    </row>
    <row r="278" spans="1:9" ht="51.75" customHeight="1">
      <c r="A278" s="5">
        <v>1</v>
      </c>
      <c r="B278" s="5" t="s">
        <v>24218</v>
      </c>
      <c r="C278" s="5" t="s">
        <v>24219</v>
      </c>
      <c r="D278" s="246">
        <v>39632</v>
      </c>
      <c r="E278" s="5" t="s">
        <v>24219</v>
      </c>
      <c r="F278" s="26" t="s">
        <v>23600</v>
      </c>
      <c r="G278" s="27" t="s">
        <v>2590</v>
      </c>
      <c r="H278" s="28" t="s">
        <v>2591</v>
      </c>
      <c r="I278" s="5" t="s">
        <v>58</v>
      </c>
    </row>
    <row r="279" spans="1:9" ht="51.75" customHeight="1">
      <c r="A279" s="5">
        <v>1</v>
      </c>
      <c r="B279" s="5" t="s">
        <v>24220</v>
      </c>
      <c r="C279" s="5" t="s">
        <v>24221</v>
      </c>
      <c r="D279" s="246">
        <v>39700</v>
      </c>
      <c r="E279" s="5" t="s">
        <v>24222</v>
      </c>
      <c r="F279" s="26" t="s">
        <v>23600</v>
      </c>
      <c r="G279" s="27" t="s">
        <v>2349</v>
      </c>
      <c r="H279" s="28" t="s">
        <v>2350</v>
      </c>
      <c r="I279" s="5" t="s">
        <v>58</v>
      </c>
    </row>
    <row r="280" spans="1:9" ht="51.75" customHeight="1">
      <c r="A280" s="5">
        <v>2</v>
      </c>
      <c r="B280" s="5" t="s">
        <v>24223</v>
      </c>
      <c r="C280" s="5" t="s">
        <v>24224</v>
      </c>
      <c r="D280" s="246">
        <v>39700</v>
      </c>
      <c r="E280" s="5" t="s">
        <v>24225</v>
      </c>
      <c r="F280" s="26" t="s">
        <v>23600</v>
      </c>
      <c r="G280" s="27" t="s">
        <v>2349</v>
      </c>
      <c r="H280" s="28" t="s">
        <v>2350</v>
      </c>
      <c r="I280" s="5" t="s">
        <v>58</v>
      </c>
    </row>
    <row r="281" spans="1:9" ht="51.75" customHeight="1">
      <c r="A281" s="5">
        <v>1</v>
      </c>
      <c r="B281" s="5" t="s">
        <v>24226</v>
      </c>
      <c r="C281" s="5" t="s">
        <v>24227</v>
      </c>
      <c r="D281" s="246">
        <v>39811</v>
      </c>
      <c r="E281" s="5" t="s">
        <v>24228</v>
      </c>
      <c r="F281" s="26" t="s">
        <v>23600</v>
      </c>
      <c r="G281" s="27" t="s">
        <v>2252</v>
      </c>
      <c r="H281" s="28" t="s">
        <v>2253</v>
      </c>
      <c r="I281" s="5" t="s">
        <v>58</v>
      </c>
    </row>
    <row r="282" spans="1:9" ht="51.75" customHeight="1">
      <c r="A282" s="5">
        <v>2</v>
      </c>
      <c r="B282" s="5" t="s">
        <v>24229</v>
      </c>
      <c r="C282" s="5" t="s">
        <v>24230</v>
      </c>
      <c r="D282" s="246">
        <v>39811</v>
      </c>
      <c r="E282" s="5" t="s">
        <v>24231</v>
      </c>
      <c r="F282" s="26" t="s">
        <v>23600</v>
      </c>
      <c r="G282" s="27" t="s">
        <v>2252</v>
      </c>
      <c r="H282" s="28" t="s">
        <v>2253</v>
      </c>
      <c r="I282" s="5" t="s">
        <v>58</v>
      </c>
    </row>
    <row r="283" spans="1:9" ht="51.75" customHeight="1">
      <c r="A283" s="5">
        <v>1</v>
      </c>
      <c r="B283" s="5" t="s">
        <v>24232</v>
      </c>
      <c r="C283" s="5" t="s">
        <v>24233</v>
      </c>
      <c r="D283" s="246">
        <v>39826</v>
      </c>
      <c r="E283" s="5" t="s">
        <v>24234</v>
      </c>
      <c r="F283" s="26" t="s">
        <v>23600</v>
      </c>
      <c r="G283" s="27" t="s">
        <v>2303</v>
      </c>
      <c r="H283" s="28" t="s">
        <v>2304</v>
      </c>
      <c r="I283" s="5" t="s">
        <v>58</v>
      </c>
    </row>
    <row r="284" spans="1:9" ht="51.75" customHeight="1">
      <c r="A284" s="5">
        <v>1</v>
      </c>
      <c r="B284" s="5" t="s">
        <v>24235</v>
      </c>
      <c r="C284" s="5" t="s">
        <v>24236</v>
      </c>
      <c r="D284" s="246">
        <v>39709</v>
      </c>
      <c r="E284" s="5" t="s">
        <v>24237</v>
      </c>
      <c r="F284" s="26" t="s">
        <v>23600</v>
      </c>
      <c r="G284" s="27" t="s">
        <v>2568</v>
      </c>
      <c r="H284" s="28" t="s">
        <v>2569</v>
      </c>
      <c r="I284" s="5" t="s">
        <v>58</v>
      </c>
    </row>
    <row r="285" spans="1:9" ht="51.75" customHeight="1">
      <c r="A285" s="5">
        <v>2</v>
      </c>
      <c r="B285" s="5" t="s">
        <v>24238</v>
      </c>
      <c r="C285" s="5" t="s">
        <v>24239</v>
      </c>
      <c r="D285" s="246">
        <v>39699</v>
      </c>
      <c r="E285" s="5" t="s">
        <v>24240</v>
      </c>
      <c r="F285" s="26" t="s">
        <v>23600</v>
      </c>
      <c r="G285" s="27" t="s">
        <v>2568</v>
      </c>
      <c r="H285" s="28" t="s">
        <v>2569</v>
      </c>
      <c r="I285" s="5" t="s">
        <v>58</v>
      </c>
    </row>
    <row r="286" spans="1:9" ht="51.75" customHeight="1">
      <c r="A286" s="5">
        <v>1</v>
      </c>
      <c r="B286" s="5" t="s">
        <v>24241</v>
      </c>
      <c r="C286" s="5" t="s">
        <v>24242</v>
      </c>
      <c r="D286" s="246">
        <v>39318</v>
      </c>
      <c r="E286" s="5" t="s">
        <v>24242</v>
      </c>
      <c r="F286" s="26" t="s">
        <v>23600</v>
      </c>
      <c r="G286" s="27" t="s">
        <v>2105</v>
      </c>
      <c r="H286" s="28" t="s">
        <v>2106</v>
      </c>
      <c r="I286" s="5" t="s">
        <v>58</v>
      </c>
    </row>
    <row r="287" spans="1:9" ht="51.75" customHeight="1">
      <c r="A287" s="5">
        <v>2</v>
      </c>
      <c r="B287" s="5" t="s">
        <v>24243</v>
      </c>
      <c r="C287" s="5" t="s">
        <v>24244</v>
      </c>
      <c r="D287" s="246">
        <v>39318</v>
      </c>
      <c r="E287" s="5" t="s">
        <v>24245</v>
      </c>
      <c r="F287" s="26" t="s">
        <v>23600</v>
      </c>
      <c r="G287" s="27" t="s">
        <v>2105</v>
      </c>
      <c r="H287" s="28" t="s">
        <v>2106</v>
      </c>
      <c r="I287" s="5" t="s">
        <v>58</v>
      </c>
    </row>
    <row r="288" spans="1:9" ht="51.75" customHeight="1">
      <c r="A288" s="5">
        <v>3</v>
      </c>
      <c r="B288" s="5" t="s">
        <v>24246</v>
      </c>
      <c r="C288" s="5" t="s">
        <v>24247</v>
      </c>
      <c r="D288" s="246">
        <v>39318</v>
      </c>
      <c r="E288" s="5" t="s">
        <v>24248</v>
      </c>
      <c r="F288" s="26" t="s">
        <v>23600</v>
      </c>
      <c r="G288" s="27" t="s">
        <v>2105</v>
      </c>
      <c r="H288" s="28" t="s">
        <v>2106</v>
      </c>
      <c r="I288" s="5" t="s">
        <v>58</v>
      </c>
    </row>
    <row r="289" spans="1:9" ht="51.75" customHeight="1">
      <c r="A289" s="5">
        <v>4</v>
      </c>
      <c r="B289" s="5" t="s">
        <v>24249</v>
      </c>
      <c r="C289" s="5" t="s">
        <v>24250</v>
      </c>
      <c r="D289" s="246">
        <v>39318</v>
      </c>
      <c r="E289" s="5" t="s">
        <v>24251</v>
      </c>
      <c r="F289" s="26" t="s">
        <v>23600</v>
      </c>
      <c r="G289" s="27" t="s">
        <v>2105</v>
      </c>
      <c r="H289" s="28" t="s">
        <v>2106</v>
      </c>
      <c r="I289" s="5" t="s">
        <v>58</v>
      </c>
    </row>
    <row r="290" spans="1:9" ht="51.75" customHeight="1">
      <c r="A290" s="5">
        <v>1</v>
      </c>
      <c r="B290" s="5" t="s">
        <v>24252</v>
      </c>
      <c r="C290" s="5" t="s">
        <v>24253</v>
      </c>
      <c r="D290" s="246">
        <v>39749</v>
      </c>
      <c r="E290" s="5" t="s">
        <v>24254</v>
      </c>
      <c r="F290" s="26" t="s">
        <v>23600</v>
      </c>
      <c r="G290" s="27" t="s">
        <v>2063</v>
      </c>
      <c r="H290" s="28" t="s">
        <v>2064</v>
      </c>
      <c r="I290" s="5" t="s">
        <v>58</v>
      </c>
    </row>
    <row r="291" spans="1:9" ht="51.75" customHeight="1">
      <c r="A291" s="5">
        <v>1</v>
      </c>
      <c r="B291" s="5" t="s">
        <v>24255</v>
      </c>
      <c r="C291" s="5" t="s">
        <v>24256</v>
      </c>
      <c r="D291" s="246">
        <v>39678</v>
      </c>
      <c r="E291" s="5" t="s">
        <v>24257</v>
      </c>
      <c r="F291" s="26" t="s">
        <v>23600</v>
      </c>
      <c r="G291" s="27" t="s">
        <v>1944</v>
      </c>
      <c r="H291" s="28" t="s">
        <v>1945</v>
      </c>
      <c r="I291" s="5" t="s">
        <v>58</v>
      </c>
    </row>
    <row r="292" spans="1:9" ht="51.75" customHeight="1">
      <c r="A292" s="5">
        <v>1</v>
      </c>
      <c r="B292" s="5" t="s">
        <v>24258</v>
      </c>
      <c r="C292" s="5" t="s">
        <v>24259</v>
      </c>
      <c r="D292" s="246">
        <v>39770</v>
      </c>
      <c r="E292" s="5" t="s">
        <v>24260</v>
      </c>
      <c r="F292" s="26" t="s">
        <v>23600</v>
      </c>
      <c r="G292" s="27" t="s">
        <v>1990</v>
      </c>
      <c r="H292" s="28" t="s">
        <v>1991</v>
      </c>
      <c r="I292" s="5" t="s">
        <v>58</v>
      </c>
    </row>
    <row r="293" spans="1:9" ht="51.75" customHeight="1">
      <c r="A293" s="5">
        <v>2</v>
      </c>
      <c r="B293" s="5" t="s">
        <v>24261</v>
      </c>
      <c r="C293" s="5" t="s">
        <v>24262</v>
      </c>
      <c r="D293" s="246">
        <v>39770</v>
      </c>
      <c r="E293" s="5" t="s">
        <v>24263</v>
      </c>
      <c r="F293" s="26" t="s">
        <v>23600</v>
      </c>
      <c r="G293" s="27" t="s">
        <v>1990</v>
      </c>
      <c r="H293" s="28" t="s">
        <v>1991</v>
      </c>
      <c r="I293" s="5" t="s">
        <v>58</v>
      </c>
    </row>
    <row r="294" spans="1:9" ht="51.75" customHeight="1">
      <c r="A294" s="5">
        <v>1</v>
      </c>
      <c r="B294" s="5" t="s">
        <v>24264</v>
      </c>
      <c r="C294" s="5" t="s">
        <v>24265</v>
      </c>
      <c r="D294" s="246">
        <v>39510</v>
      </c>
      <c r="E294" s="5" t="s">
        <v>24266</v>
      </c>
      <c r="F294" s="26" t="s">
        <v>23600</v>
      </c>
      <c r="G294" s="27" t="s">
        <v>1685</v>
      </c>
      <c r="H294" s="28" t="s">
        <v>1686</v>
      </c>
      <c r="I294" s="5" t="s">
        <v>58</v>
      </c>
    </row>
    <row r="295" spans="1:9" ht="51.75" customHeight="1">
      <c r="A295" s="5">
        <v>1</v>
      </c>
      <c r="B295" s="5" t="s">
        <v>24267</v>
      </c>
      <c r="C295" s="5" t="s">
        <v>24268</v>
      </c>
      <c r="D295" s="246">
        <v>39476</v>
      </c>
      <c r="E295" s="5" t="s">
        <v>24269</v>
      </c>
      <c r="F295" s="26" t="s">
        <v>23600</v>
      </c>
      <c r="G295" s="27" t="s">
        <v>1803</v>
      </c>
      <c r="H295" s="28" t="s">
        <v>1804</v>
      </c>
      <c r="I295" s="5" t="s">
        <v>58</v>
      </c>
    </row>
    <row r="296" spans="1:9" ht="51.75" customHeight="1">
      <c r="A296" s="5">
        <v>2</v>
      </c>
      <c r="B296" s="5" t="s">
        <v>24270</v>
      </c>
      <c r="C296" s="5" t="s">
        <v>24271</v>
      </c>
      <c r="D296" s="246">
        <v>39476</v>
      </c>
      <c r="E296" s="5" t="s">
        <v>24272</v>
      </c>
      <c r="F296" s="26" t="s">
        <v>23600</v>
      </c>
      <c r="G296" s="27" t="s">
        <v>1803</v>
      </c>
      <c r="H296" s="28" t="s">
        <v>1804</v>
      </c>
      <c r="I296" s="5" t="s">
        <v>58</v>
      </c>
    </row>
    <row r="297" spans="1:9" ht="51.75" customHeight="1">
      <c r="A297" s="5">
        <v>3</v>
      </c>
      <c r="B297" s="5" t="s">
        <v>24273</v>
      </c>
      <c r="C297" s="5" t="s">
        <v>24274</v>
      </c>
      <c r="D297" s="246">
        <v>39476</v>
      </c>
      <c r="E297" s="5" t="s">
        <v>24275</v>
      </c>
      <c r="F297" s="26" t="s">
        <v>23600</v>
      </c>
      <c r="G297" s="27" t="s">
        <v>1803</v>
      </c>
      <c r="H297" s="28" t="s">
        <v>1804</v>
      </c>
      <c r="I297" s="5" t="s">
        <v>58</v>
      </c>
    </row>
    <row r="298" spans="1:9" ht="51.75" customHeight="1">
      <c r="A298" s="5">
        <v>1</v>
      </c>
      <c r="B298" s="5" t="s">
        <v>24276</v>
      </c>
      <c r="C298" s="5" t="s">
        <v>24277</v>
      </c>
      <c r="D298" s="246">
        <v>39218</v>
      </c>
      <c r="E298" s="5" t="s">
        <v>24277</v>
      </c>
      <c r="F298" s="26" t="s">
        <v>23600</v>
      </c>
      <c r="G298" s="27" t="s">
        <v>1653</v>
      </c>
      <c r="H298" s="28" t="s">
        <v>1654</v>
      </c>
      <c r="I298" s="5" t="s">
        <v>58</v>
      </c>
    </row>
    <row r="299" spans="1:9" ht="51.75" customHeight="1">
      <c r="A299" s="5">
        <v>1</v>
      </c>
      <c r="B299" s="5" t="s">
        <v>24278</v>
      </c>
      <c r="C299" s="5" t="s">
        <v>24279</v>
      </c>
      <c r="D299" s="246">
        <v>39423</v>
      </c>
      <c r="E299" s="5" t="s">
        <v>24280</v>
      </c>
      <c r="F299" s="26" t="s">
        <v>23600</v>
      </c>
      <c r="G299" s="27" t="s">
        <v>1508</v>
      </c>
      <c r="H299" s="28" t="s">
        <v>1509</v>
      </c>
      <c r="I299" s="5" t="s">
        <v>58</v>
      </c>
    </row>
    <row r="300" spans="1:9" ht="51.75" customHeight="1">
      <c r="A300" s="5">
        <v>2</v>
      </c>
      <c r="B300" s="5" t="s">
        <v>24281</v>
      </c>
      <c r="C300" s="5" t="s">
        <v>24282</v>
      </c>
      <c r="D300" s="246">
        <v>39423</v>
      </c>
      <c r="E300" s="5" t="s">
        <v>24283</v>
      </c>
      <c r="F300" s="26" t="s">
        <v>23600</v>
      </c>
      <c r="G300" s="27" t="s">
        <v>1508</v>
      </c>
      <c r="H300" s="28" t="s">
        <v>1509</v>
      </c>
      <c r="I300" s="5" t="s">
        <v>58</v>
      </c>
    </row>
    <row r="301" spans="1:9" ht="51.75" customHeight="1">
      <c r="A301" s="5">
        <v>3</v>
      </c>
      <c r="B301" s="5" t="s">
        <v>24284</v>
      </c>
      <c r="C301" s="5" t="s">
        <v>24285</v>
      </c>
      <c r="D301" s="246">
        <v>39423</v>
      </c>
      <c r="E301" s="5" t="s">
        <v>24286</v>
      </c>
      <c r="F301" s="26" t="s">
        <v>23600</v>
      </c>
      <c r="G301" s="27" t="s">
        <v>1508</v>
      </c>
      <c r="H301" s="28" t="s">
        <v>1509</v>
      </c>
      <c r="I301" s="5" t="s">
        <v>58</v>
      </c>
    </row>
    <row r="302" spans="1:9" ht="51.75" customHeight="1">
      <c r="A302" s="5">
        <v>1</v>
      </c>
      <c r="B302" s="5" t="s">
        <v>24287</v>
      </c>
      <c r="C302" s="5" t="s">
        <v>24288</v>
      </c>
      <c r="D302" s="246">
        <v>39409</v>
      </c>
      <c r="E302" s="5" t="s">
        <v>24289</v>
      </c>
      <c r="F302" s="26" t="s">
        <v>23600</v>
      </c>
      <c r="G302" s="27" t="s">
        <v>1435</v>
      </c>
      <c r="H302" s="28" t="s">
        <v>1436</v>
      </c>
      <c r="I302" s="5" t="s">
        <v>58</v>
      </c>
    </row>
    <row r="303" spans="1:9" ht="51.75" customHeight="1">
      <c r="A303" s="5">
        <v>2</v>
      </c>
      <c r="B303" s="5" t="s">
        <v>24290</v>
      </c>
      <c r="C303" s="5" t="s">
        <v>24291</v>
      </c>
      <c r="D303" s="246">
        <v>39409</v>
      </c>
      <c r="E303" s="5" t="s">
        <v>24292</v>
      </c>
      <c r="F303" s="26" t="s">
        <v>23600</v>
      </c>
      <c r="G303" s="27" t="s">
        <v>1435</v>
      </c>
      <c r="H303" s="28" t="s">
        <v>1436</v>
      </c>
      <c r="I303" s="5" t="s">
        <v>58</v>
      </c>
    </row>
    <row r="304" spans="1:9" ht="51.75" customHeight="1">
      <c r="A304" s="5">
        <v>3</v>
      </c>
      <c r="B304" s="5" t="s">
        <v>24293</v>
      </c>
      <c r="C304" s="5" t="s">
        <v>24294</v>
      </c>
      <c r="D304" s="246">
        <v>39409</v>
      </c>
      <c r="E304" s="5" t="s">
        <v>24295</v>
      </c>
      <c r="F304" s="26" t="s">
        <v>23600</v>
      </c>
      <c r="G304" s="27" t="s">
        <v>1435</v>
      </c>
      <c r="H304" s="28" t="s">
        <v>1436</v>
      </c>
      <c r="I304" s="5" t="s">
        <v>58</v>
      </c>
    </row>
    <row r="305" spans="1:9" ht="51.75" customHeight="1">
      <c r="A305" s="5">
        <v>4</v>
      </c>
      <c r="B305" s="5" t="s">
        <v>24296</v>
      </c>
      <c r="C305" s="5" t="s">
        <v>24297</v>
      </c>
      <c r="D305" s="246">
        <v>39409</v>
      </c>
      <c r="E305" s="5" t="s">
        <v>24298</v>
      </c>
      <c r="F305" s="26" t="s">
        <v>23600</v>
      </c>
      <c r="G305" s="27" t="s">
        <v>1435</v>
      </c>
      <c r="H305" s="28" t="s">
        <v>1436</v>
      </c>
      <c r="I305" s="5" t="s">
        <v>58</v>
      </c>
    </row>
    <row r="306" spans="1:9" ht="51.75" customHeight="1">
      <c r="A306" s="5" t="s">
        <v>24299</v>
      </c>
      <c r="B306" s="5" t="s">
        <v>24300</v>
      </c>
      <c r="C306" s="5" t="s">
        <v>24301</v>
      </c>
      <c r="D306" s="246">
        <v>41473</v>
      </c>
      <c r="E306" s="5" t="s">
        <v>24302</v>
      </c>
      <c r="F306" s="26" t="s">
        <v>23600</v>
      </c>
      <c r="G306" s="27" t="s">
        <v>7562</v>
      </c>
      <c r="H306" s="28" t="s">
        <v>7563</v>
      </c>
      <c r="I306" s="5" t="s">
        <v>58</v>
      </c>
    </row>
    <row r="307" spans="1:9" ht="51.75" customHeight="1">
      <c r="A307" s="5" t="s">
        <v>24303</v>
      </c>
      <c r="B307" s="5" t="s">
        <v>24304</v>
      </c>
      <c r="C307" s="5" t="s">
        <v>24305</v>
      </c>
      <c r="D307" s="246">
        <v>41473</v>
      </c>
      <c r="E307" s="5" t="s">
        <v>24306</v>
      </c>
      <c r="F307" s="26" t="s">
        <v>23600</v>
      </c>
      <c r="G307" s="27" t="s">
        <v>7562</v>
      </c>
      <c r="H307" s="28" t="s">
        <v>7563</v>
      </c>
      <c r="I307" s="5" t="s">
        <v>58</v>
      </c>
    </row>
    <row r="308" spans="1:9" ht="51.75" customHeight="1">
      <c r="A308" s="5" t="s">
        <v>24307</v>
      </c>
      <c r="B308" s="5" t="s">
        <v>24308</v>
      </c>
      <c r="C308" s="5" t="s">
        <v>24309</v>
      </c>
      <c r="D308" s="246">
        <v>41473</v>
      </c>
      <c r="E308" s="5" t="s">
        <v>24310</v>
      </c>
      <c r="F308" s="26" t="s">
        <v>23600</v>
      </c>
      <c r="G308" s="27" t="s">
        <v>7562</v>
      </c>
      <c r="H308" s="28" t="s">
        <v>7563</v>
      </c>
      <c r="I308" s="5" t="s">
        <v>58</v>
      </c>
    </row>
    <row r="309" spans="1:9" ht="51.75" customHeight="1">
      <c r="A309" s="5" t="s">
        <v>24311</v>
      </c>
      <c r="B309" s="5" t="s">
        <v>24312</v>
      </c>
      <c r="C309" s="5" t="s">
        <v>24313</v>
      </c>
      <c r="D309" s="246">
        <v>41473</v>
      </c>
      <c r="E309" s="5" t="s">
        <v>24314</v>
      </c>
      <c r="F309" s="26" t="s">
        <v>23600</v>
      </c>
      <c r="G309" s="27" t="s">
        <v>7562</v>
      </c>
      <c r="H309" s="28" t="s">
        <v>7563</v>
      </c>
      <c r="I309" s="5" t="s">
        <v>58</v>
      </c>
    </row>
    <row r="310" spans="1:9" ht="51.75" customHeight="1">
      <c r="A310" s="5" t="s">
        <v>24315</v>
      </c>
      <c r="B310" s="5" t="s">
        <v>24316</v>
      </c>
      <c r="C310" s="5" t="s">
        <v>24317</v>
      </c>
      <c r="D310" s="246">
        <v>41473</v>
      </c>
      <c r="E310" s="5" t="s">
        <v>24318</v>
      </c>
      <c r="F310" s="26" t="s">
        <v>23600</v>
      </c>
      <c r="G310" s="27" t="s">
        <v>7562</v>
      </c>
      <c r="H310" s="28" t="s">
        <v>7563</v>
      </c>
      <c r="I310" s="5" t="s">
        <v>58</v>
      </c>
    </row>
    <row r="311" spans="1:9" ht="51.75" customHeight="1">
      <c r="A311" s="5">
        <v>1</v>
      </c>
      <c r="B311" s="5" t="s">
        <v>24319</v>
      </c>
      <c r="C311" s="5" t="s">
        <v>24320</v>
      </c>
      <c r="D311" s="246">
        <v>39183</v>
      </c>
      <c r="E311" s="5" t="s">
        <v>24321</v>
      </c>
      <c r="F311" s="26" t="s">
        <v>23600</v>
      </c>
      <c r="G311" s="27" t="s">
        <v>574</v>
      </c>
      <c r="H311" s="28" t="s">
        <v>575</v>
      </c>
      <c r="I311" s="5" t="s">
        <v>58</v>
      </c>
    </row>
    <row r="312" spans="1:9" ht="51.75" customHeight="1">
      <c r="A312" s="5">
        <v>1</v>
      </c>
      <c r="B312" s="5" t="s">
        <v>24322</v>
      </c>
      <c r="C312" s="5" t="s">
        <v>24323</v>
      </c>
      <c r="D312" s="246">
        <v>38833</v>
      </c>
      <c r="E312" s="5" t="s">
        <v>24324</v>
      </c>
      <c r="F312" s="26" t="s">
        <v>23600</v>
      </c>
      <c r="G312" s="27" t="s">
        <v>168</v>
      </c>
      <c r="H312" s="28" t="s">
        <v>169</v>
      </c>
      <c r="I312" s="5" t="s">
        <v>58</v>
      </c>
    </row>
    <row r="313" spans="1:9" ht="51.75" customHeight="1">
      <c r="A313" s="5">
        <v>1</v>
      </c>
      <c r="B313" s="5" t="s">
        <v>24325</v>
      </c>
      <c r="C313" s="5" t="s">
        <v>24326</v>
      </c>
      <c r="D313" s="246">
        <v>38903</v>
      </c>
      <c r="E313" s="5" t="s">
        <v>24327</v>
      </c>
      <c r="F313" s="26" t="s">
        <v>23600</v>
      </c>
      <c r="G313" s="27" t="s">
        <v>219</v>
      </c>
      <c r="H313" s="28" t="s">
        <v>220</v>
      </c>
      <c r="I313" s="5" t="s">
        <v>58</v>
      </c>
    </row>
    <row r="314" spans="1:9" ht="51.75" customHeight="1">
      <c r="A314" s="5">
        <v>2</v>
      </c>
      <c r="B314" s="5" t="s">
        <v>24328</v>
      </c>
      <c r="C314" s="5" t="s">
        <v>24329</v>
      </c>
      <c r="D314" s="246">
        <v>38903</v>
      </c>
      <c r="E314" s="5" t="s">
        <v>24330</v>
      </c>
      <c r="F314" s="26" t="s">
        <v>23600</v>
      </c>
      <c r="G314" s="27" t="s">
        <v>219</v>
      </c>
      <c r="H314" s="28" t="s">
        <v>220</v>
      </c>
      <c r="I314" s="5" t="s">
        <v>58</v>
      </c>
    </row>
    <row r="315" spans="1:9" ht="51.75" customHeight="1">
      <c r="A315" s="5">
        <v>3</v>
      </c>
      <c r="B315" s="5" t="s">
        <v>24331</v>
      </c>
      <c r="C315" s="5" t="s">
        <v>24332</v>
      </c>
      <c r="D315" s="246">
        <v>38903</v>
      </c>
      <c r="E315" s="5" t="s">
        <v>24333</v>
      </c>
      <c r="F315" s="26" t="s">
        <v>23600</v>
      </c>
      <c r="G315" s="27" t="s">
        <v>219</v>
      </c>
      <c r="H315" s="28" t="s">
        <v>220</v>
      </c>
      <c r="I315" s="5" t="s">
        <v>58</v>
      </c>
    </row>
    <row r="316" spans="1:9" ht="51.75" customHeight="1">
      <c r="A316" s="5">
        <v>1</v>
      </c>
      <c r="B316" s="5" t="s">
        <v>24334</v>
      </c>
      <c r="C316" s="5" t="s">
        <v>24335</v>
      </c>
      <c r="D316" s="246">
        <v>39034</v>
      </c>
      <c r="E316" s="5" t="s">
        <v>24336</v>
      </c>
      <c r="F316" s="26"/>
      <c r="G316" s="27" t="s">
        <v>109</v>
      </c>
      <c r="H316" s="28" t="s">
        <v>110</v>
      </c>
      <c r="I316" s="5" t="s">
        <v>58</v>
      </c>
    </row>
    <row r="317" spans="1:9" ht="51.75" customHeight="1">
      <c r="A317" s="5">
        <v>1</v>
      </c>
      <c r="B317" s="5" t="s">
        <v>24337</v>
      </c>
      <c r="C317" s="5" t="s">
        <v>24338</v>
      </c>
      <c r="D317" s="246">
        <v>38826</v>
      </c>
      <c r="E317" s="5" t="s">
        <v>24339</v>
      </c>
      <c r="F317" s="26" t="s">
        <v>23600</v>
      </c>
      <c r="G317" s="27" t="s">
        <v>84</v>
      </c>
      <c r="H317" s="28" t="s">
        <v>85</v>
      </c>
      <c r="I317" s="5" t="s">
        <v>58</v>
      </c>
    </row>
    <row r="318" spans="1:9" ht="51.75" customHeight="1">
      <c r="A318" s="5">
        <v>2</v>
      </c>
      <c r="B318" s="5" t="s">
        <v>24340</v>
      </c>
      <c r="C318" s="5" t="s">
        <v>24341</v>
      </c>
      <c r="D318" s="246">
        <v>38826</v>
      </c>
      <c r="E318" s="5" t="s">
        <v>24342</v>
      </c>
      <c r="F318" s="26" t="s">
        <v>23600</v>
      </c>
      <c r="G318" s="27" t="s">
        <v>84</v>
      </c>
      <c r="H318" s="28" t="s">
        <v>85</v>
      </c>
      <c r="I318" s="5" t="s">
        <v>58</v>
      </c>
    </row>
    <row r="319" spans="1:9" ht="51.75" customHeight="1">
      <c r="A319" s="5" t="s">
        <v>24343</v>
      </c>
      <c r="B319" s="5" t="s">
        <v>24344</v>
      </c>
      <c r="C319" s="5" t="s">
        <v>24345</v>
      </c>
      <c r="D319" s="246">
        <v>41508</v>
      </c>
      <c r="E319" s="5" t="s">
        <v>24346</v>
      </c>
      <c r="F319" s="26" t="s">
        <v>23600</v>
      </c>
      <c r="G319" s="27" t="s">
        <v>6937</v>
      </c>
      <c r="H319" s="28" t="s">
        <v>6938</v>
      </c>
      <c r="I319" s="5" t="s">
        <v>58</v>
      </c>
    </row>
    <row r="320" spans="1:9" ht="51.75" customHeight="1">
      <c r="A320" s="5" t="s">
        <v>24347</v>
      </c>
      <c r="B320" s="5" t="s">
        <v>24348</v>
      </c>
      <c r="C320" s="5" t="s">
        <v>24349</v>
      </c>
      <c r="D320" s="246">
        <v>41176</v>
      </c>
      <c r="E320" s="5" t="s">
        <v>24350</v>
      </c>
      <c r="F320" s="26" t="s">
        <v>23600</v>
      </c>
      <c r="G320" s="27" t="s">
        <v>6986</v>
      </c>
      <c r="H320" s="28" t="s">
        <v>6987</v>
      </c>
      <c r="I320" s="5" t="s">
        <v>58</v>
      </c>
    </row>
    <row r="321" spans="1:9" ht="51.75" customHeight="1">
      <c r="A321" s="5" t="s">
        <v>24351</v>
      </c>
      <c r="B321" s="5" t="s">
        <v>24352</v>
      </c>
      <c r="C321" s="5" t="s">
        <v>24353</v>
      </c>
      <c r="D321" s="246">
        <v>41176</v>
      </c>
      <c r="E321" s="5" t="s">
        <v>24354</v>
      </c>
      <c r="F321" s="26" t="s">
        <v>23600</v>
      </c>
      <c r="G321" s="27" t="s">
        <v>6986</v>
      </c>
      <c r="H321" s="28" t="s">
        <v>6987</v>
      </c>
      <c r="I321" s="5" t="s">
        <v>58</v>
      </c>
    </row>
    <row r="322" spans="1:9" ht="51.75" customHeight="1">
      <c r="A322" s="5">
        <v>1</v>
      </c>
      <c r="B322" s="5" t="s">
        <v>24355</v>
      </c>
      <c r="C322" s="5" t="s">
        <v>24356</v>
      </c>
      <c r="D322" s="246">
        <v>40952</v>
      </c>
      <c r="E322" s="5" t="s">
        <v>24357</v>
      </c>
      <c r="F322" s="26" t="s">
        <v>23600</v>
      </c>
      <c r="G322" s="27" t="s">
        <v>5652</v>
      </c>
      <c r="H322" s="28" t="s">
        <v>5653</v>
      </c>
      <c r="I322" s="5" t="s">
        <v>58</v>
      </c>
    </row>
    <row r="323" spans="1:9" ht="51.75" customHeight="1">
      <c r="A323" s="5">
        <v>2</v>
      </c>
      <c r="B323" s="5" t="s">
        <v>24358</v>
      </c>
      <c r="C323" s="5" t="s">
        <v>24359</v>
      </c>
      <c r="D323" s="246">
        <v>40952</v>
      </c>
      <c r="E323" s="5" t="s">
        <v>24360</v>
      </c>
      <c r="F323" s="26" t="s">
        <v>23600</v>
      </c>
      <c r="G323" s="27" t="s">
        <v>5652</v>
      </c>
      <c r="H323" s="28" t="s">
        <v>5653</v>
      </c>
      <c r="I323" s="5" t="s">
        <v>58</v>
      </c>
    </row>
    <row r="324" spans="1:9" ht="51.75" customHeight="1">
      <c r="A324" s="5">
        <v>3</v>
      </c>
      <c r="B324" s="5" t="s">
        <v>24361</v>
      </c>
      <c r="C324" s="5" t="s">
        <v>24362</v>
      </c>
      <c r="D324" s="246">
        <v>40952</v>
      </c>
      <c r="E324" s="5" t="s">
        <v>24363</v>
      </c>
      <c r="F324" s="26" t="s">
        <v>23600</v>
      </c>
      <c r="G324" s="27" t="s">
        <v>5652</v>
      </c>
      <c r="H324" s="28" t="s">
        <v>5653</v>
      </c>
      <c r="I324" s="5" t="s">
        <v>58</v>
      </c>
    </row>
    <row r="325" spans="1:9" ht="51.75" customHeight="1">
      <c r="A325" s="5">
        <v>4</v>
      </c>
      <c r="B325" s="5" t="s">
        <v>24364</v>
      </c>
      <c r="C325" s="5" t="s">
        <v>24365</v>
      </c>
      <c r="D325" s="246">
        <v>40952</v>
      </c>
      <c r="E325" s="5" t="s">
        <v>24366</v>
      </c>
      <c r="F325" s="26" t="s">
        <v>23600</v>
      </c>
      <c r="G325" s="27" t="s">
        <v>5652</v>
      </c>
      <c r="H325" s="28" t="s">
        <v>5653</v>
      </c>
      <c r="I325" s="5" t="s">
        <v>58</v>
      </c>
    </row>
    <row r="326" spans="1:9" ht="51.75" customHeight="1">
      <c r="A326" s="5">
        <v>5</v>
      </c>
      <c r="B326" s="5" t="s">
        <v>24367</v>
      </c>
      <c r="C326" s="5" t="s">
        <v>24368</v>
      </c>
      <c r="D326" s="246">
        <v>40952</v>
      </c>
      <c r="E326" s="5" t="s">
        <v>24369</v>
      </c>
      <c r="F326" s="26" t="s">
        <v>23600</v>
      </c>
      <c r="G326" s="27" t="s">
        <v>5652</v>
      </c>
      <c r="H326" s="28" t="s">
        <v>5653</v>
      </c>
      <c r="I326" s="5" t="s">
        <v>58</v>
      </c>
    </row>
    <row r="327" spans="1:9" ht="51.75" customHeight="1">
      <c r="A327" s="5">
        <v>6</v>
      </c>
      <c r="B327" s="5" t="s">
        <v>24370</v>
      </c>
      <c r="C327" s="5" t="s">
        <v>24371</v>
      </c>
      <c r="D327" s="246">
        <v>40952</v>
      </c>
      <c r="E327" s="5" t="s">
        <v>24372</v>
      </c>
      <c r="F327" s="26" t="s">
        <v>23600</v>
      </c>
      <c r="G327" s="27" t="s">
        <v>5652</v>
      </c>
      <c r="H327" s="28" t="s">
        <v>5653</v>
      </c>
      <c r="I327" s="5" t="s">
        <v>58</v>
      </c>
    </row>
    <row r="328" spans="1:9" ht="51.75" customHeight="1">
      <c r="A328" s="5">
        <v>7</v>
      </c>
      <c r="B328" s="5" t="s">
        <v>24373</v>
      </c>
      <c r="C328" s="5" t="s">
        <v>24374</v>
      </c>
      <c r="D328" s="246">
        <v>40952</v>
      </c>
      <c r="E328" s="5" t="s">
        <v>24375</v>
      </c>
      <c r="F328" s="26" t="s">
        <v>23600</v>
      </c>
      <c r="G328" s="27" t="s">
        <v>5652</v>
      </c>
      <c r="H328" s="28" t="s">
        <v>5653</v>
      </c>
      <c r="I328" s="5" t="s">
        <v>58</v>
      </c>
    </row>
    <row r="329" spans="1:9" ht="51.75" customHeight="1">
      <c r="A329" s="5">
        <v>8</v>
      </c>
      <c r="B329" s="5" t="s">
        <v>24376</v>
      </c>
      <c r="C329" s="5" t="s">
        <v>24377</v>
      </c>
      <c r="D329" s="246">
        <v>40952</v>
      </c>
      <c r="E329" s="5" t="s">
        <v>24378</v>
      </c>
      <c r="F329" s="26" t="s">
        <v>23600</v>
      </c>
      <c r="G329" s="27" t="s">
        <v>5652</v>
      </c>
      <c r="H329" s="28" t="s">
        <v>5653</v>
      </c>
      <c r="I329" s="5" t="s">
        <v>58</v>
      </c>
    </row>
    <row r="330" spans="1:9" ht="51.75" customHeight="1">
      <c r="A330" s="5">
        <v>9</v>
      </c>
      <c r="B330" s="5" t="s">
        <v>24379</v>
      </c>
      <c r="C330" s="5" t="s">
        <v>24380</v>
      </c>
      <c r="D330" s="246">
        <v>40952</v>
      </c>
      <c r="E330" s="5" t="s">
        <v>24381</v>
      </c>
      <c r="F330" s="26" t="s">
        <v>23600</v>
      </c>
      <c r="G330" s="27" t="s">
        <v>5652</v>
      </c>
      <c r="H330" s="28" t="s">
        <v>5653</v>
      </c>
      <c r="I330" s="5" t="s">
        <v>58</v>
      </c>
    </row>
    <row r="331" spans="1:9" ht="51.75" customHeight="1">
      <c r="A331" s="5">
        <v>10</v>
      </c>
      <c r="B331" s="5" t="s">
        <v>24382</v>
      </c>
      <c r="C331" s="5" t="s">
        <v>24383</v>
      </c>
      <c r="D331" s="246">
        <v>40952</v>
      </c>
      <c r="E331" s="5" t="s">
        <v>24384</v>
      </c>
      <c r="F331" s="26" t="s">
        <v>23600</v>
      </c>
      <c r="G331" s="27" t="s">
        <v>5652</v>
      </c>
      <c r="H331" s="28" t="s">
        <v>5653</v>
      </c>
      <c r="I331" s="5" t="s">
        <v>58</v>
      </c>
    </row>
    <row r="332" spans="1:9" ht="51.75" customHeight="1">
      <c r="A332" s="5" t="s">
        <v>24385</v>
      </c>
      <c r="B332" s="5" t="s">
        <v>24386</v>
      </c>
      <c r="C332" s="5" t="s">
        <v>24387</v>
      </c>
      <c r="D332" s="246">
        <v>40952</v>
      </c>
      <c r="E332" s="5" t="s">
        <v>24388</v>
      </c>
      <c r="F332" s="26" t="s">
        <v>23600</v>
      </c>
      <c r="G332" s="27" t="s">
        <v>5652</v>
      </c>
      <c r="H332" s="28" t="s">
        <v>5653</v>
      </c>
      <c r="I332" s="5" t="s">
        <v>58</v>
      </c>
    </row>
    <row r="333" spans="1:9" ht="51.75" customHeight="1">
      <c r="A333" s="5" t="s">
        <v>24389</v>
      </c>
      <c r="B333" s="5" t="s">
        <v>24390</v>
      </c>
      <c r="C333" s="5" t="s">
        <v>24391</v>
      </c>
      <c r="D333" s="246">
        <v>40952</v>
      </c>
      <c r="E333" s="5" t="s">
        <v>24392</v>
      </c>
      <c r="F333" s="26" t="s">
        <v>23600</v>
      </c>
      <c r="G333" s="27" t="s">
        <v>5652</v>
      </c>
      <c r="H333" s="28" t="s">
        <v>5653</v>
      </c>
      <c r="I333" s="5" t="s">
        <v>58</v>
      </c>
    </row>
    <row r="334" spans="1:9" ht="51.75" customHeight="1">
      <c r="A334" s="5">
        <v>1</v>
      </c>
      <c r="B334" s="5" t="s">
        <v>24393</v>
      </c>
      <c r="C334" s="5" t="s">
        <v>24394</v>
      </c>
      <c r="D334" s="246">
        <v>40947</v>
      </c>
      <c r="E334" s="5" t="s">
        <v>24395</v>
      </c>
      <c r="F334" s="26" t="s">
        <v>23600</v>
      </c>
      <c r="G334" s="27" t="s">
        <v>5809</v>
      </c>
      <c r="H334" s="28" t="s">
        <v>5810</v>
      </c>
      <c r="I334" s="5" t="s">
        <v>58</v>
      </c>
    </row>
    <row r="335" spans="1:9" ht="51.75" customHeight="1">
      <c r="A335" s="5">
        <v>2</v>
      </c>
      <c r="B335" s="5" t="s">
        <v>24396</v>
      </c>
      <c r="C335" s="5" t="s">
        <v>24397</v>
      </c>
      <c r="D335" s="246">
        <v>40947</v>
      </c>
      <c r="E335" s="5" t="s">
        <v>24398</v>
      </c>
      <c r="F335" s="26" t="s">
        <v>23600</v>
      </c>
      <c r="G335" s="27" t="s">
        <v>5809</v>
      </c>
      <c r="H335" s="28" t="s">
        <v>5810</v>
      </c>
      <c r="I335" s="5" t="s">
        <v>58</v>
      </c>
    </row>
    <row r="336" spans="1:9" ht="51.75" customHeight="1">
      <c r="A336" s="5">
        <v>1</v>
      </c>
      <c r="B336" s="5" t="s">
        <v>24399</v>
      </c>
      <c r="C336" s="5" t="s">
        <v>24400</v>
      </c>
      <c r="D336" s="246">
        <v>40959</v>
      </c>
      <c r="E336" s="5" t="s">
        <v>24401</v>
      </c>
      <c r="F336" s="26" t="s">
        <v>23600</v>
      </c>
      <c r="G336" s="27" t="s">
        <v>5797</v>
      </c>
      <c r="H336" s="28" t="s">
        <v>5798</v>
      </c>
      <c r="I336" s="5" t="s">
        <v>58</v>
      </c>
    </row>
    <row r="337" spans="1:9" ht="51.75" customHeight="1">
      <c r="A337" s="5">
        <v>2</v>
      </c>
      <c r="B337" s="5" t="s">
        <v>24402</v>
      </c>
      <c r="C337" s="5" t="s">
        <v>24403</v>
      </c>
      <c r="D337" s="246">
        <v>40959</v>
      </c>
      <c r="E337" s="5" t="s">
        <v>24404</v>
      </c>
      <c r="F337" s="26" t="s">
        <v>23600</v>
      </c>
      <c r="G337" s="27" t="s">
        <v>5797</v>
      </c>
      <c r="H337" s="28" t="s">
        <v>5798</v>
      </c>
      <c r="I337" s="5" t="s">
        <v>58</v>
      </c>
    </row>
    <row r="338" spans="1:9" ht="51.75" customHeight="1">
      <c r="A338" s="5">
        <v>3</v>
      </c>
      <c r="B338" s="5" t="s">
        <v>24405</v>
      </c>
      <c r="C338" s="5" t="s">
        <v>24406</v>
      </c>
      <c r="D338" s="246">
        <v>40959</v>
      </c>
      <c r="E338" s="5" t="s">
        <v>24407</v>
      </c>
      <c r="F338" s="26" t="s">
        <v>23600</v>
      </c>
      <c r="G338" s="27" t="s">
        <v>5797</v>
      </c>
      <c r="H338" s="28" t="s">
        <v>5798</v>
      </c>
      <c r="I338" s="5" t="s">
        <v>58</v>
      </c>
    </row>
    <row r="339" spans="1:9" ht="51.75" customHeight="1">
      <c r="A339" s="5">
        <v>4</v>
      </c>
      <c r="B339" s="5" t="s">
        <v>24408</v>
      </c>
      <c r="C339" s="5" t="s">
        <v>24409</v>
      </c>
      <c r="D339" s="246">
        <v>40959</v>
      </c>
      <c r="E339" s="5" t="s">
        <v>24410</v>
      </c>
      <c r="F339" s="26" t="s">
        <v>23600</v>
      </c>
      <c r="G339" s="27" t="s">
        <v>5797</v>
      </c>
      <c r="H339" s="28" t="s">
        <v>5798</v>
      </c>
      <c r="I339" s="5" t="s">
        <v>58</v>
      </c>
    </row>
    <row r="340" spans="1:9" ht="51.75" customHeight="1">
      <c r="A340" s="5">
        <v>5</v>
      </c>
      <c r="B340" s="5" t="s">
        <v>24411</v>
      </c>
      <c r="C340" s="5" t="s">
        <v>24412</v>
      </c>
      <c r="D340" s="246">
        <v>40959</v>
      </c>
      <c r="E340" s="5" t="s">
        <v>24413</v>
      </c>
      <c r="F340" s="26" t="s">
        <v>23600</v>
      </c>
      <c r="G340" s="27" t="s">
        <v>5797</v>
      </c>
      <c r="H340" s="28" t="s">
        <v>5798</v>
      </c>
      <c r="I340" s="5" t="s">
        <v>58</v>
      </c>
    </row>
    <row r="341" spans="1:9" ht="51.75" customHeight="1">
      <c r="A341" s="5">
        <v>1</v>
      </c>
      <c r="B341" s="5" t="s">
        <v>24414</v>
      </c>
      <c r="C341" s="5" t="s">
        <v>24415</v>
      </c>
      <c r="D341" s="246">
        <v>39409</v>
      </c>
      <c r="E341" s="5" t="s">
        <v>24416</v>
      </c>
      <c r="F341" s="26" t="s">
        <v>23600</v>
      </c>
      <c r="G341" s="27" t="s">
        <v>1639</v>
      </c>
      <c r="H341" s="28" t="s">
        <v>1640</v>
      </c>
      <c r="I341" s="5" t="s">
        <v>58</v>
      </c>
    </row>
    <row r="342" spans="1:9" ht="51.75" customHeight="1">
      <c r="A342" s="5">
        <v>2</v>
      </c>
      <c r="B342" s="5" t="s">
        <v>24417</v>
      </c>
      <c r="C342" s="5" t="s">
        <v>24418</v>
      </c>
      <c r="D342" s="246">
        <v>39409</v>
      </c>
      <c r="E342" s="5" t="s">
        <v>24419</v>
      </c>
      <c r="F342" s="26" t="s">
        <v>23600</v>
      </c>
      <c r="G342" s="27" t="s">
        <v>1639</v>
      </c>
      <c r="H342" s="28" t="s">
        <v>1640</v>
      </c>
      <c r="I342" s="5" t="s">
        <v>58</v>
      </c>
    </row>
    <row r="343" spans="1:9" ht="51.75" customHeight="1">
      <c r="A343" s="5">
        <v>3</v>
      </c>
      <c r="B343" s="5" t="s">
        <v>24420</v>
      </c>
      <c r="C343" s="5" t="s">
        <v>24421</v>
      </c>
      <c r="D343" s="246">
        <v>39409</v>
      </c>
      <c r="E343" s="5" t="s">
        <v>24422</v>
      </c>
      <c r="F343" s="26" t="s">
        <v>23600</v>
      </c>
      <c r="G343" s="27" t="s">
        <v>1639</v>
      </c>
      <c r="H343" s="28" t="s">
        <v>1640</v>
      </c>
      <c r="I343" s="5" t="s">
        <v>58</v>
      </c>
    </row>
    <row r="344" spans="1:9" ht="51.75" customHeight="1">
      <c r="A344" s="5">
        <v>1</v>
      </c>
      <c r="B344" s="5" t="s">
        <v>24423</v>
      </c>
      <c r="C344" s="5" t="s">
        <v>24424</v>
      </c>
      <c r="D344" s="246">
        <v>40938</v>
      </c>
      <c r="E344" s="5" t="s">
        <v>24425</v>
      </c>
      <c r="F344" s="26" t="s">
        <v>23600</v>
      </c>
      <c r="G344" s="27" t="s">
        <v>5738</v>
      </c>
      <c r="H344" s="28" t="s">
        <v>5739</v>
      </c>
      <c r="I344" s="5" t="s">
        <v>58</v>
      </c>
    </row>
    <row r="345" spans="1:9" ht="51.75" customHeight="1">
      <c r="A345" s="5">
        <v>2</v>
      </c>
      <c r="B345" s="5" t="s">
        <v>24426</v>
      </c>
      <c r="C345" s="5" t="s">
        <v>24427</v>
      </c>
      <c r="D345" s="246">
        <v>40938</v>
      </c>
      <c r="E345" s="5" t="s">
        <v>24428</v>
      </c>
      <c r="F345" s="26" t="s">
        <v>23600</v>
      </c>
      <c r="G345" s="27" t="s">
        <v>5738</v>
      </c>
      <c r="H345" s="28" t="s">
        <v>5739</v>
      </c>
      <c r="I345" s="5" t="s">
        <v>58</v>
      </c>
    </row>
    <row r="346" spans="1:9" ht="51.75" customHeight="1">
      <c r="A346" s="5">
        <v>3</v>
      </c>
      <c r="B346" s="5" t="s">
        <v>24429</v>
      </c>
      <c r="C346" s="5" t="s">
        <v>24430</v>
      </c>
      <c r="D346" s="246">
        <v>40938</v>
      </c>
      <c r="E346" s="5" t="s">
        <v>24431</v>
      </c>
      <c r="F346" s="26" t="s">
        <v>23600</v>
      </c>
      <c r="G346" s="27" t="s">
        <v>5738</v>
      </c>
      <c r="H346" s="28" t="s">
        <v>5739</v>
      </c>
      <c r="I346" s="5" t="s">
        <v>58</v>
      </c>
    </row>
    <row r="347" spans="1:9" ht="51.75" customHeight="1">
      <c r="A347" s="5" t="s">
        <v>24432</v>
      </c>
      <c r="B347" s="5" t="s">
        <v>24433</v>
      </c>
      <c r="C347" s="5" t="s">
        <v>24434</v>
      </c>
      <c r="D347" s="246">
        <v>41515</v>
      </c>
      <c r="E347" s="5" t="s">
        <v>24435</v>
      </c>
      <c r="F347" s="26" t="s">
        <v>23600</v>
      </c>
      <c r="G347" s="27" t="s">
        <v>8086</v>
      </c>
      <c r="H347" s="28" t="s">
        <v>8087</v>
      </c>
      <c r="I347" s="5" t="s">
        <v>58</v>
      </c>
    </row>
    <row r="348" spans="1:9" ht="51.75" customHeight="1">
      <c r="A348" s="5" t="s">
        <v>24436</v>
      </c>
      <c r="B348" s="5" t="s">
        <v>24437</v>
      </c>
      <c r="C348" s="5" t="s">
        <v>24438</v>
      </c>
      <c r="D348" s="246">
        <v>41515</v>
      </c>
      <c r="E348" s="5" t="s">
        <v>24439</v>
      </c>
      <c r="F348" s="26" t="s">
        <v>23600</v>
      </c>
      <c r="G348" s="27" t="s">
        <v>8086</v>
      </c>
      <c r="H348" s="28" t="s">
        <v>8087</v>
      </c>
      <c r="I348" s="5" t="s">
        <v>58</v>
      </c>
    </row>
    <row r="349" spans="1:9" ht="51.75" customHeight="1">
      <c r="A349" s="5" t="s">
        <v>24440</v>
      </c>
      <c r="B349" s="5" t="s">
        <v>24441</v>
      </c>
      <c r="C349" s="5" t="s">
        <v>24442</v>
      </c>
      <c r="D349" s="246">
        <v>41515</v>
      </c>
      <c r="E349" s="5" t="s">
        <v>24443</v>
      </c>
      <c r="F349" s="26" t="s">
        <v>23600</v>
      </c>
      <c r="G349" s="27" t="s">
        <v>8086</v>
      </c>
      <c r="H349" s="28" t="s">
        <v>8087</v>
      </c>
      <c r="I349" s="5" t="s">
        <v>58</v>
      </c>
    </row>
    <row r="350" spans="1:9" ht="51.75" customHeight="1">
      <c r="A350" s="5" t="s">
        <v>24444</v>
      </c>
      <c r="B350" s="5" t="s">
        <v>24445</v>
      </c>
      <c r="C350" s="5" t="s">
        <v>24446</v>
      </c>
      <c r="D350" s="246">
        <v>41515</v>
      </c>
      <c r="E350" s="5" t="s">
        <v>24447</v>
      </c>
      <c r="F350" s="26" t="s">
        <v>23600</v>
      </c>
      <c r="G350" s="27" t="s">
        <v>8086</v>
      </c>
      <c r="H350" s="28" t="s">
        <v>8087</v>
      </c>
      <c r="I350" s="5" t="s">
        <v>58</v>
      </c>
    </row>
    <row r="351" spans="1:9" ht="51.75" customHeight="1">
      <c r="A351" s="5" t="s">
        <v>24448</v>
      </c>
      <c r="B351" s="5" t="s">
        <v>24449</v>
      </c>
      <c r="C351" s="5" t="s">
        <v>24450</v>
      </c>
      <c r="D351" s="246">
        <v>41690</v>
      </c>
      <c r="E351" s="5" t="s">
        <v>24451</v>
      </c>
      <c r="F351" s="26" t="s">
        <v>23600</v>
      </c>
      <c r="G351" s="27" t="s">
        <v>8620</v>
      </c>
      <c r="H351" s="28" t="s">
        <v>8621</v>
      </c>
      <c r="I351" s="5" t="s">
        <v>58</v>
      </c>
    </row>
    <row r="352" spans="1:9" ht="51.75" customHeight="1">
      <c r="A352" s="5" t="s">
        <v>24452</v>
      </c>
      <c r="B352" s="5" t="s">
        <v>24453</v>
      </c>
      <c r="C352" s="5" t="s">
        <v>24454</v>
      </c>
      <c r="D352" s="246">
        <v>41690</v>
      </c>
      <c r="E352" s="5" t="s">
        <v>24455</v>
      </c>
      <c r="F352" s="26" t="s">
        <v>23600</v>
      </c>
      <c r="G352" s="27" t="s">
        <v>8620</v>
      </c>
      <c r="H352" s="28" t="s">
        <v>8621</v>
      </c>
      <c r="I352" s="5" t="s">
        <v>58</v>
      </c>
    </row>
    <row r="353" spans="1:9" ht="51.75" customHeight="1">
      <c r="A353" s="5" t="s">
        <v>24456</v>
      </c>
      <c r="B353" s="5" t="s">
        <v>24457</v>
      </c>
      <c r="C353" s="5" t="s">
        <v>24458</v>
      </c>
      <c r="D353" s="246">
        <v>41690</v>
      </c>
      <c r="E353" s="5" t="s">
        <v>24459</v>
      </c>
      <c r="F353" s="26" t="s">
        <v>23600</v>
      </c>
      <c r="G353" s="27" t="s">
        <v>8620</v>
      </c>
      <c r="H353" s="28" t="s">
        <v>8621</v>
      </c>
      <c r="I353" s="5" t="s">
        <v>58</v>
      </c>
    </row>
    <row r="354" spans="1:9" ht="51.75" customHeight="1">
      <c r="A354" s="5" t="s">
        <v>23619</v>
      </c>
      <c r="B354" s="5" t="s">
        <v>24460</v>
      </c>
      <c r="C354" s="5" t="s">
        <v>24461</v>
      </c>
      <c r="D354" s="246">
        <v>41690</v>
      </c>
      <c r="E354" s="5" t="s">
        <v>24462</v>
      </c>
      <c r="F354" s="26" t="s">
        <v>23600</v>
      </c>
      <c r="G354" s="27" t="s">
        <v>8620</v>
      </c>
      <c r="H354" s="28" t="s">
        <v>8621</v>
      </c>
      <c r="I354" s="5" t="s">
        <v>58</v>
      </c>
    </row>
    <row r="355" spans="1:9" ht="51.75" customHeight="1">
      <c r="A355" s="5" t="s">
        <v>24463</v>
      </c>
      <c r="B355" s="5" t="s">
        <v>24464</v>
      </c>
      <c r="C355" s="5" t="s">
        <v>24465</v>
      </c>
      <c r="D355" s="246">
        <v>41954</v>
      </c>
      <c r="E355" s="5" t="s">
        <v>24466</v>
      </c>
      <c r="F355" s="26" t="s">
        <v>23600</v>
      </c>
      <c r="G355" s="27" t="s">
        <v>9368</v>
      </c>
      <c r="H355" s="28" t="s">
        <v>9369</v>
      </c>
      <c r="I355" s="5" t="s">
        <v>58</v>
      </c>
    </row>
    <row r="356" spans="1:9" ht="51.75" customHeight="1">
      <c r="A356" s="5" t="s">
        <v>24467</v>
      </c>
      <c r="B356" s="5" t="s">
        <v>24468</v>
      </c>
      <c r="C356" s="5" t="s">
        <v>24469</v>
      </c>
      <c r="D356" s="246">
        <v>41954</v>
      </c>
      <c r="E356" s="5" t="s">
        <v>24470</v>
      </c>
      <c r="F356" s="26" t="s">
        <v>23600</v>
      </c>
      <c r="G356" s="27" t="s">
        <v>9368</v>
      </c>
      <c r="H356" s="28" t="s">
        <v>9369</v>
      </c>
      <c r="I356" s="5" t="s">
        <v>58</v>
      </c>
    </row>
    <row r="357" spans="1:9" ht="51.75" customHeight="1">
      <c r="A357" s="5" t="s">
        <v>24471</v>
      </c>
      <c r="B357" s="5" t="s">
        <v>24472</v>
      </c>
      <c r="C357" s="5" t="s">
        <v>24473</v>
      </c>
      <c r="D357" s="246">
        <v>41954</v>
      </c>
      <c r="E357" s="5" t="s">
        <v>24474</v>
      </c>
      <c r="F357" s="26" t="s">
        <v>23600</v>
      </c>
      <c r="G357" s="27" t="s">
        <v>9368</v>
      </c>
      <c r="H357" s="28" t="s">
        <v>9369</v>
      </c>
      <c r="I357" s="5" t="s">
        <v>58</v>
      </c>
    </row>
    <row r="358" spans="1:9" ht="51.75" customHeight="1">
      <c r="A358" s="5" t="s">
        <v>24475</v>
      </c>
      <c r="B358" s="5" t="s">
        <v>24476</v>
      </c>
      <c r="C358" s="5" t="s">
        <v>24477</v>
      </c>
      <c r="D358" s="246">
        <v>41954</v>
      </c>
      <c r="E358" s="5" t="s">
        <v>24478</v>
      </c>
      <c r="F358" s="26" t="s">
        <v>23600</v>
      </c>
      <c r="G358" s="27" t="s">
        <v>9368</v>
      </c>
      <c r="H358" s="28" t="s">
        <v>9369</v>
      </c>
      <c r="I358" s="5" t="s">
        <v>58</v>
      </c>
    </row>
    <row r="359" spans="1:9" ht="51.75" customHeight="1">
      <c r="A359" s="5" t="s">
        <v>24479</v>
      </c>
      <c r="B359" s="5" t="s">
        <v>24480</v>
      </c>
      <c r="C359" s="5" t="s">
        <v>24481</v>
      </c>
      <c r="D359" s="246">
        <v>41954</v>
      </c>
      <c r="E359" s="5" t="s">
        <v>24482</v>
      </c>
      <c r="F359" s="26" t="s">
        <v>23600</v>
      </c>
      <c r="G359" s="27" t="s">
        <v>9368</v>
      </c>
      <c r="H359" s="28" t="s">
        <v>9369</v>
      </c>
      <c r="I359" s="5" t="s">
        <v>58</v>
      </c>
    </row>
    <row r="360" spans="1:9" ht="51.75" customHeight="1">
      <c r="A360" s="5" t="s">
        <v>24483</v>
      </c>
      <c r="B360" s="5" t="s">
        <v>24484</v>
      </c>
      <c r="C360" s="5" t="s">
        <v>24485</v>
      </c>
      <c r="D360" s="246">
        <v>41954</v>
      </c>
      <c r="E360" s="5" t="s">
        <v>24486</v>
      </c>
      <c r="F360" s="26" t="s">
        <v>23600</v>
      </c>
      <c r="G360" s="27" t="s">
        <v>9368</v>
      </c>
      <c r="H360" s="28" t="s">
        <v>9369</v>
      </c>
      <c r="I360" s="5" t="s">
        <v>58</v>
      </c>
    </row>
    <row r="361" spans="1:9" ht="51.75" customHeight="1">
      <c r="A361" s="5" t="s">
        <v>24487</v>
      </c>
      <c r="B361" s="5" t="s">
        <v>24488</v>
      </c>
      <c r="C361" s="5" t="s">
        <v>24489</v>
      </c>
      <c r="D361" s="246">
        <v>42559</v>
      </c>
      <c r="E361" s="5" t="s">
        <v>24490</v>
      </c>
      <c r="F361" s="26" t="s">
        <v>23600</v>
      </c>
      <c r="G361" s="27" t="s">
        <v>10779</v>
      </c>
      <c r="H361" s="28" t="s">
        <v>10780</v>
      </c>
      <c r="I361" s="5" t="s">
        <v>58</v>
      </c>
    </row>
    <row r="362" spans="1:9" ht="51.75" customHeight="1">
      <c r="A362" s="5" t="s">
        <v>24491</v>
      </c>
      <c r="B362" s="5" t="s">
        <v>24492</v>
      </c>
      <c r="C362" s="5" t="s">
        <v>24493</v>
      </c>
      <c r="D362" s="246">
        <v>42559</v>
      </c>
      <c r="E362" s="5" t="s">
        <v>24494</v>
      </c>
      <c r="F362" s="26" t="s">
        <v>23600</v>
      </c>
      <c r="G362" s="27" t="s">
        <v>10779</v>
      </c>
      <c r="H362" s="28" t="s">
        <v>10780</v>
      </c>
      <c r="I362" s="5" t="s">
        <v>58</v>
      </c>
    </row>
    <row r="363" spans="1:9" ht="51.75" customHeight="1">
      <c r="A363" s="5" t="s">
        <v>24495</v>
      </c>
      <c r="B363" s="5" t="s">
        <v>24496</v>
      </c>
      <c r="C363" s="5" t="s">
        <v>24497</v>
      </c>
      <c r="D363" s="246">
        <v>42559</v>
      </c>
      <c r="E363" s="5" t="s">
        <v>24498</v>
      </c>
      <c r="F363" s="26" t="s">
        <v>23600</v>
      </c>
      <c r="G363" s="27" t="s">
        <v>10779</v>
      </c>
      <c r="H363" s="28" t="s">
        <v>10780</v>
      </c>
      <c r="I363" s="5" t="s">
        <v>58</v>
      </c>
    </row>
    <row r="364" spans="1:9" ht="51.75" customHeight="1">
      <c r="A364" s="5" t="s">
        <v>24499</v>
      </c>
      <c r="B364" s="5" t="s">
        <v>24500</v>
      </c>
      <c r="C364" s="5" t="s">
        <v>24501</v>
      </c>
      <c r="D364" s="246">
        <v>42559</v>
      </c>
      <c r="E364" s="5" t="s">
        <v>24502</v>
      </c>
      <c r="F364" s="26" t="s">
        <v>23600</v>
      </c>
      <c r="G364" s="27" t="s">
        <v>10779</v>
      </c>
      <c r="H364" s="28" t="s">
        <v>10780</v>
      </c>
      <c r="I364" s="5" t="s">
        <v>58</v>
      </c>
    </row>
    <row r="365" spans="1:9" ht="51.75" customHeight="1">
      <c r="A365" s="5" t="s">
        <v>24503</v>
      </c>
      <c r="B365" s="5" t="s">
        <v>24504</v>
      </c>
      <c r="C365" s="5" t="s">
        <v>24505</v>
      </c>
      <c r="D365" s="246">
        <v>42559</v>
      </c>
      <c r="E365" s="5" t="s">
        <v>24506</v>
      </c>
      <c r="F365" s="26" t="s">
        <v>23600</v>
      </c>
      <c r="G365" s="27" t="s">
        <v>10779</v>
      </c>
      <c r="H365" s="28" t="s">
        <v>10780</v>
      </c>
      <c r="I365" s="5" t="s">
        <v>58</v>
      </c>
    </row>
    <row r="366" spans="1:9" ht="51.75" customHeight="1">
      <c r="A366" s="5" t="s">
        <v>24507</v>
      </c>
      <c r="B366" s="5" t="s">
        <v>24508</v>
      </c>
      <c r="C366" s="5" t="s">
        <v>24509</v>
      </c>
      <c r="D366" s="246">
        <v>42235</v>
      </c>
      <c r="E366" s="5" t="s">
        <v>24510</v>
      </c>
      <c r="F366" s="26" t="s">
        <v>23600</v>
      </c>
      <c r="G366" s="27" t="s">
        <v>10866</v>
      </c>
      <c r="H366" s="28" t="s">
        <v>10867</v>
      </c>
      <c r="I366" s="5" t="s">
        <v>58</v>
      </c>
    </row>
    <row r="367" spans="1:9" ht="51.75" customHeight="1">
      <c r="A367" s="5" t="s">
        <v>24511</v>
      </c>
      <c r="B367" s="5" t="s">
        <v>24512</v>
      </c>
      <c r="C367" s="5" t="s">
        <v>24513</v>
      </c>
      <c r="D367" s="246">
        <v>42235</v>
      </c>
      <c r="E367" s="5" t="s">
        <v>24514</v>
      </c>
      <c r="F367" s="26" t="s">
        <v>23600</v>
      </c>
      <c r="G367" s="27" t="s">
        <v>10866</v>
      </c>
      <c r="H367" s="28" t="s">
        <v>10867</v>
      </c>
      <c r="I367" s="5" t="s">
        <v>58</v>
      </c>
    </row>
    <row r="368" spans="1:9" ht="51.75" customHeight="1">
      <c r="A368" s="5" t="s">
        <v>24515</v>
      </c>
      <c r="B368" s="5" t="s">
        <v>24516</v>
      </c>
      <c r="C368" s="5" t="s">
        <v>24517</v>
      </c>
      <c r="D368" s="246">
        <v>42235</v>
      </c>
      <c r="E368" s="5" t="s">
        <v>24518</v>
      </c>
      <c r="F368" s="26" t="s">
        <v>23600</v>
      </c>
      <c r="G368" s="27" t="s">
        <v>10866</v>
      </c>
      <c r="H368" s="28" t="s">
        <v>10867</v>
      </c>
      <c r="I368" s="5" t="s">
        <v>58</v>
      </c>
    </row>
    <row r="369" spans="1:9" ht="51.75" customHeight="1">
      <c r="A369" s="5" t="s">
        <v>24519</v>
      </c>
      <c r="B369" s="5" t="s">
        <v>24520</v>
      </c>
      <c r="C369" s="5" t="s">
        <v>24521</v>
      </c>
      <c r="D369" s="246">
        <v>42293</v>
      </c>
      <c r="E369" s="5" t="s">
        <v>24522</v>
      </c>
      <c r="F369" s="26" t="s">
        <v>23600</v>
      </c>
      <c r="G369" s="27" t="s">
        <v>11003</v>
      </c>
      <c r="H369" s="28" t="s">
        <v>11004</v>
      </c>
      <c r="I369" s="5" t="s">
        <v>58</v>
      </c>
    </row>
    <row r="370" spans="1:9" ht="51.75" customHeight="1">
      <c r="A370" s="5" t="s">
        <v>23964</v>
      </c>
      <c r="B370" s="5" t="s">
        <v>24523</v>
      </c>
      <c r="C370" s="5" t="s">
        <v>24524</v>
      </c>
      <c r="D370" s="246">
        <v>42293</v>
      </c>
      <c r="E370" s="5" t="s">
        <v>24525</v>
      </c>
      <c r="F370" s="26" t="s">
        <v>23600</v>
      </c>
      <c r="G370" s="27" t="s">
        <v>11003</v>
      </c>
      <c r="H370" s="28" t="s">
        <v>11004</v>
      </c>
      <c r="I370" s="5" t="s">
        <v>58</v>
      </c>
    </row>
    <row r="371" spans="1:9" ht="51.75" customHeight="1">
      <c r="A371" s="5" t="s">
        <v>24526</v>
      </c>
      <c r="B371" s="5" t="s">
        <v>24527</v>
      </c>
      <c r="C371" s="5" t="s">
        <v>24528</v>
      </c>
      <c r="D371" s="246">
        <v>42293</v>
      </c>
      <c r="E371" s="5" t="s">
        <v>24529</v>
      </c>
      <c r="F371" s="26" t="s">
        <v>23600</v>
      </c>
      <c r="G371" s="27" t="s">
        <v>11003</v>
      </c>
      <c r="H371" s="28" t="s">
        <v>11004</v>
      </c>
      <c r="I371" s="5" t="s">
        <v>58</v>
      </c>
    </row>
    <row r="372" spans="1:9" ht="51.75" customHeight="1">
      <c r="A372" s="5" t="s">
        <v>24530</v>
      </c>
      <c r="B372" s="5" t="s">
        <v>24531</v>
      </c>
      <c r="C372" s="5" t="s">
        <v>24532</v>
      </c>
      <c r="D372" s="246">
        <v>42226</v>
      </c>
      <c r="E372" s="5" t="s">
        <v>24533</v>
      </c>
      <c r="F372" s="26" t="s">
        <v>23600</v>
      </c>
      <c r="G372" s="27" t="s">
        <v>11020</v>
      </c>
      <c r="H372" s="28" t="s">
        <v>11021</v>
      </c>
      <c r="I372" s="5" t="s">
        <v>58</v>
      </c>
    </row>
    <row r="373" spans="1:9" ht="51.75" customHeight="1">
      <c r="A373" s="5" t="s">
        <v>24534</v>
      </c>
      <c r="B373" s="5" t="s">
        <v>24535</v>
      </c>
      <c r="C373" s="5" t="s">
        <v>24536</v>
      </c>
      <c r="D373" s="246">
        <v>42226</v>
      </c>
      <c r="E373" s="5" t="s">
        <v>24537</v>
      </c>
      <c r="F373" s="26" t="s">
        <v>23600</v>
      </c>
      <c r="G373" s="27" t="s">
        <v>11020</v>
      </c>
      <c r="H373" s="28" t="s">
        <v>11021</v>
      </c>
      <c r="I373" s="5" t="s">
        <v>58</v>
      </c>
    </row>
    <row r="374" spans="1:9" ht="51.75" customHeight="1">
      <c r="A374" s="5" t="s">
        <v>24538</v>
      </c>
      <c r="B374" s="5" t="s">
        <v>24539</v>
      </c>
      <c r="C374" s="5" t="s">
        <v>24540</v>
      </c>
      <c r="D374" s="246">
        <v>42226</v>
      </c>
      <c r="E374" s="5" t="s">
        <v>24541</v>
      </c>
      <c r="F374" s="26" t="s">
        <v>23600</v>
      </c>
      <c r="G374" s="27" t="s">
        <v>11020</v>
      </c>
      <c r="H374" s="28" t="s">
        <v>11021</v>
      </c>
      <c r="I374" s="5" t="s">
        <v>58</v>
      </c>
    </row>
    <row r="375" spans="1:9" ht="51.75" customHeight="1">
      <c r="A375" s="5" t="s">
        <v>24542</v>
      </c>
      <c r="B375" s="5" t="s">
        <v>24543</v>
      </c>
      <c r="C375" s="5" t="s">
        <v>24544</v>
      </c>
      <c r="D375" s="246">
        <v>42226</v>
      </c>
      <c r="E375" s="5" t="s">
        <v>24545</v>
      </c>
      <c r="F375" s="26" t="s">
        <v>23600</v>
      </c>
      <c r="G375" s="27" t="s">
        <v>11020</v>
      </c>
      <c r="H375" s="28" t="s">
        <v>11021</v>
      </c>
      <c r="I375" s="5" t="s">
        <v>58</v>
      </c>
    </row>
    <row r="376" spans="1:9" ht="51.75" customHeight="1">
      <c r="A376" s="5" t="s">
        <v>24546</v>
      </c>
      <c r="B376" s="5" t="s">
        <v>24547</v>
      </c>
      <c r="C376" s="5" t="s">
        <v>24548</v>
      </c>
      <c r="D376" s="246">
        <v>42226</v>
      </c>
      <c r="E376" s="5" t="s">
        <v>24549</v>
      </c>
      <c r="F376" s="26" t="s">
        <v>23600</v>
      </c>
      <c r="G376" s="27" t="s">
        <v>11020</v>
      </c>
      <c r="H376" s="28" t="s">
        <v>11021</v>
      </c>
      <c r="I376" s="5" t="s">
        <v>58</v>
      </c>
    </row>
    <row r="377" spans="1:9" ht="51.75" customHeight="1">
      <c r="A377" s="5" t="s">
        <v>24550</v>
      </c>
      <c r="B377" s="5" t="s">
        <v>24551</v>
      </c>
      <c r="C377" s="5" t="s">
        <v>24552</v>
      </c>
      <c r="D377" s="246">
        <v>42226</v>
      </c>
      <c r="E377" s="5" t="s">
        <v>24553</v>
      </c>
      <c r="F377" s="26" t="s">
        <v>23600</v>
      </c>
      <c r="G377" s="27" t="s">
        <v>11020</v>
      </c>
      <c r="H377" s="28" t="s">
        <v>11021</v>
      </c>
      <c r="I377" s="5" t="s">
        <v>58</v>
      </c>
    </row>
    <row r="378" spans="1:9" ht="51.75" customHeight="1">
      <c r="A378" s="5" t="s">
        <v>24554</v>
      </c>
      <c r="B378" s="5" t="s">
        <v>24555</v>
      </c>
      <c r="C378" s="5" t="s">
        <v>24556</v>
      </c>
      <c r="D378" s="246">
        <v>42647</v>
      </c>
      <c r="E378" s="5" t="s">
        <v>24557</v>
      </c>
      <c r="F378" s="26" t="s">
        <v>23600</v>
      </c>
      <c r="G378" s="27" t="s">
        <v>12117</v>
      </c>
      <c r="H378" s="28" t="s">
        <v>12118</v>
      </c>
      <c r="I378" s="5" t="s">
        <v>58</v>
      </c>
    </row>
    <row r="379" spans="1:9" ht="51.75" customHeight="1">
      <c r="A379" s="5" t="s">
        <v>24558</v>
      </c>
      <c r="B379" s="5" t="s">
        <v>24559</v>
      </c>
      <c r="C379" s="5" t="s">
        <v>24560</v>
      </c>
      <c r="D379" s="246">
        <v>42647</v>
      </c>
      <c r="E379" s="5" t="s">
        <v>24561</v>
      </c>
      <c r="F379" s="26" t="s">
        <v>23600</v>
      </c>
      <c r="G379" s="27" t="s">
        <v>12117</v>
      </c>
      <c r="H379" s="28" t="s">
        <v>12118</v>
      </c>
      <c r="I379" s="5" t="s">
        <v>58</v>
      </c>
    </row>
    <row r="380" spans="1:9" ht="51.75" customHeight="1">
      <c r="A380" s="5" t="s">
        <v>23716</v>
      </c>
      <c r="B380" s="5" t="s">
        <v>24562</v>
      </c>
      <c r="C380" s="5" t="s">
        <v>24563</v>
      </c>
      <c r="D380" s="246">
        <v>42786</v>
      </c>
      <c r="E380" s="5" t="s">
        <v>24564</v>
      </c>
      <c r="F380" s="26" t="s">
        <v>23600</v>
      </c>
      <c r="G380" s="27" t="s">
        <v>12269</v>
      </c>
      <c r="H380" s="28" t="s">
        <v>12270</v>
      </c>
      <c r="I380" s="5" t="s">
        <v>58</v>
      </c>
    </row>
    <row r="381" spans="1:9" ht="51.75" customHeight="1">
      <c r="A381" s="5" t="s">
        <v>23720</v>
      </c>
      <c r="B381" s="5" t="s">
        <v>24565</v>
      </c>
      <c r="C381" s="5" t="s">
        <v>24566</v>
      </c>
      <c r="D381" s="246">
        <v>42786</v>
      </c>
      <c r="E381" s="5" t="s">
        <v>24567</v>
      </c>
      <c r="F381" s="26" t="s">
        <v>23600</v>
      </c>
      <c r="G381" s="27" t="s">
        <v>12269</v>
      </c>
      <c r="H381" s="28" t="s">
        <v>12270</v>
      </c>
      <c r="I381" s="5" t="s">
        <v>58</v>
      </c>
    </row>
    <row r="382" spans="1:9" ht="51.75" customHeight="1">
      <c r="A382" s="5" t="s">
        <v>23728</v>
      </c>
      <c r="B382" s="5" t="s">
        <v>24568</v>
      </c>
      <c r="C382" s="5" t="s">
        <v>24569</v>
      </c>
      <c r="D382" s="246">
        <v>42786</v>
      </c>
      <c r="E382" s="5" t="s">
        <v>24570</v>
      </c>
      <c r="F382" s="26" t="s">
        <v>23600</v>
      </c>
      <c r="G382" s="27" t="s">
        <v>12269</v>
      </c>
      <c r="H382" s="28" t="s">
        <v>12270</v>
      </c>
      <c r="I382" s="5" t="s">
        <v>58</v>
      </c>
    </row>
    <row r="383" spans="1:9" ht="51.75" customHeight="1">
      <c r="A383" s="5" t="s">
        <v>24571</v>
      </c>
      <c r="B383" s="5" t="s">
        <v>24572</v>
      </c>
      <c r="C383" s="5" t="s">
        <v>24573</v>
      </c>
      <c r="D383" s="246">
        <v>42807</v>
      </c>
      <c r="E383" s="5" t="s">
        <v>24574</v>
      </c>
      <c r="F383" s="26" t="s">
        <v>23600</v>
      </c>
      <c r="G383" s="27" t="s">
        <v>12573</v>
      </c>
      <c r="H383" s="28" t="s">
        <v>12574</v>
      </c>
      <c r="I383" s="5" t="s">
        <v>58</v>
      </c>
    </row>
    <row r="384" spans="1:9" ht="51.75" customHeight="1">
      <c r="A384" s="5" t="s">
        <v>24575</v>
      </c>
      <c r="B384" s="5" t="s">
        <v>24576</v>
      </c>
      <c r="C384" s="5" t="s">
        <v>24577</v>
      </c>
      <c r="D384" s="246">
        <v>42807</v>
      </c>
      <c r="E384" s="5" t="s">
        <v>24578</v>
      </c>
      <c r="F384" s="26" t="s">
        <v>23600</v>
      </c>
      <c r="G384" s="27" t="s">
        <v>12573</v>
      </c>
      <c r="H384" s="28" t="s">
        <v>12574</v>
      </c>
      <c r="I384" s="5" t="s">
        <v>58</v>
      </c>
    </row>
    <row r="385" spans="1:9" ht="51.75" customHeight="1">
      <c r="A385" s="5" t="s">
        <v>24579</v>
      </c>
      <c r="B385" s="5" t="s">
        <v>24580</v>
      </c>
      <c r="C385" s="5" t="s">
        <v>24581</v>
      </c>
      <c r="D385" s="246">
        <v>42807</v>
      </c>
      <c r="E385" s="5" t="s">
        <v>24582</v>
      </c>
      <c r="F385" s="26" t="s">
        <v>23600</v>
      </c>
      <c r="G385" s="27" t="s">
        <v>12573</v>
      </c>
      <c r="H385" s="28" t="s">
        <v>12574</v>
      </c>
      <c r="I385" s="5" t="s">
        <v>58</v>
      </c>
    </row>
    <row r="386" spans="1:9" ht="51.75" customHeight="1">
      <c r="A386" s="5" t="s">
        <v>24583</v>
      </c>
      <c r="B386" s="5" t="s">
        <v>24584</v>
      </c>
      <c r="C386" s="5" t="s">
        <v>24585</v>
      </c>
      <c r="D386" s="246">
        <v>42807</v>
      </c>
      <c r="E386" s="5" t="s">
        <v>24586</v>
      </c>
      <c r="F386" s="26" t="s">
        <v>23600</v>
      </c>
      <c r="G386" s="27" t="s">
        <v>12573</v>
      </c>
      <c r="H386" s="28" t="s">
        <v>12574</v>
      </c>
      <c r="I386" s="5" t="s">
        <v>58</v>
      </c>
    </row>
    <row r="387" spans="1:9" ht="51.75" customHeight="1">
      <c r="A387" s="5" t="s">
        <v>24587</v>
      </c>
      <c r="B387" s="5" t="s">
        <v>24588</v>
      </c>
      <c r="C387" s="5" t="s">
        <v>24589</v>
      </c>
      <c r="D387" s="246">
        <v>42878</v>
      </c>
      <c r="E387" s="5" t="s">
        <v>24590</v>
      </c>
      <c r="F387" s="26" t="s">
        <v>23600</v>
      </c>
      <c r="G387" s="27" t="s">
        <v>12663</v>
      </c>
      <c r="H387" s="28" t="s">
        <v>12664</v>
      </c>
      <c r="I387" s="5" t="s">
        <v>58</v>
      </c>
    </row>
    <row r="388" spans="1:9" ht="51.75" customHeight="1">
      <c r="A388" s="5" t="s">
        <v>24591</v>
      </c>
      <c r="B388" s="5" t="s">
        <v>24592</v>
      </c>
      <c r="C388" s="5" t="s">
        <v>24593</v>
      </c>
      <c r="D388" s="246">
        <v>42878</v>
      </c>
      <c r="E388" s="5" t="s">
        <v>24594</v>
      </c>
      <c r="F388" s="26" t="s">
        <v>23600</v>
      </c>
      <c r="G388" s="27" t="s">
        <v>12663</v>
      </c>
      <c r="H388" s="28" t="s">
        <v>12664</v>
      </c>
      <c r="I388" s="5" t="s">
        <v>58</v>
      </c>
    </row>
    <row r="389" spans="1:9" ht="51.75" customHeight="1">
      <c r="A389" s="5" t="s">
        <v>24595</v>
      </c>
      <c r="B389" s="5" t="s">
        <v>24596</v>
      </c>
      <c r="C389" s="5" t="s">
        <v>24597</v>
      </c>
      <c r="D389" s="246">
        <v>42878</v>
      </c>
      <c r="E389" s="5" t="s">
        <v>24598</v>
      </c>
      <c r="F389" s="26" t="s">
        <v>23600</v>
      </c>
      <c r="G389" s="27" t="s">
        <v>12663</v>
      </c>
      <c r="H389" s="28" t="s">
        <v>12664</v>
      </c>
      <c r="I389" s="5" t="s">
        <v>58</v>
      </c>
    </row>
    <row r="390" spans="1:9" ht="51.75" customHeight="1">
      <c r="A390" s="5" t="s">
        <v>24599</v>
      </c>
      <c r="B390" s="5" t="s">
        <v>24600</v>
      </c>
      <c r="C390" s="5" t="s">
        <v>24601</v>
      </c>
      <c r="D390" s="246">
        <v>42863</v>
      </c>
      <c r="E390" s="5" t="s">
        <v>24602</v>
      </c>
      <c r="F390" s="26" t="s">
        <v>23600</v>
      </c>
      <c r="G390" s="27" t="s">
        <v>12632</v>
      </c>
      <c r="H390" s="28" t="s">
        <v>12633</v>
      </c>
      <c r="I390" s="5" t="s">
        <v>58</v>
      </c>
    </row>
    <row r="391" spans="1:9" ht="51.75" customHeight="1">
      <c r="A391" s="5" t="s">
        <v>23752</v>
      </c>
      <c r="B391" s="5" t="s">
        <v>24603</v>
      </c>
      <c r="C391" s="5" t="s">
        <v>24604</v>
      </c>
      <c r="D391" s="246">
        <v>42863</v>
      </c>
      <c r="E391" s="5" t="s">
        <v>24605</v>
      </c>
      <c r="F391" s="26" t="s">
        <v>23600</v>
      </c>
      <c r="G391" s="27" t="s">
        <v>12632</v>
      </c>
      <c r="H391" s="28" t="s">
        <v>12633</v>
      </c>
      <c r="I391" s="5" t="s">
        <v>58</v>
      </c>
    </row>
    <row r="392" spans="1:9" ht="51.75" customHeight="1">
      <c r="A392" s="5" t="s">
        <v>24606</v>
      </c>
      <c r="B392" s="5" t="s">
        <v>24607</v>
      </c>
      <c r="C392" s="5" t="s">
        <v>24608</v>
      </c>
      <c r="D392" s="246">
        <v>42863</v>
      </c>
      <c r="E392" s="5" t="s">
        <v>24609</v>
      </c>
      <c r="F392" s="26" t="s">
        <v>23600</v>
      </c>
      <c r="G392" s="27" t="s">
        <v>12632</v>
      </c>
      <c r="H392" s="28" t="s">
        <v>12633</v>
      </c>
      <c r="I392" s="5" t="s">
        <v>58</v>
      </c>
    </row>
    <row r="393" spans="1:9" ht="51.75" customHeight="1">
      <c r="A393" s="5" t="s">
        <v>24610</v>
      </c>
      <c r="B393" s="5" t="s">
        <v>24611</v>
      </c>
      <c r="C393" s="5" t="s">
        <v>24612</v>
      </c>
      <c r="D393" s="246">
        <v>42863</v>
      </c>
      <c r="E393" s="5" t="s">
        <v>24613</v>
      </c>
      <c r="F393" s="26" t="s">
        <v>23600</v>
      </c>
      <c r="G393" s="27" t="s">
        <v>12632</v>
      </c>
      <c r="H393" s="28" t="s">
        <v>12633</v>
      </c>
      <c r="I393" s="5" t="s">
        <v>58</v>
      </c>
    </row>
    <row r="394" spans="1:9" ht="51.75" customHeight="1">
      <c r="A394" s="5" t="s">
        <v>24614</v>
      </c>
      <c r="B394" s="5" t="s">
        <v>24615</v>
      </c>
      <c r="C394" s="5" t="s">
        <v>24616</v>
      </c>
      <c r="D394" s="246">
        <v>43145</v>
      </c>
      <c r="E394" s="5" t="s">
        <v>24617</v>
      </c>
      <c r="F394" s="26" t="s">
        <v>23600</v>
      </c>
      <c r="G394" s="27" t="s">
        <v>13786</v>
      </c>
      <c r="H394" s="28" t="s">
        <v>13787</v>
      </c>
      <c r="I394" s="5" t="s">
        <v>58</v>
      </c>
    </row>
    <row r="395" spans="1:9" ht="51.75" customHeight="1">
      <c r="A395" s="5" t="s">
        <v>23692</v>
      </c>
      <c r="B395" s="5" t="s">
        <v>24618</v>
      </c>
      <c r="C395" s="5" t="s">
        <v>24619</v>
      </c>
      <c r="D395" s="246">
        <v>43145</v>
      </c>
      <c r="E395" s="5" t="s">
        <v>24620</v>
      </c>
      <c r="F395" s="26" t="s">
        <v>23600</v>
      </c>
      <c r="G395" s="27" t="s">
        <v>13786</v>
      </c>
      <c r="H395" s="28" t="s">
        <v>13787</v>
      </c>
      <c r="I395" s="5" t="s">
        <v>58</v>
      </c>
    </row>
    <row r="396" spans="1:9" ht="51.75" customHeight="1">
      <c r="A396" s="5" t="s">
        <v>23601</v>
      </c>
      <c r="B396" s="5" t="s">
        <v>24621</v>
      </c>
      <c r="C396" s="5" t="s">
        <v>24622</v>
      </c>
      <c r="D396" s="246">
        <v>43145</v>
      </c>
      <c r="E396" s="5" t="s">
        <v>24623</v>
      </c>
      <c r="F396" s="26" t="s">
        <v>23600</v>
      </c>
      <c r="G396" s="27" t="s">
        <v>13786</v>
      </c>
      <c r="H396" s="28" t="s">
        <v>13787</v>
      </c>
      <c r="I396" s="5" t="s">
        <v>58</v>
      </c>
    </row>
    <row r="397" spans="1:9" ht="51.75" customHeight="1">
      <c r="A397" s="5" t="s">
        <v>24624</v>
      </c>
      <c r="B397" s="5" t="s">
        <v>24625</v>
      </c>
      <c r="C397" s="5" t="s">
        <v>24626</v>
      </c>
      <c r="D397" s="246">
        <v>43145</v>
      </c>
      <c r="E397" s="5" t="s">
        <v>24627</v>
      </c>
      <c r="F397" s="26" t="s">
        <v>23600</v>
      </c>
      <c r="G397" s="27" t="s">
        <v>13786</v>
      </c>
      <c r="H397" s="28" t="s">
        <v>13787</v>
      </c>
      <c r="I397" s="5" t="s">
        <v>58</v>
      </c>
    </row>
    <row r="398" spans="1:9" ht="51.75" customHeight="1">
      <c r="A398" s="5" t="s">
        <v>24628</v>
      </c>
      <c r="B398" s="5" t="s">
        <v>24629</v>
      </c>
      <c r="C398" s="5" t="s">
        <v>24630</v>
      </c>
      <c r="D398" s="246">
        <v>43145</v>
      </c>
      <c r="E398" s="5" t="s">
        <v>24482</v>
      </c>
      <c r="F398" s="26" t="s">
        <v>23600</v>
      </c>
      <c r="G398" s="27" t="s">
        <v>13786</v>
      </c>
      <c r="H398" s="28" t="s">
        <v>13787</v>
      </c>
      <c r="I398" s="5" t="s">
        <v>58</v>
      </c>
    </row>
    <row r="399" spans="1:9" ht="51.75" customHeight="1">
      <c r="A399" s="5" t="s">
        <v>24631</v>
      </c>
      <c r="B399" s="5" t="s">
        <v>24632</v>
      </c>
      <c r="C399" s="5" t="s">
        <v>24633</v>
      </c>
      <c r="D399" s="246">
        <v>43258</v>
      </c>
      <c r="E399" s="5" t="s">
        <v>24634</v>
      </c>
      <c r="F399" s="26" t="s">
        <v>23600</v>
      </c>
      <c r="G399" s="27" t="s">
        <v>14252</v>
      </c>
      <c r="H399" s="28" t="s">
        <v>14253</v>
      </c>
      <c r="I399" s="5" t="s">
        <v>58</v>
      </c>
    </row>
    <row r="400" spans="1:9" ht="51.75" customHeight="1">
      <c r="A400" s="5" t="s">
        <v>24635</v>
      </c>
      <c r="B400" s="5" t="s">
        <v>24636</v>
      </c>
      <c r="C400" s="5" t="s">
        <v>24637</v>
      </c>
      <c r="D400" s="246">
        <v>43258</v>
      </c>
      <c r="E400" s="5" t="s">
        <v>24638</v>
      </c>
      <c r="F400" s="26" t="s">
        <v>23600</v>
      </c>
      <c r="G400" s="27" t="s">
        <v>14252</v>
      </c>
      <c r="H400" s="28" t="s">
        <v>14253</v>
      </c>
      <c r="I400" s="5" t="s">
        <v>58</v>
      </c>
    </row>
    <row r="401" spans="1:9" ht="51.75" customHeight="1">
      <c r="A401" s="5" t="s">
        <v>24639</v>
      </c>
      <c r="B401" s="5" t="s">
        <v>24640</v>
      </c>
      <c r="C401" s="5" t="s">
        <v>24641</v>
      </c>
      <c r="D401" s="246">
        <v>43258</v>
      </c>
      <c r="E401" s="5" t="s">
        <v>24642</v>
      </c>
      <c r="F401" s="26" t="s">
        <v>23600</v>
      </c>
      <c r="G401" s="27" t="s">
        <v>14252</v>
      </c>
      <c r="H401" s="28" t="s">
        <v>14253</v>
      </c>
      <c r="I401" s="5" t="s">
        <v>58</v>
      </c>
    </row>
    <row r="402" spans="1:9" ht="51.75" customHeight="1">
      <c r="A402" s="5" t="s">
        <v>24643</v>
      </c>
      <c r="B402" s="5" t="s">
        <v>24644</v>
      </c>
      <c r="C402" s="5" t="s">
        <v>24645</v>
      </c>
      <c r="D402" s="246">
        <v>43258</v>
      </c>
      <c r="E402" s="5" t="s">
        <v>24646</v>
      </c>
      <c r="F402" s="26" t="s">
        <v>23600</v>
      </c>
      <c r="G402" s="27" t="s">
        <v>14252</v>
      </c>
      <c r="H402" s="28" t="s">
        <v>14253</v>
      </c>
      <c r="I402" s="5" t="s">
        <v>58</v>
      </c>
    </row>
    <row r="403" spans="1:9" ht="51.75" customHeight="1">
      <c r="A403" s="5" t="s">
        <v>24647</v>
      </c>
      <c r="B403" s="5" t="s">
        <v>24648</v>
      </c>
      <c r="C403" s="5" t="s">
        <v>24649</v>
      </c>
      <c r="D403" s="246">
        <v>43252</v>
      </c>
      <c r="E403" s="5" t="s">
        <v>24650</v>
      </c>
      <c r="F403" s="26" t="s">
        <v>23600</v>
      </c>
      <c r="G403" s="27" t="s">
        <v>14136</v>
      </c>
      <c r="H403" s="28" t="s">
        <v>14137</v>
      </c>
      <c r="I403" s="5" t="s">
        <v>58</v>
      </c>
    </row>
    <row r="404" spans="1:9" ht="51.75" customHeight="1">
      <c r="A404" s="5" t="s">
        <v>24651</v>
      </c>
      <c r="B404" s="5" t="s">
        <v>24652</v>
      </c>
      <c r="C404" s="5" t="s">
        <v>24653</v>
      </c>
      <c r="D404" s="246">
        <v>43252</v>
      </c>
      <c r="E404" s="5" t="s">
        <v>24654</v>
      </c>
      <c r="F404" s="26" t="s">
        <v>23600</v>
      </c>
      <c r="G404" s="27" t="s">
        <v>14136</v>
      </c>
      <c r="H404" s="28" t="s">
        <v>14137</v>
      </c>
      <c r="I404" s="5" t="s">
        <v>58</v>
      </c>
    </row>
    <row r="405" spans="1:9" ht="51.75" customHeight="1">
      <c r="A405" s="5" t="s">
        <v>24655</v>
      </c>
      <c r="B405" s="5" t="s">
        <v>24656</v>
      </c>
      <c r="C405" s="5" t="s">
        <v>24657</v>
      </c>
      <c r="D405" s="246">
        <v>43252</v>
      </c>
      <c r="E405" s="5" t="s">
        <v>24658</v>
      </c>
      <c r="F405" s="26" t="s">
        <v>23600</v>
      </c>
      <c r="G405" s="27" t="s">
        <v>14136</v>
      </c>
      <c r="H405" s="28" t="s">
        <v>14137</v>
      </c>
      <c r="I405" s="5" t="s">
        <v>58</v>
      </c>
    </row>
    <row r="406" spans="1:9" ht="51.75" customHeight="1">
      <c r="A406" s="5" t="s">
        <v>24659</v>
      </c>
      <c r="B406" s="5" t="s">
        <v>24660</v>
      </c>
      <c r="C406" s="5" t="s">
        <v>24661</v>
      </c>
      <c r="D406" s="246">
        <v>43252</v>
      </c>
      <c r="E406" s="5" t="s">
        <v>24662</v>
      </c>
      <c r="F406" s="26" t="s">
        <v>23600</v>
      </c>
      <c r="G406" s="27" t="s">
        <v>14136</v>
      </c>
      <c r="H406" s="28" t="s">
        <v>14137</v>
      </c>
      <c r="I406" s="5" t="s">
        <v>58</v>
      </c>
    </row>
    <row r="407" spans="1:9" ht="51.75" customHeight="1">
      <c r="A407" s="5" t="s">
        <v>23784</v>
      </c>
      <c r="B407" s="5" t="s">
        <v>24663</v>
      </c>
      <c r="C407" s="5" t="s">
        <v>24664</v>
      </c>
      <c r="D407" s="246">
        <v>43252</v>
      </c>
      <c r="E407" s="5" t="s">
        <v>24665</v>
      </c>
      <c r="F407" s="26" t="s">
        <v>23600</v>
      </c>
      <c r="G407" s="27" t="s">
        <v>14136</v>
      </c>
      <c r="H407" s="28" t="s">
        <v>14137</v>
      </c>
      <c r="I407" s="5" t="s">
        <v>58</v>
      </c>
    </row>
    <row r="408" spans="1:9" ht="51.75" customHeight="1">
      <c r="A408" s="5" t="s">
        <v>24666</v>
      </c>
      <c r="B408" s="5" t="s">
        <v>24667</v>
      </c>
      <c r="C408" s="5" t="s">
        <v>24668</v>
      </c>
      <c r="D408" s="246">
        <v>43252</v>
      </c>
      <c r="E408" s="5" t="s">
        <v>24669</v>
      </c>
      <c r="F408" s="26" t="s">
        <v>23600</v>
      </c>
      <c r="G408" s="27" t="s">
        <v>14136</v>
      </c>
      <c r="H408" s="28" t="s">
        <v>14137</v>
      </c>
      <c r="I408" s="5" t="s">
        <v>58</v>
      </c>
    </row>
    <row r="409" spans="1:9" ht="51.75" customHeight="1">
      <c r="A409" s="5" t="s">
        <v>24670</v>
      </c>
      <c r="B409" s="5" t="s">
        <v>24671</v>
      </c>
      <c r="C409" s="5" t="s">
        <v>24672</v>
      </c>
      <c r="D409" s="246">
        <v>43252</v>
      </c>
      <c r="E409" s="5" t="s">
        <v>24673</v>
      </c>
      <c r="F409" s="26" t="s">
        <v>23600</v>
      </c>
      <c r="G409" s="27" t="s">
        <v>14136</v>
      </c>
      <c r="H409" s="28" t="s">
        <v>14137</v>
      </c>
      <c r="I409" s="5" t="s">
        <v>58</v>
      </c>
    </row>
    <row r="410" spans="1:9" ht="51.75" customHeight="1">
      <c r="A410" s="5" t="s">
        <v>24674</v>
      </c>
      <c r="B410" s="5" t="s">
        <v>24675</v>
      </c>
      <c r="C410" s="5" t="s">
        <v>24676</v>
      </c>
      <c r="D410" s="246">
        <v>43468</v>
      </c>
      <c r="E410" s="5" t="s">
        <v>24677</v>
      </c>
      <c r="F410" s="26" t="s">
        <v>23600</v>
      </c>
      <c r="G410" s="27" t="s">
        <v>14986</v>
      </c>
      <c r="H410" s="28" t="s">
        <v>14987</v>
      </c>
      <c r="I410" s="5" t="s">
        <v>58</v>
      </c>
    </row>
    <row r="411" spans="1:9" ht="51.75" customHeight="1">
      <c r="A411" s="5" t="s">
        <v>23952</v>
      </c>
      <c r="B411" s="5" t="s">
        <v>24678</v>
      </c>
      <c r="C411" s="5" t="s">
        <v>24679</v>
      </c>
      <c r="D411" s="246">
        <v>43468</v>
      </c>
      <c r="E411" s="5" t="s">
        <v>24680</v>
      </c>
      <c r="F411" s="26" t="s">
        <v>23600</v>
      </c>
      <c r="G411" s="27" t="s">
        <v>14986</v>
      </c>
      <c r="H411" s="28" t="s">
        <v>14987</v>
      </c>
      <c r="I411" s="5" t="s">
        <v>58</v>
      </c>
    </row>
    <row r="412" spans="1:9" ht="51.75" customHeight="1">
      <c r="A412" s="5" t="s">
        <v>24681</v>
      </c>
      <c r="B412" s="5" t="s">
        <v>24682</v>
      </c>
      <c r="C412" s="5" t="s">
        <v>24683</v>
      </c>
      <c r="D412" s="246">
        <v>43468</v>
      </c>
      <c r="E412" s="5" t="s">
        <v>24684</v>
      </c>
      <c r="F412" s="26" t="s">
        <v>23600</v>
      </c>
      <c r="G412" s="27" t="s">
        <v>14986</v>
      </c>
      <c r="H412" s="28" t="s">
        <v>14987</v>
      </c>
      <c r="I412" s="5" t="s">
        <v>58</v>
      </c>
    </row>
    <row r="413" spans="1:9" ht="51.75" customHeight="1">
      <c r="A413" s="5" t="s">
        <v>24685</v>
      </c>
      <c r="B413" s="5" t="s">
        <v>24686</v>
      </c>
      <c r="C413" s="5" t="s">
        <v>24687</v>
      </c>
      <c r="D413" s="246">
        <v>43468</v>
      </c>
      <c r="E413" s="5" t="s">
        <v>24688</v>
      </c>
      <c r="F413" s="26" t="s">
        <v>23600</v>
      </c>
      <c r="G413" s="27" t="s">
        <v>14986</v>
      </c>
      <c r="H413" s="28" t="s">
        <v>14987</v>
      </c>
      <c r="I413" s="5" t="s">
        <v>58</v>
      </c>
    </row>
    <row r="414" spans="1:9" ht="51.75" customHeight="1">
      <c r="A414" s="5" t="s">
        <v>24689</v>
      </c>
      <c r="B414" s="5" t="s">
        <v>24690</v>
      </c>
      <c r="C414" s="5" t="s">
        <v>24691</v>
      </c>
      <c r="D414" s="246">
        <v>43468</v>
      </c>
      <c r="E414" s="5" t="s">
        <v>24692</v>
      </c>
      <c r="F414" s="26" t="s">
        <v>23600</v>
      </c>
      <c r="G414" s="27" t="s">
        <v>14986</v>
      </c>
      <c r="H414" s="28" t="s">
        <v>14987</v>
      </c>
      <c r="I414" s="5" t="s">
        <v>58</v>
      </c>
    </row>
    <row r="415" spans="1:9" ht="51.75" customHeight="1">
      <c r="A415" s="5" t="s">
        <v>24693</v>
      </c>
      <c r="B415" s="5" t="s">
        <v>24694</v>
      </c>
      <c r="C415" s="5" t="s">
        <v>24695</v>
      </c>
      <c r="D415" s="246">
        <v>43468</v>
      </c>
      <c r="E415" s="5" t="s">
        <v>24696</v>
      </c>
      <c r="F415" s="26" t="s">
        <v>23600</v>
      </c>
      <c r="G415" s="27" t="s">
        <v>14986</v>
      </c>
      <c r="H415" s="28" t="s">
        <v>14987</v>
      </c>
      <c r="I415" s="5" t="s">
        <v>58</v>
      </c>
    </row>
    <row r="416" spans="1:9" ht="51.75" customHeight="1">
      <c r="A416" s="5" t="s">
        <v>24697</v>
      </c>
      <c r="B416" s="5" t="s">
        <v>24698</v>
      </c>
      <c r="C416" s="5" t="s">
        <v>24645</v>
      </c>
      <c r="D416" s="246">
        <v>43468</v>
      </c>
      <c r="E416" s="5" t="s">
        <v>24699</v>
      </c>
      <c r="F416" s="26" t="s">
        <v>23600</v>
      </c>
      <c r="G416" s="27" t="s">
        <v>14986</v>
      </c>
      <c r="H416" s="28" t="s">
        <v>14987</v>
      </c>
      <c r="I416" s="5" t="s">
        <v>58</v>
      </c>
    </row>
    <row r="417" spans="1:9" ht="51.75" customHeight="1">
      <c r="A417" s="5" t="s">
        <v>24700</v>
      </c>
      <c r="B417" s="5" t="s">
        <v>24701</v>
      </c>
      <c r="C417" s="5" t="s">
        <v>24702</v>
      </c>
      <c r="D417" s="246">
        <v>43664</v>
      </c>
      <c r="E417" s="5" t="s">
        <v>24703</v>
      </c>
      <c r="F417" s="26" t="s">
        <v>23600</v>
      </c>
      <c r="G417" s="27" t="s">
        <v>15863</v>
      </c>
      <c r="H417" s="28" t="s">
        <v>15864</v>
      </c>
      <c r="I417" s="5" t="s">
        <v>58</v>
      </c>
    </row>
    <row r="418" spans="1:9" ht="51.75" customHeight="1">
      <c r="A418" s="5" t="s">
        <v>24704</v>
      </c>
      <c r="B418" s="5" t="s">
        <v>24705</v>
      </c>
      <c r="C418" s="5" t="s">
        <v>24706</v>
      </c>
      <c r="D418" s="246">
        <v>43664</v>
      </c>
      <c r="E418" s="5" t="s">
        <v>24707</v>
      </c>
      <c r="F418" s="26" t="s">
        <v>23600</v>
      </c>
      <c r="G418" s="27" t="s">
        <v>15863</v>
      </c>
      <c r="H418" s="28" t="s">
        <v>15864</v>
      </c>
      <c r="I418" s="5" t="s">
        <v>58</v>
      </c>
    </row>
    <row r="419" spans="1:9" ht="51.75" customHeight="1">
      <c r="A419" s="5" t="s">
        <v>24708</v>
      </c>
      <c r="B419" s="5" t="s">
        <v>24709</v>
      </c>
      <c r="C419" s="5" t="s">
        <v>24710</v>
      </c>
      <c r="D419" s="246">
        <v>43664</v>
      </c>
      <c r="E419" s="5" t="s">
        <v>24711</v>
      </c>
      <c r="F419" s="26" t="s">
        <v>23600</v>
      </c>
      <c r="G419" s="27" t="s">
        <v>15863</v>
      </c>
      <c r="H419" s="28" t="s">
        <v>15864</v>
      </c>
      <c r="I419" s="5" t="s">
        <v>58</v>
      </c>
    </row>
    <row r="420" spans="1:9" ht="51.75" customHeight="1">
      <c r="A420" s="5" t="s">
        <v>24712</v>
      </c>
      <c r="B420" s="5" t="s">
        <v>24713</v>
      </c>
      <c r="C420" s="5" t="s">
        <v>24714</v>
      </c>
      <c r="D420" s="246">
        <v>43664</v>
      </c>
      <c r="E420" s="5" t="s">
        <v>24715</v>
      </c>
      <c r="F420" s="26" t="s">
        <v>23600</v>
      </c>
      <c r="G420" s="27" t="s">
        <v>15863</v>
      </c>
      <c r="H420" s="28" t="s">
        <v>15864</v>
      </c>
      <c r="I420" s="5" t="s">
        <v>58</v>
      </c>
    </row>
    <row r="421" spans="1:9" ht="51.75" customHeight="1">
      <c r="A421" s="5" t="s">
        <v>24614</v>
      </c>
      <c r="B421" s="5" t="s">
        <v>24716</v>
      </c>
      <c r="C421" s="5" t="s">
        <v>24717</v>
      </c>
      <c r="D421" s="246">
        <v>43664</v>
      </c>
      <c r="E421" s="5" t="s">
        <v>24718</v>
      </c>
      <c r="F421" s="26" t="s">
        <v>23600</v>
      </c>
      <c r="G421" s="27" t="s">
        <v>15863</v>
      </c>
      <c r="H421" s="28" t="s">
        <v>15864</v>
      </c>
      <c r="I421" s="5" t="s">
        <v>58</v>
      </c>
    </row>
    <row r="422" spans="1:9" ht="51.75" customHeight="1">
      <c r="A422" s="5" t="s">
        <v>23724</v>
      </c>
      <c r="B422" s="5" t="s">
        <v>24719</v>
      </c>
      <c r="C422" s="5" t="s">
        <v>24720</v>
      </c>
      <c r="D422" s="246">
        <v>43664</v>
      </c>
      <c r="E422" s="5" t="s">
        <v>24721</v>
      </c>
      <c r="F422" s="26" t="s">
        <v>23600</v>
      </c>
      <c r="G422" s="27" t="s">
        <v>15863</v>
      </c>
      <c r="H422" s="28" t="s">
        <v>15864</v>
      </c>
      <c r="I422" s="5" t="s">
        <v>58</v>
      </c>
    </row>
    <row r="423" spans="1:9" ht="51.75" customHeight="1">
      <c r="A423" s="5" t="s">
        <v>23601</v>
      </c>
      <c r="B423" s="5" t="s">
        <v>24722</v>
      </c>
      <c r="C423" s="5" t="s">
        <v>24723</v>
      </c>
      <c r="D423" s="246">
        <v>43664</v>
      </c>
      <c r="E423" s="5" t="s">
        <v>24724</v>
      </c>
      <c r="F423" s="26" t="s">
        <v>23600</v>
      </c>
      <c r="G423" s="27" t="s">
        <v>15863</v>
      </c>
      <c r="H423" s="28" t="s">
        <v>15864</v>
      </c>
      <c r="I423" s="5" t="s">
        <v>58</v>
      </c>
    </row>
    <row r="424" spans="1:9" ht="51.75" customHeight="1">
      <c r="A424" s="5" t="s">
        <v>24725</v>
      </c>
      <c r="B424" s="5" t="s">
        <v>24726</v>
      </c>
      <c r="C424" s="5" t="s">
        <v>24727</v>
      </c>
      <c r="D424" s="246">
        <v>43664</v>
      </c>
      <c r="E424" s="5" t="s">
        <v>24728</v>
      </c>
      <c r="F424" s="26" t="s">
        <v>23600</v>
      </c>
      <c r="G424" s="27" t="s">
        <v>15863</v>
      </c>
      <c r="H424" s="28" t="s">
        <v>15864</v>
      </c>
      <c r="I424" s="5" t="s">
        <v>58</v>
      </c>
    </row>
    <row r="425" spans="1:9" ht="51.75" customHeight="1">
      <c r="A425" s="5" t="s">
        <v>24729</v>
      </c>
      <c r="B425" s="5" t="s">
        <v>24730</v>
      </c>
      <c r="C425" s="5" t="s">
        <v>24731</v>
      </c>
      <c r="D425" s="246">
        <v>44054</v>
      </c>
      <c r="E425" s="5" t="s">
        <v>24732</v>
      </c>
      <c r="F425" s="26" t="s">
        <v>23600</v>
      </c>
      <c r="G425" s="27" t="s">
        <v>17207</v>
      </c>
      <c r="H425" s="28" t="s">
        <v>17208</v>
      </c>
      <c r="I425" s="5" t="s">
        <v>58</v>
      </c>
    </row>
    <row r="426" spans="1:9" ht="51.75" customHeight="1">
      <c r="A426" s="5" t="s">
        <v>24733</v>
      </c>
      <c r="B426" s="5" t="s">
        <v>24734</v>
      </c>
      <c r="C426" s="5" t="s">
        <v>24735</v>
      </c>
      <c r="D426" s="246">
        <v>44054</v>
      </c>
      <c r="E426" s="5" t="s">
        <v>24736</v>
      </c>
      <c r="F426" s="26" t="s">
        <v>23600</v>
      </c>
      <c r="G426" s="27" t="s">
        <v>17207</v>
      </c>
      <c r="H426" s="28" t="s">
        <v>17208</v>
      </c>
      <c r="I426" s="5" t="s">
        <v>58</v>
      </c>
    </row>
    <row r="427" spans="1:9" ht="51.75" customHeight="1">
      <c r="A427" s="5" t="s">
        <v>24737</v>
      </c>
      <c r="B427" s="5" t="s">
        <v>24738</v>
      </c>
      <c r="C427" s="5" t="s">
        <v>24739</v>
      </c>
      <c r="D427" s="246">
        <v>44054</v>
      </c>
      <c r="E427" s="5" t="s">
        <v>24740</v>
      </c>
      <c r="F427" s="26" t="s">
        <v>23600</v>
      </c>
      <c r="G427" s="27" t="s">
        <v>17207</v>
      </c>
      <c r="H427" s="28" t="s">
        <v>17208</v>
      </c>
      <c r="I427" s="5" t="s">
        <v>58</v>
      </c>
    </row>
    <row r="428" spans="1:9" ht="51.75" customHeight="1">
      <c r="A428" s="5" t="s">
        <v>24741</v>
      </c>
      <c r="B428" s="5" t="s">
        <v>24742</v>
      </c>
      <c r="C428" s="5" t="s">
        <v>24743</v>
      </c>
      <c r="D428" s="246">
        <v>44054</v>
      </c>
      <c r="E428" s="5" t="s">
        <v>24744</v>
      </c>
      <c r="F428" s="26" t="s">
        <v>23600</v>
      </c>
      <c r="G428" s="27" t="s">
        <v>17207</v>
      </c>
      <c r="H428" s="28" t="s">
        <v>17208</v>
      </c>
      <c r="I428" s="5" t="s">
        <v>58</v>
      </c>
    </row>
    <row r="429" spans="1:9" ht="51.75" customHeight="1">
      <c r="A429" s="5" t="s">
        <v>24745</v>
      </c>
      <c r="B429" s="5" t="s">
        <v>24746</v>
      </c>
      <c r="C429" s="5" t="s">
        <v>24747</v>
      </c>
      <c r="D429" s="246">
        <v>44096</v>
      </c>
      <c r="E429" s="5" t="s">
        <v>24748</v>
      </c>
      <c r="F429" s="26" t="s">
        <v>23600</v>
      </c>
      <c r="G429" s="27" t="s">
        <v>16897</v>
      </c>
      <c r="H429" s="28" t="s">
        <v>16898</v>
      </c>
      <c r="I429" s="5" t="s">
        <v>58</v>
      </c>
    </row>
    <row r="430" spans="1:9" ht="51.75" customHeight="1">
      <c r="A430" s="5" t="s">
        <v>24749</v>
      </c>
      <c r="B430" s="5" t="s">
        <v>24750</v>
      </c>
      <c r="C430" s="5" t="s">
        <v>24751</v>
      </c>
      <c r="D430" s="246">
        <v>44096</v>
      </c>
      <c r="E430" s="5" t="s">
        <v>24752</v>
      </c>
      <c r="F430" s="26" t="s">
        <v>23600</v>
      </c>
      <c r="G430" s="27" t="s">
        <v>16897</v>
      </c>
      <c r="H430" s="28" t="s">
        <v>16898</v>
      </c>
      <c r="I430" s="5" t="s">
        <v>58</v>
      </c>
    </row>
    <row r="431" spans="1:9" ht="51.75" customHeight="1">
      <c r="A431" s="5" t="s">
        <v>24753</v>
      </c>
      <c r="B431" s="5" t="s">
        <v>24754</v>
      </c>
      <c r="C431" s="5" t="s">
        <v>24755</v>
      </c>
      <c r="D431" s="246">
        <v>44096</v>
      </c>
      <c r="E431" s="5" t="s">
        <v>24756</v>
      </c>
      <c r="F431" s="26" t="s">
        <v>23600</v>
      </c>
      <c r="G431" s="27" t="s">
        <v>16897</v>
      </c>
      <c r="H431" s="28" t="s">
        <v>16898</v>
      </c>
      <c r="I431" s="5" t="s">
        <v>58</v>
      </c>
    </row>
    <row r="432" spans="1:9" ht="51.75" customHeight="1">
      <c r="A432" s="5" t="s">
        <v>24757</v>
      </c>
      <c r="B432" s="5" t="s">
        <v>24758</v>
      </c>
      <c r="C432" s="5" t="s">
        <v>24759</v>
      </c>
      <c r="D432" s="246">
        <v>44096</v>
      </c>
      <c r="E432" s="5" t="s">
        <v>24760</v>
      </c>
      <c r="F432" s="26" t="s">
        <v>23600</v>
      </c>
      <c r="G432" s="27" t="s">
        <v>16897</v>
      </c>
      <c r="H432" s="28" t="s">
        <v>16898</v>
      </c>
      <c r="I432" s="5" t="s">
        <v>58</v>
      </c>
    </row>
    <row r="433" spans="1:9" ht="51.75" customHeight="1">
      <c r="A433" s="5" t="s">
        <v>24761</v>
      </c>
      <c r="B433" s="5" t="s">
        <v>24762</v>
      </c>
      <c r="C433" s="5" t="s">
        <v>24763</v>
      </c>
      <c r="D433" s="246">
        <v>44096</v>
      </c>
      <c r="E433" s="5" t="s">
        <v>24764</v>
      </c>
      <c r="F433" s="26" t="s">
        <v>23600</v>
      </c>
      <c r="G433" s="27" t="s">
        <v>16897</v>
      </c>
      <c r="H433" s="28" t="s">
        <v>16898</v>
      </c>
      <c r="I433" s="5" t="s">
        <v>58</v>
      </c>
    </row>
    <row r="434" spans="1:9" ht="51.75" customHeight="1">
      <c r="A434" s="5" t="s">
        <v>24765</v>
      </c>
      <c r="B434" s="5" t="s">
        <v>24766</v>
      </c>
      <c r="C434" s="5" t="s">
        <v>24767</v>
      </c>
      <c r="D434" s="246">
        <v>44096</v>
      </c>
      <c r="E434" s="5" t="s">
        <v>24768</v>
      </c>
      <c r="F434" s="26" t="s">
        <v>23600</v>
      </c>
      <c r="G434" s="27" t="s">
        <v>16897</v>
      </c>
      <c r="H434" s="28" t="s">
        <v>16898</v>
      </c>
      <c r="I434" s="5" t="s">
        <v>58</v>
      </c>
    </row>
    <row r="435" spans="1:9" ht="51.75" customHeight="1">
      <c r="A435" s="5" t="s">
        <v>24769</v>
      </c>
      <c r="B435" s="5" t="s">
        <v>24770</v>
      </c>
      <c r="C435" s="5" t="s">
        <v>24771</v>
      </c>
      <c r="D435" s="246">
        <v>44096</v>
      </c>
      <c r="E435" s="5" t="s">
        <v>24772</v>
      </c>
      <c r="F435" s="26" t="s">
        <v>23600</v>
      </c>
      <c r="G435" s="27" t="s">
        <v>16897</v>
      </c>
      <c r="H435" s="28" t="s">
        <v>16898</v>
      </c>
      <c r="I435" s="5" t="s">
        <v>58</v>
      </c>
    </row>
    <row r="436" spans="1:9" ht="51.75" customHeight="1">
      <c r="A436" s="5" t="s">
        <v>24773</v>
      </c>
      <c r="B436" s="5" t="s">
        <v>24774</v>
      </c>
      <c r="C436" s="5" t="s">
        <v>24775</v>
      </c>
      <c r="D436" s="246">
        <v>44096</v>
      </c>
      <c r="E436" s="5" t="s">
        <v>24776</v>
      </c>
      <c r="F436" s="26" t="s">
        <v>23600</v>
      </c>
      <c r="G436" s="27" t="s">
        <v>16897</v>
      </c>
      <c r="H436" s="28" t="s">
        <v>16898</v>
      </c>
      <c r="I436" s="5" t="s">
        <v>58</v>
      </c>
    </row>
    <row r="437" spans="1:9" ht="51.75" customHeight="1">
      <c r="A437" s="5" t="s">
        <v>24777</v>
      </c>
      <c r="B437" s="5" t="s">
        <v>24778</v>
      </c>
      <c r="C437" s="5" t="s">
        <v>24779</v>
      </c>
      <c r="D437" s="246">
        <v>44096</v>
      </c>
      <c r="E437" s="5" t="s">
        <v>24780</v>
      </c>
      <c r="F437" s="26" t="s">
        <v>23600</v>
      </c>
      <c r="G437" s="27" t="s">
        <v>16897</v>
      </c>
      <c r="H437" s="28" t="s">
        <v>16898</v>
      </c>
      <c r="I437" s="5" t="s">
        <v>58</v>
      </c>
    </row>
    <row r="438" spans="1:9" ht="51.75" customHeight="1">
      <c r="A438" s="5"/>
      <c r="B438" s="5" t="s">
        <v>24781</v>
      </c>
      <c r="C438" s="5" t="s">
        <v>24782</v>
      </c>
      <c r="D438" s="246">
        <v>44210</v>
      </c>
      <c r="E438" s="5" t="s">
        <v>24783</v>
      </c>
      <c r="F438" s="26" t="s">
        <v>23600</v>
      </c>
      <c r="G438" s="27" t="s">
        <v>17767</v>
      </c>
      <c r="H438" s="28" t="s">
        <v>17768</v>
      </c>
      <c r="I438" s="5" t="s">
        <v>58</v>
      </c>
    </row>
    <row r="439" spans="1:9" ht="51.75" customHeight="1">
      <c r="A439" s="5"/>
      <c r="B439" s="5" t="s">
        <v>24784</v>
      </c>
      <c r="C439" s="5" t="s">
        <v>24785</v>
      </c>
      <c r="D439" s="246">
        <v>44210</v>
      </c>
      <c r="E439" s="5" t="s">
        <v>24786</v>
      </c>
      <c r="F439" s="26" t="s">
        <v>23600</v>
      </c>
      <c r="G439" s="27" t="s">
        <v>17767</v>
      </c>
      <c r="H439" s="28" t="s">
        <v>17768</v>
      </c>
      <c r="I439" s="5" t="s">
        <v>58</v>
      </c>
    </row>
    <row r="440" spans="1:9" ht="51.75" customHeight="1">
      <c r="A440" s="5"/>
      <c r="B440" s="5" t="s">
        <v>24787</v>
      </c>
      <c r="C440" s="5" t="s">
        <v>24788</v>
      </c>
      <c r="D440" s="246">
        <v>44210</v>
      </c>
      <c r="E440" s="5" t="s">
        <v>24789</v>
      </c>
      <c r="F440" s="26" t="s">
        <v>23600</v>
      </c>
      <c r="G440" s="27" t="s">
        <v>17767</v>
      </c>
      <c r="H440" s="28" t="s">
        <v>17768</v>
      </c>
      <c r="I440" s="5" t="s">
        <v>58</v>
      </c>
    </row>
    <row r="441" spans="1:9" ht="51.75" customHeight="1">
      <c r="A441" s="5"/>
      <c r="B441" s="5" t="s">
        <v>24790</v>
      </c>
      <c r="C441" s="5" t="s">
        <v>24791</v>
      </c>
      <c r="D441" s="246">
        <v>44210</v>
      </c>
      <c r="E441" s="5" t="s">
        <v>24792</v>
      </c>
      <c r="F441" s="26" t="s">
        <v>23600</v>
      </c>
      <c r="G441" s="27" t="s">
        <v>17767</v>
      </c>
      <c r="H441" s="28" t="s">
        <v>17768</v>
      </c>
      <c r="I441" s="5" t="s">
        <v>58</v>
      </c>
    </row>
    <row r="442" spans="1:9" ht="51.75" customHeight="1">
      <c r="A442" s="5">
        <v>1</v>
      </c>
      <c r="B442" s="5" t="s">
        <v>24793</v>
      </c>
      <c r="C442" s="5" t="s">
        <v>24794</v>
      </c>
      <c r="D442" s="246">
        <v>40847</v>
      </c>
      <c r="E442" s="5" t="s">
        <v>24794</v>
      </c>
      <c r="F442" s="26"/>
      <c r="G442" s="27" t="s">
        <v>5333</v>
      </c>
      <c r="H442" s="28" t="s">
        <v>5334</v>
      </c>
      <c r="I442" s="5" t="s">
        <v>115</v>
      </c>
    </row>
    <row r="443" spans="1:9" ht="51.75" customHeight="1">
      <c r="A443" s="5">
        <v>2</v>
      </c>
      <c r="B443" s="5" t="s">
        <v>24795</v>
      </c>
      <c r="C443" s="5" t="s">
        <v>24796</v>
      </c>
      <c r="D443" s="246">
        <v>40847</v>
      </c>
      <c r="E443" s="5" t="s">
        <v>24796</v>
      </c>
      <c r="F443" s="26"/>
      <c r="G443" s="27" t="s">
        <v>5333</v>
      </c>
      <c r="H443" s="28" t="s">
        <v>5334</v>
      </c>
      <c r="I443" s="5" t="s">
        <v>115</v>
      </c>
    </row>
    <row r="444" spans="1:9" ht="51.75" customHeight="1">
      <c r="A444" s="5">
        <v>3</v>
      </c>
      <c r="B444" s="5" t="s">
        <v>24797</v>
      </c>
      <c r="C444" s="5" t="s">
        <v>24798</v>
      </c>
      <c r="D444" s="246">
        <v>40847</v>
      </c>
      <c r="E444" s="5" t="s">
        <v>24798</v>
      </c>
      <c r="F444" s="26"/>
      <c r="G444" s="27" t="s">
        <v>5333</v>
      </c>
      <c r="H444" s="28" t="s">
        <v>5334</v>
      </c>
      <c r="I444" s="5" t="s">
        <v>115</v>
      </c>
    </row>
    <row r="445" spans="1:9" ht="51.75" customHeight="1">
      <c r="A445" s="5">
        <v>1</v>
      </c>
      <c r="B445" s="5" t="s">
        <v>24799</v>
      </c>
      <c r="C445" s="5" t="s">
        <v>24800</v>
      </c>
      <c r="D445" s="246">
        <v>40784</v>
      </c>
      <c r="E445" s="5" t="s">
        <v>24800</v>
      </c>
      <c r="F445" s="26"/>
      <c r="G445" s="27" t="s">
        <v>5154</v>
      </c>
      <c r="H445" s="28" t="s">
        <v>5155</v>
      </c>
      <c r="I445" s="5" t="s">
        <v>115</v>
      </c>
    </row>
    <row r="446" spans="1:9" ht="51.75" customHeight="1">
      <c r="A446" s="5">
        <v>2</v>
      </c>
      <c r="B446" s="5" t="s">
        <v>24801</v>
      </c>
      <c r="C446" s="5" t="s">
        <v>24802</v>
      </c>
      <c r="D446" s="246">
        <v>40784</v>
      </c>
      <c r="E446" s="5" t="s">
        <v>24802</v>
      </c>
      <c r="F446" s="26"/>
      <c r="G446" s="27" t="s">
        <v>5154</v>
      </c>
      <c r="H446" s="28" t="s">
        <v>5155</v>
      </c>
      <c r="I446" s="5" t="s">
        <v>115</v>
      </c>
    </row>
    <row r="447" spans="1:9" ht="51.75" customHeight="1">
      <c r="A447" s="5">
        <v>3</v>
      </c>
      <c r="B447" s="5" t="s">
        <v>24803</v>
      </c>
      <c r="C447" s="5" t="s">
        <v>24804</v>
      </c>
      <c r="D447" s="246">
        <v>40784</v>
      </c>
      <c r="E447" s="5" t="s">
        <v>24804</v>
      </c>
      <c r="F447" s="26"/>
      <c r="G447" s="27" t="s">
        <v>5154</v>
      </c>
      <c r="H447" s="28" t="s">
        <v>5155</v>
      </c>
      <c r="I447" s="5" t="s">
        <v>115</v>
      </c>
    </row>
    <row r="448" spans="1:9" ht="51.75" customHeight="1">
      <c r="A448" s="5">
        <v>1</v>
      </c>
      <c r="B448" s="5" t="s">
        <v>24805</v>
      </c>
      <c r="C448" s="5" t="s">
        <v>24806</v>
      </c>
      <c r="D448" s="246">
        <v>40989</v>
      </c>
      <c r="E448" s="5" t="s">
        <v>24806</v>
      </c>
      <c r="F448" s="26"/>
      <c r="G448" s="27" t="s">
        <v>4895</v>
      </c>
      <c r="H448" s="28" t="s">
        <v>4896</v>
      </c>
      <c r="I448" s="5" t="s">
        <v>115</v>
      </c>
    </row>
    <row r="449" spans="1:9" ht="51.75" customHeight="1">
      <c r="A449" s="5">
        <v>2</v>
      </c>
      <c r="B449" s="5" t="s">
        <v>24807</v>
      </c>
      <c r="C449" s="5" t="s">
        <v>24808</v>
      </c>
      <c r="D449" s="246">
        <v>40989</v>
      </c>
      <c r="E449" s="5" t="s">
        <v>24808</v>
      </c>
      <c r="F449" s="26"/>
      <c r="G449" s="27" t="s">
        <v>4895</v>
      </c>
      <c r="H449" s="28" t="s">
        <v>4896</v>
      </c>
      <c r="I449" s="5" t="s">
        <v>115</v>
      </c>
    </row>
    <row r="450" spans="1:9" ht="51.75" customHeight="1">
      <c r="A450" s="5">
        <v>3</v>
      </c>
      <c r="B450" s="5" t="s">
        <v>24809</v>
      </c>
      <c r="C450" s="5" t="s">
        <v>24810</v>
      </c>
      <c r="D450" s="246">
        <v>40989</v>
      </c>
      <c r="E450" s="5" t="s">
        <v>24810</v>
      </c>
      <c r="F450" s="26"/>
      <c r="G450" s="27" t="s">
        <v>4895</v>
      </c>
      <c r="H450" s="28" t="s">
        <v>4896</v>
      </c>
      <c r="I450" s="5" t="s">
        <v>115</v>
      </c>
    </row>
    <row r="451" spans="1:9" ht="51.75" customHeight="1">
      <c r="A451" s="5">
        <v>4</v>
      </c>
      <c r="B451" s="5" t="s">
        <v>24811</v>
      </c>
      <c r="C451" s="5" t="s">
        <v>24812</v>
      </c>
      <c r="D451" s="246">
        <v>40989</v>
      </c>
      <c r="E451" s="5" t="s">
        <v>24812</v>
      </c>
      <c r="F451" s="26"/>
      <c r="G451" s="27" t="s">
        <v>4895</v>
      </c>
      <c r="H451" s="28" t="s">
        <v>4896</v>
      </c>
      <c r="I451" s="5" t="s">
        <v>115</v>
      </c>
    </row>
    <row r="452" spans="1:9" ht="51.75" customHeight="1">
      <c r="A452" s="5">
        <v>5</v>
      </c>
      <c r="B452" s="5" t="s">
        <v>24813</v>
      </c>
      <c r="C452" s="5" t="s">
        <v>24814</v>
      </c>
      <c r="D452" s="246">
        <v>40989</v>
      </c>
      <c r="E452" s="5" t="s">
        <v>24814</v>
      </c>
      <c r="F452" s="26"/>
      <c r="G452" s="27" t="s">
        <v>4895</v>
      </c>
      <c r="H452" s="28" t="s">
        <v>4896</v>
      </c>
      <c r="I452" s="5" t="s">
        <v>115</v>
      </c>
    </row>
    <row r="453" spans="1:9" ht="51.75" customHeight="1">
      <c r="A453" s="5">
        <v>6</v>
      </c>
      <c r="B453" s="5" t="s">
        <v>24815</v>
      </c>
      <c r="C453" s="5" t="s">
        <v>24816</v>
      </c>
      <c r="D453" s="246">
        <v>40989</v>
      </c>
      <c r="E453" s="5" t="s">
        <v>24816</v>
      </c>
      <c r="F453" s="26"/>
      <c r="G453" s="27" t="s">
        <v>4895</v>
      </c>
      <c r="H453" s="28" t="s">
        <v>4896</v>
      </c>
      <c r="I453" s="5" t="s">
        <v>115</v>
      </c>
    </row>
    <row r="454" spans="1:9" ht="51.75" customHeight="1">
      <c r="A454" s="5">
        <v>7</v>
      </c>
      <c r="B454" s="5" t="s">
        <v>24817</v>
      </c>
      <c r="C454" s="5" t="s">
        <v>24818</v>
      </c>
      <c r="D454" s="246">
        <v>40989</v>
      </c>
      <c r="E454" s="5" t="s">
        <v>24818</v>
      </c>
      <c r="F454" s="26"/>
      <c r="G454" s="27" t="s">
        <v>4895</v>
      </c>
      <c r="H454" s="28" t="s">
        <v>4896</v>
      </c>
      <c r="I454" s="5" t="s">
        <v>115</v>
      </c>
    </row>
    <row r="455" spans="1:9" ht="51.75" customHeight="1">
      <c r="A455" s="5">
        <v>8</v>
      </c>
      <c r="B455" s="5" t="s">
        <v>24819</v>
      </c>
      <c r="C455" s="5" t="s">
        <v>24820</v>
      </c>
      <c r="D455" s="246">
        <v>40989</v>
      </c>
      <c r="E455" s="5" t="s">
        <v>24820</v>
      </c>
      <c r="F455" s="26"/>
      <c r="G455" s="27" t="s">
        <v>4895</v>
      </c>
      <c r="H455" s="28" t="s">
        <v>4896</v>
      </c>
      <c r="I455" s="5" t="s">
        <v>115</v>
      </c>
    </row>
    <row r="456" spans="1:9" ht="51.75" customHeight="1">
      <c r="A456" s="5">
        <v>1</v>
      </c>
      <c r="B456" s="5" t="s">
        <v>24821</v>
      </c>
      <c r="C456" s="5" t="s">
        <v>24822</v>
      </c>
      <c r="D456" s="246">
        <v>40534</v>
      </c>
      <c r="E456" s="5" t="s">
        <v>24822</v>
      </c>
      <c r="F456" s="26"/>
      <c r="G456" s="27" t="s">
        <v>4317</v>
      </c>
      <c r="H456" s="28" t="s">
        <v>4318</v>
      </c>
      <c r="I456" s="5" t="s">
        <v>115</v>
      </c>
    </row>
    <row r="457" spans="1:9" ht="51.75" customHeight="1">
      <c r="A457" s="5">
        <v>2</v>
      </c>
      <c r="B457" s="5" t="s">
        <v>24823</v>
      </c>
      <c r="C457" s="5" t="s">
        <v>24824</v>
      </c>
      <c r="D457" s="246">
        <v>40534</v>
      </c>
      <c r="E457" s="5" t="s">
        <v>24824</v>
      </c>
      <c r="F457" s="26"/>
      <c r="G457" s="27" t="s">
        <v>4317</v>
      </c>
      <c r="H457" s="28" t="s">
        <v>4318</v>
      </c>
      <c r="I457" s="5" t="s">
        <v>115</v>
      </c>
    </row>
    <row r="458" spans="1:9" ht="51.75" customHeight="1">
      <c r="A458" s="5">
        <v>3</v>
      </c>
      <c r="B458" s="5" t="s">
        <v>24825</v>
      </c>
      <c r="C458" s="5" t="s">
        <v>24826</v>
      </c>
      <c r="D458" s="246">
        <v>40534</v>
      </c>
      <c r="E458" s="5" t="s">
        <v>24826</v>
      </c>
      <c r="F458" s="26"/>
      <c r="G458" s="27" t="s">
        <v>4317</v>
      </c>
      <c r="H458" s="28" t="s">
        <v>4318</v>
      </c>
      <c r="I458" s="5" t="s">
        <v>115</v>
      </c>
    </row>
    <row r="459" spans="1:9" ht="51.75" customHeight="1">
      <c r="A459" s="5">
        <v>4</v>
      </c>
      <c r="B459" s="5" t="s">
        <v>24827</v>
      </c>
      <c r="C459" s="5" t="s">
        <v>24828</v>
      </c>
      <c r="D459" s="246">
        <v>40534</v>
      </c>
      <c r="E459" s="5" t="s">
        <v>24828</v>
      </c>
      <c r="F459" s="26"/>
      <c r="G459" s="27" t="s">
        <v>4317</v>
      </c>
      <c r="H459" s="28" t="s">
        <v>4318</v>
      </c>
      <c r="I459" s="5" t="s">
        <v>115</v>
      </c>
    </row>
    <row r="460" spans="1:9" ht="51.75" customHeight="1">
      <c r="A460" s="5">
        <v>5</v>
      </c>
      <c r="B460" s="5" t="s">
        <v>24829</v>
      </c>
      <c r="C460" s="5" t="s">
        <v>24830</v>
      </c>
      <c r="D460" s="246">
        <v>40534</v>
      </c>
      <c r="E460" s="5" t="s">
        <v>24830</v>
      </c>
      <c r="F460" s="26"/>
      <c r="G460" s="27" t="s">
        <v>4317</v>
      </c>
      <c r="H460" s="28" t="s">
        <v>4318</v>
      </c>
      <c r="I460" s="5" t="s">
        <v>115</v>
      </c>
    </row>
    <row r="461" spans="1:9" ht="51.75" customHeight="1">
      <c r="A461" s="5">
        <v>1</v>
      </c>
      <c r="B461" s="5" t="s">
        <v>24831</v>
      </c>
      <c r="C461" s="5" t="s">
        <v>24832</v>
      </c>
      <c r="D461" s="246">
        <v>40443</v>
      </c>
      <c r="E461" s="5" t="s">
        <v>24832</v>
      </c>
      <c r="F461" s="26"/>
      <c r="G461" s="27" t="s">
        <v>4176</v>
      </c>
      <c r="H461" s="28" t="s">
        <v>4177</v>
      </c>
      <c r="I461" s="5" t="s">
        <v>115</v>
      </c>
    </row>
    <row r="462" spans="1:9" ht="51.75" customHeight="1">
      <c r="A462" s="5">
        <v>2</v>
      </c>
      <c r="B462" s="5" t="s">
        <v>24833</v>
      </c>
      <c r="C462" s="5" t="s">
        <v>24834</v>
      </c>
      <c r="D462" s="246">
        <v>40443</v>
      </c>
      <c r="E462" s="5" t="s">
        <v>24834</v>
      </c>
      <c r="F462" s="26"/>
      <c r="G462" s="27" t="s">
        <v>4176</v>
      </c>
      <c r="H462" s="28" t="s">
        <v>4177</v>
      </c>
      <c r="I462" s="5" t="s">
        <v>115</v>
      </c>
    </row>
    <row r="463" spans="1:9" ht="51.75" customHeight="1">
      <c r="A463" s="5">
        <v>3</v>
      </c>
      <c r="B463" s="5" t="s">
        <v>24835</v>
      </c>
      <c r="C463" s="5" t="s">
        <v>24836</v>
      </c>
      <c r="D463" s="246">
        <v>40443</v>
      </c>
      <c r="E463" s="5" t="s">
        <v>24836</v>
      </c>
      <c r="F463" s="26"/>
      <c r="G463" s="27" t="s">
        <v>4176</v>
      </c>
      <c r="H463" s="28" t="s">
        <v>4177</v>
      </c>
      <c r="I463" s="5" t="s">
        <v>115</v>
      </c>
    </row>
    <row r="464" spans="1:9" ht="51.75" customHeight="1">
      <c r="A464" s="5">
        <v>1</v>
      </c>
      <c r="B464" s="5" t="s">
        <v>24837</v>
      </c>
      <c r="C464" s="5" t="s">
        <v>24838</v>
      </c>
      <c r="D464" s="246">
        <v>40653</v>
      </c>
      <c r="E464" s="5" t="s">
        <v>24838</v>
      </c>
      <c r="F464" s="26"/>
      <c r="G464" s="27" t="s">
        <v>3923</v>
      </c>
      <c r="H464" s="28" t="s">
        <v>3924</v>
      </c>
      <c r="I464" s="5" t="s">
        <v>115</v>
      </c>
    </row>
    <row r="465" spans="1:9" ht="51.75" customHeight="1">
      <c r="A465" s="5">
        <v>2</v>
      </c>
      <c r="B465" s="5" t="s">
        <v>24839</v>
      </c>
      <c r="C465" s="5" t="s">
        <v>24840</v>
      </c>
      <c r="D465" s="246">
        <v>40653</v>
      </c>
      <c r="E465" s="5" t="s">
        <v>24840</v>
      </c>
      <c r="F465" s="26"/>
      <c r="G465" s="27" t="s">
        <v>3923</v>
      </c>
      <c r="H465" s="28" t="s">
        <v>3924</v>
      </c>
      <c r="I465" s="5" t="s">
        <v>115</v>
      </c>
    </row>
    <row r="466" spans="1:9" ht="51.75" customHeight="1">
      <c r="A466" s="5">
        <v>3</v>
      </c>
      <c r="B466" s="5" t="s">
        <v>24841</v>
      </c>
      <c r="C466" s="5" t="s">
        <v>24842</v>
      </c>
      <c r="D466" s="246">
        <v>40653</v>
      </c>
      <c r="E466" s="5" t="s">
        <v>24842</v>
      </c>
      <c r="F466" s="26"/>
      <c r="G466" s="27" t="s">
        <v>3923</v>
      </c>
      <c r="H466" s="28" t="s">
        <v>3924</v>
      </c>
      <c r="I466" s="5" t="s">
        <v>115</v>
      </c>
    </row>
    <row r="467" spans="1:9" ht="51.75" customHeight="1">
      <c r="A467" s="5">
        <v>1</v>
      </c>
      <c r="B467" s="5" t="s">
        <v>24843</v>
      </c>
      <c r="C467" s="5" t="s">
        <v>24844</v>
      </c>
      <c r="D467" s="246">
        <v>40653</v>
      </c>
      <c r="E467" s="5" t="s">
        <v>24845</v>
      </c>
      <c r="F467" s="26"/>
      <c r="G467" s="27" t="s">
        <v>3811</v>
      </c>
      <c r="H467" s="28" t="s">
        <v>3812</v>
      </c>
      <c r="I467" s="5" t="s">
        <v>115</v>
      </c>
    </row>
    <row r="468" spans="1:9" ht="51.75" customHeight="1">
      <c r="A468" s="5">
        <v>2</v>
      </c>
      <c r="B468" s="5" t="s">
        <v>24846</v>
      </c>
      <c r="C468" s="5" t="s">
        <v>24847</v>
      </c>
      <c r="D468" s="246">
        <v>40653</v>
      </c>
      <c r="E468" s="5" t="s">
        <v>24847</v>
      </c>
      <c r="F468" s="26"/>
      <c r="G468" s="27" t="s">
        <v>3811</v>
      </c>
      <c r="H468" s="28" t="s">
        <v>3812</v>
      </c>
      <c r="I468" s="5" t="s">
        <v>115</v>
      </c>
    </row>
    <row r="469" spans="1:9" ht="51.75" customHeight="1">
      <c r="A469" s="5">
        <v>3</v>
      </c>
      <c r="B469" s="5" t="s">
        <v>24848</v>
      </c>
      <c r="C469" s="5" t="s">
        <v>24849</v>
      </c>
      <c r="D469" s="246">
        <v>40653</v>
      </c>
      <c r="E469" s="5" t="s">
        <v>24849</v>
      </c>
      <c r="F469" s="26"/>
      <c r="G469" s="27" t="s">
        <v>3811</v>
      </c>
      <c r="H469" s="28" t="s">
        <v>3812</v>
      </c>
      <c r="I469" s="5" t="s">
        <v>115</v>
      </c>
    </row>
    <row r="470" spans="1:9" ht="51.75" customHeight="1">
      <c r="A470" s="5">
        <v>4</v>
      </c>
      <c r="B470" s="5" t="s">
        <v>24850</v>
      </c>
      <c r="C470" s="5" t="s">
        <v>24851</v>
      </c>
      <c r="D470" s="246">
        <v>40653</v>
      </c>
      <c r="E470" s="5" t="s">
        <v>24852</v>
      </c>
      <c r="F470" s="26"/>
      <c r="G470" s="27" t="s">
        <v>3811</v>
      </c>
      <c r="H470" s="28" t="s">
        <v>3812</v>
      </c>
      <c r="I470" s="5" t="s">
        <v>115</v>
      </c>
    </row>
    <row r="471" spans="1:9" ht="51.75" customHeight="1">
      <c r="A471" s="5">
        <v>1</v>
      </c>
      <c r="B471" s="5" t="s">
        <v>24853</v>
      </c>
      <c r="C471" s="5" t="s">
        <v>24854</v>
      </c>
      <c r="D471" s="246">
        <v>40534</v>
      </c>
      <c r="E471" s="5" t="s">
        <v>24854</v>
      </c>
      <c r="F471" s="26"/>
      <c r="G471" s="27" t="s">
        <v>3573</v>
      </c>
      <c r="H471" s="28" t="s">
        <v>3574</v>
      </c>
      <c r="I471" s="5" t="s">
        <v>115</v>
      </c>
    </row>
    <row r="472" spans="1:9" ht="51.75" customHeight="1">
      <c r="A472" s="5">
        <v>2</v>
      </c>
      <c r="B472" s="5" t="s">
        <v>24855</v>
      </c>
      <c r="C472" s="5" t="s">
        <v>24856</v>
      </c>
      <c r="D472" s="246">
        <v>40534</v>
      </c>
      <c r="E472" s="5" t="s">
        <v>24857</v>
      </c>
      <c r="F472" s="26"/>
      <c r="G472" s="27" t="s">
        <v>3573</v>
      </c>
      <c r="H472" s="28" t="s">
        <v>3574</v>
      </c>
      <c r="I472" s="5" t="s">
        <v>115</v>
      </c>
    </row>
    <row r="473" spans="1:9" ht="51.75" customHeight="1">
      <c r="A473" s="5">
        <v>3</v>
      </c>
      <c r="B473" s="5" t="s">
        <v>24858</v>
      </c>
      <c r="C473" s="5" t="s">
        <v>24859</v>
      </c>
      <c r="D473" s="246">
        <v>40534</v>
      </c>
      <c r="E473" s="5" t="s">
        <v>24859</v>
      </c>
      <c r="F473" s="26"/>
      <c r="G473" s="27" t="s">
        <v>3573</v>
      </c>
      <c r="H473" s="28" t="s">
        <v>3574</v>
      </c>
      <c r="I473" s="5" t="s">
        <v>115</v>
      </c>
    </row>
    <row r="474" spans="1:9" ht="51.75" customHeight="1">
      <c r="A474" s="5">
        <v>1</v>
      </c>
      <c r="B474" s="5" t="s">
        <v>24860</v>
      </c>
      <c r="C474" s="5" t="s">
        <v>24861</v>
      </c>
      <c r="D474" s="246">
        <v>40177</v>
      </c>
      <c r="E474" s="5" t="s">
        <v>24861</v>
      </c>
      <c r="F474" s="26"/>
      <c r="G474" s="27" t="s">
        <v>3646</v>
      </c>
      <c r="H474" s="28" t="s">
        <v>3647</v>
      </c>
      <c r="I474" s="5" t="s">
        <v>115</v>
      </c>
    </row>
    <row r="475" spans="1:9" ht="51.75" customHeight="1">
      <c r="A475" s="5">
        <v>2</v>
      </c>
      <c r="B475" s="5" t="s">
        <v>24862</v>
      </c>
      <c r="C475" s="5" t="s">
        <v>24863</v>
      </c>
      <c r="D475" s="246">
        <v>40177</v>
      </c>
      <c r="E475" s="5" t="s">
        <v>24863</v>
      </c>
      <c r="F475" s="26"/>
      <c r="G475" s="27" t="s">
        <v>3646</v>
      </c>
      <c r="H475" s="28" t="s">
        <v>3647</v>
      </c>
      <c r="I475" s="5" t="s">
        <v>115</v>
      </c>
    </row>
    <row r="476" spans="1:9" ht="51.75" customHeight="1">
      <c r="A476" s="5">
        <v>3</v>
      </c>
      <c r="B476" s="5" t="s">
        <v>24864</v>
      </c>
      <c r="C476" s="5" t="s">
        <v>24865</v>
      </c>
      <c r="D476" s="246">
        <v>40177</v>
      </c>
      <c r="E476" s="5" t="s">
        <v>24866</v>
      </c>
      <c r="F476" s="26"/>
      <c r="G476" s="27" t="s">
        <v>3646</v>
      </c>
      <c r="H476" s="28" t="s">
        <v>3647</v>
      </c>
      <c r="I476" s="5" t="s">
        <v>115</v>
      </c>
    </row>
    <row r="477" spans="1:9" ht="51.75" customHeight="1">
      <c r="A477" s="5">
        <v>4</v>
      </c>
      <c r="B477" s="5" t="s">
        <v>24867</v>
      </c>
      <c r="C477" s="5" t="s">
        <v>24868</v>
      </c>
      <c r="D477" s="246">
        <v>40177</v>
      </c>
      <c r="E477" s="5" t="s">
        <v>24868</v>
      </c>
      <c r="F477" s="26"/>
      <c r="G477" s="27" t="s">
        <v>3646</v>
      </c>
      <c r="H477" s="28" t="s">
        <v>3647</v>
      </c>
      <c r="I477" s="5" t="s">
        <v>115</v>
      </c>
    </row>
    <row r="478" spans="1:9" ht="51.75" customHeight="1">
      <c r="A478" s="5">
        <v>5</v>
      </c>
      <c r="B478" s="5" t="s">
        <v>24869</v>
      </c>
      <c r="C478" s="5" t="s">
        <v>24870</v>
      </c>
      <c r="D478" s="246">
        <v>40177</v>
      </c>
      <c r="E478" s="5" t="s">
        <v>24870</v>
      </c>
      <c r="F478" s="26"/>
      <c r="G478" s="27" t="s">
        <v>3646</v>
      </c>
      <c r="H478" s="28" t="s">
        <v>3647</v>
      </c>
      <c r="I478" s="5" t="s">
        <v>115</v>
      </c>
    </row>
    <row r="479" spans="1:9" ht="51.75" customHeight="1">
      <c r="A479" s="5">
        <v>6</v>
      </c>
      <c r="B479" s="5" t="s">
        <v>24871</v>
      </c>
      <c r="C479" s="5" t="s">
        <v>24872</v>
      </c>
      <c r="D479" s="246">
        <v>40177</v>
      </c>
      <c r="E479" s="5" t="s">
        <v>24873</v>
      </c>
      <c r="F479" s="26"/>
      <c r="G479" s="27" t="s">
        <v>3646</v>
      </c>
      <c r="H479" s="28" t="s">
        <v>3647</v>
      </c>
      <c r="I479" s="5" t="s">
        <v>115</v>
      </c>
    </row>
    <row r="480" spans="1:9" ht="51.75" customHeight="1">
      <c r="A480" s="5">
        <v>1</v>
      </c>
      <c r="B480" s="5" t="s">
        <v>24874</v>
      </c>
      <c r="C480" s="5" t="s">
        <v>24875</v>
      </c>
      <c r="D480" s="246">
        <v>40534</v>
      </c>
      <c r="E480" s="5" t="s">
        <v>24875</v>
      </c>
      <c r="F480" s="26"/>
      <c r="G480" s="27" t="s">
        <v>3212</v>
      </c>
      <c r="H480" s="28" t="s">
        <v>3213</v>
      </c>
      <c r="I480" s="5" t="s">
        <v>115</v>
      </c>
    </row>
    <row r="481" spans="1:9" ht="51.75" customHeight="1">
      <c r="A481" s="5">
        <v>2</v>
      </c>
      <c r="B481" s="5" t="s">
        <v>24876</v>
      </c>
      <c r="C481" s="5" t="s">
        <v>24877</v>
      </c>
      <c r="D481" s="246">
        <v>40534</v>
      </c>
      <c r="E481" s="5" t="s">
        <v>24877</v>
      </c>
      <c r="F481" s="26"/>
      <c r="G481" s="27" t="s">
        <v>3212</v>
      </c>
      <c r="H481" s="28" t="s">
        <v>3213</v>
      </c>
      <c r="I481" s="5" t="s">
        <v>115</v>
      </c>
    </row>
    <row r="482" spans="1:9" ht="51.75" customHeight="1">
      <c r="A482" s="5">
        <v>3</v>
      </c>
      <c r="B482" s="5" t="s">
        <v>24878</v>
      </c>
      <c r="C482" s="5" t="s">
        <v>24879</v>
      </c>
      <c r="D482" s="246">
        <v>40534</v>
      </c>
      <c r="E482" s="5" t="s">
        <v>24879</v>
      </c>
      <c r="F482" s="26"/>
      <c r="G482" s="27" t="s">
        <v>3212</v>
      </c>
      <c r="H482" s="28" t="s">
        <v>3213</v>
      </c>
      <c r="I482" s="5" t="s">
        <v>115</v>
      </c>
    </row>
    <row r="483" spans="1:9" ht="51.75" customHeight="1">
      <c r="A483" s="5">
        <v>4</v>
      </c>
      <c r="B483" s="5" t="s">
        <v>24880</v>
      </c>
      <c r="C483" s="5" t="s">
        <v>24881</v>
      </c>
      <c r="D483" s="246">
        <v>40534</v>
      </c>
      <c r="E483" s="5" t="s">
        <v>24881</v>
      </c>
      <c r="F483" s="26"/>
      <c r="G483" s="27" t="s">
        <v>3212</v>
      </c>
      <c r="H483" s="28" t="s">
        <v>3213</v>
      </c>
      <c r="I483" s="5" t="s">
        <v>115</v>
      </c>
    </row>
    <row r="484" spans="1:9" ht="51.75" customHeight="1">
      <c r="A484" s="5">
        <v>5</v>
      </c>
      <c r="B484" s="5" t="s">
        <v>24882</v>
      </c>
      <c r="C484" s="5" t="s">
        <v>24883</v>
      </c>
      <c r="D484" s="246">
        <v>40534</v>
      </c>
      <c r="E484" s="5" t="s">
        <v>24883</v>
      </c>
      <c r="F484" s="26"/>
      <c r="G484" s="27" t="s">
        <v>3212</v>
      </c>
      <c r="H484" s="28" t="s">
        <v>3213</v>
      </c>
      <c r="I484" s="5" t="s">
        <v>115</v>
      </c>
    </row>
    <row r="485" spans="1:9" ht="51.75" customHeight="1">
      <c r="A485" s="5">
        <v>6</v>
      </c>
      <c r="B485" s="5" t="s">
        <v>24884</v>
      </c>
      <c r="C485" s="5" t="s">
        <v>24885</v>
      </c>
      <c r="D485" s="246">
        <v>40534</v>
      </c>
      <c r="E485" s="5" t="s">
        <v>24885</v>
      </c>
      <c r="F485" s="26"/>
      <c r="G485" s="27" t="s">
        <v>3212</v>
      </c>
      <c r="H485" s="28" t="s">
        <v>3213</v>
      </c>
      <c r="I485" s="5" t="s">
        <v>115</v>
      </c>
    </row>
    <row r="486" spans="1:9" ht="51.75" customHeight="1">
      <c r="A486" s="5">
        <v>1</v>
      </c>
      <c r="B486" s="5" t="s">
        <v>24886</v>
      </c>
      <c r="C486" s="5" t="s">
        <v>24887</v>
      </c>
      <c r="D486" s="246">
        <v>40177</v>
      </c>
      <c r="E486" s="5" t="s">
        <v>24888</v>
      </c>
      <c r="F486" s="26"/>
      <c r="G486" s="27" t="s">
        <v>3046</v>
      </c>
      <c r="H486" s="28" t="s">
        <v>3047</v>
      </c>
      <c r="I486" s="5" t="s">
        <v>115</v>
      </c>
    </row>
    <row r="487" spans="1:9" ht="51.75" customHeight="1">
      <c r="A487" s="5">
        <v>2</v>
      </c>
      <c r="B487" s="5" t="s">
        <v>24889</v>
      </c>
      <c r="C487" s="5" t="s">
        <v>24890</v>
      </c>
      <c r="D487" s="246">
        <v>40177</v>
      </c>
      <c r="E487" s="5" t="s">
        <v>24891</v>
      </c>
      <c r="F487" s="26"/>
      <c r="G487" s="27" t="s">
        <v>3046</v>
      </c>
      <c r="H487" s="28" t="s">
        <v>3047</v>
      </c>
      <c r="I487" s="5" t="s">
        <v>115</v>
      </c>
    </row>
    <row r="488" spans="1:9" ht="51.75" customHeight="1">
      <c r="A488" s="5">
        <v>1</v>
      </c>
      <c r="B488" s="5" t="s">
        <v>24892</v>
      </c>
      <c r="C488" s="5" t="s">
        <v>24893</v>
      </c>
      <c r="D488" s="246">
        <v>39545</v>
      </c>
      <c r="E488" s="5" t="s">
        <v>24893</v>
      </c>
      <c r="F488" s="26"/>
      <c r="G488" s="27" t="s">
        <v>2990</v>
      </c>
      <c r="H488" s="28" t="s">
        <v>2991</v>
      </c>
      <c r="I488" s="5" t="s">
        <v>115</v>
      </c>
    </row>
    <row r="489" spans="1:9" ht="51.75" customHeight="1">
      <c r="A489" s="5">
        <v>2</v>
      </c>
      <c r="B489" s="5" t="s">
        <v>24894</v>
      </c>
      <c r="C489" s="5" t="s">
        <v>24895</v>
      </c>
      <c r="D489" s="246">
        <v>39545</v>
      </c>
      <c r="E489" s="5" t="s">
        <v>24895</v>
      </c>
      <c r="F489" s="26"/>
      <c r="G489" s="27" t="s">
        <v>2990</v>
      </c>
      <c r="H489" s="28" t="s">
        <v>2991</v>
      </c>
      <c r="I489" s="5" t="s">
        <v>115</v>
      </c>
    </row>
    <row r="490" spans="1:9" ht="51.75" customHeight="1">
      <c r="A490" s="5">
        <v>3</v>
      </c>
      <c r="B490" s="5" t="s">
        <v>24896</v>
      </c>
      <c r="C490" s="5" t="s">
        <v>24897</v>
      </c>
      <c r="D490" s="246">
        <v>39545</v>
      </c>
      <c r="E490" s="5" t="s">
        <v>24897</v>
      </c>
      <c r="F490" s="26"/>
      <c r="G490" s="27" t="s">
        <v>2990</v>
      </c>
      <c r="H490" s="28" t="s">
        <v>2991</v>
      </c>
      <c r="I490" s="5" t="s">
        <v>115</v>
      </c>
    </row>
    <row r="491" spans="1:9" ht="51.75" customHeight="1">
      <c r="A491" s="5">
        <v>1</v>
      </c>
      <c r="B491" s="5" t="s">
        <v>24898</v>
      </c>
      <c r="C491" s="5" t="s">
        <v>24899</v>
      </c>
      <c r="D491" s="246">
        <v>40443</v>
      </c>
      <c r="E491" s="5" t="s">
        <v>24899</v>
      </c>
      <c r="F491" s="26"/>
      <c r="G491" s="27" t="s">
        <v>2884</v>
      </c>
      <c r="H491" s="28" t="s">
        <v>2885</v>
      </c>
      <c r="I491" s="5" t="s">
        <v>115</v>
      </c>
    </row>
    <row r="492" spans="1:9" ht="51.75" customHeight="1">
      <c r="A492" s="5">
        <v>2</v>
      </c>
      <c r="B492" s="5" t="s">
        <v>24900</v>
      </c>
      <c r="C492" s="5" t="s">
        <v>24901</v>
      </c>
      <c r="D492" s="246">
        <v>40443</v>
      </c>
      <c r="E492" s="5" t="s">
        <v>24901</v>
      </c>
      <c r="F492" s="26"/>
      <c r="G492" s="27" t="s">
        <v>2884</v>
      </c>
      <c r="H492" s="28" t="s">
        <v>2885</v>
      </c>
      <c r="I492" s="5" t="s">
        <v>115</v>
      </c>
    </row>
    <row r="493" spans="1:9" ht="51.75" customHeight="1">
      <c r="A493" s="5">
        <v>3</v>
      </c>
      <c r="B493" s="5" t="s">
        <v>24902</v>
      </c>
      <c r="C493" s="5" t="s">
        <v>24903</v>
      </c>
      <c r="D493" s="246">
        <v>40443</v>
      </c>
      <c r="E493" s="5" t="s">
        <v>24903</v>
      </c>
      <c r="F493" s="26"/>
      <c r="G493" s="27" t="s">
        <v>2884</v>
      </c>
      <c r="H493" s="28" t="s">
        <v>2885</v>
      </c>
      <c r="I493" s="5" t="s">
        <v>115</v>
      </c>
    </row>
    <row r="494" spans="1:9" ht="51.75" customHeight="1">
      <c r="A494" s="5">
        <v>1</v>
      </c>
      <c r="B494" s="5" t="s">
        <v>24904</v>
      </c>
      <c r="C494" s="5" t="s">
        <v>24905</v>
      </c>
      <c r="D494" s="246">
        <v>39436</v>
      </c>
      <c r="E494" s="5" t="s">
        <v>24905</v>
      </c>
      <c r="F494" s="26"/>
      <c r="G494" s="27" t="s">
        <v>2455</v>
      </c>
      <c r="H494" s="28" t="s">
        <v>2456</v>
      </c>
      <c r="I494" s="5" t="s">
        <v>115</v>
      </c>
    </row>
    <row r="495" spans="1:9" ht="51.75" customHeight="1">
      <c r="A495" s="5">
        <v>2</v>
      </c>
      <c r="B495" s="5" t="s">
        <v>24906</v>
      </c>
      <c r="C495" s="5" t="s">
        <v>24907</v>
      </c>
      <c r="D495" s="246">
        <v>39436</v>
      </c>
      <c r="E495" s="5" t="s">
        <v>24907</v>
      </c>
      <c r="F495" s="26"/>
      <c r="G495" s="27" t="s">
        <v>2455</v>
      </c>
      <c r="H495" s="28" t="s">
        <v>2456</v>
      </c>
      <c r="I495" s="5" t="s">
        <v>115</v>
      </c>
    </row>
    <row r="496" spans="1:9" ht="51.75" customHeight="1">
      <c r="A496" s="5">
        <v>3</v>
      </c>
      <c r="B496" s="5" t="s">
        <v>24908</v>
      </c>
      <c r="C496" s="5" t="s">
        <v>24909</v>
      </c>
      <c r="D496" s="246">
        <v>39436</v>
      </c>
      <c r="E496" s="5" t="s">
        <v>24909</v>
      </c>
      <c r="F496" s="26"/>
      <c r="G496" s="27" t="s">
        <v>2455</v>
      </c>
      <c r="H496" s="28" t="s">
        <v>2456</v>
      </c>
      <c r="I496" s="5" t="s">
        <v>115</v>
      </c>
    </row>
    <row r="497" spans="1:9" ht="51.75" customHeight="1">
      <c r="A497" s="5">
        <v>1</v>
      </c>
      <c r="B497" s="5" t="s">
        <v>24910</v>
      </c>
      <c r="C497" s="5" t="s">
        <v>24911</v>
      </c>
      <c r="D497" s="246">
        <v>40177</v>
      </c>
      <c r="E497" s="5" t="s">
        <v>24911</v>
      </c>
      <c r="F497" s="26"/>
      <c r="G497" s="27" t="s">
        <v>2371</v>
      </c>
      <c r="H497" s="28" t="s">
        <v>2372</v>
      </c>
      <c r="I497" s="5" t="s">
        <v>115</v>
      </c>
    </row>
    <row r="498" spans="1:9" ht="51.75" customHeight="1">
      <c r="A498" s="5">
        <v>2</v>
      </c>
      <c r="B498" s="5" t="s">
        <v>24912</v>
      </c>
      <c r="C498" s="5" t="s">
        <v>24913</v>
      </c>
      <c r="D498" s="246">
        <v>40177</v>
      </c>
      <c r="E498" s="5" t="s">
        <v>24913</v>
      </c>
      <c r="F498" s="26"/>
      <c r="G498" s="27" t="s">
        <v>2371</v>
      </c>
      <c r="H498" s="28" t="s">
        <v>2372</v>
      </c>
      <c r="I498" s="5" t="s">
        <v>115</v>
      </c>
    </row>
    <row r="499" spans="1:9" ht="51.75" customHeight="1">
      <c r="A499" s="5">
        <v>3</v>
      </c>
      <c r="B499" s="5" t="s">
        <v>24914</v>
      </c>
      <c r="C499" s="5" t="s">
        <v>24915</v>
      </c>
      <c r="D499" s="246">
        <v>40177</v>
      </c>
      <c r="E499" s="5" t="s">
        <v>24915</v>
      </c>
      <c r="F499" s="26"/>
      <c r="G499" s="27" t="s">
        <v>2371</v>
      </c>
      <c r="H499" s="28" t="s">
        <v>2372</v>
      </c>
      <c r="I499" s="5" t="s">
        <v>115</v>
      </c>
    </row>
    <row r="500" spans="1:9" ht="51.75" customHeight="1">
      <c r="A500" s="5">
        <v>1</v>
      </c>
      <c r="B500" s="5" t="s">
        <v>24916</v>
      </c>
      <c r="C500" s="5" t="s">
        <v>24917</v>
      </c>
      <c r="D500" s="246">
        <v>40154</v>
      </c>
      <c r="E500" s="5" t="s">
        <v>24917</v>
      </c>
      <c r="F500" s="26"/>
      <c r="G500" s="27" t="s">
        <v>1865</v>
      </c>
      <c r="H500" s="28" t="s">
        <v>1866</v>
      </c>
      <c r="I500" s="5" t="s">
        <v>115</v>
      </c>
    </row>
    <row r="501" spans="1:9" ht="51.75" customHeight="1">
      <c r="A501" s="5">
        <v>2</v>
      </c>
      <c r="B501" s="5" t="s">
        <v>24918</v>
      </c>
      <c r="C501" s="5" t="s">
        <v>24919</v>
      </c>
      <c r="D501" s="246">
        <v>40154</v>
      </c>
      <c r="E501" s="5" t="s">
        <v>24919</v>
      </c>
      <c r="F501" s="26"/>
      <c r="G501" s="27" t="s">
        <v>1865</v>
      </c>
      <c r="H501" s="28" t="s">
        <v>1866</v>
      </c>
      <c r="I501" s="5" t="s">
        <v>115</v>
      </c>
    </row>
    <row r="502" spans="1:9" ht="51.75" customHeight="1">
      <c r="A502" s="5">
        <v>3</v>
      </c>
      <c r="B502" s="5" t="s">
        <v>24920</v>
      </c>
      <c r="C502" s="5" t="s">
        <v>24921</v>
      </c>
      <c r="D502" s="246">
        <v>40154</v>
      </c>
      <c r="E502" s="5" t="s">
        <v>24921</v>
      </c>
      <c r="F502" s="26"/>
      <c r="G502" s="27" t="s">
        <v>1865</v>
      </c>
      <c r="H502" s="28" t="s">
        <v>1866</v>
      </c>
      <c r="I502" s="5" t="s">
        <v>115</v>
      </c>
    </row>
    <row r="503" spans="1:9" ht="51.75" customHeight="1">
      <c r="A503" s="5">
        <v>4</v>
      </c>
      <c r="B503" s="5" t="s">
        <v>24922</v>
      </c>
      <c r="C503" s="5" t="s">
        <v>24923</v>
      </c>
      <c r="D503" s="246">
        <v>40154</v>
      </c>
      <c r="E503" s="5" t="s">
        <v>24923</v>
      </c>
      <c r="F503" s="26"/>
      <c r="G503" s="27" t="s">
        <v>1865</v>
      </c>
      <c r="H503" s="28" t="s">
        <v>1866</v>
      </c>
      <c r="I503" s="5" t="s">
        <v>115</v>
      </c>
    </row>
    <row r="504" spans="1:9" ht="51.75" customHeight="1">
      <c r="A504" s="5">
        <v>5</v>
      </c>
      <c r="B504" s="5" t="s">
        <v>24924</v>
      </c>
      <c r="C504" s="5" t="s">
        <v>24925</v>
      </c>
      <c r="D504" s="246">
        <v>40154</v>
      </c>
      <c r="E504" s="5" t="s">
        <v>24925</v>
      </c>
      <c r="F504" s="26"/>
      <c r="G504" s="27" t="s">
        <v>1865</v>
      </c>
      <c r="H504" s="28" t="s">
        <v>1866</v>
      </c>
      <c r="I504" s="5" t="s">
        <v>115</v>
      </c>
    </row>
    <row r="505" spans="1:9" ht="51.75" customHeight="1">
      <c r="A505" s="5" t="s">
        <v>24926</v>
      </c>
      <c r="B505" s="5" t="s">
        <v>24927</v>
      </c>
      <c r="C505" s="5" t="s">
        <v>24928</v>
      </c>
      <c r="D505" s="246">
        <v>41519</v>
      </c>
      <c r="E505" s="5" t="s">
        <v>24928</v>
      </c>
      <c r="F505" s="26" t="s">
        <v>23600</v>
      </c>
      <c r="G505" s="27" t="s">
        <v>7568</v>
      </c>
      <c r="H505" s="28" t="s">
        <v>7569</v>
      </c>
      <c r="I505" s="5" t="s">
        <v>115</v>
      </c>
    </row>
    <row r="506" spans="1:9" ht="51.75" customHeight="1">
      <c r="A506" s="5" t="s">
        <v>24929</v>
      </c>
      <c r="B506" s="5" t="s">
        <v>24930</v>
      </c>
      <c r="C506" s="5" t="s">
        <v>24931</v>
      </c>
      <c r="D506" s="246">
        <v>41519</v>
      </c>
      <c r="E506" s="5" t="s">
        <v>24931</v>
      </c>
      <c r="F506" s="26" t="s">
        <v>23600</v>
      </c>
      <c r="G506" s="27" t="s">
        <v>7568</v>
      </c>
      <c r="H506" s="28" t="s">
        <v>7569</v>
      </c>
      <c r="I506" s="5" t="s">
        <v>115</v>
      </c>
    </row>
    <row r="507" spans="1:9" ht="51.75" customHeight="1">
      <c r="A507" s="5" t="s">
        <v>24932</v>
      </c>
      <c r="B507" s="5" t="s">
        <v>24933</v>
      </c>
      <c r="C507" s="5" t="s">
        <v>24934</v>
      </c>
      <c r="D507" s="246">
        <v>41519</v>
      </c>
      <c r="E507" s="5" t="s">
        <v>24935</v>
      </c>
      <c r="F507" s="26" t="s">
        <v>23600</v>
      </c>
      <c r="G507" s="27" t="s">
        <v>7568</v>
      </c>
      <c r="H507" s="28" t="s">
        <v>7569</v>
      </c>
      <c r="I507" s="5" t="s">
        <v>115</v>
      </c>
    </row>
    <row r="508" spans="1:9" ht="51.75" customHeight="1">
      <c r="A508" s="5">
        <v>1</v>
      </c>
      <c r="B508" s="5" t="s">
        <v>24936</v>
      </c>
      <c r="C508" s="5" t="s">
        <v>24937</v>
      </c>
      <c r="D508" s="246" t="s">
        <v>68</v>
      </c>
      <c r="E508" s="5" t="s">
        <v>24938</v>
      </c>
      <c r="F508" s="26" t="s">
        <v>24939</v>
      </c>
      <c r="G508" s="27" t="s">
        <v>7101</v>
      </c>
      <c r="H508" s="28" t="s">
        <v>7102</v>
      </c>
      <c r="I508" s="5" t="s">
        <v>115</v>
      </c>
    </row>
    <row r="509" spans="1:9" ht="51.75" customHeight="1">
      <c r="A509" s="5">
        <v>1</v>
      </c>
      <c r="B509" s="5" t="s">
        <v>24940</v>
      </c>
      <c r="C509" s="5" t="s">
        <v>24937</v>
      </c>
      <c r="D509" s="246" t="s">
        <v>68</v>
      </c>
      <c r="E509" s="5" t="s">
        <v>24941</v>
      </c>
      <c r="F509" s="26" t="s">
        <v>23600</v>
      </c>
      <c r="G509" s="27" t="s">
        <v>7101</v>
      </c>
      <c r="H509" s="28" t="s">
        <v>7102</v>
      </c>
      <c r="I509" s="5" t="s">
        <v>115</v>
      </c>
    </row>
    <row r="510" spans="1:9" ht="51.75" customHeight="1">
      <c r="A510" s="5" t="s">
        <v>24942</v>
      </c>
      <c r="B510" s="5" t="s">
        <v>24943</v>
      </c>
      <c r="C510" s="5" t="s">
        <v>24944</v>
      </c>
      <c r="D510" s="246">
        <v>41437</v>
      </c>
      <c r="E510" s="5" t="s">
        <v>24945</v>
      </c>
      <c r="F510" s="26" t="s">
        <v>24939</v>
      </c>
      <c r="G510" s="27" t="s">
        <v>6841</v>
      </c>
      <c r="H510" s="28" t="s">
        <v>6842</v>
      </c>
      <c r="I510" s="5" t="s">
        <v>115</v>
      </c>
    </row>
    <row r="511" spans="1:9" ht="51.75" customHeight="1">
      <c r="A511" s="5" t="s">
        <v>24942</v>
      </c>
      <c r="B511" s="5" t="s">
        <v>24946</v>
      </c>
      <c r="C511" s="5" t="s">
        <v>24944</v>
      </c>
      <c r="D511" s="246">
        <v>41437</v>
      </c>
      <c r="E511" s="5" t="s">
        <v>24947</v>
      </c>
      <c r="F511" s="26" t="s">
        <v>23600</v>
      </c>
      <c r="G511" s="27" t="s">
        <v>6841</v>
      </c>
      <c r="H511" s="28" t="s">
        <v>6842</v>
      </c>
      <c r="I511" s="5" t="s">
        <v>115</v>
      </c>
    </row>
    <row r="512" spans="1:9" ht="51.75" customHeight="1">
      <c r="A512" s="5" t="s">
        <v>24948</v>
      </c>
      <c r="B512" s="5" t="s">
        <v>24949</v>
      </c>
      <c r="C512" s="5" t="s">
        <v>24950</v>
      </c>
      <c r="D512" s="246">
        <v>41437</v>
      </c>
      <c r="E512" s="5" t="s">
        <v>24951</v>
      </c>
      <c r="F512" s="26" t="s">
        <v>24939</v>
      </c>
      <c r="G512" s="27" t="s">
        <v>6841</v>
      </c>
      <c r="H512" s="28" t="s">
        <v>6842</v>
      </c>
      <c r="I512" s="5" t="s">
        <v>115</v>
      </c>
    </row>
    <row r="513" spans="1:9" ht="51.75" customHeight="1">
      <c r="A513" s="5" t="s">
        <v>24948</v>
      </c>
      <c r="B513" s="5" t="s">
        <v>24952</v>
      </c>
      <c r="C513" s="5" t="s">
        <v>24950</v>
      </c>
      <c r="D513" s="246">
        <v>41437</v>
      </c>
      <c r="E513" s="5" t="s">
        <v>24953</v>
      </c>
      <c r="F513" s="26" t="s">
        <v>23600</v>
      </c>
      <c r="G513" s="27" t="s">
        <v>6841</v>
      </c>
      <c r="H513" s="28" t="s">
        <v>6842</v>
      </c>
      <c r="I513" s="5" t="s">
        <v>115</v>
      </c>
    </row>
    <row r="514" spans="1:9" ht="51.75" customHeight="1">
      <c r="A514" s="5" t="s">
        <v>24954</v>
      </c>
      <c r="B514" s="5" t="s">
        <v>24955</v>
      </c>
      <c r="C514" s="5" t="s">
        <v>24956</v>
      </c>
      <c r="D514" s="246">
        <v>41247</v>
      </c>
      <c r="E514" s="5" t="s">
        <v>24957</v>
      </c>
      <c r="F514" s="26" t="s">
        <v>23600</v>
      </c>
      <c r="G514" s="27" t="s">
        <v>6709</v>
      </c>
      <c r="H514" s="28" t="s">
        <v>6710</v>
      </c>
      <c r="I514" s="5" t="s">
        <v>115</v>
      </c>
    </row>
    <row r="515" spans="1:9" ht="51.75" customHeight="1">
      <c r="A515" s="5" t="s">
        <v>24674</v>
      </c>
      <c r="B515" s="5" t="s">
        <v>24958</v>
      </c>
      <c r="C515" s="5" t="s">
        <v>24959</v>
      </c>
      <c r="D515" s="246">
        <v>41088</v>
      </c>
      <c r="E515" s="5" t="s">
        <v>24960</v>
      </c>
      <c r="F515" s="26" t="s">
        <v>24939</v>
      </c>
      <c r="G515" s="27" t="s">
        <v>6688</v>
      </c>
      <c r="H515" s="28" t="s">
        <v>6689</v>
      </c>
      <c r="I515" s="5" t="s">
        <v>115</v>
      </c>
    </row>
    <row r="516" spans="1:9" ht="51.75" customHeight="1">
      <c r="A516" s="5" t="s">
        <v>24674</v>
      </c>
      <c r="B516" s="5" t="s">
        <v>24961</v>
      </c>
      <c r="C516" s="5" t="s">
        <v>24959</v>
      </c>
      <c r="D516" s="246">
        <v>41088</v>
      </c>
      <c r="E516" s="5" t="s">
        <v>24962</v>
      </c>
      <c r="F516" s="26" t="s">
        <v>23600</v>
      </c>
      <c r="G516" s="27" t="s">
        <v>6688</v>
      </c>
      <c r="H516" s="28" t="s">
        <v>6689</v>
      </c>
      <c r="I516" s="5" t="s">
        <v>115</v>
      </c>
    </row>
    <row r="517" spans="1:9" ht="51.75" customHeight="1">
      <c r="A517" s="5" t="s">
        <v>24963</v>
      </c>
      <c r="B517" s="5" t="s">
        <v>24964</v>
      </c>
      <c r="C517" s="5" t="s">
        <v>24965</v>
      </c>
      <c r="D517" s="246">
        <v>41088</v>
      </c>
      <c r="E517" s="5" t="s">
        <v>24966</v>
      </c>
      <c r="F517" s="26" t="s">
        <v>24939</v>
      </c>
      <c r="G517" s="27" t="s">
        <v>6688</v>
      </c>
      <c r="H517" s="28" t="s">
        <v>6689</v>
      </c>
      <c r="I517" s="5" t="s">
        <v>115</v>
      </c>
    </row>
    <row r="518" spans="1:9" ht="51.75" customHeight="1">
      <c r="A518" s="5" t="s">
        <v>24963</v>
      </c>
      <c r="B518" s="5" t="s">
        <v>24967</v>
      </c>
      <c r="C518" s="5" t="s">
        <v>24965</v>
      </c>
      <c r="D518" s="246">
        <v>41088</v>
      </c>
      <c r="E518" s="5" t="s">
        <v>24968</v>
      </c>
      <c r="F518" s="26" t="s">
        <v>23600</v>
      </c>
      <c r="G518" s="27" t="s">
        <v>6688</v>
      </c>
      <c r="H518" s="28" t="s">
        <v>6689</v>
      </c>
      <c r="I518" s="5" t="s">
        <v>115</v>
      </c>
    </row>
    <row r="519" spans="1:9" ht="51.75" customHeight="1">
      <c r="A519" s="5" t="s">
        <v>24969</v>
      </c>
      <c r="B519" s="5" t="s">
        <v>24970</v>
      </c>
      <c r="C519" s="5" t="s">
        <v>24971</v>
      </c>
      <c r="D519" s="246">
        <v>41038</v>
      </c>
      <c r="E519" s="5" t="s">
        <v>24972</v>
      </c>
      <c r="F519" s="26" t="s">
        <v>24939</v>
      </c>
      <c r="G519" s="27" t="s">
        <v>6311</v>
      </c>
      <c r="H519" s="28" t="s">
        <v>6312</v>
      </c>
      <c r="I519" s="5" t="s">
        <v>115</v>
      </c>
    </row>
    <row r="520" spans="1:9" ht="51.75" customHeight="1">
      <c r="A520" s="5" t="s">
        <v>24969</v>
      </c>
      <c r="B520" s="5" t="s">
        <v>24973</v>
      </c>
      <c r="C520" s="5" t="s">
        <v>24971</v>
      </c>
      <c r="D520" s="246">
        <v>41038</v>
      </c>
      <c r="E520" s="5" t="s">
        <v>24974</v>
      </c>
      <c r="F520" s="26" t="s">
        <v>23600</v>
      </c>
      <c r="G520" s="27" t="s">
        <v>6311</v>
      </c>
      <c r="H520" s="28" t="s">
        <v>6312</v>
      </c>
      <c r="I520" s="5" t="s">
        <v>115</v>
      </c>
    </row>
    <row r="521" spans="1:9" ht="51.75" customHeight="1">
      <c r="A521" s="5" t="s">
        <v>24975</v>
      </c>
      <c r="B521" s="5" t="s">
        <v>24976</v>
      </c>
      <c r="C521" s="5" t="s">
        <v>24977</v>
      </c>
      <c r="D521" s="246">
        <v>41038</v>
      </c>
      <c r="E521" s="5" t="s">
        <v>24978</v>
      </c>
      <c r="F521" s="26" t="s">
        <v>24939</v>
      </c>
      <c r="G521" s="27" t="s">
        <v>6311</v>
      </c>
      <c r="H521" s="28" t="s">
        <v>6312</v>
      </c>
      <c r="I521" s="5" t="s">
        <v>115</v>
      </c>
    </row>
    <row r="522" spans="1:9" ht="51.75" customHeight="1">
      <c r="A522" s="5" t="s">
        <v>24975</v>
      </c>
      <c r="B522" s="5" t="s">
        <v>24979</v>
      </c>
      <c r="C522" s="5" t="s">
        <v>24977</v>
      </c>
      <c r="D522" s="246">
        <v>41038</v>
      </c>
      <c r="E522" s="5" t="s">
        <v>24980</v>
      </c>
      <c r="F522" s="26" t="s">
        <v>23600</v>
      </c>
      <c r="G522" s="27" t="s">
        <v>6311</v>
      </c>
      <c r="H522" s="28" t="s">
        <v>6312</v>
      </c>
      <c r="I522" s="5" t="s">
        <v>115</v>
      </c>
    </row>
    <row r="523" spans="1:9" ht="51.75" customHeight="1">
      <c r="A523" s="5" t="s">
        <v>24981</v>
      </c>
      <c r="B523" s="5" t="s">
        <v>24982</v>
      </c>
      <c r="C523" s="5" t="s">
        <v>24983</v>
      </c>
      <c r="D523" s="246">
        <v>41038</v>
      </c>
      <c r="E523" s="5" t="s">
        <v>24984</v>
      </c>
      <c r="F523" s="26" t="s">
        <v>24939</v>
      </c>
      <c r="G523" s="27" t="s">
        <v>6311</v>
      </c>
      <c r="H523" s="28" t="s">
        <v>6312</v>
      </c>
      <c r="I523" s="5" t="s">
        <v>115</v>
      </c>
    </row>
    <row r="524" spans="1:9" ht="51.75" customHeight="1">
      <c r="A524" s="5" t="s">
        <v>24981</v>
      </c>
      <c r="B524" s="5" t="s">
        <v>24985</v>
      </c>
      <c r="C524" s="5" t="s">
        <v>24983</v>
      </c>
      <c r="D524" s="246">
        <v>41038</v>
      </c>
      <c r="E524" s="5" t="s">
        <v>24986</v>
      </c>
      <c r="F524" s="26" t="s">
        <v>23600</v>
      </c>
      <c r="G524" s="27" t="s">
        <v>6311</v>
      </c>
      <c r="H524" s="28" t="s">
        <v>6312</v>
      </c>
      <c r="I524" s="5" t="s">
        <v>115</v>
      </c>
    </row>
    <row r="525" spans="1:9" ht="51.75" customHeight="1">
      <c r="A525" s="5" t="s">
        <v>24987</v>
      </c>
      <c r="B525" s="5" t="s">
        <v>24988</v>
      </c>
      <c r="C525" s="5" t="s">
        <v>24989</v>
      </c>
      <c r="D525" s="246">
        <v>41038</v>
      </c>
      <c r="E525" s="5" t="s">
        <v>24990</v>
      </c>
      <c r="F525" s="26" t="s">
        <v>24939</v>
      </c>
      <c r="G525" s="27" t="s">
        <v>6311</v>
      </c>
      <c r="H525" s="28" t="s">
        <v>6312</v>
      </c>
      <c r="I525" s="5" t="s">
        <v>115</v>
      </c>
    </row>
    <row r="526" spans="1:9" ht="51.75" customHeight="1">
      <c r="A526" s="5" t="s">
        <v>24987</v>
      </c>
      <c r="B526" s="5" t="s">
        <v>24991</v>
      </c>
      <c r="C526" s="5" t="s">
        <v>24989</v>
      </c>
      <c r="D526" s="246">
        <v>41038</v>
      </c>
      <c r="E526" s="5" t="s">
        <v>24992</v>
      </c>
      <c r="F526" s="26" t="s">
        <v>23600</v>
      </c>
      <c r="G526" s="27" t="s">
        <v>6311</v>
      </c>
      <c r="H526" s="28" t="s">
        <v>6312</v>
      </c>
      <c r="I526" s="5" t="s">
        <v>115</v>
      </c>
    </row>
    <row r="527" spans="1:9" ht="51.75" customHeight="1">
      <c r="A527" s="5" t="s">
        <v>24993</v>
      </c>
      <c r="B527" s="5" t="s">
        <v>24994</v>
      </c>
      <c r="C527" s="5" t="s">
        <v>24995</v>
      </c>
      <c r="D527" s="246">
        <v>42244</v>
      </c>
      <c r="E527" s="5" t="s">
        <v>24996</v>
      </c>
      <c r="F527" s="26" t="s">
        <v>23600</v>
      </c>
      <c r="G527" s="27" t="s">
        <v>6111</v>
      </c>
      <c r="H527" s="28" t="s">
        <v>6112</v>
      </c>
      <c r="I527" s="5" t="s">
        <v>115</v>
      </c>
    </row>
    <row r="528" spans="1:9" ht="51.75" customHeight="1">
      <c r="A528" s="5" t="s">
        <v>23952</v>
      </c>
      <c r="B528" s="5" t="s">
        <v>24997</v>
      </c>
      <c r="C528" s="5" t="s">
        <v>24998</v>
      </c>
      <c r="D528" s="246">
        <v>42244</v>
      </c>
      <c r="E528" s="5" t="s">
        <v>24999</v>
      </c>
      <c r="F528" s="26" t="s">
        <v>23600</v>
      </c>
      <c r="G528" s="27" t="s">
        <v>6111</v>
      </c>
      <c r="H528" s="28" t="s">
        <v>6112</v>
      </c>
      <c r="I528" s="5" t="s">
        <v>115</v>
      </c>
    </row>
    <row r="529" spans="1:9" ht="51.75" customHeight="1">
      <c r="A529" s="5" t="s">
        <v>25000</v>
      </c>
      <c r="B529" s="5" t="s">
        <v>25001</v>
      </c>
      <c r="C529" s="5" t="s">
        <v>25002</v>
      </c>
      <c r="D529" s="246">
        <v>41100</v>
      </c>
      <c r="E529" s="5" t="s">
        <v>25003</v>
      </c>
      <c r="F529" s="26" t="s">
        <v>24939</v>
      </c>
      <c r="G529" s="27" t="s">
        <v>5855</v>
      </c>
      <c r="H529" s="28" t="s">
        <v>5856</v>
      </c>
      <c r="I529" s="5" t="s">
        <v>115</v>
      </c>
    </row>
    <row r="530" spans="1:9" ht="51.75" customHeight="1">
      <c r="A530" s="5" t="s">
        <v>25000</v>
      </c>
      <c r="B530" s="5" t="s">
        <v>25004</v>
      </c>
      <c r="C530" s="5" t="s">
        <v>25002</v>
      </c>
      <c r="D530" s="246">
        <v>41100</v>
      </c>
      <c r="E530" s="5" t="s">
        <v>25005</v>
      </c>
      <c r="F530" s="26" t="s">
        <v>23600</v>
      </c>
      <c r="G530" s="27" t="s">
        <v>5855</v>
      </c>
      <c r="H530" s="28" t="s">
        <v>5856</v>
      </c>
      <c r="I530" s="5" t="s">
        <v>115</v>
      </c>
    </row>
    <row r="531" spans="1:9" ht="51.75" customHeight="1">
      <c r="A531" s="5" t="s">
        <v>25006</v>
      </c>
      <c r="B531" s="5" t="s">
        <v>25007</v>
      </c>
      <c r="C531" s="5" t="s">
        <v>25008</v>
      </c>
      <c r="D531" s="246">
        <v>41100</v>
      </c>
      <c r="E531" s="5" t="s">
        <v>25009</v>
      </c>
      <c r="F531" s="26" t="s">
        <v>24939</v>
      </c>
      <c r="G531" s="27" t="s">
        <v>5855</v>
      </c>
      <c r="H531" s="28" t="s">
        <v>5856</v>
      </c>
      <c r="I531" s="5" t="s">
        <v>115</v>
      </c>
    </row>
    <row r="532" spans="1:9" ht="51.75" customHeight="1">
      <c r="A532" s="5" t="s">
        <v>25006</v>
      </c>
      <c r="B532" s="5" t="s">
        <v>25010</v>
      </c>
      <c r="C532" s="5" t="s">
        <v>25008</v>
      </c>
      <c r="D532" s="246">
        <v>41100</v>
      </c>
      <c r="E532" s="5" t="s">
        <v>25011</v>
      </c>
      <c r="F532" s="26" t="s">
        <v>23600</v>
      </c>
      <c r="G532" s="27" t="s">
        <v>5855</v>
      </c>
      <c r="H532" s="28" t="s">
        <v>5856</v>
      </c>
      <c r="I532" s="5" t="s">
        <v>115</v>
      </c>
    </row>
    <row r="533" spans="1:9" ht="51.75" customHeight="1">
      <c r="A533" s="5" t="s">
        <v>25012</v>
      </c>
      <c r="B533" s="5" t="s">
        <v>25013</v>
      </c>
      <c r="C533" s="5" t="s">
        <v>25014</v>
      </c>
      <c r="D533" s="246">
        <v>41100</v>
      </c>
      <c r="E533" s="5" t="s">
        <v>25015</v>
      </c>
      <c r="F533" s="26" t="s">
        <v>24939</v>
      </c>
      <c r="G533" s="27" t="s">
        <v>5855</v>
      </c>
      <c r="H533" s="28" t="s">
        <v>5856</v>
      </c>
      <c r="I533" s="5" t="s">
        <v>115</v>
      </c>
    </row>
    <row r="534" spans="1:9" ht="51.75" customHeight="1">
      <c r="A534" s="5" t="s">
        <v>25012</v>
      </c>
      <c r="B534" s="5" t="s">
        <v>25016</v>
      </c>
      <c r="C534" s="5" t="s">
        <v>25014</v>
      </c>
      <c r="D534" s="246">
        <v>41100</v>
      </c>
      <c r="E534" s="5" t="s">
        <v>25017</v>
      </c>
      <c r="F534" s="26" t="s">
        <v>23600</v>
      </c>
      <c r="G534" s="27" t="s">
        <v>5855</v>
      </c>
      <c r="H534" s="28" t="s">
        <v>5856</v>
      </c>
      <c r="I534" s="5" t="s">
        <v>115</v>
      </c>
    </row>
    <row r="535" spans="1:9" ht="51.75" customHeight="1">
      <c r="A535" s="5" t="s">
        <v>25018</v>
      </c>
      <c r="B535" s="5" t="s">
        <v>25019</v>
      </c>
      <c r="C535" s="5" t="s">
        <v>25020</v>
      </c>
      <c r="D535" s="246">
        <v>41089</v>
      </c>
      <c r="E535" s="5" t="s">
        <v>25021</v>
      </c>
      <c r="F535" s="26" t="s">
        <v>24939</v>
      </c>
      <c r="G535" s="27" t="s">
        <v>5689</v>
      </c>
      <c r="H535" s="28" t="s">
        <v>5690</v>
      </c>
      <c r="I535" s="5" t="s">
        <v>115</v>
      </c>
    </row>
    <row r="536" spans="1:9" ht="51.75" customHeight="1">
      <c r="A536" s="5" t="s">
        <v>25018</v>
      </c>
      <c r="B536" s="5" t="s">
        <v>25022</v>
      </c>
      <c r="C536" s="5" t="s">
        <v>25020</v>
      </c>
      <c r="D536" s="246">
        <v>41089</v>
      </c>
      <c r="E536" s="5" t="s">
        <v>25023</v>
      </c>
      <c r="F536" s="26" t="s">
        <v>23600</v>
      </c>
      <c r="G536" s="27" t="s">
        <v>5689</v>
      </c>
      <c r="H536" s="28" t="s">
        <v>5690</v>
      </c>
      <c r="I536" s="5" t="s">
        <v>115</v>
      </c>
    </row>
    <row r="537" spans="1:9" ht="51.75" customHeight="1">
      <c r="A537" s="5" t="s">
        <v>23744</v>
      </c>
      <c r="B537" s="5" t="s">
        <v>25024</v>
      </c>
      <c r="C537" s="5" t="s">
        <v>25025</v>
      </c>
      <c r="D537" s="246">
        <v>41089</v>
      </c>
      <c r="E537" s="5" t="s">
        <v>25026</v>
      </c>
      <c r="F537" s="26" t="s">
        <v>24939</v>
      </c>
      <c r="G537" s="27" t="s">
        <v>5689</v>
      </c>
      <c r="H537" s="28" t="s">
        <v>5690</v>
      </c>
      <c r="I537" s="5" t="s">
        <v>115</v>
      </c>
    </row>
    <row r="538" spans="1:9" ht="51.75" customHeight="1">
      <c r="A538" s="5" t="s">
        <v>23744</v>
      </c>
      <c r="B538" s="5" t="s">
        <v>25027</v>
      </c>
      <c r="C538" s="5" t="s">
        <v>25025</v>
      </c>
      <c r="D538" s="246">
        <v>41089</v>
      </c>
      <c r="E538" s="5" t="s">
        <v>25028</v>
      </c>
      <c r="F538" s="26" t="s">
        <v>23600</v>
      </c>
      <c r="G538" s="27" t="s">
        <v>5689</v>
      </c>
      <c r="H538" s="28" t="s">
        <v>5690</v>
      </c>
      <c r="I538" s="5" t="s">
        <v>115</v>
      </c>
    </row>
    <row r="539" spans="1:9" ht="51.75" customHeight="1">
      <c r="A539" s="5" t="s">
        <v>23942</v>
      </c>
      <c r="B539" s="5" t="s">
        <v>25029</v>
      </c>
      <c r="C539" s="5" t="s">
        <v>25030</v>
      </c>
      <c r="D539" s="246">
        <v>41089</v>
      </c>
      <c r="E539" s="5" t="s">
        <v>25031</v>
      </c>
      <c r="F539" s="26" t="s">
        <v>24939</v>
      </c>
      <c r="G539" s="27" t="s">
        <v>5689</v>
      </c>
      <c r="H539" s="28" t="s">
        <v>5690</v>
      </c>
      <c r="I539" s="5" t="s">
        <v>115</v>
      </c>
    </row>
    <row r="540" spans="1:9" ht="51.75" customHeight="1">
      <c r="A540" s="5" t="s">
        <v>23942</v>
      </c>
      <c r="B540" s="5" t="s">
        <v>25032</v>
      </c>
      <c r="C540" s="5" t="s">
        <v>25030</v>
      </c>
      <c r="D540" s="246">
        <v>41089</v>
      </c>
      <c r="E540" s="5" t="s">
        <v>25033</v>
      </c>
      <c r="F540" s="26" t="s">
        <v>23600</v>
      </c>
      <c r="G540" s="27" t="s">
        <v>5689</v>
      </c>
      <c r="H540" s="28" t="s">
        <v>5690</v>
      </c>
      <c r="I540" s="5" t="s">
        <v>115</v>
      </c>
    </row>
    <row r="541" spans="1:9" ht="51.75" customHeight="1">
      <c r="A541" s="5">
        <v>1</v>
      </c>
      <c r="B541" s="5" t="s">
        <v>25034</v>
      </c>
      <c r="C541" s="5" t="s">
        <v>25035</v>
      </c>
      <c r="D541" s="246">
        <v>40989</v>
      </c>
      <c r="E541" s="5" t="s">
        <v>25035</v>
      </c>
      <c r="F541" s="26"/>
      <c r="G541" s="27" t="s">
        <v>5576</v>
      </c>
      <c r="H541" s="28" t="s">
        <v>5577</v>
      </c>
      <c r="I541" s="5" t="s">
        <v>115</v>
      </c>
    </row>
    <row r="542" spans="1:9" ht="51.75" customHeight="1">
      <c r="A542" s="5">
        <v>2</v>
      </c>
      <c r="B542" s="5" t="s">
        <v>25036</v>
      </c>
      <c r="C542" s="5" t="s">
        <v>25037</v>
      </c>
      <c r="D542" s="246">
        <v>40989</v>
      </c>
      <c r="E542" s="5" t="s">
        <v>25037</v>
      </c>
      <c r="F542" s="26"/>
      <c r="G542" s="27" t="s">
        <v>5576</v>
      </c>
      <c r="H542" s="28" t="s">
        <v>5577</v>
      </c>
      <c r="I542" s="5" t="s">
        <v>115</v>
      </c>
    </row>
    <row r="543" spans="1:9" ht="51.75" customHeight="1">
      <c r="A543" s="5" t="s">
        <v>25038</v>
      </c>
      <c r="B543" s="5" t="s">
        <v>25039</v>
      </c>
      <c r="C543" s="5" t="s">
        <v>24995</v>
      </c>
      <c r="D543" s="246">
        <v>41499</v>
      </c>
      <c r="E543" s="5" t="s">
        <v>25040</v>
      </c>
      <c r="F543" s="26" t="s">
        <v>24939</v>
      </c>
      <c r="G543" s="27" t="s">
        <v>7749</v>
      </c>
      <c r="H543" s="28" t="s">
        <v>7750</v>
      </c>
      <c r="I543" s="5" t="s">
        <v>115</v>
      </c>
    </row>
    <row r="544" spans="1:9" ht="51.75" customHeight="1">
      <c r="A544" s="5" t="s">
        <v>25038</v>
      </c>
      <c r="B544" s="5" t="s">
        <v>25041</v>
      </c>
      <c r="C544" s="5" t="s">
        <v>24995</v>
      </c>
      <c r="D544" s="246">
        <v>41499</v>
      </c>
      <c r="E544" s="5" t="s">
        <v>25042</v>
      </c>
      <c r="F544" s="26" t="s">
        <v>23600</v>
      </c>
      <c r="G544" s="27" t="s">
        <v>7749</v>
      </c>
      <c r="H544" s="28" t="s">
        <v>7750</v>
      </c>
      <c r="I544" s="5" t="s">
        <v>115</v>
      </c>
    </row>
    <row r="545" spans="1:9" ht="51.75" customHeight="1">
      <c r="A545" s="5" t="s">
        <v>25043</v>
      </c>
      <c r="B545" s="5" t="s">
        <v>25044</v>
      </c>
      <c r="C545" s="5" t="s">
        <v>24998</v>
      </c>
      <c r="D545" s="246">
        <v>41499</v>
      </c>
      <c r="E545" s="5" t="s">
        <v>25045</v>
      </c>
      <c r="F545" s="26" t="s">
        <v>24939</v>
      </c>
      <c r="G545" s="27" t="s">
        <v>7749</v>
      </c>
      <c r="H545" s="28" t="s">
        <v>7750</v>
      </c>
      <c r="I545" s="5" t="s">
        <v>115</v>
      </c>
    </row>
    <row r="546" spans="1:9" ht="51.75" customHeight="1">
      <c r="A546" s="5" t="s">
        <v>25043</v>
      </c>
      <c r="B546" s="5" t="s">
        <v>25046</v>
      </c>
      <c r="C546" s="5" t="s">
        <v>24998</v>
      </c>
      <c r="D546" s="246">
        <v>41499</v>
      </c>
      <c r="E546" s="5" t="s">
        <v>25047</v>
      </c>
      <c r="F546" s="26" t="s">
        <v>23600</v>
      </c>
      <c r="G546" s="27" t="s">
        <v>7749</v>
      </c>
      <c r="H546" s="28" t="s">
        <v>7750</v>
      </c>
      <c r="I546" s="5" t="s">
        <v>115</v>
      </c>
    </row>
    <row r="547" spans="1:9" ht="51.75" customHeight="1">
      <c r="A547" s="5" t="s">
        <v>25048</v>
      </c>
      <c r="B547" s="5" t="s">
        <v>25049</v>
      </c>
      <c r="C547" s="5" t="s">
        <v>25050</v>
      </c>
      <c r="D547" s="246">
        <v>41499</v>
      </c>
      <c r="E547" s="5" t="s">
        <v>25051</v>
      </c>
      <c r="F547" s="26" t="s">
        <v>24939</v>
      </c>
      <c r="G547" s="27" t="s">
        <v>7749</v>
      </c>
      <c r="H547" s="28" t="s">
        <v>7750</v>
      </c>
      <c r="I547" s="5" t="s">
        <v>115</v>
      </c>
    </row>
    <row r="548" spans="1:9" ht="51.75" customHeight="1">
      <c r="A548" s="5" t="s">
        <v>25048</v>
      </c>
      <c r="B548" s="5" t="s">
        <v>25052</v>
      </c>
      <c r="C548" s="5" t="s">
        <v>25050</v>
      </c>
      <c r="D548" s="246">
        <v>41499</v>
      </c>
      <c r="E548" s="5" t="s">
        <v>25053</v>
      </c>
      <c r="F548" s="26" t="s">
        <v>23600</v>
      </c>
      <c r="G548" s="27" t="s">
        <v>7749</v>
      </c>
      <c r="H548" s="28" t="s">
        <v>7750</v>
      </c>
      <c r="I548" s="5" t="s">
        <v>115</v>
      </c>
    </row>
    <row r="549" spans="1:9" ht="51.75" customHeight="1">
      <c r="A549" s="5" t="s">
        <v>25054</v>
      </c>
      <c r="B549" s="5" t="s">
        <v>25055</v>
      </c>
      <c r="C549" s="5" t="s">
        <v>25056</v>
      </c>
      <c r="D549" s="246" t="s">
        <v>68</v>
      </c>
      <c r="E549" s="5" t="s">
        <v>25057</v>
      </c>
      <c r="F549" s="26" t="s">
        <v>23600</v>
      </c>
      <c r="G549" s="27" t="s">
        <v>7085</v>
      </c>
      <c r="H549" s="28" t="s">
        <v>7086</v>
      </c>
      <c r="I549" s="5" t="s">
        <v>115</v>
      </c>
    </row>
    <row r="550" spans="1:9" ht="51.75" customHeight="1">
      <c r="A550" s="5" t="s">
        <v>25058</v>
      </c>
      <c r="B550" s="5" t="s">
        <v>25059</v>
      </c>
      <c r="C550" s="5" t="s">
        <v>25060</v>
      </c>
      <c r="D550" s="246">
        <v>41422</v>
      </c>
      <c r="E550" s="5" t="s">
        <v>25061</v>
      </c>
      <c r="F550" s="26" t="s">
        <v>23600</v>
      </c>
      <c r="G550" s="27" t="s">
        <v>7085</v>
      </c>
      <c r="H550" s="28" t="s">
        <v>7086</v>
      </c>
      <c r="I550" s="5" t="s">
        <v>115</v>
      </c>
    </row>
    <row r="551" spans="1:9" ht="51.75" customHeight="1">
      <c r="A551" s="5" t="s">
        <v>25062</v>
      </c>
      <c r="B551" s="5" t="s">
        <v>25063</v>
      </c>
      <c r="C551" s="5" t="s">
        <v>25064</v>
      </c>
      <c r="D551" s="246">
        <v>41422</v>
      </c>
      <c r="E551" s="5" t="s">
        <v>25065</v>
      </c>
      <c r="F551" s="26" t="s">
        <v>23600</v>
      </c>
      <c r="G551" s="27" t="s">
        <v>7085</v>
      </c>
      <c r="H551" s="28" t="s">
        <v>7086</v>
      </c>
      <c r="I551" s="5" t="s">
        <v>115</v>
      </c>
    </row>
    <row r="552" spans="1:9" ht="51.75" customHeight="1">
      <c r="A552" s="5" t="s">
        <v>25066</v>
      </c>
      <c r="B552" s="5" t="s">
        <v>25067</v>
      </c>
      <c r="C552" s="5" t="s">
        <v>25068</v>
      </c>
      <c r="D552" s="246">
        <v>41753</v>
      </c>
      <c r="E552" s="5" t="s">
        <v>25069</v>
      </c>
      <c r="F552" s="26" t="s">
        <v>23600</v>
      </c>
      <c r="G552" s="27" t="s">
        <v>8652</v>
      </c>
      <c r="H552" s="28" t="s">
        <v>8653</v>
      </c>
      <c r="I552" s="5" t="s">
        <v>115</v>
      </c>
    </row>
    <row r="553" spans="1:9" ht="51.75" customHeight="1">
      <c r="A553" s="5" t="s">
        <v>25070</v>
      </c>
      <c r="B553" s="5" t="s">
        <v>25071</v>
      </c>
      <c r="C553" s="5" t="s">
        <v>25072</v>
      </c>
      <c r="D553" s="246" t="s">
        <v>68</v>
      </c>
      <c r="E553" s="5" t="s">
        <v>25073</v>
      </c>
      <c r="F553" s="26" t="s">
        <v>23600</v>
      </c>
      <c r="G553" s="27" t="s">
        <v>8954</v>
      </c>
      <c r="H553" s="28" t="s">
        <v>8955</v>
      </c>
      <c r="I553" s="5" t="s">
        <v>115</v>
      </c>
    </row>
    <row r="554" spans="1:9" ht="51.75" customHeight="1">
      <c r="A554" s="5" t="s">
        <v>25074</v>
      </c>
      <c r="B554" s="5" t="s">
        <v>25075</v>
      </c>
      <c r="C554" s="5" t="s">
        <v>25076</v>
      </c>
      <c r="D554" s="246" t="s">
        <v>68</v>
      </c>
      <c r="E554" s="5" t="s">
        <v>25077</v>
      </c>
      <c r="F554" s="26" t="s">
        <v>23600</v>
      </c>
      <c r="G554" s="27" t="s">
        <v>8954</v>
      </c>
      <c r="H554" s="28" t="s">
        <v>8955</v>
      </c>
      <c r="I554" s="5" t="s">
        <v>115</v>
      </c>
    </row>
    <row r="555" spans="1:9" ht="51.75" customHeight="1">
      <c r="A555" s="5" t="s">
        <v>25078</v>
      </c>
      <c r="B555" s="5" t="s">
        <v>25079</v>
      </c>
      <c r="C555" s="5" t="s">
        <v>25080</v>
      </c>
      <c r="D555" s="246" t="s">
        <v>68</v>
      </c>
      <c r="E555" s="5" t="s">
        <v>25081</v>
      </c>
      <c r="F555" s="26" t="s">
        <v>23600</v>
      </c>
      <c r="G555" s="27" t="s">
        <v>8954</v>
      </c>
      <c r="H555" s="28" t="s">
        <v>8955</v>
      </c>
      <c r="I555" s="5" t="s">
        <v>115</v>
      </c>
    </row>
    <row r="556" spans="1:9" ht="51.75" customHeight="1">
      <c r="A556" s="5" t="s">
        <v>25082</v>
      </c>
      <c r="B556" s="5" t="s">
        <v>25083</v>
      </c>
      <c r="C556" s="5" t="s">
        <v>25084</v>
      </c>
      <c r="D556" s="246" t="s">
        <v>68</v>
      </c>
      <c r="E556" s="5" t="s">
        <v>25085</v>
      </c>
      <c r="F556" s="26" t="s">
        <v>23600</v>
      </c>
      <c r="G556" s="27" t="s">
        <v>8954</v>
      </c>
      <c r="H556" s="28" t="s">
        <v>8955</v>
      </c>
      <c r="I556" s="5" t="s">
        <v>115</v>
      </c>
    </row>
    <row r="557" spans="1:9" ht="51.75" customHeight="1">
      <c r="A557" s="5" t="s">
        <v>25086</v>
      </c>
      <c r="B557" s="5" t="s">
        <v>25087</v>
      </c>
      <c r="C557" s="5" t="s">
        <v>25088</v>
      </c>
      <c r="D557" s="246" t="s">
        <v>68</v>
      </c>
      <c r="E557" s="5" t="s">
        <v>25089</v>
      </c>
      <c r="F557" s="26" t="s">
        <v>23600</v>
      </c>
      <c r="G557" s="27" t="s">
        <v>8954</v>
      </c>
      <c r="H557" s="28" t="s">
        <v>8955</v>
      </c>
      <c r="I557" s="5" t="s">
        <v>115</v>
      </c>
    </row>
    <row r="558" spans="1:9" ht="51.75" customHeight="1">
      <c r="A558" s="5" t="s">
        <v>25090</v>
      </c>
      <c r="B558" s="5" t="s">
        <v>25091</v>
      </c>
      <c r="C558" s="5" t="s">
        <v>25092</v>
      </c>
      <c r="D558" s="246" t="s">
        <v>68</v>
      </c>
      <c r="E558" s="5" t="s">
        <v>25093</v>
      </c>
      <c r="F558" s="26" t="s">
        <v>23600</v>
      </c>
      <c r="G558" s="27" t="s">
        <v>8954</v>
      </c>
      <c r="H558" s="28" t="s">
        <v>8955</v>
      </c>
      <c r="I558" s="5" t="s">
        <v>115</v>
      </c>
    </row>
    <row r="559" spans="1:9" ht="51.75" customHeight="1">
      <c r="A559" s="5" t="s">
        <v>23839</v>
      </c>
      <c r="B559" s="5" t="s">
        <v>25094</v>
      </c>
      <c r="C559" s="5" t="s">
        <v>24995</v>
      </c>
      <c r="D559" s="246">
        <v>42160</v>
      </c>
      <c r="E559" s="5" t="s">
        <v>25095</v>
      </c>
      <c r="F559" s="26" t="s">
        <v>23600</v>
      </c>
      <c r="G559" s="27" t="s">
        <v>9270</v>
      </c>
      <c r="H559" s="28" t="s">
        <v>9271</v>
      </c>
      <c r="I559" s="5" t="s">
        <v>115</v>
      </c>
    </row>
    <row r="560" spans="1:9" ht="51.75" customHeight="1">
      <c r="A560" s="5" t="s">
        <v>24948</v>
      </c>
      <c r="B560" s="5" t="s">
        <v>25096</v>
      </c>
      <c r="C560" s="5" t="s">
        <v>25097</v>
      </c>
      <c r="D560" s="246">
        <v>42389</v>
      </c>
      <c r="E560" s="5" t="s">
        <v>25098</v>
      </c>
      <c r="F560" s="26" t="s">
        <v>23600</v>
      </c>
      <c r="G560" s="27" t="s">
        <v>9417</v>
      </c>
      <c r="H560" s="28" t="s">
        <v>9418</v>
      </c>
      <c r="I560" s="5" t="s">
        <v>115</v>
      </c>
    </row>
    <row r="561" spans="1:9" ht="51.75" customHeight="1">
      <c r="A561" s="5" t="s">
        <v>24926</v>
      </c>
      <c r="B561" s="5" t="s">
        <v>25099</v>
      </c>
      <c r="C561" s="5" t="s">
        <v>25100</v>
      </c>
      <c r="D561" s="246">
        <v>42389</v>
      </c>
      <c r="E561" s="5" t="s">
        <v>25101</v>
      </c>
      <c r="F561" s="26" t="s">
        <v>23600</v>
      </c>
      <c r="G561" s="27" t="s">
        <v>9417</v>
      </c>
      <c r="H561" s="28" t="s">
        <v>9418</v>
      </c>
      <c r="I561" s="5" t="s">
        <v>115</v>
      </c>
    </row>
    <row r="562" spans="1:9" ht="51.75" customHeight="1">
      <c r="A562" s="5" t="s">
        <v>24929</v>
      </c>
      <c r="B562" s="5" t="s">
        <v>25102</v>
      </c>
      <c r="C562" s="5" t="s">
        <v>25103</v>
      </c>
      <c r="D562" s="246">
        <v>42389</v>
      </c>
      <c r="E562" s="5" t="s">
        <v>25104</v>
      </c>
      <c r="F562" s="26" t="s">
        <v>23600</v>
      </c>
      <c r="G562" s="27" t="s">
        <v>9417</v>
      </c>
      <c r="H562" s="28" t="s">
        <v>9418</v>
      </c>
      <c r="I562" s="5" t="s">
        <v>115</v>
      </c>
    </row>
    <row r="563" spans="1:9" ht="51.75" customHeight="1">
      <c r="A563" s="5" t="s">
        <v>25105</v>
      </c>
      <c r="B563" s="5" t="s">
        <v>25106</v>
      </c>
      <c r="C563" s="5" t="s">
        <v>25107</v>
      </c>
      <c r="D563" s="246">
        <v>42174</v>
      </c>
      <c r="E563" s="5" t="s">
        <v>25108</v>
      </c>
      <c r="F563" s="26" t="s">
        <v>23600</v>
      </c>
      <c r="G563" s="27" t="s">
        <v>9469</v>
      </c>
      <c r="H563" s="28" t="s">
        <v>9470</v>
      </c>
      <c r="I563" s="5" t="s">
        <v>115</v>
      </c>
    </row>
    <row r="564" spans="1:9" ht="51.75" customHeight="1">
      <c r="A564" s="5" t="s">
        <v>25109</v>
      </c>
      <c r="B564" s="5" t="s">
        <v>25110</v>
      </c>
      <c r="C564" s="5" t="s">
        <v>25111</v>
      </c>
      <c r="D564" s="246">
        <v>42174</v>
      </c>
      <c r="E564" s="5" t="s">
        <v>25112</v>
      </c>
      <c r="F564" s="26" t="s">
        <v>23600</v>
      </c>
      <c r="G564" s="27" t="s">
        <v>9469</v>
      </c>
      <c r="H564" s="28" t="s">
        <v>9470</v>
      </c>
      <c r="I564" s="5" t="s">
        <v>115</v>
      </c>
    </row>
    <row r="565" spans="1:9" ht="51.75" customHeight="1">
      <c r="A565" s="5" t="s">
        <v>25113</v>
      </c>
      <c r="B565" s="5" t="s">
        <v>25114</v>
      </c>
      <c r="C565" s="5" t="s">
        <v>25115</v>
      </c>
      <c r="D565" s="246">
        <v>42174</v>
      </c>
      <c r="E565" s="5" t="s">
        <v>25116</v>
      </c>
      <c r="F565" s="26" t="s">
        <v>23600</v>
      </c>
      <c r="G565" s="27" t="s">
        <v>9469</v>
      </c>
      <c r="H565" s="28" t="s">
        <v>9470</v>
      </c>
      <c r="I565" s="5" t="s">
        <v>115</v>
      </c>
    </row>
    <row r="566" spans="1:9" ht="51.75" customHeight="1">
      <c r="A566" s="5" t="s">
        <v>25117</v>
      </c>
      <c r="B566" s="5" t="s">
        <v>25118</v>
      </c>
      <c r="C566" s="5" t="s">
        <v>25119</v>
      </c>
      <c r="D566" s="246">
        <v>42174</v>
      </c>
      <c r="E566" s="5" t="s">
        <v>25120</v>
      </c>
      <c r="F566" s="26" t="s">
        <v>23600</v>
      </c>
      <c r="G566" s="27" t="s">
        <v>9469</v>
      </c>
      <c r="H566" s="28" t="s">
        <v>9470</v>
      </c>
      <c r="I566" s="5" t="s">
        <v>115</v>
      </c>
    </row>
    <row r="567" spans="1:9" ht="51.75" customHeight="1">
      <c r="A567" s="5" t="s">
        <v>25121</v>
      </c>
      <c r="B567" s="5" t="s">
        <v>25122</v>
      </c>
      <c r="C567" s="5" t="s">
        <v>25123</v>
      </c>
      <c r="D567" s="246">
        <v>42158</v>
      </c>
      <c r="E567" s="5" t="s">
        <v>25124</v>
      </c>
      <c r="F567" s="26" t="s">
        <v>24939</v>
      </c>
      <c r="G567" s="27" t="s">
        <v>8377</v>
      </c>
      <c r="H567" s="28" t="s">
        <v>8378</v>
      </c>
      <c r="I567" s="5" t="s">
        <v>115</v>
      </c>
    </row>
    <row r="568" spans="1:9" ht="51.75" customHeight="1">
      <c r="A568" s="5" t="s">
        <v>23876</v>
      </c>
      <c r="B568" s="5" t="s">
        <v>25125</v>
      </c>
      <c r="C568" s="5" t="s">
        <v>25126</v>
      </c>
      <c r="D568" s="246">
        <v>42158</v>
      </c>
      <c r="E568" s="5" t="s">
        <v>25127</v>
      </c>
      <c r="F568" s="26" t="s">
        <v>24939</v>
      </c>
      <c r="G568" s="27" t="s">
        <v>8377</v>
      </c>
      <c r="H568" s="28" t="s">
        <v>8378</v>
      </c>
      <c r="I568" s="5" t="s">
        <v>115</v>
      </c>
    </row>
    <row r="569" spans="1:9" ht="51.75" customHeight="1">
      <c r="A569" s="5" t="s">
        <v>23772</v>
      </c>
      <c r="B569" s="5" t="s">
        <v>25128</v>
      </c>
      <c r="C569" s="5" t="s">
        <v>25129</v>
      </c>
      <c r="D569" s="246">
        <v>42158</v>
      </c>
      <c r="E569" s="5" t="s">
        <v>25130</v>
      </c>
      <c r="F569" s="26" t="s">
        <v>24939</v>
      </c>
      <c r="G569" s="27" t="s">
        <v>8377</v>
      </c>
      <c r="H569" s="28" t="s">
        <v>8378</v>
      </c>
      <c r="I569" s="5" t="s">
        <v>115</v>
      </c>
    </row>
    <row r="570" spans="1:9" ht="51.75" customHeight="1">
      <c r="A570" s="5" t="s">
        <v>24440</v>
      </c>
      <c r="B570" s="5" t="s">
        <v>25131</v>
      </c>
      <c r="C570" s="5" t="s">
        <v>25132</v>
      </c>
      <c r="D570" s="246">
        <v>41835</v>
      </c>
      <c r="E570" s="5" t="s">
        <v>25133</v>
      </c>
      <c r="F570" s="26" t="s">
        <v>23600</v>
      </c>
      <c r="G570" s="27" t="s">
        <v>8115</v>
      </c>
      <c r="H570" s="28" t="s">
        <v>8116</v>
      </c>
      <c r="I570" s="5" t="s">
        <v>115</v>
      </c>
    </row>
    <row r="571" spans="1:9" ht="51.75" customHeight="1">
      <c r="A571" s="5" t="s">
        <v>24444</v>
      </c>
      <c r="B571" s="5" t="s">
        <v>25134</v>
      </c>
      <c r="C571" s="5" t="s">
        <v>25135</v>
      </c>
      <c r="D571" s="246">
        <v>41835</v>
      </c>
      <c r="E571" s="5" t="s">
        <v>25136</v>
      </c>
      <c r="F571" s="26" t="s">
        <v>23600</v>
      </c>
      <c r="G571" s="27" t="s">
        <v>8115</v>
      </c>
      <c r="H571" s="28" t="s">
        <v>8116</v>
      </c>
      <c r="I571" s="5" t="s">
        <v>115</v>
      </c>
    </row>
    <row r="572" spans="1:9" ht="51.75" customHeight="1">
      <c r="A572" s="5" t="s">
        <v>25137</v>
      </c>
      <c r="B572" s="5" t="s">
        <v>25138</v>
      </c>
      <c r="C572" s="5" t="s">
        <v>25139</v>
      </c>
      <c r="D572" s="246" t="s">
        <v>68</v>
      </c>
      <c r="E572" s="5" t="s">
        <v>25140</v>
      </c>
      <c r="F572" s="26" t="s">
        <v>23600</v>
      </c>
      <c r="G572" s="27" t="s">
        <v>8115</v>
      </c>
      <c r="H572" s="28" t="s">
        <v>8116</v>
      </c>
      <c r="I572" s="5" t="s">
        <v>115</v>
      </c>
    </row>
    <row r="573" spans="1:9" ht="51.75" customHeight="1">
      <c r="A573" s="5" t="s">
        <v>25141</v>
      </c>
      <c r="B573" s="5" t="s">
        <v>25142</v>
      </c>
      <c r="C573" s="5" t="s">
        <v>25143</v>
      </c>
      <c r="D573" s="246">
        <v>42411</v>
      </c>
      <c r="E573" s="5" t="s">
        <v>25144</v>
      </c>
      <c r="F573" s="26" t="s">
        <v>23600</v>
      </c>
      <c r="G573" s="27" t="s">
        <v>10122</v>
      </c>
      <c r="H573" s="28" t="s">
        <v>10123</v>
      </c>
      <c r="I573" s="5" t="s">
        <v>115</v>
      </c>
    </row>
    <row r="574" spans="1:9" ht="51.75" customHeight="1">
      <c r="A574" s="5" t="s">
        <v>25145</v>
      </c>
      <c r="B574" s="5" t="s">
        <v>25146</v>
      </c>
      <c r="C574" s="5" t="s">
        <v>25147</v>
      </c>
      <c r="D574" s="246">
        <v>42411</v>
      </c>
      <c r="E574" s="5" t="s">
        <v>25148</v>
      </c>
      <c r="F574" s="26" t="s">
        <v>23600</v>
      </c>
      <c r="G574" s="27" t="s">
        <v>10122</v>
      </c>
      <c r="H574" s="28" t="s">
        <v>10123</v>
      </c>
      <c r="I574" s="5" t="s">
        <v>115</v>
      </c>
    </row>
    <row r="575" spans="1:9" ht="51.75" customHeight="1">
      <c r="A575" s="5" t="s">
        <v>25149</v>
      </c>
      <c r="B575" s="5" t="s">
        <v>25150</v>
      </c>
      <c r="C575" s="5" t="s">
        <v>25151</v>
      </c>
      <c r="D575" s="246">
        <v>41942</v>
      </c>
      <c r="E575" s="5" t="s">
        <v>25152</v>
      </c>
      <c r="F575" s="26" t="s">
        <v>23600</v>
      </c>
      <c r="G575" s="27" t="s">
        <v>8905</v>
      </c>
      <c r="H575" s="28" t="s">
        <v>8906</v>
      </c>
      <c r="I575" s="5" t="s">
        <v>115</v>
      </c>
    </row>
    <row r="576" spans="1:9" ht="51.75" customHeight="1">
      <c r="A576" s="5" t="s">
        <v>25153</v>
      </c>
      <c r="B576" s="5" t="s">
        <v>25154</v>
      </c>
      <c r="C576" s="5" t="s">
        <v>25155</v>
      </c>
      <c r="D576" s="246">
        <v>41942</v>
      </c>
      <c r="E576" s="5" t="s">
        <v>25156</v>
      </c>
      <c r="F576" s="26" t="s">
        <v>23600</v>
      </c>
      <c r="G576" s="27" t="s">
        <v>8905</v>
      </c>
      <c r="H576" s="28" t="s">
        <v>8906</v>
      </c>
      <c r="I576" s="5" t="s">
        <v>115</v>
      </c>
    </row>
    <row r="577" spans="1:9" ht="51.75" customHeight="1">
      <c r="A577" s="5" t="s">
        <v>25157</v>
      </c>
      <c r="B577" s="5" t="s">
        <v>25158</v>
      </c>
      <c r="C577" s="5" t="s">
        <v>25159</v>
      </c>
      <c r="D577" s="246" t="s">
        <v>68</v>
      </c>
      <c r="E577" s="5" t="s">
        <v>25160</v>
      </c>
      <c r="F577" s="26" t="s">
        <v>23600</v>
      </c>
      <c r="G577" s="27" t="s">
        <v>8905</v>
      </c>
      <c r="H577" s="28" t="s">
        <v>8906</v>
      </c>
      <c r="I577" s="5" t="s">
        <v>115</v>
      </c>
    </row>
    <row r="578" spans="1:9" ht="51.75" customHeight="1">
      <c r="A578" s="5" t="s">
        <v>25161</v>
      </c>
      <c r="B578" s="5" t="s">
        <v>25162</v>
      </c>
      <c r="C578" s="5" t="s">
        <v>25163</v>
      </c>
      <c r="D578" s="246">
        <v>42592</v>
      </c>
      <c r="E578" s="5" t="s">
        <v>25164</v>
      </c>
      <c r="F578" s="26" t="s">
        <v>23600</v>
      </c>
      <c r="G578" s="27" t="s">
        <v>10661</v>
      </c>
      <c r="H578" s="28" t="s">
        <v>10662</v>
      </c>
      <c r="I578" s="5" t="s">
        <v>115</v>
      </c>
    </row>
    <row r="579" spans="1:9" ht="51.75" customHeight="1">
      <c r="A579" s="5" t="s">
        <v>25165</v>
      </c>
      <c r="B579" s="5" t="s">
        <v>25166</v>
      </c>
      <c r="C579" s="5" t="s">
        <v>25167</v>
      </c>
      <c r="D579" s="246">
        <v>42592</v>
      </c>
      <c r="E579" s="5" t="s">
        <v>25168</v>
      </c>
      <c r="F579" s="26" t="s">
        <v>23600</v>
      </c>
      <c r="G579" s="27" t="s">
        <v>10661</v>
      </c>
      <c r="H579" s="28" t="s">
        <v>10662</v>
      </c>
      <c r="I579" s="5" t="s">
        <v>115</v>
      </c>
    </row>
    <row r="580" spans="1:9" ht="51.75" customHeight="1">
      <c r="A580" s="5" t="s">
        <v>25169</v>
      </c>
      <c r="B580" s="5" t="s">
        <v>25170</v>
      </c>
      <c r="C580" s="5" t="s">
        <v>25171</v>
      </c>
      <c r="D580" s="246">
        <v>42592</v>
      </c>
      <c r="E580" s="5" t="s">
        <v>25172</v>
      </c>
      <c r="F580" s="26" t="s">
        <v>23600</v>
      </c>
      <c r="G580" s="27" t="s">
        <v>10661</v>
      </c>
      <c r="H580" s="28" t="s">
        <v>10662</v>
      </c>
      <c r="I580" s="5" t="s">
        <v>115</v>
      </c>
    </row>
    <row r="581" spans="1:9" ht="51.75" customHeight="1">
      <c r="A581" s="5" t="s">
        <v>25173</v>
      </c>
      <c r="B581" s="5" t="s">
        <v>25174</v>
      </c>
      <c r="C581" s="5" t="s">
        <v>25175</v>
      </c>
      <c r="D581" s="246">
        <v>42592</v>
      </c>
      <c r="E581" s="5" t="s">
        <v>25176</v>
      </c>
      <c r="F581" s="26" t="s">
        <v>23600</v>
      </c>
      <c r="G581" s="27" t="s">
        <v>10661</v>
      </c>
      <c r="H581" s="28" t="s">
        <v>10662</v>
      </c>
      <c r="I581" s="5" t="s">
        <v>115</v>
      </c>
    </row>
    <row r="582" spans="1:9" ht="51.75" customHeight="1">
      <c r="A582" s="5" t="s">
        <v>25177</v>
      </c>
      <c r="B582" s="5" t="s">
        <v>25178</v>
      </c>
      <c r="C582" s="5" t="s">
        <v>25179</v>
      </c>
      <c r="D582" s="246">
        <v>42523</v>
      </c>
      <c r="E582" s="5" t="s">
        <v>25180</v>
      </c>
      <c r="F582" s="26" t="s">
        <v>23600</v>
      </c>
      <c r="G582" s="27" t="s">
        <v>10692</v>
      </c>
      <c r="H582" s="28" t="s">
        <v>10693</v>
      </c>
      <c r="I582" s="5" t="s">
        <v>115</v>
      </c>
    </row>
    <row r="583" spans="1:9" ht="51.75" customHeight="1">
      <c r="A583" s="5" t="s">
        <v>24587</v>
      </c>
      <c r="B583" s="5" t="s">
        <v>25181</v>
      </c>
      <c r="C583" s="5" t="s">
        <v>25182</v>
      </c>
      <c r="D583" s="246">
        <v>42494</v>
      </c>
      <c r="E583" s="5" t="s">
        <v>25183</v>
      </c>
      <c r="F583" s="26" t="s">
        <v>23600</v>
      </c>
      <c r="G583" s="27" t="s">
        <v>10807</v>
      </c>
      <c r="H583" s="28" t="s">
        <v>10808</v>
      </c>
      <c r="I583" s="5" t="s">
        <v>115</v>
      </c>
    </row>
    <row r="584" spans="1:9" ht="51.75" customHeight="1">
      <c r="A584" s="5" t="s">
        <v>24591</v>
      </c>
      <c r="B584" s="5" t="s">
        <v>25184</v>
      </c>
      <c r="C584" s="5" t="s">
        <v>25185</v>
      </c>
      <c r="D584" s="246">
        <v>42494</v>
      </c>
      <c r="E584" s="5" t="s">
        <v>25186</v>
      </c>
      <c r="F584" s="26" t="s">
        <v>23600</v>
      </c>
      <c r="G584" s="27" t="s">
        <v>10807</v>
      </c>
      <c r="H584" s="28" t="s">
        <v>10808</v>
      </c>
      <c r="I584" s="5" t="s">
        <v>115</v>
      </c>
    </row>
    <row r="585" spans="1:9" ht="51.75" customHeight="1">
      <c r="A585" s="5" t="s">
        <v>24595</v>
      </c>
      <c r="B585" s="5" t="s">
        <v>25187</v>
      </c>
      <c r="C585" s="5" t="s">
        <v>25188</v>
      </c>
      <c r="D585" s="246">
        <v>42494</v>
      </c>
      <c r="E585" s="5" t="s">
        <v>25189</v>
      </c>
      <c r="F585" s="26" t="s">
        <v>23600</v>
      </c>
      <c r="G585" s="27" t="s">
        <v>10807</v>
      </c>
      <c r="H585" s="28" t="s">
        <v>10808</v>
      </c>
      <c r="I585" s="5" t="s">
        <v>115</v>
      </c>
    </row>
    <row r="586" spans="1:9" ht="51.75" customHeight="1">
      <c r="A586" s="5" t="s">
        <v>25190</v>
      </c>
      <c r="B586" s="5" t="s">
        <v>25191</v>
      </c>
      <c r="C586" s="5" t="s">
        <v>25192</v>
      </c>
      <c r="D586" s="246">
        <v>42494</v>
      </c>
      <c r="E586" s="5" t="s">
        <v>25193</v>
      </c>
      <c r="F586" s="26" t="s">
        <v>23600</v>
      </c>
      <c r="G586" s="27" t="s">
        <v>10807</v>
      </c>
      <c r="H586" s="28" t="s">
        <v>10808</v>
      </c>
      <c r="I586" s="5" t="s">
        <v>115</v>
      </c>
    </row>
    <row r="587" spans="1:9" ht="51.75" customHeight="1">
      <c r="A587" s="5" t="s">
        <v>25194</v>
      </c>
      <c r="B587" s="5" t="s">
        <v>25195</v>
      </c>
      <c r="C587" s="5" t="s">
        <v>25196</v>
      </c>
      <c r="D587" s="246">
        <v>42494</v>
      </c>
      <c r="E587" s="5" t="s">
        <v>25197</v>
      </c>
      <c r="F587" s="26" t="s">
        <v>23600</v>
      </c>
      <c r="G587" s="27" t="s">
        <v>10807</v>
      </c>
      <c r="H587" s="28" t="s">
        <v>10808</v>
      </c>
      <c r="I587" s="5" t="s">
        <v>115</v>
      </c>
    </row>
    <row r="588" spans="1:9" ht="51.75" customHeight="1">
      <c r="A588" s="5" t="s">
        <v>25198</v>
      </c>
      <c r="B588" s="5" t="s">
        <v>25199</v>
      </c>
      <c r="C588" s="5" t="s">
        <v>25200</v>
      </c>
      <c r="D588" s="246">
        <v>42494</v>
      </c>
      <c r="E588" s="5" t="s">
        <v>25201</v>
      </c>
      <c r="F588" s="26" t="s">
        <v>23600</v>
      </c>
      <c r="G588" s="27" t="s">
        <v>10807</v>
      </c>
      <c r="H588" s="28" t="s">
        <v>10808</v>
      </c>
      <c r="I588" s="5" t="s">
        <v>115</v>
      </c>
    </row>
    <row r="589" spans="1:9" ht="51.75" customHeight="1">
      <c r="A589" s="5" t="s">
        <v>25202</v>
      </c>
      <c r="B589" s="5" t="s">
        <v>25203</v>
      </c>
      <c r="C589" s="5" t="s">
        <v>25204</v>
      </c>
      <c r="D589" s="246">
        <v>42464</v>
      </c>
      <c r="E589" s="5" t="s">
        <v>25205</v>
      </c>
      <c r="F589" s="26" t="s">
        <v>23600</v>
      </c>
      <c r="G589" s="27" t="s">
        <v>10667</v>
      </c>
      <c r="H589" s="28" t="s">
        <v>10668</v>
      </c>
      <c r="I589" s="5" t="s">
        <v>115</v>
      </c>
    </row>
    <row r="590" spans="1:9" ht="51.75" customHeight="1">
      <c r="A590" s="5" t="s">
        <v>25206</v>
      </c>
      <c r="B590" s="5" t="s">
        <v>25207</v>
      </c>
      <c r="C590" s="5" t="s">
        <v>25208</v>
      </c>
      <c r="D590" s="246">
        <v>42464</v>
      </c>
      <c r="E590" s="5" t="s">
        <v>25209</v>
      </c>
      <c r="F590" s="26" t="s">
        <v>23600</v>
      </c>
      <c r="G590" s="27" t="s">
        <v>10667</v>
      </c>
      <c r="H590" s="28" t="s">
        <v>10668</v>
      </c>
      <c r="I590" s="5" t="s">
        <v>115</v>
      </c>
    </row>
    <row r="591" spans="1:9" ht="51.75" customHeight="1">
      <c r="A591" s="5" t="s">
        <v>25210</v>
      </c>
      <c r="B591" s="5" t="s">
        <v>25211</v>
      </c>
      <c r="C591" s="5" t="s">
        <v>25212</v>
      </c>
      <c r="D591" s="246">
        <v>42464</v>
      </c>
      <c r="E591" s="5" t="s">
        <v>25213</v>
      </c>
      <c r="F591" s="26" t="s">
        <v>23600</v>
      </c>
      <c r="G591" s="27" t="s">
        <v>10667</v>
      </c>
      <c r="H591" s="28" t="s">
        <v>10668</v>
      </c>
      <c r="I591" s="5" t="s">
        <v>115</v>
      </c>
    </row>
    <row r="592" spans="1:9" ht="51.75" customHeight="1">
      <c r="A592" s="5" t="s">
        <v>23968</v>
      </c>
      <c r="B592" s="5" t="s">
        <v>25214</v>
      </c>
      <c r="C592" s="5" t="s">
        <v>25163</v>
      </c>
      <c r="D592" s="246">
        <v>42677</v>
      </c>
      <c r="E592" s="5" t="s">
        <v>25215</v>
      </c>
      <c r="F592" s="26" t="s">
        <v>24939</v>
      </c>
      <c r="G592" s="27" t="s">
        <v>10831</v>
      </c>
      <c r="H592" s="28" t="s">
        <v>10832</v>
      </c>
      <c r="I592" s="5" t="s">
        <v>115</v>
      </c>
    </row>
    <row r="593" spans="1:9" ht="51.75" customHeight="1">
      <c r="A593" s="5" t="s">
        <v>23968</v>
      </c>
      <c r="B593" s="5" t="s">
        <v>25216</v>
      </c>
      <c r="C593" s="5" t="s">
        <v>25163</v>
      </c>
      <c r="D593" s="246">
        <v>42677</v>
      </c>
      <c r="E593" s="5" t="s">
        <v>25217</v>
      </c>
      <c r="F593" s="26" t="s">
        <v>23600</v>
      </c>
      <c r="G593" s="27" t="s">
        <v>10831</v>
      </c>
      <c r="H593" s="28" t="s">
        <v>10832</v>
      </c>
      <c r="I593" s="5" t="s">
        <v>115</v>
      </c>
    </row>
    <row r="594" spans="1:9" ht="51.75" customHeight="1">
      <c r="A594" s="5" t="s">
        <v>25218</v>
      </c>
      <c r="B594" s="5" t="s">
        <v>25219</v>
      </c>
      <c r="C594" s="5" t="s">
        <v>25167</v>
      </c>
      <c r="D594" s="246">
        <v>42677</v>
      </c>
      <c r="E594" s="5" t="s">
        <v>25220</v>
      </c>
      <c r="F594" s="26" t="s">
        <v>24939</v>
      </c>
      <c r="G594" s="27" t="s">
        <v>10831</v>
      </c>
      <c r="H594" s="28" t="s">
        <v>10832</v>
      </c>
      <c r="I594" s="5" t="s">
        <v>115</v>
      </c>
    </row>
    <row r="595" spans="1:9" ht="51.75" customHeight="1">
      <c r="A595" s="5" t="s">
        <v>25218</v>
      </c>
      <c r="B595" s="5" t="s">
        <v>25221</v>
      </c>
      <c r="C595" s="5" t="s">
        <v>25167</v>
      </c>
      <c r="D595" s="246">
        <v>42677</v>
      </c>
      <c r="E595" s="5" t="s">
        <v>25222</v>
      </c>
      <c r="F595" s="26" t="s">
        <v>23600</v>
      </c>
      <c r="G595" s="27" t="s">
        <v>10831</v>
      </c>
      <c r="H595" s="28" t="s">
        <v>10832</v>
      </c>
      <c r="I595" s="5" t="s">
        <v>115</v>
      </c>
    </row>
    <row r="596" spans="1:9" ht="51.75" customHeight="1">
      <c r="A596" s="5" t="s">
        <v>25223</v>
      </c>
      <c r="B596" s="5" t="s">
        <v>25224</v>
      </c>
      <c r="C596" s="5" t="s">
        <v>25171</v>
      </c>
      <c r="D596" s="246">
        <v>42677</v>
      </c>
      <c r="E596" s="5" t="s">
        <v>25225</v>
      </c>
      <c r="F596" s="26" t="s">
        <v>24939</v>
      </c>
      <c r="G596" s="27" t="s">
        <v>10831</v>
      </c>
      <c r="H596" s="28" t="s">
        <v>10832</v>
      </c>
      <c r="I596" s="5" t="s">
        <v>115</v>
      </c>
    </row>
    <row r="597" spans="1:9" ht="51.75" customHeight="1">
      <c r="A597" s="5" t="s">
        <v>25223</v>
      </c>
      <c r="B597" s="5" t="s">
        <v>25226</v>
      </c>
      <c r="C597" s="5" t="s">
        <v>25171</v>
      </c>
      <c r="D597" s="246">
        <v>42677</v>
      </c>
      <c r="E597" s="5" t="s">
        <v>25227</v>
      </c>
      <c r="F597" s="26" t="s">
        <v>23600</v>
      </c>
      <c r="G597" s="27" t="s">
        <v>10831</v>
      </c>
      <c r="H597" s="28" t="s">
        <v>10832</v>
      </c>
      <c r="I597" s="5" t="s">
        <v>115</v>
      </c>
    </row>
    <row r="598" spans="1:9" ht="51.75" customHeight="1">
      <c r="A598" s="5" t="s">
        <v>25228</v>
      </c>
      <c r="B598" s="5" t="s">
        <v>25229</v>
      </c>
      <c r="C598" s="5" t="s">
        <v>25230</v>
      </c>
      <c r="D598" s="246">
        <v>42731</v>
      </c>
      <c r="E598" s="5" t="s">
        <v>25231</v>
      </c>
      <c r="F598" s="26" t="s">
        <v>23600</v>
      </c>
      <c r="G598" s="27" t="s">
        <v>11113</v>
      </c>
      <c r="H598" s="28" t="s">
        <v>11114</v>
      </c>
      <c r="I598" s="5" t="s">
        <v>115</v>
      </c>
    </row>
    <row r="599" spans="1:9" ht="51.75" customHeight="1">
      <c r="A599" s="5" t="s">
        <v>25232</v>
      </c>
      <c r="B599" s="5" t="s">
        <v>25233</v>
      </c>
      <c r="C599" s="5" t="s">
        <v>25234</v>
      </c>
      <c r="D599" s="246">
        <v>42731</v>
      </c>
      <c r="E599" s="5" t="s">
        <v>25235</v>
      </c>
      <c r="F599" s="26" t="s">
        <v>23600</v>
      </c>
      <c r="G599" s="27" t="s">
        <v>11113</v>
      </c>
      <c r="H599" s="28" t="s">
        <v>11114</v>
      </c>
      <c r="I599" s="5" t="s">
        <v>115</v>
      </c>
    </row>
    <row r="600" spans="1:9" ht="51.75" customHeight="1">
      <c r="A600" s="5" t="s">
        <v>25236</v>
      </c>
      <c r="B600" s="5" t="s">
        <v>25237</v>
      </c>
      <c r="C600" s="5" t="s">
        <v>25238</v>
      </c>
      <c r="D600" s="246" t="s">
        <v>68</v>
      </c>
      <c r="E600" s="5" t="s">
        <v>25239</v>
      </c>
      <c r="F600" s="26" t="s">
        <v>23600</v>
      </c>
      <c r="G600" s="27" t="s">
        <v>11113</v>
      </c>
      <c r="H600" s="28" t="s">
        <v>11114</v>
      </c>
      <c r="I600" s="5" t="s">
        <v>115</v>
      </c>
    </row>
    <row r="601" spans="1:9" ht="51.75" customHeight="1">
      <c r="A601" s="5" t="s">
        <v>25240</v>
      </c>
      <c r="B601" s="5" t="s">
        <v>25241</v>
      </c>
      <c r="C601" s="5" t="s">
        <v>24995</v>
      </c>
      <c r="D601" s="246">
        <v>42759</v>
      </c>
      <c r="E601" s="5" t="s">
        <v>25242</v>
      </c>
      <c r="F601" s="26" t="s">
        <v>23600</v>
      </c>
      <c r="G601" s="27" t="s">
        <v>11719</v>
      </c>
      <c r="H601" s="28" t="s">
        <v>11720</v>
      </c>
      <c r="I601" s="5" t="s">
        <v>115</v>
      </c>
    </row>
    <row r="602" spans="1:9" ht="51.75" customHeight="1">
      <c r="A602" s="5" t="s">
        <v>25243</v>
      </c>
      <c r="B602" s="5" t="s">
        <v>25244</v>
      </c>
      <c r="C602" s="5" t="s">
        <v>24998</v>
      </c>
      <c r="D602" s="246">
        <v>42759</v>
      </c>
      <c r="E602" s="5" t="s">
        <v>25245</v>
      </c>
      <c r="F602" s="26" t="s">
        <v>23600</v>
      </c>
      <c r="G602" s="27" t="s">
        <v>11719</v>
      </c>
      <c r="H602" s="28" t="s">
        <v>11720</v>
      </c>
      <c r="I602" s="5" t="s">
        <v>115</v>
      </c>
    </row>
    <row r="603" spans="1:9" ht="51.75" customHeight="1">
      <c r="A603" s="5" t="s">
        <v>24530</v>
      </c>
      <c r="B603" s="5" t="s">
        <v>25246</v>
      </c>
      <c r="C603" s="5" t="s">
        <v>25050</v>
      </c>
      <c r="D603" s="246">
        <v>42759</v>
      </c>
      <c r="E603" s="5" t="s">
        <v>25247</v>
      </c>
      <c r="F603" s="26" t="s">
        <v>23600</v>
      </c>
      <c r="G603" s="27" t="s">
        <v>11719</v>
      </c>
      <c r="H603" s="28" t="s">
        <v>11720</v>
      </c>
      <c r="I603" s="5" t="s">
        <v>115</v>
      </c>
    </row>
    <row r="604" spans="1:9" ht="51.75" customHeight="1">
      <c r="A604" s="5" t="s">
        <v>24534</v>
      </c>
      <c r="B604" s="5" t="s">
        <v>25248</v>
      </c>
      <c r="C604" s="5" t="s">
        <v>25249</v>
      </c>
      <c r="D604" s="246">
        <v>42759</v>
      </c>
      <c r="E604" s="5" t="s">
        <v>25250</v>
      </c>
      <c r="F604" s="26" t="s">
        <v>23600</v>
      </c>
      <c r="G604" s="27" t="s">
        <v>11719</v>
      </c>
      <c r="H604" s="28" t="s">
        <v>11720</v>
      </c>
      <c r="I604" s="5" t="s">
        <v>115</v>
      </c>
    </row>
    <row r="605" spans="1:9" ht="51.75" customHeight="1">
      <c r="A605" s="5" t="s">
        <v>24538</v>
      </c>
      <c r="B605" s="5" t="s">
        <v>25251</v>
      </c>
      <c r="C605" s="5" t="s">
        <v>25252</v>
      </c>
      <c r="D605" s="246">
        <v>42759</v>
      </c>
      <c r="E605" s="5" t="s">
        <v>25253</v>
      </c>
      <c r="F605" s="26" t="s">
        <v>23600</v>
      </c>
      <c r="G605" s="27" t="s">
        <v>11719</v>
      </c>
      <c r="H605" s="28" t="s">
        <v>11720</v>
      </c>
      <c r="I605" s="5" t="s">
        <v>115</v>
      </c>
    </row>
    <row r="606" spans="1:9" ht="51.75" customHeight="1">
      <c r="A606" s="5" t="s">
        <v>25254</v>
      </c>
      <c r="B606" s="5" t="s">
        <v>25255</v>
      </c>
      <c r="C606" s="5" t="s">
        <v>25256</v>
      </c>
      <c r="D606" s="246">
        <v>42695</v>
      </c>
      <c r="E606" s="5" t="s">
        <v>25257</v>
      </c>
      <c r="F606" s="26" t="s">
        <v>23600</v>
      </c>
      <c r="G606" s="27" t="s">
        <v>11747</v>
      </c>
      <c r="H606" s="28" t="s">
        <v>11748</v>
      </c>
      <c r="I606" s="5" t="s">
        <v>115</v>
      </c>
    </row>
    <row r="607" spans="1:9" ht="51.75" customHeight="1">
      <c r="A607" s="5" t="s">
        <v>25258</v>
      </c>
      <c r="B607" s="5" t="s">
        <v>25259</v>
      </c>
      <c r="C607" s="5" t="s">
        <v>25260</v>
      </c>
      <c r="D607" s="246">
        <v>42695</v>
      </c>
      <c r="E607" s="5" t="s">
        <v>25261</v>
      </c>
      <c r="F607" s="26" t="s">
        <v>23600</v>
      </c>
      <c r="G607" s="27" t="s">
        <v>11747</v>
      </c>
      <c r="H607" s="28" t="s">
        <v>11748</v>
      </c>
      <c r="I607" s="5" t="s">
        <v>115</v>
      </c>
    </row>
    <row r="608" spans="1:9" ht="51.75" customHeight="1">
      <c r="A608" s="5" t="s">
        <v>25262</v>
      </c>
      <c r="B608" s="5" t="s">
        <v>25263</v>
      </c>
      <c r="C608" s="5" t="s">
        <v>24995</v>
      </c>
      <c r="D608" s="246">
        <v>42879</v>
      </c>
      <c r="E608" s="5" t="s">
        <v>25264</v>
      </c>
      <c r="F608" s="26" t="s">
        <v>23600</v>
      </c>
      <c r="G608" s="27" t="s">
        <v>11886</v>
      </c>
      <c r="H608" s="28" t="s">
        <v>11887</v>
      </c>
      <c r="I608" s="5" t="s">
        <v>115</v>
      </c>
    </row>
    <row r="609" spans="1:9" ht="51.75" customHeight="1">
      <c r="A609" s="5" t="s">
        <v>25265</v>
      </c>
      <c r="B609" s="5" t="s">
        <v>25266</v>
      </c>
      <c r="C609" s="5" t="s">
        <v>24998</v>
      </c>
      <c r="D609" s="246">
        <v>42879</v>
      </c>
      <c r="E609" s="5" t="s">
        <v>25267</v>
      </c>
      <c r="F609" s="26" t="s">
        <v>23600</v>
      </c>
      <c r="G609" s="27" t="s">
        <v>11886</v>
      </c>
      <c r="H609" s="28" t="s">
        <v>11887</v>
      </c>
      <c r="I609" s="5" t="s">
        <v>115</v>
      </c>
    </row>
    <row r="610" spans="1:9" ht="51.75" customHeight="1">
      <c r="A610" s="5" t="s">
        <v>25268</v>
      </c>
      <c r="B610" s="5" t="s">
        <v>25269</v>
      </c>
      <c r="C610" s="5" t="s">
        <v>25050</v>
      </c>
      <c r="D610" s="246">
        <v>42879</v>
      </c>
      <c r="E610" s="5" t="s">
        <v>25270</v>
      </c>
      <c r="F610" s="26" t="s">
        <v>23600</v>
      </c>
      <c r="G610" s="27" t="s">
        <v>11886</v>
      </c>
      <c r="H610" s="28" t="s">
        <v>11887</v>
      </c>
      <c r="I610" s="5" t="s">
        <v>115</v>
      </c>
    </row>
    <row r="611" spans="1:9" ht="51.75" customHeight="1">
      <c r="A611" s="5" t="s">
        <v>25202</v>
      </c>
      <c r="B611" s="5" t="s">
        <v>25271</v>
      </c>
      <c r="C611" s="5" t="s">
        <v>25249</v>
      </c>
      <c r="D611" s="246">
        <v>42879</v>
      </c>
      <c r="E611" s="5" t="s">
        <v>25272</v>
      </c>
      <c r="F611" s="26" t="s">
        <v>23600</v>
      </c>
      <c r="G611" s="27" t="s">
        <v>11886</v>
      </c>
      <c r="H611" s="28" t="s">
        <v>11887</v>
      </c>
      <c r="I611" s="5" t="s">
        <v>115</v>
      </c>
    </row>
    <row r="612" spans="1:9" ht="51.75" customHeight="1">
      <c r="A612" s="5" t="s">
        <v>25206</v>
      </c>
      <c r="B612" s="5" t="s">
        <v>25273</v>
      </c>
      <c r="C612" s="5" t="s">
        <v>25252</v>
      </c>
      <c r="D612" s="246">
        <v>42879</v>
      </c>
      <c r="E612" s="5" t="s">
        <v>25274</v>
      </c>
      <c r="F612" s="26" t="s">
        <v>23600</v>
      </c>
      <c r="G612" s="27" t="s">
        <v>11886</v>
      </c>
      <c r="H612" s="28" t="s">
        <v>11887</v>
      </c>
      <c r="I612" s="5" t="s">
        <v>115</v>
      </c>
    </row>
    <row r="613" spans="1:9" ht="51.75" customHeight="1">
      <c r="A613" s="5" t="s">
        <v>25210</v>
      </c>
      <c r="B613" s="5" t="s">
        <v>25275</v>
      </c>
      <c r="C613" s="5" t="s">
        <v>25276</v>
      </c>
      <c r="D613" s="246">
        <v>42879</v>
      </c>
      <c r="E613" s="5" t="s">
        <v>25277</v>
      </c>
      <c r="F613" s="26" t="s">
        <v>23600</v>
      </c>
      <c r="G613" s="27" t="s">
        <v>11886</v>
      </c>
      <c r="H613" s="28" t="s">
        <v>11887</v>
      </c>
      <c r="I613" s="5" t="s">
        <v>115</v>
      </c>
    </row>
    <row r="614" spans="1:9" ht="51.75" customHeight="1">
      <c r="A614" s="5" t="s">
        <v>25278</v>
      </c>
      <c r="B614" s="5" t="s">
        <v>25279</v>
      </c>
      <c r="C614" s="5" t="s">
        <v>25280</v>
      </c>
      <c r="D614" s="246">
        <v>42677</v>
      </c>
      <c r="E614" s="5" t="s">
        <v>25281</v>
      </c>
      <c r="F614" s="26" t="s">
        <v>24939</v>
      </c>
      <c r="G614" s="27" t="s">
        <v>11971</v>
      </c>
      <c r="H614" s="28" t="s">
        <v>11972</v>
      </c>
      <c r="I614" s="5" t="s">
        <v>115</v>
      </c>
    </row>
    <row r="615" spans="1:9" ht="51.75" customHeight="1">
      <c r="A615" s="5" t="s">
        <v>25278</v>
      </c>
      <c r="B615" s="5" t="s">
        <v>25282</v>
      </c>
      <c r="C615" s="5" t="s">
        <v>25280</v>
      </c>
      <c r="D615" s="246">
        <v>42677</v>
      </c>
      <c r="E615" s="5" t="s">
        <v>25283</v>
      </c>
      <c r="F615" s="26" t="s">
        <v>23600</v>
      </c>
      <c r="G615" s="27" t="s">
        <v>11971</v>
      </c>
      <c r="H615" s="28" t="s">
        <v>11972</v>
      </c>
      <c r="I615" s="5" t="s">
        <v>115</v>
      </c>
    </row>
    <row r="616" spans="1:9" ht="51.75" customHeight="1">
      <c r="A616" s="5" t="s">
        <v>25284</v>
      </c>
      <c r="B616" s="5" t="s">
        <v>25285</v>
      </c>
      <c r="C616" s="5" t="s">
        <v>25286</v>
      </c>
      <c r="D616" s="246">
        <v>42677</v>
      </c>
      <c r="E616" s="5" t="s">
        <v>25287</v>
      </c>
      <c r="F616" s="26" t="s">
        <v>24939</v>
      </c>
      <c r="G616" s="27" t="s">
        <v>11971</v>
      </c>
      <c r="H616" s="28" t="s">
        <v>11972</v>
      </c>
      <c r="I616" s="5" t="s">
        <v>115</v>
      </c>
    </row>
    <row r="617" spans="1:9" ht="51.75" customHeight="1">
      <c r="A617" s="5" t="s">
        <v>25284</v>
      </c>
      <c r="B617" s="5" t="s">
        <v>25288</v>
      </c>
      <c r="C617" s="5" t="s">
        <v>25286</v>
      </c>
      <c r="D617" s="246">
        <v>42677</v>
      </c>
      <c r="E617" s="5" t="s">
        <v>25289</v>
      </c>
      <c r="F617" s="26" t="s">
        <v>23600</v>
      </c>
      <c r="G617" s="27" t="s">
        <v>11971</v>
      </c>
      <c r="H617" s="28" t="s">
        <v>11972</v>
      </c>
      <c r="I617" s="5" t="s">
        <v>115</v>
      </c>
    </row>
    <row r="618" spans="1:9" ht="51.75" customHeight="1">
      <c r="A618" s="5" t="s">
        <v>24550</v>
      </c>
      <c r="B618" s="5" t="s">
        <v>25290</v>
      </c>
      <c r="C618" s="5" t="s">
        <v>25291</v>
      </c>
      <c r="D618" s="246" t="s">
        <v>68</v>
      </c>
      <c r="E618" s="5" t="s">
        <v>25292</v>
      </c>
      <c r="F618" s="26" t="s">
        <v>23600</v>
      </c>
      <c r="G618" s="27" t="s">
        <v>13057</v>
      </c>
      <c r="H618" s="28" t="s">
        <v>13058</v>
      </c>
      <c r="I618" s="5" t="s">
        <v>115</v>
      </c>
    </row>
    <row r="619" spans="1:9" ht="51.75" customHeight="1">
      <c r="A619" s="5" t="s">
        <v>24507</v>
      </c>
      <c r="B619" s="5" t="s">
        <v>25293</v>
      </c>
      <c r="C619" s="5" t="s">
        <v>25294</v>
      </c>
      <c r="D619" s="246" t="s">
        <v>68</v>
      </c>
      <c r="E619" s="5" t="s">
        <v>25295</v>
      </c>
      <c r="F619" s="26" t="s">
        <v>23600</v>
      </c>
      <c r="G619" s="27" t="s">
        <v>13057</v>
      </c>
      <c r="H619" s="28" t="s">
        <v>13058</v>
      </c>
      <c r="I619" s="5" t="s">
        <v>115</v>
      </c>
    </row>
    <row r="620" spans="1:9" ht="51.75" customHeight="1">
      <c r="A620" s="5" t="s">
        <v>24511</v>
      </c>
      <c r="B620" s="5" t="s">
        <v>25296</v>
      </c>
      <c r="C620" s="5" t="s">
        <v>25297</v>
      </c>
      <c r="D620" s="246" t="s">
        <v>68</v>
      </c>
      <c r="E620" s="5" t="s">
        <v>25298</v>
      </c>
      <c r="F620" s="26" t="s">
        <v>23600</v>
      </c>
      <c r="G620" s="27" t="s">
        <v>13057</v>
      </c>
      <c r="H620" s="28" t="s">
        <v>13058</v>
      </c>
      <c r="I620" s="5" t="s">
        <v>115</v>
      </c>
    </row>
    <row r="621" spans="1:9" ht="51.75" customHeight="1">
      <c r="A621" s="5" t="s">
        <v>24579</v>
      </c>
      <c r="B621" s="5" t="s">
        <v>25299</v>
      </c>
      <c r="C621" s="5" t="s">
        <v>24995</v>
      </c>
      <c r="D621" s="246">
        <v>43271</v>
      </c>
      <c r="E621" s="5" t="s">
        <v>25300</v>
      </c>
      <c r="F621" s="26" t="s">
        <v>23600</v>
      </c>
      <c r="G621" s="27" t="s">
        <v>13085</v>
      </c>
      <c r="H621" s="28" t="s">
        <v>13086</v>
      </c>
      <c r="I621" s="5" t="s">
        <v>115</v>
      </c>
    </row>
    <row r="622" spans="1:9" ht="51.75" customHeight="1">
      <c r="A622" s="5" t="s">
        <v>25301</v>
      </c>
      <c r="B622" s="5" t="s">
        <v>25302</v>
      </c>
      <c r="C622" s="5" t="s">
        <v>24998</v>
      </c>
      <c r="D622" s="246">
        <v>43271</v>
      </c>
      <c r="E622" s="5" t="s">
        <v>25303</v>
      </c>
      <c r="F622" s="26" t="s">
        <v>23600</v>
      </c>
      <c r="G622" s="27" t="s">
        <v>13085</v>
      </c>
      <c r="H622" s="28" t="s">
        <v>13086</v>
      </c>
      <c r="I622" s="5" t="s">
        <v>115</v>
      </c>
    </row>
    <row r="623" spans="1:9" ht="51.75" customHeight="1">
      <c r="A623" s="5" t="s">
        <v>25304</v>
      </c>
      <c r="B623" s="5" t="s">
        <v>25305</v>
      </c>
      <c r="C623" s="5" t="s">
        <v>24995</v>
      </c>
      <c r="D623" s="246">
        <v>43517</v>
      </c>
      <c r="E623" s="5" t="s">
        <v>25306</v>
      </c>
      <c r="F623" s="26" t="s">
        <v>23600</v>
      </c>
      <c r="G623" s="27" t="s">
        <v>13402</v>
      </c>
      <c r="H623" s="28" t="s">
        <v>13403</v>
      </c>
      <c r="I623" s="5" t="s">
        <v>115</v>
      </c>
    </row>
    <row r="624" spans="1:9" ht="51.75" customHeight="1">
      <c r="A624" s="5" t="s">
        <v>25307</v>
      </c>
      <c r="B624" s="5" t="s">
        <v>25308</v>
      </c>
      <c r="C624" s="5" t="s">
        <v>24998</v>
      </c>
      <c r="D624" s="246">
        <v>43517</v>
      </c>
      <c r="E624" s="5" t="s">
        <v>25309</v>
      </c>
      <c r="F624" s="26" t="s">
        <v>23600</v>
      </c>
      <c r="G624" s="27" t="s">
        <v>13402</v>
      </c>
      <c r="H624" s="28" t="s">
        <v>13403</v>
      </c>
      <c r="I624" s="5" t="s">
        <v>115</v>
      </c>
    </row>
    <row r="625" spans="1:9" ht="51.75" customHeight="1">
      <c r="A625" s="5" t="s">
        <v>25310</v>
      </c>
      <c r="B625" s="5" t="s">
        <v>25311</v>
      </c>
      <c r="C625" s="5" t="s">
        <v>24995</v>
      </c>
      <c r="D625" s="246">
        <v>43453</v>
      </c>
      <c r="E625" s="5" t="s">
        <v>25312</v>
      </c>
      <c r="F625" s="26" t="s">
        <v>23600</v>
      </c>
      <c r="G625" s="27" t="s">
        <v>14002</v>
      </c>
      <c r="H625" s="28" t="s">
        <v>14003</v>
      </c>
      <c r="I625" s="5" t="s">
        <v>115</v>
      </c>
    </row>
    <row r="626" spans="1:9" ht="51.75" customHeight="1">
      <c r="A626" s="5" t="s">
        <v>25313</v>
      </c>
      <c r="B626" s="5" t="s">
        <v>25314</v>
      </c>
      <c r="C626" s="5" t="s">
        <v>24998</v>
      </c>
      <c r="D626" s="246">
        <v>43453</v>
      </c>
      <c r="E626" s="5" t="s">
        <v>25315</v>
      </c>
      <c r="F626" s="26" t="s">
        <v>23600</v>
      </c>
      <c r="G626" s="27" t="s">
        <v>14002</v>
      </c>
      <c r="H626" s="28" t="s">
        <v>14003</v>
      </c>
      <c r="I626" s="5" t="s">
        <v>115</v>
      </c>
    </row>
    <row r="627" spans="1:9" ht="51.75" customHeight="1">
      <c r="A627" s="5" t="s">
        <v>25316</v>
      </c>
      <c r="B627" s="5" t="s">
        <v>25317</v>
      </c>
      <c r="C627" s="5" t="s">
        <v>25050</v>
      </c>
      <c r="D627" s="246">
        <v>43453</v>
      </c>
      <c r="E627" s="5" t="s">
        <v>25318</v>
      </c>
      <c r="F627" s="26" t="s">
        <v>23600</v>
      </c>
      <c r="G627" s="27" t="s">
        <v>14002</v>
      </c>
      <c r="H627" s="28" t="s">
        <v>14003</v>
      </c>
      <c r="I627" s="5" t="s">
        <v>115</v>
      </c>
    </row>
    <row r="628" spans="1:9" ht="51.75" customHeight="1">
      <c r="A628" s="5" t="s">
        <v>25319</v>
      </c>
      <c r="B628" s="5" t="s">
        <v>25320</v>
      </c>
      <c r="C628" s="5" t="s">
        <v>25321</v>
      </c>
      <c r="D628" s="246">
        <v>43669</v>
      </c>
      <c r="E628" s="5" t="s">
        <v>25322</v>
      </c>
      <c r="F628" s="26" t="s">
        <v>23600</v>
      </c>
      <c r="G628" s="27" t="s">
        <v>14324</v>
      </c>
      <c r="H628" s="28" t="s">
        <v>14325</v>
      </c>
      <c r="I628" s="5" t="s">
        <v>115</v>
      </c>
    </row>
    <row r="629" spans="1:9" ht="51.75" customHeight="1">
      <c r="A629" s="5" t="s">
        <v>25323</v>
      </c>
      <c r="B629" s="5" t="s">
        <v>25324</v>
      </c>
      <c r="C629" s="5" t="s">
        <v>25325</v>
      </c>
      <c r="D629" s="246">
        <v>43669</v>
      </c>
      <c r="E629" s="5" t="s">
        <v>25326</v>
      </c>
      <c r="F629" s="26" t="s">
        <v>23600</v>
      </c>
      <c r="G629" s="27" t="s">
        <v>14324</v>
      </c>
      <c r="H629" s="28" t="s">
        <v>14325</v>
      </c>
      <c r="I629" s="5" t="s">
        <v>115</v>
      </c>
    </row>
    <row r="630" spans="1:9" ht="51.75" customHeight="1">
      <c r="A630" s="5" t="s">
        <v>25327</v>
      </c>
      <c r="B630" s="5" t="s">
        <v>25328</v>
      </c>
      <c r="C630" s="5" t="s">
        <v>25329</v>
      </c>
      <c r="D630" s="246">
        <v>43602</v>
      </c>
      <c r="E630" s="5" t="s">
        <v>25330</v>
      </c>
      <c r="F630" s="26" t="s">
        <v>23600</v>
      </c>
      <c r="G630" s="27" t="s">
        <v>14518</v>
      </c>
      <c r="H630" s="28" t="s">
        <v>14519</v>
      </c>
      <c r="I630" s="5" t="s">
        <v>115</v>
      </c>
    </row>
    <row r="631" spans="1:9" ht="51.75" customHeight="1">
      <c r="A631" s="5" t="s">
        <v>25331</v>
      </c>
      <c r="B631" s="5" t="s">
        <v>25332</v>
      </c>
      <c r="C631" s="5" t="s">
        <v>25333</v>
      </c>
      <c r="D631" s="246">
        <v>43602</v>
      </c>
      <c r="E631" s="5" t="s">
        <v>25334</v>
      </c>
      <c r="F631" s="26" t="s">
        <v>23600</v>
      </c>
      <c r="G631" s="27" t="s">
        <v>14518</v>
      </c>
      <c r="H631" s="28" t="s">
        <v>14519</v>
      </c>
      <c r="I631" s="5" t="s">
        <v>115</v>
      </c>
    </row>
    <row r="632" spans="1:9" ht="51.75" customHeight="1">
      <c r="A632" s="5" t="s">
        <v>25335</v>
      </c>
      <c r="B632" s="5" t="s">
        <v>25336</v>
      </c>
      <c r="C632" s="5" t="s">
        <v>25337</v>
      </c>
      <c r="D632" s="246">
        <v>43602</v>
      </c>
      <c r="E632" s="5" t="s">
        <v>25338</v>
      </c>
      <c r="F632" s="26" t="s">
        <v>23600</v>
      </c>
      <c r="G632" s="27" t="s">
        <v>14518</v>
      </c>
      <c r="H632" s="28" t="s">
        <v>14519</v>
      </c>
      <c r="I632" s="5" t="s">
        <v>115</v>
      </c>
    </row>
    <row r="633" spans="1:9" ht="51.75" customHeight="1">
      <c r="A633" s="5" t="s">
        <v>25339</v>
      </c>
      <c r="B633" s="5" t="s">
        <v>25340</v>
      </c>
      <c r="C633" s="5" t="s">
        <v>25341</v>
      </c>
      <c r="D633" s="246">
        <v>43602</v>
      </c>
      <c r="E633" s="5" t="s">
        <v>25342</v>
      </c>
      <c r="F633" s="26" t="s">
        <v>23600</v>
      </c>
      <c r="G633" s="27" t="s">
        <v>14518</v>
      </c>
      <c r="H633" s="28" t="s">
        <v>14519</v>
      </c>
      <c r="I633" s="5" t="s">
        <v>115</v>
      </c>
    </row>
    <row r="634" spans="1:9" ht="51.75" customHeight="1">
      <c r="A634" s="5" t="s">
        <v>25105</v>
      </c>
      <c r="B634" s="5" t="s">
        <v>25343</v>
      </c>
      <c r="C634" s="5" t="s">
        <v>25344</v>
      </c>
      <c r="D634" s="246">
        <v>43602</v>
      </c>
      <c r="E634" s="5" t="s">
        <v>25345</v>
      </c>
      <c r="F634" s="26" t="s">
        <v>23600</v>
      </c>
      <c r="G634" s="27" t="s">
        <v>14518</v>
      </c>
      <c r="H634" s="28" t="s">
        <v>14519</v>
      </c>
      <c r="I634" s="5" t="s">
        <v>115</v>
      </c>
    </row>
    <row r="635" spans="1:9" ht="51.75" customHeight="1">
      <c r="A635" s="5" t="s">
        <v>25346</v>
      </c>
      <c r="B635" s="5" t="s">
        <v>25347</v>
      </c>
      <c r="C635" s="5" t="s">
        <v>25348</v>
      </c>
      <c r="D635" s="246">
        <v>43545</v>
      </c>
      <c r="E635" s="5" t="s">
        <v>25349</v>
      </c>
      <c r="F635" s="26" t="s">
        <v>23600</v>
      </c>
      <c r="G635" s="27" t="s">
        <v>14638</v>
      </c>
      <c r="H635" s="28" t="s">
        <v>14639</v>
      </c>
      <c r="I635" s="5" t="s">
        <v>115</v>
      </c>
    </row>
    <row r="636" spans="1:9" ht="51.75" customHeight="1">
      <c r="A636" s="5" t="s">
        <v>25350</v>
      </c>
      <c r="B636" s="5" t="s">
        <v>25351</v>
      </c>
      <c r="C636" s="5" t="s">
        <v>25352</v>
      </c>
      <c r="D636" s="246">
        <v>43584</v>
      </c>
      <c r="E636" s="5" t="s">
        <v>25353</v>
      </c>
      <c r="F636" s="26" t="s">
        <v>23600</v>
      </c>
      <c r="G636" s="27" t="s">
        <v>14828</v>
      </c>
      <c r="H636" s="28" t="s">
        <v>14829</v>
      </c>
      <c r="I636" s="5" t="s">
        <v>115</v>
      </c>
    </row>
    <row r="637" spans="1:9" ht="51.75" customHeight="1">
      <c r="A637" s="5" t="s">
        <v>25354</v>
      </c>
      <c r="B637" s="5" t="s">
        <v>25355</v>
      </c>
      <c r="C637" s="5" t="s">
        <v>25356</v>
      </c>
      <c r="D637" s="246">
        <v>43584</v>
      </c>
      <c r="E637" s="5" t="s">
        <v>25357</v>
      </c>
      <c r="F637" s="26" t="s">
        <v>23600</v>
      </c>
      <c r="G637" s="27" t="s">
        <v>14828</v>
      </c>
      <c r="H637" s="28" t="s">
        <v>14829</v>
      </c>
      <c r="I637" s="5" t="s">
        <v>115</v>
      </c>
    </row>
    <row r="638" spans="1:9" ht="51.75" customHeight="1">
      <c r="A638" s="5" t="s">
        <v>25358</v>
      </c>
      <c r="B638" s="5" t="s">
        <v>25359</v>
      </c>
      <c r="C638" s="5" t="s">
        <v>25360</v>
      </c>
      <c r="D638" s="246">
        <v>43584</v>
      </c>
      <c r="E638" s="5" t="s">
        <v>25361</v>
      </c>
      <c r="F638" s="26" t="s">
        <v>23600</v>
      </c>
      <c r="G638" s="27" t="s">
        <v>14828</v>
      </c>
      <c r="H638" s="28" t="s">
        <v>14829</v>
      </c>
      <c r="I638" s="5" t="s">
        <v>115</v>
      </c>
    </row>
    <row r="639" spans="1:9" ht="51.75" customHeight="1">
      <c r="A639" s="5" t="s">
        <v>25090</v>
      </c>
      <c r="B639" s="5" t="s">
        <v>25362</v>
      </c>
      <c r="C639" s="5" t="s">
        <v>25363</v>
      </c>
      <c r="D639" s="246">
        <v>43584</v>
      </c>
      <c r="E639" s="5" t="s">
        <v>25364</v>
      </c>
      <c r="F639" s="26" t="s">
        <v>23600</v>
      </c>
      <c r="G639" s="27" t="s">
        <v>14828</v>
      </c>
      <c r="H639" s="28" t="s">
        <v>14829</v>
      </c>
      <c r="I639" s="5" t="s">
        <v>115</v>
      </c>
    </row>
    <row r="640" spans="1:9" ht="51.75" customHeight="1">
      <c r="A640" s="5" t="s">
        <v>25365</v>
      </c>
      <c r="B640" s="5" t="s">
        <v>25366</v>
      </c>
      <c r="C640" s="5" t="s">
        <v>25367</v>
      </c>
      <c r="D640" s="246">
        <v>43584</v>
      </c>
      <c r="E640" s="5" t="s">
        <v>25368</v>
      </c>
      <c r="F640" s="26" t="s">
        <v>23600</v>
      </c>
      <c r="G640" s="27" t="s">
        <v>14828</v>
      </c>
      <c r="H640" s="28" t="s">
        <v>14829</v>
      </c>
      <c r="I640" s="5" t="s">
        <v>115</v>
      </c>
    </row>
    <row r="641" spans="1:9" ht="51.75" customHeight="1">
      <c r="A641" s="5" t="s">
        <v>25369</v>
      </c>
      <c r="B641" s="5" t="s">
        <v>25370</v>
      </c>
      <c r="C641" s="5" t="s">
        <v>25371</v>
      </c>
      <c r="D641" s="246">
        <v>44116</v>
      </c>
      <c r="E641" s="5" t="s">
        <v>25372</v>
      </c>
      <c r="F641" s="26" t="s">
        <v>23600</v>
      </c>
      <c r="G641" s="27" t="s">
        <v>15525</v>
      </c>
      <c r="H641" s="28" t="s">
        <v>15526</v>
      </c>
      <c r="I641" s="5" t="s">
        <v>115</v>
      </c>
    </row>
    <row r="642" spans="1:9" ht="51.75" customHeight="1">
      <c r="A642" s="5" t="s">
        <v>25373</v>
      </c>
      <c r="B642" s="5" t="s">
        <v>25374</v>
      </c>
      <c r="C642" s="5" t="s">
        <v>25375</v>
      </c>
      <c r="D642" s="246">
        <v>44116</v>
      </c>
      <c r="E642" s="5" t="s">
        <v>25376</v>
      </c>
      <c r="F642" s="26" t="s">
        <v>23600</v>
      </c>
      <c r="G642" s="27" t="s">
        <v>15525</v>
      </c>
      <c r="H642" s="28" t="s">
        <v>15526</v>
      </c>
      <c r="I642" s="5" t="s">
        <v>115</v>
      </c>
    </row>
    <row r="643" spans="1:9" ht="51.75" customHeight="1">
      <c r="A643" s="5" t="s">
        <v>25377</v>
      </c>
      <c r="B643" s="5" t="s">
        <v>25378</v>
      </c>
      <c r="C643" s="5" t="s">
        <v>25379</v>
      </c>
      <c r="D643" s="246">
        <v>44116</v>
      </c>
      <c r="E643" s="5" t="s">
        <v>25380</v>
      </c>
      <c r="F643" s="26" t="s">
        <v>23600</v>
      </c>
      <c r="G643" s="27" t="s">
        <v>15525</v>
      </c>
      <c r="H643" s="28" t="s">
        <v>15526</v>
      </c>
      <c r="I643" s="5" t="s">
        <v>115</v>
      </c>
    </row>
    <row r="644" spans="1:9" ht="51.75" customHeight="1">
      <c r="A644" s="5" t="s">
        <v>25000</v>
      </c>
      <c r="B644" s="5" t="s">
        <v>25381</v>
      </c>
      <c r="C644" s="5" t="s">
        <v>25382</v>
      </c>
      <c r="D644" s="246">
        <v>43803</v>
      </c>
      <c r="E644" s="5" t="s">
        <v>25383</v>
      </c>
      <c r="F644" s="26" t="s">
        <v>23600</v>
      </c>
      <c r="G644" s="27" t="s">
        <v>15503</v>
      </c>
      <c r="H644" s="28" t="s">
        <v>15504</v>
      </c>
      <c r="I644" s="5" t="s">
        <v>115</v>
      </c>
    </row>
    <row r="645" spans="1:9" ht="51.75" customHeight="1">
      <c r="A645" s="5" t="s">
        <v>23892</v>
      </c>
      <c r="B645" s="5" t="s">
        <v>25384</v>
      </c>
      <c r="C645" s="5" t="s">
        <v>25385</v>
      </c>
      <c r="D645" s="246">
        <v>44019</v>
      </c>
      <c r="E645" s="5" t="s">
        <v>25386</v>
      </c>
      <c r="F645" s="26" t="s">
        <v>23600</v>
      </c>
      <c r="G645" s="27" t="s">
        <v>16386</v>
      </c>
      <c r="H645" s="28" t="s">
        <v>16387</v>
      </c>
      <c r="I645" s="5" t="s">
        <v>115</v>
      </c>
    </row>
    <row r="646" spans="1:9" ht="51.75" customHeight="1">
      <c r="A646" s="5" t="s">
        <v>25387</v>
      </c>
      <c r="B646" s="5" t="s">
        <v>25388</v>
      </c>
      <c r="C646" s="5" t="s">
        <v>25389</v>
      </c>
      <c r="D646" s="246">
        <v>44019</v>
      </c>
      <c r="E646" s="5" t="s">
        <v>25390</v>
      </c>
      <c r="F646" s="26" t="s">
        <v>23600</v>
      </c>
      <c r="G646" s="27" t="s">
        <v>16386</v>
      </c>
      <c r="H646" s="28" t="s">
        <v>16387</v>
      </c>
      <c r="I646" s="5" t="s">
        <v>115</v>
      </c>
    </row>
    <row r="647" spans="1:9" ht="51.75" customHeight="1">
      <c r="A647" s="5" t="s">
        <v>25391</v>
      </c>
      <c r="B647" s="5" t="s">
        <v>25392</v>
      </c>
      <c r="C647" s="5" t="s">
        <v>25393</v>
      </c>
      <c r="D647" s="246">
        <v>44019</v>
      </c>
      <c r="E647" s="5" t="s">
        <v>25394</v>
      </c>
      <c r="F647" s="26" t="s">
        <v>23600</v>
      </c>
      <c r="G647" s="27" t="s">
        <v>16386</v>
      </c>
      <c r="H647" s="28" t="s">
        <v>16387</v>
      </c>
      <c r="I647" s="5" t="s">
        <v>115</v>
      </c>
    </row>
    <row r="648" spans="1:9" ht="51.75" customHeight="1">
      <c r="A648" s="5" t="s">
        <v>25395</v>
      </c>
      <c r="B648" s="5" t="s">
        <v>25396</v>
      </c>
      <c r="C648" s="5" t="s">
        <v>25397</v>
      </c>
      <c r="D648" s="246">
        <v>44019</v>
      </c>
      <c r="E648" s="5" t="s">
        <v>25398</v>
      </c>
      <c r="F648" s="26" t="s">
        <v>23600</v>
      </c>
      <c r="G648" s="27" t="s">
        <v>16386</v>
      </c>
      <c r="H648" s="28" t="s">
        <v>16387</v>
      </c>
      <c r="I648" s="5" t="s">
        <v>115</v>
      </c>
    </row>
    <row r="649" spans="1:9" ht="51.75" customHeight="1">
      <c r="A649" s="5" t="s">
        <v>25399</v>
      </c>
      <c r="B649" s="5" t="s">
        <v>25400</v>
      </c>
      <c r="C649" s="5" t="s">
        <v>25401</v>
      </c>
      <c r="D649" s="246">
        <v>44130</v>
      </c>
      <c r="E649" s="5" t="s">
        <v>25402</v>
      </c>
      <c r="F649" s="26" t="s">
        <v>23600</v>
      </c>
      <c r="G649" s="27" t="s">
        <v>16636</v>
      </c>
      <c r="H649" s="28" t="s">
        <v>16637</v>
      </c>
      <c r="I649" s="5" t="s">
        <v>115</v>
      </c>
    </row>
    <row r="650" spans="1:9" ht="51.75" customHeight="1">
      <c r="A650" s="5"/>
      <c r="B650" s="5" t="s">
        <v>25403</v>
      </c>
      <c r="C650" s="5" t="s">
        <v>25404</v>
      </c>
      <c r="D650" s="246">
        <v>44327</v>
      </c>
      <c r="E650" s="5" t="s">
        <v>25405</v>
      </c>
      <c r="F650" s="26" t="s">
        <v>24939</v>
      </c>
      <c r="G650" s="27" t="s">
        <v>16694</v>
      </c>
      <c r="H650" s="29" t="s">
        <v>16695</v>
      </c>
      <c r="I650" s="5" t="s">
        <v>115</v>
      </c>
    </row>
    <row r="651" spans="1:9" ht="51.75" customHeight="1">
      <c r="A651" s="5"/>
      <c r="B651" s="5" t="s">
        <v>25406</v>
      </c>
      <c r="C651" s="5" t="s">
        <v>25407</v>
      </c>
      <c r="D651" s="246">
        <v>44327</v>
      </c>
      <c r="E651" s="5" t="s">
        <v>25408</v>
      </c>
      <c r="F651" s="26" t="s">
        <v>24939</v>
      </c>
      <c r="G651" s="27" t="s">
        <v>16694</v>
      </c>
      <c r="H651" s="29" t="s">
        <v>16695</v>
      </c>
      <c r="I651" s="5" t="s">
        <v>115</v>
      </c>
    </row>
    <row r="652" spans="1:9" ht="51.75" customHeight="1">
      <c r="A652" s="5"/>
      <c r="B652" s="5" t="s">
        <v>25409</v>
      </c>
      <c r="C652" s="5" t="s">
        <v>25410</v>
      </c>
      <c r="D652" s="246">
        <v>44327</v>
      </c>
      <c r="E652" s="5" t="s">
        <v>25411</v>
      </c>
      <c r="F652" s="26" t="s">
        <v>24939</v>
      </c>
      <c r="G652" s="27" t="s">
        <v>16694</v>
      </c>
      <c r="H652" s="29" t="s">
        <v>16695</v>
      </c>
      <c r="I652" s="5" t="s">
        <v>115</v>
      </c>
    </row>
    <row r="653" spans="1:9" ht="51.75" customHeight="1">
      <c r="A653" s="5"/>
      <c r="B653" s="5" t="s">
        <v>25412</v>
      </c>
      <c r="C653" s="5" t="s">
        <v>25413</v>
      </c>
      <c r="D653" s="246">
        <v>44327</v>
      </c>
      <c r="E653" s="5" t="s">
        <v>25414</v>
      </c>
      <c r="F653" s="26" t="s">
        <v>24939</v>
      </c>
      <c r="G653" s="27" t="s">
        <v>16694</v>
      </c>
      <c r="H653" s="29" t="s">
        <v>16695</v>
      </c>
      <c r="I653" s="5" t="s">
        <v>115</v>
      </c>
    </row>
    <row r="654" spans="1:9" ht="51.75" customHeight="1">
      <c r="A654" s="5"/>
      <c r="B654" s="5" t="s">
        <v>25415</v>
      </c>
      <c r="C654" s="5" t="s">
        <v>25416</v>
      </c>
      <c r="D654" s="246">
        <v>44271</v>
      </c>
      <c r="E654" s="5" t="s">
        <v>25417</v>
      </c>
      <c r="F654" s="26" t="s">
        <v>23600</v>
      </c>
      <c r="G654" s="27" t="s">
        <v>16962</v>
      </c>
      <c r="H654" s="29" t="s">
        <v>16963</v>
      </c>
      <c r="I654" s="30" t="s">
        <v>115</v>
      </c>
    </row>
    <row r="655" spans="1:9" ht="51.75" customHeight="1">
      <c r="A655" s="5"/>
      <c r="B655" s="5" t="s">
        <v>25418</v>
      </c>
      <c r="C655" s="5" t="s">
        <v>25419</v>
      </c>
      <c r="D655" s="246">
        <v>44271</v>
      </c>
      <c r="E655" s="5" t="s">
        <v>25420</v>
      </c>
      <c r="F655" s="26" t="s">
        <v>23600</v>
      </c>
      <c r="G655" s="27" t="s">
        <v>16962</v>
      </c>
      <c r="H655" s="29" t="s">
        <v>16963</v>
      </c>
      <c r="I655" s="30" t="s">
        <v>115</v>
      </c>
    </row>
    <row r="656" spans="1:9" ht="51.75" customHeight="1">
      <c r="A656" s="5"/>
      <c r="B656" s="5" t="s">
        <v>25421</v>
      </c>
      <c r="C656" s="5" t="s">
        <v>25422</v>
      </c>
      <c r="D656" s="246">
        <v>44271</v>
      </c>
      <c r="E656" s="5" t="s">
        <v>25423</v>
      </c>
      <c r="F656" s="26" t="s">
        <v>23600</v>
      </c>
      <c r="G656" s="27" t="s">
        <v>16962</v>
      </c>
      <c r="H656" s="29" t="s">
        <v>16963</v>
      </c>
      <c r="I656" s="30" t="s">
        <v>115</v>
      </c>
    </row>
    <row r="657" spans="1:9" ht="51.75" customHeight="1">
      <c r="A657" s="5"/>
      <c r="B657" s="5" t="s">
        <v>25424</v>
      </c>
      <c r="C657" s="5" t="s">
        <v>25425</v>
      </c>
      <c r="D657" s="246">
        <v>44271</v>
      </c>
      <c r="E657" s="5" t="s">
        <v>25426</v>
      </c>
      <c r="F657" s="26" t="s">
        <v>23600</v>
      </c>
      <c r="G657" s="27" t="s">
        <v>16962</v>
      </c>
      <c r="H657" s="29" t="s">
        <v>16963</v>
      </c>
      <c r="I657" s="30" t="s">
        <v>115</v>
      </c>
    </row>
    <row r="658" spans="1:9" ht="51.75" customHeight="1">
      <c r="A658" s="5"/>
      <c r="B658" s="5" t="str">
        <f>CONCATENATE(G658,"/",COUNTIF($G$2:G658,G658))</f>
        <v>FR-6149/1</v>
      </c>
      <c r="C658" s="5" t="s">
        <v>25427</v>
      </c>
      <c r="D658" s="246">
        <v>44406</v>
      </c>
      <c r="E658" s="5" t="s">
        <v>25428</v>
      </c>
      <c r="F658" s="26" t="s">
        <v>23600</v>
      </c>
      <c r="G658" s="27" t="s">
        <v>17237</v>
      </c>
      <c r="H658" s="29" t="s">
        <v>17238</v>
      </c>
      <c r="I658" s="30" t="s">
        <v>115</v>
      </c>
    </row>
    <row r="659" spans="1:9" ht="51.75" customHeight="1">
      <c r="A659" s="5"/>
      <c r="B659" s="5" t="str">
        <f>CONCATENATE(G659,"/",COUNTIF($G$2:G659,G659))</f>
        <v>FR-6149/2</v>
      </c>
      <c r="C659" s="5" t="s">
        <v>25429</v>
      </c>
      <c r="D659" s="246">
        <v>44406</v>
      </c>
      <c r="E659" s="5" t="s">
        <v>25430</v>
      </c>
      <c r="F659" s="26" t="s">
        <v>23600</v>
      </c>
      <c r="G659" s="27" t="s">
        <v>17237</v>
      </c>
      <c r="H659" s="29" t="s">
        <v>17238</v>
      </c>
      <c r="I659" s="30" t="s">
        <v>115</v>
      </c>
    </row>
    <row r="660" spans="1:9" ht="51.75" customHeight="1">
      <c r="A660" s="5"/>
      <c r="B660" s="5" t="str">
        <f>CONCATENATE(G660,"/",COUNTIF($G$2:G660,G660))</f>
        <v>FR-6149/3</v>
      </c>
      <c r="C660" s="5" t="s">
        <v>25431</v>
      </c>
      <c r="D660" s="246">
        <v>44406</v>
      </c>
      <c r="E660" s="5" t="s">
        <v>25432</v>
      </c>
      <c r="F660" s="26" t="s">
        <v>23600</v>
      </c>
      <c r="G660" s="27" t="s">
        <v>17237</v>
      </c>
      <c r="H660" s="29" t="s">
        <v>17238</v>
      </c>
      <c r="I660" s="30" t="s">
        <v>115</v>
      </c>
    </row>
    <row r="661" spans="1:9" ht="51.75" customHeight="1">
      <c r="A661" s="5"/>
      <c r="B661" s="5" t="str">
        <f>CONCATENATE(G661,"/",COUNTIF($G$2:G661,G661))</f>
        <v>FR-6149/4</v>
      </c>
      <c r="C661" s="5" t="s">
        <v>25433</v>
      </c>
      <c r="D661" s="246">
        <v>44406</v>
      </c>
      <c r="E661" s="5" t="s">
        <v>25434</v>
      </c>
      <c r="F661" s="26" t="s">
        <v>23600</v>
      </c>
      <c r="G661" s="27" t="s">
        <v>17237</v>
      </c>
      <c r="H661" s="29" t="s">
        <v>17238</v>
      </c>
      <c r="I661" s="30" t="s">
        <v>115</v>
      </c>
    </row>
    <row r="662" spans="1:9" ht="51.75" customHeight="1">
      <c r="A662" s="5" t="s">
        <v>25435</v>
      </c>
      <c r="B662" s="5" t="s">
        <v>25436</v>
      </c>
      <c r="C662" s="5" t="s">
        <v>25437</v>
      </c>
      <c r="D662" s="246" t="s">
        <v>68</v>
      </c>
      <c r="E662" s="5" t="s">
        <v>25438</v>
      </c>
      <c r="F662" s="26" t="s">
        <v>25439</v>
      </c>
      <c r="G662" s="27" t="s">
        <v>7824</v>
      </c>
      <c r="H662" s="28" t="s">
        <v>7825</v>
      </c>
      <c r="I662" s="5" t="s">
        <v>582</v>
      </c>
    </row>
    <row r="663" spans="1:9" ht="51.75" customHeight="1">
      <c r="A663" s="5" t="s">
        <v>25435</v>
      </c>
      <c r="B663" s="5" t="s">
        <v>25440</v>
      </c>
      <c r="C663" s="5" t="s">
        <v>25437</v>
      </c>
      <c r="D663" s="246" t="s">
        <v>68</v>
      </c>
      <c r="E663" s="5" t="s">
        <v>25441</v>
      </c>
      <c r="F663" s="26" t="s">
        <v>23600</v>
      </c>
      <c r="G663" s="27" t="s">
        <v>7824</v>
      </c>
      <c r="H663" s="28" t="s">
        <v>7825</v>
      </c>
      <c r="I663" s="5" t="s">
        <v>582</v>
      </c>
    </row>
    <row r="664" spans="1:9" ht="51.75" customHeight="1">
      <c r="A664" s="5" t="s">
        <v>25442</v>
      </c>
      <c r="B664" s="5" t="s">
        <v>25443</v>
      </c>
      <c r="C664" s="5" t="s">
        <v>25444</v>
      </c>
      <c r="D664" s="246" t="s">
        <v>68</v>
      </c>
      <c r="E664" s="5" t="s">
        <v>25445</v>
      </c>
      <c r="F664" s="26" t="s">
        <v>25439</v>
      </c>
      <c r="G664" s="27" t="s">
        <v>7824</v>
      </c>
      <c r="H664" s="28" t="s">
        <v>7825</v>
      </c>
      <c r="I664" s="5" t="s">
        <v>582</v>
      </c>
    </row>
    <row r="665" spans="1:9" ht="51.75" customHeight="1">
      <c r="A665" s="5" t="s">
        <v>25442</v>
      </c>
      <c r="B665" s="5" t="s">
        <v>25446</v>
      </c>
      <c r="C665" s="5" t="s">
        <v>25444</v>
      </c>
      <c r="D665" s="246" t="s">
        <v>68</v>
      </c>
      <c r="E665" s="5" t="s">
        <v>25447</v>
      </c>
      <c r="F665" s="26" t="s">
        <v>23600</v>
      </c>
      <c r="G665" s="27" t="s">
        <v>7824</v>
      </c>
      <c r="H665" s="28" t="s">
        <v>7825</v>
      </c>
      <c r="I665" s="5" t="s">
        <v>582</v>
      </c>
    </row>
    <row r="666" spans="1:9" ht="51.75" customHeight="1">
      <c r="A666" s="5">
        <v>1</v>
      </c>
      <c r="B666" s="5" t="s">
        <v>25448</v>
      </c>
      <c r="C666" s="5" t="s">
        <v>25449</v>
      </c>
      <c r="D666" s="246">
        <v>40429</v>
      </c>
      <c r="E666" s="5" t="s">
        <v>25450</v>
      </c>
      <c r="F666" s="26" t="s">
        <v>25439</v>
      </c>
      <c r="G666" s="27" t="s">
        <v>5275</v>
      </c>
      <c r="H666" s="28" t="s">
        <v>5276</v>
      </c>
      <c r="I666" s="5" t="s">
        <v>582</v>
      </c>
    </row>
    <row r="667" spans="1:9" ht="51.75" customHeight="1">
      <c r="A667" s="5">
        <v>1</v>
      </c>
      <c r="B667" s="5" t="s">
        <v>25451</v>
      </c>
      <c r="C667" s="5" t="s">
        <v>25449</v>
      </c>
      <c r="D667" s="246">
        <v>40429</v>
      </c>
      <c r="E667" s="5" t="s">
        <v>25452</v>
      </c>
      <c r="F667" s="26" t="s">
        <v>23600</v>
      </c>
      <c r="G667" s="27" t="s">
        <v>5275</v>
      </c>
      <c r="H667" s="28" t="s">
        <v>5276</v>
      </c>
      <c r="I667" s="5" t="s">
        <v>582</v>
      </c>
    </row>
    <row r="668" spans="1:9" ht="51.75" customHeight="1">
      <c r="A668" s="5">
        <v>2</v>
      </c>
      <c r="B668" s="5" t="s">
        <v>25453</v>
      </c>
      <c r="C668" s="5" t="s">
        <v>25454</v>
      </c>
      <c r="D668" s="246">
        <v>40429</v>
      </c>
      <c r="E668" s="5" t="s">
        <v>25455</v>
      </c>
      <c r="F668" s="26" t="s">
        <v>25439</v>
      </c>
      <c r="G668" s="27" t="s">
        <v>5275</v>
      </c>
      <c r="H668" s="28" t="s">
        <v>5276</v>
      </c>
      <c r="I668" s="5" t="s">
        <v>582</v>
      </c>
    </row>
    <row r="669" spans="1:9" ht="51.75" customHeight="1">
      <c r="A669" s="5">
        <v>2</v>
      </c>
      <c r="B669" s="5" t="s">
        <v>25456</v>
      </c>
      <c r="C669" s="5" t="s">
        <v>25454</v>
      </c>
      <c r="D669" s="246">
        <v>40429</v>
      </c>
      <c r="E669" s="5" t="s">
        <v>25457</v>
      </c>
      <c r="F669" s="26" t="s">
        <v>23600</v>
      </c>
      <c r="G669" s="27" t="s">
        <v>5275</v>
      </c>
      <c r="H669" s="28" t="s">
        <v>5276</v>
      </c>
      <c r="I669" s="5" t="s">
        <v>582</v>
      </c>
    </row>
    <row r="670" spans="1:9" ht="51.75" customHeight="1">
      <c r="A670" s="5">
        <v>1</v>
      </c>
      <c r="B670" s="5" t="s">
        <v>25458</v>
      </c>
      <c r="C670" s="5" t="s">
        <v>25459</v>
      </c>
      <c r="D670" s="246">
        <v>40371</v>
      </c>
      <c r="E670" s="5" t="s">
        <v>25460</v>
      </c>
      <c r="F670" s="26" t="s">
        <v>25439</v>
      </c>
      <c r="G670" s="27" t="s">
        <v>5065</v>
      </c>
      <c r="H670" s="28" t="s">
        <v>5066</v>
      </c>
      <c r="I670" s="5" t="s">
        <v>582</v>
      </c>
    </row>
    <row r="671" spans="1:9" ht="51.75" customHeight="1">
      <c r="A671" s="5">
        <v>1</v>
      </c>
      <c r="B671" s="5" t="s">
        <v>25461</v>
      </c>
      <c r="C671" s="5" t="s">
        <v>25459</v>
      </c>
      <c r="D671" s="246">
        <v>40371</v>
      </c>
      <c r="E671" s="5" t="s">
        <v>25462</v>
      </c>
      <c r="F671" s="26" t="s">
        <v>23600</v>
      </c>
      <c r="G671" s="27" t="s">
        <v>5065</v>
      </c>
      <c r="H671" s="28" t="s">
        <v>5066</v>
      </c>
      <c r="I671" s="5" t="s">
        <v>582</v>
      </c>
    </row>
    <row r="672" spans="1:9" ht="51.75" customHeight="1">
      <c r="A672" s="5">
        <v>1</v>
      </c>
      <c r="B672" s="5" t="s">
        <v>25463</v>
      </c>
      <c r="C672" s="5" t="s">
        <v>25464</v>
      </c>
      <c r="D672" s="246">
        <v>40198</v>
      </c>
      <c r="E672" s="5" t="s">
        <v>25465</v>
      </c>
      <c r="F672" s="26" t="s">
        <v>25439</v>
      </c>
      <c r="G672" s="27" t="s">
        <v>4483</v>
      </c>
      <c r="H672" s="28" t="s">
        <v>4484</v>
      </c>
      <c r="I672" s="5" t="s">
        <v>582</v>
      </c>
    </row>
    <row r="673" spans="1:9" ht="51.75" customHeight="1">
      <c r="A673" s="5">
        <v>1</v>
      </c>
      <c r="B673" s="5" t="s">
        <v>25466</v>
      </c>
      <c r="C673" s="5" t="s">
        <v>25464</v>
      </c>
      <c r="D673" s="246">
        <v>40198</v>
      </c>
      <c r="E673" s="5" t="s">
        <v>25467</v>
      </c>
      <c r="F673" s="26" t="s">
        <v>23600</v>
      </c>
      <c r="G673" s="27" t="s">
        <v>4483</v>
      </c>
      <c r="H673" s="28" t="s">
        <v>4484</v>
      </c>
      <c r="I673" s="5" t="s">
        <v>582</v>
      </c>
    </row>
    <row r="674" spans="1:9" ht="51.75" customHeight="1">
      <c r="A674" s="5">
        <v>1</v>
      </c>
      <c r="B674" s="5" t="s">
        <v>25468</v>
      </c>
      <c r="C674" s="5" t="s">
        <v>25469</v>
      </c>
      <c r="D674" s="246">
        <v>39995</v>
      </c>
      <c r="E674" s="5" t="s">
        <v>25470</v>
      </c>
      <c r="F674" s="26" t="s">
        <v>25439</v>
      </c>
      <c r="G674" s="27" t="s">
        <v>3899</v>
      </c>
      <c r="H674" s="28" t="s">
        <v>3900</v>
      </c>
      <c r="I674" s="5" t="s">
        <v>582</v>
      </c>
    </row>
    <row r="675" spans="1:9" ht="51.75" customHeight="1">
      <c r="A675" s="5">
        <v>1</v>
      </c>
      <c r="B675" s="5" t="s">
        <v>25471</v>
      </c>
      <c r="C675" s="5" t="s">
        <v>25469</v>
      </c>
      <c r="D675" s="246">
        <v>39995</v>
      </c>
      <c r="E675" s="5" t="s">
        <v>25472</v>
      </c>
      <c r="F675" s="26" t="s">
        <v>23600</v>
      </c>
      <c r="G675" s="27" t="s">
        <v>3899</v>
      </c>
      <c r="H675" s="28" t="s">
        <v>3900</v>
      </c>
      <c r="I675" s="5" t="s">
        <v>582</v>
      </c>
    </row>
    <row r="676" spans="1:9" ht="51.75" customHeight="1">
      <c r="A676" s="5">
        <v>2</v>
      </c>
      <c r="B676" s="5" t="s">
        <v>25473</v>
      </c>
      <c r="C676" s="5" t="s">
        <v>25474</v>
      </c>
      <c r="D676" s="246">
        <v>39995</v>
      </c>
      <c r="E676" s="5" t="s">
        <v>25475</v>
      </c>
      <c r="F676" s="26" t="s">
        <v>25439</v>
      </c>
      <c r="G676" s="27" t="s">
        <v>3899</v>
      </c>
      <c r="H676" s="28" t="s">
        <v>3900</v>
      </c>
      <c r="I676" s="5" t="s">
        <v>582</v>
      </c>
    </row>
    <row r="677" spans="1:9" ht="51.75" customHeight="1">
      <c r="A677" s="5">
        <v>2</v>
      </c>
      <c r="B677" s="5" t="s">
        <v>25476</v>
      </c>
      <c r="C677" s="5" t="s">
        <v>25474</v>
      </c>
      <c r="D677" s="246">
        <v>39995</v>
      </c>
      <c r="E677" s="5" t="s">
        <v>25477</v>
      </c>
      <c r="F677" s="26" t="s">
        <v>23600</v>
      </c>
      <c r="G677" s="27" t="s">
        <v>3899</v>
      </c>
      <c r="H677" s="28" t="s">
        <v>3900</v>
      </c>
      <c r="I677" s="5" t="s">
        <v>582</v>
      </c>
    </row>
    <row r="678" spans="1:9" ht="51.75" customHeight="1">
      <c r="A678" s="5">
        <v>3</v>
      </c>
      <c r="B678" s="5" t="s">
        <v>25478</v>
      </c>
      <c r="C678" s="5" t="s">
        <v>25479</v>
      </c>
      <c r="D678" s="246">
        <v>39995</v>
      </c>
      <c r="E678" s="5" t="s">
        <v>25480</v>
      </c>
      <c r="F678" s="26" t="s">
        <v>25439</v>
      </c>
      <c r="G678" s="27" t="s">
        <v>3899</v>
      </c>
      <c r="H678" s="28" t="s">
        <v>3900</v>
      </c>
      <c r="I678" s="5" t="s">
        <v>582</v>
      </c>
    </row>
    <row r="679" spans="1:9" ht="51.75" customHeight="1">
      <c r="A679" s="5">
        <v>3</v>
      </c>
      <c r="B679" s="5" t="s">
        <v>25481</v>
      </c>
      <c r="C679" s="5" t="s">
        <v>25479</v>
      </c>
      <c r="D679" s="246">
        <v>39995</v>
      </c>
      <c r="E679" s="5" t="s">
        <v>25482</v>
      </c>
      <c r="F679" s="26" t="s">
        <v>23600</v>
      </c>
      <c r="G679" s="27" t="s">
        <v>3899</v>
      </c>
      <c r="H679" s="28" t="s">
        <v>3900</v>
      </c>
      <c r="I679" s="5" t="s">
        <v>582</v>
      </c>
    </row>
    <row r="680" spans="1:9" ht="51.75" customHeight="1">
      <c r="A680" s="5">
        <v>1</v>
      </c>
      <c r="B680" s="5" t="s">
        <v>25483</v>
      </c>
      <c r="C680" s="5" t="s">
        <v>25484</v>
      </c>
      <c r="D680" s="246">
        <v>39777</v>
      </c>
      <c r="E680" s="5" t="s">
        <v>25485</v>
      </c>
      <c r="F680" s="26" t="s">
        <v>25439</v>
      </c>
      <c r="G680" s="27" t="s">
        <v>3426</v>
      </c>
      <c r="H680" s="28" t="s">
        <v>3427</v>
      </c>
      <c r="I680" s="5" t="s">
        <v>582</v>
      </c>
    </row>
    <row r="681" spans="1:9" ht="51.75" customHeight="1">
      <c r="A681" s="5">
        <v>1</v>
      </c>
      <c r="B681" s="5" t="s">
        <v>25486</v>
      </c>
      <c r="C681" s="5" t="s">
        <v>25484</v>
      </c>
      <c r="D681" s="246">
        <v>39777</v>
      </c>
      <c r="E681" s="5" t="s">
        <v>25487</v>
      </c>
      <c r="F681" s="26" t="s">
        <v>23600</v>
      </c>
      <c r="G681" s="27" t="s">
        <v>3426</v>
      </c>
      <c r="H681" s="28" t="s">
        <v>3427</v>
      </c>
      <c r="I681" s="5" t="s">
        <v>582</v>
      </c>
    </row>
    <row r="682" spans="1:9" ht="51.75" customHeight="1">
      <c r="A682" s="5" t="s">
        <v>25488</v>
      </c>
      <c r="B682" s="5" t="s">
        <v>25489</v>
      </c>
      <c r="C682" s="5" t="s">
        <v>25490</v>
      </c>
      <c r="D682" s="246" t="s">
        <v>68</v>
      </c>
      <c r="E682" s="5" t="s">
        <v>25491</v>
      </c>
      <c r="F682" s="26" t="s">
        <v>25439</v>
      </c>
      <c r="G682" s="27" t="s">
        <v>8249</v>
      </c>
      <c r="H682" s="28" t="s">
        <v>8250</v>
      </c>
      <c r="I682" s="5" t="s">
        <v>582</v>
      </c>
    </row>
    <row r="683" spans="1:9" ht="51.75" customHeight="1">
      <c r="A683" s="5" t="s">
        <v>25488</v>
      </c>
      <c r="B683" s="5" t="s">
        <v>25492</v>
      </c>
      <c r="C683" s="5" t="s">
        <v>25490</v>
      </c>
      <c r="D683" s="246" t="s">
        <v>68</v>
      </c>
      <c r="E683" s="5" t="s">
        <v>25493</v>
      </c>
      <c r="F683" s="26" t="s">
        <v>23600</v>
      </c>
      <c r="G683" s="27" t="s">
        <v>8249</v>
      </c>
      <c r="H683" s="28" t="s">
        <v>8250</v>
      </c>
      <c r="I683" s="5" t="s">
        <v>582</v>
      </c>
    </row>
    <row r="684" spans="1:9" ht="51.75" customHeight="1">
      <c r="A684" s="5" t="s">
        <v>25268</v>
      </c>
      <c r="B684" s="5" t="s">
        <v>25494</v>
      </c>
      <c r="C684" s="5" t="s">
        <v>25495</v>
      </c>
      <c r="D684" s="246" t="s">
        <v>68</v>
      </c>
      <c r="E684" s="5" t="s">
        <v>25496</v>
      </c>
      <c r="F684" s="26" t="s">
        <v>25439</v>
      </c>
      <c r="G684" s="27" t="s">
        <v>8304</v>
      </c>
      <c r="H684" s="28" t="s">
        <v>8305</v>
      </c>
      <c r="I684" s="5" t="s">
        <v>582</v>
      </c>
    </row>
    <row r="685" spans="1:9" ht="51.75" customHeight="1">
      <c r="A685" s="5" t="s">
        <v>25268</v>
      </c>
      <c r="B685" s="5" t="s">
        <v>25497</v>
      </c>
      <c r="C685" s="5" t="s">
        <v>25495</v>
      </c>
      <c r="D685" s="246" t="s">
        <v>68</v>
      </c>
      <c r="E685" s="5" t="s">
        <v>25498</v>
      </c>
      <c r="F685" s="26" t="s">
        <v>23600</v>
      </c>
      <c r="G685" s="27" t="s">
        <v>8304</v>
      </c>
      <c r="H685" s="28" t="s">
        <v>8305</v>
      </c>
      <c r="I685" s="5" t="s">
        <v>582</v>
      </c>
    </row>
    <row r="686" spans="1:9" ht="51.75" customHeight="1">
      <c r="A686" s="5" t="s">
        <v>25499</v>
      </c>
      <c r="B686" s="5" t="s">
        <v>25500</v>
      </c>
      <c r="C686" s="5" t="s">
        <v>25501</v>
      </c>
      <c r="D686" s="246" t="s">
        <v>68</v>
      </c>
      <c r="E686" s="5" t="s">
        <v>25502</v>
      </c>
      <c r="F686" s="26" t="s">
        <v>25439</v>
      </c>
      <c r="G686" s="27" t="s">
        <v>8304</v>
      </c>
      <c r="H686" s="28" t="s">
        <v>8305</v>
      </c>
      <c r="I686" s="5" t="s">
        <v>582</v>
      </c>
    </row>
    <row r="687" spans="1:9" ht="51.75" customHeight="1">
      <c r="A687" s="5" t="s">
        <v>25499</v>
      </c>
      <c r="B687" s="5" t="s">
        <v>25503</v>
      </c>
      <c r="C687" s="5" t="s">
        <v>25501</v>
      </c>
      <c r="D687" s="246" t="s">
        <v>68</v>
      </c>
      <c r="E687" s="5" t="s">
        <v>25504</v>
      </c>
      <c r="F687" s="26" t="s">
        <v>23600</v>
      </c>
      <c r="G687" s="27" t="s">
        <v>8304</v>
      </c>
      <c r="H687" s="28" t="s">
        <v>8305</v>
      </c>
      <c r="I687" s="5" t="s">
        <v>582</v>
      </c>
    </row>
    <row r="688" spans="1:9" ht="51.75" customHeight="1">
      <c r="A688" s="5" t="s">
        <v>25505</v>
      </c>
      <c r="B688" s="5" t="s">
        <v>25506</v>
      </c>
      <c r="C688" s="5" t="s">
        <v>25507</v>
      </c>
      <c r="D688" s="246" t="s">
        <v>68</v>
      </c>
      <c r="E688" s="5" t="s">
        <v>25508</v>
      </c>
      <c r="F688" s="26" t="s">
        <v>25439</v>
      </c>
      <c r="G688" s="27" t="s">
        <v>8304</v>
      </c>
      <c r="H688" s="28" t="s">
        <v>8305</v>
      </c>
      <c r="I688" s="5" t="s">
        <v>582</v>
      </c>
    </row>
    <row r="689" spans="1:9" ht="51.75" customHeight="1">
      <c r="A689" s="5" t="s">
        <v>25505</v>
      </c>
      <c r="B689" s="5" t="s">
        <v>25509</v>
      </c>
      <c r="C689" s="5" t="s">
        <v>25507</v>
      </c>
      <c r="D689" s="246" t="s">
        <v>68</v>
      </c>
      <c r="E689" s="5" t="s">
        <v>25510</v>
      </c>
      <c r="F689" s="26" t="s">
        <v>23600</v>
      </c>
      <c r="G689" s="27" t="s">
        <v>8304</v>
      </c>
      <c r="H689" s="28" t="s">
        <v>8305</v>
      </c>
      <c r="I689" s="5" t="s">
        <v>582</v>
      </c>
    </row>
    <row r="690" spans="1:9" ht="51.75" customHeight="1">
      <c r="A690" s="5" t="s">
        <v>25511</v>
      </c>
      <c r="B690" s="5" t="s">
        <v>25512</v>
      </c>
      <c r="C690" s="5" t="s">
        <v>25513</v>
      </c>
      <c r="D690" s="246" t="s">
        <v>68</v>
      </c>
      <c r="E690" s="5" t="s">
        <v>25514</v>
      </c>
      <c r="F690" s="26" t="s">
        <v>25439</v>
      </c>
      <c r="G690" s="27" t="s">
        <v>8304</v>
      </c>
      <c r="H690" s="28" t="s">
        <v>8305</v>
      </c>
      <c r="I690" s="5" t="s">
        <v>582</v>
      </c>
    </row>
    <row r="691" spans="1:9" ht="51.75" customHeight="1">
      <c r="A691" s="5" t="s">
        <v>25511</v>
      </c>
      <c r="B691" s="5" t="s">
        <v>25515</v>
      </c>
      <c r="C691" s="5" t="s">
        <v>25513</v>
      </c>
      <c r="D691" s="246" t="s">
        <v>68</v>
      </c>
      <c r="E691" s="5" t="s">
        <v>25516</v>
      </c>
      <c r="F691" s="26" t="s">
        <v>23600</v>
      </c>
      <c r="G691" s="27" t="s">
        <v>8304</v>
      </c>
      <c r="H691" s="28" t="s">
        <v>8305</v>
      </c>
      <c r="I691" s="5" t="s">
        <v>582</v>
      </c>
    </row>
    <row r="692" spans="1:9" ht="51.75" customHeight="1">
      <c r="A692" s="5" t="s">
        <v>25517</v>
      </c>
      <c r="B692" s="5" t="s">
        <v>25518</v>
      </c>
      <c r="C692" s="5" t="s">
        <v>25519</v>
      </c>
      <c r="D692" s="246" t="s">
        <v>68</v>
      </c>
      <c r="E692" s="5" t="s">
        <v>25520</v>
      </c>
      <c r="F692" s="26" t="s">
        <v>25439</v>
      </c>
      <c r="G692" s="27" t="s">
        <v>8304</v>
      </c>
      <c r="H692" s="28" t="s">
        <v>8305</v>
      </c>
      <c r="I692" s="5" t="s">
        <v>582</v>
      </c>
    </row>
    <row r="693" spans="1:9" ht="51.75" customHeight="1">
      <c r="A693" s="5" t="s">
        <v>25517</v>
      </c>
      <c r="B693" s="5" t="s">
        <v>25521</v>
      </c>
      <c r="C693" s="5" t="s">
        <v>25519</v>
      </c>
      <c r="D693" s="246" t="s">
        <v>68</v>
      </c>
      <c r="E693" s="5" t="s">
        <v>25522</v>
      </c>
      <c r="F693" s="26" t="s">
        <v>23600</v>
      </c>
      <c r="G693" s="27" t="s">
        <v>8304</v>
      </c>
      <c r="H693" s="28" t="s">
        <v>8305</v>
      </c>
      <c r="I693" s="5" t="s">
        <v>582</v>
      </c>
    </row>
    <row r="694" spans="1:9" ht="51.75" customHeight="1">
      <c r="A694" s="5" t="s">
        <v>23872</v>
      </c>
      <c r="B694" s="5" t="s">
        <v>25523</v>
      </c>
      <c r="C694" s="5" t="s">
        <v>25524</v>
      </c>
      <c r="D694" s="246" t="s">
        <v>68</v>
      </c>
      <c r="E694" s="5" t="s">
        <v>25525</v>
      </c>
      <c r="F694" s="26" t="s">
        <v>25439</v>
      </c>
      <c r="G694" s="27" t="s">
        <v>8304</v>
      </c>
      <c r="H694" s="28" t="s">
        <v>8305</v>
      </c>
      <c r="I694" s="5" t="s">
        <v>582</v>
      </c>
    </row>
    <row r="695" spans="1:9" ht="51.75" customHeight="1">
      <c r="A695" s="5" t="s">
        <v>23872</v>
      </c>
      <c r="B695" s="5" t="s">
        <v>25526</v>
      </c>
      <c r="C695" s="5" t="s">
        <v>25524</v>
      </c>
      <c r="D695" s="246" t="s">
        <v>68</v>
      </c>
      <c r="E695" s="5" t="s">
        <v>25527</v>
      </c>
      <c r="F695" s="26" t="s">
        <v>23600</v>
      </c>
      <c r="G695" s="27" t="s">
        <v>8304</v>
      </c>
      <c r="H695" s="28" t="s">
        <v>8305</v>
      </c>
      <c r="I695" s="5" t="s">
        <v>582</v>
      </c>
    </row>
    <row r="696" spans="1:9" ht="51.75" customHeight="1">
      <c r="A696" s="5" t="s">
        <v>25121</v>
      </c>
      <c r="B696" s="5" t="s">
        <v>25528</v>
      </c>
      <c r="C696" s="5" t="s">
        <v>25529</v>
      </c>
      <c r="D696" s="246" t="s">
        <v>68</v>
      </c>
      <c r="E696" s="5" t="s">
        <v>25530</v>
      </c>
      <c r="F696" s="26" t="s">
        <v>25439</v>
      </c>
      <c r="G696" s="27" t="s">
        <v>8304</v>
      </c>
      <c r="H696" s="28" t="s">
        <v>8305</v>
      </c>
      <c r="I696" s="5" t="s">
        <v>582</v>
      </c>
    </row>
    <row r="697" spans="1:9" ht="51.75" customHeight="1">
      <c r="A697" s="5" t="s">
        <v>25121</v>
      </c>
      <c r="B697" s="5" t="s">
        <v>25531</v>
      </c>
      <c r="C697" s="5" t="s">
        <v>25529</v>
      </c>
      <c r="D697" s="246" t="s">
        <v>68</v>
      </c>
      <c r="E697" s="5" t="s">
        <v>25532</v>
      </c>
      <c r="F697" s="26" t="s">
        <v>23600</v>
      </c>
      <c r="G697" s="27" t="s">
        <v>8304</v>
      </c>
      <c r="H697" s="28" t="s">
        <v>8305</v>
      </c>
      <c r="I697" s="5" t="s">
        <v>582</v>
      </c>
    </row>
    <row r="698" spans="1:9" ht="51.75" customHeight="1">
      <c r="A698" s="5" t="s">
        <v>25533</v>
      </c>
      <c r="B698" s="5" t="s">
        <v>25534</v>
      </c>
      <c r="C698" s="5" t="s">
        <v>25535</v>
      </c>
      <c r="D698" s="246" t="s">
        <v>68</v>
      </c>
      <c r="E698" s="5" t="s">
        <v>25536</v>
      </c>
      <c r="F698" s="26" t="s">
        <v>25439</v>
      </c>
      <c r="G698" s="27" t="s">
        <v>9325</v>
      </c>
      <c r="H698" s="28" t="s">
        <v>9326</v>
      </c>
      <c r="I698" s="5" t="s">
        <v>582</v>
      </c>
    </row>
    <row r="699" spans="1:9" ht="51.75" customHeight="1">
      <c r="A699" s="5" t="s">
        <v>25533</v>
      </c>
      <c r="B699" s="5" t="s">
        <v>25537</v>
      </c>
      <c r="C699" s="5" t="s">
        <v>25535</v>
      </c>
      <c r="D699" s="246" t="s">
        <v>68</v>
      </c>
      <c r="E699" s="5" t="s">
        <v>25538</v>
      </c>
      <c r="F699" s="26" t="s">
        <v>23600</v>
      </c>
      <c r="G699" s="27" t="s">
        <v>9325</v>
      </c>
      <c r="H699" s="28" t="s">
        <v>9326</v>
      </c>
      <c r="I699" s="5" t="s">
        <v>582</v>
      </c>
    </row>
    <row r="700" spans="1:9" ht="51.75" customHeight="1">
      <c r="A700" s="5" t="s">
        <v>25539</v>
      </c>
      <c r="B700" s="5" t="s">
        <v>25540</v>
      </c>
      <c r="C700" s="5" t="s">
        <v>25541</v>
      </c>
      <c r="D700" s="246" t="s">
        <v>68</v>
      </c>
      <c r="E700" s="5" t="s">
        <v>25542</v>
      </c>
      <c r="F700" s="26" t="s">
        <v>25439</v>
      </c>
      <c r="G700" s="27" t="s">
        <v>9325</v>
      </c>
      <c r="H700" s="28" t="s">
        <v>9326</v>
      </c>
      <c r="I700" s="5" t="s">
        <v>582</v>
      </c>
    </row>
    <row r="701" spans="1:9" ht="51.75" customHeight="1">
      <c r="A701" s="5" t="s">
        <v>25539</v>
      </c>
      <c r="B701" s="5" t="s">
        <v>25543</v>
      </c>
      <c r="C701" s="5" t="s">
        <v>25541</v>
      </c>
      <c r="D701" s="246" t="s">
        <v>68</v>
      </c>
      <c r="E701" s="5" t="s">
        <v>25544</v>
      </c>
      <c r="F701" s="26" t="s">
        <v>23600</v>
      </c>
      <c r="G701" s="27" t="s">
        <v>9325</v>
      </c>
      <c r="H701" s="28" t="s">
        <v>9326</v>
      </c>
      <c r="I701" s="5" t="s">
        <v>582</v>
      </c>
    </row>
    <row r="702" spans="1:9" ht="51.75" customHeight="1">
      <c r="A702" s="5" t="s">
        <v>25545</v>
      </c>
      <c r="B702" s="5" t="s">
        <v>25546</v>
      </c>
      <c r="C702" s="5" t="s">
        <v>25547</v>
      </c>
      <c r="D702" s="246" t="s">
        <v>68</v>
      </c>
      <c r="E702" s="5" t="s">
        <v>25547</v>
      </c>
      <c r="F702" s="26" t="s">
        <v>25439</v>
      </c>
      <c r="G702" s="27" t="s">
        <v>10174</v>
      </c>
      <c r="H702" s="28" t="s">
        <v>10175</v>
      </c>
      <c r="I702" s="5" t="s">
        <v>582</v>
      </c>
    </row>
    <row r="703" spans="1:9" ht="51.75" customHeight="1">
      <c r="A703" s="5" t="s">
        <v>25545</v>
      </c>
      <c r="B703" s="5" t="s">
        <v>25548</v>
      </c>
      <c r="C703" s="5" t="s">
        <v>25547</v>
      </c>
      <c r="D703" s="246" t="s">
        <v>68</v>
      </c>
      <c r="E703" s="5" t="s">
        <v>25549</v>
      </c>
      <c r="F703" s="26" t="s">
        <v>23600</v>
      </c>
      <c r="G703" s="27" t="s">
        <v>10174</v>
      </c>
      <c r="H703" s="28" t="s">
        <v>10175</v>
      </c>
      <c r="I703" s="5" t="s">
        <v>582</v>
      </c>
    </row>
    <row r="704" spans="1:9" ht="51.75" customHeight="1">
      <c r="A704" s="5" t="s">
        <v>24343</v>
      </c>
      <c r="B704" s="5" t="s">
        <v>25550</v>
      </c>
      <c r="C704" s="5" t="s">
        <v>25551</v>
      </c>
      <c r="D704" s="246" t="s">
        <v>68</v>
      </c>
      <c r="E704" s="5" t="s">
        <v>25551</v>
      </c>
      <c r="F704" s="26" t="s">
        <v>25439</v>
      </c>
      <c r="G704" s="27" t="s">
        <v>10174</v>
      </c>
      <c r="H704" s="28" t="s">
        <v>10175</v>
      </c>
      <c r="I704" s="5" t="s">
        <v>582</v>
      </c>
    </row>
    <row r="705" spans="1:9" ht="51.75" customHeight="1">
      <c r="A705" s="5" t="s">
        <v>24343</v>
      </c>
      <c r="B705" s="5" t="s">
        <v>25552</v>
      </c>
      <c r="C705" s="5" t="s">
        <v>25551</v>
      </c>
      <c r="D705" s="246" t="s">
        <v>68</v>
      </c>
      <c r="E705" s="5" t="s">
        <v>25553</v>
      </c>
      <c r="F705" s="26" t="s">
        <v>23600</v>
      </c>
      <c r="G705" s="27" t="s">
        <v>10174</v>
      </c>
      <c r="H705" s="28" t="s">
        <v>10175</v>
      </c>
      <c r="I705" s="5" t="s">
        <v>582</v>
      </c>
    </row>
    <row r="706" spans="1:9" ht="51.75" customHeight="1">
      <c r="A706" s="5">
        <v>1</v>
      </c>
      <c r="B706" s="5" t="s">
        <v>25554</v>
      </c>
      <c r="C706" s="5" t="s">
        <v>25555</v>
      </c>
      <c r="D706" s="246">
        <v>40588</v>
      </c>
      <c r="E706" s="5" t="s">
        <v>25556</v>
      </c>
      <c r="F706" s="26"/>
      <c r="G706" s="27" t="s">
        <v>4003</v>
      </c>
      <c r="H706" s="28" t="s">
        <v>4004</v>
      </c>
      <c r="I706" s="5" t="s">
        <v>582</v>
      </c>
    </row>
    <row r="707" spans="1:9" ht="51.75" customHeight="1">
      <c r="A707" s="5">
        <v>2</v>
      </c>
      <c r="B707" s="5" t="s">
        <v>25557</v>
      </c>
      <c r="C707" s="5" t="s">
        <v>25558</v>
      </c>
      <c r="D707" s="246">
        <v>40588</v>
      </c>
      <c r="E707" s="5" t="s">
        <v>25559</v>
      </c>
      <c r="F707" s="26"/>
      <c r="G707" s="27" t="s">
        <v>4003</v>
      </c>
      <c r="H707" s="28" t="s">
        <v>4004</v>
      </c>
      <c r="I707" s="5" t="s">
        <v>582</v>
      </c>
    </row>
    <row r="708" spans="1:9" ht="51.75" customHeight="1">
      <c r="A708" s="5" t="s">
        <v>23915</v>
      </c>
      <c r="B708" s="5" t="s">
        <v>25560</v>
      </c>
      <c r="C708" s="5" t="s">
        <v>25561</v>
      </c>
      <c r="D708" s="246" t="s">
        <v>68</v>
      </c>
      <c r="E708" s="5" t="s">
        <v>25562</v>
      </c>
      <c r="F708" s="26" t="s">
        <v>25439</v>
      </c>
      <c r="G708" s="27" t="s">
        <v>3975</v>
      </c>
      <c r="H708" s="28" t="s">
        <v>3976</v>
      </c>
      <c r="I708" s="5" t="s">
        <v>582</v>
      </c>
    </row>
    <row r="709" spans="1:9" ht="51.75" customHeight="1">
      <c r="A709" s="5" t="s">
        <v>23915</v>
      </c>
      <c r="B709" s="5" t="s">
        <v>25563</v>
      </c>
      <c r="C709" s="5" t="s">
        <v>25561</v>
      </c>
      <c r="D709" s="246" t="s">
        <v>68</v>
      </c>
      <c r="E709" s="5" t="s">
        <v>25564</v>
      </c>
      <c r="F709" s="26" t="s">
        <v>23600</v>
      </c>
      <c r="G709" s="27" t="s">
        <v>3975</v>
      </c>
      <c r="H709" s="28" t="s">
        <v>3976</v>
      </c>
      <c r="I709" s="5" t="s">
        <v>582</v>
      </c>
    </row>
    <row r="710" spans="1:9" ht="51.75" customHeight="1">
      <c r="A710" s="5" t="s">
        <v>25565</v>
      </c>
      <c r="B710" s="5" t="s">
        <v>25566</v>
      </c>
      <c r="C710" s="5" t="s">
        <v>25567</v>
      </c>
      <c r="D710" s="246" t="s">
        <v>68</v>
      </c>
      <c r="E710" s="5" t="s">
        <v>25568</v>
      </c>
      <c r="F710" s="26" t="s">
        <v>25439</v>
      </c>
      <c r="G710" s="27" t="s">
        <v>1617</v>
      </c>
      <c r="H710" s="28" t="s">
        <v>1618</v>
      </c>
      <c r="I710" s="5" t="s">
        <v>582</v>
      </c>
    </row>
    <row r="711" spans="1:9" ht="51.75" customHeight="1">
      <c r="A711" s="5" t="s">
        <v>25565</v>
      </c>
      <c r="B711" s="5" t="s">
        <v>25569</v>
      </c>
      <c r="C711" s="5" t="s">
        <v>25567</v>
      </c>
      <c r="D711" s="246" t="s">
        <v>68</v>
      </c>
      <c r="E711" s="5" t="s">
        <v>25570</v>
      </c>
      <c r="F711" s="26" t="s">
        <v>23600</v>
      </c>
      <c r="G711" s="27" t="s">
        <v>1617</v>
      </c>
      <c r="H711" s="28" t="s">
        <v>1618</v>
      </c>
      <c r="I711" s="5" t="s">
        <v>582</v>
      </c>
    </row>
    <row r="712" spans="1:9" ht="51.75" customHeight="1">
      <c r="A712" s="5">
        <v>1</v>
      </c>
      <c r="B712" s="5" t="s">
        <v>25571</v>
      </c>
      <c r="C712" s="5" t="s">
        <v>25572</v>
      </c>
      <c r="D712" s="246">
        <v>40554</v>
      </c>
      <c r="E712" s="5" t="s">
        <v>25572</v>
      </c>
      <c r="F712" s="26"/>
      <c r="G712" s="27" t="s">
        <v>3763</v>
      </c>
      <c r="H712" s="28" t="s">
        <v>3764</v>
      </c>
      <c r="I712" s="5" t="s">
        <v>582</v>
      </c>
    </row>
    <row r="713" spans="1:9" ht="51.75" customHeight="1">
      <c r="A713" s="5">
        <v>2</v>
      </c>
      <c r="B713" s="5" t="s">
        <v>25573</v>
      </c>
      <c r="C713" s="5" t="s">
        <v>25574</v>
      </c>
      <c r="D713" s="246">
        <v>40554</v>
      </c>
      <c r="E713" s="5" t="s">
        <v>25574</v>
      </c>
      <c r="F713" s="26"/>
      <c r="G713" s="27" t="s">
        <v>3763</v>
      </c>
      <c r="H713" s="28" t="s">
        <v>3764</v>
      </c>
      <c r="I713" s="5" t="s">
        <v>582</v>
      </c>
    </row>
    <row r="714" spans="1:9" ht="51.75" customHeight="1">
      <c r="A714" s="5">
        <v>3</v>
      </c>
      <c r="B714" s="5" t="s">
        <v>25575</v>
      </c>
      <c r="C714" s="5" t="s">
        <v>25576</v>
      </c>
      <c r="D714" s="246">
        <v>40554</v>
      </c>
      <c r="E714" s="5" t="s">
        <v>25577</v>
      </c>
      <c r="F714" s="26"/>
      <c r="G714" s="27" t="s">
        <v>3763</v>
      </c>
      <c r="H714" s="28" t="s">
        <v>3764</v>
      </c>
      <c r="I714" s="5" t="s">
        <v>582</v>
      </c>
    </row>
    <row r="715" spans="1:9" ht="51.75" customHeight="1">
      <c r="A715" s="5">
        <v>1</v>
      </c>
      <c r="B715" s="5" t="s">
        <v>25578</v>
      </c>
      <c r="C715" s="5" t="s">
        <v>25579</v>
      </c>
      <c r="D715" s="246">
        <v>38793</v>
      </c>
      <c r="E715" s="5" t="s">
        <v>25580</v>
      </c>
      <c r="F715" s="26" t="s">
        <v>25439</v>
      </c>
      <c r="G715" s="27" t="s">
        <v>580</v>
      </c>
      <c r="H715" s="28" t="s">
        <v>581</v>
      </c>
      <c r="I715" s="5" t="s">
        <v>582</v>
      </c>
    </row>
    <row r="716" spans="1:9" ht="51.75" customHeight="1">
      <c r="A716" s="5">
        <v>1</v>
      </c>
      <c r="B716" s="5" t="s">
        <v>25581</v>
      </c>
      <c r="C716" s="5" t="s">
        <v>25579</v>
      </c>
      <c r="D716" s="246">
        <v>38793</v>
      </c>
      <c r="E716" s="5" t="s">
        <v>25582</v>
      </c>
      <c r="F716" s="26" t="s">
        <v>23600</v>
      </c>
      <c r="G716" s="27" t="s">
        <v>580</v>
      </c>
      <c r="H716" s="28" t="s">
        <v>581</v>
      </c>
      <c r="I716" s="5" t="s">
        <v>582</v>
      </c>
    </row>
    <row r="717" spans="1:9" ht="51.75" customHeight="1">
      <c r="A717" s="5">
        <v>2</v>
      </c>
      <c r="B717" s="5" t="s">
        <v>25583</v>
      </c>
      <c r="C717" s="5" t="s">
        <v>25584</v>
      </c>
      <c r="D717" s="246">
        <v>38793</v>
      </c>
      <c r="E717" s="5" t="s">
        <v>25585</v>
      </c>
      <c r="F717" s="26" t="s">
        <v>25439</v>
      </c>
      <c r="G717" s="27" t="s">
        <v>580</v>
      </c>
      <c r="H717" s="28" t="s">
        <v>581</v>
      </c>
      <c r="I717" s="5" t="s">
        <v>582</v>
      </c>
    </row>
    <row r="718" spans="1:9" ht="51.75" customHeight="1">
      <c r="A718" s="5">
        <v>2</v>
      </c>
      <c r="B718" s="5" t="s">
        <v>25586</v>
      </c>
      <c r="C718" s="5" t="s">
        <v>25584</v>
      </c>
      <c r="D718" s="246">
        <v>38793</v>
      </c>
      <c r="E718" s="5" t="s">
        <v>25587</v>
      </c>
      <c r="F718" s="26" t="s">
        <v>23600</v>
      </c>
      <c r="G718" s="27" t="s">
        <v>580</v>
      </c>
      <c r="H718" s="28" t="s">
        <v>581</v>
      </c>
      <c r="I718" s="5" t="s">
        <v>582</v>
      </c>
    </row>
    <row r="719" spans="1:9" ht="51.75" customHeight="1">
      <c r="A719" s="5">
        <v>3</v>
      </c>
      <c r="B719" s="5" t="s">
        <v>25588</v>
      </c>
      <c r="C719" s="5" t="s">
        <v>25589</v>
      </c>
      <c r="D719" s="246">
        <v>38793</v>
      </c>
      <c r="E719" s="5" t="s">
        <v>25590</v>
      </c>
      <c r="F719" s="26" t="s">
        <v>25439</v>
      </c>
      <c r="G719" s="27" t="s">
        <v>580</v>
      </c>
      <c r="H719" s="28" t="s">
        <v>581</v>
      </c>
      <c r="I719" s="5" t="s">
        <v>582</v>
      </c>
    </row>
    <row r="720" spans="1:9" ht="51.75" customHeight="1">
      <c r="A720" s="5">
        <v>3</v>
      </c>
      <c r="B720" s="5" t="s">
        <v>25591</v>
      </c>
      <c r="C720" s="5" t="s">
        <v>25589</v>
      </c>
      <c r="D720" s="246">
        <v>38793</v>
      </c>
      <c r="E720" s="5" t="s">
        <v>25592</v>
      </c>
      <c r="F720" s="26" t="s">
        <v>23600</v>
      </c>
      <c r="G720" s="27" t="s">
        <v>580</v>
      </c>
      <c r="H720" s="28" t="s">
        <v>581</v>
      </c>
      <c r="I720" s="5" t="s">
        <v>582</v>
      </c>
    </row>
    <row r="721" spans="1:9" ht="51.75" customHeight="1">
      <c r="A721" s="5" t="s">
        <v>25593</v>
      </c>
      <c r="B721" s="5" t="s">
        <v>25594</v>
      </c>
      <c r="C721" s="5" t="s">
        <v>25595</v>
      </c>
      <c r="D721" s="246">
        <v>39876</v>
      </c>
      <c r="E721" s="5" t="s">
        <v>25596</v>
      </c>
      <c r="F721" s="26" t="s">
        <v>25439</v>
      </c>
      <c r="G721" s="27" t="s">
        <v>3052</v>
      </c>
      <c r="H721" s="28" t="s">
        <v>3053</v>
      </c>
      <c r="I721" s="5" t="s">
        <v>582</v>
      </c>
    </row>
    <row r="722" spans="1:9" ht="51.75" customHeight="1">
      <c r="A722" s="5" t="s">
        <v>25593</v>
      </c>
      <c r="B722" s="5" t="s">
        <v>25597</v>
      </c>
      <c r="C722" s="5" t="s">
        <v>25595</v>
      </c>
      <c r="D722" s="246">
        <v>39876</v>
      </c>
      <c r="E722" s="5" t="s">
        <v>25598</v>
      </c>
      <c r="F722" s="26" t="s">
        <v>23600</v>
      </c>
      <c r="G722" s="27" t="s">
        <v>3052</v>
      </c>
      <c r="H722" s="28" t="s">
        <v>3053</v>
      </c>
      <c r="I722" s="5" t="s">
        <v>582</v>
      </c>
    </row>
    <row r="723" spans="1:9" ht="51.75" customHeight="1">
      <c r="A723" s="5">
        <v>1</v>
      </c>
      <c r="B723" s="5" t="s">
        <v>25599</v>
      </c>
      <c r="C723" s="5" t="s">
        <v>25600</v>
      </c>
      <c r="D723" s="246">
        <v>40364</v>
      </c>
      <c r="E723" s="5" t="s">
        <v>25601</v>
      </c>
      <c r="F723" s="26"/>
      <c r="G723" s="27" t="s">
        <v>2746</v>
      </c>
      <c r="H723" s="28" t="s">
        <v>2747</v>
      </c>
      <c r="I723" s="5" t="s">
        <v>582</v>
      </c>
    </row>
    <row r="724" spans="1:9" ht="51.75" customHeight="1">
      <c r="A724" s="5">
        <v>2</v>
      </c>
      <c r="B724" s="5" t="s">
        <v>25602</v>
      </c>
      <c r="C724" s="5" t="s">
        <v>25603</v>
      </c>
      <c r="D724" s="246">
        <v>40364</v>
      </c>
      <c r="E724" s="5" t="s">
        <v>25603</v>
      </c>
      <c r="F724" s="26"/>
      <c r="G724" s="27" t="s">
        <v>2746</v>
      </c>
      <c r="H724" s="28" t="s">
        <v>2747</v>
      </c>
      <c r="I724" s="5" t="s">
        <v>582</v>
      </c>
    </row>
    <row r="725" spans="1:9" ht="51.75" customHeight="1">
      <c r="A725" s="5">
        <v>3</v>
      </c>
      <c r="B725" s="5" t="s">
        <v>25604</v>
      </c>
      <c r="C725" s="5" t="s">
        <v>25605</v>
      </c>
      <c r="D725" s="246">
        <v>40364</v>
      </c>
      <c r="E725" s="5" t="s">
        <v>25606</v>
      </c>
      <c r="F725" s="26"/>
      <c r="G725" s="27" t="s">
        <v>2746</v>
      </c>
      <c r="H725" s="28" t="s">
        <v>2747</v>
      </c>
      <c r="I725" s="5" t="s">
        <v>582</v>
      </c>
    </row>
    <row r="726" spans="1:9" ht="51.75" customHeight="1">
      <c r="A726" s="5">
        <v>4</v>
      </c>
      <c r="B726" s="5" t="s">
        <v>25607</v>
      </c>
      <c r="C726" s="5" t="s">
        <v>25608</v>
      </c>
      <c r="D726" s="246">
        <v>40364</v>
      </c>
      <c r="E726" s="5" t="s">
        <v>25609</v>
      </c>
      <c r="F726" s="26"/>
      <c r="G726" s="27" t="s">
        <v>2746</v>
      </c>
      <c r="H726" s="28" t="s">
        <v>2747</v>
      </c>
      <c r="I726" s="5" t="s">
        <v>582</v>
      </c>
    </row>
    <row r="727" spans="1:9" ht="51.75" customHeight="1">
      <c r="A727" s="5">
        <v>5</v>
      </c>
      <c r="B727" s="5" t="s">
        <v>25610</v>
      </c>
      <c r="C727" s="5" t="s">
        <v>25611</v>
      </c>
      <c r="D727" s="246">
        <v>40364</v>
      </c>
      <c r="E727" s="5" t="s">
        <v>25612</v>
      </c>
      <c r="F727" s="26"/>
      <c r="G727" s="27" t="s">
        <v>2746</v>
      </c>
      <c r="H727" s="28" t="s">
        <v>2747</v>
      </c>
      <c r="I727" s="5" t="s">
        <v>582</v>
      </c>
    </row>
    <row r="728" spans="1:9" ht="51.75" customHeight="1">
      <c r="A728" s="5" t="s">
        <v>24948</v>
      </c>
      <c r="B728" s="5" t="s">
        <v>25613</v>
      </c>
      <c r="C728" s="5" t="s">
        <v>25614</v>
      </c>
      <c r="D728" s="246" t="s">
        <v>68</v>
      </c>
      <c r="E728" s="5" t="s">
        <v>25615</v>
      </c>
      <c r="F728" s="26" t="s">
        <v>25439</v>
      </c>
      <c r="G728" s="27" t="s">
        <v>7402</v>
      </c>
      <c r="H728" s="28" t="s">
        <v>7403</v>
      </c>
      <c r="I728" s="5" t="s">
        <v>582</v>
      </c>
    </row>
    <row r="729" spans="1:9" ht="51.75" customHeight="1">
      <c r="A729" s="5" t="s">
        <v>24948</v>
      </c>
      <c r="B729" s="5" t="s">
        <v>25616</v>
      </c>
      <c r="C729" s="5" t="s">
        <v>25614</v>
      </c>
      <c r="D729" s="246" t="s">
        <v>68</v>
      </c>
      <c r="E729" s="5" t="s">
        <v>25617</v>
      </c>
      <c r="F729" s="26" t="s">
        <v>23600</v>
      </c>
      <c r="G729" s="27" t="s">
        <v>7402</v>
      </c>
      <c r="H729" s="28" t="s">
        <v>7403</v>
      </c>
      <c r="I729" s="5" t="s">
        <v>582</v>
      </c>
    </row>
    <row r="730" spans="1:9" ht="51.75" customHeight="1">
      <c r="A730" s="5" t="s">
        <v>24595</v>
      </c>
      <c r="B730" s="5" t="s">
        <v>25618</v>
      </c>
      <c r="C730" s="5"/>
      <c r="D730" s="246" t="s">
        <v>68</v>
      </c>
      <c r="E730" s="5" t="s">
        <v>25619</v>
      </c>
      <c r="F730" s="26" t="s">
        <v>25439</v>
      </c>
      <c r="G730" s="27" t="s">
        <v>6527</v>
      </c>
      <c r="H730" s="28" t="s">
        <v>6528</v>
      </c>
      <c r="I730" s="5" t="s">
        <v>582</v>
      </c>
    </row>
    <row r="731" spans="1:9" ht="51.75" customHeight="1">
      <c r="A731" s="5" t="s">
        <v>24595</v>
      </c>
      <c r="B731" s="5" t="s">
        <v>25620</v>
      </c>
      <c r="C731" s="5"/>
      <c r="D731" s="246" t="s">
        <v>68</v>
      </c>
      <c r="E731" s="5" t="s">
        <v>25621</v>
      </c>
      <c r="F731" s="26" t="s">
        <v>23600</v>
      </c>
      <c r="G731" s="27" t="s">
        <v>6527</v>
      </c>
      <c r="H731" s="28" t="s">
        <v>6528</v>
      </c>
      <c r="I731" s="5" t="s">
        <v>582</v>
      </c>
    </row>
    <row r="732" spans="1:9" ht="51.75" customHeight="1">
      <c r="A732" s="5" t="s">
        <v>25622</v>
      </c>
      <c r="B732" s="5" t="s">
        <v>25623</v>
      </c>
      <c r="C732" s="5"/>
      <c r="D732" s="246" t="s">
        <v>68</v>
      </c>
      <c r="E732" s="5" t="s">
        <v>25624</v>
      </c>
      <c r="F732" s="26" t="s">
        <v>25439</v>
      </c>
      <c r="G732" s="27" t="s">
        <v>6527</v>
      </c>
      <c r="H732" s="28" t="s">
        <v>6528</v>
      </c>
      <c r="I732" s="5" t="s">
        <v>582</v>
      </c>
    </row>
    <row r="733" spans="1:9" ht="51.75" customHeight="1">
      <c r="A733" s="5" t="s">
        <v>25622</v>
      </c>
      <c r="B733" s="5" t="s">
        <v>25625</v>
      </c>
      <c r="C733" s="5"/>
      <c r="D733" s="246" t="s">
        <v>68</v>
      </c>
      <c r="E733" s="5" t="s">
        <v>25626</v>
      </c>
      <c r="F733" s="26" t="s">
        <v>23600</v>
      </c>
      <c r="G733" s="27" t="s">
        <v>6527</v>
      </c>
      <c r="H733" s="28" t="s">
        <v>6528</v>
      </c>
      <c r="I733" s="5" t="s">
        <v>582</v>
      </c>
    </row>
    <row r="734" spans="1:9" ht="51.75" customHeight="1">
      <c r="A734" s="5" t="s">
        <v>24178</v>
      </c>
      <c r="B734" s="5" t="s">
        <v>25627</v>
      </c>
      <c r="C734" s="5" t="s">
        <v>23621</v>
      </c>
      <c r="D734" s="246">
        <v>41381</v>
      </c>
      <c r="E734" s="5" t="s">
        <v>25628</v>
      </c>
      <c r="F734" s="26" t="s">
        <v>25439</v>
      </c>
      <c r="G734" s="27" t="s">
        <v>6567</v>
      </c>
      <c r="H734" s="28" t="s">
        <v>6568</v>
      </c>
      <c r="I734" s="5" t="s">
        <v>582</v>
      </c>
    </row>
    <row r="735" spans="1:9" ht="51.75" customHeight="1">
      <c r="A735" s="5" t="s">
        <v>24178</v>
      </c>
      <c r="B735" s="5" t="s">
        <v>25629</v>
      </c>
      <c r="C735" s="5" t="s">
        <v>23621</v>
      </c>
      <c r="D735" s="246">
        <v>41381</v>
      </c>
      <c r="E735" s="5" t="s">
        <v>25630</v>
      </c>
      <c r="F735" s="26" t="s">
        <v>23600</v>
      </c>
      <c r="G735" s="27" t="s">
        <v>6567</v>
      </c>
      <c r="H735" s="28" t="s">
        <v>6568</v>
      </c>
      <c r="I735" s="5" t="s">
        <v>582</v>
      </c>
    </row>
    <row r="736" spans="1:9" ht="51.75" customHeight="1">
      <c r="A736" s="5" t="s">
        <v>25631</v>
      </c>
      <c r="B736" s="5" t="s">
        <v>25632</v>
      </c>
      <c r="C736" s="5" t="s">
        <v>25633</v>
      </c>
      <c r="D736" s="246" t="s">
        <v>68</v>
      </c>
      <c r="E736" s="5" t="s">
        <v>25634</v>
      </c>
      <c r="F736" s="26" t="s">
        <v>25439</v>
      </c>
      <c r="G736" s="27" t="s">
        <v>6370</v>
      </c>
      <c r="H736" s="28" t="s">
        <v>6371</v>
      </c>
      <c r="I736" s="5" t="s">
        <v>582</v>
      </c>
    </row>
    <row r="737" spans="1:9" ht="51.75" customHeight="1">
      <c r="A737" s="5" t="s">
        <v>25631</v>
      </c>
      <c r="B737" s="5" t="s">
        <v>25635</v>
      </c>
      <c r="C737" s="5" t="s">
        <v>25633</v>
      </c>
      <c r="D737" s="246" t="s">
        <v>68</v>
      </c>
      <c r="E737" s="5" t="s">
        <v>25636</v>
      </c>
      <c r="F737" s="26" t="s">
        <v>23600</v>
      </c>
      <c r="G737" s="27" t="s">
        <v>6370</v>
      </c>
      <c r="H737" s="28" t="s">
        <v>6371</v>
      </c>
      <c r="I737" s="5" t="s">
        <v>582</v>
      </c>
    </row>
    <row r="738" spans="1:9" ht="51.75" customHeight="1">
      <c r="A738" s="5">
        <v>1</v>
      </c>
      <c r="B738" s="5" t="s">
        <v>25637</v>
      </c>
      <c r="C738" s="5" t="s">
        <v>25638</v>
      </c>
      <c r="D738" s="246">
        <v>40802</v>
      </c>
      <c r="E738" s="5" t="s">
        <v>25639</v>
      </c>
      <c r="F738" s="26" t="s">
        <v>25439</v>
      </c>
      <c r="G738" s="27" t="s">
        <v>5727</v>
      </c>
      <c r="H738" s="28" t="s">
        <v>5728</v>
      </c>
      <c r="I738" s="5" t="s">
        <v>582</v>
      </c>
    </row>
    <row r="739" spans="1:9" ht="51.75" customHeight="1">
      <c r="A739" s="5">
        <v>1</v>
      </c>
      <c r="B739" s="5" t="s">
        <v>25640</v>
      </c>
      <c r="C739" s="5" t="s">
        <v>25638</v>
      </c>
      <c r="D739" s="246">
        <v>40802</v>
      </c>
      <c r="E739" s="5" t="s">
        <v>25641</v>
      </c>
      <c r="F739" s="26" t="s">
        <v>23600</v>
      </c>
      <c r="G739" s="27" t="s">
        <v>5727</v>
      </c>
      <c r="H739" s="28" t="s">
        <v>5728</v>
      </c>
      <c r="I739" s="5" t="s">
        <v>582</v>
      </c>
    </row>
    <row r="740" spans="1:9" ht="51.75" customHeight="1">
      <c r="A740" s="5">
        <v>2</v>
      </c>
      <c r="B740" s="5" t="s">
        <v>25642</v>
      </c>
      <c r="C740" s="5" t="s">
        <v>25643</v>
      </c>
      <c r="D740" s="246">
        <v>40802</v>
      </c>
      <c r="E740" s="5" t="s">
        <v>25644</v>
      </c>
      <c r="F740" s="26" t="s">
        <v>25439</v>
      </c>
      <c r="G740" s="27" t="s">
        <v>5727</v>
      </c>
      <c r="H740" s="28" t="s">
        <v>5728</v>
      </c>
      <c r="I740" s="5" t="s">
        <v>582</v>
      </c>
    </row>
    <row r="741" spans="1:9" ht="51.75" customHeight="1">
      <c r="A741" s="5">
        <v>2</v>
      </c>
      <c r="B741" s="5" t="s">
        <v>25645</v>
      </c>
      <c r="C741" s="5" t="s">
        <v>25643</v>
      </c>
      <c r="D741" s="246">
        <v>40802</v>
      </c>
      <c r="E741" s="5" t="s">
        <v>25646</v>
      </c>
      <c r="F741" s="26" t="s">
        <v>23600</v>
      </c>
      <c r="G741" s="27" t="s">
        <v>5727</v>
      </c>
      <c r="H741" s="28" t="s">
        <v>5728</v>
      </c>
      <c r="I741" s="5" t="s">
        <v>582</v>
      </c>
    </row>
    <row r="742" spans="1:9" ht="51.75" customHeight="1">
      <c r="A742" s="5" t="s">
        <v>25505</v>
      </c>
      <c r="B742" s="5" t="s">
        <v>25647</v>
      </c>
      <c r="C742" s="5" t="s">
        <v>25648</v>
      </c>
      <c r="D742" s="246" t="s">
        <v>68</v>
      </c>
      <c r="E742" s="5" t="s">
        <v>25649</v>
      </c>
      <c r="F742" s="26" t="s">
        <v>25439</v>
      </c>
      <c r="G742" s="27" t="s">
        <v>11136</v>
      </c>
      <c r="H742" s="28" t="s">
        <v>11137</v>
      </c>
      <c r="I742" s="5" t="s">
        <v>582</v>
      </c>
    </row>
    <row r="743" spans="1:9" ht="51.75" customHeight="1">
      <c r="A743" s="5" t="s">
        <v>25505</v>
      </c>
      <c r="B743" s="5" t="s">
        <v>25650</v>
      </c>
      <c r="C743" s="5" t="s">
        <v>25648</v>
      </c>
      <c r="D743" s="246" t="s">
        <v>68</v>
      </c>
      <c r="E743" s="5" t="s">
        <v>25651</v>
      </c>
      <c r="F743" s="26" t="s">
        <v>23600</v>
      </c>
      <c r="G743" s="27" t="s">
        <v>11136</v>
      </c>
      <c r="H743" s="28" t="s">
        <v>11137</v>
      </c>
      <c r="I743" s="5" t="s">
        <v>582</v>
      </c>
    </row>
    <row r="744" spans="1:9" ht="51.75" customHeight="1">
      <c r="A744" s="5" t="s">
        <v>25652</v>
      </c>
      <c r="B744" s="5" t="s">
        <v>25653</v>
      </c>
      <c r="C744" s="5" t="s">
        <v>25654</v>
      </c>
      <c r="D744" s="246" t="s">
        <v>68</v>
      </c>
      <c r="E744" s="5" t="s">
        <v>25655</v>
      </c>
      <c r="F744" s="26" t="s">
        <v>25439</v>
      </c>
      <c r="G744" s="27" t="s">
        <v>11615</v>
      </c>
      <c r="H744" s="28" t="s">
        <v>11616</v>
      </c>
      <c r="I744" s="5" t="s">
        <v>582</v>
      </c>
    </row>
    <row r="745" spans="1:9" ht="51.75" customHeight="1">
      <c r="A745" s="5" t="s">
        <v>25652</v>
      </c>
      <c r="B745" s="5" t="s">
        <v>25656</v>
      </c>
      <c r="C745" s="5" t="s">
        <v>25654</v>
      </c>
      <c r="D745" s="246" t="s">
        <v>68</v>
      </c>
      <c r="E745" s="5" t="s">
        <v>25657</v>
      </c>
      <c r="F745" s="26" t="s">
        <v>25439</v>
      </c>
      <c r="G745" s="27" t="s">
        <v>11615</v>
      </c>
      <c r="H745" s="28" t="s">
        <v>11616</v>
      </c>
      <c r="I745" s="5" t="s">
        <v>582</v>
      </c>
    </row>
    <row r="746" spans="1:9" ht="51.75" customHeight="1">
      <c r="A746" s="5" t="s">
        <v>25652</v>
      </c>
      <c r="B746" s="5" t="s">
        <v>25658</v>
      </c>
      <c r="C746" s="5" t="s">
        <v>25654</v>
      </c>
      <c r="D746" s="246" t="s">
        <v>68</v>
      </c>
      <c r="E746" s="5" t="s">
        <v>25659</v>
      </c>
      <c r="F746" s="26" t="s">
        <v>25439</v>
      </c>
      <c r="G746" s="27" t="s">
        <v>11615</v>
      </c>
      <c r="H746" s="28" t="s">
        <v>11616</v>
      </c>
      <c r="I746" s="5" t="s">
        <v>582</v>
      </c>
    </row>
    <row r="747" spans="1:9" ht="51.75" customHeight="1">
      <c r="A747" s="5" t="s">
        <v>25652</v>
      </c>
      <c r="B747" s="5" t="s">
        <v>25660</v>
      </c>
      <c r="C747" s="5" t="s">
        <v>25654</v>
      </c>
      <c r="D747" s="246" t="s">
        <v>68</v>
      </c>
      <c r="E747" s="5" t="s">
        <v>25661</v>
      </c>
      <c r="F747" s="26" t="s">
        <v>23600</v>
      </c>
      <c r="G747" s="27" t="s">
        <v>11615</v>
      </c>
      <c r="H747" s="28" t="s">
        <v>11616</v>
      </c>
      <c r="I747" s="5" t="s">
        <v>582</v>
      </c>
    </row>
    <row r="748" spans="1:9" ht="51.75" customHeight="1">
      <c r="A748" s="5" t="s">
        <v>25652</v>
      </c>
      <c r="B748" s="5" t="s">
        <v>25662</v>
      </c>
      <c r="C748" s="5" t="s">
        <v>25654</v>
      </c>
      <c r="D748" s="246" t="s">
        <v>68</v>
      </c>
      <c r="E748" s="5" t="s">
        <v>25663</v>
      </c>
      <c r="F748" s="26" t="s">
        <v>23600</v>
      </c>
      <c r="G748" s="27" t="s">
        <v>11615</v>
      </c>
      <c r="H748" s="28" t="s">
        <v>11616</v>
      </c>
      <c r="I748" s="5" t="s">
        <v>582</v>
      </c>
    </row>
    <row r="749" spans="1:9" ht="51.75" customHeight="1">
      <c r="A749" s="5" t="s">
        <v>25652</v>
      </c>
      <c r="B749" s="5" t="s">
        <v>25664</v>
      </c>
      <c r="C749" s="5" t="s">
        <v>25654</v>
      </c>
      <c r="D749" s="246" t="s">
        <v>68</v>
      </c>
      <c r="E749" s="5" t="s">
        <v>25665</v>
      </c>
      <c r="F749" s="26" t="s">
        <v>23600</v>
      </c>
      <c r="G749" s="27" t="s">
        <v>11615</v>
      </c>
      <c r="H749" s="28" t="s">
        <v>11616</v>
      </c>
      <c r="I749" s="5" t="s">
        <v>582</v>
      </c>
    </row>
    <row r="750" spans="1:9" ht="51.75" customHeight="1">
      <c r="A750" s="5" t="s">
        <v>25666</v>
      </c>
      <c r="B750" s="5" t="s">
        <v>25667</v>
      </c>
      <c r="C750" s="5" t="s">
        <v>25668</v>
      </c>
      <c r="D750" s="246">
        <v>43920</v>
      </c>
      <c r="E750" s="5" t="s">
        <v>25669</v>
      </c>
      <c r="F750" s="26" t="s">
        <v>25439</v>
      </c>
      <c r="G750" s="27" t="s">
        <v>15675</v>
      </c>
      <c r="H750" s="28" t="s">
        <v>15676</v>
      </c>
      <c r="I750" s="5" t="s">
        <v>582</v>
      </c>
    </row>
    <row r="751" spans="1:9" ht="51.75" customHeight="1">
      <c r="A751" s="5" t="s">
        <v>25666</v>
      </c>
      <c r="B751" s="5" t="s">
        <v>25670</v>
      </c>
      <c r="C751" s="5" t="s">
        <v>25668</v>
      </c>
      <c r="D751" s="246">
        <v>43920</v>
      </c>
      <c r="E751" s="5" t="s">
        <v>25671</v>
      </c>
      <c r="F751" s="26" t="s">
        <v>23600</v>
      </c>
      <c r="G751" s="27" t="s">
        <v>15675</v>
      </c>
      <c r="H751" s="28" t="s">
        <v>15676</v>
      </c>
      <c r="I751" s="5" t="s">
        <v>582</v>
      </c>
    </row>
    <row r="752" spans="1:9" ht="51.75" customHeight="1">
      <c r="A752" s="5" t="s">
        <v>25358</v>
      </c>
      <c r="B752" s="5" t="s">
        <v>25672</v>
      </c>
      <c r="C752" s="5" t="s">
        <v>25673</v>
      </c>
      <c r="D752" s="246">
        <v>43920</v>
      </c>
      <c r="E752" s="5" t="s">
        <v>25674</v>
      </c>
      <c r="F752" s="26" t="s">
        <v>25439</v>
      </c>
      <c r="G752" s="27" t="s">
        <v>15675</v>
      </c>
      <c r="H752" s="28" t="s">
        <v>15676</v>
      </c>
      <c r="I752" s="5" t="s">
        <v>582</v>
      </c>
    </row>
    <row r="753" spans="1:9" ht="51.75" customHeight="1">
      <c r="A753" s="5" t="s">
        <v>25358</v>
      </c>
      <c r="B753" s="5" t="s">
        <v>25675</v>
      </c>
      <c r="C753" s="5" t="s">
        <v>25673</v>
      </c>
      <c r="D753" s="246">
        <v>43920</v>
      </c>
      <c r="E753" s="5" t="s">
        <v>25676</v>
      </c>
      <c r="F753" s="26" t="s">
        <v>23600</v>
      </c>
      <c r="G753" s="27" t="s">
        <v>15675</v>
      </c>
      <c r="H753" s="28" t="s">
        <v>15676</v>
      </c>
      <c r="I753" s="5" t="s">
        <v>582</v>
      </c>
    </row>
    <row r="754" spans="1:9" ht="51.75" customHeight="1">
      <c r="A754" s="5" t="s">
        <v>25677</v>
      </c>
      <c r="B754" s="5" t="s">
        <v>25678</v>
      </c>
      <c r="C754" s="5" t="s">
        <v>25679</v>
      </c>
      <c r="D754" s="246">
        <v>44137</v>
      </c>
      <c r="E754" s="5" t="s">
        <v>25680</v>
      </c>
      <c r="F754" s="26" t="s">
        <v>25439</v>
      </c>
      <c r="G754" s="27" t="s">
        <v>16750</v>
      </c>
      <c r="H754" s="28" t="s">
        <v>25681</v>
      </c>
      <c r="I754" s="5" t="s">
        <v>582</v>
      </c>
    </row>
    <row r="755" spans="1:9" ht="51.75" customHeight="1">
      <c r="A755" s="5" t="s">
        <v>25677</v>
      </c>
      <c r="B755" s="5" t="s">
        <v>25682</v>
      </c>
      <c r="C755" s="5" t="s">
        <v>25679</v>
      </c>
      <c r="D755" s="246">
        <v>44137</v>
      </c>
      <c r="E755" s="5" t="s">
        <v>25683</v>
      </c>
      <c r="F755" s="26" t="s">
        <v>23600</v>
      </c>
      <c r="G755" s="27" t="s">
        <v>16750</v>
      </c>
      <c r="H755" s="28" t="s">
        <v>25681</v>
      </c>
      <c r="I755" s="5" t="s">
        <v>582</v>
      </c>
    </row>
    <row r="756" spans="1:9" ht="51.75" customHeight="1">
      <c r="A756" s="5"/>
      <c r="B756" s="5" t="s">
        <v>25684</v>
      </c>
      <c r="C756" s="5" t="s">
        <v>25685</v>
      </c>
      <c r="D756" s="246">
        <v>44027</v>
      </c>
      <c r="E756" s="5" t="s">
        <v>25686</v>
      </c>
      <c r="F756" s="26" t="s">
        <v>25439</v>
      </c>
      <c r="G756" s="27" t="s">
        <v>17760</v>
      </c>
      <c r="H756" s="29" t="s">
        <v>17761</v>
      </c>
      <c r="I756" s="30" t="s">
        <v>582</v>
      </c>
    </row>
    <row r="757" spans="1:9" ht="51.75" customHeight="1">
      <c r="A757" s="5"/>
      <c r="B757" s="5" t="s">
        <v>25687</v>
      </c>
      <c r="C757" s="5" t="s">
        <v>25688</v>
      </c>
      <c r="D757" s="246">
        <v>44378</v>
      </c>
      <c r="E757" s="5" t="s">
        <v>25689</v>
      </c>
      <c r="F757" s="26" t="s">
        <v>25439</v>
      </c>
      <c r="G757" s="27" t="s">
        <v>17760</v>
      </c>
      <c r="H757" s="29" t="s">
        <v>17761</v>
      </c>
      <c r="I757" s="30" t="s">
        <v>582</v>
      </c>
    </row>
    <row r="758" spans="1:9" ht="51.75" customHeight="1">
      <c r="A758" s="5"/>
      <c r="B758" s="5" t="s">
        <v>25690</v>
      </c>
      <c r="C758" s="5" t="s">
        <v>25691</v>
      </c>
      <c r="D758" s="246">
        <v>44378</v>
      </c>
      <c r="E758" s="5" t="s">
        <v>25692</v>
      </c>
      <c r="F758" s="26" t="s">
        <v>25439</v>
      </c>
      <c r="G758" s="27" t="s">
        <v>17760</v>
      </c>
      <c r="H758" s="29" t="s">
        <v>17761</v>
      </c>
      <c r="I758" s="30" t="s">
        <v>582</v>
      </c>
    </row>
    <row r="759" spans="1:9" ht="51.75" customHeight="1">
      <c r="A759" s="5"/>
      <c r="B759" s="5" t="str">
        <f>CONCATENATE(G759,"/",COUNTIF($G$2:G759,G759))</f>
        <v>DE-6237/1</v>
      </c>
      <c r="C759" s="5" t="s">
        <v>25693</v>
      </c>
      <c r="D759" s="246">
        <v>44399</v>
      </c>
      <c r="E759" s="5" t="s">
        <v>25694</v>
      </c>
      <c r="F759" s="26" t="s">
        <v>25439</v>
      </c>
      <c r="G759" s="27" t="s">
        <v>17637</v>
      </c>
      <c r="H759" s="29" t="s">
        <v>17638</v>
      </c>
      <c r="I759" s="30" t="s">
        <v>582</v>
      </c>
    </row>
    <row r="760" spans="1:9" ht="51.75" customHeight="1">
      <c r="A760" s="5">
        <v>1</v>
      </c>
      <c r="B760" s="5" t="s">
        <v>25695</v>
      </c>
      <c r="C760" s="5" t="s">
        <v>25696</v>
      </c>
      <c r="D760" s="246">
        <v>39948</v>
      </c>
      <c r="E760" s="5" t="s">
        <v>25697</v>
      </c>
      <c r="F760" s="26"/>
      <c r="G760" s="27" t="s">
        <v>1267</v>
      </c>
      <c r="H760" s="28" t="s">
        <v>1268</v>
      </c>
      <c r="I760" s="5" t="s">
        <v>197</v>
      </c>
    </row>
    <row r="761" spans="1:9" ht="51.75" customHeight="1">
      <c r="A761" s="5">
        <v>2</v>
      </c>
      <c r="B761" s="5" t="s">
        <v>25698</v>
      </c>
      <c r="C761" s="5" t="s">
        <v>25699</v>
      </c>
      <c r="D761" s="246">
        <v>39948</v>
      </c>
      <c r="E761" s="5" t="s">
        <v>25700</v>
      </c>
      <c r="F761" s="26"/>
      <c r="G761" s="27" t="s">
        <v>1267</v>
      </c>
      <c r="H761" s="28" t="s">
        <v>1268</v>
      </c>
      <c r="I761" s="5" t="s">
        <v>197</v>
      </c>
    </row>
    <row r="762" spans="1:9" ht="51.75" customHeight="1">
      <c r="A762" s="5">
        <v>1</v>
      </c>
      <c r="B762" s="5" t="s">
        <v>25701</v>
      </c>
      <c r="C762" s="5" t="s">
        <v>25702</v>
      </c>
      <c r="D762" s="246">
        <v>40652</v>
      </c>
      <c r="E762" s="5" t="s">
        <v>25703</v>
      </c>
      <c r="F762" s="26"/>
      <c r="G762" s="27" t="s">
        <v>3744</v>
      </c>
      <c r="H762" s="28" t="s">
        <v>3745</v>
      </c>
      <c r="I762" s="5" t="s">
        <v>197</v>
      </c>
    </row>
    <row r="763" spans="1:9" ht="51.75" customHeight="1">
      <c r="A763" s="5">
        <v>2</v>
      </c>
      <c r="B763" s="5" t="s">
        <v>25704</v>
      </c>
      <c r="C763" s="5" t="s">
        <v>25705</v>
      </c>
      <c r="D763" s="246">
        <v>40652</v>
      </c>
      <c r="E763" s="5" t="s">
        <v>25706</v>
      </c>
      <c r="F763" s="26"/>
      <c r="G763" s="27" t="s">
        <v>3744</v>
      </c>
      <c r="H763" s="28" t="s">
        <v>3745</v>
      </c>
      <c r="I763" s="5" t="s">
        <v>197</v>
      </c>
    </row>
    <row r="764" spans="1:9" ht="51.75" customHeight="1">
      <c r="A764" s="5">
        <v>3</v>
      </c>
      <c r="B764" s="5" t="s">
        <v>25707</v>
      </c>
      <c r="C764" s="5" t="s">
        <v>25708</v>
      </c>
      <c r="D764" s="246">
        <v>40652</v>
      </c>
      <c r="E764" s="5" t="s">
        <v>25709</v>
      </c>
      <c r="F764" s="26"/>
      <c r="G764" s="27" t="s">
        <v>3744</v>
      </c>
      <c r="H764" s="28" t="s">
        <v>3745</v>
      </c>
      <c r="I764" s="5" t="s">
        <v>197</v>
      </c>
    </row>
    <row r="765" spans="1:9" ht="51.75" customHeight="1">
      <c r="A765" s="5">
        <v>4</v>
      </c>
      <c r="B765" s="5" t="s">
        <v>25710</v>
      </c>
      <c r="C765" s="5" t="s">
        <v>25711</v>
      </c>
      <c r="D765" s="246">
        <v>40652</v>
      </c>
      <c r="E765" s="5" t="s">
        <v>25712</v>
      </c>
      <c r="F765" s="26"/>
      <c r="G765" s="27" t="s">
        <v>3744</v>
      </c>
      <c r="H765" s="28" t="s">
        <v>3745</v>
      </c>
      <c r="I765" s="5" t="s">
        <v>197</v>
      </c>
    </row>
    <row r="766" spans="1:9" ht="51.75" customHeight="1">
      <c r="A766" s="5">
        <v>5</v>
      </c>
      <c r="B766" s="5" t="s">
        <v>25713</v>
      </c>
      <c r="C766" s="5" t="s">
        <v>25714</v>
      </c>
      <c r="D766" s="246">
        <v>40652</v>
      </c>
      <c r="E766" s="5" t="s">
        <v>25715</v>
      </c>
      <c r="F766" s="26"/>
      <c r="G766" s="27" t="s">
        <v>3744</v>
      </c>
      <c r="H766" s="28" t="s">
        <v>3745</v>
      </c>
      <c r="I766" s="5" t="s">
        <v>197</v>
      </c>
    </row>
    <row r="767" spans="1:9" ht="51.75" customHeight="1">
      <c r="A767" s="5">
        <v>6</v>
      </c>
      <c r="B767" s="5" t="s">
        <v>25716</v>
      </c>
      <c r="C767" s="5" t="s">
        <v>25717</v>
      </c>
      <c r="D767" s="246">
        <v>40652</v>
      </c>
      <c r="E767" s="5" t="s">
        <v>25718</v>
      </c>
      <c r="F767" s="26"/>
      <c r="G767" s="27" t="s">
        <v>3744</v>
      </c>
      <c r="H767" s="28" t="s">
        <v>3745</v>
      </c>
      <c r="I767" s="5" t="s">
        <v>197</v>
      </c>
    </row>
    <row r="768" spans="1:9" ht="51.75" customHeight="1">
      <c r="A768" s="5">
        <v>7</v>
      </c>
      <c r="B768" s="5" t="s">
        <v>25719</v>
      </c>
      <c r="C768" s="5" t="s">
        <v>25720</v>
      </c>
      <c r="D768" s="246">
        <v>40652</v>
      </c>
      <c r="E768" s="5" t="s">
        <v>25721</v>
      </c>
      <c r="F768" s="26"/>
      <c r="G768" s="27" t="s">
        <v>3744</v>
      </c>
      <c r="H768" s="28" t="s">
        <v>3745</v>
      </c>
      <c r="I768" s="5" t="s">
        <v>197</v>
      </c>
    </row>
    <row r="769" spans="1:9" ht="51.75" customHeight="1">
      <c r="A769" s="5">
        <v>8</v>
      </c>
      <c r="B769" s="5" t="s">
        <v>25722</v>
      </c>
      <c r="C769" s="5" t="s">
        <v>25723</v>
      </c>
      <c r="D769" s="246">
        <v>40652</v>
      </c>
      <c r="E769" s="5" t="s">
        <v>25724</v>
      </c>
      <c r="F769" s="26"/>
      <c r="G769" s="27" t="s">
        <v>3744</v>
      </c>
      <c r="H769" s="28" t="s">
        <v>3745</v>
      </c>
      <c r="I769" s="5" t="s">
        <v>197</v>
      </c>
    </row>
    <row r="770" spans="1:9" ht="51.75" customHeight="1">
      <c r="A770" s="5">
        <v>9</v>
      </c>
      <c r="B770" s="5" t="s">
        <v>25725</v>
      </c>
      <c r="C770" s="5" t="s">
        <v>25726</v>
      </c>
      <c r="D770" s="246">
        <v>40652</v>
      </c>
      <c r="E770" s="5" t="s">
        <v>25727</v>
      </c>
      <c r="F770" s="26"/>
      <c r="G770" s="27" t="s">
        <v>3744</v>
      </c>
      <c r="H770" s="28" t="s">
        <v>3745</v>
      </c>
      <c r="I770" s="5" t="s">
        <v>197</v>
      </c>
    </row>
    <row r="771" spans="1:9" ht="51.75" customHeight="1">
      <c r="A771" s="5">
        <v>10</v>
      </c>
      <c r="B771" s="5" t="s">
        <v>25728</v>
      </c>
      <c r="C771" s="5" t="s">
        <v>25729</v>
      </c>
      <c r="D771" s="246">
        <v>40652</v>
      </c>
      <c r="E771" s="5" t="s">
        <v>25730</v>
      </c>
      <c r="F771" s="26"/>
      <c r="G771" s="27" t="s">
        <v>3744</v>
      </c>
      <c r="H771" s="28" t="s">
        <v>3745</v>
      </c>
      <c r="I771" s="5" t="s">
        <v>197</v>
      </c>
    </row>
    <row r="772" spans="1:9" ht="51.75" customHeight="1">
      <c r="A772" s="5">
        <v>1</v>
      </c>
      <c r="B772" s="5" t="s">
        <v>25731</v>
      </c>
      <c r="C772" s="5" t="s">
        <v>25732</v>
      </c>
      <c r="D772" s="246">
        <v>40592</v>
      </c>
      <c r="E772" s="5" t="s">
        <v>25733</v>
      </c>
      <c r="F772" s="26"/>
      <c r="G772" s="27" t="s">
        <v>3282</v>
      </c>
      <c r="H772" s="28" t="s">
        <v>3283</v>
      </c>
      <c r="I772" s="5" t="s">
        <v>197</v>
      </c>
    </row>
    <row r="773" spans="1:9" ht="51.75" customHeight="1">
      <c r="A773" s="5">
        <v>2</v>
      </c>
      <c r="B773" s="5" t="s">
        <v>25734</v>
      </c>
      <c r="C773" s="5" t="s">
        <v>25735</v>
      </c>
      <c r="D773" s="246">
        <v>40592</v>
      </c>
      <c r="E773" s="5" t="s">
        <v>25736</v>
      </c>
      <c r="F773" s="26"/>
      <c r="G773" s="27" t="s">
        <v>3282</v>
      </c>
      <c r="H773" s="28" t="s">
        <v>3283</v>
      </c>
      <c r="I773" s="5" t="s">
        <v>197</v>
      </c>
    </row>
    <row r="774" spans="1:9" ht="51.75" customHeight="1">
      <c r="A774" s="5">
        <v>3</v>
      </c>
      <c r="B774" s="5" t="s">
        <v>25737</v>
      </c>
      <c r="C774" s="5" t="s">
        <v>25738</v>
      </c>
      <c r="D774" s="246">
        <v>40592</v>
      </c>
      <c r="E774" s="5" t="s">
        <v>25739</v>
      </c>
      <c r="F774" s="26"/>
      <c r="G774" s="27" t="s">
        <v>3282</v>
      </c>
      <c r="H774" s="28" t="s">
        <v>3283</v>
      </c>
      <c r="I774" s="5" t="s">
        <v>197</v>
      </c>
    </row>
    <row r="775" spans="1:9" ht="51.75" customHeight="1">
      <c r="A775" s="5">
        <v>4</v>
      </c>
      <c r="B775" s="5" t="s">
        <v>25740</v>
      </c>
      <c r="C775" s="5" t="s">
        <v>25741</v>
      </c>
      <c r="D775" s="246">
        <v>40592</v>
      </c>
      <c r="E775" s="5" t="s">
        <v>25742</v>
      </c>
      <c r="F775" s="26"/>
      <c r="G775" s="27" t="s">
        <v>3282</v>
      </c>
      <c r="H775" s="28" t="s">
        <v>3283</v>
      </c>
      <c r="I775" s="5" t="s">
        <v>197</v>
      </c>
    </row>
    <row r="776" spans="1:9" ht="51.75" customHeight="1">
      <c r="A776" s="5">
        <v>5</v>
      </c>
      <c r="B776" s="5" t="s">
        <v>25743</v>
      </c>
      <c r="C776" s="5" t="s">
        <v>25744</v>
      </c>
      <c r="D776" s="246">
        <v>40592</v>
      </c>
      <c r="E776" s="5" t="s">
        <v>25745</v>
      </c>
      <c r="F776" s="26"/>
      <c r="G776" s="27" t="s">
        <v>3282</v>
      </c>
      <c r="H776" s="28" t="s">
        <v>3283</v>
      </c>
      <c r="I776" s="5" t="s">
        <v>197</v>
      </c>
    </row>
    <row r="777" spans="1:9" ht="51.75" customHeight="1">
      <c r="A777" s="5">
        <v>6</v>
      </c>
      <c r="B777" s="5" t="s">
        <v>25746</v>
      </c>
      <c r="C777" s="5" t="s">
        <v>25747</v>
      </c>
      <c r="D777" s="246">
        <v>40592</v>
      </c>
      <c r="E777" s="5" t="s">
        <v>25748</v>
      </c>
      <c r="F777" s="26"/>
      <c r="G777" s="27" t="s">
        <v>3282</v>
      </c>
      <c r="H777" s="28" t="s">
        <v>3283</v>
      </c>
      <c r="I777" s="5" t="s">
        <v>197</v>
      </c>
    </row>
    <row r="778" spans="1:9" ht="51.75" customHeight="1">
      <c r="A778" s="5">
        <v>1</v>
      </c>
      <c r="B778" s="5" t="s">
        <v>25749</v>
      </c>
      <c r="C778" s="5" t="s">
        <v>25750</v>
      </c>
      <c r="D778" s="246">
        <v>40592</v>
      </c>
      <c r="E778" s="5" t="s">
        <v>25750</v>
      </c>
      <c r="F778" s="26"/>
      <c r="G778" s="27" t="s">
        <v>2285</v>
      </c>
      <c r="H778" s="28" t="s">
        <v>2286</v>
      </c>
      <c r="I778" s="5" t="s">
        <v>197</v>
      </c>
    </row>
    <row r="779" spans="1:9" ht="51.75" customHeight="1">
      <c r="A779" s="5">
        <v>1</v>
      </c>
      <c r="B779" s="5" t="s">
        <v>25751</v>
      </c>
      <c r="C779" s="5" t="s">
        <v>25752</v>
      </c>
      <c r="D779" s="246">
        <v>40589</v>
      </c>
      <c r="E779" s="5" t="s">
        <v>25753</v>
      </c>
      <c r="F779" s="26"/>
      <c r="G779" s="27" t="s">
        <v>3335</v>
      </c>
      <c r="H779" s="28" t="s">
        <v>3336</v>
      </c>
      <c r="I779" s="5" t="s">
        <v>197</v>
      </c>
    </row>
    <row r="780" spans="1:9" ht="51.75" customHeight="1">
      <c r="A780" s="5">
        <v>2</v>
      </c>
      <c r="B780" s="5" t="s">
        <v>25754</v>
      </c>
      <c r="C780" s="5" t="s">
        <v>25755</v>
      </c>
      <c r="D780" s="246">
        <v>40589</v>
      </c>
      <c r="E780" s="5" t="s">
        <v>25756</v>
      </c>
      <c r="F780" s="26"/>
      <c r="G780" s="27" t="s">
        <v>3335</v>
      </c>
      <c r="H780" s="28" t="s">
        <v>3336</v>
      </c>
      <c r="I780" s="5" t="s">
        <v>197</v>
      </c>
    </row>
    <row r="781" spans="1:9" ht="51.75" customHeight="1">
      <c r="A781" s="5">
        <v>3</v>
      </c>
      <c r="B781" s="5" t="s">
        <v>25757</v>
      </c>
      <c r="C781" s="5" t="s">
        <v>25758</v>
      </c>
      <c r="D781" s="246">
        <v>40589</v>
      </c>
      <c r="E781" s="5" t="s">
        <v>25759</v>
      </c>
      <c r="F781" s="26"/>
      <c r="G781" s="27" t="s">
        <v>3335</v>
      </c>
      <c r="H781" s="28" t="s">
        <v>3336</v>
      </c>
      <c r="I781" s="5" t="s">
        <v>197</v>
      </c>
    </row>
    <row r="782" spans="1:9" ht="51.75" customHeight="1">
      <c r="A782" s="5">
        <v>4</v>
      </c>
      <c r="B782" s="5" t="s">
        <v>25760</v>
      </c>
      <c r="C782" s="5" t="s">
        <v>25761</v>
      </c>
      <c r="D782" s="246">
        <v>40589</v>
      </c>
      <c r="E782" s="5" t="s">
        <v>25762</v>
      </c>
      <c r="F782" s="26"/>
      <c r="G782" s="27" t="s">
        <v>3335</v>
      </c>
      <c r="H782" s="28" t="s">
        <v>3336</v>
      </c>
      <c r="I782" s="5" t="s">
        <v>197</v>
      </c>
    </row>
    <row r="783" spans="1:9" ht="51.75" customHeight="1">
      <c r="A783" s="5">
        <v>1</v>
      </c>
      <c r="B783" s="5" t="s">
        <v>25763</v>
      </c>
      <c r="C783" s="5" t="s">
        <v>25764</v>
      </c>
      <c r="D783" s="246">
        <v>40674</v>
      </c>
      <c r="E783" s="5" t="s">
        <v>25765</v>
      </c>
      <c r="F783" s="26"/>
      <c r="G783" s="27" t="s">
        <v>3217</v>
      </c>
      <c r="H783" s="28" t="s">
        <v>3218</v>
      </c>
      <c r="I783" s="5" t="s">
        <v>197</v>
      </c>
    </row>
    <row r="784" spans="1:9" ht="51.75" customHeight="1">
      <c r="A784" s="5">
        <v>1</v>
      </c>
      <c r="B784" s="5" t="s">
        <v>25766</v>
      </c>
      <c r="C784" s="5" t="s">
        <v>25767</v>
      </c>
      <c r="D784" s="246">
        <v>40674</v>
      </c>
      <c r="E784" s="5" t="s">
        <v>25768</v>
      </c>
      <c r="F784" s="26"/>
      <c r="G784" s="27" t="s">
        <v>3636</v>
      </c>
      <c r="H784" s="28" t="s">
        <v>3637</v>
      </c>
      <c r="I784" s="5" t="s">
        <v>197</v>
      </c>
    </row>
    <row r="785" spans="1:9" ht="51.75" customHeight="1">
      <c r="A785" s="5">
        <v>2</v>
      </c>
      <c r="B785" s="5" t="s">
        <v>25769</v>
      </c>
      <c r="C785" s="5" t="s">
        <v>25770</v>
      </c>
      <c r="D785" s="246">
        <v>40674</v>
      </c>
      <c r="E785" s="5" t="s">
        <v>25770</v>
      </c>
      <c r="F785" s="26"/>
      <c r="G785" s="27" t="s">
        <v>3636</v>
      </c>
      <c r="H785" s="28" t="s">
        <v>3637</v>
      </c>
      <c r="I785" s="5" t="s">
        <v>197</v>
      </c>
    </row>
    <row r="786" spans="1:9" ht="51.75" customHeight="1">
      <c r="A786" s="5">
        <v>3</v>
      </c>
      <c r="B786" s="5" t="s">
        <v>25771</v>
      </c>
      <c r="C786" s="5" t="s">
        <v>25772</v>
      </c>
      <c r="D786" s="246">
        <v>40674</v>
      </c>
      <c r="E786" s="5" t="s">
        <v>25773</v>
      </c>
      <c r="F786" s="26"/>
      <c r="G786" s="27" t="s">
        <v>3636</v>
      </c>
      <c r="H786" s="28" t="s">
        <v>3637</v>
      </c>
      <c r="I786" s="5" t="s">
        <v>197</v>
      </c>
    </row>
    <row r="787" spans="1:9" ht="51.75" customHeight="1">
      <c r="A787" s="5">
        <v>1</v>
      </c>
      <c r="B787" s="5" t="s">
        <v>25774</v>
      </c>
      <c r="C787" s="5" t="s">
        <v>25775</v>
      </c>
      <c r="D787" s="246">
        <v>40674</v>
      </c>
      <c r="E787" s="5" t="s">
        <v>25775</v>
      </c>
      <c r="F787" s="26"/>
      <c r="G787" s="27" t="s">
        <v>3315</v>
      </c>
      <c r="H787" s="28" t="s">
        <v>3316</v>
      </c>
      <c r="I787" s="5" t="s">
        <v>197</v>
      </c>
    </row>
    <row r="788" spans="1:9" ht="51.75" customHeight="1">
      <c r="A788" s="5">
        <v>2</v>
      </c>
      <c r="B788" s="5" t="s">
        <v>25776</v>
      </c>
      <c r="C788" s="5" t="s">
        <v>25777</v>
      </c>
      <c r="D788" s="246">
        <v>40674</v>
      </c>
      <c r="E788" s="5" t="s">
        <v>25778</v>
      </c>
      <c r="F788" s="26"/>
      <c r="G788" s="27" t="s">
        <v>3315</v>
      </c>
      <c r="H788" s="28" t="s">
        <v>3316</v>
      </c>
      <c r="I788" s="5" t="s">
        <v>197</v>
      </c>
    </row>
    <row r="789" spans="1:9" ht="51.75" customHeight="1">
      <c r="A789" s="5">
        <v>3</v>
      </c>
      <c r="B789" s="5" t="s">
        <v>25779</v>
      </c>
      <c r="C789" s="5" t="s">
        <v>25780</v>
      </c>
      <c r="D789" s="246">
        <v>40674</v>
      </c>
      <c r="E789" s="5" t="s">
        <v>25781</v>
      </c>
      <c r="F789" s="26"/>
      <c r="G789" s="27" t="s">
        <v>3315</v>
      </c>
      <c r="H789" s="28" t="s">
        <v>3316</v>
      </c>
      <c r="I789" s="5" t="s">
        <v>197</v>
      </c>
    </row>
    <row r="790" spans="1:9" ht="51.75" customHeight="1">
      <c r="A790" s="5">
        <v>4</v>
      </c>
      <c r="B790" s="5" t="s">
        <v>25782</v>
      </c>
      <c r="C790" s="5" t="s">
        <v>25783</v>
      </c>
      <c r="D790" s="246">
        <v>40674</v>
      </c>
      <c r="E790" s="5" t="s">
        <v>25783</v>
      </c>
      <c r="F790" s="26"/>
      <c r="G790" s="27" t="s">
        <v>3315</v>
      </c>
      <c r="H790" s="28" t="s">
        <v>3316</v>
      </c>
      <c r="I790" s="5" t="s">
        <v>197</v>
      </c>
    </row>
    <row r="791" spans="1:9" ht="51.75" customHeight="1">
      <c r="A791" s="5">
        <v>1</v>
      </c>
      <c r="B791" s="5" t="s">
        <v>25784</v>
      </c>
      <c r="C791" s="5" t="s">
        <v>25785</v>
      </c>
      <c r="D791" s="246">
        <v>39947</v>
      </c>
      <c r="E791" s="5" t="s">
        <v>25786</v>
      </c>
      <c r="F791" s="26"/>
      <c r="G791" s="27" t="s">
        <v>2227</v>
      </c>
      <c r="H791" s="28" t="s">
        <v>2228</v>
      </c>
      <c r="I791" s="5" t="s">
        <v>197</v>
      </c>
    </row>
    <row r="792" spans="1:9" ht="51.75" customHeight="1">
      <c r="A792" s="5">
        <v>2</v>
      </c>
      <c r="B792" s="5" t="s">
        <v>25787</v>
      </c>
      <c r="C792" s="5" t="s">
        <v>25788</v>
      </c>
      <c r="D792" s="246">
        <v>39947</v>
      </c>
      <c r="E792" s="5" t="s">
        <v>25789</v>
      </c>
      <c r="F792" s="26"/>
      <c r="G792" s="27" t="s">
        <v>2227</v>
      </c>
      <c r="H792" s="28" t="s">
        <v>2228</v>
      </c>
      <c r="I792" s="5" t="s">
        <v>197</v>
      </c>
    </row>
    <row r="793" spans="1:9" ht="51.75" customHeight="1">
      <c r="A793" s="5">
        <v>3</v>
      </c>
      <c r="B793" s="5" t="s">
        <v>25790</v>
      </c>
      <c r="C793" s="5" t="s">
        <v>25791</v>
      </c>
      <c r="D793" s="246">
        <v>39947</v>
      </c>
      <c r="E793" s="5" t="s">
        <v>25792</v>
      </c>
      <c r="F793" s="26"/>
      <c r="G793" s="27" t="s">
        <v>2227</v>
      </c>
      <c r="H793" s="28" t="s">
        <v>2228</v>
      </c>
      <c r="I793" s="5" t="s">
        <v>197</v>
      </c>
    </row>
    <row r="794" spans="1:9" ht="51.75" customHeight="1">
      <c r="A794" s="5">
        <v>4</v>
      </c>
      <c r="B794" s="5" t="s">
        <v>25793</v>
      </c>
      <c r="C794" s="5" t="s">
        <v>25794</v>
      </c>
      <c r="D794" s="246">
        <v>39947</v>
      </c>
      <c r="E794" s="5" t="s">
        <v>25795</v>
      </c>
      <c r="F794" s="26"/>
      <c r="G794" s="27" t="s">
        <v>2227</v>
      </c>
      <c r="H794" s="28" t="s">
        <v>2228</v>
      </c>
      <c r="I794" s="5" t="s">
        <v>197</v>
      </c>
    </row>
    <row r="795" spans="1:9" ht="51.75" customHeight="1">
      <c r="A795" s="5">
        <v>5</v>
      </c>
      <c r="B795" s="5" t="s">
        <v>25796</v>
      </c>
      <c r="C795" s="5" t="s">
        <v>25797</v>
      </c>
      <c r="D795" s="246">
        <v>39947</v>
      </c>
      <c r="E795" s="5" t="s">
        <v>25798</v>
      </c>
      <c r="F795" s="26"/>
      <c r="G795" s="27" t="s">
        <v>2227</v>
      </c>
      <c r="H795" s="28" t="s">
        <v>2228</v>
      </c>
      <c r="I795" s="5" t="s">
        <v>197</v>
      </c>
    </row>
    <row r="796" spans="1:9" ht="51.75" customHeight="1">
      <c r="A796" s="5">
        <v>6</v>
      </c>
      <c r="B796" s="5" t="s">
        <v>25799</v>
      </c>
      <c r="C796" s="5" t="s">
        <v>25800</v>
      </c>
      <c r="D796" s="246">
        <v>39947</v>
      </c>
      <c r="E796" s="5" t="s">
        <v>25801</v>
      </c>
      <c r="F796" s="26"/>
      <c r="G796" s="27" t="s">
        <v>2227</v>
      </c>
      <c r="H796" s="28" t="s">
        <v>2228</v>
      </c>
      <c r="I796" s="5" t="s">
        <v>197</v>
      </c>
    </row>
    <row r="797" spans="1:9" ht="51.75" customHeight="1">
      <c r="A797" s="5">
        <v>1</v>
      </c>
      <c r="B797" s="5" t="s">
        <v>25802</v>
      </c>
      <c r="C797" s="5" t="s">
        <v>25803</v>
      </c>
      <c r="D797" s="246">
        <v>39947</v>
      </c>
      <c r="E797" s="5" t="s">
        <v>25804</v>
      </c>
      <c r="F797" s="26"/>
      <c r="G797" s="27" t="s">
        <v>2050</v>
      </c>
      <c r="H797" s="28" t="s">
        <v>2051</v>
      </c>
      <c r="I797" s="5" t="s">
        <v>197</v>
      </c>
    </row>
    <row r="798" spans="1:9" ht="51.75" customHeight="1">
      <c r="A798" s="5">
        <v>2</v>
      </c>
      <c r="B798" s="5" t="s">
        <v>25805</v>
      </c>
      <c r="C798" s="5" t="s">
        <v>25806</v>
      </c>
      <c r="D798" s="246">
        <v>39947</v>
      </c>
      <c r="E798" s="5" t="s">
        <v>25807</v>
      </c>
      <c r="F798" s="26"/>
      <c r="G798" s="27" t="s">
        <v>2050</v>
      </c>
      <c r="H798" s="28" t="s">
        <v>2051</v>
      </c>
      <c r="I798" s="5" t="s">
        <v>197</v>
      </c>
    </row>
    <row r="799" spans="1:9" ht="51.75" customHeight="1">
      <c r="A799" s="5">
        <v>3</v>
      </c>
      <c r="B799" s="5" t="s">
        <v>25808</v>
      </c>
      <c r="C799" s="5" t="s">
        <v>25809</v>
      </c>
      <c r="D799" s="246">
        <v>39947</v>
      </c>
      <c r="E799" s="5" t="s">
        <v>25810</v>
      </c>
      <c r="F799" s="26"/>
      <c r="G799" s="27" t="s">
        <v>2050</v>
      </c>
      <c r="H799" s="28" t="s">
        <v>2051</v>
      </c>
      <c r="I799" s="5" t="s">
        <v>197</v>
      </c>
    </row>
    <row r="800" spans="1:9" ht="51.75" customHeight="1">
      <c r="A800" s="5">
        <v>4</v>
      </c>
      <c r="B800" s="5" t="s">
        <v>25811</v>
      </c>
      <c r="C800" s="5" t="s">
        <v>25812</v>
      </c>
      <c r="D800" s="246">
        <v>39947</v>
      </c>
      <c r="E800" s="5" t="s">
        <v>25813</v>
      </c>
      <c r="F800" s="26"/>
      <c r="G800" s="27" t="s">
        <v>2050</v>
      </c>
      <c r="H800" s="28" t="s">
        <v>2051</v>
      </c>
      <c r="I800" s="5" t="s">
        <v>197</v>
      </c>
    </row>
    <row r="801" spans="1:9" ht="51.75" customHeight="1">
      <c r="A801" s="5">
        <v>1</v>
      </c>
      <c r="B801" s="5" t="s">
        <v>25814</v>
      </c>
      <c r="C801" s="5" t="s">
        <v>25815</v>
      </c>
      <c r="D801" s="246">
        <v>40592</v>
      </c>
      <c r="E801" s="5" t="s">
        <v>25816</v>
      </c>
      <c r="F801" s="26"/>
      <c r="G801" s="27" t="s">
        <v>2177</v>
      </c>
      <c r="H801" s="28" t="s">
        <v>2178</v>
      </c>
      <c r="I801" s="5" t="s">
        <v>197</v>
      </c>
    </row>
    <row r="802" spans="1:9" ht="51.75" customHeight="1">
      <c r="A802" s="5">
        <v>2</v>
      </c>
      <c r="B802" s="5" t="s">
        <v>25817</v>
      </c>
      <c r="C802" s="5" t="s">
        <v>25818</v>
      </c>
      <c r="D802" s="246">
        <v>40592</v>
      </c>
      <c r="E802" s="5" t="s">
        <v>25819</v>
      </c>
      <c r="F802" s="26"/>
      <c r="G802" s="27" t="s">
        <v>2177</v>
      </c>
      <c r="H802" s="28" t="s">
        <v>2178</v>
      </c>
      <c r="I802" s="5" t="s">
        <v>197</v>
      </c>
    </row>
    <row r="803" spans="1:9" ht="51.75" customHeight="1">
      <c r="A803" s="5">
        <v>3</v>
      </c>
      <c r="B803" s="5" t="s">
        <v>25820</v>
      </c>
      <c r="C803" s="5" t="s">
        <v>25821</v>
      </c>
      <c r="D803" s="246">
        <v>40592</v>
      </c>
      <c r="E803" s="5" t="s">
        <v>25822</v>
      </c>
      <c r="F803" s="26"/>
      <c r="G803" s="27" t="s">
        <v>2177</v>
      </c>
      <c r="H803" s="28" t="s">
        <v>2178</v>
      </c>
      <c r="I803" s="5" t="s">
        <v>197</v>
      </c>
    </row>
    <row r="804" spans="1:9" ht="51.75" customHeight="1">
      <c r="A804" s="5">
        <v>4</v>
      </c>
      <c r="B804" s="5" t="s">
        <v>25823</v>
      </c>
      <c r="C804" s="5" t="s">
        <v>25824</v>
      </c>
      <c r="D804" s="246">
        <v>40592</v>
      </c>
      <c r="E804" s="5" t="s">
        <v>25825</v>
      </c>
      <c r="F804" s="26"/>
      <c r="G804" s="27" t="s">
        <v>2177</v>
      </c>
      <c r="H804" s="28" t="s">
        <v>2178</v>
      </c>
      <c r="I804" s="5" t="s">
        <v>197</v>
      </c>
    </row>
    <row r="805" spans="1:9" ht="51.75" customHeight="1">
      <c r="A805" s="5">
        <v>5</v>
      </c>
      <c r="B805" s="5" t="s">
        <v>25826</v>
      </c>
      <c r="C805" s="5" t="s">
        <v>25827</v>
      </c>
      <c r="D805" s="246">
        <v>40592</v>
      </c>
      <c r="E805" s="5" t="s">
        <v>25828</v>
      </c>
      <c r="F805" s="26"/>
      <c r="G805" s="27" t="s">
        <v>2177</v>
      </c>
      <c r="H805" s="28" t="s">
        <v>2178</v>
      </c>
      <c r="I805" s="5" t="s">
        <v>197</v>
      </c>
    </row>
    <row r="806" spans="1:9" ht="51.75" customHeight="1">
      <c r="A806" s="5">
        <v>1</v>
      </c>
      <c r="B806" s="5" t="s">
        <v>25829</v>
      </c>
      <c r="C806" s="5" t="s">
        <v>25830</v>
      </c>
      <c r="D806" s="246">
        <v>40592</v>
      </c>
      <c r="E806" s="5" t="s">
        <v>25831</v>
      </c>
      <c r="F806" s="26"/>
      <c r="G806" s="27" t="s">
        <v>2276</v>
      </c>
      <c r="H806" s="28" t="s">
        <v>2277</v>
      </c>
      <c r="I806" s="5" t="s">
        <v>197</v>
      </c>
    </row>
    <row r="807" spans="1:9" ht="51.75" customHeight="1">
      <c r="A807" s="5">
        <v>2</v>
      </c>
      <c r="B807" s="5" t="s">
        <v>25832</v>
      </c>
      <c r="C807" s="5" t="s">
        <v>25833</v>
      </c>
      <c r="D807" s="246">
        <v>40592</v>
      </c>
      <c r="E807" s="5" t="s">
        <v>25834</v>
      </c>
      <c r="F807" s="26"/>
      <c r="G807" s="27" t="s">
        <v>2276</v>
      </c>
      <c r="H807" s="28" t="s">
        <v>2277</v>
      </c>
      <c r="I807" s="5" t="s">
        <v>197</v>
      </c>
    </row>
    <row r="808" spans="1:9" ht="51.75" customHeight="1">
      <c r="A808" s="5">
        <v>3</v>
      </c>
      <c r="B808" s="5" t="s">
        <v>25835</v>
      </c>
      <c r="C808" s="5" t="s">
        <v>25836</v>
      </c>
      <c r="D808" s="246">
        <v>40592</v>
      </c>
      <c r="E808" s="5" t="s">
        <v>25836</v>
      </c>
      <c r="F808" s="26"/>
      <c r="G808" s="27" t="s">
        <v>2276</v>
      </c>
      <c r="H808" s="28" t="s">
        <v>2277</v>
      </c>
      <c r="I808" s="5" t="s">
        <v>197</v>
      </c>
    </row>
    <row r="809" spans="1:9" ht="51.75" customHeight="1">
      <c r="A809" s="5">
        <v>1</v>
      </c>
      <c r="B809" s="5" t="s">
        <v>25837</v>
      </c>
      <c r="C809" s="5" t="s">
        <v>25838</v>
      </c>
      <c r="D809" s="246">
        <v>39666</v>
      </c>
      <c r="E809" s="5" t="s">
        <v>25839</v>
      </c>
      <c r="F809" s="26"/>
      <c r="G809" s="27" t="s">
        <v>2258</v>
      </c>
      <c r="H809" s="28" t="s">
        <v>2259</v>
      </c>
      <c r="I809" s="5" t="s">
        <v>197</v>
      </c>
    </row>
    <row r="810" spans="1:9" ht="51.75" customHeight="1">
      <c r="A810" s="5">
        <v>2</v>
      </c>
      <c r="B810" s="5" t="s">
        <v>25840</v>
      </c>
      <c r="C810" s="5" t="s">
        <v>25841</v>
      </c>
      <c r="D810" s="246">
        <v>39666</v>
      </c>
      <c r="E810" s="5" t="s">
        <v>25842</v>
      </c>
      <c r="F810" s="26"/>
      <c r="G810" s="27" t="s">
        <v>2258</v>
      </c>
      <c r="H810" s="28" t="s">
        <v>2259</v>
      </c>
      <c r="I810" s="5" t="s">
        <v>197</v>
      </c>
    </row>
    <row r="811" spans="1:9" ht="51.75" customHeight="1">
      <c r="A811" s="5">
        <v>1</v>
      </c>
      <c r="B811" s="5" t="s">
        <v>25843</v>
      </c>
      <c r="C811" s="5" t="s">
        <v>25844</v>
      </c>
      <c r="D811" s="246">
        <v>38935</v>
      </c>
      <c r="E811" s="5" t="s">
        <v>25845</v>
      </c>
      <c r="F811" s="26"/>
      <c r="G811" s="27" t="s">
        <v>416</v>
      </c>
      <c r="H811" s="28" t="s">
        <v>417</v>
      </c>
      <c r="I811" s="5" t="s">
        <v>197</v>
      </c>
    </row>
    <row r="812" spans="1:9" ht="51.75" customHeight="1">
      <c r="A812" s="5">
        <v>2</v>
      </c>
      <c r="B812" s="5" t="s">
        <v>25846</v>
      </c>
      <c r="C812" s="5" t="s">
        <v>25847</v>
      </c>
      <c r="D812" s="246">
        <v>38935</v>
      </c>
      <c r="E812" s="5" t="s">
        <v>25848</v>
      </c>
      <c r="F812" s="26"/>
      <c r="G812" s="27" t="s">
        <v>416</v>
      </c>
      <c r="H812" s="28" t="s">
        <v>417</v>
      </c>
      <c r="I812" s="5" t="s">
        <v>197</v>
      </c>
    </row>
    <row r="813" spans="1:9" ht="51.75" customHeight="1">
      <c r="A813" s="5">
        <v>1</v>
      </c>
      <c r="B813" s="5" t="s">
        <v>25849</v>
      </c>
      <c r="C813" s="5" t="s">
        <v>25844</v>
      </c>
      <c r="D813" s="246">
        <v>39666</v>
      </c>
      <c r="E813" s="5" t="s">
        <v>25845</v>
      </c>
      <c r="F813" s="26"/>
      <c r="G813" s="27" t="s">
        <v>437</v>
      </c>
      <c r="H813" s="28" t="s">
        <v>438</v>
      </c>
      <c r="I813" s="5" t="s">
        <v>197</v>
      </c>
    </row>
    <row r="814" spans="1:9" ht="51.75" customHeight="1">
      <c r="A814" s="5">
        <v>2</v>
      </c>
      <c r="B814" s="5" t="s">
        <v>25850</v>
      </c>
      <c r="C814" s="5" t="s">
        <v>25847</v>
      </c>
      <c r="D814" s="246">
        <v>39666</v>
      </c>
      <c r="E814" s="5" t="s">
        <v>25848</v>
      </c>
      <c r="F814" s="26"/>
      <c r="G814" s="27" t="s">
        <v>437</v>
      </c>
      <c r="H814" s="28" t="s">
        <v>438</v>
      </c>
      <c r="I814" s="5" t="s">
        <v>197</v>
      </c>
    </row>
    <row r="815" spans="1:9" ht="51.75" customHeight="1">
      <c r="A815" s="5">
        <v>1</v>
      </c>
      <c r="B815" s="5" t="s">
        <v>25851</v>
      </c>
      <c r="C815" s="5" t="s">
        <v>25852</v>
      </c>
      <c r="D815" s="246">
        <v>39666</v>
      </c>
      <c r="E815" s="5" t="s">
        <v>25853</v>
      </c>
      <c r="F815" s="26"/>
      <c r="G815" s="27" t="s">
        <v>1600</v>
      </c>
      <c r="H815" s="28" t="s">
        <v>1601</v>
      </c>
      <c r="I815" s="5" t="s">
        <v>197</v>
      </c>
    </row>
    <row r="816" spans="1:9" ht="51.75" customHeight="1">
      <c r="A816" s="5">
        <v>1</v>
      </c>
      <c r="B816" s="5" t="s">
        <v>25854</v>
      </c>
      <c r="C816" s="5" t="s">
        <v>25855</v>
      </c>
      <c r="D816" s="246">
        <v>39666</v>
      </c>
      <c r="E816" s="5" t="s">
        <v>25856</v>
      </c>
      <c r="F816" s="26"/>
      <c r="G816" s="27" t="s">
        <v>1399</v>
      </c>
      <c r="H816" s="28" t="s">
        <v>1400</v>
      </c>
      <c r="I816" s="5" t="s">
        <v>197</v>
      </c>
    </row>
    <row r="817" spans="1:9" ht="51.75" customHeight="1">
      <c r="A817" s="5">
        <v>2</v>
      </c>
      <c r="B817" s="5" t="s">
        <v>25857</v>
      </c>
      <c r="C817" s="5" t="s">
        <v>25858</v>
      </c>
      <c r="D817" s="246">
        <v>39666</v>
      </c>
      <c r="E817" s="5" t="s">
        <v>25859</v>
      </c>
      <c r="F817" s="26"/>
      <c r="G817" s="27" t="s">
        <v>1399</v>
      </c>
      <c r="H817" s="28" t="s">
        <v>1400</v>
      </c>
      <c r="I817" s="5" t="s">
        <v>197</v>
      </c>
    </row>
    <row r="818" spans="1:9" ht="51.75" customHeight="1">
      <c r="A818" s="5">
        <v>3</v>
      </c>
      <c r="B818" s="5" t="s">
        <v>25860</v>
      </c>
      <c r="C818" s="5" t="s">
        <v>25861</v>
      </c>
      <c r="D818" s="246">
        <v>39666</v>
      </c>
      <c r="E818" s="5" t="s">
        <v>25862</v>
      </c>
      <c r="F818" s="26"/>
      <c r="G818" s="27" t="s">
        <v>1399</v>
      </c>
      <c r="H818" s="28" t="s">
        <v>1400</v>
      </c>
      <c r="I818" s="5" t="s">
        <v>197</v>
      </c>
    </row>
    <row r="819" spans="1:9" ht="51.75" customHeight="1">
      <c r="A819" s="5">
        <v>4</v>
      </c>
      <c r="B819" s="5" t="s">
        <v>25863</v>
      </c>
      <c r="C819" s="5" t="s">
        <v>25864</v>
      </c>
      <c r="D819" s="246">
        <v>39666</v>
      </c>
      <c r="E819" s="5" t="s">
        <v>25865</v>
      </c>
      <c r="F819" s="26"/>
      <c r="G819" s="27" t="s">
        <v>1399</v>
      </c>
      <c r="H819" s="28" t="s">
        <v>1400</v>
      </c>
      <c r="I819" s="5" t="s">
        <v>197</v>
      </c>
    </row>
    <row r="820" spans="1:9" ht="51.75" customHeight="1">
      <c r="A820" s="5">
        <v>5</v>
      </c>
      <c r="B820" s="5" t="s">
        <v>25866</v>
      </c>
      <c r="C820" s="5" t="s">
        <v>25867</v>
      </c>
      <c r="D820" s="246">
        <v>39666</v>
      </c>
      <c r="E820" s="5" t="s">
        <v>25868</v>
      </c>
      <c r="F820" s="26"/>
      <c r="G820" s="27" t="s">
        <v>1399</v>
      </c>
      <c r="H820" s="28" t="s">
        <v>1400</v>
      </c>
      <c r="I820" s="5" t="s">
        <v>197</v>
      </c>
    </row>
    <row r="821" spans="1:9" ht="51.75" customHeight="1">
      <c r="A821" s="5">
        <v>6</v>
      </c>
      <c r="B821" s="5" t="s">
        <v>25869</v>
      </c>
      <c r="C821" s="5" t="s">
        <v>25870</v>
      </c>
      <c r="D821" s="246">
        <v>39666</v>
      </c>
      <c r="E821" s="5" t="s">
        <v>25871</v>
      </c>
      <c r="F821" s="26"/>
      <c r="G821" s="27" t="s">
        <v>1399</v>
      </c>
      <c r="H821" s="28" t="s">
        <v>1400</v>
      </c>
      <c r="I821" s="5" t="s">
        <v>197</v>
      </c>
    </row>
    <row r="822" spans="1:9" ht="51.75" customHeight="1">
      <c r="A822" s="5">
        <v>1</v>
      </c>
      <c r="B822" s="5" t="s">
        <v>25872</v>
      </c>
      <c r="C822" s="5" t="s">
        <v>25873</v>
      </c>
      <c r="D822" s="246">
        <v>39666</v>
      </c>
      <c r="E822" s="5" t="s">
        <v>25873</v>
      </c>
      <c r="F822" s="26"/>
      <c r="G822" s="27" t="s">
        <v>212</v>
      </c>
      <c r="H822" s="28" t="s">
        <v>213</v>
      </c>
      <c r="I822" s="5" t="s">
        <v>197</v>
      </c>
    </row>
    <row r="823" spans="1:9" ht="51.75" customHeight="1">
      <c r="A823" s="5">
        <v>2</v>
      </c>
      <c r="B823" s="5" t="s">
        <v>25874</v>
      </c>
      <c r="C823" s="5" t="s">
        <v>25875</v>
      </c>
      <c r="D823" s="246">
        <v>39666</v>
      </c>
      <c r="E823" s="5" t="s">
        <v>25875</v>
      </c>
      <c r="F823" s="26"/>
      <c r="G823" s="27" t="s">
        <v>212</v>
      </c>
      <c r="H823" s="28" t="s">
        <v>213</v>
      </c>
      <c r="I823" s="5" t="s">
        <v>197</v>
      </c>
    </row>
    <row r="824" spans="1:9" ht="51.75" customHeight="1">
      <c r="A824" s="5">
        <v>3</v>
      </c>
      <c r="B824" s="5" t="s">
        <v>25876</v>
      </c>
      <c r="C824" s="5" t="s">
        <v>25877</v>
      </c>
      <c r="D824" s="246">
        <v>39666</v>
      </c>
      <c r="E824" s="5" t="s">
        <v>25877</v>
      </c>
      <c r="F824" s="26"/>
      <c r="G824" s="27" t="s">
        <v>212</v>
      </c>
      <c r="H824" s="28" t="s">
        <v>213</v>
      </c>
      <c r="I824" s="5" t="s">
        <v>197</v>
      </c>
    </row>
    <row r="825" spans="1:9" ht="51.75" customHeight="1">
      <c r="A825" s="5">
        <v>1</v>
      </c>
      <c r="B825" s="5" t="s">
        <v>25878</v>
      </c>
      <c r="C825" s="5" t="s">
        <v>25879</v>
      </c>
      <c r="D825" s="246">
        <v>39665</v>
      </c>
      <c r="E825" s="5" t="s">
        <v>25880</v>
      </c>
      <c r="F825" s="26"/>
      <c r="G825" s="27" t="s">
        <v>195</v>
      </c>
      <c r="H825" s="28" t="s">
        <v>196</v>
      </c>
      <c r="I825" s="5" t="s">
        <v>197</v>
      </c>
    </row>
    <row r="826" spans="1:9" ht="51.75" customHeight="1">
      <c r="A826" s="5">
        <v>2</v>
      </c>
      <c r="B826" s="5" t="s">
        <v>25881</v>
      </c>
      <c r="C826" s="5" t="s">
        <v>25882</v>
      </c>
      <c r="D826" s="246">
        <v>39665</v>
      </c>
      <c r="E826" s="5" t="s">
        <v>25883</v>
      </c>
      <c r="F826" s="26"/>
      <c r="G826" s="27" t="s">
        <v>195</v>
      </c>
      <c r="H826" s="28" t="s">
        <v>196</v>
      </c>
      <c r="I826" s="5" t="s">
        <v>197</v>
      </c>
    </row>
    <row r="827" spans="1:9" ht="51.75" customHeight="1">
      <c r="A827" s="5">
        <v>3</v>
      </c>
      <c r="B827" s="5" t="s">
        <v>25884</v>
      </c>
      <c r="C827" s="5" t="s">
        <v>25885</v>
      </c>
      <c r="D827" s="246">
        <v>39665</v>
      </c>
      <c r="E827" s="5" t="s">
        <v>25886</v>
      </c>
      <c r="F827" s="26"/>
      <c r="G827" s="27" t="s">
        <v>195</v>
      </c>
      <c r="H827" s="28" t="s">
        <v>196</v>
      </c>
      <c r="I827" s="5" t="s">
        <v>197</v>
      </c>
    </row>
    <row r="828" spans="1:9" ht="51.75" customHeight="1">
      <c r="A828" s="5">
        <v>4</v>
      </c>
      <c r="B828" s="5" t="s">
        <v>25887</v>
      </c>
      <c r="C828" s="5" t="s">
        <v>25888</v>
      </c>
      <c r="D828" s="246">
        <v>39665</v>
      </c>
      <c r="E828" s="5" t="s">
        <v>25889</v>
      </c>
      <c r="F828" s="26"/>
      <c r="G828" s="27" t="s">
        <v>195</v>
      </c>
      <c r="H828" s="28" t="s">
        <v>196</v>
      </c>
      <c r="I828" s="5" t="s">
        <v>197</v>
      </c>
    </row>
    <row r="829" spans="1:9" ht="51.75" customHeight="1">
      <c r="A829" s="5">
        <v>5</v>
      </c>
      <c r="B829" s="5" t="s">
        <v>25890</v>
      </c>
      <c r="C829" s="5" t="s">
        <v>25891</v>
      </c>
      <c r="D829" s="246">
        <v>39665</v>
      </c>
      <c r="E829" s="5" t="s">
        <v>25892</v>
      </c>
      <c r="F829" s="26"/>
      <c r="G829" s="27" t="s">
        <v>195</v>
      </c>
      <c r="H829" s="28" t="s">
        <v>196</v>
      </c>
      <c r="I829" s="5" t="s">
        <v>197</v>
      </c>
    </row>
    <row r="830" spans="1:9" ht="51.75" customHeight="1">
      <c r="A830" s="5">
        <v>6</v>
      </c>
      <c r="B830" s="5" t="s">
        <v>25893</v>
      </c>
      <c r="C830" s="5" t="s">
        <v>25894</v>
      </c>
      <c r="D830" s="246">
        <v>39665</v>
      </c>
      <c r="E830" s="5" t="s">
        <v>25895</v>
      </c>
      <c r="F830" s="26"/>
      <c r="G830" s="27" t="s">
        <v>195</v>
      </c>
      <c r="H830" s="28" t="s">
        <v>196</v>
      </c>
      <c r="I830" s="5" t="s">
        <v>197</v>
      </c>
    </row>
    <row r="831" spans="1:9" ht="51.75" customHeight="1">
      <c r="A831" s="5">
        <v>1</v>
      </c>
      <c r="B831" s="5" t="s">
        <v>25896</v>
      </c>
      <c r="C831" s="5" t="s">
        <v>25897</v>
      </c>
      <c r="D831" s="246">
        <v>39947</v>
      </c>
      <c r="E831" s="5" t="s">
        <v>25897</v>
      </c>
      <c r="F831" s="26"/>
      <c r="G831" s="27" t="s">
        <v>1169</v>
      </c>
      <c r="H831" s="28" t="s">
        <v>1170</v>
      </c>
      <c r="I831" s="5" t="s">
        <v>197</v>
      </c>
    </row>
    <row r="832" spans="1:9" ht="51.75" customHeight="1">
      <c r="A832" s="5">
        <v>2</v>
      </c>
      <c r="B832" s="5" t="s">
        <v>25898</v>
      </c>
      <c r="C832" s="5" t="s">
        <v>25899</v>
      </c>
      <c r="D832" s="246">
        <v>39947</v>
      </c>
      <c r="E832" s="5" t="s">
        <v>25899</v>
      </c>
      <c r="F832" s="26"/>
      <c r="G832" s="27" t="s">
        <v>1169</v>
      </c>
      <c r="H832" s="28" t="s">
        <v>1170</v>
      </c>
      <c r="I832" s="5" t="s">
        <v>197</v>
      </c>
    </row>
    <row r="833" spans="1:9" ht="51.75" customHeight="1">
      <c r="A833" s="5" t="s">
        <v>23740</v>
      </c>
      <c r="B833" s="5" t="s">
        <v>25900</v>
      </c>
      <c r="C833" s="5" t="s">
        <v>25901</v>
      </c>
      <c r="D833" s="246">
        <v>41156</v>
      </c>
      <c r="E833" s="5" t="s">
        <v>25902</v>
      </c>
      <c r="F833" s="26" t="s">
        <v>25439</v>
      </c>
      <c r="G833" s="27" t="s">
        <v>7095</v>
      </c>
      <c r="H833" s="28" t="s">
        <v>7096</v>
      </c>
      <c r="I833" s="5" t="s">
        <v>197</v>
      </c>
    </row>
    <row r="834" spans="1:9" ht="51.75" customHeight="1">
      <c r="A834" s="5" t="s">
        <v>23740</v>
      </c>
      <c r="B834" s="5" t="s">
        <v>25903</v>
      </c>
      <c r="C834" s="5" t="s">
        <v>25901</v>
      </c>
      <c r="D834" s="246">
        <v>41156</v>
      </c>
      <c r="E834" s="5" t="s">
        <v>25904</v>
      </c>
      <c r="F834" s="26" t="s">
        <v>23600</v>
      </c>
      <c r="G834" s="27" t="s">
        <v>7095</v>
      </c>
      <c r="H834" s="28" t="s">
        <v>7096</v>
      </c>
      <c r="I834" s="5" t="s">
        <v>197</v>
      </c>
    </row>
    <row r="835" spans="1:9" ht="51.75" customHeight="1">
      <c r="A835" s="5" t="s">
        <v>25905</v>
      </c>
      <c r="B835" s="5" t="s">
        <v>25906</v>
      </c>
      <c r="C835" s="5" t="s">
        <v>25907</v>
      </c>
      <c r="D835" s="246">
        <v>41156</v>
      </c>
      <c r="E835" s="5" t="s">
        <v>25908</v>
      </c>
      <c r="F835" s="26" t="s">
        <v>25439</v>
      </c>
      <c r="G835" s="27" t="s">
        <v>7095</v>
      </c>
      <c r="H835" s="28" t="s">
        <v>7096</v>
      </c>
      <c r="I835" s="5" t="s">
        <v>197</v>
      </c>
    </row>
    <row r="836" spans="1:9" ht="51.75" customHeight="1">
      <c r="A836" s="5" t="s">
        <v>25905</v>
      </c>
      <c r="B836" s="5" t="s">
        <v>25909</v>
      </c>
      <c r="C836" s="5" t="s">
        <v>25907</v>
      </c>
      <c r="D836" s="246">
        <v>41156</v>
      </c>
      <c r="E836" s="5" t="s">
        <v>25910</v>
      </c>
      <c r="F836" s="26" t="s">
        <v>23600</v>
      </c>
      <c r="G836" s="27" t="s">
        <v>7095</v>
      </c>
      <c r="H836" s="28" t="s">
        <v>7096</v>
      </c>
      <c r="I836" s="5" t="s">
        <v>197</v>
      </c>
    </row>
    <row r="837" spans="1:9" ht="51.75" customHeight="1">
      <c r="A837" s="5" t="s">
        <v>25652</v>
      </c>
      <c r="B837" s="5" t="s">
        <v>25911</v>
      </c>
      <c r="C837" s="5" t="s">
        <v>23621</v>
      </c>
      <c r="D837" s="246">
        <v>41088</v>
      </c>
      <c r="E837" s="5" t="s">
        <v>25912</v>
      </c>
      <c r="F837" s="26" t="s">
        <v>25439</v>
      </c>
      <c r="G837" s="27" t="s">
        <v>6883</v>
      </c>
      <c r="H837" s="28" t="s">
        <v>6884</v>
      </c>
      <c r="I837" s="5" t="s">
        <v>197</v>
      </c>
    </row>
    <row r="838" spans="1:9" ht="51.75" customHeight="1">
      <c r="A838" s="5" t="s">
        <v>25652</v>
      </c>
      <c r="B838" s="5" t="s">
        <v>25913</v>
      </c>
      <c r="C838" s="5" t="s">
        <v>23621</v>
      </c>
      <c r="D838" s="246">
        <v>41088</v>
      </c>
      <c r="E838" s="5" t="s">
        <v>25914</v>
      </c>
      <c r="F838" s="26" t="s">
        <v>23600</v>
      </c>
      <c r="G838" s="27" t="s">
        <v>6883</v>
      </c>
      <c r="H838" s="28" t="s">
        <v>6884</v>
      </c>
      <c r="I838" s="5" t="s">
        <v>197</v>
      </c>
    </row>
    <row r="839" spans="1:9" ht="51.75" customHeight="1">
      <c r="A839" s="5" t="s">
        <v>25915</v>
      </c>
      <c r="B839" s="5" t="s">
        <v>25916</v>
      </c>
      <c r="C839" s="5" t="s">
        <v>23625</v>
      </c>
      <c r="D839" s="246">
        <v>41088</v>
      </c>
      <c r="E839" s="5" t="s">
        <v>25917</v>
      </c>
      <c r="F839" s="26" t="s">
        <v>25439</v>
      </c>
      <c r="G839" s="27" t="s">
        <v>6883</v>
      </c>
      <c r="H839" s="28" t="s">
        <v>6884</v>
      </c>
      <c r="I839" s="5" t="s">
        <v>197</v>
      </c>
    </row>
    <row r="840" spans="1:9" ht="51.75" customHeight="1">
      <c r="A840" s="5" t="s">
        <v>25915</v>
      </c>
      <c r="B840" s="5" t="s">
        <v>25918</v>
      </c>
      <c r="C840" s="5" t="s">
        <v>23625</v>
      </c>
      <c r="D840" s="246">
        <v>41088</v>
      </c>
      <c r="E840" s="5" t="s">
        <v>25919</v>
      </c>
      <c r="F840" s="26" t="s">
        <v>23600</v>
      </c>
      <c r="G840" s="27" t="s">
        <v>6883</v>
      </c>
      <c r="H840" s="28" t="s">
        <v>6884</v>
      </c>
      <c r="I840" s="5" t="s">
        <v>197</v>
      </c>
    </row>
    <row r="841" spans="1:9" ht="51.75" customHeight="1">
      <c r="A841" s="5" t="s">
        <v>25920</v>
      </c>
      <c r="B841" s="5" t="s">
        <v>25921</v>
      </c>
      <c r="C841" s="5" t="s">
        <v>25922</v>
      </c>
      <c r="D841" s="246">
        <v>41088</v>
      </c>
      <c r="E841" s="5" t="s">
        <v>25923</v>
      </c>
      <c r="F841" s="26" t="s">
        <v>25439</v>
      </c>
      <c r="G841" s="27" t="s">
        <v>6883</v>
      </c>
      <c r="H841" s="28" t="s">
        <v>6884</v>
      </c>
      <c r="I841" s="5" t="s">
        <v>197</v>
      </c>
    </row>
    <row r="842" spans="1:9" ht="51.75" customHeight="1">
      <c r="A842" s="5" t="s">
        <v>25920</v>
      </c>
      <c r="B842" s="5" t="s">
        <v>25924</v>
      </c>
      <c r="C842" s="5" t="s">
        <v>25922</v>
      </c>
      <c r="D842" s="246">
        <v>41088</v>
      </c>
      <c r="E842" s="5" t="s">
        <v>25925</v>
      </c>
      <c r="F842" s="26" t="s">
        <v>23600</v>
      </c>
      <c r="G842" s="27" t="s">
        <v>6883</v>
      </c>
      <c r="H842" s="28" t="s">
        <v>6884</v>
      </c>
      <c r="I842" s="5" t="s">
        <v>197</v>
      </c>
    </row>
    <row r="843" spans="1:9" ht="51.75" customHeight="1">
      <c r="A843" s="5" t="s">
        <v>25926</v>
      </c>
      <c r="B843" s="5" t="s">
        <v>25927</v>
      </c>
      <c r="C843" s="5" t="s">
        <v>25928</v>
      </c>
      <c r="D843" s="246">
        <v>41088</v>
      </c>
      <c r="E843" s="5" t="s">
        <v>25929</v>
      </c>
      <c r="F843" s="26" t="s">
        <v>25439</v>
      </c>
      <c r="G843" s="27" t="s">
        <v>6883</v>
      </c>
      <c r="H843" s="28" t="s">
        <v>6884</v>
      </c>
      <c r="I843" s="5" t="s">
        <v>197</v>
      </c>
    </row>
    <row r="844" spans="1:9" ht="51.75" customHeight="1">
      <c r="A844" s="5" t="s">
        <v>25926</v>
      </c>
      <c r="B844" s="5" t="s">
        <v>25930</v>
      </c>
      <c r="C844" s="5" t="s">
        <v>25928</v>
      </c>
      <c r="D844" s="246">
        <v>41088</v>
      </c>
      <c r="E844" s="5" t="s">
        <v>25931</v>
      </c>
      <c r="F844" s="26" t="s">
        <v>23600</v>
      </c>
      <c r="G844" s="27" t="s">
        <v>6883</v>
      </c>
      <c r="H844" s="28" t="s">
        <v>6884</v>
      </c>
      <c r="I844" s="5" t="s">
        <v>197</v>
      </c>
    </row>
    <row r="845" spans="1:9" ht="51.75" customHeight="1">
      <c r="A845" s="5" t="s">
        <v>25932</v>
      </c>
      <c r="B845" s="5" t="s">
        <v>25933</v>
      </c>
      <c r="C845" s="5" t="s">
        <v>25934</v>
      </c>
      <c r="D845" s="246">
        <v>41088</v>
      </c>
      <c r="E845" s="5" t="s">
        <v>25935</v>
      </c>
      <c r="F845" s="26" t="s">
        <v>25439</v>
      </c>
      <c r="G845" s="27" t="s">
        <v>6883</v>
      </c>
      <c r="H845" s="28" t="s">
        <v>6884</v>
      </c>
      <c r="I845" s="5" t="s">
        <v>197</v>
      </c>
    </row>
    <row r="846" spans="1:9" ht="51.75" customHeight="1">
      <c r="A846" s="5" t="s">
        <v>25932</v>
      </c>
      <c r="B846" s="5" t="s">
        <v>25936</v>
      </c>
      <c r="C846" s="5" t="s">
        <v>25934</v>
      </c>
      <c r="D846" s="246">
        <v>41088</v>
      </c>
      <c r="E846" s="5" t="s">
        <v>25937</v>
      </c>
      <c r="F846" s="26" t="s">
        <v>23600</v>
      </c>
      <c r="G846" s="27" t="s">
        <v>6883</v>
      </c>
      <c r="H846" s="28" t="s">
        <v>6884</v>
      </c>
      <c r="I846" s="5" t="s">
        <v>197</v>
      </c>
    </row>
    <row r="847" spans="1:9" ht="51.75" customHeight="1">
      <c r="A847" s="5" t="s">
        <v>25938</v>
      </c>
      <c r="B847" s="5" t="s">
        <v>25939</v>
      </c>
      <c r="C847" s="5" t="s">
        <v>25940</v>
      </c>
      <c r="D847" s="246">
        <v>40938</v>
      </c>
      <c r="E847" s="5" t="s">
        <v>25941</v>
      </c>
      <c r="F847" s="26" t="s">
        <v>25439</v>
      </c>
      <c r="G847" s="27" t="s">
        <v>6704</v>
      </c>
      <c r="H847" s="28" t="s">
        <v>6705</v>
      </c>
      <c r="I847" s="5" t="s">
        <v>197</v>
      </c>
    </row>
    <row r="848" spans="1:9" ht="51.75" customHeight="1">
      <c r="A848" s="5" t="s">
        <v>25938</v>
      </c>
      <c r="B848" s="5" t="s">
        <v>25942</v>
      </c>
      <c r="C848" s="5" t="s">
        <v>25940</v>
      </c>
      <c r="D848" s="246">
        <v>40938</v>
      </c>
      <c r="E848" s="5" t="s">
        <v>25943</v>
      </c>
      <c r="F848" s="26" t="s">
        <v>23600</v>
      </c>
      <c r="G848" s="27" t="s">
        <v>6704</v>
      </c>
      <c r="H848" s="28" t="s">
        <v>6705</v>
      </c>
      <c r="I848" s="5" t="s">
        <v>197</v>
      </c>
    </row>
    <row r="849" spans="1:9" ht="51.75" customHeight="1">
      <c r="A849" s="5" t="s">
        <v>25944</v>
      </c>
      <c r="B849" s="5" t="s">
        <v>25945</v>
      </c>
      <c r="C849" s="5" t="s">
        <v>23621</v>
      </c>
      <c r="D849" s="246">
        <v>40899</v>
      </c>
      <c r="E849" s="5" t="s">
        <v>25946</v>
      </c>
      <c r="F849" s="26" t="s">
        <v>25439</v>
      </c>
      <c r="G849" s="27" t="s">
        <v>6641</v>
      </c>
      <c r="H849" s="28" t="s">
        <v>6642</v>
      </c>
      <c r="I849" s="5" t="s">
        <v>197</v>
      </c>
    </row>
    <row r="850" spans="1:9" ht="51.75" customHeight="1">
      <c r="A850" s="5" t="s">
        <v>25944</v>
      </c>
      <c r="B850" s="5" t="s">
        <v>25947</v>
      </c>
      <c r="C850" s="5" t="s">
        <v>23621</v>
      </c>
      <c r="D850" s="246">
        <v>40899</v>
      </c>
      <c r="E850" s="5" t="s">
        <v>25948</v>
      </c>
      <c r="F850" s="26" t="s">
        <v>23600</v>
      </c>
      <c r="G850" s="27" t="s">
        <v>6641</v>
      </c>
      <c r="H850" s="28" t="s">
        <v>6642</v>
      </c>
      <c r="I850" s="5" t="s">
        <v>197</v>
      </c>
    </row>
    <row r="851" spans="1:9" ht="51.75" customHeight="1">
      <c r="A851" s="5" t="s">
        <v>25000</v>
      </c>
      <c r="B851" s="5" t="s">
        <v>25949</v>
      </c>
      <c r="C851" s="5" t="s">
        <v>23625</v>
      </c>
      <c r="D851" s="246">
        <v>40899</v>
      </c>
      <c r="E851" s="5" t="s">
        <v>25950</v>
      </c>
      <c r="F851" s="26" t="s">
        <v>25439</v>
      </c>
      <c r="G851" s="27" t="s">
        <v>6641</v>
      </c>
      <c r="H851" s="28" t="s">
        <v>6642</v>
      </c>
      <c r="I851" s="5" t="s">
        <v>197</v>
      </c>
    </row>
    <row r="852" spans="1:9" ht="51.75" customHeight="1">
      <c r="A852" s="5" t="s">
        <v>25000</v>
      </c>
      <c r="B852" s="5" t="s">
        <v>25951</v>
      </c>
      <c r="C852" s="5" t="s">
        <v>23625</v>
      </c>
      <c r="D852" s="246">
        <v>40899</v>
      </c>
      <c r="E852" s="5" t="s">
        <v>25952</v>
      </c>
      <c r="F852" s="26" t="s">
        <v>23600</v>
      </c>
      <c r="G852" s="27" t="s">
        <v>6641</v>
      </c>
      <c r="H852" s="28" t="s">
        <v>6642</v>
      </c>
      <c r="I852" s="5" t="s">
        <v>197</v>
      </c>
    </row>
    <row r="853" spans="1:9" ht="51.75" customHeight="1">
      <c r="A853" s="5" t="s">
        <v>25953</v>
      </c>
      <c r="B853" s="5" t="s">
        <v>25954</v>
      </c>
      <c r="C853" s="5" t="s">
        <v>23621</v>
      </c>
      <c r="D853" s="246">
        <v>40960</v>
      </c>
      <c r="E853" s="5" t="s">
        <v>25955</v>
      </c>
      <c r="F853" s="26" t="s">
        <v>25439</v>
      </c>
      <c r="G853" s="27" t="s">
        <v>6229</v>
      </c>
      <c r="H853" s="28" t="s">
        <v>6230</v>
      </c>
      <c r="I853" s="5" t="s">
        <v>197</v>
      </c>
    </row>
    <row r="854" spans="1:9" ht="51.75" customHeight="1">
      <c r="A854" s="5" t="s">
        <v>25953</v>
      </c>
      <c r="B854" s="5" t="s">
        <v>25956</v>
      </c>
      <c r="C854" s="5" t="s">
        <v>23621</v>
      </c>
      <c r="D854" s="246">
        <v>40960</v>
      </c>
      <c r="E854" s="5" t="s">
        <v>25957</v>
      </c>
      <c r="F854" s="26" t="s">
        <v>23600</v>
      </c>
      <c r="G854" s="27" t="s">
        <v>6229</v>
      </c>
      <c r="H854" s="28" t="s">
        <v>6230</v>
      </c>
      <c r="I854" s="5" t="s">
        <v>197</v>
      </c>
    </row>
    <row r="855" spans="1:9" ht="51.75" customHeight="1">
      <c r="A855" s="5" t="s">
        <v>25958</v>
      </c>
      <c r="B855" s="5" t="s">
        <v>25959</v>
      </c>
      <c r="C855" s="5" t="s">
        <v>23625</v>
      </c>
      <c r="D855" s="246">
        <v>40960</v>
      </c>
      <c r="E855" s="5" t="s">
        <v>25960</v>
      </c>
      <c r="F855" s="26" t="s">
        <v>25439</v>
      </c>
      <c r="G855" s="27" t="s">
        <v>6229</v>
      </c>
      <c r="H855" s="28" t="s">
        <v>6230</v>
      </c>
      <c r="I855" s="5" t="s">
        <v>197</v>
      </c>
    </row>
    <row r="856" spans="1:9" ht="51.75" customHeight="1">
      <c r="A856" s="5" t="s">
        <v>25958</v>
      </c>
      <c r="B856" s="5" t="s">
        <v>25961</v>
      </c>
      <c r="C856" s="5" t="s">
        <v>23625</v>
      </c>
      <c r="D856" s="246">
        <v>40960</v>
      </c>
      <c r="E856" s="5" t="s">
        <v>25962</v>
      </c>
      <c r="F856" s="26" t="s">
        <v>23600</v>
      </c>
      <c r="G856" s="27" t="s">
        <v>6229</v>
      </c>
      <c r="H856" s="28" t="s">
        <v>6230</v>
      </c>
      <c r="I856" s="5" t="s">
        <v>197</v>
      </c>
    </row>
    <row r="857" spans="1:9" ht="51.75" customHeight="1">
      <c r="A857" s="5" t="s">
        <v>24674</v>
      </c>
      <c r="B857" s="5" t="s">
        <v>25963</v>
      </c>
      <c r="C857" s="5" t="s">
        <v>23621</v>
      </c>
      <c r="D857" s="246">
        <v>41079</v>
      </c>
      <c r="E857" s="5" t="s">
        <v>25964</v>
      </c>
      <c r="F857" s="26" t="s">
        <v>25439</v>
      </c>
      <c r="G857" s="27" t="s">
        <v>6224</v>
      </c>
      <c r="H857" s="28" t="s">
        <v>6225</v>
      </c>
      <c r="I857" s="5" t="s">
        <v>197</v>
      </c>
    </row>
    <row r="858" spans="1:9" ht="51.75" customHeight="1">
      <c r="A858" s="5" t="s">
        <v>24674</v>
      </c>
      <c r="B858" s="5" t="s">
        <v>25965</v>
      </c>
      <c r="C858" s="5" t="s">
        <v>23621</v>
      </c>
      <c r="D858" s="246">
        <v>41079</v>
      </c>
      <c r="E858" s="5" t="s">
        <v>25966</v>
      </c>
      <c r="F858" s="26" t="s">
        <v>23600</v>
      </c>
      <c r="G858" s="27" t="s">
        <v>6224</v>
      </c>
      <c r="H858" s="28" t="s">
        <v>6225</v>
      </c>
      <c r="I858" s="5" t="s">
        <v>197</v>
      </c>
    </row>
    <row r="859" spans="1:9" ht="51.75" customHeight="1">
      <c r="A859" s="5" t="s">
        <v>24963</v>
      </c>
      <c r="B859" s="5" t="s">
        <v>25967</v>
      </c>
      <c r="C859" s="5" t="s">
        <v>23625</v>
      </c>
      <c r="D859" s="246">
        <v>41079</v>
      </c>
      <c r="E859" s="5" t="s">
        <v>25968</v>
      </c>
      <c r="F859" s="26" t="s">
        <v>25439</v>
      </c>
      <c r="G859" s="27" t="s">
        <v>6224</v>
      </c>
      <c r="H859" s="28" t="s">
        <v>6225</v>
      </c>
      <c r="I859" s="5" t="s">
        <v>197</v>
      </c>
    </row>
    <row r="860" spans="1:9" ht="51.75" customHeight="1">
      <c r="A860" s="5" t="s">
        <v>24963</v>
      </c>
      <c r="B860" s="5" t="s">
        <v>25969</v>
      </c>
      <c r="C860" s="5" t="s">
        <v>23625</v>
      </c>
      <c r="D860" s="246">
        <v>41079</v>
      </c>
      <c r="E860" s="5" t="s">
        <v>25970</v>
      </c>
      <c r="F860" s="26" t="s">
        <v>23600</v>
      </c>
      <c r="G860" s="27" t="s">
        <v>6224</v>
      </c>
      <c r="H860" s="28" t="s">
        <v>6225</v>
      </c>
      <c r="I860" s="5" t="s">
        <v>197</v>
      </c>
    </row>
    <row r="861" spans="1:9" ht="51.75" customHeight="1">
      <c r="A861" s="5" t="s">
        <v>25018</v>
      </c>
      <c r="B861" s="5" t="s">
        <v>25971</v>
      </c>
      <c r="C861" s="5" t="s">
        <v>25972</v>
      </c>
      <c r="D861" s="246">
        <v>41079</v>
      </c>
      <c r="E861" s="5" t="s">
        <v>25973</v>
      </c>
      <c r="F861" s="26" t="s">
        <v>25439</v>
      </c>
      <c r="G861" s="27" t="s">
        <v>6224</v>
      </c>
      <c r="H861" s="28" t="s">
        <v>6225</v>
      </c>
      <c r="I861" s="5" t="s">
        <v>197</v>
      </c>
    </row>
    <row r="862" spans="1:9" ht="51.75" customHeight="1">
      <c r="A862" s="5" t="s">
        <v>25018</v>
      </c>
      <c r="B862" s="5" t="s">
        <v>25974</v>
      </c>
      <c r="C862" s="5" t="s">
        <v>25972</v>
      </c>
      <c r="D862" s="246">
        <v>41079</v>
      </c>
      <c r="E862" s="5" t="s">
        <v>25975</v>
      </c>
      <c r="F862" s="26" t="s">
        <v>23600</v>
      </c>
      <c r="G862" s="27" t="s">
        <v>6224</v>
      </c>
      <c r="H862" s="28" t="s">
        <v>6225</v>
      </c>
      <c r="I862" s="5" t="s">
        <v>197</v>
      </c>
    </row>
    <row r="863" spans="1:9" ht="51.75" customHeight="1">
      <c r="A863" s="5" t="s">
        <v>23744</v>
      </c>
      <c r="B863" s="5" t="s">
        <v>25976</v>
      </c>
      <c r="C863" s="5" t="s">
        <v>25928</v>
      </c>
      <c r="D863" s="246">
        <v>41079</v>
      </c>
      <c r="E863" s="5" t="s">
        <v>25977</v>
      </c>
      <c r="F863" s="26" t="s">
        <v>25439</v>
      </c>
      <c r="G863" s="27" t="s">
        <v>6224</v>
      </c>
      <c r="H863" s="28" t="s">
        <v>6225</v>
      </c>
      <c r="I863" s="5" t="s">
        <v>197</v>
      </c>
    </row>
    <row r="864" spans="1:9" ht="51.75" customHeight="1">
      <c r="A864" s="5" t="s">
        <v>23744</v>
      </c>
      <c r="B864" s="5" t="s">
        <v>25978</v>
      </c>
      <c r="C864" s="5" t="s">
        <v>25928</v>
      </c>
      <c r="D864" s="246">
        <v>41079</v>
      </c>
      <c r="E864" s="5" t="s">
        <v>25979</v>
      </c>
      <c r="F864" s="26" t="s">
        <v>23600</v>
      </c>
      <c r="G864" s="27" t="s">
        <v>6224</v>
      </c>
      <c r="H864" s="28" t="s">
        <v>6225</v>
      </c>
      <c r="I864" s="5" t="s">
        <v>197</v>
      </c>
    </row>
    <row r="865" spans="1:9" ht="51.75" customHeight="1">
      <c r="A865" s="5" t="s">
        <v>23942</v>
      </c>
      <c r="B865" s="5" t="s">
        <v>25980</v>
      </c>
      <c r="C865" s="5" t="s">
        <v>25934</v>
      </c>
      <c r="D865" s="246">
        <v>41079</v>
      </c>
      <c r="E865" s="5" t="s">
        <v>25981</v>
      </c>
      <c r="F865" s="26" t="s">
        <v>25439</v>
      </c>
      <c r="G865" s="27" t="s">
        <v>6224</v>
      </c>
      <c r="H865" s="28" t="s">
        <v>6225</v>
      </c>
      <c r="I865" s="5" t="s">
        <v>197</v>
      </c>
    </row>
    <row r="866" spans="1:9" ht="51.75" customHeight="1">
      <c r="A866" s="5" t="s">
        <v>23942</v>
      </c>
      <c r="B866" s="5" t="s">
        <v>25982</v>
      </c>
      <c r="C866" s="5" t="s">
        <v>25934</v>
      </c>
      <c r="D866" s="246">
        <v>41079</v>
      </c>
      <c r="E866" s="5" t="s">
        <v>25983</v>
      </c>
      <c r="F866" s="26" t="s">
        <v>23600</v>
      </c>
      <c r="G866" s="27" t="s">
        <v>6224</v>
      </c>
      <c r="H866" s="28" t="s">
        <v>6225</v>
      </c>
      <c r="I866" s="5" t="s">
        <v>197</v>
      </c>
    </row>
    <row r="867" spans="1:9" ht="51.75" customHeight="1">
      <c r="A867" s="5" t="s">
        <v>25984</v>
      </c>
      <c r="B867" s="5" t="s">
        <v>25985</v>
      </c>
      <c r="C867" s="5" t="s">
        <v>25986</v>
      </c>
      <c r="D867" s="246">
        <v>41079</v>
      </c>
      <c r="E867" s="5" t="s">
        <v>25987</v>
      </c>
      <c r="F867" s="26" t="s">
        <v>25439</v>
      </c>
      <c r="G867" s="27" t="s">
        <v>6224</v>
      </c>
      <c r="H867" s="28" t="s">
        <v>6225</v>
      </c>
      <c r="I867" s="5" t="s">
        <v>197</v>
      </c>
    </row>
    <row r="868" spans="1:9" ht="51.75" customHeight="1">
      <c r="A868" s="5" t="s">
        <v>25984</v>
      </c>
      <c r="B868" s="5" t="s">
        <v>25988</v>
      </c>
      <c r="C868" s="5" t="s">
        <v>25986</v>
      </c>
      <c r="D868" s="246">
        <v>41079</v>
      </c>
      <c r="E868" s="5" t="s">
        <v>25989</v>
      </c>
      <c r="F868" s="26" t="s">
        <v>23600</v>
      </c>
      <c r="G868" s="27" t="s">
        <v>6224</v>
      </c>
      <c r="H868" s="28" t="s">
        <v>6225</v>
      </c>
      <c r="I868" s="5" t="s">
        <v>197</v>
      </c>
    </row>
    <row r="869" spans="1:9" ht="51.75" customHeight="1">
      <c r="A869" s="5" t="s">
        <v>25990</v>
      </c>
      <c r="B869" s="5" t="s">
        <v>25991</v>
      </c>
      <c r="C869" s="5" t="s">
        <v>25992</v>
      </c>
      <c r="D869" s="246">
        <v>41079</v>
      </c>
      <c r="E869" s="5" t="s">
        <v>25993</v>
      </c>
      <c r="F869" s="26" t="s">
        <v>25439</v>
      </c>
      <c r="G869" s="27" t="s">
        <v>6224</v>
      </c>
      <c r="H869" s="28" t="s">
        <v>6225</v>
      </c>
      <c r="I869" s="5" t="s">
        <v>197</v>
      </c>
    </row>
    <row r="870" spans="1:9" ht="51.75" customHeight="1">
      <c r="A870" s="5" t="s">
        <v>25990</v>
      </c>
      <c r="B870" s="5" t="s">
        <v>25994</v>
      </c>
      <c r="C870" s="5" t="s">
        <v>25992</v>
      </c>
      <c r="D870" s="246">
        <v>41079</v>
      </c>
      <c r="E870" s="5" t="s">
        <v>25995</v>
      </c>
      <c r="F870" s="26" t="s">
        <v>23600</v>
      </c>
      <c r="G870" s="27" t="s">
        <v>6224</v>
      </c>
      <c r="H870" s="28" t="s">
        <v>6225</v>
      </c>
      <c r="I870" s="5" t="s">
        <v>197</v>
      </c>
    </row>
    <row r="871" spans="1:9" ht="51.75" customHeight="1">
      <c r="A871" s="5" t="s">
        <v>25938</v>
      </c>
      <c r="B871" s="5" t="s">
        <v>25996</v>
      </c>
      <c r="C871" s="5" t="s">
        <v>23621</v>
      </c>
      <c r="D871" s="246">
        <v>40960</v>
      </c>
      <c r="E871" s="5" t="s">
        <v>25997</v>
      </c>
      <c r="F871" s="26" t="s">
        <v>25439</v>
      </c>
      <c r="G871" s="27" t="s">
        <v>6197</v>
      </c>
      <c r="H871" s="28" t="s">
        <v>6198</v>
      </c>
      <c r="I871" s="5" t="s">
        <v>197</v>
      </c>
    </row>
    <row r="872" spans="1:9" ht="51.75" customHeight="1">
      <c r="A872" s="5" t="s">
        <v>25938</v>
      </c>
      <c r="B872" s="5" t="s">
        <v>25998</v>
      </c>
      <c r="C872" s="5" t="s">
        <v>23621</v>
      </c>
      <c r="D872" s="246">
        <v>40960</v>
      </c>
      <c r="E872" s="5" t="s">
        <v>25999</v>
      </c>
      <c r="F872" s="26" t="s">
        <v>23600</v>
      </c>
      <c r="G872" s="27" t="s">
        <v>6197</v>
      </c>
      <c r="H872" s="28" t="s">
        <v>6198</v>
      </c>
      <c r="I872" s="5" t="s">
        <v>197</v>
      </c>
    </row>
    <row r="873" spans="1:9" ht="51.75" customHeight="1">
      <c r="A873" s="5" t="s">
        <v>26000</v>
      </c>
      <c r="B873" s="5" t="s">
        <v>26001</v>
      </c>
      <c r="C873" s="5" t="s">
        <v>23625</v>
      </c>
      <c r="D873" s="246">
        <v>40960</v>
      </c>
      <c r="E873" s="5" t="s">
        <v>26002</v>
      </c>
      <c r="F873" s="26" t="s">
        <v>25439</v>
      </c>
      <c r="G873" s="27" t="s">
        <v>6197</v>
      </c>
      <c r="H873" s="28" t="s">
        <v>6198</v>
      </c>
      <c r="I873" s="5" t="s">
        <v>197</v>
      </c>
    </row>
    <row r="874" spans="1:9" ht="51.75" customHeight="1">
      <c r="A874" s="5" t="s">
        <v>26000</v>
      </c>
      <c r="B874" s="5" t="s">
        <v>26003</v>
      </c>
      <c r="C874" s="5" t="s">
        <v>23625</v>
      </c>
      <c r="D874" s="246">
        <v>40960</v>
      </c>
      <c r="E874" s="5" t="s">
        <v>26004</v>
      </c>
      <c r="F874" s="26" t="s">
        <v>23600</v>
      </c>
      <c r="G874" s="27" t="s">
        <v>6197</v>
      </c>
      <c r="H874" s="28" t="s">
        <v>6198</v>
      </c>
      <c r="I874" s="5" t="s">
        <v>197</v>
      </c>
    </row>
    <row r="875" spans="1:9" ht="51.75" customHeight="1">
      <c r="A875" s="5" t="s">
        <v>26005</v>
      </c>
      <c r="B875" s="5" t="s">
        <v>26006</v>
      </c>
      <c r="C875" s="5" t="s">
        <v>25972</v>
      </c>
      <c r="D875" s="246">
        <v>40960</v>
      </c>
      <c r="E875" s="5" t="s">
        <v>26007</v>
      </c>
      <c r="F875" s="26" t="s">
        <v>25439</v>
      </c>
      <c r="G875" s="27" t="s">
        <v>6197</v>
      </c>
      <c r="H875" s="28" t="s">
        <v>6198</v>
      </c>
      <c r="I875" s="5" t="s">
        <v>197</v>
      </c>
    </row>
    <row r="876" spans="1:9" ht="51.75" customHeight="1">
      <c r="A876" s="5" t="s">
        <v>26005</v>
      </c>
      <c r="B876" s="5" t="s">
        <v>26008</v>
      </c>
      <c r="C876" s="5" t="s">
        <v>25972</v>
      </c>
      <c r="D876" s="246">
        <v>40960</v>
      </c>
      <c r="E876" s="5" t="s">
        <v>26009</v>
      </c>
      <c r="F876" s="26" t="s">
        <v>23600</v>
      </c>
      <c r="G876" s="27" t="s">
        <v>6197</v>
      </c>
      <c r="H876" s="28" t="s">
        <v>6198</v>
      </c>
      <c r="I876" s="5" t="s">
        <v>197</v>
      </c>
    </row>
    <row r="877" spans="1:9" ht="51.75" customHeight="1">
      <c r="A877" s="5" t="s">
        <v>26010</v>
      </c>
      <c r="B877" s="5" t="s">
        <v>26011</v>
      </c>
      <c r="C877" s="5" t="s">
        <v>25928</v>
      </c>
      <c r="D877" s="246">
        <v>40960</v>
      </c>
      <c r="E877" s="5" t="s">
        <v>26012</v>
      </c>
      <c r="F877" s="26" t="s">
        <v>25439</v>
      </c>
      <c r="G877" s="27" t="s">
        <v>6197</v>
      </c>
      <c r="H877" s="28" t="s">
        <v>6198</v>
      </c>
      <c r="I877" s="5" t="s">
        <v>197</v>
      </c>
    </row>
    <row r="878" spans="1:9" ht="51.75" customHeight="1">
      <c r="A878" s="5" t="s">
        <v>26010</v>
      </c>
      <c r="B878" s="5" t="s">
        <v>26013</v>
      </c>
      <c r="C878" s="5" t="s">
        <v>25928</v>
      </c>
      <c r="D878" s="246">
        <v>40960</v>
      </c>
      <c r="E878" s="5" t="s">
        <v>26014</v>
      </c>
      <c r="F878" s="26" t="s">
        <v>23600</v>
      </c>
      <c r="G878" s="27" t="s">
        <v>6197</v>
      </c>
      <c r="H878" s="28" t="s">
        <v>6198</v>
      </c>
      <c r="I878" s="5" t="s">
        <v>197</v>
      </c>
    </row>
    <row r="879" spans="1:9" ht="51.75" customHeight="1">
      <c r="A879" s="5" t="s">
        <v>26000</v>
      </c>
      <c r="B879" s="5" t="s">
        <v>26015</v>
      </c>
      <c r="C879" s="5" t="s">
        <v>26016</v>
      </c>
      <c r="D879" s="246">
        <v>40968</v>
      </c>
      <c r="E879" s="5" t="s">
        <v>26017</v>
      </c>
      <c r="F879" s="26" t="s">
        <v>25439</v>
      </c>
      <c r="G879" s="27" t="s">
        <v>6078</v>
      </c>
      <c r="H879" s="28" t="s">
        <v>6079</v>
      </c>
      <c r="I879" s="5" t="s">
        <v>197</v>
      </c>
    </row>
    <row r="880" spans="1:9" ht="51.75" customHeight="1">
      <c r="A880" s="5" t="s">
        <v>26000</v>
      </c>
      <c r="B880" s="5" t="s">
        <v>26018</v>
      </c>
      <c r="C880" s="5" t="s">
        <v>26016</v>
      </c>
      <c r="D880" s="246">
        <v>40968</v>
      </c>
      <c r="E880" s="5" t="s">
        <v>26019</v>
      </c>
      <c r="F880" s="26" t="s">
        <v>23600</v>
      </c>
      <c r="G880" s="27" t="s">
        <v>6078</v>
      </c>
      <c r="H880" s="28" t="s">
        <v>6079</v>
      </c>
      <c r="I880" s="5" t="s">
        <v>197</v>
      </c>
    </row>
    <row r="881" spans="1:9" ht="51.75" customHeight="1">
      <c r="A881" s="5" t="s">
        <v>26005</v>
      </c>
      <c r="B881" s="5" t="s">
        <v>26020</v>
      </c>
      <c r="C881" s="5" t="s">
        <v>26021</v>
      </c>
      <c r="D881" s="246">
        <v>40968</v>
      </c>
      <c r="E881" s="5" t="s">
        <v>26022</v>
      </c>
      <c r="F881" s="26" t="s">
        <v>25439</v>
      </c>
      <c r="G881" s="27" t="s">
        <v>6078</v>
      </c>
      <c r="H881" s="28" t="s">
        <v>6079</v>
      </c>
      <c r="I881" s="5" t="s">
        <v>197</v>
      </c>
    </row>
    <row r="882" spans="1:9" ht="51.75" customHeight="1">
      <c r="A882" s="5" t="s">
        <v>26005</v>
      </c>
      <c r="B882" s="5" t="s">
        <v>26023</v>
      </c>
      <c r="C882" s="5" t="s">
        <v>26021</v>
      </c>
      <c r="D882" s="246">
        <v>40968</v>
      </c>
      <c r="E882" s="5" t="s">
        <v>26024</v>
      </c>
      <c r="F882" s="26" t="s">
        <v>23600</v>
      </c>
      <c r="G882" s="27" t="s">
        <v>6078</v>
      </c>
      <c r="H882" s="28" t="s">
        <v>6079</v>
      </c>
      <c r="I882" s="5" t="s">
        <v>197</v>
      </c>
    </row>
    <row r="883" spans="1:9" ht="51.75" customHeight="1">
      <c r="A883" s="5" t="s">
        <v>26010</v>
      </c>
      <c r="B883" s="5" t="s">
        <v>26025</v>
      </c>
      <c r="C883" s="5" t="s">
        <v>26026</v>
      </c>
      <c r="D883" s="246">
        <v>40968</v>
      </c>
      <c r="E883" s="5" t="s">
        <v>26027</v>
      </c>
      <c r="F883" s="26" t="s">
        <v>25439</v>
      </c>
      <c r="G883" s="27" t="s">
        <v>6078</v>
      </c>
      <c r="H883" s="28" t="s">
        <v>6079</v>
      </c>
      <c r="I883" s="5" t="s">
        <v>197</v>
      </c>
    </row>
    <row r="884" spans="1:9" ht="51.75" customHeight="1">
      <c r="A884" s="5" t="s">
        <v>26010</v>
      </c>
      <c r="B884" s="5" t="s">
        <v>26028</v>
      </c>
      <c r="C884" s="5" t="s">
        <v>26026</v>
      </c>
      <c r="D884" s="246">
        <v>40968</v>
      </c>
      <c r="E884" s="5" t="s">
        <v>26029</v>
      </c>
      <c r="F884" s="26" t="s">
        <v>23600</v>
      </c>
      <c r="G884" s="27" t="s">
        <v>6078</v>
      </c>
      <c r="H884" s="28" t="s">
        <v>6079</v>
      </c>
      <c r="I884" s="5" t="s">
        <v>197</v>
      </c>
    </row>
    <row r="885" spans="1:9" ht="51.75" customHeight="1">
      <c r="A885" s="5" t="s">
        <v>26030</v>
      </c>
      <c r="B885" s="5" t="s">
        <v>26031</v>
      </c>
      <c r="C885" s="5" t="s">
        <v>26032</v>
      </c>
      <c r="D885" s="246">
        <v>40968</v>
      </c>
      <c r="E885" s="5" t="s">
        <v>26033</v>
      </c>
      <c r="F885" s="26" t="s">
        <v>25439</v>
      </c>
      <c r="G885" s="27" t="s">
        <v>6078</v>
      </c>
      <c r="H885" s="28" t="s">
        <v>6079</v>
      </c>
      <c r="I885" s="5" t="s">
        <v>197</v>
      </c>
    </row>
    <row r="886" spans="1:9" ht="51.75" customHeight="1">
      <c r="A886" s="5" t="s">
        <v>26030</v>
      </c>
      <c r="B886" s="5" t="s">
        <v>26034</v>
      </c>
      <c r="C886" s="5" t="s">
        <v>26032</v>
      </c>
      <c r="D886" s="246">
        <v>40968</v>
      </c>
      <c r="E886" s="5" t="s">
        <v>26035</v>
      </c>
      <c r="F886" s="26" t="s">
        <v>23600</v>
      </c>
      <c r="G886" s="27" t="s">
        <v>6078</v>
      </c>
      <c r="H886" s="28" t="s">
        <v>6079</v>
      </c>
      <c r="I886" s="5" t="s">
        <v>197</v>
      </c>
    </row>
    <row r="887" spans="1:9" ht="51.75" customHeight="1">
      <c r="A887" s="5" t="s">
        <v>23768</v>
      </c>
      <c r="B887" s="5" t="s">
        <v>26036</v>
      </c>
      <c r="C887" s="5" t="s">
        <v>26037</v>
      </c>
      <c r="D887" s="246">
        <v>40968</v>
      </c>
      <c r="E887" s="5" t="s">
        <v>26038</v>
      </c>
      <c r="F887" s="26" t="s">
        <v>25439</v>
      </c>
      <c r="G887" s="27" t="s">
        <v>6078</v>
      </c>
      <c r="H887" s="28" t="s">
        <v>6079</v>
      </c>
      <c r="I887" s="5" t="s">
        <v>197</v>
      </c>
    </row>
    <row r="888" spans="1:9" ht="51.75" customHeight="1">
      <c r="A888" s="5" t="s">
        <v>23768</v>
      </c>
      <c r="B888" s="5" t="s">
        <v>26039</v>
      </c>
      <c r="C888" s="5" t="s">
        <v>26037</v>
      </c>
      <c r="D888" s="246">
        <v>40968</v>
      </c>
      <c r="E888" s="5" t="s">
        <v>26040</v>
      </c>
      <c r="F888" s="26" t="s">
        <v>23600</v>
      </c>
      <c r="G888" s="27" t="s">
        <v>6078</v>
      </c>
      <c r="H888" s="28" t="s">
        <v>6079</v>
      </c>
      <c r="I888" s="5" t="s">
        <v>197</v>
      </c>
    </row>
    <row r="889" spans="1:9" ht="51.75" customHeight="1">
      <c r="A889" s="5" t="s">
        <v>25141</v>
      </c>
      <c r="B889" s="5" t="s">
        <v>26041</v>
      </c>
      <c r="C889" s="5" t="s">
        <v>26042</v>
      </c>
      <c r="D889" s="246">
        <v>40968</v>
      </c>
      <c r="E889" s="5" t="s">
        <v>26043</v>
      </c>
      <c r="F889" s="26" t="s">
        <v>25439</v>
      </c>
      <c r="G889" s="27" t="s">
        <v>6078</v>
      </c>
      <c r="H889" s="28" t="s">
        <v>6079</v>
      </c>
      <c r="I889" s="5" t="s">
        <v>197</v>
      </c>
    </row>
    <row r="890" spans="1:9" ht="51.75" customHeight="1">
      <c r="A890" s="5" t="s">
        <v>25141</v>
      </c>
      <c r="B890" s="5" t="s">
        <v>26044</v>
      </c>
      <c r="C890" s="5" t="s">
        <v>26042</v>
      </c>
      <c r="D890" s="246">
        <v>40968</v>
      </c>
      <c r="E890" s="5" t="s">
        <v>26045</v>
      </c>
      <c r="F890" s="26" t="s">
        <v>23600</v>
      </c>
      <c r="G890" s="27" t="s">
        <v>6078</v>
      </c>
      <c r="H890" s="28" t="s">
        <v>6079</v>
      </c>
      <c r="I890" s="5" t="s">
        <v>197</v>
      </c>
    </row>
    <row r="891" spans="1:9" ht="51.75" customHeight="1">
      <c r="A891" s="5">
        <v>1</v>
      </c>
      <c r="B891" s="5" t="s">
        <v>26046</v>
      </c>
      <c r="C891" s="5" t="s">
        <v>26047</v>
      </c>
      <c r="D891" s="246">
        <v>40652</v>
      </c>
      <c r="E891" s="5" t="s">
        <v>26048</v>
      </c>
      <c r="F891" s="26"/>
      <c r="G891" s="27" t="s">
        <v>4600</v>
      </c>
      <c r="H891" s="28" t="s">
        <v>4601</v>
      </c>
      <c r="I891" s="5" t="s">
        <v>197</v>
      </c>
    </row>
    <row r="892" spans="1:9" ht="51.75" customHeight="1">
      <c r="A892" s="5">
        <v>2</v>
      </c>
      <c r="B892" s="5" t="s">
        <v>26049</v>
      </c>
      <c r="C892" s="5" t="s">
        <v>26050</v>
      </c>
      <c r="D892" s="246">
        <v>40652</v>
      </c>
      <c r="E892" s="5" t="s">
        <v>26051</v>
      </c>
      <c r="F892" s="26"/>
      <c r="G892" s="27" t="s">
        <v>4600</v>
      </c>
      <c r="H892" s="28" t="s">
        <v>4601</v>
      </c>
      <c r="I892" s="5" t="s">
        <v>197</v>
      </c>
    </row>
    <row r="893" spans="1:9" ht="51.75" customHeight="1">
      <c r="A893" s="5" t="s">
        <v>26052</v>
      </c>
      <c r="B893" s="5" t="s">
        <v>26053</v>
      </c>
      <c r="C893" s="5" t="s">
        <v>26054</v>
      </c>
      <c r="D893" s="246">
        <v>40960</v>
      </c>
      <c r="E893" s="5" t="s">
        <v>26055</v>
      </c>
      <c r="F893" s="26" t="s">
        <v>25439</v>
      </c>
      <c r="G893" s="27" t="s">
        <v>4139</v>
      </c>
      <c r="H893" s="28" t="s">
        <v>4140</v>
      </c>
      <c r="I893" s="5" t="s">
        <v>197</v>
      </c>
    </row>
    <row r="894" spans="1:9" ht="51.75" customHeight="1">
      <c r="A894" s="5" t="s">
        <v>26052</v>
      </c>
      <c r="B894" s="5" t="s">
        <v>26056</v>
      </c>
      <c r="C894" s="5" t="s">
        <v>26054</v>
      </c>
      <c r="D894" s="246">
        <v>40960</v>
      </c>
      <c r="E894" s="5" t="s">
        <v>26057</v>
      </c>
      <c r="F894" s="26" t="s">
        <v>23600</v>
      </c>
      <c r="G894" s="27" t="s">
        <v>4139</v>
      </c>
      <c r="H894" s="28" t="s">
        <v>4140</v>
      </c>
      <c r="I894" s="5" t="s">
        <v>197</v>
      </c>
    </row>
    <row r="895" spans="1:9" ht="51.75" customHeight="1">
      <c r="A895" s="5" t="s">
        <v>26058</v>
      </c>
      <c r="B895" s="5" t="s">
        <v>26059</v>
      </c>
      <c r="C895" s="5" t="s">
        <v>26060</v>
      </c>
      <c r="D895" s="246">
        <v>40960</v>
      </c>
      <c r="E895" s="5" t="s">
        <v>26061</v>
      </c>
      <c r="F895" s="26" t="s">
        <v>25439</v>
      </c>
      <c r="G895" s="27" t="s">
        <v>4139</v>
      </c>
      <c r="H895" s="28" t="s">
        <v>4140</v>
      </c>
      <c r="I895" s="5" t="s">
        <v>197</v>
      </c>
    </row>
    <row r="896" spans="1:9" ht="51.75" customHeight="1">
      <c r="A896" s="5" t="s">
        <v>26058</v>
      </c>
      <c r="B896" s="5" t="s">
        <v>26062</v>
      </c>
      <c r="C896" s="5" t="s">
        <v>26060</v>
      </c>
      <c r="D896" s="246">
        <v>40960</v>
      </c>
      <c r="E896" s="5" t="s">
        <v>26063</v>
      </c>
      <c r="F896" s="26" t="s">
        <v>23600</v>
      </c>
      <c r="G896" s="27" t="s">
        <v>4139</v>
      </c>
      <c r="H896" s="28" t="s">
        <v>4140</v>
      </c>
      <c r="I896" s="5" t="s">
        <v>197</v>
      </c>
    </row>
    <row r="897" spans="1:9" ht="51.75" customHeight="1">
      <c r="A897" s="5" t="s">
        <v>26064</v>
      </c>
      <c r="B897" s="5" t="s">
        <v>26065</v>
      </c>
      <c r="C897" s="5" t="s">
        <v>26060</v>
      </c>
      <c r="D897" s="246">
        <v>40960</v>
      </c>
      <c r="E897" s="5" t="s">
        <v>26066</v>
      </c>
      <c r="F897" s="26" t="s">
        <v>25439</v>
      </c>
      <c r="G897" s="27" t="s">
        <v>4139</v>
      </c>
      <c r="H897" s="28" t="s">
        <v>4140</v>
      </c>
      <c r="I897" s="5" t="s">
        <v>197</v>
      </c>
    </row>
    <row r="898" spans="1:9" ht="51.75" customHeight="1">
      <c r="A898" s="5" t="s">
        <v>26064</v>
      </c>
      <c r="B898" s="5" t="s">
        <v>26067</v>
      </c>
      <c r="C898" s="5" t="s">
        <v>26060</v>
      </c>
      <c r="D898" s="246">
        <v>40960</v>
      </c>
      <c r="E898" s="5" t="s">
        <v>26068</v>
      </c>
      <c r="F898" s="26" t="s">
        <v>23600</v>
      </c>
      <c r="G898" s="27" t="s">
        <v>4139</v>
      </c>
      <c r="H898" s="28" t="s">
        <v>4140</v>
      </c>
      <c r="I898" s="5" t="s">
        <v>197</v>
      </c>
    </row>
    <row r="899" spans="1:9" ht="51.75" customHeight="1">
      <c r="A899" s="5" t="s">
        <v>26069</v>
      </c>
      <c r="B899" s="5" t="s">
        <v>26070</v>
      </c>
      <c r="C899" s="5" t="s">
        <v>26060</v>
      </c>
      <c r="D899" s="246">
        <v>40960</v>
      </c>
      <c r="E899" s="5" t="s">
        <v>26071</v>
      </c>
      <c r="F899" s="26" t="s">
        <v>25439</v>
      </c>
      <c r="G899" s="27" t="s">
        <v>4139</v>
      </c>
      <c r="H899" s="28" t="s">
        <v>4140</v>
      </c>
      <c r="I899" s="5" t="s">
        <v>197</v>
      </c>
    </row>
    <row r="900" spans="1:9" ht="51.75" customHeight="1">
      <c r="A900" s="5" t="s">
        <v>26069</v>
      </c>
      <c r="B900" s="5" t="s">
        <v>26072</v>
      </c>
      <c r="C900" s="5" t="s">
        <v>26060</v>
      </c>
      <c r="D900" s="246">
        <v>40960</v>
      </c>
      <c r="E900" s="5" t="s">
        <v>26073</v>
      </c>
      <c r="F900" s="26" t="s">
        <v>23600</v>
      </c>
      <c r="G900" s="27" t="s">
        <v>4139</v>
      </c>
      <c r="H900" s="28" t="s">
        <v>4140</v>
      </c>
      <c r="I900" s="5" t="s">
        <v>197</v>
      </c>
    </row>
    <row r="901" spans="1:9" ht="51.75" customHeight="1">
      <c r="A901" s="5" t="s">
        <v>26074</v>
      </c>
      <c r="B901" s="5" t="s">
        <v>26075</v>
      </c>
      <c r="C901" s="5" t="s">
        <v>26060</v>
      </c>
      <c r="D901" s="246">
        <v>40960</v>
      </c>
      <c r="E901" s="5" t="s">
        <v>26076</v>
      </c>
      <c r="F901" s="26" t="s">
        <v>25439</v>
      </c>
      <c r="G901" s="27" t="s">
        <v>4139</v>
      </c>
      <c r="H901" s="28" t="s">
        <v>4140</v>
      </c>
      <c r="I901" s="5" t="s">
        <v>197</v>
      </c>
    </row>
    <row r="902" spans="1:9" ht="51.75" customHeight="1">
      <c r="A902" s="5" t="s">
        <v>26074</v>
      </c>
      <c r="B902" s="5" t="s">
        <v>26077</v>
      </c>
      <c r="C902" s="5" t="s">
        <v>26060</v>
      </c>
      <c r="D902" s="246">
        <v>40960</v>
      </c>
      <c r="E902" s="5" t="s">
        <v>26078</v>
      </c>
      <c r="F902" s="26" t="s">
        <v>23600</v>
      </c>
      <c r="G902" s="27" t="s">
        <v>4139</v>
      </c>
      <c r="H902" s="28" t="s">
        <v>4140</v>
      </c>
      <c r="I902" s="5" t="s">
        <v>197</v>
      </c>
    </row>
    <row r="903" spans="1:9" ht="51.75" customHeight="1">
      <c r="A903" s="5" t="s">
        <v>23888</v>
      </c>
      <c r="B903" s="5" t="s">
        <v>26079</v>
      </c>
      <c r="C903" s="5" t="s">
        <v>26054</v>
      </c>
      <c r="D903" s="246">
        <v>40960</v>
      </c>
      <c r="E903" s="5" t="s">
        <v>26080</v>
      </c>
      <c r="F903" s="26" t="s">
        <v>25439</v>
      </c>
      <c r="G903" s="27" t="s">
        <v>4139</v>
      </c>
      <c r="H903" s="28" t="s">
        <v>4140</v>
      </c>
      <c r="I903" s="5" t="s">
        <v>197</v>
      </c>
    </row>
    <row r="904" spans="1:9" ht="51.75" customHeight="1">
      <c r="A904" s="5" t="s">
        <v>23888</v>
      </c>
      <c r="B904" s="5" t="s">
        <v>26081</v>
      </c>
      <c r="C904" s="5" t="s">
        <v>26054</v>
      </c>
      <c r="D904" s="246">
        <v>40960</v>
      </c>
      <c r="E904" s="5" t="s">
        <v>26082</v>
      </c>
      <c r="F904" s="26" t="s">
        <v>23600</v>
      </c>
      <c r="G904" s="27" t="s">
        <v>4139</v>
      </c>
      <c r="H904" s="28" t="s">
        <v>4140</v>
      </c>
      <c r="I904" s="5" t="s">
        <v>197</v>
      </c>
    </row>
    <row r="905" spans="1:9" ht="51.75" customHeight="1">
      <c r="A905" s="5" t="s">
        <v>24389</v>
      </c>
      <c r="B905" s="5" t="s">
        <v>26083</v>
      </c>
      <c r="C905" s="5" t="s">
        <v>26060</v>
      </c>
      <c r="D905" s="246">
        <v>40960</v>
      </c>
      <c r="E905" s="5" t="s">
        <v>26084</v>
      </c>
      <c r="F905" s="26" t="s">
        <v>25439</v>
      </c>
      <c r="G905" s="27" t="s">
        <v>4139</v>
      </c>
      <c r="H905" s="28" t="s">
        <v>4140</v>
      </c>
      <c r="I905" s="5" t="s">
        <v>197</v>
      </c>
    </row>
    <row r="906" spans="1:9" ht="51.75" customHeight="1">
      <c r="A906" s="5" t="s">
        <v>24389</v>
      </c>
      <c r="B906" s="5" t="s">
        <v>26085</v>
      </c>
      <c r="C906" s="5" t="s">
        <v>26060</v>
      </c>
      <c r="D906" s="246">
        <v>40960</v>
      </c>
      <c r="E906" s="5" t="s">
        <v>26086</v>
      </c>
      <c r="F906" s="26" t="s">
        <v>23600</v>
      </c>
      <c r="G906" s="27" t="s">
        <v>4139</v>
      </c>
      <c r="H906" s="28" t="s">
        <v>4140</v>
      </c>
      <c r="I906" s="5" t="s">
        <v>197</v>
      </c>
    </row>
    <row r="907" spans="1:9" ht="51.75" customHeight="1">
      <c r="A907" s="5" t="s">
        <v>26087</v>
      </c>
      <c r="B907" s="5" t="s">
        <v>26088</v>
      </c>
      <c r="C907" s="5" t="s">
        <v>26060</v>
      </c>
      <c r="D907" s="246">
        <v>40960</v>
      </c>
      <c r="E907" s="5" t="s">
        <v>26089</v>
      </c>
      <c r="F907" s="26" t="s">
        <v>25439</v>
      </c>
      <c r="G907" s="27" t="s">
        <v>4139</v>
      </c>
      <c r="H907" s="28" t="s">
        <v>4140</v>
      </c>
      <c r="I907" s="5" t="s">
        <v>197</v>
      </c>
    </row>
    <row r="908" spans="1:9" ht="51.75" customHeight="1">
      <c r="A908" s="5" t="s">
        <v>26087</v>
      </c>
      <c r="B908" s="5" t="s">
        <v>26090</v>
      </c>
      <c r="C908" s="5" t="s">
        <v>26060</v>
      </c>
      <c r="D908" s="246">
        <v>40960</v>
      </c>
      <c r="E908" s="5" t="s">
        <v>26091</v>
      </c>
      <c r="F908" s="26" t="s">
        <v>23600</v>
      </c>
      <c r="G908" s="27" t="s">
        <v>4139</v>
      </c>
      <c r="H908" s="28" t="s">
        <v>4140</v>
      </c>
      <c r="I908" s="5" t="s">
        <v>197</v>
      </c>
    </row>
    <row r="909" spans="1:9" ht="51.75" customHeight="1">
      <c r="A909" s="5" t="s">
        <v>26092</v>
      </c>
      <c r="B909" s="5" t="s">
        <v>26093</v>
      </c>
      <c r="C909" s="5" t="s">
        <v>26094</v>
      </c>
      <c r="D909" s="246">
        <v>40960</v>
      </c>
      <c r="E909" s="5" t="s">
        <v>26095</v>
      </c>
      <c r="F909" s="26" t="s">
        <v>25439</v>
      </c>
      <c r="G909" s="27" t="s">
        <v>4139</v>
      </c>
      <c r="H909" s="28" t="s">
        <v>4140</v>
      </c>
      <c r="I909" s="5" t="s">
        <v>197</v>
      </c>
    </row>
    <row r="910" spans="1:9" ht="51.75" customHeight="1">
      <c r="A910" s="5" t="s">
        <v>26092</v>
      </c>
      <c r="B910" s="5" t="s">
        <v>26096</v>
      </c>
      <c r="C910" s="5" t="s">
        <v>26094</v>
      </c>
      <c r="D910" s="246">
        <v>40960</v>
      </c>
      <c r="E910" s="5" t="s">
        <v>26097</v>
      </c>
      <c r="F910" s="26" t="s">
        <v>23600</v>
      </c>
      <c r="G910" s="27" t="s">
        <v>4139</v>
      </c>
      <c r="H910" s="28" t="s">
        <v>4140</v>
      </c>
      <c r="I910" s="5" t="s">
        <v>197</v>
      </c>
    </row>
    <row r="911" spans="1:9" ht="51.75" customHeight="1">
      <c r="A911" s="5" t="s">
        <v>26098</v>
      </c>
      <c r="B911" s="5" t="s">
        <v>26099</v>
      </c>
      <c r="C911" s="5" t="s">
        <v>26100</v>
      </c>
      <c r="D911" s="246">
        <v>40960</v>
      </c>
      <c r="E911" s="5" t="s">
        <v>26101</v>
      </c>
      <c r="F911" s="26" t="s">
        <v>25439</v>
      </c>
      <c r="G911" s="27" t="s">
        <v>4139</v>
      </c>
      <c r="H911" s="28" t="s">
        <v>4140</v>
      </c>
      <c r="I911" s="5" t="s">
        <v>197</v>
      </c>
    </row>
    <row r="912" spans="1:9" ht="51.75" customHeight="1">
      <c r="A912" s="5" t="s">
        <v>26098</v>
      </c>
      <c r="B912" s="5" t="s">
        <v>26102</v>
      </c>
      <c r="C912" s="5" t="s">
        <v>26100</v>
      </c>
      <c r="D912" s="246">
        <v>40960</v>
      </c>
      <c r="E912" s="5" t="s">
        <v>26103</v>
      </c>
      <c r="F912" s="26" t="s">
        <v>23600</v>
      </c>
      <c r="G912" s="27" t="s">
        <v>4139</v>
      </c>
      <c r="H912" s="28" t="s">
        <v>4140</v>
      </c>
      <c r="I912" s="5" t="s">
        <v>197</v>
      </c>
    </row>
    <row r="913" spans="1:9" ht="51.75" customHeight="1">
      <c r="A913" s="5" t="s">
        <v>26104</v>
      </c>
      <c r="B913" s="5" t="s">
        <v>26105</v>
      </c>
      <c r="C913" s="5" t="s">
        <v>26060</v>
      </c>
      <c r="D913" s="246">
        <v>40960</v>
      </c>
      <c r="E913" s="5" t="s">
        <v>26106</v>
      </c>
      <c r="F913" s="26" t="s">
        <v>25439</v>
      </c>
      <c r="G913" s="27" t="s">
        <v>4139</v>
      </c>
      <c r="H913" s="28" t="s">
        <v>4140</v>
      </c>
      <c r="I913" s="5" t="s">
        <v>197</v>
      </c>
    </row>
    <row r="914" spans="1:9" ht="51.75" customHeight="1">
      <c r="A914" s="5" t="s">
        <v>26104</v>
      </c>
      <c r="B914" s="5" t="s">
        <v>26107</v>
      </c>
      <c r="C914" s="5" t="s">
        <v>26060</v>
      </c>
      <c r="D914" s="246">
        <v>40960</v>
      </c>
      <c r="E914" s="5" t="s">
        <v>26108</v>
      </c>
      <c r="F914" s="26" t="s">
        <v>23600</v>
      </c>
      <c r="G914" s="27" t="s">
        <v>4139</v>
      </c>
      <c r="H914" s="28" t="s">
        <v>4140</v>
      </c>
      <c r="I914" s="5" t="s">
        <v>197</v>
      </c>
    </row>
    <row r="915" spans="1:9" ht="51.75" customHeight="1">
      <c r="A915" s="5" t="s">
        <v>26109</v>
      </c>
      <c r="B915" s="5" t="s">
        <v>26110</v>
      </c>
      <c r="C915" s="5" t="s">
        <v>26111</v>
      </c>
      <c r="D915" s="246">
        <v>40960</v>
      </c>
      <c r="E915" s="5" t="s">
        <v>26112</v>
      </c>
      <c r="F915" s="26" t="s">
        <v>25439</v>
      </c>
      <c r="G915" s="27" t="s">
        <v>4139</v>
      </c>
      <c r="H915" s="28" t="s">
        <v>4140</v>
      </c>
      <c r="I915" s="5" t="s">
        <v>197</v>
      </c>
    </row>
    <row r="916" spans="1:9" ht="51.75" customHeight="1">
      <c r="A916" s="5" t="s">
        <v>26109</v>
      </c>
      <c r="B916" s="5" t="s">
        <v>26113</v>
      </c>
      <c r="C916" s="5" t="s">
        <v>26111</v>
      </c>
      <c r="D916" s="246">
        <v>40960</v>
      </c>
      <c r="E916" s="5" t="s">
        <v>26114</v>
      </c>
      <c r="F916" s="26" t="s">
        <v>23600</v>
      </c>
      <c r="G916" s="27" t="s">
        <v>4139</v>
      </c>
      <c r="H916" s="28" t="s">
        <v>4140</v>
      </c>
      <c r="I916" s="5" t="s">
        <v>197</v>
      </c>
    </row>
    <row r="917" spans="1:9" ht="51.75" customHeight="1">
      <c r="A917" s="5" t="s">
        <v>26115</v>
      </c>
      <c r="B917" s="5" t="s">
        <v>26116</v>
      </c>
      <c r="C917" s="5" t="s">
        <v>26060</v>
      </c>
      <c r="D917" s="246">
        <v>40960</v>
      </c>
      <c r="E917" s="5" t="s">
        <v>26117</v>
      </c>
      <c r="F917" s="26" t="s">
        <v>25439</v>
      </c>
      <c r="G917" s="27" t="s">
        <v>4139</v>
      </c>
      <c r="H917" s="28" t="s">
        <v>4140</v>
      </c>
      <c r="I917" s="5" t="s">
        <v>197</v>
      </c>
    </row>
    <row r="918" spans="1:9" ht="51.75" customHeight="1">
      <c r="A918" s="5" t="s">
        <v>26115</v>
      </c>
      <c r="B918" s="5" t="s">
        <v>26118</v>
      </c>
      <c r="C918" s="5" t="s">
        <v>26060</v>
      </c>
      <c r="D918" s="246">
        <v>40960</v>
      </c>
      <c r="E918" s="5" t="s">
        <v>26119</v>
      </c>
      <c r="F918" s="26" t="s">
        <v>23600</v>
      </c>
      <c r="G918" s="27" t="s">
        <v>4139</v>
      </c>
      <c r="H918" s="28" t="s">
        <v>4140</v>
      </c>
      <c r="I918" s="5" t="s">
        <v>197</v>
      </c>
    </row>
    <row r="919" spans="1:9" ht="51.75" customHeight="1">
      <c r="A919" s="5" t="s">
        <v>26120</v>
      </c>
      <c r="B919" s="5" t="s">
        <v>26121</v>
      </c>
      <c r="C919" s="5" t="s">
        <v>26122</v>
      </c>
      <c r="D919" s="246">
        <v>40960</v>
      </c>
      <c r="E919" s="5" t="s">
        <v>26123</v>
      </c>
      <c r="F919" s="26" t="s">
        <v>25439</v>
      </c>
      <c r="G919" s="27" t="s">
        <v>4139</v>
      </c>
      <c r="H919" s="28" t="s">
        <v>4140</v>
      </c>
      <c r="I919" s="5" t="s">
        <v>197</v>
      </c>
    </row>
    <row r="920" spans="1:9" ht="51.75" customHeight="1">
      <c r="A920" s="5" t="s">
        <v>26120</v>
      </c>
      <c r="B920" s="5" t="s">
        <v>26124</v>
      </c>
      <c r="C920" s="5" t="s">
        <v>26122</v>
      </c>
      <c r="D920" s="246">
        <v>40960</v>
      </c>
      <c r="E920" s="5" t="s">
        <v>26125</v>
      </c>
      <c r="F920" s="26" t="s">
        <v>23600</v>
      </c>
      <c r="G920" s="27" t="s">
        <v>4139</v>
      </c>
      <c r="H920" s="28" t="s">
        <v>4140</v>
      </c>
      <c r="I920" s="5" t="s">
        <v>197</v>
      </c>
    </row>
    <row r="921" spans="1:9" ht="51.75" customHeight="1">
      <c r="A921" s="5">
        <v>1</v>
      </c>
      <c r="B921" s="5" t="s">
        <v>26126</v>
      </c>
      <c r="C921" s="5" t="s">
        <v>26127</v>
      </c>
      <c r="D921" s="246">
        <v>40652</v>
      </c>
      <c r="E921" s="5" t="s">
        <v>26128</v>
      </c>
      <c r="F921" s="26"/>
      <c r="G921" s="27" t="s">
        <v>3194</v>
      </c>
      <c r="H921" s="28" t="s">
        <v>3195</v>
      </c>
      <c r="I921" s="5" t="s">
        <v>197</v>
      </c>
    </row>
    <row r="922" spans="1:9" ht="51.75" customHeight="1">
      <c r="A922" s="5">
        <v>2</v>
      </c>
      <c r="B922" s="5" t="s">
        <v>26129</v>
      </c>
      <c r="C922" s="5" t="s">
        <v>26130</v>
      </c>
      <c r="D922" s="246">
        <v>40652</v>
      </c>
      <c r="E922" s="5" t="s">
        <v>26131</v>
      </c>
      <c r="F922" s="26"/>
      <c r="G922" s="27" t="s">
        <v>3194</v>
      </c>
      <c r="H922" s="28" t="s">
        <v>3195</v>
      </c>
      <c r="I922" s="5" t="s">
        <v>197</v>
      </c>
    </row>
    <row r="923" spans="1:9" ht="51.75" customHeight="1">
      <c r="A923" s="5">
        <v>3</v>
      </c>
      <c r="B923" s="5" t="s">
        <v>26132</v>
      </c>
      <c r="C923" s="5" t="s">
        <v>26133</v>
      </c>
      <c r="D923" s="246">
        <v>40652</v>
      </c>
      <c r="E923" s="5" t="s">
        <v>26134</v>
      </c>
      <c r="F923" s="26"/>
      <c r="G923" s="27" t="s">
        <v>3194</v>
      </c>
      <c r="H923" s="28" t="s">
        <v>3195</v>
      </c>
      <c r="I923" s="5" t="s">
        <v>197</v>
      </c>
    </row>
    <row r="924" spans="1:9" ht="51.75" customHeight="1">
      <c r="A924" s="5">
        <v>1</v>
      </c>
      <c r="B924" s="5" t="s">
        <v>26135</v>
      </c>
      <c r="C924" s="5" t="s">
        <v>26136</v>
      </c>
      <c r="D924" s="246">
        <v>40652</v>
      </c>
      <c r="E924" s="5" t="s">
        <v>26136</v>
      </c>
      <c r="F924" s="26"/>
      <c r="G924" s="27" t="s">
        <v>3140</v>
      </c>
      <c r="H924" s="28" t="s">
        <v>3141</v>
      </c>
      <c r="I924" s="5" t="s">
        <v>197</v>
      </c>
    </row>
    <row r="925" spans="1:9" ht="51.75" customHeight="1">
      <c r="A925" s="5">
        <v>2</v>
      </c>
      <c r="B925" s="5" t="s">
        <v>26137</v>
      </c>
      <c r="C925" s="5" t="s">
        <v>26138</v>
      </c>
      <c r="D925" s="246">
        <v>40652</v>
      </c>
      <c r="E925" s="5" t="s">
        <v>26139</v>
      </c>
      <c r="F925" s="26"/>
      <c r="G925" s="27" t="s">
        <v>3140</v>
      </c>
      <c r="H925" s="28" t="s">
        <v>3141</v>
      </c>
      <c r="I925" s="5" t="s">
        <v>197</v>
      </c>
    </row>
    <row r="926" spans="1:9" ht="51.75" customHeight="1">
      <c r="A926" s="5">
        <v>3</v>
      </c>
      <c r="B926" s="5" t="s">
        <v>26140</v>
      </c>
      <c r="C926" s="5" t="s">
        <v>26141</v>
      </c>
      <c r="D926" s="246">
        <v>40652</v>
      </c>
      <c r="E926" s="5" t="s">
        <v>26142</v>
      </c>
      <c r="F926" s="26"/>
      <c r="G926" s="27" t="s">
        <v>3140</v>
      </c>
      <c r="H926" s="28" t="s">
        <v>3141</v>
      </c>
      <c r="I926" s="5" t="s">
        <v>197</v>
      </c>
    </row>
    <row r="927" spans="1:9" ht="51.75" customHeight="1">
      <c r="A927" s="5">
        <v>4</v>
      </c>
      <c r="B927" s="5" t="s">
        <v>26143</v>
      </c>
      <c r="C927" s="5" t="s">
        <v>26144</v>
      </c>
      <c r="D927" s="246">
        <v>40652</v>
      </c>
      <c r="E927" s="5" t="s">
        <v>26145</v>
      </c>
      <c r="F927" s="26"/>
      <c r="G927" s="27" t="s">
        <v>3140</v>
      </c>
      <c r="H927" s="28" t="s">
        <v>3141</v>
      </c>
      <c r="I927" s="5" t="s">
        <v>197</v>
      </c>
    </row>
    <row r="928" spans="1:9" ht="51.75" customHeight="1">
      <c r="A928" s="5">
        <v>5</v>
      </c>
      <c r="B928" s="5" t="s">
        <v>26146</v>
      </c>
      <c r="C928" s="5" t="s">
        <v>26147</v>
      </c>
      <c r="D928" s="246">
        <v>40652</v>
      </c>
      <c r="E928" s="5" t="s">
        <v>26147</v>
      </c>
      <c r="F928" s="26"/>
      <c r="G928" s="27" t="s">
        <v>3140</v>
      </c>
      <c r="H928" s="28" t="s">
        <v>3141</v>
      </c>
      <c r="I928" s="5" t="s">
        <v>197</v>
      </c>
    </row>
    <row r="929" spans="1:9" ht="51.75" customHeight="1">
      <c r="A929" s="5">
        <v>6</v>
      </c>
      <c r="B929" s="5" t="s">
        <v>26148</v>
      </c>
      <c r="C929" s="5" t="s">
        <v>26149</v>
      </c>
      <c r="D929" s="246">
        <v>40652</v>
      </c>
      <c r="E929" s="5" t="s">
        <v>26150</v>
      </c>
      <c r="F929" s="26"/>
      <c r="G929" s="27" t="s">
        <v>3140</v>
      </c>
      <c r="H929" s="28" t="s">
        <v>3141</v>
      </c>
      <c r="I929" s="5" t="s">
        <v>197</v>
      </c>
    </row>
    <row r="930" spans="1:9" ht="51.75" customHeight="1">
      <c r="A930" s="5">
        <v>7</v>
      </c>
      <c r="B930" s="5" t="s">
        <v>26151</v>
      </c>
      <c r="C930" s="5" t="s">
        <v>26152</v>
      </c>
      <c r="D930" s="246">
        <v>40652</v>
      </c>
      <c r="E930" s="5" t="s">
        <v>26153</v>
      </c>
      <c r="F930" s="26"/>
      <c r="G930" s="27" t="s">
        <v>3140</v>
      </c>
      <c r="H930" s="28" t="s">
        <v>3141</v>
      </c>
      <c r="I930" s="5" t="s">
        <v>197</v>
      </c>
    </row>
    <row r="931" spans="1:9" ht="51.75" customHeight="1">
      <c r="A931" s="5">
        <v>8</v>
      </c>
      <c r="B931" s="5" t="s">
        <v>26154</v>
      </c>
      <c r="C931" s="5" t="s">
        <v>26155</v>
      </c>
      <c r="D931" s="246">
        <v>40652</v>
      </c>
      <c r="E931" s="5" t="s">
        <v>26156</v>
      </c>
      <c r="F931" s="26"/>
      <c r="G931" s="27" t="s">
        <v>3140</v>
      </c>
      <c r="H931" s="28" t="s">
        <v>3141</v>
      </c>
      <c r="I931" s="5" t="s">
        <v>197</v>
      </c>
    </row>
    <row r="932" spans="1:9" ht="51.75" customHeight="1">
      <c r="A932" s="5">
        <v>1</v>
      </c>
      <c r="B932" s="5" t="s">
        <v>26157</v>
      </c>
      <c r="C932" s="5" t="s">
        <v>26158</v>
      </c>
      <c r="D932" s="246">
        <v>40652</v>
      </c>
      <c r="E932" s="5" t="s">
        <v>26159</v>
      </c>
      <c r="F932" s="26"/>
      <c r="G932" s="27" t="s">
        <v>1712</v>
      </c>
      <c r="H932" s="28" t="s">
        <v>1713</v>
      </c>
      <c r="I932" s="5" t="s">
        <v>197</v>
      </c>
    </row>
    <row r="933" spans="1:9" ht="51.75" customHeight="1">
      <c r="A933" s="5">
        <v>2</v>
      </c>
      <c r="B933" s="5" t="s">
        <v>26160</v>
      </c>
      <c r="C933" s="5" t="s">
        <v>26161</v>
      </c>
      <c r="D933" s="246">
        <v>40652</v>
      </c>
      <c r="E933" s="5" t="s">
        <v>26162</v>
      </c>
      <c r="F933" s="26"/>
      <c r="G933" s="27" t="s">
        <v>1712</v>
      </c>
      <c r="H933" s="28" t="s">
        <v>1713</v>
      </c>
      <c r="I933" s="5" t="s">
        <v>197</v>
      </c>
    </row>
    <row r="934" spans="1:9" ht="51.75" customHeight="1">
      <c r="A934" s="5">
        <v>3</v>
      </c>
      <c r="B934" s="5" t="s">
        <v>26163</v>
      </c>
      <c r="C934" s="5" t="s">
        <v>26164</v>
      </c>
      <c r="D934" s="246">
        <v>40652</v>
      </c>
      <c r="E934" s="5" t="s">
        <v>26165</v>
      </c>
      <c r="F934" s="26"/>
      <c r="G934" s="27" t="s">
        <v>1712</v>
      </c>
      <c r="H934" s="28" t="s">
        <v>1713</v>
      </c>
      <c r="I934" s="5" t="s">
        <v>197</v>
      </c>
    </row>
    <row r="935" spans="1:9" ht="51.75" customHeight="1">
      <c r="A935" s="5">
        <v>4</v>
      </c>
      <c r="B935" s="5" t="s">
        <v>26166</v>
      </c>
      <c r="C935" s="5" t="s">
        <v>26167</v>
      </c>
      <c r="D935" s="246">
        <v>40652</v>
      </c>
      <c r="E935" s="5" t="s">
        <v>26168</v>
      </c>
      <c r="F935" s="26"/>
      <c r="G935" s="27" t="s">
        <v>1712</v>
      </c>
      <c r="H935" s="28" t="s">
        <v>1713</v>
      </c>
      <c r="I935" s="5" t="s">
        <v>197</v>
      </c>
    </row>
    <row r="936" spans="1:9" ht="51.75" customHeight="1">
      <c r="A936" s="5">
        <v>5</v>
      </c>
      <c r="B936" s="5" t="s">
        <v>26169</v>
      </c>
      <c r="C936" s="5" t="s">
        <v>26170</v>
      </c>
      <c r="D936" s="246">
        <v>40652</v>
      </c>
      <c r="E936" s="5" t="s">
        <v>26171</v>
      </c>
      <c r="F936" s="26"/>
      <c r="G936" s="27" t="s">
        <v>1712</v>
      </c>
      <c r="H936" s="28" t="s">
        <v>1713</v>
      </c>
      <c r="I936" s="5" t="s">
        <v>197</v>
      </c>
    </row>
    <row r="937" spans="1:9" ht="51.75" customHeight="1">
      <c r="A937" s="5" t="s">
        <v>25539</v>
      </c>
      <c r="B937" s="5" t="s">
        <v>26172</v>
      </c>
      <c r="C937" s="5" t="s">
        <v>26173</v>
      </c>
      <c r="D937" s="246">
        <v>41099</v>
      </c>
      <c r="E937" s="5" t="s">
        <v>26174</v>
      </c>
      <c r="F937" s="26" t="s">
        <v>25439</v>
      </c>
      <c r="G937" s="27" t="s">
        <v>7322</v>
      </c>
      <c r="H937" s="28" t="s">
        <v>7323</v>
      </c>
      <c r="I937" s="5" t="s">
        <v>197</v>
      </c>
    </row>
    <row r="938" spans="1:9" ht="51.75" customHeight="1">
      <c r="A938" s="5" t="s">
        <v>25539</v>
      </c>
      <c r="B938" s="5" t="s">
        <v>26175</v>
      </c>
      <c r="C938" s="5" t="s">
        <v>26173</v>
      </c>
      <c r="D938" s="246">
        <v>41099</v>
      </c>
      <c r="E938" s="5" t="s">
        <v>26176</v>
      </c>
      <c r="F938" s="26" t="s">
        <v>23600</v>
      </c>
      <c r="G938" s="27" t="s">
        <v>7322</v>
      </c>
      <c r="H938" s="28" t="s">
        <v>7323</v>
      </c>
      <c r="I938" s="5" t="s">
        <v>197</v>
      </c>
    </row>
    <row r="939" spans="1:9" ht="51.75" customHeight="1">
      <c r="A939" s="5" t="s">
        <v>25944</v>
      </c>
      <c r="B939" s="5" t="s">
        <v>26177</v>
      </c>
      <c r="C939" s="5" t="s">
        <v>26178</v>
      </c>
      <c r="D939" s="246">
        <v>41088</v>
      </c>
      <c r="E939" s="5" t="s">
        <v>26179</v>
      </c>
      <c r="F939" s="26" t="s">
        <v>25439</v>
      </c>
      <c r="G939" s="27" t="s">
        <v>7237</v>
      </c>
      <c r="H939" s="28" t="s">
        <v>7238</v>
      </c>
      <c r="I939" s="5" t="s">
        <v>197</v>
      </c>
    </row>
    <row r="940" spans="1:9" ht="51.75" customHeight="1">
      <c r="A940" s="5" t="s">
        <v>25944</v>
      </c>
      <c r="B940" s="5" t="s">
        <v>26180</v>
      </c>
      <c r="C940" s="5" t="s">
        <v>26178</v>
      </c>
      <c r="D940" s="246">
        <v>41088</v>
      </c>
      <c r="E940" s="5" t="s">
        <v>26181</v>
      </c>
      <c r="F940" s="26" t="s">
        <v>23600</v>
      </c>
      <c r="G940" s="27" t="s">
        <v>7237</v>
      </c>
      <c r="H940" s="28" t="s">
        <v>7238</v>
      </c>
      <c r="I940" s="5" t="s">
        <v>197</v>
      </c>
    </row>
    <row r="941" spans="1:9" ht="51.75" customHeight="1">
      <c r="A941" s="5" t="s">
        <v>24385</v>
      </c>
      <c r="B941" s="5" t="s">
        <v>26182</v>
      </c>
      <c r="C941" s="5" t="s">
        <v>26183</v>
      </c>
      <c r="D941" s="246">
        <v>41022</v>
      </c>
      <c r="E941" s="5" t="s">
        <v>26184</v>
      </c>
      <c r="F941" s="26" t="s">
        <v>25439</v>
      </c>
      <c r="G941" s="27" t="s">
        <v>7108</v>
      </c>
      <c r="H941" s="28" t="s">
        <v>7109</v>
      </c>
      <c r="I941" s="5" t="s">
        <v>197</v>
      </c>
    </row>
    <row r="942" spans="1:9" ht="51.75" customHeight="1">
      <c r="A942" s="5" t="s">
        <v>24385</v>
      </c>
      <c r="B942" s="5" t="s">
        <v>26185</v>
      </c>
      <c r="C942" s="5" t="s">
        <v>26183</v>
      </c>
      <c r="D942" s="246">
        <v>41022</v>
      </c>
      <c r="E942" s="5" t="s">
        <v>26186</v>
      </c>
      <c r="F942" s="26" t="s">
        <v>23600</v>
      </c>
      <c r="G942" s="27" t="s">
        <v>7108</v>
      </c>
      <c r="H942" s="28" t="s">
        <v>7109</v>
      </c>
      <c r="I942" s="5" t="s">
        <v>197</v>
      </c>
    </row>
    <row r="943" spans="1:9" ht="51.75" customHeight="1">
      <c r="A943" s="5" t="s">
        <v>24448</v>
      </c>
      <c r="B943" s="5" t="s">
        <v>26187</v>
      </c>
      <c r="C943" s="5" t="s">
        <v>26188</v>
      </c>
      <c r="D943" s="246">
        <v>41155</v>
      </c>
      <c r="E943" s="5" t="s">
        <v>26189</v>
      </c>
      <c r="F943" s="26" t="s">
        <v>25439</v>
      </c>
      <c r="G943" s="27" t="s">
        <v>7740</v>
      </c>
      <c r="H943" s="28" t="s">
        <v>7741</v>
      </c>
      <c r="I943" s="5" t="s">
        <v>197</v>
      </c>
    </row>
    <row r="944" spans="1:9" ht="51.75" customHeight="1">
      <c r="A944" s="5" t="s">
        <v>24448</v>
      </c>
      <c r="B944" s="5" t="s">
        <v>26190</v>
      </c>
      <c r="C944" s="5" t="s">
        <v>26188</v>
      </c>
      <c r="D944" s="246">
        <v>41155</v>
      </c>
      <c r="E944" s="5" t="s">
        <v>26191</v>
      </c>
      <c r="F944" s="26" t="s">
        <v>23600</v>
      </c>
      <c r="G944" s="27" t="s">
        <v>7740</v>
      </c>
      <c r="H944" s="28" t="s">
        <v>7741</v>
      </c>
      <c r="I944" s="5" t="s">
        <v>197</v>
      </c>
    </row>
    <row r="945" spans="1:9" ht="51.75" customHeight="1">
      <c r="A945" s="5" t="s">
        <v>24452</v>
      </c>
      <c r="B945" s="5" t="s">
        <v>26192</v>
      </c>
      <c r="C945" s="5" t="s">
        <v>26193</v>
      </c>
      <c r="D945" s="246">
        <v>41155</v>
      </c>
      <c r="E945" s="5" t="s">
        <v>26194</v>
      </c>
      <c r="F945" s="26" t="s">
        <v>25439</v>
      </c>
      <c r="G945" s="27" t="s">
        <v>7740</v>
      </c>
      <c r="H945" s="28" t="s">
        <v>7741</v>
      </c>
      <c r="I945" s="5" t="s">
        <v>197</v>
      </c>
    </row>
    <row r="946" spans="1:9" ht="51.75" customHeight="1">
      <c r="A946" s="5" t="s">
        <v>24452</v>
      </c>
      <c r="B946" s="5" t="s">
        <v>26195</v>
      </c>
      <c r="C946" s="5" t="s">
        <v>26193</v>
      </c>
      <c r="D946" s="246">
        <v>41155</v>
      </c>
      <c r="E946" s="5" t="s">
        <v>26196</v>
      </c>
      <c r="F946" s="26" t="s">
        <v>23600</v>
      </c>
      <c r="G946" s="27" t="s">
        <v>7740</v>
      </c>
      <c r="H946" s="28" t="s">
        <v>7741</v>
      </c>
      <c r="I946" s="5" t="s">
        <v>197</v>
      </c>
    </row>
    <row r="947" spans="1:9" ht="51.75" customHeight="1">
      <c r="A947" s="5" t="s">
        <v>24456</v>
      </c>
      <c r="B947" s="5" t="s">
        <v>26197</v>
      </c>
      <c r="C947" s="5" t="s">
        <v>26198</v>
      </c>
      <c r="D947" s="246">
        <v>41155</v>
      </c>
      <c r="E947" s="5" t="s">
        <v>26199</v>
      </c>
      <c r="F947" s="26" t="s">
        <v>25439</v>
      </c>
      <c r="G947" s="27" t="s">
        <v>7740</v>
      </c>
      <c r="H947" s="28" t="s">
        <v>7741</v>
      </c>
      <c r="I947" s="5" t="s">
        <v>197</v>
      </c>
    </row>
    <row r="948" spans="1:9" ht="51.75" customHeight="1">
      <c r="A948" s="5" t="s">
        <v>24456</v>
      </c>
      <c r="B948" s="5" t="s">
        <v>26200</v>
      </c>
      <c r="C948" s="5" t="s">
        <v>26198</v>
      </c>
      <c r="D948" s="246">
        <v>41155</v>
      </c>
      <c r="E948" s="5" t="s">
        <v>26201</v>
      </c>
      <c r="F948" s="26" t="s">
        <v>23600</v>
      </c>
      <c r="G948" s="27" t="s">
        <v>7740</v>
      </c>
      <c r="H948" s="28" t="s">
        <v>7741</v>
      </c>
      <c r="I948" s="5" t="s">
        <v>197</v>
      </c>
    </row>
    <row r="949" spans="1:9" ht="51.75" customHeight="1">
      <c r="A949" s="5" t="s">
        <v>24948</v>
      </c>
      <c r="B949" s="5" t="s">
        <v>26202</v>
      </c>
      <c r="C949" s="5" t="s">
        <v>26203</v>
      </c>
      <c r="D949" s="246">
        <v>41116</v>
      </c>
      <c r="E949" s="5" t="s">
        <v>26204</v>
      </c>
      <c r="F949" s="26" t="s">
        <v>25439</v>
      </c>
      <c r="G949" s="27" t="s">
        <v>6610</v>
      </c>
      <c r="H949" s="28" t="s">
        <v>6611</v>
      </c>
      <c r="I949" s="5" t="s">
        <v>197</v>
      </c>
    </row>
    <row r="950" spans="1:9" ht="51.75" customHeight="1">
      <c r="A950" s="5" t="s">
        <v>24948</v>
      </c>
      <c r="B950" s="5" t="s">
        <v>26205</v>
      </c>
      <c r="C950" s="5" t="s">
        <v>26203</v>
      </c>
      <c r="D950" s="246">
        <v>41116</v>
      </c>
      <c r="E950" s="5" t="s">
        <v>26206</v>
      </c>
      <c r="F950" s="26" t="s">
        <v>23600</v>
      </c>
      <c r="G950" s="27" t="s">
        <v>6610</v>
      </c>
      <c r="H950" s="28" t="s">
        <v>6611</v>
      </c>
      <c r="I950" s="5" t="s">
        <v>197</v>
      </c>
    </row>
    <row r="951" spans="1:9" ht="51.75" customHeight="1">
      <c r="A951" s="5" t="s">
        <v>24926</v>
      </c>
      <c r="B951" s="5" t="s">
        <v>26207</v>
      </c>
      <c r="C951" s="5" t="s">
        <v>26208</v>
      </c>
      <c r="D951" s="246">
        <v>41116</v>
      </c>
      <c r="E951" s="5" t="s">
        <v>26209</v>
      </c>
      <c r="F951" s="26" t="s">
        <v>25439</v>
      </c>
      <c r="G951" s="27" t="s">
        <v>6610</v>
      </c>
      <c r="H951" s="28" t="s">
        <v>6611</v>
      </c>
      <c r="I951" s="5" t="s">
        <v>197</v>
      </c>
    </row>
    <row r="952" spans="1:9" ht="51.75" customHeight="1">
      <c r="A952" s="5" t="s">
        <v>24926</v>
      </c>
      <c r="B952" s="5" t="s">
        <v>26210</v>
      </c>
      <c r="C952" s="5" t="s">
        <v>26208</v>
      </c>
      <c r="D952" s="246">
        <v>41116</v>
      </c>
      <c r="E952" s="5" t="s">
        <v>26211</v>
      </c>
      <c r="F952" s="26" t="s">
        <v>23600</v>
      </c>
      <c r="G952" s="27" t="s">
        <v>6610</v>
      </c>
      <c r="H952" s="28" t="s">
        <v>6611</v>
      </c>
      <c r="I952" s="5" t="s">
        <v>197</v>
      </c>
    </row>
    <row r="953" spans="1:9" ht="51.75" customHeight="1">
      <c r="A953" s="5" t="s">
        <v>24929</v>
      </c>
      <c r="B953" s="5" t="s">
        <v>26212</v>
      </c>
      <c r="C953" s="5" t="s">
        <v>26213</v>
      </c>
      <c r="D953" s="246">
        <v>41116</v>
      </c>
      <c r="E953" s="5" t="s">
        <v>26214</v>
      </c>
      <c r="F953" s="26" t="s">
        <v>25439</v>
      </c>
      <c r="G953" s="27" t="s">
        <v>6610</v>
      </c>
      <c r="H953" s="28" t="s">
        <v>6611</v>
      </c>
      <c r="I953" s="5" t="s">
        <v>197</v>
      </c>
    </row>
    <row r="954" spans="1:9" ht="51.75" customHeight="1">
      <c r="A954" s="5" t="s">
        <v>24929</v>
      </c>
      <c r="B954" s="5" t="s">
        <v>26215</v>
      </c>
      <c r="C954" s="5" t="s">
        <v>26213</v>
      </c>
      <c r="D954" s="246">
        <v>41116</v>
      </c>
      <c r="E954" s="5" t="s">
        <v>26216</v>
      </c>
      <c r="F954" s="26" t="s">
        <v>23600</v>
      </c>
      <c r="G954" s="27" t="s">
        <v>6610</v>
      </c>
      <c r="H954" s="28" t="s">
        <v>6611</v>
      </c>
      <c r="I954" s="5" t="s">
        <v>197</v>
      </c>
    </row>
    <row r="955" spans="1:9" ht="51.75" customHeight="1">
      <c r="A955" s="5" t="s">
        <v>25070</v>
      </c>
      <c r="B955" s="5" t="s">
        <v>26217</v>
      </c>
      <c r="C955" s="5" t="s">
        <v>26218</v>
      </c>
      <c r="D955" s="246">
        <v>41116</v>
      </c>
      <c r="E955" s="5" t="s">
        <v>26219</v>
      </c>
      <c r="F955" s="26" t="s">
        <v>25439</v>
      </c>
      <c r="G955" s="27" t="s">
        <v>6610</v>
      </c>
      <c r="H955" s="28" t="s">
        <v>6611</v>
      </c>
      <c r="I955" s="5" t="s">
        <v>197</v>
      </c>
    </row>
    <row r="956" spans="1:9" ht="51.75" customHeight="1">
      <c r="A956" s="5" t="s">
        <v>25070</v>
      </c>
      <c r="B956" s="5" t="s">
        <v>26220</v>
      </c>
      <c r="C956" s="5" t="s">
        <v>26218</v>
      </c>
      <c r="D956" s="246">
        <v>41116</v>
      </c>
      <c r="E956" s="5" t="s">
        <v>26221</v>
      </c>
      <c r="F956" s="26" t="s">
        <v>23600</v>
      </c>
      <c r="G956" s="27" t="s">
        <v>6610</v>
      </c>
      <c r="H956" s="28" t="s">
        <v>6611</v>
      </c>
      <c r="I956" s="5" t="s">
        <v>197</v>
      </c>
    </row>
    <row r="957" spans="1:9" ht="51.75" customHeight="1">
      <c r="A957" s="5" t="s">
        <v>25074</v>
      </c>
      <c r="B957" s="5" t="s">
        <v>26222</v>
      </c>
      <c r="C957" s="5" t="s">
        <v>26223</v>
      </c>
      <c r="D957" s="246">
        <v>41121</v>
      </c>
      <c r="E957" s="5" t="s">
        <v>26224</v>
      </c>
      <c r="F957" s="26" t="s">
        <v>25439</v>
      </c>
      <c r="G957" s="27" t="s">
        <v>7557</v>
      </c>
      <c r="H957" s="28" t="s">
        <v>7558</v>
      </c>
      <c r="I957" s="5" t="s">
        <v>197</v>
      </c>
    </row>
    <row r="958" spans="1:9" ht="51.75" customHeight="1">
      <c r="A958" s="5" t="s">
        <v>25074</v>
      </c>
      <c r="B958" s="5" t="s">
        <v>26225</v>
      </c>
      <c r="C958" s="5" t="s">
        <v>26223</v>
      </c>
      <c r="D958" s="246">
        <v>41121</v>
      </c>
      <c r="E958" s="5" t="s">
        <v>26226</v>
      </c>
      <c r="F958" s="26" t="s">
        <v>23600</v>
      </c>
      <c r="G958" s="27" t="s">
        <v>7557</v>
      </c>
      <c r="H958" s="28" t="s">
        <v>7558</v>
      </c>
      <c r="I958" s="5" t="s">
        <v>197</v>
      </c>
    </row>
    <row r="959" spans="1:9" ht="51.75" customHeight="1">
      <c r="A959" s="5" t="s">
        <v>25078</v>
      </c>
      <c r="B959" s="5" t="s">
        <v>26227</v>
      </c>
      <c r="C959" s="5" t="s">
        <v>26228</v>
      </c>
      <c r="D959" s="246">
        <v>41121</v>
      </c>
      <c r="E959" s="5" t="s">
        <v>26229</v>
      </c>
      <c r="F959" s="26" t="s">
        <v>25439</v>
      </c>
      <c r="G959" s="27" t="s">
        <v>7557</v>
      </c>
      <c r="H959" s="28" t="s">
        <v>7558</v>
      </c>
      <c r="I959" s="5" t="s">
        <v>197</v>
      </c>
    </row>
    <row r="960" spans="1:9" ht="51.75" customHeight="1">
      <c r="A960" s="5" t="s">
        <v>25078</v>
      </c>
      <c r="B960" s="5" t="s">
        <v>26230</v>
      </c>
      <c r="C960" s="5" t="s">
        <v>26228</v>
      </c>
      <c r="D960" s="246">
        <v>41121</v>
      </c>
      <c r="E960" s="5" t="s">
        <v>26231</v>
      </c>
      <c r="F960" s="26" t="s">
        <v>23600</v>
      </c>
      <c r="G960" s="27" t="s">
        <v>7557</v>
      </c>
      <c r="H960" s="28" t="s">
        <v>7558</v>
      </c>
      <c r="I960" s="5" t="s">
        <v>197</v>
      </c>
    </row>
    <row r="961" spans="1:9" ht="51.75" customHeight="1">
      <c r="A961" s="5" t="s">
        <v>26232</v>
      </c>
      <c r="B961" s="5" t="s">
        <v>26233</v>
      </c>
      <c r="C961" s="5" t="s">
        <v>26234</v>
      </c>
      <c r="D961" s="246">
        <v>41121</v>
      </c>
      <c r="E961" s="5" t="s">
        <v>26235</v>
      </c>
      <c r="F961" s="26" t="s">
        <v>25439</v>
      </c>
      <c r="G961" s="27" t="s">
        <v>7557</v>
      </c>
      <c r="H961" s="28" t="s">
        <v>7558</v>
      </c>
      <c r="I961" s="5" t="s">
        <v>197</v>
      </c>
    </row>
    <row r="962" spans="1:9" ht="51.75" customHeight="1">
      <c r="A962" s="5" t="s">
        <v>26232</v>
      </c>
      <c r="B962" s="5" t="s">
        <v>26236</v>
      </c>
      <c r="C962" s="5" t="s">
        <v>26234</v>
      </c>
      <c r="D962" s="246">
        <v>41121</v>
      </c>
      <c r="E962" s="5" t="s">
        <v>26237</v>
      </c>
      <c r="F962" s="26" t="s">
        <v>23600</v>
      </c>
      <c r="G962" s="27" t="s">
        <v>7557</v>
      </c>
      <c r="H962" s="28" t="s">
        <v>7558</v>
      </c>
      <c r="I962" s="5" t="s">
        <v>197</v>
      </c>
    </row>
    <row r="963" spans="1:9" ht="51.75" customHeight="1">
      <c r="A963" s="5" t="s">
        <v>26238</v>
      </c>
      <c r="B963" s="5" t="s">
        <v>26239</v>
      </c>
      <c r="C963" s="5" t="s">
        <v>26240</v>
      </c>
      <c r="D963" s="246">
        <v>41121</v>
      </c>
      <c r="E963" s="5" t="s">
        <v>26241</v>
      </c>
      <c r="F963" s="26" t="s">
        <v>25439</v>
      </c>
      <c r="G963" s="27" t="s">
        <v>6932</v>
      </c>
      <c r="H963" s="28" t="s">
        <v>6933</v>
      </c>
      <c r="I963" s="5" t="s">
        <v>197</v>
      </c>
    </row>
    <row r="964" spans="1:9" ht="51.75" customHeight="1">
      <c r="A964" s="5" t="s">
        <v>26238</v>
      </c>
      <c r="B964" s="5" t="s">
        <v>26242</v>
      </c>
      <c r="C964" s="5" t="s">
        <v>26240</v>
      </c>
      <c r="D964" s="246">
        <v>41121</v>
      </c>
      <c r="E964" s="5" t="s">
        <v>26243</v>
      </c>
      <c r="F964" s="26" t="s">
        <v>23600</v>
      </c>
      <c r="G964" s="27" t="s">
        <v>6932</v>
      </c>
      <c r="H964" s="28" t="s">
        <v>6933</v>
      </c>
      <c r="I964" s="5" t="s">
        <v>197</v>
      </c>
    </row>
    <row r="965" spans="1:9" ht="51.75" customHeight="1">
      <c r="A965" s="5" t="s">
        <v>26244</v>
      </c>
      <c r="B965" s="5" t="s">
        <v>26245</v>
      </c>
      <c r="C965" s="5" t="s">
        <v>26246</v>
      </c>
      <c r="D965" s="246">
        <v>41121</v>
      </c>
      <c r="E965" s="5" t="s">
        <v>26247</v>
      </c>
      <c r="F965" s="26" t="s">
        <v>25439</v>
      </c>
      <c r="G965" s="27" t="s">
        <v>6932</v>
      </c>
      <c r="H965" s="28" t="s">
        <v>6933</v>
      </c>
      <c r="I965" s="5" t="s">
        <v>197</v>
      </c>
    </row>
    <row r="966" spans="1:9" ht="51.75" customHeight="1">
      <c r="A966" s="5" t="s">
        <v>26244</v>
      </c>
      <c r="B966" s="5" t="s">
        <v>26248</v>
      </c>
      <c r="C966" s="5" t="s">
        <v>26246</v>
      </c>
      <c r="D966" s="246">
        <v>41121</v>
      </c>
      <c r="E966" s="5" t="s">
        <v>26249</v>
      </c>
      <c r="F966" s="26" t="s">
        <v>23600</v>
      </c>
      <c r="G966" s="27" t="s">
        <v>6932</v>
      </c>
      <c r="H966" s="28" t="s">
        <v>6933</v>
      </c>
      <c r="I966" s="5" t="s">
        <v>197</v>
      </c>
    </row>
    <row r="967" spans="1:9" ht="51.75" customHeight="1">
      <c r="A967" s="5" t="s">
        <v>26250</v>
      </c>
      <c r="B967" s="5" t="s">
        <v>26251</v>
      </c>
      <c r="C967" s="5" t="s">
        <v>26223</v>
      </c>
      <c r="D967" s="246">
        <v>41144</v>
      </c>
      <c r="E967" s="5" t="s">
        <v>26252</v>
      </c>
      <c r="F967" s="26" t="s">
        <v>25439</v>
      </c>
      <c r="G967" s="27" t="s">
        <v>6964</v>
      </c>
      <c r="H967" s="28" t="s">
        <v>6965</v>
      </c>
      <c r="I967" s="5" t="s">
        <v>197</v>
      </c>
    </row>
    <row r="968" spans="1:9" ht="51.75" customHeight="1">
      <c r="A968" s="5" t="s">
        <v>26250</v>
      </c>
      <c r="B968" s="5" t="s">
        <v>26253</v>
      </c>
      <c r="C968" s="5" t="s">
        <v>26223</v>
      </c>
      <c r="D968" s="246">
        <v>41144</v>
      </c>
      <c r="E968" s="5" t="s">
        <v>26254</v>
      </c>
      <c r="F968" s="26" t="s">
        <v>23600</v>
      </c>
      <c r="G968" s="27" t="s">
        <v>6964</v>
      </c>
      <c r="H968" s="28" t="s">
        <v>6965</v>
      </c>
      <c r="I968" s="5" t="s">
        <v>197</v>
      </c>
    </row>
    <row r="969" spans="1:9" ht="51.75" customHeight="1">
      <c r="A969" s="5" t="s">
        <v>26255</v>
      </c>
      <c r="B969" s="5" t="s">
        <v>26256</v>
      </c>
      <c r="C969" s="5" t="s">
        <v>26257</v>
      </c>
      <c r="D969" s="246">
        <v>41144</v>
      </c>
      <c r="E969" s="5" t="s">
        <v>26229</v>
      </c>
      <c r="F969" s="26" t="s">
        <v>25439</v>
      </c>
      <c r="G969" s="27" t="s">
        <v>6964</v>
      </c>
      <c r="H969" s="28" t="s">
        <v>6965</v>
      </c>
      <c r="I969" s="5" t="s">
        <v>197</v>
      </c>
    </row>
    <row r="970" spans="1:9" ht="51.75" customHeight="1">
      <c r="A970" s="5" t="s">
        <v>26255</v>
      </c>
      <c r="B970" s="5" t="s">
        <v>26258</v>
      </c>
      <c r="C970" s="5" t="s">
        <v>26257</v>
      </c>
      <c r="D970" s="246">
        <v>41144</v>
      </c>
      <c r="E970" s="5" t="s">
        <v>26231</v>
      </c>
      <c r="F970" s="26" t="s">
        <v>23600</v>
      </c>
      <c r="G970" s="27" t="s">
        <v>6964</v>
      </c>
      <c r="H970" s="28" t="s">
        <v>6965</v>
      </c>
      <c r="I970" s="5" t="s">
        <v>197</v>
      </c>
    </row>
    <row r="971" spans="1:9" ht="51.75" customHeight="1">
      <c r="A971" s="5" t="s">
        <v>26259</v>
      </c>
      <c r="B971" s="5" t="s">
        <v>26260</v>
      </c>
      <c r="C971" s="5" t="s">
        <v>26261</v>
      </c>
      <c r="D971" s="246">
        <v>41144</v>
      </c>
      <c r="E971" s="5" t="s">
        <v>26262</v>
      </c>
      <c r="F971" s="26" t="s">
        <v>25439</v>
      </c>
      <c r="G971" s="27" t="s">
        <v>6964</v>
      </c>
      <c r="H971" s="28" t="s">
        <v>6965</v>
      </c>
      <c r="I971" s="5" t="s">
        <v>197</v>
      </c>
    </row>
    <row r="972" spans="1:9" ht="51.75" customHeight="1">
      <c r="A972" s="5" t="s">
        <v>26259</v>
      </c>
      <c r="B972" s="5" t="s">
        <v>26263</v>
      </c>
      <c r="C972" s="5" t="s">
        <v>26261</v>
      </c>
      <c r="D972" s="246">
        <v>41144</v>
      </c>
      <c r="E972" s="5" t="s">
        <v>26264</v>
      </c>
      <c r="F972" s="26" t="s">
        <v>23600</v>
      </c>
      <c r="G972" s="27" t="s">
        <v>6964</v>
      </c>
      <c r="H972" s="28" t="s">
        <v>6965</v>
      </c>
      <c r="I972" s="5" t="s">
        <v>197</v>
      </c>
    </row>
    <row r="973" spans="1:9" ht="51.75" customHeight="1">
      <c r="A973" s="5" t="s">
        <v>26265</v>
      </c>
      <c r="B973" s="5" t="s">
        <v>26266</v>
      </c>
      <c r="C973" s="5" t="s">
        <v>26223</v>
      </c>
      <c r="D973" s="246" t="s">
        <v>68</v>
      </c>
      <c r="E973" s="5" t="s">
        <v>26267</v>
      </c>
      <c r="F973" s="26" t="s">
        <v>25439</v>
      </c>
      <c r="G973" s="27" t="s">
        <v>7745</v>
      </c>
      <c r="H973" s="28" t="s">
        <v>7746</v>
      </c>
      <c r="I973" s="5" t="s">
        <v>197</v>
      </c>
    </row>
    <row r="974" spans="1:9" ht="51.75" customHeight="1">
      <c r="A974" s="5" t="s">
        <v>26265</v>
      </c>
      <c r="B974" s="5" t="s">
        <v>26268</v>
      </c>
      <c r="C974" s="5" t="s">
        <v>26223</v>
      </c>
      <c r="D974" s="246" t="s">
        <v>68</v>
      </c>
      <c r="E974" s="5" t="s">
        <v>26269</v>
      </c>
      <c r="F974" s="26" t="s">
        <v>23600</v>
      </c>
      <c r="G974" s="27" t="s">
        <v>7745</v>
      </c>
      <c r="H974" s="28" t="s">
        <v>7746</v>
      </c>
      <c r="I974" s="5" t="s">
        <v>197</v>
      </c>
    </row>
    <row r="975" spans="1:9" ht="51.75" customHeight="1">
      <c r="A975" s="5" t="s">
        <v>26270</v>
      </c>
      <c r="B975" s="5" t="s">
        <v>26271</v>
      </c>
      <c r="C975" s="5" t="s">
        <v>26240</v>
      </c>
      <c r="D975" s="246">
        <v>41144</v>
      </c>
      <c r="E975" s="5" t="s">
        <v>26272</v>
      </c>
      <c r="F975" s="26" t="s">
        <v>25439</v>
      </c>
      <c r="G975" s="27" t="s">
        <v>7653</v>
      </c>
      <c r="H975" s="28" t="s">
        <v>7654</v>
      </c>
      <c r="I975" s="5" t="s">
        <v>197</v>
      </c>
    </row>
    <row r="976" spans="1:9" ht="51.75" customHeight="1">
      <c r="A976" s="5" t="s">
        <v>26270</v>
      </c>
      <c r="B976" s="5" t="s">
        <v>26273</v>
      </c>
      <c r="C976" s="5" t="s">
        <v>26240</v>
      </c>
      <c r="D976" s="246">
        <v>41144</v>
      </c>
      <c r="E976" s="5" t="s">
        <v>26274</v>
      </c>
      <c r="F976" s="26" t="s">
        <v>23600</v>
      </c>
      <c r="G976" s="27" t="s">
        <v>7653</v>
      </c>
      <c r="H976" s="28" t="s">
        <v>7654</v>
      </c>
      <c r="I976" s="5" t="s">
        <v>197</v>
      </c>
    </row>
    <row r="977" spans="1:9" ht="51.75" customHeight="1">
      <c r="A977" s="5" t="s">
        <v>26275</v>
      </c>
      <c r="B977" s="5" t="s">
        <v>26276</v>
      </c>
      <c r="C977" s="5" t="s">
        <v>23621</v>
      </c>
      <c r="D977" s="246">
        <v>41180</v>
      </c>
      <c r="E977" s="5" t="s">
        <v>26277</v>
      </c>
      <c r="F977" s="26" t="s">
        <v>25439</v>
      </c>
      <c r="G977" s="27" t="s">
        <v>7852</v>
      </c>
      <c r="H977" s="28" t="s">
        <v>7853</v>
      </c>
      <c r="I977" s="5" t="s">
        <v>197</v>
      </c>
    </row>
    <row r="978" spans="1:9" ht="51.75" customHeight="1">
      <c r="A978" s="5" t="s">
        <v>26275</v>
      </c>
      <c r="B978" s="5" t="s">
        <v>26278</v>
      </c>
      <c r="C978" s="5" t="s">
        <v>23621</v>
      </c>
      <c r="D978" s="246">
        <v>41180</v>
      </c>
      <c r="E978" s="5" t="s">
        <v>26279</v>
      </c>
      <c r="F978" s="26" t="s">
        <v>23600</v>
      </c>
      <c r="G978" s="27" t="s">
        <v>7852</v>
      </c>
      <c r="H978" s="28" t="s">
        <v>7853</v>
      </c>
      <c r="I978" s="5" t="s">
        <v>197</v>
      </c>
    </row>
    <row r="979" spans="1:9" ht="51.75" customHeight="1">
      <c r="A979" s="5" t="s">
        <v>26280</v>
      </c>
      <c r="B979" s="5" t="s">
        <v>26281</v>
      </c>
      <c r="C979" s="5" t="s">
        <v>23625</v>
      </c>
      <c r="D979" s="246">
        <v>41180</v>
      </c>
      <c r="E979" s="5" t="s">
        <v>26282</v>
      </c>
      <c r="F979" s="26" t="s">
        <v>25439</v>
      </c>
      <c r="G979" s="27" t="s">
        <v>7852</v>
      </c>
      <c r="H979" s="28" t="s">
        <v>7853</v>
      </c>
      <c r="I979" s="5" t="s">
        <v>197</v>
      </c>
    </row>
    <row r="980" spans="1:9" ht="51.75" customHeight="1">
      <c r="A980" s="5" t="s">
        <v>26280</v>
      </c>
      <c r="B980" s="5" t="s">
        <v>26283</v>
      </c>
      <c r="C980" s="5" t="s">
        <v>23625</v>
      </c>
      <c r="D980" s="246">
        <v>41180</v>
      </c>
      <c r="E980" s="5" t="s">
        <v>26284</v>
      </c>
      <c r="F980" s="26" t="s">
        <v>23600</v>
      </c>
      <c r="G980" s="27" t="s">
        <v>7852</v>
      </c>
      <c r="H980" s="28" t="s">
        <v>7853</v>
      </c>
      <c r="I980" s="5" t="s">
        <v>197</v>
      </c>
    </row>
    <row r="981" spans="1:9" ht="51.75" customHeight="1">
      <c r="A981" s="5" t="s">
        <v>26285</v>
      </c>
      <c r="B981" s="5" t="s">
        <v>26286</v>
      </c>
      <c r="C981" s="5" t="s">
        <v>25972</v>
      </c>
      <c r="D981" s="246">
        <v>41180</v>
      </c>
      <c r="E981" s="5" t="s">
        <v>26287</v>
      </c>
      <c r="F981" s="26" t="s">
        <v>25439</v>
      </c>
      <c r="G981" s="27" t="s">
        <v>7852</v>
      </c>
      <c r="H981" s="28" t="s">
        <v>7853</v>
      </c>
      <c r="I981" s="5" t="s">
        <v>197</v>
      </c>
    </row>
    <row r="982" spans="1:9" ht="51.75" customHeight="1">
      <c r="A982" s="5" t="s">
        <v>26285</v>
      </c>
      <c r="B982" s="5" t="s">
        <v>26288</v>
      </c>
      <c r="C982" s="5" t="s">
        <v>25972</v>
      </c>
      <c r="D982" s="246">
        <v>41180</v>
      </c>
      <c r="E982" s="5" t="s">
        <v>26289</v>
      </c>
      <c r="F982" s="26" t="s">
        <v>23600</v>
      </c>
      <c r="G982" s="27" t="s">
        <v>7852</v>
      </c>
      <c r="H982" s="28" t="s">
        <v>7853</v>
      </c>
      <c r="I982" s="5" t="s">
        <v>197</v>
      </c>
    </row>
    <row r="983" spans="1:9" ht="51.75" customHeight="1">
      <c r="A983" s="5" t="s">
        <v>26290</v>
      </c>
      <c r="B983" s="5" t="s">
        <v>26291</v>
      </c>
      <c r="C983" s="5" t="s">
        <v>26292</v>
      </c>
      <c r="D983" s="246">
        <v>41332</v>
      </c>
      <c r="E983" s="5" t="s">
        <v>26293</v>
      </c>
      <c r="F983" s="26" t="s">
        <v>25439</v>
      </c>
      <c r="G983" s="27" t="s">
        <v>7052</v>
      </c>
      <c r="H983" s="28" t="s">
        <v>7053</v>
      </c>
      <c r="I983" s="5" t="s">
        <v>197</v>
      </c>
    </row>
    <row r="984" spans="1:9" ht="51.75" customHeight="1">
      <c r="A984" s="5" t="s">
        <v>26290</v>
      </c>
      <c r="B984" s="5" t="s">
        <v>26294</v>
      </c>
      <c r="C984" s="5" t="s">
        <v>26292</v>
      </c>
      <c r="D984" s="246">
        <v>41332</v>
      </c>
      <c r="E984" s="5" t="s">
        <v>26295</v>
      </c>
      <c r="F984" s="26" t="s">
        <v>23600</v>
      </c>
      <c r="G984" s="27" t="s">
        <v>7052</v>
      </c>
      <c r="H984" s="28" t="s">
        <v>7053</v>
      </c>
      <c r="I984" s="5" t="s">
        <v>197</v>
      </c>
    </row>
    <row r="985" spans="1:9" ht="51.75" customHeight="1">
      <c r="A985" s="5" t="s">
        <v>26296</v>
      </c>
      <c r="B985" s="5" t="s">
        <v>26297</v>
      </c>
      <c r="C985" s="5" t="s">
        <v>23621</v>
      </c>
      <c r="D985" s="246">
        <v>41331</v>
      </c>
      <c r="E985" s="5" t="s">
        <v>26298</v>
      </c>
      <c r="F985" s="26" t="s">
        <v>25439</v>
      </c>
      <c r="G985" s="27" t="s">
        <v>7696</v>
      </c>
      <c r="H985" s="28" t="s">
        <v>7697</v>
      </c>
      <c r="I985" s="5" t="s">
        <v>197</v>
      </c>
    </row>
    <row r="986" spans="1:9" ht="51.75" customHeight="1">
      <c r="A986" s="5" t="s">
        <v>26296</v>
      </c>
      <c r="B986" s="5" t="s">
        <v>26299</v>
      </c>
      <c r="C986" s="5" t="s">
        <v>23621</v>
      </c>
      <c r="D986" s="246">
        <v>41331</v>
      </c>
      <c r="E986" s="5" t="s">
        <v>26300</v>
      </c>
      <c r="F986" s="26" t="s">
        <v>23600</v>
      </c>
      <c r="G986" s="27" t="s">
        <v>7696</v>
      </c>
      <c r="H986" s="28" t="s">
        <v>7697</v>
      </c>
      <c r="I986" s="5" t="s">
        <v>197</v>
      </c>
    </row>
    <row r="987" spans="1:9" ht="51.75" customHeight="1">
      <c r="A987" s="5" t="s">
        <v>26301</v>
      </c>
      <c r="B987" s="5" t="s">
        <v>26302</v>
      </c>
      <c r="C987" s="5" t="s">
        <v>23625</v>
      </c>
      <c r="D987" s="246">
        <v>41331</v>
      </c>
      <c r="E987" s="5" t="s">
        <v>26303</v>
      </c>
      <c r="F987" s="26" t="s">
        <v>25439</v>
      </c>
      <c r="G987" s="27" t="s">
        <v>7696</v>
      </c>
      <c r="H987" s="28" t="s">
        <v>7697</v>
      </c>
      <c r="I987" s="5" t="s">
        <v>197</v>
      </c>
    </row>
    <row r="988" spans="1:9" ht="51.75" customHeight="1">
      <c r="A988" s="5" t="s">
        <v>26301</v>
      </c>
      <c r="B988" s="5" t="s">
        <v>26304</v>
      </c>
      <c r="C988" s="5" t="s">
        <v>23625</v>
      </c>
      <c r="D988" s="246">
        <v>41331</v>
      </c>
      <c r="E988" s="5" t="s">
        <v>26305</v>
      </c>
      <c r="F988" s="26" t="s">
        <v>23600</v>
      </c>
      <c r="G988" s="27" t="s">
        <v>7696</v>
      </c>
      <c r="H988" s="28" t="s">
        <v>7697</v>
      </c>
      <c r="I988" s="5" t="s">
        <v>197</v>
      </c>
    </row>
    <row r="989" spans="1:9" ht="51.75" customHeight="1">
      <c r="A989" s="5" t="s">
        <v>25539</v>
      </c>
      <c r="B989" s="5" t="s">
        <v>26306</v>
      </c>
      <c r="C989" s="5" t="s">
        <v>25972</v>
      </c>
      <c r="D989" s="246">
        <v>41331</v>
      </c>
      <c r="E989" s="5" t="s">
        <v>26307</v>
      </c>
      <c r="F989" s="26" t="s">
        <v>25439</v>
      </c>
      <c r="G989" s="27" t="s">
        <v>7696</v>
      </c>
      <c r="H989" s="28" t="s">
        <v>7697</v>
      </c>
      <c r="I989" s="5" t="s">
        <v>197</v>
      </c>
    </row>
    <row r="990" spans="1:9" ht="51.75" customHeight="1">
      <c r="A990" s="5" t="s">
        <v>25539</v>
      </c>
      <c r="B990" s="5" t="s">
        <v>26308</v>
      </c>
      <c r="C990" s="5" t="s">
        <v>25972</v>
      </c>
      <c r="D990" s="246">
        <v>41331</v>
      </c>
      <c r="E990" s="5" t="s">
        <v>26309</v>
      </c>
      <c r="F990" s="26" t="s">
        <v>23600</v>
      </c>
      <c r="G990" s="27" t="s">
        <v>7696</v>
      </c>
      <c r="H990" s="28" t="s">
        <v>7697</v>
      </c>
      <c r="I990" s="5" t="s">
        <v>197</v>
      </c>
    </row>
    <row r="991" spans="1:9" ht="51.75" customHeight="1">
      <c r="A991" s="5" t="s">
        <v>26310</v>
      </c>
      <c r="B991" s="5" t="s">
        <v>26311</v>
      </c>
      <c r="C991" s="5" t="s">
        <v>26312</v>
      </c>
      <c r="D991" s="246">
        <v>40756</v>
      </c>
      <c r="E991" s="5" t="s">
        <v>26313</v>
      </c>
      <c r="F991" s="26" t="s">
        <v>25439</v>
      </c>
      <c r="G991" s="27" t="s">
        <v>6207</v>
      </c>
      <c r="H991" s="28" t="s">
        <v>6208</v>
      </c>
      <c r="I991" s="5" t="s">
        <v>197</v>
      </c>
    </row>
    <row r="992" spans="1:9" ht="51.75" customHeight="1">
      <c r="A992" s="5" t="s">
        <v>26310</v>
      </c>
      <c r="B992" s="5" t="s">
        <v>26314</v>
      </c>
      <c r="C992" s="5" t="s">
        <v>26312</v>
      </c>
      <c r="D992" s="246">
        <v>40756</v>
      </c>
      <c r="E992" s="5" t="s">
        <v>26315</v>
      </c>
      <c r="F992" s="26" t="s">
        <v>23600</v>
      </c>
      <c r="G992" s="27" t="s">
        <v>6207</v>
      </c>
      <c r="H992" s="28" t="s">
        <v>6208</v>
      </c>
      <c r="I992" s="5" t="s">
        <v>197</v>
      </c>
    </row>
    <row r="993" spans="1:9" ht="51.75" customHeight="1">
      <c r="A993" s="5" t="s">
        <v>26316</v>
      </c>
      <c r="B993" s="5" t="s">
        <v>26317</v>
      </c>
      <c r="C993" s="5" t="s">
        <v>26318</v>
      </c>
      <c r="D993" s="246">
        <v>40756</v>
      </c>
      <c r="E993" s="5" t="s">
        <v>26319</v>
      </c>
      <c r="F993" s="26" t="s">
        <v>25439</v>
      </c>
      <c r="G993" s="27" t="s">
        <v>6207</v>
      </c>
      <c r="H993" s="28" t="s">
        <v>6208</v>
      </c>
      <c r="I993" s="5" t="s">
        <v>197</v>
      </c>
    </row>
    <row r="994" spans="1:9" ht="51.75" customHeight="1">
      <c r="A994" s="5" t="s">
        <v>26316</v>
      </c>
      <c r="B994" s="5" t="s">
        <v>26320</v>
      </c>
      <c r="C994" s="5" t="s">
        <v>26318</v>
      </c>
      <c r="D994" s="246">
        <v>40756</v>
      </c>
      <c r="E994" s="5" t="s">
        <v>26321</v>
      </c>
      <c r="F994" s="26" t="s">
        <v>23600</v>
      </c>
      <c r="G994" s="27" t="s">
        <v>6207</v>
      </c>
      <c r="H994" s="28" t="s">
        <v>6208</v>
      </c>
      <c r="I994" s="5" t="s">
        <v>197</v>
      </c>
    </row>
    <row r="995" spans="1:9" ht="51.75" customHeight="1">
      <c r="A995" s="5" t="s">
        <v>26244</v>
      </c>
      <c r="B995" s="5" t="s">
        <v>26322</v>
      </c>
      <c r="C995" s="5" t="s">
        <v>26323</v>
      </c>
      <c r="D995" s="246">
        <v>40640</v>
      </c>
      <c r="E995" s="5" t="s">
        <v>26324</v>
      </c>
      <c r="F995" s="26" t="s">
        <v>25439</v>
      </c>
      <c r="G995" s="27" t="s">
        <v>4541</v>
      </c>
      <c r="H995" s="28" t="s">
        <v>4542</v>
      </c>
      <c r="I995" s="5" t="s">
        <v>197</v>
      </c>
    </row>
    <row r="996" spans="1:9" ht="51.75" customHeight="1">
      <c r="A996" s="5" t="s">
        <v>26244</v>
      </c>
      <c r="B996" s="5" t="s">
        <v>26325</v>
      </c>
      <c r="C996" s="5" t="s">
        <v>26323</v>
      </c>
      <c r="D996" s="246">
        <v>40640</v>
      </c>
      <c r="E996" s="5" t="s">
        <v>26326</v>
      </c>
      <c r="F996" s="26" t="s">
        <v>23600</v>
      </c>
      <c r="G996" s="27" t="s">
        <v>4541</v>
      </c>
      <c r="H996" s="28" t="s">
        <v>4542</v>
      </c>
      <c r="I996" s="5" t="s">
        <v>197</v>
      </c>
    </row>
    <row r="997" spans="1:9" ht="51.75" customHeight="1">
      <c r="A997" s="5" t="s">
        <v>26270</v>
      </c>
      <c r="B997" s="5" t="s">
        <v>26327</v>
      </c>
      <c r="C997" s="5" t="s">
        <v>26328</v>
      </c>
      <c r="D997" s="246">
        <v>40640</v>
      </c>
      <c r="E997" s="5" t="s">
        <v>26329</v>
      </c>
      <c r="F997" s="26" t="s">
        <v>25439</v>
      </c>
      <c r="G997" s="27" t="s">
        <v>4541</v>
      </c>
      <c r="H997" s="28" t="s">
        <v>4542</v>
      </c>
      <c r="I997" s="5" t="s">
        <v>197</v>
      </c>
    </row>
    <row r="998" spans="1:9" ht="51.75" customHeight="1">
      <c r="A998" s="5" t="s">
        <v>26270</v>
      </c>
      <c r="B998" s="5" t="s">
        <v>26330</v>
      </c>
      <c r="C998" s="5" t="s">
        <v>26328</v>
      </c>
      <c r="D998" s="246">
        <v>40640</v>
      </c>
      <c r="E998" s="5" t="s">
        <v>26331</v>
      </c>
      <c r="F998" s="26" t="s">
        <v>23600</v>
      </c>
      <c r="G998" s="27" t="s">
        <v>4541</v>
      </c>
      <c r="H998" s="28" t="s">
        <v>4542</v>
      </c>
      <c r="I998" s="5" t="s">
        <v>197</v>
      </c>
    </row>
    <row r="999" spans="1:9" ht="51.75" customHeight="1">
      <c r="A999" s="5" t="s">
        <v>26265</v>
      </c>
      <c r="B999" s="5" t="s">
        <v>26332</v>
      </c>
      <c r="C999" s="5" t="s">
        <v>26333</v>
      </c>
      <c r="D999" s="246">
        <v>40640</v>
      </c>
      <c r="E999" s="5" t="s">
        <v>26334</v>
      </c>
      <c r="F999" s="26" t="s">
        <v>25439</v>
      </c>
      <c r="G999" s="27" t="s">
        <v>4541</v>
      </c>
      <c r="H999" s="28" t="s">
        <v>4542</v>
      </c>
      <c r="I999" s="5" t="s">
        <v>197</v>
      </c>
    </row>
    <row r="1000" spans="1:9" ht="51.75" customHeight="1">
      <c r="A1000" s="5" t="s">
        <v>26265</v>
      </c>
      <c r="B1000" s="5" t="s">
        <v>26335</v>
      </c>
      <c r="C1000" s="5" t="s">
        <v>26333</v>
      </c>
      <c r="D1000" s="246">
        <v>40640</v>
      </c>
      <c r="E1000" s="5" t="s">
        <v>26336</v>
      </c>
      <c r="F1000" s="26" t="s">
        <v>23600</v>
      </c>
      <c r="G1000" s="27" t="s">
        <v>4541</v>
      </c>
      <c r="H1000" s="28" t="s">
        <v>4542</v>
      </c>
      <c r="I1000" s="5" t="s">
        <v>197</v>
      </c>
    </row>
    <row r="1001" spans="1:9" ht="51.75" customHeight="1">
      <c r="A1001" s="5" t="s">
        <v>26250</v>
      </c>
      <c r="B1001" s="5" t="s">
        <v>26337</v>
      </c>
      <c r="C1001" s="5" t="s">
        <v>26338</v>
      </c>
      <c r="D1001" s="246">
        <v>40640</v>
      </c>
      <c r="E1001" s="5" t="s">
        <v>26339</v>
      </c>
      <c r="F1001" s="26" t="s">
        <v>25439</v>
      </c>
      <c r="G1001" s="27" t="s">
        <v>4541</v>
      </c>
      <c r="H1001" s="28" t="s">
        <v>4542</v>
      </c>
      <c r="I1001" s="5" t="s">
        <v>197</v>
      </c>
    </row>
    <row r="1002" spans="1:9" ht="51.75" customHeight="1">
      <c r="A1002" s="5" t="s">
        <v>26250</v>
      </c>
      <c r="B1002" s="5" t="s">
        <v>26340</v>
      </c>
      <c r="C1002" s="5" t="s">
        <v>26338</v>
      </c>
      <c r="D1002" s="246">
        <v>40640</v>
      </c>
      <c r="E1002" s="5" t="s">
        <v>26341</v>
      </c>
      <c r="F1002" s="26" t="s">
        <v>23600</v>
      </c>
      <c r="G1002" s="27" t="s">
        <v>4541</v>
      </c>
      <c r="H1002" s="28" t="s">
        <v>4542</v>
      </c>
      <c r="I1002" s="5" t="s">
        <v>197</v>
      </c>
    </row>
    <row r="1003" spans="1:9" ht="51.75" customHeight="1">
      <c r="A1003" s="5" t="s">
        <v>26255</v>
      </c>
      <c r="B1003" s="5" t="s">
        <v>26342</v>
      </c>
      <c r="C1003" s="5" t="s">
        <v>26343</v>
      </c>
      <c r="D1003" s="246">
        <v>40640</v>
      </c>
      <c r="E1003" s="5" t="s">
        <v>26344</v>
      </c>
      <c r="F1003" s="26" t="s">
        <v>25439</v>
      </c>
      <c r="G1003" s="27" t="s">
        <v>4541</v>
      </c>
      <c r="H1003" s="28" t="s">
        <v>4542</v>
      </c>
      <c r="I1003" s="5" t="s">
        <v>197</v>
      </c>
    </row>
    <row r="1004" spans="1:9" ht="51.75" customHeight="1">
      <c r="A1004" s="5" t="s">
        <v>26255</v>
      </c>
      <c r="B1004" s="5" t="s">
        <v>26345</v>
      </c>
      <c r="C1004" s="5" t="s">
        <v>26343</v>
      </c>
      <c r="D1004" s="246">
        <v>40640</v>
      </c>
      <c r="E1004" s="5" t="s">
        <v>26346</v>
      </c>
      <c r="F1004" s="26" t="s">
        <v>23600</v>
      </c>
      <c r="G1004" s="27" t="s">
        <v>4541</v>
      </c>
      <c r="H1004" s="28" t="s">
        <v>4542</v>
      </c>
      <c r="I1004" s="5" t="s">
        <v>197</v>
      </c>
    </row>
    <row r="1005" spans="1:9" ht="51.75" customHeight="1">
      <c r="A1005" s="5" t="s">
        <v>26259</v>
      </c>
      <c r="B1005" s="5" t="s">
        <v>26347</v>
      </c>
      <c r="C1005" s="5" t="s">
        <v>26348</v>
      </c>
      <c r="D1005" s="246">
        <v>40640</v>
      </c>
      <c r="E1005" s="5" t="s">
        <v>26349</v>
      </c>
      <c r="F1005" s="26" t="s">
        <v>25439</v>
      </c>
      <c r="G1005" s="27" t="s">
        <v>4541</v>
      </c>
      <c r="H1005" s="28" t="s">
        <v>4542</v>
      </c>
      <c r="I1005" s="5" t="s">
        <v>197</v>
      </c>
    </row>
    <row r="1006" spans="1:9" ht="51.75" customHeight="1">
      <c r="A1006" s="5" t="s">
        <v>26259</v>
      </c>
      <c r="B1006" s="5" t="s">
        <v>26350</v>
      </c>
      <c r="C1006" s="5" t="s">
        <v>26348</v>
      </c>
      <c r="D1006" s="246">
        <v>40640</v>
      </c>
      <c r="E1006" s="5" t="s">
        <v>26351</v>
      </c>
      <c r="F1006" s="26" t="s">
        <v>23600</v>
      </c>
      <c r="G1006" s="27" t="s">
        <v>4541</v>
      </c>
      <c r="H1006" s="28" t="s">
        <v>4542</v>
      </c>
      <c r="I1006" s="5" t="s">
        <v>197</v>
      </c>
    </row>
    <row r="1007" spans="1:9" ht="51.75" customHeight="1">
      <c r="A1007" s="5" t="s">
        <v>26352</v>
      </c>
      <c r="B1007" s="5" t="s">
        <v>26353</v>
      </c>
      <c r="C1007" s="5" t="s">
        <v>26354</v>
      </c>
      <c r="D1007" s="246">
        <v>40763</v>
      </c>
      <c r="E1007" s="5" t="s">
        <v>26355</v>
      </c>
      <c r="F1007" s="26" t="s">
        <v>25439</v>
      </c>
      <c r="G1007" s="27" t="s">
        <v>4974</v>
      </c>
      <c r="H1007" s="28" t="s">
        <v>4975</v>
      </c>
      <c r="I1007" s="5" t="s">
        <v>197</v>
      </c>
    </row>
    <row r="1008" spans="1:9" ht="51.75" customHeight="1">
      <c r="A1008" s="5" t="s">
        <v>26352</v>
      </c>
      <c r="B1008" s="5" t="s">
        <v>26356</v>
      </c>
      <c r="C1008" s="5" t="s">
        <v>26354</v>
      </c>
      <c r="D1008" s="246">
        <v>40763</v>
      </c>
      <c r="E1008" s="5" t="s">
        <v>26357</v>
      </c>
      <c r="F1008" s="26" t="s">
        <v>23600</v>
      </c>
      <c r="G1008" s="27" t="s">
        <v>4974</v>
      </c>
      <c r="H1008" s="28" t="s">
        <v>4975</v>
      </c>
      <c r="I1008" s="5" t="s">
        <v>197</v>
      </c>
    </row>
    <row r="1009" spans="1:9" ht="51.75" customHeight="1">
      <c r="A1009" s="5" t="s">
        <v>26358</v>
      </c>
      <c r="B1009" s="5" t="s">
        <v>26359</v>
      </c>
      <c r="C1009" s="5" t="s">
        <v>26360</v>
      </c>
      <c r="D1009" s="246">
        <v>40763</v>
      </c>
      <c r="E1009" s="5" t="s">
        <v>26361</v>
      </c>
      <c r="F1009" s="26" t="s">
        <v>25439</v>
      </c>
      <c r="G1009" s="27" t="s">
        <v>4974</v>
      </c>
      <c r="H1009" s="28" t="s">
        <v>4975</v>
      </c>
      <c r="I1009" s="5" t="s">
        <v>197</v>
      </c>
    </row>
    <row r="1010" spans="1:9" ht="51.75" customHeight="1">
      <c r="A1010" s="5" t="s">
        <v>26358</v>
      </c>
      <c r="B1010" s="5" t="s">
        <v>26362</v>
      </c>
      <c r="C1010" s="5" t="s">
        <v>26360</v>
      </c>
      <c r="D1010" s="246">
        <v>40763</v>
      </c>
      <c r="E1010" s="5" t="s">
        <v>26363</v>
      </c>
      <c r="F1010" s="26" t="s">
        <v>23600</v>
      </c>
      <c r="G1010" s="27" t="s">
        <v>4974</v>
      </c>
      <c r="H1010" s="28" t="s">
        <v>4975</v>
      </c>
      <c r="I1010" s="5" t="s">
        <v>197</v>
      </c>
    </row>
    <row r="1011" spans="1:9" ht="51.75" customHeight="1">
      <c r="A1011" s="5" t="s">
        <v>26364</v>
      </c>
      <c r="B1011" s="5" t="s">
        <v>26365</v>
      </c>
      <c r="C1011" s="5" t="s">
        <v>26366</v>
      </c>
      <c r="D1011" s="246">
        <v>40763</v>
      </c>
      <c r="E1011" s="5" t="s">
        <v>26367</v>
      </c>
      <c r="F1011" s="26" t="s">
        <v>25439</v>
      </c>
      <c r="G1011" s="27" t="s">
        <v>4974</v>
      </c>
      <c r="H1011" s="28" t="s">
        <v>4975</v>
      </c>
      <c r="I1011" s="5" t="s">
        <v>197</v>
      </c>
    </row>
    <row r="1012" spans="1:9" ht="51.75" customHeight="1">
      <c r="A1012" s="5" t="s">
        <v>26364</v>
      </c>
      <c r="B1012" s="5" t="s">
        <v>26368</v>
      </c>
      <c r="C1012" s="5" t="s">
        <v>26366</v>
      </c>
      <c r="D1012" s="246">
        <v>40763</v>
      </c>
      <c r="E1012" s="5" t="s">
        <v>26369</v>
      </c>
      <c r="F1012" s="26" t="s">
        <v>23600</v>
      </c>
      <c r="G1012" s="27" t="s">
        <v>4974</v>
      </c>
      <c r="H1012" s="28" t="s">
        <v>4975</v>
      </c>
      <c r="I1012" s="5" t="s">
        <v>197</v>
      </c>
    </row>
    <row r="1013" spans="1:9" ht="51.75" customHeight="1">
      <c r="A1013" s="5" t="s">
        <v>26370</v>
      </c>
      <c r="B1013" s="5" t="s">
        <v>26371</v>
      </c>
      <c r="C1013" s="5" t="s">
        <v>26372</v>
      </c>
      <c r="D1013" s="246">
        <v>40763</v>
      </c>
      <c r="E1013" s="5" t="s">
        <v>26373</v>
      </c>
      <c r="F1013" s="26" t="s">
        <v>25439</v>
      </c>
      <c r="G1013" s="27" t="s">
        <v>4974</v>
      </c>
      <c r="H1013" s="28" t="s">
        <v>4975</v>
      </c>
      <c r="I1013" s="5" t="s">
        <v>197</v>
      </c>
    </row>
    <row r="1014" spans="1:9" ht="51.75" customHeight="1">
      <c r="A1014" s="5" t="s">
        <v>26370</v>
      </c>
      <c r="B1014" s="5" t="s">
        <v>26374</v>
      </c>
      <c r="C1014" s="5" t="s">
        <v>26372</v>
      </c>
      <c r="D1014" s="246">
        <v>40763</v>
      </c>
      <c r="E1014" s="5" t="s">
        <v>26375</v>
      </c>
      <c r="F1014" s="26" t="s">
        <v>23600</v>
      </c>
      <c r="G1014" s="27" t="s">
        <v>4974</v>
      </c>
      <c r="H1014" s="28" t="s">
        <v>4975</v>
      </c>
      <c r="I1014" s="5" t="s">
        <v>197</v>
      </c>
    </row>
    <row r="1015" spans="1:9" ht="51.75" customHeight="1">
      <c r="A1015" s="5" t="s">
        <v>26376</v>
      </c>
      <c r="B1015" s="5" t="s">
        <v>26377</v>
      </c>
      <c r="C1015" s="5" t="s">
        <v>26378</v>
      </c>
      <c r="D1015" s="246">
        <v>41544</v>
      </c>
      <c r="E1015" s="5" t="s">
        <v>26379</v>
      </c>
      <c r="F1015" s="26" t="s">
        <v>25439</v>
      </c>
      <c r="G1015" s="27" t="s">
        <v>8029</v>
      </c>
      <c r="H1015" s="28" t="s">
        <v>8030</v>
      </c>
      <c r="I1015" s="5" t="s">
        <v>197</v>
      </c>
    </row>
    <row r="1016" spans="1:9" ht="51.75" customHeight="1">
      <c r="A1016" s="5" t="s">
        <v>26376</v>
      </c>
      <c r="B1016" s="5" t="s">
        <v>26380</v>
      </c>
      <c r="C1016" s="5" t="s">
        <v>26378</v>
      </c>
      <c r="D1016" s="246">
        <v>41544</v>
      </c>
      <c r="E1016" s="5" t="s">
        <v>26381</v>
      </c>
      <c r="F1016" s="26" t="s">
        <v>23600</v>
      </c>
      <c r="G1016" s="27" t="s">
        <v>8029</v>
      </c>
      <c r="H1016" s="28" t="s">
        <v>8030</v>
      </c>
      <c r="I1016" s="5" t="s">
        <v>197</v>
      </c>
    </row>
    <row r="1017" spans="1:9" ht="51.75" customHeight="1">
      <c r="A1017" s="5" t="s">
        <v>26382</v>
      </c>
      <c r="B1017" s="5" t="s">
        <v>26383</v>
      </c>
      <c r="C1017" s="5" t="s">
        <v>26384</v>
      </c>
      <c r="D1017" s="246">
        <v>41544</v>
      </c>
      <c r="E1017" s="5" t="s">
        <v>26385</v>
      </c>
      <c r="F1017" s="26" t="s">
        <v>25439</v>
      </c>
      <c r="G1017" s="27" t="s">
        <v>8029</v>
      </c>
      <c r="H1017" s="28" t="s">
        <v>8030</v>
      </c>
      <c r="I1017" s="5" t="s">
        <v>197</v>
      </c>
    </row>
    <row r="1018" spans="1:9" ht="51.75" customHeight="1">
      <c r="A1018" s="5" t="s">
        <v>26382</v>
      </c>
      <c r="B1018" s="5" t="s">
        <v>26386</v>
      </c>
      <c r="C1018" s="5" t="s">
        <v>26384</v>
      </c>
      <c r="D1018" s="246">
        <v>41544</v>
      </c>
      <c r="E1018" s="5" t="s">
        <v>26387</v>
      </c>
      <c r="F1018" s="26" t="s">
        <v>23600</v>
      </c>
      <c r="G1018" s="27" t="s">
        <v>8029</v>
      </c>
      <c r="H1018" s="28" t="s">
        <v>8030</v>
      </c>
      <c r="I1018" s="5" t="s">
        <v>197</v>
      </c>
    </row>
    <row r="1019" spans="1:9" ht="51.75" customHeight="1">
      <c r="A1019" s="5" t="s">
        <v>26388</v>
      </c>
      <c r="B1019" s="5" t="s">
        <v>26389</v>
      </c>
      <c r="C1019" s="5" t="s">
        <v>26390</v>
      </c>
      <c r="D1019" s="246">
        <v>41544</v>
      </c>
      <c r="E1019" s="5" t="s">
        <v>26391</v>
      </c>
      <c r="F1019" s="26" t="s">
        <v>25439</v>
      </c>
      <c r="G1019" s="27" t="s">
        <v>8029</v>
      </c>
      <c r="H1019" s="28" t="s">
        <v>8030</v>
      </c>
      <c r="I1019" s="5" t="s">
        <v>197</v>
      </c>
    </row>
    <row r="1020" spans="1:9" ht="51.75" customHeight="1">
      <c r="A1020" s="5" t="s">
        <v>26388</v>
      </c>
      <c r="B1020" s="5" t="s">
        <v>26392</v>
      </c>
      <c r="C1020" s="5" t="s">
        <v>26390</v>
      </c>
      <c r="D1020" s="246">
        <v>41544</v>
      </c>
      <c r="E1020" s="5" t="s">
        <v>26393</v>
      </c>
      <c r="F1020" s="26" t="s">
        <v>23600</v>
      </c>
      <c r="G1020" s="27" t="s">
        <v>8029</v>
      </c>
      <c r="H1020" s="28" t="s">
        <v>8030</v>
      </c>
      <c r="I1020" s="5" t="s">
        <v>197</v>
      </c>
    </row>
    <row r="1021" spans="1:9" ht="51.75" customHeight="1">
      <c r="A1021" s="5" t="s">
        <v>26394</v>
      </c>
      <c r="B1021" s="5" t="s">
        <v>26395</v>
      </c>
      <c r="C1021" s="5" t="s">
        <v>26396</v>
      </c>
      <c r="D1021" s="246">
        <v>41544</v>
      </c>
      <c r="E1021" s="5" t="s">
        <v>26397</v>
      </c>
      <c r="F1021" s="26" t="s">
        <v>25439</v>
      </c>
      <c r="G1021" s="27" t="s">
        <v>8029</v>
      </c>
      <c r="H1021" s="28" t="s">
        <v>8030</v>
      </c>
      <c r="I1021" s="5" t="s">
        <v>197</v>
      </c>
    </row>
    <row r="1022" spans="1:9" ht="51.75" customHeight="1">
      <c r="A1022" s="5" t="s">
        <v>26394</v>
      </c>
      <c r="B1022" s="5" t="s">
        <v>26398</v>
      </c>
      <c r="C1022" s="5" t="s">
        <v>26396</v>
      </c>
      <c r="D1022" s="246">
        <v>41544</v>
      </c>
      <c r="E1022" s="5" t="s">
        <v>26399</v>
      </c>
      <c r="F1022" s="26" t="s">
        <v>23600</v>
      </c>
      <c r="G1022" s="27" t="s">
        <v>8029</v>
      </c>
      <c r="H1022" s="28" t="s">
        <v>8030</v>
      </c>
      <c r="I1022" s="5" t="s">
        <v>197</v>
      </c>
    </row>
    <row r="1023" spans="1:9" ht="51.75" customHeight="1">
      <c r="A1023" s="5" t="s">
        <v>24192</v>
      </c>
      <c r="B1023" s="5" t="s">
        <v>26400</v>
      </c>
      <c r="C1023" s="5" t="s">
        <v>26401</v>
      </c>
      <c r="D1023" s="246">
        <v>42152</v>
      </c>
      <c r="E1023" s="5" t="s">
        <v>26402</v>
      </c>
      <c r="F1023" s="26" t="s">
        <v>25439</v>
      </c>
      <c r="G1023" s="27" t="s">
        <v>8098</v>
      </c>
      <c r="H1023" s="28" t="s">
        <v>8099</v>
      </c>
      <c r="I1023" s="5" t="s">
        <v>197</v>
      </c>
    </row>
    <row r="1024" spans="1:9" ht="51.75" customHeight="1">
      <c r="A1024" s="5" t="s">
        <v>24192</v>
      </c>
      <c r="B1024" s="5" t="s">
        <v>26403</v>
      </c>
      <c r="C1024" s="5" t="s">
        <v>26401</v>
      </c>
      <c r="D1024" s="246">
        <v>42152</v>
      </c>
      <c r="E1024" s="5" t="s">
        <v>26404</v>
      </c>
      <c r="F1024" s="26" t="s">
        <v>23600</v>
      </c>
      <c r="G1024" s="27" t="s">
        <v>8098</v>
      </c>
      <c r="H1024" s="28" t="s">
        <v>8099</v>
      </c>
      <c r="I1024" s="5" t="s">
        <v>197</v>
      </c>
    </row>
    <row r="1025" spans="1:9" ht="51.75" customHeight="1">
      <c r="A1025" s="5" t="s">
        <v>24196</v>
      </c>
      <c r="B1025" s="5" t="s">
        <v>26405</v>
      </c>
      <c r="C1025" s="5" t="s">
        <v>26406</v>
      </c>
      <c r="D1025" s="246">
        <v>42152</v>
      </c>
      <c r="E1025" s="5" t="s">
        <v>26407</v>
      </c>
      <c r="F1025" s="26" t="s">
        <v>25439</v>
      </c>
      <c r="G1025" s="27" t="s">
        <v>8098</v>
      </c>
      <c r="H1025" s="28" t="s">
        <v>8099</v>
      </c>
      <c r="I1025" s="5" t="s">
        <v>197</v>
      </c>
    </row>
    <row r="1026" spans="1:9" ht="51.75" customHeight="1">
      <c r="A1026" s="5" t="s">
        <v>24196</v>
      </c>
      <c r="B1026" s="5" t="s">
        <v>26408</v>
      </c>
      <c r="C1026" s="5" t="s">
        <v>26406</v>
      </c>
      <c r="D1026" s="246">
        <v>42152</v>
      </c>
      <c r="E1026" s="5" t="s">
        <v>26409</v>
      </c>
      <c r="F1026" s="26" t="s">
        <v>23600</v>
      </c>
      <c r="G1026" s="27" t="s">
        <v>8098</v>
      </c>
      <c r="H1026" s="28" t="s">
        <v>8099</v>
      </c>
      <c r="I1026" s="5" t="s">
        <v>197</v>
      </c>
    </row>
    <row r="1027" spans="1:9" ht="51.75" customHeight="1">
      <c r="A1027" s="5" t="s">
        <v>23776</v>
      </c>
      <c r="B1027" s="5" t="s">
        <v>26410</v>
      </c>
      <c r="C1027" s="5" t="s">
        <v>26411</v>
      </c>
      <c r="D1027" s="246">
        <v>41435</v>
      </c>
      <c r="E1027" s="5" t="s">
        <v>26412</v>
      </c>
      <c r="F1027" s="26" t="s">
        <v>25439</v>
      </c>
      <c r="G1027" s="27" t="s">
        <v>8337</v>
      </c>
      <c r="H1027" s="28" t="s">
        <v>8338</v>
      </c>
      <c r="I1027" s="5" t="s">
        <v>197</v>
      </c>
    </row>
    <row r="1028" spans="1:9" ht="51.75" customHeight="1">
      <c r="A1028" s="5" t="s">
        <v>23776</v>
      </c>
      <c r="B1028" s="5" t="s">
        <v>26413</v>
      </c>
      <c r="C1028" s="5" t="s">
        <v>26411</v>
      </c>
      <c r="D1028" s="246">
        <v>41435</v>
      </c>
      <c r="E1028" s="5" t="s">
        <v>26414</v>
      </c>
      <c r="F1028" s="26" t="s">
        <v>23600</v>
      </c>
      <c r="G1028" s="27" t="s">
        <v>8337</v>
      </c>
      <c r="H1028" s="28" t="s">
        <v>8338</v>
      </c>
      <c r="I1028" s="5" t="s">
        <v>197</v>
      </c>
    </row>
    <row r="1029" spans="1:9" ht="51.75" customHeight="1">
      <c r="A1029" s="5" t="s">
        <v>26415</v>
      </c>
      <c r="B1029" s="5" t="s">
        <v>26416</v>
      </c>
      <c r="C1029" s="5" t="s">
        <v>26417</v>
      </c>
      <c r="D1029" s="246">
        <v>41435</v>
      </c>
      <c r="E1029" s="5" t="s">
        <v>26418</v>
      </c>
      <c r="F1029" s="26" t="s">
        <v>25439</v>
      </c>
      <c r="G1029" s="27" t="s">
        <v>8337</v>
      </c>
      <c r="H1029" s="28" t="s">
        <v>8338</v>
      </c>
      <c r="I1029" s="5" t="s">
        <v>197</v>
      </c>
    </row>
    <row r="1030" spans="1:9" ht="51.75" customHeight="1">
      <c r="A1030" s="5" t="s">
        <v>26415</v>
      </c>
      <c r="B1030" s="5" t="s">
        <v>26419</v>
      </c>
      <c r="C1030" s="5" t="s">
        <v>26417</v>
      </c>
      <c r="D1030" s="246">
        <v>41435</v>
      </c>
      <c r="E1030" s="5" t="s">
        <v>26420</v>
      </c>
      <c r="F1030" s="26" t="s">
        <v>23600</v>
      </c>
      <c r="G1030" s="27" t="s">
        <v>8337</v>
      </c>
      <c r="H1030" s="28" t="s">
        <v>8338</v>
      </c>
      <c r="I1030" s="5" t="s">
        <v>197</v>
      </c>
    </row>
    <row r="1031" spans="1:9" ht="51.75" customHeight="1">
      <c r="A1031" s="5" t="s">
        <v>26421</v>
      </c>
      <c r="B1031" s="5" t="s">
        <v>26422</v>
      </c>
      <c r="C1031" s="5" t="s">
        <v>26423</v>
      </c>
      <c r="D1031" s="246">
        <v>41435</v>
      </c>
      <c r="E1031" s="5" t="s">
        <v>26424</v>
      </c>
      <c r="F1031" s="26" t="s">
        <v>25439</v>
      </c>
      <c r="G1031" s="27" t="s">
        <v>8337</v>
      </c>
      <c r="H1031" s="28" t="s">
        <v>8338</v>
      </c>
      <c r="I1031" s="5" t="s">
        <v>197</v>
      </c>
    </row>
    <row r="1032" spans="1:9" ht="51.75" customHeight="1">
      <c r="A1032" s="5" t="s">
        <v>26421</v>
      </c>
      <c r="B1032" s="5" t="s">
        <v>26425</v>
      </c>
      <c r="C1032" s="5" t="s">
        <v>26423</v>
      </c>
      <c r="D1032" s="246">
        <v>41435</v>
      </c>
      <c r="E1032" s="5" t="s">
        <v>26426</v>
      </c>
      <c r="F1032" s="26" t="s">
        <v>23600</v>
      </c>
      <c r="G1032" s="27" t="s">
        <v>8337</v>
      </c>
      <c r="H1032" s="28" t="s">
        <v>8338</v>
      </c>
      <c r="I1032" s="5" t="s">
        <v>197</v>
      </c>
    </row>
    <row r="1033" spans="1:9" ht="51.75" customHeight="1">
      <c r="A1033" s="5" t="s">
        <v>23780</v>
      </c>
      <c r="B1033" s="5" t="s">
        <v>26427</v>
      </c>
      <c r="C1033" s="5" t="s">
        <v>26428</v>
      </c>
      <c r="D1033" s="246">
        <v>41435</v>
      </c>
      <c r="E1033" s="5" t="s">
        <v>26429</v>
      </c>
      <c r="F1033" s="26" t="s">
        <v>25439</v>
      </c>
      <c r="G1033" s="27" t="s">
        <v>8337</v>
      </c>
      <c r="H1033" s="28" t="s">
        <v>8338</v>
      </c>
      <c r="I1033" s="5" t="s">
        <v>197</v>
      </c>
    </row>
    <row r="1034" spans="1:9" ht="51.75" customHeight="1">
      <c r="A1034" s="5" t="s">
        <v>23780</v>
      </c>
      <c r="B1034" s="5" t="s">
        <v>26430</v>
      </c>
      <c r="C1034" s="5" t="s">
        <v>26428</v>
      </c>
      <c r="D1034" s="246">
        <v>41435</v>
      </c>
      <c r="E1034" s="5" t="s">
        <v>26431</v>
      </c>
      <c r="F1034" s="26" t="s">
        <v>23600</v>
      </c>
      <c r="G1034" s="27" t="s">
        <v>8337</v>
      </c>
      <c r="H1034" s="28" t="s">
        <v>8338</v>
      </c>
      <c r="I1034" s="5" t="s">
        <v>197</v>
      </c>
    </row>
    <row r="1035" spans="1:9" ht="51.75" customHeight="1">
      <c r="A1035" s="5" t="s">
        <v>26432</v>
      </c>
      <c r="B1035" s="5" t="s">
        <v>26433</v>
      </c>
      <c r="C1035" s="5" t="s">
        <v>26434</v>
      </c>
      <c r="D1035" s="246">
        <v>41435</v>
      </c>
      <c r="E1035" s="5" t="s">
        <v>26435</v>
      </c>
      <c r="F1035" s="26" t="s">
        <v>25439</v>
      </c>
      <c r="G1035" s="27" t="s">
        <v>8337</v>
      </c>
      <c r="H1035" s="28" t="s">
        <v>8338</v>
      </c>
      <c r="I1035" s="5" t="s">
        <v>197</v>
      </c>
    </row>
    <row r="1036" spans="1:9" ht="51.75" customHeight="1">
      <c r="A1036" s="5" t="s">
        <v>26432</v>
      </c>
      <c r="B1036" s="5" t="s">
        <v>26436</v>
      </c>
      <c r="C1036" s="5" t="s">
        <v>26434</v>
      </c>
      <c r="D1036" s="246">
        <v>41435</v>
      </c>
      <c r="E1036" s="5" t="s">
        <v>26437</v>
      </c>
      <c r="F1036" s="26" t="s">
        <v>23600</v>
      </c>
      <c r="G1036" s="27" t="s">
        <v>8337</v>
      </c>
      <c r="H1036" s="28" t="s">
        <v>8338</v>
      </c>
      <c r="I1036" s="5" t="s">
        <v>197</v>
      </c>
    </row>
    <row r="1037" spans="1:9" ht="51.75" customHeight="1">
      <c r="A1037" s="5" t="s">
        <v>25177</v>
      </c>
      <c r="B1037" s="5" t="s">
        <v>26438</v>
      </c>
      <c r="C1037" s="5" t="s">
        <v>26439</v>
      </c>
      <c r="D1037" s="246">
        <v>41435</v>
      </c>
      <c r="E1037" s="5" t="s">
        <v>26440</v>
      </c>
      <c r="F1037" s="26" t="s">
        <v>25439</v>
      </c>
      <c r="G1037" s="27" t="s">
        <v>8337</v>
      </c>
      <c r="H1037" s="28" t="s">
        <v>8338</v>
      </c>
      <c r="I1037" s="5" t="s">
        <v>197</v>
      </c>
    </row>
    <row r="1038" spans="1:9" ht="51.75" customHeight="1">
      <c r="A1038" s="5" t="s">
        <v>25177</v>
      </c>
      <c r="B1038" s="5" t="s">
        <v>26441</v>
      </c>
      <c r="C1038" s="5" t="s">
        <v>26439</v>
      </c>
      <c r="D1038" s="246">
        <v>41435</v>
      </c>
      <c r="E1038" s="5" t="s">
        <v>26442</v>
      </c>
      <c r="F1038" s="26" t="s">
        <v>23600</v>
      </c>
      <c r="G1038" s="27" t="s">
        <v>8337</v>
      </c>
      <c r="H1038" s="28" t="s">
        <v>8338</v>
      </c>
      <c r="I1038" s="5" t="s">
        <v>197</v>
      </c>
    </row>
    <row r="1039" spans="1:9" ht="51.75" customHeight="1">
      <c r="A1039" s="5" t="s">
        <v>26443</v>
      </c>
      <c r="B1039" s="5" t="s">
        <v>26444</v>
      </c>
      <c r="C1039" s="5" t="s">
        <v>26445</v>
      </c>
      <c r="D1039" s="246">
        <v>41435</v>
      </c>
      <c r="E1039" s="5" t="s">
        <v>26446</v>
      </c>
      <c r="F1039" s="26" t="s">
        <v>25439</v>
      </c>
      <c r="G1039" s="27" t="s">
        <v>8337</v>
      </c>
      <c r="H1039" s="28" t="s">
        <v>8338</v>
      </c>
      <c r="I1039" s="5" t="s">
        <v>197</v>
      </c>
    </row>
    <row r="1040" spans="1:9" ht="51.75" customHeight="1">
      <c r="A1040" s="5" t="s">
        <v>26443</v>
      </c>
      <c r="B1040" s="5" t="s">
        <v>26447</v>
      </c>
      <c r="C1040" s="5" t="s">
        <v>26445</v>
      </c>
      <c r="D1040" s="246">
        <v>41435</v>
      </c>
      <c r="E1040" s="5" t="s">
        <v>26448</v>
      </c>
      <c r="F1040" s="26" t="s">
        <v>23600</v>
      </c>
      <c r="G1040" s="27" t="s">
        <v>8337</v>
      </c>
      <c r="H1040" s="28" t="s">
        <v>8338</v>
      </c>
      <c r="I1040" s="5" t="s">
        <v>197</v>
      </c>
    </row>
    <row r="1041" spans="1:9" ht="51.75" customHeight="1">
      <c r="A1041" s="5" t="s">
        <v>26449</v>
      </c>
      <c r="B1041" s="5" t="s">
        <v>26450</v>
      </c>
      <c r="C1041" s="5" t="s">
        <v>26451</v>
      </c>
      <c r="D1041" s="246">
        <v>41435</v>
      </c>
      <c r="E1041" s="5" t="s">
        <v>26452</v>
      </c>
      <c r="F1041" s="26" t="s">
        <v>25439</v>
      </c>
      <c r="G1041" s="27" t="s">
        <v>8337</v>
      </c>
      <c r="H1041" s="28" t="s">
        <v>8338</v>
      </c>
      <c r="I1041" s="5" t="s">
        <v>197</v>
      </c>
    </row>
    <row r="1042" spans="1:9" ht="51.75" customHeight="1">
      <c r="A1042" s="5" t="s">
        <v>26449</v>
      </c>
      <c r="B1042" s="5" t="s">
        <v>26453</v>
      </c>
      <c r="C1042" s="5" t="s">
        <v>26451</v>
      </c>
      <c r="D1042" s="246">
        <v>41435</v>
      </c>
      <c r="E1042" s="5" t="s">
        <v>26454</v>
      </c>
      <c r="F1042" s="26" t="s">
        <v>23600</v>
      </c>
      <c r="G1042" s="27" t="s">
        <v>8337</v>
      </c>
      <c r="H1042" s="28" t="s">
        <v>8338</v>
      </c>
      <c r="I1042" s="5" t="s">
        <v>197</v>
      </c>
    </row>
    <row r="1043" spans="1:9" ht="51.75" customHeight="1">
      <c r="A1043" s="5" t="s">
        <v>25631</v>
      </c>
      <c r="B1043" s="5" t="s">
        <v>26455</v>
      </c>
      <c r="C1043" s="5" t="s">
        <v>26456</v>
      </c>
      <c r="D1043" s="246">
        <v>41435</v>
      </c>
      <c r="E1043" s="5" t="s">
        <v>26457</v>
      </c>
      <c r="F1043" s="26" t="s">
        <v>25439</v>
      </c>
      <c r="G1043" s="27" t="s">
        <v>8337</v>
      </c>
      <c r="H1043" s="28" t="s">
        <v>8338</v>
      </c>
      <c r="I1043" s="5" t="s">
        <v>197</v>
      </c>
    </row>
    <row r="1044" spans="1:9" ht="51.75" customHeight="1">
      <c r="A1044" s="5" t="s">
        <v>25631</v>
      </c>
      <c r="B1044" s="5" t="s">
        <v>26458</v>
      </c>
      <c r="C1044" s="5" t="s">
        <v>26456</v>
      </c>
      <c r="D1044" s="246">
        <v>41435</v>
      </c>
      <c r="E1044" s="5" t="s">
        <v>26459</v>
      </c>
      <c r="F1044" s="26" t="s">
        <v>23600</v>
      </c>
      <c r="G1044" s="27" t="s">
        <v>8337</v>
      </c>
      <c r="H1044" s="28" t="s">
        <v>8338</v>
      </c>
      <c r="I1044" s="5" t="s">
        <v>197</v>
      </c>
    </row>
    <row r="1045" spans="1:9" ht="51.75" customHeight="1">
      <c r="A1045" s="5" t="s">
        <v>24519</v>
      </c>
      <c r="B1045" s="5" t="s">
        <v>26460</v>
      </c>
      <c r="C1045" s="5" t="s">
        <v>26461</v>
      </c>
      <c r="D1045" s="246">
        <v>41743</v>
      </c>
      <c r="E1045" s="5" t="s">
        <v>26462</v>
      </c>
      <c r="F1045" s="26" t="s">
        <v>25439</v>
      </c>
      <c r="G1045" s="27" t="s">
        <v>8451</v>
      </c>
      <c r="H1045" s="28" t="s">
        <v>8452</v>
      </c>
      <c r="I1045" s="5" t="s">
        <v>197</v>
      </c>
    </row>
    <row r="1046" spans="1:9" ht="51.75" customHeight="1">
      <c r="A1046" s="5" t="s">
        <v>24519</v>
      </c>
      <c r="B1046" s="5" t="s">
        <v>26463</v>
      </c>
      <c r="C1046" s="5" t="s">
        <v>26461</v>
      </c>
      <c r="D1046" s="246">
        <v>41743</v>
      </c>
      <c r="E1046" s="5" t="s">
        <v>26464</v>
      </c>
      <c r="F1046" s="26" t="s">
        <v>23600</v>
      </c>
      <c r="G1046" s="27" t="s">
        <v>8451</v>
      </c>
      <c r="H1046" s="28" t="s">
        <v>8452</v>
      </c>
      <c r="I1046" s="5" t="s">
        <v>197</v>
      </c>
    </row>
    <row r="1047" spans="1:9" ht="51.75" customHeight="1">
      <c r="A1047" s="5" t="s">
        <v>26465</v>
      </c>
      <c r="B1047" s="5" t="s">
        <v>26466</v>
      </c>
      <c r="C1047" s="5" t="s">
        <v>26467</v>
      </c>
      <c r="D1047" s="246">
        <v>41743</v>
      </c>
      <c r="E1047" s="5" t="s">
        <v>26468</v>
      </c>
      <c r="F1047" s="26" t="s">
        <v>25439</v>
      </c>
      <c r="G1047" s="27" t="s">
        <v>8451</v>
      </c>
      <c r="H1047" s="28" t="s">
        <v>8452</v>
      </c>
      <c r="I1047" s="5" t="s">
        <v>197</v>
      </c>
    </row>
    <row r="1048" spans="1:9" ht="51.75" customHeight="1">
      <c r="A1048" s="5" t="s">
        <v>26465</v>
      </c>
      <c r="B1048" s="5" t="s">
        <v>26469</v>
      </c>
      <c r="C1048" s="5" t="s">
        <v>26467</v>
      </c>
      <c r="D1048" s="246">
        <v>41743</v>
      </c>
      <c r="E1048" s="5" t="s">
        <v>26470</v>
      </c>
      <c r="F1048" s="26" t="s">
        <v>23600</v>
      </c>
      <c r="G1048" s="27" t="s">
        <v>8451</v>
      </c>
      <c r="H1048" s="28" t="s">
        <v>8452</v>
      </c>
      <c r="I1048" s="5" t="s">
        <v>197</v>
      </c>
    </row>
    <row r="1049" spans="1:9" ht="51.75" customHeight="1">
      <c r="A1049" s="5" t="s">
        <v>23964</v>
      </c>
      <c r="B1049" s="5" t="s">
        <v>26471</v>
      </c>
      <c r="C1049" s="5" t="s">
        <v>26472</v>
      </c>
      <c r="D1049" s="246">
        <v>41743</v>
      </c>
      <c r="E1049" s="5" t="s">
        <v>26473</v>
      </c>
      <c r="F1049" s="26" t="s">
        <v>25439</v>
      </c>
      <c r="G1049" s="27" t="s">
        <v>8451</v>
      </c>
      <c r="H1049" s="28" t="s">
        <v>8452</v>
      </c>
      <c r="I1049" s="5" t="s">
        <v>197</v>
      </c>
    </row>
    <row r="1050" spans="1:9" ht="51.75" customHeight="1">
      <c r="A1050" s="5" t="s">
        <v>23964</v>
      </c>
      <c r="B1050" s="5" t="s">
        <v>26474</v>
      </c>
      <c r="C1050" s="5" t="s">
        <v>26472</v>
      </c>
      <c r="D1050" s="246">
        <v>41743</v>
      </c>
      <c r="E1050" s="5" t="s">
        <v>26475</v>
      </c>
      <c r="F1050" s="26" t="s">
        <v>23600</v>
      </c>
      <c r="G1050" s="27" t="s">
        <v>8451</v>
      </c>
      <c r="H1050" s="28" t="s">
        <v>8452</v>
      </c>
      <c r="I1050" s="5" t="s">
        <v>197</v>
      </c>
    </row>
    <row r="1051" spans="1:9" ht="51.75" customHeight="1">
      <c r="A1051" s="5" t="s">
        <v>26476</v>
      </c>
      <c r="B1051" s="5" t="s">
        <v>26477</v>
      </c>
      <c r="C1051" s="5" t="s">
        <v>26478</v>
      </c>
      <c r="D1051" s="246">
        <v>41743</v>
      </c>
      <c r="E1051" s="5" t="s">
        <v>26479</v>
      </c>
      <c r="F1051" s="26" t="s">
        <v>25439</v>
      </c>
      <c r="G1051" s="27" t="s">
        <v>8451</v>
      </c>
      <c r="H1051" s="28" t="s">
        <v>8452</v>
      </c>
      <c r="I1051" s="5" t="s">
        <v>197</v>
      </c>
    </row>
    <row r="1052" spans="1:9" ht="51.75" customHeight="1">
      <c r="A1052" s="5" t="s">
        <v>26476</v>
      </c>
      <c r="B1052" s="5" t="s">
        <v>26480</v>
      </c>
      <c r="C1052" s="5" t="s">
        <v>26478</v>
      </c>
      <c r="D1052" s="246">
        <v>41743</v>
      </c>
      <c r="E1052" s="5" t="s">
        <v>26481</v>
      </c>
      <c r="F1052" s="26" t="s">
        <v>23600</v>
      </c>
      <c r="G1052" s="27" t="s">
        <v>8451</v>
      </c>
      <c r="H1052" s="28" t="s">
        <v>8452</v>
      </c>
      <c r="I1052" s="5" t="s">
        <v>197</v>
      </c>
    </row>
    <row r="1053" spans="1:9" ht="51.75" customHeight="1">
      <c r="A1053" s="5" t="s">
        <v>25202</v>
      </c>
      <c r="B1053" s="5" t="s">
        <v>26482</v>
      </c>
      <c r="C1053" s="5" t="s">
        <v>26483</v>
      </c>
      <c r="D1053" s="246">
        <v>41031</v>
      </c>
      <c r="E1053" s="5" t="s">
        <v>26484</v>
      </c>
      <c r="F1053" s="26" t="s">
        <v>25439</v>
      </c>
      <c r="G1053" s="27" t="s">
        <v>6270</v>
      </c>
      <c r="H1053" s="28" t="s">
        <v>6271</v>
      </c>
      <c r="I1053" s="5" t="s">
        <v>197</v>
      </c>
    </row>
    <row r="1054" spans="1:9" ht="51.75" customHeight="1">
      <c r="A1054" s="5" t="s">
        <v>25202</v>
      </c>
      <c r="B1054" s="5" t="s">
        <v>26485</v>
      </c>
      <c r="C1054" s="5" t="s">
        <v>26483</v>
      </c>
      <c r="D1054" s="246">
        <v>41031</v>
      </c>
      <c r="E1054" s="5" t="s">
        <v>26486</v>
      </c>
      <c r="F1054" s="26" t="s">
        <v>23600</v>
      </c>
      <c r="G1054" s="27" t="s">
        <v>6270</v>
      </c>
      <c r="H1054" s="28" t="s">
        <v>6271</v>
      </c>
      <c r="I1054" s="5" t="s">
        <v>197</v>
      </c>
    </row>
    <row r="1055" spans="1:9" ht="51.75" customHeight="1">
      <c r="A1055" s="5" t="s">
        <v>25206</v>
      </c>
      <c r="B1055" s="5" t="s">
        <v>26487</v>
      </c>
      <c r="C1055" s="5" t="s">
        <v>26488</v>
      </c>
      <c r="D1055" s="246">
        <v>41031</v>
      </c>
      <c r="E1055" s="5" t="s">
        <v>26489</v>
      </c>
      <c r="F1055" s="26" t="s">
        <v>25439</v>
      </c>
      <c r="G1055" s="27" t="s">
        <v>6270</v>
      </c>
      <c r="H1055" s="28" t="s">
        <v>6271</v>
      </c>
      <c r="I1055" s="5" t="s">
        <v>197</v>
      </c>
    </row>
    <row r="1056" spans="1:9" ht="51.75" customHeight="1">
      <c r="A1056" s="5" t="s">
        <v>25206</v>
      </c>
      <c r="B1056" s="5" t="s">
        <v>26490</v>
      </c>
      <c r="C1056" s="5" t="s">
        <v>26488</v>
      </c>
      <c r="D1056" s="246">
        <v>41031</v>
      </c>
      <c r="E1056" s="5" t="s">
        <v>26491</v>
      </c>
      <c r="F1056" s="26" t="s">
        <v>23600</v>
      </c>
      <c r="G1056" s="27" t="s">
        <v>6270</v>
      </c>
      <c r="H1056" s="28" t="s">
        <v>6271</v>
      </c>
      <c r="I1056" s="5" t="s">
        <v>197</v>
      </c>
    </row>
    <row r="1057" spans="1:9" ht="51.75" customHeight="1">
      <c r="A1057" s="5" t="s">
        <v>25210</v>
      </c>
      <c r="B1057" s="5" t="s">
        <v>26492</v>
      </c>
      <c r="C1057" s="5" t="s">
        <v>26493</v>
      </c>
      <c r="D1057" s="246">
        <v>41031</v>
      </c>
      <c r="E1057" s="5" t="s">
        <v>26494</v>
      </c>
      <c r="F1057" s="26" t="s">
        <v>25439</v>
      </c>
      <c r="G1057" s="27" t="s">
        <v>6270</v>
      </c>
      <c r="H1057" s="28" t="s">
        <v>6271</v>
      </c>
      <c r="I1057" s="5" t="s">
        <v>197</v>
      </c>
    </row>
    <row r="1058" spans="1:9" ht="51.75" customHeight="1">
      <c r="A1058" s="5" t="s">
        <v>25210</v>
      </c>
      <c r="B1058" s="5" t="s">
        <v>26495</v>
      </c>
      <c r="C1058" s="5" t="s">
        <v>26493</v>
      </c>
      <c r="D1058" s="246">
        <v>41031</v>
      </c>
      <c r="E1058" s="5" t="s">
        <v>26496</v>
      </c>
      <c r="F1058" s="26" t="s">
        <v>23600</v>
      </c>
      <c r="G1058" s="27" t="s">
        <v>6270</v>
      </c>
      <c r="H1058" s="28" t="s">
        <v>6271</v>
      </c>
      <c r="I1058" s="5" t="s">
        <v>197</v>
      </c>
    </row>
    <row r="1059" spans="1:9" ht="51.75" customHeight="1">
      <c r="A1059" s="5" t="s">
        <v>26497</v>
      </c>
      <c r="B1059" s="5" t="s">
        <v>26498</v>
      </c>
      <c r="C1059" s="5" t="s">
        <v>26499</v>
      </c>
      <c r="D1059" s="246">
        <v>40611</v>
      </c>
      <c r="E1059" s="5" t="s">
        <v>26500</v>
      </c>
      <c r="F1059" s="26" t="s">
        <v>25439</v>
      </c>
      <c r="G1059" s="27" t="s">
        <v>4530</v>
      </c>
      <c r="H1059" s="28" t="s">
        <v>4531</v>
      </c>
      <c r="I1059" s="5" t="s">
        <v>197</v>
      </c>
    </row>
    <row r="1060" spans="1:9" ht="51.75" customHeight="1">
      <c r="A1060" s="5" t="s">
        <v>26497</v>
      </c>
      <c r="B1060" s="5" t="s">
        <v>26501</v>
      </c>
      <c r="C1060" s="5" t="s">
        <v>26499</v>
      </c>
      <c r="D1060" s="246">
        <v>40611</v>
      </c>
      <c r="E1060" s="5" t="s">
        <v>26502</v>
      </c>
      <c r="F1060" s="26" t="s">
        <v>23600</v>
      </c>
      <c r="G1060" s="27" t="s">
        <v>4530</v>
      </c>
      <c r="H1060" s="28" t="s">
        <v>4531</v>
      </c>
      <c r="I1060" s="5" t="s">
        <v>197</v>
      </c>
    </row>
    <row r="1061" spans="1:9" ht="51.75" customHeight="1">
      <c r="A1061" s="5" t="s">
        <v>26503</v>
      </c>
      <c r="B1061" s="5" t="s">
        <v>26504</v>
      </c>
      <c r="C1061" s="5" t="s">
        <v>26505</v>
      </c>
      <c r="D1061" s="246">
        <v>40611</v>
      </c>
      <c r="E1061" s="5" t="s">
        <v>26506</v>
      </c>
      <c r="F1061" s="26" t="s">
        <v>25439</v>
      </c>
      <c r="G1061" s="27" t="s">
        <v>4530</v>
      </c>
      <c r="H1061" s="28" t="s">
        <v>4531</v>
      </c>
      <c r="I1061" s="5" t="s">
        <v>197</v>
      </c>
    </row>
    <row r="1062" spans="1:9" ht="51.75" customHeight="1">
      <c r="A1062" s="5" t="s">
        <v>26503</v>
      </c>
      <c r="B1062" s="5" t="s">
        <v>26507</v>
      </c>
      <c r="C1062" s="5" t="s">
        <v>26505</v>
      </c>
      <c r="D1062" s="246">
        <v>40611</v>
      </c>
      <c r="E1062" s="5" t="s">
        <v>26508</v>
      </c>
      <c r="F1062" s="26" t="s">
        <v>23600</v>
      </c>
      <c r="G1062" s="27" t="s">
        <v>4530</v>
      </c>
      <c r="H1062" s="28" t="s">
        <v>4531</v>
      </c>
      <c r="I1062" s="5" t="s">
        <v>197</v>
      </c>
    </row>
    <row r="1063" spans="1:9" ht="51.75" customHeight="1">
      <c r="A1063" s="5" t="s">
        <v>26509</v>
      </c>
      <c r="B1063" s="5" t="s">
        <v>26510</v>
      </c>
      <c r="C1063" s="5" t="s">
        <v>26511</v>
      </c>
      <c r="D1063" s="246">
        <v>40611</v>
      </c>
      <c r="E1063" s="5" t="s">
        <v>26512</v>
      </c>
      <c r="F1063" s="26" t="s">
        <v>25439</v>
      </c>
      <c r="G1063" s="27" t="s">
        <v>4530</v>
      </c>
      <c r="H1063" s="28" t="s">
        <v>4531</v>
      </c>
      <c r="I1063" s="5" t="s">
        <v>197</v>
      </c>
    </row>
    <row r="1064" spans="1:9" ht="51.75" customHeight="1">
      <c r="A1064" s="5" t="s">
        <v>26509</v>
      </c>
      <c r="B1064" s="5" t="s">
        <v>26513</v>
      </c>
      <c r="C1064" s="5" t="s">
        <v>26511</v>
      </c>
      <c r="D1064" s="246">
        <v>40611</v>
      </c>
      <c r="E1064" s="5" t="s">
        <v>26514</v>
      </c>
      <c r="F1064" s="26" t="s">
        <v>23600</v>
      </c>
      <c r="G1064" s="27" t="s">
        <v>4530</v>
      </c>
      <c r="H1064" s="28" t="s">
        <v>4531</v>
      </c>
      <c r="I1064" s="5" t="s">
        <v>197</v>
      </c>
    </row>
    <row r="1065" spans="1:9" ht="51.75" customHeight="1">
      <c r="A1065" s="5" t="s">
        <v>26515</v>
      </c>
      <c r="B1065" s="5" t="s">
        <v>26516</v>
      </c>
      <c r="C1065" s="5" t="s">
        <v>26517</v>
      </c>
      <c r="D1065" s="246">
        <v>40611</v>
      </c>
      <c r="E1065" s="5" t="s">
        <v>26518</v>
      </c>
      <c r="F1065" s="26" t="s">
        <v>25439</v>
      </c>
      <c r="G1065" s="27" t="s">
        <v>4530</v>
      </c>
      <c r="H1065" s="28" t="s">
        <v>4531</v>
      </c>
      <c r="I1065" s="5" t="s">
        <v>197</v>
      </c>
    </row>
    <row r="1066" spans="1:9" ht="51.75" customHeight="1">
      <c r="A1066" s="5" t="s">
        <v>26515</v>
      </c>
      <c r="B1066" s="5" t="s">
        <v>26519</v>
      </c>
      <c r="C1066" s="5" t="s">
        <v>26517</v>
      </c>
      <c r="D1066" s="246">
        <v>40611</v>
      </c>
      <c r="E1066" s="5" t="s">
        <v>26520</v>
      </c>
      <c r="F1066" s="26" t="s">
        <v>23600</v>
      </c>
      <c r="G1066" s="27" t="s">
        <v>4530</v>
      </c>
      <c r="H1066" s="28" t="s">
        <v>4531</v>
      </c>
      <c r="I1066" s="5" t="s">
        <v>197</v>
      </c>
    </row>
    <row r="1067" spans="1:9" ht="51.75" customHeight="1">
      <c r="A1067" s="5" t="s">
        <v>26115</v>
      </c>
      <c r="B1067" s="5" t="s">
        <v>26521</v>
      </c>
      <c r="C1067" s="5" t="s">
        <v>26522</v>
      </c>
      <c r="D1067" s="246">
        <v>42097</v>
      </c>
      <c r="E1067" s="5" t="s">
        <v>26523</v>
      </c>
      <c r="F1067" s="26" t="s">
        <v>25439</v>
      </c>
      <c r="G1067" s="27" t="s">
        <v>8342</v>
      </c>
      <c r="H1067" s="28" t="s">
        <v>8343</v>
      </c>
      <c r="I1067" s="5" t="s">
        <v>197</v>
      </c>
    </row>
    <row r="1068" spans="1:9" ht="51.75" customHeight="1">
      <c r="A1068" s="5" t="s">
        <v>26115</v>
      </c>
      <c r="B1068" s="5" t="s">
        <v>26524</v>
      </c>
      <c r="C1068" s="5" t="s">
        <v>26522</v>
      </c>
      <c r="D1068" s="246">
        <v>42097</v>
      </c>
      <c r="E1068" s="5" t="s">
        <v>26525</v>
      </c>
      <c r="F1068" s="26" t="s">
        <v>23600</v>
      </c>
      <c r="G1068" s="27" t="s">
        <v>8342</v>
      </c>
      <c r="H1068" s="28" t="s">
        <v>8343</v>
      </c>
      <c r="I1068" s="5" t="s">
        <v>197</v>
      </c>
    </row>
    <row r="1069" spans="1:9" ht="51.75" customHeight="1">
      <c r="A1069" s="5" t="s">
        <v>26120</v>
      </c>
      <c r="B1069" s="5" t="s">
        <v>26526</v>
      </c>
      <c r="C1069" s="5" t="s">
        <v>26527</v>
      </c>
      <c r="D1069" s="246">
        <v>42097</v>
      </c>
      <c r="E1069" s="5" t="s">
        <v>26528</v>
      </c>
      <c r="F1069" s="26" t="s">
        <v>25439</v>
      </c>
      <c r="G1069" s="27" t="s">
        <v>8342</v>
      </c>
      <c r="H1069" s="28" t="s">
        <v>8343</v>
      </c>
      <c r="I1069" s="5" t="s">
        <v>197</v>
      </c>
    </row>
    <row r="1070" spans="1:9" ht="51.75" customHeight="1">
      <c r="A1070" s="5" t="s">
        <v>26120</v>
      </c>
      <c r="B1070" s="5" t="s">
        <v>26529</v>
      </c>
      <c r="C1070" s="5" t="s">
        <v>26527</v>
      </c>
      <c r="D1070" s="246">
        <v>42097</v>
      </c>
      <c r="E1070" s="5" t="s">
        <v>26530</v>
      </c>
      <c r="F1070" s="26" t="s">
        <v>23600</v>
      </c>
      <c r="G1070" s="27" t="s">
        <v>8342</v>
      </c>
      <c r="H1070" s="28" t="s">
        <v>8343</v>
      </c>
      <c r="I1070" s="5" t="s">
        <v>197</v>
      </c>
    </row>
    <row r="1071" spans="1:9" ht="51.75" customHeight="1">
      <c r="A1071" s="5" t="s">
        <v>26531</v>
      </c>
      <c r="B1071" s="5" t="s">
        <v>26532</v>
      </c>
      <c r="C1071" s="5" t="s">
        <v>26533</v>
      </c>
      <c r="D1071" s="246">
        <v>42097</v>
      </c>
      <c r="E1071" s="5" t="s">
        <v>26534</v>
      </c>
      <c r="F1071" s="26" t="s">
        <v>25439</v>
      </c>
      <c r="G1071" s="27" t="s">
        <v>8342</v>
      </c>
      <c r="H1071" s="28" t="s">
        <v>8343</v>
      </c>
      <c r="I1071" s="5" t="s">
        <v>197</v>
      </c>
    </row>
    <row r="1072" spans="1:9" ht="51.75" customHeight="1">
      <c r="A1072" s="5" t="s">
        <v>26531</v>
      </c>
      <c r="B1072" s="5" t="s">
        <v>26535</v>
      </c>
      <c r="C1072" s="5" t="s">
        <v>26533</v>
      </c>
      <c r="D1072" s="246">
        <v>42097</v>
      </c>
      <c r="E1072" s="5" t="s">
        <v>26536</v>
      </c>
      <c r="F1072" s="26" t="s">
        <v>23600</v>
      </c>
      <c r="G1072" s="27" t="s">
        <v>8342</v>
      </c>
      <c r="H1072" s="28" t="s">
        <v>8343</v>
      </c>
      <c r="I1072" s="5" t="s">
        <v>197</v>
      </c>
    </row>
    <row r="1073" spans="1:9" ht="51.75" customHeight="1">
      <c r="A1073" s="5" t="s">
        <v>26537</v>
      </c>
      <c r="B1073" s="5" t="s">
        <v>26538</v>
      </c>
      <c r="C1073" s="5" t="s">
        <v>26539</v>
      </c>
      <c r="D1073" s="246">
        <v>42097</v>
      </c>
      <c r="E1073" s="5" t="s">
        <v>26540</v>
      </c>
      <c r="F1073" s="26" t="s">
        <v>25439</v>
      </c>
      <c r="G1073" s="27" t="s">
        <v>8342</v>
      </c>
      <c r="H1073" s="28" t="s">
        <v>8343</v>
      </c>
      <c r="I1073" s="5" t="s">
        <v>197</v>
      </c>
    </row>
    <row r="1074" spans="1:9" ht="51.75" customHeight="1">
      <c r="A1074" s="5" t="s">
        <v>26537</v>
      </c>
      <c r="B1074" s="5" t="s">
        <v>26541</v>
      </c>
      <c r="C1074" s="5" t="s">
        <v>26539</v>
      </c>
      <c r="D1074" s="246">
        <v>42097</v>
      </c>
      <c r="E1074" s="5" t="s">
        <v>26542</v>
      </c>
      <c r="F1074" s="26" t="s">
        <v>23600</v>
      </c>
      <c r="G1074" s="27" t="s">
        <v>8342</v>
      </c>
      <c r="H1074" s="28" t="s">
        <v>8343</v>
      </c>
      <c r="I1074" s="5" t="s">
        <v>197</v>
      </c>
    </row>
    <row r="1075" spans="1:9" ht="51.75" customHeight="1">
      <c r="A1075" s="5" t="s">
        <v>26543</v>
      </c>
      <c r="B1075" s="5" t="s">
        <v>26544</v>
      </c>
      <c r="C1075" s="5" t="s">
        <v>26545</v>
      </c>
      <c r="D1075" s="246">
        <v>42097</v>
      </c>
      <c r="E1075" s="5" t="s">
        <v>26546</v>
      </c>
      <c r="F1075" s="26" t="s">
        <v>25439</v>
      </c>
      <c r="G1075" s="27" t="s">
        <v>8342</v>
      </c>
      <c r="H1075" s="28" t="s">
        <v>8343</v>
      </c>
      <c r="I1075" s="5" t="s">
        <v>197</v>
      </c>
    </row>
    <row r="1076" spans="1:9" ht="51.75" customHeight="1">
      <c r="A1076" s="5" t="s">
        <v>26543</v>
      </c>
      <c r="B1076" s="5" t="s">
        <v>26547</v>
      </c>
      <c r="C1076" s="5" t="s">
        <v>26545</v>
      </c>
      <c r="D1076" s="246">
        <v>42097</v>
      </c>
      <c r="E1076" s="5" t="s">
        <v>26548</v>
      </c>
      <c r="F1076" s="26" t="s">
        <v>23600</v>
      </c>
      <c r="G1076" s="27" t="s">
        <v>8342</v>
      </c>
      <c r="H1076" s="28" t="s">
        <v>8343</v>
      </c>
      <c r="I1076" s="5" t="s">
        <v>197</v>
      </c>
    </row>
    <row r="1077" spans="1:9" ht="51.75" customHeight="1">
      <c r="A1077" s="5" t="s">
        <v>26549</v>
      </c>
      <c r="B1077" s="5" t="s">
        <v>26550</v>
      </c>
      <c r="C1077" s="5" t="s">
        <v>26551</v>
      </c>
      <c r="D1077" s="246">
        <v>42097</v>
      </c>
      <c r="E1077" s="5" t="s">
        <v>26552</v>
      </c>
      <c r="F1077" s="26" t="s">
        <v>25439</v>
      </c>
      <c r="G1077" s="27" t="s">
        <v>8342</v>
      </c>
      <c r="H1077" s="28" t="s">
        <v>8343</v>
      </c>
      <c r="I1077" s="5" t="s">
        <v>197</v>
      </c>
    </row>
    <row r="1078" spans="1:9" ht="51.75" customHeight="1">
      <c r="A1078" s="5" t="s">
        <v>26549</v>
      </c>
      <c r="B1078" s="5" t="s">
        <v>26553</v>
      </c>
      <c r="C1078" s="5" t="s">
        <v>26551</v>
      </c>
      <c r="D1078" s="246">
        <v>42097</v>
      </c>
      <c r="E1078" s="5" t="s">
        <v>26554</v>
      </c>
      <c r="F1078" s="26" t="s">
        <v>23600</v>
      </c>
      <c r="G1078" s="27" t="s">
        <v>8342</v>
      </c>
      <c r="H1078" s="28" t="s">
        <v>8343</v>
      </c>
      <c r="I1078" s="5" t="s">
        <v>197</v>
      </c>
    </row>
    <row r="1079" spans="1:9" ht="51.75" customHeight="1">
      <c r="A1079" s="5" t="s">
        <v>26555</v>
      </c>
      <c r="B1079" s="5" t="s">
        <v>26556</v>
      </c>
      <c r="C1079" s="5" t="s">
        <v>26557</v>
      </c>
      <c r="D1079" s="246">
        <v>42097</v>
      </c>
      <c r="E1079" s="5" t="s">
        <v>26558</v>
      </c>
      <c r="F1079" s="26" t="s">
        <v>25439</v>
      </c>
      <c r="G1079" s="27" t="s">
        <v>8342</v>
      </c>
      <c r="H1079" s="28" t="s">
        <v>8343</v>
      </c>
      <c r="I1079" s="5" t="s">
        <v>197</v>
      </c>
    </row>
    <row r="1080" spans="1:9" ht="51.75" customHeight="1">
      <c r="A1080" s="5" t="s">
        <v>26555</v>
      </c>
      <c r="B1080" s="5" t="s">
        <v>26559</v>
      </c>
      <c r="C1080" s="5" t="s">
        <v>26557</v>
      </c>
      <c r="D1080" s="246">
        <v>42097</v>
      </c>
      <c r="E1080" s="5" t="s">
        <v>26560</v>
      </c>
      <c r="F1080" s="26" t="s">
        <v>23600</v>
      </c>
      <c r="G1080" s="27" t="s">
        <v>8342</v>
      </c>
      <c r="H1080" s="28" t="s">
        <v>8343</v>
      </c>
      <c r="I1080" s="5" t="s">
        <v>197</v>
      </c>
    </row>
    <row r="1081" spans="1:9" ht="51.75" customHeight="1">
      <c r="A1081" s="5" t="s">
        <v>26415</v>
      </c>
      <c r="B1081" s="5" t="s">
        <v>26561</v>
      </c>
      <c r="C1081" s="5" t="s">
        <v>26562</v>
      </c>
      <c r="D1081" s="246">
        <v>41775</v>
      </c>
      <c r="E1081" s="5" t="s">
        <v>26563</v>
      </c>
      <c r="F1081" s="26" t="s">
        <v>25439</v>
      </c>
      <c r="G1081" s="27" t="s">
        <v>8590</v>
      </c>
      <c r="H1081" s="28" t="s">
        <v>8591</v>
      </c>
      <c r="I1081" s="5" t="s">
        <v>197</v>
      </c>
    </row>
    <row r="1082" spans="1:9" ht="51.75" customHeight="1">
      <c r="A1082" s="5" t="s">
        <v>26415</v>
      </c>
      <c r="B1082" s="5" t="s">
        <v>26564</v>
      </c>
      <c r="C1082" s="5" t="s">
        <v>26562</v>
      </c>
      <c r="D1082" s="246">
        <v>41775</v>
      </c>
      <c r="E1082" s="5" t="s">
        <v>26565</v>
      </c>
      <c r="F1082" s="26" t="s">
        <v>23600</v>
      </c>
      <c r="G1082" s="27" t="s">
        <v>8590</v>
      </c>
      <c r="H1082" s="28" t="s">
        <v>8591</v>
      </c>
      <c r="I1082" s="5" t="s">
        <v>197</v>
      </c>
    </row>
    <row r="1083" spans="1:9" ht="51.75" customHeight="1">
      <c r="A1083" s="5" t="s">
        <v>26421</v>
      </c>
      <c r="B1083" s="5" t="s">
        <v>26566</v>
      </c>
      <c r="C1083" s="5" t="s">
        <v>26567</v>
      </c>
      <c r="D1083" s="246">
        <v>41775</v>
      </c>
      <c r="E1083" s="5" t="s">
        <v>26568</v>
      </c>
      <c r="F1083" s="26" t="s">
        <v>25439</v>
      </c>
      <c r="G1083" s="27" t="s">
        <v>8590</v>
      </c>
      <c r="H1083" s="28" t="s">
        <v>8591</v>
      </c>
      <c r="I1083" s="5" t="s">
        <v>197</v>
      </c>
    </row>
    <row r="1084" spans="1:9" ht="51.75" customHeight="1">
      <c r="A1084" s="5" t="s">
        <v>26421</v>
      </c>
      <c r="B1084" s="5" t="s">
        <v>26569</v>
      </c>
      <c r="C1084" s="5" t="s">
        <v>26567</v>
      </c>
      <c r="D1084" s="246">
        <v>41775</v>
      </c>
      <c r="E1084" s="5" t="s">
        <v>26570</v>
      </c>
      <c r="F1084" s="26" t="s">
        <v>23600</v>
      </c>
      <c r="G1084" s="27" t="s">
        <v>8590</v>
      </c>
      <c r="H1084" s="28" t="s">
        <v>8591</v>
      </c>
      <c r="I1084" s="5" t="s">
        <v>197</v>
      </c>
    </row>
    <row r="1085" spans="1:9" ht="51.75" customHeight="1">
      <c r="A1085" s="5" t="s">
        <v>23780</v>
      </c>
      <c r="B1085" s="5" t="s">
        <v>26571</v>
      </c>
      <c r="C1085" s="5" t="s">
        <v>26572</v>
      </c>
      <c r="D1085" s="246">
        <v>41775</v>
      </c>
      <c r="E1085" s="5" t="s">
        <v>26573</v>
      </c>
      <c r="F1085" s="26" t="s">
        <v>25439</v>
      </c>
      <c r="G1085" s="27" t="s">
        <v>8590</v>
      </c>
      <c r="H1085" s="28" t="s">
        <v>8591</v>
      </c>
      <c r="I1085" s="5" t="s">
        <v>197</v>
      </c>
    </row>
    <row r="1086" spans="1:9" ht="51.75" customHeight="1">
      <c r="A1086" s="5" t="s">
        <v>23780</v>
      </c>
      <c r="B1086" s="5" t="s">
        <v>26574</v>
      </c>
      <c r="C1086" s="5" t="s">
        <v>26572</v>
      </c>
      <c r="D1086" s="246">
        <v>41775</v>
      </c>
      <c r="E1086" s="5" t="s">
        <v>26575</v>
      </c>
      <c r="F1086" s="26" t="s">
        <v>23600</v>
      </c>
      <c r="G1086" s="27" t="s">
        <v>8590</v>
      </c>
      <c r="H1086" s="28" t="s">
        <v>8591</v>
      </c>
      <c r="I1086" s="5" t="s">
        <v>197</v>
      </c>
    </row>
    <row r="1087" spans="1:9" ht="51.75" customHeight="1">
      <c r="A1087" s="5" t="s">
        <v>26432</v>
      </c>
      <c r="B1087" s="5" t="s">
        <v>26576</v>
      </c>
      <c r="C1087" s="5" t="s">
        <v>26577</v>
      </c>
      <c r="D1087" s="246">
        <v>41775</v>
      </c>
      <c r="E1087" s="5" t="s">
        <v>26578</v>
      </c>
      <c r="F1087" s="26" t="s">
        <v>25439</v>
      </c>
      <c r="G1087" s="27" t="s">
        <v>8590</v>
      </c>
      <c r="H1087" s="28" t="s">
        <v>8591</v>
      </c>
      <c r="I1087" s="5" t="s">
        <v>197</v>
      </c>
    </row>
    <row r="1088" spans="1:9" ht="51.75" customHeight="1">
      <c r="A1088" s="5" t="s">
        <v>26432</v>
      </c>
      <c r="B1088" s="5" t="s">
        <v>26579</v>
      </c>
      <c r="C1088" s="5" t="s">
        <v>26577</v>
      </c>
      <c r="D1088" s="246">
        <v>41775</v>
      </c>
      <c r="E1088" s="5" t="s">
        <v>26580</v>
      </c>
      <c r="F1088" s="26" t="s">
        <v>23600</v>
      </c>
      <c r="G1088" s="27" t="s">
        <v>8590</v>
      </c>
      <c r="H1088" s="28" t="s">
        <v>8591</v>
      </c>
      <c r="I1088" s="5" t="s">
        <v>197</v>
      </c>
    </row>
    <row r="1089" spans="1:9" ht="51.75" customHeight="1">
      <c r="A1089" s="5" t="s">
        <v>25177</v>
      </c>
      <c r="B1089" s="5" t="s">
        <v>26581</v>
      </c>
      <c r="C1089" s="5" t="s">
        <v>26582</v>
      </c>
      <c r="D1089" s="246">
        <v>41775</v>
      </c>
      <c r="E1089" s="5" t="s">
        <v>26583</v>
      </c>
      <c r="F1089" s="26" t="s">
        <v>25439</v>
      </c>
      <c r="G1089" s="27" t="s">
        <v>8590</v>
      </c>
      <c r="H1089" s="28" t="s">
        <v>8591</v>
      </c>
      <c r="I1089" s="5" t="s">
        <v>197</v>
      </c>
    </row>
    <row r="1090" spans="1:9" ht="51.75" customHeight="1">
      <c r="A1090" s="5" t="s">
        <v>25177</v>
      </c>
      <c r="B1090" s="5" t="s">
        <v>26584</v>
      </c>
      <c r="C1090" s="5" t="s">
        <v>26582</v>
      </c>
      <c r="D1090" s="246">
        <v>41775</v>
      </c>
      <c r="E1090" s="5" t="s">
        <v>26585</v>
      </c>
      <c r="F1090" s="26" t="s">
        <v>23600</v>
      </c>
      <c r="G1090" s="27" t="s">
        <v>8590</v>
      </c>
      <c r="H1090" s="28" t="s">
        <v>8591</v>
      </c>
      <c r="I1090" s="5" t="s">
        <v>197</v>
      </c>
    </row>
    <row r="1091" spans="1:9" ht="51.75" customHeight="1">
      <c r="A1091" s="5" t="s">
        <v>26443</v>
      </c>
      <c r="B1091" s="5" t="s">
        <v>26586</v>
      </c>
      <c r="C1091" s="5" t="s">
        <v>26587</v>
      </c>
      <c r="D1091" s="246">
        <v>41775</v>
      </c>
      <c r="E1091" s="5" t="s">
        <v>26588</v>
      </c>
      <c r="F1091" s="26" t="s">
        <v>25439</v>
      </c>
      <c r="G1091" s="27" t="s">
        <v>8590</v>
      </c>
      <c r="H1091" s="28" t="s">
        <v>8591</v>
      </c>
      <c r="I1091" s="5" t="s">
        <v>197</v>
      </c>
    </row>
    <row r="1092" spans="1:9" ht="51.75" customHeight="1">
      <c r="A1092" s="5" t="s">
        <v>26443</v>
      </c>
      <c r="B1092" s="5" t="s">
        <v>26589</v>
      </c>
      <c r="C1092" s="5" t="s">
        <v>26587</v>
      </c>
      <c r="D1092" s="246">
        <v>41775</v>
      </c>
      <c r="E1092" s="5" t="s">
        <v>26590</v>
      </c>
      <c r="F1092" s="26" t="s">
        <v>23600</v>
      </c>
      <c r="G1092" s="27" t="s">
        <v>8590</v>
      </c>
      <c r="H1092" s="28" t="s">
        <v>8591</v>
      </c>
      <c r="I1092" s="5" t="s">
        <v>197</v>
      </c>
    </row>
    <row r="1093" spans="1:9" ht="51.75" customHeight="1">
      <c r="A1093" s="5" t="s">
        <v>24987</v>
      </c>
      <c r="B1093" s="5" t="s">
        <v>26591</v>
      </c>
      <c r="C1093" s="5" t="s">
        <v>26592</v>
      </c>
      <c r="D1093" s="246">
        <v>41389</v>
      </c>
      <c r="E1093" s="5" t="s">
        <v>26593</v>
      </c>
      <c r="F1093" s="26" t="s">
        <v>25439</v>
      </c>
      <c r="G1093" s="27" t="s">
        <v>7452</v>
      </c>
      <c r="H1093" s="28" t="s">
        <v>7453</v>
      </c>
      <c r="I1093" s="5" t="s">
        <v>197</v>
      </c>
    </row>
    <row r="1094" spans="1:9" ht="51.75" customHeight="1">
      <c r="A1094" s="5" t="s">
        <v>24987</v>
      </c>
      <c r="B1094" s="5" t="s">
        <v>26594</v>
      </c>
      <c r="C1094" s="5" t="s">
        <v>26592</v>
      </c>
      <c r="D1094" s="246">
        <v>41389</v>
      </c>
      <c r="E1094" s="5" t="s">
        <v>26595</v>
      </c>
      <c r="F1094" s="26" t="s">
        <v>23600</v>
      </c>
      <c r="G1094" s="27" t="s">
        <v>7452</v>
      </c>
      <c r="H1094" s="28" t="s">
        <v>7453</v>
      </c>
      <c r="I1094" s="5" t="s">
        <v>197</v>
      </c>
    </row>
    <row r="1095" spans="1:9" ht="51.75" customHeight="1">
      <c r="A1095" s="5" t="s">
        <v>24674</v>
      </c>
      <c r="B1095" s="5" t="s">
        <v>26596</v>
      </c>
      <c r="C1095" s="5" t="s">
        <v>26597</v>
      </c>
      <c r="D1095" s="246">
        <v>41389</v>
      </c>
      <c r="E1095" s="5" t="s">
        <v>26598</v>
      </c>
      <c r="F1095" s="26" t="s">
        <v>25439</v>
      </c>
      <c r="G1095" s="27" t="s">
        <v>7452</v>
      </c>
      <c r="H1095" s="28" t="s">
        <v>7453</v>
      </c>
      <c r="I1095" s="5" t="s">
        <v>197</v>
      </c>
    </row>
    <row r="1096" spans="1:9" ht="51.75" customHeight="1">
      <c r="A1096" s="5" t="s">
        <v>24674</v>
      </c>
      <c r="B1096" s="5" t="s">
        <v>26599</v>
      </c>
      <c r="C1096" s="5" t="s">
        <v>26597</v>
      </c>
      <c r="D1096" s="246">
        <v>41389</v>
      </c>
      <c r="E1096" s="5" t="s">
        <v>26600</v>
      </c>
      <c r="F1096" s="26" t="s">
        <v>23600</v>
      </c>
      <c r="G1096" s="27" t="s">
        <v>7452</v>
      </c>
      <c r="H1096" s="28" t="s">
        <v>7453</v>
      </c>
      <c r="I1096" s="5" t="s">
        <v>197</v>
      </c>
    </row>
    <row r="1097" spans="1:9" ht="51.75" customHeight="1">
      <c r="A1097" s="5" t="s">
        <v>24963</v>
      </c>
      <c r="B1097" s="5" t="s">
        <v>26601</v>
      </c>
      <c r="C1097" s="5" t="s">
        <v>26602</v>
      </c>
      <c r="D1097" s="246">
        <v>41389</v>
      </c>
      <c r="E1097" s="5" t="s">
        <v>26603</v>
      </c>
      <c r="F1097" s="26" t="s">
        <v>25439</v>
      </c>
      <c r="G1097" s="27" t="s">
        <v>7452</v>
      </c>
      <c r="H1097" s="28" t="s">
        <v>7453</v>
      </c>
      <c r="I1097" s="5" t="s">
        <v>197</v>
      </c>
    </row>
    <row r="1098" spans="1:9" ht="51.75" customHeight="1">
      <c r="A1098" s="5" t="s">
        <v>24963</v>
      </c>
      <c r="B1098" s="5" t="s">
        <v>26604</v>
      </c>
      <c r="C1098" s="5" t="s">
        <v>26602</v>
      </c>
      <c r="D1098" s="246">
        <v>41389</v>
      </c>
      <c r="E1098" s="5" t="s">
        <v>26605</v>
      </c>
      <c r="F1098" s="26" t="s">
        <v>23600</v>
      </c>
      <c r="G1098" s="27" t="s">
        <v>7452</v>
      </c>
      <c r="H1098" s="28" t="s">
        <v>7453</v>
      </c>
      <c r="I1098" s="5" t="s">
        <v>197</v>
      </c>
    </row>
    <row r="1099" spans="1:9" ht="51.75" customHeight="1">
      <c r="A1099" s="5" t="s">
        <v>26606</v>
      </c>
      <c r="B1099" s="5" t="s">
        <v>26607</v>
      </c>
      <c r="C1099" s="5" t="s">
        <v>26608</v>
      </c>
      <c r="D1099" s="246">
        <v>41604</v>
      </c>
      <c r="E1099" s="5" t="s">
        <v>26609</v>
      </c>
      <c r="F1099" s="26" t="s">
        <v>25439</v>
      </c>
      <c r="G1099" s="27" t="s">
        <v>8011</v>
      </c>
      <c r="H1099" s="28" t="s">
        <v>8012</v>
      </c>
      <c r="I1099" s="5" t="s">
        <v>197</v>
      </c>
    </row>
    <row r="1100" spans="1:9" ht="51.75" customHeight="1">
      <c r="A1100" s="5" t="s">
        <v>26606</v>
      </c>
      <c r="B1100" s="5" t="s">
        <v>26610</v>
      </c>
      <c r="C1100" s="5" t="s">
        <v>26608</v>
      </c>
      <c r="D1100" s="246">
        <v>41604</v>
      </c>
      <c r="E1100" s="5" t="s">
        <v>26611</v>
      </c>
      <c r="F1100" s="26" t="s">
        <v>23600</v>
      </c>
      <c r="G1100" s="27" t="s">
        <v>8011</v>
      </c>
      <c r="H1100" s="28" t="s">
        <v>8012</v>
      </c>
      <c r="I1100" s="5" t="s">
        <v>197</v>
      </c>
    </row>
    <row r="1101" spans="1:9" ht="51.75" customHeight="1">
      <c r="A1101" s="5" t="s">
        <v>23764</v>
      </c>
      <c r="B1101" s="5" t="s">
        <v>26612</v>
      </c>
      <c r="C1101" s="5" t="s">
        <v>26613</v>
      </c>
      <c r="D1101" s="246">
        <v>41604</v>
      </c>
      <c r="E1101" s="5" t="s">
        <v>26614</v>
      </c>
      <c r="F1101" s="26" t="s">
        <v>25439</v>
      </c>
      <c r="G1101" s="27" t="s">
        <v>8011</v>
      </c>
      <c r="H1101" s="28" t="s">
        <v>8012</v>
      </c>
      <c r="I1101" s="5" t="s">
        <v>197</v>
      </c>
    </row>
    <row r="1102" spans="1:9" ht="51.75" customHeight="1">
      <c r="A1102" s="5" t="s">
        <v>23764</v>
      </c>
      <c r="B1102" s="5" t="s">
        <v>26615</v>
      </c>
      <c r="C1102" s="5" t="s">
        <v>26613</v>
      </c>
      <c r="D1102" s="246">
        <v>41604</v>
      </c>
      <c r="E1102" s="5" t="s">
        <v>26616</v>
      </c>
      <c r="F1102" s="26" t="s">
        <v>23600</v>
      </c>
      <c r="G1102" s="27" t="s">
        <v>8011</v>
      </c>
      <c r="H1102" s="28" t="s">
        <v>8012</v>
      </c>
      <c r="I1102" s="5" t="s">
        <v>197</v>
      </c>
    </row>
    <row r="1103" spans="1:9" ht="51.75" customHeight="1">
      <c r="A1103" s="5" t="s">
        <v>24993</v>
      </c>
      <c r="B1103" s="5" t="s">
        <v>26617</v>
      </c>
      <c r="C1103" s="5" t="s">
        <v>26618</v>
      </c>
      <c r="D1103" s="246">
        <v>41604</v>
      </c>
      <c r="E1103" s="5" t="s">
        <v>26619</v>
      </c>
      <c r="F1103" s="26" t="s">
        <v>25439</v>
      </c>
      <c r="G1103" s="27" t="s">
        <v>8011</v>
      </c>
      <c r="H1103" s="28" t="s">
        <v>8012</v>
      </c>
      <c r="I1103" s="5" t="s">
        <v>197</v>
      </c>
    </row>
    <row r="1104" spans="1:9" ht="51.75" customHeight="1">
      <c r="A1104" s="5" t="s">
        <v>24993</v>
      </c>
      <c r="B1104" s="5" t="s">
        <v>26620</v>
      </c>
      <c r="C1104" s="5" t="s">
        <v>26618</v>
      </c>
      <c r="D1104" s="246">
        <v>41604</v>
      </c>
      <c r="E1104" s="5" t="s">
        <v>26621</v>
      </c>
      <c r="F1104" s="26" t="s">
        <v>23600</v>
      </c>
      <c r="G1104" s="27" t="s">
        <v>8011</v>
      </c>
      <c r="H1104" s="28" t="s">
        <v>8012</v>
      </c>
      <c r="I1104" s="5" t="s">
        <v>197</v>
      </c>
    </row>
    <row r="1105" spans="1:9" ht="51.75" customHeight="1">
      <c r="A1105" s="5" t="s">
        <v>23952</v>
      </c>
      <c r="B1105" s="5" t="s">
        <v>26622</v>
      </c>
      <c r="C1105" s="5" t="s">
        <v>26623</v>
      </c>
      <c r="D1105" s="246">
        <v>41604</v>
      </c>
      <c r="E1105" s="5" t="s">
        <v>26624</v>
      </c>
      <c r="F1105" s="26" t="s">
        <v>25439</v>
      </c>
      <c r="G1105" s="27" t="s">
        <v>8011</v>
      </c>
      <c r="H1105" s="28" t="s">
        <v>8012</v>
      </c>
      <c r="I1105" s="5" t="s">
        <v>197</v>
      </c>
    </row>
    <row r="1106" spans="1:9" ht="51.75" customHeight="1">
      <c r="A1106" s="5" t="s">
        <v>23952</v>
      </c>
      <c r="B1106" s="5" t="s">
        <v>26625</v>
      </c>
      <c r="C1106" s="5" t="s">
        <v>26623</v>
      </c>
      <c r="D1106" s="246">
        <v>41604</v>
      </c>
      <c r="E1106" s="5" t="s">
        <v>26626</v>
      </c>
      <c r="F1106" s="26" t="s">
        <v>23600</v>
      </c>
      <c r="G1106" s="27" t="s">
        <v>8011</v>
      </c>
      <c r="H1106" s="28" t="s">
        <v>8012</v>
      </c>
      <c r="I1106" s="5" t="s">
        <v>197</v>
      </c>
    </row>
    <row r="1107" spans="1:9" ht="51.75" customHeight="1">
      <c r="A1107" s="5" t="s">
        <v>24681</v>
      </c>
      <c r="B1107" s="5" t="s">
        <v>26627</v>
      </c>
      <c r="C1107" s="5" t="s">
        <v>26628</v>
      </c>
      <c r="D1107" s="246">
        <v>41604</v>
      </c>
      <c r="E1107" s="5" t="s">
        <v>26629</v>
      </c>
      <c r="F1107" s="26" t="s">
        <v>25439</v>
      </c>
      <c r="G1107" s="27" t="s">
        <v>8011</v>
      </c>
      <c r="H1107" s="28" t="s">
        <v>8012</v>
      </c>
      <c r="I1107" s="5" t="s">
        <v>197</v>
      </c>
    </row>
    <row r="1108" spans="1:9" ht="51.75" customHeight="1">
      <c r="A1108" s="5" t="s">
        <v>24681</v>
      </c>
      <c r="B1108" s="5" t="s">
        <v>26630</v>
      </c>
      <c r="C1108" s="5" t="s">
        <v>26628</v>
      </c>
      <c r="D1108" s="246">
        <v>41604</v>
      </c>
      <c r="E1108" s="5" t="s">
        <v>26631</v>
      </c>
      <c r="F1108" s="26" t="s">
        <v>23600</v>
      </c>
      <c r="G1108" s="27" t="s">
        <v>8011</v>
      </c>
      <c r="H1108" s="28" t="s">
        <v>8012</v>
      </c>
      <c r="I1108" s="5" t="s">
        <v>197</v>
      </c>
    </row>
    <row r="1109" spans="1:9" ht="51.75" customHeight="1">
      <c r="A1109" s="5" t="s">
        <v>24685</v>
      </c>
      <c r="B1109" s="5" t="s">
        <v>26632</v>
      </c>
      <c r="C1109" s="5" t="s">
        <v>26633</v>
      </c>
      <c r="D1109" s="246">
        <v>41604</v>
      </c>
      <c r="E1109" s="5" t="s">
        <v>26634</v>
      </c>
      <c r="F1109" s="26" t="s">
        <v>25439</v>
      </c>
      <c r="G1109" s="27" t="s">
        <v>8011</v>
      </c>
      <c r="H1109" s="28" t="s">
        <v>8012</v>
      </c>
      <c r="I1109" s="5" t="s">
        <v>197</v>
      </c>
    </row>
    <row r="1110" spans="1:9" ht="51.75" customHeight="1">
      <c r="A1110" s="5" t="s">
        <v>24685</v>
      </c>
      <c r="B1110" s="5" t="s">
        <v>26635</v>
      </c>
      <c r="C1110" s="5" t="s">
        <v>26633</v>
      </c>
      <c r="D1110" s="246">
        <v>41604</v>
      </c>
      <c r="E1110" s="5" t="s">
        <v>26636</v>
      </c>
      <c r="F1110" s="26" t="s">
        <v>23600</v>
      </c>
      <c r="G1110" s="27" t="s">
        <v>8011</v>
      </c>
      <c r="H1110" s="28" t="s">
        <v>8012</v>
      </c>
      <c r="I1110" s="5" t="s">
        <v>197</v>
      </c>
    </row>
    <row r="1111" spans="1:9" ht="51.75" customHeight="1">
      <c r="A1111" s="5" t="s">
        <v>24689</v>
      </c>
      <c r="B1111" s="5" t="s">
        <v>26637</v>
      </c>
      <c r="C1111" s="5" t="s">
        <v>26638</v>
      </c>
      <c r="D1111" s="246">
        <v>41604</v>
      </c>
      <c r="E1111" s="5" t="s">
        <v>26639</v>
      </c>
      <c r="F1111" s="26" t="s">
        <v>25439</v>
      </c>
      <c r="G1111" s="27" t="s">
        <v>8011</v>
      </c>
      <c r="H1111" s="28" t="s">
        <v>8012</v>
      </c>
      <c r="I1111" s="5" t="s">
        <v>197</v>
      </c>
    </row>
    <row r="1112" spans="1:9" ht="51.75" customHeight="1">
      <c r="A1112" s="5" t="s">
        <v>24689</v>
      </c>
      <c r="B1112" s="5" t="s">
        <v>26640</v>
      </c>
      <c r="C1112" s="5" t="s">
        <v>26638</v>
      </c>
      <c r="D1112" s="246">
        <v>41604</v>
      </c>
      <c r="E1112" s="5" t="s">
        <v>26641</v>
      </c>
      <c r="F1112" s="26" t="s">
        <v>23600</v>
      </c>
      <c r="G1112" s="27" t="s">
        <v>8011</v>
      </c>
      <c r="H1112" s="28" t="s">
        <v>8012</v>
      </c>
      <c r="I1112" s="5" t="s">
        <v>197</v>
      </c>
    </row>
    <row r="1113" spans="1:9" ht="51.75" customHeight="1">
      <c r="A1113" s="5" t="s">
        <v>24693</v>
      </c>
      <c r="B1113" s="5" t="s">
        <v>26642</v>
      </c>
      <c r="C1113" s="5" t="s">
        <v>26478</v>
      </c>
      <c r="D1113" s="246">
        <v>41604</v>
      </c>
      <c r="E1113" s="5" t="s">
        <v>26643</v>
      </c>
      <c r="F1113" s="26" t="s">
        <v>25439</v>
      </c>
      <c r="G1113" s="27" t="s">
        <v>8011</v>
      </c>
      <c r="H1113" s="28" t="s">
        <v>8012</v>
      </c>
      <c r="I1113" s="5" t="s">
        <v>197</v>
      </c>
    </row>
    <row r="1114" spans="1:9" ht="51.75" customHeight="1">
      <c r="A1114" s="5" t="s">
        <v>24693</v>
      </c>
      <c r="B1114" s="5" t="s">
        <v>26644</v>
      </c>
      <c r="C1114" s="5" t="s">
        <v>26478</v>
      </c>
      <c r="D1114" s="246">
        <v>41604</v>
      </c>
      <c r="E1114" s="5" t="s">
        <v>26645</v>
      </c>
      <c r="F1114" s="26" t="s">
        <v>23600</v>
      </c>
      <c r="G1114" s="27" t="s">
        <v>8011</v>
      </c>
      <c r="H1114" s="28" t="s">
        <v>8012</v>
      </c>
      <c r="I1114" s="5" t="s">
        <v>197</v>
      </c>
    </row>
    <row r="1115" spans="1:9" ht="51.75" customHeight="1">
      <c r="A1115" s="5" t="s">
        <v>26646</v>
      </c>
      <c r="B1115" s="5" t="s">
        <v>26647</v>
      </c>
      <c r="C1115" s="5" t="s">
        <v>26648</v>
      </c>
      <c r="D1115" s="246">
        <v>41848</v>
      </c>
      <c r="E1115" s="5" t="s">
        <v>26649</v>
      </c>
      <c r="F1115" s="26" t="s">
        <v>25439</v>
      </c>
      <c r="G1115" s="27" t="s">
        <v>8865</v>
      </c>
      <c r="H1115" s="28" t="s">
        <v>8866</v>
      </c>
      <c r="I1115" s="5" t="s">
        <v>197</v>
      </c>
    </row>
    <row r="1116" spans="1:9" ht="51.75" customHeight="1">
      <c r="A1116" s="5" t="s">
        <v>26646</v>
      </c>
      <c r="B1116" s="5" t="s">
        <v>26650</v>
      </c>
      <c r="C1116" s="5" t="s">
        <v>26648</v>
      </c>
      <c r="D1116" s="246">
        <v>41848</v>
      </c>
      <c r="E1116" s="5" t="s">
        <v>26651</v>
      </c>
      <c r="F1116" s="26" t="s">
        <v>23600</v>
      </c>
      <c r="G1116" s="27" t="s">
        <v>8865</v>
      </c>
      <c r="H1116" s="28" t="s">
        <v>8866</v>
      </c>
      <c r="I1116" s="5" t="s">
        <v>197</v>
      </c>
    </row>
    <row r="1117" spans="1:9" ht="51.75" customHeight="1">
      <c r="A1117" s="5" t="s">
        <v>26652</v>
      </c>
      <c r="B1117" s="5" t="s">
        <v>26653</v>
      </c>
      <c r="C1117" s="5" t="s">
        <v>26654</v>
      </c>
      <c r="D1117" s="246">
        <v>41848</v>
      </c>
      <c r="E1117" s="5" t="s">
        <v>26655</v>
      </c>
      <c r="F1117" s="26" t="s">
        <v>25439</v>
      </c>
      <c r="G1117" s="27" t="s">
        <v>8865</v>
      </c>
      <c r="H1117" s="28" t="s">
        <v>8866</v>
      </c>
      <c r="I1117" s="5" t="s">
        <v>197</v>
      </c>
    </row>
    <row r="1118" spans="1:9" ht="51.75" customHeight="1">
      <c r="A1118" s="5" t="s">
        <v>26652</v>
      </c>
      <c r="B1118" s="5" t="s">
        <v>26656</v>
      </c>
      <c r="C1118" s="5" t="s">
        <v>26654</v>
      </c>
      <c r="D1118" s="246">
        <v>41848</v>
      </c>
      <c r="E1118" s="5" t="s">
        <v>26657</v>
      </c>
      <c r="F1118" s="26" t="s">
        <v>23600</v>
      </c>
      <c r="G1118" s="27" t="s">
        <v>8865</v>
      </c>
      <c r="H1118" s="28" t="s">
        <v>8866</v>
      </c>
      <c r="I1118" s="5" t="s">
        <v>197</v>
      </c>
    </row>
    <row r="1119" spans="1:9" ht="51.75" customHeight="1">
      <c r="A1119" s="5" t="s">
        <v>26658</v>
      </c>
      <c r="B1119" s="5" t="s">
        <v>26659</v>
      </c>
      <c r="C1119" s="5" t="s">
        <v>26660</v>
      </c>
      <c r="D1119" s="246">
        <v>41848</v>
      </c>
      <c r="E1119" s="5" t="s">
        <v>26661</v>
      </c>
      <c r="F1119" s="26" t="s">
        <v>25439</v>
      </c>
      <c r="G1119" s="27" t="s">
        <v>8865</v>
      </c>
      <c r="H1119" s="28" t="s">
        <v>8866</v>
      </c>
      <c r="I1119" s="5" t="s">
        <v>197</v>
      </c>
    </row>
    <row r="1120" spans="1:9" ht="51.75" customHeight="1">
      <c r="A1120" s="5" t="s">
        <v>26658</v>
      </c>
      <c r="B1120" s="5" t="s">
        <v>26662</v>
      </c>
      <c r="C1120" s="5" t="s">
        <v>26660</v>
      </c>
      <c r="D1120" s="246">
        <v>41848</v>
      </c>
      <c r="E1120" s="5" t="s">
        <v>26663</v>
      </c>
      <c r="F1120" s="26" t="s">
        <v>23600</v>
      </c>
      <c r="G1120" s="27" t="s">
        <v>8865</v>
      </c>
      <c r="H1120" s="28" t="s">
        <v>8866</v>
      </c>
      <c r="I1120" s="5" t="s">
        <v>197</v>
      </c>
    </row>
    <row r="1121" spans="1:9" ht="51.75" customHeight="1">
      <c r="A1121" s="5" t="s">
        <v>25161</v>
      </c>
      <c r="B1121" s="5" t="s">
        <v>26664</v>
      </c>
      <c r="C1121" s="5" t="s">
        <v>26665</v>
      </c>
      <c r="D1121" s="246">
        <v>41848</v>
      </c>
      <c r="E1121" s="5" t="s">
        <v>26666</v>
      </c>
      <c r="F1121" s="26" t="s">
        <v>25439</v>
      </c>
      <c r="G1121" s="27" t="s">
        <v>8865</v>
      </c>
      <c r="H1121" s="28" t="s">
        <v>8866</v>
      </c>
      <c r="I1121" s="5" t="s">
        <v>197</v>
      </c>
    </row>
    <row r="1122" spans="1:9" ht="51.75" customHeight="1">
      <c r="A1122" s="5" t="s">
        <v>25161</v>
      </c>
      <c r="B1122" s="5" t="s">
        <v>26667</v>
      </c>
      <c r="C1122" s="5" t="s">
        <v>26665</v>
      </c>
      <c r="D1122" s="246">
        <v>41848</v>
      </c>
      <c r="E1122" s="5" t="s">
        <v>26668</v>
      </c>
      <c r="F1122" s="26" t="s">
        <v>23600</v>
      </c>
      <c r="G1122" s="27" t="s">
        <v>8865</v>
      </c>
      <c r="H1122" s="28" t="s">
        <v>8866</v>
      </c>
      <c r="I1122" s="5" t="s">
        <v>197</v>
      </c>
    </row>
    <row r="1123" spans="1:9" ht="51.75" customHeight="1">
      <c r="A1123" s="5" t="s">
        <v>25165</v>
      </c>
      <c r="B1123" s="5" t="s">
        <v>26669</v>
      </c>
      <c r="C1123" s="5" t="s">
        <v>26665</v>
      </c>
      <c r="D1123" s="246">
        <v>41848</v>
      </c>
      <c r="E1123" s="5" t="s">
        <v>26670</v>
      </c>
      <c r="F1123" s="26" t="s">
        <v>25439</v>
      </c>
      <c r="G1123" s="27" t="s">
        <v>8865</v>
      </c>
      <c r="H1123" s="28" t="s">
        <v>8866</v>
      </c>
      <c r="I1123" s="5" t="s">
        <v>197</v>
      </c>
    </row>
    <row r="1124" spans="1:9" ht="51.75" customHeight="1">
      <c r="A1124" s="5" t="s">
        <v>25165</v>
      </c>
      <c r="B1124" s="5" t="s">
        <v>26671</v>
      </c>
      <c r="C1124" s="5" t="s">
        <v>26665</v>
      </c>
      <c r="D1124" s="246">
        <v>41848</v>
      </c>
      <c r="E1124" s="5" t="s">
        <v>26672</v>
      </c>
      <c r="F1124" s="26" t="s">
        <v>23600</v>
      </c>
      <c r="G1124" s="27" t="s">
        <v>8865</v>
      </c>
      <c r="H1124" s="28" t="s">
        <v>8866</v>
      </c>
      <c r="I1124" s="5" t="s">
        <v>197</v>
      </c>
    </row>
    <row r="1125" spans="1:9" ht="51.75" customHeight="1">
      <c r="A1125" s="5" t="s">
        <v>25169</v>
      </c>
      <c r="B1125" s="5" t="s">
        <v>26673</v>
      </c>
      <c r="C1125" s="5" t="s">
        <v>26665</v>
      </c>
      <c r="D1125" s="246">
        <v>41848</v>
      </c>
      <c r="E1125" s="5" t="s">
        <v>26674</v>
      </c>
      <c r="F1125" s="26" t="s">
        <v>25439</v>
      </c>
      <c r="G1125" s="27" t="s">
        <v>8865</v>
      </c>
      <c r="H1125" s="28" t="s">
        <v>8866</v>
      </c>
      <c r="I1125" s="5" t="s">
        <v>197</v>
      </c>
    </row>
    <row r="1126" spans="1:9" ht="51.75" customHeight="1">
      <c r="A1126" s="5" t="s">
        <v>25169</v>
      </c>
      <c r="B1126" s="5" t="s">
        <v>26675</v>
      </c>
      <c r="C1126" s="5" t="s">
        <v>26665</v>
      </c>
      <c r="D1126" s="246">
        <v>41848</v>
      </c>
      <c r="E1126" s="5" t="s">
        <v>26676</v>
      </c>
      <c r="F1126" s="26" t="s">
        <v>23600</v>
      </c>
      <c r="G1126" s="27" t="s">
        <v>8865</v>
      </c>
      <c r="H1126" s="28" t="s">
        <v>8866</v>
      </c>
      <c r="I1126" s="5" t="s">
        <v>197</v>
      </c>
    </row>
    <row r="1127" spans="1:9" ht="51.75" customHeight="1">
      <c r="A1127" s="5" t="s">
        <v>25173</v>
      </c>
      <c r="B1127" s="5" t="s">
        <v>26677</v>
      </c>
      <c r="C1127" s="5" t="s">
        <v>26665</v>
      </c>
      <c r="D1127" s="246">
        <v>41848</v>
      </c>
      <c r="E1127" s="5" t="s">
        <v>26678</v>
      </c>
      <c r="F1127" s="26" t="s">
        <v>25439</v>
      </c>
      <c r="G1127" s="27" t="s">
        <v>8865</v>
      </c>
      <c r="H1127" s="28" t="s">
        <v>8866</v>
      </c>
      <c r="I1127" s="5" t="s">
        <v>197</v>
      </c>
    </row>
    <row r="1128" spans="1:9" ht="51.75" customHeight="1">
      <c r="A1128" s="5" t="s">
        <v>25173</v>
      </c>
      <c r="B1128" s="5" t="s">
        <v>26679</v>
      </c>
      <c r="C1128" s="5" t="s">
        <v>26665</v>
      </c>
      <c r="D1128" s="246">
        <v>41848</v>
      </c>
      <c r="E1128" s="5" t="s">
        <v>26680</v>
      </c>
      <c r="F1128" s="26" t="s">
        <v>23600</v>
      </c>
      <c r="G1128" s="27" t="s">
        <v>8865</v>
      </c>
      <c r="H1128" s="28" t="s">
        <v>8866</v>
      </c>
      <c r="I1128" s="5" t="s">
        <v>197</v>
      </c>
    </row>
    <row r="1129" spans="1:9" ht="51.75" customHeight="1">
      <c r="A1129" s="5" t="s">
        <v>23641</v>
      </c>
      <c r="B1129" s="5" t="s">
        <v>26681</v>
      </c>
      <c r="C1129" s="5" t="s">
        <v>26682</v>
      </c>
      <c r="D1129" s="246">
        <v>41848</v>
      </c>
      <c r="E1129" s="5" t="s">
        <v>26683</v>
      </c>
      <c r="F1129" s="26" t="s">
        <v>25439</v>
      </c>
      <c r="G1129" s="27" t="s">
        <v>8865</v>
      </c>
      <c r="H1129" s="28" t="s">
        <v>8866</v>
      </c>
      <c r="I1129" s="5" t="s">
        <v>197</v>
      </c>
    </row>
    <row r="1130" spans="1:9" ht="51.75" customHeight="1">
      <c r="A1130" s="5" t="s">
        <v>23641</v>
      </c>
      <c r="B1130" s="5" t="s">
        <v>26684</v>
      </c>
      <c r="C1130" s="5" t="s">
        <v>26682</v>
      </c>
      <c r="D1130" s="246">
        <v>41848</v>
      </c>
      <c r="E1130" s="5" t="s">
        <v>26685</v>
      </c>
      <c r="F1130" s="26" t="s">
        <v>23600</v>
      </c>
      <c r="G1130" s="27" t="s">
        <v>8865</v>
      </c>
      <c r="H1130" s="28" t="s">
        <v>8866</v>
      </c>
      <c r="I1130" s="5" t="s">
        <v>197</v>
      </c>
    </row>
    <row r="1131" spans="1:9" ht="51.75" customHeight="1">
      <c r="A1131" s="5" t="s">
        <v>26686</v>
      </c>
      <c r="B1131" s="5" t="s">
        <v>26687</v>
      </c>
      <c r="C1131" s="5" t="s">
        <v>26688</v>
      </c>
      <c r="D1131" s="246">
        <v>41512</v>
      </c>
      <c r="E1131" s="5" t="s">
        <v>26689</v>
      </c>
      <c r="F1131" s="26" t="s">
        <v>25439</v>
      </c>
      <c r="G1131" s="27" t="s">
        <v>7421</v>
      </c>
      <c r="H1131" s="28" t="s">
        <v>7422</v>
      </c>
      <c r="I1131" s="5" t="s">
        <v>197</v>
      </c>
    </row>
    <row r="1132" spans="1:9" ht="51.75" customHeight="1">
      <c r="A1132" s="5" t="s">
        <v>26686</v>
      </c>
      <c r="B1132" s="5" t="s">
        <v>26690</v>
      </c>
      <c r="C1132" s="5" t="s">
        <v>26688</v>
      </c>
      <c r="D1132" s="246">
        <v>41512</v>
      </c>
      <c r="E1132" s="5" t="s">
        <v>26691</v>
      </c>
      <c r="F1132" s="26" t="s">
        <v>23600</v>
      </c>
      <c r="G1132" s="27" t="s">
        <v>7421</v>
      </c>
      <c r="H1132" s="28" t="s">
        <v>7422</v>
      </c>
      <c r="I1132" s="5" t="s">
        <v>197</v>
      </c>
    </row>
    <row r="1133" spans="1:9" ht="51.75" customHeight="1">
      <c r="A1133" s="5" t="s">
        <v>24558</v>
      </c>
      <c r="B1133" s="5" t="s">
        <v>26692</v>
      </c>
      <c r="C1133" s="5" t="s">
        <v>26693</v>
      </c>
      <c r="D1133" s="246">
        <v>41529</v>
      </c>
      <c r="E1133" s="5" t="s">
        <v>26694</v>
      </c>
      <c r="F1133" s="26" t="s">
        <v>25439</v>
      </c>
      <c r="G1133" s="27" t="s">
        <v>8223</v>
      </c>
      <c r="H1133" s="28" t="s">
        <v>8224</v>
      </c>
      <c r="I1133" s="5" t="s">
        <v>197</v>
      </c>
    </row>
    <row r="1134" spans="1:9" ht="51.75" customHeight="1">
      <c r="A1134" s="5" t="s">
        <v>24558</v>
      </c>
      <c r="B1134" s="5" t="s">
        <v>26695</v>
      </c>
      <c r="C1134" s="5" t="s">
        <v>26693</v>
      </c>
      <c r="D1134" s="246">
        <v>41529</v>
      </c>
      <c r="E1134" s="5" t="s">
        <v>26696</v>
      </c>
      <c r="F1134" s="26" t="s">
        <v>23600</v>
      </c>
      <c r="G1134" s="27" t="s">
        <v>8223</v>
      </c>
      <c r="H1134" s="28" t="s">
        <v>8224</v>
      </c>
      <c r="I1134" s="5" t="s">
        <v>197</v>
      </c>
    </row>
    <row r="1135" spans="1:9" ht="51.75" customHeight="1">
      <c r="A1135" s="5" t="s">
        <v>26697</v>
      </c>
      <c r="B1135" s="5" t="s">
        <v>26698</v>
      </c>
      <c r="C1135" s="5" t="s">
        <v>26699</v>
      </c>
      <c r="D1135" s="246">
        <v>41529</v>
      </c>
      <c r="E1135" s="5" t="s">
        <v>26700</v>
      </c>
      <c r="F1135" s="26" t="s">
        <v>25439</v>
      </c>
      <c r="G1135" s="27" t="s">
        <v>8223</v>
      </c>
      <c r="H1135" s="28" t="s">
        <v>8224</v>
      </c>
      <c r="I1135" s="5" t="s">
        <v>197</v>
      </c>
    </row>
    <row r="1136" spans="1:9" ht="51.75" customHeight="1">
      <c r="A1136" s="5" t="s">
        <v>26697</v>
      </c>
      <c r="B1136" s="5" t="s">
        <v>26701</v>
      </c>
      <c r="C1136" s="5" t="s">
        <v>26699</v>
      </c>
      <c r="D1136" s="246">
        <v>41529</v>
      </c>
      <c r="E1136" s="5" t="s">
        <v>26702</v>
      </c>
      <c r="F1136" s="26" t="s">
        <v>23600</v>
      </c>
      <c r="G1136" s="27" t="s">
        <v>8223</v>
      </c>
      <c r="H1136" s="28" t="s">
        <v>8224</v>
      </c>
      <c r="I1136" s="5" t="s">
        <v>197</v>
      </c>
    </row>
    <row r="1137" spans="1:9" ht="51.75" customHeight="1">
      <c r="A1137" s="5" t="s">
        <v>26703</v>
      </c>
      <c r="B1137" s="5" t="s">
        <v>26704</v>
      </c>
      <c r="C1137" s="5" t="s">
        <v>26705</v>
      </c>
      <c r="D1137" s="246">
        <v>41529</v>
      </c>
      <c r="E1137" s="5" t="s">
        <v>26706</v>
      </c>
      <c r="F1137" s="26" t="s">
        <v>25439</v>
      </c>
      <c r="G1137" s="27" t="s">
        <v>8223</v>
      </c>
      <c r="H1137" s="28" t="s">
        <v>8224</v>
      </c>
      <c r="I1137" s="5" t="s">
        <v>197</v>
      </c>
    </row>
    <row r="1138" spans="1:9" ht="51.75" customHeight="1">
      <c r="A1138" s="5" t="s">
        <v>26703</v>
      </c>
      <c r="B1138" s="5" t="s">
        <v>26707</v>
      </c>
      <c r="C1138" s="5" t="s">
        <v>26705</v>
      </c>
      <c r="D1138" s="246">
        <v>41529</v>
      </c>
      <c r="E1138" s="5" t="s">
        <v>26708</v>
      </c>
      <c r="F1138" s="26" t="s">
        <v>23600</v>
      </c>
      <c r="G1138" s="27" t="s">
        <v>8223</v>
      </c>
      <c r="H1138" s="28" t="s">
        <v>8224</v>
      </c>
      <c r="I1138" s="5" t="s">
        <v>197</v>
      </c>
    </row>
    <row r="1139" spans="1:9" ht="51.75" customHeight="1">
      <c r="A1139" s="5" t="s">
        <v>26709</v>
      </c>
      <c r="B1139" s="5" t="s">
        <v>26710</v>
      </c>
      <c r="C1139" s="5" t="s">
        <v>26711</v>
      </c>
      <c r="D1139" s="246">
        <v>41519</v>
      </c>
      <c r="E1139" s="5" t="s">
        <v>26712</v>
      </c>
      <c r="F1139" s="26" t="s">
        <v>25439</v>
      </c>
      <c r="G1139" s="27" t="s">
        <v>7904</v>
      </c>
      <c r="H1139" s="28" t="s">
        <v>7905</v>
      </c>
      <c r="I1139" s="5" t="s">
        <v>197</v>
      </c>
    </row>
    <row r="1140" spans="1:9" ht="51.75" customHeight="1">
      <c r="A1140" s="5" t="s">
        <v>26709</v>
      </c>
      <c r="B1140" s="5" t="s">
        <v>26713</v>
      </c>
      <c r="C1140" s="5" t="s">
        <v>26711</v>
      </c>
      <c r="D1140" s="246">
        <v>41519</v>
      </c>
      <c r="E1140" s="5" t="s">
        <v>26714</v>
      </c>
      <c r="F1140" s="26" t="s">
        <v>23600</v>
      </c>
      <c r="G1140" s="27" t="s">
        <v>7904</v>
      </c>
      <c r="H1140" s="28" t="s">
        <v>7905</v>
      </c>
      <c r="I1140" s="5" t="s">
        <v>197</v>
      </c>
    </row>
    <row r="1141" spans="1:9" ht="51.75" customHeight="1">
      <c r="A1141" s="5" t="s">
        <v>26715</v>
      </c>
      <c r="B1141" s="5" t="s">
        <v>26716</v>
      </c>
      <c r="C1141" s="5" t="s">
        <v>26717</v>
      </c>
      <c r="D1141" s="246">
        <v>41519</v>
      </c>
      <c r="E1141" s="5" t="s">
        <v>26718</v>
      </c>
      <c r="F1141" s="26" t="s">
        <v>25439</v>
      </c>
      <c r="G1141" s="27" t="s">
        <v>7904</v>
      </c>
      <c r="H1141" s="28" t="s">
        <v>7905</v>
      </c>
      <c r="I1141" s="5" t="s">
        <v>197</v>
      </c>
    </row>
    <row r="1142" spans="1:9" ht="51.75" customHeight="1">
      <c r="A1142" s="5" t="s">
        <v>26715</v>
      </c>
      <c r="B1142" s="5" t="s">
        <v>26719</v>
      </c>
      <c r="C1142" s="5" t="s">
        <v>26717</v>
      </c>
      <c r="D1142" s="246">
        <v>41519</v>
      </c>
      <c r="E1142" s="5" t="s">
        <v>26720</v>
      </c>
      <c r="F1142" s="26" t="s">
        <v>23600</v>
      </c>
      <c r="G1142" s="27" t="s">
        <v>7904</v>
      </c>
      <c r="H1142" s="28" t="s">
        <v>7905</v>
      </c>
      <c r="I1142" s="5" t="s">
        <v>197</v>
      </c>
    </row>
    <row r="1143" spans="1:9" ht="51.75" customHeight="1">
      <c r="A1143" s="5" t="s">
        <v>26721</v>
      </c>
      <c r="B1143" s="5" t="s">
        <v>26722</v>
      </c>
      <c r="C1143" s="5" t="s">
        <v>26723</v>
      </c>
      <c r="D1143" s="246">
        <v>41519</v>
      </c>
      <c r="E1143" s="5" t="s">
        <v>26724</v>
      </c>
      <c r="F1143" s="26" t="s">
        <v>25439</v>
      </c>
      <c r="G1143" s="27" t="s">
        <v>7904</v>
      </c>
      <c r="H1143" s="28" t="s">
        <v>7905</v>
      </c>
      <c r="I1143" s="5" t="s">
        <v>197</v>
      </c>
    </row>
    <row r="1144" spans="1:9" ht="51.75" customHeight="1">
      <c r="A1144" s="5" t="s">
        <v>26721</v>
      </c>
      <c r="B1144" s="5" t="s">
        <v>26725</v>
      </c>
      <c r="C1144" s="5" t="s">
        <v>26723</v>
      </c>
      <c r="D1144" s="246">
        <v>41519</v>
      </c>
      <c r="E1144" s="5" t="s">
        <v>26726</v>
      </c>
      <c r="F1144" s="26" t="s">
        <v>23600</v>
      </c>
      <c r="G1144" s="27" t="s">
        <v>7904</v>
      </c>
      <c r="H1144" s="28" t="s">
        <v>7905</v>
      </c>
      <c r="I1144" s="5" t="s">
        <v>197</v>
      </c>
    </row>
    <row r="1145" spans="1:9" ht="51.75" customHeight="1">
      <c r="A1145" s="5" t="s">
        <v>26727</v>
      </c>
      <c r="B1145" s="5" t="s">
        <v>26728</v>
      </c>
      <c r="C1145" s="5" t="s">
        <v>26729</v>
      </c>
      <c r="D1145" s="246">
        <v>41519</v>
      </c>
      <c r="E1145" s="5" t="s">
        <v>26730</v>
      </c>
      <c r="F1145" s="26" t="s">
        <v>25439</v>
      </c>
      <c r="G1145" s="27" t="s">
        <v>7904</v>
      </c>
      <c r="H1145" s="28" t="s">
        <v>7905</v>
      </c>
      <c r="I1145" s="5" t="s">
        <v>197</v>
      </c>
    </row>
    <row r="1146" spans="1:9" ht="51.75" customHeight="1">
      <c r="A1146" s="5" t="s">
        <v>26727</v>
      </c>
      <c r="B1146" s="5" t="s">
        <v>26731</v>
      </c>
      <c r="C1146" s="5" t="s">
        <v>26729</v>
      </c>
      <c r="D1146" s="246">
        <v>41519</v>
      </c>
      <c r="E1146" s="5" t="s">
        <v>26732</v>
      </c>
      <c r="F1146" s="26" t="s">
        <v>23600</v>
      </c>
      <c r="G1146" s="27" t="s">
        <v>7904</v>
      </c>
      <c r="H1146" s="28" t="s">
        <v>7905</v>
      </c>
      <c r="I1146" s="5" t="s">
        <v>197</v>
      </c>
    </row>
    <row r="1147" spans="1:9" ht="51.75" customHeight="1">
      <c r="A1147" s="5" t="s">
        <v>26733</v>
      </c>
      <c r="B1147" s="5" t="s">
        <v>26734</v>
      </c>
      <c r="C1147" s="5" t="s">
        <v>26735</v>
      </c>
      <c r="D1147" s="246">
        <v>41519</v>
      </c>
      <c r="E1147" s="5" t="s">
        <v>26736</v>
      </c>
      <c r="F1147" s="26" t="s">
        <v>25439</v>
      </c>
      <c r="G1147" s="27" t="s">
        <v>7904</v>
      </c>
      <c r="H1147" s="28" t="s">
        <v>7905</v>
      </c>
      <c r="I1147" s="5" t="s">
        <v>197</v>
      </c>
    </row>
    <row r="1148" spans="1:9" ht="51.75" customHeight="1">
      <c r="A1148" s="5" t="s">
        <v>26733</v>
      </c>
      <c r="B1148" s="5" t="s">
        <v>26737</v>
      </c>
      <c r="C1148" s="5" t="s">
        <v>26735</v>
      </c>
      <c r="D1148" s="246">
        <v>41519</v>
      </c>
      <c r="E1148" s="5" t="s">
        <v>26738</v>
      </c>
      <c r="F1148" s="26" t="s">
        <v>23600</v>
      </c>
      <c r="G1148" s="27" t="s">
        <v>7904</v>
      </c>
      <c r="H1148" s="28" t="s">
        <v>7905</v>
      </c>
      <c r="I1148" s="5" t="s">
        <v>197</v>
      </c>
    </row>
    <row r="1149" spans="1:9" ht="51.75" customHeight="1">
      <c r="A1149" s="5" t="s">
        <v>23974</v>
      </c>
      <c r="B1149" s="5" t="s">
        <v>26739</v>
      </c>
      <c r="C1149" s="5" t="s">
        <v>26740</v>
      </c>
      <c r="D1149" s="246">
        <v>41099</v>
      </c>
      <c r="E1149" s="5" t="s">
        <v>26741</v>
      </c>
      <c r="F1149" s="26" t="s">
        <v>25439</v>
      </c>
      <c r="G1149" s="27" t="s">
        <v>7182</v>
      </c>
      <c r="H1149" s="28" t="s">
        <v>7183</v>
      </c>
      <c r="I1149" s="5" t="s">
        <v>197</v>
      </c>
    </row>
    <row r="1150" spans="1:9" ht="51.75" customHeight="1">
      <c r="A1150" s="5" t="s">
        <v>23974</v>
      </c>
      <c r="B1150" s="5" t="s">
        <v>26742</v>
      </c>
      <c r="C1150" s="5" t="s">
        <v>26740</v>
      </c>
      <c r="D1150" s="246">
        <v>41099</v>
      </c>
      <c r="E1150" s="5" t="s">
        <v>26743</v>
      </c>
      <c r="F1150" s="26" t="s">
        <v>23600</v>
      </c>
      <c r="G1150" s="27" t="s">
        <v>7182</v>
      </c>
      <c r="H1150" s="28" t="s">
        <v>7183</v>
      </c>
      <c r="I1150" s="5" t="s">
        <v>197</v>
      </c>
    </row>
    <row r="1151" spans="1:9" ht="51.75" customHeight="1">
      <c r="A1151" s="5" t="s">
        <v>26744</v>
      </c>
      <c r="B1151" s="5" t="s">
        <v>26745</v>
      </c>
      <c r="C1151" s="5" t="s">
        <v>26746</v>
      </c>
      <c r="D1151" s="246">
        <v>41099</v>
      </c>
      <c r="E1151" s="5" t="s">
        <v>26747</v>
      </c>
      <c r="F1151" s="26" t="s">
        <v>25439</v>
      </c>
      <c r="G1151" s="27" t="s">
        <v>7182</v>
      </c>
      <c r="H1151" s="28" t="s">
        <v>7183</v>
      </c>
      <c r="I1151" s="5" t="s">
        <v>197</v>
      </c>
    </row>
    <row r="1152" spans="1:9" ht="51.75" customHeight="1">
      <c r="A1152" s="5" t="s">
        <v>26744</v>
      </c>
      <c r="B1152" s="5" t="s">
        <v>26748</v>
      </c>
      <c r="C1152" s="5" t="s">
        <v>26746</v>
      </c>
      <c r="D1152" s="246">
        <v>41099</v>
      </c>
      <c r="E1152" s="5" t="s">
        <v>26749</v>
      </c>
      <c r="F1152" s="26" t="s">
        <v>23600</v>
      </c>
      <c r="G1152" s="27" t="s">
        <v>7182</v>
      </c>
      <c r="H1152" s="28" t="s">
        <v>7183</v>
      </c>
      <c r="I1152" s="5" t="s">
        <v>197</v>
      </c>
    </row>
    <row r="1153" spans="1:9" ht="51.75" customHeight="1">
      <c r="A1153" s="5" t="s">
        <v>26750</v>
      </c>
      <c r="B1153" s="5" t="s">
        <v>26751</v>
      </c>
      <c r="C1153" s="5" t="s">
        <v>26752</v>
      </c>
      <c r="D1153" s="246">
        <v>41099</v>
      </c>
      <c r="E1153" s="5" t="s">
        <v>26753</v>
      </c>
      <c r="F1153" s="26" t="s">
        <v>25439</v>
      </c>
      <c r="G1153" s="27" t="s">
        <v>7182</v>
      </c>
      <c r="H1153" s="28" t="s">
        <v>7183</v>
      </c>
      <c r="I1153" s="5" t="s">
        <v>197</v>
      </c>
    </row>
    <row r="1154" spans="1:9" ht="51.75" customHeight="1">
      <c r="A1154" s="5" t="s">
        <v>26750</v>
      </c>
      <c r="B1154" s="5" t="s">
        <v>26754</v>
      </c>
      <c r="C1154" s="5" t="s">
        <v>26752</v>
      </c>
      <c r="D1154" s="246">
        <v>41099</v>
      </c>
      <c r="E1154" s="5" t="s">
        <v>26755</v>
      </c>
      <c r="F1154" s="26" t="s">
        <v>23600</v>
      </c>
      <c r="G1154" s="27" t="s">
        <v>7182</v>
      </c>
      <c r="H1154" s="28" t="s">
        <v>7183</v>
      </c>
      <c r="I1154" s="5" t="s">
        <v>197</v>
      </c>
    </row>
    <row r="1155" spans="1:9" ht="51.75" customHeight="1">
      <c r="A1155" s="5" t="s">
        <v>26756</v>
      </c>
      <c r="B1155" s="5" t="s">
        <v>26757</v>
      </c>
      <c r="C1155" s="5" t="s">
        <v>26758</v>
      </c>
      <c r="D1155" s="246">
        <v>41211</v>
      </c>
      <c r="E1155" s="5" t="s">
        <v>26759</v>
      </c>
      <c r="F1155" s="26" t="s">
        <v>25439</v>
      </c>
      <c r="G1155" s="27" t="s">
        <v>7770</v>
      </c>
      <c r="H1155" s="28" t="s">
        <v>7771</v>
      </c>
      <c r="I1155" s="5" t="s">
        <v>197</v>
      </c>
    </row>
    <row r="1156" spans="1:9" ht="51.75" customHeight="1">
      <c r="A1156" s="5" t="s">
        <v>26756</v>
      </c>
      <c r="B1156" s="5" t="s">
        <v>26760</v>
      </c>
      <c r="C1156" s="5" t="s">
        <v>26758</v>
      </c>
      <c r="D1156" s="246">
        <v>41211</v>
      </c>
      <c r="E1156" s="5" t="s">
        <v>26761</v>
      </c>
      <c r="F1156" s="26" t="s">
        <v>23600</v>
      </c>
      <c r="G1156" s="27" t="s">
        <v>7770</v>
      </c>
      <c r="H1156" s="28" t="s">
        <v>7771</v>
      </c>
      <c r="I1156" s="5" t="s">
        <v>197</v>
      </c>
    </row>
    <row r="1157" spans="1:9" ht="51.75" customHeight="1">
      <c r="A1157" s="5" t="s">
        <v>24614</v>
      </c>
      <c r="B1157" s="5" t="s">
        <v>26762</v>
      </c>
      <c r="C1157" s="5" t="s">
        <v>26763</v>
      </c>
      <c r="D1157" s="246">
        <v>41211</v>
      </c>
      <c r="E1157" s="5" t="s">
        <v>26764</v>
      </c>
      <c r="F1157" s="26" t="s">
        <v>25439</v>
      </c>
      <c r="G1157" s="27" t="s">
        <v>7770</v>
      </c>
      <c r="H1157" s="28" t="s">
        <v>7771</v>
      </c>
      <c r="I1157" s="5" t="s">
        <v>197</v>
      </c>
    </row>
    <row r="1158" spans="1:9" ht="51.75" customHeight="1">
      <c r="A1158" s="5" t="s">
        <v>24614</v>
      </c>
      <c r="B1158" s="5" t="s">
        <v>26765</v>
      </c>
      <c r="C1158" s="5" t="s">
        <v>26763</v>
      </c>
      <c r="D1158" s="246">
        <v>41211</v>
      </c>
      <c r="E1158" s="5" t="s">
        <v>26766</v>
      </c>
      <c r="F1158" s="26" t="s">
        <v>23600</v>
      </c>
      <c r="G1158" s="27" t="s">
        <v>7770</v>
      </c>
      <c r="H1158" s="28" t="s">
        <v>7771</v>
      </c>
      <c r="I1158" s="5" t="s">
        <v>197</v>
      </c>
    </row>
    <row r="1159" spans="1:9" ht="51.75" customHeight="1">
      <c r="A1159" s="5" t="s">
        <v>26767</v>
      </c>
      <c r="B1159" s="5" t="s">
        <v>26768</v>
      </c>
      <c r="C1159" s="5" t="s">
        <v>26769</v>
      </c>
      <c r="D1159" s="246">
        <v>41148</v>
      </c>
      <c r="E1159" s="5" t="s">
        <v>26770</v>
      </c>
      <c r="F1159" s="26" t="s">
        <v>25439</v>
      </c>
      <c r="G1159" s="27" t="s">
        <v>7618</v>
      </c>
      <c r="H1159" s="28" t="s">
        <v>7619</v>
      </c>
      <c r="I1159" s="5" t="s">
        <v>197</v>
      </c>
    </row>
    <row r="1160" spans="1:9" ht="51.75" customHeight="1">
      <c r="A1160" s="5" t="s">
        <v>26767</v>
      </c>
      <c r="B1160" s="5" t="s">
        <v>26771</v>
      </c>
      <c r="C1160" s="5" t="s">
        <v>26769</v>
      </c>
      <c r="D1160" s="246">
        <v>41148</v>
      </c>
      <c r="E1160" s="5" t="s">
        <v>26772</v>
      </c>
      <c r="F1160" s="26" t="s">
        <v>23600</v>
      </c>
      <c r="G1160" s="27" t="s">
        <v>7618</v>
      </c>
      <c r="H1160" s="28" t="s">
        <v>7619</v>
      </c>
      <c r="I1160" s="5" t="s">
        <v>197</v>
      </c>
    </row>
    <row r="1161" spans="1:9" ht="51.75" customHeight="1">
      <c r="A1161" s="5" t="s">
        <v>26773</v>
      </c>
      <c r="B1161" s="5" t="s">
        <v>26774</v>
      </c>
      <c r="C1161" s="5" t="s">
        <v>26775</v>
      </c>
      <c r="D1161" s="246">
        <v>41148</v>
      </c>
      <c r="E1161" s="5" t="s">
        <v>26776</v>
      </c>
      <c r="F1161" s="26" t="s">
        <v>25439</v>
      </c>
      <c r="G1161" s="27" t="s">
        <v>7618</v>
      </c>
      <c r="H1161" s="28" t="s">
        <v>7619</v>
      </c>
      <c r="I1161" s="5" t="s">
        <v>197</v>
      </c>
    </row>
    <row r="1162" spans="1:9" ht="51.75" customHeight="1">
      <c r="A1162" s="5" t="s">
        <v>26773</v>
      </c>
      <c r="B1162" s="5" t="s">
        <v>26777</v>
      </c>
      <c r="C1162" s="5" t="s">
        <v>26775</v>
      </c>
      <c r="D1162" s="246">
        <v>41148</v>
      </c>
      <c r="E1162" s="5" t="s">
        <v>26778</v>
      </c>
      <c r="F1162" s="26" t="s">
        <v>23600</v>
      </c>
      <c r="G1162" s="27" t="s">
        <v>7618</v>
      </c>
      <c r="H1162" s="28" t="s">
        <v>7619</v>
      </c>
      <c r="I1162" s="5" t="s">
        <v>197</v>
      </c>
    </row>
    <row r="1163" spans="1:9" ht="51.75" customHeight="1">
      <c r="A1163" s="5" t="s">
        <v>26779</v>
      </c>
      <c r="B1163" s="5" t="s">
        <v>26780</v>
      </c>
      <c r="C1163" s="5" t="s">
        <v>26781</v>
      </c>
      <c r="D1163" s="246">
        <v>41148</v>
      </c>
      <c r="E1163" s="5" t="s">
        <v>26782</v>
      </c>
      <c r="F1163" s="26" t="s">
        <v>25439</v>
      </c>
      <c r="G1163" s="27" t="s">
        <v>7618</v>
      </c>
      <c r="H1163" s="28" t="s">
        <v>7619</v>
      </c>
      <c r="I1163" s="5" t="s">
        <v>197</v>
      </c>
    </row>
    <row r="1164" spans="1:9" ht="51.75" customHeight="1">
      <c r="A1164" s="5" t="s">
        <v>26779</v>
      </c>
      <c r="B1164" s="5" t="s">
        <v>26783</v>
      </c>
      <c r="C1164" s="5" t="s">
        <v>26781</v>
      </c>
      <c r="D1164" s="246">
        <v>41148</v>
      </c>
      <c r="E1164" s="5" t="s">
        <v>26784</v>
      </c>
      <c r="F1164" s="26" t="s">
        <v>23600</v>
      </c>
      <c r="G1164" s="27" t="s">
        <v>7618</v>
      </c>
      <c r="H1164" s="28" t="s">
        <v>7619</v>
      </c>
      <c r="I1164" s="5" t="s">
        <v>197</v>
      </c>
    </row>
    <row r="1165" spans="1:9" ht="51.75" customHeight="1">
      <c r="A1165" s="5" t="s">
        <v>26785</v>
      </c>
      <c r="B1165" s="5" t="s">
        <v>26786</v>
      </c>
      <c r="C1165" s="5" t="s">
        <v>26787</v>
      </c>
      <c r="D1165" s="246">
        <v>41198</v>
      </c>
      <c r="E1165" s="5" t="s">
        <v>26788</v>
      </c>
      <c r="F1165" s="26" t="s">
        <v>25439</v>
      </c>
      <c r="G1165" s="27" t="s">
        <v>7591</v>
      </c>
      <c r="H1165" s="28" t="s">
        <v>7592</v>
      </c>
      <c r="I1165" s="5" t="s">
        <v>197</v>
      </c>
    </row>
    <row r="1166" spans="1:9" ht="51.75" customHeight="1">
      <c r="A1166" s="5" t="s">
        <v>26785</v>
      </c>
      <c r="B1166" s="5" t="s">
        <v>26789</v>
      </c>
      <c r="C1166" s="5" t="s">
        <v>26787</v>
      </c>
      <c r="D1166" s="246">
        <v>41198</v>
      </c>
      <c r="E1166" s="5" t="s">
        <v>26790</v>
      </c>
      <c r="F1166" s="26" t="s">
        <v>23600</v>
      </c>
      <c r="G1166" s="27" t="s">
        <v>7591</v>
      </c>
      <c r="H1166" s="28" t="s">
        <v>7592</v>
      </c>
      <c r="I1166" s="5" t="s">
        <v>197</v>
      </c>
    </row>
    <row r="1167" spans="1:9" ht="51.75" customHeight="1">
      <c r="A1167" s="5" t="s">
        <v>26791</v>
      </c>
      <c r="B1167" s="5" t="s">
        <v>26792</v>
      </c>
      <c r="C1167" s="5" t="s">
        <v>26793</v>
      </c>
      <c r="D1167" s="246">
        <v>41198</v>
      </c>
      <c r="E1167" s="5" t="s">
        <v>26794</v>
      </c>
      <c r="F1167" s="26" t="s">
        <v>25439</v>
      </c>
      <c r="G1167" s="27" t="s">
        <v>7591</v>
      </c>
      <c r="H1167" s="28" t="s">
        <v>7592</v>
      </c>
      <c r="I1167" s="5" t="s">
        <v>197</v>
      </c>
    </row>
    <row r="1168" spans="1:9" ht="51.75" customHeight="1">
      <c r="A1168" s="5" t="s">
        <v>26791</v>
      </c>
      <c r="B1168" s="5" t="s">
        <v>26795</v>
      </c>
      <c r="C1168" s="5" t="s">
        <v>26793</v>
      </c>
      <c r="D1168" s="246">
        <v>41198</v>
      </c>
      <c r="E1168" s="5" t="s">
        <v>26796</v>
      </c>
      <c r="F1168" s="26" t="s">
        <v>23600</v>
      </c>
      <c r="G1168" s="27" t="s">
        <v>7591</v>
      </c>
      <c r="H1168" s="28" t="s">
        <v>7592</v>
      </c>
      <c r="I1168" s="5" t="s">
        <v>197</v>
      </c>
    </row>
    <row r="1169" spans="1:9" ht="51.75" customHeight="1">
      <c r="A1169" s="5" t="s">
        <v>26797</v>
      </c>
      <c r="B1169" s="5" t="s">
        <v>26798</v>
      </c>
      <c r="C1169" s="5" t="s">
        <v>26799</v>
      </c>
      <c r="D1169" s="246">
        <v>41198</v>
      </c>
      <c r="E1169" s="5" t="s">
        <v>26800</v>
      </c>
      <c r="F1169" s="26" t="s">
        <v>25439</v>
      </c>
      <c r="G1169" s="27" t="s">
        <v>7591</v>
      </c>
      <c r="H1169" s="28" t="s">
        <v>7592</v>
      </c>
      <c r="I1169" s="5" t="s">
        <v>197</v>
      </c>
    </row>
    <row r="1170" spans="1:9" ht="51.75" customHeight="1">
      <c r="A1170" s="5" t="s">
        <v>26797</v>
      </c>
      <c r="B1170" s="5" t="s">
        <v>26801</v>
      </c>
      <c r="C1170" s="5" t="s">
        <v>26799</v>
      </c>
      <c r="D1170" s="246">
        <v>41198</v>
      </c>
      <c r="E1170" s="5" t="s">
        <v>26802</v>
      </c>
      <c r="F1170" s="26" t="s">
        <v>23600</v>
      </c>
      <c r="G1170" s="27" t="s">
        <v>7591</v>
      </c>
      <c r="H1170" s="28" t="s">
        <v>7592</v>
      </c>
      <c r="I1170" s="5" t="s">
        <v>197</v>
      </c>
    </row>
    <row r="1171" spans="1:9" ht="51.75" customHeight="1">
      <c r="A1171" s="5" t="s">
        <v>26803</v>
      </c>
      <c r="B1171" s="5" t="s">
        <v>26804</v>
      </c>
      <c r="C1171" s="5" t="s">
        <v>26805</v>
      </c>
      <c r="D1171" s="246">
        <v>41563</v>
      </c>
      <c r="E1171" s="5" t="s">
        <v>26806</v>
      </c>
      <c r="F1171" s="26" t="s">
        <v>25439</v>
      </c>
      <c r="G1171" s="27" t="s">
        <v>7591</v>
      </c>
      <c r="H1171" s="28" t="s">
        <v>7592</v>
      </c>
      <c r="I1171" s="5" t="s">
        <v>197</v>
      </c>
    </row>
    <row r="1172" spans="1:9" ht="51.75" customHeight="1">
      <c r="A1172" s="5" t="s">
        <v>26803</v>
      </c>
      <c r="B1172" s="5" t="s">
        <v>26807</v>
      </c>
      <c r="C1172" s="5" t="s">
        <v>26805</v>
      </c>
      <c r="D1172" s="246">
        <v>41563</v>
      </c>
      <c r="E1172" s="5" t="s">
        <v>26808</v>
      </c>
      <c r="F1172" s="26" t="s">
        <v>23600</v>
      </c>
      <c r="G1172" s="27" t="s">
        <v>7591</v>
      </c>
      <c r="H1172" s="28" t="s">
        <v>7592</v>
      </c>
      <c r="I1172" s="5" t="s">
        <v>197</v>
      </c>
    </row>
    <row r="1173" spans="1:9" ht="51.75" customHeight="1">
      <c r="A1173" s="5" t="s">
        <v>24725</v>
      </c>
      <c r="B1173" s="5" t="s">
        <v>26809</v>
      </c>
      <c r="C1173" s="5" t="s">
        <v>26810</v>
      </c>
      <c r="D1173" s="246">
        <v>41118</v>
      </c>
      <c r="E1173" s="5" t="s">
        <v>26811</v>
      </c>
      <c r="F1173" s="26" t="s">
        <v>25439</v>
      </c>
      <c r="G1173" s="27" t="s">
        <v>7311</v>
      </c>
      <c r="H1173" s="28" t="s">
        <v>7312</v>
      </c>
      <c r="I1173" s="5" t="s">
        <v>197</v>
      </c>
    </row>
    <row r="1174" spans="1:9" ht="51.75" customHeight="1">
      <c r="A1174" s="5" t="s">
        <v>24725</v>
      </c>
      <c r="B1174" s="5" t="s">
        <v>26812</v>
      </c>
      <c r="C1174" s="5" t="s">
        <v>26810</v>
      </c>
      <c r="D1174" s="246">
        <v>41118</v>
      </c>
      <c r="E1174" s="5" t="s">
        <v>26813</v>
      </c>
      <c r="F1174" s="26" t="s">
        <v>23600</v>
      </c>
      <c r="G1174" s="27" t="s">
        <v>7311</v>
      </c>
      <c r="H1174" s="28" t="s">
        <v>7312</v>
      </c>
      <c r="I1174" s="5" t="s">
        <v>197</v>
      </c>
    </row>
    <row r="1175" spans="1:9" ht="51.75" customHeight="1">
      <c r="A1175" s="5" t="s">
        <v>24624</v>
      </c>
      <c r="B1175" s="5" t="s">
        <v>26814</v>
      </c>
      <c r="C1175" s="5" t="s">
        <v>26815</v>
      </c>
      <c r="D1175" s="246">
        <v>41118</v>
      </c>
      <c r="E1175" s="5" t="s">
        <v>26235</v>
      </c>
      <c r="F1175" s="26" t="s">
        <v>25439</v>
      </c>
      <c r="G1175" s="27" t="s">
        <v>7311</v>
      </c>
      <c r="H1175" s="28" t="s">
        <v>7312</v>
      </c>
      <c r="I1175" s="5" t="s">
        <v>197</v>
      </c>
    </row>
    <row r="1176" spans="1:9" ht="51.75" customHeight="1">
      <c r="A1176" s="5" t="s">
        <v>24624</v>
      </c>
      <c r="B1176" s="5" t="s">
        <v>26816</v>
      </c>
      <c r="C1176" s="5" t="s">
        <v>26815</v>
      </c>
      <c r="D1176" s="246">
        <v>41118</v>
      </c>
      <c r="E1176" s="5" t="s">
        <v>26817</v>
      </c>
      <c r="F1176" s="26" t="s">
        <v>23600</v>
      </c>
      <c r="G1176" s="27" t="s">
        <v>7311</v>
      </c>
      <c r="H1176" s="28" t="s">
        <v>7312</v>
      </c>
      <c r="I1176" s="5" t="s">
        <v>197</v>
      </c>
    </row>
    <row r="1177" spans="1:9" ht="51.75" customHeight="1">
      <c r="A1177" s="5" t="s">
        <v>26818</v>
      </c>
      <c r="B1177" s="5" t="s">
        <v>26819</v>
      </c>
      <c r="C1177" s="5" t="s">
        <v>26820</v>
      </c>
      <c r="D1177" s="246">
        <v>41327</v>
      </c>
      <c r="E1177" s="5" t="s">
        <v>26821</v>
      </c>
      <c r="F1177" s="26" t="s">
        <v>25439</v>
      </c>
      <c r="G1177" s="27" t="s">
        <v>8167</v>
      </c>
      <c r="H1177" s="28" t="s">
        <v>8168</v>
      </c>
      <c r="I1177" s="5" t="s">
        <v>197</v>
      </c>
    </row>
    <row r="1178" spans="1:9" ht="51.75" customHeight="1">
      <c r="A1178" s="5" t="s">
        <v>26818</v>
      </c>
      <c r="B1178" s="5" t="s">
        <v>26822</v>
      </c>
      <c r="C1178" s="5" t="s">
        <v>26820</v>
      </c>
      <c r="D1178" s="246">
        <v>41327</v>
      </c>
      <c r="E1178" s="5" t="s">
        <v>26823</v>
      </c>
      <c r="F1178" s="26" t="s">
        <v>23600</v>
      </c>
      <c r="G1178" s="27" t="s">
        <v>8167</v>
      </c>
      <c r="H1178" s="28" t="s">
        <v>8168</v>
      </c>
      <c r="I1178" s="5" t="s">
        <v>197</v>
      </c>
    </row>
    <row r="1179" spans="1:9" ht="51.75" customHeight="1">
      <c r="A1179" s="5" t="s">
        <v>24628</v>
      </c>
      <c r="B1179" s="5" t="s">
        <v>26824</v>
      </c>
      <c r="C1179" s="5" t="s">
        <v>26820</v>
      </c>
      <c r="D1179" s="246">
        <v>41327</v>
      </c>
      <c r="E1179" s="5" t="s">
        <v>26825</v>
      </c>
      <c r="F1179" s="26" t="s">
        <v>25439</v>
      </c>
      <c r="G1179" s="27" t="s">
        <v>8167</v>
      </c>
      <c r="H1179" s="28" t="s">
        <v>8168</v>
      </c>
      <c r="I1179" s="5" t="s">
        <v>197</v>
      </c>
    </row>
    <row r="1180" spans="1:9" ht="51.75" customHeight="1">
      <c r="A1180" s="5" t="s">
        <v>24628</v>
      </c>
      <c r="B1180" s="5" t="s">
        <v>26826</v>
      </c>
      <c r="C1180" s="5" t="s">
        <v>26820</v>
      </c>
      <c r="D1180" s="246">
        <v>41327</v>
      </c>
      <c r="E1180" s="5" t="s">
        <v>26827</v>
      </c>
      <c r="F1180" s="26" t="s">
        <v>23600</v>
      </c>
      <c r="G1180" s="27" t="s">
        <v>8167</v>
      </c>
      <c r="H1180" s="28" t="s">
        <v>8168</v>
      </c>
      <c r="I1180" s="5" t="s">
        <v>197</v>
      </c>
    </row>
    <row r="1181" spans="1:9" ht="51.75" customHeight="1">
      <c r="A1181" s="5" t="s">
        <v>26828</v>
      </c>
      <c r="B1181" s="5" t="s">
        <v>26829</v>
      </c>
      <c r="C1181" s="5" t="s">
        <v>26830</v>
      </c>
      <c r="D1181" s="246">
        <v>41247</v>
      </c>
      <c r="E1181" s="5" t="s">
        <v>26831</v>
      </c>
      <c r="F1181" s="26" t="s">
        <v>25439</v>
      </c>
      <c r="G1181" s="27" t="s">
        <v>8001</v>
      </c>
      <c r="H1181" s="28" t="s">
        <v>8002</v>
      </c>
      <c r="I1181" s="5" t="s">
        <v>197</v>
      </c>
    </row>
    <row r="1182" spans="1:9" ht="51.75" customHeight="1">
      <c r="A1182" s="5" t="s">
        <v>26828</v>
      </c>
      <c r="B1182" s="5" t="s">
        <v>26832</v>
      </c>
      <c r="C1182" s="5" t="s">
        <v>26830</v>
      </c>
      <c r="D1182" s="246">
        <v>41247</v>
      </c>
      <c r="E1182" s="5" t="s">
        <v>26833</v>
      </c>
      <c r="F1182" s="26" t="s">
        <v>23600</v>
      </c>
      <c r="G1182" s="27" t="s">
        <v>8001</v>
      </c>
      <c r="H1182" s="28" t="s">
        <v>8002</v>
      </c>
      <c r="I1182" s="5" t="s">
        <v>197</v>
      </c>
    </row>
    <row r="1183" spans="1:9" ht="51.75" customHeight="1">
      <c r="A1183" s="5" t="s">
        <v>23724</v>
      </c>
      <c r="B1183" s="5" t="s">
        <v>26834</v>
      </c>
      <c r="C1183" s="5" t="s">
        <v>26835</v>
      </c>
      <c r="D1183" s="246">
        <v>41247</v>
      </c>
      <c r="E1183" s="5" t="s">
        <v>26835</v>
      </c>
      <c r="F1183" s="26" t="s">
        <v>25439</v>
      </c>
      <c r="G1183" s="27" t="s">
        <v>8001</v>
      </c>
      <c r="H1183" s="28" t="s">
        <v>8002</v>
      </c>
      <c r="I1183" s="5" t="s">
        <v>197</v>
      </c>
    </row>
    <row r="1184" spans="1:9" ht="51.75" customHeight="1">
      <c r="A1184" s="5" t="s">
        <v>23724</v>
      </c>
      <c r="B1184" s="5" t="s">
        <v>26836</v>
      </c>
      <c r="C1184" s="5" t="s">
        <v>26835</v>
      </c>
      <c r="D1184" s="246">
        <v>41247</v>
      </c>
      <c r="E1184" s="5" t="s">
        <v>26837</v>
      </c>
      <c r="F1184" s="26" t="s">
        <v>23600</v>
      </c>
      <c r="G1184" s="27" t="s">
        <v>8001</v>
      </c>
      <c r="H1184" s="28" t="s">
        <v>8002</v>
      </c>
      <c r="I1184" s="5" t="s">
        <v>197</v>
      </c>
    </row>
    <row r="1185" spans="1:9" ht="51.75" customHeight="1">
      <c r="A1185" s="5" t="s">
        <v>23692</v>
      </c>
      <c r="B1185" s="5" t="s">
        <v>26838</v>
      </c>
      <c r="C1185" s="5" t="s">
        <v>26839</v>
      </c>
      <c r="D1185" s="246">
        <v>41247</v>
      </c>
      <c r="E1185" s="5" t="s">
        <v>26840</v>
      </c>
      <c r="F1185" s="26" t="s">
        <v>25439</v>
      </c>
      <c r="G1185" s="27" t="s">
        <v>8001</v>
      </c>
      <c r="H1185" s="28" t="s">
        <v>8002</v>
      </c>
      <c r="I1185" s="5" t="s">
        <v>197</v>
      </c>
    </row>
    <row r="1186" spans="1:9" ht="51.75" customHeight="1">
      <c r="A1186" s="5" t="s">
        <v>23692</v>
      </c>
      <c r="B1186" s="5" t="s">
        <v>26841</v>
      </c>
      <c r="C1186" s="5" t="s">
        <v>26839</v>
      </c>
      <c r="D1186" s="246">
        <v>41247</v>
      </c>
      <c r="E1186" s="5" t="s">
        <v>26842</v>
      </c>
      <c r="F1186" s="26" t="s">
        <v>23600</v>
      </c>
      <c r="G1186" s="27" t="s">
        <v>8001</v>
      </c>
      <c r="H1186" s="28" t="s">
        <v>8002</v>
      </c>
      <c r="I1186" s="5" t="s">
        <v>197</v>
      </c>
    </row>
    <row r="1187" spans="1:9" ht="51.75" customHeight="1">
      <c r="A1187" s="5" t="s">
        <v>23601</v>
      </c>
      <c r="B1187" s="5" t="s">
        <v>26843</v>
      </c>
      <c r="C1187" s="5" t="s">
        <v>26844</v>
      </c>
      <c r="D1187" s="246">
        <v>41247</v>
      </c>
      <c r="E1187" s="5" t="s">
        <v>26845</v>
      </c>
      <c r="F1187" s="26" t="s">
        <v>25439</v>
      </c>
      <c r="G1187" s="27" t="s">
        <v>8001</v>
      </c>
      <c r="H1187" s="28" t="s">
        <v>8002</v>
      </c>
      <c r="I1187" s="5" t="s">
        <v>197</v>
      </c>
    </row>
    <row r="1188" spans="1:9" ht="51.75" customHeight="1">
      <c r="A1188" s="5" t="s">
        <v>23601</v>
      </c>
      <c r="B1188" s="5" t="s">
        <v>26846</v>
      </c>
      <c r="C1188" s="5" t="s">
        <v>26844</v>
      </c>
      <c r="D1188" s="246">
        <v>41247</v>
      </c>
      <c r="E1188" s="5" t="s">
        <v>26847</v>
      </c>
      <c r="F1188" s="26" t="s">
        <v>23600</v>
      </c>
      <c r="G1188" s="27" t="s">
        <v>8001</v>
      </c>
      <c r="H1188" s="28" t="s">
        <v>8002</v>
      </c>
      <c r="I1188" s="5" t="s">
        <v>197</v>
      </c>
    </row>
    <row r="1189" spans="1:9" ht="51.75" customHeight="1">
      <c r="A1189" s="5" t="s">
        <v>26848</v>
      </c>
      <c r="B1189" s="5" t="s">
        <v>26849</v>
      </c>
      <c r="C1189" s="5" t="s">
        <v>26850</v>
      </c>
      <c r="D1189" s="246">
        <v>41247</v>
      </c>
      <c r="E1189" s="5" t="s">
        <v>26851</v>
      </c>
      <c r="F1189" s="26" t="s">
        <v>25439</v>
      </c>
      <c r="G1189" s="27" t="s">
        <v>8001</v>
      </c>
      <c r="H1189" s="28" t="s">
        <v>8002</v>
      </c>
      <c r="I1189" s="5" t="s">
        <v>197</v>
      </c>
    </row>
    <row r="1190" spans="1:9" ht="51.75" customHeight="1">
      <c r="A1190" s="5" t="s">
        <v>26848</v>
      </c>
      <c r="B1190" s="5" t="s">
        <v>26852</v>
      </c>
      <c r="C1190" s="5" t="s">
        <v>26850</v>
      </c>
      <c r="D1190" s="246">
        <v>41247</v>
      </c>
      <c r="E1190" s="5" t="s">
        <v>26853</v>
      </c>
      <c r="F1190" s="26" t="s">
        <v>23600</v>
      </c>
      <c r="G1190" s="27" t="s">
        <v>8001</v>
      </c>
      <c r="H1190" s="28" t="s">
        <v>8002</v>
      </c>
      <c r="I1190" s="5" t="s">
        <v>197</v>
      </c>
    </row>
    <row r="1191" spans="1:9" ht="51.75" customHeight="1">
      <c r="A1191" s="5" t="s">
        <v>25278</v>
      </c>
      <c r="B1191" s="5" t="s">
        <v>26854</v>
      </c>
      <c r="C1191" s="5" t="s">
        <v>26855</v>
      </c>
      <c r="D1191" s="246">
        <v>41536</v>
      </c>
      <c r="E1191" s="5" t="s">
        <v>26856</v>
      </c>
      <c r="F1191" s="26" t="s">
        <v>25439</v>
      </c>
      <c r="G1191" s="27" t="s">
        <v>8219</v>
      </c>
      <c r="H1191" s="28" t="s">
        <v>8220</v>
      </c>
      <c r="I1191" s="5" t="s">
        <v>197</v>
      </c>
    </row>
    <row r="1192" spans="1:9" ht="51.75" customHeight="1">
      <c r="A1192" s="5" t="s">
        <v>25278</v>
      </c>
      <c r="B1192" s="5" t="s">
        <v>26857</v>
      </c>
      <c r="C1192" s="5" t="s">
        <v>26855</v>
      </c>
      <c r="D1192" s="246">
        <v>41536</v>
      </c>
      <c r="E1192" s="5" t="s">
        <v>26858</v>
      </c>
      <c r="F1192" s="26" t="s">
        <v>23600</v>
      </c>
      <c r="G1192" s="27" t="s">
        <v>8219</v>
      </c>
      <c r="H1192" s="28" t="s">
        <v>8220</v>
      </c>
      <c r="I1192" s="5" t="s">
        <v>197</v>
      </c>
    </row>
    <row r="1193" spans="1:9" ht="51.75" customHeight="1">
      <c r="A1193" s="5" t="s">
        <v>25284</v>
      </c>
      <c r="B1193" s="5" t="s">
        <v>26859</v>
      </c>
      <c r="C1193" s="5" t="s">
        <v>26860</v>
      </c>
      <c r="D1193" s="246">
        <v>41536</v>
      </c>
      <c r="E1193" s="5" t="s">
        <v>26861</v>
      </c>
      <c r="F1193" s="26" t="s">
        <v>25439</v>
      </c>
      <c r="G1193" s="27" t="s">
        <v>8219</v>
      </c>
      <c r="H1193" s="28" t="s">
        <v>8220</v>
      </c>
      <c r="I1193" s="5" t="s">
        <v>197</v>
      </c>
    </row>
    <row r="1194" spans="1:9" ht="51.75" customHeight="1">
      <c r="A1194" s="5" t="s">
        <v>25284</v>
      </c>
      <c r="B1194" s="5" t="s">
        <v>26862</v>
      </c>
      <c r="C1194" s="5" t="s">
        <v>26860</v>
      </c>
      <c r="D1194" s="246">
        <v>41536</v>
      </c>
      <c r="E1194" s="5" t="s">
        <v>26863</v>
      </c>
      <c r="F1194" s="26" t="s">
        <v>23600</v>
      </c>
      <c r="G1194" s="27" t="s">
        <v>8219</v>
      </c>
      <c r="H1194" s="28" t="s">
        <v>8220</v>
      </c>
      <c r="I1194" s="5" t="s">
        <v>197</v>
      </c>
    </row>
    <row r="1195" spans="1:9" ht="51.75" customHeight="1">
      <c r="A1195" s="5" t="s">
        <v>23968</v>
      </c>
      <c r="B1195" s="5" t="s">
        <v>26864</v>
      </c>
      <c r="C1195" s="5" t="s">
        <v>26865</v>
      </c>
      <c r="D1195" s="246">
        <v>41536</v>
      </c>
      <c r="E1195" s="5" t="s">
        <v>26866</v>
      </c>
      <c r="F1195" s="26" t="s">
        <v>25439</v>
      </c>
      <c r="G1195" s="27" t="s">
        <v>8219</v>
      </c>
      <c r="H1195" s="28" t="s">
        <v>8220</v>
      </c>
      <c r="I1195" s="5" t="s">
        <v>197</v>
      </c>
    </row>
    <row r="1196" spans="1:9" ht="51.75" customHeight="1">
      <c r="A1196" s="5" t="s">
        <v>23968</v>
      </c>
      <c r="B1196" s="5" t="s">
        <v>26867</v>
      </c>
      <c r="C1196" s="5" t="s">
        <v>26865</v>
      </c>
      <c r="D1196" s="246">
        <v>41536</v>
      </c>
      <c r="E1196" s="5" t="s">
        <v>26868</v>
      </c>
      <c r="F1196" s="26" t="s">
        <v>23600</v>
      </c>
      <c r="G1196" s="27" t="s">
        <v>8219</v>
      </c>
      <c r="H1196" s="28" t="s">
        <v>8220</v>
      </c>
      <c r="I1196" s="5" t="s">
        <v>197</v>
      </c>
    </row>
    <row r="1197" spans="1:9" ht="51.75" customHeight="1">
      <c r="A1197" s="5" t="s">
        <v>25218</v>
      </c>
      <c r="B1197" s="5" t="s">
        <v>26869</v>
      </c>
      <c r="C1197" s="5" t="s">
        <v>26870</v>
      </c>
      <c r="D1197" s="246">
        <v>41536</v>
      </c>
      <c r="E1197" s="5" t="s">
        <v>26871</v>
      </c>
      <c r="F1197" s="26" t="s">
        <v>25439</v>
      </c>
      <c r="G1197" s="27" t="s">
        <v>8219</v>
      </c>
      <c r="H1197" s="28" t="s">
        <v>8220</v>
      </c>
      <c r="I1197" s="5" t="s">
        <v>197</v>
      </c>
    </row>
    <row r="1198" spans="1:9" ht="51.75" customHeight="1">
      <c r="A1198" s="5" t="s">
        <v>25218</v>
      </c>
      <c r="B1198" s="5" t="s">
        <v>26872</v>
      </c>
      <c r="C1198" s="5" t="s">
        <v>26870</v>
      </c>
      <c r="D1198" s="246">
        <v>41536</v>
      </c>
      <c r="E1198" s="5" t="s">
        <v>26873</v>
      </c>
      <c r="F1198" s="26" t="s">
        <v>23600</v>
      </c>
      <c r="G1198" s="27" t="s">
        <v>8219</v>
      </c>
      <c r="H1198" s="28" t="s">
        <v>8220</v>
      </c>
      <c r="I1198" s="5" t="s">
        <v>197</v>
      </c>
    </row>
    <row r="1199" spans="1:9" ht="51.75" customHeight="1">
      <c r="A1199" s="5" t="s">
        <v>25223</v>
      </c>
      <c r="B1199" s="5" t="s">
        <v>26874</v>
      </c>
      <c r="C1199" s="5" t="s">
        <v>26875</v>
      </c>
      <c r="D1199" s="246">
        <v>41536</v>
      </c>
      <c r="E1199" s="5" t="s">
        <v>26876</v>
      </c>
      <c r="F1199" s="26" t="s">
        <v>25439</v>
      </c>
      <c r="G1199" s="27" t="s">
        <v>8219</v>
      </c>
      <c r="H1199" s="28" t="s">
        <v>8220</v>
      </c>
      <c r="I1199" s="5" t="s">
        <v>197</v>
      </c>
    </row>
    <row r="1200" spans="1:9" ht="51.75" customHeight="1">
      <c r="A1200" s="5" t="s">
        <v>25223</v>
      </c>
      <c r="B1200" s="5" t="s">
        <v>26877</v>
      </c>
      <c r="C1200" s="5" t="s">
        <v>26875</v>
      </c>
      <c r="D1200" s="246">
        <v>41536</v>
      </c>
      <c r="E1200" s="5" t="s">
        <v>26878</v>
      </c>
      <c r="F1200" s="26" t="s">
        <v>23600</v>
      </c>
      <c r="G1200" s="27" t="s">
        <v>8219</v>
      </c>
      <c r="H1200" s="28" t="s">
        <v>8220</v>
      </c>
      <c r="I1200" s="5" t="s">
        <v>197</v>
      </c>
    </row>
    <row r="1201" spans="1:9" ht="51.75" customHeight="1">
      <c r="A1201" s="5" t="s">
        <v>26879</v>
      </c>
      <c r="B1201" s="5" t="s">
        <v>26880</v>
      </c>
      <c r="C1201" s="5" t="s">
        <v>26881</v>
      </c>
      <c r="D1201" s="246">
        <v>41536</v>
      </c>
      <c r="E1201" s="5" t="s">
        <v>26882</v>
      </c>
      <c r="F1201" s="26" t="s">
        <v>25439</v>
      </c>
      <c r="G1201" s="27" t="s">
        <v>8219</v>
      </c>
      <c r="H1201" s="28" t="s">
        <v>8220</v>
      </c>
      <c r="I1201" s="5" t="s">
        <v>197</v>
      </c>
    </row>
    <row r="1202" spans="1:9" ht="51.75" customHeight="1">
      <c r="A1202" s="5" t="s">
        <v>26879</v>
      </c>
      <c r="B1202" s="5" t="s">
        <v>26883</v>
      </c>
      <c r="C1202" s="5" t="s">
        <v>26881</v>
      </c>
      <c r="D1202" s="246">
        <v>41536</v>
      </c>
      <c r="E1202" s="5" t="s">
        <v>26884</v>
      </c>
      <c r="F1202" s="26" t="s">
        <v>23600</v>
      </c>
      <c r="G1202" s="27" t="s">
        <v>8219</v>
      </c>
      <c r="H1202" s="28" t="s">
        <v>8220</v>
      </c>
      <c r="I1202" s="5" t="s">
        <v>197</v>
      </c>
    </row>
    <row r="1203" spans="1:9" ht="51.75" customHeight="1">
      <c r="A1203" s="5" t="s">
        <v>26885</v>
      </c>
      <c r="B1203" s="5" t="s">
        <v>26886</v>
      </c>
      <c r="C1203" s="5" t="s">
        <v>26887</v>
      </c>
      <c r="D1203" s="246">
        <v>41536</v>
      </c>
      <c r="E1203" s="5" t="s">
        <v>26888</v>
      </c>
      <c r="F1203" s="26" t="s">
        <v>25439</v>
      </c>
      <c r="G1203" s="27" t="s">
        <v>8219</v>
      </c>
      <c r="H1203" s="28" t="s">
        <v>8220</v>
      </c>
      <c r="I1203" s="5" t="s">
        <v>197</v>
      </c>
    </row>
    <row r="1204" spans="1:9" ht="51.75" customHeight="1">
      <c r="A1204" s="5" t="s">
        <v>26885</v>
      </c>
      <c r="B1204" s="5" t="s">
        <v>26889</v>
      </c>
      <c r="C1204" s="5" t="s">
        <v>26887</v>
      </c>
      <c r="D1204" s="246">
        <v>41536</v>
      </c>
      <c r="E1204" s="5" t="s">
        <v>26890</v>
      </c>
      <c r="F1204" s="26" t="s">
        <v>23600</v>
      </c>
      <c r="G1204" s="27" t="s">
        <v>8219</v>
      </c>
      <c r="H1204" s="28" t="s">
        <v>8220</v>
      </c>
      <c r="I1204" s="5" t="s">
        <v>197</v>
      </c>
    </row>
    <row r="1205" spans="1:9" ht="51.75" customHeight="1">
      <c r="A1205" s="5" t="s">
        <v>25074</v>
      </c>
      <c r="B1205" s="5" t="s">
        <v>26891</v>
      </c>
      <c r="C1205" s="5" t="s">
        <v>26892</v>
      </c>
      <c r="D1205" s="246">
        <v>41995</v>
      </c>
      <c r="E1205" s="5" t="s">
        <v>26674</v>
      </c>
      <c r="F1205" s="26" t="s">
        <v>25439</v>
      </c>
      <c r="G1205" s="27" t="s">
        <v>9224</v>
      </c>
      <c r="H1205" s="28" t="s">
        <v>9225</v>
      </c>
      <c r="I1205" s="5" t="s">
        <v>197</v>
      </c>
    </row>
    <row r="1206" spans="1:9" ht="51.75" customHeight="1">
      <c r="A1206" s="5" t="s">
        <v>25074</v>
      </c>
      <c r="B1206" s="5" t="s">
        <v>26893</v>
      </c>
      <c r="C1206" s="5" t="s">
        <v>26892</v>
      </c>
      <c r="D1206" s="246">
        <v>41995</v>
      </c>
      <c r="E1206" s="5" t="s">
        <v>26894</v>
      </c>
      <c r="F1206" s="26" t="s">
        <v>23600</v>
      </c>
      <c r="G1206" s="27" t="s">
        <v>9224</v>
      </c>
      <c r="H1206" s="28" t="s">
        <v>9225</v>
      </c>
      <c r="I1206" s="5" t="s">
        <v>197</v>
      </c>
    </row>
    <row r="1207" spans="1:9" ht="51.75" customHeight="1">
      <c r="A1207" s="5" t="s">
        <v>25078</v>
      </c>
      <c r="B1207" s="5" t="s">
        <v>26895</v>
      </c>
      <c r="C1207" s="5" t="s">
        <v>26892</v>
      </c>
      <c r="D1207" s="246">
        <v>41995</v>
      </c>
      <c r="E1207" s="5" t="s">
        <v>26678</v>
      </c>
      <c r="F1207" s="26" t="s">
        <v>25439</v>
      </c>
      <c r="G1207" s="27" t="s">
        <v>9224</v>
      </c>
      <c r="H1207" s="28" t="s">
        <v>9225</v>
      </c>
      <c r="I1207" s="5" t="s">
        <v>197</v>
      </c>
    </row>
    <row r="1208" spans="1:9" ht="51.75" customHeight="1">
      <c r="A1208" s="5" t="s">
        <v>25078</v>
      </c>
      <c r="B1208" s="5" t="s">
        <v>26896</v>
      </c>
      <c r="C1208" s="5" t="s">
        <v>26892</v>
      </c>
      <c r="D1208" s="246">
        <v>41995</v>
      </c>
      <c r="E1208" s="5" t="s">
        <v>26897</v>
      </c>
      <c r="F1208" s="26" t="s">
        <v>23600</v>
      </c>
      <c r="G1208" s="27" t="s">
        <v>9224</v>
      </c>
      <c r="H1208" s="28" t="s">
        <v>9225</v>
      </c>
      <c r="I1208" s="5" t="s">
        <v>197</v>
      </c>
    </row>
    <row r="1209" spans="1:9" ht="51.75" customHeight="1">
      <c r="A1209" s="5" t="s">
        <v>26232</v>
      </c>
      <c r="B1209" s="5" t="s">
        <v>26898</v>
      </c>
      <c r="C1209" s="5" t="s">
        <v>26682</v>
      </c>
      <c r="D1209" s="246">
        <v>41995</v>
      </c>
      <c r="E1209" s="5" t="s">
        <v>26899</v>
      </c>
      <c r="F1209" s="26" t="s">
        <v>25439</v>
      </c>
      <c r="G1209" s="27" t="s">
        <v>9224</v>
      </c>
      <c r="H1209" s="28" t="s">
        <v>9225</v>
      </c>
      <c r="I1209" s="5" t="s">
        <v>197</v>
      </c>
    </row>
    <row r="1210" spans="1:9" ht="51.75" customHeight="1">
      <c r="A1210" s="5" t="s">
        <v>26232</v>
      </c>
      <c r="B1210" s="5" t="s">
        <v>26900</v>
      </c>
      <c r="C1210" s="5" t="s">
        <v>26682</v>
      </c>
      <c r="D1210" s="246">
        <v>41995</v>
      </c>
      <c r="E1210" s="5" t="s">
        <v>26901</v>
      </c>
      <c r="F1210" s="26" t="s">
        <v>23600</v>
      </c>
      <c r="G1210" s="27" t="s">
        <v>9224</v>
      </c>
      <c r="H1210" s="28" t="s">
        <v>9225</v>
      </c>
      <c r="I1210" s="5" t="s">
        <v>197</v>
      </c>
    </row>
    <row r="1211" spans="1:9" ht="51.75" customHeight="1">
      <c r="A1211" s="5" t="s">
        <v>26902</v>
      </c>
      <c r="B1211" s="5" t="s">
        <v>26903</v>
      </c>
      <c r="C1211" s="5" t="s">
        <v>26904</v>
      </c>
      <c r="D1211" s="246">
        <v>41995</v>
      </c>
      <c r="E1211" s="5" t="s">
        <v>26905</v>
      </c>
      <c r="F1211" s="26" t="s">
        <v>25439</v>
      </c>
      <c r="G1211" s="27" t="s">
        <v>9224</v>
      </c>
      <c r="H1211" s="28" t="s">
        <v>9225</v>
      </c>
      <c r="I1211" s="5" t="s">
        <v>197</v>
      </c>
    </row>
    <row r="1212" spans="1:9" ht="51.75" customHeight="1">
      <c r="A1212" s="5" t="s">
        <v>26902</v>
      </c>
      <c r="B1212" s="5" t="s">
        <v>26906</v>
      </c>
      <c r="C1212" s="5" t="s">
        <v>26904</v>
      </c>
      <c r="D1212" s="246">
        <v>41995</v>
      </c>
      <c r="E1212" s="5" t="s">
        <v>26907</v>
      </c>
      <c r="F1212" s="26" t="s">
        <v>23600</v>
      </c>
      <c r="G1212" s="27" t="s">
        <v>9224</v>
      </c>
      <c r="H1212" s="28" t="s">
        <v>9225</v>
      </c>
      <c r="I1212" s="5" t="s">
        <v>197</v>
      </c>
    </row>
    <row r="1213" spans="1:9" ht="51.75" customHeight="1">
      <c r="A1213" s="5" t="s">
        <v>26310</v>
      </c>
      <c r="B1213" s="5" t="s">
        <v>26908</v>
      </c>
      <c r="C1213" s="5" t="s">
        <v>26240</v>
      </c>
      <c r="D1213" s="246">
        <v>41099</v>
      </c>
      <c r="E1213" s="5" t="s">
        <v>26909</v>
      </c>
      <c r="F1213" s="26" t="s">
        <v>25439</v>
      </c>
      <c r="G1213" s="27" t="s">
        <v>7253</v>
      </c>
      <c r="H1213" s="28" t="s">
        <v>7254</v>
      </c>
      <c r="I1213" s="5" t="s">
        <v>197</v>
      </c>
    </row>
    <row r="1214" spans="1:9" ht="51.75" customHeight="1">
      <c r="A1214" s="5" t="s">
        <v>26310</v>
      </c>
      <c r="B1214" s="5" t="s">
        <v>26910</v>
      </c>
      <c r="C1214" s="5" t="s">
        <v>26240</v>
      </c>
      <c r="D1214" s="246">
        <v>41099</v>
      </c>
      <c r="E1214" s="5" t="s">
        <v>26911</v>
      </c>
      <c r="F1214" s="26" t="s">
        <v>23600</v>
      </c>
      <c r="G1214" s="27" t="s">
        <v>7253</v>
      </c>
      <c r="H1214" s="28" t="s">
        <v>7254</v>
      </c>
      <c r="I1214" s="5" t="s">
        <v>197</v>
      </c>
    </row>
    <row r="1215" spans="1:9" ht="51.75" customHeight="1">
      <c r="A1215" s="5" t="s">
        <v>26265</v>
      </c>
      <c r="B1215" s="5" t="s">
        <v>26912</v>
      </c>
      <c r="C1215" s="5" t="s">
        <v>26913</v>
      </c>
      <c r="D1215" s="246">
        <v>41247</v>
      </c>
      <c r="E1215" s="5" t="s">
        <v>26914</v>
      </c>
      <c r="F1215" s="26" t="s">
        <v>25439</v>
      </c>
      <c r="G1215" s="27" t="s">
        <v>7958</v>
      </c>
      <c r="H1215" s="28" t="s">
        <v>7959</v>
      </c>
      <c r="I1215" s="5" t="s">
        <v>197</v>
      </c>
    </row>
    <row r="1216" spans="1:9" ht="51.75" customHeight="1">
      <c r="A1216" s="5" t="s">
        <v>26265</v>
      </c>
      <c r="B1216" s="5" t="s">
        <v>26915</v>
      </c>
      <c r="C1216" s="5" t="s">
        <v>26913</v>
      </c>
      <c r="D1216" s="246">
        <v>41247</v>
      </c>
      <c r="E1216" s="5" t="s">
        <v>26916</v>
      </c>
      <c r="F1216" s="26" t="s">
        <v>23600</v>
      </c>
      <c r="G1216" s="27" t="s">
        <v>7958</v>
      </c>
      <c r="H1216" s="28" t="s">
        <v>7959</v>
      </c>
      <c r="I1216" s="5" t="s">
        <v>197</v>
      </c>
    </row>
    <row r="1217" spans="1:9" ht="51.75" customHeight="1">
      <c r="A1217" s="5" t="s">
        <v>26000</v>
      </c>
      <c r="B1217" s="5" t="s">
        <v>26917</v>
      </c>
      <c r="C1217" s="5" t="s">
        <v>26918</v>
      </c>
      <c r="D1217" s="246">
        <v>41360</v>
      </c>
      <c r="E1217" s="5" t="s">
        <v>26919</v>
      </c>
      <c r="F1217" s="26" t="s">
        <v>25439</v>
      </c>
      <c r="G1217" s="27" t="s">
        <v>7979</v>
      </c>
      <c r="H1217" s="28" t="s">
        <v>7980</v>
      </c>
      <c r="I1217" s="5" t="s">
        <v>197</v>
      </c>
    </row>
    <row r="1218" spans="1:9" ht="51.75" customHeight="1">
      <c r="A1218" s="5" t="s">
        <v>26000</v>
      </c>
      <c r="B1218" s="5" t="s">
        <v>26920</v>
      </c>
      <c r="C1218" s="5" t="s">
        <v>26918</v>
      </c>
      <c r="D1218" s="246">
        <v>41360</v>
      </c>
      <c r="E1218" s="5" t="s">
        <v>26921</v>
      </c>
      <c r="F1218" s="26" t="s">
        <v>23600</v>
      </c>
      <c r="G1218" s="27" t="s">
        <v>7979</v>
      </c>
      <c r="H1218" s="28" t="s">
        <v>7980</v>
      </c>
      <c r="I1218" s="5" t="s">
        <v>197</v>
      </c>
    </row>
    <row r="1219" spans="1:9" ht="51.75" customHeight="1">
      <c r="A1219" s="5" t="s">
        <v>26005</v>
      </c>
      <c r="B1219" s="5" t="s">
        <v>26922</v>
      </c>
      <c r="C1219" s="5" t="s">
        <v>26923</v>
      </c>
      <c r="D1219" s="246">
        <v>41360</v>
      </c>
      <c r="E1219" s="5" t="s">
        <v>26924</v>
      </c>
      <c r="F1219" s="26" t="s">
        <v>25439</v>
      </c>
      <c r="G1219" s="27" t="s">
        <v>7979</v>
      </c>
      <c r="H1219" s="28" t="s">
        <v>7980</v>
      </c>
      <c r="I1219" s="5" t="s">
        <v>197</v>
      </c>
    </row>
    <row r="1220" spans="1:9" ht="51.75" customHeight="1">
      <c r="A1220" s="5" t="s">
        <v>26005</v>
      </c>
      <c r="B1220" s="5" t="s">
        <v>26925</v>
      </c>
      <c r="C1220" s="5" t="s">
        <v>26923</v>
      </c>
      <c r="D1220" s="246">
        <v>41360</v>
      </c>
      <c r="E1220" s="5" t="s">
        <v>26926</v>
      </c>
      <c r="F1220" s="26" t="s">
        <v>23600</v>
      </c>
      <c r="G1220" s="27" t="s">
        <v>7979</v>
      </c>
      <c r="H1220" s="28" t="s">
        <v>7980</v>
      </c>
      <c r="I1220" s="5" t="s">
        <v>197</v>
      </c>
    </row>
    <row r="1221" spans="1:9" ht="51.75" customHeight="1">
      <c r="A1221" s="5" t="s">
        <v>26010</v>
      </c>
      <c r="B1221" s="5" t="s">
        <v>26927</v>
      </c>
      <c r="C1221" s="5" t="s">
        <v>26928</v>
      </c>
      <c r="D1221" s="246">
        <v>41360</v>
      </c>
      <c r="E1221" s="5" t="s">
        <v>26929</v>
      </c>
      <c r="F1221" s="26" t="s">
        <v>25439</v>
      </c>
      <c r="G1221" s="27" t="s">
        <v>7979</v>
      </c>
      <c r="H1221" s="28" t="s">
        <v>7980</v>
      </c>
      <c r="I1221" s="5" t="s">
        <v>197</v>
      </c>
    </row>
    <row r="1222" spans="1:9" ht="51.75" customHeight="1">
      <c r="A1222" s="5" t="s">
        <v>26010</v>
      </c>
      <c r="B1222" s="5" t="s">
        <v>26930</v>
      </c>
      <c r="C1222" s="5" t="s">
        <v>26928</v>
      </c>
      <c r="D1222" s="246">
        <v>41360</v>
      </c>
      <c r="E1222" s="5" t="s">
        <v>26931</v>
      </c>
      <c r="F1222" s="26" t="s">
        <v>23600</v>
      </c>
      <c r="G1222" s="27" t="s">
        <v>7979</v>
      </c>
      <c r="H1222" s="28" t="s">
        <v>7980</v>
      </c>
      <c r="I1222" s="5" t="s">
        <v>197</v>
      </c>
    </row>
    <row r="1223" spans="1:9" ht="51.75" customHeight="1">
      <c r="A1223" s="5" t="s">
        <v>26030</v>
      </c>
      <c r="B1223" s="5" t="s">
        <v>26932</v>
      </c>
      <c r="C1223" s="5" t="s">
        <v>26933</v>
      </c>
      <c r="D1223" s="246">
        <v>41360</v>
      </c>
      <c r="E1223" s="5" t="s">
        <v>26934</v>
      </c>
      <c r="F1223" s="26" t="s">
        <v>25439</v>
      </c>
      <c r="G1223" s="27" t="s">
        <v>7979</v>
      </c>
      <c r="H1223" s="28" t="s">
        <v>7980</v>
      </c>
      <c r="I1223" s="5" t="s">
        <v>197</v>
      </c>
    </row>
    <row r="1224" spans="1:9" ht="51.75" customHeight="1">
      <c r="A1224" s="5" t="s">
        <v>26030</v>
      </c>
      <c r="B1224" s="5" t="s">
        <v>26935</v>
      </c>
      <c r="C1224" s="5" t="s">
        <v>26933</v>
      </c>
      <c r="D1224" s="246">
        <v>41360</v>
      </c>
      <c r="E1224" s="5" t="s">
        <v>26936</v>
      </c>
      <c r="F1224" s="26" t="s">
        <v>23600</v>
      </c>
      <c r="G1224" s="27" t="s">
        <v>7979</v>
      </c>
      <c r="H1224" s="28" t="s">
        <v>7980</v>
      </c>
      <c r="I1224" s="5" t="s">
        <v>197</v>
      </c>
    </row>
    <row r="1225" spans="1:9" ht="51.75" customHeight="1">
      <c r="A1225" s="5" t="s">
        <v>23768</v>
      </c>
      <c r="B1225" s="5" t="s">
        <v>26937</v>
      </c>
      <c r="C1225" s="5" t="s">
        <v>26938</v>
      </c>
      <c r="D1225" s="246">
        <v>41360</v>
      </c>
      <c r="E1225" s="5" t="s">
        <v>26939</v>
      </c>
      <c r="F1225" s="26" t="s">
        <v>25439</v>
      </c>
      <c r="G1225" s="27" t="s">
        <v>7979</v>
      </c>
      <c r="H1225" s="28" t="s">
        <v>7980</v>
      </c>
      <c r="I1225" s="5" t="s">
        <v>197</v>
      </c>
    </row>
    <row r="1226" spans="1:9" ht="51.75" customHeight="1">
      <c r="A1226" s="5" t="s">
        <v>23768</v>
      </c>
      <c r="B1226" s="5" t="s">
        <v>26940</v>
      </c>
      <c r="C1226" s="5" t="s">
        <v>26938</v>
      </c>
      <c r="D1226" s="246">
        <v>41360</v>
      </c>
      <c r="E1226" s="5" t="s">
        <v>26941</v>
      </c>
      <c r="F1226" s="26" t="s">
        <v>23600</v>
      </c>
      <c r="G1226" s="27" t="s">
        <v>7979</v>
      </c>
      <c r="H1226" s="28" t="s">
        <v>7980</v>
      </c>
      <c r="I1226" s="5" t="s">
        <v>197</v>
      </c>
    </row>
    <row r="1227" spans="1:9" ht="51.75" customHeight="1">
      <c r="A1227" s="5" t="s">
        <v>25141</v>
      </c>
      <c r="B1227" s="5" t="s">
        <v>26942</v>
      </c>
      <c r="C1227" s="5" t="s">
        <v>26943</v>
      </c>
      <c r="D1227" s="246">
        <v>41360</v>
      </c>
      <c r="E1227" s="5" t="s">
        <v>26944</v>
      </c>
      <c r="F1227" s="26" t="s">
        <v>25439</v>
      </c>
      <c r="G1227" s="27" t="s">
        <v>7979</v>
      </c>
      <c r="H1227" s="28" t="s">
        <v>7980</v>
      </c>
      <c r="I1227" s="5" t="s">
        <v>197</v>
      </c>
    </row>
    <row r="1228" spans="1:9" ht="51.75" customHeight="1">
      <c r="A1228" s="5" t="s">
        <v>25141</v>
      </c>
      <c r="B1228" s="5" t="s">
        <v>26945</v>
      </c>
      <c r="C1228" s="5" t="s">
        <v>26943</v>
      </c>
      <c r="D1228" s="246">
        <v>41360</v>
      </c>
      <c r="E1228" s="5" t="s">
        <v>26946</v>
      </c>
      <c r="F1228" s="26" t="s">
        <v>23600</v>
      </c>
      <c r="G1228" s="27" t="s">
        <v>7979</v>
      </c>
      <c r="H1228" s="28" t="s">
        <v>7980</v>
      </c>
      <c r="I1228" s="5" t="s">
        <v>197</v>
      </c>
    </row>
    <row r="1229" spans="1:9" ht="51.75" customHeight="1">
      <c r="A1229" s="5" t="s">
        <v>25145</v>
      </c>
      <c r="B1229" s="5" t="s">
        <v>26947</v>
      </c>
      <c r="C1229" s="5" t="s">
        <v>26948</v>
      </c>
      <c r="D1229" s="246">
        <v>41360</v>
      </c>
      <c r="E1229" s="5" t="s">
        <v>26949</v>
      </c>
      <c r="F1229" s="26" t="s">
        <v>25439</v>
      </c>
      <c r="G1229" s="27" t="s">
        <v>7979</v>
      </c>
      <c r="H1229" s="28" t="s">
        <v>7980</v>
      </c>
      <c r="I1229" s="5" t="s">
        <v>197</v>
      </c>
    </row>
    <row r="1230" spans="1:9" ht="51.75" customHeight="1">
      <c r="A1230" s="5" t="s">
        <v>25145</v>
      </c>
      <c r="B1230" s="5" t="s">
        <v>26950</v>
      </c>
      <c r="C1230" s="5" t="s">
        <v>26948</v>
      </c>
      <c r="D1230" s="246">
        <v>41360</v>
      </c>
      <c r="E1230" s="5" t="s">
        <v>26951</v>
      </c>
      <c r="F1230" s="26" t="s">
        <v>23600</v>
      </c>
      <c r="G1230" s="27" t="s">
        <v>7979</v>
      </c>
      <c r="H1230" s="28" t="s">
        <v>7980</v>
      </c>
      <c r="I1230" s="5" t="s">
        <v>197</v>
      </c>
    </row>
    <row r="1231" spans="1:9" ht="51.75" customHeight="1">
      <c r="A1231" s="5" t="s">
        <v>26952</v>
      </c>
      <c r="B1231" s="5" t="s">
        <v>26953</v>
      </c>
      <c r="C1231" s="5" t="s">
        <v>26954</v>
      </c>
      <c r="D1231" s="246">
        <v>41360</v>
      </c>
      <c r="E1231" s="5" t="s">
        <v>26955</v>
      </c>
      <c r="F1231" s="26" t="s">
        <v>25439</v>
      </c>
      <c r="G1231" s="27" t="s">
        <v>7979</v>
      </c>
      <c r="H1231" s="28" t="s">
        <v>7980</v>
      </c>
      <c r="I1231" s="5" t="s">
        <v>197</v>
      </c>
    </row>
    <row r="1232" spans="1:9" ht="51.75" customHeight="1">
      <c r="A1232" s="5" t="s">
        <v>26952</v>
      </c>
      <c r="B1232" s="5" t="s">
        <v>26956</v>
      </c>
      <c r="C1232" s="5" t="s">
        <v>26954</v>
      </c>
      <c r="D1232" s="246">
        <v>41360</v>
      </c>
      <c r="E1232" s="5" t="s">
        <v>26957</v>
      </c>
      <c r="F1232" s="26" t="s">
        <v>23600</v>
      </c>
      <c r="G1232" s="27" t="s">
        <v>7979</v>
      </c>
      <c r="H1232" s="28" t="s">
        <v>7980</v>
      </c>
      <c r="I1232" s="5" t="s">
        <v>197</v>
      </c>
    </row>
    <row r="1233" spans="1:9" ht="51.75" customHeight="1">
      <c r="A1233" s="5" t="s">
        <v>26958</v>
      </c>
      <c r="B1233" s="5" t="s">
        <v>26959</v>
      </c>
      <c r="C1233" s="5" t="s">
        <v>26960</v>
      </c>
      <c r="D1233" s="246">
        <v>41360</v>
      </c>
      <c r="E1233" s="5" t="s">
        <v>26960</v>
      </c>
      <c r="F1233" s="26" t="s">
        <v>25439</v>
      </c>
      <c r="G1233" s="27" t="s">
        <v>7979</v>
      </c>
      <c r="H1233" s="28" t="s">
        <v>7980</v>
      </c>
      <c r="I1233" s="5" t="s">
        <v>197</v>
      </c>
    </row>
    <row r="1234" spans="1:9" ht="51.75" customHeight="1">
      <c r="A1234" s="5" t="s">
        <v>26958</v>
      </c>
      <c r="B1234" s="5" t="s">
        <v>26961</v>
      </c>
      <c r="C1234" s="5" t="s">
        <v>26960</v>
      </c>
      <c r="D1234" s="246">
        <v>41360</v>
      </c>
      <c r="E1234" s="5" t="s">
        <v>26962</v>
      </c>
      <c r="F1234" s="26" t="s">
        <v>23600</v>
      </c>
      <c r="G1234" s="27" t="s">
        <v>7979</v>
      </c>
      <c r="H1234" s="28" t="s">
        <v>7980</v>
      </c>
      <c r="I1234" s="5" t="s">
        <v>197</v>
      </c>
    </row>
    <row r="1235" spans="1:9" ht="51.75" customHeight="1">
      <c r="A1235" s="5" t="s">
        <v>23608</v>
      </c>
      <c r="B1235" s="5" t="s">
        <v>26963</v>
      </c>
      <c r="C1235" s="5" t="s">
        <v>26964</v>
      </c>
      <c r="D1235" s="246">
        <v>41360</v>
      </c>
      <c r="E1235" s="5" t="s">
        <v>26965</v>
      </c>
      <c r="F1235" s="26" t="s">
        <v>25439</v>
      </c>
      <c r="G1235" s="27" t="s">
        <v>7979</v>
      </c>
      <c r="H1235" s="28" t="s">
        <v>7980</v>
      </c>
      <c r="I1235" s="5" t="s">
        <v>197</v>
      </c>
    </row>
    <row r="1236" spans="1:9" ht="51.75" customHeight="1">
      <c r="A1236" s="5" t="s">
        <v>23608</v>
      </c>
      <c r="B1236" s="5" t="s">
        <v>26966</v>
      </c>
      <c r="C1236" s="5" t="s">
        <v>26964</v>
      </c>
      <c r="D1236" s="246">
        <v>41360</v>
      </c>
      <c r="E1236" s="5" t="s">
        <v>26967</v>
      </c>
      <c r="F1236" s="26" t="s">
        <v>23600</v>
      </c>
      <c r="G1236" s="27" t="s">
        <v>7979</v>
      </c>
      <c r="H1236" s="28" t="s">
        <v>7980</v>
      </c>
      <c r="I1236" s="5" t="s">
        <v>197</v>
      </c>
    </row>
    <row r="1237" spans="1:9" ht="51.75" customHeight="1">
      <c r="A1237" s="5" t="s">
        <v>26250</v>
      </c>
      <c r="B1237" s="5" t="s">
        <v>26968</v>
      </c>
      <c r="C1237" s="5" t="s">
        <v>26969</v>
      </c>
      <c r="D1237" s="246">
        <v>41327</v>
      </c>
      <c r="E1237" s="5" t="s">
        <v>26970</v>
      </c>
      <c r="F1237" s="26" t="s">
        <v>25439</v>
      </c>
      <c r="G1237" s="27" t="s">
        <v>8216</v>
      </c>
      <c r="H1237" s="28" t="s">
        <v>8217</v>
      </c>
      <c r="I1237" s="5" t="s">
        <v>197</v>
      </c>
    </row>
    <row r="1238" spans="1:9" ht="51.75" customHeight="1">
      <c r="A1238" s="5" t="s">
        <v>26250</v>
      </c>
      <c r="B1238" s="5" t="s">
        <v>26971</v>
      </c>
      <c r="C1238" s="5" t="s">
        <v>26969</v>
      </c>
      <c r="D1238" s="246">
        <v>41327</v>
      </c>
      <c r="E1238" s="5" t="s">
        <v>26972</v>
      </c>
      <c r="F1238" s="26" t="s">
        <v>23600</v>
      </c>
      <c r="G1238" s="27" t="s">
        <v>8216</v>
      </c>
      <c r="H1238" s="28" t="s">
        <v>8217</v>
      </c>
      <c r="I1238" s="5" t="s">
        <v>197</v>
      </c>
    </row>
    <row r="1239" spans="1:9" ht="51.75" customHeight="1">
      <c r="A1239" s="5" t="s">
        <v>26255</v>
      </c>
      <c r="B1239" s="5" t="s">
        <v>26973</v>
      </c>
      <c r="C1239" s="5" t="s">
        <v>26974</v>
      </c>
      <c r="D1239" s="246">
        <v>41327</v>
      </c>
      <c r="E1239" s="5" t="s">
        <v>26975</v>
      </c>
      <c r="F1239" s="26" t="s">
        <v>25439</v>
      </c>
      <c r="G1239" s="27" t="s">
        <v>8216</v>
      </c>
      <c r="H1239" s="28" t="s">
        <v>8217</v>
      </c>
      <c r="I1239" s="5" t="s">
        <v>197</v>
      </c>
    </row>
    <row r="1240" spans="1:9" ht="51.75" customHeight="1">
      <c r="A1240" s="5" t="s">
        <v>26255</v>
      </c>
      <c r="B1240" s="5" t="s">
        <v>26976</v>
      </c>
      <c r="C1240" s="5" t="s">
        <v>26974</v>
      </c>
      <c r="D1240" s="246">
        <v>41327</v>
      </c>
      <c r="E1240" s="5" t="s">
        <v>26977</v>
      </c>
      <c r="F1240" s="26" t="s">
        <v>23600</v>
      </c>
      <c r="G1240" s="27" t="s">
        <v>8216</v>
      </c>
      <c r="H1240" s="28" t="s">
        <v>8217</v>
      </c>
      <c r="I1240" s="5" t="s">
        <v>197</v>
      </c>
    </row>
    <row r="1241" spans="1:9" ht="51.75" customHeight="1">
      <c r="A1241" s="5" t="s">
        <v>26259</v>
      </c>
      <c r="B1241" s="5" t="s">
        <v>26978</v>
      </c>
      <c r="C1241" s="5" t="s">
        <v>26979</v>
      </c>
      <c r="D1241" s="246">
        <v>41327</v>
      </c>
      <c r="E1241" s="5" t="s">
        <v>26980</v>
      </c>
      <c r="F1241" s="26" t="s">
        <v>25439</v>
      </c>
      <c r="G1241" s="27" t="s">
        <v>8216</v>
      </c>
      <c r="H1241" s="28" t="s">
        <v>8217</v>
      </c>
      <c r="I1241" s="5" t="s">
        <v>197</v>
      </c>
    </row>
    <row r="1242" spans="1:9" ht="51.75" customHeight="1">
      <c r="A1242" s="5" t="s">
        <v>26259</v>
      </c>
      <c r="B1242" s="5" t="s">
        <v>26981</v>
      </c>
      <c r="C1242" s="5" t="s">
        <v>26979</v>
      </c>
      <c r="D1242" s="246">
        <v>41327</v>
      </c>
      <c r="E1242" s="5" t="s">
        <v>26982</v>
      </c>
      <c r="F1242" s="26" t="s">
        <v>23600</v>
      </c>
      <c r="G1242" s="27" t="s">
        <v>8216</v>
      </c>
      <c r="H1242" s="28" t="s">
        <v>8217</v>
      </c>
      <c r="I1242" s="5" t="s">
        <v>197</v>
      </c>
    </row>
    <row r="1243" spans="1:9" ht="51.75" customHeight="1">
      <c r="A1243" s="5" t="s">
        <v>25938</v>
      </c>
      <c r="B1243" s="5" t="s">
        <v>26983</v>
      </c>
      <c r="C1243" s="5" t="s">
        <v>26984</v>
      </c>
      <c r="D1243" s="246">
        <v>41327</v>
      </c>
      <c r="E1243" s="5" t="s">
        <v>26985</v>
      </c>
      <c r="F1243" s="26" t="s">
        <v>25439</v>
      </c>
      <c r="G1243" s="27" t="s">
        <v>8216</v>
      </c>
      <c r="H1243" s="28" t="s">
        <v>8217</v>
      </c>
      <c r="I1243" s="5" t="s">
        <v>197</v>
      </c>
    </row>
    <row r="1244" spans="1:9" ht="51.75" customHeight="1">
      <c r="A1244" s="5" t="s">
        <v>25938</v>
      </c>
      <c r="B1244" s="5" t="s">
        <v>26986</v>
      </c>
      <c r="C1244" s="5" t="s">
        <v>26984</v>
      </c>
      <c r="D1244" s="246">
        <v>41327</v>
      </c>
      <c r="E1244" s="5" t="s">
        <v>26987</v>
      </c>
      <c r="F1244" s="26" t="s">
        <v>23600</v>
      </c>
      <c r="G1244" s="27" t="s">
        <v>8216</v>
      </c>
      <c r="H1244" s="28" t="s">
        <v>8217</v>
      </c>
      <c r="I1244" s="5" t="s">
        <v>197</v>
      </c>
    </row>
    <row r="1245" spans="1:9" ht="51.75" customHeight="1">
      <c r="A1245" s="5" t="s">
        <v>26316</v>
      </c>
      <c r="B1245" s="5" t="s">
        <v>26988</v>
      </c>
      <c r="C1245" s="5" t="s">
        <v>26989</v>
      </c>
      <c r="D1245" s="246">
        <v>41228</v>
      </c>
      <c r="E1245" s="5" t="s">
        <v>26990</v>
      </c>
      <c r="F1245" s="26" t="s">
        <v>25439</v>
      </c>
      <c r="G1245" s="27" t="s">
        <v>7480</v>
      </c>
      <c r="H1245" s="28" t="s">
        <v>7481</v>
      </c>
      <c r="I1245" s="5" t="s">
        <v>197</v>
      </c>
    </row>
    <row r="1246" spans="1:9" ht="51.75" customHeight="1">
      <c r="A1246" s="5" t="s">
        <v>26316</v>
      </c>
      <c r="B1246" s="5" t="s">
        <v>26991</v>
      </c>
      <c r="C1246" s="5" t="s">
        <v>26989</v>
      </c>
      <c r="D1246" s="246">
        <v>41228</v>
      </c>
      <c r="E1246" s="5" t="s">
        <v>26992</v>
      </c>
      <c r="F1246" s="26" t="s">
        <v>23600</v>
      </c>
      <c r="G1246" s="27" t="s">
        <v>7480</v>
      </c>
      <c r="H1246" s="28" t="s">
        <v>7481</v>
      </c>
      <c r="I1246" s="5" t="s">
        <v>197</v>
      </c>
    </row>
    <row r="1247" spans="1:9" ht="51.75" customHeight="1">
      <c r="A1247" s="5" t="s">
        <v>26993</v>
      </c>
      <c r="B1247" s="5" t="s">
        <v>26994</v>
      </c>
      <c r="C1247" s="5" t="s">
        <v>26995</v>
      </c>
      <c r="D1247" s="246">
        <v>41228</v>
      </c>
      <c r="E1247" s="5" t="s">
        <v>26996</v>
      </c>
      <c r="F1247" s="26" t="s">
        <v>25439</v>
      </c>
      <c r="G1247" s="27" t="s">
        <v>7480</v>
      </c>
      <c r="H1247" s="28" t="s">
        <v>7481</v>
      </c>
      <c r="I1247" s="5" t="s">
        <v>197</v>
      </c>
    </row>
    <row r="1248" spans="1:9" ht="51.75" customHeight="1">
      <c r="A1248" s="5" t="s">
        <v>26993</v>
      </c>
      <c r="B1248" s="5" t="s">
        <v>26997</v>
      </c>
      <c r="C1248" s="5" t="s">
        <v>26995</v>
      </c>
      <c r="D1248" s="246">
        <v>41228</v>
      </c>
      <c r="E1248" s="5" t="s">
        <v>26998</v>
      </c>
      <c r="F1248" s="26" t="s">
        <v>23600</v>
      </c>
      <c r="G1248" s="27" t="s">
        <v>7480</v>
      </c>
      <c r="H1248" s="28" t="s">
        <v>7481</v>
      </c>
      <c r="I1248" s="5" t="s">
        <v>197</v>
      </c>
    </row>
    <row r="1249" spans="1:9" ht="51.75" customHeight="1">
      <c r="A1249" s="5" t="s">
        <v>26238</v>
      </c>
      <c r="B1249" s="5" t="s">
        <v>26999</v>
      </c>
      <c r="C1249" s="5" t="s">
        <v>27000</v>
      </c>
      <c r="D1249" s="246">
        <v>41228</v>
      </c>
      <c r="E1249" s="5" t="s">
        <v>27001</v>
      </c>
      <c r="F1249" s="26" t="s">
        <v>25439</v>
      </c>
      <c r="G1249" s="27" t="s">
        <v>7480</v>
      </c>
      <c r="H1249" s="28" t="s">
        <v>7481</v>
      </c>
      <c r="I1249" s="5" t="s">
        <v>197</v>
      </c>
    </row>
    <row r="1250" spans="1:9" ht="51.75" customHeight="1">
      <c r="A1250" s="5" t="s">
        <v>26238</v>
      </c>
      <c r="B1250" s="5" t="s">
        <v>27002</v>
      </c>
      <c r="C1250" s="5" t="s">
        <v>27000</v>
      </c>
      <c r="D1250" s="246">
        <v>41228</v>
      </c>
      <c r="E1250" s="5" t="s">
        <v>27003</v>
      </c>
      <c r="F1250" s="26" t="s">
        <v>23600</v>
      </c>
      <c r="G1250" s="27" t="s">
        <v>7480</v>
      </c>
      <c r="H1250" s="28" t="s">
        <v>7481</v>
      </c>
      <c r="I1250" s="5" t="s">
        <v>197</v>
      </c>
    </row>
    <row r="1251" spans="1:9" ht="51.75" customHeight="1">
      <c r="A1251" s="5" t="s">
        <v>26244</v>
      </c>
      <c r="B1251" s="5" t="s">
        <v>27004</v>
      </c>
      <c r="C1251" s="5" t="s">
        <v>27005</v>
      </c>
      <c r="D1251" s="246">
        <v>41228</v>
      </c>
      <c r="E1251" s="5" t="s">
        <v>27006</v>
      </c>
      <c r="F1251" s="26" t="s">
        <v>25439</v>
      </c>
      <c r="G1251" s="27" t="s">
        <v>7480</v>
      </c>
      <c r="H1251" s="28" t="s">
        <v>7481</v>
      </c>
      <c r="I1251" s="5" t="s">
        <v>197</v>
      </c>
    </row>
    <row r="1252" spans="1:9" ht="51.75" customHeight="1">
      <c r="A1252" s="5" t="s">
        <v>26244</v>
      </c>
      <c r="B1252" s="5" t="s">
        <v>27007</v>
      </c>
      <c r="C1252" s="5" t="s">
        <v>27005</v>
      </c>
      <c r="D1252" s="246">
        <v>41228</v>
      </c>
      <c r="E1252" s="5" t="s">
        <v>27008</v>
      </c>
      <c r="F1252" s="26" t="s">
        <v>23600</v>
      </c>
      <c r="G1252" s="27" t="s">
        <v>7480</v>
      </c>
      <c r="H1252" s="28" t="s">
        <v>7481</v>
      </c>
      <c r="I1252" s="5" t="s">
        <v>197</v>
      </c>
    </row>
    <row r="1253" spans="1:9" ht="51.75" customHeight="1">
      <c r="A1253" s="5" t="s">
        <v>26270</v>
      </c>
      <c r="B1253" s="5" t="s">
        <v>27009</v>
      </c>
      <c r="C1253" s="5" t="s">
        <v>27010</v>
      </c>
      <c r="D1253" s="246">
        <v>41228</v>
      </c>
      <c r="E1253" s="5" t="s">
        <v>27011</v>
      </c>
      <c r="F1253" s="26" t="s">
        <v>25439</v>
      </c>
      <c r="G1253" s="27" t="s">
        <v>7480</v>
      </c>
      <c r="H1253" s="28" t="s">
        <v>7481</v>
      </c>
      <c r="I1253" s="5" t="s">
        <v>197</v>
      </c>
    </row>
    <row r="1254" spans="1:9" ht="51.75" customHeight="1">
      <c r="A1254" s="5" t="s">
        <v>26270</v>
      </c>
      <c r="B1254" s="5" t="s">
        <v>27012</v>
      </c>
      <c r="C1254" s="5" t="s">
        <v>27010</v>
      </c>
      <c r="D1254" s="246">
        <v>41228</v>
      </c>
      <c r="E1254" s="5" t="s">
        <v>27013</v>
      </c>
      <c r="F1254" s="26" t="s">
        <v>23600</v>
      </c>
      <c r="G1254" s="27" t="s">
        <v>7480</v>
      </c>
      <c r="H1254" s="28" t="s">
        <v>7481</v>
      </c>
      <c r="I1254" s="5" t="s">
        <v>197</v>
      </c>
    </row>
    <row r="1255" spans="1:9" ht="51.75" customHeight="1">
      <c r="A1255" s="5" t="s">
        <v>27014</v>
      </c>
      <c r="B1255" s="5" t="s">
        <v>27015</v>
      </c>
      <c r="C1255" s="5" t="s">
        <v>27016</v>
      </c>
      <c r="D1255" s="246">
        <v>42086</v>
      </c>
      <c r="E1255" s="5" t="s">
        <v>27017</v>
      </c>
      <c r="F1255" s="26" t="s">
        <v>25439</v>
      </c>
      <c r="G1255" s="27" t="s">
        <v>9644</v>
      </c>
      <c r="H1255" s="28" t="s">
        <v>9645</v>
      </c>
      <c r="I1255" s="5" t="s">
        <v>197</v>
      </c>
    </row>
    <row r="1256" spans="1:9" ht="51.75" customHeight="1">
      <c r="A1256" s="5" t="s">
        <v>27014</v>
      </c>
      <c r="B1256" s="5" t="s">
        <v>27018</v>
      </c>
      <c r="C1256" s="5" t="s">
        <v>27016</v>
      </c>
      <c r="D1256" s="246">
        <v>42086</v>
      </c>
      <c r="E1256" s="5" t="s">
        <v>27019</v>
      </c>
      <c r="F1256" s="26" t="s">
        <v>23600</v>
      </c>
      <c r="G1256" s="27" t="s">
        <v>9644</v>
      </c>
      <c r="H1256" s="28" t="s">
        <v>9645</v>
      </c>
      <c r="I1256" s="5" t="s">
        <v>197</v>
      </c>
    </row>
    <row r="1257" spans="1:9" ht="51.75" customHeight="1">
      <c r="A1257" s="5" t="s">
        <v>27020</v>
      </c>
      <c r="B1257" s="5" t="s">
        <v>27021</v>
      </c>
      <c r="C1257" s="5" t="s">
        <v>27022</v>
      </c>
      <c r="D1257" s="246">
        <v>42086</v>
      </c>
      <c r="E1257" s="5" t="s">
        <v>27023</v>
      </c>
      <c r="F1257" s="26" t="s">
        <v>25439</v>
      </c>
      <c r="G1257" s="27" t="s">
        <v>9644</v>
      </c>
      <c r="H1257" s="28" t="s">
        <v>9645</v>
      </c>
      <c r="I1257" s="5" t="s">
        <v>197</v>
      </c>
    </row>
    <row r="1258" spans="1:9" ht="51.75" customHeight="1">
      <c r="A1258" s="5" t="s">
        <v>27020</v>
      </c>
      <c r="B1258" s="5" t="s">
        <v>27024</v>
      </c>
      <c r="C1258" s="5" t="s">
        <v>27022</v>
      </c>
      <c r="D1258" s="246">
        <v>42086</v>
      </c>
      <c r="E1258" s="5" t="s">
        <v>27025</v>
      </c>
      <c r="F1258" s="26" t="s">
        <v>23600</v>
      </c>
      <c r="G1258" s="27" t="s">
        <v>9644</v>
      </c>
      <c r="H1258" s="28" t="s">
        <v>9645</v>
      </c>
      <c r="I1258" s="5" t="s">
        <v>197</v>
      </c>
    </row>
    <row r="1259" spans="1:9" ht="51.75" customHeight="1">
      <c r="A1259" s="5" t="s">
        <v>27026</v>
      </c>
      <c r="B1259" s="5" t="s">
        <v>27027</v>
      </c>
      <c r="C1259" s="5" t="s">
        <v>27028</v>
      </c>
      <c r="D1259" s="246">
        <v>42086</v>
      </c>
      <c r="E1259" s="5" t="s">
        <v>27029</v>
      </c>
      <c r="F1259" s="26" t="s">
        <v>25439</v>
      </c>
      <c r="G1259" s="27" t="s">
        <v>9644</v>
      </c>
      <c r="H1259" s="28" t="s">
        <v>9645</v>
      </c>
      <c r="I1259" s="5" t="s">
        <v>197</v>
      </c>
    </row>
    <row r="1260" spans="1:9" ht="51.75" customHeight="1">
      <c r="A1260" s="5" t="s">
        <v>27026</v>
      </c>
      <c r="B1260" s="5" t="s">
        <v>27030</v>
      </c>
      <c r="C1260" s="5" t="s">
        <v>27028</v>
      </c>
      <c r="D1260" s="246">
        <v>42086</v>
      </c>
      <c r="E1260" s="5" t="s">
        <v>27031</v>
      </c>
      <c r="F1260" s="26" t="s">
        <v>23600</v>
      </c>
      <c r="G1260" s="27" t="s">
        <v>9644</v>
      </c>
      <c r="H1260" s="28" t="s">
        <v>9645</v>
      </c>
      <c r="I1260" s="5" t="s">
        <v>197</v>
      </c>
    </row>
    <row r="1261" spans="1:9" ht="51.75" customHeight="1">
      <c r="A1261" s="5" t="s">
        <v>27032</v>
      </c>
      <c r="B1261" s="5" t="s">
        <v>27033</v>
      </c>
      <c r="C1261" s="5" t="s">
        <v>27034</v>
      </c>
      <c r="D1261" s="246">
        <v>42086</v>
      </c>
      <c r="E1261" s="5" t="s">
        <v>27035</v>
      </c>
      <c r="F1261" s="26" t="s">
        <v>25439</v>
      </c>
      <c r="G1261" s="27" t="s">
        <v>9644</v>
      </c>
      <c r="H1261" s="28" t="s">
        <v>9645</v>
      </c>
      <c r="I1261" s="5" t="s">
        <v>197</v>
      </c>
    </row>
    <row r="1262" spans="1:9" ht="51.75" customHeight="1">
      <c r="A1262" s="5" t="s">
        <v>27032</v>
      </c>
      <c r="B1262" s="5" t="s">
        <v>27036</v>
      </c>
      <c r="C1262" s="5" t="s">
        <v>27034</v>
      </c>
      <c r="D1262" s="246">
        <v>42086</v>
      </c>
      <c r="E1262" s="5" t="s">
        <v>27037</v>
      </c>
      <c r="F1262" s="26" t="s">
        <v>23600</v>
      </c>
      <c r="G1262" s="27" t="s">
        <v>9644</v>
      </c>
      <c r="H1262" s="28" t="s">
        <v>9645</v>
      </c>
      <c r="I1262" s="5" t="s">
        <v>197</v>
      </c>
    </row>
    <row r="1263" spans="1:9" ht="51.75" customHeight="1">
      <c r="A1263" s="5" t="s">
        <v>23623</v>
      </c>
      <c r="B1263" s="5" t="s">
        <v>27038</v>
      </c>
      <c r="C1263" s="5" t="s">
        <v>27039</v>
      </c>
      <c r="D1263" s="246">
        <v>41655</v>
      </c>
      <c r="E1263" s="5" t="s">
        <v>27040</v>
      </c>
      <c r="F1263" s="26" t="s">
        <v>25439</v>
      </c>
      <c r="G1263" s="27" t="s">
        <v>9005</v>
      </c>
      <c r="H1263" s="28" t="s">
        <v>9006</v>
      </c>
      <c r="I1263" s="5" t="s">
        <v>197</v>
      </c>
    </row>
    <row r="1264" spans="1:9" ht="51.75" customHeight="1">
      <c r="A1264" s="5" t="s">
        <v>23623</v>
      </c>
      <c r="B1264" s="5" t="s">
        <v>27041</v>
      </c>
      <c r="C1264" s="5" t="s">
        <v>27039</v>
      </c>
      <c r="D1264" s="246">
        <v>41655</v>
      </c>
      <c r="E1264" s="5" t="s">
        <v>27042</v>
      </c>
      <c r="F1264" s="26" t="s">
        <v>23600</v>
      </c>
      <c r="G1264" s="27" t="s">
        <v>9005</v>
      </c>
      <c r="H1264" s="28" t="s">
        <v>9006</v>
      </c>
      <c r="I1264" s="5" t="s">
        <v>197</v>
      </c>
    </row>
    <row r="1265" spans="1:9" ht="51.75" customHeight="1">
      <c r="A1265" s="5" t="s">
        <v>27043</v>
      </c>
      <c r="B1265" s="5" t="s">
        <v>27044</v>
      </c>
      <c r="C1265" s="5" t="s">
        <v>27045</v>
      </c>
      <c r="D1265" s="246">
        <v>41655</v>
      </c>
      <c r="E1265" s="5" t="s">
        <v>27046</v>
      </c>
      <c r="F1265" s="26" t="s">
        <v>25439</v>
      </c>
      <c r="G1265" s="27" t="s">
        <v>9005</v>
      </c>
      <c r="H1265" s="28" t="s">
        <v>9006</v>
      </c>
      <c r="I1265" s="5" t="s">
        <v>197</v>
      </c>
    </row>
    <row r="1266" spans="1:9" ht="51.75" customHeight="1">
      <c r="A1266" s="5" t="s">
        <v>27043</v>
      </c>
      <c r="B1266" s="5" t="s">
        <v>27047</v>
      </c>
      <c r="C1266" s="5" t="s">
        <v>27045</v>
      </c>
      <c r="D1266" s="246">
        <v>41655</v>
      </c>
      <c r="E1266" s="5" t="s">
        <v>27048</v>
      </c>
      <c r="F1266" s="26" t="s">
        <v>23600</v>
      </c>
      <c r="G1266" s="27" t="s">
        <v>9005</v>
      </c>
      <c r="H1266" s="28" t="s">
        <v>9006</v>
      </c>
      <c r="I1266" s="5" t="s">
        <v>197</v>
      </c>
    </row>
    <row r="1267" spans="1:9" ht="51.75" customHeight="1">
      <c r="A1267" s="5" t="s">
        <v>27049</v>
      </c>
      <c r="B1267" s="5" t="s">
        <v>27050</v>
      </c>
      <c r="C1267" s="5" t="s">
        <v>26567</v>
      </c>
      <c r="D1267" s="246">
        <v>41655</v>
      </c>
      <c r="E1267" s="5" t="s">
        <v>27051</v>
      </c>
      <c r="F1267" s="26" t="s">
        <v>25439</v>
      </c>
      <c r="G1267" s="27" t="s">
        <v>9005</v>
      </c>
      <c r="H1267" s="28" t="s">
        <v>9006</v>
      </c>
      <c r="I1267" s="5" t="s">
        <v>197</v>
      </c>
    </row>
    <row r="1268" spans="1:9" ht="51.75" customHeight="1">
      <c r="A1268" s="5" t="s">
        <v>27049</v>
      </c>
      <c r="B1268" s="5" t="s">
        <v>27052</v>
      </c>
      <c r="C1268" s="5" t="s">
        <v>26567</v>
      </c>
      <c r="D1268" s="246">
        <v>41655</v>
      </c>
      <c r="E1268" s="5" t="s">
        <v>27053</v>
      </c>
      <c r="F1268" s="26" t="s">
        <v>23600</v>
      </c>
      <c r="G1268" s="27" t="s">
        <v>9005</v>
      </c>
      <c r="H1268" s="28" t="s">
        <v>9006</v>
      </c>
      <c r="I1268" s="5" t="s">
        <v>197</v>
      </c>
    </row>
    <row r="1269" spans="1:9" ht="51.75" customHeight="1">
      <c r="A1269" s="5" t="s">
        <v>27054</v>
      </c>
      <c r="B1269" s="5" t="s">
        <v>27055</v>
      </c>
      <c r="C1269" s="5" t="s">
        <v>27056</v>
      </c>
      <c r="D1269" s="246">
        <v>41655</v>
      </c>
      <c r="E1269" s="5" t="s">
        <v>27057</v>
      </c>
      <c r="F1269" s="26" t="s">
        <v>25439</v>
      </c>
      <c r="G1269" s="27" t="s">
        <v>9005</v>
      </c>
      <c r="H1269" s="28" t="s">
        <v>9006</v>
      </c>
      <c r="I1269" s="5" t="s">
        <v>197</v>
      </c>
    </row>
    <row r="1270" spans="1:9" ht="51.75" customHeight="1">
      <c r="A1270" s="5" t="s">
        <v>27054</v>
      </c>
      <c r="B1270" s="5" t="s">
        <v>27058</v>
      </c>
      <c r="C1270" s="5" t="s">
        <v>27056</v>
      </c>
      <c r="D1270" s="246">
        <v>41655</v>
      </c>
      <c r="E1270" s="5" t="s">
        <v>27059</v>
      </c>
      <c r="F1270" s="26" t="s">
        <v>23600</v>
      </c>
      <c r="G1270" s="27" t="s">
        <v>9005</v>
      </c>
      <c r="H1270" s="28" t="s">
        <v>9006</v>
      </c>
      <c r="I1270" s="5" t="s">
        <v>197</v>
      </c>
    </row>
    <row r="1271" spans="1:9" ht="51.75" customHeight="1">
      <c r="A1271" s="5" t="s">
        <v>27060</v>
      </c>
      <c r="B1271" s="5" t="s">
        <v>27061</v>
      </c>
      <c r="C1271" s="5" t="s">
        <v>27062</v>
      </c>
      <c r="D1271" s="246">
        <v>41655</v>
      </c>
      <c r="E1271" s="5" t="s">
        <v>27063</v>
      </c>
      <c r="F1271" s="26" t="s">
        <v>25439</v>
      </c>
      <c r="G1271" s="27" t="s">
        <v>9005</v>
      </c>
      <c r="H1271" s="28" t="s">
        <v>9006</v>
      </c>
      <c r="I1271" s="5" t="s">
        <v>197</v>
      </c>
    </row>
    <row r="1272" spans="1:9" ht="51.75" customHeight="1">
      <c r="A1272" s="5" t="s">
        <v>27060</v>
      </c>
      <c r="B1272" s="5" t="s">
        <v>27064</v>
      </c>
      <c r="C1272" s="5" t="s">
        <v>27062</v>
      </c>
      <c r="D1272" s="246">
        <v>41655</v>
      </c>
      <c r="E1272" s="5" t="s">
        <v>27065</v>
      </c>
      <c r="F1272" s="26" t="s">
        <v>23600</v>
      </c>
      <c r="G1272" s="27" t="s">
        <v>9005</v>
      </c>
      <c r="H1272" s="28" t="s">
        <v>9006</v>
      </c>
      <c r="I1272" s="5" t="s">
        <v>197</v>
      </c>
    </row>
    <row r="1273" spans="1:9" ht="51.75" customHeight="1">
      <c r="A1273" s="5" t="s">
        <v>27066</v>
      </c>
      <c r="B1273" s="5" t="s">
        <v>27067</v>
      </c>
      <c r="C1273" s="5" t="s">
        <v>27068</v>
      </c>
      <c r="D1273" s="246">
        <v>41655</v>
      </c>
      <c r="E1273" s="5" t="s">
        <v>27069</v>
      </c>
      <c r="F1273" s="26" t="s">
        <v>25439</v>
      </c>
      <c r="G1273" s="27" t="s">
        <v>9005</v>
      </c>
      <c r="H1273" s="28" t="s">
        <v>9006</v>
      </c>
      <c r="I1273" s="5" t="s">
        <v>197</v>
      </c>
    </row>
    <row r="1274" spans="1:9" ht="51.75" customHeight="1">
      <c r="A1274" s="5" t="s">
        <v>27066</v>
      </c>
      <c r="B1274" s="5" t="s">
        <v>27070</v>
      </c>
      <c r="C1274" s="5" t="s">
        <v>27068</v>
      </c>
      <c r="D1274" s="246">
        <v>41655</v>
      </c>
      <c r="E1274" s="5" t="s">
        <v>27071</v>
      </c>
      <c r="F1274" s="26" t="s">
        <v>23600</v>
      </c>
      <c r="G1274" s="27" t="s">
        <v>9005</v>
      </c>
      <c r="H1274" s="28" t="s">
        <v>9006</v>
      </c>
      <c r="I1274" s="5" t="s">
        <v>197</v>
      </c>
    </row>
    <row r="1275" spans="1:9" ht="51.75" customHeight="1">
      <c r="A1275" s="5" t="s">
        <v>27072</v>
      </c>
      <c r="B1275" s="5" t="s">
        <v>27073</v>
      </c>
      <c r="C1275" s="5" t="s">
        <v>27074</v>
      </c>
      <c r="D1275" s="246">
        <v>41655</v>
      </c>
      <c r="E1275" s="5" t="s">
        <v>27075</v>
      </c>
      <c r="F1275" s="26" t="s">
        <v>25439</v>
      </c>
      <c r="G1275" s="27" t="s">
        <v>9005</v>
      </c>
      <c r="H1275" s="28" t="s">
        <v>9006</v>
      </c>
      <c r="I1275" s="5" t="s">
        <v>197</v>
      </c>
    </row>
    <row r="1276" spans="1:9" ht="51.75" customHeight="1">
      <c r="A1276" s="5" t="s">
        <v>27072</v>
      </c>
      <c r="B1276" s="5" t="s">
        <v>27076</v>
      </c>
      <c r="C1276" s="5" t="s">
        <v>27074</v>
      </c>
      <c r="D1276" s="246">
        <v>41655</v>
      </c>
      <c r="E1276" s="5" t="s">
        <v>27077</v>
      </c>
      <c r="F1276" s="26" t="s">
        <v>23600</v>
      </c>
      <c r="G1276" s="27" t="s">
        <v>9005</v>
      </c>
      <c r="H1276" s="28" t="s">
        <v>9006</v>
      </c>
      <c r="I1276" s="5" t="s">
        <v>197</v>
      </c>
    </row>
    <row r="1277" spans="1:9" ht="51.75" customHeight="1">
      <c r="A1277" s="5" t="s">
        <v>27078</v>
      </c>
      <c r="B1277" s="5" t="s">
        <v>27079</v>
      </c>
      <c r="C1277" s="5" t="s">
        <v>27080</v>
      </c>
      <c r="D1277" s="246">
        <v>41655</v>
      </c>
      <c r="E1277" s="5" t="s">
        <v>27081</v>
      </c>
      <c r="F1277" s="26" t="s">
        <v>25439</v>
      </c>
      <c r="G1277" s="27" t="s">
        <v>9005</v>
      </c>
      <c r="H1277" s="28" t="s">
        <v>9006</v>
      </c>
      <c r="I1277" s="5" t="s">
        <v>197</v>
      </c>
    </row>
    <row r="1278" spans="1:9" ht="51.75" customHeight="1">
      <c r="A1278" s="5" t="s">
        <v>27078</v>
      </c>
      <c r="B1278" s="5" t="s">
        <v>27082</v>
      </c>
      <c r="C1278" s="5" t="s">
        <v>27080</v>
      </c>
      <c r="D1278" s="246">
        <v>41655</v>
      </c>
      <c r="E1278" s="5" t="s">
        <v>27083</v>
      </c>
      <c r="F1278" s="26" t="s">
        <v>23600</v>
      </c>
      <c r="G1278" s="27" t="s">
        <v>9005</v>
      </c>
      <c r="H1278" s="28" t="s">
        <v>9006</v>
      </c>
      <c r="I1278" s="5" t="s">
        <v>197</v>
      </c>
    </row>
    <row r="1279" spans="1:9" ht="51.75" customHeight="1">
      <c r="A1279" s="5" t="s">
        <v>25310</v>
      </c>
      <c r="B1279" s="5" t="s">
        <v>27084</v>
      </c>
      <c r="C1279" s="5" t="s">
        <v>27085</v>
      </c>
      <c r="D1279" s="246">
        <v>41655</v>
      </c>
      <c r="E1279" s="5" t="s">
        <v>27086</v>
      </c>
      <c r="F1279" s="26" t="s">
        <v>25439</v>
      </c>
      <c r="G1279" s="27" t="s">
        <v>9005</v>
      </c>
      <c r="H1279" s="28" t="s">
        <v>9006</v>
      </c>
      <c r="I1279" s="5" t="s">
        <v>197</v>
      </c>
    </row>
    <row r="1280" spans="1:9" ht="51.75" customHeight="1">
      <c r="A1280" s="5" t="s">
        <v>25310</v>
      </c>
      <c r="B1280" s="5" t="s">
        <v>27087</v>
      </c>
      <c r="C1280" s="5" t="s">
        <v>27085</v>
      </c>
      <c r="D1280" s="246">
        <v>41655</v>
      </c>
      <c r="E1280" s="5" t="s">
        <v>27088</v>
      </c>
      <c r="F1280" s="26" t="s">
        <v>23600</v>
      </c>
      <c r="G1280" s="27" t="s">
        <v>9005</v>
      </c>
      <c r="H1280" s="28" t="s">
        <v>9006</v>
      </c>
      <c r="I1280" s="5" t="s">
        <v>197</v>
      </c>
    </row>
    <row r="1281" spans="1:9" ht="51.75" customHeight="1">
      <c r="A1281" s="5" t="s">
        <v>25313</v>
      </c>
      <c r="B1281" s="5" t="s">
        <v>27089</v>
      </c>
      <c r="C1281" s="5" t="s">
        <v>27090</v>
      </c>
      <c r="D1281" s="246">
        <v>41655</v>
      </c>
      <c r="E1281" s="5" t="s">
        <v>27091</v>
      </c>
      <c r="F1281" s="26" t="s">
        <v>25439</v>
      </c>
      <c r="G1281" s="27" t="s">
        <v>9005</v>
      </c>
      <c r="H1281" s="28" t="s">
        <v>9006</v>
      </c>
      <c r="I1281" s="5" t="s">
        <v>197</v>
      </c>
    </row>
    <row r="1282" spans="1:9" ht="51.75" customHeight="1">
      <c r="A1282" s="5" t="s">
        <v>25313</v>
      </c>
      <c r="B1282" s="5" t="s">
        <v>27092</v>
      </c>
      <c r="C1282" s="5" t="s">
        <v>27090</v>
      </c>
      <c r="D1282" s="246">
        <v>41655</v>
      </c>
      <c r="E1282" s="5" t="s">
        <v>27093</v>
      </c>
      <c r="F1282" s="26" t="s">
        <v>23600</v>
      </c>
      <c r="G1282" s="27" t="s">
        <v>9005</v>
      </c>
      <c r="H1282" s="28" t="s">
        <v>9006</v>
      </c>
      <c r="I1282" s="5" t="s">
        <v>197</v>
      </c>
    </row>
    <row r="1283" spans="1:9" ht="51.75" customHeight="1">
      <c r="A1283" s="5" t="s">
        <v>27094</v>
      </c>
      <c r="B1283" s="5" t="s">
        <v>27095</v>
      </c>
      <c r="C1283" s="5" t="s">
        <v>27096</v>
      </c>
      <c r="D1283" s="246">
        <v>41655</v>
      </c>
      <c r="E1283" s="5" t="s">
        <v>27097</v>
      </c>
      <c r="F1283" s="26" t="s">
        <v>25439</v>
      </c>
      <c r="G1283" s="27" t="s">
        <v>9005</v>
      </c>
      <c r="H1283" s="28" t="s">
        <v>9006</v>
      </c>
      <c r="I1283" s="5" t="s">
        <v>197</v>
      </c>
    </row>
    <row r="1284" spans="1:9" ht="51.75" customHeight="1">
      <c r="A1284" s="5" t="s">
        <v>27094</v>
      </c>
      <c r="B1284" s="5" t="s">
        <v>27098</v>
      </c>
      <c r="C1284" s="5" t="s">
        <v>27096</v>
      </c>
      <c r="D1284" s="246">
        <v>41655</v>
      </c>
      <c r="E1284" s="5" t="s">
        <v>27099</v>
      </c>
      <c r="F1284" s="26" t="s">
        <v>23600</v>
      </c>
      <c r="G1284" s="27" t="s">
        <v>9005</v>
      </c>
      <c r="H1284" s="28" t="s">
        <v>9006</v>
      </c>
      <c r="I1284" s="5" t="s">
        <v>197</v>
      </c>
    </row>
    <row r="1285" spans="1:9" ht="51.75" customHeight="1">
      <c r="A1285" s="5" t="s">
        <v>27100</v>
      </c>
      <c r="B1285" s="5" t="s">
        <v>27101</v>
      </c>
      <c r="C1285" s="5" t="s">
        <v>27102</v>
      </c>
      <c r="D1285" s="246">
        <v>41655</v>
      </c>
      <c r="E1285" s="5" t="s">
        <v>27103</v>
      </c>
      <c r="F1285" s="26" t="s">
        <v>25439</v>
      </c>
      <c r="G1285" s="27" t="s">
        <v>9005</v>
      </c>
      <c r="H1285" s="28" t="s">
        <v>9006</v>
      </c>
      <c r="I1285" s="5" t="s">
        <v>197</v>
      </c>
    </row>
    <row r="1286" spans="1:9" ht="51.75" customHeight="1">
      <c r="A1286" s="5" t="s">
        <v>27100</v>
      </c>
      <c r="B1286" s="5" t="s">
        <v>27104</v>
      </c>
      <c r="C1286" s="5" t="s">
        <v>27102</v>
      </c>
      <c r="D1286" s="246">
        <v>41655</v>
      </c>
      <c r="E1286" s="5" t="s">
        <v>27105</v>
      </c>
      <c r="F1286" s="26" t="s">
        <v>23600</v>
      </c>
      <c r="G1286" s="27" t="s">
        <v>9005</v>
      </c>
      <c r="H1286" s="28" t="s">
        <v>9006</v>
      </c>
      <c r="I1286" s="5" t="s">
        <v>197</v>
      </c>
    </row>
    <row r="1287" spans="1:9" ht="51.75" customHeight="1">
      <c r="A1287" s="5" t="s">
        <v>27106</v>
      </c>
      <c r="B1287" s="5" t="s">
        <v>27107</v>
      </c>
      <c r="C1287" s="5" t="s">
        <v>27108</v>
      </c>
      <c r="D1287" s="246">
        <v>41610</v>
      </c>
      <c r="E1287" s="5" t="s">
        <v>27108</v>
      </c>
      <c r="F1287" s="26" t="s">
        <v>25439</v>
      </c>
      <c r="G1287" s="27" t="s">
        <v>8939</v>
      </c>
      <c r="H1287" s="28" t="s">
        <v>8940</v>
      </c>
      <c r="I1287" s="5" t="s">
        <v>197</v>
      </c>
    </row>
    <row r="1288" spans="1:9" ht="51.75" customHeight="1">
      <c r="A1288" s="5" t="s">
        <v>27109</v>
      </c>
      <c r="B1288" s="5" t="s">
        <v>27110</v>
      </c>
      <c r="C1288" s="5" t="s">
        <v>27111</v>
      </c>
      <c r="D1288" s="246">
        <v>41610</v>
      </c>
      <c r="E1288" s="5" t="s">
        <v>27112</v>
      </c>
      <c r="F1288" s="26" t="s">
        <v>25439</v>
      </c>
      <c r="G1288" s="27" t="s">
        <v>8939</v>
      </c>
      <c r="H1288" s="28" t="s">
        <v>8940</v>
      </c>
      <c r="I1288" s="5" t="s">
        <v>197</v>
      </c>
    </row>
    <row r="1289" spans="1:9" ht="51.75" customHeight="1">
      <c r="A1289" s="5" t="s">
        <v>26052</v>
      </c>
      <c r="B1289" s="5" t="s">
        <v>27113</v>
      </c>
      <c r="C1289" s="5" t="s">
        <v>27114</v>
      </c>
      <c r="D1289" s="246">
        <v>41610</v>
      </c>
      <c r="E1289" s="5" t="s">
        <v>27115</v>
      </c>
      <c r="F1289" s="26" t="s">
        <v>25439</v>
      </c>
      <c r="G1289" s="27" t="s">
        <v>8939</v>
      </c>
      <c r="H1289" s="28" t="s">
        <v>8940</v>
      </c>
      <c r="I1289" s="5" t="s">
        <v>197</v>
      </c>
    </row>
    <row r="1290" spans="1:9" ht="51.75" customHeight="1">
      <c r="A1290" s="5" t="s">
        <v>25316</v>
      </c>
      <c r="B1290" s="5" t="s">
        <v>27116</v>
      </c>
      <c r="C1290" s="5" t="s">
        <v>27117</v>
      </c>
      <c r="D1290" s="246">
        <v>41610</v>
      </c>
      <c r="E1290" s="5" t="s">
        <v>27118</v>
      </c>
      <c r="F1290" s="26" t="s">
        <v>25439</v>
      </c>
      <c r="G1290" s="27" t="s">
        <v>8288</v>
      </c>
      <c r="H1290" s="28" t="s">
        <v>8289</v>
      </c>
      <c r="I1290" s="5" t="s">
        <v>197</v>
      </c>
    </row>
    <row r="1291" spans="1:9" ht="51.75" customHeight="1">
      <c r="A1291" s="5" t="s">
        <v>27119</v>
      </c>
      <c r="B1291" s="5" t="s">
        <v>27120</v>
      </c>
      <c r="C1291" s="5" t="s">
        <v>27121</v>
      </c>
      <c r="D1291" s="246">
        <v>41610</v>
      </c>
      <c r="E1291" s="5" t="s">
        <v>27122</v>
      </c>
      <c r="F1291" s="26" t="s">
        <v>25439</v>
      </c>
      <c r="G1291" s="27" t="s">
        <v>8288</v>
      </c>
      <c r="H1291" s="28" t="s">
        <v>8289</v>
      </c>
      <c r="I1291" s="5" t="s">
        <v>197</v>
      </c>
    </row>
    <row r="1292" spans="1:9" ht="51.75" customHeight="1">
      <c r="A1292" s="5" t="s">
        <v>24499</v>
      </c>
      <c r="B1292" s="5" t="s">
        <v>27123</v>
      </c>
      <c r="C1292" s="5" t="s">
        <v>27124</v>
      </c>
      <c r="D1292" s="246">
        <v>41859</v>
      </c>
      <c r="E1292" s="5" t="s">
        <v>27125</v>
      </c>
      <c r="F1292" s="26" t="s">
        <v>25439</v>
      </c>
      <c r="G1292" s="27" t="s">
        <v>8492</v>
      </c>
      <c r="H1292" s="28" t="s">
        <v>8493</v>
      </c>
      <c r="I1292" s="5" t="s">
        <v>197</v>
      </c>
    </row>
    <row r="1293" spans="1:9" ht="51.75" customHeight="1">
      <c r="A1293" s="5" t="s">
        <v>24499</v>
      </c>
      <c r="B1293" s="5" t="s">
        <v>27126</v>
      </c>
      <c r="C1293" s="5" t="s">
        <v>27124</v>
      </c>
      <c r="D1293" s="246">
        <v>41859</v>
      </c>
      <c r="E1293" s="5" t="s">
        <v>27127</v>
      </c>
      <c r="F1293" s="26" t="s">
        <v>23600</v>
      </c>
      <c r="G1293" s="27" t="s">
        <v>8492</v>
      </c>
      <c r="H1293" s="28" t="s">
        <v>8493</v>
      </c>
      <c r="I1293" s="5" t="s">
        <v>197</v>
      </c>
    </row>
    <row r="1294" spans="1:9" ht="51.75" customHeight="1">
      <c r="A1294" s="5" t="s">
        <v>24503</v>
      </c>
      <c r="B1294" s="5" t="s">
        <v>27128</v>
      </c>
      <c r="C1294" s="5" t="s">
        <v>27129</v>
      </c>
      <c r="D1294" s="246">
        <v>41859</v>
      </c>
      <c r="E1294" s="5" t="s">
        <v>27130</v>
      </c>
      <c r="F1294" s="26" t="s">
        <v>25439</v>
      </c>
      <c r="G1294" s="27" t="s">
        <v>8492</v>
      </c>
      <c r="H1294" s="28" t="s">
        <v>8493</v>
      </c>
      <c r="I1294" s="5" t="s">
        <v>197</v>
      </c>
    </row>
    <row r="1295" spans="1:9" ht="51.75" customHeight="1">
      <c r="A1295" s="5" t="s">
        <v>24503</v>
      </c>
      <c r="B1295" s="5" t="s">
        <v>27131</v>
      </c>
      <c r="C1295" s="5" t="s">
        <v>27129</v>
      </c>
      <c r="D1295" s="246">
        <v>41859</v>
      </c>
      <c r="E1295" s="5" t="s">
        <v>27132</v>
      </c>
      <c r="F1295" s="26" t="s">
        <v>23600</v>
      </c>
      <c r="G1295" s="27" t="s">
        <v>8492</v>
      </c>
      <c r="H1295" s="28" t="s">
        <v>8493</v>
      </c>
      <c r="I1295" s="5" t="s">
        <v>197</v>
      </c>
    </row>
    <row r="1296" spans="1:9" ht="51.75" customHeight="1">
      <c r="A1296" s="5" t="s">
        <v>27133</v>
      </c>
      <c r="B1296" s="5" t="s">
        <v>27134</v>
      </c>
      <c r="C1296" s="5" t="s">
        <v>27135</v>
      </c>
      <c r="D1296" s="246">
        <v>41859</v>
      </c>
      <c r="E1296" s="5" t="s">
        <v>27136</v>
      </c>
      <c r="F1296" s="26" t="s">
        <v>25439</v>
      </c>
      <c r="G1296" s="27" t="s">
        <v>8492</v>
      </c>
      <c r="H1296" s="28" t="s">
        <v>8493</v>
      </c>
      <c r="I1296" s="5" t="s">
        <v>197</v>
      </c>
    </row>
    <row r="1297" spans="1:9" ht="51.75" customHeight="1">
      <c r="A1297" s="5" t="s">
        <v>27133</v>
      </c>
      <c r="B1297" s="5" t="s">
        <v>27137</v>
      </c>
      <c r="C1297" s="5" t="s">
        <v>27135</v>
      </c>
      <c r="D1297" s="246">
        <v>41859</v>
      </c>
      <c r="E1297" s="5" t="s">
        <v>27138</v>
      </c>
      <c r="F1297" s="26" t="s">
        <v>23600</v>
      </c>
      <c r="G1297" s="27" t="s">
        <v>8492</v>
      </c>
      <c r="H1297" s="28" t="s">
        <v>8493</v>
      </c>
      <c r="I1297" s="5" t="s">
        <v>197</v>
      </c>
    </row>
    <row r="1298" spans="1:9" ht="51.75" customHeight="1">
      <c r="A1298" s="5" t="s">
        <v>27139</v>
      </c>
      <c r="B1298" s="5" t="s">
        <v>27140</v>
      </c>
      <c r="C1298" s="5" t="s">
        <v>27135</v>
      </c>
      <c r="D1298" s="246">
        <v>41859</v>
      </c>
      <c r="E1298" s="5" t="s">
        <v>27136</v>
      </c>
      <c r="F1298" s="26" t="s">
        <v>25439</v>
      </c>
      <c r="G1298" s="27" t="s">
        <v>8492</v>
      </c>
      <c r="H1298" s="28" t="s">
        <v>8493</v>
      </c>
      <c r="I1298" s="5" t="s">
        <v>197</v>
      </c>
    </row>
    <row r="1299" spans="1:9" ht="51.75" customHeight="1">
      <c r="A1299" s="5" t="s">
        <v>27139</v>
      </c>
      <c r="B1299" s="5" t="s">
        <v>27141</v>
      </c>
      <c r="C1299" s="5" t="s">
        <v>27135</v>
      </c>
      <c r="D1299" s="246">
        <v>41859</v>
      </c>
      <c r="E1299" s="5" t="s">
        <v>27138</v>
      </c>
      <c r="F1299" s="26" t="s">
        <v>23600</v>
      </c>
      <c r="G1299" s="27" t="s">
        <v>8492</v>
      </c>
      <c r="H1299" s="28" t="s">
        <v>8493</v>
      </c>
      <c r="I1299" s="5" t="s">
        <v>197</v>
      </c>
    </row>
    <row r="1300" spans="1:9" ht="51.75" customHeight="1">
      <c r="A1300" s="5" t="s">
        <v>27142</v>
      </c>
      <c r="B1300" s="5" t="s">
        <v>27143</v>
      </c>
      <c r="C1300" s="5" t="s">
        <v>27144</v>
      </c>
      <c r="D1300" s="246">
        <v>41859</v>
      </c>
      <c r="E1300" s="5" t="s">
        <v>27145</v>
      </c>
      <c r="F1300" s="26" t="s">
        <v>25439</v>
      </c>
      <c r="G1300" s="27" t="s">
        <v>8492</v>
      </c>
      <c r="H1300" s="28" t="s">
        <v>8493</v>
      </c>
      <c r="I1300" s="5" t="s">
        <v>197</v>
      </c>
    </row>
    <row r="1301" spans="1:9" ht="51.75" customHeight="1">
      <c r="A1301" s="5" t="s">
        <v>27142</v>
      </c>
      <c r="B1301" s="5" t="s">
        <v>27146</v>
      </c>
      <c r="C1301" s="5" t="s">
        <v>27144</v>
      </c>
      <c r="D1301" s="246">
        <v>41859</v>
      </c>
      <c r="E1301" s="5" t="s">
        <v>27147</v>
      </c>
      <c r="F1301" s="26" t="s">
        <v>23600</v>
      </c>
      <c r="G1301" s="27" t="s">
        <v>8492</v>
      </c>
      <c r="H1301" s="28" t="s">
        <v>8493</v>
      </c>
      <c r="I1301" s="5" t="s">
        <v>197</v>
      </c>
    </row>
    <row r="1302" spans="1:9" ht="51.75" customHeight="1">
      <c r="A1302" s="5" t="s">
        <v>23960</v>
      </c>
      <c r="B1302" s="5" t="s">
        <v>27148</v>
      </c>
      <c r="C1302" s="5" t="s">
        <v>27149</v>
      </c>
      <c r="D1302" s="246">
        <v>41859</v>
      </c>
      <c r="E1302" s="5" t="s">
        <v>27150</v>
      </c>
      <c r="F1302" s="26" t="s">
        <v>25439</v>
      </c>
      <c r="G1302" s="27" t="s">
        <v>8492</v>
      </c>
      <c r="H1302" s="28" t="s">
        <v>8493</v>
      </c>
      <c r="I1302" s="5" t="s">
        <v>197</v>
      </c>
    </row>
    <row r="1303" spans="1:9" ht="51.75" customHeight="1">
      <c r="A1303" s="5" t="s">
        <v>23960</v>
      </c>
      <c r="B1303" s="5" t="s">
        <v>27151</v>
      </c>
      <c r="C1303" s="5" t="s">
        <v>27149</v>
      </c>
      <c r="D1303" s="246">
        <v>41859</v>
      </c>
      <c r="E1303" s="5" t="s">
        <v>27152</v>
      </c>
      <c r="F1303" s="26" t="s">
        <v>23600</v>
      </c>
      <c r="G1303" s="27" t="s">
        <v>8492</v>
      </c>
      <c r="H1303" s="28" t="s">
        <v>8493</v>
      </c>
      <c r="I1303" s="5" t="s">
        <v>197</v>
      </c>
    </row>
    <row r="1304" spans="1:9" ht="51.75" customHeight="1">
      <c r="A1304" s="5" t="s">
        <v>27153</v>
      </c>
      <c r="B1304" s="5" t="s">
        <v>27154</v>
      </c>
      <c r="C1304" s="5" t="s">
        <v>27155</v>
      </c>
      <c r="D1304" s="246">
        <v>41859</v>
      </c>
      <c r="E1304" s="5" t="s">
        <v>27156</v>
      </c>
      <c r="F1304" s="26" t="s">
        <v>25439</v>
      </c>
      <c r="G1304" s="27" t="s">
        <v>8492</v>
      </c>
      <c r="H1304" s="28" t="s">
        <v>8493</v>
      </c>
      <c r="I1304" s="5" t="s">
        <v>197</v>
      </c>
    </row>
    <row r="1305" spans="1:9" ht="51.75" customHeight="1">
      <c r="A1305" s="5" t="s">
        <v>27153</v>
      </c>
      <c r="B1305" s="5" t="s">
        <v>27157</v>
      </c>
      <c r="C1305" s="5" t="s">
        <v>27155</v>
      </c>
      <c r="D1305" s="246">
        <v>41859</v>
      </c>
      <c r="E1305" s="5" t="s">
        <v>27158</v>
      </c>
      <c r="F1305" s="26" t="s">
        <v>23600</v>
      </c>
      <c r="G1305" s="27" t="s">
        <v>8492</v>
      </c>
      <c r="H1305" s="28" t="s">
        <v>8493</v>
      </c>
      <c r="I1305" s="5" t="s">
        <v>197</v>
      </c>
    </row>
    <row r="1306" spans="1:9" ht="51.75" customHeight="1">
      <c r="A1306" s="5" t="s">
        <v>23938</v>
      </c>
      <c r="B1306" s="5" t="s">
        <v>27159</v>
      </c>
      <c r="C1306" s="5" t="s">
        <v>27160</v>
      </c>
      <c r="D1306" s="246">
        <v>41859</v>
      </c>
      <c r="E1306" s="5" t="s">
        <v>27161</v>
      </c>
      <c r="F1306" s="26" t="s">
        <v>25439</v>
      </c>
      <c r="G1306" s="27" t="s">
        <v>8492</v>
      </c>
      <c r="H1306" s="28" t="s">
        <v>8493</v>
      </c>
      <c r="I1306" s="5" t="s">
        <v>197</v>
      </c>
    </row>
    <row r="1307" spans="1:9" ht="51.75" customHeight="1">
      <c r="A1307" s="5" t="s">
        <v>23938</v>
      </c>
      <c r="B1307" s="5" t="s">
        <v>27162</v>
      </c>
      <c r="C1307" s="5" t="s">
        <v>27160</v>
      </c>
      <c r="D1307" s="246">
        <v>41859</v>
      </c>
      <c r="E1307" s="5" t="s">
        <v>27163</v>
      </c>
      <c r="F1307" s="26" t="s">
        <v>23600</v>
      </c>
      <c r="G1307" s="27" t="s">
        <v>8492</v>
      </c>
      <c r="H1307" s="28" t="s">
        <v>8493</v>
      </c>
      <c r="I1307" s="5" t="s">
        <v>197</v>
      </c>
    </row>
    <row r="1308" spans="1:9" ht="51.75" customHeight="1">
      <c r="A1308" s="5" t="s">
        <v>27164</v>
      </c>
      <c r="B1308" s="5" t="s">
        <v>27165</v>
      </c>
      <c r="C1308" s="5" t="s">
        <v>26660</v>
      </c>
      <c r="D1308" s="246">
        <v>41918</v>
      </c>
      <c r="E1308" s="5" t="s">
        <v>26661</v>
      </c>
      <c r="F1308" s="26" t="s">
        <v>25439</v>
      </c>
      <c r="G1308" s="27" t="s">
        <v>8799</v>
      </c>
      <c r="H1308" s="28" t="s">
        <v>8800</v>
      </c>
      <c r="I1308" s="5" t="s">
        <v>197</v>
      </c>
    </row>
    <row r="1309" spans="1:9" ht="51.75" customHeight="1">
      <c r="A1309" s="5" t="s">
        <v>27164</v>
      </c>
      <c r="B1309" s="5" t="s">
        <v>27166</v>
      </c>
      <c r="C1309" s="5" t="s">
        <v>26660</v>
      </c>
      <c r="D1309" s="246">
        <v>41918</v>
      </c>
      <c r="E1309" s="5" t="s">
        <v>27167</v>
      </c>
      <c r="F1309" s="26" t="s">
        <v>23600</v>
      </c>
      <c r="G1309" s="27" t="s">
        <v>8799</v>
      </c>
      <c r="H1309" s="28" t="s">
        <v>8800</v>
      </c>
      <c r="I1309" s="5" t="s">
        <v>197</v>
      </c>
    </row>
    <row r="1310" spans="1:9" ht="51.75" customHeight="1">
      <c r="A1310" s="5" t="s">
        <v>27168</v>
      </c>
      <c r="B1310" s="5" t="s">
        <v>27169</v>
      </c>
      <c r="C1310" s="5" t="s">
        <v>26892</v>
      </c>
      <c r="D1310" s="246">
        <v>41918</v>
      </c>
      <c r="E1310" s="5" t="s">
        <v>26666</v>
      </c>
      <c r="F1310" s="26" t="s">
        <v>25439</v>
      </c>
      <c r="G1310" s="27" t="s">
        <v>8799</v>
      </c>
      <c r="H1310" s="28" t="s">
        <v>8800</v>
      </c>
      <c r="I1310" s="5" t="s">
        <v>197</v>
      </c>
    </row>
    <row r="1311" spans="1:9" ht="51.75" customHeight="1">
      <c r="A1311" s="5" t="s">
        <v>27168</v>
      </c>
      <c r="B1311" s="5" t="s">
        <v>27170</v>
      </c>
      <c r="C1311" s="5" t="s">
        <v>26892</v>
      </c>
      <c r="D1311" s="246">
        <v>41918</v>
      </c>
      <c r="E1311" s="5" t="s">
        <v>26668</v>
      </c>
      <c r="F1311" s="26" t="s">
        <v>23600</v>
      </c>
      <c r="G1311" s="27" t="s">
        <v>8799</v>
      </c>
      <c r="H1311" s="28" t="s">
        <v>8800</v>
      </c>
      <c r="I1311" s="5" t="s">
        <v>197</v>
      </c>
    </row>
    <row r="1312" spans="1:9" ht="51.75" customHeight="1">
      <c r="A1312" s="5" t="s">
        <v>27171</v>
      </c>
      <c r="B1312" s="5" t="s">
        <v>27172</v>
      </c>
      <c r="C1312" s="5" t="s">
        <v>26892</v>
      </c>
      <c r="D1312" s="246">
        <v>41918</v>
      </c>
      <c r="E1312" s="5" t="s">
        <v>27173</v>
      </c>
      <c r="F1312" s="26" t="s">
        <v>25439</v>
      </c>
      <c r="G1312" s="27" t="s">
        <v>8799</v>
      </c>
      <c r="H1312" s="28" t="s">
        <v>8800</v>
      </c>
      <c r="I1312" s="5" t="s">
        <v>197</v>
      </c>
    </row>
    <row r="1313" spans="1:9" ht="51.75" customHeight="1">
      <c r="A1313" s="5" t="s">
        <v>27171</v>
      </c>
      <c r="B1313" s="5" t="s">
        <v>27174</v>
      </c>
      <c r="C1313" s="5" t="s">
        <v>26892</v>
      </c>
      <c r="D1313" s="246">
        <v>41918</v>
      </c>
      <c r="E1313" s="5" t="s">
        <v>26672</v>
      </c>
      <c r="F1313" s="26" t="s">
        <v>23600</v>
      </c>
      <c r="G1313" s="27" t="s">
        <v>8799</v>
      </c>
      <c r="H1313" s="28" t="s">
        <v>8800</v>
      </c>
      <c r="I1313" s="5" t="s">
        <v>197</v>
      </c>
    </row>
    <row r="1314" spans="1:9" ht="51.75" customHeight="1">
      <c r="A1314" s="5" t="s">
        <v>23904</v>
      </c>
      <c r="B1314" s="5" t="s">
        <v>27175</v>
      </c>
      <c r="C1314" s="5" t="s">
        <v>26892</v>
      </c>
      <c r="D1314" s="246">
        <v>41918</v>
      </c>
      <c r="E1314" s="5" t="s">
        <v>26674</v>
      </c>
      <c r="F1314" s="26" t="s">
        <v>25439</v>
      </c>
      <c r="G1314" s="27" t="s">
        <v>8799</v>
      </c>
      <c r="H1314" s="28" t="s">
        <v>8800</v>
      </c>
      <c r="I1314" s="5" t="s">
        <v>197</v>
      </c>
    </row>
    <row r="1315" spans="1:9" ht="51.75" customHeight="1">
      <c r="A1315" s="5" t="s">
        <v>23904</v>
      </c>
      <c r="B1315" s="5" t="s">
        <v>27176</v>
      </c>
      <c r="C1315" s="5" t="s">
        <v>26892</v>
      </c>
      <c r="D1315" s="246">
        <v>41918</v>
      </c>
      <c r="E1315" s="5" t="s">
        <v>27177</v>
      </c>
      <c r="F1315" s="26" t="s">
        <v>23600</v>
      </c>
      <c r="G1315" s="27" t="s">
        <v>8799</v>
      </c>
      <c r="H1315" s="28" t="s">
        <v>8800</v>
      </c>
      <c r="I1315" s="5" t="s">
        <v>197</v>
      </c>
    </row>
    <row r="1316" spans="1:9" ht="51.75" customHeight="1">
      <c r="A1316" s="5" t="s">
        <v>23908</v>
      </c>
      <c r="B1316" s="5" t="s">
        <v>27178</v>
      </c>
      <c r="C1316" s="5" t="s">
        <v>26892</v>
      </c>
      <c r="D1316" s="246">
        <v>41918</v>
      </c>
      <c r="E1316" s="5" t="s">
        <v>26678</v>
      </c>
      <c r="F1316" s="26" t="s">
        <v>25439</v>
      </c>
      <c r="G1316" s="27" t="s">
        <v>8799</v>
      </c>
      <c r="H1316" s="28" t="s">
        <v>8800</v>
      </c>
      <c r="I1316" s="5" t="s">
        <v>197</v>
      </c>
    </row>
    <row r="1317" spans="1:9" ht="51.75" customHeight="1">
      <c r="A1317" s="5" t="s">
        <v>23908</v>
      </c>
      <c r="B1317" s="5" t="s">
        <v>27179</v>
      </c>
      <c r="C1317" s="5" t="s">
        <v>26892</v>
      </c>
      <c r="D1317" s="246">
        <v>41918</v>
      </c>
      <c r="E1317" s="5" t="s">
        <v>26680</v>
      </c>
      <c r="F1317" s="26" t="s">
        <v>23600</v>
      </c>
      <c r="G1317" s="27" t="s">
        <v>8799</v>
      </c>
      <c r="H1317" s="28" t="s">
        <v>8800</v>
      </c>
      <c r="I1317" s="5" t="s">
        <v>197</v>
      </c>
    </row>
    <row r="1318" spans="1:9" ht="51.75" customHeight="1">
      <c r="A1318" s="5" t="s">
        <v>27180</v>
      </c>
      <c r="B1318" s="5" t="s">
        <v>27181</v>
      </c>
      <c r="C1318" s="5" t="s">
        <v>26682</v>
      </c>
      <c r="D1318" s="246">
        <v>41918</v>
      </c>
      <c r="E1318" s="5" t="s">
        <v>26899</v>
      </c>
      <c r="F1318" s="26" t="s">
        <v>25439</v>
      </c>
      <c r="G1318" s="27" t="s">
        <v>8799</v>
      </c>
      <c r="H1318" s="28" t="s">
        <v>8800</v>
      </c>
      <c r="I1318" s="5" t="s">
        <v>197</v>
      </c>
    </row>
    <row r="1319" spans="1:9" ht="51.75" customHeight="1">
      <c r="A1319" s="5" t="s">
        <v>27180</v>
      </c>
      <c r="B1319" s="5" t="s">
        <v>27182</v>
      </c>
      <c r="C1319" s="5" t="s">
        <v>26682</v>
      </c>
      <c r="D1319" s="246">
        <v>41918</v>
      </c>
      <c r="E1319" s="5" t="s">
        <v>26901</v>
      </c>
      <c r="F1319" s="26" t="s">
        <v>23600</v>
      </c>
      <c r="G1319" s="27" t="s">
        <v>8799</v>
      </c>
      <c r="H1319" s="28" t="s">
        <v>8800</v>
      </c>
      <c r="I1319" s="5" t="s">
        <v>197</v>
      </c>
    </row>
    <row r="1320" spans="1:9" ht="51.75" customHeight="1">
      <c r="A1320" s="5" t="s">
        <v>27183</v>
      </c>
      <c r="B1320" s="5" t="s">
        <v>27184</v>
      </c>
      <c r="C1320" s="5" t="s">
        <v>26904</v>
      </c>
      <c r="D1320" s="246">
        <v>41918</v>
      </c>
      <c r="E1320" s="5" t="s">
        <v>27185</v>
      </c>
      <c r="F1320" s="26" t="s">
        <v>25439</v>
      </c>
      <c r="G1320" s="27" t="s">
        <v>8799</v>
      </c>
      <c r="H1320" s="28" t="s">
        <v>8800</v>
      </c>
      <c r="I1320" s="5" t="s">
        <v>197</v>
      </c>
    </row>
    <row r="1321" spans="1:9" ht="51.75" customHeight="1">
      <c r="A1321" s="5" t="s">
        <v>27183</v>
      </c>
      <c r="B1321" s="5" t="s">
        <v>27186</v>
      </c>
      <c r="C1321" s="5" t="s">
        <v>26904</v>
      </c>
      <c r="D1321" s="246">
        <v>41918</v>
      </c>
      <c r="E1321" s="5" t="s">
        <v>26907</v>
      </c>
      <c r="F1321" s="26" t="s">
        <v>23600</v>
      </c>
      <c r="G1321" s="27" t="s">
        <v>8799</v>
      </c>
      <c r="H1321" s="28" t="s">
        <v>8800</v>
      </c>
      <c r="I1321" s="5" t="s">
        <v>197</v>
      </c>
    </row>
    <row r="1322" spans="1:9" ht="51.75" customHeight="1">
      <c r="A1322" s="5" t="s">
        <v>27187</v>
      </c>
      <c r="B1322" s="5" t="s">
        <v>27188</v>
      </c>
      <c r="C1322" s="5" t="s">
        <v>27124</v>
      </c>
      <c r="D1322" s="246">
        <v>41851</v>
      </c>
      <c r="E1322" s="5" t="s">
        <v>27125</v>
      </c>
      <c r="F1322" s="26" t="s">
        <v>25439</v>
      </c>
      <c r="G1322" s="27" t="s">
        <v>8917</v>
      </c>
      <c r="H1322" s="28" t="s">
        <v>8918</v>
      </c>
      <c r="I1322" s="5" t="s">
        <v>197</v>
      </c>
    </row>
    <row r="1323" spans="1:9" ht="51.75" customHeight="1">
      <c r="A1323" s="5" t="s">
        <v>27187</v>
      </c>
      <c r="B1323" s="5" t="s">
        <v>27189</v>
      </c>
      <c r="C1323" s="5" t="s">
        <v>27124</v>
      </c>
      <c r="D1323" s="246">
        <v>41851</v>
      </c>
      <c r="E1323" s="5" t="s">
        <v>27190</v>
      </c>
      <c r="F1323" s="26" t="s">
        <v>23600</v>
      </c>
      <c r="G1323" s="27" t="s">
        <v>8917</v>
      </c>
      <c r="H1323" s="28" t="s">
        <v>8918</v>
      </c>
      <c r="I1323" s="5" t="s">
        <v>197</v>
      </c>
    </row>
    <row r="1324" spans="1:9" ht="51.75" customHeight="1">
      <c r="A1324" s="5" t="s">
        <v>27191</v>
      </c>
      <c r="B1324" s="5" t="s">
        <v>27192</v>
      </c>
      <c r="C1324" s="5" t="s">
        <v>27193</v>
      </c>
      <c r="D1324" s="246">
        <v>41851</v>
      </c>
      <c r="E1324" s="5" t="s">
        <v>27194</v>
      </c>
      <c r="F1324" s="26" t="s">
        <v>25439</v>
      </c>
      <c r="G1324" s="27" t="s">
        <v>8917</v>
      </c>
      <c r="H1324" s="28" t="s">
        <v>8918</v>
      </c>
      <c r="I1324" s="5" t="s">
        <v>197</v>
      </c>
    </row>
    <row r="1325" spans="1:9" ht="51.75" customHeight="1">
      <c r="A1325" s="5" t="s">
        <v>27191</v>
      </c>
      <c r="B1325" s="5" t="s">
        <v>27195</v>
      </c>
      <c r="C1325" s="5" t="s">
        <v>27193</v>
      </c>
      <c r="D1325" s="246">
        <v>41851</v>
      </c>
      <c r="E1325" s="5" t="s">
        <v>27196</v>
      </c>
      <c r="F1325" s="26" t="s">
        <v>23600</v>
      </c>
      <c r="G1325" s="27" t="s">
        <v>8917</v>
      </c>
      <c r="H1325" s="28" t="s">
        <v>8918</v>
      </c>
      <c r="I1325" s="5" t="s">
        <v>197</v>
      </c>
    </row>
    <row r="1326" spans="1:9" ht="51.75" customHeight="1">
      <c r="A1326" s="5" t="s">
        <v>23828</v>
      </c>
      <c r="B1326" s="5" t="s">
        <v>27197</v>
      </c>
      <c r="C1326" s="5" t="s">
        <v>27198</v>
      </c>
      <c r="D1326" s="246">
        <v>41851</v>
      </c>
      <c r="E1326" s="5" t="s">
        <v>27199</v>
      </c>
      <c r="F1326" s="26" t="s">
        <v>25439</v>
      </c>
      <c r="G1326" s="27" t="s">
        <v>8917</v>
      </c>
      <c r="H1326" s="28" t="s">
        <v>8918</v>
      </c>
      <c r="I1326" s="5" t="s">
        <v>197</v>
      </c>
    </row>
    <row r="1327" spans="1:9" ht="51.75" customHeight="1">
      <c r="A1327" s="5" t="s">
        <v>23828</v>
      </c>
      <c r="B1327" s="5" t="s">
        <v>27200</v>
      </c>
      <c r="C1327" s="5" t="s">
        <v>27198</v>
      </c>
      <c r="D1327" s="246">
        <v>41851</v>
      </c>
      <c r="E1327" s="5" t="s">
        <v>27201</v>
      </c>
      <c r="F1327" s="26" t="s">
        <v>23600</v>
      </c>
      <c r="G1327" s="27" t="s">
        <v>8917</v>
      </c>
      <c r="H1327" s="28" t="s">
        <v>8918</v>
      </c>
      <c r="I1327" s="5" t="s">
        <v>197</v>
      </c>
    </row>
    <row r="1328" spans="1:9" ht="51.75" customHeight="1">
      <c r="A1328" s="5" t="s">
        <v>23696</v>
      </c>
      <c r="B1328" s="5" t="s">
        <v>27202</v>
      </c>
      <c r="C1328" s="5" t="s">
        <v>26461</v>
      </c>
      <c r="D1328" s="246">
        <v>41844</v>
      </c>
      <c r="E1328" s="5" t="s">
        <v>27203</v>
      </c>
      <c r="F1328" s="26" t="s">
        <v>25439</v>
      </c>
      <c r="G1328" s="27" t="s">
        <v>8849</v>
      </c>
      <c r="H1328" s="28" t="s">
        <v>8850</v>
      </c>
      <c r="I1328" s="5" t="s">
        <v>197</v>
      </c>
    </row>
    <row r="1329" spans="1:9" ht="51.75" customHeight="1">
      <c r="A1329" s="5" t="s">
        <v>23696</v>
      </c>
      <c r="B1329" s="5" t="s">
        <v>27204</v>
      </c>
      <c r="C1329" s="5" t="s">
        <v>26461</v>
      </c>
      <c r="D1329" s="246">
        <v>41844</v>
      </c>
      <c r="E1329" s="5" t="s">
        <v>27205</v>
      </c>
      <c r="F1329" s="26" t="s">
        <v>23600</v>
      </c>
      <c r="G1329" s="27" t="s">
        <v>8849</v>
      </c>
      <c r="H1329" s="28" t="s">
        <v>8850</v>
      </c>
      <c r="I1329" s="5" t="s">
        <v>197</v>
      </c>
    </row>
    <row r="1330" spans="1:9" ht="51.75" customHeight="1">
      <c r="A1330" s="5" t="s">
        <v>23608</v>
      </c>
      <c r="B1330" s="5" t="s">
        <v>27206</v>
      </c>
      <c r="C1330" s="5" t="s">
        <v>27207</v>
      </c>
      <c r="D1330" s="246">
        <v>42096</v>
      </c>
      <c r="E1330" s="5" t="s">
        <v>27208</v>
      </c>
      <c r="F1330" s="26" t="s">
        <v>25439</v>
      </c>
      <c r="G1330" s="27" t="s">
        <v>9855</v>
      </c>
      <c r="H1330" s="28" t="s">
        <v>9856</v>
      </c>
      <c r="I1330" s="5" t="s">
        <v>197</v>
      </c>
    </row>
    <row r="1331" spans="1:9" ht="51.75" customHeight="1">
      <c r="A1331" s="5" t="s">
        <v>23608</v>
      </c>
      <c r="B1331" s="5" t="s">
        <v>27209</v>
      </c>
      <c r="C1331" s="5" t="s">
        <v>27207</v>
      </c>
      <c r="D1331" s="246">
        <v>42096</v>
      </c>
      <c r="E1331" s="5" t="s">
        <v>27210</v>
      </c>
      <c r="F1331" s="26" t="s">
        <v>23600</v>
      </c>
      <c r="G1331" s="27" t="s">
        <v>9855</v>
      </c>
      <c r="H1331" s="28" t="s">
        <v>9856</v>
      </c>
      <c r="I1331" s="5" t="s">
        <v>197</v>
      </c>
    </row>
    <row r="1332" spans="1:9" ht="51.75" customHeight="1">
      <c r="A1332" s="5" t="s">
        <v>27211</v>
      </c>
      <c r="B1332" s="5" t="s">
        <v>27212</v>
      </c>
      <c r="C1332" s="5" t="s">
        <v>27213</v>
      </c>
      <c r="D1332" s="246">
        <v>42096</v>
      </c>
      <c r="E1332" s="5" t="s">
        <v>27214</v>
      </c>
      <c r="F1332" s="26" t="s">
        <v>25439</v>
      </c>
      <c r="G1332" s="27" t="s">
        <v>9855</v>
      </c>
      <c r="H1332" s="28" t="s">
        <v>9856</v>
      </c>
      <c r="I1332" s="5" t="s">
        <v>197</v>
      </c>
    </row>
    <row r="1333" spans="1:9" ht="51.75" customHeight="1">
      <c r="A1333" s="5" t="s">
        <v>27211</v>
      </c>
      <c r="B1333" s="5" t="s">
        <v>27215</v>
      </c>
      <c r="C1333" s="5" t="s">
        <v>27213</v>
      </c>
      <c r="D1333" s="246">
        <v>42096</v>
      </c>
      <c r="E1333" s="5" t="s">
        <v>27216</v>
      </c>
      <c r="F1333" s="26" t="s">
        <v>23600</v>
      </c>
      <c r="G1333" s="27" t="s">
        <v>9855</v>
      </c>
      <c r="H1333" s="28" t="s">
        <v>9856</v>
      </c>
      <c r="I1333" s="5" t="s">
        <v>197</v>
      </c>
    </row>
    <row r="1334" spans="1:9" ht="51.75" customHeight="1">
      <c r="A1334" s="5" t="s">
        <v>27217</v>
      </c>
      <c r="B1334" s="5" t="s">
        <v>27218</v>
      </c>
      <c r="C1334" s="5" t="s">
        <v>27219</v>
      </c>
      <c r="D1334" s="246">
        <v>42096</v>
      </c>
      <c r="E1334" s="5" t="s">
        <v>27220</v>
      </c>
      <c r="F1334" s="26" t="s">
        <v>25439</v>
      </c>
      <c r="G1334" s="27" t="s">
        <v>9855</v>
      </c>
      <c r="H1334" s="28" t="s">
        <v>9856</v>
      </c>
      <c r="I1334" s="5" t="s">
        <v>197</v>
      </c>
    </row>
    <row r="1335" spans="1:9" ht="51.75" customHeight="1">
      <c r="A1335" s="5" t="s">
        <v>27217</v>
      </c>
      <c r="B1335" s="5" t="s">
        <v>27221</v>
      </c>
      <c r="C1335" s="5" t="s">
        <v>27219</v>
      </c>
      <c r="D1335" s="246">
        <v>42096</v>
      </c>
      <c r="E1335" s="5" t="s">
        <v>27222</v>
      </c>
      <c r="F1335" s="26" t="s">
        <v>23600</v>
      </c>
      <c r="G1335" s="27" t="s">
        <v>9855</v>
      </c>
      <c r="H1335" s="28" t="s">
        <v>9856</v>
      </c>
      <c r="I1335" s="5" t="s">
        <v>197</v>
      </c>
    </row>
    <row r="1336" spans="1:9" ht="51.75" customHeight="1">
      <c r="A1336" s="5" t="s">
        <v>27223</v>
      </c>
      <c r="B1336" s="5" t="s">
        <v>27224</v>
      </c>
      <c r="C1336" s="5" t="s">
        <v>26660</v>
      </c>
      <c r="D1336" s="246">
        <v>41922</v>
      </c>
      <c r="E1336" s="5" t="s">
        <v>26661</v>
      </c>
      <c r="F1336" s="26" t="s">
        <v>25439</v>
      </c>
      <c r="G1336" s="27" t="s">
        <v>9521</v>
      </c>
      <c r="H1336" s="28" t="s">
        <v>9522</v>
      </c>
      <c r="I1336" s="5" t="s">
        <v>197</v>
      </c>
    </row>
    <row r="1337" spans="1:9" ht="51.75" customHeight="1">
      <c r="A1337" s="5" t="s">
        <v>27223</v>
      </c>
      <c r="B1337" s="5" t="s">
        <v>27225</v>
      </c>
      <c r="C1337" s="5" t="s">
        <v>26660</v>
      </c>
      <c r="D1337" s="246">
        <v>41922</v>
      </c>
      <c r="E1337" s="5" t="s">
        <v>27226</v>
      </c>
      <c r="F1337" s="26" t="s">
        <v>23600</v>
      </c>
      <c r="G1337" s="27" t="s">
        <v>9521</v>
      </c>
      <c r="H1337" s="28" t="s">
        <v>9522</v>
      </c>
      <c r="I1337" s="5" t="s">
        <v>197</v>
      </c>
    </row>
    <row r="1338" spans="1:9" ht="51.75" customHeight="1">
      <c r="A1338" s="5" t="s">
        <v>27227</v>
      </c>
      <c r="B1338" s="5" t="s">
        <v>27228</v>
      </c>
      <c r="C1338" s="5" t="s">
        <v>26892</v>
      </c>
      <c r="D1338" s="246">
        <v>41922</v>
      </c>
      <c r="E1338" s="5" t="s">
        <v>26666</v>
      </c>
      <c r="F1338" s="26" t="s">
        <v>25439</v>
      </c>
      <c r="G1338" s="27" t="s">
        <v>9521</v>
      </c>
      <c r="H1338" s="28" t="s">
        <v>9522</v>
      </c>
      <c r="I1338" s="5" t="s">
        <v>197</v>
      </c>
    </row>
    <row r="1339" spans="1:9" ht="51.75" customHeight="1">
      <c r="A1339" s="5" t="s">
        <v>27227</v>
      </c>
      <c r="B1339" s="5" t="s">
        <v>27229</v>
      </c>
      <c r="C1339" s="5" t="s">
        <v>26892</v>
      </c>
      <c r="D1339" s="246">
        <v>41922</v>
      </c>
      <c r="E1339" s="5" t="s">
        <v>26668</v>
      </c>
      <c r="F1339" s="26" t="s">
        <v>23600</v>
      </c>
      <c r="G1339" s="27" t="s">
        <v>9521</v>
      </c>
      <c r="H1339" s="28" t="s">
        <v>9522</v>
      </c>
      <c r="I1339" s="5" t="s">
        <v>197</v>
      </c>
    </row>
    <row r="1340" spans="1:9" ht="51.75" customHeight="1">
      <c r="A1340" s="5" t="s">
        <v>25038</v>
      </c>
      <c r="B1340" s="5" t="s">
        <v>27230</v>
      </c>
      <c r="C1340" s="5" t="s">
        <v>26892</v>
      </c>
      <c r="D1340" s="246">
        <v>41922</v>
      </c>
      <c r="E1340" s="5" t="s">
        <v>27173</v>
      </c>
      <c r="F1340" s="26" t="s">
        <v>25439</v>
      </c>
      <c r="G1340" s="27" t="s">
        <v>9521</v>
      </c>
      <c r="H1340" s="28" t="s">
        <v>9522</v>
      </c>
      <c r="I1340" s="5" t="s">
        <v>197</v>
      </c>
    </row>
    <row r="1341" spans="1:9" ht="51.75" customHeight="1">
      <c r="A1341" s="5" t="s">
        <v>25038</v>
      </c>
      <c r="B1341" s="5" t="s">
        <v>27231</v>
      </c>
      <c r="C1341" s="5" t="s">
        <v>26892</v>
      </c>
      <c r="D1341" s="246">
        <v>41922</v>
      </c>
      <c r="E1341" s="5" t="s">
        <v>26672</v>
      </c>
      <c r="F1341" s="26" t="s">
        <v>23600</v>
      </c>
      <c r="G1341" s="27" t="s">
        <v>9521</v>
      </c>
      <c r="H1341" s="28" t="s">
        <v>9522</v>
      </c>
      <c r="I1341" s="5" t="s">
        <v>197</v>
      </c>
    </row>
    <row r="1342" spans="1:9" ht="51.75" customHeight="1">
      <c r="A1342" s="5" t="s">
        <v>25043</v>
      </c>
      <c r="B1342" s="5" t="s">
        <v>27232</v>
      </c>
      <c r="C1342" s="5" t="s">
        <v>26892</v>
      </c>
      <c r="D1342" s="246">
        <v>41922</v>
      </c>
      <c r="E1342" s="5" t="s">
        <v>26674</v>
      </c>
      <c r="F1342" s="26" t="s">
        <v>25439</v>
      </c>
      <c r="G1342" s="27" t="s">
        <v>9521</v>
      </c>
      <c r="H1342" s="28" t="s">
        <v>9522</v>
      </c>
      <c r="I1342" s="5" t="s">
        <v>197</v>
      </c>
    </row>
    <row r="1343" spans="1:9" ht="51.75" customHeight="1">
      <c r="A1343" s="5" t="s">
        <v>25043</v>
      </c>
      <c r="B1343" s="5" t="s">
        <v>27233</v>
      </c>
      <c r="C1343" s="5" t="s">
        <v>26892</v>
      </c>
      <c r="D1343" s="246">
        <v>41922</v>
      </c>
      <c r="E1343" s="5" t="s">
        <v>27177</v>
      </c>
      <c r="F1343" s="26" t="s">
        <v>23600</v>
      </c>
      <c r="G1343" s="27" t="s">
        <v>9521</v>
      </c>
      <c r="H1343" s="28" t="s">
        <v>9522</v>
      </c>
      <c r="I1343" s="5" t="s">
        <v>197</v>
      </c>
    </row>
    <row r="1344" spans="1:9" ht="51.75" customHeight="1">
      <c r="A1344" s="5" t="s">
        <v>25048</v>
      </c>
      <c r="B1344" s="5" t="s">
        <v>27234</v>
      </c>
      <c r="C1344" s="5" t="s">
        <v>26892</v>
      </c>
      <c r="D1344" s="246">
        <v>41922</v>
      </c>
      <c r="E1344" s="5" t="s">
        <v>26678</v>
      </c>
      <c r="F1344" s="26" t="s">
        <v>25439</v>
      </c>
      <c r="G1344" s="27" t="s">
        <v>9521</v>
      </c>
      <c r="H1344" s="28" t="s">
        <v>9522</v>
      </c>
      <c r="I1344" s="5" t="s">
        <v>197</v>
      </c>
    </row>
    <row r="1345" spans="1:9" ht="51.75" customHeight="1">
      <c r="A1345" s="5" t="s">
        <v>25048</v>
      </c>
      <c r="B1345" s="5" t="s">
        <v>27235</v>
      </c>
      <c r="C1345" s="5" t="s">
        <v>26892</v>
      </c>
      <c r="D1345" s="246">
        <v>41922</v>
      </c>
      <c r="E1345" s="5" t="s">
        <v>26680</v>
      </c>
      <c r="F1345" s="26" t="s">
        <v>23600</v>
      </c>
      <c r="G1345" s="27" t="s">
        <v>9521</v>
      </c>
      <c r="H1345" s="28" t="s">
        <v>9522</v>
      </c>
      <c r="I1345" s="5" t="s">
        <v>197</v>
      </c>
    </row>
    <row r="1346" spans="1:9" ht="51.75" customHeight="1">
      <c r="A1346" s="5" t="s">
        <v>27236</v>
      </c>
      <c r="B1346" s="5" t="s">
        <v>27237</v>
      </c>
      <c r="C1346" s="5" t="s">
        <v>27238</v>
      </c>
      <c r="D1346" s="246">
        <v>41922</v>
      </c>
      <c r="E1346" s="5" t="s">
        <v>27239</v>
      </c>
      <c r="F1346" s="26" t="s">
        <v>25439</v>
      </c>
      <c r="G1346" s="27" t="s">
        <v>9521</v>
      </c>
      <c r="H1346" s="28" t="s">
        <v>9522</v>
      </c>
      <c r="I1346" s="5" t="s">
        <v>197</v>
      </c>
    </row>
    <row r="1347" spans="1:9" ht="51.75" customHeight="1">
      <c r="A1347" s="5" t="s">
        <v>27236</v>
      </c>
      <c r="B1347" s="5" t="s">
        <v>27240</v>
      </c>
      <c r="C1347" s="5" t="s">
        <v>27238</v>
      </c>
      <c r="D1347" s="246">
        <v>41922</v>
      </c>
      <c r="E1347" s="5" t="s">
        <v>26680</v>
      </c>
      <c r="F1347" s="26" t="s">
        <v>23600</v>
      </c>
      <c r="G1347" s="27" t="s">
        <v>9521</v>
      </c>
      <c r="H1347" s="28" t="s">
        <v>9522</v>
      </c>
      <c r="I1347" s="5" t="s">
        <v>197</v>
      </c>
    </row>
    <row r="1348" spans="1:9" ht="51.75" customHeight="1">
      <c r="A1348" s="5" t="s">
        <v>27142</v>
      </c>
      <c r="B1348" s="5" t="s">
        <v>27241</v>
      </c>
      <c r="C1348" s="5" t="s">
        <v>27242</v>
      </c>
      <c r="D1348" s="246">
        <v>42017</v>
      </c>
      <c r="E1348" s="5" t="s">
        <v>27243</v>
      </c>
      <c r="F1348" s="26" t="s">
        <v>23600</v>
      </c>
      <c r="G1348" s="27" t="s">
        <v>10679</v>
      </c>
      <c r="H1348" s="28" t="s">
        <v>10680</v>
      </c>
      <c r="I1348" s="5" t="s">
        <v>197</v>
      </c>
    </row>
    <row r="1349" spans="1:9" ht="51.75" customHeight="1">
      <c r="A1349" s="5" t="s">
        <v>27142</v>
      </c>
      <c r="B1349" s="5" t="s">
        <v>27244</v>
      </c>
      <c r="C1349" s="5" t="s">
        <v>27242</v>
      </c>
      <c r="D1349" s="246">
        <v>42017</v>
      </c>
      <c r="E1349" s="5" t="s">
        <v>27245</v>
      </c>
      <c r="F1349" s="26" t="s">
        <v>25439</v>
      </c>
      <c r="G1349" s="27" t="s">
        <v>10679</v>
      </c>
      <c r="H1349" s="28" t="s">
        <v>10680</v>
      </c>
      <c r="I1349" s="5" t="s">
        <v>197</v>
      </c>
    </row>
    <row r="1350" spans="1:9" ht="51.75" customHeight="1">
      <c r="A1350" s="5" t="s">
        <v>23960</v>
      </c>
      <c r="B1350" s="5" t="s">
        <v>27246</v>
      </c>
      <c r="C1350" s="5" t="s">
        <v>27247</v>
      </c>
      <c r="D1350" s="246">
        <v>42306</v>
      </c>
      <c r="E1350" s="5" t="s">
        <v>27248</v>
      </c>
      <c r="F1350" s="26" t="s">
        <v>25439</v>
      </c>
      <c r="G1350" s="27" t="s">
        <v>10679</v>
      </c>
      <c r="H1350" s="28" t="s">
        <v>10680</v>
      </c>
      <c r="I1350" s="5" t="s">
        <v>197</v>
      </c>
    </row>
    <row r="1351" spans="1:9" ht="51.75" customHeight="1">
      <c r="A1351" s="5" t="s">
        <v>23960</v>
      </c>
      <c r="B1351" s="5" t="s">
        <v>27249</v>
      </c>
      <c r="C1351" s="5" t="s">
        <v>27247</v>
      </c>
      <c r="D1351" s="246">
        <v>42306</v>
      </c>
      <c r="E1351" s="5" t="s">
        <v>27250</v>
      </c>
      <c r="F1351" s="26" t="s">
        <v>23600</v>
      </c>
      <c r="G1351" s="27" t="s">
        <v>10679</v>
      </c>
      <c r="H1351" s="28" t="s">
        <v>10680</v>
      </c>
      <c r="I1351" s="5" t="s">
        <v>197</v>
      </c>
    </row>
    <row r="1352" spans="1:9" ht="51.75" customHeight="1">
      <c r="A1352" s="5" t="s">
        <v>24519</v>
      </c>
      <c r="B1352" s="5" t="s">
        <v>27251</v>
      </c>
      <c r="C1352" s="5" t="s">
        <v>27252</v>
      </c>
      <c r="D1352" s="246">
        <v>42306</v>
      </c>
      <c r="E1352" s="5" t="s">
        <v>27253</v>
      </c>
      <c r="F1352" s="26" t="s">
        <v>25439</v>
      </c>
      <c r="G1352" s="27" t="s">
        <v>10679</v>
      </c>
      <c r="H1352" s="28" t="s">
        <v>10680</v>
      </c>
      <c r="I1352" s="5" t="s">
        <v>197</v>
      </c>
    </row>
    <row r="1353" spans="1:9" ht="51.75" customHeight="1">
      <c r="A1353" s="5" t="s">
        <v>24519</v>
      </c>
      <c r="B1353" s="5" t="s">
        <v>27254</v>
      </c>
      <c r="C1353" s="5" t="s">
        <v>27252</v>
      </c>
      <c r="D1353" s="246">
        <v>42306</v>
      </c>
      <c r="E1353" s="5" t="s">
        <v>27255</v>
      </c>
      <c r="F1353" s="26" t="s">
        <v>23600</v>
      </c>
      <c r="G1353" s="27" t="s">
        <v>10679</v>
      </c>
      <c r="H1353" s="28" t="s">
        <v>10680</v>
      </c>
      <c r="I1353" s="5" t="s">
        <v>197</v>
      </c>
    </row>
    <row r="1354" spans="1:9" ht="51.75" customHeight="1">
      <c r="A1354" s="5" t="s">
        <v>26465</v>
      </c>
      <c r="B1354" s="5" t="s">
        <v>27256</v>
      </c>
      <c r="C1354" s="5" t="s">
        <v>27257</v>
      </c>
      <c r="D1354" s="246">
        <v>42306</v>
      </c>
      <c r="E1354" s="5" t="s">
        <v>27258</v>
      </c>
      <c r="F1354" s="26" t="s">
        <v>25439</v>
      </c>
      <c r="G1354" s="27" t="s">
        <v>10679</v>
      </c>
      <c r="H1354" s="28" t="s">
        <v>10680</v>
      </c>
      <c r="I1354" s="5" t="s">
        <v>197</v>
      </c>
    </row>
    <row r="1355" spans="1:9" ht="51.75" customHeight="1">
      <c r="A1355" s="5" t="s">
        <v>26465</v>
      </c>
      <c r="B1355" s="5" t="s">
        <v>27259</v>
      </c>
      <c r="C1355" s="5" t="s">
        <v>27257</v>
      </c>
      <c r="D1355" s="246">
        <v>42306</v>
      </c>
      <c r="E1355" s="5" t="s">
        <v>27260</v>
      </c>
      <c r="F1355" s="26" t="s">
        <v>23600</v>
      </c>
      <c r="G1355" s="27" t="s">
        <v>10679</v>
      </c>
      <c r="H1355" s="28" t="s">
        <v>10680</v>
      </c>
      <c r="I1355" s="5" t="s">
        <v>197</v>
      </c>
    </row>
    <row r="1356" spans="1:9" ht="51.75" customHeight="1">
      <c r="A1356" s="5" t="s">
        <v>27261</v>
      </c>
      <c r="B1356" s="5" t="s">
        <v>27262</v>
      </c>
      <c r="C1356" s="5" t="s">
        <v>27263</v>
      </c>
      <c r="D1356" s="246">
        <v>42296</v>
      </c>
      <c r="E1356" s="5" t="s">
        <v>27264</v>
      </c>
      <c r="F1356" s="26" t="s">
        <v>25439</v>
      </c>
      <c r="G1356" s="27" t="s">
        <v>11072</v>
      </c>
      <c r="H1356" s="28" t="s">
        <v>11073</v>
      </c>
      <c r="I1356" s="5" t="s">
        <v>197</v>
      </c>
    </row>
    <row r="1357" spans="1:9" ht="51.75" customHeight="1">
      <c r="A1357" s="5" t="s">
        <v>27261</v>
      </c>
      <c r="B1357" s="5" t="s">
        <v>27265</v>
      </c>
      <c r="C1357" s="5" t="s">
        <v>27263</v>
      </c>
      <c r="D1357" s="246">
        <v>42296</v>
      </c>
      <c r="E1357" s="5" t="s">
        <v>27266</v>
      </c>
      <c r="F1357" s="26" t="s">
        <v>23600</v>
      </c>
      <c r="G1357" s="27" t="s">
        <v>11072</v>
      </c>
      <c r="H1357" s="28" t="s">
        <v>11073</v>
      </c>
      <c r="I1357" s="5" t="s">
        <v>197</v>
      </c>
    </row>
    <row r="1358" spans="1:9" ht="51.75" customHeight="1">
      <c r="A1358" s="5" t="s">
        <v>25365</v>
      </c>
      <c r="B1358" s="5" t="s">
        <v>27267</v>
      </c>
      <c r="C1358" s="5" t="s">
        <v>27268</v>
      </c>
      <c r="D1358" s="246">
        <v>42524</v>
      </c>
      <c r="E1358" s="5" t="s">
        <v>27269</v>
      </c>
      <c r="F1358" s="26" t="s">
        <v>25439</v>
      </c>
      <c r="G1358" s="27" t="s">
        <v>11168</v>
      </c>
      <c r="H1358" s="28" t="s">
        <v>11169</v>
      </c>
      <c r="I1358" s="5" t="s">
        <v>197</v>
      </c>
    </row>
    <row r="1359" spans="1:9" ht="51.75" customHeight="1">
      <c r="A1359" s="5" t="s">
        <v>25365</v>
      </c>
      <c r="B1359" s="5" t="s">
        <v>27270</v>
      </c>
      <c r="C1359" s="5" t="s">
        <v>27268</v>
      </c>
      <c r="D1359" s="246">
        <v>42524</v>
      </c>
      <c r="E1359" s="5" t="s">
        <v>27271</v>
      </c>
      <c r="F1359" s="26" t="s">
        <v>23600</v>
      </c>
      <c r="G1359" s="27" t="s">
        <v>11168</v>
      </c>
      <c r="H1359" s="28" t="s">
        <v>11169</v>
      </c>
      <c r="I1359" s="5" t="s">
        <v>197</v>
      </c>
    </row>
    <row r="1360" spans="1:9" ht="51.75" customHeight="1">
      <c r="A1360" s="5" t="s">
        <v>27272</v>
      </c>
      <c r="B1360" s="5" t="s">
        <v>27273</v>
      </c>
      <c r="C1360" s="5" t="s">
        <v>27274</v>
      </c>
      <c r="D1360" s="246">
        <v>42524</v>
      </c>
      <c r="E1360" s="5" t="s">
        <v>27275</v>
      </c>
      <c r="F1360" s="26" t="s">
        <v>25439</v>
      </c>
      <c r="G1360" s="27" t="s">
        <v>11168</v>
      </c>
      <c r="H1360" s="28" t="s">
        <v>11169</v>
      </c>
      <c r="I1360" s="5" t="s">
        <v>197</v>
      </c>
    </row>
    <row r="1361" spans="1:9" ht="51.75" customHeight="1">
      <c r="A1361" s="5" t="s">
        <v>27272</v>
      </c>
      <c r="B1361" s="5" t="s">
        <v>27276</v>
      </c>
      <c r="C1361" s="5" t="s">
        <v>27274</v>
      </c>
      <c r="D1361" s="246">
        <v>42524</v>
      </c>
      <c r="E1361" s="5" t="s">
        <v>27277</v>
      </c>
      <c r="F1361" s="26" t="s">
        <v>23600</v>
      </c>
      <c r="G1361" s="27" t="s">
        <v>11168</v>
      </c>
      <c r="H1361" s="28" t="s">
        <v>11169</v>
      </c>
      <c r="I1361" s="5" t="s">
        <v>197</v>
      </c>
    </row>
    <row r="1362" spans="1:9" ht="51.75" customHeight="1">
      <c r="A1362" s="5" t="s">
        <v>27278</v>
      </c>
      <c r="B1362" s="5" t="s">
        <v>27279</v>
      </c>
      <c r="C1362" s="5" t="s">
        <v>27280</v>
      </c>
      <c r="D1362" s="246">
        <v>42524</v>
      </c>
      <c r="E1362" s="5" t="s">
        <v>27281</v>
      </c>
      <c r="F1362" s="26" t="s">
        <v>25439</v>
      </c>
      <c r="G1362" s="27" t="s">
        <v>11168</v>
      </c>
      <c r="H1362" s="28" t="s">
        <v>11169</v>
      </c>
      <c r="I1362" s="5" t="s">
        <v>197</v>
      </c>
    </row>
    <row r="1363" spans="1:9" ht="51.75" customHeight="1">
      <c r="A1363" s="5" t="s">
        <v>27278</v>
      </c>
      <c r="B1363" s="5" t="s">
        <v>27282</v>
      </c>
      <c r="C1363" s="5" t="s">
        <v>27280</v>
      </c>
      <c r="D1363" s="246">
        <v>42524</v>
      </c>
      <c r="E1363" s="5" t="s">
        <v>27283</v>
      </c>
      <c r="F1363" s="26" t="s">
        <v>23600</v>
      </c>
      <c r="G1363" s="27" t="s">
        <v>11168</v>
      </c>
      <c r="H1363" s="28" t="s">
        <v>11169</v>
      </c>
      <c r="I1363" s="5" t="s">
        <v>197</v>
      </c>
    </row>
    <row r="1364" spans="1:9" ht="51.75" customHeight="1">
      <c r="A1364" s="5" t="s">
        <v>27284</v>
      </c>
      <c r="B1364" s="5" t="s">
        <v>27285</v>
      </c>
      <c r="C1364" s="5" t="s">
        <v>27286</v>
      </c>
      <c r="D1364" s="246">
        <v>42524</v>
      </c>
      <c r="E1364" s="5" t="s">
        <v>27287</v>
      </c>
      <c r="F1364" s="26" t="s">
        <v>25439</v>
      </c>
      <c r="G1364" s="27" t="s">
        <v>11168</v>
      </c>
      <c r="H1364" s="28" t="s">
        <v>11169</v>
      </c>
      <c r="I1364" s="5" t="s">
        <v>197</v>
      </c>
    </row>
    <row r="1365" spans="1:9" ht="51.75" customHeight="1">
      <c r="A1365" s="5" t="s">
        <v>27284</v>
      </c>
      <c r="B1365" s="5" t="s">
        <v>27288</v>
      </c>
      <c r="C1365" s="5" t="s">
        <v>27286</v>
      </c>
      <c r="D1365" s="246">
        <v>42524</v>
      </c>
      <c r="E1365" s="5" t="s">
        <v>27289</v>
      </c>
      <c r="F1365" s="26" t="s">
        <v>23600</v>
      </c>
      <c r="G1365" s="27" t="s">
        <v>11168</v>
      </c>
      <c r="H1365" s="28" t="s">
        <v>11169</v>
      </c>
      <c r="I1365" s="5" t="s">
        <v>197</v>
      </c>
    </row>
    <row r="1366" spans="1:9" ht="51.75" customHeight="1">
      <c r="A1366" s="5" t="s">
        <v>27290</v>
      </c>
      <c r="B1366" s="5" t="s">
        <v>27291</v>
      </c>
      <c r="C1366" s="5" t="s">
        <v>27292</v>
      </c>
      <c r="D1366" s="246">
        <v>42152</v>
      </c>
      <c r="E1366" s="5" t="s">
        <v>27293</v>
      </c>
      <c r="F1366" s="26" t="s">
        <v>25439</v>
      </c>
      <c r="G1366" s="27" t="s">
        <v>11231</v>
      </c>
      <c r="H1366" s="28" t="s">
        <v>11232</v>
      </c>
      <c r="I1366" s="5" t="s">
        <v>197</v>
      </c>
    </row>
    <row r="1367" spans="1:9" ht="51.75" customHeight="1">
      <c r="A1367" s="5" t="s">
        <v>27290</v>
      </c>
      <c r="B1367" s="5" t="s">
        <v>27294</v>
      </c>
      <c r="C1367" s="5" t="s">
        <v>27292</v>
      </c>
      <c r="D1367" s="246">
        <v>42152</v>
      </c>
      <c r="E1367" s="5" t="s">
        <v>27295</v>
      </c>
      <c r="F1367" s="26" t="s">
        <v>23600</v>
      </c>
      <c r="G1367" s="27" t="s">
        <v>11231</v>
      </c>
      <c r="H1367" s="28" t="s">
        <v>11232</v>
      </c>
      <c r="I1367" s="5" t="s">
        <v>197</v>
      </c>
    </row>
    <row r="1368" spans="1:9" ht="51.75" customHeight="1">
      <c r="A1368" s="5" t="s">
        <v>27296</v>
      </c>
      <c r="B1368" s="5" t="s">
        <v>27297</v>
      </c>
      <c r="C1368" s="5" t="s">
        <v>27298</v>
      </c>
      <c r="D1368" s="246">
        <v>42152</v>
      </c>
      <c r="E1368" s="5" t="s">
        <v>27299</v>
      </c>
      <c r="F1368" s="26" t="s">
        <v>25439</v>
      </c>
      <c r="G1368" s="27" t="s">
        <v>11231</v>
      </c>
      <c r="H1368" s="28" t="s">
        <v>11232</v>
      </c>
      <c r="I1368" s="5" t="s">
        <v>197</v>
      </c>
    </row>
    <row r="1369" spans="1:9" ht="51.75" customHeight="1">
      <c r="A1369" s="5" t="s">
        <v>27296</v>
      </c>
      <c r="B1369" s="5" t="s">
        <v>27300</v>
      </c>
      <c r="C1369" s="5" t="s">
        <v>27298</v>
      </c>
      <c r="D1369" s="246">
        <v>42152</v>
      </c>
      <c r="E1369" s="5" t="s">
        <v>27301</v>
      </c>
      <c r="F1369" s="26" t="s">
        <v>23600</v>
      </c>
      <c r="G1369" s="27" t="s">
        <v>11231</v>
      </c>
      <c r="H1369" s="28" t="s">
        <v>11232</v>
      </c>
      <c r="I1369" s="5" t="s">
        <v>197</v>
      </c>
    </row>
    <row r="1370" spans="1:9" ht="51.75" customHeight="1">
      <c r="A1370" s="5" t="s">
        <v>27302</v>
      </c>
      <c r="B1370" s="5" t="s">
        <v>27303</v>
      </c>
      <c r="C1370" s="5" t="s">
        <v>27304</v>
      </c>
      <c r="D1370" s="246">
        <v>42643</v>
      </c>
      <c r="E1370" s="5" t="s">
        <v>27305</v>
      </c>
      <c r="F1370" s="26" t="s">
        <v>25439</v>
      </c>
      <c r="G1370" s="27" t="s">
        <v>11231</v>
      </c>
      <c r="H1370" s="28" t="s">
        <v>11232</v>
      </c>
      <c r="I1370" s="5" t="s">
        <v>197</v>
      </c>
    </row>
    <row r="1371" spans="1:9" ht="51.75" customHeight="1">
      <c r="A1371" s="5" t="s">
        <v>27302</v>
      </c>
      <c r="B1371" s="5" t="s">
        <v>27306</v>
      </c>
      <c r="C1371" s="5" t="s">
        <v>27304</v>
      </c>
      <c r="D1371" s="246">
        <v>42643</v>
      </c>
      <c r="E1371" s="5" t="s">
        <v>27307</v>
      </c>
      <c r="F1371" s="26" t="s">
        <v>23600</v>
      </c>
      <c r="G1371" s="27" t="s">
        <v>11231</v>
      </c>
      <c r="H1371" s="28" t="s">
        <v>11232</v>
      </c>
      <c r="I1371" s="5" t="s">
        <v>197</v>
      </c>
    </row>
    <row r="1372" spans="1:9" ht="51.75" customHeight="1">
      <c r="A1372" s="5" t="s">
        <v>23868</v>
      </c>
      <c r="B1372" s="5" t="s">
        <v>27308</v>
      </c>
      <c r="C1372" s="5" t="s">
        <v>27309</v>
      </c>
      <c r="D1372" s="246">
        <v>42643</v>
      </c>
      <c r="E1372" s="5" t="s">
        <v>27310</v>
      </c>
      <c r="F1372" s="26" t="s">
        <v>25439</v>
      </c>
      <c r="G1372" s="27" t="s">
        <v>11231</v>
      </c>
      <c r="H1372" s="28" t="s">
        <v>11232</v>
      </c>
      <c r="I1372" s="5" t="s">
        <v>197</v>
      </c>
    </row>
    <row r="1373" spans="1:9" ht="51.75" customHeight="1">
      <c r="A1373" s="5" t="s">
        <v>23868</v>
      </c>
      <c r="B1373" s="5" t="s">
        <v>27311</v>
      </c>
      <c r="C1373" s="5" t="s">
        <v>27309</v>
      </c>
      <c r="D1373" s="246">
        <v>42643</v>
      </c>
      <c r="E1373" s="5" t="s">
        <v>27312</v>
      </c>
      <c r="F1373" s="26" t="s">
        <v>23600</v>
      </c>
      <c r="G1373" s="27" t="s">
        <v>11231</v>
      </c>
      <c r="H1373" s="28" t="s">
        <v>11232</v>
      </c>
      <c r="I1373" s="5" t="s">
        <v>197</v>
      </c>
    </row>
    <row r="1374" spans="1:9" ht="51.75" customHeight="1">
      <c r="A1374" s="5" t="s">
        <v>27313</v>
      </c>
      <c r="B1374" s="5" t="s">
        <v>27314</v>
      </c>
      <c r="C1374" s="5" t="s">
        <v>27315</v>
      </c>
      <c r="D1374" s="246">
        <v>42643</v>
      </c>
      <c r="E1374" s="5" t="s">
        <v>27316</v>
      </c>
      <c r="F1374" s="26" t="s">
        <v>25439</v>
      </c>
      <c r="G1374" s="27" t="s">
        <v>11231</v>
      </c>
      <c r="H1374" s="28" t="s">
        <v>11232</v>
      </c>
      <c r="I1374" s="5" t="s">
        <v>197</v>
      </c>
    </row>
    <row r="1375" spans="1:9" ht="51.75" customHeight="1">
      <c r="A1375" s="5" t="s">
        <v>27313</v>
      </c>
      <c r="B1375" s="5" t="s">
        <v>27317</v>
      </c>
      <c r="C1375" s="5" t="s">
        <v>27315</v>
      </c>
      <c r="D1375" s="246">
        <v>42643</v>
      </c>
      <c r="E1375" s="5" t="s">
        <v>27318</v>
      </c>
      <c r="F1375" s="26" t="s">
        <v>23600</v>
      </c>
      <c r="G1375" s="27" t="s">
        <v>11231</v>
      </c>
      <c r="H1375" s="28" t="s">
        <v>11232</v>
      </c>
      <c r="I1375" s="5" t="s">
        <v>197</v>
      </c>
    </row>
    <row r="1376" spans="1:9" ht="51.75" customHeight="1">
      <c r="A1376" s="5" t="s">
        <v>27319</v>
      </c>
      <c r="B1376" s="5" t="s">
        <v>27320</v>
      </c>
      <c r="C1376" s="5" t="s">
        <v>27321</v>
      </c>
      <c r="D1376" s="246">
        <v>42643</v>
      </c>
      <c r="E1376" s="5" t="s">
        <v>26831</v>
      </c>
      <c r="F1376" s="26" t="s">
        <v>25439</v>
      </c>
      <c r="G1376" s="27" t="s">
        <v>11231</v>
      </c>
      <c r="H1376" s="28" t="s">
        <v>11232</v>
      </c>
      <c r="I1376" s="5" t="s">
        <v>197</v>
      </c>
    </row>
    <row r="1377" spans="1:9" ht="51.75" customHeight="1">
      <c r="A1377" s="5" t="s">
        <v>27319</v>
      </c>
      <c r="B1377" s="5" t="s">
        <v>27322</v>
      </c>
      <c r="C1377" s="5" t="s">
        <v>27321</v>
      </c>
      <c r="D1377" s="246">
        <v>42643</v>
      </c>
      <c r="E1377" s="5" t="s">
        <v>27323</v>
      </c>
      <c r="F1377" s="26" t="s">
        <v>23600</v>
      </c>
      <c r="G1377" s="27" t="s">
        <v>11231</v>
      </c>
      <c r="H1377" s="28" t="s">
        <v>11232</v>
      </c>
      <c r="I1377" s="5" t="s">
        <v>197</v>
      </c>
    </row>
    <row r="1378" spans="1:9" ht="51.75" customHeight="1">
      <c r="A1378" s="5" t="s">
        <v>27324</v>
      </c>
      <c r="B1378" s="5" t="s">
        <v>27325</v>
      </c>
      <c r="C1378" s="5" t="s">
        <v>27326</v>
      </c>
      <c r="D1378" s="246">
        <v>42643</v>
      </c>
      <c r="E1378" s="5" t="s">
        <v>27327</v>
      </c>
      <c r="F1378" s="26" t="s">
        <v>25439</v>
      </c>
      <c r="G1378" s="27" t="s">
        <v>11231</v>
      </c>
      <c r="H1378" s="28" t="s">
        <v>11232</v>
      </c>
      <c r="I1378" s="5" t="s">
        <v>197</v>
      </c>
    </row>
    <row r="1379" spans="1:9" ht="51.75" customHeight="1">
      <c r="A1379" s="5" t="s">
        <v>27324</v>
      </c>
      <c r="B1379" s="5" t="s">
        <v>27328</v>
      </c>
      <c r="C1379" s="5" t="s">
        <v>27326</v>
      </c>
      <c r="D1379" s="246">
        <v>42643</v>
      </c>
      <c r="E1379" s="5" t="s">
        <v>27329</v>
      </c>
      <c r="F1379" s="26" t="s">
        <v>23600</v>
      </c>
      <c r="G1379" s="27" t="s">
        <v>11231</v>
      </c>
      <c r="H1379" s="28" t="s">
        <v>11232</v>
      </c>
      <c r="I1379" s="5" t="s">
        <v>197</v>
      </c>
    </row>
    <row r="1380" spans="1:9" ht="51.75" customHeight="1">
      <c r="A1380" s="5" t="s">
        <v>27330</v>
      </c>
      <c r="B1380" s="5" t="s">
        <v>27331</v>
      </c>
      <c r="C1380" s="5" t="s">
        <v>27332</v>
      </c>
      <c r="D1380" s="246">
        <v>42643</v>
      </c>
      <c r="E1380" s="5" t="s">
        <v>27333</v>
      </c>
      <c r="F1380" s="26" t="s">
        <v>25439</v>
      </c>
      <c r="G1380" s="27" t="s">
        <v>11231</v>
      </c>
      <c r="H1380" s="28" t="s">
        <v>11232</v>
      </c>
      <c r="I1380" s="5" t="s">
        <v>197</v>
      </c>
    </row>
    <row r="1381" spans="1:9" ht="51.75" customHeight="1">
      <c r="A1381" s="5" t="s">
        <v>27330</v>
      </c>
      <c r="B1381" s="5" t="s">
        <v>27334</v>
      </c>
      <c r="C1381" s="5" t="s">
        <v>27332</v>
      </c>
      <c r="D1381" s="246">
        <v>42643</v>
      </c>
      <c r="E1381" s="5" t="s">
        <v>27335</v>
      </c>
      <c r="F1381" s="26" t="s">
        <v>23600</v>
      </c>
      <c r="G1381" s="27" t="s">
        <v>11231</v>
      </c>
      <c r="H1381" s="28" t="s">
        <v>11232</v>
      </c>
      <c r="I1381" s="5" t="s">
        <v>197</v>
      </c>
    </row>
    <row r="1382" spans="1:9" ht="51.75" customHeight="1">
      <c r="A1382" s="5" t="s">
        <v>27336</v>
      </c>
      <c r="B1382" s="5" t="s">
        <v>27337</v>
      </c>
      <c r="C1382" s="5" t="s">
        <v>27338</v>
      </c>
      <c r="D1382" s="246">
        <v>42643</v>
      </c>
      <c r="E1382" s="5" t="s">
        <v>27339</v>
      </c>
      <c r="F1382" s="26" t="s">
        <v>25439</v>
      </c>
      <c r="G1382" s="27" t="s">
        <v>11231</v>
      </c>
      <c r="H1382" s="28" t="s">
        <v>11232</v>
      </c>
      <c r="I1382" s="5" t="s">
        <v>197</v>
      </c>
    </row>
    <row r="1383" spans="1:9" ht="51.75" customHeight="1">
      <c r="A1383" s="5" t="s">
        <v>27336</v>
      </c>
      <c r="B1383" s="5" t="s">
        <v>27340</v>
      </c>
      <c r="C1383" s="5" t="s">
        <v>27338</v>
      </c>
      <c r="D1383" s="246">
        <v>42643</v>
      </c>
      <c r="E1383" s="5" t="s">
        <v>27341</v>
      </c>
      <c r="F1383" s="26" t="s">
        <v>23600</v>
      </c>
      <c r="G1383" s="27" t="s">
        <v>11231</v>
      </c>
      <c r="H1383" s="28" t="s">
        <v>11232</v>
      </c>
      <c r="I1383" s="5" t="s">
        <v>197</v>
      </c>
    </row>
    <row r="1384" spans="1:9" ht="51.75" customHeight="1">
      <c r="A1384" s="5" t="s">
        <v>27342</v>
      </c>
      <c r="B1384" s="5" t="s">
        <v>27343</v>
      </c>
      <c r="C1384" s="5" t="s">
        <v>27344</v>
      </c>
      <c r="D1384" s="246">
        <v>42598</v>
      </c>
      <c r="E1384" s="5" t="s">
        <v>27345</v>
      </c>
      <c r="F1384" s="26" t="s">
        <v>25439</v>
      </c>
      <c r="G1384" s="27" t="s">
        <v>11420</v>
      </c>
      <c r="H1384" s="28" t="s">
        <v>11421</v>
      </c>
      <c r="I1384" s="5" t="s">
        <v>197</v>
      </c>
    </row>
    <row r="1385" spans="1:9" ht="51.75" customHeight="1">
      <c r="A1385" s="5" t="s">
        <v>27342</v>
      </c>
      <c r="B1385" s="5" t="s">
        <v>27346</v>
      </c>
      <c r="C1385" s="5" t="s">
        <v>27344</v>
      </c>
      <c r="D1385" s="246">
        <v>42598</v>
      </c>
      <c r="E1385" s="5" t="s">
        <v>27347</v>
      </c>
      <c r="F1385" s="26" t="s">
        <v>23600</v>
      </c>
      <c r="G1385" s="27" t="s">
        <v>11420</v>
      </c>
      <c r="H1385" s="28" t="s">
        <v>11421</v>
      </c>
      <c r="I1385" s="5" t="s">
        <v>197</v>
      </c>
    </row>
    <row r="1386" spans="1:9" ht="51.75" customHeight="1">
      <c r="A1386" s="5" t="s">
        <v>27348</v>
      </c>
      <c r="B1386" s="5" t="s">
        <v>27349</v>
      </c>
      <c r="C1386" s="5" t="s">
        <v>27350</v>
      </c>
      <c r="D1386" s="246">
        <v>42598</v>
      </c>
      <c r="E1386" s="5" t="s">
        <v>27351</v>
      </c>
      <c r="F1386" s="26" t="s">
        <v>25439</v>
      </c>
      <c r="G1386" s="27" t="s">
        <v>11420</v>
      </c>
      <c r="H1386" s="28" t="s">
        <v>11421</v>
      </c>
      <c r="I1386" s="5" t="s">
        <v>197</v>
      </c>
    </row>
    <row r="1387" spans="1:9" ht="51.75" customHeight="1">
      <c r="A1387" s="5" t="s">
        <v>27348</v>
      </c>
      <c r="B1387" s="5" t="s">
        <v>27352</v>
      </c>
      <c r="C1387" s="5" t="s">
        <v>27350</v>
      </c>
      <c r="D1387" s="246">
        <v>42598</v>
      </c>
      <c r="E1387" s="5" t="s">
        <v>27353</v>
      </c>
      <c r="F1387" s="26" t="s">
        <v>23600</v>
      </c>
      <c r="G1387" s="27" t="s">
        <v>11420</v>
      </c>
      <c r="H1387" s="28" t="s">
        <v>11421</v>
      </c>
      <c r="I1387" s="5" t="s">
        <v>197</v>
      </c>
    </row>
    <row r="1388" spans="1:9" ht="51.75" customHeight="1">
      <c r="A1388" s="5" t="s">
        <v>24444</v>
      </c>
      <c r="B1388" s="5" t="s">
        <v>27354</v>
      </c>
      <c r="C1388" s="5" t="s">
        <v>27355</v>
      </c>
      <c r="D1388" s="246">
        <v>42997</v>
      </c>
      <c r="E1388" s="5" t="s">
        <v>27356</v>
      </c>
      <c r="F1388" s="26" t="s">
        <v>25439</v>
      </c>
      <c r="G1388" s="27" t="s">
        <v>12795</v>
      </c>
      <c r="H1388" s="28" t="s">
        <v>12796</v>
      </c>
      <c r="I1388" s="5" t="s">
        <v>197</v>
      </c>
    </row>
    <row r="1389" spans="1:9" ht="51.75" customHeight="1">
      <c r="A1389" s="5" t="s">
        <v>24444</v>
      </c>
      <c r="B1389" s="5" t="s">
        <v>27357</v>
      </c>
      <c r="C1389" s="5" t="s">
        <v>27355</v>
      </c>
      <c r="D1389" s="246">
        <v>42997</v>
      </c>
      <c r="E1389" s="5" t="s">
        <v>27358</v>
      </c>
      <c r="F1389" s="26" t="s">
        <v>23600</v>
      </c>
      <c r="G1389" s="27" t="s">
        <v>12795</v>
      </c>
      <c r="H1389" s="28" t="s">
        <v>12796</v>
      </c>
      <c r="I1389" s="5" t="s">
        <v>197</v>
      </c>
    </row>
    <row r="1390" spans="1:9" ht="51.75" customHeight="1">
      <c r="A1390" s="5" t="s">
        <v>25137</v>
      </c>
      <c r="B1390" s="5" t="s">
        <v>27359</v>
      </c>
      <c r="C1390" s="5" t="s">
        <v>27360</v>
      </c>
      <c r="D1390" s="246">
        <v>42997</v>
      </c>
      <c r="E1390" s="5" t="s">
        <v>27361</v>
      </c>
      <c r="F1390" s="26" t="s">
        <v>25439</v>
      </c>
      <c r="G1390" s="27" t="s">
        <v>12795</v>
      </c>
      <c r="H1390" s="28" t="s">
        <v>12796</v>
      </c>
      <c r="I1390" s="5" t="s">
        <v>197</v>
      </c>
    </row>
    <row r="1391" spans="1:9" ht="51.75" customHeight="1">
      <c r="A1391" s="5" t="s">
        <v>25137</v>
      </c>
      <c r="B1391" s="5" t="s">
        <v>27362</v>
      </c>
      <c r="C1391" s="5" t="s">
        <v>27360</v>
      </c>
      <c r="D1391" s="246">
        <v>42997</v>
      </c>
      <c r="E1391" s="5" t="s">
        <v>27363</v>
      </c>
      <c r="F1391" s="26" t="s">
        <v>23600</v>
      </c>
      <c r="G1391" s="27" t="s">
        <v>12795</v>
      </c>
      <c r="H1391" s="28" t="s">
        <v>12796</v>
      </c>
      <c r="I1391" s="5" t="s">
        <v>197</v>
      </c>
    </row>
    <row r="1392" spans="1:9" ht="51.75" customHeight="1">
      <c r="A1392" s="5" t="s">
        <v>25066</v>
      </c>
      <c r="B1392" s="5" t="s">
        <v>27364</v>
      </c>
      <c r="C1392" s="5" t="s">
        <v>27365</v>
      </c>
      <c r="D1392" s="246">
        <v>42997</v>
      </c>
      <c r="E1392" s="5" t="s">
        <v>27366</v>
      </c>
      <c r="F1392" s="26" t="s">
        <v>25439</v>
      </c>
      <c r="G1392" s="27" t="s">
        <v>12795</v>
      </c>
      <c r="H1392" s="28" t="s">
        <v>12796</v>
      </c>
      <c r="I1392" s="5" t="s">
        <v>197</v>
      </c>
    </row>
    <row r="1393" spans="1:9" ht="51.75" customHeight="1">
      <c r="A1393" s="5" t="s">
        <v>25066</v>
      </c>
      <c r="B1393" s="5" t="s">
        <v>27367</v>
      </c>
      <c r="C1393" s="5" t="s">
        <v>27365</v>
      </c>
      <c r="D1393" s="246">
        <v>42997</v>
      </c>
      <c r="E1393" s="5" t="s">
        <v>27368</v>
      </c>
      <c r="F1393" s="26" t="s">
        <v>23600</v>
      </c>
      <c r="G1393" s="27" t="s">
        <v>12795</v>
      </c>
      <c r="H1393" s="28" t="s">
        <v>12796</v>
      </c>
      <c r="I1393" s="5" t="s">
        <v>197</v>
      </c>
    </row>
    <row r="1394" spans="1:9" ht="51.75" customHeight="1">
      <c r="A1394" s="5" t="s">
        <v>27369</v>
      </c>
      <c r="B1394" s="5" t="s">
        <v>27370</v>
      </c>
      <c r="C1394" s="5" t="s">
        <v>27371</v>
      </c>
      <c r="D1394" s="246">
        <v>42997</v>
      </c>
      <c r="E1394" s="5" t="s">
        <v>27372</v>
      </c>
      <c r="F1394" s="26" t="s">
        <v>25439</v>
      </c>
      <c r="G1394" s="27" t="s">
        <v>12795</v>
      </c>
      <c r="H1394" s="28" t="s">
        <v>12796</v>
      </c>
      <c r="I1394" s="5" t="s">
        <v>197</v>
      </c>
    </row>
    <row r="1395" spans="1:9" ht="51.75" customHeight="1">
      <c r="A1395" s="5" t="s">
        <v>27369</v>
      </c>
      <c r="B1395" s="5" t="s">
        <v>27373</v>
      </c>
      <c r="C1395" s="5" t="s">
        <v>27371</v>
      </c>
      <c r="D1395" s="246">
        <v>42997</v>
      </c>
      <c r="E1395" s="5" t="s">
        <v>27374</v>
      </c>
      <c r="F1395" s="26" t="s">
        <v>23600</v>
      </c>
      <c r="G1395" s="27" t="s">
        <v>12795</v>
      </c>
      <c r="H1395" s="28" t="s">
        <v>12796</v>
      </c>
      <c r="I1395" s="5" t="s">
        <v>197</v>
      </c>
    </row>
    <row r="1396" spans="1:9" ht="51.75" customHeight="1">
      <c r="A1396" s="5" t="s">
        <v>26646</v>
      </c>
      <c r="B1396" s="5" t="s">
        <v>27375</v>
      </c>
      <c r="C1396" s="5" t="s">
        <v>27376</v>
      </c>
      <c r="D1396" s="246">
        <v>42997</v>
      </c>
      <c r="E1396" s="5" t="s">
        <v>27377</v>
      </c>
      <c r="F1396" s="26" t="s">
        <v>25439</v>
      </c>
      <c r="G1396" s="27" t="s">
        <v>12795</v>
      </c>
      <c r="H1396" s="28" t="s">
        <v>12796</v>
      </c>
      <c r="I1396" s="5" t="s">
        <v>197</v>
      </c>
    </row>
    <row r="1397" spans="1:9" ht="51.75" customHeight="1">
      <c r="A1397" s="5" t="s">
        <v>26646</v>
      </c>
      <c r="B1397" s="5" t="s">
        <v>27378</v>
      </c>
      <c r="C1397" s="5" t="s">
        <v>27376</v>
      </c>
      <c r="D1397" s="246">
        <v>42997</v>
      </c>
      <c r="E1397" s="5" t="s">
        <v>27379</v>
      </c>
      <c r="F1397" s="26" t="s">
        <v>23600</v>
      </c>
      <c r="G1397" s="27" t="s">
        <v>12795</v>
      </c>
      <c r="H1397" s="28" t="s">
        <v>12796</v>
      </c>
      <c r="I1397" s="5" t="s">
        <v>197</v>
      </c>
    </row>
    <row r="1398" spans="1:9" ht="51.75" customHeight="1">
      <c r="A1398" s="5" t="s">
        <v>27380</v>
      </c>
      <c r="B1398" s="5" t="s">
        <v>27381</v>
      </c>
      <c r="C1398" s="5" t="s">
        <v>27382</v>
      </c>
      <c r="D1398" s="246">
        <v>43025</v>
      </c>
      <c r="E1398" s="5" t="s">
        <v>27383</v>
      </c>
      <c r="F1398" s="26" t="s">
        <v>25439</v>
      </c>
      <c r="G1398" s="27" t="s">
        <v>12886</v>
      </c>
      <c r="H1398" s="28" t="s">
        <v>12887</v>
      </c>
      <c r="I1398" s="5" t="s">
        <v>197</v>
      </c>
    </row>
    <row r="1399" spans="1:9" ht="51.75" customHeight="1">
      <c r="A1399" s="5" t="s">
        <v>27380</v>
      </c>
      <c r="B1399" s="5" t="s">
        <v>27384</v>
      </c>
      <c r="C1399" s="5" t="s">
        <v>27382</v>
      </c>
      <c r="D1399" s="246">
        <v>43025</v>
      </c>
      <c r="E1399" s="5" t="s">
        <v>27385</v>
      </c>
      <c r="F1399" s="26" t="s">
        <v>23600</v>
      </c>
      <c r="G1399" s="27" t="s">
        <v>12886</v>
      </c>
      <c r="H1399" s="28" t="s">
        <v>12887</v>
      </c>
      <c r="I1399" s="5" t="s">
        <v>197</v>
      </c>
    </row>
    <row r="1400" spans="1:9" ht="51.75" customHeight="1">
      <c r="A1400" s="5" t="s">
        <v>27386</v>
      </c>
      <c r="B1400" s="5" t="s">
        <v>27387</v>
      </c>
      <c r="C1400" s="5" t="s">
        <v>27388</v>
      </c>
      <c r="D1400" s="246">
        <v>43025</v>
      </c>
      <c r="E1400" s="5" t="s">
        <v>27389</v>
      </c>
      <c r="F1400" s="26" t="s">
        <v>25439</v>
      </c>
      <c r="G1400" s="27" t="s">
        <v>12886</v>
      </c>
      <c r="H1400" s="28" t="s">
        <v>12887</v>
      </c>
      <c r="I1400" s="5" t="s">
        <v>197</v>
      </c>
    </row>
    <row r="1401" spans="1:9" ht="51.75" customHeight="1">
      <c r="A1401" s="5" t="s">
        <v>27386</v>
      </c>
      <c r="B1401" s="5" t="s">
        <v>27390</v>
      </c>
      <c r="C1401" s="5" t="s">
        <v>27388</v>
      </c>
      <c r="D1401" s="246">
        <v>43025</v>
      </c>
      <c r="E1401" s="5" t="s">
        <v>27391</v>
      </c>
      <c r="F1401" s="26" t="s">
        <v>23600</v>
      </c>
      <c r="G1401" s="27" t="s">
        <v>12886</v>
      </c>
      <c r="H1401" s="28" t="s">
        <v>12887</v>
      </c>
      <c r="I1401" s="5" t="s">
        <v>197</v>
      </c>
    </row>
    <row r="1402" spans="1:9" ht="51.75" customHeight="1">
      <c r="A1402" s="5" t="s">
        <v>27392</v>
      </c>
      <c r="B1402" s="5" t="s">
        <v>27393</v>
      </c>
      <c r="C1402" s="5" t="s">
        <v>27394</v>
      </c>
      <c r="D1402" s="246">
        <v>43048</v>
      </c>
      <c r="E1402" s="5" t="s">
        <v>27395</v>
      </c>
      <c r="F1402" s="26" t="s">
        <v>25439</v>
      </c>
      <c r="G1402" s="27" t="s">
        <v>13080</v>
      </c>
      <c r="H1402" s="28" t="s">
        <v>13081</v>
      </c>
      <c r="I1402" s="5" t="s">
        <v>197</v>
      </c>
    </row>
    <row r="1403" spans="1:9" ht="51.75" customHeight="1">
      <c r="A1403" s="5" t="s">
        <v>27392</v>
      </c>
      <c r="B1403" s="5" t="s">
        <v>27396</v>
      </c>
      <c r="C1403" s="5" t="s">
        <v>27394</v>
      </c>
      <c r="D1403" s="246">
        <v>43048</v>
      </c>
      <c r="E1403" s="5" t="s">
        <v>27397</v>
      </c>
      <c r="F1403" s="26" t="s">
        <v>23600</v>
      </c>
      <c r="G1403" s="27" t="s">
        <v>13080</v>
      </c>
      <c r="H1403" s="28" t="s">
        <v>13081</v>
      </c>
      <c r="I1403" s="5" t="s">
        <v>197</v>
      </c>
    </row>
    <row r="1404" spans="1:9" ht="51.75" customHeight="1">
      <c r="A1404" s="5" t="s">
        <v>24712</v>
      </c>
      <c r="B1404" s="5" t="s">
        <v>27398</v>
      </c>
      <c r="C1404" s="5" t="s">
        <v>27399</v>
      </c>
      <c r="D1404" s="246">
        <v>43048</v>
      </c>
      <c r="E1404" s="5" t="s">
        <v>27400</v>
      </c>
      <c r="F1404" s="26" t="s">
        <v>25439</v>
      </c>
      <c r="G1404" s="27" t="s">
        <v>13080</v>
      </c>
      <c r="H1404" s="28" t="s">
        <v>13081</v>
      </c>
      <c r="I1404" s="5" t="s">
        <v>197</v>
      </c>
    </row>
    <row r="1405" spans="1:9" ht="51.75" customHeight="1">
      <c r="A1405" s="5" t="s">
        <v>24712</v>
      </c>
      <c r="B1405" s="5" t="s">
        <v>27401</v>
      </c>
      <c r="C1405" s="5" t="s">
        <v>27399</v>
      </c>
      <c r="D1405" s="246">
        <v>43048</v>
      </c>
      <c r="E1405" s="5" t="s">
        <v>27402</v>
      </c>
      <c r="F1405" s="26" t="s">
        <v>23600</v>
      </c>
      <c r="G1405" s="27" t="s">
        <v>13080</v>
      </c>
      <c r="H1405" s="28" t="s">
        <v>13081</v>
      </c>
      <c r="I1405" s="5" t="s">
        <v>197</v>
      </c>
    </row>
    <row r="1406" spans="1:9" ht="51.75" customHeight="1">
      <c r="A1406" s="5" t="s">
        <v>25435</v>
      </c>
      <c r="B1406" s="5" t="s">
        <v>27403</v>
      </c>
      <c r="C1406" s="5" t="s">
        <v>27404</v>
      </c>
      <c r="D1406" s="246">
        <v>43486</v>
      </c>
      <c r="E1406" s="5" t="s">
        <v>27405</v>
      </c>
      <c r="F1406" s="26" t="s">
        <v>25439</v>
      </c>
      <c r="G1406" s="27" t="s">
        <v>13562</v>
      </c>
      <c r="H1406" s="28" t="s">
        <v>13563</v>
      </c>
      <c r="I1406" s="5" t="s">
        <v>197</v>
      </c>
    </row>
    <row r="1407" spans="1:9" ht="51.75" customHeight="1">
      <c r="A1407" s="5" t="s">
        <v>25435</v>
      </c>
      <c r="B1407" s="5" t="s">
        <v>27406</v>
      </c>
      <c r="C1407" s="5" t="s">
        <v>27404</v>
      </c>
      <c r="D1407" s="246">
        <v>43486</v>
      </c>
      <c r="E1407" s="5" t="s">
        <v>27407</v>
      </c>
      <c r="F1407" s="26" t="s">
        <v>23600</v>
      </c>
      <c r="G1407" s="27" t="s">
        <v>13562</v>
      </c>
      <c r="H1407" s="28" t="s">
        <v>13563</v>
      </c>
      <c r="I1407" s="5" t="s">
        <v>197</v>
      </c>
    </row>
    <row r="1408" spans="1:9" ht="51.75" customHeight="1">
      <c r="A1408" s="5" t="s">
        <v>25442</v>
      </c>
      <c r="B1408" s="5" t="s">
        <v>27408</v>
      </c>
      <c r="C1408" s="5" t="s">
        <v>27409</v>
      </c>
      <c r="D1408" s="246">
        <v>43486</v>
      </c>
      <c r="E1408" s="5" t="s">
        <v>27410</v>
      </c>
      <c r="F1408" s="26" t="s">
        <v>25439</v>
      </c>
      <c r="G1408" s="27" t="s">
        <v>13562</v>
      </c>
      <c r="H1408" s="28" t="s">
        <v>13563</v>
      </c>
      <c r="I1408" s="5" t="s">
        <v>197</v>
      </c>
    </row>
    <row r="1409" spans="1:9" ht="51.75" customHeight="1">
      <c r="A1409" s="5" t="s">
        <v>25442</v>
      </c>
      <c r="B1409" s="5" t="s">
        <v>27411</v>
      </c>
      <c r="C1409" s="5" t="s">
        <v>27409</v>
      </c>
      <c r="D1409" s="246">
        <v>43486</v>
      </c>
      <c r="E1409" s="5" t="s">
        <v>27412</v>
      </c>
      <c r="F1409" s="26" t="s">
        <v>23600</v>
      </c>
      <c r="G1409" s="27" t="s">
        <v>13562</v>
      </c>
      <c r="H1409" s="28" t="s">
        <v>13563</v>
      </c>
      <c r="I1409" s="5" t="s">
        <v>197</v>
      </c>
    </row>
    <row r="1410" spans="1:9" ht="51.75" customHeight="1">
      <c r="A1410" s="5" t="s">
        <v>23820</v>
      </c>
      <c r="B1410" s="5" t="s">
        <v>27413</v>
      </c>
      <c r="C1410" s="5" t="s">
        <v>27414</v>
      </c>
      <c r="D1410" s="246">
        <v>43486</v>
      </c>
      <c r="E1410" s="5" t="s">
        <v>27415</v>
      </c>
      <c r="F1410" s="26" t="s">
        <v>25439</v>
      </c>
      <c r="G1410" s="27" t="s">
        <v>13562</v>
      </c>
      <c r="H1410" s="28" t="s">
        <v>13563</v>
      </c>
      <c r="I1410" s="5" t="s">
        <v>197</v>
      </c>
    </row>
    <row r="1411" spans="1:9" ht="51.75" customHeight="1">
      <c r="A1411" s="5" t="s">
        <v>23820</v>
      </c>
      <c r="B1411" s="5" t="s">
        <v>27416</v>
      </c>
      <c r="C1411" s="5" t="s">
        <v>27414</v>
      </c>
      <c r="D1411" s="246">
        <v>43486</v>
      </c>
      <c r="E1411" s="5" t="s">
        <v>27417</v>
      </c>
      <c r="F1411" s="26" t="s">
        <v>23600</v>
      </c>
      <c r="G1411" s="27" t="s">
        <v>13562</v>
      </c>
      <c r="H1411" s="28" t="s">
        <v>13563</v>
      </c>
      <c r="I1411" s="5" t="s">
        <v>197</v>
      </c>
    </row>
    <row r="1412" spans="1:9" ht="51.75" customHeight="1">
      <c r="A1412" s="5" t="s">
        <v>27418</v>
      </c>
      <c r="B1412" s="5" t="s">
        <v>27419</v>
      </c>
      <c r="C1412" s="5" t="s">
        <v>27420</v>
      </c>
      <c r="D1412" s="246">
        <v>43486</v>
      </c>
      <c r="E1412" s="5" t="s">
        <v>27421</v>
      </c>
      <c r="F1412" s="26" t="s">
        <v>25439</v>
      </c>
      <c r="G1412" s="27" t="s">
        <v>13562</v>
      </c>
      <c r="H1412" s="28" t="s">
        <v>13563</v>
      </c>
      <c r="I1412" s="5" t="s">
        <v>197</v>
      </c>
    </row>
    <row r="1413" spans="1:9" ht="51.75" customHeight="1">
      <c r="A1413" s="5" t="s">
        <v>27418</v>
      </c>
      <c r="B1413" s="5" t="s">
        <v>27422</v>
      </c>
      <c r="C1413" s="5" t="s">
        <v>27420</v>
      </c>
      <c r="D1413" s="246">
        <v>43486</v>
      </c>
      <c r="E1413" s="5" t="s">
        <v>27423</v>
      </c>
      <c r="F1413" s="26" t="s">
        <v>23600</v>
      </c>
      <c r="G1413" s="27" t="s">
        <v>13562</v>
      </c>
      <c r="H1413" s="28" t="s">
        <v>13563</v>
      </c>
      <c r="I1413" s="5" t="s">
        <v>197</v>
      </c>
    </row>
    <row r="1414" spans="1:9" ht="51.75" customHeight="1">
      <c r="A1414" s="5" t="s">
        <v>27424</v>
      </c>
      <c r="B1414" s="5" t="s">
        <v>27425</v>
      </c>
      <c r="C1414" s="5" t="s">
        <v>27426</v>
      </c>
      <c r="D1414" s="246">
        <v>43486</v>
      </c>
      <c r="E1414" s="5" t="s">
        <v>27427</v>
      </c>
      <c r="F1414" s="26" t="s">
        <v>25439</v>
      </c>
      <c r="G1414" s="27" t="s">
        <v>13562</v>
      </c>
      <c r="H1414" s="28" t="s">
        <v>13563</v>
      </c>
      <c r="I1414" s="5" t="s">
        <v>197</v>
      </c>
    </row>
    <row r="1415" spans="1:9" ht="51.75" customHeight="1">
      <c r="A1415" s="5" t="s">
        <v>27424</v>
      </c>
      <c r="B1415" s="5" t="s">
        <v>27428</v>
      </c>
      <c r="C1415" s="5" t="s">
        <v>27426</v>
      </c>
      <c r="D1415" s="246">
        <v>43486</v>
      </c>
      <c r="E1415" s="5" t="s">
        <v>27429</v>
      </c>
      <c r="F1415" s="26" t="s">
        <v>23600</v>
      </c>
      <c r="G1415" s="27" t="s">
        <v>13562</v>
      </c>
      <c r="H1415" s="28" t="s">
        <v>13563</v>
      </c>
      <c r="I1415" s="5" t="s">
        <v>197</v>
      </c>
    </row>
    <row r="1416" spans="1:9" ht="51.75" customHeight="1">
      <c r="A1416" s="5" t="s">
        <v>26069</v>
      </c>
      <c r="B1416" s="5" t="s">
        <v>27430</v>
      </c>
      <c r="C1416" s="5" t="s">
        <v>27431</v>
      </c>
      <c r="D1416" s="246">
        <v>43740</v>
      </c>
      <c r="E1416" s="5" t="s">
        <v>27432</v>
      </c>
      <c r="F1416" s="26" t="s">
        <v>25439</v>
      </c>
      <c r="G1416" s="27" t="s">
        <v>14173</v>
      </c>
      <c r="H1416" s="28" t="s">
        <v>14174</v>
      </c>
      <c r="I1416" s="5" t="s">
        <v>197</v>
      </c>
    </row>
    <row r="1417" spans="1:9" ht="51.75" customHeight="1">
      <c r="A1417" s="5" t="s">
        <v>26069</v>
      </c>
      <c r="B1417" s="5" t="s">
        <v>27433</v>
      </c>
      <c r="C1417" s="5" t="s">
        <v>27431</v>
      </c>
      <c r="D1417" s="246">
        <v>43740</v>
      </c>
      <c r="E1417" s="5" t="s">
        <v>27434</v>
      </c>
      <c r="F1417" s="26" t="s">
        <v>23600</v>
      </c>
      <c r="G1417" s="27" t="s">
        <v>14173</v>
      </c>
      <c r="H1417" s="28" t="s">
        <v>14174</v>
      </c>
      <c r="I1417" s="5" t="s">
        <v>197</v>
      </c>
    </row>
    <row r="1418" spans="1:9" ht="51.75" customHeight="1">
      <c r="A1418" s="5" t="s">
        <v>26074</v>
      </c>
      <c r="B1418" s="5" t="s">
        <v>27435</v>
      </c>
      <c r="C1418" s="5" t="s">
        <v>27436</v>
      </c>
      <c r="D1418" s="246">
        <v>43740</v>
      </c>
      <c r="E1418" s="5" t="s">
        <v>27437</v>
      </c>
      <c r="F1418" s="26" t="s">
        <v>25439</v>
      </c>
      <c r="G1418" s="27" t="s">
        <v>14173</v>
      </c>
      <c r="H1418" s="28" t="s">
        <v>14174</v>
      </c>
      <c r="I1418" s="5" t="s">
        <v>197</v>
      </c>
    </row>
    <row r="1419" spans="1:9" ht="51.75" customHeight="1">
      <c r="A1419" s="5" t="s">
        <v>26074</v>
      </c>
      <c r="B1419" s="5" t="s">
        <v>27438</v>
      </c>
      <c r="C1419" s="5" t="s">
        <v>27436</v>
      </c>
      <c r="D1419" s="246">
        <v>43740</v>
      </c>
      <c r="E1419" s="5" t="s">
        <v>27439</v>
      </c>
      <c r="F1419" s="26" t="s">
        <v>23600</v>
      </c>
      <c r="G1419" s="27" t="s">
        <v>14173</v>
      </c>
      <c r="H1419" s="28" t="s">
        <v>14174</v>
      </c>
      <c r="I1419" s="5" t="s">
        <v>197</v>
      </c>
    </row>
    <row r="1420" spans="1:9" ht="51.75" customHeight="1">
      <c r="A1420" s="5" t="s">
        <v>27440</v>
      </c>
      <c r="B1420" s="5" t="s">
        <v>27441</v>
      </c>
      <c r="C1420" s="5" t="s">
        <v>27442</v>
      </c>
      <c r="D1420" s="246">
        <v>42864</v>
      </c>
      <c r="E1420" s="5" t="s">
        <v>27443</v>
      </c>
      <c r="F1420" s="26" t="s">
        <v>25439</v>
      </c>
      <c r="G1420" s="27" t="s">
        <v>12281</v>
      </c>
      <c r="H1420" s="28" t="s">
        <v>12282</v>
      </c>
      <c r="I1420" s="5" t="s">
        <v>197</v>
      </c>
    </row>
    <row r="1421" spans="1:9" ht="51.75" customHeight="1">
      <c r="A1421" s="5" t="s">
        <v>27440</v>
      </c>
      <c r="B1421" s="5" t="s">
        <v>27444</v>
      </c>
      <c r="C1421" s="5" t="s">
        <v>27442</v>
      </c>
      <c r="D1421" s="246">
        <v>42864</v>
      </c>
      <c r="E1421" s="5" t="s">
        <v>27445</v>
      </c>
      <c r="F1421" s="26" t="s">
        <v>23600</v>
      </c>
      <c r="G1421" s="27" t="s">
        <v>12281</v>
      </c>
      <c r="H1421" s="28" t="s">
        <v>12282</v>
      </c>
      <c r="I1421" s="5" t="s">
        <v>197</v>
      </c>
    </row>
    <row r="1422" spans="1:9" ht="51.75" customHeight="1">
      <c r="A1422" s="5" t="s">
        <v>27446</v>
      </c>
      <c r="B1422" s="5" t="s">
        <v>27447</v>
      </c>
      <c r="C1422" s="5" t="s">
        <v>27448</v>
      </c>
      <c r="D1422" s="246">
        <v>43798</v>
      </c>
      <c r="E1422" s="5" t="s">
        <v>27449</v>
      </c>
      <c r="F1422" s="26" t="s">
        <v>25439</v>
      </c>
      <c r="G1422" s="27" t="s">
        <v>13007</v>
      </c>
      <c r="H1422" s="28" t="s">
        <v>13008</v>
      </c>
      <c r="I1422" s="5" t="s">
        <v>197</v>
      </c>
    </row>
    <row r="1423" spans="1:9" ht="51.75" customHeight="1">
      <c r="A1423" s="5" t="s">
        <v>27446</v>
      </c>
      <c r="B1423" s="5" t="s">
        <v>27450</v>
      </c>
      <c r="C1423" s="5" t="s">
        <v>27448</v>
      </c>
      <c r="D1423" s="246">
        <v>43798</v>
      </c>
      <c r="E1423" s="5" t="s">
        <v>27451</v>
      </c>
      <c r="F1423" s="26" t="s">
        <v>23600</v>
      </c>
      <c r="G1423" s="27" t="s">
        <v>13007</v>
      </c>
      <c r="H1423" s="28" t="s">
        <v>13008</v>
      </c>
      <c r="I1423" s="5" t="s">
        <v>197</v>
      </c>
    </row>
    <row r="1424" spans="1:9" ht="51.75" customHeight="1">
      <c r="A1424" s="5" t="s">
        <v>27452</v>
      </c>
      <c r="B1424" s="5" t="s">
        <v>27453</v>
      </c>
      <c r="C1424" s="5" t="s">
        <v>27454</v>
      </c>
      <c r="D1424" s="246">
        <v>43798</v>
      </c>
      <c r="E1424" s="5" t="s">
        <v>27455</v>
      </c>
      <c r="F1424" s="26" t="s">
        <v>25439</v>
      </c>
      <c r="G1424" s="27" t="s">
        <v>13007</v>
      </c>
      <c r="H1424" s="28" t="s">
        <v>13008</v>
      </c>
      <c r="I1424" s="5" t="s">
        <v>197</v>
      </c>
    </row>
    <row r="1425" spans="1:9" ht="51.75" customHeight="1">
      <c r="A1425" s="5" t="s">
        <v>27452</v>
      </c>
      <c r="B1425" s="5" t="s">
        <v>27456</v>
      </c>
      <c r="C1425" s="5" t="s">
        <v>27454</v>
      </c>
      <c r="D1425" s="246">
        <v>43798</v>
      </c>
      <c r="E1425" s="5" t="s">
        <v>27457</v>
      </c>
      <c r="F1425" s="26" t="s">
        <v>23600</v>
      </c>
      <c r="G1425" s="27" t="s">
        <v>13007</v>
      </c>
      <c r="H1425" s="28" t="s">
        <v>13008</v>
      </c>
      <c r="I1425" s="5" t="s">
        <v>197</v>
      </c>
    </row>
    <row r="1426" spans="1:9" ht="51.75" customHeight="1">
      <c r="A1426" s="5" t="s">
        <v>24530</v>
      </c>
      <c r="B1426" s="5" t="s">
        <v>27458</v>
      </c>
      <c r="C1426" s="5" t="s">
        <v>27459</v>
      </c>
      <c r="D1426" s="246">
        <v>43574</v>
      </c>
      <c r="E1426" s="5" t="s">
        <v>27460</v>
      </c>
      <c r="F1426" s="26" t="s">
        <v>25439</v>
      </c>
      <c r="G1426" s="27" t="s">
        <v>13582</v>
      </c>
      <c r="H1426" s="28" t="s">
        <v>13583</v>
      </c>
      <c r="I1426" s="5" t="s">
        <v>197</v>
      </c>
    </row>
    <row r="1427" spans="1:9" ht="51.75" customHeight="1">
      <c r="A1427" s="5" t="s">
        <v>24530</v>
      </c>
      <c r="B1427" s="5" t="s">
        <v>27461</v>
      </c>
      <c r="C1427" s="5" t="s">
        <v>27459</v>
      </c>
      <c r="D1427" s="246">
        <v>43574</v>
      </c>
      <c r="E1427" s="5" t="s">
        <v>27462</v>
      </c>
      <c r="F1427" s="26" t="s">
        <v>23600</v>
      </c>
      <c r="G1427" s="27" t="s">
        <v>13582</v>
      </c>
      <c r="H1427" s="28" t="s">
        <v>13583</v>
      </c>
      <c r="I1427" s="5" t="s">
        <v>197</v>
      </c>
    </row>
    <row r="1428" spans="1:9" ht="51.75" customHeight="1">
      <c r="A1428" s="5" t="s">
        <v>24542</v>
      </c>
      <c r="B1428" s="5" t="s">
        <v>27463</v>
      </c>
      <c r="C1428" s="5" t="s">
        <v>27464</v>
      </c>
      <c r="D1428" s="246">
        <v>43574</v>
      </c>
      <c r="E1428" s="5" t="s">
        <v>27465</v>
      </c>
      <c r="F1428" s="26" t="s">
        <v>25439</v>
      </c>
      <c r="G1428" s="27" t="s">
        <v>13582</v>
      </c>
      <c r="H1428" s="28" t="s">
        <v>13583</v>
      </c>
      <c r="I1428" s="5" t="s">
        <v>197</v>
      </c>
    </row>
    <row r="1429" spans="1:9" ht="51.75" customHeight="1">
      <c r="A1429" s="5" t="s">
        <v>24542</v>
      </c>
      <c r="B1429" s="5" t="s">
        <v>27466</v>
      </c>
      <c r="C1429" s="5" t="s">
        <v>27464</v>
      </c>
      <c r="D1429" s="246">
        <v>43574</v>
      </c>
      <c r="E1429" s="5" t="s">
        <v>27467</v>
      </c>
      <c r="F1429" s="26" t="s">
        <v>23600</v>
      </c>
      <c r="G1429" s="27" t="s">
        <v>13582</v>
      </c>
      <c r="H1429" s="28" t="s">
        <v>13583</v>
      </c>
      <c r="I1429" s="5" t="s">
        <v>197</v>
      </c>
    </row>
    <row r="1430" spans="1:9" ht="51.75" customHeight="1">
      <c r="A1430" s="5" t="s">
        <v>24511</v>
      </c>
      <c r="B1430" s="5" t="s">
        <v>27468</v>
      </c>
      <c r="C1430" s="5" t="s">
        <v>27469</v>
      </c>
      <c r="D1430" s="246">
        <v>43574</v>
      </c>
      <c r="E1430" s="5" t="s">
        <v>27470</v>
      </c>
      <c r="F1430" s="26" t="s">
        <v>25439</v>
      </c>
      <c r="G1430" s="27" t="s">
        <v>13582</v>
      </c>
      <c r="H1430" s="28" t="s">
        <v>13583</v>
      </c>
      <c r="I1430" s="5" t="s">
        <v>197</v>
      </c>
    </row>
    <row r="1431" spans="1:9" ht="51.75" customHeight="1">
      <c r="A1431" s="5" t="s">
        <v>24511</v>
      </c>
      <c r="B1431" s="5" t="s">
        <v>27471</v>
      </c>
      <c r="C1431" s="5" t="s">
        <v>27469</v>
      </c>
      <c r="D1431" s="246">
        <v>43574</v>
      </c>
      <c r="E1431" s="5" t="s">
        <v>27472</v>
      </c>
      <c r="F1431" s="26" t="s">
        <v>23600</v>
      </c>
      <c r="G1431" s="27" t="s">
        <v>13582</v>
      </c>
      <c r="H1431" s="28" t="s">
        <v>13583</v>
      </c>
      <c r="I1431" s="5" t="s">
        <v>197</v>
      </c>
    </row>
    <row r="1432" spans="1:9" ht="51.75" customHeight="1">
      <c r="A1432" s="5" t="s">
        <v>25240</v>
      </c>
      <c r="B1432" s="5" t="s">
        <v>27473</v>
      </c>
      <c r="C1432" s="5" t="s">
        <v>27474</v>
      </c>
      <c r="D1432" s="246">
        <v>43532</v>
      </c>
      <c r="E1432" s="5" t="s">
        <v>27475</v>
      </c>
      <c r="F1432" s="26" t="s">
        <v>25439</v>
      </c>
      <c r="G1432" s="27" t="s">
        <v>13373</v>
      </c>
      <c r="H1432" s="28" t="s">
        <v>13374</v>
      </c>
      <c r="I1432" s="5" t="s">
        <v>197</v>
      </c>
    </row>
    <row r="1433" spans="1:9" ht="51.75" customHeight="1">
      <c r="A1433" s="5" t="s">
        <v>25240</v>
      </c>
      <c r="B1433" s="5" t="s">
        <v>27476</v>
      </c>
      <c r="C1433" s="5" t="s">
        <v>27474</v>
      </c>
      <c r="D1433" s="246">
        <v>43532</v>
      </c>
      <c r="E1433" s="5" t="s">
        <v>27477</v>
      </c>
      <c r="F1433" s="26" t="s">
        <v>23600</v>
      </c>
      <c r="G1433" s="27" t="s">
        <v>13373</v>
      </c>
      <c r="H1433" s="28" t="s">
        <v>13374</v>
      </c>
      <c r="I1433" s="5" t="s">
        <v>197</v>
      </c>
    </row>
    <row r="1434" spans="1:9" ht="51.75" customHeight="1">
      <c r="A1434" s="5" t="s">
        <v>25488</v>
      </c>
      <c r="B1434" s="5" t="s">
        <v>27478</v>
      </c>
      <c r="C1434" s="5" t="s">
        <v>27479</v>
      </c>
      <c r="D1434" s="246">
        <v>43873</v>
      </c>
      <c r="E1434" s="5" t="s">
        <v>27480</v>
      </c>
      <c r="F1434" s="26" t="s">
        <v>25439</v>
      </c>
      <c r="G1434" s="27" t="s">
        <v>14763</v>
      </c>
      <c r="H1434" s="28" t="s">
        <v>14764</v>
      </c>
      <c r="I1434" s="5" t="s">
        <v>197</v>
      </c>
    </row>
    <row r="1435" spans="1:9" ht="51.75" customHeight="1">
      <c r="A1435" s="5" t="s">
        <v>25488</v>
      </c>
      <c r="B1435" s="5" t="s">
        <v>27481</v>
      </c>
      <c r="C1435" s="5" t="s">
        <v>27479</v>
      </c>
      <c r="D1435" s="246">
        <v>43873</v>
      </c>
      <c r="E1435" s="5" t="s">
        <v>27482</v>
      </c>
      <c r="F1435" s="26" t="s">
        <v>23600</v>
      </c>
      <c r="G1435" s="27" t="s">
        <v>14763</v>
      </c>
      <c r="H1435" s="28" t="s">
        <v>14764</v>
      </c>
      <c r="I1435" s="5" t="s">
        <v>197</v>
      </c>
    </row>
    <row r="1436" spans="1:9" ht="51.75" customHeight="1">
      <c r="A1436" s="5" t="s">
        <v>23814</v>
      </c>
      <c r="B1436" s="5" t="s">
        <v>27483</v>
      </c>
      <c r="C1436" s="5" t="s">
        <v>27484</v>
      </c>
      <c r="D1436" s="246">
        <v>43873</v>
      </c>
      <c r="E1436" s="5" t="s">
        <v>27485</v>
      </c>
      <c r="F1436" s="26" t="s">
        <v>25439</v>
      </c>
      <c r="G1436" s="27" t="s">
        <v>14763</v>
      </c>
      <c r="H1436" s="28" t="s">
        <v>14764</v>
      </c>
      <c r="I1436" s="5" t="s">
        <v>197</v>
      </c>
    </row>
    <row r="1437" spans="1:9" ht="51.75" customHeight="1">
      <c r="A1437" s="5" t="s">
        <v>23814</v>
      </c>
      <c r="B1437" s="5" t="s">
        <v>27486</v>
      </c>
      <c r="C1437" s="5" t="s">
        <v>27484</v>
      </c>
      <c r="D1437" s="246">
        <v>43873</v>
      </c>
      <c r="E1437" s="5" t="s">
        <v>27487</v>
      </c>
      <c r="F1437" s="26" t="s">
        <v>23600</v>
      </c>
      <c r="G1437" s="27" t="s">
        <v>14763</v>
      </c>
      <c r="H1437" s="28" t="s">
        <v>14764</v>
      </c>
      <c r="I1437" s="5" t="s">
        <v>197</v>
      </c>
    </row>
    <row r="1438" spans="1:9" ht="51.75" customHeight="1">
      <c r="A1438" s="5" t="s">
        <v>27488</v>
      </c>
      <c r="B1438" s="5" t="s">
        <v>27489</v>
      </c>
      <c r="C1438" s="5" t="s">
        <v>27490</v>
      </c>
      <c r="D1438" s="246">
        <v>43570</v>
      </c>
      <c r="E1438" s="5" t="s">
        <v>27491</v>
      </c>
      <c r="F1438" s="26" t="s">
        <v>25439</v>
      </c>
      <c r="G1438" s="27" t="s">
        <v>15012</v>
      </c>
      <c r="H1438" s="28" t="s">
        <v>15013</v>
      </c>
      <c r="I1438" s="5" t="s">
        <v>197</v>
      </c>
    </row>
    <row r="1439" spans="1:9" ht="51.75" customHeight="1">
      <c r="A1439" s="5" t="s">
        <v>27488</v>
      </c>
      <c r="B1439" s="5" t="s">
        <v>27492</v>
      </c>
      <c r="C1439" s="5" t="s">
        <v>27490</v>
      </c>
      <c r="D1439" s="246">
        <v>43570</v>
      </c>
      <c r="E1439" s="5" t="s">
        <v>27493</v>
      </c>
      <c r="F1439" s="26" t="s">
        <v>23600</v>
      </c>
      <c r="G1439" s="27" t="s">
        <v>15012</v>
      </c>
      <c r="H1439" s="28" t="s">
        <v>15013</v>
      </c>
      <c r="I1439" s="5" t="s">
        <v>197</v>
      </c>
    </row>
    <row r="1440" spans="1:9" ht="51.75" customHeight="1">
      <c r="A1440" s="5" t="s">
        <v>24546</v>
      </c>
      <c r="B1440" s="5" t="s">
        <v>27494</v>
      </c>
      <c r="C1440" s="5" t="s">
        <v>27495</v>
      </c>
      <c r="D1440" s="246">
        <v>43643</v>
      </c>
      <c r="E1440" s="5" t="s">
        <v>27496</v>
      </c>
      <c r="F1440" s="26" t="s">
        <v>25439</v>
      </c>
      <c r="G1440" s="27" t="s">
        <v>15277</v>
      </c>
      <c r="H1440" s="28" t="s">
        <v>15278</v>
      </c>
      <c r="I1440" s="5" t="s">
        <v>197</v>
      </c>
    </row>
    <row r="1441" spans="1:9" ht="51.75" customHeight="1">
      <c r="A1441" s="5" t="s">
        <v>24546</v>
      </c>
      <c r="B1441" s="5" t="s">
        <v>27497</v>
      </c>
      <c r="C1441" s="5" t="s">
        <v>27495</v>
      </c>
      <c r="D1441" s="246">
        <v>43643</v>
      </c>
      <c r="E1441" s="5" t="s">
        <v>27498</v>
      </c>
      <c r="F1441" s="26" t="s">
        <v>23600</v>
      </c>
      <c r="G1441" s="27" t="s">
        <v>15277</v>
      </c>
      <c r="H1441" s="28" t="s">
        <v>15278</v>
      </c>
      <c r="I1441" s="5" t="s">
        <v>197</v>
      </c>
    </row>
    <row r="1442" spans="1:9" ht="51.75" customHeight="1">
      <c r="A1442" s="5" t="s">
        <v>24550</v>
      </c>
      <c r="B1442" s="5" t="s">
        <v>27499</v>
      </c>
      <c r="C1442" s="5" t="s">
        <v>27500</v>
      </c>
      <c r="D1442" s="246">
        <v>43643</v>
      </c>
      <c r="E1442" s="5" t="s">
        <v>27501</v>
      </c>
      <c r="F1442" s="26" t="s">
        <v>25439</v>
      </c>
      <c r="G1442" s="27" t="s">
        <v>15277</v>
      </c>
      <c r="H1442" s="28" t="s">
        <v>15278</v>
      </c>
      <c r="I1442" s="5" t="s">
        <v>197</v>
      </c>
    </row>
    <row r="1443" spans="1:9" ht="51.75" customHeight="1">
      <c r="A1443" s="5" t="s">
        <v>24550</v>
      </c>
      <c r="B1443" s="5" t="s">
        <v>27502</v>
      </c>
      <c r="C1443" s="5" t="s">
        <v>27500</v>
      </c>
      <c r="D1443" s="246">
        <v>43643</v>
      </c>
      <c r="E1443" s="5" t="s">
        <v>27503</v>
      </c>
      <c r="F1443" s="26" t="s">
        <v>23600</v>
      </c>
      <c r="G1443" s="27" t="s">
        <v>15277</v>
      </c>
      <c r="H1443" s="28" t="s">
        <v>15278</v>
      </c>
      <c r="I1443" s="5" t="s">
        <v>197</v>
      </c>
    </row>
    <row r="1444" spans="1:9" ht="51.75" customHeight="1">
      <c r="A1444" s="5"/>
      <c r="B1444" s="5" t="s">
        <v>27504</v>
      </c>
      <c r="C1444" s="5" t="s">
        <v>27505</v>
      </c>
      <c r="D1444" s="246">
        <v>42754</v>
      </c>
      <c r="E1444" s="5" t="s">
        <v>27506</v>
      </c>
      <c r="F1444" s="26" t="s">
        <v>25439</v>
      </c>
      <c r="G1444" s="27" t="s">
        <v>13165</v>
      </c>
      <c r="H1444" s="28" t="s">
        <v>13166</v>
      </c>
      <c r="I1444" s="5" t="s">
        <v>197</v>
      </c>
    </row>
    <row r="1445" spans="1:9" ht="51.75" customHeight="1">
      <c r="A1445" s="5"/>
      <c r="B1445" s="5" t="s">
        <v>27507</v>
      </c>
      <c r="C1445" s="5" t="s">
        <v>27508</v>
      </c>
      <c r="D1445" s="246">
        <v>42754</v>
      </c>
      <c r="E1445" s="5" t="s">
        <v>27509</v>
      </c>
      <c r="F1445" s="26" t="s">
        <v>25439</v>
      </c>
      <c r="G1445" s="27" t="s">
        <v>13165</v>
      </c>
      <c r="H1445" s="28" t="s">
        <v>13166</v>
      </c>
      <c r="I1445" s="5" t="s">
        <v>197</v>
      </c>
    </row>
    <row r="1446" spans="1:9" ht="51.75" customHeight="1">
      <c r="A1446" s="5"/>
      <c r="B1446" s="5" t="s">
        <v>27510</v>
      </c>
      <c r="C1446" s="5" t="s">
        <v>27511</v>
      </c>
      <c r="D1446" s="246">
        <v>44355</v>
      </c>
      <c r="E1446" s="5" t="s">
        <v>27512</v>
      </c>
      <c r="F1446" s="26" t="s">
        <v>25439</v>
      </c>
      <c r="G1446" s="31" t="s">
        <v>13426</v>
      </c>
      <c r="H1446" s="28" t="s">
        <v>13166</v>
      </c>
      <c r="I1446" s="32" t="s">
        <v>27513</v>
      </c>
    </row>
    <row r="1447" spans="1:9" ht="51.75" customHeight="1">
      <c r="A1447" s="5"/>
      <c r="B1447" s="5" t="s">
        <v>27514</v>
      </c>
      <c r="C1447" s="5" t="s">
        <v>27515</v>
      </c>
      <c r="D1447" s="246">
        <v>44355</v>
      </c>
      <c r="E1447" s="5" t="s">
        <v>27516</v>
      </c>
      <c r="F1447" s="26" t="s">
        <v>25439</v>
      </c>
      <c r="G1447" s="31" t="s">
        <v>13426</v>
      </c>
      <c r="H1447" s="29" t="s">
        <v>13427</v>
      </c>
      <c r="I1447" s="32" t="s">
        <v>27513</v>
      </c>
    </row>
    <row r="1448" spans="1:9" ht="51.75" customHeight="1">
      <c r="A1448" s="5"/>
      <c r="B1448" s="5" t="str">
        <f>CONCATENATE(G1448,"/",COUNTIF($G$2:G1448,G1448))</f>
        <v>ES-10002/1</v>
      </c>
      <c r="C1448" s="5" t="s">
        <v>27517</v>
      </c>
      <c r="D1448" s="246">
        <v>44455</v>
      </c>
      <c r="E1448" s="5" t="s">
        <v>27518</v>
      </c>
      <c r="F1448" s="26" t="s">
        <v>23600</v>
      </c>
      <c r="G1448" s="33" t="s">
        <v>17530</v>
      </c>
      <c r="H1448" s="28" t="s">
        <v>17531</v>
      </c>
      <c r="I1448" s="5" t="s">
        <v>17532</v>
      </c>
    </row>
    <row r="1449" spans="1:9" ht="51.75" customHeight="1">
      <c r="A1449" s="5"/>
      <c r="B1449" s="5" t="str">
        <f>CONCATENATE(G1449,"/",COUNTIF($G$2:G1449,G1449))</f>
        <v>ES-10002/2</v>
      </c>
      <c r="C1449" s="5" t="s">
        <v>27519</v>
      </c>
      <c r="D1449" s="246">
        <v>44455</v>
      </c>
      <c r="E1449" s="5" t="s">
        <v>27520</v>
      </c>
      <c r="F1449" s="26" t="s">
        <v>23600</v>
      </c>
      <c r="G1449" s="33" t="s">
        <v>17530</v>
      </c>
      <c r="H1449" s="28" t="s">
        <v>17531</v>
      </c>
      <c r="I1449" s="5" t="s">
        <v>17532</v>
      </c>
    </row>
    <row r="1450" spans="1:9" ht="51.75" customHeight="1">
      <c r="A1450" s="5"/>
      <c r="B1450" s="5" t="str">
        <f>CONCATENATE(G1450,"/",COUNTIF($G$2:G1450,G1450))</f>
        <v>ES-10002/3</v>
      </c>
      <c r="C1450" s="5" t="s">
        <v>27521</v>
      </c>
      <c r="D1450" s="246">
        <v>44455</v>
      </c>
      <c r="E1450" s="5" t="s">
        <v>27522</v>
      </c>
      <c r="F1450" s="26" t="s">
        <v>23600</v>
      </c>
      <c r="G1450" s="33" t="s">
        <v>17530</v>
      </c>
      <c r="H1450" s="28" t="s">
        <v>17531</v>
      </c>
      <c r="I1450" s="5" t="s">
        <v>17532</v>
      </c>
    </row>
    <row r="1451" spans="1:9" ht="51.75" customHeight="1">
      <c r="A1451" s="5"/>
      <c r="B1451" s="5" t="str">
        <f>CONCATENATE(G1451,"/",COUNTIF($G$2:G1451,G1451))</f>
        <v>ES-10002/4</v>
      </c>
      <c r="C1451" s="5" t="s">
        <v>27523</v>
      </c>
      <c r="D1451" s="246">
        <v>44455</v>
      </c>
      <c r="E1451" s="5" t="s">
        <v>27524</v>
      </c>
      <c r="F1451" s="26" t="s">
        <v>23600</v>
      </c>
      <c r="G1451" s="33" t="s">
        <v>17530</v>
      </c>
      <c r="H1451" s="28" t="s">
        <v>17531</v>
      </c>
      <c r="I1451" s="5" t="s">
        <v>17532</v>
      </c>
    </row>
    <row r="1452" spans="1:9" ht="51.75" customHeight="1">
      <c r="A1452" s="5"/>
      <c r="B1452" s="5" t="str">
        <f>CONCATENATE(G1452,"/",COUNTIF($G$2:G1452,G1452))</f>
        <v>ES-10002/5</v>
      </c>
      <c r="C1452" s="5" t="s">
        <v>27525</v>
      </c>
      <c r="D1452" s="246">
        <v>44455</v>
      </c>
      <c r="E1452" s="5" t="s">
        <v>27526</v>
      </c>
      <c r="F1452" s="26" t="s">
        <v>23600</v>
      </c>
      <c r="G1452" s="33" t="s">
        <v>17530</v>
      </c>
      <c r="H1452" s="28" t="s">
        <v>17531</v>
      </c>
      <c r="I1452" s="5" t="s">
        <v>17532</v>
      </c>
    </row>
    <row r="1453" spans="1:9" ht="51.75" customHeight="1">
      <c r="A1453" s="5">
        <v>1</v>
      </c>
      <c r="B1453" s="5" t="s">
        <v>27527</v>
      </c>
      <c r="C1453" s="5" t="s">
        <v>27528</v>
      </c>
      <c r="D1453" s="246">
        <v>40297</v>
      </c>
      <c r="E1453" s="5" t="s">
        <v>27529</v>
      </c>
      <c r="F1453" s="26"/>
      <c r="G1453" s="27" t="s">
        <v>4076</v>
      </c>
      <c r="H1453" s="28" t="s">
        <v>4077</v>
      </c>
      <c r="I1453" s="5" t="s">
        <v>594</v>
      </c>
    </row>
    <row r="1454" spans="1:9" ht="51.75" customHeight="1">
      <c r="A1454" s="5">
        <v>2</v>
      </c>
      <c r="B1454" s="5" t="s">
        <v>27530</v>
      </c>
      <c r="C1454" s="5" t="s">
        <v>27531</v>
      </c>
      <c r="D1454" s="246">
        <v>40297</v>
      </c>
      <c r="E1454" s="5" t="s">
        <v>27532</v>
      </c>
      <c r="F1454" s="26"/>
      <c r="G1454" s="27" t="s">
        <v>4076</v>
      </c>
      <c r="H1454" s="28" t="s">
        <v>4077</v>
      </c>
      <c r="I1454" s="5" t="s">
        <v>594</v>
      </c>
    </row>
    <row r="1455" spans="1:9" ht="51.75" customHeight="1">
      <c r="A1455" s="5">
        <v>3</v>
      </c>
      <c r="B1455" s="5" t="s">
        <v>27533</v>
      </c>
      <c r="C1455" s="5" t="s">
        <v>27534</v>
      </c>
      <c r="D1455" s="246">
        <v>40297</v>
      </c>
      <c r="E1455" s="5" t="s">
        <v>27534</v>
      </c>
      <c r="F1455" s="26"/>
      <c r="G1455" s="27" t="s">
        <v>4076</v>
      </c>
      <c r="H1455" s="28" t="s">
        <v>4077</v>
      </c>
      <c r="I1455" s="5" t="s">
        <v>594</v>
      </c>
    </row>
    <row r="1456" spans="1:9" ht="51.75" customHeight="1">
      <c r="A1456" s="5">
        <v>1</v>
      </c>
      <c r="B1456" s="5" t="s">
        <v>27535</v>
      </c>
      <c r="C1456" s="5" t="s">
        <v>27536</v>
      </c>
      <c r="D1456" s="246">
        <v>40326</v>
      </c>
      <c r="E1456" s="5" t="s">
        <v>27537</v>
      </c>
      <c r="F1456" s="26"/>
      <c r="G1456" s="27" t="s">
        <v>3956</v>
      </c>
      <c r="H1456" s="28" t="s">
        <v>3957</v>
      </c>
      <c r="I1456" s="5" t="s">
        <v>594</v>
      </c>
    </row>
    <row r="1457" spans="1:9" ht="51.75" customHeight="1">
      <c r="A1457" s="5">
        <v>2</v>
      </c>
      <c r="B1457" s="5" t="s">
        <v>27538</v>
      </c>
      <c r="C1457" s="5" t="s">
        <v>27539</v>
      </c>
      <c r="D1457" s="246">
        <v>40326</v>
      </c>
      <c r="E1457" s="5" t="s">
        <v>27540</v>
      </c>
      <c r="F1457" s="26"/>
      <c r="G1457" s="27" t="s">
        <v>3956</v>
      </c>
      <c r="H1457" s="28" t="s">
        <v>3957</v>
      </c>
      <c r="I1457" s="5" t="s">
        <v>594</v>
      </c>
    </row>
    <row r="1458" spans="1:9" ht="51.75" customHeight="1">
      <c r="A1458" s="5">
        <v>3</v>
      </c>
      <c r="B1458" s="5" t="s">
        <v>27541</v>
      </c>
      <c r="C1458" s="5" t="s">
        <v>27542</v>
      </c>
      <c r="D1458" s="246">
        <v>40326</v>
      </c>
      <c r="E1458" s="5" t="s">
        <v>27543</v>
      </c>
      <c r="F1458" s="26"/>
      <c r="G1458" s="27" t="s">
        <v>3956</v>
      </c>
      <c r="H1458" s="28" t="s">
        <v>3957</v>
      </c>
      <c r="I1458" s="5" t="s">
        <v>594</v>
      </c>
    </row>
    <row r="1459" spans="1:9" ht="51.75" customHeight="1">
      <c r="A1459" s="5">
        <v>4</v>
      </c>
      <c r="B1459" s="5" t="s">
        <v>27544</v>
      </c>
      <c r="C1459" s="5" t="s">
        <v>27545</v>
      </c>
      <c r="D1459" s="246">
        <v>40326</v>
      </c>
      <c r="E1459" s="5" t="s">
        <v>27546</v>
      </c>
      <c r="F1459" s="26"/>
      <c r="G1459" s="27" t="s">
        <v>3956</v>
      </c>
      <c r="H1459" s="28" t="s">
        <v>3957</v>
      </c>
      <c r="I1459" s="5" t="s">
        <v>594</v>
      </c>
    </row>
    <row r="1460" spans="1:9" ht="51.75" customHeight="1">
      <c r="A1460" s="5">
        <v>5</v>
      </c>
      <c r="B1460" s="5" t="s">
        <v>27547</v>
      </c>
      <c r="C1460" s="5" t="s">
        <v>27548</v>
      </c>
      <c r="D1460" s="246">
        <v>40326</v>
      </c>
      <c r="E1460" s="5" t="s">
        <v>27549</v>
      </c>
      <c r="F1460" s="26"/>
      <c r="G1460" s="27" t="s">
        <v>3956</v>
      </c>
      <c r="H1460" s="28" t="s">
        <v>3957</v>
      </c>
      <c r="I1460" s="5" t="s">
        <v>594</v>
      </c>
    </row>
    <row r="1461" spans="1:9" ht="51.75" customHeight="1">
      <c r="A1461" s="5">
        <v>6</v>
      </c>
      <c r="B1461" s="5" t="s">
        <v>27550</v>
      </c>
      <c r="C1461" s="5" t="s">
        <v>27551</v>
      </c>
      <c r="D1461" s="246">
        <v>40326</v>
      </c>
      <c r="E1461" s="5" t="s">
        <v>27552</v>
      </c>
      <c r="F1461" s="26"/>
      <c r="G1461" s="27" t="s">
        <v>3956</v>
      </c>
      <c r="H1461" s="28" t="s">
        <v>3957</v>
      </c>
      <c r="I1461" s="5" t="s">
        <v>594</v>
      </c>
    </row>
    <row r="1462" spans="1:9" ht="51.75" customHeight="1">
      <c r="A1462" s="5">
        <v>7</v>
      </c>
      <c r="B1462" s="5" t="s">
        <v>27553</v>
      </c>
      <c r="C1462" s="5" t="s">
        <v>27554</v>
      </c>
      <c r="D1462" s="246">
        <v>40326</v>
      </c>
      <c r="E1462" s="5" t="s">
        <v>27555</v>
      </c>
      <c r="F1462" s="26"/>
      <c r="G1462" s="27" t="s">
        <v>3956</v>
      </c>
      <c r="H1462" s="28" t="s">
        <v>3957</v>
      </c>
      <c r="I1462" s="5" t="s">
        <v>594</v>
      </c>
    </row>
    <row r="1463" spans="1:9" ht="51.75" customHeight="1">
      <c r="A1463" s="5">
        <v>1</v>
      </c>
      <c r="B1463" s="5" t="s">
        <v>27556</v>
      </c>
      <c r="C1463" s="5" t="s">
        <v>27557</v>
      </c>
      <c r="D1463" s="246">
        <v>39966</v>
      </c>
      <c r="E1463" s="5" t="s">
        <v>27558</v>
      </c>
      <c r="F1463" s="26"/>
      <c r="G1463" s="27" t="s">
        <v>1544</v>
      </c>
      <c r="H1463" s="28" t="s">
        <v>1545</v>
      </c>
      <c r="I1463" s="5" t="s">
        <v>594</v>
      </c>
    </row>
    <row r="1464" spans="1:9" ht="51.75" customHeight="1">
      <c r="A1464" s="5">
        <v>2</v>
      </c>
      <c r="B1464" s="5" t="s">
        <v>27559</v>
      </c>
      <c r="C1464" s="5" t="s">
        <v>27560</v>
      </c>
      <c r="D1464" s="246">
        <v>39966</v>
      </c>
      <c r="E1464" s="5" t="s">
        <v>27561</v>
      </c>
      <c r="F1464" s="26"/>
      <c r="G1464" s="27" t="s">
        <v>1544</v>
      </c>
      <c r="H1464" s="28" t="s">
        <v>1545</v>
      </c>
      <c r="I1464" s="5" t="s">
        <v>594</v>
      </c>
    </row>
    <row r="1465" spans="1:9" ht="51.75" customHeight="1">
      <c r="A1465" s="5">
        <v>3</v>
      </c>
      <c r="B1465" s="5" t="s">
        <v>27562</v>
      </c>
      <c r="C1465" s="5" t="s">
        <v>27563</v>
      </c>
      <c r="D1465" s="246">
        <v>39966</v>
      </c>
      <c r="E1465" s="5" t="s">
        <v>27564</v>
      </c>
      <c r="F1465" s="26"/>
      <c r="G1465" s="27" t="s">
        <v>1544</v>
      </c>
      <c r="H1465" s="28" t="s">
        <v>1545</v>
      </c>
      <c r="I1465" s="5" t="s">
        <v>594</v>
      </c>
    </row>
    <row r="1466" spans="1:9" ht="51.75" customHeight="1">
      <c r="A1466" s="5">
        <v>1</v>
      </c>
      <c r="B1466" s="5" t="s">
        <v>27565</v>
      </c>
      <c r="C1466" s="5" t="s">
        <v>27566</v>
      </c>
      <c r="D1466" s="246">
        <v>39786</v>
      </c>
      <c r="E1466" s="5" t="s">
        <v>27567</v>
      </c>
      <c r="F1466" s="26"/>
      <c r="G1466" s="27" t="s">
        <v>3156</v>
      </c>
      <c r="H1466" s="28" t="s">
        <v>3157</v>
      </c>
      <c r="I1466" s="5" t="s">
        <v>594</v>
      </c>
    </row>
    <row r="1467" spans="1:9" ht="51.75" customHeight="1">
      <c r="A1467" s="5">
        <v>2</v>
      </c>
      <c r="B1467" s="5" t="s">
        <v>27568</v>
      </c>
      <c r="C1467" s="5" t="s">
        <v>27569</v>
      </c>
      <c r="D1467" s="246">
        <v>39786</v>
      </c>
      <c r="E1467" s="5" t="s">
        <v>27570</v>
      </c>
      <c r="F1467" s="26"/>
      <c r="G1467" s="27" t="s">
        <v>3156</v>
      </c>
      <c r="H1467" s="28" t="s">
        <v>3157</v>
      </c>
      <c r="I1467" s="5" t="s">
        <v>594</v>
      </c>
    </row>
    <row r="1468" spans="1:9" ht="51.75" customHeight="1">
      <c r="A1468" s="5">
        <v>3</v>
      </c>
      <c r="B1468" s="5" t="s">
        <v>27571</v>
      </c>
      <c r="C1468" s="5" t="s">
        <v>27572</v>
      </c>
      <c r="D1468" s="246">
        <v>39786</v>
      </c>
      <c r="E1468" s="5" t="s">
        <v>27573</v>
      </c>
      <c r="F1468" s="26"/>
      <c r="G1468" s="27" t="s">
        <v>3156</v>
      </c>
      <c r="H1468" s="28" t="s">
        <v>3157</v>
      </c>
      <c r="I1468" s="5" t="s">
        <v>594</v>
      </c>
    </row>
    <row r="1469" spans="1:9" ht="51.75" customHeight="1">
      <c r="A1469" s="5">
        <v>4</v>
      </c>
      <c r="B1469" s="5" t="s">
        <v>27574</v>
      </c>
      <c r="C1469" s="5" t="s">
        <v>27575</v>
      </c>
      <c r="D1469" s="246">
        <v>39786</v>
      </c>
      <c r="E1469" s="5" t="s">
        <v>27576</v>
      </c>
      <c r="F1469" s="26"/>
      <c r="G1469" s="27" t="s">
        <v>3156</v>
      </c>
      <c r="H1469" s="28" t="s">
        <v>3157</v>
      </c>
      <c r="I1469" s="5" t="s">
        <v>594</v>
      </c>
    </row>
    <row r="1470" spans="1:9" ht="51.75" customHeight="1">
      <c r="A1470" s="5">
        <v>1</v>
      </c>
      <c r="B1470" s="5" t="s">
        <v>27577</v>
      </c>
      <c r="C1470" s="5" t="s">
        <v>27578</v>
      </c>
      <c r="D1470" s="246">
        <v>39785</v>
      </c>
      <c r="E1470" s="5" t="s">
        <v>27579</v>
      </c>
      <c r="F1470" s="26"/>
      <c r="G1470" s="27" t="s">
        <v>2917</v>
      </c>
      <c r="H1470" s="28" t="s">
        <v>2918</v>
      </c>
      <c r="I1470" s="5" t="s">
        <v>594</v>
      </c>
    </row>
    <row r="1471" spans="1:9" ht="51.75" customHeight="1">
      <c r="A1471" s="5">
        <v>2</v>
      </c>
      <c r="B1471" s="5" t="s">
        <v>27580</v>
      </c>
      <c r="C1471" s="5" t="s">
        <v>27581</v>
      </c>
      <c r="D1471" s="246">
        <v>39785</v>
      </c>
      <c r="E1471" s="5" t="s">
        <v>27582</v>
      </c>
      <c r="F1471" s="26"/>
      <c r="G1471" s="27" t="s">
        <v>2917</v>
      </c>
      <c r="H1471" s="28" t="s">
        <v>2918</v>
      </c>
      <c r="I1471" s="5" t="s">
        <v>594</v>
      </c>
    </row>
    <row r="1472" spans="1:9" ht="51.75" customHeight="1">
      <c r="A1472" s="5">
        <v>1</v>
      </c>
      <c r="B1472" s="5" t="s">
        <v>27583</v>
      </c>
      <c r="C1472" s="5" t="s">
        <v>27584</v>
      </c>
      <c r="D1472" s="246">
        <v>40192</v>
      </c>
      <c r="E1472" s="5" t="s">
        <v>27585</v>
      </c>
      <c r="F1472" s="26"/>
      <c r="G1472" s="27" t="s">
        <v>1502</v>
      </c>
      <c r="H1472" s="28" t="s">
        <v>1503</v>
      </c>
      <c r="I1472" s="5" t="s">
        <v>594</v>
      </c>
    </row>
    <row r="1473" spans="1:9" ht="51.75" customHeight="1">
      <c r="A1473" s="5">
        <v>2</v>
      </c>
      <c r="B1473" s="5" t="s">
        <v>27586</v>
      </c>
      <c r="C1473" s="5" t="s">
        <v>27587</v>
      </c>
      <c r="D1473" s="246">
        <v>40192</v>
      </c>
      <c r="E1473" s="5" t="s">
        <v>27587</v>
      </c>
      <c r="F1473" s="26"/>
      <c r="G1473" s="27" t="s">
        <v>1502</v>
      </c>
      <c r="H1473" s="28" t="s">
        <v>1503</v>
      </c>
      <c r="I1473" s="5" t="s">
        <v>594</v>
      </c>
    </row>
    <row r="1474" spans="1:9" ht="51.75" customHeight="1">
      <c r="A1474" s="5">
        <v>3</v>
      </c>
      <c r="B1474" s="5" t="s">
        <v>27588</v>
      </c>
      <c r="C1474" s="5" t="s">
        <v>27589</v>
      </c>
      <c r="D1474" s="246">
        <v>40192</v>
      </c>
      <c r="E1474" s="5" t="s">
        <v>27590</v>
      </c>
      <c r="F1474" s="26"/>
      <c r="G1474" s="27" t="s">
        <v>1502</v>
      </c>
      <c r="H1474" s="28" t="s">
        <v>1503</v>
      </c>
      <c r="I1474" s="5" t="s">
        <v>594</v>
      </c>
    </row>
    <row r="1475" spans="1:9" ht="51.75" customHeight="1">
      <c r="A1475" s="5">
        <v>4</v>
      </c>
      <c r="B1475" s="5" t="s">
        <v>27591</v>
      </c>
      <c r="C1475" s="5" t="s">
        <v>27592</v>
      </c>
      <c r="D1475" s="246">
        <v>40192</v>
      </c>
      <c r="E1475" s="5" t="s">
        <v>27592</v>
      </c>
      <c r="F1475" s="26"/>
      <c r="G1475" s="27" t="s">
        <v>1502</v>
      </c>
      <c r="H1475" s="28" t="s">
        <v>1503</v>
      </c>
      <c r="I1475" s="5" t="s">
        <v>594</v>
      </c>
    </row>
    <row r="1476" spans="1:9" ht="51.75" customHeight="1">
      <c r="A1476" s="5">
        <v>5</v>
      </c>
      <c r="B1476" s="5" t="s">
        <v>27593</v>
      </c>
      <c r="C1476" s="5" t="s">
        <v>27594</v>
      </c>
      <c r="D1476" s="246">
        <v>40192</v>
      </c>
      <c r="E1476" s="5" t="s">
        <v>27595</v>
      </c>
      <c r="F1476" s="26"/>
      <c r="G1476" s="27" t="s">
        <v>1502</v>
      </c>
      <c r="H1476" s="28" t="s">
        <v>1503</v>
      </c>
      <c r="I1476" s="5" t="s">
        <v>594</v>
      </c>
    </row>
    <row r="1477" spans="1:9" ht="51.75" customHeight="1">
      <c r="A1477" s="5">
        <v>1</v>
      </c>
      <c r="B1477" s="5" t="s">
        <v>27596</v>
      </c>
      <c r="C1477" s="5" t="s">
        <v>27597</v>
      </c>
      <c r="D1477" s="246">
        <v>40200</v>
      </c>
      <c r="E1477" s="5" t="s">
        <v>27598</v>
      </c>
      <c r="F1477" s="26"/>
      <c r="G1477" s="27" t="s">
        <v>1193</v>
      </c>
      <c r="H1477" s="28" t="s">
        <v>1194</v>
      </c>
      <c r="I1477" s="5" t="s">
        <v>594</v>
      </c>
    </row>
    <row r="1478" spans="1:9" ht="51.75" customHeight="1">
      <c r="A1478" s="5" t="s">
        <v>23806</v>
      </c>
      <c r="B1478" s="5" t="s">
        <v>27599</v>
      </c>
      <c r="C1478" s="5" t="s">
        <v>27600</v>
      </c>
      <c r="D1478" s="246">
        <v>42460</v>
      </c>
      <c r="E1478" s="5" t="s">
        <v>27601</v>
      </c>
      <c r="F1478" s="26" t="s">
        <v>23600</v>
      </c>
      <c r="G1478" s="27" t="s">
        <v>10525</v>
      </c>
      <c r="H1478" s="28" t="s">
        <v>10526</v>
      </c>
      <c r="I1478" s="5" t="s">
        <v>594</v>
      </c>
    </row>
    <row r="1479" spans="1:9" ht="51.75" customHeight="1">
      <c r="A1479" s="5" t="s">
        <v>24192</v>
      </c>
      <c r="B1479" s="5" t="s">
        <v>27602</v>
      </c>
      <c r="C1479" s="5" t="s">
        <v>27600</v>
      </c>
      <c r="D1479" s="246">
        <v>42460</v>
      </c>
      <c r="E1479" s="5" t="s">
        <v>27603</v>
      </c>
      <c r="F1479" s="26" t="s">
        <v>23600</v>
      </c>
      <c r="G1479" s="27" t="s">
        <v>10525</v>
      </c>
      <c r="H1479" s="28" t="s">
        <v>10526</v>
      </c>
      <c r="I1479" s="5" t="s">
        <v>594</v>
      </c>
    </row>
    <row r="1480" spans="1:9" ht="51.75" customHeight="1">
      <c r="A1480" s="5" t="s">
        <v>24196</v>
      </c>
      <c r="B1480" s="5" t="s">
        <v>27604</v>
      </c>
      <c r="C1480" s="5" t="s">
        <v>27600</v>
      </c>
      <c r="D1480" s="246">
        <v>42460</v>
      </c>
      <c r="E1480" s="5" t="s">
        <v>27605</v>
      </c>
      <c r="F1480" s="26" t="s">
        <v>23600</v>
      </c>
      <c r="G1480" s="27" t="s">
        <v>10525</v>
      </c>
      <c r="H1480" s="28" t="s">
        <v>10526</v>
      </c>
      <c r="I1480" s="5" t="s">
        <v>594</v>
      </c>
    </row>
    <row r="1481" spans="1:9" ht="51.75" customHeight="1">
      <c r="A1481" s="5" t="s">
        <v>26115</v>
      </c>
      <c r="B1481" s="5" t="s">
        <v>27606</v>
      </c>
      <c r="C1481" s="5" t="s">
        <v>27607</v>
      </c>
      <c r="D1481" s="246">
        <v>42460</v>
      </c>
      <c r="E1481" s="5" t="s">
        <v>27608</v>
      </c>
      <c r="F1481" s="26" t="s">
        <v>23600</v>
      </c>
      <c r="G1481" s="27" t="s">
        <v>10525</v>
      </c>
      <c r="H1481" s="28" t="s">
        <v>10526</v>
      </c>
      <c r="I1481" s="5" t="s">
        <v>594</v>
      </c>
    </row>
    <row r="1482" spans="1:9" ht="51.75" customHeight="1">
      <c r="A1482" s="5" t="s">
        <v>26120</v>
      </c>
      <c r="B1482" s="5" t="s">
        <v>27609</v>
      </c>
      <c r="C1482" s="5" t="s">
        <v>27610</v>
      </c>
      <c r="D1482" s="246">
        <v>42460</v>
      </c>
      <c r="E1482" s="5" t="s">
        <v>27611</v>
      </c>
      <c r="F1482" s="26" t="s">
        <v>23600</v>
      </c>
      <c r="G1482" s="27" t="s">
        <v>10525</v>
      </c>
      <c r="H1482" s="28" t="s">
        <v>10526</v>
      </c>
      <c r="I1482" s="5" t="s">
        <v>594</v>
      </c>
    </row>
    <row r="1483" spans="1:9" ht="51.75" customHeight="1">
      <c r="A1483" s="5" t="s">
        <v>26531</v>
      </c>
      <c r="B1483" s="5" t="s">
        <v>27612</v>
      </c>
      <c r="C1483" s="5" t="s">
        <v>27613</v>
      </c>
      <c r="D1483" s="246">
        <v>42460</v>
      </c>
      <c r="E1483" s="5" t="s">
        <v>27614</v>
      </c>
      <c r="F1483" s="26" t="s">
        <v>23600</v>
      </c>
      <c r="G1483" s="27" t="s">
        <v>10525</v>
      </c>
      <c r="H1483" s="28" t="s">
        <v>10526</v>
      </c>
      <c r="I1483" s="5" t="s">
        <v>594</v>
      </c>
    </row>
    <row r="1484" spans="1:9" ht="51.75" customHeight="1">
      <c r="A1484" s="5" t="s">
        <v>26537</v>
      </c>
      <c r="B1484" s="5" t="s">
        <v>27615</v>
      </c>
      <c r="C1484" s="5" t="s">
        <v>27616</v>
      </c>
      <c r="D1484" s="246">
        <v>42460</v>
      </c>
      <c r="E1484" s="5" t="s">
        <v>27617</v>
      </c>
      <c r="F1484" s="26" t="s">
        <v>23600</v>
      </c>
      <c r="G1484" s="27" t="s">
        <v>10525</v>
      </c>
      <c r="H1484" s="28" t="s">
        <v>10526</v>
      </c>
      <c r="I1484" s="5" t="s">
        <v>594</v>
      </c>
    </row>
    <row r="1485" spans="1:9" ht="51.75" customHeight="1">
      <c r="A1485" s="5" t="s">
        <v>27618</v>
      </c>
      <c r="B1485" s="5" t="s">
        <v>27619</v>
      </c>
      <c r="C1485" s="5" t="s">
        <v>27620</v>
      </c>
      <c r="D1485" s="246">
        <v>42683</v>
      </c>
      <c r="E1485" s="5" t="s">
        <v>27621</v>
      </c>
      <c r="F1485" s="26" t="s">
        <v>23600</v>
      </c>
      <c r="G1485" s="27" t="s">
        <v>10837</v>
      </c>
      <c r="H1485" s="28" t="s">
        <v>10838</v>
      </c>
      <c r="I1485" s="5" t="s">
        <v>594</v>
      </c>
    </row>
    <row r="1486" spans="1:9" ht="51.75" customHeight="1">
      <c r="A1486" s="5" t="s">
        <v>27622</v>
      </c>
      <c r="B1486" s="5" t="s">
        <v>27623</v>
      </c>
      <c r="C1486" s="5" t="s">
        <v>27624</v>
      </c>
      <c r="D1486" s="246">
        <v>42683</v>
      </c>
      <c r="E1486" s="5" t="s">
        <v>27625</v>
      </c>
      <c r="F1486" s="26" t="s">
        <v>23600</v>
      </c>
      <c r="G1486" s="27" t="s">
        <v>10837</v>
      </c>
      <c r="H1486" s="28" t="s">
        <v>10838</v>
      </c>
      <c r="I1486" s="5" t="s">
        <v>594</v>
      </c>
    </row>
    <row r="1487" spans="1:9" ht="51.75" customHeight="1">
      <c r="A1487" s="5" t="s">
        <v>27626</v>
      </c>
      <c r="B1487" s="5" t="s">
        <v>27627</v>
      </c>
      <c r="C1487" s="5" t="s">
        <v>27628</v>
      </c>
      <c r="D1487" s="246">
        <v>42683</v>
      </c>
      <c r="E1487" s="5" t="s">
        <v>27629</v>
      </c>
      <c r="F1487" s="26" t="s">
        <v>23600</v>
      </c>
      <c r="G1487" s="27" t="s">
        <v>10837</v>
      </c>
      <c r="H1487" s="28" t="s">
        <v>10838</v>
      </c>
      <c r="I1487" s="5" t="s">
        <v>594</v>
      </c>
    </row>
    <row r="1488" spans="1:9" ht="51.75" customHeight="1">
      <c r="A1488" s="5" t="s">
        <v>27630</v>
      </c>
      <c r="B1488" s="5" t="s">
        <v>27631</v>
      </c>
      <c r="C1488" s="5" t="s">
        <v>27632</v>
      </c>
      <c r="D1488" s="246">
        <v>42683</v>
      </c>
      <c r="E1488" s="5" t="s">
        <v>27633</v>
      </c>
      <c r="F1488" s="26" t="s">
        <v>23600</v>
      </c>
      <c r="G1488" s="27" t="s">
        <v>10837</v>
      </c>
      <c r="H1488" s="28" t="s">
        <v>10838</v>
      </c>
      <c r="I1488" s="5" t="s">
        <v>594</v>
      </c>
    </row>
    <row r="1489" spans="1:9" ht="51.75" customHeight="1">
      <c r="A1489" s="5" t="s">
        <v>27634</v>
      </c>
      <c r="B1489" s="5" t="s">
        <v>27635</v>
      </c>
      <c r="C1489" s="5" t="s">
        <v>27636</v>
      </c>
      <c r="D1489" s="246">
        <v>42683</v>
      </c>
      <c r="E1489" s="5" t="s">
        <v>27637</v>
      </c>
      <c r="F1489" s="26" t="s">
        <v>23600</v>
      </c>
      <c r="G1489" s="27" t="s">
        <v>10837</v>
      </c>
      <c r="H1489" s="28" t="s">
        <v>10838</v>
      </c>
      <c r="I1489" s="5" t="s">
        <v>594</v>
      </c>
    </row>
    <row r="1490" spans="1:9" ht="51.75" customHeight="1">
      <c r="A1490" s="5" t="s">
        <v>27638</v>
      </c>
      <c r="B1490" s="5" t="s">
        <v>27639</v>
      </c>
      <c r="C1490" s="5" t="s">
        <v>27640</v>
      </c>
      <c r="D1490" s="246">
        <v>42683</v>
      </c>
      <c r="E1490" s="5" t="s">
        <v>27641</v>
      </c>
      <c r="F1490" s="26" t="s">
        <v>23600</v>
      </c>
      <c r="G1490" s="27" t="s">
        <v>10837</v>
      </c>
      <c r="H1490" s="28" t="s">
        <v>10838</v>
      </c>
      <c r="I1490" s="5" t="s">
        <v>594</v>
      </c>
    </row>
    <row r="1491" spans="1:9" ht="51.75" customHeight="1">
      <c r="A1491" s="5" t="s">
        <v>27642</v>
      </c>
      <c r="B1491" s="5" t="s">
        <v>27643</v>
      </c>
      <c r="C1491" s="5" t="s">
        <v>27644</v>
      </c>
      <c r="D1491" s="246">
        <v>42683</v>
      </c>
      <c r="E1491" s="5" t="s">
        <v>27645</v>
      </c>
      <c r="F1491" s="26" t="s">
        <v>23600</v>
      </c>
      <c r="G1491" s="27" t="s">
        <v>10837</v>
      </c>
      <c r="H1491" s="28" t="s">
        <v>10838</v>
      </c>
      <c r="I1491" s="5" t="s">
        <v>594</v>
      </c>
    </row>
    <row r="1492" spans="1:9" ht="51.75" customHeight="1">
      <c r="A1492" s="5" t="s">
        <v>27646</v>
      </c>
      <c r="B1492" s="5" t="s">
        <v>27647</v>
      </c>
      <c r="C1492" s="5" t="s">
        <v>27648</v>
      </c>
      <c r="D1492" s="246">
        <v>42683</v>
      </c>
      <c r="E1492" s="5" t="s">
        <v>27649</v>
      </c>
      <c r="F1492" s="26" t="s">
        <v>23600</v>
      </c>
      <c r="G1492" s="27" t="s">
        <v>10837</v>
      </c>
      <c r="H1492" s="28" t="s">
        <v>10838</v>
      </c>
      <c r="I1492" s="5" t="s">
        <v>594</v>
      </c>
    </row>
    <row r="1493" spans="1:9" ht="51.75" customHeight="1">
      <c r="A1493" s="5" t="s">
        <v>27650</v>
      </c>
      <c r="B1493" s="5" t="s">
        <v>27651</v>
      </c>
      <c r="C1493" s="5" t="s">
        <v>27652</v>
      </c>
      <c r="D1493" s="246">
        <v>42683</v>
      </c>
      <c r="E1493" s="5" t="s">
        <v>27653</v>
      </c>
      <c r="F1493" s="26" t="s">
        <v>23600</v>
      </c>
      <c r="G1493" s="27" t="s">
        <v>10837</v>
      </c>
      <c r="H1493" s="28" t="s">
        <v>10838</v>
      </c>
      <c r="I1493" s="5" t="s">
        <v>594</v>
      </c>
    </row>
    <row r="1494" spans="1:9" ht="51.75" customHeight="1">
      <c r="A1494" s="5" t="s">
        <v>27654</v>
      </c>
      <c r="B1494" s="5" t="s">
        <v>27655</v>
      </c>
      <c r="C1494" s="5" t="s">
        <v>27656</v>
      </c>
      <c r="D1494" s="246">
        <v>42683</v>
      </c>
      <c r="E1494" s="5" t="s">
        <v>27657</v>
      </c>
      <c r="F1494" s="26" t="s">
        <v>23600</v>
      </c>
      <c r="G1494" s="27" t="s">
        <v>10837</v>
      </c>
      <c r="H1494" s="28" t="s">
        <v>10838</v>
      </c>
      <c r="I1494" s="5" t="s">
        <v>594</v>
      </c>
    </row>
    <row r="1495" spans="1:9" ht="51.75" customHeight="1">
      <c r="A1495" s="5" t="s">
        <v>27658</v>
      </c>
      <c r="B1495" s="5" t="s">
        <v>27659</v>
      </c>
      <c r="C1495" s="5" t="s">
        <v>27660</v>
      </c>
      <c r="D1495" s="246">
        <v>42683</v>
      </c>
      <c r="E1495" s="5" t="s">
        <v>27661</v>
      </c>
      <c r="F1495" s="26" t="s">
        <v>23600</v>
      </c>
      <c r="G1495" s="27" t="s">
        <v>10837</v>
      </c>
      <c r="H1495" s="28" t="s">
        <v>10838</v>
      </c>
      <c r="I1495" s="5" t="s">
        <v>594</v>
      </c>
    </row>
    <row r="1496" spans="1:9" ht="51.75" customHeight="1">
      <c r="A1496" s="5" t="s">
        <v>27662</v>
      </c>
      <c r="B1496" s="5" t="s">
        <v>27663</v>
      </c>
      <c r="C1496" s="5" t="s">
        <v>27664</v>
      </c>
      <c r="D1496" s="246">
        <v>42683</v>
      </c>
      <c r="E1496" s="5" t="s">
        <v>27665</v>
      </c>
      <c r="F1496" s="26" t="s">
        <v>23600</v>
      </c>
      <c r="G1496" s="27" t="s">
        <v>10837</v>
      </c>
      <c r="H1496" s="28" t="s">
        <v>10838</v>
      </c>
      <c r="I1496" s="5" t="s">
        <v>594</v>
      </c>
    </row>
    <row r="1497" spans="1:9" ht="51.75" customHeight="1">
      <c r="A1497" s="5" t="s">
        <v>27666</v>
      </c>
      <c r="B1497" s="5" t="s">
        <v>27667</v>
      </c>
      <c r="C1497" s="5" t="s">
        <v>27668</v>
      </c>
      <c r="D1497" s="246">
        <v>42683</v>
      </c>
      <c r="E1497" s="5" t="s">
        <v>27669</v>
      </c>
      <c r="F1497" s="26" t="s">
        <v>23600</v>
      </c>
      <c r="G1497" s="27" t="s">
        <v>10837</v>
      </c>
      <c r="H1497" s="28" t="s">
        <v>10838</v>
      </c>
      <c r="I1497" s="5" t="s">
        <v>594</v>
      </c>
    </row>
    <row r="1498" spans="1:9" ht="51.75" customHeight="1">
      <c r="A1498" s="5" t="s">
        <v>27670</v>
      </c>
      <c r="B1498" s="5" t="s">
        <v>27671</v>
      </c>
      <c r="C1498" s="5" t="s">
        <v>27672</v>
      </c>
      <c r="D1498" s="246">
        <v>42683</v>
      </c>
      <c r="E1498" s="5" t="s">
        <v>27673</v>
      </c>
      <c r="F1498" s="26" t="s">
        <v>23600</v>
      </c>
      <c r="G1498" s="27" t="s">
        <v>10837</v>
      </c>
      <c r="H1498" s="28" t="s">
        <v>10838</v>
      </c>
      <c r="I1498" s="5" t="s">
        <v>594</v>
      </c>
    </row>
    <row r="1499" spans="1:9" ht="51.75" customHeight="1">
      <c r="A1499" s="5" t="s">
        <v>27674</v>
      </c>
      <c r="B1499" s="5" t="s">
        <v>27675</v>
      </c>
      <c r="C1499" s="5" t="s">
        <v>27676</v>
      </c>
      <c r="D1499" s="246">
        <v>42683</v>
      </c>
      <c r="E1499" s="5" t="s">
        <v>27677</v>
      </c>
      <c r="F1499" s="26" t="s">
        <v>23600</v>
      </c>
      <c r="G1499" s="27" t="s">
        <v>10837</v>
      </c>
      <c r="H1499" s="28" t="s">
        <v>10838</v>
      </c>
      <c r="I1499" s="5" t="s">
        <v>594</v>
      </c>
    </row>
    <row r="1500" spans="1:9" ht="51.75" customHeight="1">
      <c r="A1500" s="5" t="s">
        <v>27678</v>
      </c>
      <c r="B1500" s="5" t="s">
        <v>27679</v>
      </c>
      <c r="C1500" s="5" t="s">
        <v>27680</v>
      </c>
      <c r="D1500" s="246">
        <v>42683</v>
      </c>
      <c r="E1500" s="5" t="s">
        <v>27681</v>
      </c>
      <c r="F1500" s="26" t="s">
        <v>23600</v>
      </c>
      <c r="G1500" s="27" t="s">
        <v>10837</v>
      </c>
      <c r="H1500" s="28" t="s">
        <v>10838</v>
      </c>
      <c r="I1500" s="5" t="s">
        <v>594</v>
      </c>
    </row>
    <row r="1501" spans="1:9" ht="51.75" customHeight="1">
      <c r="A1501" s="5" t="s">
        <v>27183</v>
      </c>
      <c r="B1501" s="5" t="s">
        <v>27682</v>
      </c>
      <c r="C1501" s="5" t="s">
        <v>27683</v>
      </c>
      <c r="D1501" s="246">
        <v>43262</v>
      </c>
      <c r="E1501" s="5" t="s">
        <v>27684</v>
      </c>
      <c r="F1501" s="26" t="s">
        <v>27685</v>
      </c>
      <c r="G1501" s="27" t="s">
        <v>11101</v>
      </c>
      <c r="H1501" s="28" t="s">
        <v>11102</v>
      </c>
      <c r="I1501" s="5" t="s">
        <v>594</v>
      </c>
    </row>
    <row r="1502" spans="1:9" ht="51.75" customHeight="1">
      <c r="A1502" s="5" t="s">
        <v>27183</v>
      </c>
      <c r="B1502" s="5" t="s">
        <v>27686</v>
      </c>
      <c r="C1502" s="5" t="s">
        <v>27683</v>
      </c>
      <c r="D1502" s="246">
        <v>43262</v>
      </c>
      <c r="E1502" s="5" t="s">
        <v>27687</v>
      </c>
      <c r="F1502" s="26" t="s">
        <v>23600</v>
      </c>
      <c r="G1502" s="27" t="s">
        <v>11101</v>
      </c>
      <c r="H1502" s="28" t="s">
        <v>11102</v>
      </c>
      <c r="I1502" s="5" t="s">
        <v>594</v>
      </c>
    </row>
    <row r="1503" spans="1:9" ht="51.75" customHeight="1">
      <c r="A1503" s="5" t="s">
        <v>25038</v>
      </c>
      <c r="B1503" s="5" t="s">
        <v>27688</v>
      </c>
      <c r="C1503" s="5" t="s">
        <v>27689</v>
      </c>
      <c r="D1503" s="246">
        <v>43262</v>
      </c>
      <c r="E1503" s="5" t="s">
        <v>27690</v>
      </c>
      <c r="F1503" s="26" t="s">
        <v>27685</v>
      </c>
      <c r="G1503" s="27" t="s">
        <v>11101</v>
      </c>
      <c r="H1503" s="28" t="s">
        <v>11102</v>
      </c>
      <c r="I1503" s="5" t="s">
        <v>594</v>
      </c>
    </row>
    <row r="1504" spans="1:9" ht="51.75" customHeight="1">
      <c r="A1504" s="5" t="s">
        <v>25038</v>
      </c>
      <c r="B1504" s="5" t="s">
        <v>27691</v>
      </c>
      <c r="C1504" s="5" t="s">
        <v>27689</v>
      </c>
      <c r="D1504" s="246">
        <v>43262</v>
      </c>
      <c r="E1504" s="5" t="s">
        <v>27692</v>
      </c>
      <c r="F1504" s="26" t="s">
        <v>23600</v>
      </c>
      <c r="G1504" s="27" t="s">
        <v>11101</v>
      </c>
      <c r="H1504" s="28" t="s">
        <v>11102</v>
      </c>
      <c r="I1504" s="5" t="s">
        <v>594</v>
      </c>
    </row>
    <row r="1505" spans="1:9" ht="51.75" customHeight="1">
      <c r="A1505" s="5" t="s">
        <v>25048</v>
      </c>
      <c r="B1505" s="5" t="s">
        <v>27693</v>
      </c>
      <c r="C1505" s="5" t="s">
        <v>27694</v>
      </c>
      <c r="D1505" s="246">
        <v>43262</v>
      </c>
      <c r="E1505" s="5" t="s">
        <v>27695</v>
      </c>
      <c r="F1505" s="26" t="s">
        <v>27685</v>
      </c>
      <c r="G1505" s="27" t="s">
        <v>11101</v>
      </c>
      <c r="H1505" s="28" t="s">
        <v>11102</v>
      </c>
      <c r="I1505" s="5" t="s">
        <v>594</v>
      </c>
    </row>
    <row r="1506" spans="1:9" ht="51.75" customHeight="1">
      <c r="A1506" s="5" t="s">
        <v>25048</v>
      </c>
      <c r="B1506" s="5" t="s">
        <v>27696</v>
      </c>
      <c r="C1506" s="5" t="s">
        <v>27694</v>
      </c>
      <c r="D1506" s="246">
        <v>43262</v>
      </c>
      <c r="E1506" s="5" t="s">
        <v>27697</v>
      </c>
      <c r="F1506" s="26" t="s">
        <v>23600</v>
      </c>
      <c r="G1506" s="27" t="s">
        <v>11101</v>
      </c>
      <c r="H1506" s="28" t="s">
        <v>11102</v>
      </c>
      <c r="I1506" s="5" t="s">
        <v>594</v>
      </c>
    </row>
    <row r="1507" spans="1:9" ht="51.75" customHeight="1">
      <c r="A1507" s="5" t="s">
        <v>27236</v>
      </c>
      <c r="B1507" s="5" t="s">
        <v>27698</v>
      </c>
      <c r="C1507" s="5" t="s">
        <v>27699</v>
      </c>
      <c r="D1507" s="246">
        <v>43262</v>
      </c>
      <c r="E1507" s="5" t="s">
        <v>27700</v>
      </c>
      <c r="F1507" s="26" t="s">
        <v>27685</v>
      </c>
      <c r="G1507" s="27" t="s">
        <v>11101</v>
      </c>
      <c r="H1507" s="28" t="s">
        <v>11102</v>
      </c>
      <c r="I1507" s="5" t="s">
        <v>594</v>
      </c>
    </row>
    <row r="1508" spans="1:9" ht="51.75" customHeight="1">
      <c r="A1508" s="5" t="s">
        <v>27236</v>
      </c>
      <c r="B1508" s="5" t="s">
        <v>27701</v>
      </c>
      <c r="C1508" s="5" t="s">
        <v>27699</v>
      </c>
      <c r="D1508" s="246">
        <v>43262</v>
      </c>
      <c r="E1508" s="5" t="s">
        <v>27702</v>
      </c>
      <c r="F1508" s="26" t="s">
        <v>23600</v>
      </c>
      <c r="G1508" s="27" t="s">
        <v>11101</v>
      </c>
      <c r="H1508" s="28" t="s">
        <v>11102</v>
      </c>
      <c r="I1508" s="5" t="s">
        <v>594</v>
      </c>
    </row>
    <row r="1509" spans="1:9" ht="51.75" customHeight="1">
      <c r="A1509" s="5" t="s">
        <v>27703</v>
      </c>
      <c r="B1509" s="5" t="s">
        <v>27704</v>
      </c>
      <c r="C1509" s="5" t="s">
        <v>27705</v>
      </c>
      <c r="D1509" s="246">
        <v>43262</v>
      </c>
      <c r="E1509" s="5" t="s">
        <v>27706</v>
      </c>
      <c r="F1509" s="26" t="s">
        <v>27685</v>
      </c>
      <c r="G1509" s="27" t="s">
        <v>11101</v>
      </c>
      <c r="H1509" s="28" t="s">
        <v>11102</v>
      </c>
      <c r="I1509" s="5" t="s">
        <v>594</v>
      </c>
    </row>
    <row r="1510" spans="1:9" ht="51.75" customHeight="1">
      <c r="A1510" s="5" t="s">
        <v>27703</v>
      </c>
      <c r="B1510" s="5" t="s">
        <v>27707</v>
      </c>
      <c r="C1510" s="5" t="s">
        <v>27705</v>
      </c>
      <c r="D1510" s="246">
        <v>43262</v>
      </c>
      <c r="E1510" s="5" t="s">
        <v>27708</v>
      </c>
      <c r="F1510" s="26" t="s">
        <v>23600</v>
      </c>
      <c r="G1510" s="27" t="s">
        <v>11101</v>
      </c>
      <c r="H1510" s="28" t="s">
        <v>11102</v>
      </c>
      <c r="I1510" s="5" t="s">
        <v>594</v>
      </c>
    </row>
    <row r="1511" spans="1:9" ht="51.75" customHeight="1">
      <c r="A1511" s="5" t="s">
        <v>27709</v>
      </c>
      <c r="B1511" s="5" t="s">
        <v>27710</v>
      </c>
      <c r="C1511" s="5" t="s">
        <v>27711</v>
      </c>
      <c r="D1511" s="246">
        <v>43262</v>
      </c>
      <c r="E1511" s="5" t="s">
        <v>27712</v>
      </c>
      <c r="F1511" s="26" t="s">
        <v>27685</v>
      </c>
      <c r="G1511" s="27" t="s">
        <v>11101</v>
      </c>
      <c r="H1511" s="28" t="s">
        <v>11102</v>
      </c>
      <c r="I1511" s="5" t="s">
        <v>594</v>
      </c>
    </row>
    <row r="1512" spans="1:9" ht="51.75" customHeight="1">
      <c r="A1512" s="5" t="s">
        <v>27709</v>
      </c>
      <c r="B1512" s="5" t="s">
        <v>27713</v>
      </c>
      <c r="C1512" s="5" t="s">
        <v>27711</v>
      </c>
      <c r="D1512" s="246">
        <v>43262</v>
      </c>
      <c r="E1512" s="5" t="s">
        <v>27714</v>
      </c>
      <c r="F1512" s="26" t="s">
        <v>23600</v>
      </c>
      <c r="G1512" s="27" t="s">
        <v>11101</v>
      </c>
      <c r="H1512" s="28" t="s">
        <v>11102</v>
      </c>
      <c r="I1512" s="5" t="s">
        <v>594</v>
      </c>
    </row>
    <row r="1513" spans="1:9" ht="51.75" customHeight="1">
      <c r="A1513" s="5" t="s">
        <v>27715</v>
      </c>
      <c r="B1513" s="5" t="s">
        <v>27716</v>
      </c>
      <c r="C1513" s="5" t="s">
        <v>27717</v>
      </c>
      <c r="D1513" s="246">
        <v>43262</v>
      </c>
      <c r="E1513" s="5" t="s">
        <v>27718</v>
      </c>
      <c r="F1513" s="26" t="s">
        <v>27685</v>
      </c>
      <c r="G1513" s="27" t="s">
        <v>11101</v>
      </c>
      <c r="H1513" s="28" t="s">
        <v>11102</v>
      </c>
      <c r="I1513" s="5" t="s">
        <v>594</v>
      </c>
    </row>
    <row r="1514" spans="1:9" ht="51.75" customHeight="1">
      <c r="A1514" s="5" t="s">
        <v>27715</v>
      </c>
      <c r="B1514" s="5" t="s">
        <v>27719</v>
      </c>
      <c r="C1514" s="5" t="s">
        <v>27717</v>
      </c>
      <c r="D1514" s="246">
        <v>43262</v>
      </c>
      <c r="E1514" s="5" t="s">
        <v>27720</v>
      </c>
      <c r="F1514" s="26" t="s">
        <v>23600</v>
      </c>
      <c r="G1514" s="27" t="s">
        <v>11101</v>
      </c>
      <c r="H1514" s="28" t="s">
        <v>11102</v>
      </c>
      <c r="I1514" s="5" t="s">
        <v>594</v>
      </c>
    </row>
    <row r="1515" spans="1:9" ht="51.75" customHeight="1">
      <c r="A1515" s="5" t="s">
        <v>27721</v>
      </c>
      <c r="B1515" s="5" t="s">
        <v>27722</v>
      </c>
      <c r="C1515" s="5" t="s">
        <v>27723</v>
      </c>
      <c r="D1515" s="246">
        <v>43262</v>
      </c>
      <c r="E1515" s="5" t="s">
        <v>27724</v>
      </c>
      <c r="F1515" s="26" t="s">
        <v>27685</v>
      </c>
      <c r="G1515" s="27" t="s">
        <v>11101</v>
      </c>
      <c r="H1515" s="28" t="s">
        <v>11102</v>
      </c>
      <c r="I1515" s="5" t="s">
        <v>594</v>
      </c>
    </row>
    <row r="1516" spans="1:9" ht="51.75" customHeight="1">
      <c r="A1516" s="5" t="s">
        <v>27721</v>
      </c>
      <c r="B1516" s="5" t="s">
        <v>27725</v>
      </c>
      <c r="C1516" s="5" t="s">
        <v>27723</v>
      </c>
      <c r="D1516" s="246">
        <v>43262</v>
      </c>
      <c r="E1516" s="5" t="s">
        <v>27726</v>
      </c>
      <c r="F1516" s="26" t="s">
        <v>23600</v>
      </c>
      <c r="G1516" s="27" t="s">
        <v>11101</v>
      </c>
      <c r="H1516" s="28" t="s">
        <v>11102</v>
      </c>
      <c r="I1516" s="5" t="s">
        <v>594</v>
      </c>
    </row>
    <row r="1517" spans="1:9" ht="51.75" customHeight="1">
      <c r="A1517" s="5" t="s">
        <v>24554</v>
      </c>
      <c r="B1517" s="5" t="s">
        <v>27727</v>
      </c>
      <c r="C1517" s="5" t="s">
        <v>27728</v>
      </c>
      <c r="D1517" s="246">
        <v>43262</v>
      </c>
      <c r="E1517" s="5" t="s">
        <v>27729</v>
      </c>
      <c r="F1517" s="26" t="s">
        <v>27685</v>
      </c>
      <c r="G1517" s="27" t="s">
        <v>11300</v>
      </c>
      <c r="H1517" s="28" t="s">
        <v>11301</v>
      </c>
      <c r="I1517" s="5" t="s">
        <v>594</v>
      </c>
    </row>
    <row r="1518" spans="1:9" ht="51.75" customHeight="1">
      <c r="A1518" s="5" t="s">
        <v>24554</v>
      </c>
      <c r="B1518" s="5" t="s">
        <v>27730</v>
      </c>
      <c r="C1518" s="5" t="s">
        <v>27728</v>
      </c>
      <c r="D1518" s="246">
        <v>43262</v>
      </c>
      <c r="E1518" s="5" t="s">
        <v>27731</v>
      </c>
      <c r="F1518" s="26" t="s">
        <v>23600</v>
      </c>
      <c r="G1518" s="27" t="s">
        <v>11300</v>
      </c>
      <c r="H1518" s="28" t="s">
        <v>11301</v>
      </c>
      <c r="I1518" s="5" t="s">
        <v>594</v>
      </c>
    </row>
    <row r="1519" spans="1:9" ht="51.75" customHeight="1">
      <c r="A1519" s="5" t="s">
        <v>24558</v>
      </c>
      <c r="B1519" s="5" t="s">
        <v>27732</v>
      </c>
      <c r="C1519" s="5" t="s">
        <v>27733</v>
      </c>
      <c r="D1519" s="246">
        <v>43262</v>
      </c>
      <c r="E1519" s="5" t="s">
        <v>27734</v>
      </c>
      <c r="F1519" s="26" t="s">
        <v>27685</v>
      </c>
      <c r="G1519" s="27" t="s">
        <v>11300</v>
      </c>
      <c r="H1519" s="28" t="s">
        <v>11301</v>
      </c>
      <c r="I1519" s="5" t="s">
        <v>594</v>
      </c>
    </row>
    <row r="1520" spans="1:9" ht="51.75" customHeight="1">
      <c r="A1520" s="5" t="s">
        <v>24558</v>
      </c>
      <c r="B1520" s="5" t="s">
        <v>27735</v>
      </c>
      <c r="C1520" s="5" t="s">
        <v>27733</v>
      </c>
      <c r="D1520" s="246">
        <v>43262</v>
      </c>
      <c r="E1520" s="5" t="s">
        <v>27736</v>
      </c>
      <c r="F1520" s="26" t="s">
        <v>23600</v>
      </c>
      <c r="G1520" s="27" t="s">
        <v>11300</v>
      </c>
      <c r="H1520" s="28" t="s">
        <v>11301</v>
      </c>
      <c r="I1520" s="5" t="s">
        <v>594</v>
      </c>
    </row>
    <row r="1521" spans="1:9" ht="51.75" customHeight="1">
      <c r="A1521" s="5" t="s">
        <v>26697</v>
      </c>
      <c r="B1521" s="5" t="s">
        <v>27737</v>
      </c>
      <c r="C1521" s="5" t="s">
        <v>27738</v>
      </c>
      <c r="D1521" s="246">
        <v>43262</v>
      </c>
      <c r="E1521" s="5" t="s">
        <v>27739</v>
      </c>
      <c r="F1521" s="26" t="s">
        <v>27685</v>
      </c>
      <c r="G1521" s="27" t="s">
        <v>11300</v>
      </c>
      <c r="H1521" s="28" t="s">
        <v>11301</v>
      </c>
      <c r="I1521" s="5" t="s">
        <v>594</v>
      </c>
    </row>
    <row r="1522" spans="1:9" ht="51.75" customHeight="1">
      <c r="A1522" s="5" t="s">
        <v>26697</v>
      </c>
      <c r="B1522" s="5" t="s">
        <v>27740</v>
      </c>
      <c r="C1522" s="5" t="s">
        <v>27738</v>
      </c>
      <c r="D1522" s="246">
        <v>43262</v>
      </c>
      <c r="E1522" s="5" t="s">
        <v>27741</v>
      </c>
      <c r="F1522" s="26" t="s">
        <v>23600</v>
      </c>
      <c r="G1522" s="27" t="s">
        <v>11300</v>
      </c>
      <c r="H1522" s="28" t="s">
        <v>11301</v>
      </c>
      <c r="I1522" s="5" t="s">
        <v>594</v>
      </c>
    </row>
    <row r="1523" spans="1:9" ht="51.75" customHeight="1">
      <c r="A1523" s="5" t="s">
        <v>26255</v>
      </c>
      <c r="B1523" s="5" t="s">
        <v>27742</v>
      </c>
      <c r="C1523" s="5" t="s">
        <v>27743</v>
      </c>
      <c r="D1523" s="246">
        <v>43871</v>
      </c>
      <c r="E1523" s="5" t="s">
        <v>27744</v>
      </c>
      <c r="F1523" s="26" t="s">
        <v>23600</v>
      </c>
      <c r="G1523" s="27" t="s">
        <v>11818</v>
      </c>
      <c r="H1523" s="28" t="s">
        <v>11819</v>
      </c>
      <c r="I1523" s="5" t="s">
        <v>594</v>
      </c>
    </row>
    <row r="1524" spans="1:9" ht="51.75" customHeight="1">
      <c r="A1524" s="5" t="s">
        <v>25938</v>
      </c>
      <c r="B1524" s="5" t="s">
        <v>27745</v>
      </c>
      <c r="C1524" s="5" t="s">
        <v>27746</v>
      </c>
      <c r="D1524" s="246">
        <v>43871</v>
      </c>
      <c r="E1524" s="5" t="s">
        <v>27747</v>
      </c>
      <c r="F1524" s="26" t="s">
        <v>23600</v>
      </c>
      <c r="G1524" s="27" t="s">
        <v>11818</v>
      </c>
      <c r="H1524" s="28" t="s">
        <v>11819</v>
      </c>
      <c r="I1524" s="5" t="s">
        <v>594</v>
      </c>
    </row>
    <row r="1525" spans="1:9" ht="51.75" customHeight="1">
      <c r="A1525" s="5" t="s">
        <v>26000</v>
      </c>
      <c r="B1525" s="5" t="s">
        <v>27748</v>
      </c>
      <c r="C1525" s="5" t="s">
        <v>27749</v>
      </c>
      <c r="D1525" s="246">
        <v>43871</v>
      </c>
      <c r="E1525" s="5" t="s">
        <v>27750</v>
      </c>
      <c r="F1525" s="26" t="s">
        <v>23600</v>
      </c>
      <c r="G1525" s="27" t="s">
        <v>11818</v>
      </c>
      <c r="H1525" s="28" t="s">
        <v>11819</v>
      </c>
      <c r="I1525" s="5" t="s">
        <v>594</v>
      </c>
    </row>
    <row r="1526" spans="1:9" ht="51.75" customHeight="1">
      <c r="A1526" s="5" t="s">
        <v>26005</v>
      </c>
      <c r="B1526" s="5" t="s">
        <v>27751</v>
      </c>
      <c r="C1526" s="5" t="s">
        <v>27752</v>
      </c>
      <c r="D1526" s="246">
        <v>43871</v>
      </c>
      <c r="E1526" s="5" t="s">
        <v>27753</v>
      </c>
      <c r="F1526" s="26" t="s">
        <v>23600</v>
      </c>
      <c r="G1526" s="27" t="s">
        <v>11818</v>
      </c>
      <c r="H1526" s="28" t="s">
        <v>11819</v>
      </c>
      <c r="I1526" s="5" t="s">
        <v>594</v>
      </c>
    </row>
    <row r="1527" spans="1:9" ht="51.75" customHeight="1">
      <c r="A1527" s="5" t="s">
        <v>26010</v>
      </c>
      <c r="B1527" s="5" t="s">
        <v>27754</v>
      </c>
      <c r="C1527" s="5" t="s">
        <v>27755</v>
      </c>
      <c r="D1527" s="246">
        <v>43871</v>
      </c>
      <c r="E1527" s="5" t="s">
        <v>27756</v>
      </c>
      <c r="F1527" s="26" t="s">
        <v>23600</v>
      </c>
      <c r="G1527" s="27" t="s">
        <v>11818</v>
      </c>
      <c r="H1527" s="28" t="s">
        <v>11819</v>
      </c>
      <c r="I1527" s="5" t="s">
        <v>594</v>
      </c>
    </row>
    <row r="1528" spans="1:9" ht="51.75" customHeight="1">
      <c r="A1528" s="5" t="s">
        <v>27757</v>
      </c>
      <c r="B1528" s="5" t="s">
        <v>27758</v>
      </c>
      <c r="C1528" s="5" t="s">
        <v>27759</v>
      </c>
      <c r="D1528" s="246">
        <v>43970</v>
      </c>
      <c r="E1528" s="5" t="s">
        <v>27760</v>
      </c>
      <c r="F1528" s="26" t="s">
        <v>23600</v>
      </c>
      <c r="G1528" s="27" t="s">
        <v>12854</v>
      </c>
      <c r="H1528" s="28" t="s">
        <v>12855</v>
      </c>
      <c r="I1528" s="5" t="s">
        <v>594</v>
      </c>
    </row>
    <row r="1529" spans="1:9" ht="51.75" customHeight="1">
      <c r="A1529" s="5" t="s">
        <v>26686</v>
      </c>
      <c r="B1529" s="5" t="s">
        <v>27761</v>
      </c>
      <c r="C1529" s="5" t="s">
        <v>27762</v>
      </c>
      <c r="D1529" s="246">
        <v>43970</v>
      </c>
      <c r="E1529" s="5" t="s">
        <v>27763</v>
      </c>
      <c r="F1529" s="26" t="s">
        <v>23600</v>
      </c>
      <c r="G1529" s="27" t="s">
        <v>12854</v>
      </c>
      <c r="H1529" s="28" t="s">
        <v>12855</v>
      </c>
      <c r="I1529" s="5" t="s">
        <v>594</v>
      </c>
    </row>
    <row r="1530" spans="1:9" ht="51.75" customHeight="1">
      <c r="A1530" s="5" t="s">
        <v>24311</v>
      </c>
      <c r="B1530" s="5" t="s">
        <v>27764</v>
      </c>
      <c r="C1530" s="5" t="s">
        <v>27765</v>
      </c>
      <c r="D1530" s="246">
        <v>43598</v>
      </c>
      <c r="E1530" s="5" t="s">
        <v>27766</v>
      </c>
      <c r="F1530" s="26" t="s">
        <v>23600</v>
      </c>
      <c r="G1530" s="27" t="s">
        <v>13175</v>
      </c>
      <c r="H1530" s="28" t="s">
        <v>13176</v>
      </c>
      <c r="I1530" s="5" t="s">
        <v>594</v>
      </c>
    </row>
    <row r="1531" spans="1:9" ht="51.75" customHeight="1">
      <c r="A1531" s="5" t="s">
        <v>27767</v>
      </c>
      <c r="B1531" s="5" t="s">
        <v>27768</v>
      </c>
      <c r="C1531" s="5" t="s">
        <v>27769</v>
      </c>
      <c r="D1531" s="246">
        <v>43598</v>
      </c>
      <c r="E1531" s="5" t="s">
        <v>27770</v>
      </c>
      <c r="F1531" s="26" t="s">
        <v>23600</v>
      </c>
      <c r="G1531" s="27" t="s">
        <v>13175</v>
      </c>
      <c r="H1531" s="28" t="s">
        <v>13176</v>
      </c>
      <c r="I1531" s="5" t="s">
        <v>594</v>
      </c>
    </row>
    <row r="1532" spans="1:9" ht="51.75" customHeight="1">
      <c r="A1532" s="5" t="s">
        <v>27771</v>
      </c>
      <c r="B1532" s="5" t="s">
        <v>27772</v>
      </c>
      <c r="C1532" s="5" t="s">
        <v>27773</v>
      </c>
      <c r="D1532" s="246">
        <v>43598</v>
      </c>
      <c r="E1532" s="5" t="s">
        <v>27774</v>
      </c>
      <c r="F1532" s="26" t="s">
        <v>23600</v>
      </c>
      <c r="G1532" s="27" t="s">
        <v>13175</v>
      </c>
      <c r="H1532" s="28" t="s">
        <v>13176</v>
      </c>
      <c r="I1532" s="5" t="s">
        <v>594</v>
      </c>
    </row>
    <row r="1533" spans="1:9" ht="51.75" customHeight="1">
      <c r="A1533" s="5" t="s">
        <v>25499</v>
      </c>
      <c r="B1533" s="5" t="s">
        <v>27775</v>
      </c>
      <c r="C1533" s="5" t="s">
        <v>27776</v>
      </c>
      <c r="D1533" s="246">
        <v>43598</v>
      </c>
      <c r="E1533" s="5" t="s">
        <v>27777</v>
      </c>
      <c r="F1533" s="26" t="s">
        <v>23600</v>
      </c>
      <c r="G1533" s="27" t="s">
        <v>13175</v>
      </c>
      <c r="H1533" s="28" t="s">
        <v>13176</v>
      </c>
      <c r="I1533" s="5" t="s">
        <v>594</v>
      </c>
    </row>
    <row r="1534" spans="1:9" ht="51.75" customHeight="1">
      <c r="A1534" s="5" t="s">
        <v>24942</v>
      </c>
      <c r="B1534" s="5" t="s">
        <v>27778</v>
      </c>
      <c r="C1534" s="5" t="s">
        <v>27779</v>
      </c>
      <c r="D1534" s="246">
        <v>43480</v>
      </c>
      <c r="E1534" s="5" t="s">
        <v>27780</v>
      </c>
      <c r="F1534" s="26" t="s">
        <v>23600</v>
      </c>
      <c r="G1534" s="27" t="s">
        <v>13493</v>
      </c>
      <c r="H1534" s="28" t="s">
        <v>13494</v>
      </c>
      <c r="I1534" s="5" t="s">
        <v>594</v>
      </c>
    </row>
    <row r="1535" spans="1:9" ht="51.75" customHeight="1">
      <c r="A1535" s="5" t="s">
        <v>24948</v>
      </c>
      <c r="B1535" s="5" t="s">
        <v>27781</v>
      </c>
      <c r="C1535" s="5" t="s">
        <v>27782</v>
      </c>
      <c r="D1535" s="246">
        <v>43480</v>
      </c>
      <c r="E1535" s="5" t="s">
        <v>27783</v>
      </c>
      <c r="F1535" s="26" t="s">
        <v>23600</v>
      </c>
      <c r="G1535" s="27" t="s">
        <v>13493</v>
      </c>
      <c r="H1535" s="28" t="s">
        <v>13494</v>
      </c>
      <c r="I1535" s="5" t="s">
        <v>594</v>
      </c>
    </row>
    <row r="1536" spans="1:9" ht="51.75" customHeight="1">
      <c r="A1536" s="5" t="s">
        <v>24926</v>
      </c>
      <c r="B1536" s="5" t="s">
        <v>27784</v>
      </c>
      <c r="C1536" s="5" t="s">
        <v>27785</v>
      </c>
      <c r="D1536" s="246">
        <v>43480</v>
      </c>
      <c r="E1536" s="5" t="s">
        <v>27786</v>
      </c>
      <c r="F1536" s="26" t="s">
        <v>23600</v>
      </c>
      <c r="G1536" s="27" t="s">
        <v>13493</v>
      </c>
      <c r="H1536" s="28" t="s">
        <v>13494</v>
      </c>
      <c r="I1536" s="5" t="s">
        <v>594</v>
      </c>
    </row>
    <row r="1537" spans="1:9" ht="51.75" customHeight="1">
      <c r="A1537" s="5" t="s">
        <v>24929</v>
      </c>
      <c r="B1537" s="5" t="s">
        <v>27787</v>
      </c>
      <c r="C1537" s="5" t="s">
        <v>27788</v>
      </c>
      <c r="D1537" s="246">
        <v>43480</v>
      </c>
      <c r="E1537" s="5" t="s">
        <v>27789</v>
      </c>
      <c r="F1537" s="26" t="s">
        <v>23600</v>
      </c>
      <c r="G1537" s="27" t="s">
        <v>13493</v>
      </c>
      <c r="H1537" s="28" t="s">
        <v>13494</v>
      </c>
      <c r="I1537" s="5" t="s">
        <v>594</v>
      </c>
    </row>
    <row r="1538" spans="1:9" ht="51.75" customHeight="1">
      <c r="A1538" s="5" t="s">
        <v>25070</v>
      </c>
      <c r="B1538" s="5" t="s">
        <v>27790</v>
      </c>
      <c r="C1538" s="5" t="s">
        <v>27791</v>
      </c>
      <c r="D1538" s="246">
        <v>43480</v>
      </c>
      <c r="E1538" s="5" t="s">
        <v>27792</v>
      </c>
      <c r="F1538" s="26" t="s">
        <v>23600</v>
      </c>
      <c r="G1538" s="27" t="s">
        <v>13493</v>
      </c>
      <c r="H1538" s="28" t="s">
        <v>13494</v>
      </c>
      <c r="I1538" s="5" t="s">
        <v>594</v>
      </c>
    </row>
    <row r="1539" spans="1:9" ht="51.75" customHeight="1">
      <c r="A1539" s="5" t="s">
        <v>26902</v>
      </c>
      <c r="B1539" s="5" t="s">
        <v>27793</v>
      </c>
      <c r="C1539" s="5" t="s">
        <v>27794</v>
      </c>
      <c r="D1539" s="246">
        <v>43480</v>
      </c>
      <c r="E1539" s="5" t="s">
        <v>27795</v>
      </c>
      <c r="F1539" s="26" t="s">
        <v>23600</v>
      </c>
      <c r="G1539" s="27" t="s">
        <v>13493</v>
      </c>
      <c r="H1539" s="28" t="s">
        <v>13494</v>
      </c>
      <c r="I1539" s="5" t="s">
        <v>594</v>
      </c>
    </row>
    <row r="1540" spans="1:9" ht="51.75" customHeight="1">
      <c r="A1540" s="5" t="s">
        <v>26509</v>
      </c>
      <c r="B1540" s="5" t="s">
        <v>27796</v>
      </c>
      <c r="C1540" s="5" t="s">
        <v>27797</v>
      </c>
      <c r="D1540" s="246">
        <v>43480</v>
      </c>
      <c r="E1540" s="5" t="s">
        <v>27798</v>
      </c>
      <c r="F1540" s="26" t="s">
        <v>23600</v>
      </c>
      <c r="G1540" s="27" t="s">
        <v>13493</v>
      </c>
      <c r="H1540" s="28" t="s">
        <v>13494</v>
      </c>
      <c r="I1540" s="5" t="s">
        <v>594</v>
      </c>
    </row>
    <row r="1541" spans="1:9" ht="51.75" customHeight="1">
      <c r="A1541" s="5" t="s">
        <v>24479</v>
      </c>
      <c r="B1541" s="5" t="s">
        <v>27799</v>
      </c>
      <c r="C1541" s="5" t="s">
        <v>27800</v>
      </c>
      <c r="D1541" s="246">
        <v>43312</v>
      </c>
      <c r="E1541" s="5" t="s">
        <v>27801</v>
      </c>
      <c r="F1541" s="26" t="s">
        <v>23600</v>
      </c>
      <c r="G1541" s="27" t="s">
        <v>12070</v>
      </c>
      <c r="H1541" s="28" t="s">
        <v>12071</v>
      </c>
      <c r="I1541" s="5" t="s">
        <v>5427</v>
      </c>
    </row>
    <row r="1542" spans="1:9" ht="51.75" customHeight="1">
      <c r="A1542" s="5" t="s">
        <v>24479</v>
      </c>
      <c r="B1542" s="5" t="s">
        <v>27802</v>
      </c>
      <c r="C1542" s="5" t="s">
        <v>27800</v>
      </c>
      <c r="D1542" s="246">
        <v>43312</v>
      </c>
      <c r="E1542" s="5" t="s">
        <v>27803</v>
      </c>
      <c r="F1542" s="26" t="s">
        <v>27685</v>
      </c>
      <c r="G1542" s="27" t="s">
        <v>12070</v>
      </c>
      <c r="H1542" s="28" t="s">
        <v>12071</v>
      </c>
      <c r="I1542" s="5" t="s">
        <v>5427</v>
      </c>
    </row>
    <row r="1543" spans="1:9" ht="51.75" customHeight="1">
      <c r="A1543" s="5" t="s">
        <v>23736</v>
      </c>
      <c r="B1543" s="5" t="s">
        <v>27804</v>
      </c>
      <c r="C1543" s="5" t="s">
        <v>27805</v>
      </c>
      <c r="D1543" s="246">
        <v>43312</v>
      </c>
      <c r="E1543" s="5" t="s">
        <v>27806</v>
      </c>
      <c r="F1543" s="26" t="s">
        <v>23600</v>
      </c>
      <c r="G1543" s="27" t="s">
        <v>12070</v>
      </c>
      <c r="H1543" s="28" t="s">
        <v>12071</v>
      </c>
      <c r="I1543" s="5" t="s">
        <v>5427</v>
      </c>
    </row>
    <row r="1544" spans="1:9" ht="51.75" customHeight="1">
      <c r="A1544" s="5" t="s">
        <v>23736</v>
      </c>
      <c r="B1544" s="5" t="s">
        <v>27807</v>
      </c>
      <c r="C1544" s="5" t="s">
        <v>27805</v>
      </c>
      <c r="D1544" s="246">
        <v>43312</v>
      </c>
      <c r="E1544" s="5" t="s">
        <v>27808</v>
      </c>
      <c r="F1544" s="26" t="s">
        <v>27685</v>
      </c>
      <c r="G1544" s="27" t="s">
        <v>12070</v>
      </c>
      <c r="H1544" s="28" t="s">
        <v>12071</v>
      </c>
      <c r="I1544" s="5" t="s">
        <v>5427</v>
      </c>
    </row>
    <row r="1545" spans="1:9" ht="51.75" customHeight="1">
      <c r="A1545" s="5" t="s">
        <v>25149</v>
      </c>
      <c r="B1545" s="5" t="s">
        <v>27809</v>
      </c>
      <c r="C1545" s="5" t="s">
        <v>27810</v>
      </c>
      <c r="D1545" s="246">
        <v>43312</v>
      </c>
      <c r="E1545" s="5" t="s">
        <v>27811</v>
      </c>
      <c r="F1545" s="26" t="s">
        <v>23600</v>
      </c>
      <c r="G1545" s="27" t="s">
        <v>12070</v>
      </c>
      <c r="H1545" s="28" t="s">
        <v>12071</v>
      </c>
      <c r="I1545" s="5" t="s">
        <v>5427</v>
      </c>
    </row>
    <row r="1546" spans="1:9" ht="51.75" customHeight="1">
      <c r="A1546" s="5" t="s">
        <v>25149</v>
      </c>
      <c r="B1546" s="5" t="s">
        <v>27812</v>
      </c>
      <c r="C1546" s="5" t="s">
        <v>27810</v>
      </c>
      <c r="D1546" s="246">
        <v>43312</v>
      </c>
      <c r="E1546" s="5" t="s">
        <v>27813</v>
      </c>
      <c r="F1546" s="26" t="s">
        <v>27685</v>
      </c>
      <c r="G1546" s="27" t="s">
        <v>12070</v>
      </c>
      <c r="H1546" s="28" t="s">
        <v>12071</v>
      </c>
      <c r="I1546" s="5" t="s">
        <v>5427</v>
      </c>
    </row>
    <row r="1547" spans="1:9" ht="51.75" customHeight="1">
      <c r="A1547" s="5" t="s">
        <v>25153</v>
      </c>
      <c r="B1547" s="5" t="s">
        <v>27814</v>
      </c>
      <c r="C1547" s="5" t="s">
        <v>27815</v>
      </c>
      <c r="D1547" s="246">
        <v>43312</v>
      </c>
      <c r="E1547" s="5" t="s">
        <v>27816</v>
      </c>
      <c r="F1547" s="26" t="s">
        <v>23600</v>
      </c>
      <c r="G1547" s="27" t="s">
        <v>12070</v>
      </c>
      <c r="H1547" s="28" t="s">
        <v>12071</v>
      </c>
      <c r="I1547" s="5" t="s">
        <v>5427</v>
      </c>
    </row>
    <row r="1548" spans="1:9" ht="51.75" customHeight="1">
      <c r="A1548" s="5" t="s">
        <v>25153</v>
      </c>
      <c r="B1548" s="5" t="s">
        <v>27817</v>
      </c>
      <c r="C1548" s="5" t="s">
        <v>27815</v>
      </c>
      <c r="D1548" s="246">
        <v>43312</v>
      </c>
      <c r="E1548" s="5" t="s">
        <v>27818</v>
      </c>
      <c r="F1548" s="26" t="s">
        <v>27685</v>
      </c>
      <c r="G1548" s="27" t="s">
        <v>12070</v>
      </c>
      <c r="H1548" s="28" t="s">
        <v>12071</v>
      </c>
      <c r="I1548" s="5" t="s">
        <v>5427</v>
      </c>
    </row>
    <row r="1549" spans="1:9" ht="51.75" customHeight="1">
      <c r="A1549" s="5" t="s">
        <v>25157</v>
      </c>
      <c r="B1549" s="5" t="s">
        <v>27819</v>
      </c>
      <c r="C1549" s="5" t="s">
        <v>27820</v>
      </c>
      <c r="D1549" s="246">
        <v>43312</v>
      </c>
      <c r="E1549" s="5" t="s">
        <v>27821</v>
      </c>
      <c r="F1549" s="26" t="s">
        <v>23600</v>
      </c>
      <c r="G1549" s="27" t="s">
        <v>12070</v>
      </c>
      <c r="H1549" s="28" t="s">
        <v>12071</v>
      </c>
      <c r="I1549" s="5" t="s">
        <v>5427</v>
      </c>
    </row>
    <row r="1550" spans="1:9" ht="51.75" customHeight="1">
      <c r="A1550" s="5" t="s">
        <v>25157</v>
      </c>
      <c r="B1550" s="5" t="s">
        <v>27822</v>
      </c>
      <c r="C1550" s="5" t="s">
        <v>27820</v>
      </c>
      <c r="D1550" s="246">
        <v>43312</v>
      </c>
      <c r="E1550" s="5" t="s">
        <v>27823</v>
      </c>
      <c r="F1550" s="26" t="s">
        <v>27685</v>
      </c>
      <c r="G1550" s="27" t="s">
        <v>12070</v>
      </c>
      <c r="H1550" s="28" t="s">
        <v>12071</v>
      </c>
      <c r="I1550" s="5" t="s">
        <v>5427</v>
      </c>
    </row>
    <row r="1551" spans="1:9" ht="51.75" customHeight="1">
      <c r="A1551" s="5" t="s">
        <v>27824</v>
      </c>
      <c r="B1551" s="5" t="s">
        <v>27825</v>
      </c>
      <c r="C1551" s="5" t="s">
        <v>27826</v>
      </c>
      <c r="D1551" s="246">
        <v>43312</v>
      </c>
      <c r="E1551" s="5" t="s">
        <v>27827</v>
      </c>
      <c r="F1551" s="26" t="s">
        <v>23600</v>
      </c>
      <c r="G1551" s="27" t="s">
        <v>12070</v>
      </c>
      <c r="H1551" s="28" t="s">
        <v>12071</v>
      </c>
      <c r="I1551" s="5" t="s">
        <v>5427</v>
      </c>
    </row>
    <row r="1552" spans="1:9" ht="51.75" customHeight="1">
      <c r="A1552" s="5" t="s">
        <v>27824</v>
      </c>
      <c r="B1552" s="5" t="s">
        <v>27828</v>
      </c>
      <c r="C1552" s="5" t="s">
        <v>27826</v>
      </c>
      <c r="D1552" s="246">
        <v>43312</v>
      </c>
      <c r="E1552" s="5" t="s">
        <v>27829</v>
      </c>
      <c r="F1552" s="26" t="s">
        <v>27685</v>
      </c>
      <c r="G1552" s="27" t="s">
        <v>12070</v>
      </c>
      <c r="H1552" s="28" t="s">
        <v>12071</v>
      </c>
      <c r="I1552" s="5" t="s">
        <v>5427</v>
      </c>
    </row>
    <row r="1553" spans="1:9" ht="51.75" customHeight="1">
      <c r="A1553" s="5" t="s">
        <v>27830</v>
      </c>
      <c r="B1553" s="5" t="s">
        <v>27831</v>
      </c>
      <c r="C1553" s="5" t="s">
        <v>27832</v>
      </c>
      <c r="D1553" s="246">
        <v>43312</v>
      </c>
      <c r="E1553" s="5" t="s">
        <v>27833</v>
      </c>
      <c r="F1553" s="26" t="s">
        <v>23600</v>
      </c>
      <c r="G1553" s="27" t="s">
        <v>12070</v>
      </c>
      <c r="H1553" s="28" t="s">
        <v>12071</v>
      </c>
      <c r="I1553" s="5" t="s">
        <v>5427</v>
      </c>
    </row>
    <row r="1554" spans="1:9" ht="51.75" customHeight="1">
      <c r="A1554" s="5" t="s">
        <v>27830</v>
      </c>
      <c r="B1554" s="5" t="s">
        <v>27834</v>
      </c>
      <c r="C1554" s="5" t="s">
        <v>27832</v>
      </c>
      <c r="D1554" s="246">
        <v>43312</v>
      </c>
      <c r="E1554" s="5" t="s">
        <v>27835</v>
      </c>
      <c r="F1554" s="26" t="s">
        <v>27685</v>
      </c>
      <c r="G1554" s="27" t="s">
        <v>12070</v>
      </c>
      <c r="H1554" s="28" t="s">
        <v>12071</v>
      </c>
      <c r="I1554" s="5" t="s">
        <v>5427</v>
      </c>
    </row>
    <row r="1555" spans="1:9" ht="51.75" customHeight="1">
      <c r="A1555" s="5" t="s">
        <v>27836</v>
      </c>
      <c r="B1555" s="5" t="s">
        <v>27837</v>
      </c>
      <c r="C1555" s="5" t="s">
        <v>27838</v>
      </c>
      <c r="D1555" s="246">
        <v>43312</v>
      </c>
      <c r="E1555" s="5" t="s">
        <v>27839</v>
      </c>
      <c r="F1555" s="26" t="s">
        <v>23600</v>
      </c>
      <c r="G1555" s="27" t="s">
        <v>12070</v>
      </c>
      <c r="H1555" s="28" t="s">
        <v>12071</v>
      </c>
      <c r="I1555" s="5" t="s">
        <v>5427</v>
      </c>
    </row>
    <row r="1556" spans="1:9" ht="51.75" customHeight="1">
      <c r="A1556" s="5" t="s">
        <v>27836</v>
      </c>
      <c r="B1556" s="5" t="s">
        <v>27840</v>
      </c>
      <c r="C1556" s="5" t="s">
        <v>27838</v>
      </c>
      <c r="D1556" s="246">
        <v>43312</v>
      </c>
      <c r="E1556" s="5" t="s">
        <v>27841</v>
      </c>
      <c r="F1556" s="26" t="s">
        <v>27685</v>
      </c>
      <c r="G1556" s="27" t="s">
        <v>12070</v>
      </c>
      <c r="H1556" s="28" t="s">
        <v>12071</v>
      </c>
      <c r="I1556" s="5" t="s">
        <v>5427</v>
      </c>
    </row>
    <row r="1557" spans="1:9" ht="51.75" customHeight="1">
      <c r="A1557" s="5" t="s">
        <v>23876</v>
      </c>
      <c r="B1557" s="5" t="s">
        <v>27842</v>
      </c>
      <c r="C1557" s="5" t="s">
        <v>27843</v>
      </c>
      <c r="D1557" s="246">
        <v>43380</v>
      </c>
      <c r="E1557" s="5" t="s">
        <v>27844</v>
      </c>
      <c r="F1557" s="26" t="s">
        <v>23600</v>
      </c>
      <c r="G1557" s="27" t="s">
        <v>12955</v>
      </c>
      <c r="H1557" s="28" t="s">
        <v>12956</v>
      </c>
      <c r="I1557" s="5" t="s">
        <v>5427</v>
      </c>
    </row>
    <row r="1558" spans="1:9" ht="51.75" customHeight="1">
      <c r="A1558" s="5" t="s">
        <v>23772</v>
      </c>
      <c r="B1558" s="5" t="s">
        <v>27845</v>
      </c>
      <c r="C1558" s="5" t="s">
        <v>27846</v>
      </c>
      <c r="D1558" s="246">
        <v>43380</v>
      </c>
      <c r="E1558" s="5" t="s">
        <v>27847</v>
      </c>
      <c r="F1558" s="26" t="s">
        <v>23600</v>
      </c>
      <c r="G1558" s="27" t="s">
        <v>12955</v>
      </c>
      <c r="H1558" s="28" t="s">
        <v>12956</v>
      </c>
      <c r="I1558" s="5" t="s">
        <v>5427</v>
      </c>
    </row>
    <row r="1559" spans="1:9" ht="51.75" customHeight="1">
      <c r="A1559" s="5" t="s">
        <v>23839</v>
      </c>
      <c r="B1559" s="5" t="s">
        <v>27848</v>
      </c>
      <c r="C1559" s="5" t="s">
        <v>27849</v>
      </c>
      <c r="D1559" s="246">
        <v>43380</v>
      </c>
      <c r="E1559" s="5" t="s">
        <v>27850</v>
      </c>
      <c r="F1559" s="26" t="s">
        <v>23600</v>
      </c>
      <c r="G1559" s="27" t="s">
        <v>12955</v>
      </c>
      <c r="H1559" s="28" t="s">
        <v>12956</v>
      </c>
      <c r="I1559" s="5" t="s">
        <v>5427</v>
      </c>
    </row>
    <row r="1560" spans="1:9" ht="51.75" customHeight="1">
      <c r="A1560" s="5" t="s">
        <v>23843</v>
      </c>
      <c r="B1560" s="5" t="s">
        <v>27851</v>
      </c>
      <c r="C1560" s="5" t="s">
        <v>27852</v>
      </c>
      <c r="D1560" s="246">
        <v>43380</v>
      </c>
      <c r="E1560" s="5" t="s">
        <v>27853</v>
      </c>
      <c r="F1560" s="26" t="s">
        <v>23600</v>
      </c>
      <c r="G1560" s="27" t="s">
        <v>12955</v>
      </c>
      <c r="H1560" s="28" t="s">
        <v>12956</v>
      </c>
      <c r="I1560" s="5" t="s">
        <v>5427</v>
      </c>
    </row>
    <row r="1561" spans="1:9" ht="51.75" customHeight="1">
      <c r="A1561" s="5" t="s">
        <v>23915</v>
      </c>
      <c r="B1561" s="5" t="s">
        <v>27854</v>
      </c>
      <c r="C1561" s="5" t="s">
        <v>27855</v>
      </c>
      <c r="D1561" s="246">
        <v>43380</v>
      </c>
      <c r="E1561" s="5" t="s">
        <v>27856</v>
      </c>
      <c r="F1561" s="26" t="s">
        <v>23600</v>
      </c>
      <c r="G1561" s="27" t="s">
        <v>12955</v>
      </c>
      <c r="H1561" s="28" t="s">
        <v>12956</v>
      </c>
      <c r="I1561" s="5" t="s">
        <v>5427</v>
      </c>
    </row>
    <row r="1562" spans="1:9" ht="51.75" customHeight="1">
      <c r="A1562" s="5" t="s">
        <v>27857</v>
      </c>
      <c r="B1562" s="5" t="s">
        <v>27858</v>
      </c>
      <c r="C1562" s="5" t="s">
        <v>27859</v>
      </c>
      <c r="D1562" s="246">
        <v>43380</v>
      </c>
      <c r="E1562" s="5" t="s">
        <v>27860</v>
      </c>
      <c r="F1562" s="26" t="s">
        <v>23600</v>
      </c>
      <c r="G1562" s="27" t="s">
        <v>12955</v>
      </c>
      <c r="H1562" s="28" t="s">
        <v>12956</v>
      </c>
      <c r="I1562" s="5" t="s">
        <v>5427</v>
      </c>
    </row>
    <row r="1563" spans="1:9" ht="51.75" customHeight="1">
      <c r="A1563" s="5" t="s">
        <v>27861</v>
      </c>
      <c r="B1563" s="5" t="s">
        <v>27862</v>
      </c>
      <c r="C1563" s="5" t="s">
        <v>27863</v>
      </c>
      <c r="D1563" s="246">
        <v>43380</v>
      </c>
      <c r="E1563" s="5" t="s">
        <v>27864</v>
      </c>
      <c r="F1563" s="26" t="s">
        <v>23600</v>
      </c>
      <c r="G1563" s="27" t="s">
        <v>12955</v>
      </c>
      <c r="H1563" s="28" t="s">
        <v>12956</v>
      </c>
      <c r="I1563" s="5" t="s">
        <v>5427</v>
      </c>
    </row>
    <row r="1564" spans="1:9" ht="51.75" customHeight="1">
      <c r="A1564" s="5" t="s">
        <v>25327</v>
      </c>
      <c r="B1564" s="5" t="s">
        <v>27865</v>
      </c>
      <c r="C1564" s="5" t="s">
        <v>27866</v>
      </c>
      <c r="D1564" s="246">
        <v>43380</v>
      </c>
      <c r="E1564" s="5" t="s">
        <v>27867</v>
      </c>
      <c r="F1564" s="26" t="s">
        <v>23600</v>
      </c>
      <c r="G1564" s="27" t="s">
        <v>12955</v>
      </c>
      <c r="H1564" s="28" t="s">
        <v>12956</v>
      </c>
      <c r="I1564" s="5" t="s">
        <v>5427</v>
      </c>
    </row>
    <row r="1565" spans="1:9" ht="51.75" customHeight="1">
      <c r="A1565" s="5" t="s">
        <v>27868</v>
      </c>
      <c r="B1565" s="5" t="s">
        <v>27869</v>
      </c>
      <c r="C1565" s="5" t="s">
        <v>27870</v>
      </c>
      <c r="D1565" s="246">
        <v>43556</v>
      </c>
      <c r="E1565" s="5" t="s">
        <v>27871</v>
      </c>
      <c r="F1565" s="26" t="s">
        <v>23600</v>
      </c>
      <c r="G1565" s="27" t="s">
        <v>15200</v>
      </c>
      <c r="H1565" s="28" t="s">
        <v>15201</v>
      </c>
      <c r="I1565" s="5" t="s">
        <v>5427</v>
      </c>
    </row>
    <row r="1566" spans="1:9" ht="51.75" customHeight="1">
      <c r="A1566" s="5" t="s">
        <v>27872</v>
      </c>
      <c r="B1566" s="5" t="s">
        <v>27873</v>
      </c>
      <c r="C1566" s="5" t="s">
        <v>27874</v>
      </c>
      <c r="D1566" s="246">
        <v>43556</v>
      </c>
      <c r="E1566" s="5" t="s">
        <v>27875</v>
      </c>
      <c r="F1566" s="26" t="s">
        <v>23600</v>
      </c>
      <c r="G1566" s="27" t="s">
        <v>15200</v>
      </c>
      <c r="H1566" s="28" t="s">
        <v>15201</v>
      </c>
      <c r="I1566" s="5" t="s">
        <v>5427</v>
      </c>
    </row>
    <row r="1567" spans="1:9" ht="51.75" customHeight="1">
      <c r="A1567" s="5" t="s">
        <v>24749</v>
      </c>
      <c r="B1567" s="5" t="s">
        <v>27876</v>
      </c>
      <c r="C1567" s="5" t="s">
        <v>27877</v>
      </c>
      <c r="D1567" s="246">
        <v>43556</v>
      </c>
      <c r="E1567" s="5" t="s">
        <v>27878</v>
      </c>
      <c r="F1567" s="26" t="s">
        <v>23600</v>
      </c>
      <c r="G1567" s="27" t="s">
        <v>15200</v>
      </c>
      <c r="H1567" s="28" t="s">
        <v>15201</v>
      </c>
      <c r="I1567" s="5" t="s">
        <v>5427</v>
      </c>
    </row>
    <row r="1568" spans="1:9" ht="51.75" customHeight="1">
      <c r="A1568" s="5" t="s">
        <v>24753</v>
      </c>
      <c r="B1568" s="5" t="s">
        <v>27879</v>
      </c>
      <c r="C1568" s="5" t="s">
        <v>27880</v>
      </c>
      <c r="D1568" s="246">
        <v>43556</v>
      </c>
      <c r="E1568" s="5" t="s">
        <v>27881</v>
      </c>
      <c r="F1568" s="26" t="s">
        <v>23600</v>
      </c>
      <c r="G1568" s="27" t="s">
        <v>15200</v>
      </c>
      <c r="H1568" s="28" t="s">
        <v>15201</v>
      </c>
      <c r="I1568" s="5" t="s">
        <v>5427</v>
      </c>
    </row>
    <row r="1569" spans="1:9" ht="51.75" customHeight="1">
      <c r="A1569" s="5" t="s">
        <v>24757</v>
      </c>
      <c r="B1569" s="5" t="s">
        <v>27882</v>
      </c>
      <c r="C1569" s="5" t="s">
        <v>27883</v>
      </c>
      <c r="D1569" s="246">
        <v>43556</v>
      </c>
      <c r="E1569" s="5" t="s">
        <v>27884</v>
      </c>
      <c r="F1569" s="26" t="s">
        <v>23600</v>
      </c>
      <c r="G1569" s="27" t="s">
        <v>15200</v>
      </c>
      <c r="H1569" s="28" t="s">
        <v>15201</v>
      </c>
      <c r="I1569" s="5" t="s">
        <v>5427</v>
      </c>
    </row>
    <row r="1570" spans="1:9" ht="51.75" customHeight="1">
      <c r="A1570" s="5" t="s">
        <v>27139</v>
      </c>
      <c r="B1570" s="5" t="s">
        <v>27885</v>
      </c>
      <c r="C1570" s="5" t="s">
        <v>27886</v>
      </c>
      <c r="D1570" s="246">
        <v>43410</v>
      </c>
      <c r="E1570" s="5" t="s">
        <v>27887</v>
      </c>
      <c r="F1570" s="26" t="s">
        <v>23600</v>
      </c>
      <c r="G1570" s="27" t="s">
        <v>14155</v>
      </c>
      <c r="H1570" s="28" t="s">
        <v>14156</v>
      </c>
      <c r="I1570" s="5" t="s">
        <v>5427</v>
      </c>
    </row>
    <row r="1571" spans="1:9" ht="51.75" customHeight="1">
      <c r="A1571" s="5" t="s">
        <v>27142</v>
      </c>
      <c r="B1571" s="5" t="s">
        <v>27888</v>
      </c>
      <c r="C1571" s="5" t="s">
        <v>27889</v>
      </c>
      <c r="D1571" s="246">
        <v>43410</v>
      </c>
      <c r="E1571" s="5" t="s">
        <v>27890</v>
      </c>
      <c r="F1571" s="26" t="s">
        <v>23600</v>
      </c>
      <c r="G1571" s="27" t="s">
        <v>14155</v>
      </c>
      <c r="H1571" s="28" t="s">
        <v>14156</v>
      </c>
      <c r="I1571" s="5" t="s">
        <v>5427</v>
      </c>
    </row>
    <row r="1572" spans="1:9" ht="51.75" customHeight="1">
      <c r="A1572" s="5" t="s">
        <v>23960</v>
      </c>
      <c r="B1572" s="5" t="s">
        <v>27891</v>
      </c>
      <c r="C1572" s="5" t="s">
        <v>27892</v>
      </c>
      <c r="D1572" s="246">
        <v>43410</v>
      </c>
      <c r="E1572" s="5" t="s">
        <v>27893</v>
      </c>
      <c r="F1572" s="26" t="s">
        <v>23600</v>
      </c>
      <c r="G1572" s="27" t="s">
        <v>14155</v>
      </c>
      <c r="H1572" s="28" t="s">
        <v>14156</v>
      </c>
      <c r="I1572" s="5" t="s">
        <v>5427</v>
      </c>
    </row>
    <row r="1573" spans="1:9" ht="51.75" customHeight="1">
      <c r="A1573" s="5" t="s">
        <v>27894</v>
      </c>
      <c r="B1573" s="5" t="s">
        <v>27895</v>
      </c>
      <c r="C1573" s="5" t="s">
        <v>27896</v>
      </c>
      <c r="D1573" s="246">
        <v>44127</v>
      </c>
      <c r="E1573" s="5" t="s">
        <v>27897</v>
      </c>
      <c r="F1573" s="26" t="s">
        <v>23600</v>
      </c>
      <c r="G1573" s="27" t="s">
        <v>16651</v>
      </c>
      <c r="H1573" s="28" t="s">
        <v>16652</v>
      </c>
      <c r="I1573" s="5" t="s">
        <v>5427</v>
      </c>
    </row>
    <row r="1574" spans="1:9" ht="51.75" customHeight="1">
      <c r="A1574" s="5" t="s">
        <v>27898</v>
      </c>
      <c r="B1574" s="5" t="s">
        <v>27899</v>
      </c>
      <c r="C1574" s="5" t="s">
        <v>27900</v>
      </c>
      <c r="D1574" s="246">
        <v>44127</v>
      </c>
      <c r="E1574" s="5" t="s">
        <v>27901</v>
      </c>
      <c r="F1574" s="26" t="s">
        <v>23600</v>
      </c>
      <c r="G1574" s="27" t="s">
        <v>16651</v>
      </c>
      <c r="H1574" s="28" t="s">
        <v>16652</v>
      </c>
      <c r="I1574" s="5" t="s">
        <v>5427</v>
      </c>
    </row>
    <row r="1575" spans="1:9" ht="51.75" customHeight="1">
      <c r="A1575" s="5" t="s">
        <v>27902</v>
      </c>
      <c r="B1575" s="5" t="s">
        <v>27903</v>
      </c>
      <c r="C1575" s="5" t="s">
        <v>27904</v>
      </c>
      <c r="D1575" s="246">
        <v>44127</v>
      </c>
      <c r="E1575" s="5" t="s">
        <v>27905</v>
      </c>
      <c r="F1575" s="26" t="s">
        <v>23600</v>
      </c>
      <c r="G1575" s="27" t="s">
        <v>16651</v>
      </c>
      <c r="H1575" s="28" t="s">
        <v>16652</v>
      </c>
      <c r="I1575" s="5" t="s">
        <v>5427</v>
      </c>
    </row>
    <row r="1576" spans="1:9" ht="51.75" customHeight="1">
      <c r="A1576" s="5"/>
      <c r="B1576" s="5" t="str">
        <f>CONCATENATE(G1576,"/",COUNTIF($G$2:G1576,G1576))</f>
        <v>PT-6313/1</v>
      </c>
      <c r="C1576" s="5" t="s">
        <v>27906</v>
      </c>
      <c r="D1576" s="246">
        <v>44470</v>
      </c>
      <c r="E1576" s="5" t="s">
        <v>27907</v>
      </c>
      <c r="F1576" s="26" t="s">
        <v>23600</v>
      </c>
      <c r="G1576" s="27" t="s">
        <v>18049</v>
      </c>
      <c r="H1576" s="29" t="s">
        <v>18050</v>
      </c>
      <c r="I1576" s="30" t="s">
        <v>5427</v>
      </c>
    </row>
    <row r="1577" spans="1:9" ht="51.75" customHeight="1">
      <c r="A1577" s="5"/>
      <c r="B1577" s="5" t="str">
        <f>CONCATENATE(G1577,"/",COUNTIF($G$2:G1577,G1577))</f>
        <v>PT-6313/2</v>
      </c>
      <c r="C1577" s="5" t="s">
        <v>27908</v>
      </c>
      <c r="D1577" s="246">
        <v>44470</v>
      </c>
      <c r="E1577" s="5" t="s">
        <v>27909</v>
      </c>
      <c r="F1577" s="26" t="s">
        <v>23600</v>
      </c>
      <c r="G1577" s="27" t="s">
        <v>18049</v>
      </c>
      <c r="H1577" s="29" t="s">
        <v>18050</v>
      </c>
      <c r="I1577" s="30" t="s">
        <v>5427</v>
      </c>
    </row>
    <row r="1578" spans="1:9" ht="51.75" customHeight="1">
      <c r="A1578" s="5"/>
      <c r="B1578" s="5" t="str">
        <f>CONCATENATE(G1578,"/",COUNTIF($G$2:G1578,G1578))</f>
        <v>PT-6313/3</v>
      </c>
      <c r="C1578" s="5" t="s">
        <v>27910</v>
      </c>
      <c r="D1578" s="246">
        <v>44470</v>
      </c>
      <c r="E1578" s="5" t="s">
        <v>27911</v>
      </c>
      <c r="F1578" s="26" t="s">
        <v>23600</v>
      </c>
      <c r="G1578" s="27" t="s">
        <v>18049</v>
      </c>
      <c r="H1578" s="29" t="s">
        <v>18050</v>
      </c>
      <c r="I1578" s="30" t="s">
        <v>5427</v>
      </c>
    </row>
    <row r="1579" spans="1:9" ht="51.75" customHeight="1">
      <c r="A1579" s="5"/>
      <c r="B1579" s="5" t="str">
        <f>CONCATENATE(G1579,"/",COUNTIF($G$2:G1579,G1579))</f>
        <v>PT-6313/4</v>
      </c>
      <c r="C1579" s="5" t="s">
        <v>27912</v>
      </c>
      <c r="D1579" s="246">
        <v>44470</v>
      </c>
      <c r="E1579" s="5" t="s">
        <v>27913</v>
      </c>
      <c r="F1579" s="26" t="s">
        <v>23600</v>
      </c>
      <c r="G1579" s="27" t="s">
        <v>18049</v>
      </c>
      <c r="H1579" s="29" t="s">
        <v>18050</v>
      </c>
      <c r="I1579" s="30" t="s">
        <v>5427</v>
      </c>
    </row>
    <row r="1580" spans="1:9" ht="51.75" customHeight="1">
      <c r="A1580" s="5"/>
      <c r="B1580" s="5" t="str">
        <f>CONCATENATE(G1580,"/",COUNTIF($G$2:G1580,G1580))</f>
        <v>PT-6313/5</v>
      </c>
      <c r="C1580" s="5" t="s">
        <v>27914</v>
      </c>
      <c r="D1580" s="246">
        <v>44470</v>
      </c>
      <c r="E1580" s="5" t="s">
        <v>27915</v>
      </c>
      <c r="F1580" s="26" t="s">
        <v>23600</v>
      </c>
      <c r="G1580" s="27" t="s">
        <v>18049</v>
      </c>
      <c r="H1580" s="29" t="s">
        <v>18050</v>
      </c>
      <c r="I1580" s="30" t="s">
        <v>5427</v>
      </c>
    </row>
    <row r="1581" spans="1:9" ht="51.75" customHeight="1">
      <c r="A1581" s="5"/>
      <c r="B1581" s="5" t="str">
        <f>CONCATENATE(G1581,"/",COUNTIF($G$2:G1581,G1581))</f>
        <v>PT-6313/6</v>
      </c>
      <c r="C1581" s="5" t="s">
        <v>27916</v>
      </c>
      <c r="D1581" s="246">
        <v>44470</v>
      </c>
      <c r="E1581" s="5" t="s">
        <v>27917</v>
      </c>
      <c r="F1581" s="26" t="s">
        <v>23600</v>
      </c>
      <c r="G1581" s="27" t="s">
        <v>18049</v>
      </c>
      <c r="H1581" s="29" t="s">
        <v>18050</v>
      </c>
      <c r="I1581" s="30" t="s">
        <v>5427</v>
      </c>
    </row>
    <row r="1582" spans="1:9" ht="51.75" customHeight="1">
      <c r="A1582" s="5"/>
      <c r="B1582" s="5" t="str">
        <f>CONCATENATE(G1582,"/",COUNTIF($G$2:G1582,G1582))</f>
        <v>PT-6313/7</v>
      </c>
      <c r="C1582" s="5" t="s">
        <v>27918</v>
      </c>
      <c r="D1582" s="246">
        <v>44470</v>
      </c>
      <c r="E1582" s="5" t="s">
        <v>27919</v>
      </c>
      <c r="F1582" s="26" t="s">
        <v>23600</v>
      </c>
      <c r="G1582" s="27" t="s">
        <v>18049</v>
      </c>
      <c r="H1582" s="29" t="s">
        <v>18050</v>
      </c>
      <c r="I1582" s="30" t="s">
        <v>5427</v>
      </c>
    </row>
    <row r="1583" spans="1:9" ht="51.75" customHeight="1">
      <c r="A1583" s="5"/>
      <c r="B1583" s="5" t="str">
        <f>CONCATENATE(G1583,"/",COUNTIF($G$2:G1583,G1583))</f>
        <v>PT-6313/8</v>
      </c>
      <c r="C1583" s="5" t="s">
        <v>27920</v>
      </c>
      <c r="D1583" s="246">
        <v>44470</v>
      </c>
      <c r="E1583" s="5" t="s">
        <v>27921</v>
      </c>
      <c r="F1583" s="26" t="s">
        <v>23600</v>
      </c>
      <c r="G1583" s="27" t="s">
        <v>18049</v>
      </c>
      <c r="H1583" s="29" t="s">
        <v>18050</v>
      </c>
      <c r="I1583" s="30" t="s">
        <v>5427</v>
      </c>
    </row>
    <row r="1584" spans="1:9" ht="51.75" customHeight="1">
      <c r="A1584" s="5"/>
      <c r="B1584" s="5" t="str">
        <f>CONCATENATE(G1584,"/",COUNTIF($G$2:G1584,G1584))</f>
        <v>PT-6313/9</v>
      </c>
      <c r="C1584" s="5" t="s">
        <v>27922</v>
      </c>
      <c r="D1584" s="246">
        <v>44470</v>
      </c>
      <c r="E1584" s="5" t="s">
        <v>27923</v>
      </c>
      <c r="F1584" s="26" t="s">
        <v>23600</v>
      </c>
      <c r="G1584" s="27" t="s">
        <v>18049</v>
      </c>
      <c r="H1584" s="29" t="s">
        <v>18050</v>
      </c>
      <c r="I1584" s="30" t="s">
        <v>5427</v>
      </c>
    </row>
    <row r="1585" spans="1:9" ht="51.75" customHeight="1">
      <c r="A1585" s="5"/>
      <c r="B1585" s="5" t="str">
        <f>CONCATENATE(G1585,"/",COUNTIF($G$2:G1585,G1585))</f>
        <v>PT-6313/10</v>
      </c>
      <c r="C1585" s="5" t="s">
        <v>27924</v>
      </c>
      <c r="D1585" s="246">
        <v>44470</v>
      </c>
      <c r="E1585" s="5" t="s">
        <v>27925</v>
      </c>
      <c r="F1585" s="26" t="s">
        <v>23600</v>
      </c>
      <c r="G1585" s="27" t="s">
        <v>18049</v>
      </c>
      <c r="H1585" s="29" t="s">
        <v>18050</v>
      </c>
      <c r="I1585" s="30" t="s">
        <v>5427</v>
      </c>
    </row>
    <row r="1586" spans="1:9" ht="51.75" customHeight="1">
      <c r="A1586" s="5" t="s">
        <v>27183</v>
      </c>
      <c r="B1586" s="5" t="s">
        <v>27926</v>
      </c>
      <c r="C1586" s="5" t="s">
        <v>27927</v>
      </c>
      <c r="D1586" s="246">
        <v>41516</v>
      </c>
      <c r="E1586" s="5" t="s">
        <v>27928</v>
      </c>
      <c r="F1586" s="26" t="s">
        <v>23600</v>
      </c>
      <c r="G1586" s="27" t="s">
        <v>6786</v>
      </c>
      <c r="H1586" s="28" t="s">
        <v>6787</v>
      </c>
      <c r="I1586" s="5" t="s">
        <v>451</v>
      </c>
    </row>
    <row r="1587" spans="1:9" ht="51.75" customHeight="1">
      <c r="A1587" s="5" t="s">
        <v>27223</v>
      </c>
      <c r="B1587" s="5" t="s">
        <v>27929</v>
      </c>
      <c r="C1587" s="5" t="s">
        <v>27930</v>
      </c>
      <c r="D1587" s="246" t="s">
        <v>68</v>
      </c>
      <c r="E1587" s="5" t="s">
        <v>27931</v>
      </c>
      <c r="F1587" s="26" t="s">
        <v>23600</v>
      </c>
      <c r="G1587" s="27" t="s">
        <v>6786</v>
      </c>
      <c r="H1587" s="28" t="s">
        <v>6787</v>
      </c>
      <c r="I1587" s="5" t="s">
        <v>451</v>
      </c>
    </row>
    <row r="1588" spans="1:9" ht="51.75" customHeight="1">
      <c r="A1588" s="5" t="s">
        <v>27227</v>
      </c>
      <c r="B1588" s="5" t="s">
        <v>27932</v>
      </c>
      <c r="C1588" s="5" t="s">
        <v>27933</v>
      </c>
      <c r="D1588" s="246" t="s">
        <v>68</v>
      </c>
      <c r="E1588" s="5" t="s">
        <v>27934</v>
      </c>
      <c r="F1588" s="26" t="s">
        <v>23600</v>
      </c>
      <c r="G1588" s="27" t="s">
        <v>6786</v>
      </c>
      <c r="H1588" s="28" t="s">
        <v>6787</v>
      </c>
      <c r="I1588" s="5" t="s">
        <v>451</v>
      </c>
    </row>
    <row r="1589" spans="1:9" ht="51.75" customHeight="1">
      <c r="A1589" s="5">
        <v>1</v>
      </c>
      <c r="B1589" s="5" t="s">
        <v>27935</v>
      </c>
      <c r="C1589" s="5" t="s">
        <v>27936</v>
      </c>
      <c r="D1589" s="246">
        <v>40666</v>
      </c>
      <c r="E1589" s="5" t="s">
        <v>27937</v>
      </c>
      <c r="F1589" s="26" t="s">
        <v>23600</v>
      </c>
      <c r="G1589" s="27" t="s">
        <v>2308</v>
      </c>
      <c r="H1589" s="28" t="s">
        <v>2309</v>
      </c>
      <c r="I1589" s="5" t="s">
        <v>451</v>
      </c>
    </row>
    <row r="1590" spans="1:9" ht="51.75" customHeight="1">
      <c r="A1590" s="5">
        <v>2</v>
      </c>
      <c r="B1590" s="5" t="s">
        <v>27938</v>
      </c>
      <c r="C1590" s="5" t="s">
        <v>27939</v>
      </c>
      <c r="D1590" s="246">
        <v>40666</v>
      </c>
      <c r="E1590" s="5" t="s">
        <v>27940</v>
      </c>
      <c r="F1590" s="26" t="s">
        <v>23600</v>
      </c>
      <c r="G1590" s="27" t="s">
        <v>2308</v>
      </c>
      <c r="H1590" s="28" t="s">
        <v>2309</v>
      </c>
      <c r="I1590" s="5" t="s">
        <v>451</v>
      </c>
    </row>
    <row r="1591" spans="1:9" ht="51.75" customHeight="1">
      <c r="A1591" s="5">
        <v>1</v>
      </c>
      <c r="B1591" s="5" t="s">
        <v>27941</v>
      </c>
      <c r="C1591" s="5" t="s">
        <v>27942</v>
      </c>
      <c r="D1591" s="246">
        <v>40676</v>
      </c>
      <c r="E1591" s="5" t="s">
        <v>27943</v>
      </c>
      <c r="F1591" s="26" t="s">
        <v>23600</v>
      </c>
      <c r="G1591" s="27" t="s">
        <v>3087</v>
      </c>
      <c r="H1591" s="28" t="s">
        <v>3088</v>
      </c>
      <c r="I1591" s="5" t="s">
        <v>451</v>
      </c>
    </row>
    <row r="1592" spans="1:9" ht="51.75" customHeight="1">
      <c r="A1592" s="5">
        <v>2</v>
      </c>
      <c r="B1592" s="5" t="s">
        <v>27944</v>
      </c>
      <c r="C1592" s="5" t="s">
        <v>27945</v>
      </c>
      <c r="D1592" s="246">
        <v>40676</v>
      </c>
      <c r="E1592" s="5" t="s">
        <v>27946</v>
      </c>
      <c r="F1592" s="26" t="s">
        <v>23600</v>
      </c>
      <c r="G1592" s="27" t="s">
        <v>3087</v>
      </c>
      <c r="H1592" s="28" t="s">
        <v>3088</v>
      </c>
      <c r="I1592" s="5" t="s">
        <v>451</v>
      </c>
    </row>
    <row r="1593" spans="1:9" ht="51.75" customHeight="1">
      <c r="A1593" s="5" t="s">
        <v>26531</v>
      </c>
      <c r="B1593" s="5" t="s">
        <v>27947</v>
      </c>
      <c r="C1593" s="5" t="s">
        <v>27948</v>
      </c>
      <c r="D1593" s="246">
        <v>41830</v>
      </c>
      <c r="E1593" s="5" t="s">
        <v>27949</v>
      </c>
      <c r="F1593" s="26" t="s">
        <v>27950</v>
      </c>
      <c r="G1593" s="27" t="s">
        <v>8720</v>
      </c>
      <c r="H1593" s="28" t="s">
        <v>8721</v>
      </c>
      <c r="I1593" s="5" t="s">
        <v>451</v>
      </c>
    </row>
    <row r="1594" spans="1:9" ht="51.75" customHeight="1">
      <c r="A1594" s="5" t="s">
        <v>26531</v>
      </c>
      <c r="B1594" s="5" t="s">
        <v>27951</v>
      </c>
      <c r="C1594" s="5" t="s">
        <v>27948</v>
      </c>
      <c r="D1594" s="246">
        <v>41830</v>
      </c>
      <c r="E1594" s="5" t="s">
        <v>27952</v>
      </c>
      <c r="F1594" s="26" t="s">
        <v>23600</v>
      </c>
      <c r="G1594" s="27" t="s">
        <v>8720</v>
      </c>
      <c r="H1594" s="28" t="s">
        <v>8721</v>
      </c>
      <c r="I1594" s="5" t="s">
        <v>451</v>
      </c>
    </row>
    <row r="1595" spans="1:9" ht="51.75" customHeight="1">
      <c r="A1595" s="5">
        <v>1</v>
      </c>
      <c r="B1595" s="5" t="s">
        <v>27953</v>
      </c>
      <c r="C1595" s="5" t="s">
        <v>27954</v>
      </c>
      <c r="D1595" s="246">
        <v>40666</v>
      </c>
      <c r="E1595" s="5" t="s">
        <v>27954</v>
      </c>
      <c r="F1595" s="26" t="s">
        <v>23600</v>
      </c>
      <c r="G1595" s="27" t="s">
        <v>4215</v>
      </c>
      <c r="H1595" s="28" t="s">
        <v>4216</v>
      </c>
      <c r="I1595" s="5" t="s">
        <v>451</v>
      </c>
    </row>
    <row r="1596" spans="1:9" ht="51.75" customHeight="1">
      <c r="A1596" s="5">
        <v>1</v>
      </c>
      <c r="B1596" s="5" t="s">
        <v>27955</v>
      </c>
      <c r="C1596" s="5" t="s">
        <v>27956</v>
      </c>
      <c r="D1596" s="246">
        <v>40445</v>
      </c>
      <c r="E1596" s="5" t="s">
        <v>27957</v>
      </c>
      <c r="F1596" s="26" t="s">
        <v>23600</v>
      </c>
      <c r="G1596" s="27" t="s">
        <v>4145</v>
      </c>
      <c r="H1596" s="28" t="s">
        <v>4146</v>
      </c>
      <c r="I1596" s="5" t="s">
        <v>451</v>
      </c>
    </row>
    <row r="1597" spans="1:9" ht="51.75" customHeight="1">
      <c r="A1597" s="5">
        <v>2</v>
      </c>
      <c r="B1597" s="5" t="s">
        <v>27958</v>
      </c>
      <c r="C1597" s="5" t="s">
        <v>27959</v>
      </c>
      <c r="D1597" s="246">
        <v>40445</v>
      </c>
      <c r="E1597" s="5" t="s">
        <v>27960</v>
      </c>
      <c r="F1597" s="26" t="s">
        <v>23600</v>
      </c>
      <c r="G1597" s="27" t="s">
        <v>4145</v>
      </c>
      <c r="H1597" s="28" t="s">
        <v>4146</v>
      </c>
      <c r="I1597" s="5" t="s">
        <v>451</v>
      </c>
    </row>
    <row r="1598" spans="1:9" ht="51.75" customHeight="1">
      <c r="A1598" s="5">
        <v>1</v>
      </c>
      <c r="B1598" s="5" t="s">
        <v>27961</v>
      </c>
      <c r="C1598" s="5" t="s">
        <v>27962</v>
      </c>
      <c r="D1598" s="246">
        <v>40667</v>
      </c>
      <c r="E1598" s="5" t="s">
        <v>27963</v>
      </c>
      <c r="F1598" s="26"/>
      <c r="G1598" s="27" t="s">
        <v>1964</v>
      </c>
      <c r="H1598" s="28" t="s">
        <v>1965</v>
      </c>
      <c r="I1598" s="5" t="s">
        <v>451</v>
      </c>
    </row>
    <row r="1599" spans="1:9" ht="51.75" customHeight="1">
      <c r="A1599" s="5">
        <v>1</v>
      </c>
      <c r="B1599" s="5" t="s">
        <v>27964</v>
      </c>
      <c r="C1599" s="5" t="s">
        <v>27965</v>
      </c>
      <c r="D1599" s="246">
        <v>38805</v>
      </c>
      <c r="E1599" s="5" t="s">
        <v>27966</v>
      </c>
      <c r="F1599" s="26" t="s">
        <v>23600</v>
      </c>
      <c r="G1599" s="27" t="s">
        <v>567</v>
      </c>
      <c r="H1599" s="28" t="s">
        <v>568</v>
      </c>
      <c r="I1599" s="5" t="s">
        <v>451</v>
      </c>
    </row>
    <row r="1600" spans="1:9" ht="51.75" customHeight="1">
      <c r="A1600" s="5">
        <v>2</v>
      </c>
      <c r="B1600" s="5" t="s">
        <v>27967</v>
      </c>
      <c r="C1600" s="5" t="s">
        <v>27968</v>
      </c>
      <c r="D1600" s="246">
        <v>38805</v>
      </c>
      <c r="E1600" s="5" t="s">
        <v>27969</v>
      </c>
      <c r="F1600" s="26" t="s">
        <v>23600</v>
      </c>
      <c r="G1600" s="27" t="s">
        <v>567</v>
      </c>
      <c r="H1600" s="28" t="s">
        <v>568</v>
      </c>
      <c r="I1600" s="5" t="s">
        <v>451</v>
      </c>
    </row>
    <row r="1601" spans="1:9" ht="51.75" customHeight="1">
      <c r="A1601" s="5">
        <v>1</v>
      </c>
      <c r="B1601" s="5" t="s">
        <v>27970</v>
      </c>
      <c r="C1601" s="5" t="s">
        <v>27971</v>
      </c>
      <c r="D1601" s="246">
        <v>40445</v>
      </c>
      <c r="E1601" s="5" t="s">
        <v>27972</v>
      </c>
      <c r="F1601" s="26"/>
      <c r="G1601" s="27" t="s">
        <v>777</v>
      </c>
      <c r="H1601" s="28" t="s">
        <v>778</v>
      </c>
      <c r="I1601" s="5" t="s">
        <v>451</v>
      </c>
    </row>
    <row r="1602" spans="1:9" ht="51.75" customHeight="1">
      <c r="A1602" s="5">
        <v>2</v>
      </c>
      <c r="B1602" s="5" t="s">
        <v>27973</v>
      </c>
      <c r="C1602" s="5" t="s">
        <v>27974</v>
      </c>
      <c r="D1602" s="246">
        <v>40445</v>
      </c>
      <c r="E1602" s="5" t="s">
        <v>27975</v>
      </c>
      <c r="F1602" s="26"/>
      <c r="G1602" s="27" t="s">
        <v>777</v>
      </c>
      <c r="H1602" s="28" t="s">
        <v>778</v>
      </c>
      <c r="I1602" s="5" t="s">
        <v>451</v>
      </c>
    </row>
    <row r="1603" spans="1:9" ht="51.75" customHeight="1">
      <c r="A1603" s="5">
        <v>3</v>
      </c>
      <c r="B1603" s="5" t="s">
        <v>27976</v>
      </c>
      <c r="C1603" s="5" t="s">
        <v>27977</v>
      </c>
      <c r="D1603" s="246">
        <v>40445</v>
      </c>
      <c r="E1603" s="5" t="s">
        <v>27978</v>
      </c>
      <c r="F1603" s="26"/>
      <c r="G1603" s="27" t="s">
        <v>777</v>
      </c>
      <c r="H1603" s="28" t="s">
        <v>778</v>
      </c>
      <c r="I1603" s="5" t="s">
        <v>451</v>
      </c>
    </row>
    <row r="1604" spans="1:9" ht="51.75" customHeight="1">
      <c r="A1604" s="5">
        <v>4</v>
      </c>
      <c r="B1604" s="5" t="s">
        <v>27979</v>
      </c>
      <c r="C1604" s="5" t="s">
        <v>27980</v>
      </c>
      <c r="D1604" s="246">
        <v>40445</v>
      </c>
      <c r="E1604" s="5" t="s">
        <v>27981</v>
      </c>
      <c r="F1604" s="26"/>
      <c r="G1604" s="27" t="s">
        <v>777</v>
      </c>
      <c r="H1604" s="28" t="s">
        <v>778</v>
      </c>
      <c r="I1604" s="5" t="s">
        <v>451</v>
      </c>
    </row>
    <row r="1605" spans="1:9" ht="51.75" customHeight="1">
      <c r="A1605" s="5">
        <v>5</v>
      </c>
      <c r="B1605" s="5" t="s">
        <v>27982</v>
      </c>
      <c r="C1605" s="5" t="s">
        <v>27983</v>
      </c>
      <c r="D1605" s="246">
        <v>40445</v>
      </c>
      <c r="E1605" s="5" t="s">
        <v>27984</v>
      </c>
      <c r="F1605" s="26"/>
      <c r="G1605" s="27" t="s">
        <v>777</v>
      </c>
      <c r="H1605" s="28" t="s">
        <v>778</v>
      </c>
      <c r="I1605" s="5" t="s">
        <v>451</v>
      </c>
    </row>
    <row r="1606" spans="1:9" ht="51.75" customHeight="1">
      <c r="A1606" s="5">
        <v>6</v>
      </c>
      <c r="B1606" s="5" t="s">
        <v>27985</v>
      </c>
      <c r="C1606" s="5" t="s">
        <v>27986</v>
      </c>
      <c r="D1606" s="246">
        <v>40445</v>
      </c>
      <c r="E1606" s="5" t="s">
        <v>27987</v>
      </c>
      <c r="F1606" s="26"/>
      <c r="G1606" s="27" t="s">
        <v>777</v>
      </c>
      <c r="H1606" s="28" t="s">
        <v>778</v>
      </c>
      <c r="I1606" s="5" t="s">
        <v>451</v>
      </c>
    </row>
    <row r="1607" spans="1:9" ht="51.75" customHeight="1">
      <c r="A1607" s="5">
        <v>7</v>
      </c>
      <c r="B1607" s="5" t="s">
        <v>27988</v>
      </c>
      <c r="C1607" s="5" t="s">
        <v>27989</v>
      </c>
      <c r="D1607" s="246">
        <v>40445</v>
      </c>
      <c r="E1607" s="5" t="s">
        <v>27990</v>
      </c>
      <c r="F1607" s="26"/>
      <c r="G1607" s="27" t="s">
        <v>777</v>
      </c>
      <c r="H1607" s="28" t="s">
        <v>778</v>
      </c>
      <c r="I1607" s="5" t="s">
        <v>451</v>
      </c>
    </row>
    <row r="1608" spans="1:9" ht="51.75" customHeight="1">
      <c r="A1608" s="5">
        <v>8</v>
      </c>
      <c r="B1608" s="5" t="s">
        <v>27991</v>
      </c>
      <c r="C1608" s="5" t="s">
        <v>27992</v>
      </c>
      <c r="D1608" s="246">
        <v>40445</v>
      </c>
      <c r="E1608" s="5" t="s">
        <v>27993</v>
      </c>
      <c r="F1608" s="26"/>
      <c r="G1608" s="27" t="s">
        <v>777</v>
      </c>
      <c r="H1608" s="28" t="s">
        <v>778</v>
      </c>
      <c r="I1608" s="5" t="s">
        <v>451</v>
      </c>
    </row>
    <row r="1609" spans="1:9" ht="51.75" customHeight="1">
      <c r="A1609" s="5">
        <v>9</v>
      </c>
      <c r="B1609" s="5" t="s">
        <v>27994</v>
      </c>
      <c r="C1609" s="5" t="s">
        <v>27995</v>
      </c>
      <c r="D1609" s="246">
        <v>40445</v>
      </c>
      <c r="E1609" s="5" t="s">
        <v>27996</v>
      </c>
      <c r="F1609" s="26"/>
      <c r="G1609" s="27" t="s">
        <v>777</v>
      </c>
      <c r="H1609" s="28" t="s">
        <v>778</v>
      </c>
      <c r="I1609" s="5" t="s">
        <v>451</v>
      </c>
    </row>
    <row r="1610" spans="1:9" ht="51.75" customHeight="1">
      <c r="A1610" s="5">
        <v>1</v>
      </c>
      <c r="B1610" s="5" t="s">
        <v>27997</v>
      </c>
      <c r="C1610" s="5" t="s">
        <v>27998</v>
      </c>
      <c r="D1610" s="246">
        <v>40445</v>
      </c>
      <c r="E1610" s="5" t="s">
        <v>27998</v>
      </c>
      <c r="F1610" s="26"/>
      <c r="G1610" s="27" t="s">
        <v>661</v>
      </c>
      <c r="H1610" s="28" t="s">
        <v>662</v>
      </c>
      <c r="I1610" s="5" t="s">
        <v>451</v>
      </c>
    </row>
    <row r="1611" spans="1:9" ht="51.75" customHeight="1">
      <c r="A1611" s="5">
        <v>2</v>
      </c>
      <c r="B1611" s="5" t="s">
        <v>27999</v>
      </c>
      <c r="C1611" s="5" t="s">
        <v>28000</v>
      </c>
      <c r="D1611" s="246">
        <v>40445</v>
      </c>
      <c r="E1611" s="5" t="s">
        <v>28001</v>
      </c>
      <c r="F1611" s="26"/>
      <c r="G1611" s="27" t="s">
        <v>661</v>
      </c>
      <c r="H1611" s="28" t="s">
        <v>662</v>
      </c>
      <c r="I1611" s="5" t="s">
        <v>451</v>
      </c>
    </row>
    <row r="1612" spans="1:9" ht="51.75" customHeight="1">
      <c r="A1612" s="5">
        <v>3</v>
      </c>
      <c r="B1612" s="5" t="s">
        <v>28002</v>
      </c>
      <c r="C1612" s="5" t="s">
        <v>28000</v>
      </c>
      <c r="D1612" s="246">
        <v>40445</v>
      </c>
      <c r="E1612" s="5" t="s">
        <v>28003</v>
      </c>
      <c r="F1612" s="26"/>
      <c r="G1612" s="27" t="s">
        <v>661</v>
      </c>
      <c r="H1612" s="28" t="s">
        <v>662</v>
      </c>
      <c r="I1612" s="5" t="s">
        <v>451</v>
      </c>
    </row>
    <row r="1613" spans="1:9" ht="51.75" customHeight="1">
      <c r="A1613" s="5">
        <v>1</v>
      </c>
      <c r="B1613" s="5" t="s">
        <v>28004</v>
      </c>
      <c r="C1613" s="5" t="s">
        <v>28005</v>
      </c>
      <c r="D1613" s="246">
        <v>38877</v>
      </c>
      <c r="E1613" s="5" t="s">
        <v>28006</v>
      </c>
      <c r="F1613" s="26" t="s">
        <v>23600</v>
      </c>
      <c r="G1613" s="27" t="s">
        <v>493</v>
      </c>
      <c r="H1613" s="28" t="s">
        <v>494</v>
      </c>
      <c r="I1613" s="5" t="s">
        <v>451</v>
      </c>
    </row>
    <row r="1614" spans="1:9" ht="51.75" customHeight="1">
      <c r="A1614" s="5">
        <v>1</v>
      </c>
      <c r="B1614" s="5" t="s">
        <v>28007</v>
      </c>
      <c r="C1614" s="5" t="s">
        <v>28008</v>
      </c>
      <c r="D1614" s="246">
        <v>40662</v>
      </c>
      <c r="E1614" s="5" t="s">
        <v>28008</v>
      </c>
      <c r="F1614" s="26" t="s">
        <v>23600</v>
      </c>
      <c r="G1614" s="27" t="s">
        <v>1084</v>
      </c>
      <c r="H1614" s="28" t="s">
        <v>1085</v>
      </c>
      <c r="I1614" s="5" t="s">
        <v>451</v>
      </c>
    </row>
    <row r="1615" spans="1:9" ht="51.75" customHeight="1">
      <c r="A1615" s="5">
        <v>2</v>
      </c>
      <c r="B1615" s="5" t="s">
        <v>28009</v>
      </c>
      <c r="C1615" s="5" t="s">
        <v>28010</v>
      </c>
      <c r="D1615" s="246">
        <v>40662</v>
      </c>
      <c r="E1615" s="5" t="s">
        <v>28011</v>
      </c>
      <c r="F1615" s="26" t="s">
        <v>23600</v>
      </c>
      <c r="G1615" s="27" t="s">
        <v>1084</v>
      </c>
      <c r="H1615" s="28" t="s">
        <v>1085</v>
      </c>
      <c r="I1615" s="5" t="s">
        <v>451</v>
      </c>
    </row>
    <row r="1616" spans="1:9" ht="51.75" customHeight="1">
      <c r="A1616" s="5">
        <v>1</v>
      </c>
      <c r="B1616" s="5" t="s">
        <v>28012</v>
      </c>
      <c r="C1616" s="5" t="s">
        <v>28013</v>
      </c>
      <c r="D1616" s="246">
        <v>40662</v>
      </c>
      <c r="E1616" s="5" t="s">
        <v>28014</v>
      </c>
      <c r="F1616" s="26"/>
      <c r="G1616" s="27" t="s">
        <v>951</v>
      </c>
      <c r="H1616" s="28" t="s">
        <v>952</v>
      </c>
      <c r="I1616" s="5" t="s">
        <v>451</v>
      </c>
    </row>
    <row r="1617" spans="1:9" ht="51.75" customHeight="1">
      <c r="A1617" s="5">
        <v>2</v>
      </c>
      <c r="B1617" s="5" t="s">
        <v>28015</v>
      </c>
      <c r="C1617" s="5" t="s">
        <v>28016</v>
      </c>
      <c r="D1617" s="246">
        <v>40662</v>
      </c>
      <c r="E1617" s="5" t="s">
        <v>28017</v>
      </c>
      <c r="F1617" s="26"/>
      <c r="G1617" s="27" t="s">
        <v>951</v>
      </c>
      <c r="H1617" s="28" t="s">
        <v>952</v>
      </c>
      <c r="I1617" s="5" t="s">
        <v>451</v>
      </c>
    </row>
    <row r="1618" spans="1:9" ht="51.75" customHeight="1">
      <c r="A1618" s="5">
        <v>3</v>
      </c>
      <c r="B1618" s="5" t="s">
        <v>28018</v>
      </c>
      <c r="C1618" s="5" t="s">
        <v>28019</v>
      </c>
      <c r="D1618" s="246">
        <v>40662</v>
      </c>
      <c r="E1618" s="5" t="s">
        <v>28020</v>
      </c>
      <c r="F1618" s="26"/>
      <c r="G1618" s="27" t="s">
        <v>951</v>
      </c>
      <c r="H1618" s="28" t="s">
        <v>952</v>
      </c>
      <c r="I1618" s="5" t="s">
        <v>451</v>
      </c>
    </row>
    <row r="1619" spans="1:9" ht="51.75" customHeight="1">
      <c r="A1619" s="5">
        <v>4</v>
      </c>
      <c r="B1619" s="5" t="s">
        <v>28021</v>
      </c>
      <c r="C1619" s="5" t="s">
        <v>28022</v>
      </c>
      <c r="D1619" s="246">
        <v>40662</v>
      </c>
      <c r="E1619" s="5" t="s">
        <v>28022</v>
      </c>
      <c r="F1619" s="26"/>
      <c r="G1619" s="27" t="s">
        <v>951</v>
      </c>
      <c r="H1619" s="28" t="s">
        <v>952</v>
      </c>
      <c r="I1619" s="5" t="s">
        <v>451</v>
      </c>
    </row>
    <row r="1620" spans="1:9" ht="51.75" customHeight="1">
      <c r="A1620" s="5">
        <v>1</v>
      </c>
      <c r="B1620" s="5" t="s">
        <v>28023</v>
      </c>
      <c r="C1620" s="5" t="s">
        <v>28024</v>
      </c>
      <c r="D1620" s="246">
        <v>39224</v>
      </c>
      <c r="E1620" s="5" t="s">
        <v>28024</v>
      </c>
      <c r="F1620" s="26"/>
      <c r="G1620" s="27" t="s">
        <v>449</v>
      </c>
      <c r="H1620" s="28" t="s">
        <v>450</v>
      </c>
      <c r="I1620" s="5" t="s">
        <v>451</v>
      </c>
    </row>
    <row r="1621" spans="1:9" ht="51.75" customHeight="1">
      <c r="A1621" s="5" t="s">
        <v>28025</v>
      </c>
      <c r="B1621" s="5" t="s">
        <v>28026</v>
      </c>
      <c r="C1621" s="5" t="s">
        <v>28027</v>
      </c>
      <c r="D1621" s="246" t="s">
        <v>68</v>
      </c>
      <c r="E1621" s="5" t="s">
        <v>28028</v>
      </c>
      <c r="F1621" s="26" t="s">
        <v>27950</v>
      </c>
      <c r="G1621" s="27" t="s">
        <v>3946</v>
      </c>
      <c r="H1621" s="28" t="s">
        <v>3947</v>
      </c>
      <c r="I1621" s="5" t="s">
        <v>451</v>
      </c>
    </row>
    <row r="1622" spans="1:9" ht="51.75" customHeight="1">
      <c r="A1622" s="5" t="s">
        <v>28025</v>
      </c>
      <c r="B1622" s="5" t="s">
        <v>28029</v>
      </c>
      <c r="C1622" s="5" t="s">
        <v>28027</v>
      </c>
      <c r="D1622" s="246" t="s">
        <v>68</v>
      </c>
      <c r="E1622" s="5" t="s">
        <v>28030</v>
      </c>
      <c r="F1622" s="26" t="s">
        <v>23600</v>
      </c>
      <c r="G1622" s="27" t="s">
        <v>3946</v>
      </c>
      <c r="H1622" s="28" t="s">
        <v>3947</v>
      </c>
      <c r="I1622" s="5" t="s">
        <v>451</v>
      </c>
    </row>
    <row r="1623" spans="1:9" ht="51.75" customHeight="1">
      <c r="A1623" s="5" t="s">
        <v>25206</v>
      </c>
      <c r="B1623" s="5" t="s">
        <v>28031</v>
      </c>
      <c r="C1623" s="5" t="s">
        <v>28032</v>
      </c>
      <c r="D1623" s="246" t="s">
        <v>68</v>
      </c>
      <c r="E1623" s="5" t="s">
        <v>28033</v>
      </c>
      <c r="F1623" s="26" t="s">
        <v>23600</v>
      </c>
      <c r="G1623" s="27" t="s">
        <v>7138</v>
      </c>
      <c r="H1623" s="28" t="s">
        <v>7139</v>
      </c>
      <c r="I1623" s="5" t="s">
        <v>451</v>
      </c>
    </row>
    <row r="1624" spans="1:9" ht="51.75" customHeight="1">
      <c r="A1624" s="5" t="s">
        <v>26415</v>
      </c>
      <c r="B1624" s="5" t="s">
        <v>28034</v>
      </c>
      <c r="C1624" s="5" t="s">
        <v>28035</v>
      </c>
      <c r="D1624" s="246" t="s">
        <v>68</v>
      </c>
      <c r="E1624" s="5" t="s">
        <v>28036</v>
      </c>
      <c r="F1624" s="26" t="s">
        <v>23600</v>
      </c>
      <c r="G1624" s="27" t="s">
        <v>7138</v>
      </c>
      <c r="H1624" s="28" t="s">
        <v>7139</v>
      </c>
      <c r="I1624" s="5" t="s">
        <v>451</v>
      </c>
    </row>
    <row r="1625" spans="1:9" ht="51.75" customHeight="1">
      <c r="A1625" s="5" t="s">
        <v>28037</v>
      </c>
      <c r="B1625" s="5" t="s">
        <v>28038</v>
      </c>
      <c r="C1625" s="5" t="s">
        <v>28039</v>
      </c>
      <c r="D1625" s="246">
        <v>42877</v>
      </c>
      <c r="E1625" s="5" t="s">
        <v>28040</v>
      </c>
      <c r="F1625" s="26" t="s">
        <v>27950</v>
      </c>
      <c r="G1625" s="27" t="s">
        <v>12424</v>
      </c>
      <c r="H1625" s="28" t="s">
        <v>12425</v>
      </c>
      <c r="I1625" s="5" t="s">
        <v>451</v>
      </c>
    </row>
    <row r="1626" spans="1:9" ht="51.75" customHeight="1">
      <c r="A1626" s="5" t="s">
        <v>28041</v>
      </c>
      <c r="B1626" s="5" t="s">
        <v>28042</v>
      </c>
      <c r="C1626" s="5" t="s">
        <v>28043</v>
      </c>
      <c r="D1626" s="246">
        <v>42877</v>
      </c>
      <c r="E1626" s="5" t="s">
        <v>28044</v>
      </c>
      <c r="F1626" s="26" t="s">
        <v>27950</v>
      </c>
      <c r="G1626" s="27" t="s">
        <v>12424</v>
      </c>
      <c r="H1626" s="28" t="s">
        <v>12425</v>
      </c>
      <c r="I1626" s="5" t="s">
        <v>451</v>
      </c>
    </row>
    <row r="1627" spans="1:9" ht="51.75" customHeight="1">
      <c r="A1627" s="5" t="s">
        <v>27618</v>
      </c>
      <c r="B1627" s="5" t="s">
        <v>28045</v>
      </c>
      <c r="C1627" s="5" t="s">
        <v>28046</v>
      </c>
      <c r="D1627" s="246">
        <v>42877</v>
      </c>
      <c r="E1627" s="5" t="s">
        <v>28047</v>
      </c>
      <c r="F1627" s="26" t="s">
        <v>27950</v>
      </c>
      <c r="G1627" s="27" t="s">
        <v>12424</v>
      </c>
      <c r="H1627" s="28" t="s">
        <v>12425</v>
      </c>
      <c r="I1627" s="5" t="s">
        <v>451</v>
      </c>
    </row>
    <row r="1628" spans="1:9" ht="51.75" customHeight="1">
      <c r="A1628" s="5" t="s">
        <v>26432</v>
      </c>
      <c r="B1628" s="5" t="s">
        <v>28048</v>
      </c>
      <c r="C1628" s="5" t="s">
        <v>28049</v>
      </c>
      <c r="D1628" s="246" t="s">
        <v>68</v>
      </c>
      <c r="E1628" s="5" t="s">
        <v>28050</v>
      </c>
      <c r="F1628" s="26" t="s">
        <v>23600</v>
      </c>
      <c r="G1628" s="27" t="s">
        <v>10276</v>
      </c>
      <c r="H1628" s="28" t="s">
        <v>10277</v>
      </c>
      <c r="I1628" s="5" t="s">
        <v>451</v>
      </c>
    </row>
    <row r="1629" spans="1:9" ht="51.75" customHeight="1">
      <c r="A1629" s="5" t="s">
        <v>23700</v>
      </c>
      <c r="B1629" s="5" t="s">
        <v>28051</v>
      </c>
      <c r="C1629" s="5" t="s">
        <v>28052</v>
      </c>
      <c r="D1629" s="246" t="s">
        <v>68</v>
      </c>
      <c r="E1629" s="5" t="s">
        <v>28053</v>
      </c>
      <c r="F1629" s="26" t="s">
        <v>23600</v>
      </c>
      <c r="G1629" s="27" t="s">
        <v>13052</v>
      </c>
      <c r="H1629" s="28" t="s">
        <v>13053</v>
      </c>
      <c r="I1629" s="5" t="s">
        <v>451</v>
      </c>
    </row>
    <row r="1630" spans="1:9" ht="51.75" customHeight="1">
      <c r="A1630" s="5" t="s">
        <v>23704</v>
      </c>
      <c r="B1630" s="5" t="s">
        <v>28054</v>
      </c>
      <c r="C1630" s="5" t="s">
        <v>28055</v>
      </c>
      <c r="D1630" s="246" t="s">
        <v>68</v>
      </c>
      <c r="E1630" s="5" t="s">
        <v>28056</v>
      </c>
      <c r="F1630" s="26" t="s">
        <v>23600</v>
      </c>
      <c r="G1630" s="27" t="s">
        <v>13052</v>
      </c>
      <c r="H1630" s="28" t="s">
        <v>13053</v>
      </c>
      <c r="I1630" s="5" t="s">
        <v>451</v>
      </c>
    </row>
    <row r="1631" spans="1:9" ht="51.75" customHeight="1">
      <c r="A1631" s="5" t="s">
        <v>25262</v>
      </c>
      <c r="B1631" s="5" t="s">
        <v>28057</v>
      </c>
      <c r="C1631" s="5" t="s">
        <v>28058</v>
      </c>
      <c r="D1631" s="246" t="s">
        <v>68</v>
      </c>
      <c r="E1631" s="5" t="s">
        <v>28059</v>
      </c>
      <c r="F1631" s="26" t="s">
        <v>23600</v>
      </c>
      <c r="G1631" s="27" t="s">
        <v>13052</v>
      </c>
      <c r="H1631" s="28" t="s">
        <v>13053</v>
      </c>
      <c r="I1631" s="5" t="s">
        <v>451</v>
      </c>
    </row>
    <row r="1632" spans="1:9" ht="51.75" customHeight="1">
      <c r="A1632" s="5" t="s">
        <v>25202</v>
      </c>
      <c r="B1632" s="5" t="s">
        <v>28060</v>
      </c>
      <c r="C1632" s="5" t="s">
        <v>28061</v>
      </c>
      <c r="D1632" s="246" t="s">
        <v>68</v>
      </c>
      <c r="E1632" s="5" t="s">
        <v>28062</v>
      </c>
      <c r="F1632" s="26" t="s">
        <v>23600</v>
      </c>
      <c r="G1632" s="27" t="s">
        <v>7724</v>
      </c>
      <c r="H1632" s="28" t="s">
        <v>7725</v>
      </c>
      <c r="I1632" s="5" t="s">
        <v>451</v>
      </c>
    </row>
    <row r="1633" spans="1:9" ht="51.75" customHeight="1">
      <c r="A1633" s="5" t="s">
        <v>25258</v>
      </c>
      <c r="B1633" s="5" t="s">
        <v>28063</v>
      </c>
      <c r="C1633" s="5" t="s">
        <v>28064</v>
      </c>
      <c r="D1633" s="246">
        <v>41995</v>
      </c>
      <c r="E1633" s="5" t="s">
        <v>28065</v>
      </c>
      <c r="F1633" s="26" t="s">
        <v>27950</v>
      </c>
      <c r="G1633" s="27" t="s">
        <v>9424</v>
      </c>
      <c r="H1633" s="28" t="s">
        <v>9425</v>
      </c>
      <c r="I1633" s="5" t="s">
        <v>451</v>
      </c>
    </row>
    <row r="1634" spans="1:9" ht="51.75" customHeight="1">
      <c r="A1634" s="5" t="s">
        <v>25232</v>
      </c>
      <c r="B1634" s="5" t="s">
        <v>28066</v>
      </c>
      <c r="C1634" s="5" t="s">
        <v>28067</v>
      </c>
      <c r="D1634" s="246">
        <v>41995</v>
      </c>
      <c r="E1634" s="5" t="s">
        <v>28068</v>
      </c>
      <c r="F1634" s="26" t="s">
        <v>27950</v>
      </c>
      <c r="G1634" s="27" t="s">
        <v>9424</v>
      </c>
      <c r="H1634" s="28" t="s">
        <v>9425</v>
      </c>
      <c r="I1634" s="5" t="s">
        <v>451</v>
      </c>
    </row>
    <row r="1635" spans="1:9" ht="51.75" customHeight="1">
      <c r="A1635" s="5" t="s">
        <v>28069</v>
      </c>
      <c r="B1635" s="5" t="s">
        <v>28070</v>
      </c>
      <c r="C1635" s="5" t="s">
        <v>28071</v>
      </c>
      <c r="D1635" s="246">
        <v>43294</v>
      </c>
      <c r="E1635" s="5" t="s">
        <v>28072</v>
      </c>
      <c r="F1635" s="26" t="s">
        <v>27950</v>
      </c>
      <c r="G1635" s="27" t="s">
        <v>13904</v>
      </c>
      <c r="H1635" s="28" t="s">
        <v>13905</v>
      </c>
      <c r="I1635" s="5" t="s">
        <v>451</v>
      </c>
    </row>
    <row r="1636" spans="1:9" ht="51.75" customHeight="1">
      <c r="A1636" s="5" t="s">
        <v>28073</v>
      </c>
      <c r="B1636" s="5" t="s">
        <v>28074</v>
      </c>
      <c r="C1636" s="5" t="s">
        <v>28075</v>
      </c>
      <c r="D1636" s="246">
        <v>43294</v>
      </c>
      <c r="E1636" s="5" t="s">
        <v>28076</v>
      </c>
      <c r="F1636" s="26" t="s">
        <v>27950</v>
      </c>
      <c r="G1636" s="27" t="s">
        <v>13904</v>
      </c>
      <c r="H1636" s="28" t="s">
        <v>13905</v>
      </c>
      <c r="I1636" s="5" t="s">
        <v>451</v>
      </c>
    </row>
    <row r="1637" spans="1:9" ht="51.75" customHeight="1">
      <c r="A1637" s="5" t="s">
        <v>28077</v>
      </c>
      <c r="B1637" s="5" t="s">
        <v>28078</v>
      </c>
      <c r="C1637" s="5" t="s">
        <v>28079</v>
      </c>
      <c r="D1637" s="246">
        <v>43321</v>
      </c>
      <c r="E1637" s="5" t="s">
        <v>28080</v>
      </c>
      <c r="F1637" s="26" t="s">
        <v>27950</v>
      </c>
      <c r="G1637" s="27" t="s">
        <v>13951</v>
      </c>
      <c r="H1637" s="28" t="s">
        <v>13952</v>
      </c>
      <c r="I1637" s="5" t="s">
        <v>451</v>
      </c>
    </row>
    <row r="1638" spans="1:9" ht="51.75" customHeight="1">
      <c r="A1638" s="5" t="s">
        <v>28081</v>
      </c>
      <c r="B1638" s="5" t="s">
        <v>28082</v>
      </c>
      <c r="C1638" s="5" t="s">
        <v>28083</v>
      </c>
      <c r="D1638" s="246">
        <v>43321</v>
      </c>
      <c r="E1638" s="5" t="s">
        <v>28084</v>
      </c>
      <c r="F1638" s="26" t="s">
        <v>27950</v>
      </c>
      <c r="G1638" s="27" t="s">
        <v>13951</v>
      </c>
      <c r="H1638" s="28" t="s">
        <v>13952</v>
      </c>
      <c r="I1638" s="5" t="s">
        <v>451</v>
      </c>
    </row>
    <row r="1639" spans="1:9" ht="51.75" customHeight="1">
      <c r="A1639" s="5" t="s">
        <v>28085</v>
      </c>
      <c r="B1639" s="5" t="s">
        <v>28086</v>
      </c>
      <c r="C1639" s="5" t="s">
        <v>28087</v>
      </c>
      <c r="D1639" s="246">
        <v>43817</v>
      </c>
      <c r="E1639" s="5" t="s">
        <v>28088</v>
      </c>
      <c r="F1639" s="26" t="s">
        <v>27950</v>
      </c>
      <c r="G1639" s="27" t="s">
        <v>15920</v>
      </c>
      <c r="H1639" s="28" t="s">
        <v>15921</v>
      </c>
      <c r="I1639" s="5" t="s">
        <v>451</v>
      </c>
    </row>
    <row r="1640" spans="1:9" ht="51.75" customHeight="1">
      <c r="A1640" s="5" t="s">
        <v>28085</v>
      </c>
      <c r="B1640" s="5" t="s">
        <v>28089</v>
      </c>
      <c r="C1640" s="5" t="s">
        <v>28087</v>
      </c>
      <c r="D1640" s="246">
        <v>43817</v>
      </c>
      <c r="E1640" s="5" t="s">
        <v>28090</v>
      </c>
      <c r="F1640" s="26" t="s">
        <v>23600</v>
      </c>
      <c r="G1640" s="27" t="s">
        <v>15920</v>
      </c>
      <c r="H1640" s="28" t="s">
        <v>15921</v>
      </c>
      <c r="I1640" s="5" t="s">
        <v>451</v>
      </c>
    </row>
    <row r="1641" spans="1:9" ht="51.75" customHeight="1">
      <c r="A1641" s="5" t="s">
        <v>28091</v>
      </c>
      <c r="B1641" s="5" t="s">
        <v>28092</v>
      </c>
      <c r="C1641" s="5" t="s">
        <v>28093</v>
      </c>
      <c r="D1641" s="246">
        <v>43817</v>
      </c>
      <c r="E1641" s="5" t="s">
        <v>28093</v>
      </c>
      <c r="F1641" s="26" t="s">
        <v>27950</v>
      </c>
      <c r="G1641" s="27" t="s">
        <v>15920</v>
      </c>
      <c r="H1641" s="28" t="s">
        <v>15921</v>
      </c>
      <c r="I1641" s="5" t="s">
        <v>451</v>
      </c>
    </row>
    <row r="1642" spans="1:9" ht="51.75" customHeight="1">
      <c r="A1642" s="5" t="s">
        <v>28091</v>
      </c>
      <c r="B1642" s="5" t="s">
        <v>28094</v>
      </c>
      <c r="C1642" s="5" t="s">
        <v>28093</v>
      </c>
      <c r="D1642" s="246">
        <v>43817</v>
      </c>
      <c r="E1642" s="5" t="s">
        <v>28095</v>
      </c>
      <c r="F1642" s="26" t="s">
        <v>23600</v>
      </c>
      <c r="G1642" s="27" t="s">
        <v>15920</v>
      </c>
      <c r="H1642" s="28" t="s">
        <v>15921</v>
      </c>
      <c r="I1642" s="5" t="s">
        <v>451</v>
      </c>
    </row>
    <row r="1643" spans="1:9" ht="51.75" customHeight="1">
      <c r="A1643" s="5" t="s">
        <v>28096</v>
      </c>
      <c r="B1643" s="5" t="s">
        <v>28097</v>
      </c>
      <c r="C1643" s="5" t="s">
        <v>28098</v>
      </c>
      <c r="D1643" s="246">
        <v>43817</v>
      </c>
      <c r="E1643" s="5" t="s">
        <v>28099</v>
      </c>
      <c r="F1643" s="26" t="s">
        <v>27950</v>
      </c>
      <c r="G1643" s="27" t="s">
        <v>15920</v>
      </c>
      <c r="H1643" s="28" t="s">
        <v>15921</v>
      </c>
      <c r="I1643" s="5" t="s">
        <v>451</v>
      </c>
    </row>
    <row r="1644" spans="1:9" ht="51.75" customHeight="1">
      <c r="A1644" s="5" t="s">
        <v>28096</v>
      </c>
      <c r="B1644" s="5" t="s">
        <v>28100</v>
      </c>
      <c r="C1644" s="5" t="s">
        <v>28098</v>
      </c>
      <c r="D1644" s="246">
        <v>43817</v>
      </c>
      <c r="E1644" s="5" t="s">
        <v>28101</v>
      </c>
      <c r="F1644" s="26" t="s">
        <v>23600</v>
      </c>
      <c r="G1644" s="27" t="s">
        <v>15920</v>
      </c>
      <c r="H1644" s="28" t="s">
        <v>15921</v>
      </c>
      <c r="I1644" s="5" t="s">
        <v>451</v>
      </c>
    </row>
    <row r="1645" spans="1:9" ht="51.75" customHeight="1">
      <c r="A1645" s="5" t="s">
        <v>28102</v>
      </c>
      <c r="B1645" s="5" t="s">
        <v>28103</v>
      </c>
      <c r="C1645" s="5" t="s">
        <v>28099</v>
      </c>
      <c r="D1645" s="246">
        <v>43817</v>
      </c>
      <c r="E1645" s="5" t="s">
        <v>28104</v>
      </c>
      <c r="F1645" s="26" t="s">
        <v>27950</v>
      </c>
      <c r="G1645" s="27" t="s">
        <v>15920</v>
      </c>
      <c r="H1645" s="28" t="s">
        <v>15921</v>
      </c>
      <c r="I1645" s="5" t="s">
        <v>451</v>
      </c>
    </row>
    <row r="1646" spans="1:9" ht="51.75" customHeight="1">
      <c r="A1646" s="5" t="s">
        <v>28102</v>
      </c>
      <c r="B1646" s="5" t="s">
        <v>28105</v>
      </c>
      <c r="C1646" s="5" t="s">
        <v>28099</v>
      </c>
      <c r="D1646" s="246">
        <v>43817</v>
      </c>
      <c r="E1646" s="5" t="s">
        <v>28106</v>
      </c>
      <c r="F1646" s="26" t="s">
        <v>23600</v>
      </c>
      <c r="G1646" s="27" t="s">
        <v>15920</v>
      </c>
      <c r="H1646" s="28" t="s">
        <v>15921</v>
      </c>
      <c r="I1646" s="5" t="s">
        <v>451</v>
      </c>
    </row>
    <row r="1647" spans="1:9" ht="51.75" customHeight="1">
      <c r="A1647" s="5" t="s">
        <v>26549</v>
      </c>
      <c r="B1647" s="5" t="s">
        <v>28107</v>
      </c>
      <c r="C1647" s="5" t="s">
        <v>28108</v>
      </c>
      <c r="D1647" s="246" t="s">
        <v>68</v>
      </c>
      <c r="E1647" s="5" t="s">
        <v>28109</v>
      </c>
      <c r="F1647" s="26" t="s">
        <v>23600</v>
      </c>
      <c r="G1647" s="27" t="s">
        <v>13300</v>
      </c>
      <c r="H1647" s="28" t="s">
        <v>13301</v>
      </c>
      <c r="I1647" s="5" t="s">
        <v>8781</v>
      </c>
    </row>
    <row r="1648" spans="1:9" ht="51.75" customHeight="1">
      <c r="A1648" s="5" t="s">
        <v>27014</v>
      </c>
      <c r="B1648" s="5" t="s">
        <v>28110</v>
      </c>
      <c r="C1648" s="5" t="s">
        <v>28111</v>
      </c>
      <c r="D1648" s="246" t="s">
        <v>68</v>
      </c>
      <c r="E1648" s="5" t="s">
        <v>28112</v>
      </c>
      <c r="F1648" s="26" t="s">
        <v>23600</v>
      </c>
      <c r="G1648" s="27" t="s">
        <v>13300</v>
      </c>
      <c r="H1648" s="28" t="s">
        <v>13301</v>
      </c>
      <c r="I1648" s="5" t="s">
        <v>8781</v>
      </c>
    </row>
    <row r="1649" spans="1:9" ht="51.75" customHeight="1">
      <c r="A1649" s="5" t="s">
        <v>27020</v>
      </c>
      <c r="B1649" s="5" t="s">
        <v>28113</v>
      </c>
      <c r="C1649" s="5" t="s">
        <v>28114</v>
      </c>
      <c r="D1649" s="246" t="s">
        <v>68</v>
      </c>
      <c r="E1649" s="5" t="s">
        <v>28115</v>
      </c>
      <c r="F1649" s="26" t="s">
        <v>23600</v>
      </c>
      <c r="G1649" s="27" t="s">
        <v>13300</v>
      </c>
      <c r="H1649" s="28" t="s">
        <v>13301</v>
      </c>
      <c r="I1649" s="5" t="s">
        <v>8781</v>
      </c>
    </row>
    <row r="1650" spans="1:9" ht="51.75" customHeight="1">
      <c r="A1650" s="5" t="s">
        <v>27026</v>
      </c>
      <c r="B1650" s="5" t="s">
        <v>28116</v>
      </c>
      <c r="C1650" s="5" t="s">
        <v>28117</v>
      </c>
      <c r="D1650" s="246" t="s">
        <v>68</v>
      </c>
      <c r="E1650" s="5" t="s">
        <v>28118</v>
      </c>
      <c r="F1650" s="26" t="s">
        <v>23600</v>
      </c>
      <c r="G1650" s="27" t="s">
        <v>13300</v>
      </c>
      <c r="H1650" s="28" t="s">
        <v>13301</v>
      </c>
      <c r="I1650" s="5" t="s">
        <v>8781</v>
      </c>
    </row>
    <row r="1651" spans="1:9" ht="51.75" customHeight="1">
      <c r="A1651" s="5" t="s">
        <v>28119</v>
      </c>
      <c r="B1651" s="5" t="s">
        <v>28120</v>
      </c>
      <c r="C1651" s="5" t="s">
        <v>28121</v>
      </c>
      <c r="D1651" s="246" t="s">
        <v>68</v>
      </c>
      <c r="E1651" s="5" t="s">
        <v>28122</v>
      </c>
      <c r="F1651" s="26" t="s">
        <v>23600</v>
      </c>
      <c r="G1651" s="27" t="s">
        <v>13300</v>
      </c>
      <c r="H1651" s="28" t="s">
        <v>13301</v>
      </c>
      <c r="I1651" s="5" t="s">
        <v>8781</v>
      </c>
    </row>
    <row r="1652" spans="1:9" ht="51.75" customHeight="1">
      <c r="A1652" s="5" t="s">
        <v>28123</v>
      </c>
      <c r="B1652" s="5" t="s">
        <v>28124</v>
      </c>
      <c r="C1652" s="5" t="s">
        <v>28125</v>
      </c>
      <c r="D1652" s="246" t="s">
        <v>68</v>
      </c>
      <c r="E1652" s="5" t="s">
        <v>28126</v>
      </c>
      <c r="F1652" s="26" t="s">
        <v>23600</v>
      </c>
      <c r="G1652" s="27" t="s">
        <v>13300</v>
      </c>
      <c r="H1652" s="28" t="s">
        <v>13301</v>
      </c>
      <c r="I1652" s="5" t="s">
        <v>8781</v>
      </c>
    </row>
    <row r="1653" spans="1:9" ht="51.75" customHeight="1">
      <c r="A1653" s="5" t="s">
        <v>28127</v>
      </c>
      <c r="B1653" s="5" t="s">
        <v>28128</v>
      </c>
      <c r="C1653" s="5" t="s">
        <v>28129</v>
      </c>
      <c r="D1653" s="246" t="s">
        <v>68</v>
      </c>
      <c r="E1653" s="5" t="s">
        <v>28130</v>
      </c>
      <c r="F1653" s="26" t="s">
        <v>23600</v>
      </c>
      <c r="G1653" s="27" t="s">
        <v>13300</v>
      </c>
      <c r="H1653" s="28" t="s">
        <v>13301</v>
      </c>
      <c r="I1653" s="5" t="s">
        <v>8781</v>
      </c>
    </row>
    <row r="1654" spans="1:9" ht="51.75" customHeight="1">
      <c r="A1654" s="5" t="s">
        <v>25058</v>
      </c>
      <c r="B1654" s="5" t="s">
        <v>28131</v>
      </c>
      <c r="C1654" s="5" t="s">
        <v>28132</v>
      </c>
      <c r="D1654" s="246" t="s">
        <v>68</v>
      </c>
      <c r="E1654" s="5" t="s">
        <v>28133</v>
      </c>
      <c r="F1654" s="26" t="s">
        <v>23600</v>
      </c>
      <c r="G1654" s="27" t="s">
        <v>13300</v>
      </c>
      <c r="H1654" s="28" t="s">
        <v>13301</v>
      </c>
      <c r="I1654" s="5" t="s">
        <v>8781</v>
      </c>
    </row>
    <row r="1655" spans="1:9" ht="51.75" customHeight="1">
      <c r="A1655" s="5" t="s">
        <v>25062</v>
      </c>
      <c r="B1655" s="5" t="s">
        <v>28134</v>
      </c>
      <c r="C1655" s="5" t="s">
        <v>28135</v>
      </c>
      <c r="D1655" s="246" t="s">
        <v>68</v>
      </c>
      <c r="E1655" s="5" t="s">
        <v>28136</v>
      </c>
      <c r="F1655" s="26" t="s">
        <v>23600</v>
      </c>
      <c r="G1655" s="27" t="s">
        <v>13300</v>
      </c>
      <c r="H1655" s="28" t="s">
        <v>13301</v>
      </c>
      <c r="I1655" s="5" t="s">
        <v>8781</v>
      </c>
    </row>
    <row r="1656" spans="1:9" ht="51.75" customHeight="1">
      <c r="A1656" s="5" t="s">
        <v>26352</v>
      </c>
      <c r="B1656" s="5" t="s">
        <v>28137</v>
      </c>
      <c r="C1656" s="5" t="s">
        <v>28138</v>
      </c>
      <c r="D1656" s="246" t="s">
        <v>68</v>
      </c>
      <c r="E1656" s="5" t="s">
        <v>28139</v>
      </c>
      <c r="F1656" s="26" t="s">
        <v>23600</v>
      </c>
      <c r="G1656" s="27" t="s">
        <v>13300</v>
      </c>
      <c r="H1656" s="28" t="s">
        <v>13301</v>
      </c>
      <c r="I1656" s="5" t="s">
        <v>8781</v>
      </c>
    </row>
    <row r="1657" spans="1:9" ht="51.75" customHeight="1">
      <c r="A1657" s="5" t="s">
        <v>26358</v>
      </c>
      <c r="B1657" s="5" t="s">
        <v>28140</v>
      </c>
      <c r="C1657" s="5" t="s">
        <v>28141</v>
      </c>
      <c r="D1657" s="246" t="s">
        <v>68</v>
      </c>
      <c r="E1657" s="5" t="s">
        <v>28142</v>
      </c>
      <c r="F1657" s="26" t="s">
        <v>23600</v>
      </c>
      <c r="G1657" s="27" t="s">
        <v>13300</v>
      </c>
      <c r="H1657" s="28" t="s">
        <v>13301</v>
      </c>
      <c r="I1657" s="5" t="s">
        <v>8781</v>
      </c>
    </row>
    <row r="1658" spans="1:9" ht="51.75" customHeight="1">
      <c r="A1658" s="5">
        <v>1</v>
      </c>
      <c r="B1658" s="5" t="s">
        <v>28143</v>
      </c>
      <c r="C1658" s="5" t="s">
        <v>28144</v>
      </c>
      <c r="D1658" s="246">
        <v>40714</v>
      </c>
      <c r="E1658" s="5" t="s">
        <v>28145</v>
      </c>
      <c r="F1658" s="26"/>
      <c r="G1658" s="27" t="s">
        <v>4992</v>
      </c>
      <c r="H1658" s="28" t="s">
        <v>4993</v>
      </c>
      <c r="I1658" s="5" t="s">
        <v>377</v>
      </c>
    </row>
    <row r="1659" spans="1:9" ht="51.75" customHeight="1">
      <c r="A1659" s="5">
        <v>2</v>
      </c>
      <c r="B1659" s="5" t="s">
        <v>28146</v>
      </c>
      <c r="C1659" s="5" t="s">
        <v>28147</v>
      </c>
      <c r="D1659" s="246">
        <v>40714</v>
      </c>
      <c r="E1659" s="5" t="s">
        <v>28148</v>
      </c>
      <c r="F1659" s="26"/>
      <c r="G1659" s="27" t="s">
        <v>4992</v>
      </c>
      <c r="H1659" s="28" t="s">
        <v>4993</v>
      </c>
      <c r="I1659" s="5" t="s">
        <v>377</v>
      </c>
    </row>
    <row r="1660" spans="1:9" ht="51.75" customHeight="1">
      <c r="A1660" s="5" t="s">
        <v>25190</v>
      </c>
      <c r="B1660" s="5" t="s">
        <v>28149</v>
      </c>
      <c r="C1660" s="5" t="s">
        <v>28150</v>
      </c>
      <c r="D1660" s="246">
        <v>41001</v>
      </c>
      <c r="E1660" s="5" t="s">
        <v>28151</v>
      </c>
      <c r="F1660" s="26" t="s">
        <v>23600</v>
      </c>
      <c r="G1660" s="27" t="s">
        <v>3905</v>
      </c>
      <c r="H1660" s="28" t="s">
        <v>3906</v>
      </c>
      <c r="I1660" s="5" t="s">
        <v>377</v>
      </c>
    </row>
    <row r="1661" spans="1:9" ht="51.75" customHeight="1">
      <c r="A1661" s="5" t="s">
        <v>25194</v>
      </c>
      <c r="B1661" s="5" t="s">
        <v>28152</v>
      </c>
      <c r="C1661" s="5" t="s">
        <v>28153</v>
      </c>
      <c r="D1661" s="246">
        <v>41001</v>
      </c>
      <c r="E1661" s="5" t="s">
        <v>28154</v>
      </c>
      <c r="F1661" s="26" t="s">
        <v>23600</v>
      </c>
      <c r="G1661" s="27" t="s">
        <v>3905</v>
      </c>
      <c r="H1661" s="28" t="s">
        <v>3906</v>
      </c>
      <c r="I1661" s="5" t="s">
        <v>377</v>
      </c>
    </row>
    <row r="1662" spans="1:9" ht="51.75" customHeight="1">
      <c r="A1662" s="5" t="s">
        <v>25198</v>
      </c>
      <c r="B1662" s="5" t="s">
        <v>28155</v>
      </c>
      <c r="C1662" s="5" t="s">
        <v>28156</v>
      </c>
      <c r="D1662" s="246">
        <v>41001</v>
      </c>
      <c r="E1662" s="5" t="s">
        <v>28157</v>
      </c>
      <c r="F1662" s="26" t="s">
        <v>23600</v>
      </c>
      <c r="G1662" s="27" t="s">
        <v>3905</v>
      </c>
      <c r="H1662" s="28" t="s">
        <v>3906</v>
      </c>
      <c r="I1662" s="5" t="s">
        <v>377</v>
      </c>
    </row>
    <row r="1663" spans="1:9" ht="51.75" customHeight="1">
      <c r="A1663" s="5" t="s">
        <v>28158</v>
      </c>
      <c r="B1663" s="5" t="s">
        <v>28159</v>
      </c>
      <c r="C1663" s="5" t="s">
        <v>28160</v>
      </c>
      <c r="D1663" s="246">
        <v>41001</v>
      </c>
      <c r="E1663" s="5" t="s">
        <v>28161</v>
      </c>
      <c r="F1663" s="26" t="s">
        <v>23600</v>
      </c>
      <c r="G1663" s="27" t="s">
        <v>3905</v>
      </c>
      <c r="H1663" s="28" t="s">
        <v>3906</v>
      </c>
      <c r="I1663" s="5" t="s">
        <v>377</v>
      </c>
    </row>
    <row r="1664" spans="1:9" ht="51.75" customHeight="1">
      <c r="A1664" s="5" t="s">
        <v>23712</v>
      </c>
      <c r="B1664" s="5" t="s">
        <v>28162</v>
      </c>
      <c r="C1664" s="5" t="s">
        <v>28163</v>
      </c>
      <c r="D1664" s="246">
        <v>41001</v>
      </c>
      <c r="E1664" s="5" t="s">
        <v>28164</v>
      </c>
      <c r="F1664" s="26" t="s">
        <v>23600</v>
      </c>
      <c r="G1664" s="27" t="s">
        <v>3905</v>
      </c>
      <c r="H1664" s="28" t="s">
        <v>3906</v>
      </c>
      <c r="I1664" s="5" t="s">
        <v>377</v>
      </c>
    </row>
    <row r="1665" spans="1:9" ht="51.75" customHeight="1">
      <c r="A1665" s="5" t="s">
        <v>28165</v>
      </c>
      <c r="B1665" s="5" t="s">
        <v>28166</v>
      </c>
      <c r="C1665" s="5" t="s">
        <v>28167</v>
      </c>
      <c r="D1665" s="246">
        <v>41001</v>
      </c>
      <c r="E1665" s="5" t="s">
        <v>28168</v>
      </c>
      <c r="F1665" s="26" t="s">
        <v>23600</v>
      </c>
      <c r="G1665" s="27" t="s">
        <v>3905</v>
      </c>
      <c r="H1665" s="28" t="s">
        <v>3906</v>
      </c>
      <c r="I1665" s="5" t="s">
        <v>377</v>
      </c>
    </row>
    <row r="1666" spans="1:9" ht="51.75" customHeight="1">
      <c r="A1666" s="5" t="s">
        <v>23708</v>
      </c>
      <c r="B1666" s="5" t="s">
        <v>28169</v>
      </c>
      <c r="C1666" s="5" t="s">
        <v>28170</v>
      </c>
      <c r="D1666" s="246">
        <v>41001</v>
      </c>
      <c r="E1666" s="5" t="s">
        <v>28171</v>
      </c>
      <c r="F1666" s="26" t="s">
        <v>23600</v>
      </c>
      <c r="G1666" s="27" t="s">
        <v>3905</v>
      </c>
      <c r="H1666" s="28" t="s">
        <v>3906</v>
      </c>
      <c r="I1666" s="5" t="s">
        <v>377</v>
      </c>
    </row>
    <row r="1667" spans="1:9" ht="51.75" customHeight="1">
      <c r="A1667" s="5" t="s">
        <v>23700</v>
      </c>
      <c r="B1667" s="5" t="s">
        <v>28172</v>
      </c>
      <c r="C1667" s="5" t="s">
        <v>28173</v>
      </c>
      <c r="D1667" s="246">
        <v>41001</v>
      </c>
      <c r="E1667" s="5" t="s">
        <v>28174</v>
      </c>
      <c r="F1667" s="26" t="s">
        <v>23600</v>
      </c>
      <c r="G1667" s="27" t="s">
        <v>3905</v>
      </c>
      <c r="H1667" s="28" t="s">
        <v>3906</v>
      </c>
      <c r="I1667" s="5" t="s">
        <v>377</v>
      </c>
    </row>
    <row r="1668" spans="1:9" ht="51.75" customHeight="1">
      <c r="A1668" s="5" t="s">
        <v>23704</v>
      </c>
      <c r="B1668" s="5" t="s">
        <v>28175</v>
      </c>
      <c r="C1668" s="5" t="s">
        <v>28176</v>
      </c>
      <c r="D1668" s="246">
        <v>41001</v>
      </c>
      <c r="E1668" s="5" t="s">
        <v>28177</v>
      </c>
      <c r="F1668" s="26" t="s">
        <v>23600</v>
      </c>
      <c r="G1668" s="27" t="s">
        <v>3905</v>
      </c>
      <c r="H1668" s="28" t="s">
        <v>3906</v>
      </c>
      <c r="I1668" s="5" t="s">
        <v>377</v>
      </c>
    </row>
    <row r="1669" spans="1:9" ht="51.75" customHeight="1">
      <c r="A1669" s="5" t="s">
        <v>28178</v>
      </c>
      <c r="B1669" s="5" t="s">
        <v>28179</v>
      </c>
      <c r="C1669" s="5" t="s">
        <v>28180</v>
      </c>
      <c r="D1669" s="246">
        <v>41001</v>
      </c>
      <c r="E1669" s="5" t="s">
        <v>28181</v>
      </c>
      <c r="F1669" s="26" t="s">
        <v>23600</v>
      </c>
      <c r="G1669" s="27" t="s">
        <v>3905</v>
      </c>
      <c r="H1669" s="28" t="s">
        <v>3906</v>
      </c>
      <c r="I1669" s="5" t="s">
        <v>377</v>
      </c>
    </row>
    <row r="1670" spans="1:9" ht="51.75" customHeight="1">
      <c r="A1670" s="5" t="s">
        <v>28182</v>
      </c>
      <c r="B1670" s="5" t="s">
        <v>28183</v>
      </c>
      <c r="C1670" s="5" t="s">
        <v>28184</v>
      </c>
      <c r="D1670" s="246">
        <v>41001</v>
      </c>
      <c r="E1670" s="5" t="s">
        <v>28185</v>
      </c>
      <c r="F1670" s="26" t="s">
        <v>23600</v>
      </c>
      <c r="G1670" s="27" t="s">
        <v>3905</v>
      </c>
      <c r="H1670" s="28" t="s">
        <v>3906</v>
      </c>
      <c r="I1670" s="5" t="s">
        <v>377</v>
      </c>
    </row>
    <row r="1671" spans="1:9" ht="51.75" customHeight="1">
      <c r="A1671" s="5" t="s">
        <v>25262</v>
      </c>
      <c r="B1671" s="5" t="s">
        <v>28186</v>
      </c>
      <c r="C1671" s="5" t="s">
        <v>28187</v>
      </c>
      <c r="D1671" s="246">
        <v>41425</v>
      </c>
      <c r="E1671" s="5" t="s">
        <v>28188</v>
      </c>
      <c r="F1671" s="26" t="s">
        <v>23600</v>
      </c>
      <c r="G1671" s="27" t="s">
        <v>3905</v>
      </c>
      <c r="H1671" s="28" t="s">
        <v>3906</v>
      </c>
      <c r="I1671" s="5" t="s">
        <v>377</v>
      </c>
    </row>
    <row r="1672" spans="1:9" ht="51.75" customHeight="1">
      <c r="A1672" s="5" t="s">
        <v>25265</v>
      </c>
      <c r="B1672" s="5" t="s">
        <v>28189</v>
      </c>
      <c r="C1672" s="5" t="s">
        <v>28190</v>
      </c>
      <c r="D1672" s="246">
        <v>41425</v>
      </c>
      <c r="E1672" s="5" t="s">
        <v>28191</v>
      </c>
      <c r="F1672" s="26" t="s">
        <v>23600</v>
      </c>
      <c r="G1672" s="27" t="s">
        <v>3905</v>
      </c>
      <c r="H1672" s="28" t="s">
        <v>3906</v>
      </c>
      <c r="I1672" s="5" t="s">
        <v>377</v>
      </c>
    </row>
    <row r="1673" spans="1:9" ht="51.75" customHeight="1">
      <c r="A1673" s="5">
        <v>1</v>
      </c>
      <c r="B1673" s="5" t="s">
        <v>28192</v>
      </c>
      <c r="C1673" s="5" t="s">
        <v>28193</v>
      </c>
      <c r="D1673" s="246">
        <v>40375</v>
      </c>
      <c r="E1673" s="5" t="s">
        <v>28194</v>
      </c>
      <c r="F1673" s="26"/>
      <c r="G1673" s="27" t="s">
        <v>3550</v>
      </c>
      <c r="H1673" s="28" t="s">
        <v>3551</v>
      </c>
      <c r="I1673" s="5" t="s">
        <v>377</v>
      </c>
    </row>
    <row r="1674" spans="1:9" ht="51.75" customHeight="1">
      <c r="A1674" s="5">
        <v>2</v>
      </c>
      <c r="B1674" s="5" t="s">
        <v>28195</v>
      </c>
      <c r="C1674" s="5" t="s">
        <v>28196</v>
      </c>
      <c r="D1674" s="246">
        <v>40375</v>
      </c>
      <c r="E1674" s="5" t="s">
        <v>28197</v>
      </c>
      <c r="F1674" s="26"/>
      <c r="G1674" s="27" t="s">
        <v>3550</v>
      </c>
      <c r="H1674" s="28" t="s">
        <v>3551</v>
      </c>
      <c r="I1674" s="5" t="s">
        <v>377</v>
      </c>
    </row>
    <row r="1675" spans="1:9" ht="51.75" customHeight="1">
      <c r="A1675" s="5">
        <v>3</v>
      </c>
      <c r="B1675" s="5" t="s">
        <v>28198</v>
      </c>
      <c r="C1675" s="5" t="s">
        <v>28199</v>
      </c>
      <c r="D1675" s="246">
        <v>40375</v>
      </c>
      <c r="E1675" s="5" t="s">
        <v>28200</v>
      </c>
      <c r="F1675" s="26"/>
      <c r="G1675" s="27" t="s">
        <v>3550</v>
      </c>
      <c r="H1675" s="28" t="s">
        <v>3551</v>
      </c>
      <c r="I1675" s="5" t="s">
        <v>377</v>
      </c>
    </row>
    <row r="1676" spans="1:9" ht="51.75" customHeight="1">
      <c r="A1676" s="5">
        <v>4</v>
      </c>
      <c r="B1676" s="5" t="s">
        <v>28201</v>
      </c>
      <c r="C1676" s="5" t="s">
        <v>28202</v>
      </c>
      <c r="D1676" s="246">
        <v>40375</v>
      </c>
      <c r="E1676" s="5" t="s">
        <v>28202</v>
      </c>
      <c r="F1676" s="26"/>
      <c r="G1676" s="27" t="s">
        <v>3550</v>
      </c>
      <c r="H1676" s="28" t="s">
        <v>3551</v>
      </c>
      <c r="I1676" s="5" t="s">
        <v>377</v>
      </c>
    </row>
    <row r="1677" spans="1:9" ht="51.75" customHeight="1">
      <c r="A1677" s="5">
        <v>5</v>
      </c>
      <c r="B1677" s="5" t="s">
        <v>28203</v>
      </c>
      <c r="C1677" s="5" t="s">
        <v>28204</v>
      </c>
      <c r="D1677" s="246">
        <v>40375</v>
      </c>
      <c r="E1677" s="5" t="s">
        <v>28204</v>
      </c>
      <c r="F1677" s="26"/>
      <c r="G1677" s="27" t="s">
        <v>3550</v>
      </c>
      <c r="H1677" s="28" t="s">
        <v>3551</v>
      </c>
      <c r="I1677" s="5" t="s">
        <v>377</v>
      </c>
    </row>
    <row r="1678" spans="1:9" ht="51.75" customHeight="1">
      <c r="A1678" s="5">
        <v>6</v>
      </c>
      <c r="B1678" s="5" t="s">
        <v>28205</v>
      </c>
      <c r="C1678" s="5" t="s">
        <v>28206</v>
      </c>
      <c r="D1678" s="246">
        <v>40375</v>
      </c>
      <c r="E1678" s="5" t="s">
        <v>28207</v>
      </c>
      <c r="F1678" s="26"/>
      <c r="G1678" s="27" t="s">
        <v>3550</v>
      </c>
      <c r="H1678" s="28" t="s">
        <v>3551</v>
      </c>
      <c r="I1678" s="5" t="s">
        <v>377</v>
      </c>
    </row>
    <row r="1679" spans="1:9" ht="51.75" customHeight="1">
      <c r="A1679" s="5">
        <v>1</v>
      </c>
      <c r="B1679" s="5" t="s">
        <v>28208</v>
      </c>
      <c r="C1679" s="5" t="s">
        <v>28209</v>
      </c>
      <c r="D1679" s="246">
        <v>40667</v>
      </c>
      <c r="E1679" s="5" t="s">
        <v>28210</v>
      </c>
      <c r="F1679" s="26"/>
      <c r="G1679" s="27" t="s">
        <v>2902</v>
      </c>
      <c r="H1679" s="28" t="s">
        <v>2903</v>
      </c>
      <c r="I1679" s="5" t="s">
        <v>377</v>
      </c>
    </row>
    <row r="1680" spans="1:9" ht="51.75" customHeight="1">
      <c r="A1680" s="5">
        <v>2</v>
      </c>
      <c r="B1680" s="5" t="s">
        <v>28211</v>
      </c>
      <c r="C1680" s="5" t="s">
        <v>28212</v>
      </c>
      <c r="D1680" s="246">
        <v>40667</v>
      </c>
      <c r="E1680" s="5" t="s">
        <v>28213</v>
      </c>
      <c r="F1680" s="26"/>
      <c r="G1680" s="27" t="s">
        <v>2902</v>
      </c>
      <c r="H1680" s="28" t="s">
        <v>2903</v>
      </c>
      <c r="I1680" s="5" t="s">
        <v>377</v>
      </c>
    </row>
    <row r="1681" spans="1:9" ht="51.75" customHeight="1">
      <c r="A1681" s="5">
        <v>3</v>
      </c>
      <c r="B1681" s="5" t="s">
        <v>28214</v>
      </c>
      <c r="C1681" s="5" t="s">
        <v>28215</v>
      </c>
      <c r="D1681" s="246">
        <v>40667</v>
      </c>
      <c r="E1681" s="5" t="s">
        <v>28216</v>
      </c>
      <c r="F1681" s="26"/>
      <c r="G1681" s="27" t="s">
        <v>2902</v>
      </c>
      <c r="H1681" s="28" t="s">
        <v>2903</v>
      </c>
      <c r="I1681" s="5" t="s">
        <v>377</v>
      </c>
    </row>
    <row r="1682" spans="1:9" ht="51.75" customHeight="1">
      <c r="A1682" s="5">
        <v>4</v>
      </c>
      <c r="B1682" s="5" t="s">
        <v>28217</v>
      </c>
      <c r="C1682" s="5" t="s">
        <v>28218</v>
      </c>
      <c r="D1682" s="246">
        <v>40667</v>
      </c>
      <c r="E1682" s="5" t="s">
        <v>28219</v>
      </c>
      <c r="F1682" s="26"/>
      <c r="G1682" s="27" t="s">
        <v>2902</v>
      </c>
      <c r="H1682" s="28" t="s">
        <v>2903</v>
      </c>
      <c r="I1682" s="5" t="s">
        <v>377</v>
      </c>
    </row>
    <row r="1683" spans="1:9" ht="51.75" customHeight="1">
      <c r="A1683" s="5">
        <v>5</v>
      </c>
      <c r="B1683" s="5" t="s">
        <v>28220</v>
      </c>
      <c r="C1683" s="5" t="s">
        <v>28221</v>
      </c>
      <c r="D1683" s="246">
        <v>40667</v>
      </c>
      <c r="E1683" s="5" t="s">
        <v>28222</v>
      </c>
      <c r="F1683" s="26"/>
      <c r="G1683" s="27" t="s">
        <v>2902</v>
      </c>
      <c r="H1683" s="28" t="s">
        <v>2903</v>
      </c>
      <c r="I1683" s="5" t="s">
        <v>377</v>
      </c>
    </row>
    <row r="1684" spans="1:9" ht="51.75" customHeight="1">
      <c r="A1684" s="5">
        <v>1</v>
      </c>
      <c r="B1684" s="5" t="s">
        <v>28223</v>
      </c>
      <c r="C1684" s="5" t="s">
        <v>28224</v>
      </c>
      <c r="D1684" s="246">
        <v>40466</v>
      </c>
      <c r="E1684" s="5" t="s">
        <v>28224</v>
      </c>
      <c r="F1684" s="26"/>
      <c r="G1684" s="27" t="s">
        <v>3189</v>
      </c>
      <c r="H1684" s="28" t="s">
        <v>3190</v>
      </c>
      <c r="I1684" s="5" t="s">
        <v>377</v>
      </c>
    </row>
    <row r="1685" spans="1:9" ht="51.75" customHeight="1">
      <c r="A1685" s="5">
        <v>2</v>
      </c>
      <c r="B1685" s="5" t="s">
        <v>28225</v>
      </c>
      <c r="C1685" s="5" t="s">
        <v>28226</v>
      </c>
      <c r="D1685" s="246">
        <v>40466</v>
      </c>
      <c r="E1685" s="5" t="s">
        <v>28227</v>
      </c>
      <c r="F1685" s="26"/>
      <c r="G1685" s="27" t="s">
        <v>3189</v>
      </c>
      <c r="H1685" s="28" t="s">
        <v>3190</v>
      </c>
      <c r="I1685" s="5" t="s">
        <v>377</v>
      </c>
    </row>
    <row r="1686" spans="1:9" ht="51.75" customHeight="1">
      <c r="A1686" s="5">
        <v>1</v>
      </c>
      <c r="B1686" s="5" t="s">
        <v>28228</v>
      </c>
      <c r="C1686" s="5" t="s">
        <v>28229</v>
      </c>
      <c r="D1686" s="246">
        <v>39864</v>
      </c>
      <c r="E1686" s="5" t="s">
        <v>28230</v>
      </c>
      <c r="F1686" s="26"/>
      <c r="G1686" s="27" t="s">
        <v>3130</v>
      </c>
      <c r="H1686" s="28" t="s">
        <v>3131</v>
      </c>
      <c r="I1686" s="5" t="s">
        <v>377</v>
      </c>
    </row>
    <row r="1687" spans="1:9" ht="51.75" customHeight="1">
      <c r="A1687" s="5">
        <v>2</v>
      </c>
      <c r="B1687" s="5" t="s">
        <v>28231</v>
      </c>
      <c r="C1687" s="5" t="s">
        <v>28232</v>
      </c>
      <c r="D1687" s="246">
        <v>39864</v>
      </c>
      <c r="E1687" s="5" t="s">
        <v>28233</v>
      </c>
      <c r="F1687" s="26"/>
      <c r="G1687" s="27" t="s">
        <v>3130</v>
      </c>
      <c r="H1687" s="28" t="s">
        <v>3131</v>
      </c>
      <c r="I1687" s="5" t="s">
        <v>377</v>
      </c>
    </row>
    <row r="1688" spans="1:9" ht="51.75" customHeight="1">
      <c r="A1688" s="5">
        <v>3</v>
      </c>
      <c r="B1688" s="5" t="s">
        <v>28234</v>
      </c>
      <c r="C1688" s="5" t="s">
        <v>28235</v>
      </c>
      <c r="D1688" s="246">
        <v>39864</v>
      </c>
      <c r="E1688" s="5" t="s">
        <v>28236</v>
      </c>
      <c r="F1688" s="26"/>
      <c r="G1688" s="27" t="s">
        <v>3130</v>
      </c>
      <c r="H1688" s="28" t="s">
        <v>3131</v>
      </c>
      <c r="I1688" s="5" t="s">
        <v>377</v>
      </c>
    </row>
    <row r="1689" spans="1:9" ht="51.75" customHeight="1">
      <c r="A1689" s="5" t="s">
        <v>28237</v>
      </c>
      <c r="B1689" s="5" t="s">
        <v>28238</v>
      </c>
      <c r="C1689" s="5">
        <v>1</v>
      </c>
      <c r="D1689" s="246">
        <v>41834</v>
      </c>
      <c r="E1689" s="5" t="s">
        <v>28239</v>
      </c>
      <c r="F1689" s="26" t="s">
        <v>23600</v>
      </c>
      <c r="G1689" s="27" t="s">
        <v>7628</v>
      </c>
      <c r="H1689" s="28" t="s">
        <v>7629</v>
      </c>
      <c r="I1689" s="5" t="s">
        <v>377</v>
      </c>
    </row>
    <row r="1690" spans="1:9" ht="51.75" customHeight="1">
      <c r="A1690" s="5" t="s">
        <v>28240</v>
      </c>
      <c r="B1690" s="5" t="s">
        <v>28241</v>
      </c>
      <c r="C1690" s="5">
        <v>2</v>
      </c>
      <c r="D1690" s="246">
        <v>41834</v>
      </c>
      <c r="E1690" s="5" t="s">
        <v>28242</v>
      </c>
      <c r="F1690" s="26" t="s">
        <v>23600</v>
      </c>
      <c r="G1690" s="27" t="s">
        <v>7628</v>
      </c>
      <c r="H1690" s="28" t="s">
        <v>7629</v>
      </c>
      <c r="I1690" s="5" t="s">
        <v>377</v>
      </c>
    </row>
    <row r="1691" spans="1:9" ht="51.75" customHeight="1">
      <c r="A1691" s="5" t="s">
        <v>28243</v>
      </c>
      <c r="B1691" s="5" t="s">
        <v>28244</v>
      </c>
      <c r="C1691" s="5">
        <v>3</v>
      </c>
      <c r="D1691" s="246">
        <v>41834</v>
      </c>
      <c r="E1691" s="5" t="s">
        <v>28245</v>
      </c>
      <c r="F1691" s="26" t="s">
        <v>23600</v>
      </c>
      <c r="G1691" s="27" t="s">
        <v>7628</v>
      </c>
      <c r="H1691" s="28" t="s">
        <v>7629</v>
      </c>
      <c r="I1691" s="5" t="s">
        <v>377</v>
      </c>
    </row>
    <row r="1692" spans="1:9" ht="51.75" customHeight="1">
      <c r="A1692" s="5" t="s">
        <v>24700</v>
      </c>
      <c r="B1692" s="5" t="s">
        <v>28246</v>
      </c>
      <c r="C1692" s="5">
        <v>4</v>
      </c>
      <c r="D1692" s="246">
        <v>41834</v>
      </c>
      <c r="E1692" s="5" t="s">
        <v>28247</v>
      </c>
      <c r="F1692" s="26" t="s">
        <v>23600</v>
      </c>
      <c r="G1692" s="27" t="s">
        <v>7628</v>
      </c>
      <c r="H1692" s="28" t="s">
        <v>7629</v>
      </c>
      <c r="I1692" s="5" t="s">
        <v>377</v>
      </c>
    </row>
    <row r="1693" spans="1:9" ht="51.75" customHeight="1">
      <c r="A1693" s="5" t="s">
        <v>27857</v>
      </c>
      <c r="B1693" s="5" t="s">
        <v>28248</v>
      </c>
      <c r="C1693" s="5" t="s">
        <v>28249</v>
      </c>
      <c r="D1693" s="246">
        <v>41029</v>
      </c>
      <c r="E1693" s="5" t="s">
        <v>28250</v>
      </c>
      <c r="F1693" s="26" t="s">
        <v>23600</v>
      </c>
      <c r="G1693" s="27" t="s">
        <v>7463</v>
      </c>
      <c r="H1693" s="28" t="s">
        <v>7464</v>
      </c>
      <c r="I1693" s="5" t="s">
        <v>377</v>
      </c>
    </row>
    <row r="1694" spans="1:9" ht="51.75" customHeight="1">
      <c r="A1694" s="5" t="s">
        <v>27861</v>
      </c>
      <c r="B1694" s="5" t="s">
        <v>28251</v>
      </c>
      <c r="C1694" s="5" t="s">
        <v>28252</v>
      </c>
      <c r="D1694" s="246">
        <v>41484</v>
      </c>
      <c r="E1694" s="5" t="s">
        <v>28253</v>
      </c>
      <c r="F1694" s="26" t="s">
        <v>23600</v>
      </c>
      <c r="G1694" s="27" t="s">
        <v>7463</v>
      </c>
      <c r="H1694" s="28" t="s">
        <v>7464</v>
      </c>
      <c r="I1694" s="5" t="s">
        <v>377</v>
      </c>
    </row>
    <row r="1695" spans="1:9" ht="51.75" customHeight="1">
      <c r="A1695" s="5" t="s">
        <v>25327</v>
      </c>
      <c r="B1695" s="5" t="s">
        <v>28254</v>
      </c>
      <c r="C1695" s="5" t="s">
        <v>28255</v>
      </c>
      <c r="D1695" s="246">
        <v>41484</v>
      </c>
      <c r="E1695" s="5" t="s">
        <v>28256</v>
      </c>
      <c r="F1695" s="26" t="s">
        <v>23600</v>
      </c>
      <c r="G1695" s="27" t="s">
        <v>7463</v>
      </c>
      <c r="H1695" s="28" t="s">
        <v>7464</v>
      </c>
      <c r="I1695" s="5" t="s">
        <v>377</v>
      </c>
    </row>
    <row r="1696" spans="1:9" ht="51.75" customHeight="1">
      <c r="A1696" s="5" t="s">
        <v>28257</v>
      </c>
      <c r="B1696" s="5" t="s">
        <v>28258</v>
      </c>
      <c r="C1696" s="5" t="s">
        <v>28259</v>
      </c>
      <c r="D1696" s="246">
        <v>41484</v>
      </c>
      <c r="E1696" s="5" t="s">
        <v>28260</v>
      </c>
      <c r="F1696" s="26" t="s">
        <v>23600</v>
      </c>
      <c r="G1696" s="27" t="s">
        <v>7463</v>
      </c>
      <c r="H1696" s="28" t="s">
        <v>7464</v>
      </c>
      <c r="I1696" s="5" t="s">
        <v>377</v>
      </c>
    </row>
    <row r="1697" spans="1:9" ht="51.75" customHeight="1">
      <c r="A1697" s="5" t="s">
        <v>23806</v>
      </c>
      <c r="B1697" s="5" t="s">
        <v>28261</v>
      </c>
      <c r="C1697" s="5">
        <v>1</v>
      </c>
      <c r="D1697" s="246">
        <v>41369</v>
      </c>
      <c r="E1697" s="5" t="s">
        <v>28262</v>
      </c>
      <c r="F1697" s="26" t="s">
        <v>23600</v>
      </c>
      <c r="G1697" s="27" t="s">
        <v>7365</v>
      </c>
      <c r="H1697" s="28" t="s">
        <v>7366</v>
      </c>
      <c r="I1697" s="5" t="s">
        <v>377</v>
      </c>
    </row>
    <row r="1698" spans="1:9" ht="51.75" customHeight="1">
      <c r="A1698" s="5" t="s">
        <v>24192</v>
      </c>
      <c r="B1698" s="5" t="s">
        <v>28263</v>
      </c>
      <c r="C1698" s="5"/>
      <c r="D1698" s="246">
        <v>41369</v>
      </c>
      <c r="E1698" s="5" t="s">
        <v>28264</v>
      </c>
      <c r="F1698" s="26" t="s">
        <v>23600</v>
      </c>
      <c r="G1698" s="27" t="s">
        <v>7365</v>
      </c>
      <c r="H1698" s="28" t="s">
        <v>7366</v>
      </c>
      <c r="I1698" s="5" t="s">
        <v>377</v>
      </c>
    </row>
    <row r="1699" spans="1:9" ht="51.75" customHeight="1">
      <c r="A1699" s="5" t="s">
        <v>24196</v>
      </c>
      <c r="B1699" s="5" t="s">
        <v>28265</v>
      </c>
      <c r="C1699" s="5">
        <v>3</v>
      </c>
      <c r="D1699" s="246">
        <v>41369</v>
      </c>
      <c r="E1699" s="5" t="s">
        <v>28266</v>
      </c>
      <c r="F1699" s="26" t="s">
        <v>23600</v>
      </c>
      <c r="G1699" s="27" t="s">
        <v>7365</v>
      </c>
      <c r="H1699" s="28" t="s">
        <v>7366</v>
      </c>
      <c r="I1699" s="5" t="s">
        <v>377</v>
      </c>
    </row>
    <row r="1700" spans="1:9" ht="51.75" customHeight="1">
      <c r="A1700" s="5" t="s">
        <v>26115</v>
      </c>
      <c r="B1700" s="5" t="s">
        <v>28267</v>
      </c>
      <c r="C1700" s="5">
        <v>4</v>
      </c>
      <c r="D1700" s="246">
        <v>41369</v>
      </c>
      <c r="E1700" s="5" t="s">
        <v>28268</v>
      </c>
      <c r="F1700" s="26" t="s">
        <v>23600</v>
      </c>
      <c r="G1700" s="27" t="s">
        <v>7365</v>
      </c>
      <c r="H1700" s="28" t="s">
        <v>7366</v>
      </c>
      <c r="I1700" s="5" t="s">
        <v>377</v>
      </c>
    </row>
    <row r="1701" spans="1:9" ht="51.75" customHeight="1">
      <c r="A1701" s="5" t="s">
        <v>26120</v>
      </c>
      <c r="B1701" s="5" t="s">
        <v>28269</v>
      </c>
      <c r="C1701" s="5">
        <v>5</v>
      </c>
      <c r="D1701" s="246">
        <v>41369</v>
      </c>
      <c r="E1701" s="5" t="s">
        <v>28270</v>
      </c>
      <c r="F1701" s="26" t="s">
        <v>23600</v>
      </c>
      <c r="G1701" s="27" t="s">
        <v>7365</v>
      </c>
      <c r="H1701" s="28" t="s">
        <v>7366</v>
      </c>
      <c r="I1701" s="5" t="s">
        <v>377</v>
      </c>
    </row>
    <row r="1702" spans="1:9" ht="51.75" customHeight="1">
      <c r="A1702" s="5" t="s">
        <v>27217</v>
      </c>
      <c r="B1702" s="5" t="s">
        <v>28271</v>
      </c>
      <c r="C1702" s="5">
        <v>1</v>
      </c>
      <c r="D1702" s="246">
        <v>41333</v>
      </c>
      <c r="E1702" s="5" t="s">
        <v>28272</v>
      </c>
      <c r="F1702" s="26" t="s">
        <v>23600</v>
      </c>
      <c r="G1702" s="27" t="s">
        <v>7215</v>
      </c>
      <c r="H1702" s="28" t="s">
        <v>7216</v>
      </c>
      <c r="I1702" s="5" t="s">
        <v>377</v>
      </c>
    </row>
    <row r="1703" spans="1:9" ht="51.75" customHeight="1">
      <c r="A1703" s="5" t="s">
        <v>23748</v>
      </c>
      <c r="B1703" s="5" t="s">
        <v>28273</v>
      </c>
      <c r="C1703" s="5">
        <v>2</v>
      </c>
      <c r="D1703" s="246">
        <v>41333</v>
      </c>
      <c r="E1703" s="5" t="s">
        <v>28274</v>
      </c>
      <c r="F1703" s="26" t="s">
        <v>23600</v>
      </c>
      <c r="G1703" s="27" t="s">
        <v>7215</v>
      </c>
      <c r="H1703" s="28" t="s">
        <v>7216</v>
      </c>
      <c r="I1703" s="5" t="s">
        <v>377</v>
      </c>
    </row>
    <row r="1704" spans="1:9" ht="51.75" customHeight="1">
      <c r="A1704" s="5" t="s">
        <v>23716</v>
      </c>
      <c r="B1704" s="5" t="s">
        <v>28275</v>
      </c>
      <c r="C1704" s="5">
        <v>3</v>
      </c>
      <c r="D1704" s="246">
        <v>41333</v>
      </c>
      <c r="E1704" s="5" t="s">
        <v>28276</v>
      </c>
      <c r="F1704" s="26" t="s">
        <v>23600</v>
      </c>
      <c r="G1704" s="27" t="s">
        <v>7215</v>
      </c>
      <c r="H1704" s="28" t="s">
        <v>7216</v>
      </c>
      <c r="I1704" s="5" t="s">
        <v>377</v>
      </c>
    </row>
    <row r="1705" spans="1:9" ht="51.75" customHeight="1">
      <c r="A1705" s="5" t="s">
        <v>23720</v>
      </c>
      <c r="B1705" s="5" t="s">
        <v>28277</v>
      </c>
      <c r="C1705" s="5">
        <v>4</v>
      </c>
      <c r="D1705" s="246">
        <v>41333</v>
      </c>
      <c r="E1705" s="5" t="s">
        <v>28278</v>
      </c>
      <c r="F1705" s="26" t="s">
        <v>23600</v>
      </c>
      <c r="G1705" s="27" t="s">
        <v>7215</v>
      </c>
      <c r="H1705" s="28" t="s">
        <v>7216</v>
      </c>
      <c r="I1705" s="5" t="s">
        <v>377</v>
      </c>
    </row>
    <row r="1706" spans="1:9" ht="51.75" customHeight="1">
      <c r="A1706" s="5" t="s">
        <v>23728</v>
      </c>
      <c r="B1706" s="5" t="s">
        <v>28279</v>
      </c>
      <c r="C1706" s="5">
        <v>5</v>
      </c>
      <c r="D1706" s="246">
        <v>41333</v>
      </c>
      <c r="E1706" s="5" t="s">
        <v>28280</v>
      </c>
      <c r="F1706" s="26" t="s">
        <v>23600</v>
      </c>
      <c r="G1706" s="27" t="s">
        <v>7215</v>
      </c>
      <c r="H1706" s="28" t="s">
        <v>7216</v>
      </c>
      <c r="I1706" s="5" t="s">
        <v>377</v>
      </c>
    </row>
    <row r="1707" spans="1:9" ht="51.75" customHeight="1">
      <c r="A1707" s="5" t="s">
        <v>23740</v>
      </c>
      <c r="B1707" s="5" t="s">
        <v>28281</v>
      </c>
      <c r="C1707" s="5">
        <v>6</v>
      </c>
      <c r="D1707" s="246">
        <v>41333</v>
      </c>
      <c r="E1707" s="5" t="s">
        <v>28282</v>
      </c>
      <c r="F1707" s="26" t="s">
        <v>23600</v>
      </c>
      <c r="G1707" s="27" t="s">
        <v>7215</v>
      </c>
      <c r="H1707" s="28" t="s">
        <v>7216</v>
      </c>
      <c r="I1707" s="5" t="s">
        <v>377</v>
      </c>
    </row>
    <row r="1708" spans="1:9" ht="51.75" customHeight="1">
      <c r="A1708" s="5" t="s">
        <v>25905</v>
      </c>
      <c r="B1708" s="5" t="s">
        <v>28283</v>
      </c>
      <c r="C1708" s="5">
        <v>7</v>
      </c>
      <c r="D1708" s="246">
        <v>41333</v>
      </c>
      <c r="E1708" s="5" t="s">
        <v>28284</v>
      </c>
      <c r="F1708" s="26" t="s">
        <v>23600</v>
      </c>
      <c r="G1708" s="27" t="s">
        <v>7215</v>
      </c>
      <c r="H1708" s="28" t="s">
        <v>7216</v>
      </c>
      <c r="I1708" s="5" t="s">
        <v>377</v>
      </c>
    </row>
    <row r="1709" spans="1:9" ht="51.75" customHeight="1">
      <c r="A1709" s="5" t="s">
        <v>24182</v>
      </c>
      <c r="B1709" s="5" t="s">
        <v>28285</v>
      </c>
      <c r="C1709" s="5">
        <v>1</v>
      </c>
      <c r="D1709" s="246">
        <v>41379</v>
      </c>
      <c r="E1709" s="5" t="s">
        <v>28286</v>
      </c>
      <c r="F1709" s="26" t="s">
        <v>23600</v>
      </c>
      <c r="G1709" s="27" t="s">
        <v>7226</v>
      </c>
      <c r="H1709" s="28" t="s">
        <v>7227</v>
      </c>
      <c r="I1709" s="5" t="s">
        <v>377</v>
      </c>
    </row>
    <row r="1710" spans="1:9" ht="51.75" customHeight="1">
      <c r="A1710" s="5" t="s">
        <v>23788</v>
      </c>
      <c r="B1710" s="5" t="s">
        <v>28287</v>
      </c>
      <c r="C1710" s="5">
        <v>2</v>
      </c>
      <c r="D1710" s="246">
        <v>41379</v>
      </c>
      <c r="E1710" s="5" t="s">
        <v>28288</v>
      </c>
      <c r="F1710" s="26" t="s">
        <v>23600</v>
      </c>
      <c r="G1710" s="27" t="s">
        <v>7226</v>
      </c>
      <c r="H1710" s="28" t="s">
        <v>7227</v>
      </c>
      <c r="I1710" s="5" t="s">
        <v>377</v>
      </c>
    </row>
    <row r="1711" spans="1:9" ht="51.75" customHeight="1">
      <c r="A1711" s="5" t="s">
        <v>23814</v>
      </c>
      <c r="B1711" s="5" t="s">
        <v>28289</v>
      </c>
      <c r="C1711" s="5"/>
      <c r="D1711" s="246">
        <v>41234</v>
      </c>
      <c r="E1711" s="5" t="s">
        <v>28290</v>
      </c>
      <c r="F1711" s="26" t="s">
        <v>23600</v>
      </c>
      <c r="G1711" s="27" t="s">
        <v>6824</v>
      </c>
      <c r="H1711" s="28" t="s">
        <v>6825</v>
      </c>
      <c r="I1711" s="5" t="s">
        <v>377</v>
      </c>
    </row>
    <row r="1712" spans="1:9" ht="51.75" customHeight="1">
      <c r="A1712" s="5" t="s">
        <v>28291</v>
      </c>
      <c r="B1712" s="5" t="s">
        <v>28292</v>
      </c>
      <c r="C1712" s="5"/>
      <c r="D1712" s="246">
        <v>41234</v>
      </c>
      <c r="E1712" s="5" t="s">
        <v>28293</v>
      </c>
      <c r="F1712" s="26" t="s">
        <v>23600</v>
      </c>
      <c r="G1712" s="27" t="s">
        <v>6824</v>
      </c>
      <c r="H1712" s="28" t="s">
        <v>6825</v>
      </c>
      <c r="I1712" s="5" t="s">
        <v>377</v>
      </c>
    </row>
    <row r="1713" spans="1:9" ht="51.75" customHeight="1">
      <c r="A1713" s="5" t="s">
        <v>26244</v>
      </c>
      <c r="B1713" s="5" t="s">
        <v>28294</v>
      </c>
      <c r="C1713" s="5"/>
      <c r="D1713" s="246">
        <v>41219</v>
      </c>
      <c r="E1713" s="5" t="s">
        <v>28295</v>
      </c>
      <c r="F1713" s="26" t="s">
        <v>28296</v>
      </c>
      <c r="G1713" s="27" t="s">
        <v>6598</v>
      </c>
      <c r="H1713" s="28" t="s">
        <v>6599</v>
      </c>
      <c r="I1713" s="5" t="s">
        <v>377</v>
      </c>
    </row>
    <row r="1714" spans="1:9" ht="51.75" customHeight="1">
      <c r="A1714" s="5" t="s">
        <v>26244</v>
      </c>
      <c r="B1714" s="5" t="s">
        <v>28297</v>
      </c>
      <c r="C1714" s="5"/>
      <c r="D1714" s="246">
        <v>41219</v>
      </c>
      <c r="E1714" s="5" t="s">
        <v>28298</v>
      </c>
      <c r="F1714" s="26" t="s">
        <v>23600</v>
      </c>
      <c r="G1714" s="27" t="s">
        <v>6598</v>
      </c>
      <c r="H1714" s="28" t="s">
        <v>6599</v>
      </c>
      <c r="I1714" s="5" t="s">
        <v>377</v>
      </c>
    </row>
    <row r="1715" spans="1:9" ht="51.75" customHeight="1">
      <c r="A1715" s="5">
        <v>1</v>
      </c>
      <c r="B1715" s="5" t="s">
        <v>28299</v>
      </c>
      <c r="C1715" s="5" t="s">
        <v>28300</v>
      </c>
      <c r="D1715" s="246">
        <v>41033</v>
      </c>
      <c r="E1715" s="5" t="s">
        <v>28301</v>
      </c>
      <c r="F1715" s="26"/>
      <c r="G1715" s="27" t="s">
        <v>6409</v>
      </c>
      <c r="H1715" s="28" t="s">
        <v>6410</v>
      </c>
      <c r="I1715" s="5" t="s">
        <v>377</v>
      </c>
    </row>
    <row r="1716" spans="1:9" ht="51.75" customHeight="1">
      <c r="A1716" s="5">
        <v>2</v>
      </c>
      <c r="B1716" s="5" t="s">
        <v>28302</v>
      </c>
      <c r="C1716" s="5" t="s">
        <v>28303</v>
      </c>
      <c r="D1716" s="246">
        <v>41033</v>
      </c>
      <c r="E1716" s="5" t="s">
        <v>28304</v>
      </c>
      <c r="F1716" s="26"/>
      <c r="G1716" s="27" t="s">
        <v>6409</v>
      </c>
      <c r="H1716" s="28" t="s">
        <v>6410</v>
      </c>
      <c r="I1716" s="5" t="s">
        <v>377</v>
      </c>
    </row>
    <row r="1717" spans="1:9" ht="51.75" customHeight="1">
      <c r="A1717" s="5">
        <v>3</v>
      </c>
      <c r="B1717" s="5" t="s">
        <v>28305</v>
      </c>
      <c r="C1717" s="5" t="s">
        <v>28306</v>
      </c>
      <c r="D1717" s="246">
        <v>41033</v>
      </c>
      <c r="E1717" s="5" t="s">
        <v>28307</v>
      </c>
      <c r="F1717" s="26"/>
      <c r="G1717" s="27" t="s">
        <v>6409</v>
      </c>
      <c r="H1717" s="28" t="s">
        <v>6410</v>
      </c>
      <c r="I1717" s="5" t="s">
        <v>377</v>
      </c>
    </row>
    <row r="1718" spans="1:9" ht="51.75" customHeight="1">
      <c r="A1718" s="5">
        <v>4</v>
      </c>
      <c r="B1718" s="5" t="s">
        <v>28308</v>
      </c>
      <c r="C1718" s="5" t="s">
        <v>28309</v>
      </c>
      <c r="D1718" s="246">
        <v>41033</v>
      </c>
      <c r="E1718" s="5" t="s">
        <v>28310</v>
      </c>
      <c r="F1718" s="26"/>
      <c r="G1718" s="27" t="s">
        <v>6409</v>
      </c>
      <c r="H1718" s="28" t="s">
        <v>6410</v>
      </c>
      <c r="I1718" s="5" t="s">
        <v>377</v>
      </c>
    </row>
    <row r="1719" spans="1:9" ht="51.75" customHeight="1">
      <c r="A1719" s="5" t="s">
        <v>26352</v>
      </c>
      <c r="B1719" s="5" t="s">
        <v>28311</v>
      </c>
      <c r="C1719" s="5" t="s">
        <v>28312</v>
      </c>
      <c r="D1719" s="246">
        <v>40805</v>
      </c>
      <c r="E1719" s="5" t="s">
        <v>28313</v>
      </c>
      <c r="F1719" s="26" t="s">
        <v>23600</v>
      </c>
      <c r="G1719" s="27" t="s">
        <v>6364</v>
      </c>
      <c r="H1719" s="28" t="s">
        <v>6365</v>
      </c>
      <c r="I1719" s="5" t="s">
        <v>377</v>
      </c>
    </row>
    <row r="1720" spans="1:9" ht="51.75" customHeight="1">
      <c r="A1720" s="5" t="s">
        <v>26358</v>
      </c>
      <c r="B1720" s="5" t="s">
        <v>28314</v>
      </c>
      <c r="C1720" s="5"/>
      <c r="D1720" s="246">
        <v>41396</v>
      </c>
      <c r="E1720" s="5" t="s">
        <v>28315</v>
      </c>
      <c r="F1720" s="26" t="s">
        <v>23600</v>
      </c>
      <c r="G1720" s="27" t="s">
        <v>6364</v>
      </c>
      <c r="H1720" s="28" t="s">
        <v>6365</v>
      </c>
      <c r="I1720" s="5" t="s">
        <v>377</v>
      </c>
    </row>
    <row r="1721" spans="1:9" ht="51.75" customHeight="1">
      <c r="A1721" s="5" t="s">
        <v>26364</v>
      </c>
      <c r="B1721" s="5" t="s">
        <v>28316</v>
      </c>
      <c r="C1721" s="5"/>
      <c r="D1721" s="246">
        <v>41396</v>
      </c>
      <c r="E1721" s="5" t="s">
        <v>28317</v>
      </c>
      <c r="F1721" s="26" t="s">
        <v>23600</v>
      </c>
      <c r="G1721" s="27" t="s">
        <v>6364</v>
      </c>
      <c r="H1721" s="28" t="s">
        <v>6365</v>
      </c>
      <c r="I1721" s="5" t="s">
        <v>377</v>
      </c>
    </row>
    <row r="1722" spans="1:9" ht="51.75" customHeight="1">
      <c r="A1722" s="5" t="s">
        <v>26370</v>
      </c>
      <c r="B1722" s="5" t="s">
        <v>28318</v>
      </c>
      <c r="C1722" s="5"/>
      <c r="D1722" s="246">
        <v>41396</v>
      </c>
      <c r="E1722" s="5" t="s">
        <v>28319</v>
      </c>
      <c r="F1722" s="26" t="s">
        <v>23600</v>
      </c>
      <c r="G1722" s="27" t="s">
        <v>6364</v>
      </c>
      <c r="H1722" s="28" t="s">
        <v>6365</v>
      </c>
      <c r="I1722" s="5" t="s">
        <v>377</v>
      </c>
    </row>
    <row r="1723" spans="1:9" ht="51.75" customHeight="1">
      <c r="A1723" s="5" t="s">
        <v>28320</v>
      </c>
      <c r="B1723" s="5" t="s">
        <v>28321</v>
      </c>
      <c r="C1723" s="5"/>
      <c r="D1723" s="246">
        <v>41396</v>
      </c>
      <c r="E1723" s="5" t="s">
        <v>28322</v>
      </c>
      <c r="F1723" s="26" t="s">
        <v>23600</v>
      </c>
      <c r="G1723" s="27" t="s">
        <v>6364</v>
      </c>
      <c r="H1723" s="28" t="s">
        <v>6365</v>
      </c>
      <c r="I1723" s="5" t="s">
        <v>377</v>
      </c>
    </row>
    <row r="1724" spans="1:9" ht="51.75" customHeight="1">
      <c r="A1724" s="5" t="s">
        <v>28323</v>
      </c>
      <c r="B1724" s="5" t="s">
        <v>28324</v>
      </c>
      <c r="C1724" s="5"/>
      <c r="D1724" s="246">
        <v>41396</v>
      </c>
      <c r="E1724" s="5" t="s">
        <v>28325</v>
      </c>
      <c r="F1724" s="26" t="s">
        <v>23600</v>
      </c>
      <c r="G1724" s="27" t="s">
        <v>6364</v>
      </c>
      <c r="H1724" s="28" t="s">
        <v>6365</v>
      </c>
      <c r="I1724" s="5" t="s">
        <v>377</v>
      </c>
    </row>
    <row r="1725" spans="1:9" ht="51.75" customHeight="1">
      <c r="A1725" s="5" t="s">
        <v>28326</v>
      </c>
      <c r="B1725" s="5" t="s">
        <v>28327</v>
      </c>
      <c r="C1725" s="5"/>
      <c r="D1725" s="246">
        <v>41396</v>
      </c>
      <c r="E1725" s="5" t="s">
        <v>28328</v>
      </c>
      <c r="F1725" s="26" t="s">
        <v>23600</v>
      </c>
      <c r="G1725" s="27" t="s">
        <v>6364</v>
      </c>
      <c r="H1725" s="28" t="s">
        <v>6365</v>
      </c>
      <c r="I1725" s="5" t="s">
        <v>377</v>
      </c>
    </row>
    <row r="1726" spans="1:9" ht="51.75" customHeight="1">
      <c r="A1726" s="5" t="s">
        <v>28329</v>
      </c>
      <c r="B1726" s="5" t="s">
        <v>28330</v>
      </c>
      <c r="C1726" s="5"/>
      <c r="D1726" s="246">
        <v>41396</v>
      </c>
      <c r="E1726" s="5" t="s">
        <v>28331</v>
      </c>
      <c r="F1726" s="26" t="s">
        <v>23600</v>
      </c>
      <c r="G1726" s="27" t="s">
        <v>6364</v>
      </c>
      <c r="H1726" s="28" t="s">
        <v>6365</v>
      </c>
      <c r="I1726" s="5" t="s">
        <v>377</v>
      </c>
    </row>
    <row r="1727" spans="1:9" ht="51.75" customHeight="1">
      <c r="A1727" s="5" t="s">
        <v>28332</v>
      </c>
      <c r="B1727" s="5" t="s">
        <v>28333</v>
      </c>
      <c r="C1727" s="5"/>
      <c r="D1727" s="246">
        <v>41396</v>
      </c>
      <c r="E1727" s="5" t="s">
        <v>28334</v>
      </c>
      <c r="F1727" s="26" t="s">
        <v>23600</v>
      </c>
      <c r="G1727" s="27" t="s">
        <v>6364</v>
      </c>
      <c r="H1727" s="28" t="s">
        <v>6365</v>
      </c>
      <c r="I1727" s="5" t="s">
        <v>377</v>
      </c>
    </row>
    <row r="1728" spans="1:9" ht="51.75" customHeight="1">
      <c r="A1728" s="5" t="s">
        <v>28335</v>
      </c>
      <c r="B1728" s="5" t="s">
        <v>28336</v>
      </c>
      <c r="C1728" s="5"/>
      <c r="D1728" s="246">
        <v>41396</v>
      </c>
      <c r="E1728" s="5" t="s">
        <v>28337</v>
      </c>
      <c r="F1728" s="26" t="s">
        <v>23600</v>
      </c>
      <c r="G1728" s="27" t="s">
        <v>6364</v>
      </c>
      <c r="H1728" s="28" t="s">
        <v>6365</v>
      </c>
      <c r="I1728" s="5" t="s">
        <v>377</v>
      </c>
    </row>
    <row r="1729" spans="1:9" ht="51.75" customHeight="1">
      <c r="A1729" s="5" t="s">
        <v>23810</v>
      </c>
      <c r="B1729" s="5" t="s">
        <v>28338</v>
      </c>
      <c r="C1729" s="5"/>
      <c r="D1729" s="246">
        <v>40805</v>
      </c>
      <c r="E1729" s="5" t="s">
        <v>28339</v>
      </c>
      <c r="F1729" s="26" t="s">
        <v>23600</v>
      </c>
      <c r="G1729" s="27" t="s">
        <v>6317</v>
      </c>
      <c r="H1729" s="28" t="s">
        <v>6318</v>
      </c>
      <c r="I1729" s="5" t="s">
        <v>377</v>
      </c>
    </row>
    <row r="1730" spans="1:9" ht="51.75" customHeight="1">
      <c r="A1730" s="5" t="s">
        <v>24599</v>
      </c>
      <c r="B1730" s="5" t="s">
        <v>28340</v>
      </c>
      <c r="C1730" s="5"/>
      <c r="D1730" s="246">
        <v>41396</v>
      </c>
      <c r="E1730" s="5" t="s">
        <v>28315</v>
      </c>
      <c r="F1730" s="26" t="s">
        <v>23600</v>
      </c>
      <c r="G1730" s="27" t="s">
        <v>6317</v>
      </c>
      <c r="H1730" s="28" t="s">
        <v>6318</v>
      </c>
      <c r="I1730" s="5" t="s">
        <v>377</v>
      </c>
    </row>
    <row r="1731" spans="1:9" ht="51.75" customHeight="1">
      <c r="A1731" s="5" t="s">
        <v>23752</v>
      </c>
      <c r="B1731" s="5" t="s">
        <v>28341</v>
      </c>
      <c r="C1731" s="5"/>
      <c r="D1731" s="246">
        <v>41396</v>
      </c>
      <c r="E1731" s="5" t="s">
        <v>28317</v>
      </c>
      <c r="F1731" s="26" t="s">
        <v>23600</v>
      </c>
      <c r="G1731" s="27" t="s">
        <v>6317</v>
      </c>
      <c r="H1731" s="28" t="s">
        <v>6318</v>
      </c>
      <c r="I1731" s="5" t="s">
        <v>377</v>
      </c>
    </row>
    <row r="1732" spans="1:9" ht="51.75" customHeight="1">
      <c r="A1732" s="5" t="s">
        <v>24606</v>
      </c>
      <c r="B1732" s="5" t="s">
        <v>28342</v>
      </c>
      <c r="C1732" s="5"/>
      <c r="D1732" s="246">
        <v>41396</v>
      </c>
      <c r="E1732" s="5" t="s">
        <v>28319</v>
      </c>
      <c r="F1732" s="26" t="s">
        <v>23600</v>
      </c>
      <c r="G1732" s="27" t="s">
        <v>6317</v>
      </c>
      <c r="H1732" s="28" t="s">
        <v>6318</v>
      </c>
      <c r="I1732" s="5" t="s">
        <v>377</v>
      </c>
    </row>
    <row r="1733" spans="1:9" ht="51.75" customHeight="1">
      <c r="A1733" s="5" t="s">
        <v>24610</v>
      </c>
      <c r="B1733" s="5" t="s">
        <v>28343</v>
      </c>
      <c r="C1733" s="5"/>
      <c r="D1733" s="246">
        <v>41396</v>
      </c>
      <c r="E1733" s="5" t="s">
        <v>28322</v>
      </c>
      <c r="F1733" s="26" t="s">
        <v>23600</v>
      </c>
      <c r="G1733" s="27" t="s">
        <v>6317</v>
      </c>
      <c r="H1733" s="28" t="s">
        <v>6318</v>
      </c>
      <c r="I1733" s="5" t="s">
        <v>377</v>
      </c>
    </row>
    <row r="1734" spans="1:9" ht="51.75" customHeight="1">
      <c r="A1734" s="5" t="s">
        <v>28344</v>
      </c>
      <c r="B1734" s="5" t="s">
        <v>28345</v>
      </c>
      <c r="C1734" s="5"/>
      <c r="D1734" s="246">
        <v>41396</v>
      </c>
      <c r="E1734" s="5" t="s">
        <v>28325</v>
      </c>
      <c r="F1734" s="26" t="s">
        <v>23600</v>
      </c>
      <c r="G1734" s="27" t="s">
        <v>6317</v>
      </c>
      <c r="H1734" s="28" t="s">
        <v>6318</v>
      </c>
      <c r="I1734" s="5" t="s">
        <v>377</v>
      </c>
    </row>
    <row r="1735" spans="1:9" ht="51.75" customHeight="1">
      <c r="A1735" s="5" t="s">
        <v>27446</v>
      </c>
      <c r="B1735" s="5" t="s">
        <v>28346</v>
      </c>
      <c r="C1735" s="5"/>
      <c r="D1735" s="246">
        <v>41396</v>
      </c>
      <c r="E1735" s="5" t="s">
        <v>28328</v>
      </c>
      <c r="F1735" s="26" t="s">
        <v>23600</v>
      </c>
      <c r="G1735" s="27" t="s">
        <v>6317</v>
      </c>
      <c r="H1735" s="28" t="s">
        <v>6318</v>
      </c>
      <c r="I1735" s="5" t="s">
        <v>377</v>
      </c>
    </row>
    <row r="1736" spans="1:9" ht="51.75" customHeight="1">
      <c r="A1736" s="5" t="s">
        <v>28347</v>
      </c>
      <c r="B1736" s="5" t="s">
        <v>28348</v>
      </c>
      <c r="C1736" s="5"/>
      <c r="D1736" s="246">
        <v>41396</v>
      </c>
      <c r="E1736" s="5" t="s">
        <v>28331</v>
      </c>
      <c r="F1736" s="26" t="s">
        <v>23600</v>
      </c>
      <c r="G1736" s="27" t="s">
        <v>6317</v>
      </c>
      <c r="H1736" s="28" t="s">
        <v>6318</v>
      </c>
      <c r="I1736" s="5" t="s">
        <v>377</v>
      </c>
    </row>
    <row r="1737" spans="1:9" ht="51.75" customHeight="1">
      <c r="A1737" s="5" t="s">
        <v>27452</v>
      </c>
      <c r="B1737" s="5" t="s">
        <v>28349</v>
      </c>
      <c r="C1737" s="5"/>
      <c r="D1737" s="246">
        <v>41396</v>
      </c>
      <c r="E1737" s="5" t="s">
        <v>28334</v>
      </c>
      <c r="F1737" s="26" t="s">
        <v>23600</v>
      </c>
      <c r="G1737" s="27" t="s">
        <v>6317</v>
      </c>
      <c r="H1737" s="28" t="s">
        <v>6318</v>
      </c>
      <c r="I1737" s="5" t="s">
        <v>377</v>
      </c>
    </row>
    <row r="1738" spans="1:9" ht="51.75" customHeight="1">
      <c r="A1738" s="5" t="s">
        <v>28350</v>
      </c>
      <c r="B1738" s="5" t="s">
        <v>28351</v>
      </c>
      <c r="C1738" s="5"/>
      <c r="D1738" s="246">
        <v>41396</v>
      </c>
      <c r="E1738" s="5" t="s">
        <v>28337</v>
      </c>
      <c r="F1738" s="26" t="s">
        <v>23600</v>
      </c>
      <c r="G1738" s="27" t="s">
        <v>6317</v>
      </c>
      <c r="H1738" s="28" t="s">
        <v>6318</v>
      </c>
      <c r="I1738" s="5" t="s">
        <v>377</v>
      </c>
    </row>
    <row r="1739" spans="1:9" ht="51.75" customHeight="1">
      <c r="A1739" s="5" t="s">
        <v>27211</v>
      </c>
      <c r="B1739" s="5" t="s">
        <v>28352</v>
      </c>
      <c r="C1739" s="5" t="s">
        <v>28353</v>
      </c>
      <c r="D1739" s="246">
        <v>41124</v>
      </c>
      <c r="E1739" s="5" t="s">
        <v>28354</v>
      </c>
      <c r="F1739" s="26" t="s">
        <v>23600</v>
      </c>
      <c r="G1739" s="27" t="s">
        <v>6163</v>
      </c>
      <c r="H1739" s="28" t="s">
        <v>6164</v>
      </c>
      <c r="I1739" s="5" t="s">
        <v>377</v>
      </c>
    </row>
    <row r="1740" spans="1:9" ht="51.75" customHeight="1">
      <c r="A1740" s="5" t="s">
        <v>27217</v>
      </c>
      <c r="B1740" s="5" t="s">
        <v>28355</v>
      </c>
      <c r="C1740" s="5" t="s">
        <v>28356</v>
      </c>
      <c r="D1740" s="246">
        <v>41124</v>
      </c>
      <c r="E1740" s="5" t="s">
        <v>28357</v>
      </c>
      <c r="F1740" s="26" t="s">
        <v>23600</v>
      </c>
      <c r="G1740" s="27" t="s">
        <v>6163</v>
      </c>
      <c r="H1740" s="28" t="s">
        <v>6164</v>
      </c>
      <c r="I1740" s="5" t="s">
        <v>377</v>
      </c>
    </row>
    <row r="1741" spans="1:9" ht="51.75" customHeight="1">
      <c r="A1741" s="5" t="s">
        <v>23748</v>
      </c>
      <c r="B1741" s="5" t="s">
        <v>28358</v>
      </c>
      <c r="C1741" s="5" t="s">
        <v>28359</v>
      </c>
      <c r="D1741" s="246">
        <v>41124</v>
      </c>
      <c r="E1741" s="5" t="s">
        <v>28360</v>
      </c>
      <c r="F1741" s="26" t="s">
        <v>23600</v>
      </c>
      <c r="G1741" s="27" t="s">
        <v>6163</v>
      </c>
      <c r="H1741" s="28" t="s">
        <v>6164</v>
      </c>
      <c r="I1741" s="5" t="s">
        <v>377</v>
      </c>
    </row>
    <row r="1742" spans="1:9" ht="51.75" customHeight="1">
      <c r="A1742" s="5" t="s">
        <v>23716</v>
      </c>
      <c r="B1742" s="5" t="s">
        <v>28361</v>
      </c>
      <c r="C1742" s="5" t="s">
        <v>28362</v>
      </c>
      <c r="D1742" s="246">
        <v>41124</v>
      </c>
      <c r="E1742" s="5" t="s">
        <v>28363</v>
      </c>
      <c r="F1742" s="26" t="s">
        <v>23600</v>
      </c>
      <c r="G1742" s="27" t="s">
        <v>6163</v>
      </c>
      <c r="H1742" s="28" t="s">
        <v>6164</v>
      </c>
      <c r="I1742" s="5" t="s">
        <v>377</v>
      </c>
    </row>
    <row r="1743" spans="1:9" ht="51.75" customHeight="1">
      <c r="A1743" s="5" t="s">
        <v>23720</v>
      </c>
      <c r="B1743" s="5" t="s">
        <v>28364</v>
      </c>
      <c r="C1743" s="5" t="s">
        <v>28365</v>
      </c>
      <c r="D1743" s="246">
        <v>41124</v>
      </c>
      <c r="E1743" s="5" t="s">
        <v>28366</v>
      </c>
      <c r="F1743" s="26" t="s">
        <v>23600</v>
      </c>
      <c r="G1743" s="27" t="s">
        <v>6163</v>
      </c>
      <c r="H1743" s="28" t="s">
        <v>6164</v>
      </c>
      <c r="I1743" s="5" t="s">
        <v>377</v>
      </c>
    </row>
    <row r="1744" spans="1:9" ht="51.75" customHeight="1">
      <c r="A1744" s="5" t="s">
        <v>25145</v>
      </c>
      <c r="B1744" s="5" t="s">
        <v>28367</v>
      </c>
      <c r="C1744" s="5" t="s">
        <v>28368</v>
      </c>
      <c r="D1744" s="246">
        <v>41124</v>
      </c>
      <c r="E1744" s="5" t="s">
        <v>28369</v>
      </c>
      <c r="F1744" s="26" t="s">
        <v>23600</v>
      </c>
      <c r="G1744" s="27" t="s">
        <v>6153</v>
      </c>
      <c r="H1744" s="28" t="s">
        <v>6154</v>
      </c>
      <c r="I1744" s="5" t="s">
        <v>377</v>
      </c>
    </row>
    <row r="1745" spans="1:9" ht="51.75" customHeight="1">
      <c r="A1745" s="5" t="s">
        <v>26952</v>
      </c>
      <c r="B1745" s="5" t="s">
        <v>28370</v>
      </c>
      <c r="C1745" s="5" t="s">
        <v>28371</v>
      </c>
      <c r="D1745" s="246">
        <v>41124</v>
      </c>
      <c r="E1745" s="5" t="s">
        <v>28372</v>
      </c>
      <c r="F1745" s="26" t="s">
        <v>23600</v>
      </c>
      <c r="G1745" s="27" t="s">
        <v>6153</v>
      </c>
      <c r="H1745" s="28" t="s">
        <v>6154</v>
      </c>
      <c r="I1745" s="5" t="s">
        <v>377</v>
      </c>
    </row>
    <row r="1746" spans="1:9" ht="51.75" customHeight="1">
      <c r="A1746" s="5" t="s">
        <v>26958</v>
      </c>
      <c r="B1746" s="5" t="s">
        <v>28373</v>
      </c>
      <c r="C1746" s="5" t="s">
        <v>28374</v>
      </c>
      <c r="D1746" s="246">
        <v>41124</v>
      </c>
      <c r="E1746" s="5" t="s">
        <v>28375</v>
      </c>
      <c r="F1746" s="26" t="s">
        <v>23600</v>
      </c>
      <c r="G1746" s="27" t="s">
        <v>6153</v>
      </c>
      <c r="H1746" s="28" t="s">
        <v>6154</v>
      </c>
      <c r="I1746" s="5" t="s">
        <v>377</v>
      </c>
    </row>
    <row r="1747" spans="1:9" ht="51.75" customHeight="1">
      <c r="A1747" s="5" t="s">
        <v>23608</v>
      </c>
      <c r="B1747" s="5" t="s">
        <v>28376</v>
      </c>
      <c r="C1747" s="5" t="s">
        <v>28377</v>
      </c>
      <c r="D1747" s="246">
        <v>41124</v>
      </c>
      <c r="E1747" s="5" t="s">
        <v>28378</v>
      </c>
      <c r="F1747" s="26" t="s">
        <v>23600</v>
      </c>
      <c r="G1747" s="27" t="s">
        <v>6153</v>
      </c>
      <c r="H1747" s="28" t="s">
        <v>6154</v>
      </c>
      <c r="I1747" s="5" t="s">
        <v>377</v>
      </c>
    </row>
    <row r="1748" spans="1:9" ht="51.75" customHeight="1">
      <c r="A1748" s="5" t="s">
        <v>26993</v>
      </c>
      <c r="B1748" s="5" t="s">
        <v>28379</v>
      </c>
      <c r="C1748" s="5">
        <v>1</v>
      </c>
      <c r="D1748" s="246">
        <v>41239</v>
      </c>
      <c r="E1748" s="5" t="s">
        <v>28380</v>
      </c>
      <c r="F1748" s="26" t="s">
        <v>23600</v>
      </c>
      <c r="G1748" s="27" t="s">
        <v>6001</v>
      </c>
      <c r="H1748" s="28" t="s">
        <v>6002</v>
      </c>
      <c r="I1748" s="5" t="s">
        <v>377</v>
      </c>
    </row>
    <row r="1749" spans="1:9" ht="51.75" customHeight="1">
      <c r="A1749" s="5" t="s">
        <v>26238</v>
      </c>
      <c r="B1749" s="5" t="s">
        <v>28381</v>
      </c>
      <c r="C1749" s="5">
        <v>2</v>
      </c>
      <c r="D1749" s="246">
        <v>41239</v>
      </c>
      <c r="E1749" s="5" t="s">
        <v>28382</v>
      </c>
      <c r="F1749" s="26" t="s">
        <v>23600</v>
      </c>
      <c r="G1749" s="27" t="s">
        <v>6001</v>
      </c>
      <c r="H1749" s="28" t="s">
        <v>6002</v>
      </c>
      <c r="I1749" s="5" t="s">
        <v>377</v>
      </c>
    </row>
    <row r="1750" spans="1:9" ht="51.75" customHeight="1">
      <c r="A1750" s="5">
        <v>1</v>
      </c>
      <c r="B1750" s="5" t="s">
        <v>28383</v>
      </c>
      <c r="C1750" s="5" t="s">
        <v>28384</v>
      </c>
      <c r="D1750" s="246">
        <v>41025</v>
      </c>
      <c r="E1750" s="5" t="s">
        <v>28385</v>
      </c>
      <c r="F1750" s="26"/>
      <c r="G1750" s="27" t="s">
        <v>5695</v>
      </c>
      <c r="H1750" s="28" t="s">
        <v>5696</v>
      </c>
      <c r="I1750" s="5" t="s">
        <v>377</v>
      </c>
    </row>
    <row r="1751" spans="1:9" ht="51.75" customHeight="1">
      <c r="A1751" s="5">
        <v>2</v>
      </c>
      <c r="B1751" s="5" t="s">
        <v>28386</v>
      </c>
      <c r="C1751" s="5" t="s">
        <v>28387</v>
      </c>
      <c r="D1751" s="246">
        <v>41025</v>
      </c>
      <c r="E1751" s="5" t="s">
        <v>28388</v>
      </c>
      <c r="F1751" s="26"/>
      <c r="G1751" s="27" t="s">
        <v>5695</v>
      </c>
      <c r="H1751" s="28" t="s">
        <v>5696</v>
      </c>
      <c r="I1751" s="5" t="s">
        <v>377</v>
      </c>
    </row>
    <row r="1752" spans="1:9" ht="51.75" customHeight="1">
      <c r="A1752" s="5">
        <v>3</v>
      </c>
      <c r="B1752" s="5" t="s">
        <v>28389</v>
      </c>
      <c r="C1752" s="5" t="s">
        <v>28390</v>
      </c>
      <c r="D1752" s="246">
        <v>41025</v>
      </c>
      <c r="E1752" s="5" t="s">
        <v>28391</v>
      </c>
      <c r="F1752" s="26"/>
      <c r="G1752" s="27" t="s">
        <v>5695</v>
      </c>
      <c r="H1752" s="28" t="s">
        <v>5696</v>
      </c>
      <c r="I1752" s="5" t="s">
        <v>377</v>
      </c>
    </row>
    <row r="1753" spans="1:9" ht="51.75" customHeight="1">
      <c r="A1753" s="5">
        <v>1</v>
      </c>
      <c r="B1753" s="5" t="s">
        <v>28392</v>
      </c>
      <c r="C1753" s="5" t="s">
        <v>28393</v>
      </c>
      <c r="D1753" s="246">
        <v>41033</v>
      </c>
      <c r="E1753" s="5" t="s">
        <v>28394</v>
      </c>
      <c r="F1753" s="26"/>
      <c r="G1753" s="27" t="s">
        <v>5662</v>
      </c>
      <c r="H1753" s="28" t="s">
        <v>5663</v>
      </c>
      <c r="I1753" s="5" t="s">
        <v>377</v>
      </c>
    </row>
    <row r="1754" spans="1:9" ht="51.75" customHeight="1">
      <c r="A1754" s="5">
        <v>2</v>
      </c>
      <c r="B1754" s="5" t="s">
        <v>28395</v>
      </c>
      <c r="C1754" s="5" t="s">
        <v>28396</v>
      </c>
      <c r="D1754" s="246">
        <v>41033</v>
      </c>
      <c r="E1754" s="5" t="s">
        <v>28397</v>
      </c>
      <c r="F1754" s="26"/>
      <c r="G1754" s="27" t="s">
        <v>5662</v>
      </c>
      <c r="H1754" s="28" t="s">
        <v>5663</v>
      </c>
      <c r="I1754" s="5" t="s">
        <v>377</v>
      </c>
    </row>
    <row r="1755" spans="1:9" ht="51.75" customHeight="1">
      <c r="A1755" s="5">
        <v>3</v>
      </c>
      <c r="B1755" s="5" t="s">
        <v>28398</v>
      </c>
      <c r="C1755" s="5" t="s">
        <v>28399</v>
      </c>
      <c r="D1755" s="246">
        <v>41033</v>
      </c>
      <c r="E1755" s="5" t="s">
        <v>28400</v>
      </c>
      <c r="F1755" s="26"/>
      <c r="G1755" s="27" t="s">
        <v>5662</v>
      </c>
      <c r="H1755" s="28" t="s">
        <v>5663</v>
      </c>
      <c r="I1755" s="5" t="s">
        <v>377</v>
      </c>
    </row>
    <row r="1756" spans="1:9" ht="51.75" customHeight="1">
      <c r="A1756" s="5">
        <v>1</v>
      </c>
      <c r="B1756" s="5" t="s">
        <v>28401</v>
      </c>
      <c r="C1756" s="5" t="s">
        <v>28402</v>
      </c>
      <c r="D1756" s="246">
        <v>40627</v>
      </c>
      <c r="E1756" s="5" t="s">
        <v>28402</v>
      </c>
      <c r="F1756" s="26" t="s">
        <v>23600</v>
      </c>
      <c r="G1756" s="27" t="s">
        <v>5441</v>
      </c>
      <c r="H1756" s="28" t="s">
        <v>5442</v>
      </c>
      <c r="I1756" s="5" t="s">
        <v>377</v>
      </c>
    </row>
    <row r="1757" spans="1:9" ht="51.75" customHeight="1">
      <c r="A1757" s="5">
        <v>2</v>
      </c>
      <c r="B1757" s="5" t="s">
        <v>28403</v>
      </c>
      <c r="C1757" s="5" t="s">
        <v>28404</v>
      </c>
      <c r="D1757" s="246">
        <v>40627</v>
      </c>
      <c r="E1757" s="5" t="s">
        <v>28405</v>
      </c>
      <c r="F1757" s="26" t="s">
        <v>23600</v>
      </c>
      <c r="G1757" s="27" t="s">
        <v>5441</v>
      </c>
      <c r="H1757" s="28" t="s">
        <v>5442</v>
      </c>
      <c r="I1757" s="5" t="s">
        <v>377</v>
      </c>
    </row>
    <row r="1758" spans="1:9" ht="51.75" customHeight="1">
      <c r="A1758" s="5" t="s">
        <v>24448</v>
      </c>
      <c r="B1758" s="5" t="s">
        <v>28406</v>
      </c>
      <c r="C1758" s="5">
        <v>1</v>
      </c>
      <c r="D1758" s="246">
        <v>41333</v>
      </c>
      <c r="E1758" s="5" t="s">
        <v>28407</v>
      </c>
      <c r="F1758" s="26" t="s">
        <v>23600</v>
      </c>
      <c r="G1758" s="27" t="s">
        <v>7781</v>
      </c>
      <c r="H1758" s="28" t="s">
        <v>7782</v>
      </c>
      <c r="I1758" s="5" t="s">
        <v>377</v>
      </c>
    </row>
    <row r="1759" spans="1:9" ht="51.75" customHeight="1">
      <c r="A1759" s="5" t="s">
        <v>24452</v>
      </c>
      <c r="B1759" s="5" t="s">
        <v>28408</v>
      </c>
      <c r="C1759" s="5">
        <v>2</v>
      </c>
      <c r="D1759" s="246">
        <v>41333</v>
      </c>
      <c r="E1759" s="5" t="s">
        <v>28409</v>
      </c>
      <c r="F1759" s="26" t="s">
        <v>23600</v>
      </c>
      <c r="G1759" s="27" t="s">
        <v>7781</v>
      </c>
      <c r="H1759" s="28" t="s">
        <v>7782</v>
      </c>
      <c r="I1759" s="5" t="s">
        <v>377</v>
      </c>
    </row>
    <row r="1760" spans="1:9" ht="51.75" customHeight="1">
      <c r="A1760" s="5" t="s">
        <v>25331</v>
      </c>
      <c r="B1760" s="5" t="s">
        <v>28410</v>
      </c>
      <c r="C1760" s="5" t="s">
        <v>28411</v>
      </c>
      <c r="D1760" s="246">
        <v>41239</v>
      </c>
      <c r="E1760" s="5" t="s">
        <v>28412</v>
      </c>
      <c r="F1760" s="26" t="s">
        <v>23600</v>
      </c>
      <c r="G1760" s="27" t="s">
        <v>8016</v>
      </c>
      <c r="H1760" s="28" t="s">
        <v>8017</v>
      </c>
      <c r="I1760" s="5" t="s">
        <v>377</v>
      </c>
    </row>
    <row r="1761" spans="1:9" ht="51.75" customHeight="1">
      <c r="A1761" s="5" t="s">
        <v>25335</v>
      </c>
      <c r="B1761" s="5" t="s">
        <v>28413</v>
      </c>
      <c r="C1761" s="5" t="s">
        <v>28252</v>
      </c>
      <c r="D1761" s="246">
        <v>41484</v>
      </c>
      <c r="E1761" s="5" t="s">
        <v>28414</v>
      </c>
      <c r="F1761" s="26" t="s">
        <v>23600</v>
      </c>
      <c r="G1761" s="27" t="s">
        <v>8016</v>
      </c>
      <c r="H1761" s="28" t="s">
        <v>8017</v>
      </c>
      <c r="I1761" s="5" t="s">
        <v>377</v>
      </c>
    </row>
    <row r="1762" spans="1:9" ht="51.75" customHeight="1">
      <c r="A1762" s="5" t="s">
        <v>25339</v>
      </c>
      <c r="B1762" s="5" t="s">
        <v>28415</v>
      </c>
      <c r="C1762" s="5" t="s">
        <v>28255</v>
      </c>
      <c r="D1762" s="246">
        <v>41484</v>
      </c>
      <c r="E1762" s="5" t="s">
        <v>28416</v>
      </c>
      <c r="F1762" s="26" t="s">
        <v>23600</v>
      </c>
      <c r="G1762" s="27" t="s">
        <v>8016</v>
      </c>
      <c r="H1762" s="28" t="s">
        <v>8017</v>
      </c>
      <c r="I1762" s="5" t="s">
        <v>377</v>
      </c>
    </row>
    <row r="1763" spans="1:9" ht="51.75" customHeight="1">
      <c r="A1763" s="5" t="s">
        <v>28417</v>
      </c>
      <c r="B1763" s="5" t="s">
        <v>28418</v>
      </c>
      <c r="C1763" s="5" t="s">
        <v>28419</v>
      </c>
      <c r="D1763" s="246">
        <v>41239</v>
      </c>
      <c r="E1763" s="5" t="s">
        <v>28412</v>
      </c>
      <c r="F1763" s="26" t="s">
        <v>23600</v>
      </c>
      <c r="G1763" s="27" t="s">
        <v>8005</v>
      </c>
      <c r="H1763" s="28" t="s">
        <v>8006</v>
      </c>
      <c r="I1763" s="5" t="s">
        <v>377</v>
      </c>
    </row>
    <row r="1764" spans="1:9" ht="51.75" customHeight="1">
      <c r="A1764" s="5" t="s">
        <v>28420</v>
      </c>
      <c r="B1764" s="5" t="s">
        <v>28421</v>
      </c>
      <c r="C1764" s="5" t="s">
        <v>28252</v>
      </c>
      <c r="D1764" s="246">
        <v>41484</v>
      </c>
      <c r="E1764" s="5" t="s">
        <v>28414</v>
      </c>
      <c r="F1764" s="26" t="s">
        <v>23600</v>
      </c>
      <c r="G1764" s="27" t="s">
        <v>8005</v>
      </c>
      <c r="H1764" s="28" t="s">
        <v>8006</v>
      </c>
      <c r="I1764" s="5" t="s">
        <v>377</v>
      </c>
    </row>
    <row r="1765" spans="1:9" ht="51.75" customHeight="1">
      <c r="A1765" s="5" t="s">
        <v>25105</v>
      </c>
      <c r="B1765" s="5" t="s">
        <v>28422</v>
      </c>
      <c r="C1765" s="5" t="s">
        <v>28255</v>
      </c>
      <c r="D1765" s="246">
        <v>41484</v>
      </c>
      <c r="E1765" s="5" t="s">
        <v>28416</v>
      </c>
      <c r="F1765" s="26" t="s">
        <v>23600</v>
      </c>
      <c r="G1765" s="27" t="s">
        <v>8005</v>
      </c>
      <c r="H1765" s="28" t="s">
        <v>8006</v>
      </c>
      <c r="I1765" s="5" t="s">
        <v>377</v>
      </c>
    </row>
    <row r="1766" spans="1:9" ht="51.75" customHeight="1">
      <c r="A1766" s="5" t="s">
        <v>25109</v>
      </c>
      <c r="B1766" s="5" t="s">
        <v>28423</v>
      </c>
      <c r="C1766" s="5" t="s">
        <v>28424</v>
      </c>
      <c r="D1766" s="246">
        <v>41484</v>
      </c>
      <c r="E1766" s="5" t="s">
        <v>28425</v>
      </c>
      <c r="F1766" s="26" t="s">
        <v>23600</v>
      </c>
      <c r="G1766" s="27" t="s">
        <v>8171</v>
      </c>
      <c r="H1766" s="28" t="s">
        <v>8172</v>
      </c>
      <c r="I1766" s="5" t="s">
        <v>377</v>
      </c>
    </row>
    <row r="1767" spans="1:9" ht="51.75" customHeight="1">
      <c r="A1767" s="5" t="s">
        <v>25113</v>
      </c>
      <c r="B1767" s="5" t="s">
        <v>28426</v>
      </c>
      <c r="C1767" s="5" t="s">
        <v>28252</v>
      </c>
      <c r="D1767" s="246">
        <v>41484</v>
      </c>
      <c r="E1767" s="5" t="s">
        <v>28427</v>
      </c>
      <c r="F1767" s="26" t="s">
        <v>23600</v>
      </c>
      <c r="G1767" s="27" t="s">
        <v>8171</v>
      </c>
      <c r="H1767" s="28" t="s">
        <v>8172</v>
      </c>
      <c r="I1767" s="5" t="s">
        <v>377</v>
      </c>
    </row>
    <row r="1768" spans="1:9" ht="51.75" customHeight="1">
      <c r="A1768" s="5" t="s">
        <v>28428</v>
      </c>
      <c r="B1768" s="5" t="s">
        <v>28429</v>
      </c>
      <c r="C1768" s="5" t="s">
        <v>28150</v>
      </c>
      <c r="D1768" s="246">
        <v>42163</v>
      </c>
      <c r="E1768" s="5" t="s">
        <v>28430</v>
      </c>
      <c r="F1768" s="26" t="s">
        <v>23600</v>
      </c>
      <c r="G1768" s="27" t="s">
        <v>8292</v>
      </c>
      <c r="H1768" s="28" t="s">
        <v>8293</v>
      </c>
      <c r="I1768" s="5" t="s">
        <v>377</v>
      </c>
    </row>
    <row r="1769" spans="1:9" ht="51.75" customHeight="1">
      <c r="A1769" s="5" t="s">
        <v>28431</v>
      </c>
      <c r="B1769" s="5" t="s">
        <v>28432</v>
      </c>
      <c r="C1769" s="5" t="s">
        <v>28153</v>
      </c>
      <c r="D1769" s="246">
        <v>42163</v>
      </c>
      <c r="E1769" s="5" t="s">
        <v>28433</v>
      </c>
      <c r="F1769" s="26" t="s">
        <v>23600</v>
      </c>
      <c r="G1769" s="27" t="s">
        <v>8292</v>
      </c>
      <c r="H1769" s="28" t="s">
        <v>8293</v>
      </c>
      <c r="I1769" s="5" t="s">
        <v>377</v>
      </c>
    </row>
    <row r="1770" spans="1:9" ht="51.75" customHeight="1">
      <c r="A1770" s="5" t="s">
        <v>28434</v>
      </c>
      <c r="B1770" s="5" t="s">
        <v>28435</v>
      </c>
      <c r="C1770" s="5" t="s">
        <v>28156</v>
      </c>
      <c r="D1770" s="246">
        <v>42163</v>
      </c>
      <c r="E1770" s="5" t="s">
        <v>28436</v>
      </c>
      <c r="F1770" s="26" t="s">
        <v>23600</v>
      </c>
      <c r="G1770" s="27" t="s">
        <v>8292</v>
      </c>
      <c r="H1770" s="28" t="s">
        <v>8293</v>
      </c>
      <c r="I1770" s="5" t="s">
        <v>377</v>
      </c>
    </row>
    <row r="1771" spans="1:9" ht="51.75" customHeight="1">
      <c r="A1771" s="5" t="s">
        <v>28437</v>
      </c>
      <c r="B1771" s="5" t="s">
        <v>28438</v>
      </c>
      <c r="C1771" s="5" t="s">
        <v>28160</v>
      </c>
      <c r="D1771" s="246">
        <v>42163</v>
      </c>
      <c r="E1771" s="5" t="s">
        <v>28439</v>
      </c>
      <c r="F1771" s="26" t="s">
        <v>23600</v>
      </c>
      <c r="G1771" s="27" t="s">
        <v>8292</v>
      </c>
      <c r="H1771" s="28" t="s">
        <v>8293</v>
      </c>
      <c r="I1771" s="5" t="s">
        <v>377</v>
      </c>
    </row>
    <row r="1772" spans="1:9" ht="51.75" customHeight="1">
      <c r="A1772" s="5" t="s">
        <v>28440</v>
      </c>
      <c r="B1772" s="5" t="s">
        <v>28441</v>
      </c>
      <c r="C1772" s="5" t="s">
        <v>28163</v>
      </c>
      <c r="D1772" s="246">
        <v>42163</v>
      </c>
      <c r="E1772" s="5" t="s">
        <v>28442</v>
      </c>
      <c r="F1772" s="26" t="s">
        <v>23600</v>
      </c>
      <c r="G1772" s="27" t="s">
        <v>8292</v>
      </c>
      <c r="H1772" s="28" t="s">
        <v>8293</v>
      </c>
      <c r="I1772" s="5" t="s">
        <v>377</v>
      </c>
    </row>
    <row r="1773" spans="1:9" ht="51.75" customHeight="1">
      <c r="A1773" s="5" t="s">
        <v>25018</v>
      </c>
      <c r="B1773" s="5" t="s">
        <v>28443</v>
      </c>
      <c r="C1773" s="5" t="s">
        <v>28444</v>
      </c>
      <c r="D1773" s="246">
        <v>41591</v>
      </c>
      <c r="E1773" s="5" t="s">
        <v>28445</v>
      </c>
      <c r="F1773" s="26" t="s">
        <v>23600</v>
      </c>
      <c r="G1773" s="27" t="s">
        <v>8602</v>
      </c>
      <c r="H1773" s="28" t="s">
        <v>8603</v>
      </c>
      <c r="I1773" s="5" t="s">
        <v>377</v>
      </c>
    </row>
    <row r="1774" spans="1:9" ht="51.75" customHeight="1">
      <c r="A1774" s="5" t="s">
        <v>23744</v>
      </c>
      <c r="B1774" s="5" t="s">
        <v>28446</v>
      </c>
      <c r="C1774" s="5" t="s">
        <v>28447</v>
      </c>
      <c r="D1774" s="246">
        <v>41591</v>
      </c>
      <c r="E1774" s="5" t="s">
        <v>28448</v>
      </c>
      <c r="F1774" s="26" t="s">
        <v>23600</v>
      </c>
      <c r="G1774" s="27" t="s">
        <v>8602</v>
      </c>
      <c r="H1774" s="28" t="s">
        <v>8603</v>
      </c>
      <c r="I1774" s="5" t="s">
        <v>377</v>
      </c>
    </row>
    <row r="1775" spans="1:9" ht="51.75" customHeight="1">
      <c r="A1775" s="5" t="s">
        <v>23942</v>
      </c>
      <c r="B1775" s="5" t="s">
        <v>28449</v>
      </c>
      <c r="C1775" s="5" t="s">
        <v>28450</v>
      </c>
      <c r="D1775" s="246">
        <v>41591</v>
      </c>
      <c r="E1775" s="5" t="s">
        <v>28451</v>
      </c>
      <c r="F1775" s="26" t="s">
        <v>23600</v>
      </c>
      <c r="G1775" s="27" t="s">
        <v>8602</v>
      </c>
      <c r="H1775" s="28" t="s">
        <v>8603</v>
      </c>
      <c r="I1775" s="5" t="s">
        <v>377</v>
      </c>
    </row>
    <row r="1776" spans="1:9" ht="51.75" customHeight="1">
      <c r="A1776" s="5" t="s">
        <v>25984</v>
      </c>
      <c r="B1776" s="5" t="s">
        <v>28452</v>
      </c>
      <c r="C1776" s="5" t="s">
        <v>28453</v>
      </c>
      <c r="D1776" s="246">
        <v>41591</v>
      </c>
      <c r="E1776" s="5" t="s">
        <v>28454</v>
      </c>
      <c r="F1776" s="26" t="s">
        <v>23600</v>
      </c>
      <c r="G1776" s="27" t="s">
        <v>8602</v>
      </c>
      <c r="H1776" s="28" t="s">
        <v>8603</v>
      </c>
      <c r="I1776" s="5" t="s">
        <v>377</v>
      </c>
    </row>
    <row r="1777" spans="1:9" ht="51.75" customHeight="1">
      <c r="A1777" s="5" t="s">
        <v>27049</v>
      </c>
      <c r="B1777" s="5" t="s">
        <v>28455</v>
      </c>
      <c r="C1777" s="5" t="s">
        <v>28456</v>
      </c>
      <c r="D1777" s="246">
        <v>42110</v>
      </c>
      <c r="E1777" s="5" t="s">
        <v>28457</v>
      </c>
      <c r="F1777" s="26" t="s">
        <v>23600</v>
      </c>
      <c r="G1777" s="27" t="s">
        <v>8887</v>
      </c>
      <c r="H1777" s="28" t="s">
        <v>8888</v>
      </c>
      <c r="I1777" s="5" t="s">
        <v>377</v>
      </c>
    </row>
    <row r="1778" spans="1:9" ht="51.75" customHeight="1">
      <c r="A1778" s="5" t="s">
        <v>27054</v>
      </c>
      <c r="B1778" s="5" t="s">
        <v>28458</v>
      </c>
      <c r="C1778" s="5" t="s">
        <v>28459</v>
      </c>
      <c r="D1778" s="246">
        <v>42110</v>
      </c>
      <c r="E1778" s="5" t="s">
        <v>28460</v>
      </c>
      <c r="F1778" s="26" t="s">
        <v>23600</v>
      </c>
      <c r="G1778" s="27" t="s">
        <v>8887</v>
      </c>
      <c r="H1778" s="28" t="s">
        <v>8888</v>
      </c>
      <c r="I1778" s="5" t="s">
        <v>377</v>
      </c>
    </row>
    <row r="1779" spans="1:9" ht="51.75" customHeight="1">
      <c r="A1779" s="5" t="s">
        <v>27060</v>
      </c>
      <c r="B1779" s="5" t="s">
        <v>28461</v>
      </c>
      <c r="C1779" s="5" t="s">
        <v>28462</v>
      </c>
      <c r="D1779" s="246">
        <v>42110</v>
      </c>
      <c r="E1779" s="5" t="s">
        <v>28463</v>
      </c>
      <c r="F1779" s="26" t="s">
        <v>23600</v>
      </c>
      <c r="G1779" s="27" t="s">
        <v>8887</v>
      </c>
      <c r="H1779" s="28" t="s">
        <v>8888</v>
      </c>
      <c r="I1779" s="5" t="s">
        <v>377</v>
      </c>
    </row>
    <row r="1780" spans="1:9" ht="51.75" customHeight="1">
      <c r="A1780" s="5" t="s">
        <v>27066</v>
      </c>
      <c r="B1780" s="5" t="s">
        <v>28464</v>
      </c>
      <c r="C1780" s="5" t="s">
        <v>28465</v>
      </c>
      <c r="D1780" s="246">
        <v>42110</v>
      </c>
      <c r="E1780" s="5" t="s">
        <v>28466</v>
      </c>
      <c r="F1780" s="26" t="s">
        <v>23600</v>
      </c>
      <c r="G1780" s="27" t="s">
        <v>8887</v>
      </c>
      <c r="H1780" s="28" t="s">
        <v>8888</v>
      </c>
      <c r="I1780" s="5" t="s">
        <v>377</v>
      </c>
    </row>
    <row r="1781" spans="1:9" ht="51.75" customHeight="1">
      <c r="A1781" s="5" t="s">
        <v>24507</v>
      </c>
      <c r="B1781" s="5" t="s">
        <v>28467</v>
      </c>
      <c r="C1781" s="5">
        <v>1</v>
      </c>
      <c r="D1781" s="246">
        <v>41801</v>
      </c>
      <c r="E1781" s="5" t="s">
        <v>28468</v>
      </c>
      <c r="F1781" s="26" t="s">
        <v>23600</v>
      </c>
      <c r="G1781" s="27" t="s">
        <v>8740</v>
      </c>
      <c r="H1781" s="28" t="s">
        <v>8741</v>
      </c>
      <c r="I1781" s="5" t="s">
        <v>377</v>
      </c>
    </row>
    <row r="1782" spans="1:9" ht="51.75" customHeight="1">
      <c r="A1782" s="5" t="s">
        <v>24511</v>
      </c>
      <c r="B1782" s="5" t="s">
        <v>28469</v>
      </c>
      <c r="C1782" s="5" t="s">
        <v>28444</v>
      </c>
      <c r="D1782" s="246">
        <v>41654</v>
      </c>
      <c r="E1782" s="5" t="s">
        <v>28470</v>
      </c>
      <c r="F1782" s="26" t="s">
        <v>23600</v>
      </c>
      <c r="G1782" s="27" t="s">
        <v>8804</v>
      </c>
      <c r="H1782" s="28" t="s">
        <v>8805</v>
      </c>
      <c r="I1782" s="5" t="s">
        <v>377</v>
      </c>
    </row>
    <row r="1783" spans="1:9" ht="51.75" customHeight="1">
      <c r="A1783" s="5" t="s">
        <v>27106</v>
      </c>
      <c r="B1783" s="5" t="s">
        <v>28471</v>
      </c>
      <c r="C1783" s="5" t="s">
        <v>28456</v>
      </c>
      <c r="D1783" s="246">
        <v>41815</v>
      </c>
      <c r="E1783" s="5" t="s">
        <v>28472</v>
      </c>
      <c r="F1783" s="26" t="s">
        <v>23600</v>
      </c>
      <c r="G1783" s="27" t="s">
        <v>9319</v>
      </c>
      <c r="H1783" s="28" t="s">
        <v>9320</v>
      </c>
      <c r="I1783" s="5" t="s">
        <v>377</v>
      </c>
    </row>
    <row r="1784" spans="1:9" ht="51.75" customHeight="1">
      <c r="A1784" s="5" t="s">
        <v>27109</v>
      </c>
      <c r="B1784" s="5" t="s">
        <v>28473</v>
      </c>
      <c r="C1784" s="5" t="s">
        <v>28459</v>
      </c>
      <c r="D1784" s="246">
        <v>41815</v>
      </c>
      <c r="E1784" s="5" t="s">
        <v>28474</v>
      </c>
      <c r="F1784" s="26" t="s">
        <v>23600</v>
      </c>
      <c r="G1784" s="27" t="s">
        <v>9319</v>
      </c>
      <c r="H1784" s="28" t="s">
        <v>9320</v>
      </c>
      <c r="I1784" s="5" t="s">
        <v>377</v>
      </c>
    </row>
    <row r="1785" spans="1:9" ht="51.75" customHeight="1">
      <c r="A1785" s="5" t="s">
        <v>26052</v>
      </c>
      <c r="B1785" s="5" t="s">
        <v>28475</v>
      </c>
      <c r="C1785" s="5" t="s">
        <v>28476</v>
      </c>
      <c r="D1785" s="246">
        <v>41815</v>
      </c>
      <c r="E1785" s="5" t="s">
        <v>28477</v>
      </c>
      <c r="F1785" s="26" t="s">
        <v>23600</v>
      </c>
      <c r="G1785" s="27" t="s">
        <v>9319</v>
      </c>
      <c r="H1785" s="28" t="s">
        <v>9320</v>
      </c>
      <c r="I1785" s="5" t="s">
        <v>377</v>
      </c>
    </row>
    <row r="1786" spans="1:9" ht="51.75" customHeight="1">
      <c r="A1786" s="5" t="s">
        <v>26058</v>
      </c>
      <c r="B1786" s="5" t="s">
        <v>28478</v>
      </c>
      <c r="C1786" s="5" t="s">
        <v>28465</v>
      </c>
      <c r="D1786" s="246">
        <v>41815</v>
      </c>
      <c r="E1786" s="5" t="s">
        <v>28479</v>
      </c>
      <c r="F1786" s="26" t="s">
        <v>23600</v>
      </c>
      <c r="G1786" s="27" t="s">
        <v>9319</v>
      </c>
      <c r="H1786" s="28" t="s">
        <v>9320</v>
      </c>
      <c r="I1786" s="5" t="s">
        <v>377</v>
      </c>
    </row>
    <row r="1787" spans="1:9" ht="51.75" customHeight="1">
      <c r="A1787" s="5" t="s">
        <v>26064</v>
      </c>
      <c r="B1787" s="5" t="s">
        <v>28480</v>
      </c>
      <c r="C1787" s="5" t="s">
        <v>28481</v>
      </c>
      <c r="D1787" s="246">
        <v>41815</v>
      </c>
      <c r="E1787" s="5" t="s">
        <v>28482</v>
      </c>
      <c r="F1787" s="26" t="s">
        <v>23600</v>
      </c>
      <c r="G1787" s="27" t="s">
        <v>9319</v>
      </c>
      <c r="H1787" s="28" t="s">
        <v>9320</v>
      </c>
      <c r="I1787" s="5" t="s">
        <v>377</v>
      </c>
    </row>
    <row r="1788" spans="1:9" ht="51.75" customHeight="1">
      <c r="A1788" s="5" t="s">
        <v>26069</v>
      </c>
      <c r="B1788" s="5" t="s">
        <v>28483</v>
      </c>
      <c r="C1788" s="5" t="s">
        <v>28484</v>
      </c>
      <c r="D1788" s="246">
        <v>41815</v>
      </c>
      <c r="E1788" s="5" t="s">
        <v>28485</v>
      </c>
      <c r="F1788" s="26" t="s">
        <v>23600</v>
      </c>
      <c r="G1788" s="27" t="s">
        <v>9319</v>
      </c>
      <c r="H1788" s="28" t="s">
        <v>9320</v>
      </c>
      <c r="I1788" s="5" t="s">
        <v>377</v>
      </c>
    </row>
    <row r="1789" spans="1:9" ht="51.75" customHeight="1">
      <c r="A1789" s="5" t="s">
        <v>26074</v>
      </c>
      <c r="B1789" s="5" t="s">
        <v>28486</v>
      </c>
      <c r="C1789" s="5" t="s">
        <v>28487</v>
      </c>
      <c r="D1789" s="246">
        <v>41815</v>
      </c>
      <c r="E1789" s="5" t="s">
        <v>28488</v>
      </c>
      <c r="F1789" s="26" t="s">
        <v>23600</v>
      </c>
      <c r="G1789" s="27" t="s">
        <v>9319</v>
      </c>
      <c r="H1789" s="28" t="s">
        <v>9320</v>
      </c>
      <c r="I1789" s="5" t="s">
        <v>377</v>
      </c>
    </row>
    <row r="1790" spans="1:9" ht="51.75" customHeight="1">
      <c r="A1790" s="5" t="s">
        <v>27072</v>
      </c>
      <c r="B1790" s="5" t="s">
        <v>28489</v>
      </c>
      <c r="C1790" s="5" t="s">
        <v>28456</v>
      </c>
      <c r="D1790" s="246">
        <v>42114</v>
      </c>
      <c r="E1790" s="5" t="s">
        <v>28490</v>
      </c>
      <c r="F1790" s="26" t="s">
        <v>23600</v>
      </c>
      <c r="G1790" s="27" t="s">
        <v>9374</v>
      </c>
      <c r="H1790" s="28" t="s">
        <v>9375</v>
      </c>
      <c r="I1790" s="5" t="s">
        <v>377</v>
      </c>
    </row>
    <row r="1791" spans="1:9" ht="51.75" customHeight="1">
      <c r="A1791" s="5" t="s">
        <v>27078</v>
      </c>
      <c r="B1791" s="5" t="s">
        <v>28491</v>
      </c>
      <c r="C1791" s="5" t="s">
        <v>28492</v>
      </c>
      <c r="D1791" s="246">
        <v>42114</v>
      </c>
      <c r="E1791" s="5" t="s">
        <v>28493</v>
      </c>
      <c r="F1791" s="26" t="s">
        <v>23600</v>
      </c>
      <c r="G1791" s="27" t="s">
        <v>9374</v>
      </c>
      <c r="H1791" s="28" t="s">
        <v>9375</v>
      </c>
      <c r="I1791" s="5" t="s">
        <v>377</v>
      </c>
    </row>
    <row r="1792" spans="1:9" ht="51.75" customHeight="1">
      <c r="A1792" s="5" t="s">
        <v>25310</v>
      </c>
      <c r="B1792" s="5" t="s">
        <v>28494</v>
      </c>
      <c r="C1792" s="5" t="s">
        <v>28462</v>
      </c>
      <c r="D1792" s="246">
        <v>42114</v>
      </c>
      <c r="E1792" s="5" t="s">
        <v>28495</v>
      </c>
      <c r="F1792" s="26" t="s">
        <v>23600</v>
      </c>
      <c r="G1792" s="27" t="s">
        <v>9374</v>
      </c>
      <c r="H1792" s="28" t="s">
        <v>9375</v>
      </c>
      <c r="I1792" s="5" t="s">
        <v>377</v>
      </c>
    </row>
    <row r="1793" spans="1:9" ht="51.75" customHeight="1">
      <c r="A1793" s="5" t="s">
        <v>23619</v>
      </c>
      <c r="B1793" s="5" t="s">
        <v>28496</v>
      </c>
      <c r="C1793" s="5" t="s">
        <v>28497</v>
      </c>
      <c r="D1793" s="246">
        <v>41921</v>
      </c>
      <c r="E1793" s="5" t="s">
        <v>28498</v>
      </c>
      <c r="F1793" s="26" t="s">
        <v>23600</v>
      </c>
      <c r="G1793" s="27" t="s">
        <v>9431</v>
      </c>
      <c r="H1793" s="28" t="s">
        <v>9432</v>
      </c>
      <c r="I1793" s="5" t="s">
        <v>377</v>
      </c>
    </row>
    <row r="1794" spans="1:9" ht="51.75" customHeight="1">
      <c r="A1794" s="5" t="s">
        <v>23623</v>
      </c>
      <c r="B1794" s="5" t="s">
        <v>28499</v>
      </c>
      <c r="C1794" s="5" t="s">
        <v>28459</v>
      </c>
      <c r="D1794" s="246">
        <v>41921</v>
      </c>
      <c r="E1794" s="5" t="s">
        <v>28500</v>
      </c>
      <c r="F1794" s="26" t="s">
        <v>23600</v>
      </c>
      <c r="G1794" s="27" t="s">
        <v>9431</v>
      </c>
      <c r="H1794" s="28" t="s">
        <v>9432</v>
      </c>
      <c r="I1794" s="5" t="s">
        <v>377</v>
      </c>
    </row>
    <row r="1795" spans="1:9" ht="51.75" customHeight="1">
      <c r="A1795" s="5" t="s">
        <v>27043</v>
      </c>
      <c r="B1795" s="5" t="s">
        <v>28501</v>
      </c>
      <c r="C1795" s="5" t="s">
        <v>28476</v>
      </c>
      <c r="D1795" s="246">
        <v>41921</v>
      </c>
      <c r="E1795" s="5" t="s">
        <v>28502</v>
      </c>
      <c r="F1795" s="26" t="s">
        <v>23600</v>
      </c>
      <c r="G1795" s="27" t="s">
        <v>9431</v>
      </c>
      <c r="H1795" s="28" t="s">
        <v>9432</v>
      </c>
      <c r="I1795" s="5" t="s">
        <v>377</v>
      </c>
    </row>
    <row r="1796" spans="1:9" ht="51.75" customHeight="1">
      <c r="A1796" s="5" t="s">
        <v>27094</v>
      </c>
      <c r="B1796" s="5" t="s">
        <v>28503</v>
      </c>
      <c r="C1796" s="5" t="s">
        <v>28497</v>
      </c>
      <c r="D1796" s="246">
        <v>42110</v>
      </c>
      <c r="E1796" s="5" t="s">
        <v>28504</v>
      </c>
      <c r="F1796" s="26" t="s">
        <v>23600</v>
      </c>
      <c r="G1796" s="27" t="s">
        <v>9543</v>
      </c>
      <c r="H1796" s="28" t="s">
        <v>9544</v>
      </c>
      <c r="I1796" s="5" t="s">
        <v>377</v>
      </c>
    </row>
    <row r="1797" spans="1:9" ht="51.75" customHeight="1">
      <c r="A1797" s="5" t="s">
        <v>27100</v>
      </c>
      <c r="B1797" s="5" t="s">
        <v>28505</v>
      </c>
      <c r="C1797" s="5" t="s">
        <v>28459</v>
      </c>
      <c r="D1797" s="246">
        <v>42110</v>
      </c>
      <c r="E1797" s="5" t="s">
        <v>28506</v>
      </c>
      <c r="F1797" s="26" t="s">
        <v>23600</v>
      </c>
      <c r="G1797" s="27" t="s">
        <v>9543</v>
      </c>
      <c r="H1797" s="28" t="s">
        <v>9544</v>
      </c>
      <c r="I1797" s="5" t="s">
        <v>377</v>
      </c>
    </row>
    <row r="1798" spans="1:9" ht="51.75" customHeight="1">
      <c r="A1798" s="5" t="s">
        <v>25316</v>
      </c>
      <c r="B1798" s="5" t="s">
        <v>28507</v>
      </c>
      <c r="C1798" s="5" t="s">
        <v>28476</v>
      </c>
      <c r="D1798" s="246">
        <v>42110</v>
      </c>
      <c r="E1798" s="5" t="s">
        <v>28508</v>
      </c>
      <c r="F1798" s="26" t="s">
        <v>23600</v>
      </c>
      <c r="G1798" s="27" t="s">
        <v>9543</v>
      </c>
      <c r="H1798" s="28" t="s">
        <v>9544</v>
      </c>
      <c r="I1798" s="5" t="s">
        <v>377</v>
      </c>
    </row>
    <row r="1799" spans="1:9" ht="51.75" customHeight="1">
      <c r="A1799" s="5" t="s">
        <v>27119</v>
      </c>
      <c r="B1799" s="5" t="s">
        <v>28509</v>
      </c>
      <c r="C1799" s="5" t="s">
        <v>28465</v>
      </c>
      <c r="D1799" s="246">
        <v>42110</v>
      </c>
      <c r="E1799" s="5" t="s">
        <v>28510</v>
      </c>
      <c r="F1799" s="26" t="s">
        <v>23600</v>
      </c>
      <c r="G1799" s="27" t="s">
        <v>9543</v>
      </c>
      <c r="H1799" s="28" t="s">
        <v>9544</v>
      </c>
      <c r="I1799" s="5" t="s">
        <v>377</v>
      </c>
    </row>
    <row r="1800" spans="1:9" ht="51.75" customHeight="1">
      <c r="A1800" s="5" t="s">
        <v>25313</v>
      </c>
      <c r="B1800" s="5" t="s">
        <v>28511</v>
      </c>
      <c r="C1800" s="5" t="s">
        <v>28456</v>
      </c>
      <c r="D1800" s="246">
        <v>41921</v>
      </c>
      <c r="E1800" s="5" t="s">
        <v>28512</v>
      </c>
      <c r="F1800" s="26" t="s">
        <v>23600</v>
      </c>
      <c r="G1800" s="27" t="s">
        <v>9561</v>
      </c>
      <c r="H1800" s="28" t="s">
        <v>9562</v>
      </c>
      <c r="I1800" s="5" t="s">
        <v>377</v>
      </c>
    </row>
    <row r="1801" spans="1:9" ht="51.75" customHeight="1">
      <c r="A1801" s="5" t="s">
        <v>24969</v>
      </c>
      <c r="B1801" s="5" t="s">
        <v>28513</v>
      </c>
      <c r="C1801" s="5">
        <v>1</v>
      </c>
      <c r="D1801" s="246">
        <v>41933</v>
      </c>
      <c r="E1801" s="5" t="s">
        <v>28514</v>
      </c>
      <c r="F1801" s="26" t="s">
        <v>23600</v>
      </c>
      <c r="G1801" s="27" t="s">
        <v>9665</v>
      </c>
      <c r="H1801" s="28" t="s">
        <v>9666</v>
      </c>
      <c r="I1801" s="5" t="s">
        <v>377</v>
      </c>
    </row>
    <row r="1802" spans="1:9" ht="51.75" customHeight="1">
      <c r="A1802" s="5" t="s">
        <v>25000</v>
      </c>
      <c r="B1802" s="5" t="s">
        <v>28515</v>
      </c>
      <c r="C1802" s="5">
        <v>1</v>
      </c>
      <c r="D1802" s="246">
        <v>41946</v>
      </c>
      <c r="E1802" s="5" t="s">
        <v>28516</v>
      </c>
      <c r="F1802" s="26" t="s">
        <v>23600</v>
      </c>
      <c r="G1802" s="27" t="s">
        <v>9781</v>
      </c>
      <c r="H1802" s="28" t="s">
        <v>9782</v>
      </c>
      <c r="I1802" s="5" t="s">
        <v>377</v>
      </c>
    </row>
    <row r="1803" spans="1:9" ht="51.75" customHeight="1">
      <c r="A1803" s="5" t="s">
        <v>25006</v>
      </c>
      <c r="B1803" s="5" t="s">
        <v>28517</v>
      </c>
      <c r="C1803" s="5">
        <v>2</v>
      </c>
      <c r="D1803" s="246">
        <v>41946</v>
      </c>
      <c r="E1803" s="5" t="s">
        <v>28518</v>
      </c>
      <c r="F1803" s="26" t="s">
        <v>23600</v>
      </c>
      <c r="G1803" s="27" t="s">
        <v>9781</v>
      </c>
      <c r="H1803" s="28" t="s">
        <v>9782</v>
      </c>
      <c r="I1803" s="5" t="s">
        <v>377</v>
      </c>
    </row>
    <row r="1804" spans="1:9" ht="51.75" customHeight="1">
      <c r="A1804" s="5" t="s">
        <v>25012</v>
      </c>
      <c r="B1804" s="5" t="s">
        <v>28519</v>
      </c>
      <c r="C1804" s="5">
        <v>3</v>
      </c>
      <c r="D1804" s="246">
        <v>41946</v>
      </c>
      <c r="E1804" s="5" t="s">
        <v>28520</v>
      </c>
      <c r="F1804" s="26" t="s">
        <v>23600</v>
      </c>
      <c r="G1804" s="27" t="s">
        <v>9781</v>
      </c>
      <c r="H1804" s="28" t="s">
        <v>9782</v>
      </c>
      <c r="I1804" s="5" t="s">
        <v>377</v>
      </c>
    </row>
    <row r="1805" spans="1:9" ht="51.75" customHeight="1">
      <c r="A1805" s="5" t="s">
        <v>26087</v>
      </c>
      <c r="B1805" s="5" t="s">
        <v>28521</v>
      </c>
      <c r="C1805" s="5" t="s">
        <v>28456</v>
      </c>
      <c r="D1805" s="246">
        <v>42138</v>
      </c>
      <c r="E1805" s="5" t="s">
        <v>28522</v>
      </c>
      <c r="F1805" s="26" t="s">
        <v>23600</v>
      </c>
      <c r="G1805" s="27" t="s">
        <v>10111</v>
      </c>
      <c r="H1805" s="28" t="s">
        <v>10112</v>
      </c>
      <c r="I1805" s="5" t="s">
        <v>377</v>
      </c>
    </row>
    <row r="1806" spans="1:9" ht="51.75" customHeight="1">
      <c r="A1806" s="5" t="s">
        <v>26092</v>
      </c>
      <c r="B1806" s="5" t="s">
        <v>28523</v>
      </c>
      <c r="C1806" s="5" t="s">
        <v>28459</v>
      </c>
      <c r="D1806" s="246">
        <v>42138</v>
      </c>
      <c r="E1806" s="5" t="s">
        <v>28524</v>
      </c>
      <c r="F1806" s="26" t="s">
        <v>23600</v>
      </c>
      <c r="G1806" s="27" t="s">
        <v>10111</v>
      </c>
      <c r="H1806" s="28" t="s">
        <v>10112</v>
      </c>
      <c r="I1806" s="5" t="s">
        <v>377</v>
      </c>
    </row>
    <row r="1807" spans="1:9" ht="51.75" customHeight="1">
      <c r="A1807" s="5" t="s">
        <v>25301</v>
      </c>
      <c r="B1807" s="5" t="s">
        <v>28525</v>
      </c>
      <c r="C1807" s="5" t="s">
        <v>28456</v>
      </c>
      <c r="D1807" s="246">
        <v>42150</v>
      </c>
      <c r="E1807" s="5" t="s">
        <v>28526</v>
      </c>
      <c r="F1807" s="26" t="s">
        <v>23600</v>
      </c>
      <c r="G1807" s="27" t="s">
        <v>10714</v>
      </c>
      <c r="H1807" s="28" t="s">
        <v>10715</v>
      </c>
      <c r="I1807" s="5" t="s">
        <v>377</v>
      </c>
    </row>
    <row r="1808" spans="1:9" ht="51.75" customHeight="1">
      <c r="A1808" s="5" t="s">
        <v>25304</v>
      </c>
      <c r="B1808" s="5" t="s">
        <v>28527</v>
      </c>
      <c r="C1808" s="5" t="s">
        <v>28459</v>
      </c>
      <c r="D1808" s="246">
        <v>42150</v>
      </c>
      <c r="E1808" s="5" t="s">
        <v>28528</v>
      </c>
      <c r="F1808" s="26" t="s">
        <v>23600</v>
      </c>
      <c r="G1808" s="27" t="s">
        <v>10714</v>
      </c>
      <c r="H1808" s="28" t="s">
        <v>10715</v>
      </c>
      <c r="I1808" s="5" t="s">
        <v>377</v>
      </c>
    </row>
    <row r="1809" spans="1:9" ht="51.75" customHeight="1">
      <c r="A1809" s="5" t="s">
        <v>26773</v>
      </c>
      <c r="B1809" s="5" t="s">
        <v>28529</v>
      </c>
      <c r="C1809" s="5" t="s">
        <v>28150</v>
      </c>
      <c r="D1809" s="246">
        <v>42514</v>
      </c>
      <c r="E1809" s="5" t="s">
        <v>28530</v>
      </c>
      <c r="F1809" s="26" t="s">
        <v>28296</v>
      </c>
      <c r="G1809" s="27" t="s">
        <v>10036</v>
      </c>
      <c r="H1809" s="28" t="s">
        <v>10037</v>
      </c>
      <c r="I1809" s="5" t="s">
        <v>377</v>
      </c>
    </row>
    <row r="1810" spans="1:9" ht="51.75" customHeight="1">
      <c r="A1810" s="5" t="s">
        <v>26773</v>
      </c>
      <c r="B1810" s="5" t="s">
        <v>28531</v>
      </c>
      <c r="C1810" s="5" t="s">
        <v>28150</v>
      </c>
      <c r="D1810" s="246">
        <v>42514</v>
      </c>
      <c r="E1810" s="5" t="s">
        <v>28532</v>
      </c>
      <c r="F1810" s="26" t="s">
        <v>23600</v>
      </c>
      <c r="G1810" s="27" t="s">
        <v>10036</v>
      </c>
      <c r="H1810" s="28" t="s">
        <v>10037</v>
      </c>
      <c r="I1810" s="5" t="s">
        <v>377</v>
      </c>
    </row>
    <row r="1811" spans="1:9" ht="51.75" customHeight="1">
      <c r="A1811" s="5" t="s">
        <v>26779</v>
      </c>
      <c r="B1811" s="5" t="s">
        <v>28533</v>
      </c>
      <c r="C1811" s="5" t="s">
        <v>28153</v>
      </c>
      <c r="D1811" s="246">
        <v>42514</v>
      </c>
      <c r="E1811" s="5" t="s">
        <v>28534</v>
      </c>
      <c r="F1811" s="26" t="s">
        <v>28296</v>
      </c>
      <c r="G1811" s="27" t="s">
        <v>10036</v>
      </c>
      <c r="H1811" s="28" t="s">
        <v>10037</v>
      </c>
      <c r="I1811" s="5" t="s">
        <v>377</v>
      </c>
    </row>
    <row r="1812" spans="1:9" ht="51.75" customHeight="1">
      <c r="A1812" s="5" t="s">
        <v>26779</v>
      </c>
      <c r="B1812" s="5" t="s">
        <v>28535</v>
      </c>
      <c r="C1812" s="5" t="s">
        <v>28153</v>
      </c>
      <c r="D1812" s="246">
        <v>42514</v>
      </c>
      <c r="E1812" s="5" t="s">
        <v>28536</v>
      </c>
      <c r="F1812" s="26" t="s">
        <v>23600</v>
      </c>
      <c r="G1812" s="27" t="s">
        <v>10036</v>
      </c>
      <c r="H1812" s="28" t="s">
        <v>10037</v>
      </c>
      <c r="I1812" s="5" t="s">
        <v>377</v>
      </c>
    </row>
    <row r="1813" spans="1:9" ht="51.75" customHeight="1">
      <c r="A1813" s="5" t="s">
        <v>26818</v>
      </c>
      <c r="B1813" s="5" t="s">
        <v>28537</v>
      </c>
      <c r="C1813" s="5" t="s">
        <v>28156</v>
      </c>
      <c r="D1813" s="246">
        <v>42514</v>
      </c>
      <c r="E1813" s="5" t="s">
        <v>28538</v>
      </c>
      <c r="F1813" s="26" t="s">
        <v>28296</v>
      </c>
      <c r="G1813" s="27" t="s">
        <v>10036</v>
      </c>
      <c r="H1813" s="28" t="s">
        <v>10037</v>
      </c>
      <c r="I1813" s="5" t="s">
        <v>377</v>
      </c>
    </row>
    <row r="1814" spans="1:9" ht="51.75" customHeight="1">
      <c r="A1814" s="5" t="s">
        <v>26818</v>
      </c>
      <c r="B1814" s="5" t="s">
        <v>28539</v>
      </c>
      <c r="C1814" s="5" t="s">
        <v>28156</v>
      </c>
      <c r="D1814" s="246">
        <v>42514</v>
      </c>
      <c r="E1814" s="5" t="s">
        <v>28540</v>
      </c>
      <c r="F1814" s="26" t="s">
        <v>23600</v>
      </c>
      <c r="G1814" s="27" t="s">
        <v>10036</v>
      </c>
      <c r="H1814" s="28" t="s">
        <v>10037</v>
      </c>
      <c r="I1814" s="5" t="s">
        <v>377</v>
      </c>
    </row>
    <row r="1815" spans="1:9" ht="51.75" customHeight="1">
      <c r="A1815" s="5" t="s">
        <v>24628</v>
      </c>
      <c r="B1815" s="5" t="s">
        <v>28541</v>
      </c>
      <c r="C1815" s="5" t="s">
        <v>28542</v>
      </c>
      <c r="D1815" s="246">
        <v>42514</v>
      </c>
      <c r="E1815" s="5" t="s">
        <v>28543</v>
      </c>
      <c r="F1815" s="26" t="s">
        <v>28296</v>
      </c>
      <c r="G1815" s="27" t="s">
        <v>10036</v>
      </c>
      <c r="H1815" s="28" t="s">
        <v>10037</v>
      </c>
      <c r="I1815" s="5" t="s">
        <v>377</v>
      </c>
    </row>
    <row r="1816" spans="1:9" ht="51.75" customHeight="1">
      <c r="A1816" s="5" t="s">
        <v>24628</v>
      </c>
      <c r="B1816" s="5" t="s">
        <v>28544</v>
      </c>
      <c r="C1816" s="5" t="s">
        <v>28542</v>
      </c>
      <c r="D1816" s="246">
        <v>42514</v>
      </c>
      <c r="E1816" s="5" t="s">
        <v>28545</v>
      </c>
      <c r="F1816" s="26" t="s">
        <v>23600</v>
      </c>
      <c r="G1816" s="27" t="s">
        <v>10036</v>
      </c>
      <c r="H1816" s="28" t="s">
        <v>10037</v>
      </c>
      <c r="I1816" s="5" t="s">
        <v>377</v>
      </c>
    </row>
    <row r="1817" spans="1:9" ht="51.75" customHeight="1">
      <c r="A1817" s="5" t="s">
        <v>24647</v>
      </c>
      <c r="B1817" s="5" t="s">
        <v>28546</v>
      </c>
      <c r="C1817" s="5" t="s">
        <v>28547</v>
      </c>
      <c r="D1817" s="246">
        <v>42514</v>
      </c>
      <c r="E1817" s="5" t="s">
        <v>28548</v>
      </c>
      <c r="F1817" s="26" t="s">
        <v>28296</v>
      </c>
      <c r="G1817" s="27" t="s">
        <v>10036</v>
      </c>
      <c r="H1817" s="28" t="s">
        <v>10037</v>
      </c>
      <c r="I1817" s="5" t="s">
        <v>377</v>
      </c>
    </row>
    <row r="1818" spans="1:9" ht="51.75" customHeight="1">
      <c r="A1818" s="5" t="s">
        <v>24647</v>
      </c>
      <c r="B1818" s="5" t="s">
        <v>28549</v>
      </c>
      <c r="C1818" s="5" t="s">
        <v>28547</v>
      </c>
      <c r="D1818" s="246">
        <v>42514</v>
      </c>
      <c r="E1818" s="5" t="s">
        <v>28550</v>
      </c>
      <c r="F1818" s="26" t="s">
        <v>23600</v>
      </c>
      <c r="G1818" s="27" t="s">
        <v>10036</v>
      </c>
      <c r="H1818" s="28" t="s">
        <v>10037</v>
      </c>
      <c r="I1818" s="5" t="s">
        <v>377</v>
      </c>
    </row>
    <row r="1819" spans="1:9" ht="51.75" customHeight="1">
      <c r="A1819" s="5" t="s">
        <v>28551</v>
      </c>
      <c r="B1819" s="5" t="s">
        <v>28552</v>
      </c>
      <c r="C1819" s="5" t="s">
        <v>28553</v>
      </c>
      <c r="D1819" s="246">
        <v>42514</v>
      </c>
      <c r="E1819" s="5" t="s">
        <v>28554</v>
      </c>
      <c r="F1819" s="26" t="s">
        <v>28296</v>
      </c>
      <c r="G1819" s="27" t="s">
        <v>10036</v>
      </c>
      <c r="H1819" s="28" t="s">
        <v>10037</v>
      </c>
      <c r="I1819" s="5" t="s">
        <v>377</v>
      </c>
    </row>
    <row r="1820" spans="1:9" ht="51.75" customHeight="1">
      <c r="A1820" s="5" t="s">
        <v>28551</v>
      </c>
      <c r="B1820" s="5" t="s">
        <v>28555</v>
      </c>
      <c r="C1820" s="5" t="s">
        <v>28553</v>
      </c>
      <c r="D1820" s="246">
        <v>42514</v>
      </c>
      <c r="E1820" s="5" t="s">
        <v>28556</v>
      </c>
      <c r="F1820" s="26" t="s">
        <v>23600</v>
      </c>
      <c r="G1820" s="27" t="s">
        <v>10036</v>
      </c>
      <c r="H1820" s="28" t="s">
        <v>10037</v>
      </c>
      <c r="I1820" s="5" t="s">
        <v>377</v>
      </c>
    </row>
    <row r="1821" spans="1:9" ht="51.75" customHeight="1">
      <c r="A1821" s="5" t="s">
        <v>28557</v>
      </c>
      <c r="B1821" s="5" t="s">
        <v>28558</v>
      </c>
      <c r="C1821" s="5" t="s">
        <v>28559</v>
      </c>
      <c r="D1821" s="246">
        <v>42514</v>
      </c>
      <c r="E1821" s="5" t="s">
        <v>28560</v>
      </c>
      <c r="F1821" s="26" t="s">
        <v>28296</v>
      </c>
      <c r="G1821" s="27" t="s">
        <v>10036</v>
      </c>
      <c r="H1821" s="28" t="s">
        <v>10037</v>
      </c>
      <c r="I1821" s="5" t="s">
        <v>377</v>
      </c>
    </row>
    <row r="1822" spans="1:9" ht="51.75" customHeight="1">
      <c r="A1822" s="5" t="s">
        <v>28557</v>
      </c>
      <c r="B1822" s="5" t="s">
        <v>28561</v>
      </c>
      <c r="C1822" s="5" t="s">
        <v>28559</v>
      </c>
      <c r="D1822" s="246">
        <v>42514</v>
      </c>
      <c r="E1822" s="5" t="s">
        <v>28562</v>
      </c>
      <c r="F1822" s="26" t="s">
        <v>23600</v>
      </c>
      <c r="G1822" s="27" t="s">
        <v>10036</v>
      </c>
      <c r="H1822" s="28" t="s">
        <v>10037</v>
      </c>
      <c r="I1822" s="5" t="s">
        <v>377</v>
      </c>
    </row>
    <row r="1823" spans="1:9" ht="51.75" customHeight="1">
      <c r="A1823" s="5" t="s">
        <v>24651</v>
      </c>
      <c r="B1823" s="5" t="s">
        <v>28563</v>
      </c>
      <c r="C1823" s="5" t="s">
        <v>28564</v>
      </c>
      <c r="D1823" s="246">
        <v>42514</v>
      </c>
      <c r="E1823" s="5" t="s">
        <v>28565</v>
      </c>
      <c r="F1823" s="26" t="s">
        <v>28296</v>
      </c>
      <c r="G1823" s="27" t="s">
        <v>10036</v>
      </c>
      <c r="H1823" s="28" t="s">
        <v>10037</v>
      </c>
      <c r="I1823" s="5" t="s">
        <v>377</v>
      </c>
    </row>
    <row r="1824" spans="1:9" ht="51.75" customHeight="1">
      <c r="A1824" s="5" t="s">
        <v>24651</v>
      </c>
      <c r="B1824" s="5" t="s">
        <v>28566</v>
      </c>
      <c r="C1824" s="5" t="s">
        <v>28564</v>
      </c>
      <c r="D1824" s="246">
        <v>42514</v>
      </c>
      <c r="E1824" s="5" t="s">
        <v>28567</v>
      </c>
      <c r="F1824" s="26" t="s">
        <v>23600</v>
      </c>
      <c r="G1824" s="27" t="s">
        <v>10036</v>
      </c>
      <c r="H1824" s="28" t="s">
        <v>10037</v>
      </c>
      <c r="I1824" s="5" t="s">
        <v>377</v>
      </c>
    </row>
    <row r="1825" spans="1:9" ht="51.75" customHeight="1">
      <c r="A1825" s="5" t="s">
        <v>28568</v>
      </c>
      <c r="B1825" s="5" t="s">
        <v>28569</v>
      </c>
      <c r="C1825" s="5" t="s">
        <v>28570</v>
      </c>
      <c r="D1825" s="246">
        <v>42514</v>
      </c>
      <c r="E1825" s="5" t="s">
        <v>28571</v>
      </c>
      <c r="F1825" s="26" t="s">
        <v>28296</v>
      </c>
      <c r="G1825" s="27" t="s">
        <v>10036</v>
      </c>
      <c r="H1825" s="28" t="s">
        <v>10037</v>
      </c>
      <c r="I1825" s="5" t="s">
        <v>377</v>
      </c>
    </row>
    <row r="1826" spans="1:9" ht="51.75" customHeight="1">
      <c r="A1826" s="5" t="s">
        <v>28568</v>
      </c>
      <c r="B1826" s="5" t="s">
        <v>28572</v>
      </c>
      <c r="C1826" s="5" t="s">
        <v>28570</v>
      </c>
      <c r="D1826" s="246">
        <v>42514</v>
      </c>
      <c r="E1826" s="5" t="s">
        <v>28573</v>
      </c>
      <c r="F1826" s="26" t="s">
        <v>23600</v>
      </c>
      <c r="G1826" s="27" t="s">
        <v>10036</v>
      </c>
      <c r="H1826" s="28" t="s">
        <v>10037</v>
      </c>
      <c r="I1826" s="5" t="s">
        <v>377</v>
      </c>
    </row>
    <row r="1827" spans="1:9" ht="51.75" customHeight="1">
      <c r="A1827" s="5" t="s">
        <v>28574</v>
      </c>
      <c r="B1827" s="5" t="s">
        <v>28575</v>
      </c>
      <c r="C1827" s="5" t="s">
        <v>28576</v>
      </c>
      <c r="D1827" s="246">
        <v>42514</v>
      </c>
      <c r="E1827" s="5" t="s">
        <v>28577</v>
      </c>
      <c r="F1827" s="26" t="s">
        <v>28296</v>
      </c>
      <c r="G1827" s="27" t="s">
        <v>10036</v>
      </c>
      <c r="H1827" s="28" t="s">
        <v>10037</v>
      </c>
      <c r="I1827" s="5" t="s">
        <v>377</v>
      </c>
    </row>
    <row r="1828" spans="1:9" ht="51.75" customHeight="1">
      <c r="A1828" s="5" t="s">
        <v>28574</v>
      </c>
      <c r="B1828" s="5" t="s">
        <v>28578</v>
      </c>
      <c r="C1828" s="5" t="s">
        <v>28576</v>
      </c>
      <c r="D1828" s="246">
        <v>42514</v>
      </c>
      <c r="E1828" s="5" t="s">
        <v>28579</v>
      </c>
      <c r="F1828" s="26" t="s">
        <v>23600</v>
      </c>
      <c r="G1828" s="27" t="s">
        <v>10036</v>
      </c>
      <c r="H1828" s="28" t="s">
        <v>10037</v>
      </c>
      <c r="I1828" s="5" t="s">
        <v>377</v>
      </c>
    </row>
    <row r="1829" spans="1:9" ht="51.75" customHeight="1">
      <c r="A1829" s="5" t="s">
        <v>24655</v>
      </c>
      <c r="B1829" s="5" t="s">
        <v>28580</v>
      </c>
      <c r="C1829" s="5" t="s">
        <v>28581</v>
      </c>
      <c r="D1829" s="246">
        <v>42514</v>
      </c>
      <c r="E1829" s="5" t="s">
        <v>28582</v>
      </c>
      <c r="F1829" s="26" t="s">
        <v>28296</v>
      </c>
      <c r="G1829" s="27" t="s">
        <v>10036</v>
      </c>
      <c r="H1829" s="28" t="s">
        <v>10037</v>
      </c>
      <c r="I1829" s="5" t="s">
        <v>377</v>
      </c>
    </row>
    <row r="1830" spans="1:9" ht="51.75" customHeight="1">
      <c r="A1830" s="5" t="s">
        <v>24655</v>
      </c>
      <c r="B1830" s="5" t="s">
        <v>28583</v>
      </c>
      <c r="C1830" s="5" t="s">
        <v>28581</v>
      </c>
      <c r="D1830" s="246">
        <v>42514</v>
      </c>
      <c r="E1830" s="5" t="s">
        <v>28584</v>
      </c>
      <c r="F1830" s="26" t="s">
        <v>23600</v>
      </c>
      <c r="G1830" s="27" t="s">
        <v>10036</v>
      </c>
      <c r="H1830" s="28" t="s">
        <v>10037</v>
      </c>
      <c r="I1830" s="5" t="s">
        <v>377</v>
      </c>
    </row>
    <row r="1831" spans="1:9" ht="51.75" customHeight="1">
      <c r="A1831" s="5" t="s">
        <v>24659</v>
      </c>
      <c r="B1831" s="5" t="s">
        <v>28585</v>
      </c>
      <c r="C1831" s="5" t="s">
        <v>28586</v>
      </c>
      <c r="D1831" s="246">
        <v>42514</v>
      </c>
      <c r="E1831" s="5" t="s">
        <v>28587</v>
      </c>
      <c r="F1831" s="26" t="s">
        <v>28296</v>
      </c>
      <c r="G1831" s="27" t="s">
        <v>10036</v>
      </c>
      <c r="H1831" s="28" t="s">
        <v>10037</v>
      </c>
      <c r="I1831" s="5" t="s">
        <v>377</v>
      </c>
    </row>
    <row r="1832" spans="1:9" ht="51.75" customHeight="1">
      <c r="A1832" s="5" t="s">
        <v>24659</v>
      </c>
      <c r="B1832" s="5" t="s">
        <v>28588</v>
      </c>
      <c r="C1832" s="5" t="s">
        <v>28586</v>
      </c>
      <c r="D1832" s="246">
        <v>42514</v>
      </c>
      <c r="E1832" s="5" t="s">
        <v>28589</v>
      </c>
      <c r="F1832" s="26" t="s">
        <v>23600</v>
      </c>
      <c r="G1832" s="27" t="s">
        <v>10036</v>
      </c>
      <c r="H1832" s="28" t="s">
        <v>10037</v>
      </c>
      <c r="I1832" s="5" t="s">
        <v>377</v>
      </c>
    </row>
    <row r="1833" spans="1:9" ht="51.75" customHeight="1">
      <c r="A1833" s="5" t="s">
        <v>25006</v>
      </c>
      <c r="B1833" s="5" t="s">
        <v>28590</v>
      </c>
      <c r="C1833" s="5" t="s">
        <v>28150</v>
      </c>
      <c r="D1833" s="246">
        <v>42726</v>
      </c>
      <c r="E1833" s="5" t="s">
        <v>28591</v>
      </c>
      <c r="F1833" s="26" t="s">
        <v>28296</v>
      </c>
      <c r="G1833" s="27" t="s">
        <v>11426</v>
      </c>
      <c r="H1833" s="28" t="s">
        <v>11427</v>
      </c>
      <c r="I1833" s="5" t="s">
        <v>377</v>
      </c>
    </row>
    <row r="1834" spans="1:9" ht="51.75" customHeight="1">
      <c r="A1834" s="5" t="s">
        <v>25006</v>
      </c>
      <c r="B1834" s="5" t="s">
        <v>28592</v>
      </c>
      <c r="C1834" s="5" t="s">
        <v>28150</v>
      </c>
      <c r="D1834" s="246">
        <v>42726</v>
      </c>
      <c r="E1834" s="5" t="s">
        <v>28593</v>
      </c>
      <c r="F1834" s="26" t="s">
        <v>23600</v>
      </c>
      <c r="G1834" s="27" t="s">
        <v>11426</v>
      </c>
      <c r="H1834" s="28" t="s">
        <v>11427</v>
      </c>
      <c r="I1834" s="5" t="s">
        <v>377</v>
      </c>
    </row>
    <row r="1835" spans="1:9" ht="51.75" customHeight="1">
      <c r="A1835" s="5" t="s">
        <v>25012</v>
      </c>
      <c r="B1835" s="5" t="s">
        <v>28594</v>
      </c>
      <c r="C1835" s="5" t="s">
        <v>28153</v>
      </c>
      <c r="D1835" s="246">
        <v>42726</v>
      </c>
      <c r="E1835" s="5" t="s">
        <v>28595</v>
      </c>
      <c r="F1835" s="26" t="s">
        <v>28296</v>
      </c>
      <c r="G1835" s="27" t="s">
        <v>11426</v>
      </c>
      <c r="H1835" s="28" t="s">
        <v>11427</v>
      </c>
      <c r="I1835" s="5" t="s">
        <v>377</v>
      </c>
    </row>
    <row r="1836" spans="1:9" ht="51.75" customHeight="1">
      <c r="A1836" s="5" t="s">
        <v>25012</v>
      </c>
      <c r="B1836" s="5" t="s">
        <v>28596</v>
      </c>
      <c r="C1836" s="5" t="s">
        <v>28153</v>
      </c>
      <c r="D1836" s="246">
        <v>42726</v>
      </c>
      <c r="E1836" s="5" t="s">
        <v>28597</v>
      </c>
      <c r="F1836" s="26" t="s">
        <v>23600</v>
      </c>
      <c r="G1836" s="27" t="s">
        <v>11426</v>
      </c>
      <c r="H1836" s="28" t="s">
        <v>11427</v>
      </c>
      <c r="I1836" s="5" t="s">
        <v>377</v>
      </c>
    </row>
    <row r="1837" spans="1:9" ht="51.75" customHeight="1">
      <c r="A1837" s="5" t="s">
        <v>24969</v>
      </c>
      <c r="B1837" s="5" t="s">
        <v>28598</v>
      </c>
      <c r="C1837" s="5" t="s">
        <v>28156</v>
      </c>
      <c r="D1837" s="246">
        <v>42726</v>
      </c>
      <c r="E1837" s="5" t="s">
        <v>28599</v>
      </c>
      <c r="F1837" s="26" t="s">
        <v>28296</v>
      </c>
      <c r="G1837" s="27" t="s">
        <v>11426</v>
      </c>
      <c r="H1837" s="28" t="s">
        <v>11427</v>
      </c>
      <c r="I1837" s="5" t="s">
        <v>377</v>
      </c>
    </row>
    <row r="1838" spans="1:9" ht="51.75" customHeight="1">
      <c r="A1838" s="5" t="s">
        <v>24969</v>
      </c>
      <c r="B1838" s="5" t="s">
        <v>28600</v>
      </c>
      <c r="C1838" s="5" t="s">
        <v>28156</v>
      </c>
      <c r="D1838" s="246">
        <v>42726</v>
      </c>
      <c r="E1838" s="5" t="s">
        <v>28601</v>
      </c>
      <c r="F1838" s="26" t="s">
        <v>23600</v>
      </c>
      <c r="G1838" s="27" t="s">
        <v>11426</v>
      </c>
      <c r="H1838" s="28" t="s">
        <v>11427</v>
      </c>
      <c r="I1838" s="5" t="s">
        <v>377</v>
      </c>
    </row>
    <row r="1839" spans="1:9" ht="51.75" customHeight="1">
      <c r="A1839" s="5" t="s">
        <v>27180</v>
      </c>
      <c r="B1839" s="5" t="s">
        <v>28602</v>
      </c>
      <c r="C1839" s="5" t="s">
        <v>28456</v>
      </c>
      <c r="D1839" s="246">
        <v>42352</v>
      </c>
      <c r="E1839" s="5" t="s">
        <v>28603</v>
      </c>
      <c r="F1839" s="26" t="s">
        <v>23600</v>
      </c>
      <c r="G1839" s="27" t="s">
        <v>10911</v>
      </c>
      <c r="H1839" s="28" t="s">
        <v>10912</v>
      </c>
      <c r="I1839" s="5" t="s">
        <v>377</v>
      </c>
    </row>
    <row r="1840" spans="1:9" ht="51.75" customHeight="1">
      <c r="A1840" s="5" t="s">
        <v>27183</v>
      </c>
      <c r="B1840" s="5" t="s">
        <v>28604</v>
      </c>
      <c r="C1840" s="5" t="s">
        <v>28459</v>
      </c>
      <c r="D1840" s="246">
        <v>42352</v>
      </c>
      <c r="E1840" s="5" t="s">
        <v>28605</v>
      </c>
      <c r="F1840" s="26" t="s">
        <v>23600</v>
      </c>
      <c r="G1840" s="27" t="s">
        <v>10911</v>
      </c>
      <c r="H1840" s="28" t="s">
        <v>10912</v>
      </c>
      <c r="I1840" s="5" t="s">
        <v>377</v>
      </c>
    </row>
    <row r="1841" spans="1:9" ht="51.75" customHeight="1">
      <c r="A1841" s="5" t="s">
        <v>27223</v>
      </c>
      <c r="B1841" s="5" t="s">
        <v>28606</v>
      </c>
      <c r="C1841" s="5" t="s">
        <v>28476</v>
      </c>
      <c r="D1841" s="246">
        <v>42352</v>
      </c>
      <c r="E1841" s="5" t="s">
        <v>28607</v>
      </c>
      <c r="F1841" s="26" t="s">
        <v>23600</v>
      </c>
      <c r="G1841" s="27" t="s">
        <v>10911</v>
      </c>
      <c r="H1841" s="28" t="s">
        <v>10912</v>
      </c>
      <c r="I1841" s="5" t="s">
        <v>377</v>
      </c>
    </row>
    <row r="1842" spans="1:9" ht="51.75" customHeight="1">
      <c r="A1842" s="5" t="s">
        <v>25038</v>
      </c>
      <c r="B1842" s="5" t="s">
        <v>28608</v>
      </c>
      <c r="C1842" s="5" t="s">
        <v>28465</v>
      </c>
      <c r="D1842" s="246">
        <v>42352</v>
      </c>
      <c r="E1842" s="5" t="s">
        <v>28609</v>
      </c>
      <c r="F1842" s="26" t="s">
        <v>23600</v>
      </c>
      <c r="G1842" s="27" t="s">
        <v>10911</v>
      </c>
      <c r="H1842" s="28" t="s">
        <v>10912</v>
      </c>
      <c r="I1842" s="5" t="s">
        <v>377</v>
      </c>
    </row>
    <row r="1843" spans="1:9" ht="51.75" customHeight="1">
      <c r="A1843" s="5" t="s">
        <v>25043</v>
      </c>
      <c r="B1843" s="5" t="s">
        <v>28610</v>
      </c>
      <c r="C1843" s="5" t="s">
        <v>28481</v>
      </c>
      <c r="D1843" s="246">
        <v>42352</v>
      </c>
      <c r="E1843" s="5" t="s">
        <v>28611</v>
      </c>
      <c r="F1843" s="26" t="s">
        <v>23600</v>
      </c>
      <c r="G1843" s="27" t="s">
        <v>10911</v>
      </c>
      <c r="H1843" s="28" t="s">
        <v>10912</v>
      </c>
      <c r="I1843" s="5" t="s">
        <v>377</v>
      </c>
    </row>
    <row r="1844" spans="1:9" ht="51.75" customHeight="1">
      <c r="A1844" s="5" t="s">
        <v>27236</v>
      </c>
      <c r="B1844" s="5" t="s">
        <v>28612</v>
      </c>
      <c r="C1844" s="5" t="s">
        <v>28484</v>
      </c>
      <c r="D1844" s="246">
        <v>42352</v>
      </c>
      <c r="E1844" s="5" t="s">
        <v>28613</v>
      </c>
      <c r="F1844" s="26" t="s">
        <v>23600</v>
      </c>
      <c r="G1844" s="27" t="s">
        <v>10911</v>
      </c>
      <c r="H1844" s="28" t="s">
        <v>10912</v>
      </c>
      <c r="I1844" s="5" t="s">
        <v>377</v>
      </c>
    </row>
    <row r="1845" spans="1:9" ht="51.75" customHeight="1">
      <c r="A1845" s="5" t="s">
        <v>28614</v>
      </c>
      <c r="B1845" s="5" t="s">
        <v>28615</v>
      </c>
      <c r="C1845" s="5" t="s">
        <v>28150</v>
      </c>
      <c r="D1845" s="246">
        <v>42576</v>
      </c>
      <c r="E1845" s="5" t="s">
        <v>28616</v>
      </c>
      <c r="F1845" s="26" t="s">
        <v>23600</v>
      </c>
      <c r="G1845" s="27" t="s">
        <v>11345</v>
      </c>
      <c r="H1845" s="28" t="s">
        <v>11346</v>
      </c>
      <c r="I1845" s="5" t="s">
        <v>377</v>
      </c>
    </row>
    <row r="1846" spans="1:9" ht="51.75" customHeight="1">
      <c r="A1846" s="5" t="s">
        <v>26686</v>
      </c>
      <c r="B1846" s="5" t="s">
        <v>28617</v>
      </c>
      <c r="C1846" s="5" t="s">
        <v>28153</v>
      </c>
      <c r="D1846" s="246">
        <v>42576</v>
      </c>
      <c r="E1846" s="5" t="s">
        <v>28618</v>
      </c>
      <c r="F1846" s="26" t="s">
        <v>23600</v>
      </c>
      <c r="G1846" s="27" t="s">
        <v>11345</v>
      </c>
      <c r="H1846" s="28" t="s">
        <v>11346</v>
      </c>
      <c r="I1846" s="5" t="s">
        <v>377</v>
      </c>
    </row>
    <row r="1847" spans="1:9" ht="51.75" customHeight="1">
      <c r="A1847" s="5" t="s">
        <v>28619</v>
      </c>
      <c r="B1847" s="5" t="s">
        <v>28620</v>
      </c>
      <c r="C1847" s="5" t="s">
        <v>28156</v>
      </c>
      <c r="D1847" s="246">
        <v>42576</v>
      </c>
      <c r="E1847" s="5" t="s">
        <v>28621</v>
      </c>
      <c r="F1847" s="26" t="s">
        <v>23600</v>
      </c>
      <c r="G1847" s="27" t="s">
        <v>11345</v>
      </c>
      <c r="H1847" s="28" t="s">
        <v>11346</v>
      </c>
      <c r="I1847" s="5" t="s">
        <v>377</v>
      </c>
    </row>
    <row r="1848" spans="1:9" ht="51.75" customHeight="1">
      <c r="A1848" s="5" t="s">
        <v>28622</v>
      </c>
      <c r="B1848" s="5" t="s">
        <v>28623</v>
      </c>
      <c r="C1848" s="5" t="s">
        <v>28160</v>
      </c>
      <c r="D1848" s="246">
        <v>42576</v>
      </c>
      <c r="E1848" s="5" t="s">
        <v>28624</v>
      </c>
      <c r="F1848" s="26" t="s">
        <v>23600</v>
      </c>
      <c r="G1848" s="27" t="s">
        <v>11345</v>
      </c>
      <c r="H1848" s="28" t="s">
        <v>11346</v>
      </c>
      <c r="I1848" s="5" t="s">
        <v>377</v>
      </c>
    </row>
    <row r="1849" spans="1:9" ht="51.75" customHeight="1">
      <c r="A1849" s="5" t="s">
        <v>28625</v>
      </c>
      <c r="B1849" s="5" t="s">
        <v>28626</v>
      </c>
      <c r="C1849" s="5" t="s">
        <v>28163</v>
      </c>
      <c r="D1849" s="246">
        <v>42576</v>
      </c>
      <c r="E1849" s="5" t="s">
        <v>28627</v>
      </c>
      <c r="F1849" s="26" t="s">
        <v>23600</v>
      </c>
      <c r="G1849" s="27" t="s">
        <v>11345</v>
      </c>
      <c r="H1849" s="28" t="s">
        <v>11346</v>
      </c>
      <c r="I1849" s="5" t="s">
        <v>377</v>
      </c>
    </row>
    <row r="1850" spans="1:9" ht="51.75" customHeight="1">
      <c r="A1850" s="5" t="s">
        <v>28628</v>
      </c>
      <c r="B1850" s="5" t="s">
        <v>28629</v>
      </c>
      <c r="C1850" s="5" t="s">
        <v>28167</v>
      </c>
      <c r="D1850" s="246">
        <v>42576</v>
      </c>
      <c r="E1850" s="5" t="s">
        <v>28630</v>
      </c>
      <c r="F1850" s="26" t="s">
        <v>23600</v>
      </c>
      <c r="G1850" s="27" t="s">
        <v>11345</v>
      </c>
      <c r="H1850" s="28" t="s">
        <v>11346</v>
      </c>
      <c r="I1850" s="5" t="s">
        <v>377</v>
      </c>
    </row>
    <row r="1851" spans="1:9" ht="51.75" customHeight="1">
      <c r="A1851" s="5" t="s">
        <v>28631</v>
      </c>
      <c r="B1851" s="5" t="s">
        <v>28632</v>
      </c>
      <c r="C1851" s="5" t="s">
        <v>28170</v>
      </c>
      <c r="D1851" s="246">
        <v>42576</v>
      </c>
      <c r="E1851" s="5" t="s">
        <v>28633</v>
      </c>
      <c r="F1851" s="26" t="s">
        <v>23600</v>
      </c>
      <c r="G1851" s="27" t="s">
        <v>11345</v>
      </c>
      <c r="H1851" s="28" t="s">
        <v>11346</v>
      </c>
      <c r="I1851" s="5" t="s">
        <v>377</v>
      </c>
    </row>
    <row r="1852" spans="1:9" ht="51.75" customHeight="1">
      <c r="A1852" s="5" t="s">
        <v>28634</v>
      </c>
      <c r="B1852" s="5" t="s">
        <v>28635</v>
      </c>
      <c r="C1852" s="5" t="s">
        <v>28173</v>
      </c>
      <c r="D1852" s="246">
        <v>42576</v>
      </c>
      <c r="E1852" s="5" t="s">
        <v>28636</v>
      </c>
      <c r="F1852" s="26" t="s">
        <v>23600</v>
      </c>
      <c r="G1852" s="27" t="s">
        <v>11345</v>
      </c>
      <c r="H1852" s="28" t="s">
        <v>11346</v>
      </c>
      <c r="I1852" s="5" t="s">
        <v>377</v>
      </c>
    </row>
    <row r="1853" spans="1:9" ht="51.75" customHeight="1">
      <c r="A1853" s="5" t="s">
        <v>28637</v>
      </c>
      <c r="B1853" s="5" t="s">
        <v>28638</v>
      </c>
      <c r="C1853" s="5" t="s">
        <v>28176</v>
      </c>
      <c r="D1853" s="246">
        <v>42576</v>
      </c>
      <c r="E1853" s="5" t="s">
        <v>28639</v>
      </c>
      <c r="F1853" s="26" t="s">
        <v>23600</v>
      </c>
      <c r="G1853" s="27" t="s">
        <v>11345</v>
      </c>
      <c r="H1853" s="28" t="s">
        <v>11346</v>
      </c>
      <c r="I1853" s="5" t="s">
        <v>377</v>
      </c>
    </row>
    <row r="1854" spans="1:9" ht="51.75" customHeight="1">
      <c r="A1854" s="5" t="s">
        <v>28640</v>
      </c>
      <c r="B1854" s="5" t="s">
        <v>28641</v>
      </c>
      <c r="C1854" s="5" t="s">
        <v>28180</v>
      </c>
      <c r="D1854" s="246">
        <v>42576</v>
      </c>
      <c r="E1854" s="5" t="s">
        <v>28642</v>
      </c>
      <c r="F1854" s="26" t="s">
        <v>23600</v>
      </c>
      <c r="G1854" s="27" t="s">
        <v>11345</v>
      </c>
      <c r="H1854" s="28" t="s">
        <v>11346</v>
      </c>
      <c r="I1854" s="5" t="s">
        <v>377</v>
      </c>
    </row>
    <row r="1855" spans="1:9" ht="51.75" customHeight="1">
      <c r="A1855" s="5" t="s">
        <v>23832</v>
      </c>
      <c r="B1855" s="5" t="s">
        <v>28643</v>
      </c>
      <c r="C1855" s="5" t="s">
        <v>28184</v>
      </c>
      <c r="D1855" s="246">
        <v>42576</v>
      </c>
      <c r="E1855" s="5" t="s">
        <v>28644</v>
      </c>
      <c r="F1855" s="26" t="s">
        <v>23600</v>
      </c>
      <c r="G1855" s="27" t="s">
        <v>11345</v>
      </c>
      <c r="H1855" s="28" t="s">
        <v>11346</v>
      </c>
      <c r="I1855" s="5" t="s">
        <v>377</v>
      </c>
    </row>
    <row r="1856" spans="1:9" ht="51.75" customHeight="1">
      <c r="A1856" s="5" t="s">
        <v>24635</v>
      </c>
      <c r="B1856" s="5" t="s">
        <v>28645</v>
      </c>
      <c r="C1856" s="5" t="s">
        <v>28646</v>
      </c>
      <c r="D1856" s="246">
        <v>43089</v>
      </c>
      <c r="E1856" s="5" t="s">
        <v>28647</v>
      </c>
      <c r="F1856" s="26" t="s">
        <v>28296</v>
      </c>
      <c r="G1856" s="27" t="s">
        <v>12592</v>
      </c>
      <c r="H1856" s="28" t="s">
        <v>12593</v>
      </c>
      <c r="I1856" s="5" t="s">
        <v>377</v>
      </c>
    </row>
    <row r="1857" spans="1:9" ht="51.75" customHeight="1">
      <c r="A1857" s="5" t="s">
        <v>24635</v>
      </c>
      <c r="B1857" s="5" t="s">
        <v>28648</v>
      </c>
      <c r="C1857" s="5" t="s">
        <v>28646</v>
      </c>
      <c r="D1857" s="246">
        <v>43089</v>
      </c>
      <c r="E1857" s="5" t="s">
        <v>28649</v>
      </c>
      <c r="F1857" s="26" t="s">
        <v>23600</v>
      </c>
      <c r="G1857" s="27" t="s">
        <v>12592</v>
      </c>
      <c r="H1857" s="28" t="s">
        <v>12593</v>
      </c>
      <c r="I1857" s="5" t="s">
        <v>377</v>
      </c>
    </row>
    <row r="1858" spans="1:9" ht="51.75" customHeight="1">
      <c r="A1858" s="5" t="s">
        <v>24639</v>
      </c>
      <c r="B1858" s="5" t="s">
        <v>28650</v>
      </c>
      <c r="C1858" s="5" t="s">
        <v>28651</v>
      </c>
      <c r="D1858" s="246">
        <v>43089</v>
      </c>
      <c r="E1858" s="5" t="s">
        <v>28652</v>
      </c>
      <c r="F1858" s="26" t="s">
        <v>28296</v>
      </c>
      <c r="G1858" s="27" t="s">
        <v>12592</v>
      </c>
      <c r="H1858" s="28" t="s">
        <v>12593</v>
      </c>
      <c r="I1858" s="5" t="s">
        <v>377</v>
      </c>
    </row>
    <row r="1859" spans="1:9" ht="51.75" customHeight="1">
      <c r="A1859" s="5" t="s">
        <v>24639</v>
      </c>
      <c r="B1859" s="5" t="s">
        <v>28653</v>
      </c>
      <c r="C1859" s="5" t="s">
        <v>28651</v>
      </c>
      <c r="D1859" s="246">
        <v>43089</v>
      </c>
      <c r="E1859" s="5" t="s">
        <v>28654</v>
      </c>
      <c r="F1859" s="26" t="s">
        <v>23600</v>
      </c>
      <c r="G1859" s="27" t="s">
        <v>12592</v>
      </c>
      <c r="H1859" s="28" t="s">
        <v>12593</v>
      </c>
      <c r="I1859" s="5" t="s">
        <v>377</v>
      </c>
    </row>
    <row r="1860" spans="1:9" ht="51.75" customHeight="1">
      <c r="A1860" s="5" t="s">
        <v>24643</v>
      </c>
      <c r="B1860" s="5" t="s">
        <v>28655</v>
      </c>
      <c r="C1860" s="5" t="s">
        <v>28656</v>
      </c>
      <c r="D1860" s="246">
        <v>43089</v>
      </c>
      <c r="E1860" s="5" t="s">
        <v>28657</v>
      </c>
      <c r="F1860" s="26" t="s">
        <v>28296</v>
      </c>
      <c r="G1860" s="27" t="s">
        <v>12592</v>
      </c>
      <c r="H1860" s="28" t="s">
        <v>12593</v>
      </c>
      <c r="I1860" s="5" t="s">
        <v>377</v>
      </c>
    </row>
    <row r="1861" spans="1:9" ht="51.75" customHeight="1">
      <c r="A1861" s="5" t="s">
        <v>24643</v>
      </c>
      <c r="B1861" s="5" t="s">
        <v>28658</v>
      </c>
      <c r="C1861" s="5" t="s">
        <v>28656</v>
      </c>
      <c r="D1861" s="246">
        <v>43089</v>
      </c>
      <c r="E1861" s="5" t="s">
        <v>28659</v>
      </c>
      <c r="F1861" s="26" t="s">
        <v>23600</v>
      </c>
      <c r="G1861" s="27" t="s">
        <v>12592</v>
      </c>
      <c r="H1861" s="28" t="s">
        <v>12593</v>
      </c>
      <c r="I1861" s="5" t="s">
        <v>377</v>
      </c>
    </row>
    <row r="1862" spans="1:9" ht="51.75" customHeight="1">
      <c r="A1862" s="5" t="s">
        <v>28660</v>
      </c>
      <c r="B1862" s="5" t="s">
        <v>28661</v>
      </c>
      <c r="C1862" s="5" t="s">
        <v>28662</v>
      </c>
      <c r="D1862" s="246">
        <v>43089</v>
      </c>
      <c r="E1862" s="5" t="s">
        <v>28663</v>
      </c>
      <c r="F1862" s="26" t="s">
        <v>28296</v>
      </c>
      <c r="G1862" s="27" t="s">
        <v>12592</v>
      </c>
      <c r="H1862" s="28" t="s">
        <v>12593</v>
      </c>
      <c r="I1862" s="5" t="s">
        <v>377</v>
      </c>
    </row>
    <row r="1863" spans="1:9" ht="51.75" customHeight="1">
      <c r="A1863" s="5" t="s">
        <v>28660</v>
      </c>
      <c r="B1863" s="5" t="s">
        <v>28664</v>
      </c>
      <c r="C1863" s="5" t="s">
        <v>28662</v>
      </c>
      <c r="D1863" s="246">
        <v>43089</v>
      </c>
      <c r="E1863" s="5" t="s">
        <v>28665</v>
      </c>
      <c r="F1863" s="26" t="s">
        <v>23600</v>
      </c>
      <c r="G1863" s="27" t="s">
        <v>12592</v>
      </c>
      <c r="H1863" s="28" t="s">
        <v>12593</v>
      </c>
      <c r="I1863" s="5" t="s">
        <v>377</v>
      </c>
    </row>
    <row r="1864" spans="1:9" ht="51.75" customHeight="1">
      <c r="A1864" s="5" t="s">
        <v>28666</v>
      </c>
      <c r="B1864" s="5" t="s">
        <v>28667</v>
      </c>
      <c r="C1864" s="5" t="s">
        <v>28668</v>
      </c>
      <c r="D1864" s="246">
        <v>43089</v>
      </c>
      <c r="E1864" s="5" t="s">
        <v>28669</v>
      </c>
      <c r="F1864" s="26" t="s">
        <v>28296</v>
      </c>
      <c r="G1864" s="27" t="s">
        <v>12592</v>
      </c>
      <c r="H1864" s="28" t="s">
        <v>12593</v>
      </c>
      <c r="I1864" s="5" t="s">
        <v>377</v>
      </c>
    </row>
    <row r="1865" spans="1:9" ht="51.75" customHeight="1">
      <c r="A1865" s="5" t="s">
        <v>28666</v>
      </c>
      <c r="B1865" s="5" t="s">
        <v>28670</v>
      </c>
      <c r="C1865" s="5" t="s">
        <v>28668</v>
      </c>
      <c r="D1865" s="246">
        <v>43089</v>
      </c>
      <c r="E1865" s="5" t="s">
        <v>28671</v>
      </c>
      <c r="F1865" s="26" t="s">
        <v>23600</v>
      </c>
      <c r="G1865" s="27" t="s">
        <v>12592</v>
      </c>
      <c r="H1865" s="28" t="s">
        <v>12593</v>
      </c>
      <c r="I1865" s="5" t="s">
        <v>377</v>
      </c>
    </row>
    <row r="1866" spans="1:9" ht="51.75" customHeight="1">
      <c r="A1866" s="5" t="s">
        <v>27164</v>
      </c>
      <c r="B1866" s="5" t="s">
        <v>28672</v>
      </c>
      <c r="C1866" s="5" t="s">
        <v>28673</v>
      </c>
      <c r="D1866" s="246">
        <v>43089</v>
      </c>
      <c r="E1866" s="5" t="s">
        <v>28674</v>
      </c>
      <c r="F1866" s="26" t="s">
        <v>28296</v>
      </c>
      <c r="G1866" s="27" t="s">
        <v>12592</v>
      </c>
      <c r="H1866" s="28" t="s">
        <v>12593</v>
      </c>
      <c r="I1866" s="5" t="s">
        <v>377</v>
      </c>
    </row>
    <row r="1867" spans="1:9" ht="51.75" customHeight="1">
      <c r="A1867" s="5" t="s">
        <v>27164</v>
      </c>
      <c r="B1867" s="5" t="s">
        <v>28675</v>
      </c>
      <c r="C1867" s="5" t="s">
        <v>28673</v>
      </c>
      <c r="D1867" s="246">
        <v>43089</v>
      </c>
      <c r="E1867" s="5" t="s">
        <v>28676</v>
      </c>
      <c r="F1867" s="26" t="s">
        <v>23600</v>
      </c>
      <c r="G1867" s="27" t="s">
        <v>12592</v>
      </c>
      <c r="H1867" s="28" t="s">
        <v>12593</v>
      </c>
      <c r="I1867" s="5" t="s">
        <v>377</v>
      </c>
    </row>
    <row r="1868" spans="1:9" ht="51.75" customHeight="1">
      <c r="A1868" s="5" t="s">
        <v>27171</v>
      </c>
      <c r="B1868" s="5" t="s">
        <v>28677</v>
      </c>
      <c r="C1868" s="5" t="s">
        <v>28668</v>
      </c>
      <c r="D1868" s="246">
        <v>43089</v>
      </c>
      <c r="E1868" s="5" t="s">
        <v>28678</v>
      </c>
      <c r="F1868" s="26" t="s">
        <v>28296</v>
      </c>
      <c r="G1868" s="27" t="s">
        <v>12592</v>
      </c>
      <c r="H1868" s="28" t="s">
        <v>12593</v>
      </c>
      <c r="I1868" s="5" t="s">
        <v>377</v>
      </c>
    </row>
    <row r="1869" spans="1:9" ht="51.75" customHeight="1">
      <c r="A1869" s="5" t="s">
        <v>27171</v>
      </c>
      <c r="B1869" s="5" t="s">
        <v>28679</v>
      </c>
      <c r="C1869" s="5" t="s">
        <v>28668</v>
      </c>
      <c r="D1869" s="246">
        <v>43089</v>
      </c>
      <c r="E1869" s="5" t="s">
        <v>28680</v>
      </c>
      <c r="F1869" s="26" t="s">
        <v>23600</v>
      </c>
      <c r="G1869" s="27" t="s">
        <v>12592</v>
      </c>
      <c r="H1869" s="28" t="s">
        <v>12593</v>
      </c>
      <c r="I1869" s="5" t="s">
        <v>377</v>
      </c>
    </row>
    <row r="1870" spans="1:9" ht="51.75" customHeight="1">
      <c r="A1870" s="5" t="s">
        <v>26803</v>
      </c>
      <c r="B1870" s="5" t="s">
        <v>28681</v>
      </c>
      <c r="C1870" s="5" t="s">
        <v>28668</v>
      </c>
      <c r="D1870" s="246">
        <v>43129</v>
      </c>
      <c r="E1870" s="5" t="s">
        <v>28682</v>
      </c>
      <c r="F1870" s="26" t="s">
        <v>28296</v>
      </c>
      <c r="G1870" s="27" t="s">
        <v>13356</v>
      </c>
      <c r="H1870" s="28" t="s">
        <v>13357</v>
      </c>
      <c r="I1870" s="5" t="s">
        <v>377</v>
      </c>
    </row>
    <row r="1871" spans="1:9" ht="51.75" customHeight="1">
      <c r="A1871" s="5" t="s">
        <v>26803</v>
      </c>
      <c r="B1871" s="5" t="s">
        <v>28683</v>
      </c>
      <c r="C1871" s="5" t="s">
        <v>28668</v>
      </c>
      <c r="D1871" s="246">
        <v>43129</v>
      </c>
      <c r="E1871" s="5" t="s">
        <v>28684</v>
      </c>
      <c r="F1871" s="26" t="s">
        <v>23600</v>
      </c>
      <c r="G1871" s="27" t="s">
        <v>13356</v>
      </c>
      <c r="H1871" s="28" t="s">
        <v>13357</v>
      </c>
      <c r="I1871" s="5" t="s">
        <v>377</v>
      </c>
    </row>
    <row r="1872" spans="1:9" ht="51.75" customHeight="1">
      <c r="A1872" s="5" t="s">
        <v>26376</v>
      </c>
      <c r="B1872" s="5" t="s">
        <v>28685</v>
      </c>
      <c r="C1872" s="5" t="s">
        <v>28668</v>
      </c>
      <c r="D1872" s="246">
        <v>43129</v>
      </c>
      <c r="E1872" s="5" t="s">
        <v>28686</v>
      </c>
      <c r="F1872" s="26" t="s">
        <v>28296</v>
      </c>
      <c r="G1872" s="27" t="s">
        <v>13356</v>
      </c>
      <c r="H1872" s="28" t="s">
        <v>13357</v>
      </c>
      <c r="I1872" s="5" t="s">
        <v>377</v>
      </c>
    </row>
    <row r="1873" spans="1:9" ht="51.75" customHeight="1">
      <c r="A1873" s="5" t="s">
        <v>26376</v>
      </c>
      <c r="B1873" s="5" t="s">
        <v>28687</v>
      </c>
      <c r="C1873" s="5" t="s">
        <v>28668</v>
      </c>
      <c r="D1873" s="246">
        <v>43129</v>
      </c>
      <c r="E1873" s="5" t="s">
        <v>28688</v>
      </c>
      <c r="F1873" s="26" t="s">
        <v>23600</v>
      </c>
      <c r="G1873" s="27" t="s">
        <v>13356</v>
      </c>
      <c r="H1873" s="28" t="s">
        <v>13357</v>
      </c>
      <c r="I1873" s="5" t="s">
        <v>377</v>
      </c>
    </row>
    <row r="1874" spans="1:9" ht="51.75" customHeight="1">
      <c r="A1874" s="5" t="s">
        <v>26388</v>
      </c>
      <c r="B1874" s="5" t="s">
        <v>28689</v>
      </c>
      <c r="C1874" s="5" t="s">
        <v>28668</v>
      </c>
      <c r="D1874" s="246">
        <v>43129</v>
      </c>
      <c r="E1874" s="5" t="s">
        <v>28690</v>
      </c>
      <c r="F1874" s="26" t="s">
        <v>28296</v>
      </c>
      <c r="G1874" s="27" t="s">
        <v>13356</v>
      </c>
      <c r="H1874" s="28" t="s">
        <v>13357</v>
      </c>
      <c r="I1874" s="5" t="s">
        <v>377</v>
      </c>
    </row>
    <row r="1875" spans="1:9" ht="51.75" customHeight="1">
      <c r="A1875" s="5" t="s">
        <v>26388</v>
      </c>
      <c r="B1875" s="5" t="s">
        <v>28691</v>
      </c>
      <c r="C1875" s="5" t="s">
        <v>28668</v>
      </c>
      <c r="D1875" s="246">
        <v>43129</v>
      </c>
      <c r="E1875" s="5" t="s">
        <v>28692</v>
      </c>
      <c r="F1875" s="26" t="s">
        <v>23600</v>
      </c>
      <c r="G1875" s="27" t="s">
        <v>13356</v>
      </c>
      <c r="H1875" s="28" t="s">
        <v>13357</v>
      </c>
      <c r="I1875" s="5" t="s">
        <v>377</v>
      </c>
    </row>
    <row r="1876" spans="1:9" ht="51.75" customHeight="1">
      <c r="A1876" s="5" t="s">
        <v>26394</v>
      </c>
      <c r="B1876" s="5" t="s">
        <v>28693</v>
      </c>
      <c r="C1876" s="5" t="s">
        <v>28694</v>
      </c>
      <c r="D1876" s="246">
        <v>43129</v>
      </c>
      <c r="E1876" s="5" t="s">
        <v>28695</v>
      </c>
      <c r="F1876" s="26" t="s">
        <v>28296</v>
      </c>
      <c r="G1876" s="27" t="s">
        <v>13356</v>
      </c>
      <c r="H1876" s="28" t="s">
        <v>13357</v>
      </c>
      <c r="I1876" s="5" t="s">
        <v>377</v>
      </c>
    </row>
    <row r="1877" spans="1:9" ht="51.75" customHeight="1">
      <c r="A1877" s="5" t="s">
        <v>26394</v>
      </c>
      <c r="B1877" s="5" t="s">
        <v>28696</v>
      </c>
      <c r="C1877" s="5" t="s">
        <v>28694</v>
      </c>
      <c r="D1877" s="246">
        <v>43129</v>
      </c>
      <c r="E1877" s="5" t="s">
        <v>28697</v>
      </c>
      <c r="F1877" s="26" t="s">
        <v>23600</v>
      </c>
      <c r="G1877" s="27" t="s">
        <v>13356</v>
      </c>
      <c r="H1877" s="28" t="s">
        <v>13357</v>
      </c>
      <c r="I1877" s="5" t="s">
        <v>377</v>
      </c>
    </row>
    <row r="1878" spans="1:9" ht="51.75" customHeight="1">
      <c r="A1878" s="5" t="s">
        <v>23904</v>
      </c>
      <c r="B1878" s="5" t="s">
        <v>28698</v>
      </c>
      <c r="C1878" s="5" t="s">
        <v>28668</v>
      </c>
      <c r="D1878" s="246">
        <v>43083</v>
      </c>
      <c r="E1878" s="5" t="s">
        <v>28699</v>
      </c>
      <c r="F1878" s="26" t="s">
        <v>28296</v>
      </c>
      <c r="G1878" s="27" t="s">
        <v>13593</v>
      </c>
      <c r="H1878" s="28" t="s">
        <v>13594</v>
      </c>
      <c r="I1878" s="5" t="s">
        <v>377</v>
      </c>
    </row>
    <row r="1879" spans="1:9" ht="51.75" customHeight="1">
      <c r="A1879" s="5" t="s">
        <v>23904</v>
      </c>
      <c r="B1879" s="5" t="s">
        <v>28700</v>
      </c>
      <c r="C1879" s="5" t="s">
        <v>28668</v>
      </c>
      <c r="D1879" s="246">
        <v>43083</v>
      </c>
      <c r="E1879" s="5" t="s">
        <v>28701</v>
      </c>
      <c r="F1879" s="26" t="s">
        <v>23600</v>
      </c>
      <c r="G1879" s="27" t="s">
        <v>13593</v>
      </c>
      <c r="H1879" s="28" t="s">
        <v>13594</v>
      </c>
      <c r="I1879" s="5" t="s">
        <v>377</v>
      </c>
    </row>
    <row r="1880" spans="1:9" ht="51.75" customHeight="1">
      <c r="A1880" s="5" t="s">
        <v>23908</v>
      </c>
      <c r="B1880" s="5" t="s">
        <v>28702</v>
      </c>
      <c r="C1880" s="5" t="s">
        <v>28668</v>
      </c>
      <c r="D1880" s="246">
        <v>43083</v>
      </c>
      <c r="E1880" s="5" t="s">
        <v>28703</v>
      </c>
      <c r="F1880" s="26" t="s">
        <v>28296</v>
      </c>
      <c r="G1880" s="27" t="s">
        <v>13593</v>
      </c>
      <c r="H1880" s="28" t="s">
        <v>13594</v>
      </c>
      <c r="I1880" s="5" t="s">
        <v>377</v>
      </c>
    </row>
    <row r="1881" spans="1:9" ht="51.75" customHeight="1">
      <c r="A1881" s="5" t="s">
        <v>23908</v>
      </c>
      <c r="B1881" s="5" t="s">
        <v>28704</v>
      </c>
      <c r="C1881" s="5" t="s">
        <v>28668</v>
      </c>
      <c r="D1881" s="246">
        <v>43083</v>
      </c>
      <c r="E1881" s="5" t="s">
        <v>28705</v>
      </c>
      <c r="F1881" s="26" t="s">
        <v>23600</v>
      </c>
      <c r="G1881" s="27" t="s">
        <v>13593</v>
      </c>
      <c r="H1881" s="28" t="s">
        <v>13594</v>
      </c>
      <c r="I1881" s="5" t="s">
        <v>377</v>
      </c>
    </row>
    <row r="1882" spans="1:9" ht="51.75" customHeight="1">
      <c r="A1882" s="5" t="s">
        <v>27180</v>
      </c>
      <c r="B1882" s="5" t="s">
        <v>28706</v>
      </c>
      <c r="C1882" s="5" t="s">
        <v>28668</v>
      </c>
      <c r="D1882" s="246">
        <v>43083</v>
      </c>
      <c r="E1882" s="5" t="s">
        <v>28707</v>
      </c>
      <c r="F1882" s="26" t="s">
        <v>28296</v>
      </c>
      <c r="G1882" s="27" t="s">
        <v>13593</v>
      </c>
      <c r="H1882" s="28" t="s">
        <v>13594</v>
      </c>
      <c r="I1882" s="5" t="s">
        <v>377</v>
      </c>
    </row>
    <row r="1883" spans="1:9" ht="51.75" customHeight="1">
      <c r="A1883" s="5" t="s">
        <v>27180</v>
      </c>
      <c r="B1883" s="5" t="s">
        <v>28708</v>
      </c>
      <c r="C1883" s="5" t="s">
        <v>28668</v>
      </c>
      <c r="D1883" s="246">
        <v>43083</v>
      </c>
      <c r="E1883" s="5" t="s">
        <v>28709</v>
      </c>
      <c r="F1883" s="26" t="s">
        <v>23600</v>
      </c>
      <c r="G1883" s="27" t="s">
        <v>13593</v>
      </c>
      <c r="H1883" s="28" t="s">
        <v>13594</v>
      </c>
      <c r="I1883" s="5" t="s">
        <v>377</v>
      </c>
    </row>
    <row r="1884" spans="1:9" ht="51.75" customHeight="1">
      <c r="A1884" s="5" t="s">
        <v>27183</v>
      </c>
      <c r="B1884" s="5" t="s">
        <v>28710</v>
      </c>
      <c r="C1884" s="5" t="s">
        <v>28668</v>
      </c>
      <c r="D1884" s="246">
        <v>43083</v>
      </c>
      <c r="E1884" s="5" t="s">
        <v>28711</v>
      </c>
      <c r="F1884" s="26" t="s">
        <v>28296</v>
      </c>
      <c r="G1884" s="27" t="s">
        <v>13593</v>
      </c>
      <c r="H1884" s="28" t="s">
        <v>13594</v>
      </c>
      <c r="I1884" s="5" t="s">
        <v>377</v>
      </c>
    </row>
    <row r="1885" spans="1:9" ht="51.75" customHeight="1">
      <c r="A1885" s="5" t="s">
        <v>27183</v>
      </c>
      <c r="B1885" s="5" t="s">
        <v>28712</v>
      </c>
      <c r="C1885" s="5" t="s">
        <v>28668</v>
      </c>
      <c r="D1885" s="246">
        <v>43083</v>
      </c>
      <c r="E1885" s="5" t="s">
        <v>28713</v>
      </c>
      <c r="F1885" s="26" t="s">
        <v>23600</v>
      </c>
      <c r="G1885" s="27" t="s">
        <v>13593</v>
      </c>
      <c r="H1885" s="28" t="s">
        <v>13594</v>
      </c>
      <c r="I1885" s="5" t="s">
        <v>377</v>
      </c>
    </row>
    <row r="1886" spans="1:9" ht="51.75" customHeight="1">
      <c r="A1886" s="5" t="s">
        <v>25926</v>
      </c>
      <c r="B1886" s="5" t="s">
        <v>28714</v>
      </c>
      <c r="C1886" s="5" t="s">
        <v>28715</v>
      </c>
      <c r="D1886" s="246">
        <v>43262</v>
      </c>
      <c r="E1886" s="5" t="s">
        <v>28716</v>
      </c>
      <c r="F1886" s="26" t="s">
        <v>28296</v>
      </c>
      <c r="G1886" s="27" t="s">
        <v>13751</v>
      </c>
      <c r="H1886" s="28" t="s">
        <v>13752</v>
      </c>
      <c r="I1886" s="5" t="s">
        <v>377</v>
      </c>
    </row>
    <row r="1887" spans="1:9" ht="51.75" customHeight="1">
      <c r="A1887" s="5" t="s">
        <v>25926</v>
      </c>
      <c r="B1887" s="5" t="s">
        <v>28717</v>
      </c>
      <c r="C1887" s="5" t="s">
        <v>28715</v>
      </c>
      <c r="D1887" s="246">
        <v>43262</v>
      </c>
      <c r="E1887" s="5" t="s">
        <v>28718</v>
      </c>
      <c r="F1887" s="26" t="s">
        <v>23600</v>
      </c>
      <c r="G1887" s="27" t="s">
        <v>13751</v>
      </c>
      <c r="H1887" s="28" t="s">
        <v>13752</v>
      </c>
      <c r="I1887" s="5" t="s">
        <v>377</v>
      </c>
    </row>
    <row r="1888" spans="1:9" ht="51.75" customHeight="1">
      <c r="A1888" s="5" t="s">
        <v>26275</v>
      </c>
      <c r="B1888" s="5" t="s">
        <v>28719</v>
      </c>
      <c r="C1888" s="5" t="s">
        <v>28715</v>
      </c>
      <c r="D1888" s="246">
        <v>43262</v>
      </c>
      <c r="E1888" s="5" t="s">
        <v>28720</v>
      </c>
      <c r="F1888" s="26" t="s">
        <v>28296</v>
      </c>
      <c r="G1888" s="27" t="s">
        <v>13751</v>
      </c>
      <c r="H1888" s="28" t="s">
        <v>13752</v>
      </c>
      <c r="I1888" s="5" t="s">
        <v>377</v>
      </c>
    </row>
    <row r="1889" spans="1:9" ht="51.75" customHeight="1">
      <c r="A1889" s="5" t="s">
        <v>26275</v>
      </c>
      <c r="B1889" s="5" t="s">
        <v>28721</v>
      </c>
      <c r="C1889" s="5" t="s">
        <v>28715</v>
      </c>
      <c r="D1889" s="246">
        <v>43262</v>
      </c>
      <c r="E1889" s="5" t="s">
        <v>28722</v>
      </c>
      <c r="F1889" s="26" t="s">
        <v>23600</v>
      </c>
      <c r="G1889" s="27" t="s">
        <v>13751</v>
      </c>
      <c r="H1889" s="28" t="s">
        <v>13752</v>
      </c>
      <c r="I1889" s="5" t="s">
        <v>377</v>
      </c>
    </row>
    <row r="1890" spans="1:9" ht="51.75" customHeight="1">
      <c r="A1890" s="5" t="s">
        <v>26280</v>
      </c>
      <c r="B1890" s="5" t="s">
        <v>28723</v>
      </c>
      <c r="C1890" s="5" t="s">
        <v>28715</v>
      </c>
      <c r="D1890" s="246">
        <v>43262</v>
      </c>
      <c r="E1890" s="5" t="s">
        <v>28724</v>
      </c>
      <c r="F1890" s="26" t="s">
        <v>28296</v>
      </c>
      <c r="G1890" s="27" t="s">
        <v>13751</v>
      </c>
      <c r="H1890" s="28" t="s">
        <v>13752</v>
      </c>
      <c r="I1890" s="5" t="s">
        <v>377</v>
      </c>
    </row>
    <row r="1891" spans="1:9" ht="51.75" customHeight="1">
      <c r="A1891" s="5" t="s">
        <v>26280</v>
      </c>
      <c r="B1891" s="5" t="s">
        <v>28725</v>
      </c>
      <c r="C1891" s="5" t="s">
        <v>28715</v>
      </c>
      <c r="D1891" s="246">
        <v>43262</v>
      </c>
      <c r="E1891" s="5" t="s">
        <v>28726</v>
      </c>
      <c r="F1891" s="26" t="s">
        <v>23600</v>
      </c>
      <c r="G1891" s="27" t="s">
        <v>13751</v>
      </c>
      <c r="H1891" s="28" t="s">
        <v>13752</v>
      </c>
      <c r="I1891" s="5" t="s">
        <v>377</v>
      </c>
    </row>
    <row r="1892" spans="1:9" ht="51.75" customHeight="1">
      <c r="A1892" s="5" t="s">
        <v>26285</v>
      </c>
      <c r="B1892" s="5" t="s">
        <v>28727</v>
      </c>
      <c r="C1892" s="5" t="s">
        <v>28715</v>
      </c>
      <c r="D1892" s="246">
        <v>43262</v>
      </c>
      <c r="E1892" s="5" t="s">
        <v>28728</v>
      </c>
      <c r="F1892" s="26" t="s">
        <v>28296</v>
      </c>
      <c r="G1892" s="27" t="s">
        <v>13751</v>
      </c>
      <c r="H1892" s="28" t="s">
        <v>13752</v>
      </c>
      <c r="I1892" s="5" t="s">
        <v>377</v>
      </c>
    </row>
    <row r="1893" spans="1:9" ht="51.75" customHeight="1">
      <c r="A1893" s="5" t="s">
        <v>26285</v>
      </c>
      <c r="B1893" s="5" t="s">
        <v>28729</v>
      </c>
      <c r="C1893" s="5" t="s">
        <v>28715</v>
      </c>
      <c r="D1893" s="246">
        <v>43262</v>
      </c>
      <c r="E1893" s="5" t="s">
        <v>28730</v>
      </c>
      <c r="F1893" s="26" t="s">
        <v>23600</v>
      </c>
      <c r="G1893" s="27" t="s">
        <v>13751</v>
      </c>
      <c r="H1893" s="28" t="s">
        <v>13752</v>
      </c>
      <c r="I1893" s="5" t="s">
        <v>377</v>
      </c>
    </row>
    <row r="1894" spans="1:9" ht="51.75" customHeight="1">
      <c r="A1894" s="5" t="s">
        <v>28731</v>
      </c>
      <c r="B1894" s="5" t="s">
        <v>28732</v>
      </c>
      <c r="C1894" s="5" t="s">
        <v>28733</v>
      </c>
      <c r="D1894" s="246" t="s">
        <v>68</v>
      </c>
      <c r="E1894" s="5" t="s">
        <v>28734</v>
      </c>
      <c r="F1894" s="26" t="s">
        <v>28296</v>
      </c>
      <c r="G1894" s="27" t="s">
        <v>13815</v>
      </c>
      <c r="H1894" s="28" t="s">
        <v>13816</v>
      </c>
      <c r="I1894" s="5" t="s">
        <v>377</v>
      </c>
    </row>
    <row r="1895" spans="1:9" ht="51.75" customHeight="1">
      <c r="A1895" s="5" t="s">
        <v>28731</v>
      </c>
      <c r="B1895" s="5" t="s">
        <v>28735</v>
      </c>
      <c r="C1895" s="5" t="s">
        <v>28733</v>
      </c>
      <c r="D1895" s="246" t="s">
        <v>68</v>
      </c>
      <c r="E1895" s="5" t="s">
        <v>28736</v>
      </c>
      <c r="F1895" s="26" t="s">
        <v>23600</v>
      </c>
      <c r="G1895" s="27" t="s">
        <v>13815</v>
      </c>
      <c r="H1895" s="28" t="s">
        <v>13816</v>
      </c>
      <c r="I1895" s="5" t="s">
        <v>377</v>
      </c>
    </row>
    <row r="1896" spans="1:9" ht="51.75" customHeight="1">
      <c r="A1896" s="5" t="s">
        <v>28737</v>
      </c>
      <c r="B1896" s="5" t="s">
        <v>28738</v>
      </c>
      <c r="C1896" s="5" t="s">
        <v>28733</v>
      </c>
      <c r="D1896" s="246" t="s">
        <v>68</v>
      </c>
      <c r="E1896" s="5" t="s">
        <v>28739</v>
      </c>
      <c r="F1896" s="26" t="s">
        <v>28296</v>
      </c>
      <c r="G1896" s="27" t="s">
        <v>13815</v>
      </c>
      <c r="H1896" s="28" t="s">
        <v>13816</v>
      </c>
      <c r="I1896" s="5" t="s">
        <v>377</v>
      </c>
    </row>
    <row r="1897" spans="1:9" ht="51.75" customHeight="1">
      <c r="A1897" s="5" t="s">
        <v>28737</v>
      </c>
      <c r="B1897" s="5" t="s">
        <v>28740</v>
      </c>
      <c r="C1897" s="5" t="s">
        <v>28733</v>
      </c>
      <c r="D1897" s="246" t="s">
        <v>68</v>
      </c>
      <c r="E1897" s="5" t="s">
        <v>28741</v>
      </c>
      <c r="F1897" s="26" t="s">
        <v>23600</v>
      </c>
      <c r="G1897" s="27" t="s">
        <v>13815</v>
      </c>
      <c r="H1897" s="28" t="s">
        <v>13816</v>
      </c>
      <c r="I1897" s="5" t="s">
        <v>377</v>
      </c>
    </row>
    <row r="1898" spans="1:9" ht="51.75" customHeight="1">
      <c r="A1898" s="5" t="s">
        <v>28742</v>
      </c>
      <c r="B1898" s="5" t="s">
        <v>28743</v>
      </c>
      <c r="C1898" s="5" t="s">
        <v>28744</v>
      </c>
      <c r="D1898" s="246" t="s">
        <v>68</v>
      </c>
      <c r="E1898" s="5" t="s">
        <v>28745</v>
      </c>
      <c r="F1898" s="26" t="s">
        <v>28296</v>
      </c>
      <c r="G1898" s="27" t="s">
        <v>13815</v>
      </c>
      <c r="H1898" s="28" t="s">
        <v>13816</v>
      </c>
      <c r="I1898" s="5" t="s">
        <v>377</v>
      </c>
    </row>
    <row r="1899" spans="1:9" ht="51.75" customHeight="1">
      <c r="A1899" s="5" t="s">
        <v>28742</v>
      </c>
      <c r="B1899" s="5" t="s">
        <v>28746</v>
      </c>
      <c r="C1899" s="5" t="s">
        <v>28744</v>
      </c>
      <c r="D1899" s="246" t="s">
        <v>68</v>
      </c>
      <c r="E1899" s="5" t="s">
        <v>28747</v>
      </c>
      <c r="F1899" s="26" t="s">
        <v>23600</v>
      </c>
      <c r="G1899" s="27" t="s">
        <v>13815</v>
      </c>
      <c r="H1899" s="28" t="s">
        <v>13816</v>
      </c>
      <c r="I1899" s="5" t="s">
        <v>377</v>
      </c>
    </row>
    <row r="1900" spans="1:9" ht="51.75" customHeight="1">
      <c r="A1900" s="5" t="s">
        <v>26296</v>
      </c>
      <c r="B1900" s="5" t="s">
        <v>28748</v>
      </c>
      <c r="C1900" s="5" t="s">
        <v>28749</v>
      </c>
      <c r="D1900" s="246">
        <v>43067</v>
      </c>
      <c r="E1900" s="5" t="s">
        <v>28750</v>
      </c>
      <c r="F1900" s="26" t="s">
        <v>28296</v>
      </c>
      <c r="G1900" s="27" t="s">
        <v>14090</v>
      </c>
      <c r="H1900" s="28" t="s">
        <v>14091</v>
      </c>
      <c r="I1900" s="5" t="s">
        <v>377</v>
      </c>
    </row>
    <row r="1901" spans="1:9" ht="51.75" customHeight="1">
      <c r="A1901" s="5" t="s">
        <v>26296</v>
      </c>
      <c r="B1901" s="5" t="s">
        <v>28751</v>
      </c>
      <c r="C1901" s="5" t="s">
        <v>28749</v>
      </c>
      <c r="D1901" s="246">
        <v>43067</v>
      </c>
      <c r="E1901" s="5" t="s">
        <v>28752</v>
      </c>
      <c r="F1901" s="26" t="s">
        <v>23600</v>
      </c>
      <c r="G1901" s="27" t="s">
        <v>14090</v>
      </c>
      <c r="H1901" s="28" t="s">
        <v>14091</v>
      </c>
      <c r="I1901" s="5" t="s">
        <v>377</v>
      </c>
    </row>
    <row r="1902" spans="1:9" ht="51.75" customHeight="1">
      <c r="A1902" s="5" t="s">
        <v>25539</v>
      </c>
      <c r="B1902" s="5" t="s">
        <v>28753</v>
      </c>
      <c r="C1902" s="5" t="s">
        <v>28715</v>
      </c>
      <c r="D1902" s="246">
        <v>43291</v>
      </c>
      <c r="E1902" s="5" t="s">
        <v>28754</v>
      </c>
      <c r="F1902" s="26" t="s">
        <v>28296</v>
      </c>
      <c r="G1902" s="27" t="s">
        <v>14090</v>
      </c>
      <c r="H1902" s="28" t="s">
        <v>14091</v>
      </c>
      <c r="I1902" s="5" t="s">
        <v>377</v>
      </c>
    </row>
    <row r="1903" spans="1:9" ht="51.75" customHeight="1">
      <c r="A1903" s="5" t="s">
        <v>25539</v>
      </c>
      <c r="B1903" s="5" t="s">
        <v>28755</v>
      </c>
      <c r="C1903" s="5" t="s">
        <v>28715</v>
      </c>
      <c r="D1903" s="246">
        <v>43291</v>
      </c>
      <c r="E1903" s="5" t="s">
        <v>28756</v>
      </c>
      <c r="F1903" s="26" t="s">
        <v>23600</v>
      </c>
      <c r="G1903" s="27" t="s">
        <v>14090</v>
      </c>
      <c r="H1903" s="28" t="s">
        <v>14091</v>
      </c>
      <c r="I1903" s="5" t="s">
        <v>377</v>
      </c>
    </row>
    <row r="1904" spans="1:9" ht="51.75" customHeight="1">
      <c r="A1904" s="5" t="s">
        <v>25944</v>
      </c>
      <c r="B1904" s="5" t="s">
        <v>28757</v>
      </c>
      <c r="C1904" s="5" t="s">
        <v>28715</v>
      </c>
      <c r="D1904" s="246">
        <v>43291</v>
      </c>
      <c r="E1904" s="5" t="s">
        <v>28758</v>
      </c>
      <c r="F1904" s="26" t="s">
        <v>28296</v>
      </c>
      <c r="G1904" s="27" t="s">
        <v>14090</v>
      </c>
      <c r="H1904" s="28" t="s">
        <v>14091</v>
      </c>
      <c r="I1904" s="5" t="s">
        <v>377</v>
      </c>
    </row>
    <row r="1905" spans="1:9" ht="51.75" customHeight="1">
      <c r="A1905" s="5" t="s">
        <v>25944</v>
      </c>
      <c r="B1905" s="5" t="s">
        <v>28759</v>
      </c>
      <c r="C1905" s="5" t="s">
        <v>28715</v>
      </c>
      <c r="D1905" s="246">
        <v>43291</v>
      </c>
      <c r="E1905" s="5" t="s">
        <v>28760</v>
      </c>
      <c r="F1905" s="26" t="s">
        <v>23600</v>
      </c>
      <c r="G1905" s="27" t="s">
        <v>14090</v>
      </c>
      <c r="H1905" s="28" t="s">
        <v>14091</v>
      </c>
      <c r="I1905" s="5" t="s">
        <v>377</v>
      </c>
    </row>
    <row r="1906" spans="1:9" ht="51.75" customHeight="1">
      <c r="A1906" s="5" t="s">
        <v>25006</v>
      </c>
      <c r="B1906" s="5" t="s">
        <v>28761</v>
      </c>
      <c r="C1906" s="5" t="s">
        <v>28715</v>
      </c>
      <c r="D1906" s="246">
        <v>43291</v>
      </c>
      <c r="E1906" s="5" t="s">
        <v>28762</v>
      </c>
      <c r="F1906" s="26" t="s">
        <v>28296</v>
      </c>
      <c r="G1906" s="27" t="s">
        <v>14090</v>
      </c>
      <c r="H1906" s="28" t="s">
        <v>14091</v>
      </c>
      <c r="I1906" s="5" t="s">
        <v>377</v>
      </c>
    </row>
    <row r="1907" spans="1:9" ht="51.75" customHeight="1">
      <c r="A1907" s="5" t="s">
        <v>25006</v>
      </c>
      <c r="B1907" s="5" t="s">
        <v>28763</v>
      </c>
      <c r="C1907" s="5" t="s">
        <v>28715</v>
      </c>
      <c r="D1907" s="246">
        <v>43291</v>
      </c>
      <c r="E1907" s="5" t="s">
        <v>28764</v>
      </c>
      <c r="F1907" s="26" t="s">
        <v>23600</v>
      </c>
      <c r="G1907" s="27" t="s">
        <v>14090</v>
      </c>
      <c r="H1907" s="28" t="s">
        <v>14091</v>
      </c>
      <c r="I1907" s="5" t="s">
        <v>377</v>
      </c>
    </row>
    <row r="1908" spans="1:9" ht="51.75" customHeight="1">
      <c r="A1908" s="5" t="s">
        <v>25012</v>
      </c>
      <c r="B1908" s="5" t="s">
        <v>28765</v>
      </c>
      <c r="C1908" s="5" t="s">
        <v>28715</v>
      </c>
      <c r="D1908" s="246">
        <v>43291</v>
      </c>
      <c r="E1908" s="5" t="s">
        <v>28766</v>
      </c>
      <c r="F1908" s="26" t="s">
        <v>28296</v>
      </c>
      <c r="G1908" s="27" t="s">
        <v>14090</v>
      </c>
      <c r="H1908" s="28" t="s">
        <v>14091</v>
      </c>
      <c r="I1908" s="5" t="s">
        <v>377</v>
      </c>
    </row>
    <row r="1909" spans="1:9" ht="51.75" customHeight="1">
      <c r="A1909" s="5" t="s">
        <v>25012</v>
      </c>
      <c r="B1909" s="5" t="s">
        <v>28767</v>
      </c>
      <c r="C1909" s="5" t="s">
        <v>28715</v>
      </c>
      <c r="D1909" s="246">
        <v>43291</v>
      </c>
      <c r="E1909" s="5" t="s">
        <v>28768</v>
      </c>
      <c r="F1909" s="26" t="s">
        <v>23600</v>
      </c>
      <c r="G1909" s="27" t="s">
        <v>14090</v>
      </c>
      <c r="H1909" s="28" t="s">
        <v>14091</v>
      </c>
      <c r="I1909" s="5" t="s">
        <v>377</v>
      </c>
    </row>
    <row r="1910" spans="1:9" ht="51.75" customHeight="1">
      <c r="A1910" s="5" t="s">
        <v>28769</v>
      </c>
      <c r="B1910" s="5" t="s">
        <v>28770</v>
      </c>
      <c r="C1910" s="5" t="s">
        <v>28668</v>
      </c>
      <c r="D1910" s="246">
        <v>43272</v>
      </c>
      <c r="E1910" s="5" t="s">
        <v>28771</v>
      </c>
      <c r="F1910" s="26" t="s">
        <v>28296</v>
      </c>
      <c r="G1910" s="27" t="s">
        <v>13712</v>
      </c>
      <c r="H1910" s="28" t="s">
        <v>13713</v>
      </c>
      <c r="I1910" s="5" t="s">
        <v>377</v>
      </c>
    </row>
    <row r="1911" spans="1:9" ht="51.75" customHeight="1">
      <c r="A1911" s="5" t="s">
        <v>28769</v>
      </c>
      <c r="B1911" s="5" t="s">
        <v>28772</v>
      </c>
      <c r="C1911" s="5" t="s">
        <v>28668</v>
      </c>
      <c r="D1911" s="246">
        <v>43272</v>
      </c>
      <c r="E1911" s="5" t="s">
        <v>28773</v>
      </c>
      <c r="F1911" s="26" t="s">
        <v>23600</v>
      </c>
      <c r="G1911" s="27" t="s">
        <v>13712</v>
      </c>
      <c r="H1911" s="28" t="s">
        <v>13713</v>
      </c>
      <c r="I1911" s="5" t="s">
        <v>377</v>
      </c>
    </row>
    <row r="1912" spans="1:9" ht="51.75" customHeight="1">
      <c r="A1912" s="5" t="s">
        <v>23980</v>
      </c>
      <c r="B1912" s="5" t="s">
        <v>28774</v>
      </c>
      <c r="C1912" s="5" t="s">
        <v>28668</v>
      </c>
      <c r="D1912" s="246">
        <v>43272</v>
      </c>
      <c r="E1912" s="5" t="s">
        <v>28775</v>
      </c>
      <c r="F1912" s="26" t="s">
        <v>28296</v>
      </c>
      <c r="G1912" s="27" t="s">
        <v>13712</v>
      </c>
      <c r="H1912" s="28" t="s">
        <v>13713</v>
      </c>
      <c r="I1912" s="5" t="s">
        <v>377</v>
      </c>
    </row>
    <row r="1913" spans="1:9" ht="51.75" customHeight="1">
      <c r="A1913" s="5" t="s">
        <v>23980</v>
      </c>
      <c r="B1913" s="5" t="s">
        <v>28776</v>
      </c>
      <c r="C1913" s="5" t="s">
        <v>28668</v>
      </c>
      <c r="D1913" s="246">
        <v>43272</v>
      </c>
      <c r="E1913" s="5" t="s">
        <v>28777</v>
      </c>
      <c r="F1913" s="26" t="s">
        <v>23600</v>
      </c>
      <c r="G1913" s="27" t="s">
        <v>13712</v>
      </c>
      <c r="H1913" s="28" t="s">
        <v>13713</v>
      </c>
      <c r="I1913" s="5" t="s">
        <v>377</v>
      </c>
    </row>
    <row r="1914" spans="1:9" ht="51.75" customHeight="1">
      <c r="A1914" s="5" t="s">
        <v>28778</v>
      </c>
      <c r="B1914" s="5" t="s">
        <v>28779</v>
      </c>
      <c r="C1914" s="5" t="s">
        <v>28780</v>
      </c>
      <c r="D1914" s="246">
        <v>43272</v>
      </c>
      <c r="E1914" s="5" t="s">
        <v>28781</v>
      </c>
      <c r="F1914" s="26" t="s">
        <v>28296</v>
      </c>
      <c r="G1914" s="27" t="s">
        <v>13712</v>
      </c>
      <c r="H1914" s="28" t="s">
        <v>13713</v>
      </c>
      <c r="I1914" s="5" t="s">
        <v>377</v>
      </c>
    </row>
    <row r="1915" spans="1:9" ht="51.75" customHeight="1">
      <c r="A1915" s="5" t="s">
        <v>28778</v>
      </c>
      <c r="B1915" s="5" t="s">
        <v>28782</v>
      </c>
      <c r="C1915" s="5" t="s">
        <v>28780</v>
      </c>
      <c r="D1915" s="246">
        <v>43272</v>
      </c>
      <c r="E1915" s="5" t="s">
        <v>28783</v>
      </c>
      <c r="F1915" s="26" t="s">
        <v>23600</v>
      </c>
      <c r="G1915" s="27" t="s">
        <v>13712</v>
      </c>
      <c r="H1915" s="28" t="s">
        <v>13713</v>
      </c>
      <c r="I1915" s="5" t="s">
        <v>377</v>
      </c>
    </row>
    <row r="1916" spans="1:9" ht="51.75" customHeight="1">
      <c r="A1916" s="5" t="s">
        <v>28784</v>
      </c>
      <c r="B1916" s="5" t="s">
        <v>28785</v>
      </c>
      <c r="C1916" s="5" t="s">
        <v>28786</v>
      </c>
      <c r="D1916" s="246">
        <v>43272</v>
      </c>
      <c r="E1916" s="5" t="s">
        <v>28787</v>
      </c>
      <c r="F1916" s="26" t="s">
        <v>28296</v>
      </c>
      <c r="G1916" s="27" t="s">
        <v>13712</v>
      </c>
      <c r="H1916" s="28" t="s">
        <v>13713</v>
      </c>
      <c r="I1916" s="5" t="s">
        <v>377</v>
      </c>
    </row>
    <row r="1917" spans="1:9" ht="51.75" customHeight="1">
      <c r="A1917" s="5" t="s">
        <v>28784</v>
      </c>
      <c r="B1917" s="5" t="s">
        <v>28788</v>
      </c>
      <c r="C1917" s="5" t="s">
        <v>28786</v>
      </c>
      <c r="D1917" s="246">
        <v>43272</v>
      </c>
      <c r="E1917" s="5" t="s">
        <v>28789</v>
      </c>
      <c r="F1917" s="26" t="s">
        <v>23600</v>
      </c>
      <c r="G1917" s="27" t="s">
        <v>13712</v>
      </c>
      <c r="H1917" s="28" t="s">
        <v>13713</v>
      </c>
      <c r="I1917" s="5" t="s">
        <v>377</v>
      </c>
    </row>
    <row r="1918" spans="1:9" ht="51.75" customHeight="1">
      <c r="A1918" s="5" t="s">
        <v>28790</v>
      </c>
      <c r="B1918" s="5" t="s">
        <v>28791</v>
      </c>
      <c r="C1918" s="5" t="s">
        <v>28792</v>
      </c>
      <c r="D1918" s="246">
        <v>43272</v>
      </c>
      <c r="E1918" s="5" t="s">
        <v>28793</v>
      </c>
      <c r="F1918" s="26" t="s">
        <v>28296</v>
      </c>
      <c r="G1918" s="27" t="s">
        <v>13712</v>
      </c>
      <c r="H1918" s="28" t="s">
        <v>13713</v>
      </c>
      <c r="I1918" s="5" t="s">
        <v>377</v>
      </c>
    </row>
    <row r="1919" spans="1:9" ht="51.75" customHeight="1">
      <c r="A1919" s="5" t="s">
        <v>28790</v>
      </c>
      <c r="B1919" s="5" t="s">
        <v>28794</v>
      </c>
      <c r="C1919" s="5" t="s">
        <v>28792</v>
      </c>
      <c r="D1919" s="246">
        <v>43272</v>
      </c>
      <c r="E1919" s="5" t="s">
        <v>28795</v>
      </c>
      <c r="F1919" s="26" t="s">
        <v>23600</v>
      </c>
      <c r="G1919" s="27" t="s">
        <v>13712</v>
      </c>
      <c r="H1919" s="28" t="s">
        <v>13713</v>
      </c>
      <c r="I1919" s="5" t="s">
        <v>377</v>
      </c>
    </row>
    <row r="1920" spans="1:9" ht="51.75" customHeight="1">
      <c r="A1920" s="5" t="s">
        <v>25307</v>
      </c>
      <c r="B1920" s="5" t="s">
        <v>28796</v>
      </c>
      <c r="C1920" s="5" t="s">
        <v>28797</v>
      </c>
      <c r="D1920" s="246">
        <v>43641</v>
      </c>
      <c r="E1920" s="5" t="s">
        <v>28798</v>
      </c>
      <c r="F1920" s="26" t="s">
        <v>28296</v>
      </c>
      <c r="G1920" s="27" t="s">
        <v>14216</v>
      </c>
      <c r="H1920" s="28" t="s">
        <v>14217</v>
      </c>
      <c r="I1920" s="5" t="s">
        <v>377</v>
      </c>
    </row>
    <row r="1921" spans="1:9" ht="51.75" customHeight="1">
      <c r="A1921" s="5" t="s">
        <v>25307</v>
      </c>
      <c r="B1921" s="5" t="s">
        <v>28799</v>
      </c>
      <c r="C1921" s="5" t="s">
        <v>28797</v>
      </c>
      <c r="D1921" s="246">
        <v>43641</v>
      </c>
      <c r="E1921" s="5" t="s">
        <v>28800</v>
      </c>
      <c r="F1921" s="26" t="s">
        <v>23600</v>
      </c>
      <c r="G1921" s="27" t="s">
        <v>14216</v>
      </c>
      <c r="H1921" s="28" t="s">
        <v>14217</v>
      </c>
      <c r="I1921" s="5" t="s">
        <v>377</v>
      </c>
    </row>
    <row r="1922" spans="1:9" ht="51.75" customHeight="1">
      <c r="A1922" s="5" t="s">
        <v>24351</v>
      </c>
      <c r="B1922" s="5" t="s">
        <v>28801</v>
      </c>
      <c r="C1922" s="5" t="s">
        <v>28802</v>
      </c>
      <c r="D1922" s="246">
        <v>43641</v>
      </c>
      <c r="E1922" s="5" t="s">
        <v>28803</v>
      </c>
      <c r="F1922" s="26" t="s">
        <v>28296</v>
      </c>
      <c r="G1922" s="27" t="s">
        <v>14216</v>
      </c>
      <c r="H1922" s="28" t="s">
        <v>14217</v>
      </c>
      <c r="I1922" s="5" t="s">
        <v>377</v>
      </c>
    </row>
    <row r="1923" spans="1:9" ht="51.75" customHeight="1">
      <c r="A1923" s="5" t="s">
        <v>24351</v>
      </c>
      <c r="B1923" s="5" t="s">
        <v>28804</v>
      </c>
      <c r="C1923" s="5" t="s">
        <v>28802</v>
      </c>
      <c r="D1923" s="246">
        <v>43641</v>
      </c>
      <c r="E1923" s="5" t="s">
        <v>28805</v>
      </c>
      <c r="F1923" s="26" t="s">
        <v>23600</v>
      </c>
      <c r="G1923" s="27" t="s">
        <v>14216</v>
      </c>
      <c r="H1923" s="28" t="s">
        <v>14217</v>
      </c>
      <c r="I1923" s="5" t="s">
        <v>377</v>
      </c>
    </row>
    <row r="1924" spans="1:9" ht="51.75" customHeight="1">
      <c r="A1924" s="5" t="s">
        <v>24166</v>
      </c>
      <c r="B1924" s="5" t="s">
        <v>28806</v>
      </c>
      <c r="C1924" s="5" t="s">
        <v>28807</v>
      </c>
      <c r="D1924" s="246">
        <v>43641</v>
      </c>
      <c r="E1924" s="5" t="s">
        <v>28808</v>
      </c>
      <c r="F1924" s="26" t="s">
        <v>28296</v>
      </c>
      <c r="G1924" s="27" t="s">
        <v>14216</v>
      </c>
      <c r="H1924" s="28" t="s">
        <v>14217</v>
      </c>
      <c r="I1924" s="5" t="s">
        <v>377</v>
      </c>
    </row>
    <row r="1925" spans="1:9" ht="51.75" customHeight="1">
      <c r="A1925" s="5" t="s">
        <v>24166</v>
      </c>
      <c r="B1925" s="5" t="s">
        <v>28809</v>
      </c>
      <c r="C1925" s="5" t="s">
        <v>28807</v>
      </c>
      <c r="D1925" s="246">
        <v>43641</v>
      </c>
      <c r="E1925" s="5" t="s">
        <v>28810</v>
      </c>
      <c r="F1925" s="26" t="s">
        <v>23600</v>
      </c>
      <c r="G1925" s="27" t="s">
        <v>14216</v>
      </c>
      <c r="H1925" s="28" t="s">
        <v>14217</v>
      </c>
      <c r="I1925" s="5" t="s">
        <v>377</v>
      </c>
    </row>
    <row r="1926" spans="1:9" ht="51.75" customHeight="1">
      <c r="A1926" s="5" t="s">
        <v>24174</v>
      </c>
      <c r="B1926" s="5" t="s">
        <v>28811</v>
      </c>
      <c r="C1926" s="5" t="s">
        <v>28807</v>
      </c>
      <c r="D1926" s="246">
        <v>43641</v>
      </c>
      <c r="E1926" s="5" t="s">
        <v>28812</v>
      </c>
      <c r="F1926" s="26" t="s">
        <v>28296</v>
      </c>
      <c r="G1926" s="27" t="s">
        <v>14216</v>
      </c>
      <c r="H1926" s="28" t="s">
        <v>14217</v>
      </c>
      <c r="I1926" s="5" t="s">
        <v>377</v>
      </c>
    </row>
    <row r="1927" spans="1:9" ht="51.75" customHeight="1">
      <c r="A1927" s="5" t="s">
        <v>24174</v>
      </c>
      <c r="B1927" s="5" t="s">
        <v>28813</v>
      </c>
      <c r="C1927" s="5" t="s">
        <v>28807</v>
      </c>
      <c r="D1927" s="246">
        <v>43641</v>
      </c>
      <c r="E1927" s="5" t="s">
        <v>28814</v>
      </c>
      <c r="F1927" s="26" t="s">
        <v>23600</v>
      </c>
      <c r="G1927" s="27" t="s">
        <v>14216</v>
      </c>
      <c r="H1927" s="28" t="s">
        <v>14217</v>
      </c>
      <c r="I1927" s="5" t="s">
        <v>377</v>
      </c>
    </row>
    <row r="1928" spans="1:9" ht="51.75" customHeight="1">
      <c r="A1928" s="5" t="s">
        <v>24182</v>
      </c>
      <c r="B1928" s="5" t="s">
        <v>28815</v>
      </c>
      <c r="C1928" s="5" t="s">
        <v>28816</v>
      </c>
      <c r="D1928" s="246">
        <v>43641</v>
      </c>
      <c r="E1928" s="5" t="s">
        <v>28817</v>
      </c>
      <c r="F1928" s="26" t="s">
        <v>28296</v>
      </c>
      <c r="G1928" s="27" t="s">
        <v>14216</v>
      </c>
      <c r="H1928" s="28" t="s">
        <v>14217</v>
      </c>
      <c r="I1928" s="5" t="s">
        <v>377</v>
      </c>
    </row>
    <row r="1929" spans="1:9" ht="51.75" customHeight="1">
      <c r="A1929" s="5" t="s">
        <v>24182</v>
      </c>
      <c r="B1929" s="5" t="s">
        <v>28818</v>
      </c>
      <c r="C1929" s="5" t="s">
        <v>28816</v>
      </c>
      <c r="D1929" s="246">
        <v>43641</v>
      </c>
      <c r="E1929" s="5" t="s">
        <v>28819</v>
      </c>
      <c r="F1929" s="26" t="s">
        <v>23600</v>
      </c>
      <c r="G1929" s="27" t="s">
        <v>14216</v>
      </c>
      <c r="H1929" s="28" t="s">
        <v>14217</v>
      </c>
      <c r="I1929" s="5" t="s">
        <v>377</v>
      </c>
    </row>
    <row r="1930" spans="1:9" ht="51.75" customHeight="1">
      <c r="A1930" s="5" t="s">
        <v>23806</v>
      </c>
      <c r="B1930" s="5" t="s">
        <v>28820</v>
      </c>
      <c r="C1930" s="5" t="s">
        <v>28807</v>
      </c>
      <c r="D1930" s="246">
        <v>43641</v>
      </c>
      <c r="E1930" s="5" t="s">
        <v>28821</v>
      </c>
      <c r="F1930" s="26" t="s">
        <v>28296</v>
      </c>
      <c r="G1930" s="27" t="s">
        <v>14216</v>
      </c>
      <c r="H1930" s="28" t="s">
        <v>14217</v>
      </c>
      <c r="I1930" s="5" t="s">
        <v>377</v>
      </c>
    </row>
    <row r="1931" spans="1:9" ht="51.75" customHeight="1">
      <c r="A1931" s="5" t="s">
        <v>23806</v>
      </c>
      <c r="B1931" s="5" t="s">
        <v>28822</v>
      </c>
      <c r="C1931" s="5" t="s">
        <v>28807</v>
      </c>
      <c r="D1931" s="246">
        <v>43641</v>
      </c>
      <c r="E1931" s="5" t="s">
        <v>28823</v>
      </c>
      <c r="F1931" s="26" t="s">
        <v>23600</v>
      </c>
      <c r="G1931" s="27" t="s">
        <v>14216</v>
      </c>
      <c r="H1931" s="28" t="s">
        <v>14217</v>
      </c>
      <c r="I1931" s="5" t="s">
        <v>377</v>
      </c>
    </row>
    <row r="1932" spans="1:9" ht="51.75" customHeight="1">
      <c r="A1932" s="5" t="s">
        <v>24196</v>
      </c>
      <c r="B1932" s="5" t="s">
        <v>28824</v>
      </c>
      <c r="C1932" s="5" t="s">
        <v>28825</v>
      </c>
      <c r="D1932" s="246">
        <v>43641</v>
      </c>
      <c r="E1932" s="5" t="s">
        <v>28826</v>
      </c>
      <c r="F1932" s="26" t="s">
        <v>28296</v>
      </c>
      <c r="G1932" s="27" t="s">
        <v>14216</v>
      </c>
      <c r="H1932" s="28" t="s">
        <v>14217</v>
      </c>
      <c r="I1932" s="5" t="s">
        <v>377</v>
      </c>
    </row>
    <row r="1933" spans="1:9" ht="51.75" customHeight="1">
      <c r="A1933" s="5" t="s">
        <v>24196</v>
      </c>
      <c r="B1933" s="5" t="s">
        <v>28827</v>
      </c>
      <c r="C1933" s="5" t="s">
        <v>28825</v>
      </c>
      <c r="D1933" s="246">
        <v>43641</v>
      </c>
      <c r="E1933" s="5" t="s">
        <v>28828</v>
      </c>
      <c r="F1933" s="26" t="s">
        <v>23600</v>
      </c>
      <c r="G1933" s="27" t="s">
        <v>14216</v>
      </c>
      <c r="H1933" s="28" t="s">
        <v>14217</v>
      </c>
      <c r="I1933" s="5" t="s">
        <v>377</v>
      </c>
    </row>
    <row r="1934" spans="1:9" ht="51.75" customHeight="1">
      <c r="A1934" s="5" t="s">
        <v>26120</v>
      </c>
      <c r="B1934" s="5" t="s">
        <v>28829</v>
      </c>
      <c r="C1934" s="5" t="s">
        <v>28807</v>
      </c>
      <c r="D1934" s="246">
        <v>43641</v>
      </c>
      <c r="E1934" s="5" t="s">
        <v>28830</v>
      </c>
      <c r="F1934" s="26" t="s">
        <v>28296</v>
      </c>
      <c r="G1934" s="27" t="s">
        <v>14216</v>
      </c>
      <c r="H1934" s="28" t="s">
        <v>14217</v>
      </c>
      <c r="I1934" s="5" t="s">
        <v>377</v>
      </c>
    </row>
    <row r="1935" spans="1:9" ht="51.75" customHeight="1">
      <c r="A1935" s="5" t="s">
        <v>26120</v>
      </c>
      <c r="B1935" s="5" t="s">
        <v>28831</v>
      </c>
      <c r="C1935" s="5" t="s">
        <v>28807</v>
      </c>
      <c r="D1935" s="246">
        <v>43641</v>
      </c>
      <c r="E1935" s="5" t="s">
        <v>28832</v>
      </c>
      <c r="F1935" s="26" t="s">
        <v>23600</v>
      </c>
      <c r="G1935" s="27" t="s">
        <v>14216</v>
      </c>
      <c r="H1935" s="28" t="s">
        <v>14217</v>
      </c>
      <c r="I1935" s="5" t="s">
        <v>377</v>
      </c>
    </row>
    <row r="1936" spans="1:9" ht="51.75" customHeight="1">
      <c r="A1936" s="5" t="s">
        <v>26537</v>
      </c>
      <c r="B1936" s="5" t="s">
        <v>28833</v>
      </c>
      <c r="C1936" s="5" t="s">
        <v>28834</v>
      </c>
      <c r="D1936" s="246">
        <v>43641</v>
      </c>
      <c r="E1936" s="5" t="s">
        <v>28835</v>
      </c>
      <c r="F1936" s="26" t="s">
        <v>28296</v>
      </c>
      <c r="G1936" s="27" t="s">
        <v>14216</v>
      </c>
      <c r="H1936" s="28" t="s">
        <v>14217</v>
      </c>
      <c r="I1936" s="5" t="s">
        <v>377</v>
      </c>
    </row>
    <row r="1937" spans="1:9" ht="51.75" customHeight="1">
      <c r="A1937" s="5" t="s">
        <v>26537</v>
      </c>
      <c r="B1937" s="5" t="s">
        <v>28836</v>
      </c>
      <c r="C1937" s="5" t="s">
        <v>28834</v>
      </c>
      <c r="D1937" s="246">
        <v>43641</v>
      </c>
      <c r="E1937" s="5" t="s">
        <v>28837</v>
      </c>
      <c r="F1937" s="26" t="s">
        <v>23600</v>
      </c>
      <c r="G1937" s="27" t="s">
        <v>14216</v>
      </c>
      <c r="H1937" s="28" t="s">
        <v>14217</v>
      </c>
      <c r="I1937" s="5" t="s">
        <v>377</v>
      </c>
    </row>
    <row r="1938" spans="1:9" ht="51.75" customHeight="1">
      <c r="A1938" s="5" t="s">
        <v>24981</v>
      </c>
      <c r="B1938" s="5" t="s">
        <v>28838</v>
      </c>
      <c r="C1938" s="5" t="s">
        <v>28839</v>
      </c>
      <c r="D1938" s="246">
        <v>43369</v>
      </c>
      <c r="E1938" s="5" t="s">
        <v>28840</v>
      </c>
      <c r="F1938" s="26" t="s">
        <v>28296</v>
      </c>
      <c r="G1938" s="27" t="s">
        <v>14148</v>
      </c>
      <c r="H1938" s="28" t="s">
        <v>14149</v>
      </c>
      <c r="I1938" s="5" t="s">
        <v>377</v>
      </c>
    </row>
    <row r="1939" spans="1:9" ht="51.75" customHeight="1">
      <c r="A1939" s="5" t="s">
        <v>24981</v>
      </c>
      <c r="B1939" s="5" t="s">
        <v>28841</v>
      </c>
      <c r="C1939" s="5" t="s">
        <v>28839</v>
      </c>
      <c r="D1939" s="246">
        <v>43369</v>
      </c>
      <c r="E1939" s="5" t="s">
        <v>28842</v>
      </c>
      <c r="F1939" s="26" t="s">
        <v>23600</v>
      </c>
      <c r="G1939" s="27" t="s">
        <v>14148</v>
      </c>
      <c r="H1939" s="28" t="s">
        <v>14149</v>
      </c>
      <c r="I1939" s="5" t="s">
        <v>377</v>
      </c>
    </row>
    <row r="1940" spans="1:9" ht="51.75" customHeight="1">
      <c r="A1940" s="5" t="s">
        <v>24987</v>
      </c>
      <c r="B1940" s="5" t="s">
        <v>28843</v>
      </c>
      <c r="C1940" s="5" t="s">
        <v>28844</v>
      </c>
      <c r="D1940" s="246">
        <v>43369</v>
      </c>
      <c r="E1940" s="5" t="s">
        <v>28845</v>
      </c>
      <c r="F1940" s="26" t="s">
        <v>28296</v>
      </c>
      <c r="G1940" s="27" t="s">
        <v>14148</v>
      </c>
      <c r="H1940" s="28" t="s">
        <v>14149</v>
      </c>
      <c r="I1940" s="5" t="s">
        <v>377</v>
      </c>
    </row>
    <row r="1941" spans="1:9" ht="51.75" customHeight="1">
      <c r="A1941" s="5" t="s">
        <v>24987</v>
      </c>
      <c r="B1941" s="5" t="s">
        <v>28846</v>
      </c>
      <c r="C1941" s="5" t="s">
        <v>28844</v>
      </c>
      <c r="D1941" s="246">
        <v>43369</v>
      </c>
      <c r="E1941" s="5" t="s">
        <v>28847</v>
      </c>
      <c r="F1941" s="26" t="s">
        <v>23600</v>
      </c>
      <c r="G1941" s="27" t="s">
        <v>14148</v>
      </c>
      <c r="H1941" s="28" t="s">
        <v>14149</v>
      </c>
      <c r="I1941" s="5" t="s">
        <v>377</v>
      </c>
    </row>
    <row r="1942" spans="1:9" ht="51.75" customHeight="1">
      <c r="A1942" s="5" t="s">
        <v>25268</v>
      </c>
      <c r="B1942" s="5" t="s">
        <v>28848</v>
      </c>
      <c r="C1942" s="5" t="s">
        <v>28849</v>
      </c>
      <c r="D1942" s="246">
        <v>43455</v>
      </c>
      <c r="E1942" s="5" t="s">
        <v>28850</v>
      </c>
      <c r="F1942" s="26" t="s">
        <v>28296</v>
      </c>
      <c r="G1942" s="27" t="s">
        <v>14348</v>
      </c>
      <c r="H1942" s="28" t="s">
        <v>14349</v>
      </c>
      <c r="I1942" s="5" t="s">
        <v>377</v>
      </c>
    </row>
    <row r="1943" spans="1:9" ht="51.75" customHeight="1">
      <c r="A1943" s="5" t="s">
        <v>25268</v>
      </c>
      <c r="B1943" s="5" t="s">
        <v>28851</v>
      </c>
      <c r="C1943" s="5" t="s">
        <v>28849</v>
      </c>
      <c r="D1943" s="246">
        <v>43455</v>
      </c>
      <c r="E1943" s="5" t="s">
        <v>28852</v>
      </c>
      <c r="F1943" s="26" t="s">
        <v>23600</v>
      </c>
      <c r="G1943" s="27" t="s">
        <v>14348</v>
      </c>
      <c r="H1943" s="28" t="s">
        <v>14349</v>
      </c>
      <c r="I1943" s="5" t="s">
        <v>377</v>
      </c>
    </row>
    <row r="1944" spans="1:9" ht="51.75" customHeight="1">
      <c r="A1944" s="5" t="s">
        <v>25206</v>
      </c>
      <c r="B1944" s="5" t="s">
        <v>28853</v>
      </c>
      <c r="C1944" s="5" t="s">
        <v>28854</v>
      </c>
      <c r="D1944" s="246">
        <v>43455</v>
      </c>
      <c r="E1944" s="5" t="s">
        <v>28855</v>
      </c>
      <c r="F1944" s="26" t="s">
        <v>28296</v>
      </c>
      <c r="G1944" s="27" t="s">
        <v>14348</v>
      </c>
      <c r="H1944" s="28" t="s">
        <v>14349</v>
      </c>
      <c r="I1944" s="5" t="s">
        <v>377</v>
      </c>
    </row>
    <row r="1945" spans="1:9" ht="51.75" customHeight="1">
      <c r="A1945" s="5" t="s">
        <v>25206</v>
      </c>
      <c r="B1945" s="5" t="s">
        <v>28856</v>
      </c>
      <c r="C1945" s="5" t="s">
        <v>28854</v>
      </c>
      <c r="D1945" s="246">
        <v>43455</v>
      </c>
      <c r="E1945" s="5" t="s">
        <v>28857</v>
      </c>
      <c r="F1945" s="26" t="s">
        <v>23600</v>
      </c>
      <c r="G1945" s="27" t="s">
        <v>14348</v>
      </c>
      <c r="H1945" s="28" t="s">
        <v>14349</v>
      </c>
      <c r="I1945" s="5" t="s">
        <v>377</v>
      </c>
    </row>
    <row r="1946" spans="1:9" ht="51.75" customHeight="1">
      <c r="A1946" s="5" t="s">
        <v>23776</v>
      </c>
      <c r="B1946" s="5" t="s">
        <v>28858</v>
      </c>
      <c r="C1946" s="5" t="s">
        <v>28849</v>
      </c>
      <c r="D1946" s="246">
        <v>43455</v>
      </c>
      <c r="E1946" s="5" t="s">
        <v>28859</v>
      </c>
      <c r="F1946" s="26" t="s">
        <v>28296</v>
      </c>
      <c r="G1946" s="27" t="s">
        <v>14348</v>
      </c>
      <c r="H1946" s="28" t="s">
        <v>14349</v>
      </c>
      <c r="I1946" s="5" t="s">
        <v>377</v>
      </c>
    </row>
    <row r="1947" spans="1:9" ht="51.75" customHeight="1">
      <c r="A1947" s="5" t="s">
        <v>23776</v>
      </c>
      <c r="B1947" s="5" t="s">
        <v>28860</v>
      </c>
      <c r="C1947" s="5" t="s">
        <v>28849</v>
      </c>
      <c r="D1947" s="246">
        <v>43455</v>
      </c>
      <c r="E1947" s="5" t="s">
        <v>28861</v>
      </c>
      <c r="F1947" s="26" t="s">
        <v>23600</v>
      </c>
      <c r="G1947" s="27" t="s">
        <v>14348</v>
      </c>
      <c r="H1947" s="28" t="s">
        <v>14349</v>
      </c>
      <c r="I1947" s="5" t="s">
        <v>377</v>
      </c>
    </row>
    <row r="1948" spans="1:9" ht="51.75" customHeight="1">
      <c r="A1948" s="5" t="s">
        <v>26421</v>
      </c>
      <c r="B1948" s="5" t="s">
        <v>28862</v>
      </c>
      <c r="C1948" s="5" t="s">
        <v>28863</v>
      </c>
      <c r="D1948" s="246">
        <v>43455</v>
      </c>
      <c r="E1948" s="5" t="s">
        <v>28864</v>
      </c>
      <c r="F1948" s="26" t="s">
        <v>28296</v>
      </c>
      <c r="G1948" s="27" t="s">
        <v>14348</v>
      </c>
      <c r="H1948" s="28" t="s">
        <v>14349</v>
      </c>
      <c r="I1948" s="5" t="s">
        <v>377</v>
      </c>
    </row>
    <row r="1949" spans="1:9" ht="51.75" customHeight="1">
      <c r="A1949" s="5" t="s">
        <v>26421</v>
      </c>
      <c r="B1949" s="5" t="s">
        <v>28865</v>
      </c>
      <c r="C1949" s="5" t="s">
        <v>28863</v>
      </c>
      <c r="D1949" s="246">
        <v>43455</v>
      </c>
      <c r="E1949" s="5" t="s">
        <v>28866</v>
      </c>
      <c r="F1949" s="26" t="s">
        <v>23600</v>
      </c>
      <c r="G1949" s="27" t="s">
        <v>14348</v>
      </c>
      <c r="H1949" s="28" t="s">
        <v>14349</v>
      </c>
      <c r="I1949" s="5" t="s">
        <v>377</v>
      </c>
    </row>
    <row r="1950" spans="1:9" ht="51.75" customHeight="1">
      <c r="A1950" s="5" t="s">
        <v>26432</v>
      </c>
      <c r="B1950" s="5" t="s">
        <v>28867</v>
      </c>
      <c r="C1950" s="5" t="s">
        <v>28868</v>
      </c>
      <c r="D1950" s="246">
        <v>43455</v>
      </c>
      <c r="E1950" s="5" t="s">
        <v>28869</v>
      </c>
      <c r="F1950" s="26" t="s">
        <v>28296</v>
      </c>
      <c r="G1950" s="27" t="s">
        <v>14348</v>
      </c>
      <c r="H1950" s="28" t="s">
        <v>14349</v>
      </c>
      <c r="I1950" s="5" t="s">
        <v>377</v>
      </c>
    </row>
    <row r="1951" spans="1:9" ht="51.75" customHeight="1">
      <c r="A1951" s="5" t="s">
        <v>26432</v>
      </c>
      <c r="B1951" s="5" t="s">
        <v>28870</v>
      </c>
      <c r="C1951" s="5" t="s">
        <v>28868</v>
      </c>
      <c r="D1951" s="246">
        <v>43455</v>
      </c>
      <c r="E1951" s="5" t="s">
        <v>28871</v>
      </c>
      <c r="F1951" s="26" t="s">
        <v>23600</v>
      </c>
      <c r="G1951" s="27" t="s">
        <v>14348</v>
      </c>
      <c r="H1951" s="28" t="s">
        <v>14349</v>
      </c>
      <c r="I1951" s="5" t="s">
        <v>377</v>
      </c>
    </row>
    <row r="1952" spans="1:9" ht="51.75" customHeight="1">
      <c r="A1952" s="5" t="s">
        <v>25074</v>
      </c>
      <c r="B1952" s="5" t="s">
        <v>28872</v>
      </c>
      <c r="C1952" s="5" t="s">
        <v>28873</v>
      </c>
      <c r="D1952" s="246">
        <v>43389</v>
      </c>
      <c r="E1952" s="5" t="s">
        <v>28874</v>
      </c>
      <c r="F1952" s="26" t="s">
        <v>28296</v>
      </c>
      <c r="G1952" s="27" t="s">
        <v>14494</v>
      </c>
      <c r="H1952" s="28" t="s">
        <v>14495</v>
      </c>
      <c r="I1952" s="5" t="s">
        <v>377</v>
      </c>
    </row>
    <row r="1953" spans="1:9" ht="51.75" customHeight="1">
      <c r="A1953" s="5" t="s">
        <v>25074</v>
      </c>
      <c r="B1953" s="5" t="s">
        <v>28875</v>
      </c>
      <c r="C1953" s="5" t="s">
        <v>28873</v>
      </c>
      <c r="D1953" s="246">
        <v>43389</v>
      </c>
      <c r="E1953" s="5" t="s">
        <v>28876</v>
      </c>
      <c r="F1953" s="26" t="s">
        <v>23600</v>
      </c>
      <c r="G1953" s="27" t="s">
        <v>14494</v>
      </c>
      <c r="H1953" s="28" t="s">
        <v>14495</v>
      </c>
      <c r="I1953" s="5" t="s">
        <v>377</v>
      </c>
    </row>
    <row r="1954" spans="1:9" ht="51.75" customHeight="1">
      <c r="A1954" s="5" t="s">
        <v>26232</v>
      </c>
      <c r="B1954" s="5" t="s">
        <v>28877</v>
      </c>
      <c r="C1954" s="5" t="s">
        <v>28878</v>
      </c>
      <c r="D1954" s="246">
        <v>43389</v>
      </c>
      <c r="E1954" s="5" t="s">
        <v>28879</v>
      </c>
      <c r="F1954" s="26" t="s">
        <v>28296</v>
      </c>
      <c r="G1954" s="27" t="s">
        <v>14494</v>
      </c>
      <c r="H1954" s="28" t="s">
        <v>14495</v>
      </c>
      <c r="I1954" s="5" t="s">
        <v>377</v>
      </c>
    </row>
    <row r="1955" spans="1:9" ht="51.75" customHeight="1">
      <c r="A1955" s="5" t="s">
        <v>26232</v>
      </c>
      <c r="B1955" s="5" t="s">
        <v>28880</v>
      </c>
      <c r="C1955" s="5" t="s">
        <v>28878</v>
      </c>
      <c r="D1955" s="246">
        <v>43389</v>
      </c>
      <c r="E1955" s="5" t="s">
        <v>28881</v>
      </c>
      <c r="F1955" s="26" t="s">
        <v>23600</v>
      </c>
      <c r="G1955" s="27" t="s">
        <v>14494</v>
      </c>
      <c r="H1955" s="28" t="s">
        <v>14495</v>
      </c>
      <c r="I1955" s="5" t="s">
        <v>377</v>
      </c>
    </row>
    <row r="1956" spans="1:9" ht="51.75" customHeight="1">
      <c r="A1956" s="5" t="s">
        <v>28025</v>
      </c>
      <c r="B1956" s="5" t="s">
        <v>28882</v>
      </c>
      <c r="C1956" s="5" t="s">
        <v>28883</v>
      </c>
      <c r="D1956" s="246">
        <v>43389</v>
      </c>
      <c r="E1956" s="5" t="s">
        <v>28884</v>
      </c>
      <c r="F1956" s="26" t="s">
        <v>28296</v>
      </c>
      <c r="G1956" s="27" t="s">
        <v>14494</v>
      </c>
      <c r="H1956" s="28" t="s">
        <v>14495</v>
      </c>
      <c r="I1956" s="5" t="s">
        <v>377</v>
      </c>
    </row>
    <row r="1957" spans="1:9" ht="51.75" customHeight="1">
      <c r="A1957" s="5" t="s">
        <v>28025</v>
      </c>
      <c r="B1957" s="5" t="s">
        <v>28885</v>
      </c>
      <c r="C1957" s="5" t="s">
        <v>28883</v>
      </c>
      <c r="D1957" s="246">
        <v>43389</v>
      </c>
      <c r="E1957" s="5" t="s">
        <v>28886</v>
      </c>
      <c r="F1957" s="26" t="s">
        <v>23600</v>
      </c>
      <c r="G1957" s="27" t="s">
        <v>14494</v>
      </c>
      <c r="H1957" s="28" t="s">
        <v>14495</v>
      </c>
      <c r="I1957" s="5" t="s">
        <v>377</v>
      </c>
    </row>
    <row r="1958" spans="1:9" ht="51.75" customHeight="1">
      <c r="A1958" s="5" t="s">
        <v>26503</v>
      </c>
      <c r="B1958" s="5" t="s">
        <v>28887</v>
      </c>
      <c r="C1958" s="5" t="s">
        <v>28883</v>
      </c>
      <c r="D1958" s="246">
        <v>43389</v>
      </c>
      <c r="E1958" s="5" t="s">
        <v>28888</v>
      </c>
      <c r="F1958" s="26" t="s">
        <v>28296</v>
      </c>
      <c r="G1958" s="27" t="s">
        <v>14494</v>
      </c>
      <c r="H1958" s="28" t="s">
        <v>14495</v>
      </c>
      <c r="I1958" s="5" t="s">
        <v>377</v>
      </c>
    </row>
    <row r="1959" spans="1:9" ht="51.75" customHeight="1">
      <c r="A1959" s="5" t="s">
        <v>26503</v>
      </c>
      <c r="B1959" s="5" t="s">
        <v>28889</v>
      </c>
      <c r="C1959" s="5" t="s">
        <v>28883</v>
      </c>
      <c r="D1959" s="246">
        <v>43389</v>
      </c>
      <c r="E1959" s="5" t="s">
        <v>28890</v>
      </c>
      <c r="F1959" s="26" t="s">
        <v>23600</v>
      </c>
      <c r="G1959" s="27" t="s">
        <v>14494</v>
      </c>
      <c r="H1959" s="28" t="s">
        <v>14495</v>
      </c>
      <c r="I1959" s="5" t="s">
        <v>377</v>
      </c>
    </row>
    <row r="1960" spans="1:9" ht="51.75" customHeight="1">
      <c r="A1960" s="5" t="s">
        <v>24932</v>
      </c>
      <c r="B1960" s="5" t="s">
        <v>28891</v>
      </c>
      <c r="C1960" s="5" t="s">
        <v>28883</v>
      </c>
      <c r="D1960" s="246">
        <v>43389</v>
      </c>
      <c r="E1960" s="5" t="s">
        <v>28892</v>
      </c>
      <c r="F1960" s="26" t="s">
        <v>28296</v>
      </c>
      <c r="G1960" s="27" t="s">
        <v>14494</v>
      </c>
      <c r="H1960" s="28" t="s">
        <v>14495</v>
      </c>
      <c r="I1960" s="5" t="s">
        <v>377</v>
      </c>
    </row>
    <row r="1961" spans="1:9" ht="51.75" customHeight="1">
      <c r="A1961" s="5" t="s">
        <v>24932</v>
      </c>
      <c r="B1961" s="5" t="s">
        <v>28893</v>
      </c>
      <c r="C1961" s="5" t="s">
        <v>28883</v>
      </c>
      <c r="D1961" s="246">
        <v>43389</v>
      </c>
      <c r="E1961" s="5" t="s">
        <v>28894</v>
      </c>
      <c r="F1961" s="26" t="s">
        <v>23600</v>
      </c>
      <c r="G1961" s="27" t="s">
        <v>14494</v>
      </c>
      <c r="H1961" s="28" t="s">
        <v>14495</v>
      </c>
      <c r="I1961" s="5" t="s">
        <v>377</v>
      </c>
    </row>
    <row r="1962" spans="1:9" ht="51.75" customHeight="1">
      <c r="A1962" s="5" t="s">
        <v>25313</v>
      </c>
      <c r="B1962" s="5" t="s">
        <v>28895</v>
      </c>
      <c r="C1962" s="5" t="s">
        <v>28873</v>
      </c>
      <c r="D1962" s="246">
        <v>43810</v>
      </c>
      <c r="E1962" s="5" t="s">
        <v>28896</v>
      </c>
      <c r="F1962" s="26" t="s">
        <v>28296</v>
      </c>
      <c r="G1962" s="27" t="s">
        <v>14688</v>
      </c>
      <c r="H1962" s="28" t="s">
        <v>14689</v>
      </c>
      <c r="I1962" s="5" t="s">
        <v>377</v>
      </c>
    </row>
    <row r="1963" spans="1:9" ht="51.75" customHeight="1">
      <c r="A1963" s="5" t="s">
        <v>25313</v>
      </c>
      <c r="B1963" s="5" t="s">
        <v>28897</v>
      </c>
      <c r="C1963" s="5" t="s">
        <v>28873</v>
      </c>
      <c r="D1963" s="246">
        <v>43810</v>
      </c>
      <c r="E1963" s="5" t="s">
        <v>28898</v>
      </c>
      <c r="F1963" s="26" t="s">
        <v>23600</v>
      </c>
      <c r="G1963" s="27" t="s">
        <v>14688</v>
      </c>
      <c r="H1963" s="28" t="s">
        <v>14689</v>
      </c>
      <c r="I1963" s="5" t="s">
        <v>377</v>
      </c>
    </row>
    <row r="1964" spans="1:9" ht="51.75" customHeight="1">
      <c r="A1964" s="5" t="s">
        <v>24389</v>
      </c>
      <c r="B1964" s="5" t="s">
        <v>28899</v>
      </c>
      <c r="C1964" s="5" t="s">
        <v>28900</v>
      </c>
      <c r="D1964" s="246">
        <v>43810</v>
      </c>
      <c r="E1964" s="5" t="s">
        <v>28901</v>
      </c>
      <c r="F1964" s="26" t="s">
        <v>28296</v>
      </c>
      <c r="G1964" s="27" t="s">
        <v>14688</v>
      </c>
      <c r="H1964" s="28" t="s">
        <v>14689</v>
      </c>
      <c r="I1964" s="5" t="s">
        <v>377</v>
      </c>
    </row>
    <row r="1965" spans="1:9" ht="51.75" customHeight="1">
      <c r="A1965" s="5" t="s">
        <v>24389</v>
      </c>
      <c r="B1965" s="5" t="s">
        <v>28902</v>
      </c>
      <c r="C1965" s="5" t="s">
        <v>28900</v>
      </c>
      <c r="D1965" s="246">
        <v>43810</v>
      </c>
      <c r="E1965" s="5" t="s">
        <v>28903</v>
      </c>
      <c r="F1965" s="26" t="s">
        <v>23600</v>
      </c>
      <c r="G1965" s="27" t="s">
        <v>14688</v>
      </c>
      <c r="H1965" s="28" t="s">
        <v>14689</v>
      </c>
      <c r="I1965" s="5" t="s">
        <v>377</v>
      </c>
    </row>
    <row r="1966" spans="1:9" ht="51.75" customHeight="1">
      <c r="A1966" s="5" t="s">
        <v>26087</v>
      </c>
      <c r="B1966" s="5" t="s">
        <v>28904</v>
      </c>
      <c r="C1966" s="5" t="s">
        <v>28905</v>
      </c>
      <c r="D1966" s="246">
        <v>43810</v>
      </c>
      <c r="E1966" s="5" t="s">
        <v>28906</v>
      </c>
      <c r="F1966" s="26" t="s">
        <v>28296</v>
      </c>
      <c r="G1966" s="27" t="s">
        <v>14688</v>
      </c>
      <c r="H1966" s="28" t="s">
        <v>14689</v>
      </c>
      <c r="I1966" s="5" t="s">
        <v>377</v>
      </c>
    </row>
    <row r="1967" spans="1:9" ht="51.75" customHeight="1">
      <c r="A1967" s="5" t="s">
        <v>26087</v>
      </c>
      <c r="B1967" s="5" t="s">
        <v>28907</v>
      </c>
      <c r="C1967" s="5" t="s">
        <v>28905</v>
      </c>
      <c r="D1967" s="246">
        <v>43810</v>
      </c>
      <c r="E1967" s="5" t="s">
        <v>28908</v>
      </c>
      <c r="F1967" s="26" t="s">
        <v>23600</v>
      </c>
      <c r="G1967" s="27" t="s">
        <v>14688</v>
      </c>
      <c r="H1967" s="28" t="s">
        <v>14689</v>
      </c>
      <c r="I1967" s="5" t="s">
        <v>377</v>
      </c>
    </row>
    <row r="1968" spans="1:9" ht="51.75" customHeight="1">
      <c r="A1968" s="5" t="s">
        <v>26092</v>
      </c>
      <c r="B1968" s="5" t="s">
        <v>28909</v>
      </c>
      <c r="C1968" s="5" t="s">
        <v>28910</v>
      </c>
      <c r="D1968" s="246">
        <v>43810</v>
      </c>
      <c r="E1968" s="5" t="s">
        <v>28911</v>
      </c>
      <c r="F1968" s="26" t="s">
        <v>28296</v>
      </c>
      <c r="G1968" s="27" t="s">
        <v>14688</v>
      </c>
      <c r="H1968" s="28" t="s">
        <v>14689</v>
      </c>
      <c r="I1968" s="5" t="s">
        <v>377</v>
      </c>
    </row>
    <row r="1969" spans="1:9" ht="51.75" customHeight="1">
      <c r="A1969" s="5" t="s">
        <v>26092</v>
      </c>
      <c r="B1969" s="5" t="s">
        <v>28912</v>
      </c>
      <c r="C1969" s="5" t="s">
        <v>28910</v>
      </c>
      <c r="D1969" s="246">
        <v>43810</v>
      </c>
      <c r="E1969" s="5" t="s">
        <v>28913</v>
      </c>
      <c r="F1969" s="26" t="s">
        <v>23600</v>
      </c>
      <c r="G1969" s="27" t="s">
        <v>14688</v>
      </c>
      <c r="H1969" s="28" t="s">
        <v>14689</v>
      </c>
      <c r="I1969" s="5" t="s">
        <v>377</v>
      </c>
    </row>
    <row r="1970" spans="1:9" ht="51.75" customHeight="1">
      <c r="A1970" s="5" t="s">
        <v>28914</v>
      </c>
      <c r="B1970" s="5" t="s">
        <v>28915</v>
      </c>
      <c r="C1970" s="5" t="s">
        <v>28916</v>
      </c>
      <c r="D1970" s="246">
        <v>43810</v>
      </c>
      <c r="E1970" s="5" t="s">
        <v>28917</v>
      </c>
      <c r="F1970" s="26" t="s">
        <v>28296</v>
      </c>
      <c r="G1970" s="27" t="s">
        <v>14688</v>
      </c>
      <c r="H1970" s="28" t="s">
        <v>14689</v>
      </c>
      <c r="I1970" s="5" t="s">
        <v>377</v>
      </c>
    </row>
    <row r="1971" spans="1:9" ht="51.75" customHeight="1">
      <c r="A1971" s="5" t="s">
        <v>28914</v>
      </c>
      <c r="B1971" s="5" t="s">
        <v>28918</v>
      </c>
      <c r="C1971" s="5" t="s">
        <v>28916</v>
      </c>
      <c r="D1971" s="246">
        <v>43810</v>
      </c>
      <c r="E1971" s="5" t="s">
        <v>28919</v>
      </c>
      <c r="F1971" s="26" t="s">
        <v>23600</v>
      </c>
      <c r="G1971" s="27" t="s">
        <v>14688</v>
      </c>
      <c r="H1971" s="28" t="s">
        <v>14689</v>
      </c>
      <c r="I1971" s="5" t="s">
        <v>377</v>
      </c>
    </row>
    <row r="1972" spans="1:9" ht="51.75" customHeight="1">
      <c r="A1972" s="5" t="s">
        <v>24635</v>
      </c>
      <c r="B1972" s="5" t="s">
        <v>28920</v>
      </c>
      <c r="C1972" s="5" t="s">
        <v>28921</v>
      </c>
      <c r="D1972" s="246">
        <v>43600</v>
      </c>
      <c r="E1972" s="5" t="s">
        <v>28922</v>
      </c>
      <c r="F1972" s="26" t="s">
        <v>28296</v>
      </c>
      <c r="G1972" s="27" t="s">
        <v>15121</v>
      </c>
      <c r="H1972" s="28" t="s">
        <v>15122</v>
      </c>
      <c r="I1972" s="5" t="s">
        <v>377</v>
      </c>
    </row>
    <row r="1973" spans="1:9" ht="51.75" customHeight="1">
      <c r="A1973" s="5" t="s">
        <v>24635</v>
      </c>
      <c r="B1973" s="5" t="s">
        <v>28923</v>
      </c>
      <c r="C1973" s="5" t="s">
        <v>28921</v>
      </c>
      <c r="D1973" s="246">
        <v>43600</v>
      </c>
      <c r="E1973" s="5" t="s">
        <v>28924</v>
      </c>
      <c r="F1973" s="26" t="s">
        <v>23600</v>
      </c>
      <c r="G1973" s="27" t="s">
        <v>15121</v>
      </c>
      <c r="H1973" s="28" t="s">
        <v>15122</v>
      </c>
      <c r="I1973" s="5" t="s">
        <v>377</v>
      </c>
    </row>
    <row r="1974" spans="1:9" ht="51.75" customHeight="1">
      <c r="A1974" s="5" t="s">
        <v>24643</v>
      </c>
      <c r="B1974" s="5" t="s">
        <v>28925</v>
      </c>
      <c r="C1974" s="5" t="s">
        <v>28926</v>
      </c>
      <c r="D1974" s="246" t="s">
        <v>68</v>
      </c>
      <c r="E1974" s="5" t="s">
        <v>28927</v>
      </c>
      <c r="F1974" s="26" t="s">
        <v>28296</v>
      </c>
      <c r="G1974" s="27" t="s">
        <v>15121</v>
      </c>
      <c r="H1974" s="28" t="s">
        <v>15122</v>
      </c>
      <c r="I1974" s="5" t="s">
        <v>377</v>
      </c>
    </row>
    <row r="1975" spans="1:9" ht="51.75" customHeight="1">
      <c r="A1975" s="5" t="s">
        <v>24643</v>
      </c>
      <c r="B1975" s="5" t="s">
        <v>28928</v>
      </c>
      <c r="C1975" s="5" t="s">
        <v>28926</v>
      </c>
      <c r="D1975" s="246" t="s">
        <v>68</v>
      </c>
      <c r="E1975" s="5" t="s">
        <v>28929</v>
      </c>
      <c r="F1975" s="26" t="s">
        <v>23600</v>
      </c>
      <c r="G1975" s="27" t="s">
        <v>15121</v>
      </c>
      <c r="H1975" s="28" t="s">
        <v>15122</v>
      </c>
      <c r="I1975" s="5" t="s">
        <v>377</v>
      </c>
    </row>
    <row r="1976" spans="1:9" ht="51.75" customHeight="1">
      <c r="A1976" s="5" t="s">
        <v>28666</v>
      </c>
      <c r="B1976" s="5" t="s">
        <v>28930</v>
      </c>
      <c r="C1976" s="5" t="s">
        <v>28931</v>
      </c>
      <c r="D1976" s="246" t="s">
        <v>68</v>
      </c>
      <c r="E1976" s="5" t="s">
        <v>28932</v>
      </c>
      <c r="F1976" s="26" t="s">
        <v>28296</v>
      </c>
      <c r="G1976" s="27" t="s">
        <v>15121</v>
      </c>
      <c r="H1976" s="28" t="s">
        <v>15122</v>
      </c>
      <c r="I1976" s="5" t="s">
        <v>377</v>
      </c>
    </row>
    <row r="1977" spans="1:9" ht="51.75" customHeight="1">
      <c r="A1977" s="5" t="s">
        <v>28666</v>
      </c>
      <c r="B1977" s="5" t="s">
        <v>28933</v>
      </c>
      <c r="C1977" s="5" t="s">
        <v>28931</v>
      </c>
      <c r="D1977" s="246" t="s">
        <v>68</v>
      </c>
      <c r="E1977" s="5" t="s">
        <v>28934</v>
      </c>
      <c r="F1977" s="26" t="s">
        <v>23600</v>
      </c>
      <c r="G1977" s="27" t="s">
        <v>15121</v>
      </c>
      <c r="H1977" s="28" t="s">
        <v>15122</v>
      </c>
      <c r="I1977" s="5" t="s">
        <v>377</v>
      </c>
    </row>
    <row r="1978" spans="1:9" ht="51.75" customHeight="1">
      <c r="A1978" s="5" t="s">
        <v>27164</v>
      </c>
      <c r="B1978" s="5" t="s">
        <v>28935</v>
      </c>
      <c r="C1978" s="5" t="s">
        <v>28936</v>
      </c>
      <c r="D1978" s="246" t="s">
        <v>68</v>
      </c>
      <c r="E1978" s="5" t="s">
        <v>28937</v>
      </c>
      <c r="F1978" s="26" t="s">
        <v>28296</v>
      </c>
      <c r="G1978" s="27" t="s">
        <v>15121</v>
      </c>
      <c r="H1978" s="28" t="s">
        <v>15122</v>
      </c>
      <c r="I1978" s="5" t="s">
        <v>377</v>
      </c>
    </row>
    <row r="1979" spans="1:9" ht="51.75" customHeight="1">
      <c r="A1979" s="5" t="s">
        <v>27164</v>
      </c>
      <c r="B1979" s="5" t="s">
        <v>28938</v>
      </c>
      <c r="C1979" s="5" t="s">
        <v>28936</v>
      </c>
      <c r="D1979" s="246" t="s">
        <v>68</v>
      </c>
      <c r="E1979" s="5" t="s">
        <v>28939</v>
      </c>
      <c r="F1979" s="26" t="s">
        <v>23600</v>
      </c>
      <c r="G1979" s="27" t="s">
        <v>15121</v>
      </c>
      <c r="H1979" s="28" t="s">
        <v>15122</v>
      </c>
      <c r="I1979" s="5" t="s">
        <v>377</v>
      </c>
    </row>
    <row r="1980" spans="1:9" ht="51.75" customHeight="1">
      <c r="A1980" s="5" t="s">
        <v>27171</v>
      </c>
      <c r="B1980" s="5" t="s">
        <v>28940</v>
      </c>
      <c r="C1980" s="5" t="s">
        <v>28941</v>
      </c>
      <c r="D1980" s="246" t="s">
        <v>68</v>
      </c>
      <c r="E1980" s="5" t="s">
        <v>28942</v>
      </c>
      <c r="F1980" s="26" t="s">
        <v>28296</v>
      </c>
      <c r="G1980" s="27" t="s">
        <v>15121</v>
      </c>
      <c r="H1980" s="28" t="s">
        <v>15122</v>
      </c>
      <c r="I1980" s="5" t="s">
        <v>377</v>
      </c>
    </row>
    <row r="1981" spans="1:9" ht="51.75" customHeight="1">
      <c r="A1981" s="5" t="s">
        <v>27171</v>
      </c>
      <c r="B1981" s="5" t="s">
        <v>28943</v>
      </c>
      <c r="C1981" s="5" t="s">
        <v>28941</v>
      </c>
      <c r="D1981" s="246" t="s">
        <v>68</v>
      </c>
      <c r="E1981" s="5" t="s">
        <v>28944</v>
      </c>
      <c r="F1981" s="26" t="s">
        <v>23600</v>
      </c>
      <c r="G1981" s="27" t="s">
        <v>15121</v>
      </c>
      <c r="H1981" s="28" t="s">
        <v>15122</v>
      </c>
      <c r="I1981" s="5" t="s">
        <v>377</v>
      </c>
    </row>
    <row r="1982" spans="1:9" ht="51.75" customHeight="1">
      <c r="A1982" s="5" t="s">
        <v>23904</v>
      </c>
      <c r="B1982" s="5" t="s">
        <v>28945</v>
      </c>
      <c r="C1982" s="5" t="s">
        <v>28946</v>
      </c>
      <c r="D1982" s="246" t="s">
        <v>68</v>
      </c>
      <c r="E1982" s="5" t="s">
        <v>28947</v>
      </c>
      <c r="F1982" s="26" t="s">
        <v>28296</v>
      </c>
      <c r="G1982" s="27" t="s">
        <v>15121</v>
      </c>
      <c r="H1982" s="28" t="s">
        <v>15122</v>
      </c>
      <c r="I1982" s="5" t="s">
        <v>377</v>
      </c>
    </row>
    <row r="1983" spans="1:9" ht="51.75" customHeight="1">
      <c r="A1983" s="5" t="s">
        <v>23904</v>
      </c>
      <c r="B1983" s="5" t="s">
        <v>28948</v>
      </c>
      <c r="C1983" s="5" t="s">
        <v>28946</v>
      </c>
      <c r="D1983" s="246" t="s">
        <v>68</v>
      </c>
      <c r="E1983" s="5" t="s">
        <v>28949</v>
      </c>
      <c r="F1983" s="26" t="s">
        <v>23600</v>
      </c>
      <c r="G1983" s="27" t="s">
        <v>15121</v>
      </c>
      <c r="H1983" s="28" t="s">
        <v>15122</v>
      </c>
      <c r="I1983" s="5" t="s">
        <v>377</v>
      </c>
    </row>
    <row r="1984" spans="1:9" ht="51.75" customHeight="1">
      <c r="A1984" s="5" t="s">
        <v>23908</v>
      </c>
      <c r="B1984" s="5" t="s">
        <v>28950</v>
      </c>
      <c r="C1984" s="5" t="s">
        <v>28946</v>
      </c>
      <c r="D1984" s="246" t="s">
        <v>68</v>
      </c>
      <c r="E1984" s="5" t="s">
        <v>28951</v>
      </c>
      <c r="F1984" s="26" t="s">
        <v>28296</v>
      </c>
      <c r="G1984" s="27" t="s">
        <v>15121</v>
      </c>
      <c r="H1984" s="28" t="s">
        <v>15122</v>
      </c>
      <c r="I1984" s="5" t="s">
        <v>377</v>
      </c>
    </row>
    <row r="1985" spans="1:9" ht="51.75" customHeight="1">
      <c r="A1985" s="5" t="s">
        <v>23908</v>
      </c>
      <c r="B1985" s="5" t="s">
        <v>28952</v>
      </c>
      <c r="C1985" s="5" t="s">
        <v>28946</v>
      </c>
      <c r="D1985" s="246" t="s">
        <v>68</v>
      </c>
      <c r="E1985" s="5" t="s">
        <v>28953</v>
      </c>
      <c r="F1985" s="26" t="s">
        <v>23600</v>
      </c>
      <c r="G1985" s="27" t="s">
        <v>15121</v>
      </c>
      <c r="H1985" s="28" t="s">
        <v>15122</v>
      </c>
      <c r="I1985" s="5" t="s">
        <v>377</v>
      </c>
    </row>
    <row r="1986" spans="1:9" ht="51.75" customHeight="1">
      <c r="A1986" s="5" t="s">
        <v>27183</v>
      </c>
      <c r="B1986" s="5" t="s">
        <v>28954</v>
      </c>
      <c r="C1986" s="5" t="s">
        <v>28955</v>
      </c>
      <c r="D1986" s="246" t="s">
        <v>68</v>
      </c>
      <c r="E1986" s="5" t="s">
        <v>28956</v>
      </c>
      <c r="F1986" s="26" t="s">
        <v>28296</v>
      </c>
      <c r="G1986" s="27" t="s">
        <v>15121</v>
      </c>
      <c r="H1986" s="28" t="s">
        <v>15122</v>
      </c>
      <c r="I1986" s="5" t="s">
        <v>377</v>
      </c>
    </row>
    <row r="1987" spans="1:9" ht="51.75" customHeight="1">
      <c r="A1987" s="5" t="s">
        <v>27183</v>
      </c>
      <c r="B1987" s="5" t="s">
        <v>28957</v>
      </c>
      <c r="C1987" s="5" t="s">
        <v>28955</v>
      </c>
      <c r="D1987" s="246" t="s">
        <v>68</v>
      </c>
      <c r="E1987" s="5" t="s">
        <v>28958</v>
      </c>
      <c r="F1987" s="26" t="s">
        <v>23600</v>
      </c>
      <c r="G1987" s="27" t="s">
        <v>15121</v>
      </c>
      <c r="H1987" s="28" t="s">
        <v>15122</v>
      </c>
      <c r="I1987" s="5" t="s">
        <v>377</v>
      </c>
    </row>
    <row r="1988" spans="1:9" ht="51.75" customHeight="1">
      <c r="A1988" s="5" t="s">
        <v>27227</v>
      </c>
      <c r="B1988" s="5" t="s">
        <v>28959</v>
      </c>
      <c r="C1988" s="5" t="s">
        <v>28960</v>
      </c>
      <c r="D1988" s="246" t="s">
        <v>68</v>
      </c>
      <c r="E1988" s="5" t="s">
        <v>28961</v>
      </c>
      <c r="F1988" s="26" t="s">
        <v>28296</v>
      </c>
      <c r="G1988" s="27" t="s">
        <v>15121</v>
      </c>
      <c r="H1988" s="28" t="s">
        <v>15122</v>
      </c>
      <c r="I1988" s="5" t="s">
        <v>377</v>
      </c>
    </row>
    <row r="1989" spans="1:9" ht="51.75" customHeight="1">
      <c r="A1989" s="5" t="s">
        <v>27227</v>
      </c>
      <c r="B1989" s="5" t="s">
        <v>28962</v>
      </c>
      <c r="C1989" s="5" t="s">
        <v>28960</v>
      </c>
      <c r="D1989" s="246" t="s">
        <v>68</v>
      </c>
      <c r="E1989" s="5" t="s">
        <v>28963</v>
      </c>
      <c r="F1989" s="26" t="s">
        <v>23600</v>
      </c>
      <c r="G1989" s="27" t="s">
        <v>15121</v>
      </c>
      <c r="H1989" s="28" t="s">
        <v>15122</v>
      </c>
      <c r="I1989" s="5" t="s">
        <v>377</v>
      </c>
    </row>
    <row r="1990" spans="1:9" ht="51.75" customHeight="1">
      <c r="A1990" s="5" t="s">
        <v>25038</v>
      </c>
      <c r="B1990" s="5" t="s">
        <v>28964</v>
      </c>
      <c r="C1990" s="5" t="s">
        <v>28965</v>
      </c>
      <c r="D1990" s="246" t="s">
        <v>68</v>
      </c>
      <c r="E1990" s="5" t="s">
        <v>28966</v>
      </c>
      <c r="F1990" s="26" t="s">
        <v>28296</v>
      </c>
      <c r="G1990" s="27" t="s">
        <v>15121</v>
      </c>
      <c r="H1990" s="28" t="s">
        <v>15122</v>
      </c>
      <c r="I1990" s="5" t="s">
        <v>377</v>
      </c>
    </row>
    <row r="1991" spans="1:9" ht="51.75" customHeight="1">
      <c r="A1991" s="5" t="s">
        <v>25038</v>
      </c>
      <c r="B1991" s="5" t="s">
        <v>28967</v>
      </c>
      <c r="C1991" s="5" t="s">
        <v>28965</v>
      </c>
      <c r="D1991" s="246" t="s">
        <v>68</v>
      </c>
      <c r="E1991" s="5" t="s">
        <v>28968</v>
      </c>
      <c r="F1991" s="26" t="s">
        <v>23600</v>
      </c>
      <c r="G1991" s="27" t="s">
        <v>15121</v>
      </c>
      <c r="H1991" s="28" t="s">
        <v>15122</v>
      </c>
      <c r="I1991" s="5" t="s">
        <v>377</v>
      </c>
    </row>
    <row r="1992" spans="1:9" ht="51.75" customHeight="1">
      <c r="A1992" s="5" t="s">
        <v>25048</v>
      </c>
      <c r="B1992" s="5" t="s">
        <v>28969</v>
      </c>
      <c r="C1992" s="5" t="s">
        <v>28970</v>
      </c>
      <c r="D1992" s="246" t="s">
        <v>68</v>
      </c>
      <c r="E1992" s="5" t="s">
        <v>28971</v>
      </c>
      <c r="F1992" s="26" t="s">
        <v>28296</v>
      </c>
      <c r="G1992" s="27" t="s">
        <v>15121</v>
      </c>
      <c r="H1992" s="28" t="s">
        <v>15122</v>
      </c>
      <c r="I1992" s="5" t="s">
        <v>377</v>
      </c>
    </row>
    <row r="1993" spans="1:9" ht="51.75" customHeight="1">
      <c r="A1993" s="5" t="s">
        <v>25048</v>
      </c>
      <c r="B1993" s="5" t="s">
        <v>28972</v>
      </c>
      <c r="C1993" s="5" t="s">
        <v>28970</v>
      </c>
      <c r="D1993" s="246" t="s">
        <v>68</v>
      </c>
      <c r="E1993" s="5" t="s">
        <v>28973</v>
      </c>
      <c r="F1993" s="26" t="s">
        <v>23600</v>
      </c>
      <c r="G1993" s="27" t="s">
        <v>15121</v>
      </c>
      <c r="H1993" s="28" t="s">
        <v>15122</v>
      </c>
      <c r="I1993" s="5" t="s">
        <v>377</v>
      </c>
    </row>
    <row r="1994" spans="1:9" ht="51.75" customHeight="1">
      <c r="A1994" s="5" t="s">
        <v>27236</v>
      </c>
      <c r="B1994" s="5" t="s">
        <v>28974</v>
      </c>
      <c r="C1994" s="5" t="s">
        <v>28975</v>
      </c>
      <c r="D1994" s="246" t="s">
        <v>68</v>
      </c>
      <c r="E1994" s="5" t="s">
        <v>28976</v>
      </c>
      <c r="F1994" s="26" t="s">
        <v>28296</v>
      </c>
      <c r="G1994" s="27" t="s">
        <v>15121</v>
      </c>
      <c r="H1994" s="28" t="s">
        <v>15122</v>
      </c>
      <c r="I1994" s="5" t="s">
        <v>377</v>
      </c>
    </row>
    <row r="1995" spans="1:9" ht="51.75" customHeight="1">
      <c r="A1995" s="5" t="s">
        <v>27236</v>
      </c>
      <c r="B1995" s="5" t="s">
        <v>28977</v>
      </c>
      <c r="C1995" s="5" t="s">
        <v>28975</v>
      </c>
      <c r="D1995" s="246" t="s">
        <v>68</v>
      </c>
      <c r="E1995" s="5" t="s">
        <v>28978</v>
      </c>
      <c r="F1995" s="26" t="s">
        <v>23600</v>
      </c>
      <c r="G1995" s="27" t="s">
        <v>15121</v>
      </c>
      <c r="H1995" s="28" t="s">
        <v>15122</v>
      </c>
      <c r="I1995" s="5" t="s">
        <v>377</v>
      </c>
    </row>
    <row r="1996" spans="1:9" ht="51.75" customHeight="1">
      <c r="A1996" s="5" t="s">
        <v>27703</v>
      </c>
      <c r="B1996" s="5" t="s">
        <v>28979</v>
      </c>
      <c r="C1996" s="5" t="s">
        <v>28980</v>
      </c>
      <c r="D1996" s="246" t="s">
        <v>68</v>
      </c>
      <c r="E1996" s="5" t="s">
        <v>28981</v>
      </c>
      <c r="F1996" s="26" t="s">
        <v>28296</v>
      </c>
      <c r="G1996" s="27" t="s">
        <v>15121</v>
      </c>
      <c r="H1996" s="28" t="s">
        <v>15122</v>
      </c>
      <c r="I1996" s="5" t="s">
        <v>377</v>
      </c>
    </row>
    <row r="1997" spans="1:9" ht="51.75" customHeight="1">
      <c r="A1997" s="5" t="s">
        <v>27703</v>
      </c>
      <c r="B1997" s="5" t="s">
        <v>28982</v>
      </c>
      <c r="C1997" s="5" t="s">
        <v>28980</v>
      </c>
      <c r="D1997" s="246" t="s">
        <v>68</v>
      </c>
      <c r="E1997" s="5" t="s">
        <v>28983</v>
      </c>
      <c r="F1997" s="26" t="s">
        <v>23600</v>
      </c>
      <c r="G1997" s="27" t="s">
        <v>15121</v>
      </c>
      <c r="H1997" s="28" t="s">
        <v>15122</v>
      </c>
      <c r="I1997" s="5" t="s">
        <v>377</v>
      </c>
    </row>
    <row r="1998" spans="1:9" ht="51.75" customHeight="1">
      <c r="A1998" s="5" t="s">
        <v>27709</v>
      </c>
      <c r="B1998" s="5" t="s">
        <v>28984</v>
      </c>
      <c r="C1998" s="5" t="s">
        <v>28985</v>
      </c>
      <c r="D1998" s="246" t="s">
        <v>68</v>
      </c>
      <c r="E1998" s="5" t="s">
        <v>28986</v>
      </c>
      <c r="F1998" s="26" t="s">
        <v>28296</v>
      </c>
      <c r="G1998" s="27" t="s">
        <v>15121</v>
      </c>
      <c r="H1998" s="28" t="s">
        <v>15122</v>
      </c>
      <c r="I1998" s="5" t="s">
        <v>377</v>
      </c>
    </row>
    <row r="1999" spans="1:9" ht="51.75" customHeight="1">
      <c r="A1999" s="5" t="s">
        <v>27709</v>
      </c>
      <c r="B1999" s="5" t="s">
        <v>28987</v>
      </c>
      <c r="C1999" s="5" t="s">
        <v>28985</v>
      </c>
      <c r="D1999" s="246" t="s">
        <v>68</v>
      </c>
      <c r="E1999" s="5" t="s">
        <v>28988</v>
      </c>
      <c r="F1999" s="26" t="s">
        <v>23600</v>
      </c>
      <c r="G1999" s="27" t="s">
        <v>15121</v>
      </c>
      <c r="H1999" s="28" t="s">
        <v>15122</v>
      </c>
      <c r="I1999" s="5" t="s">
        <v>377</v>
      </c>
    </row>
    <row r="2000" spans="1:9" ht="51.75" customHeight="1">
      <c r="A2000" s="5" t="s">
        <v>25958</v>
      </c>
      <c r="B2000" s="5" t="s">
        <v>28989</v>
      </c>
      <c r="C2000" s="5" t="s">
        <v>28990</v>
      </c>
      <c r="D2000" s="246">
        <v>43887</v>
      </c>
      <c r="E2000" s="5" t="s">
        <v>28991</v>
      </c>
      <c r="F2000" s="26" t="s">
        <v>28296</v>
      </c>
      <c r="G2000" s="27" t="s">
        <v>15318</v>
      </c>
      <c r="H2000" s="28" t="s">
        <v>15319</v>
      </c>
      <c r="I2000" s="5" t="s">
        <v>377</v>
      </c>
    </row>
    <row r="2001" spans="1:9" ht="51.75" customHeight="1">
      <c r="A2001" s="5" t="s">
        <v>25958</v>
      </c>
      <c r="B2001" s="5" t="s">
        <v>28992</v>
      </c>
      <c r="C2001" s="5" t="s">
        <v>28990</v>
      </c>
      <c r="D2001" s="246">
        <v>43887</v>
      </c>
      <c r="E2001" s="5" t="s">
        <v>28993</v>
      </c>
      <c r="F2001" s="26" t="s">
        <v>23600</v>
      </c>
      <c r="G2001" s="27" t="s">
        <v>15318</v>
      </c>
      <c r="H2001" s="28" t="s">
        <v>15319</v>
      </c>
      <c r="I2001" s="5" t="s">
        <v>377</v>
      </c>
    </row>
    <row r="2002" spans="1:9" ht="51.75" customHeight="1">
      <c r="A2002" s="5" t="s">
        <v>26109</v>
      </c>
      <c r="B2002" s="5" t="s">
        <v>28994</v>
      </c>
      <c r="C2002" s="5" t="s">
        <v>28995</v>
      </c>
      <c r="D2002" s="246">
        <v>43887</v>
      </c>
      <c r="E2002" s="5" t="s">
        <v>28996</v>
      </c>
      <c r="F2002" s="26" t="s">
        <v>28296</v>
      </c>
      <c r="G2002" s="27" t="s">
        <v>15318</v>
      </c>
      <c r="H2002" s="28" t="s">
        <v>15319</v>
      </c>
      <c r="I2002" s="5" t="s">
        <v>377</v>
      </c>
    </row>
    <row r="2003" spans="1:9" ht="51.75" customHeight="1">
      <c r="A2003" s="5" t="s">
        <v>26109</v>
      </c>
      <c r="B2003" s="5" t="s">
        <v>28997</v>
      </c>
      <c r="C2003" s="5" t="s">
        <v>28995</v>
      </c>
      <c r="D2003" s="246">
        <v>43887</v>
      </c>
      <c r="E2003" s="5" t="s">
        <v>28998</v>
      </c>
      <c r="F2003" s="26" t="s">
        <v>23600</v>
      </c>
      <c r="G2003" s="27" t="s">
        <v>15318</v>
      </c>
      <c r="H2003" s="28" t="s">
        <v>15319</v>
      </c>
      <c r="I2003" s="5" t="s">
        <v>377</v>
      </c>
    </row>
    <row r="2004" spans="1:9" ht="51.75" customHeight="1">
      <c r="A2004" s="5" t="s">
        <v>28999</v>
      </c>
      <c r="B2004" s="5" t="s">
        <v>29000</v>
      </c>
      <c r="C2004" s="5" t="s">
        <v>28873</v>
      </c>
      <c r="D2004" s="246">
        <v>43887</v>
      </c>
      <c r="E2004" s="5" t="s">
        <v>29001</v>
      </c>
      <c r="F2004" s="26" t="s">
        <v>28296</v>
      </c>
      <c r="G2004" s="27" t="s">
        <v>15318</v>
      </c>
      <c r="H2004" s="28" t="s">
        <v>15319</v>
      </c>
      <c r="I2004" s="5" t="s">
        <v>377</v>
      </c>
    </row>
    <row r="2005" spans="1:9" ht="51.75" customHeight="1">
      <c r="A2005" s="5" t="s">
        <v>28999</v>
      </c>
      <c r="B2005" s="5" t="s">
        <v>29002</v>
      </c>
      <c r="C2005" s="5" t="s">
        <v>28873</v>
      </c>
      <c r="D2005" s="246">
        <v>43887</v>
      </c>
      <c r="E2005" s="5" t="s">
        <v>29003</v>
      </c>
      <c r="F2005" s="26" t="s">
        <v>23600</v>
      </c>
      <c r="G2005" s="27" t="s">
        <v>15318</v>
      </c>
      <c r="H2005" s="28" t="s">
        <v>15319</v>
      </c>
      <c r="I2005" s="5" t="s">
        <v>377</v>
      </c>
    </row>
    <row r="2006" spans="1:9" ht="51.75" customHeight="1">
      <c r="A2006" s="5" t="s">
        <v>24575</v>
      </c>
      <c r="B2006" s="5" t="s">
        <v>29004</v>
      </c>
      <c r="C2006" s="5" t="s">
        <v>28878</v>
      </c>
      <c r="D2006" s="246">
        <v>43887</v>
      </c>
      <c r="E2006" s="5" t="s">
        <v>29005</v>
      </c>
      <c r="F2006" s="26" t="s">
        <v>28296</v>
      </c>
      <c r="G2006" s="27" t="s">
        <v>15318</v>
      </c>
      <c r="H2006" s="28" t="s">
        <v>15319</v>
      </c>
      <c r="I2006" s="5" t="s">
        <v>377</v>
      </c>
    </row>
    <row r="2007" spans="1:9" ht="51.75" customHeight="1">
      <c r="A2007" s="5" t="s">
        <v>24575</v>
      </c>
      <c r="B2007" s="5" t="s">
        <v>29006</v>
      </c>
      <c r="C2007" s="5" t="s">
        <v>28878</v>
      </c>
      <c r="D2007" s="246">
        <v>43887</v>
      </c>
      <c r="E2007" s="5" t="s">
        <v>29007</v>
      </c>
      <c r="F2007" s="26" t="s">
        <v>23600</v>
      </c>
      <c r="G2007" s="27" t="s">
        <v>15318</v>
      </c>
      <c r="H2007" s="28" t="s">
        <v>15319</v>
      </c>
      <c r="I2007" s="5" t="s">
        <v>377</v>
      </c>
    </row>
    <row r="2008" spans="1:9" ht="51.75" customHeight="1">
      <c r="A2008" s="5" t="s">
        <v>24583</v>
      </c>
      <c r="B2008" s="5" t="s">
        <v>29008</v>
      </c>
      <c r="C2008" s="5" t="s">
        <v>29009</v>
      </c>
      <c r="D2008" s="246">
        <v>43887</v>
      </c>
      <c r="E2008" s="5" t="s">
        <v>29010</v>
      </c>
      <c r="F2008" s="26" t="s">
        <v>28296</v>
      </c>
      <c r="G2008" s="27" t="s">
        <v>15318</v>
      </c>
      <c r="H2008" s="28" t="s">
        <v>15319</v>
      </c>
      <c r="I2008" s="5" t="s">
        <v>377</v>
      </c>
    </row>
    <row r="2009" spans="1:9" ht="51.75" customHeight="1">
      <c r="A2009" s="5" t="s">
        <v>24583</v>
      </c>
      <c r="B2009" s="5" t="s">
        <v>29011</v>
      </c>
      <c r="C2009" s="5" t="s">
        <v>29009</v>
      </c>
      <c r="D2009" s="246">
        <v>43887</v>
      </c>
      <c r="E2009" s="5" t="s">
        <v>29012</v>
      </c>
      <c r="F2009" s="26" t="s">
        <v>23600</v>
      </c>
      <c r="G2009" s="27" t="s">
        <v>15318</v>
      </c>
      <c r="H2009" s="28" t="s">
        <v>15319</v>
      </c>
      <c r="I2009" s="5" t="s">
        <v>377</v>
      </c>
    </row>
    <row r="2010" spans="1:9" ht="51.75" customHeight="1">
      <c r="A2010" s="5" t="s">
        <v>26443</v>
      </c>
      <c r="B2010" s="5" t="s">
        <v>29013</v>
      </c>
      <c r="C2010" s="5" t="s">
        <v>29014</v>
      </c>
      <c r="D2010" s="246">
        <v>43817</v>
      </c>
      <c r="E2010" s="5" t="s">
        <v>29015</v>
      </c>
      <c r="F2010" s="26" t="s">
        <v>28296</v>
      </c>
      <c r="G2010" s="27" t="s">
        <v>15686</v>
      </c>
      <c r="H2010" s="28" t="s">
        <v>15687</v>
      </c>
      <c r="I2010" s="5" t="s">
        <v>377</v>
      </c>
    </row>
    <row r="2011" spans="1:9" ht="51.75" customHeight="1">
      <c r="A2011" s="5" t="s">
        <v>26443</v>
      </c>
      <c r="B2011" s="5" t="s">
        <v>29016</v>
      </c>
      <c r="C2011" s="5" t="s">
        <v>29014</v>
      </c>
      <c r="D2011" s="246">
        <v>43817</v>
      </c>
      <c r="E2011" s="5" t="s">
        <v>29017</v>
      </c>
      <c r="F2011" s="26" t="s">
        <v>23600</v>
      </c>
      <c r="G2011" s="27" t="s">
        <v>15686</v>
      </c>
      <c r="H2011" s="28" t="s">
        <v>15687</v>
      </c>
      <c r="I2011" s="5" t="s">
        <v>377</v>
      </c>
    </row>
    <row r="2012" spans="1:9" ht="51.75" customHeight="1">
      <c r="A2012" s="5" t="s">
        <v>25631</v>
      </c>
      <c r="B2012" s="5" t="s">
        <v>29018</v>
      </c>
      <c r="C2012" s="5" t="s">
        <v>28807</v>
      </c>
      <c r="D2012" s="246">
        <v>43817</v>
      </c>
      <c r="E2012" s="5" t="s">
        <v>29019</v>
      </c>
      <c r="F2012" s="26" t="s">
        <v>28296</v>
      </c>
      <c r="G2012" s="27" t="s">
        <v>15686</v>
      </c>
      <c r="H2012" s="28" t="s">
        <v>15687</v>
      </c>
      <c r="I2012" s="5" t="s">
        <v>377</v>
      </c>
    </row>
    <row r="2013" spans="1:9" ht="51.75" customHeight="1">
      <c r="A2013" s="5" t="s">
        <v>25631</v>
      </c>
      <c r="B2013" s="5" t="s">
        <v>29020</v>
      </c>
      <c r="C2013" s="5" t="s">
        <v>28807</v>
      </c>
      <c r="D2013" s="246">
        <v>43817</v>
      </c>
      <c r="E2013" s="5" t="s">
        <v>29021</v>
      </c>
      <c r="F2013" s="26" t="s">
        <v>23600</v>
      </c>
      <c r="G2013" s="27" t="s">
        <v>15686</v>
      </c>
      <c r="H2013" s="28" t="s">
        <v>15687</v>
      </c>
      <c r="I2013" s="5" t="s">
        <v>377</v>
      </c>
    </row>
    <row r="2014" spans="1:9" ht="51.75" customHeight="1">
      <c r="A2014" s="5" t="s">
        <v>29022</v>
      </c>
      <c r="B2014" s="5" t="s">
        <v>29023</v>
      </c>
      <c r="C2014" s="5" t="s">
        <v>28834</v>
      </c>
      <c r="D2014" s="246">
        <v>43817</v>
      </c>
      <c r="E2014" s="5" t="s">
        <v>29024</v>
      </c>
      <c r="F2014" s="26" t="s">
        <v>28296</v>
      </c>
      <c r="G2014" s="27" t="s">
        <v>15686</v>
      </c>
      <c r="H2014" s="28" t="s">
        <v>15687</v>
      </c>
      <c r="I2014" s="5" t="s">
        <v>377</v>
      </c>
    </row>
    <row r="2015" spans="1:9" ht="51.75" customHeight="1">
      <c r="A2015" s="5" t="s">
        <v>29022</v>
      </c>
      <c r="B2015" s="5" t="s">
        <v>29025</v>
      </c>
      <c r="C2015" s="5" t="s">
        <v>28834</v>
      </c>
      <c r="D2015" s="246">
        <v>43817</v>
      </c>
      <c r="E2015" s="5" t="s">
        <v>29026</v>
      </c>
      <c r="F2015" s="26" t="s">
        <v>23600</v>
      </c>
      <c r="G2015" s="27" t="s">
        <v>15686</v>
      </c>
      <c r="H2015" s="28" t="s">
        <v>15687</v>
      </c>
      <c r="I2015" s="5" t="s">
        <v>377</v>
      </c>
    </row>
    <row r="2016" spans="1:9" ht="51.75" customHeight="1">
      <c r="A2016" s="5" t="s">
        <v>29027</v>
      </c>
      <c r="B2016" s="5" t="s">
        <v>29028</v>
      </c>
      <c r="C2016" s="5" t="s">
        <v>28816</v>
      </c>
      <c r="D2016" s="246">
        <v>43817</v>
      </c>
      <c r="E2016" s="5" t="s">
        <v>29029</v>
      </c>
      <c r="F2016" s="26" t="s">
        <v>28296</v>
      </c>
      <c r="G2016" s="27" t="s">
        <v>15686</v>
      </c>
      <c r="H2016" s="28" t="s">
        <v>15687</v>
      </c>
      <c r="I2016" s="5" t="s">
        <v>377</v>
      </c>
    </row>
    <row r="2017" spans="1:9" ht="51.75" customHeight="1">
      <c r="A2017" s="5" t="s">
        <v>29027</v>
      </c>
      <c r="B2017" s="5" t="s">
        <v>29030</v>
      </c>
      <c r="C2017" s="5" t="s">
        <v>28816</v>
      </c>
      <c r="D2017" s="246">
        <v>43817</v>
      </c>
      <c r="E2017" s="5" t="s">
        <v>29031</v>
      </c>
      <c r="F2017" s="26" t="s">
        <v>23600</v>
      </c>
      <c r="G2017" s="27" t="s">
        <v>15686</v>
      </c>
      <c r="H2017" s="28" t="s">
        <v>15687</v>
      </c>
      <c r="I2017" s="5" t="s">
        <v>377</v>
      </c>
    </row>
    <row r="2018" spans="1:9" ht="51.75" customHeight="1">
      <c r="A2018" s="5" t="s">
        <v>25622</v>
      </c>
      <c r="B2018" s="5" t="s">
        <v>29032</v>
      </c>
      <c r="C2018" s="5" t="s">
        <v>28807</v>
      </c>
      <c r="D2018" s="246">
        <v>43817</v>
      </c>
      <c r="E2018" s="5" t="s">
        <v>29033</v>
      </c>
      <c r="F2018" s="26" t="s">
        <v>28296</v>
      </c>
      <c r="G2018" s="27" t="s">
        <v>15686</v>
      </c>
      <c r="H2018" s="28" t="s">
        <v>15687</v>
      </c>
      <c r="I2018" s="5" t="s">
        <v>377</v>
      </c>
    </row>
    <row r="2019" spans="1:9" ht="51.75" customHeight="1">
      <c r="A2019" s="5" t="s">
        <v>25622</v>
      </c>
      <c r="B2019" s="5" t="s">
        <v>29034</v>
      </c>
      <c r="C2019" s="5" t="s">
        <v>28807</v>
      </c>
      <c r="D2019" s="246">
        <v>43817</v>
      </c>
      <c r="E2019" s="5" t="s">
        <v>29035</v>
      </c>
      <c r="F2019" s="26" t="s">
        <v>23600</v>
      </c>
      <c r="G2019" s="27" t="s">
        <v>15686</v>
      </c>
      <c r="H2019" s="28" t="s">
        <v>15687</v>
      </c>
      <c r="I2019" s="5" t="s">
        <v>377</v>
      </c>
    </row>
    <row r="2020" spans="1:9" ht="51.75" customHeight="1">
      <c r="A2020" s="5" t="s">
        <v>26744</v>
      </c>
      <c r="B2020" s="5" t="s">
        <v>29036</v>
      </c>
      <c r="C2020" s="5" t="s">
        <v>29037</v>
      </c>
      <c r="D2020" s="246">
        <v>43888</v>
      </c>
      <c r="E2020" s="5" t="s">
        <v>29038</v>
      </c>
      <c r="F2020" s="26" t="s">
        <v>23600</v>
      </c>
      <c r="G2020" s="27" t="s">
        <v>16252</v>
      </c>
      <c r="H2020" s="28" t="s">
        <v>16253</v>
      </c>
      <c r="I2020" s="5" t="s">
        <v>377</v>
      </c>
    </row>
    <row r="2021" spans="1:9" ht="51.75" customHeight="1">
      <c r="A2021" s="5" t="s">
        <v>26750</v>
      </c>
      <c r="B2021" s="5" t="s">
        <v>29039</v>
      </c>
      <c r="C2021" s="5" t="s">
        <v>29037</v>
      </c>
      <c r="D2021" s="246">
        <v>43888</v>
      </c>
      <c r="E2021" s="5" t="s">
        <v>29040</v>
      </c>
      <c r="F2021" s="26" t="s">
        <v>23600</v>
      </c>
      <c r="G2021" s="27" t="s">
        <v>16252</v>
      </c>
      <c r="H2021" s="28" t="s">
        <v>16253</v>
      </c>
      <c r="I2021" s="5" t="s">
        <v>377</v>
      </c>
    </row>
    <row r="2022" spans="1:9" ht="51.75" customHeight="1">
      <c r="A2022" s="5" t="s">
        <v>26791</v>
      </c>
      <c r="B2022" s="5" t="s">
        <v>29041</v>
      </c>
      <c r="C2022" s="5" t="s">
        <v>29042</v>
      </c>
      <c r="D2022" s="246">
        <v>43888</v>
      </c>
      <c r="E2022" s="5" t="s">
        <v>29043</v>
      </c>
      <c r="F2022" s="26" t="s">
        <v>23600</v>
      </c>
      <c r="G2022" s="27" t="s">
        <v>16252</v>
      </c>
      <c r="H2022" s="28" t="s">
        <v>16253</v>
      </c>
      <c r="I2022" s="5" t="s">
        <v>377</v>
      </c>
    </row>
    <row r="2023" spans="1:9" ht="51.75" customHeight="1">
      <c r="A2023" s="5" t="s">
        <v>26382</v>
      </c>
      <c r="B2023" s="5" t="s">
        <v>29044</v>
      </c>
      <c r="C2023" s="5" t="s">
        <v>29045</v>
      </c>
      <c r="D2023" s="246">
        <v>43888</v>
      </c>
      <c r="E2023" s="5" t="s">
        <v>29046</v>
      </c>
      <c r="F2023" s="26" t="s">
        <v>23600</v>
      </c>
      <c r="G2023" s="27" t="s">
        <v>16252</v>
      </c>
      <c r="H2023" s="28" t="s">
        <v>16253</v>
      </c>
      <c r="I2023" s="5" t="s">
        <v>377</v>
      </c>
    </row>
    <row r="2024" spans="1:9" ht="51.75" customHeight="1">
      <c r="A2024" s="5" t="s">
        <v>26709</v>
      </c>
      <c r="B2024" s="5" t="s">
        <v>29047</v>
      </c>
      <c r="C2024" s="5" t="s">
        <v>29048</v>
      </c>
      <c r="D2024" s="246">
        <v>43888</v>
      </c>
      <c r="E2024" s="5" t="s">
        <v>29049</v>
      </c>
      <c r="F2024" s="26" t="s">
        <v>23600</v>
      </c>
      <c r="G2024" s="27" t="s">
        <v>16252</v>
      </c>
      <c r="H2024" s="28" t="s">
        <v>16253</v>
      </c>
      <c r="I2024" s="5" t="s">
        <v>377</v>
      </c>
    </row>
    <row r="2025" spans="1:9" ht="51.75" customHeight="1">
      <c r="A2025" s="5" t="s">
        <v>26727</v>
      </c>
      <c r="B2025" s="5" t="s">
        <v>29050</v>
      </c>
      <c r="C2025" s="5" t="s">
        <v>29051</v>
      </c>
      <c r="D2025" s="246">
        <v>43888</v>
      </c>
      <c r="E2025" s="5" t="s">
        <v>29052</v>
      </c>
      <c r="F2025" s="26" t="s">
        <v>23600</v>
      </c>
      <c r="G2025" s="27" t="s">
        <v>16252</v>
      </c>
      <c r="H2025" s="28" t="s">
        <v>16253</v>
      </c>
      <c r="I2025" s="5" t="s">
        <v>377</v>
      </c>
    </row>
    <row r="2026" spans="1:9" ht="51.75" customHeight="1">
      <c r="A2026" s="5" t="s">
        <v>26476</v>
      </c>
      <c r="B2026" s="5" t="s">
        <v>29053</v>
      </c>
      <c r="C2026" s="5" t="s">
        <v>29054</v>
      </c>
      <c r="D2026" s="246">
        <v>43955</v>
      </c>
      <c r="E2026" s="5" t="s">
        <v>29055</v>
      </c>
      <c r="F2026" s="26" t="s">
        <v>23600</v>
      </c>
      <c r="G2026" s="27" t="s">
        <v>16477</v>
      </c>
      <c r="H2026" s="28" t="s">
        <v>16478</v>
      </c>
      <c r="I2026" s="5" t="s">
        <v>377</v>
      </c>
    </row>
    <row r="2027" spans="1:9" ht="51.75" customHeight="1">
      <c r="A2027" s="5" t="s">
        <v>29056</v>
      </c>
      <c r="B2027" s="5" t="s">
        <v>29057</v>
      </c>
      <c r="C2027" s="5" t="s">
        <v>29058</v>
      </c>
      <c r="D2027" s="246">
        <v>43955</v>
      </c>
      <c r="E2027" s="5" t="s">
        <v>29059</v>
      </c>
      <c r="F2027" s="26" t="s">
        <v>23600</v>
      </c>
      <c r="G2027" s="27" t="s">
        <v>16477</v>
      </c>
      <c r="H2027" s="28" t="s">
        <v>16478</v>
      </c>
      <c r="I2027" s="5" t="s">
        <v>377</v>
      </c>
    </row>
    <row r="2028" spans="1:9" ht="51.75" customHeight="1">
      <c r="A2028" s="5" t="s">
        <v>28431</v>
      </c>
      <c r="B2028" s="5" t="s">
        <v>29060</v>
      </c>
      <c r="C2028" s="5" t="s">
        <v>29061</v>
      </c>
      <c r="D2028" s="246">
        <v>43955</v>
      </c>
      <c r="E2028" s="5" t="s">
        <v>29062</v>
      </c>
      <c r="F2028" s="26" t="s">
        <v>23600</v>
      </c>
      <c r="G2028" s="27" t="s">
        <v>16477</v>
      </c>
      <c r="H2028" s="28" t="s">
        <v>16478</v>
      </c>
      <c r="I2028" s="5" t="s">
        <v>377</v>
      </c>
    </row>
    <row r="2029" spans="1:9" ht="51.75" customHeight="1">
      <c r="A2029" s="5" t="s">
        <v>28437</v>
      </c>
      <c r="B2029" s="5" t="s">
        <v>29063</v>
      </c>
      <c r="C2029" s="5" t="s">
        <v>29064</v>
      </c>
      <c r="D2029" s="246">
        <v>43955</v>
      </c>
      <c r="E2029" s="5" t="s">
        <v>29065</v>
      </c>
      <c r="F2029" s="26" t="s">
        <v>23600</v>
      </c>
      <c r="G2029" s="27" t="s">
        <v>16477</v>
      </c>
      <c r="H2029" s="28" t="s">
        <v>16478</v>
      </c>
      <c r="I2029" s="5" t="s">
        <v>377</v>
      </c>
    </row>
    <row r="2030" spans="1:9" ht="51.75" customHeight="1">
      <c r="A2030" s="5" t="s">
        <v>29066</v>
      </c>
      <c r="B2030" s="5" t="s">
        <v>29067</v>
      </c>
      <c r="C2030" s="5" t="s">
        <v>29068</v>
      </c>
      <c r="D2030" s="246">
        <v>43955</v>
      </c>
      <c r="E2030" s="5" t="s">
        <v>29069</v>
      </c>
      <c r="F2030" s="26" t="s">
        <v>23600</v>
      </c>
      <c r="G2030" s="27" t="s">
        <v>16477</v>
      </c>
      <c r="H2030" s="28" t="s">
        <v>16478</v>
      </c>
      <c r="I2030" s="5" t="s">
        <v>377</v>
      </c>
    </row>
    <row r="2031" spans="1:9" ht="51.75" customHeight="1">
      <c r="A2031" s="5" t="s">
        <v>27223</v>
      </c>
      <c r="B2031" s="5" t="s">
        <v>29070</v>
      </c>
      <c r="C2031" s="5" t="s">
        <v>29071</v>
      </c>
      <c r="D2031" s="246">
        <v>43973</v>
      </c>
      <c r="E2031" s="5" t="s">
        <v>29072</v>
      </c>
      <c r="F2031" s="26" t="s">
        <v>23600</v>
      </c>
      <c r="G2031" s="27" t="s">
        <v>16450</v>
      </c>
      <c r="H2031" s="28" t="s">
        <v>16451</v>
      </c>
      <c r="I2031" s="5" t="s">
        <v>377</v>
      </c>
    </row>
    <row r="2032" spans="1:9" ht="51.75" customHeight="1">
      <c r="A2032" s="5"/>
      <c r="B2032" s="5" t="s">
        <v>29073</v>
      </c>
      <c r="C2032" s="5" t="s">
        <v>29074</v>
      </c>
      <c r="D2032" s="246">
        <v>44298</v>
      </c>
      <c r="E2032" s="5" t="s">
        <v>29075</v>
      </c>
      <c r="F2032" s="26" t="s">
        <v>28296</v>
      </c>
      <c r="G2032" s="27" t="s">
        <v>15841</v>
      </c>
      <c r="H2032" s="29" t="s">
        <v>15842</v>
      </c>
      <c r="I2032" s="5" t="s">
        <v>377</v>
      </c>
    </row>
    <row r="2033" spans="1:9" ht="51.75" customHeight="1">
      <c r="A2033" s="5"/>
      <c r="B2033" s="5" t="str">
        <f>CONCATENATE(G2033,"/",COUNTIF($G$2:G2033,G2033))</f>
        <v>IT-5977/2</v>
      </c>
      <c r="C2033" s="5" t="s">
        <v>29076</v>
      </c>
      <c r="D2033" s="246">
        <v>44298</v>
      </c>
      <c r="E2033" s="5" t="s">
        <v>29077</v>
      </c>
      <c r="F2033" s="26" t="s">
        <v>28296</v>
      </c>
      <c r="G2033" s="27" t="s">
        <v>15841</v>
      </c>
      <c r="H2033" s="29" t="s">
        <v>15842</v>
      </c>
      <c r="I2033" s="5" t="s">
        <v>377</v>
      </c>
    </row>
    <row r="2034" spans="1:9" ht="51.75" customHeight="1">
      <c r="A2034" s="5">
        <v>1</v>
      </c>
      <c r="B2034" s="5" t="s">
        <v>29078</v>
      </c>
      <c r="C2034" s="5" t="s">
        <v>29079</v>
      </c>
      <c r="D2034" s="246">
        <v>40657</v>
      </c>
      <c r="E2034" s="5" t="s">
        <v>29080</v>
      </c>
      <c r="F2034" s="26"/>
      <c r="G2034" s="27" t="s">
        <v>5091</v>
      </c>
      <c r="H2034" s="28" t="s">
        <v>5092</v>
      </c>
      <c r="I2034" s="5" t="s">
        <v>638</v>
      </c>
    </row>
    <row r="2035" spans="1:9" ht="51.75" customHeight="1">
      <c r="A2035" s="5">
        <v>2</v>
      </c>
      <c r="B2035" s="5" t="s">
        <v>29081</v>
      </c>
      <c r="C2035" s="5" t="s">
        <v>29082</v>
      </c>
      <c r="D2035" s="246">
        <v>40657</v>
      </c>
      <c r="E2035" s="5" t="s">
        <v>29083</v>
      </c>
      <c r="F2035" s="26"/>
      <c r="G2035" s="27" t="s">
        <v>5091</v>
      </c>
      <c r="H2035" s="28" t="s">
        <v>5092</v>
      </c>
      <c r="I2035" s="5" t="s">
        <v>638</v>
      </c>
    </row>
    <row r="2036" spans="1:9" ht="51.75" customHeight="1">
      <c r="A2036" s="5">
        <v>1</v>
      </c>
      <c r="B2036" s="5" t="s">
        <v>29084</v>
      </c>
      <c r="C2036" s="5" t="s">
        <v>29085</v>
      </c>
      <c r="D2036" s="246">
        <v>40711</v>
      </c>
      <c r="E2036" s="5" t="s">
        <v>29086</v>
      </c>
      <c r="F2036" s="26"/>
      <c r="G2036" s="27" t="s">
        <v>5070</v>
      </c>
      <c r="H2036" s="28" t="s">
        <v>5071</v>
      </c>
      <c r="I2036" s="5" t="s">
        <v>638</v>
      </c>
    </row>
    <row r="2037" spans="1:9" ht="51.75" customHeight="1">
      <c r="A2037" s="5">
        <v>2</v>
      </c>
      <c r="B2037" s="5" t="s">
        <v>29087</v>
      </c>
      <c r="C2037" s="5" t="s">
        <v>29088</v>
      </c>
      <c r="D2037" s="246">
        <v>40711</v>
      </c>
      <c r="E2037" s="5" t="s">
        <v>29089</v>
      </c>
      <c r="F2037" s="26"/>
      <c r="G2037" s="27" t="s">
        <v>5070</v>
      </c>
      <c r="H2037" s="28" t="s">
        <v>5071</v>
      </c>
      <c r="I2037" s="5" t="s">
        <v>638</v>
      </c>
    </row>
    <row r="2038" spans="1:9" ht="51.75" customHeight="1">
      <c r="A2038" s="5">
        <v>3</v>
      </c>
      <c r="B2038" s="5" t="s">
        <v>29090</v>
      </c>
      <c r="C2038" s="5" t="s">
        <v>29091</v>
      </c>
      <c r="D2038" s="246">
        <v>40711</v>
      </c>
      <c r="E2038" s="5" t="s">
        <v>29092</v>
      </c>
      <c r="F2038" s="26"/>
      <c r="G2038" s="27" t="s">
        <v>5070</v>
      </c>
      <c r="H2038" s="28" t="s">
        <v>5071</v>
      </c>
      <c r="I2038" s="5" t="s">
        <v>638</v>
      </c>
    </row>
    <row r="2039" spans="1:9" ht="51.75" customHeight="1">
      <c r="A2039" s="5">
        <v>1</v>
      </c>
      <c r="B2039" s="5" t="s">
        <v>29093</v>
      </c>
      <c r="C2039" s="5" t="s">
        <v>29094</v>
      </c>
      <c r="D2039" s="246">
        <v>40626</v>
      </c>
      <c r="E2039" s="5" t="s">
        <v>29094</v>
      </c>
      <c r="F2039" s="26"/>
      <c r="G2039" s="27" t="s">
        <v>5009</v>
      </c>
      <c r="H2039" s="28" t="s">
        <v>5010</v>
      </c>
      <c r="I2039" s="5" t="s">
        <v>638</v>
      </c>
    </row>
    <row r="2040" spans="1:9" ht="51.75" customHeight="1">
      <c r="A2040" s="5">
        <v>2</v>
      </c>
      <c r="B2040" s="5" t="s">
        <v>29095</v>
      </c>
      <c r="C2040" s="5" t="s">
        <v>29096</v>
      </c>
      <c r="D2040" s="246">
        <v>40626</v>
      </c>
      <c r="E2040" s="5" t="s">
        <v>29096</v>
      </c>
      <c r="F2040" s="26"/>
      <c r="G2040" s="27" t="s">
        <v>5009</v>
      </c>
      <c r="H2040" s="28" t="s">
        <v>5010</v>
      </c>
      <c r="I2040" s="5" t="s">
        <v>638</v>
      </c>
    </row>
    <row r="2041" spans="1:9" ht="51.75" customHeight="1">
      <c r="A2041" s="5">
        <v>1</v>
      </c>
      <c r="B2041" s="5" t="s">
        <v>29097</v>
      </c>
      <c r="C2041" s="5" t="s">
        <v>29098</v>
      </c>
      <c r="D2041" s="246">
        <v>40626</v>
      </c>
      <c r="E2041" s="5" t="s">
        <v>29099</v>
      </c>
      <c r="F2041" s="26"/>
      <c r="G2041" s="27" t="s">
        <v>4968</v>
      </c>
      <c r="H2041" s="28" t="s">
        <v>4969</v>
      </c>
      <c r="I2041" s="5" t="s">
        <v>638</v>
      </c>
    </row>
    <row r="2042" spans="1:9" ht="51.75" customHeight="1">
      <c r="A2042" s="5">
        <v>1</v>
      </c>
      <c r="B2042" s="5" t="s">
        <v>29100</v>
      </c>
      <c r="C2042" s="5" t="s">
        <v>29101</v>
      </c>
      <c r="D2042" s="246">
        <v>40728</v>
      </c>
      <c r="E2042" s="5" t="s">
        <v>29102</v>
      </c>
      <c r="F2042" s="26"/>
      <c r="G2042" s="27" t="s">
        <v>4900</v>
      </c>
      <c r="H2042" s="28" t="s">
        <v>4901</v>
      </c>
      <c r="I2042" s="5" t="s">
        <v>638</v>
      </c>
    </row>
    <row r="2043" spans="1:9" ht="51.75" customHeight="1">
      <c r="A2043" s="5">
        <v>1</v>
      </c>
      <c r="B2043" s="5" t="s">
        <v>29103</v>
      </c>
      <c r="C2043" s="5" t="s">
        <v>29104</v>
      </c>
      <c r="D2043" s="246">
        <v>40657</v>
      </c>
      <c r="E2043" s="5" t="s">
        <v>29105</v>
      </c>
      <c r="F2043" s="26"/>
      <c r="G2043" s="27" t="s">
        <v>4789</v>
      </c>
      <c r="H2043" s="28" t="s">
        <v>4790</v>
      </c>
      <c r="I2043" s="5" t="s">
        <v>638</v>
      </c>
    </row>
    <row r="2044" spans="1:9" ht="51.75" customHeight="1">
      <c r="A2044" s="5">
        <v>1</v>
      </c>
      <c r="B2044" s="5" t="s">
        <v>29106</v>
      </c>
      <c r="C2044" s="5" t="s">
        <v>29107</v>
      </c>
      <c r="D2044" s="246">
        <v>39105</v>
      </c>
      <c r="E2044" s="5" t="s">
        <v>29107</v>
      </c>
      <c r="F2044" s="26"/>
      <c r="G2044" s="27" t="s">
        <v>636</v>
      </c>
      <c r="H2044" s="28" t="s">
        <v>637</v>
      </c>
      <c r="I2044" s="5" t="s">
        <v>638</v>
      </c>
    </row>
    <row r="2045" spans="1:9" ht="51.75" customHeight="1">
      <c r="A2045" s="5">
        <v>2</v>
      </c>
      <c r="B2045" s="5" t="s">
        <v>29108</v>
      </c>
      <c r="C2045" s="5" t="s">
        <v>29109</v>
      </c>
      <c r="D2045" s="246">
        <v>39105</v>
      </c>
      <c r="E2045" s="5" t="s">
        <v>29109</v>
      </c>
      <c r="F2045" s="26"/>
      <c r="G2045" s="27" t="s">
        <v>636</v>
      </c>
      <c r="H2045" s="28" t="s">
        <v>637</v>
      </c>
      <c r="I2045" s="5" t="s">
        <v>638</v>
      </c>
    </row>
    <row r="2046" spans="1:9" ht="51.75" customHeight="1">
      <c r="A2046" s="5">
        <v>1</v>
      </c>
      <c r="B2046" s="5" t="s">
        <v>29110</v>
      </c>
      <c r="C2046" s="5" t="s">
        <v>29111</v>
      </c>
      <c r="D2046" s="246">
        <v>40534</v>
      </c>
      <c r="E2046" s="5" t="s">
        <v>29112</v>
      </c>
      <c r="F2046" s="26"/>
      <c r="G2046" s="27" t="s">
        <v>4689</v>
      </c>
      <c r="H2046" s="28" t="s">
        <v>4690</v>
      </c>
      <c r="I2046" s="5" t="s">
        <v>638</v>
      </c>
    </row>
    <row r="2047" spans="1:9" ht="51.75" customHeight="1">
      <c r="A2047" s="5">
        <v>2</v>
      </c>
      <c r="B2047" s="5" t="s">
        <v>29113</v>
      </c>
      <c r="C2047" s="5" t="s">
        <v>29114</v>
      </c>
      <c r="D2047" s="246">
        <v>40534</v>
      </c>
      <c r="E2047" s="5" t="s">
        <v>29115</v>
      </c>
      <c r="F2047" s="26"/>
      <c r="G2047" s="27" t="s">
        <v>4689</v>
      </c>
      <c r="H2047" s="28" t="s">
        <v>4690</v>
      </c>
      <c r="I2047" s="5" t="s">
        <v>638</v>
      </c>
    </row>
    <row r="2048" spans="1:9" ht="51.75" customHeight="1">
      <c r="A2048" s="5">
        <v>1</v>
      </c>
      <c r="B2048" s="5" t="s">
        <v>29116</v>
      </c>
      <c r="C2048" s="5" t="s">
        <v>29117</v>
      </c>
      <c r="D2048" s="246">
        <v>40657</v>
      </c>
      <c r="E2048" s="5" t="s">
        <v>29118</v>
      </c>
      <c r="F2048" s="26"/>
      <c r="G2048" s="27" t="s">
        <v>4650</v>
      </c>
      <c r="H2048" s="28" t="s">
        <v>4651</v>
      </c>
      <c r="I2048" s="5" t="s">
        <v>638</v>
      </c>
    </row>
    <row r="2049" spans="1:9" ht="51.75" customHeight="1">
      <c r="A2049" s="5">
        <v>2</v>
      </c>
      <c r="B2049" s="5" t="s">
        <v>29119</v>
      </c>
      <c r="C2049" s="5" t="s">
        <v>29120</v>
      </c>
      <c r="D2049" s="246">
        <v>40657</v>
      </c>
      <c r="E2049" s="5" t="s">
        <v>29121</v>
      </c>
      <c r="F2049" s="26"/>
      <c r="G2049" s="27" t="s">
        <v>4650</v>
      </c>
      <c r="H2049" s="28" t="s">
        <v>4651</v>
      </c>
      <c r="I2049" s="5" t="s">
        <v>638</v>
      </c>
    </row>
    <row r="2050" spans="1:9" ht="51.75" customHeight="1">
      <c r="A2050" s="5">
        <v>1</v>
      </c>
      <c r="B2050" s="5" t="s">
        <v>29122</v>
      </c>
      <c r="C2050" s="5" t="s">
        <v>29123</v>
      </c>
      <c r="D2050" s="246">
        <v>40672</v>
      </c>
      <c r="E2050" s="5" t="s">
        <v>29124</v>
      </c>
      <c r="F2050" s="26"/>
      <c r="G2050" s="27" t="s">
        <v>4741</v>
      </c>
      <c r="H2050" s="28" t="s">
        <v>4742</v>
      </c>
      <c r="I2050" s="5" t="s">
        <v>638</v>
      </c>
    </row>
    <row r="2051" spans="1:9" ht="51.75" customHeight="1">
      <c r="A2051" s="5">
        <v>2</v>
      </c>
      <c r="B2051" s="5" t="s">
        <v>29125</v>
      </c>
      <c r="C2051" s="5" t="s">
        <v>29126</v>
      </c>
      <c r="D2051" s="246">
        <v>40672</v>
      </c>
      <c r="E2051" s="5" t="s">
        <v>29127</v>
      </c>
      <c r="F2051" s="26"/>
      <c r="G2051" s="27" t="s">
        <v>4741</v>
      </c>
      <c r="H2051" s="28" t="s">
        <v>4742</v>
      </c>
      <c r="I2051" s="5" t="s">
        <v>638</v>
      </c>
    </row>
    <row r="2052" spans="1:9" ht="51.75" customHeight="1">
      <c r="A2052" s="5">
        <v>3</v>
      </c>
      <c r="B2052" s="5" t="s">
        <v>29128</v>
      </c>
      <c r="C2052" s="5" t="s">
        <v>29129</v>
      </c>
      <c r="D2052" s="246">
        <v>40672</v>
      </c>
      <c r="E2052" s="5" t="s">
        <v>29130</v>
      </c>
      <c r="F2052" s="26"/>
      <c r="G2052" s="27" t="s">
        <v>4741</v>
      </c>
      <c r="H2052" s="28" t="s">
        <v>4742</v>
      </c>
      <c r="I2052" s="5" t="s">
        <v>638</v>
      </c>
    </row>
    <row r="2053" spans="1:9" ht="51.75" customHeight="1">
      <c r="A2053" s="5">
        <v>1</v>
      </c>
      <c r="B2053" s="5" t="s">
        <v>29131</v>
      </c>
      <c r="C2053" s="5" t="s">
        <v>29132</v>
      </c>
      <c r="D2053" s="246">
        <v>40535</v>
      </c>
      <c r="E2053" s="5" t="s">
        <v>29133</v>
      </c>
      <c r="F2053" s="26"/>
      <c r="G2053" s="27" t="s">
        <v>4591</v>
      </c>
      <c r="H2053" s="28" t="s">
        <v>4592</v>
      </c>
      <c r="I2053" s="5" t="s">
        <v>638</v>
      </c>
    </row>
    <row r="2054" spans="1:9" ht="51.75" customHeight="1">
      <c r="A2054" s="5">
        <v>2</v>
      </c>
      <c r="B2054" s="5" t="s">
        <v>29134</v>
      </c>
      <c r="C2054" s="5" t="s">
        <v>29135</v>
      </c>
      <c r="D2054" s="246">
        <v>40535</v>
      </c>
      <c r="E2054" s="5" t="s">
        <v>29136</v>
      </c>
      <c r="F2054" s="26"/>
      <c r="G2054" s="27" t="s">
        <v>4591</v>
      </c>
      <c r="H2054" s="28" t="s">
        <v>4592</v>
      </c>
      <c r="I2054" s="5" t="s">
        <v>638</v>
      </c>
    </row>
    <row r="2055" spans="1:9" ht="51.75" customHeight="1">
      <c r="A2055" s="5">
        <v>1</v>
      </c>
      <c r="B2055" s="5" t="s">
        <v>29137</v>
      </c>
      <c r="C2055" s="5" t="s">
        <v>29138</v>
      </c>
      <c r="D2055" s="246">
        <v>40676</v>
      </c>
      <c r="E2055" s="5" t="s">
        <v>29139</v>
      </c>
      <c r="F2055" s="26"/>
      <c r="G2055" s="27" t="s">
        <v>4463</v>
      </c>
      <c r="H2055" s="28" t="s">
        <v>4464</v>
      </c>
      <c r="I2055" s="5" t="s">
        <v>638</v>
      </c>
    </row>
    <row r="2056" spans="1:9" ht="51.75" customHeight="1">
      <c r="A2056" s="5">
        <v>2</v>
      </c>
      <c r="B2056" s="5" t="s">
        <v>29140</v>
      </c>
      <c r="C2056" s="5" t="s">
        <v>29141</v>
      </c>
      <c r="D2056" s="246">
        <v>40676</v>
      </c>
      <c r="E2056" s="5" t="s">
        <v>29142</v>
      </c>
      <c r="F2056" s="26"/>
      <c r="G2056" s="27" t="s">
        <v>4463</v>
      </c>
      <c r="H2056" s="28" t="s">
        <v>4464</v>
      </c>
      <c r="I2056" s="5" t="s">
        <v>638</v>
      </c>
    </row>
    <row r="2057" spans="1:9" ht="51.75" customHeight="1">
      <c r="A2057" s="5">
        <v>3</v>
      </c>
      <c r="B2057" s="5" t="s">
        <v>29143</v>
      </c>
      <c r="C2057" s="5" t="s">
        <v>29144</v>
      </c>
      <c r="D2057" s="246">
        <v>40676</v>
      </c>
      <c r="E2057" s="5" t="s">
        <v>29145</v>
      </c>
      <c r="F2057" s="26"/>
      <c r="G2057" s="27" t="s">
        <v>4463</v>
      </c>
      <c r="H2057" s="28" t="s">
        <v>4464</v>
      </c>
      <c r="I2057" s="5" t="s">
        <v>638</v>
      </c>
    </row>
    <row r="2058" spans="1:9" ht="51.75" customHeight="1">
      <c r="A2058" s="5">
        <v>4</v>
      </c>
      <c r="B2058" s="5" t="s">
        <v>29146</v>
      </c>
      <c r="C2058" s="5" t="s">
        <v>29147</v>
      </c>
      <c r="D2058" s="246">
        <v>40676</v>
      </c>
      <c r="E2058" s="5" t="s">
        <v>29148</v>
      </c>
      <c r="F2058" s="26"/>
      <c r="G2058" s="27" t="s">
        <v>4463</v>
      </c>
      <c r="H2058" s="28" t="s">
        <v>4464</v>
      </c>
      <c r="I2058" s="5" t="s">
        <v>638</v>
      </c>
    </row>
    <row r="2059" spans="1:9" ht="51.75" customHeight="1">
      <c r="A2059" s="5">
        <v>5</v>
      </c>
      <c r="B2059" s="5" t="s">
        <v>29149</v>
      </c>
      <c r="C2059" s="5" t="s">
        <v>29150</v>
      </c>
      <c r="D2059" s="246">
        <v>40676</v>
      </c>
      <c r="E2059" s="5" t="s">
        <v>29151</v>
      </c>
      <c r="F2059" s="26"/>
      <c r="G2059" s="27" t="s">
        <v>4463</v>
      </c>
      <c r="H2059" s="28" t="s">
        <v>4464</v>
      </c>
      <c r="I2059" s="5" t="s">
        <v>638</v>
      </c>
    </row>
    <row r="2060" spans="1:9" ht="51.75" customHeight="1">
      <c r="A2060" s="5">
        <v>1</v>
      </c>
      <c r="B2060" s="5" t="s">
        <v>29152</v>
      </c>
      <c r="C2060" s="5" t="s">
        <v>29153</v>
      </c>
      <c r="D2060" s="246">
        <v>40522</v>
      </c>
      <c r="E2060" s="5" t="s">
        <v>29153</v>
      </c>
      <c r="F2060" s="26"/>
      <c r="G2060" s="27" t="s">
        <v>4433</v>
      </c>
      <c r="H2060" s="28" t="s">
        <v>4434</v>
      </c>
      <c r="I2060" s="5" t="s">
        <v>638</v>
      </c>
    </row>
    <row r="2061" spans="1:9" ht="51.75" customHeight="1">
      <c r="A2061" s="5">
        <v>1</v>
      </c>
      <c r="B2061" s="5" t="s">
        <v>29154</v>
      </c>
      <c r="C2061" s="5" t="s">
        <v>29155</v>
      </c>
      <c r="D2061" s="246">
        <v>40522</v>
      </c>
      <c r="E2061" s="5" t="s">
        <v>29156</v>
      </c>
      <c r="F2061" s="26"/>
      <c r="G2061" s="27" t="s">
        <v>4428</v>
      </c>
      <c r="H2061" s="28" t="s">
        <v>4429</v>
      </c>
      <c r="I2061" s="5" t="s">
        <v>638</v>
      </c>
    </row>
    <row r="2062" spans="1:9" ht="51.75" customHeight="1">
      <c r="A2062" s="5">
        <v>1</v>
      </c>
      <c r="B2062" s="5" t="s">
        <v>29157</v>
      </c>
      <c r="C2062" s="5" t="s">
        <v>29158</v>
      </c>
      <c r="D2062" s="246">
        <v>40522</v>
      </c>
      <c r="E2062" s="5" t="s">
        <v>29159</v>
      </c>
      <c r="F2062" s="26"/>
      <c r="G2062" s="27" t="s">
        <v>4376</v>
      </c>
      <c r="H2062" s="28" t="s">
        <v>4377</v>
      </c>
      <c r="I2062" s="5" t="s">
        <v>638</v>
      </c>
    </row>
    <row r="2063" spans="1:9" ht="51.75" customHeight="1">
      <c r="A2063" s="5">
        <v>1</v>
      </c>
      <c r="B2063" s="5" t="s">
        <v>29160</v>
      </c>
      <c r="C2063" s="5" t="s">
        <v>29161</v>
      </c>
      <c r="D2063" s="246">
        <v>40522</v>
      </c>
      <c r="E2063" s="5" t="s">
        <v>29162</v>
      </c>
      <c r="F2063" s="26"/>
      <c r="G2063" s="27" t="s">
        <v>4361</v>
      </c>
      <c r="H2063" s="28" t="s">
        <v>4362</v>
      </c>
      <c r="I2063" s="5" t="s">
        <v>638</v>
      </c>
    </row>
    <row r="2064" spans="1:9" ht="51.75" customHeight="1">
      <c r="A2064" s="5">
        <v>2</v>
      </c>
      <c r="B2064" s="5" t="s">
        <v>29163</v>
      </c>
      <c r="C2064" s="5" t="s">
        <v>29164</v>
      </c>
      <c r="D2064" s="246">
        <v>40522</v>
      </c>
      <c r="E2064" s="5" t="s">
        <v>29165</v>
      </c>
      <c r="F2064" s="26"/>
      <c r="G2064" s="27" t="s">
        <v>4361</v>
      </c>
      <c r="H2064" s="28" t="s">
        <v>4362</v>
      </c>
      <c r="I2064" s="5" t="s">
        <v>638</v>
      </c>
    </row>
    <row r="2065" spans="1:9" ht="51.75" customHeight="1">
      <c r="A2065" s="5">
        <v>3</v>
      </c>
      <c r="B2065" s="5" t="s">
        <v>29166</v>
      </c>
      <c r="C2065" s="5" t="s">
        <v>29167</v>
      </c>
      <c r="D2065" s="246">
        <v>40522</v>
      </c>
      <c r="E2065" s="5" t="s">
        <v>29168</v>
      </c>
      <c r="F2065" s="26"/>
      <c r="G2065" s="27" t="s">
        <v>4361</v>
      </c>
      <c r="H2065" s="28" t="s">
        <v>4362</v>
      </c>
      <c r="I2065" s="5" t="s">
        <v>638</v>
      </c>
    </row>
    <row r="2066" spans="1:9" ht="51.75" customHeight="1">
      <c r="A2066" s="5">
        <v>4</v>
      </c>
      <c r="B2066" s="5" t="s">
        <v>29169</v>
      </c>
      <c r="C2066" s="5" t="s">
        <v>29170</v>
      </c>
      <c r="D2066" s="246">
        <v>40522</v>
      </c>
      <c r="E2066" s="5" t="s">
        <v>29171</v>
      </c>
      <c r="F2066" s="26"/>
      <c r="G2066" s="27" t="s">
        <v>4361</v>
      </c>
      <c r="H2066" s="28" t="s">
        <v>4362</v>
      </c>
      <c r="I2066" s="5" t="s">
        <v>638</v>
      </c>
    </row>
    <row r="2067" spans="1:9" ht="51.75" customHeight="1">
      <c r="A2067" s="5">
        <v>5</v>
      </c>
      <c r="B2067" s="5" t="s">
        <v>29172</v>
      </c>
      <c r="C2067" s="5" t="s">
        <v>29173</v>
      </c>
      <c r="D2067" s="246">
        <v>40522</v>
      </c>
      <c r="E2067" s="5" t="s">
        <v>29174</v>
      </c>
      <c r="F2067" s="26"/>
      <c r="G2067" s="27" t="s">
        <v>4361</v>
      </c>
      <c r="H2067" s="28" t="s">
        <v>4362</v>
      </c>
      <c r="I2067" s="5" t="s">
        <v>638</v>
      </c>
    </row>
    <row r="2068" spans="1:9" ht="51.75" customHeight="1">
      <c r="A2068" s="5">
        <v>6</v>
      </c>
      <c r="B2068" s="5" t="s">
        <v>29175</v>
      </c>
      <c r="C2068" s="5" t="s">
        <v>29176</v>
      </c>
      <c r="D2068" s="246">
        <v>40522</v>
      </c>
      <c r="E2068" s="5" t="s">
        <v>29177</v>
      </c>
      <c r="F2068" s="26"/>
      <c r="G2068" s="27" t="s">
        <v>4361</v>
      </c>
      <c r="H2068" s="28" t="s">
        <v>4362</v>
      </c>
      <c r="I2068" s="5" t="s">
        <v>638</v>
      </c>
    </row>
    <row r="2069" spans="1:9" ht="51.75" customHeight="1">
      <c r="A2069" s="5">
        <v>1</v>
      </c>
      <c r="B2069" s="5" t="s">
        <v>29178</v>
      </c>
      <c r="C2069" s="5" t="s">
        <v>29179</v>
      </c>
      <c r="D2069" s="246">
        <v>40338</v>
      </c>
      <c r="E2069" s="5" t="s">
        <v>29180</v>
      </c>
      <c r="F2069" s="26"/>
      <c r="G2069" s="27" t="s">
        <v>4366</v>
      </c>
      <c r="H2069" s="28" t="s">
        <v>4367</v>
      </c>
      <c r="I2069" s="5" t="s">
        <v>638</v>
      </c>
    </row>
    <row r="2070" spans="1:9" ht="51.75" customHeight="1">
      <c r="A2070" s="5">
        <v>1</v>
      </c>
      <c r="B2070" s="5" t="s">
        <v>29181</v>
      </c>
      <c r="C2070" s="5" t="s">
        <v>29182</v>
      </c>
      <c r="D2070" s="246">
        <v>40450</v>
      </c>
      <c r="E2070" s="5" t="s">
        <v>29182</v>
      </c>
      <c r="F2070" s="26"/>
      <c r="G2070" s="27" t="s">
        <v>4371</v>
      </c>
      <c r="H2070" s="28" t="s">
        <v>4372</v>
      </c>
      <c r="I2070" s="5" t="s">
        <v>638</v>
      </c>
    </row>
    <row r="2071" spans="1:9" ht="51.75" customHeight="1">
      <c r="A2071" s="5">
        <v>1</v>
      </c>
      <c r="B2071" s="5" t="s">
        <v>29183</v>
      </c>
      <c r="C2071" s="5" t="s">
        <v>29184</v>
      </c>
      <c r="D2071" s="246">
        <v>40450</v>
      </c>
      <c r="E2071" s="5" t="s">
        <v>29184</v>
      </c>
      <c r="F2071" s="26"/>
      <c r="G2071" s="27" t="s">
        <v>4251</v>
      </c>
      <c r="H2071" s="28" t="s">
        <v>4252</v>
      </c>
      <c r="I2071" s="5" t="s">
        <v>638</v>
      </c>
    </row>
    <row r="2072" spans="1:9" ht="51.75" customHeight="1">
      <c r="A2072" s="5">
        <v>1</v>
      </c>
      <c r="B2072" s="5" t="s">
        <v>29185</v>
      </c>
      <c r="C2072" s="5" t="s">
        <v>29186</v>
      </c>
      <c r="D2072" s="246">
        <v>40338</v>
      </c>
      <c r="E2072" s="5" t="s">
        <v>29186</v>
      </c>
      <c r="F2072" s="26"/>
      <c r="G2072" s="27" t="s">
        <v>4211</v>
      </c>
      <c r="H2072" s="28" t="s">
        <v>4212</v>
      </c>
      <c r="I2072" s="5" t="s">
        <v>638</v>
      </c>
    </row>
    <row r="2073" spans="1:9" ht="51.75" customHeight="1">
      <c r="A2073" s="5">
        <v>1</v>
      </c>
      <c r="B2073" s="5" t="s">
        <v>29187</v>
      </c>
      <c r="C2073" s="5" t="s">
        <v>29188</v>
      </c>
      <c r="D2073" s="246">
        <v>40452</v>
      </c>
      <c r="E2073" s="5" t="s">
        <v>29189</v>
      </c>
      <c r="F2073" s="26"/>
      <c r="G2073" s="27" t="s">
        <v>4128</v>
      </c>
      <c r="H2073" s="28" t="s">
        <v>4129</v>
      </c>
      <c r="I2073" s="5" t="s">
        <v>638</v>
      </c>
    </row>
    <row r="2074" spans="1:9" ht="51.75" customHeight="1">
      <c r="A2074" s="5">
        <v>1</v>
      </c>
      <c r="B2074" s="5" t="s">
        <v>29190</v>
      </c>
      <c r="C2074" s="5" t="s">
        <v>29191</v>
      </c>
      <c r="D2074" s="246">
        <v>40452</v>
      </c>
      <c r="E2074" s="5" t="s">
        <v>29192</v>
      </c>
      <c r="F2074" s="26"/>
      <c r="G2074" s="27" t="s">
        <v>4164</v>
      </c>
      <c r="H2074" s="28" t="s">
        <v>4165</v>
      </c>
      <c r="I2074" s="5" t="s">
        <v>638</v>
      </c>
    </row>
    <row r="2075" spans="1:9" ht="51.75" customHeight="1">
      <c r="A2075" s="5">
        <v>2</v>
      </c>
      <c r="B2075" s="5" t="s">
        <v>29193</v>
      </c>
      <c r="C2075" s="5" t="s">
        <v>29194</v>
      </c>
      <c r="D2075" s="246">
        <v>40452</v>
      </c>
      <c r="E2075" s="5" t="s">
        <v>29194</v>
      </c>
      <c r="F2075" s="26"/>
      <c r="G2075" s="27" t="s">
        <v>4164</v>
      </c>
      <c r="H2075" s="28" t="s">
        <v>4165</v>
      </c>
      <c r="I2075" s="5" t="s">
        <v>638</v>
      </c>
    </row>
    <row r="2076" spans="1:9" ht="51.75" customHeight="1">
      <c r="A2076" s="5">
        <v>3</v>
      </c>
      <c r="B2076" s="5" t="s">
        <v>29195</v>
      </c>
      <c r="C2076" s="5" t="s">
        <v>29196</v>
      </c>
      <c r="D2076" s="246">
        <v>40452</v>
      </c>
      <c r="E2076" s="5" t="s">
        <v>29196</v>
      </c>
      <c r="F2076" s="26"/>
      <c r="G2076" s="27" t="s">
        <v>4164</v>
      </c>
      <c r="H2076" s="28" t="s">
        <v>4165</v>
      </c>
      <c r="I2076" s="5" t="s">
        <v>638</v>
      </c>
    </row>
    <row r="2077" spans="1:9" ht="51.75" customHeight="1">
      <c r="A2077" s="5">
        <v>1</v>
      </c>
      <c r="B2077" s="5" t="s">
        <v>29197</v>
      </c>
      <c r="C2077" s="5" t="s">
        <v>29179</v>
      </c>
      <c r="D2077" s="246">
        <v>40338</v>
      </c>
      <c r="E2077" s="5" t="s">
        <v>29180</v>
      </c>
      <c r="F2077" s="26"/>
      <c r="G2077" s="27" t="s">
        <v>4061</v>
      </c>
      <c r="H2077" s="28" t="s">
        <v>4062</v>
      </c>
      <c r="I2077" s="5" t="s">
        <v>638</v>
      </c>
    </row>
    <row r="2078" spans="1:9" ht="51.75" customHeight="1">
      <c r="A2078" s="5">
        <v>1</v>
      </c>
      <c r="B2078" s="5" t="s">
        <v>29198</v>
      </c>
      <c r="C2078" s="5" t="s">
        <v>29199</v>
      </c>
      <c r="D2078" s="246">
        <v>40338</v>
      </c>
      <c r="E2078" s="5" t="s">
        <v>29200</v>
      </c>
      <c r="F2078" s="26"/>
      <c r="G2078" s="27" t="s">
        <v>4050</v>
      </c>
      <c r="H2078" s="28" t="s">
        <v>4051</v>
      </c>
      <c r="I2078" s="5" t="s">
        <v>638</v>
      </c>
    </row>
    <row r="2079" spans="1:9" ht="51.75" customHeight="1">
      <c r="A2079" s="5">
        <v>1</v>
      </c>
      <c r="B2079" s="5" t="s">
        <v>29201</v>
      </c>
      <c r="C2079" s="5" t="s">
        <v>29202</v>
      </c>
      <c r="D2079" s="246">
        <v>40450</v>
      </c>
      <c r="E2079" s="5" t="s">
        <v>29203</v>
      </c>
      <c r="F2079" s="26"/>
      <c r="G2079" s="27" t="s">
        <v>4032</v>
      </c>
      <c r="H2079" s="28" t="s">
        <v>4033</v>
      </c>
      <c r="I2079" s="5" t="s">
        <v>638</v>
      </c>
    </row>
    <row r="2080" spans="1:9" ht="51.75" customHeight="1">
      <c r="A2080" s="5">
        <v>1</v>
      </c>
      <c r="B2080" s="5" t="s">
        <v>29204</v>
      </c>
      <c r="C2080" s="5" t="s">
        <v>29179</v>
      </c>
      <c r="D2080" s="246">
        <v>40338</v>
      </c>
      <c r="E2080" s="5" t="s">
        <v>29180</v>
      </c>
      <c r="F2080" s="26"/>
      <c r="G2080" s="27" t="s">
        <v>3986</v>
      </c>
      <c r="H2080" s="28" t="s">
        <v>3987</v>
      </c>
      <c r="I2080" s="5" t="s">
        <v>638</v>
      </c>
    </row>
    <row r="2081" spans="1:9" ht="51.75" customHeight="1">
      <c r="A2081" s="5">
        <v>1</v>
      </c>
      <c r="B2081" s="5" t="s">
        <v>29205</v>
      </c>
      <c r="C2081" s="5" t="s">
        <v>29206</v>
      </c>
      <c r="D2081" s="246">
        <v>39105</v>
      </c>
      <c r="E2081" s="5" t="s">
        <v>29206</v>
      </c>
      <c r="F2081" s="26"/>
      <c r="G2081" s="27" t="s">
        <v>657</v>
      </c>
      <c r="H2081" s="28" t="s">
        <v>658</v>
      </c>
      <c r="I2081" s="5" t="s">
        <v>638</v>
      </c>
    </row>
    <row r="2082" spans="1:9" ht="51.75" customHeight="1">
      <c r="A2082" s="5">
        <v>1</v>
      </c>
      <c r="B2082" s="5" t="s">
        <v>29207</v>
      </c>
      <c r="C2082" s="5" t="s">
        <v>29208</v>
      </c>
      <c r="D2082" s="246">
        <v>40111</v>
      </c>
      <c r="E2082" s="5" t="s">
        <v>29209</v>
      </c>
      <c r="F2082" s="26"/>
      <c r="G2082" s="27" t="s">
        <v>3325</v>
      </c>
      <c r="H2082" s="28" t="s">
        <v>3326</v>
      </c>
      <c r="I2082" s="5" t="s">
        <v>638</v>
      </c>
    </row>
    <row r="2083" spans="1:9" ht="51.75" customHeight="1">
      <c r="A2083" s="5">
        <v>2</v>
      </c>
      <c r="B2083" s="5" t="s">
        <v>29210</v>
      </c>
      <c r="C2083" s="5" t="s">
        <v>29211</v>
      </c>
      <c r="D2083" s="246">
        <v>40111</v>
      </c>
      <c r="E2083" s="5" t="s">
        <v>29212</v>
      </c>
      <c r="F2083" s="26"/>
      <c r="G2083" s="27" t="s">
        <v>3325</v>
      </c>
      <c r="H2083" s="28" t="s">
        <v>3326</v>
      </c>
      <c r="I2083" s="5" t="s">
        <v>638</v>
      </c>
    </row>
    <row r="2084" spans="1:9" ht="51.75" customHeight="1">
      <c r="A2084" s="5">
        <v>3</v>
      </c>
      <c r="B2084" s="5" t="s">
        <v>29213</v>
      </c>
      <c r="C2084" s="5" t="s">
        <v>29214</v>
      </c>
      <c r="D2084" s="246">
        <v>40111</v>
      </c>
      <c r="E2084" s="5" t="s">
        <v>29215</v>
      </c>
      <c r="F2084" s="26"/>
      <c r="G2084" s="27" t="s">
        <v>3325</v>
      </c>
      <c r="H2084" s="28" t="s">
        <v>3326</v>
      </c>
      <c r="I2084" s="5" t="s">
        <v>638</v>
      </c>
    </row>
    <row r="2085" spans="1:9" ht="51.75" customHeight="1">
      <c r="A2085" s="5">
        <v>4</v>
      </c>
      <c r="B2085" s="5" t="s">
        <v>29216</v>
      </c>
      <c r="C2085" s="5" t="s">
        <v>29217</v>
      </c>
      <c r="D2085" s="246">
        <v>40111</v>
      </c>
      <c r="E2085" s="5" t="s">
        <v>29218</v>
      </c>
      <c r="F2085" s="26"/>
      <c r="G2085" s="27" t="s">
        <v>3325</v>
      </c>
      <c r="H2085" s="28" t="s">
        <v>3326</v>
      </c>
      <c r="I2085" s="5" t="s">
        <v>638</v>
      </c>
    </row>
    <row r="2086" spans="1:9" ht="51.75" customHeight="1">
      <c r="A2086" s="5">
        <v>5</v>
      </c>
      <c r="B2086" s="5" t="s">
        <v>29219</v>
      </c>
      <c r="C2086" s="5" t="s">
        <v>29220</v>
      </c>
      <c r="D2086" s="246">
        <v>40111</v>
      </c>
      <c r="E2086" s="5" t="s">
        <v>29221</v>
      </c>
      <c r="F2086" s="26"/>
      <c r="G2086" s="27" t="s">
        <v>3325</v>
      </c>
      <c r="H2086" s="28" t="s">
        <v>3326</v>
      </c>
      <c r="I2086" s="5" t="s">
        <v>638</v>
      </c>
    </row>
    <row r="2087" spans="1:9" ht="51.75" customHeight="1">
      <c r="A2087" s="5">
        <v>1</v>
      </c>
      <c r="B2087" s="5" t="s">
        <v>29222</v>
      </c>
      <c r="C2087" s="5" t="s">
        <v>29223</v>
      </c>
      <c r="D2087" s="246">
        <v>40337</v>
      </c>
      <c r="E2087" s="5" t="s">
        <v>29224</v>
      </c>
      <c r="F2087" s="26"/>
      <c r="G2087" s="27" t="s">
        <v>3889</v>
      </c>
      <c r="H2087" s="28" t="s">
        <v>3890</v>
      </c>
      <c r="I2087" s="5" t="s">
        <v>638</v>
      </c>
    </row>
    <row r="2088" spans="1:9" ht="51.75" customHeight="1">
      <c r="A2088" s="5">
        <v>1</v>
      </c>
      <c r="B2088" s="5" t="s">
        <v>29225</v>
      </c>
      <c r="C2088" s="5" t="s">
        <v>29226</v>
      </c>
      <c r="D2088" s="246">
        <v>40213</v>
      </c>
      <c r="E2088" s="5" t="s">
        <v>29227</v>
      </c>
      <c r="F2088" s="26"/>
      <c r="G2088" s="27" t="s">
        <v>3859</v>
      </c>
      <c r="H2088" s="28" t="s">
        <v>3860</v>
      </c>
      <c r="I2088" s="5" t="s">
        <v>638</v>
      </c>
    </row>
    <row r="2089" spans="1:9" ht="51.75" customHeight="1">
      <c r="A2089" s="5">
        <v>1</v>
      </c>
      <c r="B2089" s="5" t="s">
        <v>29228</v>
      </c>
      <c r="C2089" s="5" t="s">
        <v>29186</v>
      </c>
      <c r="D2089" s="246">
        <v>40338</v>
      </c>
      <c r="E2089" s="5" t="s">
        <v>29186</v>
      </c>
      <c r="F2089" s="26"/>
      <c r="G2089" s="27" t="s">
        <v>3951</v>
      </c>
      <c r="H2089" s="28" t="s">
        <v>3952</v>
      </c>
      <c r="I2089" s="5" t="s">
        <v>638</v>
      </c>
    </row>
    <row r="2090" spans="1:9" ht="51.75" customHeight="1">
      <c r="A2090" s="5">
        <v>1</v>
      </c>
      <c r="B2090" s="5" t="s">
        <v>29229</v>
      </c>
      <c r="C2090" s="5" t="s">
        <v>29186</v>
      </c>
      <c r="D2090" s="246">
        <v>40206</v>
      </c>
      <c r="E2090" s="5" t="s">
        <v>29186</v>
      </c>
      <c r="F2090" s="26"/>
      <c r="G2090" s="27" t="s">
        <v>3942</v>
      </c>
      <c r="H2090" s="28" t="s">
        <v>3943</v>
      </c>
      <c r="I2090" s="5" t="s">
        <v>638</v>
      </c>
    </row>
    <row r="2091" spans="1:9" ht="51.75" customHeight="1">
      <c r="A2091" s="5">
        <v>1</v>
      </c>
      <c r="B2091" s="5" t="s">
        <v>29230</v>
      </c>
      <c r="C2091" s="5" t="s">
        <v>29226</v>
      </c>
      <c r="D2091" s="246">
        <v>40204</v>
      </c>
      <c r="E2091" s="5" t="s">
        <v>29227</v>
      </c>
      <c r="F2091" s="26"/>
      <c r="G2091" s="27" t="s">
        <v>3884</v>
      </c>
      <c r="H2091" s="28" t="s">
        <v>3885</v>
      </c>
      <c r="I2091" s="5" t="s">
        <v>638</v>
      </c>
    </row>
    <row r="2092" spans="1:9" ht="51.75" customHeight="1">
      <c r="A2092" s="5">
        <v>1</v>
      </c>
      <c r="B2092" s="5" t="s">
        <v>29231</v>
      </c>
      <c r="C2092" s="5" t="s">
        <v>29186</v>
      </c>
      <c r="D2092" s="246">
        <v>40206</v>
      </c>
      <c r="E2092" s="5" t="s">
        <v>29186</v>
      </c>
      <c r="F2092" s="26"/>
      <c r="G2092" s="27" t="s">
        <v>3874</v>
      </c>
      <c r="H2092" s="28" t="s">
        <v>3875</v>
      </c>
      <c r="I2092" s="5" t="s">
        <v>638</v>
      </c>
    </row>
    <row r="2093" spans="1:9" ht="51.75" customHeight="1">
      <c r="A2093" s="5">
        <v>1</v>
      </c>
      <c r="B2093" s="5" t="s">
        <v>29232</v>
      </c>
      <c r="C2093" s="5" t="s">
        <v>29186</v>
      </c>
      <c r="D2093" s="246">
        <v>40204</v>
      </c>
      <c r="E2093" s="5" t="s">
        <v>29186</v>
      </c>
      <c r="F2093" s="26"/>
      <c r="G2093" s="27" t="s">
        <v>3844</v>
      </c>
      <c r="H2093" s="28" t="s">
        <v>3845</v>
      </c>
      <c r="I2093" s="5" t="s">
        <v>638</v>
      </c>
    </row>
    <row r="2094" spans="1:9" ht="51.75" customHeight="1">
      <c r="A2094" s="5">
        <v>1</v>
      </c>
      <c r="B2094" s="5" t="s">
        <v>29233</v>
      </c>
      <c r="C2094" s="5" t="s">
        <v>29186</v>
      </c>
      <c r="D2094" s="246">
        <v>40060</v>
      </c>
      <c r="E2094" s="5" t="s">
        <v>29186</v>
      </c>
      <c r="F2094" s="26"/>
      <c r="G2094" s="27" t="s">
        <v>2445</v>
      </c>
      <c r="H2094" s="28" t="s">
        <v>2446</v>
      </c>
      <c r="I2094" s="5" t="s">
        <v>638</v>
      </c>
    </row>
    <row r="2095" spans="1:9" ht="51.75" customHeight="1">
      <c r="A2095" s="5">
        <v>1</v>
      </c>
      <c r="B2095" s="5" t="s">
        <v>29234</v>
      </c>
      <c r="C2095" s="5" t="s">
        <v>29235</v>
      </c>
      <c r="D2095" s="246">
        <v>39976</v>
      </c>
      <c r="E2095" s="5" t="s">
        <v>29236</v>
      </c>
      <c r="F2095" s="26"/>
      <c r="G2095" s="27" t="s">
        <v>2467</v>
      </c>
      <c r="H2095" s="28" t="s">
        <v>2468</v>
      </c>
      <c r="I2095" s="5" t="s">
        <v>638</v>
      </c>
    </row>
    <row r="2096" spans="1:9" ht="51.75" customHeight="1">
      <c r="A2096" s="5">
        <v>1</v>
      </c>
      <c r="B2096" s="5" t="s">
        <v>29237</v>
      </c>
      <c r="C2096" s="5" t="s">
        <v>29238</v>
      </c>
      <c r="D2096" s="246">
        <v>39976</v>
      </c>
      <c r="E2096" s="5" t="s">
        <v>29238</v>
      </c>
      <c r="F2096" s="26"/>
      <c r="G2096" s="27" t="s">
        <v>2459</v>
      </c>
      <c r="H2096" s="28" t="s">
        <v>2460</v>
      </c>
      <c r="I2096" s="5" t="s">
        <v>638</v>
      </c>
    </row>
    <row r="2097" spans="1:9" ht="51.75" customHeight="1">
      <c r="A2097" s="5">
        <v>1</v>
      </c>
      <c r="B2097" s="5" t="s">
        <v>29239</v>
      </c>
      <c r="C2097" s="5" t="s">
        <v>29226</v>
      </c>
      <c r="D2097" s="246">
        <v>40204</v>
      </c>
      <c r="E2097" s="5" t="s">
        <v>29227</v>
      </c>
      <c r="F2097" s="26"/>
      <c r="G2097" s="27" t="s">
        <v>3768</v>
      </c>
      <c r="H2097" s="28" t="s">
        <v>3769</v>
      </c>
      <c r="I2097" s="5" t="s">
        <v>638</v>
      </c>
    </row>
    <row r="2098" spans="1:9" ht="51.75" customHeight="1">
      <c r="A2098" s="5">
        <v>1</v>
      </c>
      <c r="B2098" s="5" t="s">
        <v>29240</v>
      </c>
      <c r="C2098" s="5" t="s">
        <v>29241</v>
      </c>
      <c r="D2098" s="246">
        <v>40141</v>
      </c>
      <c r="E2098" s="5" t="s">
        <v>29242</v>
      </c>
      <c r="F2098" s="26"/>
      <c r="G2098" s="27" t="s">
        <v>3689</v>
      </c>
      <c r="H2098" s="28" t="s">
        <v>3690</v>
      </c>
      <c r="I2098" s="5" t="s">
        <v>638</v>
      </c>
    </row>
    <row r="2099" spans="1:9" ht="51.75" customHeight="1">
      <c r="A2099" s="5">
        <v>1</v>
      </c>
      <c r="B2099" s="5" t="s">
        <v>29243</v>
      </c>
      <c r="C2099" s="5" t="s">
        <v>29244</v>
      </c>
      <c r="D2099" s="246">
        <v>40058</v>
      </c>
      <c r="E2099" s="5" t="s">
        <v>29244</v>
      </c>
      <c r="F2099" s="26"/>
      <c r="G2099" s="27" t="s">
        <v>3685</v>
      </c>
      <c r="H2099" s="28" t="s">
        <v>3686</v>
      </c>
      <c r="I2099" s="5" t="s">
        <v>638</v>
      </c>
    </row>
    <row r="2100" spans="1:9" ht="51.75" customHeight="1">
      <c r="A2100" s="5">
        <v>1</v>
      </c>
      <c r="B2100" s="5" t="s">
        <v>29245</v>
      </c>
      <c r="C2100" s="5" t="s">
        <v>29246</v>
      </c>
      <c r="D2100" s="246">
        <v>40058</v>
      </c>
      <c r="E2100" s="5" t="s">
        <v>29247</v>
      </c>
      <c r="F2100" s="26"/>
      <c r="G2100" s="27" t="s">
        <v>3642</v>
      </c>
      <c r="H2100" s="28" t="s">
        <v>3643</v>
      </c>
      <c r="I2100" s="5" t="s">
        <v>638</v>
      </c>
    </row>
    <row r="2101" spans="1:9" ht="51.75" customHeight="1">
      <c r="A2101" s="5">
        <v>1</v>
      </c>
      <c r="B2101" s="5" t="s">
        <v>29248</v>
      </c>
      <c r="C2101" s="5" t="s">
        <v>29249</v>
      </c>
      <c r="D2101" s="246">
        <v>40058</v>
      </c>
      <c r="E2101" s="5" t="s">
        <v>29250</v>
      </c>
      <c r="F2101" s="26"/>
      <c r="G2101" s="27" t="s">
        <v>3625</v>
      </c>
      <c r="H2101" s="28" t="s">
        <v>3626</v>
      </c>
      <c r="I2101" s="5" t="s">
        <v>638</v>
      </c>
    </row>
    <row r="2102" spans="1:9" ht="51.75" customHeight="1">
      <c r="A2102" s="5">
        <v>1</v>
      </c>
      <c r="B2102" s="5" t="s">
        <v>29251</v>
      </c>
      <c r="C2102" s="5" t="s">
        <v>29252</v>
      </c>
      <c r="D2102" s="246">
        <v>40058</v>
      </c>
      <c r="E2102" s="5" t="s">
        <v>29252</v>
      </c>
      <c r="F2102" s="26"/>
      <c r="G2102" s="27" t="s">
        <v>3621</v>
      </c>
      <c r="H2102" s="28" t="s">
        <v>3622</v>
      </c>
      <c r="I2102" s="5" t="s">
        <v>638</v>
      </c>
    </row>
    <row r="2103" spans="1:9" ht="51.75" customHeight="1">
      <c r="A2103" s="5">
        <v>1</v>
      </c>
      <c r="B2103" s="5" t="s">
        <v>29253</v>
      </c>
      <c r="C2103" s="5" t="s">
        <v>29254</v>
      </c>
      <c r="D2103" s="246">
        <v>40336</v>
      </c>
      <c r="E2103" s="5" t="s">
        <v>29255</v>
      </c>
      <c r="F2103" s="26"/>
      <c r="G2103" s="27" t="s">
        <v>3588</v>
      </c>
      <c r="H2103" s="28" t="s">
        <v>3589</v>
      </c>
      <c r="I2103" s="5" t="s">
        <v>638</v>
      </c>
    </row>
    <row r="2104" spans="1:9" ht="51.75" customHeight="1">
      <c r="A2104" s="5">
        <v>2</v>
      </c>
      <c r="B2104" s="5" t="s">
        <v>29256</v>
      </c>
      <c r="C2104" s="5" t="s">
        <v>29257</v>
      </c>
      <c r="D2104" s="246">
        <v>40336</v>
      </c>
      <c r="E2104" s="5" t="s">
        <v>29258</v>
      </c>
      <c r="F2104" s="26"/>
      <c r="G2104" s="27" t="s">
        <v>3588</v>
      </c>
      <c r="H2104" s="28" t="s">
        <v>3589</v>
      </c>
      <c r="I2104" s="5" t="s">
        <v>638</v>
      </c>
    </row>
    <row r="2105" spans="1:9" ht="51.75" customHeight="1">
      <c r="A2105" s="5">
        <v>3</v>
      </c>
      <c r="B2105" s="5" t="s">
        <v>29259</v>
      </c>
      <c r="C2105" s="5" t="s">
        <v>29260</v>
      </c>
      <c r="D2105" s="246">
        <v>40336</v>
      </c>
      <c r="E2105" s="5" t="s">
        <v>29261</v>
      </c>
      <c r="F2105" s="26"/>
      <c r="G2105" s="27" t="s">
        <v>3588</v>
      </c>
      <c r="H2105" s="28" t="s">
        <v>3589</v>
      </c>
      <c r="I2105" s="5" t="s">
        <v>638</v>
      </c>
    </row>
    <row r="2106" spans="1:9" ht="51.75" customHeight="1">
      <c r="A2106" s="5">
        <v>1</v>
      </c>
      <c r="B2106" s="5" t="s">
        <v>29262</v>
      </c>
      <c r="C2106" s="5" t="s">
        <v>29263</v>
      </c>
      <c r="D2106" s="246">
        <v>40204</v>
      </c>
      <c r="E2106" s="5" t="s">
        <v>29264</v>
      </c>
      <c r="F2106" s="26"/>
      <c r="G2106" s="27" t="s">
        <v>3568</v>
      </c>
      <c r="H2106" s="28" t="s">
        <v>3569</v>
      </c>
      <c r="I2106" s="5" t="s">
        <v>638</v>
      </c>
    </row>
    <row r="2107" spans="1:9" ht="51.75" customHeight="1">
      <c r="A2107" s="5">
        <v>2</v>
      </c>
      <c r="B2107" s="5" t="s">
        <v>29265</v>
      </c>
      <c r="C2107" s="5" t="s">
        <v>29266</v>
      </c>
      <c r="D2107" s="246">
        <v>40204</v>
      </c>
      <c r="E2107" s="5" t="s">
        <v>29267</v>
      </c>
      <c r="F2107" s="26"/>
      <c r="G2107" s="27" t="s">
        <v>3568</v>
      </c>
      <c r="H2107" s="28" t="s">
        <v>3569</v>
      </c>
      <c r="I2107" s="5" t="s">
        <v>638</v>
      </c>
    </row>
    <row r="2108" spans="1:9" ht="51.75" customHeight="1">
      <c r="A2108" s="5">
        <v>3</v>
      </c>
      <c r="B2108" s="5" t="s">
        <v>29268</v>
      </c>
      <c r="C2108" s="5" t="s">
        <v>29269</v>
      </c>
      <c r="D2108" s="246">
        <v>40204</v>
      </c>
      <c r="E2108" s="5" t="s">
        <v>29270</v>
      </c>
      <c r="F2108" s="26"/>
      <c r="G2108" s="27" t="s">
        <v>3568</v>
      </c>
      <c r="H2108" s="28" t="s">
        <v>3569</v>
      </c>
      <c r="I2108" s="5" t="s">
        <v>638</v>
      </c>
    </row>
    <row r="2109" spans="1:9" ht="51.75" customHeight="1">
      <c r="A2109" s="5">
        <v>1</v>
      </c>
      <c r="B2109" s="5" t="s">
        <v>29271</v>
      </c>
      <c r="C2109" s="5" t="s">
        <v>29272</v>
      </c>
      <c r="D2109" s="246">
        <v>40141</v>
      </c>
      <c r="E2109" s="5" t="s">
        <v>29273</v>
      </c>
      <c r="F2109" s="26"/>
      <c r="G2109" s="27" t="s">
        <v>3604</v>
      </c>
      <c r="H2109" s="28" t="s">
        <v>3605</v>
      </c>
      <c r="I2109" s="5" t="s">
        <v>638</v>
      </c>
    </row>
    <row r="2110" spans="1:9" ht="51.75" customHeight="1">
      <c r="A2110" s="5">
        <v>2</v>
      </c>
      <c r="B2110" s="5" t="s">
        <v>29274</v>
      </c>
      <c r="C2110" s="5" t="s">
        <v>29275</v>
      </c>
      <c r="D2110" s="246">
        <v>40141</v>
      </c>
      <c r="E2110" s="5" t="s">
        <v>29276</v>
      </c>
      <c r="F2110" s="26"/>
      <c r="G2110" s="27" t="s">
        <v>3604</v>
      </c>
      <c r="H2110" s="28" t="s">
        <v>3605</v>
      </c>
      <c r="I2110" s="5" t="s">
        <v>638</v>
      </c>
    </row>
    <row r="2111" spans="1:9" ht="51.75" customHeight="1">
      <c r="A2111" s="5">
        <v>3</v>
      </c>
      <c r="B2111" s="5" t="s">
        <v>29277</v>
      </c>
      <c r="C2111" s="5" t="s">
        <v>29278</v>
      </c>
      <c r="D2111" s="246">
        <v>40141</v>
      </c>
      <c r="E2111" s="5" t="s">
        <v>29279</v>
      </c>
      <c r="F2111" s="26"/>
      <c r="G2111" s="27" t="s">
        <v>3604</v>
      </c>
      <c r="H2111" s="28" t="s">
        <v>3605</v>
      </c>
      <c r="I2111" s="5" t="s">
        <v>638</v>
      </c>
    </row>
    <row r="2112" spans="1:9" ht="51.75" customHeight="1">
      <c r="A2112" s="5">
        <v>1</v>
      </c>
      <c r="B2112" s="5" t="s">
        <v>29280</v>
      </c>
      <c r="C2112" s="5" t="s">
        <v>29281</v>
      </c>
      <c r="D2112" s="246">
        <v>40058</v>
      </c>
      <c r="E2112" s="5" t="s">
        <v>29282</v>
      </c>
      <c r="F2112" s="26"/>
      <c r="G2112" s="27" t="s">
        <v>3564</v>
      </c>
      <c r="H2112" s="28" t="s">
        <v>3565</v>
      </c>
      <c r="I2112" s="5" t="s">
        <v>638</v>
      </c>
    </row>
    <row r="2113" spans="1:9" ht="51.75" customHeight="1">
      <c r="A2113" s="5">
        <v>1</v>
      </c>
      <c r="B2113" s="5" t="s">
        <v>29283</v>
      </c>
      <c r="C2113" s="5" t="s">
        <v>29284</v>
      </c>
      <c r="D2113" s="246">
        <v>40058</v>
      </c>
      <c r="E2113" s="5" t="s">
        <v>29285</v>
      </c>
      <c r="F2113" s="26"/>
      <c r="G2113" s="27" t="s">
        <v>3546</v>
      </c>
      <c r="H2113" s="28" t="s">
        <v>3547</v>
      </c>
      <c r="I2113" s="5" t="s">
        <v>638</v>
      </c>
    </row>
    <row r="2114" spans="1:9" ht="51.75" customHeight="1">
      <c r="A2114" s="5">
        <v>1</v>
      </c>
      <c r="B2114" s="5" t="s">
        <v>29286</v>
      </c>
      <c r="C2114" s="5" t="s">
        <v>29287</v>
      </c>
      <c r="D2114" s="246">
        <v>40057</v>
      </c>
      <c r="E2114" s="5" t="s">
        <v>29288</v>
      </c>
      <c r="F2114" s="26"/>
      <c r="G2114" s="27" t="s">
        <v>3541</v>
      </c>
      <c r="H2114" s="28" t="s">
        <v>3542</v>
      </c>
      <c r="I2114" s="5" t="s">
        <v>638</v>
      </c>
    </row>
    <row r="2115" spans="1:9" ht="51.75" customHeight="1">
      <c r="A2115" s="5">
        <v>1</v>
      </c>
      <c r="B2115" s="5" t="s">
        <v>29289</v>
      </c>
      <c r="C2115" s="5" t="s">
        <v>29249</v>
      </c>
      <c r="D2115" s="246">
        <v>40058</v>
      </c>
      <c r="E2115" s="5" t="s">
        <v>29290</v>
      </c>
      <c r="F2115" s="26"/>
      <c r="G2115" s="27" t="s">
        <v>3535</v>
      </c>
      <c r="H2115" s="28" t="s">
        <v>3536</v>
      </c>
      <c r="I2115" s="5" t="s">
        <v>638</v>
      </c>
    </row>
    <row r="2116" spans="1:9" ht="51.75" customHeight="1">
      <c r="A2116" s="5">
        <v>1</v>
      </c>
      <c r="B2116" s="5" t="s">
        <v>29291</v>
      </c>
      <c r="C2116" s="5" t="s">
        <v>29292</v>
      </c>
      <c r="D2116" s="246">
        <v>40058</v>
      </c>
      <c r="E2116" s="5" t="s">
        <v>29293</v>
      </c>
      <c r="F2116" s="26"/>
      <c r="G2116" s="27" t="s">
        <v>3527</v>
      </c>
      <c r="H2116" s="28" t="s">
        <v>3528</v>
      </c>
      <c r="I2116" s="5" t="s">
        <v>638</v>
      </c>
    </row>
    <row r="2117" spans="1:9" ht="51.75" customHeight="1">
      <c r="A2117" s="5">
        <v>1</v>
      </c>
      <c r="B2117" s="5" t="s">
        <v>29294</v>
      </c>
      <c r="C2117" s="5" t="s">
        <v>29186</v>
      </c>
      <c r="D2117" s="246">
        <v>40057</v>
      </c>
      <c r="E2117" s="5" t="s">
        <v>29186</v>
      </c>
      <c r="F2117" s="26"/>
      <c r="G2117" s="27" t="s">
        <v>3519</v>
      </c>
      <c r="H2117" s="28" t="s">
        <v>3520</v>
      </c>
      <c r="I2117" s="5" t="s">
        <v>638</v>
      </c>
    </row>
    <row r="2118" spans="1:9" ht="51.75" customHeight="1">
      <c r="A2118" s="5">
        <v>1</v>
      </c>
      <c r="B2118" s="5" t="s">
        <v>29295</v>
      </c>
      <c r="C2118" s="5" t="s">
        <v>29296</v>
      </c>
      <c r="D2118" s="246">
        <v>40057</v>
      </c>
      <c r="E2118" s="5" t="s">
        <v>29297</v>
      </c>
      <c r="F2118" s="26"/>
      <c r="G2118" s="27" t="s">
        <v>3496</v>
      </c>
      <c r="H2118" s="28" t="s">
        <v>3497</v>
      </c>
      <c r="I2118" s="5" t="s">
        <v>638</v>
      </c>
    </row>
    <row r="2119" spans="1:9" ht="51.75" customHeight="1">
      <c r="A2119" s="5">
        <v>1</v>
      </c>
      <c r="B2119" s="5" t="s">
        <v>29298</v>
      </c>
      <c r="C2119" s="5" t="s">
        <v>29299</v>
      </c>
      <c r="D2119" s="246">
        <v>40057</v>
      </c>
      <c r="E2119" s="5" t="s">
        <v>29299</v>
      </c>
      <c r="F2119" s="26"/>
      <c r="G2119" s="27" t="s">
        <v>3466</v>
      </c>
      <c r="H2119" s="28" t="s">
        <v>3467</v>
      </c>
      <c r="I2119" s="5" t="s">
        <v>638</v>
      </c>
    </row>
    <row r="2120" spans="1:9" ht="51.75" customHeight="1">
      <c r="A2120" s="5">
        <v>1</v>
      </c>
      <c r="B2120" s="5" t="s">
        <v>29300</v>
      </c>
      <c r="C2120" s="5" t="s">
        <v>29301</v>
      </c>
      <c r="D2120" s="246">
        <v>40057</v>
      </c>
      <c r="E2120" s="5" t="s">
        <v>29302</v>
      </c>
      <c r="F2120" s="26"/>
      <c r="G2120" s="27" t="s">
        <v>3462</v>
      </c>
      <c r="H2120" s="28" t="s">
        <v>3463</v>
      </c>
      <c r="I2120" s="5" t="s">
        <v>638</v>
      </c>
    </row>
    <row r="2121" spans="1:9" ht="51.75" customHeight="1">
      <c r="A2121" s="5">
        <v>1</v>
      </c>
      <c r="B2121" s="5" t="s">
        <v>29303</v>
      </c>
      <c r="C2121" s="5" t="s">
        <v>29304</v>
      </c>
      <c r="D2121" s="246">
        <v>40087</v>
      </c>
      <c r="E2121" s="5" t="s">
        <v>29305</v>
      </c>
      <c r="F2121" s="26"/>
      <c r="G2121" s="27" t="s">
        <v>3321</v>
      </c>
      <c r="H2121" s="28" t="s">
        <v>3322</v>
      </c>
      <c r="I2121" s="5" t="s">
        <v>638</v>
      </c>
    </row>
    <row r="2122" spans="1:9" ht="51.75" customHeight="1">
      <c r="A2122" s="5">
        <v>2</v>
      </c>
      <c r="B2122" s="5" t="s">
        <v>29306</v>
      </c>
      <c r="C2122" s="5" t="s">
        <v>29307</v>
      </c>
      <c r="D2122" s="246">
        <v>40087</v>
      </c>
      <c r="E2122" s="5" t="s">
        <v>29308</v>
      </c>
      <c r="F2122" s="26"/>
      <c r="G2122" s="27" t="s">
        <v>3321</v>
      </c>
      <c r="H2122" s="28" t="s">
        <v>3322</v>
      </c>
      <c r="I2122" s="5" t="s">
        <v>638</v>
      </c>
    </row>
    <row r="2123" spans="1:9" ht="51.75" customHeight="1">
      <c r="A2123" s="5">
        <v>3</v>
      </c>
      <c r="B2123" s="5" t="s">
        <v>29309</v>
      </c>
      <c r="C2123" s="5" t="s">
        <v>29310</v>
      </c>
      <c r="D2123" s="246">
        <v>40087</v>
      </c>
      <c r="E2123" s="5" t="s">
        <v>29311</v>
      </c>
      <c r="F2123" s="26"/>
      <c r="G2123" s="27" t="s">
        <v>3321</v>
      </c>
      <c r="H2123" s="28" t="s">
        <v>3322</v>
      </c>
      <c r="I2123" s="5" t="s">
        <v>638</v>
      </c>
    </row>
    <row r="2124" spans="1:9" ht="51.75" customHeight="1">
      <c r="A2124" s="5">
        <v>4</v>
      </c>
      <c r="B2124" s="5" t="s">
        <v>29312</v>
      </c>
      <c r="C2124" s="5" t="s">
        <v>29313</v>
      </c>
      <c r="D2124" s="246">
        <v>40087</v>
      </c>
      <c r="E2124" s="5" t="s">
        <v>29313</v>
      </c>
      <c r="F2124" s="26"/>
      <c r="G2124" s="27" t="s">
        <v>3321</v>
      </c>
      <c r="H2124" s="28" t="s">
        <v>3322</v>
      </c>
      <c r="I2124" s="5" t="s">
        <v>638</v>
      </c>
    </row>
    <row r="2125" spans="1:9" ht="51.75" customHeight="1">
      <c r="A2125" s="5">
        <v>1</v>
      </c>
      <c r="B2125" s="5" t="s">
        <v>29314</v>
      </c>
      <c r="C2125" s="5" t="s">
        <v>29315</v>
      </c>
      <c r="D2125" s="246">
        <v>39923</v>
      </c>
      <c r="E2125" s="5" t="s">
        <v>29316</v>
      </c>
      <c r="F2125" s="26"/>
      <c r="G2125" s="27" t="s">
        <v>3241</v>
      </c>
      <c r="H2125" s="28" t="s">
        <v>3242</v>
      </c>
      <c r="I2125" s="5" t="s">
        <v>638</v>
      </c>
    </row>
    <row r="2126" spans="1:9" ht="51.75" customHeight="1">
      <c r="A2126" s="5">
        <v>1</v>
      </c>
      <c r="B2126" s="5" t="s">
        <v>29317</v>
      </c>
      <c r="C2126" s="5" t="s">
        <v>29318</v>
      </c>
      <c r="D2126" s="246">
        <v>40087</v>
      </c>
      <c r="E2126" s="5" t="s">
        <v>29319</v>
      </c>
      <c r="F2126" s="26"/>
      <c r="G2126" s="27" t="s">
        <v>3029</v>
      </c>
      <c r="H2126" s="28" t="s">
        <v>3030</v>
      </c>
      <c r="I2126" s="5" t="s">
        <v>638</v>
      </c>
    </row>
    <row r="2127" spans="1:9" ht="51.75" customHeight="1">
      <c r="A2127" s="5">
        <v>2</v>
      </c>
      <c r="B2127" s="5" t="s">
        <v>29320</v>
      </c>
      <c r="C2127" s="5" t="s">
        <v>29321</v>
      </c>
      <c r="D2127" s="246">
        <v>40087</v>
      </c>
      <c r="E2127" s="5" t="s">
        <v>29322</v>
      </c>
      <c r="F2127" s="26"/>
      <c r="G2127" s="27" t="s">
        <v>3029</v>
      </c>
      <c r="H2127" s="28" t="s">
        <v>3030</v>
      </c>
      <c r="I2127" s="5" t="s">
        <v>638</v>
      </c>
    </row>
    <row r="2128" spans="1:9" ht="51.75" customHeight="1">
      <c r="A2128" s="5">
        <v>3</v>
      </c>
      <c r="B2128" s="5" t="s">
        <v>29323</v>
      </c>
      <c r="C2128" s="5" t="s">
        <v>29167</v>
      </c>
      <c r="D2128" s="246">
        <v>40087</v>
      </c>
      <c r="E2128" s="5" t="s">
        <v>29324</v>
      </c>
      <c r="F2128" s="26"/>
      <c r="G2128" s="27" t="s">
        <v>3029</v>
      </c>
      <c r="H2128" s="28" t="s">
        <v>3030</v>
      </c>
      <c r="I2128" s="5" t="s">
        <v>638</v>
      </c>
    </row>
    <row r="2129" spans="1:9" ht="51.75" customHeight="1">
      <c r="A2129" s="5">
        <v>1</v>
      </c>
      <c r="B2129" s="5" t="s">
        <v>29325</v>
      </c>
      <c r="C2129" s="5" t="s">
        <v>29186</v>
      </c>
      <c r="D2129" s="246">
        <v>40057</v>
      </c>
      <c r="E2129" s="5" t="s">
        <v>29186</v>
      </c>
      <c r="F2129" s="26"/>
      <c r="G2129" s="27" t="s">
        <v>3274</v>
      </c>
      <c r="H2129" s="28" t="s">
        <v>3275</v>
      </c>
      <c r="I2129" s="5" t="s">
        <v>638</v>
      </c>
    </row>
    <row r="2130" spans="1:9" ht="51.75" customHeight="1">
      <c r="A2130" s="5">
        <v>1</v>
      </c>
      <c r="B2130" s="5" t="s">
        <v>29326</v>
      </c>
      <c r="C2130" s="5" t="s">
        <v>29327</v>
      </c>
      <c r="D2130" s="246">
        <v>40057</v>
      </c>
      <c r="E2130" s="5" t="s">
        <v>29328</v>
      </c>
      <c r="F2130" s="26"/>
      <c r="G2130" s="27" t="s">
        <v>3435</v>
      </c>
      <c r="H2130" s="28" t="s">
        <v>3436</v>
      </c>
      <c r="I2130" s="5" t="s">
        <v>638</v>
      </c>
    </row>
    <row r="2131" spans="1:9" ht="51.75" customHeight="1">
      <c r="A2131" s="5">
        <v>1</v>
      </c>
      <c r="B2131" s="5" t="s">
        <v>29329</v>
      </c>
      <c r="C2131" s="5" t="s">
        <v>29330</v>
      </c>
      <c r="D2131" s="246">
        <v>40057</v>
      </c>
      <c r="E2131" s="5" t="s">
        <v>29330</v>
      </c>
      <c r="F2131" s="26"/>
      <c r="G2131" s="27" t="s">
        <v>3431</v>
      </c>
      <c r="H2131" s="28" t="s">
        <v>3432</v>
      </c>
      <c r="I2131" s="5" t="s">
        <v>638</v>
      </c>
    </row>
    <row r="2132" spans="1:9" ht="51.75" customHeight="1">
      <c r="A2132" s="5">
        <v>1</v>
      </c>
      <c r="B2132" s="5" t="s">
        <v>29331</v>
      </c>
      <c r="C2132" s="5" t="s">
        <v>29330</v>
      </c>
      <c r="D2132" s="246">
        <v>40057</v>
      </c>
      <c r="E2132" s="5" t="s">
        <v>29330</v>
      </c>
      <c r="F2132" s="26"/>
      <c r="G2132" s="27" t="s">
        <v>3378</v>
      </c>
      <c r="H2132" s="28" t="s">
        <v>3379</v>
      </c>
      <c r="I2132" s="5" t="s">
        <v>638</v>
      </c>
    </row>
    <row r="2133" spans="1:9" ht="51.75" customHeight="1">
      <c r="A2133" s="5">
        <v>1</v>
      </c>
      <c r="B2133" s="5" t="s">
        <v>29332</v>
      </c>
      <c r="C2133" s="5" t="s">
        <v>29333</v>
      </c>
      <c r="D2133" s="246">
        <v>39896</v>
      </c>
      <c r="E2133" s="5" t="s">
        <v>29333</v>
      </c>
      <c r="F2133" s="26"/>
      <c r="G2133" s="27" t="s">
        <v>3266</v>
      </c>
      <c r="H2133" s="28" t="s">
        <v>3267</v>
      </c>
      <c r="I2133" s="5" t="s">
        <v>638</v>
      </c>
    </row>
    <row r="2134" spans="1:9" ht="51.75" customHeight="1">
      <c r="A2134" s="5">
        <v>2</v>
      </c>
      <c r="B2134" s="5" t="s">
        <v>29334</v>
      </c>
      <c r="C2134" s="5" t="s">
        <v>29335</v>
      </c>
      <c r="D2134" s="246">
        <v>39896</v>
      </c>
      <c r="E2134" s="5" t="s">
        <v>29335</v>
      </c>
      <c r="F2134" s="26"/>
      <c r="G2134" s="27" t="s">
        <v>3266</v>
      </c>
      <c r="H2134" s="28" t="s">
        <v>3267</v>
      </c>
      <c r="I2134" s="5" t="s">
        <v>638</v>
      </c>
    </row>
    <row r="2135" spans="1:9" ht="51.75" customHeight="1">
      <c r="A2135" s="5">
        <v>3</v>
      </c>
      <c r="B2135" s="5" t="s">
        <v>29336</v>
      </c>
      <c r="C2135" s="5" t="s">
        <v>29337</v>
      </c>
      <c r="D2135" s="246">
        <v>39896</v>
      </c>
      <c r="E2135" s="5" t="s">
        <v>29338</v>
      </c>
      <c r="F2135" s="26"/>
      <c r="G2135" s="27" t="s">
        <v>3266</v>
      </c>
      <c r="H2135" s="28" t="s">
        <v>3267</v>
      </c>
      <c r="I2135" s="5" t="s">
        <v>638</v>
      </c>
    </row>
    <row r="2136" spans="1:9" ht="51.75" customHeight="1">
      <c r="A2136" s="5">
        <v>1</v>
      </c>
      <c r="B2136" s="5" t="s">
        <v>29339</v>
      </c>
      <c r="C2136" s="5" t="s">
        <v>29340</v>
      </c>
      <c r="D2136" s="246">
        <v>39876</v>
      </c>
      <c r="E2136" s="5" t="s">
        <v>29341</v>
      </c>
      <c r="F2136" s="26"/>
      <c r="G2136" s="27" t="s">
        <v>3257</v>
      </c>
      <c r="H2136" s="28" t="s">
        <v>3258</v>
      </c>
      <c r="I2136" s="5" t="s">
        <v>638</v>
      </c>
    </row>
    <row r="2137" spans="1:9" ht="51.75" customHeight="1">
      <c r="A2137" s="5">
        <v>2</v>
      </c>
      <c r="B2137" s="5" t="s">
        <v>29342</v>
      </c>
      <c r="C2137" s="5" t="s">
        <v>29343</v>
      </c>
      <c r="D2137" s="246">
        <v>39876</v>
      </c>
      <c r="E2137" s="5" t="s">
        <v>29344</v>
      </c>
      <c r="F2137" s="26"/>
      <c r="G2137" s="27" t="s">
        <v>3257</v>
      </c>
      <c r="H2137" s="28" t="s">
        <v>3258</v>
      </c>
      <c r="I2137" s="5" t="s">
        <v>638</v>
      </c>
    </row>
    <row r="2138" spans="1:9" ht="51.75" customHeight="1">
      <c r="A2138" s="5">
        <v>1</v>
      </c>
      <c r="B2138" s="5" t="s">
        <v>29345</v>
      </c>
      <c r="C2138" s="5" t="s">
        <v>29346</v>
      </c>
      <c r="D2138" s="246">
        <v>40057</v>
      </c>
      <c r="E2138" s="5" t="s">
        <v>29347</v>
      </c>
      <c r="F2138" s="26"/>
      <c r="G2138" s="27" t="s">
        <v>3406</v>
      </c>
      <c r="H2138" s="28" t="s">
        <v>3407</v>
      </c>
      <c r="I2138" s="5" t="s">
        <v>638</v>
      </c>
    </row>
    <row r="2139" spans="1:9" ht="51.75" customHeight="1">
      <c r="A2139" s="5">
        <v>1</v>
      </c>
      <c r="B2139" s="5" t="s">
        <v>29348</v>
      </c>
      <c r="C2139" s="5" t="s">
        <v>29330</v>
      </c>
      <c r="D2139" s="246">
        <v>40057</v>
      </c>
      <c r="E2139" s="5" t="s">
        <v>29330</v>
      </c>
      <c r="F2139" s="26"/>
      <c r="G2139" s="27" t="s">
        <v>3402</v>
      </c>
      <c r="H2139" s="28" t="s">
        <v>3403</v>
      </c>
      <c r="I2139" s="5" t="s">
        <v>638</v>
      </c>
    </row>
    <row r="2140" spans="1:9" ht="51.75" customHeight="1">
      <c r="A2140" s="5">
        <v>1</v>
      </c>
      <c r="B2140" s="5" t="s">
        <v>29349</v>
      </c>
      <c r="C2140" s="5" t="s">
        <v>29350</v>
      </c>
      <c r="D2140" s="246">
        <v>40057</v>
      </c>
      <c r="E2140" s="5" t="s">
        <v>29351</v>
      </c>
      <c r="F2140" s="26"/>
      <c r="G2140" s="27" t="s">
        <v>3374</v>
      </c>
      <c r="H2140" s="28" t="s">
        <v>3375</v>
      </c>
      <c r="I2140" s="5" t="s">
        <v>638</v>
      </c>
    </row>
    <row r="2141" spans="1:9" ht="51.75" customHeight="1">
      <c r="A2141" s="5">
        <v>1</v>
      </c>
      <c r="B2141" s="5" t="s">
        <v>29352</v>
      </c>
      <c r="C2141" s="5" t="s">
        <v>29186</v>
      </c>
      <c r="D2141" s="246">
        <v>40057</v>
      </c>
      <c r="E2141" s="5" t="s">
        <v>29186</v>
      </c>
      <c r="F2141" s="26"/>
      <c r="G2141" s="27" t="s">
        <v>3365</v>
      </c>
      <c r="H2141" s="28" t="s">
        <v>3366</v>
      </c>
      <c r="I2141" s="5" t="s">
        <v>638</v>
      </c>
    </row>
    <row r="2142" spans="1:9" ht="51.75" customHeight="1">
      <c r="A2142" s="5">
        <v>1</v>
      </c>
      <c r="B2142" s="5" t="s">
        <v>29353</v>
      </c>
      <c r="C2142" s="5" t="s">
        <v>29330</v>
      </c>
      <c r="D2142" s="246">
        <v>39760</v>
      </c>
      <c r="E2142" s="5" t="s">
        <v>29330</v>
      </c>
      <c r="F2142" s="26"/>
      <c r="G2142" s="27" t="s">
        <v>3361</v>
      </c>
      <c r="H2142" s="28" t="s">
        <v>3362</v>
      </c>
      <c r="I2142" s="5" t="s">
        <v>638</v>
      </c>
    </row>
    <row r="2143" spans="1:9" ht="51.75" customHeight="1">
      <c r="A2143" s="5">
        <v>1</v>
      </c>
      <c r="B2143" s="5" t="s">
        <v>29354</v>
      </c>
      <c r="C2143" s="5" t="s">
        <v>29355</v>
      </c>
      <c r="D2143" s="246">
        <v>39755</v>
      </c>
      <c r="E2143" s="5" t="s">
        <v>29356</v>
      </c>
      <c r="F2143" s="26"/>
      <c r="G2143" s="27" t="s">
        <v>3344</v>
      </c>
      <c r="H2143" s="28" t="s">
        <v>3345</v>
      </c>
      <c r="I2143" s="5" t="s">
        <v>638</v>
      </c>
    </row>
    <row r="2144" spans="1:9" ht="51.75" customHeight="1">
      <c r="A2144" s="5">
        <v>1</v>
      </c>
      <c r="B2144" s="5" t="s">
        <v>29357</v>
      </c>
      <c r="C2144" s="5" t="s">
        <v>29358</v>
      </c>
      <c r="D2144" s="246">
        <v>39754</v>
      </c>
      <c r="E2144" s="5" t="s">
        <v>29359</v>
      </c>
      <c r="F2144" s="26"/>
      <c r="G2144" s="27" t="s">
        <v>3340</v>
      </c>
      <c r="H2144" s="28" t="s">
        <v>3341</v>
      </c>
      <c r="I2144" s="5" t="s">
        <v>638</v>
      </c>
    </row>
    <row r="2145" spans="1:9" ht="51.75" customHeight="1">
      <c r="A2145" s="5">
        <v>1</v>
      </c>
      <c r="B2145" s="5" t="s">
        <v>29360</v>
      </c>
      <c r="C2145" s="5" t="s">
        <v>29361</v>
      </c>
      <c r="D2145" s="246">
        <v>39741</v>
      </c>
      <c r="E2145" s="5" t="s">
        <v>29362</v>
      </c>
      <c r="F2145" s="26"/>
      <c r="G2145" s="27" t="s">
        <v>3292</v>
      </c>
      <c r="H2145" s="28" t="s">
        <v>3293</v>
      </c>
      <c r="I2145" s="5" t="s">
        <v>638</v>
      </c>
    </row>
    <row r="2146" spans="1:9" ht="51.75" customHeight="1">
      <c r="A2146" s="5">
        <v>1</v>
      </c>
      <c r="B2146" s="5" t="s">
        <v>29363</v>
      </c>
      <c r="C2146" s="5" t="s">
        <v>29364</v>
      </c>
      <c r="D2146" s="246">
        <v>39739</v>
      </c>
      <c r="E2146" s="5" t="s">
        <v>29364</v>
      </c>
      <c r="F2146" s="26"/>
      <c r="G2146" s="27" t="s">
        <v>3288</v>
      </c>
      <c r="H2146" s="28" t="s">
        <v>3289</v>
      </c>
      <c r="I2146" s="5" t="s">
        <v>638</v>
      </c>
    </row>
    <row r="2147" spans="1:9" ht="51.75" customHeight="1">
      <c r="A2147" s="5">
        <v>1</v>
      </c>
      <c r="B2147" s="5" t="s">
        <v>29365</v>
      </c>
      <c r="C2147" s="5" t="s">
        <v>29366</v>
      </c>
      <c r="D2147" s="246">
        <v>40037</v>
      </c>
      <c r="E2147" s="5" t="s">
        <v>29367</v>
      </c>
      <c r="F2147" s="26"/>
      <c r="G2147" s="27" t="s">
        <v>3278</v>
      </c>
      <c r="H2147" s="28" t="s">
        <v>3279</v>
      </c>
      <c r="I2147" s="5" t="s">
        <v>638</v>
      </c>
    </row>
    <row r="2148" spans="1:9" ht="51.75" customHeight="1">
      <c r="A2148" s="5">
        <v>1</v>
      </c>
      <c r="B2148" s="5" t="s">
        <v>29368</v>
      </c>
      <c r="C2148" s="5" t="s">
        <v>29333</v>
      </c>
      <c r="D2148" s="246">
        <v>39735</v>
      </c>
      <c r="E2148" s="5" t="s">
        <v>29333</v>
      </c>
      <c r="F2148" s="26"/>
      <c r="G2148" s="27" t="s">
        <v>3270</v>
      </c>
      <c r="H2148" s="28" t="s">
        <v>3271</v>
      </c>
      <c r="I2148" s="5" t="s">
        <v>638</v>
      </c>
    </row>
    <row r="2149" spans="1:9" ht="51.75" customHeight="1">
      <c r="A2149" s="5">
        <v>1</v>
      </c>
      <c r="B2149" s="5" t="s">
        <v>29369</v>
      </c>
      <c r="C2149" s="5" t="s">
        <v>29330</v>
      </c>
      <c r="D2149" s="246">
        <v>39720</v>
      </c>
      <c r="E2149" s="5" t="s">
        <v>29330</v>
      </c>
      <c r="F2149" s="26"/>
      <c r="G2149" s="27" t="s">
        <v>3253</v>
      </c>
      <c r="H2149" s="28" t="s">
        <v>3254</v>
      </c>
      <c r="I2149" s="5" t="s">
        <v>638</v>
      </c>
    </row>
    <row r="2150" spans="1:9" ht="51.75" customHeight="1">
      <c r="A2150" s="5">
        <v>1</v>
      </c>
      <c r="B2150" s="5" t="s">
        <v>29370</v>
      </c>
      <c r="C2150" s="5" t="s">
        <v>29371</v>
      </c>
      <c r="D2150" s="246">
        <v>39717</v>
      </c>
      <c r="E2150" s="5" t="s">
        <v>29372</v>
      </c>
      <c r="F2150" s="26"/>
      <c r="G2150" s="27" t="s">
        <v>3237</v>
      </c>
      <c r="H2150" s="28" t="s">
        <v>3238</v>
      </c>
      <c r="I2150" s="5" t="s">
        <v>638</v>
      </c>
    </row>
    <row r="2151" spans="1:9" ht="51.75" customHeight="1">
      <c r="A2151" s="5">
        <v>1</v>
      </c>
      <c r="B2151" s="5" t="s">
        <v>29373</v>
      </c>
      <c r="C2151" s="5" t="s">
        <v>29374</v>
      </c>
      <c r="D2151" s="246">
        <v>39706</v>
      </c>
      <c r="E2151" s="5" t="s">
        <v>29375</v>
      </c>
      <c r="F2151" s="26"/>
      <c r="G2151" s="27" t="s">
        <v>3223</v>
      </c>
      <c r="H2151" s="28" t="s">
        <v>3224</v>
      </c>
      <c r="I2151" s="5" t="s">
        <v>638</v>
      </c>
    </row>
    <row r="2152" spans="1:9" ht="51.75" customHeight="1">
      <c r="A2152" s="5">
        <v>1</v>
      </c>
      <c r="B2152" s="5" t="s">
        <v>29376</v>
      </c>
      <c r="C2152" s="5" t="s">
        <v>29377</v>
      </c>
      <c r="D2152" s="246">
        <v>39701</v>
      </c>
      <c r="E2152" s="5" t="s">
        <v>29378</v>
      </c>
      <c r="F2152" s="26"/>
      <c r="G2152" s="27" t="s">
        <v>3207</v>
      </c>
      <c r="H2152" s="28" t="s">
        <v>3208</v>
      </c>
      <c r="I2152" s="5" t="s">
        <v>638</v>
      </c>
    </row>
    <row r="2153" spans="1:9" ht="51.75" customHeight="1">
      <c r="A2153" s="5">
        <v>1</v>
      </c>
      <c r="B2153" s="5" t="s">
        <v>29379</v>
      </c>
      <c r="C2153" s="5" t="s">
        <v>29186</v>
      </c>
      <c r="D2153" s="246">
        <v>40086</v>
      </c>
      <c r="E2153" s="5" t="s">
        <v>29186</v>
      </c>
      <c r="F2153" s="26"/>
      <c r="G2153" s="27" t="s">
        <v>3036</v>
      </c>
      <c r="H2153" s="28" t="s">
        <v>3037</v>
      </c>
      <c r="I2153" s="5" t="s">
        <v>638</v>
      </c>
    </row>
    <row r="2154" spans="1:9" ht="51.75" customHeight="1">
      <c r="A2154" s="5">
        <v>1</v>
      </c>
      <c r="B2154" s="5" t="s">
        <v>29380</v>
      </c>
      <c r="C2154" s="5" t="s">
        <v>29186</v>
      </c>
      <c r="D2154" s="246">
        <v>40017</v>
      </c>
      <c r="E2154" s="5" t="s">
        <v>29186</v>
      </c>
      <c r="F2154" s="26"/>
      <c r="G2154" s="27" t="s">
        <v>2808</v>
      </c>
      <c r="H2154" s="28" t="s">
        <v>2809</v>
      </c>
      <c r="I2154" s="5" t="s">
        <v>638</v>
      </c>
    </row>
    <row r="2155" spans="1:9" ht="51.75" customHeight="1">
      <c r="A2155" s="5">
        <v>1</v>
      </c>
      <c r="B2155" s="5" t="s">
        <v>29381</v>
      </c>
      <c r="C2155" s="5" t="s">
        <v>29382</v>
      </c>
      <c r="D2155" s="246">
        <v>40057</v>
      </c>
      <c r="E2155" s="5" t="s">
        <v>29383</v>
      </c>
      <c r="F2155" s="26"/>
      <c r="G2155" s="27" t="s">
        <v>3184</v>
      </c>
      <c r="H2155" s="28" t="s">
        <v>3185</v>
      </c>
      <c r="I2155" s="5" t="s">
        <v>638</v>
      </c>
    </row>
    <row r="2156" spans="1:9" ht="51.75" customHeight="1">
      <c r="A2156" s="5">
        <v>1</v>
      </c>
      <c r="B2156" s="5" t="s">
        <v>29384</v>
      </c>
      <c r="C2156" s="5" t="s">
        <v>29385</v>
      </c>
      <c r="D2156" s="246">
        <v>40017</v>
      </c>
      <c r="E2156" s="5" t="s">
        <v>29386</v>
      </c>
      <c r="F2156" s="26"/>
      <c r="G2156" s="27" t="s">
        <v>3167</v>
      </c>
      <c r="H2156" s="28" t="s">
        <v>3168</v>
      </c>
      <c r="I2156" s="5" t="s">
        <v>638</v>
      </c>
    </row>
    <row r="2157" spans="1:9" ht="51.75" customHeight="1">
      <c r="A2157" s="5">
        <v>1</v>
      </c>
      <c r="B2157" s="5" t="s">
        <v>29387</v>
      </c>
      <c r="C2157" s="5" t="s">
        <v>29330</v>
      </c>
      <c r="D2157" s="246">
        <v>40017</v>
      </c>
      <c r="E2157" s="5" t="s">
        <v>29330</v>
      </c>
      <c r="F2157" s="26"/>
      <c r="G2157" s="27" t="s">
        <v>3109</v>
      </c>
      <c r="H2157" s="28" t="s">
        <v>3110</v>
      </c>
      <c r="I2157" s="5" t="s">
        <v>638</v>
      </c>
    </row>
    <row r="2158" spans="1:9" ht="51.75" customHeight="1">
      <c r="A2158" s="5">
        <v>1</v>
      </c>
      <c r="B2158" s="5" t="s">
        <v>29388</v>
      </c>
      <c r="C2158" s="5" t="s">
        <v>29389</v>
      </c>
      <c r="D2158" s="246">
        <v>40017</v>
      </c>
      <c r="E2158" s="5" t="s">
        <v>29390</v>
      </c>
      <c r="F2158" s="26"/>
      <c r="G2158" s="27" t="s">
        <v>3104</v>
      </c>
      <c r="H2158" s="28" t="s">
        <v>3105</v>
      </c>
      <c r="I2158" s="5" t="s">
        <v>638</v>
      </c>
    </row>
    <row r="2159" spans="1:9" ht="51.75" customHeight="1">
      <c r="A2159" s="5">
        <v>1</v>
      </c>
      <c r="B2159" s="5" t="s">
        <v>29391</v>
      </c>
      <c r="C2159" s="5" t="s">
        <v>29330</v>
      </c>
      <c r="D2159" s="246">
        <v>40017</v>
      </c>
      <c r="E2159" s="5" t="s">
        <v>29330</v>
      </c>
      <c r="F2159" s="26"/>
      <c r="G2159" s="27" t="s">
        <v>3062</v>
      </c>
      <c r="H2159" s="28" t="s">
        <v>3063</v>
      </c>
      <c r="I2159" s="5" t="s">
        <v>638</v>
      </c>
    </row>
    <row r="2160" spans="1:9" ht="51.75" customHeight="1">
      <c r="A2160" s="5">
        <v>1</v>
      </c>
      <c r="B2160" s="5" t="s">
        <v>29392</v>
      </c>
      <c r="C2160" s="5" t="s">
        <v>29330</v>
      </c>
      <c r="D2160" s="246">
        <v>40016</v>
      </c>
      <c r="E2160" s="5" t="s">
        <v>29330</v>
      </c>
      <c r="F2160" s="26"/>
      <c r="G2160" s="27" t="s">
        <v>3013</v>
      </c>
      <c r="H2160" s="28" t="s">
        <v>3014</v>
      </c>
      <c r="I2160" s="5" t="s">
        <v>638</v>
      </c>
    </row>
    <row r="2161" spans="1:9" ht="51.75" customHeight="1">
      <c r="A2161" s="5">
        <v>1</v>
      </c>
      <c r="B2161" s="5" t="s">
        <v>29393</v>
      </c>
      <c r="C2161" s="5" t="s">
        <v>29394</v>
      </c>
      <c r="D2161" s="246">
        <v>40017</v>
      </c>
      <c r="E2161" s="5" t="s">
        <v>29395</v>
      </c>
      <c r="F2161" s="26"/>
      <c r="G2161" s="27" t="s">
        <v>2986</v>
      </c>
      <c r="H2161" s="28" t="s">
        <v>2987</v>
      </c>
      <c r="I2161" s="5" t="s">
        <v>638</v>
      </c>
    </row>
    <row r="2162" spans="1:9" ht="51.75" customHeight="1">
      <c r="A2162" s="5">
        <v>2</v>
      </c>
      <c r="B2162" s="5" t="s">
        <v>29396</v>
      </c>
      <c r="C2162" s="5" t="s">
        <v>29397</v>
      </c>
      <c r="D2162" s="246">
        <v>40017</v>
      </c>
      <c r="E2162" s="5" t="s">
        <v>29397</v>
      </c>
      <c r="F2162" s="26"/>
      <c r="G2162" s="27" t="s">
        <v>2986</v>
      </c>
      <c r="H2162" s="28" t="s">
        <v>2987</v>
      </c>
      <c r="I2162" s="5" t="s">
        <v>638</v>
      </c>
    </row>
    <row r="2163" spans="1:9" ht="51.75" customHeight="1">
      <c r="A2163" s="5">
        <v>1</v>
      </c>
      <c r="B2163" s="5" t="s">
        <v>29398</v>
      </c>
      <c r="C2163" s="5" t="s">
        <v>29330</v>
      </c>
      <c r="D2163" s="246">
        <v>39689</v>
      </c>
      <c r="E2163" s="5" t="s">
        <v>29330</v>
      </c>
      <c r="F2163" s="26"/>
      <c r="G2163" s="27" t="s">
        <v>2982</v>
      </c>
      <c r="H2163" s="28" t="s">
        <v>2983</v>
      </c>
      <c r="I2163" s="5" t="s">
        <v>638</v>
      </c>
    </row>
    <row r="2164" spans="1:9" ht="51.75" customHeight="1">
      <c r="A2164" s="5">
        <v>1</v>
      </c>
      <c r="B2164" s="5" t="s">
        <v>29399</v>
      </c>
      <c r="C2164" s="5" t="s">
        <v>29400</v>
      </c>
      <c r="D2164" s="246">
        <v>39689</v>
      </c>
      <c r="E2164" s="5" t="s">
        <v>29401</v>
      </c>
      <c r="F2164" s="26"/>
      <c r="G2164" s="27" t="s">
        <v>2541</v>
      </c>
      <c r="H2164" s="28" t="s">
        <v>2542</v>
      </c>
      <c r="I2164" s="5" t="s">
        <v>638</v>
      </c>
    </row>
    <row r="2165" spans="1:9" ht="51.75" customHeight="1">
      <c r="A2165" s="5">
        <v>1</v>
      </c>
      <c r="B2165" s="5" t="s">
        <v>29402</v>
      </c>
      <c r="C2165" s="5" t="s">
        <v>29330</v>
      </c>
      <c r="D2165" s="246">
        <v>39689</v>
      </c>
      <c r="E2165" s="5" t="s">
        <v>29330</v>
      </c>
      <c r="F2165" s="26"/>
      <c r="G2165" s="27" t="s">
        <v>2471</v>
      </c>
      <c r="H2165" s="28" t="s">
        <v>2472</v>
      </c>
      <c r="I2165" s="5" t="s">
        <v>638</v>
      </c>
    </row>
    <row r="2166" spans="1:9" ht="51.75" customHeight="1">
      <c r="A2166" s="5">
        <v>1</v>
      </c>
      <c r="B2166" s="5" t="s">
        <v>29403</v>
      </c>
      <c r="C2166" s="5" t="s">
        <v>29404</v>
      </c>
      <c r="D2166" s="246">
        <v>40016</v>
      </c>
      <c r="E2166" s="5" t="s">
        <v>29404</v>
      </c>
      <c r="F2166" s="26"/>
      <c r="G2166" s="27" t="s">
        <v>2858</v>
      </c>
      <c r="H2166" s="28" t="s">
        <v>2859</v>
      </c>
      <c r="I2166" s="5" t="s">
        <v>638</v>
      </c>
    </row>
    <row r="2167" spans="1:9" ht="51.75" customHeight="1">
      <c r="A2167" s="5">
        <v>1</v>
      </c>
      <c r="B2167" s="5" t="s">
        <v>29405</v>
      </c>
      <c r="C2167" s="5" t="s">
        <v>29406</v>
      </c>
      <c r="D2167" s="246">
        <v>39689</v>
      </c>
      <c r="E2167" s="5" t="s">
        <v>29406</v>
      </c>
      <c r="F2167" s="26"/>
      <c r="G2167" s="27" t="s">
        <v>2854</v>
      </c>
      <c r="H2167" s="28" t="s">
        <v>2855</v>
      </c>
      <c r="I2167" s="5" t="s">
        <v>638</v>
      </c>
    </row>
    <row r="2168" spans="1:9" ht="51.75" customHeight="1">
      <c r="A2168" s="5">
        <v>2</v>
      </c>
      <c r="B2168" s="5" t="s">
        <v>29407</v>
      </c>
      <c r="C2168" s="5" t="s">
        <v>29404</v>
      </c>
      <c r="D2168" s="246">
        <v>39689</v>
      </c>
      <c r="E2168" s="5" t="s">
        <v>29404</v>
      </c>
      <c r="F2168" s="26"/>
      <c r="G2168" s="27" t="s">
        <v>2854</v>
      </c>
      <c r="H2168" s="28" t="s">
        <v>2855</v>
      </c>
      <c r="I2168" s="5" t="s">
        <v>638</v>
      </c>
    </row>
    <row r="2169" spans="1:9" ht="51.75" customHeight="1">
      <c r="A2169" s="5">
        <v>1</v>
      </c>
      <c r="B2169" s="5" t="s">
        <v>29408</v>
      </c>
      <c r="C2169" s="5" t="s">
        <v>29409</v>
      </c>
      <c r="D2169" s="246">
        <v>39689</v>
      </c>
      <c r="E2169" s="5" t="s">
        <v>29409</v>
      </c>
      <c r="F2169" s="26"/>
      <c r="G2169" s="27" t="s">
        <v>2816</v>
      </c>
      <c r="H2169" s="28" t="s">
        <v>2817</v>
      </c>
      <c r="I2169" s="5" t="s">
        <v>638</v>
      </c>
    </row>
    <row r="2170" spans="1:9" ht="51.75" customHeight="1">
      <c r="A2170" s="5">
        <v>1</v>
      </c>
      <c r="B2170" s="5" t="s">
        <v>29410</v>
      </c>
      <c r="C2170" s="5" t="s">
        <v>29411</v>
      </c>
      <c r="D2170" s="246">
        <v>40016</v>
      </c>
      <c r="E2170" s="5" t="s">
        <v>29412</v>
      </c>
      <c r="F2170" s="26"/>
      <c r="G2170" s="27" t="s">
        <v>2812</v>
      </c>
      <c r="H2170" s="28" t="s">
        <v>2813</v>
      </c>
      <c r="I2170" s="5" t="s">
        <v>638</v>
      </c>
    </row>
    <row r="2171" spans="1:9" ht="51.75" customHeight="1">
      <c r="A2171" s="5">
        <v>1</v>
      </c>
      <c r="B2171" s="5" t="s">
        <v>29413</v>
      </c>
      <c r="C2171" s="5" t="s">
        <v>29330</v>
      </c>
      <c r="D2171" s="246">
        <v>39688</v>
      </c>
      <c r="E2171" s="5" t="s">
        <v>29330</v>
      </c>
      <c r="F2171" s="26"/>
      <c r="G2171" s="27" t="s">
        <v>2741</v>
      </c>
      <c r="H2171" s="28" t="s">
        <v>2742</v>
      </c>
      <c r="I2171" s="5" t="s">
        <v>638</v>
      </c>
    </row>
    <row r="2172" spans="1:9" ht="51.75" customHeight="1">
      <c r="A2172" s="5">
        <v>1</v>
      </c>
      <c r="B2172" s="5" t="s">
        <v>29414</v>
      </c>
      <c r="C2172" s="5" t="s">
        <v>29415</v>
      </c>
      <c r="D2172" s="246">
        <v>39688</v>
      </c>
      <c r="E2172" s="5" t="s">
        <v>29415</v>
      </c>
      <c r="F2172" s="26"/>
      <c r="G2172" s="27" t="s">
        <v>2663</v>
      </c>
      <c r="H2172" s="28" t="s">
        <v>2664</v>
      </c>
      <c r="I2172" s="5" t="s">
        <v>638</v>
      </c>
    </row>
    <row r="2173" spans="1:9" ht="51.75" customHeight="1">
      <c r="A2173" s="5">
        <v>1</v>
      </c>
      <c r="B2173" s="5" t="s">
        <v>29416</v>
      </c>
      <c r="C2173" s="5" t="s">
        <v>29330</v>
      </c>
      <c r="D2173" s="246">
        <v>39688</v>
      </c>
      <c r="E2173" s="5" t="s">
        <v>29330</v>
      </c>
      <c r="F2173" s="26"/>
      <c r="G2173" s="27" t="s">
        <v>2530</v>
      </c>
      <c r="H2173" s="28" t="s">
        <v>2531</v>
      </c>
      <c r="I2173" s="5" t="s">
        <v>638</v>
      </c>
    </row>
    <row r="2174" spans="1:9" ht="51.75" customHeight="1">
      <c r="A2174" s="5">
        <v>1</v>
      </c>
      <c r="B2174" s="5" t="s">
        <v>29417</v>
      </c>
      <c r="C2174" s="5" t="s">
        <v>29418</v>
      </c>
      <c r="D2174" s="246">
        <v>40016</v>
      </c>
      <c r="E2174" s="5" t="s">
        <v>29419</v>
      </c>
      <c r="F2174" s="26"/>
      <c r="G2174" s="27" t="s">
        <v>2898</v>
      </c>
      <c r="H2174" s="28" t="s">
        <v>2899</v>
      </c>
      <c r="I2174" s="5" t="s">
        <v>638</v>
      </c>
    </row>
    <row r="2175" spans="1:9" ht="51.75" customHeight="1">
      <c r="A2175" s="5">
        <v>1</v>
      </c>
      <c r="B2175" s="5" t="s">
        <v>29420</v>
      </c>
      <c r="C2175" s="5" t="s">
        <v>29421</v>
      </c>
      <c r="D2175" s="246">
        <v>40016</v>
      </c>
      <c r="E2175" s="5" t="s">
        <v>29421</v>
      </c>
      <c r="F2175" s="26"/>
      <c r="G2175" s="27" t="s">
        <v>2894</v>
      </c>
      <c r="H2175" s="28" t="s">
        <v>2895</v>
      </c>
      <c r="I2175" s="5" t="s">
        <v>638</v>
      </c>
    </row>
    <row r="2176" spans="1:9" ht="51.75" customHeight="1">
      <c r="A2176" s="5">
        <v>1</v>
      </c>
      <c r="B2176" s="5" t="s">
        <v>29422</v>
      </c>
      <c r="C2176" s="5" t="s">
        <v>29423</v>
      </c>
      <c r="D2176" s="246">
        <v>40016</v>
      </c>
      <c r="E2176" s="5" t="s">
        <v>29423</v>
      </c>
      <c r="F2176" s="26"/>
      <c r="G2176" s="27" t="s">
        <v>2868</v>
      </c>
      <c r="H2176" s="28" t="s">
        <v>2869</v>
      </c>
      <c r="I2176" s="5" t="s">
        <v>638</v>
      </c>
    </row>
    <row r="2177" spans="1:9" ht="51.75" customHeight="1">
      <c r="A2177" s="5">
        <v>1</v>
      </c>
      <c r="B2177" s="5" t="s">
        <v>29424</v>
      </c>
      <c r="C2177" s="5" t="s">
        <v>29292</v>
      </c>
      <c r="D2177" s="246">
        <v>39584</v>
      </c>
      <c r="E2177" s="5" t="s">
        <v>29425</v>
      </c>
      <c r="F2177" s="26"/>
      <c r="G2177" s="27" t="s">
        <v>2824</v>
      </c>
      <c r="H2177" s="28" t="s">
        <v>2825</v>
      </c>
      <c r="I2177" s="5" t="s">
        <v>638</v>
      </c>
    </row>
    <row r="2178" spans="1:9" ht="51.75" customHeight="1">
      <c r="A2178" s="5">
        <v>1</v>
      </c>
      <c r="B2178" s="5" t="s">
        <v>29426</v>
      </c>
      <c r="C2178" s="5" t="s">
        <v>29427</v>
      </c>
      <c r="D2178" s="246">
        <v>39584</v>
      </c>
      <c r="E2178" s="5" t="s">
        <v>29428</v>
      </c>
      <c r="F2178" s="26"/>
      <c r="G2178" s="27" t="s">
        <v>2798</v>
      </c>
      <c r="H2178" s="28" t="s">
        <v>2799</v>
      </c>
      <c r="I2178" s="5" t="s">
        <v>638</v>
      </c>
    </row>
    <row r="2179" spans="1:9" ht="51.75" customHeight="1">
      <c r="A2179" s="5">
        <v>1</v>
      </c>
      <c r="B2179" s="5" t="s">
        <v>29429</v>
      </c>
      <c r="C2179" s="5" t="s">
        <v>29430</v>
      </c>
      <c r="D2179" s="246">
        <v>39561</v>
      </c>
      <c r="E2179" s="5" t="s">
        <v>29431</v>
      </c>
      <c r="F2179" s="26"/>
      <c r="G2179" s="27" t="s">
        <v>2730</v>
      </c>
      <c r="H2179" s="28" t="s">
        <v>2731</v>
      </c>
      <c r="I2179" s="5" t="s">
        <v>638</v>
      </c>
    </row>
    <row r="2180" spans="1:9" ht="51.75" customHeight="1">
      <c r="A2180" s="5">
        <v>1</v>
      </c>
      <c r="B2180" s="5" t="s">
        <v>29432</v>
      </c>
      <c r="C2180" s="5" t="s">
        <v>29330</v>
      </c>
      <c r="D2180" s="246">
        <v>39517</v>
      </c>
      <c r="E2180" s="5" t="s">
        <v>29330</v>
      </c>
      <c r="F2180" s="26"/>
      <c r="G2180" s="27" t="s">
        <v>2585</v>
      </c>
      <c r="H2180" s="28" t="s">
        <v>2586</v>
      </c>
      <c r="I2180" s="5" t="s">
        <v>638</v>
      </c>
    </row>
    <row r="2181" spans="1:9" ht="51.75" customHeight="1">
      <c r="A2181" s="5">
        <v>1</v>
      </c>
      <c r="B2181" s="5" t="s">
        <v>29433</v>
      </c>
      <c r="C2181" s="5" t="s">
        <v>29434</v>
      </c>
      <c r="D2181" s="246">
        <v>39517</v>
      </c>
      <c r="E2181" s="5" t="s">
        <v>29434</v>
      </c>
      <c r="F2181" s="26"/>
      <c r="G2181" s="27" t="s">
        <v>2484</v>
      </c>
      <c r="H2181" s="28" t="s">
        <v>2485</v>
      </c>
      <c r="I2181" s="5" t="s">
        <v>638</v>
      </c>
    </row>
    <row r="2182" spans="1:9" ht="51.75" customHeight="1">
      <c r="A2182" s="5">
        <v>1</v>
      </c>
      <c r="B2182" s="5" t="s">
        <v>29435</v>
      </c>
      <c r="C2182" s="5" t="s">
        <v>29436</v>
      </c>
      <c r="D2182" s="246">
        <v>39106</v>
      </c>
      <c r="E2182" s="5" t="s">
        <v>29437</v>
      </c>
      <c r="F2182" s="26"/>
      <c r="G2182" s="27" t="s">
        <v>1403</v>
      </c>
      <c r="H2182" s="28" t="s">
        <v>1404</v>
      </c>
      <c r="I2182" s="5" t="s">
        <v>638</v>
      </c>
    </row>
    <row r="2183" spans="1:9" ht="51.75" customHeight="1">
      <c r="A2183" s="5">
        <v>2</v>
      </c>
      <c r="B2183" s="5" t="s">
        <v>29438</v>
      </c>
      <c r="C2183" s="5" t="s">
        <v>29439</v>
      </c>
      <c r="D2183" s="246">
        <v>39106</v>
      </c>
      <c r="E2183" s="5" t="s">
        <v>29439</v>
      </c>
      <c r="F2183" s="26"/>
      <c r="G2183" s="27" t="s">
        <v>1403</v>
      </c>
      <c r="H2183" s="28" t="s">
        <v>1404</v>
      </c>
      <c r="I2183" s="5" t="s">
        <v>638</v>
      </c>
    </row>
    <row r="2184" spans="1:9" ht="51.75" customHeight="1">
      <c r="A2184" s="5">
        <v>1</v>
      </c>
      <c r="B2184" s="5" t="s">
        <v>29440</v>
      </c>
      <c r="C2184" s="5" t="s">
        <v>29441</v>
      </c>
      <c r="D2184" s="246">
        <v>39106</v>
      </c>
      <c r="E2184" s="5" t="s">
        <v>29441</v>
      </c>
      <c r="F2184" s="26"/>
      <c r="G2184" s="27" t="s">
        <v>1389</v>
      </c>
      <c r="H2184" s="28" t="s">
        <v>1390</v>
      </c>
      <c r="I2184" s="5" t="s">
        <v>638</v>
      </c>
    </row>
    <row r="2185" spans="1:9" ht="51.75" customHeight="1">
      <c r="A2185" s="5">
        <v>1</v>
      </c>
      <c r="B2185" s="5" t="s">
        <v>29442</v>
      </c>
      <c r="C2185" s="5" t="s">
        <v>29443</v>
      </c>
      <c r="D2185" s="246">
        <v>39109</v>
      </c>
      <c r="E2185" s="5" t="s">
        <v>29444</v>
      </c>
      <c r="F2185" s="26"/>
      <c r="G2185" s="27" t="s">
        <v>1351</v>
      </c>
      <c r="H2185" s="28" t="s">
        <v>1352</v>
      </c>
      <c r="I2185" s="5" t="s">
        <v>638</v>
      </c>
    </row>
    <row r="2186" spans="1:9" ht="51.75" customHeight="1">
      <c r="A2186" s="5">
        <v>2</v>
      </c>
      <c r="B2186" s="5" t="s">
        <v>29445</v>
      </c>
      <c r="C2186" s="5" t="s">
        <v>29446</v>
      </c>
      <c r="D2186" s="246">
        <v>39109</v>
      </c>
      <c r="E2186" s="5" t="s">
        <v>29446</v>
      </c>
      <c r="F2186" s="26"/>
      <c r="G2186" s="27" t="s">
        <v>1351</v>
      </c>
      <c r="H2186" s="28" t="s">
        <v>1352</v>
      </c>
      <c r="I2186" s="5" t="s">
        <v>638</v>
      </c>
    </row>
    <row r="2187" spans="1:9" ht="51.75" customHeight="1">
      <c r="A2187" s="5">
        <v>1</v>
      </c>
      <c r="B2187" s="5" t="s">
        <v>29447</v>
      </c>
      <c r="C2187" s="5" t="s">
        <v>29448</v>
      </c>
      <c r="D2187" s="246">
        <v>39106</v>
      </c>
      <c r="E2187" s="5" t="s">
        <v>29448</v>
      </c>
      <c r="F2187" s="26"/>
      <c r="G2187" s="27" t="s">
        <v>1331</v>
      </c>
      <c r="H2187" s="28" t="s">
        <v>1332</v>
      </c>
      <c r="I2187" s="5" t="s">
        <v>638</v>
      </c>
    </row>
    <row r="2188" spans="1:9" ht="51.75" customHeight="1">
      <c r="A2188" s="5">
        <v>2</v>
      </c>
      <c r="B2188" s="5" t="s">
        <v>29449</v>
      </c>
      <c r="C2188" s="5" t="s">
        <v>29450</v>
      </c>
      <c r="D2188" s="246">
        <v>39106</v>
      </c>
      <c r="E2188" s="5" t="s">
        <v>29450</v>
      </c>
      <c r="F2188" s="26"/>
      <c r="G2188" s="27" t="s">
        <v>1331</v>
      </c>
      <c r="H2188" s="28" t="s">
        <v>1332</v>
      </c>
      <c r="I2188" s="5" t="s">
        <v>638</v>
      </c>
    </row>
    <row r="2189" spans="1:9" ht="51.75" customHeight="1">
      <c r="A2189" s="5">
        <v>1</v>
      </c>
      <c r="B2189" s="5" t="s">
        <v>29451</v>
      </c>
      <c r="C2189" s="5" t="s">
        <v>29452</v>
      </c>
      <c r="D2189" s="246">
        <v>39106</v>
      </c>
      <c r="E2189" s="5" t="s">
        <v>29452</v>
      </c>
      <c r="F2189" s="26"/>
      <c r="G2189" s="27" t="s">
        <v>1327</v>
      </c>
      <c r="H2189" s="28" t="s">
        <v>1328</v>
      </c>
      <c r="I2189" s="5" t="s">
        <v>638</v>
      </c>
    </row>
    <row r="2190" spans="1:9" ht="51.75" customHeight="1">
      <c r="A2190" s="5">
        <v>1</v>
      </c>
      <c r="B2190" s="5" t="s">
        <v>29453</v>
      </c>
      <c r="C2190" s="5" t="s">
        <v>29452</v>
      </c>
      <c r="D2190" s="246">
        <v>39106</v>
      </c>
      <c r="E2190" s="5" t="s">
        <v>29452</v>
      </c>
      <c r="F2190" s="26"/>
      <c r="G2190" s="27" t="s">
        <v>1318</v>
      </c>
      <c r="H2190" s="28" t="s">
        <v>1319</v>
      </c>
      <c r="I2190" s="5" t="s">
        <v>638</v>
      </c>
    </row>
    <row r="2191" spans="1:9" ht="51.75" customHeight="1">
      <c r="A2191" s="5">
        <v>1</v>
      </c>
      <c r="B2191" s="5" t="s">
        <v>29454</v>
      </c>
      <c r="C2191" s="5" t="s">
        <v>29455</v>
      </c>
      <c r="D2191" s="246">
        <v>39106</v>
      </c>
      <c r="E2191" s="5" t="s">
        <v>29455</v>
      </c>
      <c r="F2191" s="26"/>
      <c r="G2191" s="27" t="s">
        <v>1307</v>
      </c>
      <c r="H2191" s="28" t="s">
        <v>1308</v>
      </c>
      <c r="I2191" s="5" t="s">
        <v>638</v>
      </c>
    </row>
    <row r="2192" spans="1:9" ht="51.75" customHeight="1">
      <c r="A2192" s="5">
        <v>1</v>
      </c>
      <c r="B2192" s="5" t="s">
        <v>29456</v>
      </c>
      <c r="C2192" s="5" t="s">
        <v>29457</v>
      </c>
      <c r="D2192" s="246">
        <v>39106</v>
      </c>
      <c r="E2192" s="5" t="s">
        <v>29458</v>
      </c>
      <c r="F2192" s="26"/>
      <c r="G2192" s="27" t="s">
        <v>1284</v>
      </c>
      <c r="H2192" s="28" t="s">
        <v>1285</v>
      </c>
      <c r="I2192" s="5" t="s">
        <v>638</v>
      </c>
    </row>
    <row r="2193" spans="1:9" ht="51.75" customHeight="1">
      <c r="A2193" s="5">
        <v>1</v>
      </c>
      <c r="B2193" s="5" t="s">
        <v>29459</v>
      </c>
      <c r="C2193" s="5" t="s">
        <v>29186</v>
      </c>
      <c r="D2193" s="246">
        <v>39106</v>
      </c>
      <c r="E2193" s="5" t="s">
        <v>29186</v>
      </c>
      <c r="F2193" s="26"/>
      <c r="G2193" s="27" t="s">
        <v>1273</v>
      </c>
      <c r="H2193" s="28" t="s">
        <v>1274</v>
      </c>
      <c r="I2193" s="5" t="s">
        <v>638</v>
      </c>
    </row>
    <row r="2194" spans="1:9" ht="51.75" customHeight="1">
      <c r="A2194" s="5">
        <v>1</v>
      </c>
      <c r="B2194" s="5" t="s">
        <v>29460</v>
      </c>
      <c r="C2194" s="5" t="s">
        <v>29461</v>
      </c>
      <c r="D2194" s="246">
        <v>39106</v>
      </c>
      <c r="E2194" s="5" t="s">
        <v>29462</v>
      </c>
      <c r="F2194" s="26"/>
      <c r="G2194" s="27" t="s">
        <v>1245</v>
      </c>
      <c r="H2194" s="28" t="s">
        <v>1246</v>
      </c>
      <c r="I2194" s="5" t="s">
        <v>638</v>
      </c>
    </row>
    <row r="2195" spans="1:9" ht="51.75" customHeight="1">
      <c r="A2195" s="5">
        <v>1</v>
      </c>
      <c r="B2195" s="5" t="s">
        <v>29463</v>
      </c>
      <c r="C2195" s="5" t="s">
        <v>29464</v>
      </c>
      <c r="D2195" s="246">
        <v>39105</v>
      </c>
      <c r="E2195" s="5" t="s">
        <v>29464</v>
      </c>
      <c r="F2195" s="26"/>
      <c r="G2195" s="27" t="s">
        <v>1258</v>
      </c>
      <c r="H2195" s="28" t="s">
        <v>1259</v>
      </c>
      <c r="I2195" s="5" t="s">
        <v>638</v>
      </c>
    </row>
    <row r="2196" spans="1:9" ht="51.75" customHeight="1">
      <c r="A2196" s="5">
        <v>1</v>
      </c>
      <c r="B2196" s="5" t="s">
        <v>29465</v>
      </c>
      <c r="C2196" s="5" t="s">
        <v>29404</v>
      </c>
      <c r="D2196" s="246">
        <v>39105</v>
      </c>
      <c r="E2196" s="5" t="s">
        <v>29404</v>
      </c>
      <c r="F2196" s="26"/>
      <c r="G2196" s="27" t="s">
        <v>1131</v>
      </c>
      <c r="H2196" s="28" t="s">
        <v>1132</v>
      </c>
      <c r="I2196" s="5" t="s">
        <v>638</v>
      </c>
    </row>
    <row r="2197" spans="1:9" ht="51.75" customHeight="1">
      <c r="A2197" s="5">
        <v>1</v>
      </c>
      <c r="B2197" s="5" t="s">
        <v>29466</v>
      </c>
      <c r="C2197" s="5" t="s">
        <v>29404</v>
      </c>
      <c r="D2197" s="246">
        <v>39105</v>
      </c>
      <c r="E2197" s="5" t="s">
        <v>29404</v>
      </c>
      <c r="F2197" s="26"/>
      <c r="G2197" s="27" t="s">
        <v>1208</v>
      </c>
      <c r="H2197" s="28" t="s">
        <v>1209</v>
      </c>
      <c r="I2197" s="5" t="s">
        <v>638</v>
      </c>
    </row>
    <row r="2198" spans="1:9" ht="51.75" customHeight="1">
      <c r="A2198" s="5">
        <v>1</v>
      </c>
      <c r="B2198" s="5" t="s">
        <v>29467</v>
      </c>
      <c r="C2198" s="5" t="s">
        <v>29468</v>
      </c>
      <c r="D2198" s="246">
        <v>39105</v>
      </c>
      <c r="E2198" s="5" t="s">
        <v>29468</v>
      </c>
      <c r="F2198" s="26"/>
      <c r="G2198" s="27" t="s">
        <v>1181</v>
      </c>
      <c r="H2198" s="28" t="s">
        <v>1182</v>
      </c>
      <c r="I2198" s="5" t="s">
        <v>638</v>
      </c>
    </row>
    <row r="2199" spans="1:9" ht="51.75" customHeight="1">
      <c r="A2199" s="5">
        <v>2</v>
      </c>
      <c r="B2199" s="5" t="s">
        <v>29469</v>
      </c>
      <c r="C2199" s="5" t="s">
        <v>29470</v>
      </c>
      <c r="D2199" s="246">
        <v>39105</v>
      </c>
      <c r="E2199" s="5" t="s">
        <v>29470</v>
      </c>
      <c r="F2199" s="26"/>
      <c r="G2199" s="27" t="s">
        <v>1181</v>
      </c>
      <c r="H2199" s="28" t="s">
        <v>1182</v>
      </c>
      <c r="I2199" s="5" t="s">
        <v>638</v>
      </c>
    </row>
    <row r="2200" spans="1:9" ht="51.75" customHeight="1">
      <c r="A2200" s="5">
        <v>1</v>
      </c>
      <c r="B2200" s="5" t="s">
        <v>29471</v>
      </c>
      <c r="C2200" s="5" t="s">
        <v>29423</v>
      </c>
      <c r="D2200" s="246">
        <v>39105</v>
      </c>
      <c r="E2200" s="5" t="s">
        <v>29423</v>
      </c>
      <c r="F2200" s="26"/>
      <c r="G2200" s="27" t="s">
        <v>1160</v>
      </c>
      <c r="H2200" s="28" t="s">
        <v>1161</v>
      </c>
      <c r="I2200" s="5" t="s">
        <v>638</v>
      </c>
    </row>
    <row r="2201" spans="1:9" ht="51.75" customHeight="1">
      <c r="A2201" s="5">
        <v>1</v>
      </c>
      <c r="B2201" s="5" t="s">
        <v>29472</v>
      </c>
      <c r="C2201" s="5" t="s">
        <v>29473</v>
      </c>
      <c r="D2201" s="246">
        <v>39105</v>
      </c>
      <c r="E2201" s="5" t="s">
        <v>29473</v>
      </c>
      <c r="F2201" s="26"/>
      <c r="G2201" s="27" t="s">
        <v>1156</v>
      </c>
      <c r="H2201" s="28" t="s">
        <v>1157</v>
      </c>
      <c r="I2201" s="5" t="s">
        <v>638</v>
      </c>
    </row>
    <row r="2202" spans="1:9" ht="51.75" customHeight="1">
      <c r="A2202" s="5">
        <v>1</v>
      </c>
      <c r="B2202" s="5" t="s">
        <v>29474</v>
      </c>
      <c r="C2202" s="5" t="s">
        <v>29475</v>
      </c>
      <c r="D2202" s="246">
        <v>39105</v>
      </c>
      <c r="E2202" s="5" t="s">
        <v>29475</v>
      </c>
      <c r="F2202" s="26"/>
      <c r="G2202" s="27" t="s">
        <v>1152</v>
      </c>
      <c r="H2202" s="28" t="s">
        <v>1153</v>
      </c>
      <c r="I2202" s="5" t="s">
        <v>638</v>
      </c>
    </row>
    <row r="2203" spans="1:9" ht="51.75" customHeight="1">
      <c r="A2203" s="5">
        <v>1</v>
      </c>
      <c r="B2203" s="5" t="s">
        <v>29476</v>
      </c>
      <c r="C2203" s="5" t="s">
        <v>29452</v>
      </c>
      <c r="D2203" s="246">
        <v>39232</v>
      </c>
      <c r="E2203" s="5" t="s">
        <v>29452</v>
      </c>
      <c r="F2203" s="26"/>
      <c r="G2203" s="27" t="s">
        <v>1799</v>
      </c>
      <c r="H2203" s="28" t="s">
        <v>1800</v>
      </c>
      <c r="I2203" s="5" t="s">
        <v>638</v>
      </c>
    </row>
    <row r="2204" spans="1:9" ht="51.75" customHeight="1">
      <c r="A2204" s="5">
        <v>2</v>
      </c>
      <c r="B2204" s="5" t="s">
        <v>29477</v>
      </c>
      <c r="C2204" s="5" t="s">
        <v>29478</v>
      </c>
      <c r="D2204" s="246">
        <v>39232</v>
      </c>
      <c r="E2204" s="5" t="s">
        <v>29478</v>
      </c>
      <c r="F2204" s="26"/>
      <c r="G2204" s="27" t="s">
        <v>1799</v>
      </c>
      <c r="H2204" s="28" t="s">
        <v>1800</v>
      </c>
      <c r="I2204" s="5" t="s">
        <v>638</v>
      </c>
    </row>
    <row r="2205" spans="1:9" ht="51.75" customHeight="1">
      <c r="A2205" s="5">
        <v>1</v>
      </c>
      <c r="B2205" s="5" t="s">
        <v>29479</v>
      </c>
      <c r="C2205" s="5" t="s">
        <v>29480</v>
      </c>
      <c r="D2205" s="246">
        <v>39232</v>
      </c>
      <c r="E2205" s="5" t="s">
        <v>29480</v>
      </c>
      <c r="F2205" s="26"/>
      <c r="G2205" s="27" t="s">
        <v>1789</v>
      </c>
      <c r="H2205" s="28" t="s">
        <v>1790</v>
      </c>
      <c r="I2205" s="5" t="s">
        <v>638</v>
      </c>
    </row>
    <row r="2206" spans="1:9" ht="51.75" customHeight="1">
      <c r="A2206" s="5">
        <v>2</v>
      </c>
      <c r="B2206" s="5" t="s">
        <v>29481</v>
      </c>
      <c r="C2206" s="5" t="s">
        <v>29482</v>
      </c>
      <c r="D2206" s="246">
        <v>39232</v>
      </c>
      <c r="E2206" s="5" t="s">
        <v>29482</v>
      </c>
      <c r="F2206" s="26"/>
      <c r="G2206" s="27" t="s">
        <v>1789</v>
      </c>
      <c r="H2206" s="28" t="s">
        <v>1790</v>
      </c>
      <c r="I2206" s="5" t="s">
        <v>638</v>
      </c>
    </row>
    <row r="2207" spans="1:9" ht="51.75" customHeight="1">
      <c r="A2207" s="5">
        <v>1</v>
      </c>
      <c r="B2207" s="5" t="s">
        <v>29483</v>
      </c>
      <c r="C2207" s="5" t="s">
        <v>29484</v>
      </c>
      <c r="D2207" s="246">
        <v>39232</v>
      </c>
      <c r="E2207" s="5" t="s">
        <v>29485</v>
      </c>
      <c r="F2207" s="26"/>
      <c r="G2207" s="27" t="s">
        <v>1708</v>
      </c>
      <c r="H2207" s="28" t="s">
        <v>1709</v>
      </c>
      <c r="I2207" s="5" t="s">
        <v>638</v>
      </c>
    </row>
    <row r="2208" spans="1:9" ht="51.75" customHeight="1">
      <c r="A2208" s="5">
        <v>2</v>
      </c>
      <c r="B2208" s="5" t="s">
        <v>29486</v>
      </c>
      <c r="C2208" s="5" t="s">
        <v>29487</v>
      </c>
      <c r="D2208" s="246">
        <v>39232</v>
      </c>
      <c r="E2208" s="5" t="s">
        <v>29488</v>
      </c>
      <c r="F2208" s="26"/>
      <c r="G2208" s="27" t="s">
        <v>1708</v>
      </c>
      <c r="H2208" s="28" t="s">
        <v>1709</v>
      </c>
      <c r="I2208" s="5" t="s">
        <v>638</v>
      </c>
    </row>
    <row r="2209" spans="1:9" ht="51.75" customHeight="1">
      <c r="A2209" s="5">
        <v>1</v>
      </c>
      <c r="B2209" s="5" t="s">
        <v>29489</v>
      </c>
      <c r="C2209" s="5" t="s">
        <v>29490</v>
      </c>
      <c r="D2209" s="246">
        <v>39105</v>
      </c>
      <c r="E2209" s="5" t="s">
        <v>29490</v>
      </c>
      <c r="F2209" s="26"/>
      <c r="G2209" s="27" t="s">
        <v>1135</v>
      </c>
      <c r="H2209" s="28" t="s">
        <v>1136</v>
      </c>
      <c r="I2209" s="5" t="s">
        <v>638</v>
      </c>
    </row>
    <row r="2210" spans="1:9" ht="51.75" customHeight="1">
      <c r="A2210" s="5">
        <v>2</v>
      </c>
      <c r="B2210" s="5" t="s">
        <v>29491</v>
      </c>
      <c r="C2210" s="5" t="s">
        <v>29452</v>
      </c>
      <c r="D2210" s="246">
        <v>39105</v>
      </c>
      <c r="E2210" s="5" t="s">
        <v>29452</v>
      </c>
      <c r="F2210" s="26"/>
      <c r="G2210" s="27" t="s">
        <v>1135</v>
      </c>
      <c r="H2210" s="28" t="s">
        <v>1136</v>
      </c>
      <c r="I2210" s="5" t="s">
        <v>638</v>
      </c>
    </row>
    <row r="2211" spans="1:9" ht="51.75" customHeight="1">
      <c r="A2211" s="5">
        <v>1</v>
      </c>
      <c r="B2211" s="5" t="s">
        <v>29492</v>
      </c>
      <c r="C2211" s="5" t="s">
        <v>29493</v>
      </c>
      <c r="D2211" s="246">
        <v>39105</v>
      </c>
      <c r="E2211" s="5" t="s">
        <v>29493</v>
      </c>
      <c r="F2211" s="26"/>
      <c r="G2211" s="27" t="s">
        <v>1127</v>
      </c>
      <c r="H2211" s="28" t="s">
        <v>1128</v>
      </c>
      <c r="I2211" s="5" t="s">
        <v>638</v>
      </c>
    </row>
    <row r="2212" spans="1:9" ht="51.75" customHeight="1">
      <c r="A2212" s="5">
        <v>2</v>
      </c>
      <c r="B2212" s="5" t="s">
        <v>29494</v>
      </c>
      <c r="C2212" s="5" t="s">
        <v>29495</v>
      </c>
      <c r="D2212" s="246">
        <v>39105</v>
      </c>
      <c r="E2212" s="5" t="s">
        <v>29495</v>
      </c>
      <c r="F2212" s="26"/>
      <c r="G2212" s="27" t="s">
        <v>1127</v>
      </c>
      <c r="H2212" s="28" t="s">
        <v>1128</v>
      </c>
      <c r="I2212" s="5" t="s">
        <v>638</v>
      </c>
    </row>
    <row r="2213" spans="1:9" ht="51.75" customHeight="1">
      <c r="A2213" s="5">
        <v>1</v>
      </c>
      <c r="B2213" s="5" t="s">
        <v>29496</v>
      </c>
      <c r="C2213" s="5" t="s">
        <v>29497</v>
      </c>
      <c r="D2213" s="246">
        <v>39220</v>
      </c>
      <c r="E2213" s="5" t="s">
        <v>29497</v>
      </c>
      <c r="F2213" s="26"/>
      <c r="G2213" s="27" t="s">
        <v>1738</v>
      </c>
      <c r="H2213" s="28" t="s">
        <v>1739</v>
      </c>
      <c r="I2213" s="5" t="s">
        <v>638</v>
      </c>
    </row>
    <row r="2214" spans="1:9" ht="51.75" customHeight="1">
      <c r="A2214" s="5">
        <v>1</v>
      </c>
      <c r="B2214" s="5" t="s">
        <v>29498</v>
      </c>
      <c r="C2214" s="5" t="s">
        <v>29499</v>
      </c>
      <c r="D2214" s="246">
        <v>39220</v>
      </c>
      <c r="E2214" s="5" t="s">
        <v>29499</v>
      </c>
      <c r="F2214" s="26"/>
      <c r="G2214" s="27" t="s">
        <v>1635</v>
      </c>
      <c r="H2214" s="28" t="s">
        <v>1636</v>
      </c>
      <c r="I2214" s="5" t="s">
        <v>638</v>
      </c>
    </row>
    <row r="2215" spans="1:9" ht="51.75" customHeight="1">
      <c r="A2215" s="5">
        <v>2</v>
      </c>
      <c r="B2215" s="5" t="s">
        <v>29500</v>
      </c>
      <c r="C2215" s="5" t="s">
        <v>29478</v>
      </c>
      <c r="D2215" s="246">
        <v>39220</v>
      </c>
      <c r="E2215" s="5" t="s">
        <v>29478</v>
      </c>
      <c r="F2215" s="26"/>
      <c r="G2215" s="27" t="s">
        <v>1635</v>
      </c>
      <c r="H2215" s="28" t="s">
        <v>1636</v>
      </c>
      <c r="I2215" s="5" t="s">
        <v>638</v>
      </c>
    </row>
    <row r="2216" spans="1:9" ht="51.75" customHeight="1">
      <c r="A2216" s="5">
        <v>1</v>
      </c>
      <c r="B2216" s="5" t="s">
        <v>29501</v>
      </c>
      <c r="C2216" s="5" t="s">
        <v>29502</v>
      </c>
      <c r="D2216" s="246">
        <v>39220</v>
      </c>
      <c r="E2216" s="5" t="s">
        <v>29503</v>
      </c>
      <c r="F2216" s="26"/>
      <c r="G2216" s="27" t="s">
        <v>1627</v>
      </c>
      <c r="H2216" s="28" t="s">
        <v>1628</v>
      </c>
      <c r="I2216" s="5" t="s">
        <v>638</v>
      </c>
    </row>
    <row r="2217" spans="1:9" ht="51.75" customHeight="1">
      <c r="A2217" s="5">
        <v>1</v>
      </c>
      <c r="B2217" s="5" t="s">
        <v>29504</v>
      </c>
      <c r="C2217" s="5" t="s">
        <v>29505</v>
      </c>
      <c r="D2217" s="246">
        <v>39220</v>
      </c>
      <c r="E2217" s="5" t="s">
        <v>29505</v>
      </c>
      <c r="F2217" s="26"/>
      <c r="G2217" s="27" t="s">
        <v>1667</v>
      </c>
      <c r="H2217" s="28" t="s">
        <v>1668</v>
      </c>
      <c r="I2217" s="5" t="s">
        <v>638</v>
      </c>
    </row>
    <row r="2218" spans="1:9" ht="51.75" customHeight="1">
      <c r="A2218" s="5">
        <v>1</v>
      </c>
      <c r="B2218" s="5" t="s">
        <v>29506</v>
      </c>
      <c r="C2218" s="5" t="s">
        <v>29507</v>
      </c>
      <c r="D2218" s="246">
        <v>39185</v>
      </c>
      <c r="E2218" s="5" t="s">
        <v>29507</v>
      </c>
      <c r="F2218" s="26"/>
      <c r="G2218" s="27" t="s">
        <v>1623</v>
      </c>
      <c r="H2218" s="28" t="s">
        <v>1624</v>
      </c>
      <c r="I2218" s="5" t="s">
        <v>638</v>
      </c>
    </row>
    <row r="2219" spans="1:9" ht="51.75" customHeight="1">
      <c r="A2219" s="5">
        <v>2</v>
      </c>
      <c r="B2219" s="5" t="s">
        <v>29508</v>
      </c>
      <c r="C2219" s="5" t="s">
        <v>29509</v>
      </c>
      <c r="D2219" s="246">
        <v>39185</v>
      </c>
      <c r="E2219" s="5" t="s">
        <v>29509</v>
      </c>
      <c r="F2219" s="26"/>
      <c r="G2219" s="27" t="s">
        <v>1623</v>
      </c>
      <c r="H2219" s="28" t="s">
        <v>1624</v>
      </c>
      <c r="I2219" s="5" t="s">
        <v>638</v>
      </c>
    </row>
    <row r="2220" spans="1:9" ht="51.75" customHeight="1">
      <c r="A2220" s="5">
        <v>1</v>
      </c>
      <c r="B2220" s="5" t="s">
        <v>29510</v>
      </c>
      <c r="C2220" s="5" t="s">
        <v>29511</v>
      </c>
      <c r="D2220" s="246">
        <v>39185</v>
      </c>
      <c r="E2220" s="5" t="s">
        <v>29511</v>
      </c>
      <c r="F2220" s="26"/>
      <c r="G2220" s="27" t="s">
        <v>1608</v>
      </c>
      <c r="H2220" s="28" t="s">
        <v>1609</v>
      </c>
      <c r="I2220" s="5" t="s">
        <v>638</v>
      </c>
    </row>
    <row r="2221" spans="1:9" ht="51.75" customHeight="1">
      <c r="A2221" s="5">
        <v>2</v>
      </c>
      <c r="B2221" s="5" t="s">
        <v>29512</v>
      </c>
      <c r="C2221" s="5" t="s">
        <v>29513</v>
      </c>
      <c r="D2221" s="246">
        <v>39185</v>
      </c>
      <c r="E2221" s="5" t="s">
        <v>29513</v>
      </c>
      <c r="F2221" s="26"/>
      <c r="G2221" s="27" t="s">
        <v>1608</v>
      </c>
      <c r="H2221" s="28" t="s">
        <v>1609</v>
      </c>
      <c r="I2221" s="5" t="s">
        <v>638</v>
      </c>
    </row>
    <row r="2222" spans="1:9" ht="51.75" customHeight="1">
      <c r="A2222" s="5">
        <v>1</v>
      </c>
      <c r="B2222" s="5" t="s">
        <v>29514</v>
      </c>
      <c r="C2222" s="5" t="s">
        <v>29515</v>
      </c>
      <c r="D2222" s="246">
        <v>39185</v>
      </c>
      <c r="E2222" s="5" t="s">
        <v>29515</v>
      </c>
      <c r="F2222" s="26"/>
      <c r="G2222" s="27" t="s">
        <v>1604</v>
      </c>
      <c r="H2222" s="28" t="s">
        <v>1605</v>
      </c>
      <c r="I2222" s="5" t="s">
        <v>638</v>
      </c>
    </row>
    <row r="2223" spans="1:9" ht="51.75" customHeight="1">
      <c r="A2223" s="5">
        <v>2</v>
      </c>
      <c r="B2223" s="5" t="s">
        <v>29516</v>
      </c>
      <c r="C2223" s="5" t="s">
        <v>29517</v>
      </c>
      <c r="D2223" s="246">
        <v>39185</v>
      </c>
      <c r="E2223" s="5" t="s">
        <v>29518</v>
      </c>
      <c r="F2223" s="26"/>
      <c r="G2223" s="27" t="s">
        <v>1604</v>
      </c>
      <c r="H2223" s="28" t="s">
        <v>1605</v>
      </c>
      <c r="I2223" s="5" t="s">
        <v>638</v>
      </c>
    </row>
    <row r="2224" spans="1:9" ht="51.75" customHeight="1">
      <c r="A2224" s="5">
        <v>1</v>
      </c>
      <c r="B2224" s="5" t="s">
        <v>29519</v>
      </c>
      <c r="C2224" s="5" t="s">
        <v>29480</v>
      </c>
      <c r="D2224" s="246">
        <v>39185</v>
      </c>
      <c r="E2224" s="5" t="s">
        <v>29480</v>
      </c>
      <c r="F2224" s="26"/>
      <c r="G2224" s="27" t="s">
        <v>1588</v>
      </c>
      <c r="H2224" s="28" t="s">
        <v>1589</v>
      </c>
      <c r="I2224" s="5" t="s">
        <v>638</v>
      </c>
    </row>
    <row r="2225" spans="1:9" ht="51.75" customHeight="1">
      <c r="A2225" s="5">
        <v>1</v>
      </c>
      <c r="B2225" s="5" t="s">
        <v>29520</v>
      </c>
      <c r="C2225" s="5" t="s">
        <v>29521</v>
      </c>
      <c r="D2225" s="246">
        <v>39105</v>
      </c>
      <c r="E2225" s="5" t="s">
        <v>29521</v>
      </c>
      <c r="F2225" s="26"/>
      <c r="G2225" s="27" t="s">
        <v>1099</v>
      </c>
      <c r="H2225" s="28" t="s">
        <v>1100</v>
      </c>
      <c r="I2225" s="5" t="s">
        <v>638</v>
      </c>
    </row>
    <row r="2226" spans="1:9" ht="51.75" customHeight="1">
      <c r="A2226" s="5">
        <v>1</v>
      </c>
      <c r="B2226" s="5" t="s">
        <v>29522</v>
      </c>
      <c r="C2226" s="5" t="s">
        <v>29523</v>
      </c>
      <c r="D2226" s="246">
        <v>39127</v>
      </c>
      <c r="E2226" s="5" t="s">
        <v>29524</v>
      </c>
      <c r="F2226" s="26"/>
      <c r="G2226" s="27" t="s">
        <v>1549</v>
      </c>
      <c r="H2226" s="28" t="s">
        <v>1550</v>
      </c>
      <c r="I2226" s="5" t="s">
        <v>638</v>
      </c>
    </row>
    <row r="2227" spans="1:9" ht="51.75" customHeight="1">
      <c r="A2227" s="5">
        <v>2</v>
      </c>
      <c r="B2227" s="5" t="s">
        <v>29525</v>
      </c>
      <c r="C2227" s="5" t="s">
        <v>29526</v>
      </c>
      <c r="D2227" s="246">
        <v>39127</v>
      </c>
      <c r="E2227" s="5" t="s">
        <v>29526</v>
      </c>
      <c r="F2227" s="26"/>
      <c r="G2227" s="27" t="s">
        <v>1549</v>
      </c>
      <c r="H2227" s="28" t="s">
        <v>1550</v>
      </c>
      <c r="I2227" s="5" t="s">
        <v>638</v>
      </c>
    </row>
    <row r="2228" spans="1:9" ht="51.75" customHeight="1">
      <c r="A2228" s="5">
        <v>1</v>
      </c>
      <c r="B2228" s="5" t="s">
        <v>29527</v>
      </c>
      <c r="C2228" s="5" t="s">
        <v>29490</v>
      </c>
      <c r="D2228" s="246">
        <v>39185</v>
      </c>
      <c r="E2228" s="5" t="s">
        <v>29490</v>
      </c>
      <c r="F2228" s="26"/>
      <c r="G2228" s="27" t="s">
        <v>1526</v>
      </c>
      <c r="H2228" s="28" t="s">
        <v>1527</v>
      </c>
      <c r="I2228" s="5" t="s">
        <v>638</v>
      </c>
    </row>
    <row r="2229" spans="1:9" ht="51.75" customHeight="1">
      <c r="A2229" s="5">
        <v>2</v>
      </c>
      <c r="B2229" s="5" t="s">
        <v>29528</v>
      </c>
      <c r="C2229" s="5" t="s">
        <v>29452</v>
      </c>
      <c r="D2229" s="246">
        <v>39185</v>
      </c>
      <c r="E2229" s="5" t="s">
        <v>29452</v>
      </c>
      <c r="F2229" s="26"/>
      <c r="G2229" s="27" t="s">
        <v>1526</v>
      </c>
      <c r="H2229" s="28" t="s">
        <v>1527</v>
      </c>
      <c r="I2229" s="5" t="s">
        <v>638</v>
      </c>
    </row>
    <row r="2230" spans="1:9" ht="51.75" customHeight="1">
      <c r="A2230" s="5">
        <v>1</v>
      </c>
      <c r="B2230" s="5" t="s">
        <v>29529</v>
      </c>
      <c r="C2230" s="5" t="s">
        <v>29530</v>
      </c>
      <c r="D2230" s="246">
        <v>39185</v>
      </c>
      <c r="E2230" s="5" t="s">
        <v>29530</v>
      </c>
      <c r="F2230" s="26"/>
      <c r="G2230" s="27" t="s">
        <v>1513</v>
      </c>
      <c r="H2230" s="28" t="s">
        <v>1514</v>
      </c>
      <c r="I2230" s="5" t="s">
        <v>638</v>
      </c>
    </row>
    <row r="2231" spans="1:9" ht="51.75" customHeight="1">
      <c r="A2231" s="5">
        <v>2</v>
      </c>
      <c r="B2231" s="5" t="s">
        <v>29531</v>
      </c>
      <c r="C2231" s="5" t="s">
        <v>29423</v>
      </c>
      <c r="D2231" s="246">
        <v>39185</v>
      </c>
      <c r="E2231" s="5" t="s">
        <v>29423</v>
      </c>
      <c r="F2231" s="26"/>
      <c r="G2231" s="27" t="s">
        <v>1513</v>
      </c>
      <c r="H2231" s="28" t="s">
        <v>1514</v>
      </c>
      <c r="I2231" s="5" t="s">
        <v>638</v>
      </c>
    </row>
    <row r="2232" spans="1:9" ht="51.75" customHeight="1">
      <c r="A2232" s="5">
        <v>1</v>
      </c>
      <c r="B2232" s="5" t="s">
        <v>29532</v>
      </c>
      <c r="C2232" s="5" t="s">
        <v>29533</v>
      </c>
      <c r="D2232" s="246">
        <v>39185</v>
      </c>
      <c r="E2232" s="5" t="s">
        <v>29533</v>
      </c>
      <c r="F2232" s="26"/>
      <c r="G2232" s="27" t="s">
        <v>1498</v>
      </c>
      <c r="H2232" s="28" t="s">
        <v>1499</v>
      </c>
      <c r="I2232" s="5" t="s">
        <v>638</v>
      </c>
    </row>
    <row r="2233" spans="1:9" ht="51.75" customHeight="1">
      <c r="A2233" s="5">
        <v>1</v>
      </c>
      <c r="B2233" s="5" t="s">
        <v>29534</v>
      </c>
      <c r="C2233" s="5" t="s">
        <v>29423</v>
      </c>
      <c r="D2233" s="246">
        <v>39185</v>
      </c>
      <c r="E2233" s="5" t="s">
        <v>29423</v>
      </c>
      <c r="F2233" s="26"/>
      <c r="G2233" s="27" t="s">
        <v>1458</v>
      </c>
      <c r="H2233" s="28" t="s">
        <v>1459</v>
      </c>
      <c r="I2233" s="5" t="s">
        <v>638</v>
      </c>
    </row>
    <row r="2234" spans="1:9" ht="51.75" customHeight="1">
      <c r="A2234" s="5">
        <v>1</v>
      </c>
      <c r="B2234" s="5" t="s">
        <v>29535</v>
      </c>
      <c r="C2234" s="5" t="s">
        <v>29536</v>
      </c>
      <c r="D2234" s="246">
        <v>39105</v>
      </c>
      <c r="E2234" s="5" t="s">
        <v>29536</v>
      </c>
      <c r="F2234" s="26"/>
      <c r="G2234" s="27" t="s">
        <v>1089</v>
      </c>
      <c r="H2234" s="28" t="s">
        <v>1090</v>
      </c>
      <c r="I2234" s="5" t="s">
        <v>638</v>
      </c>
    </row>
    <row r="2235" spans="1:9" ht="51.75" customHeight="1">
      <c r="A2235" s="5">
        <v>1</v>
      </c>
      <c r="B2235" s="5" t="s">
        <v>29537</v>
      </c>
      <c r="C2235" s="5" t="s">
        <v>29480</v>
      </c>
      <c r="D2235" s="246">
        <v>39105</v>
      </c>
      <c r="E2235" s="5" t="s">
        <v>29480</v>
      </c>
      <c r="F2235" s="26"/>
      <c r="G2235" s="27" t="s">
        <v>1034</v>
      </c>
      <c r="H2235" s="28" t="s">
        <v>1035</v>
      </c>
      <c r="I2235" s="5" t="s">
        <v>638</v>
      </c>
    </row>
    <row r="2236" spans="1:9" ht="51.75" customHeight="1">
      <c r="A2236" s="5">
        <v>1</v>
      </c>
      <c r="B2236" s="5" t="s">
        <v>29538</v>
      </c>
      <c r="C2236" s="5" t="s">
        <v>29539</v>
      </c>
      <c r="D2236" s="246">
        <v>39143</v>
      </c>
      <c r="E2236" s="5" t="s">
        <v>29539</v>
      </c>
      <c r="F2236" s="26"/>
      <c r="G2236" s="27" t="s">
        <v>1431</v>
      </c>
      <c r="H2236" s="28" t="s">
        <v>1432</v>
      </c>
      <c r="I2236" s="5" t="s">
        <v>638</v>
      </c>
    </row>
    <row r="2237" spans="1:9" ht="51.75" customHeight="1">
      <c r="A2237" s="5">
        <v>2</v>
      </c>
      <c r="B2237" s="5" t="s">
        <v>29540</v>
      </c>
      <c r="C2237" s="5" t="s">
        <v>29541</v>
      </c>
      <c r="D2237" s="246">
        <v>39143</v>
      </c>
      <c r="E2237" s="5" t="s">
        <v>29542</v>
      </c>
      <c r="F2237" s="26"/>
      <c r="G2237" s="27" t="s">
        <v>1431</v>
      </c>
      <c r="H2237" s="28" t="s">
        <v>1432</v>
      </c>
      <c r="I2237" s="5" t="s">
        <v>638</v>
      </c>
    </row>
    <row r="2238" spans="1:9" ht="51.75" customHeight="1">
      <c r="A2238" s="5">
        <v>3</v>
      </c>
      <c r="B2238" s="5" t="s">
        <v>29543</v>
      </c>
      <c r="C2238" s="5" t="s">
        <v>29544</v>
      </c>
      <c r="D2238" s="246">
        <v>39143</v>
      </c>
      <c r="E2238" s="5" t="s">
        <v>29544</v>
      </c>
      <c r="F2238" s="26"/>
      <c r="G2238" s="27" t="s">
        <v>1431</v>
      </c>
      <c r="H2238" s="28" t="s">
        <v>1432</v>
      </c>
      <c r="I2238" s="5" t="s">
        <v>638</v>
      </c>
    </row>
    <row r="2239" spans="1:9" ht="51.75" customHeight="1">
      <c r="A2239" s="5">
        <v>1</v>
      </c>
      <c r="B2239" s="5" t="s">
        <v>29545</v>
      </c>
      <c r="C2239" s="5" t="s">
        <v>29546</v>
      </c>
      <c r="D2239" s="246">
        <v>39143</v>
      </c>
      <c r="E2239" s="5" t="s">
        <v>29546</v>
      </c>
      <c r="F2239" s="26"/>
      <c r="G2239" s="27" t="s">
        <v>1407</v>
      </c>
      <c r="H2239" s="28" t="s">
        <v>1408</v>
      </c>
      <c r="I2239" s="5" t="s">
        <v>638</v>
      </c>
    </row>
    <row r="2240" spans="1:9" ht="51.75" customHeight="1">
      <c r="A2240" s="5">
        <v>2</v>
      </c>
      <c r="B2240" s="5" t="s">
        <v>29547</v>
      </c>
      <c r="C2240" s="5" t="s">
        <v>29548</v>
      </c>
      <c r="D2240" s="246">
        <v>39143</v>
      </c>
      <c r="E2240" s="5" t="s">
        <v>29548</v>
      </c>
      <c r="F2240" s="26"/>
      <c r="G2240" s="27" t="s">
        <v>1407</v>
      </c>
      <c r="H2240" s="28" t="s">
        <v>1408</v>
      </c>
      <c r="I2240" s="5" t="s">
        <v>638</v>
      </c>
    </row>
    <row r="2241" spans="1:9" ht="51.75" customHeight="1">
      <c r="A2241" s="5">
        <v>3</v>
      </c>
      <c r="B2241" s="5" t="s">
        <v>29549</v>
      </c>
      <c r="C2241" s="5" t="s">
        <v>29550</v>
      </c>
      <c r="D2241" s="246">
        <v>39143</v>
      </c>
      <c r="E2241" s="5" t="s">
        <v>29550</v>
      </c>
      <c r="F2241" s="26"/>
      <c r="G2241" s="27" t="s">
        <v>1407</v>
      </c>
      <c r="H2241" s="28" t="s">
        <v>1408</v>
      </c>
      <c r="I2241" s="5" t="s">
        <v>638</v>
      </c>
    </row>
    <row r="2242" spans="1:9" ht="51.75" customHeight="1">
      <c r="A2242" s="5">
        <v>1</v>
      </c>
      <c r="B2242" s="5" t="s">
        <v>29551</v>
      </c>
      <c r="C2242" s="5" t="s">
        <v>29480</v>
      </c>
      <c r="D2242" s="246">
        <v>39103</v>
      </c>
      <c r="E2242" s="5" t="s">
        <v>29480</v>
      </c>
      <c r="F2242" s="26"/>
      <c r="G2242" s="27" t="s">
        <v>848</v>
      </c>
      <c r="H2242" s="28" t="s">
        <v>849</v>
      </c>
      <c r="I2242" s="5" t="s">
        <v>638</v>
      </c>
    </row>
    <row r="2243" spans="1:9" ht="51.75" customHeight="1">
      <c r="A2243" s="5">
        <v>2</v>
      </c>
      <c r="B2243" s="5" t="s">
        <v>29552</v>
      </c>
      <c r="C2243" s="5" t="s">
        <v>29553</v>
      </c>
      <c r="D2243" s="246">
        <v>39103</v>
      </c>
      <c r="E2243" s="5" t="s">
        <v>29553</v>
      </c>
      <c r="F2243" s="26"/>
      <c r="G2243" s="27" t="s">
        <v>848</v>
      </c>
      <c r="H2243" s="28" t="s">
        <v>849</v>
      </c>
      <c r="I2243" s="5" t="s">
        <v>638</v>
      </c>
    </row>
    <row r="2244" spans="1:9" ht="51.75" customHeight="1">
      <c r="A2244" s="5">
        <v>3</v>
      </c>
      <c r="B2244" s="5" t="s">
        <v>29554</v>
      </c>
      <c r="C2244" s="5" t="s">
        <v>29555</v>
      </c>
      <c r="D2244" s="246">
        <v>39103</v>
      </c>
      <c r="E2244" s="5" t="s">
        <v>29555</v>
      </c>
      <c r="F2244" s="26"/>
      <c r="G2244" s="27" t="s">
        <v>848</v>
      </c>
      <c r="H2244" s="28" t="s">
        <v>849</v>
      </c>
      <c r="I2244" s="5" t="s">
        <v>638</v>
      </c>
    </row>
    <row r="2245" spans="1:9" ht="51.75" customHeight="1">
      <c r="A2245" s="5">
        <v>1</v>
      </c>
      <c r="B2245" s="5" t="s">
        <v>29556</v>
      </c>
      <c r="C2245" s="5" t="s">
        <v>29480</v>
      </c>
      <c r="D2245" s="246">
        <v>39105</v>
      </c>
      <c r="E2245" s="5" t="s">
        <v>29480</v>
      </c>
      <c r="F2245" s="26"/>
      <c r="G2245" s="27" t="s">
        <v>824</v>
      </c>
      <c r="H2245" s="28" t="s">
        <v>825</v>
      </c>
      <c r="I2245" s="5" t="s">
        <v>638</v>
      </c>
    </row>
    <row r="2246" spans="1:9" ht="51.75" customHeight="1">
      <c r="A2246" s="5">
        <v>1</v>
      </c>
      <c r="B2246" s="5" t="s">
        <v>29557</v>
      </c>
      <c r="C2246" s="5" t="s">
        <v>29475</v>
      </c>
      <c r="D2246" s="246">
        <v>39105</v>
      </c>
      <c r="E2246" s="5" t="s">
        <v>29475</v>
      </c>
      <c r="F2246" s="26"/>
      <c r="G2246" s="27" t="s">
        <v>792</v>
      </c>
      <c r="H2246" s="28" t="s">
        <v>793</v>
      </c>
      <c r="I2246" s="5" t="s">
        <v>638</v>
      </c>
    </row>
    <row r="2247" spans="1:9" ht="51.75" customHeight="1">
      <c r="A2247" s="5" t="s">
        <v>25240</v>
      </c>
      <c r="B2247" s="5" t="s">
        <v>29558</v>
      </c>
      <c r="C2247" s="5" t="s">
        <v>29559</v>
      </c>
      <c r="D2247" s="246" t="s">
        <v>68</v>
      </c>
      <c r="E2247" s="5" t="s">
        <v>29560</v>
      </c>
      <c r="F2247" s="26" t="s">
        <v>23600</v>
      </c>
      <c r="G2247" s="27" t="s">
        <v>7613</v>
      </c>
      <c r="H2247" s="28" t="s">
        <v>7614</v>
      </c>
      <c r="I2247" s="5" t="s">
        <v>638</v>
      </c>
    </row>
    <row r="2248" spans="1:9" ht="51.75" customHeight="1">
      <c r="A2248" s="5" t="s">
        <v>26092</v>
      </c>
      <c r="B2248" s="5" t="s">
        <v>29561</v>
      </c>
      <c r="C2248" s="5" t="s">
        <v>29562</v>
      </c>
      <c r="D2248" s="246" t="s">
        <v>68</v>
      </c>
      <c r="E2248" s="5" t="s">
        <v>29563</v>
      </c>
      <c r="F2248" s="26" t="s">
        <v>23600</v>
      </c>
      <c r="G2248" s="27" t="s">
        <v>7574</v>
      </c>
      <c r="H2248" s="28" t="s">
        <v>7575</v>
      </c>
      <c r="I2248" s="5" t="s">
        <v>638</v>
      </c>
    </row>
    <row r="2249" spans="1:9" ht="51.75" customHeight="1">
      <c r="A2249" s="5" t="s">
        <v>26030</v>
      </c>
      <c r="B2249" s="5" t="s">
        <v>29564</v>
      </c>
      <c r="C2249" s="5" t="s">
        <v>29565</v>
      </c>
      <c r="D2249" s="246" t="s">
        <v>68</v>
      </c>
      <c r="E2249" s="5" t="s">
        <v>29566</v>
      </c>
      <c r="F2249" s="26" t="s">
        <v>23600</v>
      </c>
      <c r="G2249" s="27" t="s">
        <v>7508</v>
      </c>
      <c r="H2249" s="28" t="s">
        <v>7509</v>
      </c>
      <c r="I2249" s="5" t="s">
        <v>638</v>
      </c>
    </row>
    <row r="2250" spans="1:9" ht="51.75" customHeight="1">
      <c r="A2250" s="5" t="s">
        <v>23768</v>
      </c>
      <c r="B2250" s="5" t="s">
        <v>29567</v>
      </c>
      <c r="C2250" s="5" t="s">
        <v>29568</v>
      </c>
      <c r="D2250" s="246" t="s">
        <v>68</v>
      </c>
      <c r="E2250" s="5" t="s">
        <v>29569</v>
      </c>
      <c r="F2250" s="26" t="s">
        <v>23600</v>
      </c>
      <c r="G2250" s="27" t="s">
        <v>7508</v>
      </c>
      <c r="H2250" s="28" t="s">
        <v>7509</v>
      </c>
      <c r="I2250" s="5" t="s">
        <v>638</v>
      </c>
    </row>
    <row r="2251" spans="1:9" ht="51.75" customHeight="1">
      <c r="A2251" s="5">
        <v>1</v>
      </c>
      <c r="B2251" s="5" t="s">
        <v>29570</v>
      </c>
      <c r="C2251" s="5" t="s">
        <v>29571</v>
      </c>
      <c r="D2251" s="246">
        <v>39105</v>
      </c>
      <c r="E2251" s="5" t="s">
        <v>29571</v>
      </c>
      <c r="F2251" s="26"/>
      <c r="G2251" s="27" t="s">
        <v>741</v>
      </c>
      <c r="H2251" s="28" t="s">
        <v>742</v>
      </c>
      <c r="I2251" s="5" t="s">
        <v>638</v>
      </c>
    </row>
    <row r="2252" spans="1:9" ht="51.75" customHeight="1">
      <c r="A2252" s="5" t="s">
        <v>27109</v>
      </c>
      <c r="B2252" s="5" t="s">
        <v>29572</v>
      </c>
      <c r="C2252" s="5" t="s">
        <v>29573</v>
      </c>
      <c r="D2252" s="246" t="s">
        <v>68</v>
      </c>
      <c r="E2252" s="5" t="s">
        <v>29574</v>
      </c>
      <c r="F2252" s="26" t="s">
        <v>23600</v>
      </c>
      <c r="G2252" s="27" t="s">
        <v>7431</v>
      </c>
      <c r="H2252" s="28" t="s">
        <v>7432</v>
      </c>
      <c r="I2252" s="5" t="s">
        <v>638</v>
      </c>
    </row>
    <row r="2253" spans="1:9" ht="51.75" customHeight="1">
      <c r="A2253" s="5" t="s">
        <v>26052</v>
      </c>
      <c r="B2253" s="5" t="s">
        <v>29575</v>
      </c>
      <c r="C2253" s="5" t="s">
        <v>29576</v>
      </c>
      <c r="D2253" s="246" t="s">
        <v>68</v>
      </c>
      <c r="E2253" s="5" t="s">
        <v>29577</v>
      </c>
      <c r="F2253" s="26" t="s">
        <v>23600</v>
      </c>
      <c r="G2253" s="27" t="s">
        <v>7274</v>
      </c>
      <c r="H2253" s="28" t="s">
        <v>7275</v>
      </c>
      <c r="I2253" s="5" t="s">
        <v>638</v>
      </c>
    </row>
    <row r="2254" spans="1:9" ht="51.75" customHeight="1">
      <c r="A2254" s="5" t="s">
        <v>26058</v>
      </c>
      <c r="B2254" s="5" t="s">
        <v>29578</v>
      </c>
      <c r="C2254" s="5" t="s">
        <v>29579</v>
      </c>
      <c r="D2254" s="246" t="s">
        <v>68</v>
      </c>
      <c r="E2254" s="5" t="s">
        <v>29580</v>
      </c>
      <c r="F2254" s="26" t="s">
        <v>23600</v>
      </c>
      <c r="G2254" s="27" t="s">
        <v>7274</v>
      </c>
      <c r="H2254" s="28" t="s">
        <v>7275</v>
      </c>
      <c r="I2254" s="5" t="s">
        <v>638</v>
      </c>
    </row>
    <row r="2255" spans="1:9" ht="51.75" customHeight="1">
      <c r="A2255" s="5" t="s">
        <v>23952</v>
      </c>
      <c r="B2255" s="5" t="s">
        <v>29581</v>
      </c>
      <c r="C2255" s="5" t="s">
        <v>29582</v>
      </c>
      <c r="D2255" s="246" t="s">
        <v>68</v>
      </c>
      <c r="E2255" s="5" t="s">
        <v>29583</v>
      </c>
      <c r="F2255" s="26" t="s">
        <v>23600</v>
      </c>
      <c r="G2255" s="27" t="s">
        <v>7120</v>
      </c>
      <c r="H2255" s="28" t="s">
        <v>7121</v>
      </c>
      <c r="I2255" s="5" t="s">
        <v>638</v>
      </c>
    </row>
    <row r="2256" spans="1:9" ht="51.75" customHeight="1">
      <c r="A2256" s="5" t="s">
        <v>24681</v>
      </c>
      <c r="B2256" s="5" t="s">
        <v>29584</v>
      </c>
      <c r="C2256" s="5" t="s">
        <v>29585</v>
      </c>
      <c r="D2256" s="246" t="s">
        <v>68</v>
      </c>
      <c r="E2256" s="5" t="s">
        <v>29586</v>
      </c>
      <c r="F2256" s="26" t="s">
        <v>23600</v>
      </c>
      <c r="G2256" s="27" t="s">
        <v>7120</v>
      </c>
      <c r="H2256" s="28" t="s">
        <v>7121</v>
      </c>
      <c r="I2256" s="5" t="s">
        <v>638</v>
      </c>
    </row>
    <row r="2257" spans="1:9" ht="51.75" customHeight="1">
      <c r="A2257" s="5" t="s">
        <v>26449</v>
      </c>
      <c r="B2257" s="5" t="s">
        <v>29587</v>
      </c>
      <c r="C2257" s="5" t="s">
        <v>29588</v>
      </c>
      <c r="D2257" s="246" t="s">
        <v>68</v>
      </c>
      <c r="E2257" s="5" t="s">
        <v>29589</v>
      </c>
      <c r="F2257" s="26" t="s">
        <v>23600</v>
      </c>
      <c r="G2257" s="27" t="s">
        <v>6927</v>
      </c>
      <c r="H2257" s="28" t="s">
        <v>6928</v>
      </c>
      <c r="I2257" s="5" t="s">
        <v>638</v>
      </c>
    </row>
    <row r="2258" spans="1:9" ht="51.75" customHeight="1">
      <c r="A2258" s="5" t="s">
        <v>23942</v>
      </c>
      <c r="B2258" s="5" t="s">
        <v>29590</v>
      </c>
      <c r="C2258" s="5" t="s">
        <v>29591</v>
      </c>
      <c r="D2258" s="246" t="s">
        <v>68</v>
      </c>
      <c r="E2258" s="5" t="s">
        <v>29592</v>
      </c>
      <c r="F2258" s="26" t="s">
        <v>23600</v>
      </c>
      <c r="G2258" s="27" t="s">
        <v>7008</v>
      </c>
      <c r="H2258" s="28" t="s">
        <v>7009</v>
      </c>
      <c r="I2258" s="5" t="s">
        <v>638</v>
      </c>
    </row>
    <row r="2259" spans="1:9" ht="51.75" customHeight="1">
      <c r="A2259" s="5" t="s">
        <v>25984</v>
      </c>
      <c r="B2259" s="5" t="s">
        <v>29593</v>
      </c>
      <c r="C2259" s="5" t="s">
        <v>29594</v>
      </c>
      <c r="D2259" s="246" t="s">
        <v>68</v>
      </c>
      <c r="E2259" s="5" t="s">
        <v>29595</v>
      </c>
      <c r="F2259" s="26" t="s">
        <v>23600</v>
      </c>
      <c r="G2259" s="27" t="s">
        <v>7008</v>
      </c>
      <c r="H2259" s="28" t="s">
        <v>7009</v>
      </c>
      <c r="I2259" s="5" t="s">
        <v>638</v>
      </c>
    </row>
    <row r="2260" spans="1:9" ht="51.75" customHeight="1">
      <c r="A2260" s="5" t="s">
        <v>24981</v>
      </c>
      <c r="B2260" s="5" t="s">
        <v>29596</v>
      </c>
      <c r="C2260" s="5" t="s">
        <v>29597</v>
      </c>
      <c r="D2260" s="246" t="s">
        <v>68</v>
      </c>
      <c r="E2260" s="5" t="s">
        <v>29598</v>
      </c>
      <c r="F2260" s="26" t="s">
        <v>23600</v>
      </c>
      <c r="G2260" s="27" t="s">
        <v>6992</v>
      </c>
      <c r="H2260" s="28" t="s">
        <v>6993</v>
      </c>
      <c r="I2260" s="5" t="s">
        <v>638</v>
      </c>
    </row>
    <row r="2261" spans="1:9" ht="51.75" customHeight="1">
      <c r="A2261" s="5" t="s">
        <v>24987</v>
      </c>
      <c r="B2261" s="5" t="s">
        <v>29599</v>
      </c>
      <c r="C2261" s="5" t="s">
        <v>29600</v>
      </c>
      <c r="D2261" s="246" t="s">
        <v>68</v>
      </c>
      <c r="E2261" s="5" t="s">
        <v>29601</v>
      </c>
      <c r="F2261" s="26" t="s">
        <v>23600</v>
      </c>
      <c r="G2261" s="27" t="s">
        <v>6992</v>
      </c>
      <c r="H2261" s="28" t="s">
        <v>6993</v>
      </c>
      <c r="I2261" s="5" t="s">
        <v>638</v>
      </c>
    </row>
    <row r="2262" spans="1:9" ht="51.75" customHeight="1">
      <c r="A2262" s="5" t="s">
        <v>24674</v>
      </c>
      <c r="B2262" s="5" t="s">
        <v>29602</v>
      </c>
      <c r="C2262" s="5" t="s">
        <v>29603</v>
      </c>
      <c r="D2262" s="246" t="s">
        <v>68</v>
      </c>
      <c r="E2262" s="5" t="s">
        <v>29604</v>
      </c>
      <c r="F2262" s="26" t="s">
        <v>23600</v>
      </c>
      <c r="G2262" s="27" t="s">
        <v>6992</v>
      </c>
      <c r="H2262" s="28" t="s">
        <v>6993</v>
      </c>
      <c r="I2262" s="5" t="s">
        <v>638</v>
      </c>
    </row>
    <row r="2263" spans="1:9" ht="51.75" customHeight="1">
      <c r="A2263" s="5" t="s">
        <v>24606</v>
      </c>
      <c r="B2263" s="5" t="s">
        <v>29605</v>
      </c>
      <c r="C2263" s="5" t="s">
        <v>29606</v>
      </c>
      <c r="D2263" s="246" t="s">
        <v>68</v>
      </c>
      <c r="E2263" s="5" t="s">
        <v>29607</v>
      </c>
      <c r="F2263" s="26" t="s">
        <v>23600</v>
      </c>
      <c r="G2263" s="27" t="s">
        <v>6969</v>
      </c>
      <c r="H2263" s="28" t="s">
        <v>6970</v>
      </c>
      <c r="I2263" s="5" t="s">
        <v>638</v>
      </c>
    </row>
    <row r="2264" spans="1:9" ht="51.75" customHeight="1">
      <c r="A2264" s="5" t="s">
        <v>27020</v>
      </c>
      <c r="B2264" s="5" t="s">
        <v>29608</v>
      </c>
      <c r="C2264" s="5" t="s">
        <v>29609</v>
      </c>
      <c r="D2264" s="246" t="s">
        <v>68</v>
      </c>
      <c r="E2264" s="5" t="s">
        <v>29610</v>
      </c>
      <c r="F2264" s="26" t="s">
        <v>23600</v>
      </c>
      <c r="G2264" s="27" t="s">
        <v>6915</v>
      </c>
      <c r="H2264" s="28" t="s">
        <v>6916</v>
      </c>
      <c r="I2264" s="5" t="s">
        <v>638</v>
      </c>
    </row>
    <row r="2265" spans="1:9" ht="51.75" customHeight="1">
      <c r="A2265" s="5" t="s">
        <v>26537</v>
      </c>
      <c r="B2265" s="5" t="s">
        <v>29611</v>
      </c>
      <c r="C2265" s="5" t="s">
        <v>29612</v>
      </c>
      <c r="D2265" s="246" t="s">
        <v>68</v>
      </c>
      <c r="E2265" s="5" t="s">
        <v>29613</v>
      </c>
      <c r="F2265" s="26" t="s">
        <v>23600</v>
      </c>
      <c r="G2265" s="27" t="s">
        <v>6746</v>
      </c>
      <c r="H2265" s="28" t="s">
        <v>6747</v>
      </c>
      <c r="I2265" s="5" t="s">
        <v>638</v>
      </c>
    </row>
    <row r="2266" spans="1:9" ht="51.75" customHeight="1">
      <c r="A2266" s="5">
        <v>1</v>
      </c>
      <c r="B2266" s="5" t="s">
        <v>29614</v>
      </c>
      <c r="C2266" s="5" t="s">
        <v>29615</v>
      </c>
      <c r="D2266" s="246">
        <v>39105</v>
      </c>
      <c r="E2266" s="5" t="s">
        <v>29615</v>
      </c>
      <c r="F2266" s="26"/>
      <c r="G2266" s="27" t="s">
        <v>704</v>
      </c>
      <c r="H2266" s="28" t="s">
        <v>705</v>
      </c>
      <c r="I2266" s="5" t="s">
        <v>638</v>
      </c>
    </row>
    <row r="2267" spans="1:9" ht="51.75" customHeight="1">
      <c r="A2267" s="5" t="s">
        <v>26310</v>
      </c>
      <c r="B2267" s="5" t="s">
        <v>29616</v>
      </c>
      <c r="C2267" s="5" t="s">
        <v>29617</v>
      </c>
      <c r="D2267" s="246" t="s">
        <v>68</v>
      </c>
      <c r="E2267" s="5" t="s">
        <v>29618</v>
      </c>
      <c r="F2267" s="26" t="s">
        <v>23600</v>
      </c>
      <c r="G2267" s="27" t="s">
        <v>6683</v>
      </c>
      <c r="H2267" s="28" t="s">
        <v>6684</v>
      </c>
      <c r="I2267" s="5" t="s">
        <v>638</v>
      </c>
    </row>
    <row r="2268" spans="1:9" ht="51.75" customHeight="1">
      <c r="A2268" s="5" t="s">
        <v>26310</v>
      </c>
      <c r="B2268" s="5" t="s">
        <v>29619</v>
      </c>
      <c r="C2268" s="5" t="s">
        <v>29617</v>
      </c>
      <c r="D2268" s="246" t="s">
        <v>68</v>
      </c>
      <c r="E2268" s="5" t="s">
        <v>29620</v>
      </c>
      <c r="F2268" s="26" t="s">
        <v>29621</v>
      </c>
      <c r="G2268" s="27" t="s">
        <v>6683</v>
      </c>
      <c r="H2268" s="28" t="s">
        <v>6684</v>
      </c>
      <c r="I2268" s="5" t="s">
        <v>638</v>
      </c>
    </row>
    <row r="2269" spans="1:9" ht="51.75" customHeight="1">
      <c r="A2269" s="5" t="s">
        <v>26316</v>
      </c>
      <c r="B2269" s="5" t="s">
        <v>29622</v>
      </c>
      <c r="C2269" s="5" t="s">
        <v>29623</v>
      </c>
      <c r="D2269" s="246" t="s">
        <v>68</v>
      </c>
      <c r="E2269" s="5" t="s">
        <v>29624</v>
      </c>
      <c r="F2269" s="26" t="s">
        <v>23600</v>
      </c>
      <c r="G2269" s="27" t="s">
        <v>6683</v>
      </c>
      <c r="H2269" s="28" t="s">
        <v>6684</v>
      </c>
      <c r="I2269" s="5" t="s">
        <v>638</v>
      </c>
    </row>
    <row r="2270" spans="1:9" ht="51.75" customHeight="1">
      <c r="A2270" s="5" t="s">
        <v>26316</v>
      </c>
      <c r="B2270" s="5" t="s">
        <v>29625</v>
      </c>
      <c r="C2270" s="5" t="s">
        <v>29623</v>
      </c>
      <c r="D2270" s="246" t="s">
        <v>68</v>
      </c>
      <c r="E2270" s="5" t="s">
        <v>29626</v>
      </c>
      <c r="F2270" s="26" t="s">
        <v>29621</v>
      </c>
      <c r="G2270" s="27" t="s">
        <v>6683</v>
      </c>
      <c r="H2270" s="28" t="s">
        <v>6684</v>
      </c>
      <c r="I2270" s="5" t="s">
        <v>638</v>
      </c>
    </row>
    <row r="2271" spans="1:9" ht="51.75" customHeight="1">
      <c r="A2271" s="5" t="s">
        <v>26993</v>
      </c>
      <c r="B2271" s="5" t="s">
        <v>29627</v>
      </c>
      <c r="C2271" s="5" t="s">
        <v>29628</v>
      </c>
      <c r="D2271" s="246" t="s">
        <v>68</v>
      </c>
      <c r="E2271" s="5" t="s">
        <v>29629</v>
      </c>
      <c r="F2271" s="26" t="s">
        <v>23600</v>
      </c>
      <c r="G2271" s="27" t="s">
        <v>6683</v>
      </c>
      <c r="H2271" s="28" t="s">
        <v>6684</v>
      </c>
      <c r="I2271" s="5" t="s">
        <v>638</v>
      </c>
    </row>
    <row r="2272" spans="1:9" ht="51.75" customHeight="1">
      <c r="A2272" s="5" t="s">
        <v>26993</v>
      </c>
      <c r="B2272" s="5" t="s">
        <v>29630</v>
      </c>
      <c r="C2272" s="5" t="s">
        <v>29628</v>
      </c>
      <c r="D2272" s="246" t="s">
        <v>68</v>
      </c>
      <c r="E2272" s="5" t="s">
        <v>29631</v>
      </c>
      <c r="F2272" s="26" t="s">
        <v>29621</v>
      </c>
      <c r="G2272" s="27" t="s">
        <v>6683</v>
      </c>
      <c r="H2272" s="28" t="s">
        <v>6684</v>
      </c>
      <c r="I2272" s="5" t="s">
        <v>638</v>
      </c>
    </row>
    <row r="2273" spans="1:9" ht="51.75" customHeight="1">
      <c r="A2273" s="5" t="s">
        <v>26443</v>
      </c>
      <c r="B2273" s="5" t="s">
        <v>29632</v>
      </c>
      <c r="C2273" s="5" t="s">
        <v>29633</v>
      </c>
      <c r="D2273" s="246" t="s">
        <v>68</v>
      </c>
      <c r="E2273" s="5" t="s">
        <v>29634</v>
      </c>
      <c r="F2273" s="26" t="s">
        <v>23600</v>
      </c>
      <c r="G2273" s="27" t="s">
        <v>6323</v>
      </c>
      <c r="H2273" s="28" t="s">
        <v>6324</v>
      </c>
      <c r="I2273" s="5" t="s">
        <v>638</v>
      </c>
    </row>
    <row r="2274" spans="1:9" ht="51.75" customHeight="1">
      <c r="A2274" s="5" t="s">
        <v>26531</v>
      </c>
      <c r="B2274" s="5" t="s">
        <v>29635</v>
      </c>
      <c r="C2274" s="5" t="s">
        <v>29636</v>
      </c>
      <c r="D2274" s="246" t="s">
        <v>68</v>
      </c>
      <c r="E2274" s="5" t="s">
        <v>29637</v>
      </c>
      <c r="F2274" s="26" t="s">
        <v>23600</v>
      </c>
      <c r="G2274" s="27" t="s">
        <v>6483</v>
      </c>
      <c r="H2274" s="28" t="s">
        <v>6484</v>
      </c>
      <c r="I2274" s="5" t="s">
        <v>638</v>
      </c>
    </row>
    <row r="2275" spans="1:9" ht="51.75" customHeight="1">
      <c r="A2275" s="5" t="s">
        <v>26509</v>
      </c>
      <c r="B2275" s="5" t="s">
        <v>29638</v>
      </c>
      <c r="C2275" s="5" t="s">
        <v>29639</v>
      </c>
      <c r="D2275" s="246" t="s">
        <v>68</v>
      </c>
      <c r="E2275" s="5" t="s">
        <v>29640</v>
      </c>
      <c r="F2275" s="26" t="s">
        <v>23600</v>
      </c>
      <c r="G2275" s="27" t="s">
        <v>6343</v>
      </c>
      <c r="H2275" s="28" t="s">
        <v>6344</v>
      </c>
      <c r="I2275" s="5" t="s">
        <v>638</v>
      </c>
    </row>
    <row r="2276" spans="1:9" ht="51.75" customHeight="1">
      <c r="A2276" s="5" t="s">
        <v>26509</v>
      </c>
      <c r="B2276" s="5" t="s">
        <v>29641</v>
      </c>
      <c r="C2276" s="5" t="s">
        <v>29639</v>
      </c>
      <c r="D2276" s="246" t="s">
        <v>68</v>
      </c>
      <c r="E2276" s="5" t="s">
        <v>29642</v>
      </c>
      <c r="F2276" s="26" t="s">
        <v>29621</v>
      </c>
      <c r="G2276" s="27" t="s">
        <v>6343</v>
      </c>
      <c r="H2276" s="28" t="s">
        <v>6344</v>
      </c>
      <c r="I2276" s="5" t="s">
        <v>638</v>
      </c>
    </row>
    <row r="2277" spans="1:9" ht="51.75" customHeight="1">
      <c r="A2277" s="5" t="s">
        <v>26515</v>
      </c>
      <c r="B2277" s="5" t="s">
        <v>29643</v>
      </c>
      <c r="C2277" s="5" t="s">
        <v>29644</v>
      </c>
      <c r="D2277" s="246" t="s">
        <v>68</v>
      </c>
      <c r="E2277" s="5" t="s">
        <v>29645</v>
      </c>
      <c r="F2277" s="26" t="s">
        <v>23600</v>
      </c>
      <c r="G2277" s="27" t="s">
        <v>6343</v>
      </c>
      <c r="H2277" s="28" t="s">
        <v>6344</v>
      </c>
      <c r="I2277" s="5" t="s">
        <v>638</v>
      </c>
    </row>
    <row r="2278" spans="1:9" ht="51.75" customHeight="1">
      <c r="A2278" s="5" t="s">
        <v>26515</v>
      </c>
      <c r="B2278" s="5" t="s">
        <v>29646</v>
      </c>
      <c r="C2278" s="5" t="s">
        <v>29644</v>
      </c>
      <c r="D2278" s="246" t="s">
        <v>68</v>
      </c>
      <c r="E2278" s="5" t="s">
        <v>29647</v>
      </c>
      <c r="F2278" s="26" t="s">
        <v>29621</v>
      </c>
      <c r="G2278" s="27" t="s">
        <v>6343</v>
      </c>
      <c r="H2278" s="28" t="s">
        <v>6344</v>
      </c>
      <c r="I2278" s="5" t="s">
        <v>638</v>
      </c>
    </row>
    <row r="2279" spans="1:9" ht="51.75" customHeight="1">
      <c r="A2279" s="5" t="s">
        <v>24932</v>
      </c>
      <c r="B2279" s="5" t="s">
        <v>29648</v>
      </c>
      <c r="C2279" s="5" t="s">
        <v>29649</v>
      </c>
      <c r="D2279" s="246" t="s">
        <v>68</v>
      </c>
      <c r="E2279" s="5" t="s">
        <v>29650</v>
      </c>
      <c r="F2279" s="26" t="s">
        <v>23600</v>
      </c>
      <c r="G2279" s="27" t="s">
        <v>6343</v>
      </c>
      <c r="H2279" s="28" t="s">
        <v>6344</v>
      </c>
      <c r="I2279" s="5" t="s">
        <v>638</v>
      </c>
    </row>
    <row r="2280" spans="1:9" ht="51.75" customHeight="1">
      <c r="A2280" s="5" t="s">
        <v>24932</v>
      </c>
      <c r="B2280" s="5" t="s">
        <v>29651</v>
      </c>
      <c r="C2280" s="5" t="s">
        <v>29649</v>
      </c>
      <c r="D2280" s="246" t="s">
        <v>68</v>
      </c>
      <c r="E2280" s="5" t="s">
        <v>29652</v>
      </c>
      <c r="F2280" s="26" t="s">
        <v>29621</v>
      </c>
      <c r="G2280" s="27" t="s">
        <v>6343</v>
      </c>
      <c r="H2280" s="28" t="s">
        <v>6344</v>
      </c>
      <c r="I2280" s="5" t="s">
        <v>638</v>
      </c>
    </row>
    <row r="2281" spans="1:9" ht="51.75" customHeight="1">
      <c r="A2281" s="5">
        <v>1</v>
      </c>
      <c r="B2281" s="5" t="s">
        <v>29653</v>
      </c>
      <c r="C2281" s="5" t="s">
        <v>29654</v>
      </c>
      <c r="D2281" s="246">
        <v>41088</v>
      </c>
      <c r="E2281" s="5" t="s">
        <v>29655</v>
      </c>
      <c r="F2281" s="26"/>
      <c r="G2281" s="27" t="s">
        <v>6258</v>
      </c>
      <c r="H2281" s="28" t="s">
        <v>6259</v>
      </c>
      <c r="I2281" s="5" t="s">
        <v>638</v>
      </c>
    </row>
    <row r="2282" spans="1:9" ht="51.75" customHeight="1">
      <c r="A2282" s="5">
        <v>1</v>
      </c>
      <c r="B2282" s="5" t="s">
        <v>29656</v>
      </c>
      <c r="C2282" s="5" t="s">
        <v>29657</v>
      </c>
      <c r="D2282" s="246">
        <v>41065</v>
      </c>
      <c r="E2282" s="5" t="s">
        <v>29658</v>
      </c>
      <c r="F2282" s="26"/>
      <c r="G2282" s="27" t="s">
        <v>6083</v>
      </c>
      <c r="H2282" s="28" t="s">
        <v>6084</v>
      </c>
      <c r="I2282" s="5" t="s">
        <v>638</v>
      </c>
    </row>
    <row r="2283" spans="1:9" ht="51.75" customHeight="1">
      <c r="A2283" s="5">
        <v>1</v>
      </c>
      <c r="B2283" s="5" t="s">
        <v>29659</v>
      </c>
      <c r="C2283" s="5" t="s">
        <v>29660</v>
      </c>
      <c r="D2283" s="246">
        <v>41089</v>
      </c>
      <c r="E2283" s="5" t="s">
        <v>29661</v>
      </c>
      <c r="F2283" s="26"/>
      <c r="G2283" s="27" t="s">
        <v>6186</v>
      </c>
      <c r="H2283" s="28" t="s">
        <v>6187</v>
      </c>
      <c r="I2283" s="5" t="s">
        <v>638</v>
      </c>
    </row>
    <row r="2284" spans="1:9" ht="51.75" customHeight="1">
      <c r="A2284" s="5">
        <v>1</v>
      </c>
      <c r="B2284" s="5" t="s">
        <v>29662</v>
      </c>
      <c r="C2284" s="5" t="s">
        <v>29663</v>
      </c>
      <c r="D2284" s="246">
        <v>41016</v>
      </c>
      <c r="E2284" s="5" t="s">
        <v>29664</v>
      </c>
      <c r="F2284" s="26"/>
      <c r="G2284" s="27" t="s">
        <v>6117</v>
      </c>
      <c r="H2284" s="28" t="s">
        <v>6118</v>
      </c>
      <c r="I2284" s="5" t="s">
        <v>638</v>
      </c>
    </row>
    <row r="2285" spans="1:9" ht="51.75" customHeight="1">
      <c r="A2285" s="5">
        <v>2</v>
      </c>
      <c r="B2285" s="5" t="s">
        <v>29665</v>
      </c>
      <c r="C2285" s="5" t="s">
        <v>29666</v>
      </c>
      <c r="D2285" s="246">
        <v>41016</v>
      </c>
      <c r="E2285" s="5" t="s">
        <v>29667</v>
      </c>
      <c r="F2285" s="26"/>
      <c r="G2285" s="27" t="s">
        <v>6117</v>
      </c>
      <c r="H2285" s="28" t="s">
        <v>6118</v>
      </c>
      <c r="I2285" s="5" t="s">
        <v>638</v>
      </c>
    </row>
    <row r="2286" spans="1:9" ht="51.75" customHeight="1">
      <c r="A2286" s="5">
        <v>3</v>
      </c>
      <c r="B2286" s="5" t="s">
        <v>29668</v>
      </c>
      <c r="C2286" s="5" t="s">
        <v>29669</v>
      </c>
      <c r="D2286" s="246">
        <v>41016</v>
      </c>
      <c r="E2286" s="5" t="s">
        <v>29670</v>
      </c>
      <c r="F2286" s="26"/>
      <c r="G2286" s="27" t="s">
        <v>6117</v>
      </c>
      <c r="H2286" s="28" t="s">
        <v>6118</v>
      </c>
      <c r="I2286" s="5" t="s">
        <v>638</v>
      </c>
    </row>
    <row r="2287" spans="1:9" ht="51.75" customHeight="1">
      <c r="A2287" s="5">
        <v>1</v>
      </c>
      <c r="B2287" s="5" t="s">
        <v>29671</v>
      </c>
      <c r="C2287" s="5" t="s">
        <v>29672</v>
      </c>
      <c r="D2287" s="246">
        <v>41016</v>
      </c>
      <c r="E2287" s="5" t="s">
        <v>29672</v>
      </c>
      <c r="F2287" s="26"/>
      <c r="G2287" s="27" t="s">
        <v>5919</v>
      </c>
      <c r="H2287" s="28" t="s">
        <v>5920</v>
      </c>
      <c r="I2287" s="5" t="s">
        <v>638</v>
      </c>
    </row>
    <row r="2288" spans="1:9" ht="51.75" customHeight="1">
      <c r="A2288" s="5">
        <v>2</v>
      </c>
      <c r="B2288" s="5" t="s">
        <v>29673</v>
      </c>
      <c r="C2288" s="5" t="s">
        <v>29674</v>
      </c>
      <c r="D2288" s="246">
        <v>41016</v>
      </c>
      <c r="E2288" s="5" t="s">
        <v>29675</v>
      </c>
      <c r="F2288" s="26"/>
      <c r="G2288" s="27" t="s">
        <v>5919</v>
      </c>
      <c r="H2288" s="28" t="s">
        <v>5920</v>
      </c>
      <c r="I2288" s="5" t="s">
        <v>638</v>
      </c>
    </row>
    <row r="2289" spans="1:9" ht="51.75" customHeight="1">
      <c r="A2289" s="5">
        <v>1</v>
      </c>
      <c r="B2289" s="5" t="s">
        <v>29676</v>
      </c>
      <c r="C2289" s="5" t="s">
        <v>29677</v>
      </c>
      <c r="D2289" s="246">
        <v>41065</v>
      </c>
      <c r="E2289" s="5" t="s">
        <v>29678</v>
      </c>
      <c r="F2289" s="26"/>
      <c r="G2289" s="27" t="s">
        <v>6106</v>
      </c>
      <c r="H2289" s="28" t="s">
        <v>6107</v>
      </c>
      <c r="I2289" s="5" t="s">
        <v>638</v>
      </c>
    </row>
    <row r="2290" spans="1:9" ht="51.75" customHeight="1">
      <c r="A2290" s="5">
        <v>2</v>
      </c>
      <c r="B2290" s="5" t="s">
        <v>29679</v>
      </c>
      <c r="C2290" s="5" t="s">
        <v>29680</v>
      </c>
      <c r="D2290" s="246">
        <v>41065</v>
      </c>
      <c r="E2290" s="5" t="s">
        <v>29681</v>
      </c>
      <c r="F2290" s="26"/>
      <c r="G2290" s="27" t="s">
        <v>6106</v>
      </c>
      <c r="H2290" s="28" t="s">
        <v>6107</v>
      </c>
      <c r="I2290" s="5" t="s">
        <v>638</v>
      </c>
    </row>
    <row r="2291" spans="1:9" ht="51.75" customHeight="1">
      <c r="A2291" s="5">
        <v>1</v>
      </c>
      <c r="B2291" s="5" t="s">
        <v>29682</v>
      </c>
      <c r="C2291" s="5" t="s">
        <v>29683</v>
      </c>
      <c r="D2291" s="246">
        <v>41016</v>
      </c>
      <c r="E2291" s="5" t="s">
        <v>29684</v>
      </c>
      <c r="F2291" s="26"/>
      <c r="G2291" s="27" t="s">
        <v>6027</v>
      </c>
      <c r="H2291" s="28" t="s">
        <v>6028</v>
      </c>
      <c r="I2291" s="5" t="s">
        <v>638</v>
      </c>
    </row>
    <row r="2292" spans="1:9" ht="51.75" customHeight="1">
      <c r="A2292" s="5">
        <v>1</v>
      </c>
      <c r="B2292" s="5" t="s">
        <v>29685</v>
      </c>
      <c r="C2292" s="5" t="s">
        <v>29686</v>
      </c>
      <c r="D2292" s="246">
        <v>41016</v>
      </c>
      <c r="E2292" s="5" t="s">
        <v>29687</v>
      </c>
      <c r="F2292" s="26"/>
      <c r="G2292" s="27" t="s">
        <v>5981</v>
      </c>
      <c r="H2292" s="28" t="s">
        <v>5982</v>
      </c>
      <c r="I2292" s="5" t="s">
        <v>638</v>
      </c>
    </row>
    <row r="2293" spans="1:9" ht="51.75" customHeight="1">
      <c r="A2293" s="5">
        <v>2</v>
      </c>
      <c r="B2293" s="5" t="s">
        <v>29688</v>
      </c>
      <c r="C2293" s="5" t="s">
        <v>29689</v>
      </c>
      <c r="D2293" s="246">
        <v>41016</v>
      </c>
      <c r="E2293" s="5" t="s">
        <v>29690</v>
      </c>
      <c r="F2293" s="26"/>
      <c r="G2293" s="27" t="s">
        <v>5981</v>
      </c>
      <c r="H2293" s="28" t="s">
        <v>5982</v>
      </c>
      <c r="I2293" s="5" t="s">
        <v>638</v>
      </c>
    </row>
    <row r="2294" spans="1:9" ht="51.75" customHeight="1">
      <c r="A2294" s="5">
        <v>3</v>
      </c>
      <c r="B2294" s="5" t="s">
        <v>29691</v>
      </c>
      <c r="C2294" s="5" t="s">
        <v>29692</v>
      </c>
      <c r="D2294" s="246">
        <v>41016</v>
      </c>
      <c r="E2294" s="5" t="s">
        <v>29693</v>
      </c>
      <c r="F2294" s="26"/>
      <c r="G2294" s="27" t="s">
        <v>5981</v>
      </c>
      <c r="H2294" s="28" t="s">
        <v>5982</v>
      </c>
      <c r="I2294" s="5" t="s">
        <v>638</v>
      </c>
    </row>
    <row r="2295" spans="1:9" ht="51.75" customHeight="1">
      <c r="A2295" s="5" t="s">
        <v>28025</v>
      </c>
      <c r="B2295" s="5" t="s">
        <v>29694</v>
      </c>
      <c r="C2295" s="5" t="s">
        <v>29695</v>
      </c>
      <c r="D2295" s="246" t="s">
        <v>68</v>
      </c>
      <c r="E2295" s="5" t="s">
        <v>29696</v>
      </c>
      <c r="F2295" s="26" t="s">
        <v>23600</v>
      </c>
      <c r="G2295" s="27" t="s">
        <v>5841</v>
      </c>
      <c r="H2295" s="28" t="s">
        <v>5842</v>
      </c>
      <c r="I2295" s="5" t="s">
        <v>638</v>
      </c>
    </row>
    <row r="2296" spans="1:9" ht="51.75" customHeight="1">
      <c r="A2296" s="5" t="s">
        <v>28025</v>
      </c>
      <c r="B2296" s="5" t="s">
        <v>29697</v>
      </c>
      <c r="C2296" s="5" t="s">
        <v>29695</v>
      </c>
      <c r="D2296" s="246" t="s">
        <v>68</v>
      </c>
      <c r="E2296" s="5" t="s">
        <v>29698</v>
      </c>
      <c r="F2296" s="26" t="s">
        <v>29621</v>
      </c>
      <c r="G2296" s="27" t="s">
        <v>5841</v>
      </c>
      <c r="H2296" s="28" t="s">
        <v>5842</v>
      </c>
      <c r="I2296" s="5" t="s">
        <v>638</v>
      </c>
    </row>
    <row r="2297" spans="1:9" ht="51.75" customHeight="1">
      <c r="A2297" s="5" t="s">
        <v>26497</v>
      </c>
      <c r="B2297" s="5" t="s">
        <v>29699</v>
      </c>
      <c r="C2297" s="5" t="s">
        <v>29700</v>
      </c>
      <c r="D2297" s="246" t="s">
        <v>68</v>
      </c>
      <c r="E2297" s="5" t="s">
        <v>29701</v>
      </c>
      <c r="F2297" s="26" t="s">
        <v>23600</v>
      </c>
      <c r="G2297" s="27" t="s">
        <v>5841</v>
      </c>
      <c r="H2297" s="28" t="s">
        <v>5842</v>
      </c>
      <c r="I2297" s="5" t="s">
        <v>638</v>
      </c>
    </row>
    <row r="2298" spans="1:9" ht="51.75" customHeight="1">
      <c r="A2298" s="5" t="s">
        <v>26497</v>
      </c>
      <c r="B2298" s="5" t="s">
        <v>29702</v>
      </c>
      <c r="C2298" s="5" t="s">
        <v>29700</v>
      </c>
      <c r="D2298" s="246" t="s">
        <v>68</v>
      </c>
      <c r="E2298" s="5" t="s">
        <v>29703</v>
      </c>
      <c r="F2298" s="26" t="s">
        <v>29621</v>
      </c>
      <c r="G2298" s="27" t="s">
        <v>5841</v>
      </c>
      <c r="H2298" s="28" t="s">
        <v>5842</v>
      </c>
      <c r="I2298" s="5" t="s">
        <v>638</v>
      </c>
    </row>
    <row r="2299" spans="1:9" ht="51.75" customHeight="1">
      <c r="A2299" s="5">
        <v>1</v>
      </c>
      <c r="B2299" s="5" t="s">
        <v>29704</v>
      </c>
      <c r="C2299" s="5" t="s">
        <v>29705</v>
      </c>
      <c r="D2299" s="246">
        <v>40863</v>
      </c>
      <c r="E2299" s="5" t="s">
        <v>29705</v>
      </c>
      <c r="F2299" s="26" t="s">
        <v>23600</v>
      </c>
      <c r="G2299" s="27" t="s">
        <v>5624</v>
      </c>
      <c r="H2299" s="28" t="s">
        <v>5625</v>
      </c>
      <c r="I2299" s="5" t="s">
        <v>638</v>
      </c>
    </row>
    <row r="2300" spans="1:9" ht="51.75" customHeight="1">
      <c r="A2300" s="5">
        <v>2</v>
      </c>
      <c r="B2300" s="5" t="s">
        <v>29706</v>
      </c>
      <c r="C2300" s="5" t="s">
        <v>29707</v>
      </c>
      <c r="D2300" s="246">
        <v>40863</v>
      </c>
      <c r="E2300" s="5" t="s">
        <v>29707</v>
      </c>
      <c r="F2300" s="26" t="s">
        <v>23600</v>
      </c>
      <c r="G2300" s="27" t="s">
        <v>5624</v>
      </c>
      <c r="H2300" s="28" t="s">
        <v>5625</v>
      </c>
      <c r="I2300" s="5" t="s">
        <v>638</v>
      </c>
    </row>
    <row r="2301" spans="1:9" ht="51.75" customHeight="1">
      <c r="A2301" s="5">
        <v>1</v>
      </c>
      <c r="B2301" s="5" t="s">
        <v>29708</v>
      </c>
      <c r="C2301" s="5" t="s">
        <v>29709</v>
      </c>
      <c r="D2301" s="246">
        <v>39105</v>
      </c>
      <c r="E2301" s="5" t="s">
        <v>29710</v>
      </c>
      <c r="F2301" s="26"/>
      <c r="G2301" s="27" t="s">
        <v>691</v>
      </c>
      <c r="H2301" s="28" t="s">
        <v>692</v>
      </c>
      <c r="I2301" s="5" t="s">
        <v>638</v>
      </c>
    </row>
    <row r="2302" spans="1:9" ht="51.75" customHeight="1">
      <c r="A2302" s="5">
        <v>1</v>
      </c>
      <c r="B2302" s="5" t="s">
        <v>29711</v>
      </c>
      <c r="C2302" s="5" t="s">
        <v>29712</v>
      </c>
      <c r="D2302" s="246">
        <v>40863</v>
      </c>
      <c r="E2302" s="5" t="s">
        <v>29713</v>
      </c>
      <c r="F2302" s="26"/>
      <c r="G2302" s="27" t="s">
        <v>5666</v>
      </c>
      <c r="H2302" s="28" t="s">
        <v>5667</v>
      </c>
      <c r="I2302" s="5" t="s">
        <v>638</v>
      </c>
    </row>
    <row r="2303" spans="1:9" ht="51.75" customHeight="1">
      <c r="A2303" s="5">
        <v>1</v>
      </c>
      <c r="B2303" s="5" t="s">
        <v>29714</v>
      </c>
      <c r="C2303" s="5" t="s">
        <v>29111</v>
      </c>
      <c r="D2303" s="246">
        <v>40711</v>
      </c>
      <c r="E2303" s="5" t="s">
        <v>29715</v>
      </c>
      <c r="F2303" s="26"/>
      <c r="G2303" s="27" t="s">
        <v>5527</v>
      </c>
      <c r="H2303" s="28" t="s">
        <v>5528</v>
      </c>
      <c r="I2303" s="5" t="s">
        <v>638</v>
      </c>
    </row>
    <row r="2304" spans="1:9" ht="51.75" customHeight="1">
      <c r="A2304" s="5">
        <v>1</v>
      </c>
      <c r="B2304" s="5" t="s">
        <v>29716</v>
      </c>
      <c r="C2304" s="5" t="s">
        <v>29717</v>
      </c>
      <c r="D2304" s="246">
        <v>40779</v>
      </c>
      <c r="E2304" s="5" t="s">
        <v>29718</v>
      </c>
      <c r="F2304" s="26"/>
      <c r="G2304" s="27" t="s">
        <v>5471</v>
      </c>
      <c r="H2304" s="28" t="s">
        <v>5472</v>
      </c>
      <c r="I2304" s="5" t="s">
        <v>638</v>
      </c>
    </row>
    <row r="2305" spans="1:9" ht="51.75" customHeight="1">
      <c r="A2305" s="5">
        <v>2</v>
      </c>
      <c r="B2305" s="5" t="s">
        <v>29719</v>
      </c>
      <c r="C2305" s="5" t="s">
        <v>29720</v>
      </c>
      <c r="D2305" s="246">
        <v>40779</v>
      </c>
      <c r="E2305" s="5" t="s">
        <v>29721</v>
      </c>
      <c r="F2305" s="26"/>
      <c r="G2305" s="27" t="s">
        <v>5471</v>
      </c>
      <c r="H2305" s="28" t="s">
        <v>5472</v>
      </c>
      <c r="I2305" s="5" t="s">
        <v>638</v>
      </c>
    </row>
    <row r="2306" spans="1:9" ht="51.75" customHeight="1">
      <c r="A2306" s="5">
        <v>3</v>
      </c>
      <c r="B2306" s="5" t="s">
        <v>29722</v>
      </c>
      <c r="C2306" s="5" t="s">
        <v>29723</v>
      </c>
      <c r="D2306" s="246">
        <v>40779</v>
      </c>
      <c r="E2306" s="5" t="s">
        <v>29724</v>
      </c>
      <c r="F2306" s="26"/>
      <c r="G2306" s="27" t="s">
        <v>5471</v>
      </c>
      <c r="H2306" s="28" t="s">
        <v>5472</v>
      </c>
      <c r="I2306" s="5" t="s">
        <v>638</v>
      </c>
    </row>
    <row r="2307" spans="1:9" ht="51.75" customHeight="1">
      <c r="A2307" s="5">
        <v>4</v>
      </c>
      <c r="B2307" s="5" t="s">
        <v>29725</v>
      </c>
      <c r="C2307" s="5" t="s">
        <v>29726</v>
      </c>
      <c r="D2307" s="246">
        <v>40779</v>
      </c>
      <c r="E2307" s="5" t="s">
        <v>29727</v>
      </c>
      <c r="F2307" s="26"/>
      <c r="G2307" s="27" t="s">
        <v>5471</v>
      </c>
      <c r="H2307" s="28" t="s">
        <v>5472</v>
      </c>
      <c r="I2307" s="5" t="s">
        <v>638</v>
      </c>
    </row>
    <row r="2308" spans="1:9" ht="51.75" customHeight="1">
      <c r="A2308" s="5">
        <v>5</v>
      </c>
      <c r="B2308" s="5" t="s">
        <v>29728</v>
      </c>
      <c r="C2308" s="5" t="s">
        <v>29729</v>
      </c>
      <c r="D2308" s="246">
        <v>40779</v>
      </c>
      <c r="E2308" s="5" t="s">
        <v>29729</v>
      </c>
      <c r="F2308" s="26"/>
      <c r="G2308" s="27" t="s">
        <v>5471</v>
      </c>
      <c r="H2308" s="28" t="s">
        <v>5472</v>
      </c>
      <c r="I2308" s="5" t="s">
        <v>638</v>
      </c>
    </row>
    <row r="2309" spans="1:9" ht="51.75" customHeight="1">
      <c r="A2309" s="5">
        <v>1</v>
      </c>
      <c r="B2309" s="5" t="s">
        <v>29730</v>
      </c>
      <c r="C2309" s="5" t="s">
        <v>29731</v>
      </c>
      <c r="D2309" s="246">
        <v>40728</v>
      </c>
      <c r="E2309" s="5" t="s">
        <v>29731</v>
      </c>
      <c r="F2309" s="26"/>
      <c r="G2309" s="27" t="s">
        <v>5466</v>
      </c>
      <c r="H2309" s="28" t="s">
        <v>5467</v>
      </c>
      <c r="I2309" s="5" t="s">
        <v>638</v>
      </c>
    </row>
    <row r="2310" spans="1:9" ht="51.75" customHeight="1">
      <c r="A2310" s="5">
        <v>2</v>
      </c>
      <c r="B2310" s="5" t="s">
        <v>29732</v>
      </c>
      <c r="C2310" s="5" t="s">
        <v>29733</v>
      </c>
      <c r="D2310" s="246">
        <v>40728</v>
      </c>
      <c r="E2310" s="5" t="s">
        <v>29734</v>
      </c>
      <c r="F2310" s="26"/>
      <c r="G2310" s="27" t="s">
        <v>5466</v>
      </c>
      <c r="H2310" s="28" t="s">
        <v>5467</v>
      </c>
      <c r="I2310" s="5" t="s">
        <v>638</v>
      </c>
    </row>
    <row r="2311" spans="1:9" ht="51.75" customHeight="1">
      <c r="A2311" s="5">
        <v>1</v>
      </c>
      <c r="B2311" s="5" t="s">
        <v>29735</v>
      </c>
      <c r="C2311" s="5" t="s">
        <v>29736</v>
      </c>
      <c r="D2311" s="246">
        <v>40774</v>
      </c>
      <c r="E2311" s="5" t="s">
        <v>29737</v>
      </c>
      <c r="F2311" s="26"/>
      <c r="G2311" s="27" t="s">
        <v>5395</v>
      </c>
      <c r="H2311" s="28" t="s">
        <v>5396</v>
      </c>
      <c r="I2311" s="5" t="s">
        <v>638</v>
      </c>
    </row>
    <row r="2312" spans="1:9" ht="51.75" customHeight="1">
      <c r="A2312" s="5">
        <v>2</v>
      </c>
      <c r="B2312" s="5" t="s">
        <v>29738</v>
      </c>
      <c r="C2312" s="5" t="s">
        <v>29739</v>
      </c>
      <c r="D2312" s="246">
        <v>40774</v>
      </c>
      <c r="E2312" s="5" t="s">
        <v>29740</v>
      </c>
      <c r="F2312" s="26"/>
      <c r="G2312" s="27" t="s">
        <v>5395</v>
      </c>
      <c r="H2312" s="28" t="s">
        <v>5396</v>
      </c>
      <c r="I2312" s="5" t="s">
        <v>638</v>
      </c>
    </row>
    <row r="2313" spans="1:9" ht="51.75" customHeight="1">
      <c r="A2313" s="5">
        <v>1</v>
      </c>
      <c r="B2313" s="5" t="s">
        <v>29741</v>
      </c>
      <c r="C2313" s="5" t="s">
        <v>29742</v>
      </c>
      <c r="D2313" s="246">
        <v>40774</v>
      </c>
      <c r="E2313" s="5" t="s">
        <v>29743</v>
      </c>
      <c r="F2313" s="26"/>
      <c r="G2313" s="27" t="s">
        <v>5349</v>
      </c>
      <c r="H2313" s="28" t="s">
        <v>5350</v>
      </c>
      <c r="I2313" s="5" t="s">
        <v>638</v>
      </c>
    </row>
    <row r="2314" spans="1:9" ht="51.75" customHeight="1">
      <c r="A2314" s="5">
        <v>1</v>
      </c>
      <c r="B2314" s="5" t="s">
        <v>29744</v>
      </c>
      <c r="C2314" s="5" t="s">
        <v>29745</v>
      </c>
      <c r="D2314" s="246">
        <v>40711</v>
      </c>
      <c r="E2314" s="5" t="s">
        <v>29746</v>
      </c>
      <c r="F2314" s="26"/>
      <c r="G2314" s="27" t="s">
        <v>5295</v>
      </c>
      <c r="H2314" s="28" t="s">
        <v>5296</v>
      </c>
      <c r="I2314" s="5" t="s">
        <v>638</v>
      </c>
    </row>
    <row r="2315" spans="1:9" ht="51.75" customHeight="1">
      <c r="A2315" s="5">
        <v>2</v>
      </c>
      <c r="B2315" s="5" t="s">
        <v>29747</v>
      </c>
      <c r="C2315" s="5" t="s">
        <v>29748</v>
      </c>
      <c r="D2315" s="246">
        <v>40711</v>
      </c>
      <c r="E2315" s="5" t="s">
        <v>29748</v>
      </c>
      <c r="F2315" s="26"/>
      <c r="G2315" s="27" t="s">
        <v>5295</v>
      </c>
      <c r="H2315" s="28" t="s">
        <v>5296</v>
      </c>
      <c r="I2315" s="5" t="s">
        <v>638</v>
      </c>
    </row>
    <row r="2316" spans="1:9" ht="51.75" customHeight="1">
      <c r="A2316" s="5">
        <v>3</v>
      </c>
      <c r="B2316" s="5" t="s">
        <v>29749</v>
      </c>
      <c r="C2316" s="5" t="s">
        <v>29750</v>
      </c>
      <c r="D2316" s="246">
        <v>40711</v>
      </c>
      <c r="E2316" s="5" t="s">
        <v>29751</v>
      </c>
      <c r="F2316" s="26"/>
      <c r="G2316" s="27" t="s">
        <v>5295</v>
      </c>
      <c r="H2316" s="28" t="s">
        <v>5296</v>
      </c>
      <c r="I2316" s="5" t="s">
        <v>638</v>
      </c>
    </row>
    <row r="2317" spans="1:9" ht="51.75" customHeight="1">
      <c r="A2317" s="5">
        <v>1</v>
      </c>
      <c r="B2317" s="5" t="s">
        <v>29752</v>
      </c>
      <c r="C2317" s="5" t="s">
        <v>29753</v>
      </c>
      <c r="D2317" s="246">
        <v>40863</v>
      </c>
      <c r="E2317" s="5" t="s">
        <v>29754</v>
      </c>
      <c r="F2317" s="26"/>
      <c r="G2317" s="27" t="s">
        <v>5290</v>
      </c>
      <c r="H2317" s="28" t="s">
        <v>5291</v>
      </c>
      <c r="I2317" s="5" t="s">
        <v>638</v>
      </c>
    </row>
    <row r="2318" spans="1:9" ht="51.75" customHeight="1">
      <c r="A2318" s="5">
        <v>2</v>
      </c>
      <c r="B2318" s="5" t="s">
        <v>29755</v>
      </c>
      <c r="C2318" s="5" t="s">
        <v>29756</v>
      </c>
      <c r="D2318" s="246">
        <v>40863</v>
      </c>
      <c r="E2318" s="5" t="s">
        <v>29757</v>
      </c>
      <c r="F2318" s="26"/>
      <c r="G2318" s="27" t="s">
        <v>5290</v>
      </c>
      <c r="H2318" s="28" t="s">
        <v>5291</v>
      </c>
      <c r="I2318" s="5" t="s">
        <v>638</v>
      </c>
    </row>
    <row r="2319" spans="1:9" ht="51.75" customHeight="1">
      <c r="A2319" s="5">
        <v>3</v>
      </c>
      <c r="B2319" s="5" t="s">
        <v>29758</v>
      </c>
      <c r="C2319" s="5" t="s">
        <v>29759</v>
      </c>
      <c r="D2319" s="246">
        <v>40863</v>
      </c>
      <c r="E2319" s="5" t="s">
        <v>29760</v>
      </c>
      <c r="F2319" s="26"/>
      <c r="G2319" s="27" t="s">
        <v>5290</v>
      </c>
      <c r="H2319" s="28" t="s">
        <v>5291</v>
      </c>
      <c r="I2319" s="5" t="s">
        <v>638</v>
      </c>
    </row>
    <row r="2320" spans="1:9" ht="51.75" customHeight="1">
      <c r="A2320" s="5">
        <v>4</v>
      </c>
      <c r="B2320" s="5" t="s">
        <v>29761</v>
      </c>
      <c r="C2320" s="5" t="s">
        <v>29729</v>
      </c>
      <c r="D2320" s="246">
        <v>40863</v>
      </c>
      <c r="E2320" s="5" t="s">
        <v>29729</v>
      </c>
      <c r="F2320" s="26"/>
      <c r="G2320" s="27" t="s">
        <v>5290</v>
      </c>
      <c r="H2320" s="28" t="s">
        <v>5291</v>
      </c>
      <c r="I2320" s="5" t="s">
        <v>638</v>
      </c>
    </row>
    <row r="2321" spans="1:9" ht="51.75" customHeight="1">
      <c r="A2321" s="5">
        <v>5</v>
      </c>
      <c r="B2321" s="5" t="s">
        <v>29762</v>
      </c>
      <c r="C2321" s="5" t="s">
        <v>29763</v>
      </c>
      <c r="D2321" s="246">
        <v>40863</v>
      </c>
      <c r="E2321" s="5" t="s">
        <v>29764</v>
      </c>
      <c r="F2321" s="26"/>
      <c r="G2321" s="27" t="s">
        <v>5290</v>
      </c>
      <c r="H2321" s="28" t="s">
        <v>5291</v>
      </c>
      <c r="I2321" s="5" t="s">
        <v>638</v>
      </c>
    </row>
    <row r="2322" spans="1:9" ht="51.75" customHeight="1">
      <c r="A2322" s="5">
        <v>1</v>
      </c>
      <c r="B2322" s="5" t="s">
        <v>29765</v>
      </c>
      <c r="C2322" s="5" t="s">
        <v>29766</v>
      </c>
      <c r="D2322" s="246">
        <v>40711</v>
      </c>
      <c r="E2322" s="5" t="s">
        <v>29766</v>
      </c>
      <c r="F2322" s="26"/>
      <c r="G2322" s="27" t="s">
        <v>5233</v>
      </c>
      <c r="H2322" s="28" t="s">
        <v>5234</v>
      </c>
      <c r="I2322" s="5" t="s">
        <v>638</v>
      </c>
    </row>
    <row r="2323" spans="1:9" ht="51.75" customHeight="1">
      <c r="A2323" s="5">
        <v>1</v>
      </c>
      <c r="B2323" s="5" t="s">
        <v>29767</v>
      </c>
      <c r="C2323" s="5" t="s">
        <v>29111</v>
      </c>
      <c r="D2323" s="246">
        <v>40657</v>
      </c>
      <c r="E2323" s="5" t="s">
        <v>29715</v>
      </c>
      <c r="F2323" s="26"/>
      <c r="G2323" s="27" t="s">
        <v>5179</v>
      </c>
      <c r="H2323" s="28" t="s">
        <v>5180</v>
      </c>
      <c r="I2323" s="5" t="s">
        <v>638</v>
      </c>
    </row>
    <row r="2324" spans="1:9" ht="51.75" customHeight="1">
      <c r="A2324" s="5" t="s">
        <v>29768</v>
      </c>
      <c r="B2324" s="5" t="s">
        <v>29769</v>
      </c>
      <c r="C2324" s="5" t="s">
        <v>29770</v>
      </c>
      <c r="D2324" s="246" t="s">
        <v>68</v>
      </c>
      <c r="E2324" s="5" t="s">
        <v>29771</v>
      </c>
      <c r="F2324" s="26" t="s">
        <v>23600</v>
      </c>
      <c r="G2324" s="27" t="s">
        <v>7670</v>
      </c>
      <c r="H2324" s="28" t="s">
        <v>7671</v>
      </c>
      <c r="I2324" s="5" t="s">
        <v>638</v>
      </c>
    </row>
    <row r="2325" spans="1:9" ht="51.75" customHeight="1">
      <c r="A2325" s="5" t="s">
        <v>29772</v>
      </c>
      <c r="B2325" s="5" t="s">
        <v>29773</v>
      </c>
      <c r="C2325" s="5" t="s">
        <v>29774</v>
      </c>
      <c r="D2325" s="246" t="s">
        <v>68</v>
      </c>
      <c r="E2325" s="5" t="s">
        <v>29775</v>
      </c>
      <c r="F2325" s="26" t="s">
        <v>23600</v>
      </c>
      <c r="G2325" s="27" t="s">
        <v>7670</v>
      </c>
      <c r="H2325" s="28" t="s">
        <v>7671</v>
      </c>
      <c r="I2325" s="5" t="s">
        <v>638</v>
      </c>
    </row>
    <row r="2326" spans="1:9" ht="51.75" customHeight="1">
      <c r="A2326" s="5" t="s">
        <v>25243</v>
      </c>
      <c r="B2326" s="5" t="s">
        <v>29776</v>
      </c>
      <c r="C2326" s="5" t="s">
        <v>29777</v>
      </c>
      <c r="D2326" s="246" t="s">
        <v>68</v>
      </c>
      <c r="E2326" s="5" t="s">
        <v>29778</v>
      </c>
      <c r="F2326" s="26" t="s">
        <v>23600</v>
      </c>
      <c r="G2326" s="27" t="s">
        <v>7802</v>
      </c>
      <c r="H2326" s="28" t="s">
        <v>7803</v>
      </c>
      <c r="I2326" s="5" t="s">
        <v>638</v>
      </c>
    </row>
    <row r="2327" spans="1:9" ht="51.75" customHeight="1">
      <c r="A2327" s="5" t="s">
        <v>24530</v>
      </c>
      <c r="B2327" s="5" t="s">
        <v>29779</v>
      </c>
      <c r="C2327" s="5" t="s">
        <v>29780</v>
      </c>
      <c r="D2327" s="246" t="s">
        <v>68</v>
      </c>
      <c r="E2327" s="5" t="s">
        <v>29781</v>
      </c>
      <c r="F2327" s="26" t="s">
        <v>23600</v>
      </c>
      <c r="G2327" s="27" t="s">
        <v>7802</v>
      </c>
      <c r="H2327" s="28" t="s">
        <v>7803</v>
      </c>
      <c r="I2327" s="5" t="s">
        <v>638</v>
      </c>
    </row>
    <row r="2328" spans="1:9" ht="51.75" customHeight="1">
      <c r="A2328" s="5" t="s">
        <v>24534</v>
      </c>
      <c r="B2328" s="5" t="s">
        <v>29782</v>
      </c>
      <c r="C2328" s="5" t="s">
        <v>29783</v>
      </c>
      <c r="D2328" s="246" t="s">
        <v>68</v>
      </c>
      <c r="E2328" s="5" t="s">
        <v>29784</v>
      </c>
      <c r="F2328" s="26" t="s">
        <v>23600</v>
      </c>
      <c r="G2328" s="27" t="s">
        <v>7802</v>
      </c>
      <c r="H2328" s="28" t="s">
        <v>7803</v>
      </c>
      <c r="I2328" s="5" t="s">
        <v>638</v>
      </c>
    </row>
    <row r="2329" spans="1:9" ht="51.75" customHeight="1">
      <c r="A2329" s="5">
        <v>1</v>
      </c>
      <c r="B2329" s="5" t="s">
        <v>29785</v>
      </c>
      <c r="C2329" s="5" t="s">
        <v>29786</v>
      </c>
      <c r="D2329" s="246">
        <v>39363</v>
      </c>
      <c r="E2329" s="5" t="s">
        <v>29787</v>
      </c>
      <c r="F2329" s="26" t="s">
        <v>23600</v>
      </c>
      <c r="G2329" s="27" t="s">
        <v>2148</v>
      </c>
      <c r="H2329" s="28" t="s">
        <v>2149</v>
      </c>
      <c r="I2329" s="5" t="s">
        <v>638</v>
      </c>
    </row>
    <row r="2330" spans="1:9" ht="51.75" customHeight="1">
      <c r="A2330" s="5">
        <v>1</v>
      </c>
      <c r="B2330" s="5" t="s">
        <v>29788</v>
      </c>
      <c r="C2330" s="5" t="s">
        <v>29434</v>
      </c>
      <c r="D2330" s="246">
        <v>39315</v>
      </c>
      <c r="E2330" s="5" t="s">
        <v>29434</v>
      </c>
      <c r="F2330" s="26" t="s">
        <v>23600</v>
      </c>
      <c r="G2330" s="27" t="s">
        <v>2094</v>
      </c>
      <c r="H2330" s="28" t="s">
        <v>2095</v>
      </c>
      <c r="I2330" s="5" t="s">
        <v>638</v>
      </c>
    </row>
    <row r="2331" spans="1:9" ht="51.75" customHeight="1">
      <c r="A2331" s="5">
        <v>2</v>
      </c>
      <c r="B2331" s="5" t="s">
        <v>29789</v>
      </c>
      <c r="C2331" s="5" t="s">
        <v>29790</v>
      </c>
      <c r="D2331" s="246">
        <v>39315</v>
      </c>
      <c r="E2331" s="5" t="s">
        <v>29791</v>
      </c>
      <c r="F2331" s="26" t="s">
        <v>23600</v>
      </c>
      <c r="G2331" s="27" t="s">
        <v>2094</v>
      </c>
      <c r="H2331" s="28" t="s">
        <v>2095</v>
      </c>
      <c r="I2331" s="5" t="s">
        <v>638</v>
      </c>
    </row>
    <row r="2332" spans="1:9" ht="51.75" customHeight="1">
      <c r="A2332" s="5">
        <v>3</v>
      </c>
      <c r="B2332" s="5" t="s">
        <v>29792</v>
      </c>
      <c r="C2332" s="5" t="s">
        <v>29793</v>
      </c>
      <c r="D2332" s="246">
        <v>39315</v>
      </c>
      <c r="E2332" s="5" t="s">
        <v>29794</v>
      </c>
      <c r="F2332" s="26" t="s">
        <v>23600</v>
      </c>
      <c r="G2332" s="27" t="s">
        <v>2094</v>
      </c>
      <c r="H2332" s="28" t="s">
        <v>2095</v>
      </c>
      <c r="I2332" s="5" t="s">
        <v>638</v>
      </c>
    </row>
    <row r="2333" spans="1:9" ht="51.75" customHeight="1">
      <c r="A2333" s="5">
        <v>1</v>
      </c>
      <c r="B2333" s="5" t="s">
        <v>29795</v>
      </c>
      <c r="C2333" s="5" t="s">
        <v>29796</v>
      </c>
      <c r="D2333" s="246">
        <v>39293</v>
      </c>
      <c r="E2333" s="5" t="s">
        <v>29797</v>
      </c>
      <c r="F2333" s="26" t="s">
        <v>23600</v>
      </c>
      <c r="G2333" s="27" t="s">
        <v>2012</v>
      </c>
      <c r="H2333" s="28" t="s">
        <v>2013</v>
      </c>
      <c r="I2333" s="5" t="s">
        <v>638</v>
      </c>
    </row>
    <row r="2334" spans="1:9" ht="51.75" customHeight="1">
      <c r="A2334" s="5">
        <v>1</v>
      </c>
      <c r="B2334" s="5" t="s">
        <v>29798</v>
      </c>
      <c r="C2334" s="5" t="s">
        <v>29799</v>
      </c>
      <c r="D2334" s="246">
        <v>39293</v>
      </c>
      <c r="E2334" s="5" t="s">
        <v>29799</v>
      </c>
      <c r="F2334" s="26" t="s">
        <v>23600</v>
      </c>
      <c r="G2334" s="27" t="s">
        <v>1972</v>
      </c>
      <c r="H2334" s="28" t="s">
        <v>1973</v>
      </c>
      <c r="I2334" s="5" t="s">
        <v>638</v>
      </c>
    </row>
    <row r="2335" spans="1:9" ht="51.75" customHeight="1">
      <c r="A2335" s="5">
        <v>2</v>
      </c>
      <c r="B2335" s="5" t="s">
        <v>29800</v>
      </c>
      <c r="C2335" s="5" t="s">
        <v>29801</v>
      </c>
      <c r="D2335" s="246">
        <v>39293</v>
      </c>
      <c r="E2335" s="5" t="s">
        <v>29801</v>
      </c>
      <c r="F2335" s="26" t="s">
        <v>23600</v>
      </c>
      <c r="G2335" s="27" t="s">
        <v>1972</v>
      </c>
      <c r="H2335" s="28" t="s">
        <v>1973</v>
      </c>
      <c r="I2335" s="5" t="s">
        <v>638</v>
      </c>
    </row>
    <row r="2336" spans="1:9" ht="51.75" customHeight="1">
      <c r="A2336" s="5">
        <v>3</v>
      </c>
      <c r="B2336" s="5" t="s">
        <v>29802</v>
      </c>
      <c r="C2336" s="5" t="s">
        <v>29803</v>
      </c>
      <c r="D2336" s="246">
        <v>39293</v>
      </c>
      <c r="E2336" s="5" t="s">
        <v>29804</v>
      </c>
      <c r="F2336" s="26" t="s">
        <v>23600</v>
      </c>
      <c r="G2336" s="27" t="s">
        <v>1972</v>
      </c>
      <c r="H2336" s="28" t="s">
        <v>1973</v>
      </c>
      <c r="I2336" s="5" t="s">
        <v>638</v>
      </c>
    </row>
    <row r="2337" spans="1:9" ht="51.75" customHeight="1">
      <c r="A2337" s="5">
        <v>1</v>
      </c>
      <c r="B2337" s="5" t="s">
        <v>29805</v>
      </c>
      <c r="C2337" s="5" t="s">
        <v>29806</v>
      </c>
      <c r="D2337" s="246">
        <v>39293</v>
      </c>
      <c r="E2337" s="5" t="s">
        <v>29806</v>
      </c>
      <c r="F2337" s="26" t="s">
        <v>23600</v>
      </c>
      <c r="G2337" s="27" t="s">
        <v>1968</v>
      </c>
      <c r="H2337" s="28" t="s">
        <v>1969</v>
      </c>
      <c r="I2337" s="5" t="s">
        <v>638</v>
      </c>
    </row>
    <row r="2338" spans="1:9" ht="51.75" customHeight="1">
      <c r="A2338" s="5">
        <v>2</v>
      </c>
      <c r="B2338" s="5" t="s">
        <v>29807</v>
      </c>
      <c r="C2338" s="5" t="s">
        <v>29801</v>
      </c>
      <c r="D2338" s="246">
        <v>39293</v>
      </c>
      <c r="E2338" s="5" t="s">
        <v>29801</v>
      </c>
      <c r="F2338" s="26" t="s">
        <v>23600</v>
      </c>
      <c r="G2338" s="27" t="s">
        <v>1968</v>
      </c>
      <c r="H2338" s="28" t="s">
        <v>1969</v>
      </c>
      <c r="I2338" s="5" t="s">
        <v>638</v>
      </c>
    </row>
    <row r="2339" spans="1:9" ht="51.75" customHeight="1">
      <c r="A2339" s="5">
        <v>3</v>
      </c>
      <c r="B2339" s="5" t="s">
        <v>29808</v>
      </c>
      <c r="C2339" s="5" t="s">
        <v>29803</v>
      </c>
      <c r="D2339" s="246">
        <v>39293</v>
      </c>
      <c r="E2339" s="5" t="s">
        <v>29804</v>
      </c>
      <c r="F2339" s="26" t="s">
        <v>23600</v>
      </c>
      <c r="G2339" s="27" t="s">
        <v>1968</v>
      </c>
      <c r="H2339" s="28" t="s">
        <v>1969</v>
      </c>
      <c r="I2339" s="5" t="s">
        <v>638</v>
      </c>
    </row>
    <row r="2340" spans="1:9" ht="51.75" customHeight="1">
      <c r="A2340" s="5">
        <v>1</v>
      </c>
      <c r="B2340" s="5" t="s">
        <v>29809</v>
      </c>
      <c r="C2340" s="5" t="s">
        <v>29810</v>
      </c>
      <c r="D2340" s="246">
        <v>39293</v>
      </c>
      <c r="E2340" s="5" t="s">
        <v>29810</v>
      </c>
      <c r="F2340" s="26" t="s">
        <v>23600</v>
      </c>
      <c r="G2340" s="27" t="s">
        <v>1931</v>
      </c>
      <c r="H2340" s="28" t="s">
        <v>1932</v>
      </c>
      <c r="I2340" s="5" t="s">
        <v>638</v>
      </c>
    </row>
    <row r="2341" spans="1:9" ht="51.75" customHeight="1">
      <c r="A2341" s="5">
        <v>2</v>
      </c>
      <c r="B2341" s="5" t="s">
        <v>29811</v>
      </c>
      <c r="C2341" s="5" t="s">
        <v>29812</v>
      </c>
      <c r="D2341" s="246">
        <v>39293</v>
      </c>
      <c r="E2341" s="5" t="s">
        <v>29812</v>
      </c>
      <c r="F2341" s="26" t="s">
        <v>23600</v>
      </c>
      <c r="G2341" s="27" t="s">
        <v>1931</v>
      </c>
      <c r="H2341" s="28" t="s">
        <v>1932</v>
      </c>
      <c r="I2341" s="5" t="s">
        <v>638</v>
      </c>
    </row>
    <row r="2342" spans="1:9" ht="51.75" customHeight="1">
      <c r="A2342" s="5">
        <v>3</v>
      </c>
      <c r="B2342" s="5" t="s">
        <v>29813</v>
      </c>
      <c r="C2342" s="5" t="s">
        <v>29814</v>
      </c>
      <c r="D2342" s="246">
        <v>39293</v>
      </c>
      <c r="E2342" s="5" t="s">
        <v>29815</v>
      </c>
      <c r="F2342" s="26" t="s">
        <v>23600</v>
      </c>
      <c r="G2342" s="27" t="s">
        <v>1931</v>
      </c>
      <c r="H2342" s="28" t="s">
        <v>1932</v>
      </c>
      <c r="I2342" s="5" t="s">
        <v>638</v>
      </c>
    </row>
    <row r="2343" spans="1:9" ht="51.75" customHeight="1">
      <c r="A2343" s="5">
        <v>1</v>
      </c>
      <c r="B2343" s="5" t="s">
        <v>29816</v>
      </c>
      <c r="C2343" s="5" t="s">
        <v>29817</v>
      </c>
      <c r="D2343" s="246">
        <v>39262</v>
      </c>
      <c r="E2343" s="5" t="s">
        <v>29817</v>
      </c>
      <c r="F2343" s="26" t="s">
        <v>23600</v>
      </c>
      <c r="G2343" s="27" t="s">
        <v>1881</v>
      </c>
      <c r="H2343" s="28" t="s">
        <v>1882</v>
      </c>
      <c r="I2343" s="5" t="s">
        <v>638</v>
      </c>
    </row>
    <row r="2344" spans="1:9" ht="51.75" customHeight="1">
      <c r="A2344" s="5">
        <v>2</v>
      </c>
      <c r="B2344" s="5" t="s">
        <v>29818</v>
      </c>
      <c r="C2344" s="5" t="s">
        <v>29819</v>
      </c>
      <c r="D2344" s="246">
        <v>39262</v>
      </c>
      <c r="E2344" s="5" t="s">
        <v>29819</v>
      </c>
      <c r="F2344" s="26" t="s">
        <v>23600</v>
      </c>
      <c r="G2344" s="27" t="s">
        <v>1881</v>
      </c>
      <c r="H2344" s="28" t="s">
        <v>1882</v>
      </c>
      <c r="I2344" s="5" t="s">
        <v>638</v>
      </c>
    </row>
    <row r="2345" spans="1:9" ht="51.75" customHeight="1">
      <c r="A2345" s="5">
        <v>1</v>
      </c>
      <c r="B2345" s="5" t="s">
        <v>29820</v>
      </c>
      <c r="C2345" s="5" t="s">
        <v>29821</v>
      </c>
      <c r="D2345" s="246">
        <v>39262</v>
      </c>
      <c r="E2345" s="5" t="s">
        <v>29821</v>
      </c>
      <c r="F2345" s="26" t="s">
        <v>23600</v>
      </c>
      <c r="G2345" s="27" t="s">
        <v>1871</v>
      </c>
      <c r="H2345" s="28" t="s">
        <v>1872</v>
      </c>
      <c r="I2345" s="5" t="s">
        <v>638</v>
      </c>
    </row>
    <row r="2346" spans="1:9" ht="51.75" customHeight="1">
      <c r="A2346" s="5">
        <v>2</v>
      </c>
      <c r="B2346" s="5" t="s">
        <v>29822</v>
      </c>
      <c r="C2346" s="5" t="s">
        <v>29801</v>
      </c>
      <c r="D2346" s="246">
        <v>39262</v>
      </c>
      <c r="E2346" s="5" t="s">
        <v>29801</v>
      </c>
      <c r="F2346" s="26" t="s">
        <v>23600</v>
      </c>
      <c r="G2346" s="27" t="s">
        <v>1871</v>
      </c>
      <c r="H2346" s="28" t="s">
        <v>1872</v>
      </c>
      <c r="I2346" s="5" t="s">
        <v>638</v>
      </c>
    </row>
    <row r="2347" spans="1:9" ht="51.75" customHeight="1">
      <c r="A2347" s="5">
        <v>3</v>
      </c>
      <c r="B2347" s="5" t="s">
        <v>29823</v>
      </c>
      <c r="C2347" s="5" t="s">
        <v>29824</v>
      </c>
      <c r="D2347" s="246">
        <v>39262</v>
      </c>
      <c r="E2347" s="5" t="s">
        <v>29824</v>
      </c>
      <c r="F2347" s="26" t="s">
        <v>23600</v>
      </c>
      <c r="G2347" s="27" t="s">
        <v>1871</v>
      </c>
      <c r="H2347" s="28" t="s">
        <v>1872</v>
      </c>
      <c r="I2347" s="5" t="s">
        <v>638</v>
      </c>
    </row>
    <row r="2348" spans="1:9" ht="51.75" customHeight="1">
      <c r="A2348" s="5">
        <v>1</v>
      </c>
      <c r="B2348" s="5" t="s">
        <v>29825</v>
      </c>
      <c r="C2348" s="5" t="s">
        <v>29826</v>
      </c>
      <c r="D2348" s="246">
        <v>39198</v>
      </c>
      <c r="E2348" s="5" t="s">
        <v>29827</v>
      </c>
      <c r="F2348" s="26" t="s">
        <v>23600</v>
      </c>
      <c r="G2348" s="27" t="s">
        <v>1763</v>
      </c>
      <c r="H2348" s="28" t="s">
        <v>1764</v>
      </c>
      <c r="I2348" s="5" t="s">
        <v>638</v>
      </c>
    </row>
    <row r="2349" spans="1:9" ht="51.75" customHeight="1">
      <c r="A2349" s="5">
        <v>2</v>
      </c>
      <c r="B2349" s="5" t="s">
        <v>29828</v>
      </c>
      <c r="C2349" s="5" t="s">
        <v>29829</v>
      </c>
      <c r="D2349" s="246">
        <v>39198</v>
      </c>
      <c r="E2349" s="5" t="s">
        <v>29830</v>
      </c>
      <c r="F2349" s="26" t="s">
        <v>23600</v>
      </c>
      <c r="G2349" s="27" t="s">
        <v>1763</v>
      </c>
      <c r="H2349" s="28" t="s">
        <v>1764</v>
      </c>
      <c r="I2349" s="5" t="s">
        <v>638</v>
      </c>
    </row>
    <row r="2350" spans="1:9" ht="51.75" customHeight="1">
      <c r="A2350" s="5">
        <v>3</v>
      </c>
      <c r="B2350" s="5" t="s">
        <v>29831</v>
      </c>
      <c r="C2350" s="5" t="s">
        <v>29832</v>
      </c>
      <c r="D2350" s="246">
        <v>39198</v>
      </c>
      <c r="E2350" s="5" t="s">
        <v>29833</v>
      </c>
      <c r="F2350" s="26" t="s">
        <v>23600</v>
      </c>
      <c r="G2350" s="27" t="s">
        <v>1763</v>
      </c>
      <c r="H2350" s="28" t="s">
        <v>1764</v>
      </c>
      <c r="I2350" s="5" t="s">
        <v>638</v>
      </c>
    </row>
    <row r="2351" spans="1:9" ht="51.75" customHeight="1">
      <c r="A2351" s="5">
        <v>4</v>
      </c>
      <c r="B2351" s="5" t="s">
        <v>29834</v>
      </c>
      <c r="C2351" s="5" t="s">
        <v>29835</v>
      </c>
      <c r="D2351" s="246">
        <v>39198</v>
      </c>
      <c r="E2351" s="5" t="s">
        <v>29836</v>
      </c>
      <c r="F2351" s="26" t="s">
        <v>23600</v>
      </c>
      <c r="G2351" s="27" t="s">
        <v>1763</v>
      </c>
      <c r="H2351" s="28" t="s">
        <v>1764</v>
      </c>
      <c r="I2351" s="5" t="s">
        <v>638</v>
      </c>
    </row>
    <row r="2352" spans="1:9" ht="51.75" customHeight="1">
      <c r="A2352" s="5">
        <v>5</v>
      </c>
      <c r="B2352" s="5" t="s">
        <v>29837</v>
      </c>
      <c r="C2352" s="5" t="s">
        <v>29838</v>
      </c>
      <c r="D2352" s="246">
        <v>39198</v>
      </c>
      <c r="E2352" s="5" t="s">
        <v>29839</v>
      </c>
      <c r="F2352" s="26" t="s">
        <v>23600</v>
      </c>
      <c r="G2352" s="27" t="s">
        <v>1763</v>
      </c>
      <c r="H2352" s="28" t="s">
        <v>1764</v>
      </c>
      <c r="I2352" s="5" t="s">
        <v>638</v>
      </c>
    </row>
    <row r="2353" spans="1:9" ht="51.75" customHeight="1">
      <c r="A2353" s="5">
        <v>1</v>
      </c>
      <c r="B2353" s="5" t="s">
        <v>29840</v>
      </c>
      <c r="C2353" s="5" t="s">
        <v>29819</v>
      </c>
      <c r="D2353" s="246">
        <v>39232</v>
      </c>
      <c r="E2353" s="5" t="s">
        <v>29819</v>
      </c>
      <c r="F2353" s="26" t="s">
        <v>23600</v>
      </c>
      <c r="G2353" s="27" t="s">
        <v>1851</v>
      </c>
      <c r="H2353" s="28" t="s">
        <v>1852</v>
      </c>
      <c r="I2353" s="5" t="s">
        <v>638</v>
      </c>
    </row>
    <row r="2354" spans="1:9" ht="51.75" customHeight="1">
      <c r="A2354" s="5">
        <v>1</v>
      </c>
      <c r="B2354" s="5" t="s">
        <v>29841</v>
      </c>
      <c r="C2354" s="5" t="s">
        <v>29842</v>
      </c>
      <c r="D2354" s="246">
        <v>39232</v>
      </c>
      <c r="E2354" s="5" t="s">
        <v>29842</v>
      </c>
      <c r="F2354" s="26" t="s">
        <v>23600</v>
      </c>
      <c r="G2354" s="27" t="s">
        <v>1847</v>
      </c>
      <c r="H2354" s="28" t="s">
        <v>1848</v>
      </c>
      <c r="I2354" s="5" t="s">
        <v>638</v>
      </c>
    </row>
    <row r="2355" spans="1:9" ht="51.75" customHeight="1">
      <c r="A2355" s="5">
        <v>2</v>
      </c>
      <c r="B2355" s="5" t="s">
        <v>29843</v>
      </c>
      <c r="C2355" s="5" t="s">
        <v>29819</v>
      </c>
      <c r="D2355" s="246">
        <v>39232</v>
      </c>
      <c r="E2355" s="5" t="s">
        <v>29819</v>
      </c>
      <c r="F2355" s="26" t="s">
        <v>23600</v>
      </c>
      <c r="G2355" s="27" t="s">
        <v>1847</v>
      </c>
      <c r="H2355" s="28" t="s">
        <v>1848</v>
      </c>
      <c r="I2355" s="5" t="s">
        <v>638</v>
      </c>
    </row>
    <row r="2356" spans="1:9" ht="51.75" customHeight="1">
      <c r="A2356" s="5">
        <v>1</v>
      </c>
      <c r="B2356" s="5" t="s">
        <v>29844</v>
      </c>
      <c r="C2356" s="5" t="s">
        <v>29810</v>
      </c>
      <c r="D2356" s="246">
        <v>39232</v>
      </c>
      <c r="E2356" s="5" t="s">
        <v>29810</v>
      </c>
      <c r="F2356" s="26" t="s">
        <v>23600</v>
      </c>
      <c r="G2356" s="27" t="s">
        <v>1842</v>
      </c>
      <c r="H2356" s="28" t="s">
        <v>1843</v>
      </c>
      <c r="I2356" s="5" t="s">
        <v>638</v>
      </c>
    </row>
    <row r="2357" spans="1:9" ht="51.75" customHeight="1">
      <c r="A2357" s="5">
        <v>2</v>
      </c>
      <c r="B2357" s="5" t="s">
        <v>29845</v>
      </c>
      <c r="C2357" s="5" t="s">
        <v>29846</v>
      </c>
      <c r="D2357" s="246">
        <v>39232</v>
      </c>
      <c r="E2357" s="5" t="s">
        <v>29846</v>
      </c>
      <c r="F2357" s="26" t="s">
        <v>23600</v>
      </c>
      <c r="G2357" s="27" t="s">
        <v>1842</v>
      </c>
      <c r="H2357" s="28" t="s">
        <v>1843</v>
      </c>
      <c r="I2357" s="5" t="s">
        <v>638</v>
      </c>
    </row>
    <row r="2358" spans="1:9" ht="51.75" customHeight="1">
      <c r="A2358" s="5">
        <v>1</v>
      </c>
      <c r="B2358" s="5" t="s">
        <v>29847</v>
      </c>
      <c r="C2358" s="5" t="s">
        <v>29848</v>
      </c>
      <c r="D2358" s="246">
        <v>39232</v>
      </c>
      <c r="E2358" s="5" t="s">
        <v>29848</v>
      </c>
      <c r="F2358" s="26" t="s">
        <v>23600</v>
      </c>
      <c r="G2358" s="27" t="s">
        <v>1826</v>
      </c>
      <c r="H2358" s="28" t="s">
        <v>1827</v>
      </c>
      <c r="I2358" s="5" t="s">
        <v>638</v>
      </c>
    </row>
    <row r="2359" spans="1:9" ht="51.75" customHeight="1">
      <c r="A2359" s="5">
        <v>2</v>
      </c>
      <c r="B2359" s="5" t="s">
        <v>29849</v>
      </c>
      <c r="C2359" s="5" t="s">
        <v>29850</v>
      </c>
      <c r="D2359" s="246">
        <v>39232</v>
      </c>
      <c r="E2359" s="5" t="s">
        <v>29851</v>
      </c>
      <c r="F2359" s="26" t="s">
        <v>23600</v>
      </c>
      <c r="G2359" s="27" t="s">
        <v>1826</v>
      </c>
      <c r="H2359" s="28" t="s">
        <v>1827</v>
      </c>
      <c r="I2359" s="5" t="s">
        <v>638</v>
      </c>
    </row>
    <row r="2360" spans="1:9" ht="51.75" customHeight="1">
      <c r="A2360" s="5">
        <v>1</v>
      </c>
      <c r="B2360" s="5" t="s">
        <v>29852</v>
      </c>
      <c r="C2360" s="5" t="s">
        <v>29434</v>
      </c>
      <c r="D2360" s="246">
        <v>39232</v>
      </c>
      <c r="E2360" s="5" t="s">
        <v>29434</v>
      </c>
      <c r="F2360" s="26" t="s">
        <v>23600</v>
      </c>
      <c r="G2360" s="27" t="s">
        <v>1815</v>
      </c>
      <c r="H2360" s="28" t="s">
        <v>1816</v>
      </c>
      <c r="I2360" s="5" t="s">
        <v>638</v>
      </c>
    </row>
    <row r="2361" spans="1:9" ht="51.75" customHeight="1">
      <c r="A2361" s="5">
        <v>2</v>
      </c>
      <c r="B2361" s="5" t="s">
        <v>29853</v>
      </c>
      <c r="C2361" s="5" t="s">
        <v>29854</v>
      </c>
      <c r="D2361" s="246">
        <v>39232</v>
      </c>
      <c r="E2361" s="5" t="s">
        <v>29854</v>
      </c>
      <c r="F2361" s="26" t="s">
        <v>23600</v>
      </c>
      <c r="G2361" s="27" t="s">
        <v>1815</v>
      </c>
      <c r="H2361" s="28" t="s">
        <v>1816</v>
      </c>
      <c r="I2361" s="5" t="s">
        <v>638</v>
      </c>
    </row>
    <row r="2362" spans="1:9" ht="51.75" customHeight="1">
      <c r="A2362" s="5">
        <v>1</v>
      </c>
      <c r="B2362" s="5" t="s">
        <v>29855</v>
      </c>
      <c r="C2362" s="5" t="s">
        <v>29824</v>
      </c>
      <c r="D2362" s="246">
        <v>39232</v>
      </c>
      <c r="E2362" s="5" t="s">
        <v>29824</v>
      </c>
      <c r="F2362" s="26" t="s">
        <v>23600</v>
      </c>
      <c r="G2362" s="27" t="s">
        <v>1784</v>
      </c>
      <c r="H2362" s="28" t="s">
        <v>1785</v>
      </c>
      <c r="I2362" s="5" t="s">
        <v>638</v>
      </c>
    </row>
    <row r="2363" spans="1:9" ht="51.75" customHeight="1">
      <c r="A2363" s="5">
        <v>2</v>
      </c>
      <c r="B2363" s="5" t="s">
        <v>29856</v>
      </c>
      <c r="C2363" s="5" t="s">
        <v>29857</v>
      </c>
      <c r="D2363" s="246">
        <v>39232</v>
      </c>
      <c r="E2363" s="5" t="s">
        <v>29857</v>
      </c>
      <c r="F2363" s="26" t="s">
        <v>23600</v>
      </c>
      <c r="G2363" s="27" t="s">
        <v>1784</v>
      </c>
      <c r="H2363" s="28" t="s">
        <v>1785</v>
      </c>
      <c r="I2363" s="5" t="s">
        <v>638</v>
      </c>
    </row>
    <row r="2364" spans="1:9" ht="51.75" customHeight="1">
      <c r="A2364" s="5">
        <v>3</v>
      </c>
      <c r="B2364" s="5" t="s">
        <v>29858</v>
      </c>
      <c r="C2364" s="5" t="s">
        <v>29859</v>
      </c>
      <c r="D2364" s="246">
        <v>39232</v>
      </c>
      <c r="E2364" s="5" t="s">
        <v>29860</v>
      </c>
      <c r="F2364" s="26" t="s">
        <v>23600</v>
      </c>
      <c r="G2364" s="27" t="s">
        <v>1784</v>
      </c>
      <c r="H2364" s="28" t="s">
        <v>1785</v>
      </c>
      <c r="I2364" s="5" t="s">
        <v>638</v>
      </c>
    </row>
    <row r="2365" spans="1:9" ht="51.75" customHeight="1">
      <c r="A2365" s="5">
        <v>1</v>
      </c>
      <c r="B2365" s="5" t="s">
        <v>29861</v>
      </c>
      <c r="C2365" s="5" t="s">
        <v>29862</v>
      </c>
      <c r="D2365" s="246">
        <v>39220</v>
      </c>
      <c r="E2365" s="5" t="s">
        <v>29862</v>
      </c>
      <c r="F2365" s="26" t="s">
        <v>23600</v>
      </c>
      <c r="G2365" s="27" t="s">
        <v>1728</v>
      </c>
      <c r="H2365" s="28" t="s">
        <v>1729</v>
      </c>
      <c r="I2365" s="5" t="s">
        <v>638</v>
      </c>
    </row>
    <row r="2366" spans="1:9" ht="51.75" customHeight="1">
      <c r="A2366" s="5">
        <v>1</v>
      </c>
      <c r="B2366" s="5" t="s">
        <v>29863</v>
      </c>
      <c r="C2366" s="5" t="s">
        <v>29864</v>
      </c>
      <c r="D2366" s="246">
        <v>39220</v>
      </c>
      <c r="E2366" s="5" t="s">
        <v>29865</v>
      </c>
      <c r="F2366" s="26" t="s">
        <v>23600</v>
      </c>
      <c r="G2366" s="27" t="s">
        <v>1719</v>
      </c>
      <c r="H2366" s="28" t="s">
        <v>1720</v>
      </c>
      <c r="I2366" s="5" t="s">
        <v>638</v>
      </c>
    </row>
    <row r="2367" spans="1:9" ht="51.75" customHeight="1">
      <c r="A2367" s="5" t="s">
        <v>28637</v>
      </c>
      <c r="B2367" s="5" t="s">
        <v>29866</v>
      </c>
      <c r="C2367" s="5" t="s">
        <v>29867</v>
      </c>
      <c r="D2367" s="246" t="s">
        <v>68</v>
      </c>
      <c r="E2367" s="5" t="s">
        <v>29868</v>
      </c>
      <c r="F2367" s="26" t="s">
        <v>23600</v>
      </c>
      <c r="G2367" s="27" t="s">
        <v>7953</v>
      </c>
      <c r="H2367" s="28" t="s">
        <v>7954</v>
      </c>
      <c r="I2367" s="5" t="s">
        <v>638</v>
      </c>
    </row>
    <row r="2368" spans="1:9" ht="51.75" customHeight="1">
      <c r="A2368" s="5" t="s">
        <v>28640</v>
      </c>
      <c r="B2368" s="5" t="s">
        <v>29869</v>
      </c>
      <c r="C2368" s="5" t="s">
        <v>29870</v>
      </c>
      <c r="D2368" s="246" t="s">
        <v>68</v>
      </c>
      <c r="E2368" s="5" t="s">
        <v>29871</v>
      </c>
      <c r="F2368" s="26" t="s">
        <v>23600</v>
      </c>
      <c r="G2368" s="27" t="s">
        <v>7953</v>
      </c>
      <c r="H2368" s="28" t="s">
        <v>7954</v>
      </c>
      <c r="I2368" s="5" t="s">
        <v>638</v>
      </c>
    </row>
    <row r="2369" spans="1:9" ht="51.75" customHeight="1">
      <c r="A2369" s="5" t="s">
        <v>23832</v>
      </c>
      <c r="B2369" s="5" t="s">
        <v>29872</v>
      </c>
      <c r="C2369" s="5" t="s">
        <v>29873</v>
      </c>
      <c r="D2369" s="246" t="s">
        <v>68</v>
      </c>
      <c r="E2369" s="5" t="s">
        <v>29874</v>
      </c>
      <c r="F2369" s="26" t="s">
        <v>23600</v>
      </c>
      <c r="G2369" s="27" t="s">
        <v>7953</v>
      </c>
      <c r="H2369" s="28" t="s">
        <v>7954</v>
      </c>
      <c r="I2369" s="5" t="s">
        <v>638</v>
      </c>
    </row>
    <row r="2370" spans="1:9" ht="51.75" customHeight="1">
      <c r="A2370" s="5" t="s">
        <v>27380</v>
      </c>
      <c r="B2370" s="5" t="s">
        <v>29875</v>
      </c>
      <c r="C2370" s="5" t="s">
        <v>29876</v>
      </c>
      <c r="D2370" s="246" t="s">
        <v>68</v>
      </c>
      <c r="E2370" s="5" t="s">
        <v>29877</v>
      </c>
      <c r="F2370" s="26" t="s">
        <v>23600</v>
      </c>
      <c r="G2370" s="27" t="s">
        <v>7953</v>
      </c>
      <c r="H2370" s="28" t="s">
        <v>7954</v>
      </c>
      <c r="I2370" s="5" t="s">
        <v>638</v>
      </c>
    </row>
    <row r="2371" spans="1:9" ht="51.75" customHeight="1">
      <c r="A2371" s="5" t="s">
        <v>27261</v>
      </c>
      <c r="B2371" s="5" t="s">
        <v>29878</v>
      </c>
      <c r="C2371" s="5" t="s">
        <v>29879</v>
      </c>
      <c r="D2371" s="246" t="s">
        <v>68</v>
      </c>
      <c r="E2371" s="5" t="s">
        <v>29880</v>
      </c>
      <c r="F2371" s="26" t="s">
        <v>23600</v>
      </c>
      <c r="G2371" s="27" t="s">
        <v>7953</v>
      </c>
      <c r="H2371" s="28" t="s">
        <v>7954</v>
      </c>
      <c r="I2371" s="5" t="s">
        <v>638</v>
      </c>
    </row>
    <row r="2372" spans="1:9" ht="51.75" customHeight="1">
      <c r="A2372" s="5" t="s">
        <v>27386</v>
      </c>
      <c r="B2372" s="5" t="s">
        <v>29881</v>
      </c>
      <c r="C2372" s="5" t="s">
        <v>29882</v>
      </c>
      <c r="D2372" s="246" t="s">
        <v>68</v>
      </c>
      <c r="E2372" s="5" t="s">
        <v>29883</v>
      </c>
      <c r="F2372" s="26" t="s">
        <v>23600</v>
      </c>
      <c r="G2372" s="27" t="s">
        <v>7953</v>
      </c>
      <c r="H2372" s="28" t="s">
        <v>7954</v>
      </c>
      <c r="I2372" s="5" t="s">
        <v>638</v>
      </c>
    </row>
    <row r="2373" spans="1:9" ht="51.75" customHeight="1">
      <c r="A2373" s="5" t="s">
        <v>28431</v>
      </c>
      <c r="B2373" s="5" t="s">
        <v>29884</v>
      </c>
      <c r="C2373" s="5" t="s">
        <v>29885</v>
      </c>
      <c r="D2373" s="246" t="s">
        <v>68</v>
      </c>
      <c r="E2373" s="5" t="s">
        <v>29886</v>
      </c>
      <c r="F2373" s="26" t="s">
        <v>23600</v>
      </c>
      <c r="G2373" s="27" t="s">
        <v>8059</v>
      </c>
      <c r="H2373" s="28" t="s">
        <v>8060</v>
      </c>
      <c r="I2373" s="5" t="s">
        <v>638</v>
      </c>
    </row>
    <row r="2374" spans="1:9" ht="51.75" customHeight="1">
      <c r="A2374" s="5" t="s">
        <v>24389</v>
      </c>
      <c r="B2374" s="5" t="s">
        <v>29887</v>
      </c>
      <c r="C2374" s="5" t="s">
        <v>29888</v>
      </c>
      <c r="D2374" s="246" t="s">
        <v>68</v>
      </c>
      <c r="E2374" s="5" t="s">
        <v>29889</v>
      </c>
      <c r="F2374" s="26" t="s">
        <v>23600</v>
      </c>
      <c r="G2374" s="27" t="s">
        <v>8133</v>
      </c>
      <c r="H2374" s="28" t="s">
        <v>8134</v>
      </c>
      <c r="I2374" s="5" t="s">
        <v>638</v>
      </c>
    </row>
    <row r="2375" spans="1:9" ht="51.75" customHeight="1">
      <c r="A2375" s="5" t="s">
        <v>26087</v>
      </c>
      <c r="B2375" s="5" t="s">
        <v>29890</v>
      </c>
      <c r="C2375" s="5" t="s">
        <v>29891</v>
      </c>
      <c r="D2375" s="246" t="s">
        <v>68</v>
      </c>
      <c r="E2375" s="5" t="s">
        <v>29892</v>
      </c>
      <c r="F2375" s="26" t="s">
        <v>23600</v>
      </c>
      <c r="G2375" s="27" t="s">
        <v>8133</v>
      </c>
      <c r="H2375" s="28" t="s">
        <v>8134</v>
      </c>
      <c r="I2375" s="5" t="s">
        <v>638</v>
      </c>
    </row>
    <row r="2376" spans="1:9" ht="51.75" customHeight="1">
      <c r="A2376" s="5" t="s">
        <v>24700</v>
      </c>
      <c r="B2376" s="5" t="s">
        <v>29893</v>
      </c>
      <c r="C2376" s="5" t="s">
        <v>29894</v>
      </c>
      <c r="D2376" s="246" t="s">
        <v>68</v>
      </c>
      <c r="E2376" s="5" t="s">
        <v>29895</v>
      </c>
      <c r="F2376" s="26" t="s">
        <v>23600</v>
      </c>
      <c r="G2376" s="27" t="s">
        <v>8211</v>
      </c>
      <c r="H2376" s="28" t="s">
        <v>8212</v>
      </c>
      <c r="I2376" s="5" t="s">
        <v>638</v>
      </c>
    </row>
    <row r="2377" spans="1:9" ht="51.75" customHeight="1">
      <c r="A2377" s="5" t="s">
        <v>29896</v>
      </c>
      <c r="B2377" s="5" t="s">
        <v>29897</v>
      </c>
      <c r="C2377" s="5" t="s">
        <v>29898</v>
      </c>
      <c r="D2377" s="246" t="s">
        <v>68</v>
      </c>
      <c r="E2377" s="5" t="s">
        <v>29899</v>
      </c>
      <c r="F2377" s="26" t="s">
        <v>23600</v>
      </c>
      <c r="G2377" s="27" t="s">
        <v>8211</v>
      </c>
      <c r="H2377" s="28" t="s">
        <v>8212</v>
      </c>
      <c r="I2377" s="5" t="s">
        <v>638</v>
      </c>
    </row>
    <row r="2378" spans="1:9" ht="51.75" customHeight="1">
      <c r="A2378" s="5" t="s">
        <v>27440</v>
      </c>
      <c r="B2378" s="5" t="s">
        <v>29900</v>
      </c>
      <c r="C2378" s="5" t="s">
        <v>29901</v>
      </c>
      <c r="D2378" s="246" t="s">
        <v>68</v>
      </c>
      <c r="E2378" s="5" t="s">
        <v>29902</v>
      </c>
      <c r="F2378" s="26" t="s">
        <v>23600</v>
      </c>
      <c r="G2378" s="27" t="s">
        <v>8211</v>
      </c>
      <c r="H2378" s="28" t="s">
        <v>8212</v>
      </c>
      <c r="I2378" s="5" t="s">
        <v>638</v>
      </c>
    </row>
    <row r="2379" spans="1:9" ht="51.75" customHeight="1">
      <c r="A2379" s="5" t="s">
        <v>28631</v>
      </c>
      <c r="B2379" s="5" t="s">
        <v>29903</v>
      </c>
      <c r="C2379" s="5" t="s">
        <v>29904</v>
      </c>
      <c r="D2379" s="246" t="s">
        <v>68</v>
      </c>
      <c r="E2379" s="5" t="s">
        <v>29905</v>
      </c>
      <c r="F2379" s="26" t="s">
        <v>23600</v>
      </c>
      <c r="G2379" s="27" t="s">
        <v>8265</v>
      </c>
      <c r="H2379" s="28" t="s">
        <v>8266</v>
      </c>
      <c r="I2379" s="5" t="s">
        <v>638</v>
      </c>
    </row>
    <row r="2380" spans="1:9" ht="51.75" customHeight="1">
      <c r="A2380" s="5" t="s">
        <v>25346</v>
      </c>
      <c r="B2380" s="5" t="s">
        <v>29906</v>
      </c>
      <c r="C2380" s="5" t="s">
        <v>29907</v>
      </c>
      <c r="D2380" s="246" t="s">
        <v>68</v>
      </c>
      <c r="E2380" s="5" t="s">
        <v>29908</v>
      </c>
      <c r="F2380" s="26" t="s">
        <v>23600</v>
      </c>
      <c r="G2380" s="27" t="s">
        <v>8310</v>
      </c>
      <c r="H2380" s="28" t="s">
        <v>8311</v>
      </c>
      <c r="I2380" s="5" t="s">
        <v>638</v>
      </c>
    </row>
    <row r="2381" spans="1:9" ht="51.75" customHeight="1">
      <c r="A2381" s="5" t="s">
        <v>25652</v>
      </c>
      <c r="B2381" s="5" t="s">
        <v>29909</v>
      </c>
      <c r="C2381" s="5" t="s">
        <v>29910</v>
      </c>
      <c r="D2381" s="246" t="s">
        <v>68</v>
      </c>
      <c r="E2381" s="5" t="s">
        <v>29574</v>
      </c>
      <c r="F2381" s="26" t="s">
        <v>23600</v>
      </c>
      <c r="G2381" s="27" t="s">
        <v>8400</v>
      </c>
      <c r="H2381" s="28" t="s">
        <v>8401</v>
      </c>
      <c r="I2381" s="5" t="s">
        <v>638</v>
      </c>
    </row>
    <row r="2382" spans="1:9" ht="51.75" customHeight="1">
      <c r="A2382" s="5" t="s">
        <v>25915</v>
      </c>
      <c r="B2382" s="5" t="s">
        <v>29911</v>
      </c>
      <c r="C2382" s="5" t="s">
        <v>29912</v>
      </c>
      <c r="D2382" s="246" t="s">
        <v>68</v>
      </c>
      <c r="E2382" s="5" t="s">
        <v>29913</v>
      </c>
      <c r="F2382" s="26" t="s">
        <v>23600</v>
      </c>
      <c r="G2382" s="27" t="s">
        <v>8400</v>
      </c>
      <c r="H2382" s="28" t="s">
        <v>8401</v>
      </c>
      <c r="I2382" s="5" t="s">
        <v>638</v>
      </c>
    </row>
    <row r="2383" spans="1:9" ht="51.75" customHeight="1">
      <c r="A2383" s="5" t="s">
        <v>25082</v>
      </c>
      <c r="B2383" s="5" t="s">
        <v>29914</v>
      </c>
      <c r="C2383" s="5" t="s">
        <v>29915</v>
      </c>
      <c r="D2383" s="246" t="s">
        <v>68</v>
      </c>
      <c r="E2383" s="5" t="s">
        <v>29916</v>
      </c>
      <c r="F2383" s="26" t="s">
        <v>23600</v>
      </c>
      <c r="G2383" s="27" t="s">
        <v>8439</v>
      </c>
      <c r="H2383" s="28" t="s">
        <v>8440</v>
      </c>
      <c r="I2383" s="5" t="s">
        <v>638</v>
      </c>
    </row>
    <row r="2384" spans="1:9" ht="51.75" customHeight="1">
      <c r="A2384" s="5" t="s">
        <v>25086</v>
      </c>
      <c r="B2384" s="5" t="s">
        <v>29917</v>
      </c>
      <c r="C2384" s="5" t="s">
        <v>29918</v>
      </c>
      <c r="D2384" s="246" t="s">
        <v>68</v>
      </c>
      <c r="E2384" s="5" t="s">
        <v>29919</v>
      </c>
      <c r="F2384" s="26" t="s">
        <v>23600</v>
      </c>
      <c r="G2384" s="27" t="s">
        <v>8439</v>
      </c>
      <c r="H2384" s="28" t="s">
        <v>8440</v>
      </c>
      <c r="I2384" s="5" t="s">
        <v>638</v>
      </c>
    </row>
    <row r="2385" spans="1:9" ht="51.75" customHeight="1">
      <c r="A2385" s="5" t="s">
        <v>25920</v>
      </c>
      <c r="B2385" s="5" t="s">
        <v>29920</v>
      </c>
      <c r="C2385" s="5" t="s">
        <v>29921</v>
      </c>
      <c r="D2385" s="246" t="s">
        <v>68</v>
      </c>
      <c r="E2385" s="5" t="s">
        <v>29922</v>
      </c>
      <c r="F2385" s="26" t="s">
        <v>23600</v>
      </c>
      <c r="G2385" s="27" t="s">
        <v>8520</v>
      </c>
      <c r="H2385" s="28" t="s">
        <v>8521</v>
      </c>
      <c r="I2385" s="5" t="s">
        <v>638</v>
      </c>
    </row>
    <row r="2386" spans="1:9" ht="51.75" customHeight="1">
      <c r="A2386" s="5" t="s">
        <v>25926</v>
      </c>
      <c r="B2386" s="5" t="s">
        <v>29923</v>
      </c>
      <c r="C2386" s="5" t="s">
        <v>29924</v>
      </c>
      <c r="D2386" s="246" t="s">
        <v>68</v>
      </c>
      <c r="E2386" s="5" t="s">
        <v>29925</v>
      </c>
      <c r="F2386" s="26" t="s">
        <v>23600</v>
      </c>
      <c r="G2386" s="27" t="s">
        <v>8520</v>
      </c>
      <c r="H2386" s="28" t="s">
        <v>8521</v>
      </c>
      <c r="I2386" s="5" t="s">
        <v>638</v>
      </c>
    </row>
    <row r="2387" spans="1:9" ht="51.75" customHeight="1">
      <c r="A2387" s="5" t="s">
        <v>29768</v>
      </c>
      <c r="B2387" s="5" t="s">
        <v>29926</v>
      </c>
      <c r="C2387" s="5" t="s">
        <v>29927</v>
      </c>
      <c r="D2387" s="246" t="s">
        <v>68</v>
      </c>
      <c r="E2387" s="5" t="s">
        <v>29928</v>
      </c>
      <c r="F2387" s="26" t="s">
        <v>23600</v>
      </c>
      <c r="G2387" s="27" t="s">
        <v>8670</v>
      </c>
      <c r="H2387" s="28" t="s">
        <v>8671</v>
      </c>
      <c r="I2387" s="5" t="s">
        <v>638</v>
      </c>
    </row>
    <row r="2388" spans="1:9" ht="51.75" customHeight="1">
      <c r="A2388" s="5" t="s">
        <v>29929</v>
      </c>
      <c r="B2388" s="5" t="s">
        <v>29930</v>
      </c>
      <c r="C2388" s="5" t="s">
        <v>29931</v>
      </c>
      <c r="D2388" s="246" t="s">
        <v>68</v>
      </c>
      <c r="E2388" s="5" t="s">
        <v>29932</v>
      </c>
      <c r="F2388" s="26" t="s">
        <v>23600</v>
      </c>
      <c r="G2388" s="27" t="s">
        <v>8692</v>
      </c>
      <c r="H2388" s="28" t="s">
        <v>8693</v>
      </c>
      <c r="I2388" s="5" t="s">
        <v>638</v>
      </c>
    </row>
    <row r="2389" spans="1:9" ht="51.75" customHeight="1">
      <c r="A2389" s="5" t="s">
        <v>25090</v>
      </c>
      <c r="B2389" s="5" t="s">
        <v>29933</v>
      </c>
      <c r="C2389" s="5" t="s">
        <v>29934</v>
      </c>
      <c r="D2389" s="246" t="s">
        <v>68</v>
      </c>
      <c r="E2389" s="5" t="s">
        <v>29935</v>
      </c>
      <c r="F2389" s="26" t="s">
        <v>23600</v>
      </c>
      <c r="G2389" s="27" t="s">
        <v>8585</v>
      </c>
      <c r="H2389" s="28" t="s">
        <v>8586</v>
      </c>
      <c r="I2389" s="5" t="s">
        <v>638</v>
      </c>
    </row>
    <row r="2390" spans="1:9" ht="51.75" customHeight="1">
      <c r="A2390" s="5" t="s">
        <v>24526</v>
      </c>
      <c r="B2390" s="5" t="s">
        <v>29936</v>
      </c>
      <c r="C2390" s="5" t="s">
        <v>29937</v>
      </c>
      <c r="D2390" s="246" t="s">
        <v>68</v>
      </c>
      <c r="E2390" s="5" t="s">
        <v>29938</v>
      </c>
      <c r="F2390" s="26" t="s">
        <v>23600</v>
      </c>
      <c r="G2390" s="27" t="s">
        <v>8787</v>
      </c>
      <c r="H2390" s="28" t="s">
        <v>8788</v>
      </c>
      <c r="I2390" s="5" t="s">
        <v>638</v>
      </c>
    </row>
    <row r="2391" spans="1:9" ht="51.75" customHeight="1">
      <c r="A2391" s="5" t="s">
        <v>24981</v>
      </c>
      <c r="B2391" s="5" t="s">
        <v>29939</v>
      </c>
      <c r="C2391" s="5" t="s">
        <v>29940</v>
      </c>
      <c r="D2391" s="246" t="s">
        <v>68</v>
      </c>
      <c r="E2391" s="5" t="s">
        <v>29941</v>
      </c>
      <c r="F2391" s="26" t="s">
        <v>23600</v>
      </c>
      <c r="G2391" s="27" t="s">
        <v>8833</v>
      </c>
      <c r="H2391" s="28" t="s">
        <v>8834</v>
      </c>
      <c r="I2391" s="5" t="s">
        <v>638</v>
      </c>
    </row>
    <row r="2392" spans="1:9" ht="51.75" customHeight="1">
      <c r="A2392" s="5" t="s">
        <v>25944</v>
      </c>
      <c r="B2392" s="5" t="s">
        <v>29942</v>
      </c>
      <c r="C2392" s="5" t="s">
        <v>29943</v>
      </c>
      <c r="D2392" s="246" t="s">
        <v>68</v>
      </c>
      <c r="E2392" s="5" t="s">
        <v>29944</v>
      </c>
      <c r="F2392" s="26" t="s">
        <v>23600</v>
      </c>
      <c r="G2392" s="27" t="s">
        <v>8822</v>
      </c>
      <c r="H2392" s="28" t="s">
        <v>8823</v>
      </c>
      <c r="I2392" s="5" t="s">
        <v>638</v>
      </c>
    </row>
    <row r="2393" spans="1:9" ht="51.75" customHeight="1">
      <c r="A2393" s="5" t="s">
        <v>28622</v>
      </c>
      <c r="B2393" s="5" t="s">
        <v>29945</v>
      </c>
      <c r="C2393" s="5" t="s">
        <v>29946</v>
      </c>
      <c r="D2393" s="246" t="s">
        <v>68</v>
      </c>
      <c r="E2393" s="5" t="s">
        <v>29947</v>
      </c>
      <c r="F2393" s="26" t="s">
        <v>23600</v>
      </c>
      <c r="G2393" s="27" t="s">
        <v>8767</v>
      </c>
      <c r="H2393" s="28" t="s">
        <v>8768</v>
      </c>
      <c r="I2393" s="5" t="s">
        <v>638</v>
      </c>
    </row>
    <row r="2394" spans="1:9" ht="51.75" customHeight="1">
      <c r="A2394" s="5" t="s">
        <v>25932</v>
      </c>
      <c r="B2394" s="5" t="s">
        <v>29948</v>
      </c>
      <c r="C2394" s="5" t="s">
        <v>29949</v>
      </c>
      <c r="D2394" s="246" t="s">
        <v>68</v>
      </c>
      <c r="E2394" s="5" t="s">
        <v>29950</v>
      </c>
      <c r="F2394" s="26" t="s">
        <v>23600</v>
      </c>
      <c r="G2394" s="27" t="s">
        <v>8530</v>
      </c>
      <c r="H2394" s="28" t="s">
        <v>8531</v>
      </c>
      <c r="I2394" s="5" t="s">
        <v>638</v>
      </c>
    </row>
    <row r="2395" spans="1:9" ht="51.75" customHeight="1">
      <c r="A2395" s="5" t="s">
        <v>25331</v>
      </c>
      <c r="B2395" s="5" t="s">
        <v>29951</v>
      </c>
      <c r="C2395" s="5" t="s">
        <v>29952</v>
      </c>
      <c r="D2395" s="246" t="s">
        <v>68</v>
      </c>
      <c r="E2395" s="5" t="s">
        <v>29953</v>
      </c>
      <c r="F2395" s="26" t="s">
        <v>23600</v>
      </c>
      <c r="G2395" s="27" t="s">
        <v>8995</v>
      </c>
      <c r="H2395" s="28" t="s">
        <v>8996</v>
      </c>
      <c r="I2395" s="5" t="s">
        <v>638</v>
      </c>
    </row>
    <row r="2396" spans="1:9" ht="51.75" customHeight="1">
      <c r="A2396" s="5" t="s">
        <v>25335</v>
      </c>
      <c r="B2396" s="5" t="s">
        <v>29954</v>
      </c>
      <c r="C2396" s="5" t="s">
        <v>29955</v>
      </c>
      <c r="D2396" s="246" t="s">
        <v>68</v>
      </c>
      <c r="E2396" s="5" t="s">
        <v>29956</v>
      </c>
      <c r="F2396" s="26" t="s">
        <v>23600</v>
      </c>
      <c r="G2396" s="27" t="s">
        <v>8995</v>
      </c>
      <c r="H2396" s="28" t="s">
        <v>8996</v>
      </c>
      <c r="I2396" s="5" t="s">
        <v>638</v>
      </c>
    </row>
    <row r="2397" spans="1:9" ht="51.75" customHeight="1">
      <c r="A2397" s="5" t="s">
        <v>25339</v>
      </c>
      <c r="B2397" s="5" t="s">
        <v>29957</v>
      </c>
      <c r="C2397" s="5" t="s">
        <v>29958</v>
      </c>
      <c r="D2397" s="246" t="s">
        <v>68</v>
      </c>
      <c r="E2397" s="5" t="s">
        <v>29959</v>
      </c>
      <c r="F2397" s="26" t="s">
        <v>23600</v>
      </c>
      <c r="G2397" s="27" t="s">
        <v>8995</v>
      </c>
      <c r="H2397" s="28" t="s">
        <v>8996</v>
      </c>
      <c r="I2397" s="5" t="s">
        <v>638</v>
      </c>
    </row>
    <row r="2398" spans="1:9" ht="51.75" customHeight="1">
      <c r="A2398" s="5" t="s">
        <v>28417</v>
      </c>
      <c r="B2398" s="5" t="s">
        <v>29960</v>
      </c>
      <c r="C2398" s="5" t="s">
        <v>29961</v>
      </c>
      <c r="D2398" s="246" t="s">
        <v>68</v>
      </c>
      <c r="E2398" s="5" t="s">
        <v>29962</v>
      </c>
      <c r="F2398" s="26" t="s">
        <v>23600</v>
      </c>
      <c r="G2398" s="27" t="s">
        <v>8995</v>
      </c>
      <c r="H2398" s="28" t="s">
        <v>8996</v>
      </c>
      <c r="I2398" s="5" t="s">
        <v>638</v>
      </c>
    </row>
    <row r="2399" spans="1:9" ht="51.75" customHeight="1">
      <c r="A2399" s="5" t="s">
        <v>28420</v>
      </c>
      <c r="B2399" s="5" t="s">
        <v>29963</v>
      </c>
      <c r="C2399" s="5" t="s">
        <v>29964</v>
      </c>
      <c r="D2399" s="246" t="s">
        <v>68</v>
      </c>
      <c r="E2399" s="5" t="s">
        <v>29965</v>
      </c>
      <c r="F2399" s="26" t="s">
        <v>23600</v>
      </c>
      <c r="G2399" s="27" t="s">
        <v>8995</v>
      </c>
      <c r="H2399" s="28" t="s">
        <v>8996</v>
      </c>
      <c r="I2399" s="5" t="s">
        <v>638</v>
      </c>
    </row>
    <row r="2400" spans="1:9" ht="51.75" customHeight="1">
      <c r="A2400" s="5" t="s">
        <v>25105</v>
      </c>
      <c r="B2400" s="5" t="s">
        <v>29966</v>
      </c>
      <c r="C2400" s="5" t="s">
        <v>29967</v>
      </c>
      <c r="D2400" s="246" t="s">
        <v>68</v>
      </c>
      <c r="E2400" s="5" t="s">
        <v>29968</v>
      </c>
      <c r="F2400" s="26" t="s">
        <v>23600</v>
      </c>
      <c r="G2400" s="27" t="s">
        <v>8995</v>
      </c>
      <c r="H2400" s="28" t="s">
        <v>8996</v>
      </c>
      <c r="I2400" s="5" t="s">
        <v>638</v>
      </c>
    </row>
    <row r="2401" spans="1:9" ht="51.75" customHeight="1">
      <c r="A2401" s="5" t="s">
        <v>25109</v>
      </c>
      <c r="B2401" s="5" t="s">
        <v>29969</v>
      </c>
      <c r="C2401" s="5" t="s">
        <v>29970</v>
      </c>
      <c r="D2401" s="246" t="s">
        <v>68</v>
      </c>
      <c r="E2401" s="5" t="s">
        <v>29971</v>
      </c>
      <c r="F2401" s="26" t="s">
        <v>23600</v>
      </c>
      <c r="G2401" s="27" t="s">
        <v>8995</v>
      </c>
      <c r="H2401" s="28" t="s">
        <v>8996</v>
      </c>
      <c r="I2401" s="5" t="s">
        <v>638</v>
      </c>
    </row>
    <row r="2402" spans="1:9" ht="51.75" customHeight="1">
      <c r="A2402" s="5" t="s">
        <v>25113</v>
      </c>
      <c r="B2402" s="5" t="s">
        <v>29972</v>
      </c>
      <c r="C2402" s="5" t="s">
        <v>29973</v>
      </c>
      <c r="D2402" s="246" t="s">
        <v>68</v>
      </c>
      <c r="E2402" s="5" t="s">
        <v>29974</v>
      </c>
      <c r="F2402" s="26" t="s">
        <v>23600</v>
      </c>
      <c r="G2402" s="27" t="s">
        <v>8995</v>
      </c>
      <c r="H2402" s="28" t="s">
        <v>8996</v>
      </c>
      <c r="I2402" s="5" t="s">
        <v>638</v>
      </c>
    </row>
    <row r="2403" spans="1:9" ht="51.75" customHeight="1">
      <c r="A2403" s="5" t="s">
        <v>25117</v>
      </c>
      <c r="B2403" s="5" t="s">
        <v>29975</v>
      </c>
      <c r="C2403" s="5" t="s">
        <v>29976</v>
      </c>
      <c r="D2403" s="246" t="s">
        <v>68</v>
      </c>
      <c r="E2403" s="5" t="s">
        <v>29977</v>
      </c>
      <c r="F2403" s="26" t="s">
        <v>23600</v>
      </c>
      <c r="G2403" s="27" t="s">
        <v>8995</v>
      </c>
      <c r="H2403" s="28" t="s">
        <v>8996</v>
      </c>
      <c r="I2403" s="5" t="s">
        <v>638</v>
      </c>
    </row>
    <row r="2404" spans="1:9" ht="51.75" customHeight="1">
      <c r="A2404" s="5" t="s">
        <v>26255</v>
      </c>
      <c r="B2404" s="5" t="s">
        <v>29978</v>
      </c>
      <c r="C2404" s="5" t="s">
        <v>29979</v>
      </c>
      <c r="D2404" s="246" t="s">
        <v>68</v>
      </c>
      <c r="E2404" s="5" t="s">
        <v>29980</v>
      </c>
      <c r="F2404" s="26" t="s">
        <v>23600</v>
      </c>
      <c r="G2404" s="27" t="s">
        <v>9077</v>
      </c>
      <c r="H2404" s="28" t="s">
        <v>9078</v>
      </c>
      <c r="I2404" s="5" t="s">
        <v>638</v>
      </c>
    </row>
    <row r="2405" spans="1:9" ht="51.75" customHeight="1">
      <c r="A2405" s="5" t="s">
        <v>25938</v>
      </c>
      <c r="B2405" s="5" t="s">
        <v>29981</v>
      </c>
      <c r="C2405" s="5" t="s">
        <v>29982</v>
      </c>
      <c r="D2405" s="246" t="s">
        <v>68</v>
      </c>
      <c r="E2405" s="5" t="s">
        <v>29983</v>
      </c>
      <c r="F2405" s="26" t="s">
        <v>23600</v>
      </c>
      <c r="G2405" s="27" t="s">
        <v>9175</v>
      </c>
      <c r="H2405" s="28" t="s">
        <v>9176</v>
      </c>
      <c r="I2405" s="5" t="s">
        <v>638</v>
      </c>
    </row>
    <row r="2406" spans="1:9" ht="51.75" customHeight="1">
      <c r="A2406" s="5" t="s">
        <v>26000</v>
      </c>
      <c r="B2406" s="5" t="s">
        <v>29984</v>
      </c>
      <c r="C2406" s="5" t="s">
        <v>29985</v>
      </c>
      <c r="D2406" s="246" t="s">
        <v>68</v>
      </c>
      <c r="E2406" s="5" t="s">
        <v>29986</v>
      </c>
      <c r="F2406" s="26" t="s">
        <v>23600</v>
      </c>
      <c r="G2406" s="27" t="s">
        <v>9175</v>
      </c>
      <c r="H2406" s="28" t="s">
        <v>9176</v>
      </c>
      <c r="I2406" s="5" t="s">
        <v>638</v>
      </c>
    </row>
    <row r="2407" spans="1:9" ht="51.75" customHeight="1">
      <c r="A2407" s="5" t="s">
        <v>26005</v>
      </c>
      <c r="B2407" s="5" t="s">
        <v>29987</v>
      </c>
      <c r="C2407" s="5" t="s">
        <v>29988</v>
      </c>
      <c r="D2407" s="246" t="s">
        <v>68</v>
      </c>
      <c r="E2407" s="5" t="s">
        <v>29989</v>
      </c>
      <c r="F2407" s="26" t="s">
        <v>23600</v>
      </c>
      <c r="G2407" s="27" t="s">
        <v>9175</v>
      </c>
      <c r="H2407" s="28" t="s">
        <v>9176</v>
      </c>
      <c r="I2407" s="5" t="s">
        <v>638</v>
      </c>
    </row>
    <row r="2408" spans="1:9" ht="51.75" customHeight="1">
      <c r="A2408" s="5" t="s">
        <v>24987</v>
      </c>
      <c r="B2408" s="5" t="s">
        <v>29990</v>
      </c>
      <c r="C2408" s="5" t="s">
        <v>29991</v>
      </c>
      <c r="D2408" s="246" t="s">
        <v>68</v>
      </c>
      <c r="E2408" s="5" t="s">
        <v>29992</v>
      </c>
      <c r="F2408" s="26" t="s">
        <v>23600</v>
      </c>
      <c r="G2408" s="27" t="s">
        <v>9213</v>
      </c>
      <c r="H2408" s="28" t="s">
        <v>9214</v>
      </c>
      <c r="I2408" s="5" t="s">
        <v>638</v>
      </c>
    </row>
    <row r="2409" spans="1:9" ht="51.75" customHeight="1">
      <c r="A2409" s="5" t="s">
        <v>26250</v>
      </c>
      <c r="B2409" s="5" t="s">
        <v>29993</v>
      </c>
      <c r="C2409" s="5" t="s">
        <v>29994</v>
      </c>
      <c r="D2409" s="246" t="s">
        <v>68</v>
      </c>
      <c r="E2409" s="5" t="s">
        <v>29995</v>
      </c>
      <c r="F2409" s="26" t="s">
        <v>23600</v>
      </c>
      <c r="G2409" s="27" t="s">
        <v>9341</v>
      </c>
      <c r="H2409" s="28" t="s">
        <v>9342</v>
      </c>
      <c r="I2409" s="5" t="s">
        <v>638</v>
      </c>
    </row>
    <row r="2410" spans="1:9" ht="51.75" customHeight="1">
      <c r="A2410" s="5" t="s">
        <v>26259</v>
      </c>
      <c r="B2410" s="5" t="s">
        <v>29996</v>
      </c>
      <c r="C2410" s="5" t="s">
        <v>29997</v>
      </c>
      <c r="D2410" s="246" t="s">
        <v>68</v>
      </c>
      <c r="E2410" s="5" t="s">
        <v>29998</v>
      </c>
      <c r="F2410" s="26" t="s">
        <v>23600</v>
      </c>
      <c r="G2410" s="27" t="s">
        <v>9577</v>
      </c>
      <c r="H2410" s="28" t="s">
        <v>9578</v>
      </c>
      <c r="I2410" s="5" t="s">
        <v>638</v>
      </c>
    </row>
    <row r="2411" spans="1:9" ht="51.75" customHeight="1">
      <c r="A2411" s="5" t="s">
        <v>24495</v>
      </c>
      <c r="B2411" s="5" t="s">
        <v>29999</v>
      </c>
      <c r="C2411" s="5" t="s">
        <v>30000</v>
      </c>
      <c r="D2411" s="246" t="s">
        <v>68</v>
      </c>
      <c r="E2411" s="5" t="s">
        <v>30001</v>
      </c>
      <c r="F2411" s="26" t="s">
        <v>23600</v>
      </c>
      <c r="G2411" s="27" t="s">
        <v>9815</v>
      </c>
      <c r="H2411" s="28" t="s">
        <v>9816</v>
      </c>
      <c r="I2411" s="5" t="s">
        <v>638</v>
      </c>
    </row>
    <row r="2412" spans="1:9" ht="51.75" customHeight="1">
      <c r="A2412" s="5" t="s">
        <v>24499</v>
      </c>
      <c r="B2412" s="5" t="s">
        <v>30002</v>
      </c>
      <c r="C2412" s="5" t="s">
        <v>30003</v>
      </c>
      <c r="D2412" s="246" t="s">
        <v>68</v>
      </c>
      <c r="E2412" s="5" t="s">
        <v>30004</v>
      </c>
      <c r="F2412" s="26" t="s">
        <v>23600</v>
      </c>
      <c r="G2412" s="27" t="s">
        <v>10047</v>
      </c>
      <c r="H2412" s="28" t="s">
        <v>10048</v>
      </c>
      <c r="I2412" s="5" t="s">
        <v>638</v>
      </c>
    </row>
    <row r="2413" spans="1:9" ht="51.75" customHeight="1">
      <c r="A2413" s="5" t="s">
        <v>24503</v>
      </c>
      <c r="B2413" s="5" t="s">
        <v>30005</v>
      </c>
      <c r="C2413" s="5" t="s">
        <v>30006</v>
      </c>
      <c r="D2413" s="246" t="s">
        <v>68</v>
      </c>
      <c r="E2413" s="5" t="s">
        <v>30007</v>
      </c>
      <c r="F2413" s="26" t="s">
        <v>23600</v>
      </c>
      <c r="G2413" s="27" t="s">
        <v>10086</v>
      </c>
      <c r="H2413" s="28" t="s">
        <v>10087</v>
      </c>
      <c r="I2413" s="5" t="s">
        <v>638</v>
      </c>
    </row>
    <row r="2414" spans="1:9" ht="51.75" customHeight="1">
      <c r="A2414" s="5" t="s">
        <v>27133</v>
      </c>
      <c r="B2414" s="5" t="s">
        <v>30008</v>
      </c>
      <c r="C2414" s="5" t="s">
        <v>30009</v>
      </c>
      <c r="D2414" s="246" t="s">
        <v>68</v>
      </c>
      <c r="E2414" s="5" t="s">
        <v>30010</v>
      </c>
      <c r="F2414" s="26" t="s">
        <v>23600</v>
      </c>
      <c r="G2414" s="27" t="s">
        <v>10086</v>
      </c>
      <c r="H2414" s="28" t="s">
        <v>10087</v>
      </c>
      <c r="I2414" s="5" t="s">
        <v>638</v>
      </c>
    </row>
    <row r="2415" spans="1:9" ht="51.75" customHeight="1">
      <c r="A2415" s="5" t="s">
        <v>27139</v>
      </c>
      <c r="B2415" s="5" t="s">
        <v>30011</v>
      </c>
      <c r="C2415" s="5" t="s">
        <v>30012</v>
      </c>
      <c r="D2415" s="246" t="s">
        <v>68</v>
      </c>
      <c r="E2415" s="5" t="s">
        <v>30013</v>
      </c>
      <c r="F2415" s="26" t="s">
        <v>23600</v>
      </c>
      <c r="G2415" s="27" t="s">
        <v>10086</v>
      </c>
      <c r="H2415" s="28" t="s">
        <v>10087</v>
      </c>
      <c r="I2415" s="5" t="s">
        <v>638</v>
      </c>
    </row>
    <row r="2416" spans="1:9" ht="51.75" customHeight="1">
      <c r="A2416" s="5" t="s">
        <v>30014</v>
      </c>
      <c r="B2416" s="5" t="s">
        <v>30015</v>
      </c>
      <c r="C2416" s="5" t="s">
        <v>30016</v>
      </c>
      <c r="D2416" s="246" t="s">
        <v>68</v>
      </c>
      <c r="E2416" s="5" t="s">
        <v>30017</v>
      </c>
      <c r="F2416" s="26" t="s">
        <v>23600</v>
      </c>
      <c r="G2416" s="27" t="s">
        <v>10191</v>
      </c>
      <c r="H2416" s="28" t="s">
        <v>10192</v>
      </c>
      <c r="I2416" s="5" t="s">
        <v>638</v>
      </c>
    </row>
    <row r="2417" spans="1:9" ht="51.75" customHeight="1">
      <c r="A2417" s="5" t="s">
        <v>24708</v>
      </c>
      <c r="B2417" s="5" t="s">
        <v>30018</v>
      </c>
      <c r="C2417" s="5" t="s">
        <v>30019</v>
      </c>
      <c r="D2417" s="246" t="s">
        <v>68</v>
      </c>
      <c r="E2417" s="5" t="s">
        <v>30020</v>
      </c>
      <c r="F2417" s="26" t="s">
        <v>23600</v>
      </c>
      <c r="G2417" s="27" t="s">
        <v>10191</v>
      </c>
      <c r="H2417" s="28" t="s">
        <v>10192</v>
      </c>
      <c r="I2417" s="5" t="s">
        <v>638</v>
      </c>
    </row>
    <row r="2418" spans="1:9" ht="51.75" customHeight="1">
      <c r="A2418" s="5" t="s">
        <v>24639</v>
      </c>
      <c r="B2418" s="5" t="s">
        <v>30021</v>
      </c>
      <c r="C2418" s="5" t="s">
        <v>30022</v>
      </c>
      <c r="D2418" s="246" t="s">
        <v>68</v>
      </c>
      <c r="E2418" s="5" t="s">
        <v>30023</v>
      </c>
      <c r="F2418" s="26" t="s">
        <v>23600</v>
      </c>
      <c r="G2418" s="27" t="s">
        <v>10211</v>
      </c>
      <c r="H2418" s="28" t="s">
        <v>10212</v>
      </c>
      <c r="I2418" s="5" t="s">
        <v>638</v>
      </c>
    </row>
    <row r="2419" spans="1:9" ht="51.75" customHeight="1">
      <c r="A2419" s="5" t="s">
        <v>24643</v>
      </c>
      <c r="B2419" s="5" t="s">
        <v>30024</v>
      </c>
      <c r="C2419" s="5" t="s">
        <v>30025</v>
      </c>
      <c r="D2419" s="246" t="s">
        <v>68</v>
      </c>
      <c r="E2419" s="5" t="s">
        <v>30026</v>
      </c>
      <c r="F2419" s="26" t="s">
        <v>23600</v>
      </c>
      <c r="G2419" s="27" t="s">
        <v>10211</v>
      </c>
      <c r="H2419" s="28" t="s">
        <v>10212</v>
      </c>
      <c r="I2419" s="5" t="s">
        <v>638</v>
      </c>
    </row>
    <row r="2420" spans="1:9" ht="51.75" customHeight="1">
      <c r="A2420" s="5" t="s">
        <v>24700</v>
      </c>
      <c r="B2420" s="5" t="s">
        <v>30027</v>
      </c>
      <c r="C2420" s="5" t="s">
        <v>30028</v>
      </c>
      <c r="D2420" s="246" t="s">
        <v>68</v>
      </c>
      <c r="E2420" s="5" t="s">
        <v>30029</v>
      </c>
      <c r="F2420" s="26" t="s">
        <v>23600</v>
      </c>
      <c r="G2420" s="27" t="s">
        <v>10249</v>
      </c>
      <c r="H2420" s="28" t="s">
        <v>10250</v>
      </c>
      <c r="I2420" s="5" t="s">
        <v>638</v>
      </c>
    </row>
    <row r="2421" spans="1:9" ht="51.75" customHeight="1">
      <c r="A2421" s="5" t="s">
        <v>29896</v>
      </c>
      <c r="B2421" s="5" t="s">
        <v>30030</v>
      </c>
      <c r="C2421" s="5" t="s">
        <v>30031</v>
      </c>
      <c r="D2421" s="246" t="s">
        <v>68</v>
      </c>
      <c r="E2421" s="5" t="s">
        <v>30032</v>
      </c>
      <c r="F2421" s="26" t="s">
        <v>23600</v>
      </c>
      <c r="G2421" s="27" t="s">
        <v>10249</v>
      </c>
      <c r="H2421" s="28" t="s">
        <v>10250</v>
      </c>
      <c r="I2421" s="5" t="s">
        <v>638</v>
      </c>
    </row>
    <row r="2422" spans="1:9" ht="51.75" customHeight="1">
      <c r="A2422" s="5" t="s">
        <v>27440</v>
      </c>
      <c r="B2422" s="5" t="s">
        <v>30033</v>
      </c>
      <c r="C2422" s="5" t="s">
        <v>30034</v>
      </c>
      <c r="D2422" s="246" t="s">
        <v>68</v>
      </c>
      <c r="E2422" s="5" t="s">
        <v>30035</v>
      </c>
      <c r="F2422" s="26" t="s">
        <v>23600</v>
      </c>
      <c r="G2422" s="27" t="s">
        <v>10249</v>
      </c>
      <c r="H2422" s="28" t="s">
        <v>10250</v>
      </c>
      <c r="I2422" s="5" t="s">
        <v>638</v>
      </c>
    </row>
    <row r="2423" spans="1:9" ht="51.75" customHeight="1">
      <c r="A2423" s="5" t="s">
        <v>25070</v>
      </c>
      <c r="B2423" s="5" t="s">
        <v>30036</v>
      </c>
      <c r="C2423" s="5" t="s">
        <v>30037</v>
      </c>
      <c r="D2423" s="246" t="s">
        <v>68</v>
      </c>
      <c r="E2423" s="5" t="s">
        <v>30038</v>
      </c>
      <c r="F2423" s="26" t="s">
        <v>23600</v>
      </c>
      <c r="G2423" s="27" t="s">
        <v>10271</v>
      </c>
      <c r="H2423" s="28" t="s">
        <v>10272</v>
      </c>
      <c r="I2423" s="5" t="s">
        <v>638</v>
      </c>
    </row>
    <row r="2424" spans="1:9" ht="51.75" customHeight="1">
      <c r="A2424" s="5" t="s">
        <v>24704</v>
      </c>
      <c r="B2424" s="5" t="s">
        <v>30039</v>
      </c>
      <c r="C2424" s="5" t="s">
        <v>30040</v>
      </c>
      <c r="D2424" s="246" t="s">
        <v>68</v>
      </c>
      <c r="E2424" s="5" t="s">
        <v>30041</v>
      </c>
      <c r="F2424" s="26" t="s">
        <v>23600</v>
      </c>
      <c r="G2424" s="27" t="s">
        <v>10386</v>
      </c>
      <c r="H2424" s="28" t="s">
        <v>10387</v>
      </c>
      <c r="I2424" s="5" t="s">
        <v>638</v>
      </c>
    </row>
    <row r="2425" spans="1:9" ht="51.75" customHeight="1">
      <c r="A2425" s="5" t="s">
        <v>28660</v>
      </c>
      <c r="B2425" s="5" t="s">
        <v>30042</v>
      </c>
      <c r="C2425" s="5" t="s">
        <v>30043</v>
      </c>
      <c r="D2425" s="246" t="s">
        <v>68</v>
      </c>
      <c r="E2425" s="5" t="s">
        <v>30044</v>
      </c>
      <c r="F2425" s="26" t="s">
        <v>23600</v>
      </c>
      <c r="G2425" s="27" t="s">
        <v>10392</v>
      </c>
      <c r="H2425" s="28" t="s">
        <v>10393</v>
      </c>
      <c r="I2425" s="5" t="s">
        <v>638</v>
      </c>
    </row>
    <row r="2426" spans="1:9" ht="51.75" customHeight="1">
      <c r="A2426" s="5" t="s">
        <v>25078</v>
      </c>
      <c r="B2426" s="5" t="s">
        <v>30045</v>
      </c>
      <c r="C2426" s="5" t="s">
        <v>30046</v>
      </c>
      <c r="D2426" s="246" t="s">
        <v>68</v>
      </c>
      <c r="E2426" s="5" t="s">
        <v>30047</v>
      </c>
      <c r="F2426" s="26" t="s">
        <v>23600</v>
      </c>
      <c r="G2426" s="27" t="s">
        <v>10514</v>
      </c>
      <c r="H2426" s="28" t="s">
        <v>10515</v>
      </c>
      <c r="I2426" s="5" t="s">
        <v>638</v>
      </c>
    </row>
    <row r="2427" spans="1:9" ht="51.75" customHeight="1">
      <c r="A2427" s="5" t="s">
        <v>26232</v>
      </c>
      <c r="B2427" s="5" t="s">
        <v>30048</v>
      </c>
      <c r="C2427" s="5" t="s">
        <v>30049</v>
      </c>
      <c r="D2427" s="246" t="s">
        <v>68</v>
      </c>
      <c r="E2427" s="5" t="s">
        <v>30050</v>
      </c>
      <c r="F2427" s="26" t="s">
        <v>23600</v>
      </c>
      <c r="G2427" s="27" t="s">
        <v>10514</v>
      </c>
      <c r="H2427" s="28" t="s">
        <v>10515</v>
      </c>
      <c r="I2427" s="5" t="s">
        <v>638</v>
      </c>
    </row>
    <row r="2428" spans="1:9" ht="51.75" customHeight="1">
      <c r="A2428" s="5" t="s">
        <v>26902</v>
      </c>
      <c r="B2428" s="5" t="s">
        <v>30051</v>
      </c>
      <c r="C2428" s="5" t="s">
        <v>30052</v>
      </c>
      <c r="D2428" s="246" t="s">
        <v>68</v>
      </c>
      <c r="E2428" s="5" t="s">
        <v>30053</v>
      </c>
      <c r="F2428" s="26" t="s">
        <v>23600</v>
      </c>
      <c r="G2428" s="27" t="s">
        <v>10514</v>
      </c>
      <c r="H2428" s="28" t="s">
        <v>10515</v>
      </c>
      <c r="I2428" s="5" t="s">
        <v>638</v>
      </c>
    </row>
    <row r="2429" spans="1:9" ht="51.75" customHeight="1">
      <c r="A2429" s="5" t="s">
        <v>28025</v>
      </c>
      <c r="B2429" s="5" t="s">
        <v>30054</v>
      </c>
      <c r="C2429" s="5" t="s">
        <v>30055</v>
      </c>
      <c r="D2429" s="246" t="s">
        <v>68</v>
      </c>
      <c r="E2429" s="5" t="s">
        <v>30056</v>
      </c>
      <c r="F2429" s="26" t="s">
        <v>23600</v>
      </c>
      <c r="G2429" s="27" t="s">
        <v>10514</v>
      </c>
      <c r="H2429" s="28" t="s">
        <v>10515</v>
      </c>
      <c r="I2429" s="5" t="s">
        <v>638</v>
      </c>
    </row>
    <row r="2430" spans="1:9" ht="51.75" customHeight="1">
      <c r="A2430" s="5" t="s">
        <v>25074</v>
      </c>
      <c r="B2430" s="5" t="s">
        <v>30057</v>
      </c>
      <c r="C2430" s="5" t="s">
        <v>30058</v>
      </c>
      <c r="D2430" s="246" t="s">
        <v>68</v>
      </c>
      <c r="E2430" s="5" t="s">
        <v>30059</v>
      </c>
      <c r="F2430" s="26" t="s">
        <v>23600</v>
      </c>
      <c r="G2430" s="27" t="s">
        <v>10587</v>
      </c>
      <c r="H2430" s="28" t="s">
        <v>10588</v>
      </c>
      <c r="I2430" s="5" t="s">
        <v>638</v>
      </c>
    </row>
    <row r="2431" spans="1:9" ht="51.75" customHeight="1">
      <c r="A2431" s="5" t="s">
        <v>30060</v>
      </c>
      <c r="B2431" s="5" t="s">
        <v>30061</v>
      </c>
      <c r="C2431" s="5" t="s">
        <v>30062</v>
      </c>
      <c r="D2431" s="246" t="s">
        <v>68</v>
      </c>
      <c r="E2431" s="5" t="s">
        <v>30063</v>
      </c>
      <c r="F2431" s="26" t="s">
        <v>23600</v>
      </c>
      <c r="G2431" s="27" t="s">
        <v>10790</v>
      </c>
      <c r="H2431" s="28" t="s">
        <v>10791</v>
      </c>
      <c r="I2431" s="5" t="s">
        <v>638</v>
      </c>
    </row>
    <row r="2432" spans="1:9" ht="51.75" customHeight="1">
      <c r="A2432" s="5" t="s">
        <v>30064</v>
      </c>
      <c r="B2432" s="5" t="s">
        <v>30065</v>
      </c>
      <c r="C2432" s="5" t="s">
        <v>30066</v>
      </c>
      <c r="D2432" s="246" t="s">
        <v>68</v>
      </c>
      <c r="E2432" s="5" t="s">
        <v>30067</v>
      </c>
      <c r="F2432" s="26" t="s">
        <v>23600</v>
      </c>
      <c r="G2432" s="27" t="s">
        <v>10790</v>
      </c>
      <c r="H2432" s="28" t="s">
        <v>10791</v>
      </c>
      <c r="I2432" s="5" t="s">
        <v>638</v>
      </c>
    </row>
    <row r="2433" spans="1:9" ht="51.75" customHeight="1">
      <c r="A2433" s="5" t="s">
        <v>25488</v>
      </c>
      <c r="B2433" s="5" t="s">
        <v>30068</v>
      </c>
      <c r="C2433" s="5" t="s">
        <v>30069</v>
      </c>
      <c r="D2433" s="246" t="s">
        <v>68</v>
      </c>
      <c r="E2433" s="5" t="s">
        <v>30070</v>
      </c>
      <c r="F2433" s="26" t="s">
        <v>23600</v>
      </c>
      <c r="G2433" s="27" t="s">
        <v>10790</v>
      </c>
      <c r="H2433" s="28" t="s">
        <v>10791</v>
      </c>
      <c r="I2433" s="5" t="s">
        <v>638</v>
      </c>
    </row>
    <row r="2434" spans="1:9" ht="51.75" customHeight="1">
      <c r="A2434" s="5" t="s">
        <v>24993</v>
      </c>
      <c r="B2434" s="5" t="s">
        <v>30071</v>
      </c>
      <c r="C2434" s="5" t="s">
        <v>30072</v>
      </c>
      <c r="D2434" s="246">
        <v>42549</v>
      </c>
      <c r="E2434" s="5" t="s">
        <v>30073</v>
      </c>
      <c r="F2434" s="26" t="s">
        <v>23600</v>
      </c>
      <c r="G2434" s="27" t="s">
        <v>10894</v>
      </c>
      <c r="H2434" s="28" t="s">
        <v>10895</v>
      </c>
      <c r="I2434" s="5" t="s">
        <v>638</v>
      </c>
    </row>
    <row r="2435" spans="1:9" ht="51.75" customHeight="1">
      <c r="A2435" s="5" t="s">
        <v>23952</v>
      </c>
      <c r="B2435" s="5" t="s">
        <v>30074</v>
      </c>
      <c r="C2435" s="5" t="s">
        <v>30075</v>
      </c>
      <c r="D2435" s="246">
        <v>42549</v>
      </c>
      <c r="E2435" s="5" t="s">
        <v>30076</v>
      </c>
      <c r="F2435" s="26" t="s">
        <v>23600</v>
      </c>
      <c r="G2435" s="27" t="s">
        <v>10894</v>
      </c>
      <c r="H2435" s="28" t="s">
        <v>10895</v>
      </c>
      <c r="I2435" s="5" t="s">
        <v>638</v>
      </c>
    </row>
    <row r="2436" spans="1:9" ht="51.75" customHeight="1">
      <c r="A2436" s="5" t="s">
        <v>26902</v>
      </c>
      <c r="B2436" s="5" t="s">
        <v>30077</v>
      </c>
      <c r="C2436" s="5" t="s">
        <v>30078</v>
      </c>
      <c r="D2436" s="246">
        <v>42521</v>
      </c>
      <c r="E2436" s="5" t="s">
        <v>30079</v>
      </c>
      <c r="F2436" s="26" t="s">
        <v>23600</v>
      </c>
      <c r="G2436" s="27" t="s">
        <v>10966</v>
      </c>
      <c r="H2436" s="28" t="s">
        <v>10967</v>
      </c>
      <c r="I2436" s="5" t="s">
        <v>638</v>
      </c>
    </row>
    <row r="2437" spans="1:9" ht="51.75" customHeight="1">
      <c r="A2437" s="5" t="s">
        <v>28025</v>
      </c>
      <c r="B2437" s="5" t="s">
        <v>30080</v>
      </c>
      <c r="C2437" s="5" t="s">
        <v>30081</v>
      </c>
      <c r="D2437" s="246">
        <v>42521</v>
      </c>
      <c r="E2437" s="5" t="s">
        <v>30082</v>
      </c>
      <c r="F2437" s="26" t="s">
        <v>23600</v>
      </c>
      <c r="G2437" s="27" t="s">
        <v>10966</v>
      </c>
      <c r="H2437" s="28" t="s">
        <v>10967</v>
      </c>
      <c r="I2437" s="5" t="s">
        <v>638</v>
      </c>
    </row>
    <row r="2438" spans="1:9" ht="51.75" customHeight="1">
      <c r="A2438" s="5" t="s">
        <v>24681</v>
      </c>
      <c r="B2438" s="5" t="s">
        <v>30083</v>
      </c>
      <c r="C2438" s="5" t="s">
        <v>30084</v>
      </c>
      <c r="D2438" s="246">
        <v>42549</v>
      </c>
      <c r="E2438" s="5" t="s">
        <v>30085</v>
      </c>
      <c r="F2438" s="26" t="s">
        <v>23600</v>
      </c>
      <c r="G2438" s="27" t="s">
        <v>11015</v>
      </c>
      <c r="H2438" s="28" t="s">
        <v>11016</v>
      </c>
      <c r="I2438" s="5" t="s">
        <v>638</v>
      </c>
    </row>
    <row r="2439" spans="1:9" ht="51.75" customHeight="1">
      <c r="A2439" s="5" t="s">
        <v>24685</v>
      </c>
      <c r="B2439" s="5" t="s">
        <v>30086</v>
      </c>
      <c r="C2439" s="5" t="s">
        <v>30087</v>
      </c>
      <c r="D2439" s="246">
        <v>42549</v>
      </c>
      <c r="E2439" s="5" t="s">
        <v>30088</v>
      </c>
      <c r="F2439" s="26" t="s">
        <v>23600</v>
      </c>
      <c r="G2439" s="27" t="s">
        <v>11015</v>
      </c>
      <c r="H2439" s="28" t="s">
        <v>11016</v>
      </c>
      <c r="I2439" s="5" t="s">
        <v>638</v>
      </c>
    </row>
    <row r="2440" spans="1:9" ht="51.75" customHeight="1">
      <c r="A2440" s="5" t="s">
        <v>24689</v>
      </c>
      <c r="B2440" s="5" t="s">
        <v>30089</v>
      </c>
      <c r="C2440" s="5" t="s">
        <v>30090</v>
      </c>
      <c r="D2440" s="246">
        <v>42549</v>
      </c>
      <c r="E2440" s="5" t="s">
        <v>30091</v>
      </c>
      <c r="F2440" s="26" t="s">
        <v>23600</v>
      </c>
      <c r="G2440" s="27" t="s">
        <v>11015</v>
      </c>
      <c r="H2440" s="28" t="s">
        <v>11016</v>
      </c>
      <c r="I2440" s="5" t="s">
        <v>638</v>
      </c>
    </row>
    <row r="2441" spans="1:9" ht="51.75" customHeight="1">
      <c r="A2441" s="5" t="s">
        <v>24693</v>
      </c>
      <c r="B2441" s="5" t="s">
        <v>30092</v>
      </c>
      <c r="C2441" s="5" t="s">
        <v>30093</v>
      </c>
      <c r="D2441" s="246">
        <v>42183</v>
      </c>
      <c r="E2441" s="5" t="s">
        <v>30094</v>
      </c>
      <c r="F2441" s="26" t="s">
        <v>23600</v>
      </c>
      <c r="G2441" s="27" t="s">
        <v>11015</v>
      </c>
      <c r="H2441" s="28" t="s">
        <v>11016</v>
      </c>
      <c r="I2441" s="5" t="s">
        <v>638</v>
      </c>
    </row>
    <row r="2442" spans="1:9" ht="51.75" customHeight="1">
      <c r="A2442" s="5" t="s">
        <v>24697</v>
      </c>
      <c r="B2442" s="5" t="s">
        <v>30095</v>
      </c>
      <c r="C2442" s="5" t="s">
        <v>30096</v>
      </c>
      <c r="D2442" s="246">
        <v>42549</v>
      </c>
      <c r="E2442" s="5" t="s">
        <v>30097</v>
      </c>
      <c r="F2442" s="26" t="s">
        <v>23600</v>
      </c>
      <c r="G2442" s="27" t="s">
        <v>11015</v>
      </c>
      <c r="H2442" s="28" t="s">
        <v>11016</v>
      </c>
      <c r="I2442" s="5" t="s">
        <v>638</v>
      </c>
    </row>
    <row r="2443" spans="1:9" ht="51.75" customHeight="1">
      <c r="A2443" s="5" t="s">
        <v>30098</v>
      </c>
      <c r="B2443" s="5" t="s">
        <v>30099</v>
      </c>
      <c r="C2443" s="5" t="s">
        <v>30100</v>
      </c>
      <c r="D2443" s="246">
        <v>42549</v>
      </c>
      <c r="E2443" s="5" t="s">
        <v>30101</v>
      </c>
      <c r="F2443" s="26" t="s">
        <v>23600</v>
      </c>
      <c r="G2443" s="27" t="s">
        <v>11015</v>
      </c>
      <c r="H2443" s="28" t="s">
        <v>11016</v>
      </c>
      <c r="I2443" s="5" t="s">
        <v>638</v>
      </c>
    </row>
    <row r="2444" spans="1:9" ht="51.75" customHeight="1">
      <c r="A2444" s="5" t="s">
        <v>25074</v>
      </c>
      <c r="B2444" s="5" t="s">
        <v>30102</v>
      </c>
      <c r="C2444" s="5" t="s">
        <v>30103</v>
      </c>
      <c r="D2444" s="246">
        <v>42703</v>
      </c>
      <c r="E2444" s="5" t="s">
        <v>30104</v>
      </c>
      <c r="F2444" s="26" t="s">
        <v>23600</v>
      </c>
      <c r="G2444" s="27" t="s">
        <v>11185</v>
      </c>
      <c r="H2444" s="28" t="s">
        <v>11186</v>
      </c>
      <c r="I2444" s="5" t="s">
        <v>638</v>
      </c>
    </row>
    <row r="2445" spans="1:9" ht="51.75" customHeight="1">
      <c r="A2445" s="5" t="s">
        <v>27392</v>
      </c>
      <c r="B2445" s="5" t="s">
        <v>30105</v>
      </c>
      <c r="C2445" s="5" t="s">
        <v>30106</v>
      </c>
      <c r="D2445" s="246" t="s">
        <v>68</v>
      </c>
      <c r="E2445" s="5" t="s">
        <v>30107</v>
      </c>
      <c r="F2445" s="26" t="s">
        <v>23600</v>
      </c>
      <c r="G2445" s="27" t="s">
        <v>11236</v>
      </c>
      <c r="H2445" s="28" t="s">
        <v>11237</v>
      </c>
      <c r="I2445" s="5" t="s">
        <v>638</v>
      </c>
    </row>
    <row r="2446" spans="1:9" ht="51.75" customHeight="1">
      <c r="A2446" s="5" t="s">
        <v>26756</v>
      </c>
      <c r="B2446" s="5" t="s">
        <v>30108</v>
      </c>
      <c r="C2446" s="5" t="s">
        <v>30109</v>
      </c>
      <c r="D2446" s="246" t="s">
        <v>68</v>
      </c>
      <c r="E2446" s="5" t="s">
        <v>30110</v>
      </c>
      <c r="F2446" s="26" t="s">
        <v>23600</v>
      </c>
      <c r="G2446" s="27" t="s">
        <v>11236</v>
      </c>
      <c r="H2446" s="28" t="s">
        <v>11237</v>
      </c>
      <c r="I2446" s="5" t="s">
        <v>638</v>
      </c>
    </row>
    <row r="2447" spans="1:9" ht="51.75" customHeight="1">
      <c r="A2447" s="5" t="s">
        <v>30111</v>
      </c>
      <c r="B2447" s="5" t="s">
        <v>30112</v>
      </c>
      <c r="C2447" s="5" t="s">
        <v>30113</v>
      </c>
      <c r="D2447" s="246" t="s">
        <v>68</v>
      </c>
      <c r="E2447" s="5" t="s">
        <v>30114</v>
      </c>
      <c r="F2447" s="26" t="s">
        <v>23600</v>
      </c>
      <c r="G2447" s="27" t="s">
        <v>11050</v>
      </c>
      <c r="H2447" s="28" t="s">
        <v>11051</v>
      </c>
      <c r="I2447" s="5" t="s">
        <v>638</v>
      </c>
    </row>
    <row r="2448" spans="1:9" ht="51.75" customHeight="1">
      <c r="A2448" s="5" t="s">
        <v>30115</v>
      </c>
      <c r="B2448" s="5" t="s">
        <v>30116</v>
      </c>
      <c r="C2448" s="5" t="s">
        <v>30117</v>
      </c>
      <c r="D2448" s="246" t="s">
        <v>68</v>
      </c>
      <c r="E2448" s="5" t="s">
        <v>30118</v>
      </c>
      <c r="F2448" s="26" t="s">
        <v>23600</v>
      </c>
      <c r="G2448" s="27" t="s">
        <v>11050</v>
      </c>
      <c r="H2448" s="28" t="s">
        <v>11051</v>
      </c>
      <c r="I2448" s="5" t="s">
        <v>638</v>
      </c>
    </row>
    <row r="2449" spans="1:9" ht="51.75" customHeight="1">
      <c r="A2449" s="5" t="s">
        <v>25078</v>
      </c>
      <c r="B2449" s="5" t="s">
        <v>30119</v>
      </c>
      <c r="C2449" s="5" t="s">
        <v>30120</v>
      </c>
      <c r="D2449" s="246">
        <v>42703</v>
      </c>
      <c r="E2449" s="5" t="s">
        <v>30121</v>
      </c>
      <c r="F2449" s="26" t="s">
        <v>23600</v>
      </c>
      <c r="G2449" s="27" t="s">
        <v>11559</v>
      </c>
      <c r="H2449" s="28" t="s">
        <v>11560</v>
      </c>
      <c r="I2449" s="5" t="s">
        <v>638</v>
      </c>
    </row>
    <row r="2450" spans="1:9" ht="51.75" customHeight="1">
      <c r="A2450" s="5" t="s">
        <v>26232</v>
      </c>
      <c r="B2450" s="5" t="s">
        <v>30122</v>
      </c>
      <c r="C2450" s="5" t="s">
        <v>30123</v>
      </c>
      <c r="D2450" s="246">
        <v>42703</v>
      </c>
      <c r="E2450" s="5" t="s">
        <v>30124</v>
      </c>
      <c r="F2450" s="26" t="s">
        <v>23600</v>
      </c>
      <c r="G2450" s="27" t="s">
        <v>11559</v>
      </c>
      <c r="H2450" s="28" t="s">
        <v>11560</v>
      </c>
      <c r="I2450" s="5" t="s">
        <v>638</v>
      </c>
    </row>
    <row r="2451" spans="1:9" ht="51.75" customHeight="1">
      <c r="A2451" s="5" t="s">
        <v>24546</v>
      </c>
      <c r="B2451" s="5" t="s">
        <v>30125</v>
      </c>
      <c r="C2451" s="5" t="s">
        <v>30126</v>
      </c>
      <c r="D2451" s="246">
        <v>42885</v>
      </c>
      <c r="E2451" s="5" t="s">
        <v>30127</v>
      </c>
      <c r="F2451" s="26" t="s">
        <v>23600</v>
      </c>
      <c r="G2451" s="27" t="s">
        <v>11569</v>
      </c>
      <c r="H2451" s="28" t="s">
        <v>11570</v>
      </c>
      <c r="I2451" s="5" t="s">
        <v>638</v>
      </c>
    </row>
    <row r="2452" spans="1:9" ht="51.75" customHeight="1">
      <c r="A2452" s="5" t="s">
        <v>30128</v>
      </c>
      <c r="B2452" s="5" t="s">
        <v>30129</v>
      </c>
      <c r="C2452" s="5" t="s">
        <v>30130</v>
      </c>
      <c r="D2452" s="246">
        <v>42914</v>
      </c>
      <c r="E2452" s="5" t="s">
        <v>30131</v>
      </c>
      <c r="F2452" s="26" t="s">
        <v>23600</v>
      </c>
      <c r="G2452" s="27" t="s">
        <v>11698</v>
      </c>
      <c r="H2452" s="28" t="s">
        <v>11699</v>
      </c>
      <c r="I2452" s="5" t="s">
        <v>638</v>
      </c>
    </row>
    <row r="2453" spans="1:9" ht="51.75" customHeight="1">
      <c r="A2453" s="5" t="s">
        <v>30132</v>
      </c>
      <c r="B2453" s="5" t="s">
        <v>30133</v>
      </c>
      <c r="C2453" s="5" t="s">
        <v>30134</v>
      </c>
      <c r="D2453" s="246">
        <v>42914</v>
      </c>
      <c r="E2453" s="5" t="s">
        <v>30135</v>
      </c>
      <c r="F2453" s="26" t="s">
        <v>23600</v>
      </c>
      <c r="G2453" s="27" t="s">
        <v>11698</v>
      </c>
      <c r="H2453" s="28" t="s">
        <v>11699</v>
      </c>
      <c r="I2453" s="5" t="s">
        <v>638</v>
      </c>
    </row>
    <row r="2454" spans="1:9" ht="51.75" customHeight="1">
      <c r="A2454" s="5" t="s">
        <v>24343</v>
      </c>
      <c r="B2454" s="5" t="s">
        <v>30136</v>
      </c>
      <c r="C2454" s="5" t="s">
        <v>30137</v>
      </c>
      <c r="D2454" s="246">
        <v>42914</v>
      </c>
      <c r="E2454" s="5" t="s">
        <v>30138</v>
      </c>
      <c r="F2454" s="26" t="s">
        <v>23600</v>
      </c>
      <c r="G2454" s="27" t="s">
        <v>11698</v>
      </c>
      <c r="H2454" s="28" t="s">
        <v>11699</v>
      </c>
      <c r="I2454" s="5" t="s">
        <v>638</v>
      </c>
    </row>
    <row r="2455" spans="1:9" ht="51.75" customHeight="1">
      <c r="A2455" s="5" t="s">
        <v>25198</v>
      </c>
      <c r="B2455" s="5" t="s">
        <v>30139</v>
      </c>
      <c r="C2455" s="5" t="s">
        <v>30140</v>
      </c>
      <c r="D2455" s="246">
        <v>42858</v>
      </c>
      <c r="E2455" s="5" t="s">
        <v>30141</v>
      </c>
      <c r="F2455" s="26" t="s">
        <v>23600</v>
      </c>
      <c r="G2455" s="27" t="s">
        <v>11730</v>
      </c>
      <c r="H2455" s="28" t="s">
        <v>11731</v>
      </c>
      <c r="I2455" s="5" t="s">
        <v>638</v>
      </c>
    </row>
    <row r="2456" spans="1:9" ht="51.75" customHeight="1">
      <c r="A2456" s="5" t="s">
        <v>28158</v>
      </c>
      <c r="B2456" s="5" t="s">
        <v>30142</v>
      </c>
      <c r="C2456" s="5" t="s">
        <v>30143</v>
      </c>
      <c r="D2456" s="246">
        <v>42858</v>
      </c>
      <c r="E2456" s="5" t="s">
        <v>30144</v>
      </c>
      <c r="F2456" s="26" t="s">
        <v>23600</v>
      </c>
      <c r="G2456" s="27" t="s">
        <v>11730</v>
      </c>
      <c r="H2456" s="28" t="s">
        <v>11731</v>
      </c>
      <c r="I2456" s="5" t="s">
        <v>638</v>
      </c>
    </row>
    <row r="2457" spans="1:9" ht="51.75" customHeight="1">
      <c r="A2457" s="5" t="s">
        <v>23700</v>
      </c>
      <c r="B2457" s="5" t="s">
        <v>30145</v>
      </c>
      <c r="C2457" s="5" t="s">
        <v>30146</v>
      </c>
      <c r="D2457" s="246">
        <v>42858</v>
      </c>
      <c r="E2457" s="5" t="s">
        <v>30147</v>
      </c>
      <c r="F2457" s="26" t="s">
        <v>23600</v>
      </c>
      <c r="G2457" s="27" t="s">
        <v>11730</v>
      </c>
      <c r="H2457" s="28" t="s">
        <v>11731</v>
      </c>
      <c r="I2457" s="5" t="s">
        <v>638</v>
      </c>
    </row>
    <row r="2458" spans="1:9" ht="51.75" customHeight="1">
      <c r="A2458" s="5" t="s">
        <v>23704</v>
      </c>
      <c r="B2458" s="5" t="s">
        <v>30148</v>
      </c>
      <c r="C2458" s="5" t="s">
        <v>30149</v>
      </c>
      <c r="D2458" s="246">
        <v>42858</v>
      </c>
      <c r="E2458" s="5" t="s">
        <v>30150</v>
      </c>
      <c r="F2458" s="26" t="s">
        <v>23600</v>
      </c>
      <c r="G2458" s="27" t="s">
        <v>11730</v>
      </c>
      <c r="H2458" s="28" t="s">
        <v>11731</v>
      </c>
      <c r="I2458" s="5" t="s">
        <v>638</v>
      </c>
    </row>
    <row r="2459" spans="1:9" ht="51.75" customHeight="1">
      <c r="A2459" s="5" t="s">
        <v>28182</v>
      </c>
      <c r="B2459" s="5" t="s">
        <v>30151</v>
      </c>
      <c r="C2459" s="5" t="s">
        <v>30152</v>
      </c>
      <c r="D2459" s="246">
        <v>42858</v>
      </c>
      <c r="E2459" s="5" t="s">
        <v>30153</v>
      </c>
      <c r="F2459" s="26" t="s">
        <v>23600</v>
      </c>
      <c r="G2459" s="27" t="s">
        <v>11730</v>
      </c>
      <c r="H2459" s="28" t="s">
        <v>11731</v>
      </c>
      <c r="I2459" s="5" t="s">
        <v>638</v>
      </c>
    </row>
    <row r="2460" spans="1:9" ht="51.75" customHeight="1">
      <c r="A2460" s="5" t="s">
        <v>24942</v>
      </c>
      <c r="B2460" s="5" t="s">
        <v>30154</v>
      </c>
      <c r="C2460" s="5" t="s">
        <v>30155</v>
      </c>
      <c r="D2460" s="246">
        <v>42640</v>
      </c>
      <c r="E2460" s="5" t="s">
        <v>30156</v>
      </c>
      <c r="F2460" s="26" t="s">
        <v>23600</v>
      </c>
      <c r="G2460" s="27" t="s">
        <v>11757</v>
      </c>
      <c r="H2460" s="28" t="s">
        <v>11758</v>
      </c>
      <c r="I2460" s="5" t="s">
        <v>638</v>
      </c>
    </row>
    <row r="2461" spans="1:9" ht="51.75" customHeight="1">
      <c r="A2461" s="5" t="s">
        <v>24948</v>
      </c>
      <c r="B2461" s="5" t="s">
        <v>30157</v>
      </c>
      <c r="C2461" s="5" t="s">
        <v>30158</v>
      </c>
      <c r="D2461" s="246">
        <v>42640</v>
      </c>
      <c r="E2461" s="5" t="s">
        <v>30159</v>
      </c>
      <c r="F2461" s="26" t="s">
        <v>23600</v>
      </c>
      <c r="G2461" s="27" t="s">
        <v>11757</v>
      </c>
      <c r="H2461" s="28" t="s">
        <v>11758</v>
      </c>
      <c r="I2461" s="5" t="s">
        <v>638</v>
      </c>
    </row>
    <row r="2462" spans="1:9" ht="51.75" customHeight="1">
      <c r="A2462" s="5" t="s">
        <v>25070</v>
      </c>
      <c r="B2462" s="5" t="s">
        <v>30160</v>
      </c>
      <c r="C2462" s="5" t="s">
        <v>30161</v>
      </c>
      <c r="D2462" s="246">
        <v>42640</v>
      </c>
      <c r="E2462" s="5" t="s">
        <v>30162</v>
      </c>
      <c r="F2462" s="26" t="s">
        <v>23600</v>
      </c>
      <c r="G2462" s="27" t="s">
        <v>11757</v>
      </c>
      <c r="H2462" s="28" t="s">
        <v>11758</v>
      </c>
      <c r="I2462" s="5" t="s">
        <v>638</v>
      </c>
    </row>
    <row r="2463" spans="1:9" ht="51.75" customHeight="1">
      <c r="A2463" s="5" t="s">
        <v>27119</v>
      </c>
      <c r="B2463" s="5" t="s">
        <v>30163</v>
      </c>
      <c r="C2463" s="5" t="s">
        <v>30164</v>
      </c>
      <c r="D2463" s="246">
        <v>42766</v>
      </c>
      <c r="E2463" s="5" t="s">
        <v>30165</v>
      </c>
      <c r="F2463" s="26" t="s">
        <v>23600</v>
      </c>
      <c r="G2463" s="27" t="s">
        <v>11927</v>
      </c>
      <c r="H2463" s="28" t="s">
        <v>11928</v>
      </c>
      <c r="I2463" s="5" t="s">
        <v>638</v>
      </c>
    </row>
    <row r="2464" spans="1:9" ht="51.75" customHeight="1">
      <c r="A2464" s="5" t="s">
        <v>27106</v>
      </c>
      <c r="B2464" s="5" t="s">
        <v>30166</v>
      </c>
      <c r="C2464" s="5" t="s">
        <v>30167</v>
      </c>
      <c r="D2464" s="246">
        <v>42766</v>
      </c>
      <c r="E2464" s="5" t="s">
        <v>30168</v>
      </c>
      <c r="F2464" s="26" t="s">
        <v>23600</v>
      </c>
      <c r="G2464" s="27" t="s">
        <v>11927</v>
      </c>
      <c r="H2464" s="28" t="s">
        <v>11928</v>
      </c>
      <c r="I2464" s="5" t="s">
        <v>638</v>
      </c>
    </row>
    <row r="2465" spans="1:9" ht="51.75" customHeight="1">
      <c r="A2465" s="5" t="s">
        <v>27133</v>
      </c>
      <c r="B2465" s="5" t="s">
        <v>30169</v>
      </c>
      <c r="C2465" s="5" t="s">
        <v>30170</v>
      </c>
      <c r="D2465" s="246">
        <v>42997</v>
      </c>
      <c r="E2465" s="5" t="s">
        <v>30171</v>
      </c>
      <c r="F2465" s="26" t="s">
        <v>23600</v>
      </c>
      <c r="G2465" s="27" t="s">
        <v>12082</v>
      </c>
      <c r="H2465" s="28" t="s">
        <v>12083</v>
      </c>
      <c r="I2465" s="5" t="s">
        <v>638</v>
      </c>
    </row>
    <row r="2466" spans="1:9" ht="51.75" customHeight="1">
      <c r="A2466" s="5" t="s">
        <v>27139</v>
      </c>
      <c r="B2466" s="5" t="s">
        <v>30172</v>
      </c>
      <c r="C2466" s="5" t="s">
        <v>30173</v>
      </c>
      <c r="D2466" s="246">
        <v>42997</v>
      </c>
      <c r="E2466" s="5" t="s">
        <v>30174</v>
      </c>
      <c r="F2466" s="26" t="s">
        <v>23600</v>
      </c>
      <c r="G2466" s="27" t="s">
        <v>12082</v>
      </c>
      <c r="H2466" s="28" t="s">
        <v>12083</v>
      </c>
      <c r="I2466" s="5" t="s">
        <v>638</v>
      </c>
    </row>
    <row r="2467" spans="1:9" ht="51.75" customHeight="1">
      <c r="A2467" s="5" t="s">
        <v>24436</v>
      </c>
      <c r="B2467" s="5" t="s">
        <v>30175</v>
      </c>
      <c r="C2467" s="5" t="s">
        <v>30176</v>
      </c>
      <c r="D2467" s="246">
        <v>42936</v>
      </c>
      <c r="E2467" s="5" t="s">
        <v>30177</v>
      </c>
      <c r="F2467" s="26" t="s">
        <v>23600</v>
      </c>
      <c r="G2467" s="27" t="s">
        <v>12238</v>
      </c>
      <c r="H2467" s="28" t="s">
        <v>12239</v>
      </c>
      <c r="I2467" s="5" t="s">
        <v>638</v>
      </c>
    </row>
    <row r="2468" spans="1:9" ht="51.75" customHeight="1">
      <c r="A2468" s="5" t="s">
        <v>26658</v>
      </c>
      <c r="B2468" s="5" t="s">
        <v>30178</v>
      </c>
      <c r="C2468" s="5" t="s">
        <v>30179</v>
      </c>
      <c r="D2468" s="246">
        <v>42936</v>
      </c>
      <c r="E2468" s="5" t="s">
        <v>30180</v>
      </c>
      <c r="F2468" s="26" t="s">
        <v>23600</v>
      </c>
      <c r="G2468" s="27" t="s">
        <v>12244</v>
      </c>
      <c r="H2468" s="28" t="s">
        <v>12245</v>
      </c>
      <c r="I2468" s="5" t="s">
        <v>638</v>
      </c>
    </row>
    <row r="2469" spans="1:9" ht="51.75" customHeight="1">
      <c r="A2469" s="5" t="s">
        <v>25165</v>
      </c>
      <c r="B2469" s="5" t="s">
        <v>30181</v>
      </c>
      <c r="C2469" s="5" t="s">
        <v>30182</v>
      </c>
      <c r="D2469" s="246">
        <v>42936</v>
      </c>
      <c r="E2469" s="5" t="s">
        <v>30183</v>
      </c>
      <c r="F2469" s="26" t="s">
        <v>23600</v>
      </c>
      <c r="G2469" s="27" t="s">
        <v>12244</v>
      </c>
      <c r="H2469" s="28" t="s">
        <v>12245</v>
      </c>
      <c r="I2469" s="5" t="s">
        <v>638</v>
      </c>
    </row>
    <row r="2470" spans="1:9" ht="51.75" customHeight="1">
      <c r="A2470" s="5" t="s">
        <v>26232</v>
      </c>
      <c r="B2470" s="5" t="s">
        <v>30184</v>
      </c>
      <c r="C2470" s="5" t="s">
        <v>30185</v>
      </c>
      <c r="D2470" s="246">
        <v>43025</v>
      </c>
      <c r="E2470" s="5" t="s">
        <v>30186</v>
      </c>
      <c r="F2470" s="26" t="s">
        <v>23600</v>
      </c>
      <c r="G2470" s="27" t="s">
        <v>12334</v>
      </c>
      <c r="H2470" s="28" t="s">
        <v>12335</v>
      </c>
      <c r="I2470" s="5" t="s">
        <v>638</v>
      </c>
    </row>
    <row r="2471" spans="1:9" ht="51.75" customHeight="1">
      <c r="A2471" s="5" t="s">
        <v>28025</v>
      </c>
      <c r="B2471" s="5" t="s">
        <v>30187</v>
      </c>
      <c r="C2471" s="5" t="s">
        <v>30188</v>
      </c>
      <c r="D2471" s="246">
        <v>43025</v>
      </c>
      <c r="E2471" s="5" t="s">
        <v>30189</v>
      </c>
      <c r="F2471" s="26" t="s">
        <v>23600</v>
      </c>
      <c r="G2471" s="27" t="s">
        <v>12334</v>
      </c>
      <c r="H2471" s="28" t="s">
        <v>12335</v>
      </c>
      <c r="I2471" s="5" t="s">
        <v>638</v>
      </c>
    </row>
    <row r="2472" spans="1:9" ht="51.75" customHeight="1">
      <c r="A2472" s="5" t="s">
        <v>26503</v>
      </c>
      <c r="B2472" s="5" t="s">
        <v>30190</v>
      </c>
      <c r="C2472" s="5" t="s">
        <v>30191</v>
      </c>
      <c r="D2472" s="246">
        <v>43025</v>
      </c>
      <c r="E2472" s="5" t="s">
        <v>30192</v>
      </c>
      <c r="F2472" s="26" t="s">
        <v>23600</v>
      </c>
      <c r="G2472" s="27" t="s">
        <v>12334</v>
      </c>
      <c r="H2472" s="28" t="s">
        <v>12335</v>
      </c>
      <c r="I2472" s="5" t="s">
        <v>638</v>
      </c>
    </row>
    <row r="2473" spans="1:9" ht="51.75" customHeight="1">
      <c r="A2473" s="5" t="s">
        <v>26515</v>
      </c>
      <c r="B2473" s="5" t="s">
        <v>30193</v>
      </c>
      <c r="C2473" s="5" t="s">
        <v>30194</v>
      </c>
      <c r="D2473" s="246">
        <v>43025</v>
      </c>
      <c r="E2473" s="5" t="s">
        <v>30195</v>
      </c>
      <c r="F2473" s="26" t="s">
        <v>23600</v>
      </c>
      <c r="G2473" s="27" t="s">
        <v>12334</v>
      </c>
      <c r="H2473" s="28" t="s">
        <v>12335</v>
      </c>
      <c r="I2473" s="5" t="s">
        <v>638</v>
      </c>
    </row>
    <row r="2474" spans="1:9" ht="51.75" customHeight="1">
      <c r="A2474" s="5" t="s">
        <v>27452</v>
      </c>
      <c r="B2474" s="5" t="s">
        <v>30196</v>
      </c>
      <c r="C2474" s="5" t="s">
        <v>30197</v>
      </c>
      <c r="D2474" s="246">
        <v>43154</v>
      </c>
      <c r="E2474" s="5" t="s">
        <v>30198</v>
      </c>
      <c r="F2474" s="26" t="s">
        <v>23600</v>
      </c>
      <c r="G2474" s="27" t="s">
        <v>12454</v>
      </c>
      <c r="H2474" s="28" t="s">
        <v>12455</v>
      </c>
      <c r="I2474" s="5" t="s">
        <v>638</v>
      </c>
    </row>
    <row r="2475" spans="1:9" ht="51.75" customHeight="1">
      <c r="A2475" s="5" t="s">
        <v>28344</v>
      </c>
      <c r="B2475" s="5" t="s">
        <v>30199</v>
      </c>
      <c r="C2475" s="5" t="s">
        <v>30200</v>
      </c>
      <c r="D2475" s="246">
        <v>43553</v>
      </c>
      <c r="E2475" s="5" t="s">
        <v>30201</v>
      </c>
      <c r="F2475" s="26" t="s">
        <v>23600</v>
      </c>
      <c r="G2475" s="27" t="s">
        <v>12759</v>
      </c>
      <c r="H2475" s="28" t="s">
        <v>12760</v>
      </c>
      <c r="I2475" s="5" t="s">
        <v>638</v>
      </c>
    </row>
    <row r="2476" spans="1:9" ht="51.75" customHeight="1">
      <c r="A2476" s="5" t="s">
        <v>27446</v>
      </c>
      <c r="B2476" s="5" t="s">
        <v>30202</v>
      </c>
      <c r="C2476" s="5" t="s">
        <v>30203</v>
      </c>
      <c r="D2476" s="246">
        <v>43553</v>
      </c>
      <c r="E2476" s="5" t="s">
        <v>30204</v>
      </c>
      <c r="F2476" s="26" t="s">
        <v>23600</v>
      </c>
      <c r="G2476" s="27" t="s">
        <v>12759</v>
      </c>
      <c r="H2476" s="28" t="s">
        <v>12760</v>
      </c>
      <c r="I2476" s="5" t="s">
        <v>638</v>
      </c>
    </row>
    <row r="2477" spans="1:9" ht="51.75" customHeight="1">
      <c r="A2477" s="5" t="s">
        <v>28347</v>
      </c>
      <c r="B2477" s="5" t="s">
        <v>30205</v>
      </c>
      <c r="C2477" s="5" t="s">
        <v>30206</v>
      </c>
      <c r="D2477" s="246">
        <v>43553</v>
      </c>
      <c r="E2477" s="5" t="s">
        <v>30207</v>
      </c>
      <c r="F2477" s="26" t="s">
        <v>23600</v>
      </c>
      <c r="G2477" s="27" t="s">
        <v>12759</v>
      </c>
      <c r="H2477" s="28" t="s">
        <v>12760</v>
      </c>
      <c r="I2477" s="5" t="s">
        <v>638</v>
      </c>
    </row>
    <row r="2478" spans="1:9" ht="51.75" customHeight="1">
      <c r="A2478" s="5" t="s">
        <v>27452</v>
      </c>
      <c r="B2478" s="5" t="s">
        <v>30208</v>
      </c>
      <c r="C2478" s="5" t="s">
        <v>30209</v>
      </c>
      <c r="D2478" s="246">
        <v>43553</v>
      </c>
      <c r="E2478" s="5" t="s">
        <v>30210</v>
      </c>
      <c r="F2478" s="26" t="s">
        <v>23600</v>
      </c>
      <c r="G2478" s="27" t="s">
        <v>12759</v>
      </c>
      <c r="H2478" s="28" t="s">
        <v>12760</v>
      </c>
      <c r="I2478" s="5" t="s">
        <v>638</v>
      </c>
    </row>
    <row r="2479" spans="1:9" ht="51.75" customHeight="1">
      <c r="A2479" s="5" t="s">
        <v>28350</v>
      </c>
      <c r="B2479" s="5" t="s">
        <v>30211</v>
      </c>
      <c r="C2479" s="5" t="s">
        <v>30212</v>
      </c>
      <c r="D2479" s="246">
        <v>43553</v>
      </c>
      <c r="E2479" s="5" t="s">
        <v>30213</v>
      </c>
      <c r="F2479" s="26" t="s">
        <v>23600</v>
      </c>
      <c r="G2479" s="27" t="s">
        <v>12759</v>
      </c>
      <c r="H2479" s="28" t="s">
        <v>12760</v>
      </c>
      <c r="I2479" s="5" t="s">
        <v>638</v>
      </c>
    </row>
    <row r="2480" spans="1:9" ht="51.75" customHeight="1">
      <c r="A2480" s="5" t="s">
        <v>30214</v>
      </c>
      <c r="B2480" s="5" t="s">
        <v>30215</v>
      </c>
      <c r="C2480" s="5" t="s">
        <v>30216</v>
      </c>
      <c r="D2480" s="246">
        <v>43553</v>
      </c>
      <c r="E2480" s="5" t="s">
        <v>30217</v>
      </c>
      <c r="F2480" s="26" t="s">
        <v>23600</v>
      </c>
      <c r="G2480" s="27" t="s">
        <v>12759</v>
      </c>
      <c r="H2480" s="28" t="s">
        <v>12760</v>
      </c>
      <c r="I2480" s="5" t="s">
        <v>638</v>
      </c>
    </row>
    <row r="2481" spans="1:9" ht="51.75" customHeight="1">
      <c r="A2481" s="5" t="s">
        <v>25070</v>
      </c>
      <c r="B2481" s="5" t="s">
        <v>30218</v>
      </c>
      <c r="C2481" s="5" t="s">
        <v>30219</v>
      </c>
      <c r="D2481" s="246">
        <v>43025</v>
      </c>
      <c r="E2481" s="5" t="s">
        <v>30220</v>
      </c>
      <c r="F2481" s="26" t="s">
        <v>23600</v>
      </c>
      <c r="G2481" s="27" t="s">
        <v>12611</v>
      </c>
      <c r="H2481" s="28" t="s">
        <v>12612</v>
      </c>
      <c r="I2481" s="5" t="s">
        <v>638</v>
      </c>
    </row>
    <row r="2482" spans="1:9" ht="51.75" customHeight="1">
      <c r="A2482" s="5" t="s">
        <v>25078</v>
      </c>
      <c r="B2482" s="5" t="s">
        <v>30221</v>
      </c>
      <c r="C2482" s="5" t="s">
        <v>30222</v>
      </c>
      <c r="D2482" s="246">
        <v>43025</v>
      </c>
      <c r="E2482" s="5" t="s">
        <v>30223</v>
      </c>
      <c r="F2482" s="26" t="s">
        <v>23600</v>
      </c>
      <c r="G2482" s="27" t="s">
        <v>12611</v>
      </c>
      <c r="H2482" s="28" t="s">
        <v>12612</v>
      </c>
      <c r="I2482" s="5" t="s">
        <v>638</v>
      </c>
    </row>
    <row r="2483" spans="1:9" ht="51.75" customHeight="1">
      <c r="A2483" s="5" t="s">
        <v>28240</v>
      </c>
      <c r="B2483" s="5" t="s">
        <v>30224</v>
      </c>
      <c r="C2483" s="5" t="s">
        <v>30225</v>
      </c>
      <c r="D2483" s="246">
        <v>43245</v>
      </c>
      <c r="E2483" s="5" t="s">
        <v>30226</v>
      </c>
      <c r="F2483" s="26" t="s">
        <v>23600</v>
      </c>
      <c r="G2483" s="27" t="s">
        <v>12800</v>
      </c>
      <c r="H2483" s="28" t="s">
        <v>12801</v>
      </c>
      <c r="I2483" s="5" t="s">
        <v>638</v>
      </c>
    </row>
    <row r="2484" spans="1:9" ht="51.75" customHeight="1">
      <c r="A2484" s="5" t="s">
        <v>24700</v>
      </c>
      <c r="B2484" s="5" t="s">
        <v>30227</v>
      </c>
      <c r="C2484" s="5" t="s">
        <v>30228</v>
      </c>
      <c r="D2484" s="246">
        <v>43245</v>
      </c>
      <c r="E2484" s="5" t="s">
        <v>30229</v>
      </c>
      <c r="F2484" s="26" t="s">
        <v>23600</v>
      </c>
      <c r="G2484" s="27" t="s">
        <v>12800</v>
      </c>
      <c r="H2484" s="28" t="s">
        <v>12801</v>
      </c>
      <c r="I2484" s="5" t="s">
        <v>638</v>
      </c>
    </row>
    <row r="2485" spans="1:9" ht="51.75" customHeight="1">
      <c r="A2485" s="5" t="s">
        <v>27313</v>
      </c>
      <c r="B2485" s="5" t="s">
        <v>30230</v>
      </c>
      <c r="C2485" s="5" t="s">
        <v>30231</v>
      </c>
      <c r="D2485" s="246">
        <v>43299</v>
      </c>
      <c r="E2485" s="5" t="s">
        <v>30232</v>
      </c>
      <c r="F2485" s="26" t="s">
        <v>23600</v>
      </c>
      <c r="G2485" s="27" t="s">
        <v>12931</v>
      </c>
      <c r="H2485" s="28" t="s">
        <v>12932</v>
      </c>
      <c r="I2485" s="5" t="s">
        <v>638</v>
      </c>
    </row>
    <row r="2486" spans="1:9" ht="51.75" customHeight="1">
      <c r="A2486" s="5" t="s">
        <v>27319</v>
      </c>
      <c r="B2486" s="5" t="s">
        <v>30233</v>
      </c>
      <c r="C2486" s="5" t="s">
        <v>30234</v>
      </c>
      <c r="D2486" s="246">
        <v>43299</v>
      </c>
      <c r="E2486" s="5" t="s">
        <v>30235</v>
      </c>
      <c r="F2486" s="26" t="s">
        <v>23600</v>
      </c>
      <c r="G2486" s="27" t="s">
        <v>12931</v>
      </c>
      <c r="H2486" s="28" t="s">
        <v>12932</v>
      </c>
      <c r="I2486" s="5" t="s">
        <v>638</v>
      </c>
    </row>
    <row r="2487" spans="1:9" ht="51.75" customHeight="1">
      <c r="A2487" s="5" t="s">
        <v>27324</v>
      </c>
      <c r="B2487" s="5" t="s">
        <v>30236</v>
      </c>
      <c r="C2487" s="5" t="s">
        <v>30237</v>
      </c>
      <c r="D2487" s="246">
        <v>43299</v>
      </c>
      <c r="E2487" s="5" t="s">
        <v>30238</v>
      </c>
      <c r="F2487" s="26" t="s">
        <v>23600</v>
      </c>
      <c r="G2487" s="27" t="s">
        <v>12931</v>
      </c>
      <c r="H2487" s="28" t="s">
        <v>12932</v>
      </c>
      <c r="I2487" s="5" t="s">
        <v>638</v>
      </c>
    </row>
    <row r="2488" spans="1:9" ht="51.75" customHeight="1">
      <c r="A2488" s="5" t="s">
        <v>27336</v>
      </c>
      <c r="B2488" s="5" t="s">
        <v>30239</v>
      </c>
      <c r="C2488" s="5" t="s">
        <v>30240</v>
      </c>
      <c r="D2488" s="246">
        <v>43299</v>
      </c>
      <c r="E2488" s="5" t="s">
        <v>30241</v>
      </c>
      <c r="F2488" s="26" t="s">
        <v>23600</v>
      </c>
      <c r="G2488" s="27" t="s">
        <v>12931</v>
      </c>
      <c r="H2488" s="28" t="s">
        <v>12932</v>
      </c>
      <c r="I2488" s="5" t="s">
        <v>638</v>
      </c>
    </row>
    <row r="2489" spans="1:9" ht="51.75" customHeight="1">
      <c r="A2489" s="5" t="s">
        <v>24587</v>
      </c>
      <c r="B2489" s="5" t="s">
        <v>30242</v>
      </c>
      <c r="C2489" s="5" t="s">
        <v>30243</v>
      </c>
      <c r="D2489" s="246">
        <v>43181</v>
      </c>
      <c r="E2489" s="5" t="s">
        <v>30244</v>
      </c>
      <c r="F2489" s="26" t="s">
        <v>23600</v>
      </c>
      <c r="G2489" s="27" t="s">
        <v>12937</v>
      </c>
      <c r="H2489" s="28" t="s">
        <v>12938</v>
      </c>
      <c r="I2489" s="5" t="s">
        <v>638</v>
      </c>
    </row>
    <row r="2490" spans="1:9" ht="51.75" customHeight="1">
      <c r="A2490" s="5" t="s">
        <v>24595</v>
      </c>
      <c r="B2490" s="5" t="s">
        <v>30245</v>
      </c>
      <c r="C2490" s="5" t="s">
        <v>30246</v>
      </c>
      <c r="D2490" s="246">
        <v>43181</v>
      </c>
      <c r="E2490" s="5" t="s">
        <v>30247</v>
      </c>
      <c r="F2490" s="26" t="s">
        <v>23600</v>
      </c>
      <c r="G2490" s="27" t="s">
        <v>12937</v>
      </c>
      <c r="H2490" s="28" t="s">
        <v>12938</v>
      </c>
      <c r="I2490" s="5" t="s">
        <v>638</v>
      </c>
    </row>
    <row r="2491" spans="1:9" ht="51.75" customHeight="1">
      <c r="A2491" s="5" t="s">
        <v>23794</v>
      </c>
      <c r="B2491" s="5" t="s">
        <v>30248</v>
      </c>
      <c r="C2491" s="5" t="s">
        <v>30249</v>
      </c>
      <c r="D2491" s="246">
        <v>43299</v>
      </c>
      <c r="E2491" s="5" t="s">
        <v>30250</v>
      </c>
      <c r="F2491" s="26" t="s">
        <v>23600</v>
      </c>
      <c r="G2491" s="27" t="s">
        <v>13132</v>
      </c>
      <c r="H2491" s="28" t="s">
        <v>13133</v>
      </c>
      <c r="I2491" s="5" t="s">
        <v>638</v>
      </c>
    </row>
    <row r="2492" spans="1:9" ht="51.75" customHeight="1">
      <c r="A2492" s="5" t="s">
        <v>23800</v>
      </c>
      <c r="B2492" s="5" t="s">
        <v>30251</v>
      </c>
      <c r="C2492" s="5" t="s">
        <v>30252</v>
      </c>
      <c r="D2492" s="246">
        <v>43299</v>
      </c>
      <c r="E2492" s="5" t="s">
        <v>30253</v>
      </c>
      <c r="F2492" s="26" t="s">
        <v>23600</v>
      </c>
      <c r="G2492" s="27" t="s">
        <v>13132</v>
      </c>
      <c r="H2492" s="28" t="s">
        <v>13133</v>
      </c>
      <c r="I2492" s="5" t="s">
        <v>638</v>
      </c>
    </row>
    <row r="2493" spans="1:9" ht="51.75" customHeight="1">
      <c r="A2493" s="5" t="s">
        <v>30254</v>
      </c>
      <c r="B2493" s="5" t="s">
        <v>30255</v>
      </c>
      <c r="C2493" s="5" t="s">
        <v>30256</v>
      </c>
      <c r="D2493" s="246">
        <v>43299</v>
      </c>
      <c r="E2493" s="5" t="s">
        <v>30257</v>
      </c>
      <c r="F2493" s="26" t="s">
        <v>23600</v>
      </c>
      <c r="G2493" s="27" t="s">
        <v>13132</v>
      </c>
      <c r="H2493" s="28" t="s">
        <v>13133</v>
      </c>
      <c r="I2493" s="5" t="s">
        <v>638</v>
      </c>
    </row>
    <row r="2494" spans="1:9" ht="51.75" customHeight="1">
      <c r="A2494" s="5" t="s">
        <v>30258</v>
      </c>
      <c r="B2494" s="5" t="s">
        <v>30259</v>
      </c>
      <c r="C2494" s="5" t="s">
        <v>30260</v>
      </c>
      <c r="D2494" s="246">
        <v>43299</v>
      </c>
      <c r="E2494" s="5" t="s">
        <v>30261</v>
      </c>
      <c r="F2494" s="26" t="s">
        <v>23600</v>
      </c>
      <c r="G2494" s="27" t="s">
        <v>13132</v>
      </c>
      <c r="H2494" s="28" t="s">
        <v>13133</v>
      </c>
      <c r="I2494" s="5" t="s">
        <v>638</v>
      </c>
    </row>
    <row r="2495" spans="1:9" ht="51.75" customHeight="1">
      <c r="A2495" s="5" t="s">
        <v>26000</v>
      </c>
      <c r="B2495" s="5" t="s">
        <v>30262</v>
      </c>
      <c r="C2495" s="5" t="s">
        <v>30263</v>
      </c>
      <c r="D2495" s="246">
        <v>43453</v>
      </c>
      <c r="E2495" s="5" t="s">
        <v>30264</v>
      </c>
      <c r="F2495" s="26" t="s">
        <v>23600</v>
      </c>
      <c r="G2495" s="27" t="s">
        <v>13169</v>
      </c>
      <c r="H2495" s="28" t="s">
        <v>13170</v>
      </c>
      <c r="I2495" s="5" t="s">
        <v>638</v>
      </c>
    </row>
    <row r="2496" spans="1:9" ht="51.75" customHeight="1">
      <c r="A2496" s="5" t="s">
        <v>26005</v>
      </c>
      <c r="B2496" s="5" t="s">
        <v>30265</v>
      </c>
      <c r="C2496" s="5" t="s">
        <v>30266</v>
      </c>
      <c r="D2496" s="246">
        <v>43453</v>
      </c>
      <c r="E2496" s="5" t="s">
        <v>30267</v>
      </c>
      <c r="F2496" s="26" t="s">
        <v>23600</v>
      </c>
      <c r="G2496" s="27" t="s">
        <v>13169</v>
      </c>
      <c r="H2496" s="28" t="s">
        <v>13170</v>
      </c>
      <c r="I2496" s="5" t="s">
        <v>638</v>
      </c>
    </row>
    <row r="2497" spans="1:9" ht="51.75" customHeight="1">
      <c r="A2497" s="5" t="s">
        <v>30268</v>
      </c>
      <c r="B2497" s="5" t="s">
        <v>30269</v>
      </c>
      <c r="C2497" s="5" t="s">
        <v>30270</v>
      </c>
      <c r="D2497" s="246">
        <v>43218</v>
      </c>
      <c r="E2497" s="5" t="s">
        <v>30271</v>
      </c>
      <c r="F2497" s="26" t="s">
        <v>23600</v>
      </c>
      <c r="G2497" s="27" t="s">
        <v>13289</v>
      </c>
      <c r="H2497" s="28" t="s">
        <v>13290</v>
      </c>
      <c r="I2497" s="5" t="s">
        <v>638</v>
      </c>
    </row>
    <row r="2498" spans="1:9" ht="51.75" customHeight="1">
      <c r="A2498" s="5" t="s">
        <v>30064</v>
      </c>
      <c r="B2498" s="5" t="s">
        <v>30272</v>
      </c>
      <c r="C2498" s="5" t="s">
        <v>30273</v>
      </c>
      <c r="D2498" s="246">
        <v>43218</v>
      </c>
      <c r="E2498" s="5" t="s">
        <v>30274</v>
      </c>
      <c r="F2498" s="26" t="s">
        <v>23600</v>
      </c>
      <c r="G2498" s="27" t="s">
        <v>13289</v>
      </c>
      <c r="H2498" s="28" t="s">
        <v>13290</v>
      </c>
      <c r="I2498" s="5" t="s">
        <v>638</v>
      </c>
    </row>
    <row r="2499" spans="1:9" ht="51.75" customHeight="1">
      <c r="A2499" s="5" t="s">
        <v>25012</v>
      </c>
      <c r="B2499" s="5" t="s">
        <v>30275</v>
      </c>
      <c r="C2499" s="5" t="s">
        <v>30276</v>
      </c>
      <c r="D2499" s="246">
        <v>43816</v>
      </c>
      <c r="E2499" s="5" t="s">
        <v>30277</v>
      </c>
      <c r="F2499" s="26" t="s">
        <v>23600</v>
      </c>
      <c r="G2499" s="27" t="s">
        <v>13453</v>
      </c>
      <c r="H2499" s="28" t="s">
        <v>13454</v>
      </c>
      <c r="I2499" s="5" t="s">
        <v>638</v>
      </c>
    </row>
    <row r="2500" spans="1:9" ht="51.75" customHeight="1">
      <c r="A2500" s="5" t="s">
        <v>24981</v>
      </c>
      <c r="B2500" s="5" t="s">
        <v>30278</v>
      </c>
      <c r="C2500" s="5" t="s">
        <v>30279</v>
      </c>
      <c r="D2500" s="246">
        <v>43816</v>
      </c>
      <c r="E2500" s="5" t="s">
        <v>30280</v>
      </c>
      <c r="F2500" s="26" t="s">
        <v>23600</v>
      </c>
      <c r="G2500" s="27" t="s">
        <v>13453</v>
      </c>
      <c r="H2500" s="28" t="s">
        <v>13454</v>
      </c>
      <c r="I2500" s="5" t="s">
        <v>638</v>
      </c>
    </row>
    <row r="2501" spans="1:9" ht="51.75" customHeight="1">
      <c r="A2501" s="5" t="s">
        <v>24674</v>
      </c>
      <c r="B2501" s="5" t="s">
        <v>30281</v>
      </c>
      <c r="C2501" s="5" t="s">
        <v>30282</v>
      </c>
      <c r="D2501" s="246">
        <v>43816</v>
      </c>
      <c r="E2501" s="5" t="s">
        <v>30283</v>
      </c>
      <c r="F2501" s="26" t="s">
        <v>23600</v>
      </c>
      <c r="G2501" s="27" t="s">
        <v>13453</v>
      </c>
      <c r="H2501" s="28" t="s">
        <v>13454</v>
      </c>
      <c r="I2501" s="5" t="s">
        <v>638</v>
      </c>
    </row>
    <row r="2502" spans="1:9" ht="51.75" customHeight="1">
      <c r="A2502" s="5" t="s">
        <v>25953</v>
      </c>
      <c r="B2502" s="5" t="s">
        <v>30284</v>
      </c>
      <c r="C2502" s="5" t="s">
        <v>30285</v>
      </c>
      <c r="D2502" s="246">
        <v>43490</v>
      </c>
      <c r="E2502" s="5" t="s">
        <v>30286</v>
      </c>
      <c r="F2502" s="26" t="s">
        <v>23600</v>
      </c>
      <c r="G2502" s="27" t="s">
        <v>13627</v>
      </c>
      <c r="H2502" s="28" t="s">
        <v>13628</v>
      </c>
      <c r="I2502" s="5" t="s">
        <v>638</v>
      </c>
    </row>
    <row r="2503" spans="1:9" ht="51.75" customHeight="1">
      <c r="A2503" s="5" t="s">
        <v>26109</v>
      </c>
      <c r="B2503" s="5" t="s">
        <v>30287</v>
      </c>
      <c r="C2503" s="5" t="s">
        <v>30288</v>
      </c>
      <c r="D2503" s="246">
        <v>43490</v>
      </c>
      <c r="E2503" s="5" t="s">
        <v>30289</v>
      </c>
      <c r="F2503" s="26" t="s">
        <v>23600</v>
      </c>
      <c r="G2503" s="27" t="s">
        <v>13627</v>
      </c>
      <c r="H2503" s="28" t="s">
        <v>13628</v>
      </c>
      <c r="I2503" s="5" t="s">
        <v>638</v>
      </c>
    </row>
    <row r="2504" spans="1:9" ht="51.75" customHeight="1">
      <c r="A2504" s="5" t="s">
        <v>30290</v>
      </c>
      <c r="B2504" s="5" t="s">
        <v>30291</v>
      </c>
      <c r="C2504" s="5" t="s">
        <v>30292</v>
      </c>
      <c r="D2504" s="246">
        <v>43490</v>
      </c>
      <c r="E2504" s="5" t="s">
        <v>30293</v>
      </c>
      <c r="F2504" s="26" t="s">
        <v>23600</v>
      </c>
      <c r="G2504" s="27" t="s">
        <v>13627</v>
      </c>
      <c r="H2504" s="28" t="s">
        <v>13628</v>
      </c>
      <c r="I2504" s="5" t="s">
        <v>638</v>
      </c>
    </row>
    <row r="2505" spans="1:9" ht="51.75" customHeight="1">
      <c r="A2505" s="5" t="s">
        <v>26270</v>
      </c>
      <c r="B2505" s="5" t="s">
        <v>30294</v>
      </c>
      <c r="C2505" s="5" t="s">
        <v>30295</v>
      </c>
      <c r="D2505" s="246">
        <v>43453</v>
      </c>
      <c r="E2505" s="5" t="s">
        <v>30296</v>
      </c>
      <c r="F2505" s="26" t="s">
        <v>23600</v>
      </c>
      <c r="G2505" s="27" t="s">
        <v>13672</v>
      </c>
      <c r="H2505" s="28" t="s">
        <v>13673</v>
      </c>
      <c r="I2505" s="5" t="s">
        <v>638</v>
      </c>
    </row>
    <row r="2506" spans="1:9" ht="51.75" customHeight="1">
      <c r="A2506" s="5" t="s">
        <v>26250</v>
      </c>
      <c r="B2506" s="5" t="s">
        <v>30297</v>
      </c>
      <c r="C2506" s="5" t="s">
        <v>30298</v>
      </c>
      <c r="D2506" s="246">
        <v>43453</v>
      </c>
      <c r="E2506" s="5" t="s">
        <v>30299</v>
      </c>
      <c r="F2506" s="26" t="s">
        <v>23600</v>
      </c>
      <c r="G2506" s="27" t="s">
        <v>13672</v>
      </c>
      <c r="H2506" s="28" t="s">
        <v>13673</v>
      </c>
      <c r="I2506" s="5" t="s">
        <v>638</v>
      </c>
    </row>
    <row r="2507" spans="1:9" ht="51.75" customHeight="1">
      <c r="A2507" s="5" t="s">
        <v>25395</v>
      </c>
      <c r="B2507" s="5" t="s">
        <v>30300</v>
      </c>
      <c r="C2507" s="5" t="s">
        <v>30301</v>
      </c>
      <c r="D2507" s="246">
        <v>43760</v>
      </c>
      <c r="E2507" s="5" t="s">
        <v>30302</v>
      </c>
      <c r="F2507" s="26" t="s">
        <v>23600</v>
      </c>
      <c r="G2507" s="27" t="s">
        <v>13839</v>
      </c>
      <c r="H2507" s="28" t="s">
        <v>13840</v>
      </c>
      <c r="I2507" s="5" t="s">
        <v>638</v>
      </c>
    </row>
    <row r="2508" spans="1:9" ht="51.75" customHeight="1">
      <c r="A2508" s="5" t="s">
        <v>30303</v>
      </c>
      <c r="B2508" s="5" t="s">
        <v>30304</v>
      </c>
      <c r="C2508" s="5" t="s">
        <v>30305</v>
      </c>
      <c r="D2508" s="246">
        <v>43760</v>
      </c>
      <c r="E2508" s="5" t="s">
        <v>30306</v>
      </c>
      <c r="F2508" s="26" t="s">
        <v>23600</v>
      </c>
      <c r="G2508" s="27" t="s">
        <v>13839</v>
      </c>
      <c r="H2508" s="28" t="s">
        <v>13840</v>
      </c>
      <c r="I2508" s="5" t="s">
        <v>638</v>
      </c>
    </row>
    <row r="2509" spans="1:9" ht="51.75" customHeight="1">
      <c r="A2509" s="5" t="s">
        <v>30307</v>
      </c>
      <c r="B2509" s="5" t="s">
        <v>30308</v>
      </c>
      <c r="C2509" s="5" t="s">
        <v>30309</v>
      </c>
      <c r="D2509" s="246">
        <v>43816</v>
      </c>
      <c r="E2509" s="5" t="s">
        <v>30310</v>
      </c>
      <c r="F2509" s="26" t="s">
        <v>23600</v>
      </c>
      <c r="G2509" s="27" t="s">
        <v>13910</v>
      </c>
      <c r="H2509" s="28" t="s">
        <v>13911</v>
      </c>
      <c r="I2509" s="5" t="s">
        <v>638</v>
      </c>
    </row>
    <row r="2510" spans="1:9" ht="51.75" customHeight="1">
      <c r="A2510" s="5" t="s">
        <v>30311</v>
      </c>
      <c r="B2510" s="5" t="s">
        <v>30312</v>
      </c>
      <c r="C2510" s="5" t="s">
        <v>30313</v>
      </c>
      <c r="D2510" s="246">
        <v>43816</v>
      </c>
      <c r="E2510" s="5" t="s">
        <v>30314</v>
      </c>
      <c r="F2510" s="26" t="s">
        <v>23600</v>
      </c>
      <c r="G2510" s="27" t="s">
        <v>13910</v>
      </c>
      <c r="H2510" s="28" t="s">
        <v>13911</v>
      </c>
      <c r="I2510" s="5" t="s">
        <v>638</v>
      </c>
    </row>
    <row r="2511" spans="1:9" ht="51.75" customHeight="1">
      <c r="A2511" s="5" t="s">
        <v>30315</v>
      </c>
      <c r="B2511" s="5" t="s">
        <v>30316</v>
      </c>
      <c r="C2511" s="5" t="s">
        <v>30317</v>
      </c>
      <c r="D2511" s="246">
        <v>43816</v>
      </c>
      <c r="E2511" s="5" t="s">
        <v>30318</v>
      </c>
      <c r="F2511" s="26" t="s">
        <v>23600</v>
      </c>
      <c r="G2511" s="27" t="s">
        <v>13910</v>
      </c>
      <c r="H2511" s="28" t="s">
        <v>13911</v>
      </c>
      <c r="I2511" s="5" t="s">
        <v>638</v>
      </c>
    </row>
    <row r="2512" spans="1:9" ht="51.75" customHeight="1">
      <c r="A2512" s="5" t="s">
        <v>30319</v>
      </c>
      <c r="B2512" s="5" t="s">
        <v>30320</v>
      </c>
      <c r="C2512" s="5" t="s">
        <v>30321</v>
      </c>
      <c r="D2512" s="246">
        <v>43816</v>
      </c>
      <c r="E2512" s="5" t="s">
        <v>30322</v>
      </c>
      <c r="F2512" s="26" t="s">
        <v>23600</v>
      </c>
      <c r="G2512" s="27" t="s">
        <v>13910</v>
      </c>
      <c r="H2512" s="28" t="s">
        <v>13911</v>
      </c>
      <c r="I2512" s="5" t="s">
        <v>638</v>
      </c>
    </row>
    <row r="2513" spans="1:9" ht="51.75" customHeight="1">
      <c r="A2513" s="5" t="s">
        <v>30323</v>
      </c>
      <c r="B2513" s="5" t="s">
        <v>30324</v>
      </c>
      <c r="C2513" s="5" t="s">
        <v>30325</v>
      </c>
      <c r="D2513" s="246">
        <v>43816</v>
      </c>
      <c r="E2513" s="5" t="s">
        <v>30326</v>
      </c>
      <c r="F2513" s="26" t="s">
        <v>23600</v>
      </c>
      <c r="G2513" s="27" t="s">
        <v>13910</v>
      </c>
      <c r="H2513" s="28" t="s">
        <v>13911</v>
      </c>
      <c r="I2513" s="5" t="s">
        <v>638</v>
      </c>
    </row>
    <row r="2514" spans="1:9" ht="51.75" customHeight="1">
      <c r="A2514" s="5" t="s">
        <v>30327</v>
      </c>
      <c r="B2514" s="5" t="s">
        <v>30328</v>
      </c>
      <c r="C2514" s="5" t="s">
        <v>30329</v>
      </c>
      <c r="D2514" s="246">
        <v>43816</v>
      </c>
      <c r="E2514" s="5" t="s">
        <v>30330</v>
      </c>
      <c r="F2514" s="26" t="s">
        <v>23600</v>
      </c>
      <c r="G2514" s="27" t="s">
        <v>13910</v>
      </c>
      <c r="H2514" s="28" t="s">
        <v>13911</v>
      </c>
      <c r="I2514" s="5" t="s">
        <v>638</v>
      </c>
    </row>
    <row r="2515" spans="1:9" ht="51.75" customHeight="1">
      <c r="A2515" s="5" t="s">
        <v>30331</v>
      </c>
      <c r="B2515" s="5" t="s">
        <v>30332</v>
      </c>
      <c r="C2515" s="5" t="s">
        <v>30333</v>
      </c>
      <c r="D2515" s="246">
        <v>43816</v>
      </c>
      <c r="E2515" s="5" t="s">
        <v>30334</v>
      </c>
      <c r="F2515" s="26" t="s">
        <v>23600</v>
      </c>
      <c r="G2515" s="27" t="s">
        <v>13910</v>
      </c>
      <c r="H2515" s="28" t="s">
        <v>13911</v>
      </c>
      <c r="I2515" s="5" t="s">
        <v>638</v>
      </c>
    </row>
    <row r="2516" spans="1:9" ht="51.75" customHeight="1">
      <c r="A2516" s="5" t="s">
        <v>30331</v>
      </c>
      <c r="B2516" s="5" t="s">
        <v>30335</v>
      </c>
      <c r="C2516" s="5" t="s">
        <v>30333</v>
      </c>
      <c r="D2516" s="246">
        <v>43816</v>
      </c>
      <c r="E2516" s="5" t="s">
        <v>30336</v>
      </c>
      <c r="F2516" s="26" t="s">
        <v>23600</v>
      </c>
      <c r="G2516" s="27" t="s">
        <v>13910</v>
      </c>
      <c r="H2516" s="28" t="s">
        <v>13911</v>
      </c>
      <c r="I2516" s="5" t="s">
        <v>638</v>
      </c>
    </row>
    <row r="2517" spans="1:9" ht="51.75" customHeight="1">
      <c r="A2517" s="5" t="s">
        <v>30337</v>
      </c>
      <c r="B2517" s="5" t="s">
        <v>30338</v>
      </c>
      <c r="C2517" s="5" t="s">
        <v>30339</v>
      </c>
      <c r="D2517" s="246">
        <v>43816</v>
      </c>
      <c r="E2517" s="5" t="s">
        <v>30340</v>
      </c>
      <c r="F2517" s="26" t="s">
        <v>23600</v>
      </c>
      <c r="G2517" s="27" t="s">
        <v>13910</v>
      </c>
      <c r="H2517" s="28" t="s">
        <v>13911</v>
      </c>
      <c r="I2517" s="5" t="s">
        <v>638</v>
      </c>
    </row>
    <row r="2518" spans="1:9" ht="51.75" customHeight="1">
      <c r="A2518" s="5" t="s">
        <v>24729</v>
      </c>
      <c r="B2518" s="5" t="s">
        <v>30341</v>
      </c>
      <c r="C2518" s="5" t="s">
        <v>30342</v>
      </c>
      <c r="D2518" s="246">
        <v>43644</v>
      </c>
      <c r="E2518" s="5" t="s">
        <v>30343</v>
      </c>
      <c r="F2518" s="26" t="s">
        <v>23600</v>
      </c>
      <c r="G2518" s="27" t="s">
        <v>13962</v>
      </c>
      <c r="H2518" s="28" t="s">
        <v>13963</v>
      </c>
      <c r="I2518" s="5" t="s">
        <v>638</v>
      </c>
    </row>
    <row r="2519" spans="1:9" ht="51.75" customHeight="1">
      <c r="A2519" s="5" t="s">
        <v>24733</v>
      </c>
      <c r="B2519" s="5" t="s">
        <v>30344</v>
      </c>
      <c r="C2519" s="5" t="s">
        <v>30345</v>
      </c>
      <c r="D2519" s="246">
        <v>43644</v>
      </c>
      <c r="E2519" s="5" t="s">
        <v>30346</v>
      </c>
      <c r="F2519" s="26" t="s">
        <v>23600</v>
      </c>
      <c r="G2519" s="27" t="s">
        <v>13962</v>
      </c>
      <c r="H2519" s="28" t="s">
        <v>13963</v>
      </c>
      <c r="I2519" s="5" t="s">
        <v>638</v>
      </c>
    </row>
    <row r="2520" spans="1:9" ht="51.75" customHeight="1">
      <c r="A2520" s="5" t="s">
        <v>24741</v>
      </c>
      <c r="B2520" s="5" t="s">
        <v>30347</v>
      </c>
      <c r="C2520" s="5" t="s">
        <v>30348</v>
      </c>
      <c r="D2520" s="246">
        <v>43644</v>
      </c>
      <c r="E2520" s="5" t="s">
        <v>30349</v>
      </c>
      <c r="F2520" s="26" t="s">
        <v>23600</v>
      </c>
      <c r="G2520" s="27" t="s">
        <v>13962</v>
      </c>
      <c r="H2520" s="28" t="s">
        <v>13963</v>
      </c>
      <c r="I2520" s="5" t="s">
        <v>638</v>
      </c>
    </row>
    <row r="2521" spans="1:9" ht="51.75" customHeight="1">
      <c r="A2521" s="5" t="s">
        <v>30350</v>
      </c>
      <c r="B2521" s="5" t="s">
        <v>30351</v>
      </c>
      <c r="C2521" s="5" t="s">
        <v>30352</v>
      </c>
      <c r="D2521" s="246">
        <v>43672</v>
      </c>
      <c r="E2521" s="5" t="s">
        <v>30353</v>
      </c>
      <c r="F2521" s="26" t="s">
        <v>23600</v>
      </c>
      <c r="G2521" s="27" t="s">
        <v>14008</v>
      </c>
      <c r="H2521" s="28" t="s">
        <v>14009</v>
      </c>
      <c r="I2521" s="5" t="s">
        <v>638</v>
      </c>
    </row>
    <row r="2522" spans="1:9" ht="51.75" customHeight="1">
      <c r="A2522" s="5" t="s">
        <v>30354</v>
      </c>
      <c r="B2522" s="5" t="s">
        <v>30355</v>
      </c>
      <c r="C2522" s="5" t="s">
        <v>30356</v>
      </c>
      <c r="D2522" s="246">
        <v>43672</v>
      </c>
      <c r="E2522" s="5" t="s">
        <v>30357</v>
      </c>
      <c r="F2522" s="26" t="s">
        <v>23600</v>
      </c>
      <c r="G2522" s="27" t="s">
        <v>14008</v>
      </c>
      <c r="H2522" s="28" t="s">
        <v>14009</v>
      </c>
      <c r="I2522" s="5" t="s">
        <v>638</v>
      </c>
    </row>
    <row r="2523" spans="1:9" ht="51.75" customHeight="1">
      <c r="A2523" s="5" t="s">
        <v>30358</v>
      </c>
      <c r="B2523" s="5" t="s">
        <v>30359</v>
      </c>
      <c r="C2523" s="5" t="s">
        <v>30360</v>
      </c>
      <c r="D2523" s="246">
        <v>43672</v>
      </c>
      <c r="E2523" s="5" t="s">
        <v>30361</v>
      </c>
      <c r="F2523" s="26" t="s">
        <v>23600</v>
      </c>
      <c r="G2523" s="27" t="s">
        <v>14008</v>
      </c>
      <c r="H2523" s="28" t="s">
        <v>14009</v>
      </c>
      <c r="I2523" s="5" t="s">
        <v>638</v>
      </c>
    </row>
    <row r="2524" spans="1:9" ht="51.75" customHeight="1">
      <c r="A2524" s="5" t="s">
        <v>30362</v>
      </c>
      <c r="B2524" s="5" t="s">
        <v>30363</v>
      </c>
      <c r="C2524" s="5" t="s">
        <v>30364</v>
      </c>
      <c r="D2524" s="246">
        <v>43672</v>
      </c>
      <c r="E2524" s="5" t="s">
        <v>30365</v>
      </c>
      <c r="F2524" s="26" t="s">
        <v>23600</v>
      </c>
      <c r="G2524" s="27" t="s">
        <v>14008</v>
      </c>
      <c r="H2524" s="28" t="s">
        <v>14009</v>
      </c>
      <c r="I2524" s="5" t="s">
        <v>638</v>
      </c>
    </row>
    <row r="2525" spans="1:9" ht="51.75" customHeight="1">
      <c r="A2525" s="5" t="s">
        <v>24299</v>
      </c>
      <c r="B2525" s="5" t="s">
        <v>30366</v>
      </c>
      <c r="C2525" s="5" t="s">
        <v>30367</v>
      </c>
      <c r="D2525" s="246">
        <v>43581</v>
      </c>
      <c r="E2525" s="5" t="s">
        <v>30368</v>
      </c>
      <c r="F2525" s="26" t="s">
        <v>23600</v>
      </c>
      <c r="G2525" s="27" t="s">
        <v>13880</v>
      </c>
      <c r="H2525" s="28" t="s">
        <v>13881</v>
      </c>
      <c r="I2525" s="5" t="s">
        <v>638</v>
      </c>
    </row>
    <row r="2526" spans="1:9" ht="51.75" customHeight="1">
      <c r="A2526" s="5" t="s">
        <v>24307</v>
      </c>
      <c r="B2526" s="5" t="s">
        <v>30369</v>
      </c>
      <c r="C2526" s="5" t="s">
        <v>30370</v>
      </c>
      <c r="D2526" s="246">
        <v>43581</v>
      </c>
      <c r="E2526" s="5" t="s">
        <v>30371</v>
      </c>
      <c r="F2526" s="26" t="s">
        <v>23600</v>
      </c>
      <c r="G2526" s="27" t="s">
        <v>13880</v>
      </c>
      <c r="H2526" s="28" t="s">
        <v>13881</v>
      </c>
      <c r="I2526" s="5" t="s">
        <v>638</v>
      </c>
    </row>
    <row r="2527" spans="1:9" ht="51.75" customHeight="1">
      <c r="A2527" s="5" t="s">
        <v>24343</v>
      </c>
      <c r="B2527" s="5" t="s">
        <v>30372</v>
      </c>
      <c r="C2527" s="5" t="s">
        <v>30373</v>
      </c>
      <c r="D2527" s="246">
        <v>43921</v>
      </c>
      <c r="E2527" s="5" t="s">
        <v>30374</v>
      </c>
      <c r="F2527" s="26" t="s">
        <v>23600</v>
      </c>
      <c r="G2527" s="27" t="s">
        <v>15308</v>
      </c>
      <c r="H2527" s="28" t="s">
        <v>15309</v>
      </c>
      <c r="I2527" s="5" t="s">
        <v>638</v>
      </c>
    </row>
    <row r="2528" spans="1:9" ht="51.75" customHeight="1">
      <c r="A2528" s="5" t="s">
        <v>24432</v>
      </c>
      <c r="B2528" s="5" t="s">
        <v>30375</v>
      </c>
      <c r="C2528" s="5" t="s">
        <v>30376</v>
      </c>
      <c r="D2528" s="246">
        <v>43921</v>
      </c>
      <c r="E2528" s="5" t="s">
        <v>30377</v>
      </c>
      <c r="F2528" s="26" t="s">
        <v>23600</v>
      </c>
      <c r="G2528" s="27" t="s">
        <v>15308</v>
      </c>
      <c r="H2528" s="28" t="s">
        <v>15309</v>
      </c>
      <c r="I2528" s="5" t="s">
        <v>638</v>
      </c>
    </row>
    <row r="2529" spans="1:9" ht="51.75" customHeight="1">
      <c r="A2529" s="5" t="s">
        <v>24436</v>
      </c>
      <c r="B2529" s="5" t="s">
        <v>30378</v>
      </c>
      <c r="C2529" s="5" t="s">
        <v>30379</v>
      </c>
      <c r="D2529" s="246">
        <v>43921</v>
      </c>
      <c r="E2529" s="5" t="s">
        <v>30380</v>
      </c>
      <c r="F2529" s="26" t="s">
        <v>23600</v>
      </c>
      <c r="G2529" s="27" t="s">
        <v>15308</v>
      </c>
      <c r="H2529" s="28" t="s">
        <v>15309</v>
      </c>
      <c r="I2529" s="5" t="s">
        <v>638</v>
      </c>
    </row>
    <row r="2530" spans="1:9" ht="51.75" customHeight="1">
      <c r="A2530" s="5" t="s">
        <v>25137</v>
      </c>
      <c r="B2530" s="5" t="s">
        <v>30381</v>
      </c>
      <c r="C2530" s="5" t="s">
        <v>30382</v>
      </c>
      <c r="D2530" s="246">
        <v>43921</v>
      </c>
      <c r="E2530" s="5" t="s">
        <v>30383</v>
      </c>
      <c r="F2530" s="26" t="s">
        <v>23600</v>
      </c>
      <c r="G2530" s="27" t="s">
        <v>15308</v>
      </c>
      <c r="H2530" s="28" t="s">
        <v>15309</v>
      </c>
      <c r="I2530" s="5" t="s">
        <v>638</v>
      </c>
    </row>
    <row r="2531" spans="1:9" ht="51.75" customHeight="1">
      <c r="A2531" s="5" t="s">
        <v>24456</v>
      </c>
      <c r="B2531" s="5" t="s">
        <v>30384</v>
      </c>
      <c r="C2531" s="5" t="s">
        <v>30385</v>
      </c>
      <c r="D2531" s="246">
        <v>43854</v>
      </c>
      <c r="E2531" s="5" t="s">
        <v>30386</v>
      </c>
      <c r="F2531" s="26" t="s">
        <v>23600</v>
      </c>
      <c r="G2531" s="27" t="s">
        <v>14449</v>
      </c>
      <c r="H2531" s="28" t="s">
        <v>14450</v>
      </c>
      <c r="I2531" s="5" t="s">
        <v>638</v>
      </c>
    </row>
    <row r="2532" spans="1:9" ht="51.75" customHeight="1">
      <c r="A2532" s="5" t="s">
        <v>23619</v>
      </c>
      <c r="B2532" s="5" t="s">
        <v>30387</v>
      </c>
      <c r="C2532" s="5" t="s">
        <v>30388</v>
      </c>
      <c r="D2532" s="246">
        <v>43854</v>
      </c>
      <c r="E2532" s="5" t="s">
        <v>30389</v>
      </c>
      <c r="F2532" s="26" t="s">
        <v>23600</v>
      </c>
      <c r="G2532" s="27" t="s">
        <v>14449</v>
      </c>
      <c r="H2532" s="28" t="s">
        <v>14450</v>
      </c>
      <c r="I2532" s="5" t="s">
        <v>638</v>
      </c>
    </row>
    <row r="2533" spans="1:9" ht="51.75" customHeight="1">
      <c r="A2533" s="5" t="s">
        <v>27043</v>
      </c>
      <c r="B2533" s="5" t="s">
        <v>30390</v>
      </c>
      <c r="C2533" s="5" t="s">
        <v>30391</v>
      </c>
      <c r="D2533" s="246">
        <v>43854</v>
      </c>
      <c r="E2533" s="5" t="s">
        <v>30392</v>
      </c>
      <c r="F2533" s="26" t="s">
        <v>23600</v>
      </c>
      <c r="G2533" s="27" t="s">
        <v>14449</v>
      </c>
      <c r="H2533" s="28" t="s">
        <v>14450</v>
      </c>
      <c r="I2533" s="5" t="s">
        <v>638</v>
      </c>
    </row>
    <row r="2534" spans="1:9" ht="51.75" customHeight="1">
      <c r="A2534" s="5" t="s">
        <v>30393</v>
      </c>
      <c r="B2534" s="5" t="s">
        <v>30394</v>
      </c>
      <c r="C2534" s="5" t="s">
        <v>30395</v>
      </c>
      <c r="D2534" s="246">
        <v>44035</v>
      </c>
      <c r="E2534" s="5" t="s">
        <v>30396</v>
      </c>
      <c r="F2534" s="26" t="s">
        <v>23600</v>
      </c>
      <c r="G2534" s="27" t="s">
        <v>15800</v>
      </c>
      <c r="H2534" s="28" t="s">
        <v>15801</v>
      </c>
      <c r="I2534" s="5" t="s">
        <v>638</v>
      </c>
    </row>
    <row r="2535" spans="1:9" ht="51.75" customHeight="1">
      <c r="A2535" s="5" t="s">
        <v>30397</v>
      </c>
      <c r="B2535" s="5" t="s">
        <v>30398</v>
      </c>
      <c r="C2535" s="5" t="s">
        <v>30399</v>
      </c>
      <c r="D2535" s="246">
        <v>44035</v>
      </c>
      <c r="E2535" s="5" t="s">
        <v>30400</v>
      </c>
      <c r="F2535" s="26" t="s">
        <v>23600</v>
      </c>
      <c r="G2535" s="27" t="s">
        <v>15800</v>
      </c>
      <c r="H2535" s="28" t="s">
        <v>15801</v>
      </c>
      <c r="I2535" s="5" t="s">
        <v>638</v>
      </c>
    </row>
    <row r="2536" spans="1:9" ht="51.75" customHeight="1">
      <c r="A2536" s="5" t="s">
        <v>30401</v>
      </c>
      <c r="B2536" s="5" t="s">
        <v>30402</v>
      </c>
      <c r="C2536" s="5" t="s">
        <v>30403</v>
      </c>
      <c r="D2536" s="246">
        <v>44035</v>
      </c>
      <c r="E2536" s="5" t="s">
        <v>30404</v>
      </c>
      <c r="F2536" s="26" t="s">
        <v>23600</v>
      </c>
      <c r="G2536" s="27" t="s">
        <v>15800</v>
      </c>
      <c r="H2536" s="28" t="s">
        <v>15801</v>
      </c>
      <c r="I2536" s="5" t="s">
        <v>638</v>
      </c>
    </row>
    <row r="2537" spans="1:9" ht="51.75" customHeight="1">
      <c r="A2537" s="5" t="s">
        <v>30405</v>
      </c>
      <c r="B2537" s="5" t="s">
        <v>30406</v>
      </c>
      <c r="C2537" s="5" t="s">
        <v>30407</v>
      </c>
      <c r="D2537" s="246">
        <v>44035</v>
      </c>
      <c r="E2537" s="5" t="s">
        <v>30408</v>
      </c>
      <c r="F2537" s="26" t="s">
        <v>23600</v>
      </c>
      <c r="G2537" s="27" t="s">
        <v>15800</v>
      </c>
      <c r="H2537" s="28" t="s">
        <v>15801</v>
      </c>
      <c r="I2537" s="5" t="s">
        <v>638</v>
      </c>
    </row>
    <row r="2538" spans="1:9" ht="51.75" customHeight="1">
      <c r="A2538" s="5" t="s">
        <v>30409</v>
      </c>
      <c r="B2538" s="5" t="s">
        <v>30410</v>
      </c>
      <c r="C2538" s="5" t="s">
        <v>30411</v>
      </c>
      <c r="D2538" s="246">
        <v>44152</v>
      </c>
      <c r="E2538" s="5" t="s">
        <v>30412</v>
      </c>
      <c r="F2538" s="26" t="s">
        <v>23600</v>
      </c>
      <c r="G2538" s="27" t="s">
        <v>17202</v>
      </c>
      <c r="H2538" s="28" t="s">
        <v>17203</v>
      </c>
      <c r="I2538" s="5" t="s">
        <v>638</v>
      </c>
    </row>
    <row r="2539" spans="1:9" ht="51.75" customHeight="1">
      <c r="A2539" s="5" t="s">
        <v>30413</v>
      </c>
      <c r="B2539" s="5" t="s">
        <v>30414</v>
      </c>
      <c r="C2539" s="5" t="s">
        <v>30415</v>
      </c>
      <c r="D2539" s="246">
        <v>44152</v>
      </c>
      <c r="E2539" s="5" t="s">
        <v>30416</v>
      </c>
      <c r="F2539" s="26" t="s">
        <v>23600</v>
      </c>
      <c r="G2539" s="27" t="s">
        <v>17202</v>
      </c>
      <c r="H2539" s="28" t="s">
        <v>17203</v>
      </c>
      <c r="I2539" s="5" t="s">
        <v>638</v>
      </c>
    </row>
    <row r="2540" spans="1:9" ht="51.75" customHeight="1">
      <c r="A2540" s="5" t="s">
        <v>30417</v>
      </c>
      <c r="B2540" s="5" t="s">
        <v>30418</v>
      </c>
      <c r="C2540" s="5" t="s">
        <v>30419</v>
      </c>
      <c r="D2540" s="246">
        <v>44152</v>
      </c>
      <c r="E2540" s="5" t="s">
        <v>30420</v>
      </c>
      <c r="F2540" s="26" t="s">
        <v>23600</v>
      </c>
      <c r="G2540" s="27" t="s">
        <v>17202</v>
      </c>
      <c r="H2540" s="28" t="s">
        <v>17203</v>
      </c>
      <c r="I2540" s="5" t="s">
        <v>638</v>
      </c>
    </row>
    <row r="2541" spans="1:9" ht="51.75" customHeight="1">
      <c r="A2541" s="5"/>
      <c r="B2541" s="5" t="s">
        <v>30421</v>
      </c>
      <c r="C2541" s="5" t="s">
        <v>30422</v>
      </c>
      <c r="D2541" s="246">
        <v>44217</v>
      </c>
      <c r="E2541" s="5" t="s">
        <v>30423</v>
      </c>
      <c r="F2541" s="26" t="s">
        <v>23600</v>
      </c>
      <c r="G2541" s="27" t="s">
        <v>16352</v>
      </c>
      <c r="H2541" s="28" t="s">
        <v>16353</v>
      </c>
      <c r="I2541" s="5" t="s">
        <v>638</v>
      </c>
    </row>
    <row r="2542" spans="1:9" ht="51.75" customHeight="1">
      <c r="A2542" s="5"/>
      <c r="B2542" s="5" t="s">
        <v>30424</v>
      </c>
      <c r="C2542" s="5" t="s">
        <v>30425</v>
      </c>
      <c r="D2542" s="246">
        <v>44217</v>
      </c>
      <c r="E2542" s="5" t="s">
        <v>30426</v>
      </c>
      <c r="F2542" s="26" t="s">
        <v>23600</v>
      </c>
      <c r="G2542" s="34" t="s">
        <v>16352</v>
      </c>
      <c r="H2542" s="28" t="s">
        <v>16353</v>
      </c>
      <c r="I2542" s="5" t="s">
        <v>638</v>
      </c>
    </row>
    <row r="2543" spans="1:9" ht="51.75" customHeight="1">
      <c r="A2543" s="5"/>
      <c r="B2543" s="5" t="s">
        <v>30427</v>
      </c>
      <c r="C2543" s="5" t="s">
        <v>30428</v>
      </c>
      <c r="D2543" s="246">
        <v>44217</v>
      </c>
      <c r="E2543" s="5" t="s">
        <v>30429</v>
      </c>
      <c r="F2543" s="26" t="s">
        <v>23600</v>
      </c>
      <c r="G2543" s="34" t="s">
        <v>16352</v>
      </c>
      <c r="H2543" s="28" t="s">
        <v>16353</v>
      </c>
      <c r="I2543" s="30" t="s">
        <v>638</v>
      </c>
    </row>
    <row r="2544" spans="1:9" ht="51.75" customHeight="1">
      <c r="A2544" s="5"/>
      <c r="B2544" s="5" t="s">
        <v>30430</v>
      </c>
      <c r="C2544" s="5" t="s">
        <v>30431</v>
      </c>
      <c r="D2544" s="246">
        <v>44336</v>
      </c>
      <c r="E2544" s="5" t="s">
        <v>30432</v>
      </c>
      <c r="F2544" s="26" t="s">
        <v>23600</v>
      </c>
      <c r="G2544" s="27" t="s">
        <v>17302</v>
      </c>
      <c r="H2544" s="29" t="s">
        <v>17303</v>
      </c>
      <c r="I2544" s="30" t="s">
        <v>638</v>
      </c>
    </row>
    <row r="2545" spans="1:9" ht="51.75" customHeight="1">
      <c r="A2545" s="5"/>
      <c r="B2545" s="5" t="s">
        <v>30433</v>
      </c>
      <c r="C2545" s="5" t="s">
        <v>30434</v>
      </c>
      <c r="D2545" s="246">
        <v>44336</v>
      </c>
      <c r="E2545" s="5" t="s">
        <v>30435</v>
      </c>
      <c r="F2545" s="26" t="s">
        <v>23600</v>
      </c>
      <c r="G2545" s="27" t="s">
        <v>17302</v>
      </c>
      <c r="H2545" s="29" t="s">
        <v>17303</v>
      </c>
      <c r="I2545" s="30" t="s">
        <v>638</v>
      </c>
    </row>
    <row r="2546" spans="1:9" ht="51.75" customHeight="1">
      <c r="A2546" s="5"/>
      <c r="B2546" s="5" t="s">
        <v>30436</v>
      </c>
      <c r="C2546" s="5" t="s">
        <v>30437</v>
      </c>
      <c r="D2546" s="246">
        <v>44336</v>
      </c>
      <c r="E2546" s="5" t="s">
        <v>30438</v>
      </c>
      <c r="F2546" s="26" t="s">
        <v>23600</v>
      </c>
      <c r="G2546" s="27" t="s">
        <v>17302</v>
      </c>
      <c r="H2546" s="29" t="s">
        <v>17303</v>
      </c>
      <c r="I2546" s="30" t="s">
        <v>638</v>
      </c>
    </row>
    <row r="2547" spans="1:9" ht="51.75" customHeight="1">
      <c r="A2547" s="5"/>
      <c r="B2547" s="5" t="s">
        <v>30439</v>
      </c>
      <c r="C2547" s="5" t="s">
        <v>30440</v>
      </c>
      <c r="D2547" s="246">
        <v>44371</v>
      </c>
      <c r="E2547" s="5" t="s">
        <v>30441</v>
      </c>
      <c r="F2547" s="26" t="s">
        <v>23600</v>
      </c>
      <c r="G2547" s="27" t="s">
        <v>16062</v>
      </c>
      <c r="H2547" s="29" t="s">
        <v>16063</v>
      </c>
      <c r="I2547" s="30" t="s">
        <v>638</v>
      </c>
    </row>
    <row r="2548" spans="1:9" ht="51.75" customHeight="1">
      <c r="A2548" s="5"/>
      <c r="B2548" s="5" t="s">
        <v>30442</v>
      </c>
      <c r="C2548" s="5" t="s">
        <v>30443</v>
      </c>
      <c r="D2548" s="246">
        <v>44371</v>
      </c>
      <c r="E2548" s="5" t="s">
        <v>30444</v>
      </c>
      <c r="F2548" s="26" t="s">
        <v>23600</v>
      </c>
      <c r="G2548" s="27" t="s">
        <v>16062</v>
      </c>
      <c r="H2548" s="29" t="s">
        <v>16063</v>
      </c>
      <c r="I2548" s="30" t="s">
        <v>638</v>
      </c>
    </row>
    <row r="2549" spans="1:9" ht="51.75" customHeight="1">
      <c r="A2549" s="5"/>
      <c r="B2549" s="5" t="s">
        <v>30445</v>
      </c>
      <c r="C2549" s="5" t="s">
        <v>30446</v>
      </c>
      <c r="D2549" s="246">
        <v>44371</v>
      </c>
      <c r="E2549" s="5" t="s">
        <v>30447</v>
      </c>
      <c r="F2549" s="26" t="s">
        <v>23600</v>
      </c>
      <c r="G2549" s="27" t="s">
        <v>16062</v>
      </c>
      <c r="H2549" s="29" t="s">
        <v>16063</v>
      </c>
      <c r="I2549" s="30" t="s">
        <v>638</v>
      </c>
    </row>
    <row r="2550" spans="1:9" ht="51.75" customHeight="1">
      <c r="A2550" s="5"/>
      <c r="B2550" s="5" t="s">
        <v>30448</v>
      </c>
      <c r="C2550" s="5" t="s">
        <v>30449</v>
      </c>
      <c r="D2550" s="246">
        <v>44371</v>
      </c>
      <c r="E2550" s="5" t="s">
        <v>30450</v>
      </c>
      <c r="F2550" s="26" t="s">
        <v>23600</v>
      </c>
      <c r="G2550" s="27" t="s">
        <v>16062</v>
      </c>
      <c r="H2550" s="29" t="s">
        <v>16063</v>
      </c>
      <c r="I2550" s="30" t="s">
        <v>638</v>
      </c>
    </row>
    <row r="2551" spans="1:9" ht="51.75" customHeight="1">
      <c r="A2551" s="5"/>
      <c r="B2551" s="5" t="s">
        <v>30451</v>
      </c>
      <c r="C2551" s="5" t="s">
        <v>30452</v>
      </c>
      <c r="D2551" s="246">
        <v>44371</v>
      </c>
      <c r="E2551" s="5" t="s">
        <v>30453</v>
      </c>
      <c r="F2551" s="26" t="s">
        <v>23600</v>
      </c>
      <c r="G2551" s="27" t="s">
        <v>16062</v>
      </c>
      <c r="H2551" s="29" t="s">
        <v>16063</v>
      </c>
      <c r="I2551" s="30" t="s">
        <v>638</v>
      </c>
    </row>
    <row r="2552" spans="1:9" ht="51.75" customHeight="1">
      <c r="A2552" s="5"/>
      <c r="B2552" s="5" t="s">
        <v>30454</v>
      </c>
      <c r="C2552" s="5" t="s">
        <v>30455</v>
      </c>
      <c r="D2552" s="246">
        <v>44371</v>
      </c>
      <c r="E2552" s="5" t="s">
        <v>30456</v>
      </c>
      <c r="F2552" s="26" t="s">
        <v>23600</v>
      </c>
      <c r="G2552" s="27" t="s">
        <v>16062</v>
      </c>
      <c r="H2552" s="29" t="s">
        <v>16063</v>
      </c>
      <c r="I2552" s="30" t="s">
        <v>638</v>
      </c>
    </row>
    <row r="2553" spans="1:9" ht="51.75" customHeight="1">
      <c r="A2553" s="5"/>
      <c r="B2553" s="5" t="s">
        <v>30457</v>
      </c>
      <c r="C2553" s="5" t="s">
        <v>30458</v>
      </c>
      <c r="D2553" s="246">
        <v>44371</v>
      </c>
      <c r="E2553" s="5" t="s">
        <v>30459</v>
      </c>
      <c r="F2553" s="26" t="s">
        <v>23600</v>
      </c>
      <c r="G2553" s="27" t="s">
        <v>16062</v>
      </c>
      <c r="H2553" s="29" t="s">
        <v>16063</v>
      </c>
      <c r="I2553" s="30" t="s">
        <v>638</v>
      </c>
    </row>
    <row r="2554" spans="1:9" ht="51.75" customHeight="1">
      <c r="A2554" s="5" t="s">
        <v>24467</v>
      </c>
      <c r="B2554" s="5" t="s">
        <v>30460</v>
      </c>
      <c r="C2554" s="5" t="s">
        <v>30461</v>
      </c>
      <c r="D2554" s="246" t="s">
        <v>68</v>
      </c>
      <c r="E2554" s="5" t="s">
        <v>30462</v>
      </c>
      <c r="F2554" s="26" t="s">
        <v>23600</v>
      </c>
      <c r="G2554" s="27" t="s">
        <v>9120</v>
      </c>
      <c r="H2554" s="28" t="s">
        <v>9121</v>
      </c>
      <c r="I2554" s="5" t="s">
        <v>1749</v>
      </c>
    </row>
    <row r="2555" spans="1:9" ht="51.75" customHeight="1">
      <c r="A2555" s="5" t="s">
        <v>24471</v>
      </c>
      <c r="B2555" s="5" t="s">
        <v>30463</v>
      </c>
      <c r="C2555" s="5" t="s">
        <v>30464</v>
      </c>
      <c r="D2555" s="246" t="s">
        <v>68</v>
      </c>
      <c r="E2555" s="5" t="s">
        <v>30465</v>
      </c>
      <c r="F2555" s="26" t="s">
        <v>23600</v>
      </c>
      <c r="G2555" s="27" t="s">
        <v>9120</v>
      </c>
      <c r="H2555" s="28" t="s">
        <v>9121</v>
      </c>
      <c r="I2555" s="5" t="s">
        <v>1749</v>
      </c>
    </row>
    <row r="2556" spans="1:9" ht="51.75" customHeight="1">
      <c r="A2556" s="5" t="s">
        <v>26744</v>
      </c>
      <c r="B2556" s="5" t="s">
        <v>30466</v>
      </c>
      <c r="C2556" s="5" t="s">
        <v>30467</v>
      </c>
      <c r="D2556" s="246" t="s">
        <v>68</v>
      </c>
      <c r="E2556" s="5" t="s">
        <v>30468</v>
      </c>
      <c r="F2556" s="26" t="s">
        <v>23600</v>
      </c>
      <c r="G2556" s="27" t="s">
        <v>9829</v>
      </c>
      <c r="H2556" s="28" t="s">
        <v>9830</v>
      </c>
      <c r="I2556" s="5" t="s">
        <v>1749</v>
      </c>
    </row>
    <row r="2557" spans="1:9" ht="51.75" customHeight="1">
      <c r="A2557" s="5" t="s">
        <v>26750</v>
      </c>
      <c r="B2557" s="5" t="s">
        <v>30469</v>
      </c>
      <c r="C2557" s="5" t="s">
        <v>30470</v>
      </c>
      <c r="D2557" s="246" t="s">
        <v>68</v>
      </c>
      <c r="E2557" s="5" t="s">
        <v>30471</v>
      </c>
      <c r="F2557" s="26" t="s">
        <v>23600</v>
      </c>
      <c r="G2557" s="27" t="s">
        <v>9829</v>
      </c>
      <c r="H2557" s="28" t="s">
        <v>9830</v>
      </c>
      <c r="I2557" s="5" t="s">
        <v>1749</v>
      </c>
    </row>
    <row r="2558" spans="1:9" ht="51.75" customHeight="1">
      <c r="A2558" s="5" t="s">
        <v>26785</v>
      </c>
      <c r="B2558" s="5" t="s">
        <v>30472</v>
      </c>
      <c r="C2558" s="5" t="s">
        <v>30473</v>
      </c>
      <c r="D2558" s="246" t="s">
        <v>68</v>
      </c>
      <c r="E2558" s="5" t="s">
        <v>30474</v>
      </c>
      <c r="F2558" s="26" t="s">
        <v>23600</v>
      </c>
      <c r="G2558" s="27" t="s">
        <v>9829</v>
      </c>
      <c r="H2558" s="28" t="s">
        <v>9830</v>
      </c>
      <c r="I2558" s="5" t="s">
        <v>1749</v>
      </c>
    </row>
    <row r="2559" spans="1:9" ht="51.75" customHeight="1">
      <c r="A2559" s="5" t="s">
        <v>26791</v>
      </c>
      <c r="B2559" s="5" t="s">
        <v>30475</v>
      </c>
      <c r="C2559" s="5" t="s">
        <v>30476</v>
      </c>
      <c r="D2559" s="246" t="s">
        <v>68</v>
      </c>
      <c r="E2559" s="5" t="s">
        <v>30477</v>
      </c>
      <c r="F2559" s="26" t="s">
        <v>23600</v>
      </c>
      <c r="G2559" s="27" t="s">
        <v>9829</v>
      </c>
      <c r="H2559" s="28" t="s">
        <v>9830</v>
      </c>
      <c r="I2559" s="5" t="s">
        <v>1749</v>
      </c>
    </row>
    <row r="2560" spans="1:9" ht="51.75" customHeight="1">
      <c r="A2560" s="5">
        <v>1</v>
      </c>
      <c r="B2560" s="5" t="s">
        <v>30478</v>
      </c>
      <c r="C2560" s="5" t="s">
        <v>30479</v>
      </c>
      <c r="D2560" s="246">
        <v>40497</v>
      </c>
      <c r="E2560" s="5" t="s">
        <v>30480</v>
      </c>
      <c r="F2560" s="26"/>
      <c r="G2560" s="27" t="s">
        <v>4820</v>
      </c>
      <c r="H2560" s="28" t="s">
        <v>4821</v>
      </c>
      <c r="I2560" s="5" t="s">
        <v>1749</v>
      </c>
    </row>
    <row r="2561" spans="1:9" ht="51.75" customHeight="1">
      <c r="A2561" s="5">
        <v>2</v>
      </c>
      <c r="B2561" s="5" t="s">
        <v>30481</v>
      </c>
      <c r="C2561" s="5" t="s">
        <v>30482</v>
      </c>
      <c r="D2561" s="246">
        <v>40497</v>
      </c>
      <c r="E2561" s="5" t="s">
        <v>30483</v>
      </c>
      <c r="F2561" s="26"/>
      <c r="G2561" s="27" t="s">
        <v>4820</v>
      </c>
      <c r="H2561" s="28" t="s">
        <v>4821</v>
      </c>
      <c r="I2561" s="5" t="s">
        <v>1749</v>
      </c>
    </row>
    <row r="2562" spans="1:9" ht="51.75" customHeight="1">
      <c r="A2562" s="5">
        <v>3</v>
      </c>
      <c r="B2562" s="5" t="s">
        <v>30484</v>
      </c>
      <c r="C2562" s="5" t="s">
        <v>30485</v>
      </c>
      <c r="D2562" s="246">
        <v>40497</v>
      </c>
      <c r="E2562" s="5" t="s">
        <v>30486</v>
      </c>
      <c r="F2562" s="26"/>
      <c r="G2562" s="27" t="s">
        <v>4820</v>
      </c>
      <c r="H2562" s="28" t="s">
        <v>4821</v>
      </c>
      <c r="I2562" s="5" t="s">
        <v>1749</v>
      </c>
    </row>
    <row r="2563" spans="1:9" ht="51.75" customHeight="1">
      <c r="A2563" s="5">
        <v>4</v>
      </c>
      <c r="B2563" s="5" t="s">
        <v>30487</v>
      </c>
      <c r="C2563" s="5" t="s">
        <v>30488</v>
      </c>
      <c r="D2563" s="246">
        <v>40497</v>
      </c>
      <c r="E2563" s="5" t="s">
        <v>30489</v>
      </c>
      <c r="F2563" s="26"/>
      <c r="G2563" s="27" t="s">
        <v>4820</v>
      </c>
      <c r="H2563" s="28" t="s">
        <v>4821</v>
      </c>
      <c r="I2563" s="5" t="s">
        <v>1749</v>
      </c>
    </row>
    <row r="2564" spans="1:9" ht="51.75" customHeight="1">
      <c r="A2564" s="5">
        <v>5</v>
      </c>
      <c r="B2564" s="5" t="s">
        <v>30490</v>
      </c>
      <c r="C2564" s="5" t="s">
        <v>30491</v>
      </c>
      <c r="D2564" s="246">
        <v>40497</v>
      </c>
      <c r="E2564" s="5" t="s">
        <v>30492</v>
      </c>
      <c r="F2564" s="26"/>
      <c r="G2564" s="27" t="s">
        <v>4820</v>
      </c>
      <c r="H2564" s="28" t="s">
        <v>4821</v>
      </c>
      <c r="I2564" s="5" t="s">
        <v>1749</v>
      </c>
    </row>
    <row r="2565" spans="1:9" ht="51.75" customHeight="1">
      <c r="A2565" s="5">
        <v>1</v>
      </c>
      <c r="B2565" s="5" t="s">
        <v>30493</v>
      </c>
      <c r="C2565" s="5" t="s">
        <v>30494</v>
      </c>
      <c r="D2565" s="246">
        <v>40330</v>
      </c>
      <c r="E2565" s="5" t="s">
        <v>30495</v>
      </c>
      <c r="F2565" s="26"/>
      <c r="G2565" s="27" t="s">
        <v>4500</v>
      </c>
      <c r="H2565" s="28" t="s">
        <v>4501</v>
      </c>
      <c r="I2565" s="5" t="s">
        <v>1749</v>
      </c>
    </row>
    <row r="2566" spans="1:9" ht="51.75" customHeight="1">
      <c r="A2566" s="5">
        <v>2</v>
      </c>
      <c r="B2566" s="5" t="s">
        <v>30496</v>
      </c>
      <c r="C2566" s="5" t="s">
        <v>30497</v>
      </c>
      <c r="D2566" s="246">
        <v>40330</v>
      </c>
      <c r="E2566" s="5" t="s">
        <v>30498</v>
      </c>
      <c r="F2566" s="26"/>
      <c r="G2566" s="27" t="s">
        <v>4500</v>
      </c>
      <c r="H2566" s="28" t="s">
        <v>4501</v>
      </c>
      <c r="I2566" s="5" t="s">
        <v>1749</v>
      </c>
    </row>
    <row r="2567" spans="1:9" ht="51.75" customHeight="1">
      <c r="A2567" s="5">
        <v>1</v>
      </c>
      <c r="B2567" s="5" t="s">
        <v>30499</v>
      </c>
      <c r="C2567" s="5" t="s">
        <v>30500</v>
      </c>
      <c r="D2567" s="246">
        <v>40315</v>
      </c>
      <c r="E2567" s="5" t="s">
        <v>30501</v>
      </c>
      <c r="F2567" s="26"/>
      <c r="G2567" s="27" t="s">
        <v>4312</v>
      </c>
      <c r="H2567" s="28" t="s">
        <v>4313</v>
      </c>
      <c r="I2567" s="5" t="s">
        <v>1749</v>
      </c>
    </row>
    <row r="2568" spans="1:9" ht="51.75" customHeight="1">
      <c r="A2568" s="5">
        <v>2</v>
      </c>
      <c r="B2568" s="5" t="s">
        <v>30502</v>
      </c>
      <c r="C2568" s="5" t="s">
        <v>30503</v>
      </c>
      <c r="D2568" s="246">
        <v>40315</v>
      </c>
      <c r="E2568" s="5" t="s">
        <v>30504</v>
      </c>
      <c r="F2568" s="26"/>
      <c r="G2568" s="27" t="s">
        <v>4312</v>
      </c>
      <c r="H2568" s="28" t="s">
        <v>4313</v>
      </c>
      <c r="I2568" s="5" t="s">
        <v>1749</v>
      </c>
    </row>
    <row r="2569" spans="1:9" ht="51.75" customHeight="1">
      <c r="A2569" s="5">
        <v>3</v>
      </c>
      <c r="B2569" s="5" t="s">
        <v>30505</v>
      </c>
      <c r="C2569" s="5" t="s">
        <v>30506</v>
      </c>
      <c r="D2569" s="246">
        <v>40315</v>
      </c>
      <c r="E2569" s="5" t="s">
        <v>30506</v>
      </c>
      <c r="F2569" s="26"/>
      <c r="G2569" s="27" t="s">
        <v>4312</v>
      </c>
      <c r="H2569" s="28" t="s">
        <v>4313</v>
      </c>
      <c r="I2569" s="5" t="s">
        <v>1749</v>
      </c>
    </row>
    <row r="2570" spans="1:9" ht="51.75" customHeight="1">
      <c r="A2570" s="5">
        <v>4</v>
      </c>
      <c r="B2570" s="5" t="s">
        <v>30507</v>
      </c>
      <c r="C2570" s="5" t="s">
        <v>30508</v>
      </c>
      <c r="D2570" s="246">
        <v>40315</v>
      </c>
      <c r="E2570" s="5" t="s">
        <v>30509</v>
      </c>
      <c r="F2570" s="26"/>
      <c r="G2570" s="27" t="s">
        <v>4312</v>
      </c>
      <c r="H2570" s="28" t="s">
        <v>4313</v>
      </c>
      <c r="I2570" s="5" t="s">
        <v>1749</v>
      </c>
    </row>
    <row r="2571" spans="1:9" ht="51.75" customHeight="1">
      <c r="A2571" s="5">
        <v>5</v>
      </c>
      <c r="B2571" s="5" t="s">
        <v>30510</v>
      </c>
      <c r="C2571" s="5" t="s">
        <v>30511</v>
      </c>
      <c r="D2571" s="246">
        <v>40315</v>
      </c>
      <c r="E2571" s="5" t="s">
        <v>30512</v>
      </c>
      <c r="F2571" s="26"/>
      <c r="G2571" s="27" t="s">
        <v>4312</v>
      </c>
      <c r="H2571" s="28" t="s">
        <v>4313</v>
      </c>
      <c r="I2571" s="5" t="s">
        <v>1749</v>
      </c>
    </row>
    <row r="2572" spans="1:9" ht="51.75" customHeight="1">
      <c r="A2572" s="5">
        <v>6</v>
      </c>
      <c r="B2572" s="5" t="s">
        <v>30513</v>
      </c>
      <c r="C2572" s="5" t="s">
        <v>30514</v>
      </c>
      <c r="D2572" s="246">
        <v>40315</v>
      </c>
      <c r="E2572" s="5" t="s">
        <v>30515</v>
      </c>
      <c r="F2572" s="26"/>
      <c r="G2572" s="27" t="s">
        <v>4312</v>
      </c>
      <c r="H2572" s="28" t="s">
        <v>4313</v>
      </c>
      <c r="I2572" s="5" t="s">
        <v>1749</v>
      </c>
    </row>
    <row r="2573" spans="1:9" ht="51.75" customHeight="1">
      <c r="A2573" s="5">
        <v>7</v>
      </c>
      <c r="B2573" s="5" t="s">
        <v>30516</v>
      </c>
      <c r="C2573" s="5" t="s">
        <v>30517</v>
      </c>
      <c r="D2573" s="246">
        <v>40315</v>
      </c>
      <c r="E2573" s="5" t="s">
        <v>30518</v>
      </c>
      <c r="F2573" s="26"/>
      <c r="G2573" s="27" t="s">
        <v>4312</v>
      </c>
      <c r="H2573" s="28" t="s">
        <v>4313</v>
      </c>
      <c r="I2573" s="5" t="s">
        <v>1749</v>
      </c>
    </row>
    <row r="2574" spans="1:9" ht="51.75" customHeight="1">
      <c r="A2574" s="5">
        <v>1</v>
      </c>
      <c r="B2574" s="5" t="s">
        <v>30519</v>
      </c>
      <c r="C2574" s="5" t="s">
        <v>30520</v>
      </c>
      <c r="D2574" s="246">
        <v>40163</v>
      </c>
      <c r="E2574" s="5" t="s">
        <v>30521</v>
      </c>
      <c r="F2574" s="26"/>
      <c r="G2574" s="27" t="s">
        <v>4045</v>
      </c>
      <c r="H2574" s="28" t="s">
        <v>4046</v>
      </c>
      <c r="I2574" s="5" t="s">
        <v>1749</v>
      </c>
    </row>
    <row r="2575" spans="1:9" ht="51.75" customHeight="1">
      <c r="A2575" s="5">
        <v>2</v>
      </c>
      <c r="B2575" s="5" t="s">
        <v>30522</v>
      </c>
      <c r="C2575" s="5" t="s">
        <v>30523</v>
      </c>
      <c r="D2575" s="246">
        <v>40163</v>
      </c>
      <c r="E2575" s="5" t="s">
        <v>30524</v>
      </c>
      <c r="F2575" s="26"/>
      <c r="G2575" s="27" t="s">
        <v>4045</v>
      </c>
      <c r="H2575" s="28" t="s">
        <v>4046</v>
      </c>
      <c r="I2575" s="5" t="s">
        <v>1749</v>
      </c>
    </row>
    <row r="2576" spans="1:9" ht="51.75" customHeight="1">
      <c r="A2576" s="5">
        <v>3</v>
      </c>
      <c r="B2576" s="5" t="s">
        <v>30525</v>
      </c>
      <c r="C2576" s="5" t="s">
        <v>30526</v>
      </c>
      <c r="D2576" s="246">
        <v>40163</v>
      </c>
      <c r="E2576" s="5" t="s">
        <v>30527</v>
      </c>
      <c r="F2576" s="26"/>
      <c r="G2576" s="27" t="s">
        <v>4045</v>
      </c>
      <c r="H2576" s="28" t="s">
        <v>4046</v>
      </c>
      <c r="I2576" s="5" t="s">
        <v>1749</v>
      </c>
    </row>
    <row r="2577" spans="1:9" ht="51.75" customHeight="1">
      <c r="A2577" s="5">
        <v>4</v>
      </c>
      <c r="B2577" s="5" t="s">
        <v>30528</v>
      </c>
      <c r="C2577" s="5" t="s">
        <v>30529</v>
      </c>
      <c r="D2577" s="246">
        <v>40163</v>
      </c>
      <c r="E2577" s="5" t="s">
        <v>30530</v>
      </c>
      <c r="F2577" s="26"/>
      <c r="G2577" s="27" t="s">
        <v>4045</v>
      </c>
      <c r="H2577" s="28" t="s">
        <v>4046</v>
      </c>
      <c r="I2577" s="5" t="s">
        <v>1749</v>
      </c>
    </row>
    <row r="2578" spans="1:9" ht="51.75" customHeight="1">
      <c r="A2578" s="5">
        <v>5</v>
      </c>
      <c r="B2578" s="5" t="s">
        <v>30531</v>
      </c>
      <c r="C2578" s="5" t="s">
        <v>30532</v>
      </c>
      <c r="D2578" s="246">
        <v>40163</v>
      </c>
      <c r="E2578" s="5" t="s">
        <v>30533</v>
      </c>
      <c r="F2578" s="26"/>
      <c r="G2578" s="27" t="s">
        <v>4045</v>
      </c>
      <c r="H2578" s="28" t="s">
        <v>4046</v>
      </c>
      <c r="I2578" s="5" t="s">
        <v>1749</v>
      </c>
    </row>
    <row r="2579" spans="1:9" ht="51.75" customHeight="1">
      <c r="A2579" s="5">
        <v>1</v>
      </c>
      <c r="B2579" s="5" t="s">
        <v>30534</v>
      </c>
      <c r="C2579" s="5" t="s">
        <v>30535</v>
      </c>
      <c r="D2579" s="246">
        <v>40114</v>
      </c>
      <c r="E2579" s="5" t="s">
        <v>30536</v>
      </c>
      <c r="F2579" s="26"/>
      <c r="G2579" s="27" t="s">
        <v>3823</v>
      </c>
      <c r="H2579" s="28" t="s">
        <v>3824</v>
      </c>
      <c r="I2579" s="5" t="s">
        <v>1749</v>
      </c>
    </row>
    <row r="2580" spans="1:9" ht="51.75" customHeight="1">
      <c r="A2580" s="5">
        <v>2</v>
      </c>
      <c r="B2580" s="5" t="s">
        <v>30537</v>
      </c>
      <c r="C2580" s="5" t="s">
        <v>30538</v>
      </c>
      <c r="D2580" s="246">
        <v>40114</v>
      </c>
      <c r="E2580" s="5" t="s">
        <v>30539</v>
      </c>
      <c r="F2580" s="26"/>
      <c r="G2580" s="27" t="s">
        <v>3823</v>
      </c>
      <c r="H2580" s="28" t="s">
        <v>3824</v>
      </c>
      <c r="I2580" s="5" t="s">
        <v>1749</v>
      </c>
    </row>
    <row r="2581" spans="1:9" ht="51.75" customHeight="1">
      <c r="A2581" s="5">
        <v>3</v>
      </c>
      <c r="B2581" s="5" t="s">
        <v>30540</v>
      </c>
      <c r="C2581" s="5" t="s">
        <v>30541</v>
      </c>
      <c r="D2581" s="246">
        <v>40114</v>
      </c>
      <c r="E2581" s="5" t="s">
        <v>30542</v>
      </c>
      <c r="F2581" s="26"/>
      <c r="G2581" s="27" t="s">
        <v>3823</v>
      </c>
      <c r="H2581" s="28" t="s">
        <v>3824</v>
      </c>
      <c r="I2581" s="5" t="s">
        <v>1749</v>
      </c>
    </row>
    <row r="2582" spans="1:9" ht="51.75" customHeight="1">
      <c r="A2582" s="5">
        <v>4</v>
      </c>
      <c r="B2582" s="5" t="s">
        <v>30543</v>
      </c>
      <c r="C2582" s="5" t="s">
        <v>30544</v>
      </c>
      <c r="D2582" s="246">
        <v>40114</v>
      </c>
      <c r="E2582" s="5" t="s">
        <v>30545</v>
      </c>
      <c r="F2582" s="26"/>
      <c r="G2582" s="27" t="s">
        <v>3823</v>
      </c>
      <c r="H2582" s="28" t="s">
        <v>3824</v>
      </c>
      <c r="I2582" s="5" t="s">
        <v>1749</v>
      </c>
    </row>
    <row r="2583" spans="1:9" ht="51.75" customHeight="1">
      <c r="A2583" s="5">
        <v>5</v>
      </c>
      <c r="B2583" s="5" t="s">
        <v>30546</v>
      </c>
      <c r="C2583" s="5" t="s">
        <v>30547</v>
      </c>
      <c r="D2583" s="246">
        <v>40114</v>
      </c>
      <c r="E2583" s="5" t="s">
        <v>30548</v>
      </c>
      <c r="F2583" s="26"/>
      <c r="G2583" s="27" t="s">
        <v>3823</v>
      </c>
      <c r="H2583" s="28" t="s">
        <v>3824</v>
      </c>
      <c r="I2583" s="5" t="s">
        <v>1749</v>
      </c>
    </row>
    <row r="2584" spans="1:9" ht="51.75" customHeight="1">
      <c r="A2584" s="5">
        <v>6</v>
      </c>
      <c r="B2584" s="5" t="s">
        <v>30549</v>
      </c>
      <c r="C2584" s="5" t="s">
        <v>30550</v>
      </c>
      <c r="D2584" s="246">
        <v>40114</v>
      </c>
      <c r="E2584" s="5" t="s">
        <v>30551</v>
      </c>
      <c r="F2584" s="26"/>
      <c r="G2584" s="27" t="s">
        <v>3823</v>
      </c>
      <c r="H2584" s="28" t="s">
        <v>3824</v>
      </c>
      <c r="I2584" s="5" t="s">
        <v>1749</v>
      </c>
    </row>
    <row r="2585" spans="1:9" ht="51.75" customHeight="1">
      <c r="A2585" s="5">
        <v>1</v>
      </c>
      <c r="B2585" s="5" t="s">
        <v>30552</v>
      </c>
      <c r="C2585" s="5" t="s">
        <v>30553</v>
      </c>
      <c r="D2585" s="246">
        <v>39958</v>
      </c>
      <c r="E2585" s="5" t="s">
        <v>30554</v>
      </c>
      <c r="F2585" s="26"/>
      <c r="G2585" s="27" t="s">
        <v>3615</v>
      </c>
      <c r="H2585" s="28" t="s">
        <v>3616</v>
      </c>
      <c r="I2585" s="5" t="s">
        <v>1749</v>
      </c>
    </row>
    <row r="2586" spans="1:9" ht="51.75" customHeight="1">
      <c r="A2586" s="5">
        <v>2</v>
      </c>
      <c r="B2586" s="5" t="s">
        <v>30555</v>
      </c>
      <c r="C2586" s="5" t="s">
        <v>30556</v>
      </c>
      <c r="D2586" s="246">
        <v>39958</v>
      </c>
      <c r="E2586" s="5" t="s">
        <v>30557</v>
      </c>
      <c r="F2586" s="26"/>
      <c r="G2586" s="27" t="s">
        <v>3615</v>
      </c>
      <c r="H2586" s="28" t="s">
        <v>3616</v>
      </c>
      <c r="I2586" s="5" t="s">
        <v>1749</v>
      </c>
    </row>
    <row r="2587" spans="1:9" ht="51.75" customHeight="1">
      <c r="A2587" s="5">
        <v>3</v>
      </c>
      <c r="B2587" s="5" t="s">
        <v>30558</v>
      </c>
      <c r="C2587" s="5" t="s">
        <v>30559</v>
      </c>
      <c r="D2587" s="246">
        <v>39958</v>
      </c>
      <c r="E2587" s="5" t="s">
        <v>30560</v>
      </c>
      <c r="F2587" s="26"/>
      <c r="G2587" s="27" t="s">
        <v>3615</v>
      </c>
      <c r="H2587" s="28" t="s">
        <v>3616</v>
      </c>
      <c r="I2587" s="5" t="s">
        <v>1749</v>
      </c>
    </row>
    <row r="2588" spans="1:9" ht="51.75" customHeight="1">
      <c r="A2588" s="5">
        <v>4</v>
      </c>
      <c r="B2588" s="5" t="s">
        <v>30561</v>
      </c>
      <c r="C2588" s="5" t="s">
        <v>30562</v>
      </c>
      <c r="D2588" s="246">
        <v>39958</v>
      </c>
      <c r="E2588" s="5" t="s">
        <v>30563</v>
      </c>
      <c r="F2588" s="26"/>
      <c r="G2588" s="27" t="s">
        <v>3615</v>
      </c>
      <c r="H2588" s="28" t="s">
        <v>3616</v>
      </c>
      <c r="I2588" s="5" t="s">
        <v>1749</v>
      </c>
    </row>
    <row r="2589" spans="1:9" ht="51.75" customHeight="1">
      <c r="A2589" s="5">
        <v>5</v>
      </c>
      <c r="B2589" s="5" t="s">
        <v>30564</v>
      </c>
      <c r="C2589" s="5" t="s">
        <v>30565</v>
      </c>
      <c r="D2589" s="246">
        <v>39958</v>
      </c>
      <c r="E2589" s="5" t="s">
        <v>30566</v>
      </c>
      <c r="F2589" s="26"/>
      <c r="G2589" s="27" t="s">
        <v>3615</v>
      </c>
      <c r="H2589" s="28" t="s">
        <v>3616</v>
      </c>
      <c r="I2589" s="5" t="s">
        <v>1749</v>
      </c>
    </row>
    <row r="2590" spans="1:9" ht="51.75" customHeight="1">
      <c r="A2590" s="5">
        <v>1</v>
      </c>
      <c r="B2590" s="5" t="s">
        <v>30567</v>
      </c>
      <c r="C2590" s="5" t="s">
        <v>30568</v>
      </c>
      <c r="D2590" s="246">
        <v>39911</v>
      </c>
      <c r="E2590" s="5" t="s">
        <v>30569</v>
      </c>
      <c r="F2590" s="26"/>
      <c r="G2590" s="27" t="s">
        <v>3444</v>
      </c>
      <c r="H2590" s="28" t="s">
        <v>3445</v>
      </c>
      <c r="I2590" s="5" t="s">
        <v>1749</v>
      </c>
    </row>
    <row r="2591" spans="1:9" ht="51.75" customHeight="1">
      <c r="A2591" s="5">
        <v>2</v>
      </c>
      <c r="B2591" s="5" t="s">
        <v>30570</v>
      </c>
      <c r="C2591" s="5" t="s">
        <v>30571</v>
      </c>
      <c r="D2591" s="246">
        <v>39911</v>
      </c>
      <c r="E2591" s="5" t="s">
        <v>30572</v>
      </c>
      <c r="F2591" s="26"/>
      <c r="G2591" s="27" t="s">
        <v>3444</v>
      </c>
      <c r="H2591" s="28" t="s">
        <v>3445</v>
      </c>
      <c r="I2591" s="5" t="s">
        <v>1749</v>
      </c>
    </row>
    <row r="2592" spans="1:9" ht="51.75" customHeight="1">
      <c r="A2592" s="5">
        <v>3</v>
      </c>
      <c r="B2592" s="5" t="s">
        <v>30573</v>
      </c>
      <c r="C2592" s="5" t="s">
        <v>30574</v>
      </c>
      <c r="D2592" s="246">
        <v>39911</v>
      </c>
      <c r="E2592" s="5" t="s">
        <v>30575</v>
      </c>
      <c r="F2592" s="26"/>
      <c r="G2592" s="27" t="s">
        <v>3444</v>
      </c>
      <c r="H2592" s="28" t="s">
        <v>3445</v>
      </c>
      <c r="I2592" s="5" t="s">
        <v>1749</v>
      </c>
    </row>
    <row r="2593" spans="1:9" ht="51.75" customHeight="1">
      <c r="A2593" s="5">
        <v>4</v>
      </c>
      <c r="B2593" s="5" t="s">
        <v>30576</v>
      </c>
      <c r="C2593" s="5" t="s">
        <v>30577</v>
      </c>
      <c r="D2593" s="246">
        <v>39911</v>
      </c>
      <c r="E2593" s="5" t="s">
        <v>30578</v>
      </c>
      <c r="F2593" s="26"/>
      <c r="G2593" s="27" t="s">
        <v>3444</v>
      </c>
      <c r="H2593" s="28" t="s">
        <v>3445</v>
      </c>
      <c r="I2593" s="5" t="s">
        <v>1749</v>
      </c>
    </row>
    <row r="2594" spans="1:9" ht="51.75" customHeight="1">
      <c r="A2594" s="5">
        <v>5</v>
      </c>
      <c r="B2594" s="5" t="s">
        <v>30579</v>
      </c>
      <c r="C2594" s="5" t="s">
        <v>30580</v>
      </c>
      <c r="D2594" s="246">
        <v>39911</v>
      </c>
      <c r="E2594" s="5" t="s">
        <v>30580</v>
      </c>
      <c r="F2594" s="26"/>
      <c r="G2594" s="27" t="s">
        <v>3444</v>
      </c>
      <c r="H2594" s="28" t="s">
        <v>3445</v>
      </c>
      <c r="I2594" s="5" t="s">
        <v>1749</v>
      </c>
    </row>
    <row r="2595" spans="1:9" ht="51.75" customHeight="1">
      <c r="A2595" s="5">
        <v>6</v>
      </c>
      <c r="B2595" s="5" t="s">
        <v>30581</v>
      </c>
      <c r="C2595" s="5" t="s">
        <v>30582</v>
      </c>
      <c r="D2595" s="246">
        <v>39911</v>
      </c>
      <c r="E2595" s="5" t="s">
        <v>30583</v>
      </c>
      <c r="F2595" s="26"/>
      <c r="G2595" s="27" t="s">
        <v>3444</v>
      </c>
      <c r="H2595" s="28" t="s">
        <v>3445</v>
      </c>
      <c r="I2595" s="5" t="s">
        <v>1749</v>
      </c>
    </row>
    <row r="2596" spans="1:9" ht="51.75" customHeight="1">
      <c r="A2596" s="5">
        <v>7</v>
      </c>
      <c r="B2596" s="5" t="s">
        <v>30584</v>
      </c>
      <c r="C2596" s="5" t="s">
        <v>30585</v>
      </c>
      <c r="D2596" s="246">
        <v>39911</v>
      </c>
      <c r="E2596" s="5" t="s">
        <v>30586</v>
      </c>
      <c r="F2596" s="26"/>
      <c r="G2596" s="27" t="s">
        <v>3444</v>
      </c>
      <c r="H2596" s="28" t="s">
        <v>3445</v>
      </c>
      <c r="I2596" s="5" t="s">
        <v>1749</v>
      </c>
    </row>
    <row r="2597" spans="1:9" ht="51.75" customHeight="1">
      <c r="A2597" s="5">
        <v>1</v>
      </c>
      <c r="B2597" s="5" t="s">
        <v>30587</v>
      </c>
      <c r="C2597" s="5" t="s">
        <v>30588</v>
      </c>
      <c r="D2597" s="246">
        <v>39731</v>
      </c>
      <c r="E2597" s="5" t="s">
        <v>30589</v>
      </c>
      <c r="F2597" s="26"/>
      <c r="G2597" s="27" t="s">
        <v>2889</v>
      </c>
      <c r="H2597" s="28" t="s">
        <v>2890</v>
      </c>
      <c r="I2597" s="5" t="s">
        <v>1749</v>
      </c>
    </row>
    <row r="2598" spans="1:9" ht="51.75" customHeight="1">
      <c r="A2598" s="5">
        <v>2</v>
      </c>
      <c r="B2598" s="5" t="s">
        <v>30590</v>
      </c>
      <c r="C2598" s="5" t="s">
        <v>30591</v>
      </c>
      <c r="D2598" s="246">
        <v>39731</v>
      </c>
      <c r="E2598" s="5" t="s">
        <v>30592</v>
      </c>
      <c r="F2598" s="26"/>
      <c r="G2598" s="27" t="s">
        <v>2889</v>
      </c>
      <c r="H2598" s="28" t="s">
        <v>2890</v>
      </c>
      <c r="I2598" s="5" t="s">
        <v>1749</v>
      </c>
    </row>
    <row r="2599" spans="1:9" ht="51.75" customHeight="1">
      <c r="A2599" s="5">
        <v>3</v>
      </c>
      <c r="B2599" s="5" t="s">
        <v>30593</v>
      </c>
      <c r="C2599" s="5" t="s">
        <v>30594</v>
      </c>
      <c r="D2599" s="246">
        <v>39731</v>
      </c>
      <c r="E2599" s="5" t="s">
        <v>30595</v>
      </c>
      <c r="F2599" s="26"/>
      <c r="G2599" s="27" t="s">
        <v>2889</v>
      </c>
      <c r="H2599" s="28" t="s">
        <v>2890</v>
      </c>
      <c r="I2599" s="5" t="s">
        <v>1749</v>
      </c>
    </row>
    <row r="2600" spans="1:9" ht="51.75" customHeight="1">
      <c r="A2600" s="5">
        <v>4</v>
      </c>
      <c r="B2600" s="5" t="s">
        <v>30596</v>
      </c>
      <c r="C2600" s="5" t="s">
        <v>30597</v>
      </c>
      <c r="D2600" s="246">
        <v>39731</v>
      </c>
      <c r="E2600" s="5" t="s">
        <v>30598</v>
      </c>
      <c r="F2600" s="26"/>
      <c r="G2600" s="27" t="s">
        <v>2889</v>
      </c>
      <c r="H2600" s="28" t="s">
        <v>2890</v>
      </c>
      <c r="I2600" s="5" t="s">
        <v>1749</v>
      </c>
    </row>
    <row r="2601" spans="1:9" ht="51.75" customHeight="1">
      <c r="A2601" s="5">
        <v>1</v>
      </c>
      <c r="B2601" s="5" t="s">
        <v>30599</v>
      </c>
      <c r="C2601" s="5" t="s">
        <v>30600</v>
      </c>
      <c r="D2601" s="246">
        <v>39433</v>
      </c>
      <c r="E2601" s="5" t="s">
        <v>30601</v>
      </c>
      <c r="F2601" s="26"/>
      <c r="G2601" s="27" t="s">
        <v>2221</v>
      </c>
      <c r="H2601" s="28" t="s">
        <v>2222</v>
      </c>
      <c r="I2601" s="5" t="s">
        <v>1749</v>
      </c>
    </row>
    <row r="2602" spans="1:9" ht="51.75" customHeight="1">
      <c r="A2602" s="5">
        <v>2</v>
      </c>
      <c r="B2602" s="5" t="s">
        <v>30602</v>
      </c>
      <c r="C2602" s="5" t="s">
        <v>30603</v>
      </c>
      <c r="D2602" s="246">
        <v>39433</v>
      </c>
      <c r="E2602" s="5" t="s">
        <v>30604</v>
      </c>
      <c r="F2602" s="26"/>
      <c r="G2602" s="27" t="s">
        <v>2221</v>
      </c>
      <c r="H2602" s="28" t="s">
        <v>2222</v>
      </c>
      <c r="I2602" s="5" t="s">
        <v>1749</v>
      </c>
    </row>
    <row r="2603" spans="1:9" ht="51.75" customHeight="1">
      <c r="A2603" s="5">
        <v>3</v>
      </c>
      <c r="B2603" s="5" t="s">
        <v>30605</v>
      </c>
      <c r="C2603" s="5" t="s">
        <v>30606</v>
      </c>
      <c r="D2603" s="246">
        <v>39433</v>
      </c>
      <c r="E2603" s="5" t="s">
        <v>30607</v>
      </c>
      <c r="F2603" s="26"/>
      <c r="G2603" s="27" t="s">
        <v>2221</v>
      </c>
      <c r="H2603" s="28" t="s">
        <v>2222</v>
      </c>
      <c r="I2603" s="5" t="s">
        <v>1749</v>
      </c>
    </row>
    <row r="2604" spans="1:9" ht="51.75" customHeight="1">
      <c r="A2604" s="5">
        <v>1</v>
      </c>
      <c r="B2604" s="5" t="s">
        <v>30608</v>
      </c>
      <c r="C2604" s="5" t="s">
        <v>30609</v>
      </c>
      <c r="D2604" s="246">
        <v>39294</v>
      </c>
      <c r="E2604" s="5" t="s">
        <v>30610</v>
      </c>
      <c r="F2604" s="26"/>
      <c r="G2604" s="27" t="s">
        <v>1977</v>
      </c>
      <c r="H2604" s="28" t="s">
        <v>1978</v>
      </c>
      <c r="I2604" s="5" t="s">
        <v>1749</v>
      </c>
    </row>
    <row r="2605" spans="1:9" ht="51.75" customHeight="1">
      <c r="A2605" s="5">
        <v>2</v>
      </c>
      <c r="B2605" s="5" t="s">
        <v>30611</v>
      </c>
      <c r="C2605" s="5" t="s">
        <v>30612</v>
      </c>
      <c r="D2605" s="246">
        <v>39294</v>
      </c>
      <c r="E2605" s="5" t="s">
        <v>30613</v>
      </c>
      <c r="F2605" s="26"/>
      <c r="G2605" s="27" t="s">
        <v>1977</v>
      </c>
      <c r="H2605" s="28" t="s">
        <v>1978</v>
      </c>
      <c r="I2605" s="5" t="s">
        <v>1749</v>
      </c>
    </row>
    <row r="2606" spans="1:9" ht="51.75" customHeight="1">
      <c r="A2606" s="5">
        <v>3</v>
      </c>
      <c r="B2606" s="5" t="s">
        <v>30614</v>
      </c>
      <c r="C2606" s="5" t="s">
        <v>30615</v>
      </c>
      <c r="D2606" s="246">
        <v>39294</v>
      </c>
      <c r="E2606" s="5" t="s">
        <v>30615</v>
      </c>
      <c r="F2606" s="26"/>
      <c r="G2606" s="27" t="s">
        <v>1977</v>
      </c>
      <c r="H2606" s="28" t="s">
        <v>1978</v>
      </c>
      <c r="I2606" s="5" t="s">
        <v>1749</v>
      </c>
    </row>
    <row r="2607" spans="1:9" ht="51.75" customHeight="1">
      <c r="A2607" s="5">
        <v>4</v>
      </c>
      <c r="B2607" s="5" t="s">
        <v>30616</v>
      </c>
      <c r="C2607" s="5" t="s">
        <v>30617</v>
      </c>
      <c r="D2607" s="246">
        <v>39294</v>
      </c>
      <c r="E2607" s="5" t="s">
        <v>30618</v>
      </c>
      <c r="F2607" s="26"/>
      <c r="G2607" s="27" t="s">
        <v>1977</v>
      </c>
      <c r="H2607" s="28" t="s">
        <v>1978</v>
      </c>
      <c r="I2607" s="5" t="s">
        <v>1749</v>
      </c>
    </row>
    <row r="2608" spans="1:9" ht="51.75" customHeight="1">
      <c r="A2608" s="5">
        <v>5</v>
      </c>
      <c r="B2608" s="5" t="s">
        <v>30619</v>
      </c>
      <c r="C2608" s="5" t="s">
        <v>30620</v>
      </c>
      <c r="D2608" s="246">
        <v>39294</v>
      </c>
      <c r="E2608" s="5" t="s">
        <v>30621</v>
      </c>
      <c r="F2608" s="26"/>
      <c r="G2608" s="27" t="s">
        <v>1977</v>
      </c>
      <c r="H2608" s="28" t="s">
        <v>1978</v>
      </c>
      <c r="I2608" s="5" t="s">
        <v>1749</v>
      </c>
    </row>
    <row r="2609" spans="1:9" ht="51.75" customHeight="1">
      <c r="A2609" s="5">
        <v>1</v>
      </c>
      <c r="B2609" s="5" t="s">
        <v>30622</v>
      </c>
      <c r="C2609" s="5" t="s">
        <v>30623</v>
      </c>
      <c r="D2609" s="246">
        <v>39372</v>
      </c>
      <c r="E2609" s="5" t="s">
        <v>30623</v>
      </c>
      <c r="F2609" s="26"/>
      <c r="G2609" s="27" t="s">
        <v>1925</v>
      </c>
      <c r="H2609" s="28" t="s">
        <v>1926</v>
      </c>
      <c r="I2609" s="5" t="s">
        <v>1749</v>
      </c>
    </row>
    <row r="2610" spans="1:9" ht="51.75" customHeight="1">
      <c r="A2610" s="5">
        <v>2</v>
      </c>
      <c r="B2610" s="5" t="s">
        <v>30624</v>
      </c>
      <c r="C2610" s="5" t="s">
        <v>30625</v>
      </c>
      <c r="D2610" s="246">
        <v>39372</v>
      </c>
      <c r="E2610" s="5" t="s">
        <v>30625</v>
      </c>
      <c r="F2610" s="26"/>
      <c r="G2610" s="27" t="s">
        <v>1925</v>
      </c>
      <c r="H2610" s="28" t="s">
        <v>1926</v>
      </c>
      <c r="I2610" s="5" t="s">
        <v>1749</v>
      </c>
    </row>
    <row r="2611" spans="1:9" ht="51.75" customHeight="1">
      <c r="A2611" s="5">
        <v>3</v>
      </c>
      <c r="B2611" s="5" t="s">
        <v>30626</v>
      </c>
      <c r="C2611" s="5" t="s">
        <v>30627</v>
      </c>
      <c r="D2611" s="246">
        <v>39372</v>
      </c>
      <c r="E2611" s="5" t="s">
        <v>30627</v>
      </c>
      <c r="F2611" s="26"/>
      <c r="G2611" s="27" t="s">
        <v>1925</v>
      </c>
      <c r="H2611" s="28" t="s">
        <v>1926</v>
      </c>
      <c r="I2611" s="5" t="s">
        <v>1749</v>
      </c>
    </row>
    <row r="2612" spans="1:9" ht="51.75" customHeight="1">
      <c r="A2612" s="5">
        <v>4</v>
      </c>
      <c r="B2612" s="5" t="s">
        <v>30628</v>
      </c>
      <c r="C2612" s="5" t="s">
        <v>30629</v>
      </c>
      <c r="D2612" s="246">
        <v>39372</v>
      </c>
      <c r="E2612" s="5" t="s">
        <v>30630</v>
      </c>
      <c r="F2612" s="26"/>
      <c r="G2612" s="27" t="s">
        <v>1925</v>
      </c>
      <c r="H2612" s="28" t="s">
        <v>1926</v>
      </c>
      <c r="I2612" s="5" t="s">
        <v>1749</v>
      </c>
    </row>
    <row r="2613" spans="1:9" ht="51.75" customHeight="1">
      <c r="A2613" s="5">
        <v>1</v>
      </c>
      <c r="B2613" s="5" t="s">
        <v>30631</v>
      </c>
      <c r="C2613" s="5" t="s">
        <v>30632</v>
      </c>
      <c r="D2613" s="246">
        <v>39409</v>
      </c>
      <c r="E2613" s="5" t="s">
        <v>30633</v>
      </c>
      <c r="F2613" s="26"/>
      <c r="G2613" s="27" t="s">
        <v>1747</v>
      </c>
      <c r="H2613" s="28" t="s">
        <v>1748</v>
      </c>
      <c r="I2613" s="5" t="s">
        <v>1749</v>
      </c>
    </row>
    <row r="2614" spans="1:9" ht="51.75" customHeight="1">
      <c r="A2614" s="5">
        <v>1</v>
      </c>
      <c r="B2614" s="5" t="s">
        <v>30634</v>
      </c>
      <c r="C2614" s="5" t="s">
        <v>30635</v>
      </c>
      <c r="D2614" s="246">
        <v>40862</v>
      </c>
      <c r="E2614" s="5" t="s">
        <v>30636</v>
      </c>
      <c r="F2614" s="26" t="s">
        <v>23600</v>
      </c>
      <c r="G2614" s="27" t="s">
        <v>5595</v>
      </c>
      <c r="H2614" s="28" t="s">
        <v>5596</v>
      </c>
      <c r="I2614" s="5" t="s">
        <v>1749</v>
      </c>
    </row>
    <row r="2615" spans="1:9" ht="51.75" customHeight="1">
      <c r="A2615" s="5">
        <v>2</v>
      </c>
      <c r="B2615" s="5" t="s">
        <v>30637</v>
      </c>
      <c r="C2615" s="5" t="s">
        <v>30638</v>
      </c>
      <c r="D2615" s="246">
        <v>40862</v>
      </c>
      <c r="E2615" s="5" t="s">
        <v>30639</v>
      </c>
      <c r="F2615" s="26" t="s">
        <v>23600</v>
      </c>
      <c r="G2615" s="27" t="s">
        <v>5595</v>
      </c>
      <c r="H2615" s="28" t="s">
        <v>5596</v>
      </c>
      <c r="I2615" s="5" t="s">
        <v>1749</v>
      </c>
    </row>
    <row r="2616" spans="1:9" ht="51.75" customHeight="1">
      <c r="A2616" s="5">
        <v>3</v>
      </c>
      <c r="B2616" s="5" t="s">
        <v>30640</v>
      </c>
      <c r="C2616" s="5" t="s">
        <v>30641</v>
      </c>
      <c r="D2616" s="246">
        <v>40862</v>
      </c>
      <c r="E2616" s="5" t="s">
        <v>30642</v>
      </c>
      <c r="F2616" s="26"/>
      <c r="G2616" s="27" t="s">
        <v>5595</v>
      </c>
      <c r="H2616" s="28" t="s">
        <v>5596</v>
      </c>
      <c r="I2616" s="5" t="s">
        <v>1749</v>
      </c>
    </row>
    <row r="2617" spans="1:9" ht="51.75" customHeight="1">
      <c r="A2617" s="5">
        <v>4</v>
      </c>
      <c r="B2617" s="5" t="s">
        <v>30643</v>
      </c>
      <c r="C2617" s="5" t="s">
        <v>30644</v>
      </c>
      <c r="D2617" s="246">
        <v>40862</v>
      </c>
      <c r="E2617" s="5" t="s">
        <v>30645</v>
      </c>
      <c r="F2617" s="26"/>
      <c r="G2617" s="27" t="s">
        <v>5595</v>
      </c>
      <c r="H2617" s="28" t="s">
        <v>5596</v>
      </c>
      <c r="I2617" s="5" t="s">
        <v>1749</v>
      </c>
    </row>
    <row r="2618" spans="1:9" ht="51.75" customHeight="1">
      <c r="A2618" s="5">
        <v>5</v>
      </c>
      <c r="B2618" s="5" t="s">
        <v>30646</v>
      </c>
      <c r="C2618" s="5" t="s">
        <v>30647</v>
      </c>
      <c r="D2618" s="246">
        <v>40862</v>
      </c>
      <c r="E2618" s="5" t="s">
        <v>30648</v>
      </c>
      <c r="F2618" s="26" t="s">
        <v>23600</v>
      </c>
      <c r="G2618" s="27" t="s">
        <v>5595</v>
      </c>
      <c r="H2618" s="28" t="s">
        <v>5596</v>
      </c>
      <c r="I2618" s="5" t="s">
        <v>1749</v>
      </c>
    </row>
    <row r="2619" spans="1:9" ht="51.75" customHeight="1">
      <c r="A2619" s="5">
        <v>6</v>
      </c>
      <c r="B2619" s="5" t="s">
        <v>30649</v>
      </c>
      <c r="C2619" s="5" t="s">
        <v>30650</v>
      </c>
      <c r="D2619" s="246">
        <v>40862</v>
      </c>
      <c r="E2619" s="5" t="s">
        <v>30651</v>
      </c>
      <c r="F2619" s="26" t="s">
        <v>23600</v>
      </c>
      <c r="G2619" s="27" t="s">
        <v>5595</v>
      </c>
      <c r="H2619" s="28" t="s">
        <v>5596</v>
      </c>
      <c r="I2619" s="5" t="s">
        <v>1749</v>
      </c>
    </row>
    <row r="2620" spans="1:9" ht="51.75" customHeight="1">
      <c r="A2620" s="5">
        <v>7</v>
      </c>
      <c r="B2620" s="5" t="s">
        <v>30652</v>
      </c>
      <c r="C2620" s="5" t="s">
        <v>30653</v>
      </c>
      <c r="D2620" s="246">
        <v>40862</v>
      </c>
      <c r="E2620" s="5" t="s">
        <v>30654</v>
      </c>
      <c r="F2620" s="26" t="s">
        <v>23600</v>
      </c>
      <c r="G2620" s="27" t="s">
        <v>5595</v>
      </c>
      <c r="H2620" s="28" t="s">
        <v>5596</v>
      </c>
      <c r="I2620" s="5" t="s">
        <v>1749</v>
      </c>
    </row>
    <row r="2621" spans="1:9" ht="51.75" customHeight="1">
      <c r="A2621" s="5">
        <v>8</v>
      </c>
      <c r="B2621" s="5" t="s">
        <v>30655</v>
      </c>
      <c r="C2621" s="5" t="s">
        <v>30656</v>
      </c>
      <c r="D2621" s="246">
        <v>40862</v>
      </c>
      <c r="E2621" s="5" t="s">
        <v>30657</v>
      </c>
      <c r="F2621" s="26" t="s">
        <v>23600</v>
      </c>
      <c r="G2621" s="27" t="s">
        <v>5595</v>
      </c>
      <c r="H2621" s="28" t="s">
        <v>5596</v>
      </c>
      <c r="I2621" s="5" t="s">
        <v>1749</v>
      </c>
    </row>
    <row r="2622" spans="1:9" ht="51.75" customHeight="1">
      <c r="A2622" s="5">
        <v>9</v>
      </c>
      <c r="B2622" s="5" t="s">
        <v>30658</v>
      </c>
      <c r="C2622" s="5" t="s">
        <v>30659</v>
      </c>
      <c r="D2622" s="246">
        <v>40862</v>
      </c>
      <c r="E2622" s="5" t="s">
        <v>30659</v>
      </c>
      <c r="F2622" s="26" t="s">
        <v>23600</v>
      </c>
      <c r="G2622" s="27" t="s">
        <v>5595</v>
      </c>
      <c r="H2622" s="28" t="s">
        <v>5596</v>
      </c>
      <c r="I2622" s="5" t="s">
        <v>1749</v>
      </c>
    </row>
    <row r="2623" spans="1:9" ht="51.75" customHeight="1">
      <c r="A2623" s="5">
        <v>10</v>
      </c>
      <c r="B2623" s="5" t="s">
        <v>30660</v>
      </c>
      <c r="C2623" s="5" t="s">
        <v>30661</v>
      </c>
      <c r="D2623" s="246">
        <v>40862</v>
      </c>
      <c r="E2623" s="5" t="s">
        <v>30662</v>
      </c>
      <c r="F2623" s="26" t="s">
        <v>23600</v>
      </c>
      <c r="G2623" s="27" t="s">
        <v>5595</v>
      </c>
      <c r="H2623" s="28" t="s">
        <v>5596</v>
      </c>
      <c r="I2623" s="5" t="s">
        <v>1749</v>
      </c>
    </row>
    <row r="2624" spans="1:9" ht="51.75" customHeight="1">
      <c r="A2624" s="5" t="s">
        <v>27139</v>
      </c>
      <c r="B2624" s="5" t="s">
        <v>30663</v>
      </c>
      <c r="C2624" s="5" t="s">
        <v>30664</v>
      </c>
      <c r="D2624" s="246">
        <v>40862</v>
      </c>
      <c r="E2624" s="5" t="s">
        <v>30665</v>
      </c>
      <c r="F2624" s="26" t="s">
        <v>23600</v>
      </c>
      <c r="G2624" s="27" t="s">
        <v>5595</v>
      </c>
      <c r="H2624" s="28" t="s">
        <v>5596</v>
      </c>
      <c r="I2624" s="5" t="s">
        <v>1749</v>
      </c>
    </row>
    <row r="2625" spans="1:9" ht="51.75" customHeight="1">
      <c r="A2625" s="5" t="s">
        <v>27142</v>
      </c>
      <c r="B2625" s="5" t="s">
        <v>30666</v>
      </c>
      <c r="C2625" s="5" t="s">
        <v>30667</v>
      </c>
      <c r="D2625" s="246">
        <v>40862</v>
      </c>
      <c r="E2625" s="5" t="s">
        <v>30668</v>
      </c>
      <c r="F2625" s="26" t="s">
        <v>23600</v>
      </c>
      <c r="G2625" s="27" t="s">
        <v>5595</v>
      </c>
      <c r="H2625" s="28" t="s">
        <v>5596</v>
      </c>
      <c r="I2625" s="5" t="s">
        <v>1749</v>
      </c>
    </row>
    <row r="2626" spans="1:9" ht="51.75" customHeight="1">
      <c r="A2626" s="5" t="s">
        <v>23960</v>
      </c>
      <c r="B2626" s="5" t="s">
        <v>30669</v>
      </c>
      <c r="C2626" s="5" t="s">
        <v>30670</v>
      </c>
      <c r="D2626" s="246">
        <v>40862</v>
      </c>
      <c r="E2626" s="5" t="s">
        <v>30671</v>
      </c>
      <c r="F2626" s="26" t="s">
        <v>23600</v>
      </c>
      <c r="G2626" s="27" t="s">
        <v>5595</v>
      </c>
      <c r="H2626" s="28" t="s">
        <v>5596</v>
      </c>
      <c r="I2626" s="5" t="s">
        <v>1749</v>
      </c>
    </row>
    <row r="2627" spans="1:9" ht="51.75" customHeight="1">
      <c r="A2627" s="5" t="s">
        <v>27153</v>
      </c>
      <c r="B2627" s="5" t="s">
        <v>30672</v>
      </c>
      <c r="C2627" s="5" t="s">
        <v>30673</v>
      </c>
      <c r="D2627" s="246">
        <v>40862</v>
      </c>
      <c r="E2627" s="5" t="s">
        <v>30674</v>
      </c>
      <c r="F2627" s="26" t="s">
        <v>23600</v>
      </c>
      <c r="G2627" s="27" t="s">
        <v>5595</v>
      </c>
      <c r="H2627" s="28" t="s">
        <v>5596</v>
      </c>
      <c r="I2627" s="5" t="s">
        <v>1749</v>
      </c>
    </row>
    <row r="2628" spans="1:9" ht="51.75" customHeight="1">
      <c r="A2628" s="5" t="s">
        <v>23938</v>
      </c>
      <c r="B2628" s="5" t="s">
        <v>30675</v>
      </c>
      <c r="C2628" s="5" t="s">
        <v>30676</v>
      </c>
      <c r="D2628" s="246">
        <v>40862</v>
      </c>
      <c r="E2628" s="5" t="s">
        <v>30677</v>
      </c>
      <c r="F2628" s="26" t="s">
        <v>23600</v>
      </c>
      <c r="G2628" s="27" t="s">
        <v>5595</v>
      </c>
      <c r="H2628" s="28" t="s">
        <v>5596</v>
      </c>
      <c r="I2628" s="5" t="s">
        <v>1749</v>
      </c>
    </row>
    <row r="2629" spans="1:9" ht="51.75" customHeight="1">
      <c r="A2629" s="5" t="s">
        <v>24519</v>
      </c>
      <c r="B2629" s="5" t="s">
        <v>30678</v>
      </c>
      <c r="C2629" s="5" t="s">
        <v>30679</v>
      </c>
      <c r="D2629" s="246">
        <v>40862</v>
      </c>
      <c r="E2629" s="5" t="s">
        <v>30680</v>
      </c>
      <c r="F2629" s="26" t="s">
        <v>23600</v>
      </c>
      <c r="G2629" s="27" t="s">
        <v>5595</v>
      </c>
      <c r="H2629" s="28" t="s">
        <v>5596</v>
      </c>
      <c r="I2629" s="5" t="s">
        <v>1749</v>
      </c>
    </row>
    <row r="2630" spans="1:9" ht="51.75" customHeight="1">
      <c r="A2630" s="5" t="s">
        <v>26465</v>
      </c>
      <c r="B2630" s="5" t="s">
        <v>30681</v>
      </c>
      <c r="C2630" s="5" t="s">
        <v>30682</v>
      </c>
      <c r="D2630" s="246">
        <v>40862</v>
      </c>
      <c r="E2630" s="5" t="s">
        <v>30683</v>
      </c>
      <c r="F2630" s="26" t="s">
        <v>23600</v>
      </c>
      <c r="G2630" s="27" t="s">
        <v>5595</v>
      </c>
      <c r="H2630" s="28" t="s">
        <v>5596</v>
      </c>
      <c r="I2630" s="5" t="s">
        <v>1749</v>
      </c>
    </row>
    <row r="2631" spans="1:9" ht="51.75" customHeight="1">
      <c r="A2631" s="5" t="s">
        <v>23964</v>
      </c>
      <c r="B2631" s="5" t="s">
        <v>30684</v>
      </c>
      <c r="C2631" s="5" t="s">
        <v>30685</v>
      </c>
      <c r="D2631" s="246">
        <v>40862</v>
      </c>
      <c r="E2631" s="5" t="s">
        <v>30686</v>
      </c>
      <c r="F2631" s="26" t="s">
        <v>23600</v>
      </c>
      <c r="G2631" s="27" t="s">
        <v>5595</v>
      </c>
      <c r="H2631" s="28" t="s">
        <v>5596</v>
      </c>
      <c r="I2631" s="5" t="s">
        <v>1749</v>
      </c>
    </row>
    <row r="2632" spans="1:9" ht="51.75" customHeight="1">
      <c r="A2632" s="5" t="s">
        <v>28619</v>
      </c>
      <c r="B2632" s="5" t="s">
        <v>30687</v>
      </c>
      <c r="C2632" s="5" t="s">
        <v>30688</v>
      </c>
      <c r="D2632" s="246" t="s">
        <v>68</v>
      </c>
      <c r="E2632" s="5" t="s">
        <v>30689</v>
      </c>
      <c r="F2632" s="26" t="s">
        <v>23600</v>
      </c>
      <c r="G2632" s="27" t="s">
        <v>13389</v>
      </c>
      <c r="H2632" s="28" t="s">
        <v>13390</v>
      </c>
      <c r="I2632" s="5" t="s">
        <v>1749</v>
      </c>
    </row>
    <row r="2633" spans="1:9" ht="51.75" customHeight="1">
      <c r="A2633" s="5" t="s">
        <v>28628</v>
      </c>
      <c r="B2633" s="5" t="s">
        <v>30690</v>
      </c>
      <c r="C2633" s="5" t="s">
        <v>30691</v>
      </c>
      <c r="D2633" s="246" t="s">
        <v>68</v>
      </c>
      <c r="E2633" s="5" t="s">
        <v>30692</v>
      </c>
      <c r="F2633" s="26" t="s">
        <v>23600</v>
      </c>
      <c r="G2633" s="27" t="s">
        <v>13389</v>
      </c>
      <c r="H2633" s="28" t="s">
        <v>13390</v>
      </c>
      <c r="I2633" s="5" t="s">
        <v>1749</v>
      </c>
    </row>
    <row r="2634" spans="1:9" ht="51.75" customHeight="1">
      <c r="A2634" s="5" t="s">
        <v>30693</v>
      </c>
      <c r="B2634" s="5" t="s">
        <v>30694</v>
      </c>
      <c r="C2634" s="5" t="s">
        <v>30695</v>
      </c>
      <c r="D2634" s="246" t="s">
        <v>68</v>
      </c>
      <c r="E2634" s="5" t="s">
        <v>30696</v>
      </c>
      <c r="F2634" s="26" t="s">
        <v>23600</v>
      </c>
      <c r="G2634" s="27" t="s">
        <v>14805</v>
      </c>
      <c r="H2634" s="28" t="s">
        <v>14806</v>
      </c>
      <c r="I2634" s="5" t="s">
        <v>1749</v>
      </c>
    </row>
    <row r="2635" spans="1:9" ht="51.75" customHeight="1">
      <c r="A2635" s="5" t="s">
        <v>30697</v>
      </c>
      <c r="B2635" s="5" t="s">
        <v>30698</v>
      </c>
      <c r="C2635" s="5" t="s">
        <v>30695</v>
      </c>
      <c r="D2635" s="246" t="s">
        <v>68</v>
      </c>
      <c r="E2635" s="5" t="s">
        <v>30699</v>
      </c>
      <c r="F2635" s="26" t="s">
        <v>23600</v>
      </c>
      <c r="G2635" s="27" t="s">
        <v>14805</v>
      </c>
      <c r="H2635" s="28" t="s">
        <v>14806</v>
      </c>
      <c r="I2635" s="5" t="s">
        <v>1749</v>
      </c>
    </row>
    <row r="2636" spans="1:9" ht="51.75" customHeight="1">
      <c r="A2636" s="5" t="s">
        <v>30700</v>
      </c>
      <c r="B2636" s="5" t="s">
        <v>30701</v>
      </c>
      <c r="C2636" s="5" t="s">
        <v>30702</v>
      </c>
      <c r="D2636" s="246" t="s">
        <v>68</v>
      </c>
      <c r="E2636" s="5" t="s">
        <v>30703</v>
      </c>
      <c r="F2636" s="26" t="s">
        <v>23600</v>
      </c>
      <c r="G2636" s="27" t="s">
        <v>14805</v>
      </c>
      <c r="H2636" s="28" t="s">
        <v>14806</v>
      </c>
      <c r="I2636" s="5" t="s">
        <v>1749</v>
      </c>
    </row>
    <row r="2637" spans="1:9" ht="51.75" customHeight="1">
      <c r="A2637" s="5" t="s">
        <v>30704</v>
      </c>
      <c r="B2637" s="5" t="s">
        <v>30705</v>
      </c>
      <c r="C2637" s="5" t="s">
        <v>30706</v>
      </c>
      <c r="D2637" s="246" t="s">
        <v>68</v>
      </c>
      <c r="E2637" s="5" t="s">
        <v>30707</v>
      </c>
      <c r="F2637" s="26" t="s">
        <v>23600</v>
      </c>
      <c r="G2637" s="27" t="s">
        <v>14805</v>
      </c>
      <c r="H2637" s="28" t="s">
        <v>14806</v>
      </c>
      <c r="I2637" s="5" t="s">
        <v>1749</v>
      </c>
    </row>
    <row r="2638" spans="1:9" ht="51.75" customHeight="1">
      <c r="A2638" s="5" t="s">
        <v>30708</v>
      </c>
      <c r="B2638" s="5" t="s">
        <v>30709</v>
      </c>
      <c r="C2638" s="5" t="s">
        <v>30710</v>
      </c>
      <c r="D2638" s="246" t="s">
        <v>68</v>
      </c>
      <c r="E2638" s="5" t="s">
        <v>30711</v>
      </c>
      <c r="F2638" s="26" t="s">
        <v>23600</v>
      </c>
      <c r="G2638" s="27" t="s">
        <v>14805</v>
      </c>
      <c r="H2638" s="28" t="s">
        <v>14806</v>
      </c>
      <c r="I2638" s="5" t="s">
        <v>1749</v>
      </c>
    </row>
    <row r="2639" spans="1:9" ht="51.75" customHeight="1">
      <c r="A2639" s="5">
        <v>1</v>
      </c>
      <c r="B2639" s="5" t="s">
        <v>30712</v>
      </c>
      <c r="C2639" s="5" t="s">
        <v>30713</v>
      </c>
      <c r="D2639" s="246">
        <v>41092</v>
      </c>
      <c r="E2639" s="5" t="s">
        <v>30714</v>
      </c>
      <c r="F2639" s="26"/>
      <c r="G2639" s="27" t="s">
        <v>4959</v>
      </c>
      <c r="H2639" s="28" t="s">
        <v>4960</v>
      </c>
      <c r="I2639" s="5" t="s">
        <v>3148</v>
      </c>
    </row>
    <row r="2640" spans="1:9" ht="51.75" customHeight="1">
      <c r="A2640" s="5">
        <v>1</v>
      </c>
      <c r="B2640" s="5" t="s">
        <v>30715</v>
      </c>
      <c r="C2640" s="5" t="s">
        <v>30716</v>
      </c>
      <c r="D2640" s="246">
        <v>41011</v>
      </c>
      <c r="E2640" s="5" t="s">
        <v>30717</v>
      </c>
      <c r="F2640" s="26"/>
      <c r="G2640" s="27" t="s">
        <v>4641</v>
      </c>
      <c r="H2640" s="28" t="s">
        <v>4642</v>
      </c>
      <c r="I2640" s="5" t="s">
        <v>3148</v>
      </c>
    </row>
    <row r="2641" spans="1:9" ht="51.75" customHeight="1">
      <c r="A2641" s="5">
        <v>1</v>
      </c>
      <c r="B2641" s="5" t="s">
        <v>30718</v>
      </c>
      <c r="C2641" s="5" t="s">
        <v>30719</v>
      </c>
      <c r="D2641" s="246">
        <v>40820</v>
      </c>
      <c r="E2641" s="5" t="s">
        <v>30720</v>
      </c>
      <c r="F2641" s="26"/>
      <c r="G2641" s="27" t="s">
        <v>4525</v>
      </c>
      <c r="H2641" s="28" t="s">
        <v>4526</v>
      </c>
      <c r="I2641" s="5" t="s">
        <v>3148</v>
      </c>
    </row>
    <row r="2642" spans="1:9" ht="51.75" customHeight="1">
      <c r="A2642" s="5">
        <v>2</v>
      </c>
      <c r="B2642" s="5" t="s">
        <v>30721</v>
      </c>
      <c r="C2642" s="5" t="s">
        <v>30722</v>
      </c>
      <c r="D2642" s="246">
        <v>40820</v>
      </c>
      <c r="E2642" s="5" t="s">
        <v>30723</v>
      </c>
      <c r="F2642" s="26"/>
      <c r="G2642" s="27" t="s">
        <v>4525</v>
      </c>
      <c r="H2642" s="28" t="s">
        <v>4526</v>
      </c>
      <c r="I2642" s="5" t="s">
        <v>3148</v>
      </c>
    </row>
    <row r="2643" spans="1:9" ht="51.75" customHeight="1">
      <c r="A2643" s="5">
        <v>3</v>
      </c>
      <c r="B2643" s="5" t="s">
        <v>30724</v>
      </c>
      <c r="C2643" s="5" t="s">
        <v>30725</v>
      </c>
      <c r="D2643" s="246">
        <v>40820</v>
      </c>
      <c r="E2643" s="5" t="s">
        <v>30726</v>
      </c>
      <c r="F2643" s="26"/>
      <c r="G2643" s="27" t="s">
        <v>4525</v>
      </c>
      <c r="H2643" s="28" t="s">
        <v>4526</v>
      </c>
      <c r="I2643" s="5" t="s">
        <v>3148</v>
      </c>
    </row>
    <row r="2644" spans="1:9" ht="51.75" customHeight="1">
      <c r="A2644" s="5">
        <v>4</v>
      </c>
      <c r="B2644" s="5" t="s">
        <v>30727</v>
      </c>
      <c r="C2644" s="5" t="s">
        <v>30728</v>
      </c>
      <c r="D2644" s="246">
        <v>40820</v>
      </c>
      <c r="E2644" s="5" t="s">
        <v>30729</v>
      </c>
      <c r="F2644" s="26"/>
      <c r="G2644" s="27" t="s">
        <v>4525</v>
      </c>
      <c r="H2644" s="28" t="s">
        <v>4526</v>
      </c>
      <c r="I2644" s="5" t="s">
        <v>3148</v>
      </c>
    </row>
    <row r="2645" spans="1:9" ht="51.75" customHeight="1">
      <c r="A2645" s="5">
        <v>1</v>
      </c>
      <c r="B2645" s="5" t="s">
        <v>30730</v>
      </c>
      <c r="C2645" s="5" t="s">
        <v>30731</v>
      </c>
      <c r="D2645" s="246">
        <v>40820</v>
      </c>
      <c r="E2645" s="5" t="s">
        <v>30732</v>
      </c>
      <c r="F2645" s="26"/>
      <c r="G2645" s="27" t="s">
        <v>4097</v>
      </c>
      <c r="H2645" s="28" t="s">
        <v>4098</v>
      </c>
      <c r="I2645" s="5" t="s">
        <v>3148</v>
      </c>
    </row>
    <row r="2646" spans="1:9" ht="51.75" customHeight="1">
      <c r="A2646" s="5">
        <v>1</v>
      </c>
      <c r="B2646" s="5" t="s">
        <v>30733</v>
      </c>
      <c r="C2646" s="5" t="s">
        <v>30734</v>
      </c>
      <c r="D2646" s="246">
        <v>40653</v>
      </c>
      <c r="E2646" s="5" t="s">
        <v>30734</v>
      </c>
      <c r="F2646" s="26"/>
      <c r="G2646" s="27" t="s">
        <v>3759</v>
      </c>
      <c r="H2646" s="28" t="s">
        <v>3760</v>
      </c>
      <c r="I2646" s="5" t="s">
        <v>3148</v>
      </c>
    </row>
    <row r="2647" spans="1:9" ht="51.75" customHeight="1">
      <c r="A2647" s="5">
        <v>1</v>
      </c>
      <c r="B2647" s="5" t="s">
        <v>30735</v>
      </c>
      <c r="C2647" s="5" t="s">
        <v>30736</v>
      </c>
      <c r="D2647" s="246">
        <v>40820</v>
      </c>
      <c r="E2647" s="5" t="s">
        <v>30737</v>
      </c>
      <c r="F2647" s="26"/>
      <c r="G2647" s="27" t="s">
        <v>3735</v>
      </c>
      <c r="H2647" s="28" t="s">
        <v>3736</v>
      </c>
      <c r="I2647" s="5" t="s">
        <v>3148</v>
      </c>
    </row>
    <row r="2648" spans="1:9" ht="51.75" customHeight="1">
      <c r="A2648" s="5">
        <v>1</v>
      </c>
      <c r="B2648" s="5" t="s">
        <v>30738</v>
      </c>
      <c r="C2648" s="5" t="s">
        <v>30739</v>
      </c>
      <c r="D2648" s="246">
        <v>40653</v>
      </c>
      <c r="E2648" s="5" t="s">
        <v>30740</v>
      </c>
      <c r="F2648" s="26"/>
      <c r="G2648" s="27" t="s">
        <v>3711</v>
      </c>
      <c r="H2648" s="28" t="s">
        <v>3712</v>
      </c>
      <c r="I2648" s="5" t="s">
        <v>3148</v>
      </c>
    </row>
    <row r="2649" spans="1:9" ht="51.75" customHeight="1">
      <c r="A2649" s="5">
        <v>2</v>
      </c>
      <c r="B2649" s="5" t="s">
        <v>30741</v>
      </c>
      <c r="C2649" s="5" t="s">
        <v>30742</v>
      </c>
      <c r="D2649" s="246">
        <v>40653</v>
      </c>
      <c r="E2649" s="5" t="s">
        <v>30743</v>
      </c>
      <c r="F2649" s="26"/>
      <c r="G2649" s="27" t="s">
        <v>3711</v>
      </c>
      <c r="H2649" s="28" t="s">
        <v>3712</v>
      </c>
      <c r="I2649" s="5" t="s">
        <v>3148</v>
      </c>
    </row>
    <row r="2650" spans="1:9" ht="51.75" customHeight="1">
      <c r="A2650" s="5">
        <v>3</v>
      </c>
      <c r="B2650" s="5" t="s">
        <v>30744</v>
      </c>
      <c r="C2650" s="5" t="s">
        <v>30745</v>
      </c>
      <c r="D2650" s="246">
        <v>40653</v>
      </c>
      <c r="E2650" s="5" t="s">
        <v>30746</v>
      </c>
      <c r="F2650" s="26"/>
      <c r="G2650" s="27" t="s">
        <v>3711</v>
      </c>
      <c r="H2650" s="28" t="s">
        <v>3712</v>
      </c>
      <c r="I2650" s="5" t="s">
        <v>3148</v>
      </c>
    </row>
    <row r="2651" spans="1:9" ht="51.75" customHeight="1">
      <c r="A2651" s="5">
        <v>1</v>
      </c>
      <c r="B2651" s="5" t="s">
        <v>30747</v>
      </c>
      <c r="C2651" s="5" t="s">
        <v>30748</v>
      </c>
      <c r="D2651" s="246">
        <v>40653</v>
      </c>
      <c r="E2651" s="5" t="s">
        <v>30749</v>
      </c>
      <c r="F2651" s="26"/>
      <c r="G2651" s="27" t="s">
        <v>3663</v>
      </c>
      <c r="H2651" s="28" t="s">
        <v>3664</v>
      </c>
      <c r="I2651" s="5" t="s">
        <v>3148</v>
      </c>
    </row>
    <row r="2652" spans="1:9" ht="51.75" customHeight="1">
      <c r="A2652" s="5">
        <v>2</v>
      </c>
      <c r="B2652" s="5" t="s">
        <v>30750</v>
      </c>
      <c r="C2652" s="5" t="s">
        <v>30751</v>
      </c>
      <c r="D2652" s="246">
        <v>40653</v>
      </c>
      <c r="E2652" s="5" t="s">
        <v>30752</v>
      </c>
      <c r="F2652" s="26"/>
      <c r="G2652" s="27" t="s">
        <v>3663</v>
      </c>
      <c r="H2652" s="28" t="s">
        <v>3664</v>
      </c>
      <c r="I2652" s="5" t="s">
        <v>3148</v>
      </c>
    </row>
    <row r="2653" spans="1:9" ht="51.75" customHeight="1">
      <c r="A2653" s="5">
        <v>3</v>
      </c>
      <c r="B2653" s="5" t="s">
        <v>30753</v>
      </c>
      <c r="C2653" s="5" t="s">
        <v>30754</v>
      </c>
      <c r="D2653" s="246">
        <v>40653</v>
      </c>
      <c r="E2653" s="5" t="s">
        <v>30755</v>
      </c>
      <c r="F2653" s="26"/>
      <c r="G2653" s="27" t="s">
        <v>3663</v>
      </c>
      <c r="H2653" s="28" t="s">
        <v>3664</v>
      </c>
      <c r="I2653" s="5" t="s">
        <v>3148</v>
      </c>
    </row>
    <row r="2654" spans="1:9" ht="51.75" customHeight="1">
      <c r="A2654" s="5">
        <v>4</v>
      </c>
      <c r="B2654" s="5" t="s">
        <v>30756</v>
      </c>
      <c r="C2654" s="5" t="s">
        <v>30757</v>
      </c>
      <c r="D2654" s="246">
        <v>40653</v>
      </c>
      <c r="E2654" s="5" t="s">
        <v>30758</v>
      </c>
      <c r="F2654" s="26"/>
      <c r="G2654" s="27" t="s">
        <v>3663</v>
      </c>
      <c r="H2654" s="28" t="s">
        <v>3664</v>
      </c>
      <c r="I2654" s="5" t="s">
        <v>3148</v>
      </c>
    </row>
    <row r="2655" spans="1:9" ht="51.75" customHeight="1">
      <c r="A2655" s="5">
        <v>5</v>
      </c>
      <c r="B2655" s="5" t="s">
        <v>30759</v>
      </c>
      <c r="C2655" s="5" t="s">
        <v>30760</v>
      </c>
      <c r="D2655" s="246">
        <v>40653</v>
      </c>
      <c r="E2655" s="5" t="s">
        <v>30761</v>
      </c>
      <c r="F2655" s="26"/>
      <c r="G2655" s="27" t="s">
        <v>3663</v>
      </c>
      <c r="H2655" s="28" t="s">
        <v>3664</v>
      </c>
      <c r="I2655" s="5" t="s">
        <v>3148</v>
      </c>
    </row>
    <row r="2656" spans="1:9" ht="51.75" customHeight="1">
      <c r="A2656" s="5">
        <v>6</v>
      </c>
      <c r="B2656" s="5" t="s">
        <v>30762</v>
      </c>
      <c r="C2656" s="5" t="s">
        <v>30763</v>
      </c>
      <c r="D2656" s="246">
        <v>40653</v>
      </c>
      <c r="E2656" s="5" t="s">
        <v>30764</v>
      </c>
      <c r="F2656" s="26"/>
      <c r="G2656" s="27" t="s">
        <v>3663</v>
      </c>
      <c r="H2656" s="28" t="s">
        <v>3664</v>
      </c>
      <c r="I2656" s="5" t="s">
        <v>3148</v>
      </c>
    </row>
    <row r="2657" spans="1:9" ht="51.75" customHeight="1">
      <c r="A2657" s="5">
        <v>1</v>
      </c>
      <c r="B2657" s="5" t="s">
        <v>30765</v>
      </c>
      <c r="C2657" s="5" t="s">
        <v>30766</v>
      </c>
      <c r="D2657" s="246">
        <v>40653</v>
      </c>
      <c r="E2657" s="5" t="s">
        <v>30766</v>
      </c>
      <c r="F2657" s="26"/>
      <c r="G2657" s="27" t="s">
        <v>3600</v>
      </c>
      <c r="H2657" s="28" t="s">
        <v>3601</v>
      </c>
      <c r="I2657" s="5" t="s">
        <v>3148</v>
      </c>
    </row>
    <row r="2658" spans="1:9" ht="51.75" customHeight="1">
      <c r="A2658" s="5">
        <v>2</v>
      </c>
      <c r="B2658" s="5" t="s">
        <v>30767</v>
      </c>
      <c r="C2658" s="5" t="s">
        <v>30768</v>
      </c>
      <c r="D2658" s="246">
        <v>40653</v>
      </c>
      <c r="E2658" s="5" t="s">
        <v>30768</v>
      </c>
      <c r="F2658" s="26"/>
      <c r="G2658" s="27" t="s">
        <v>3600</v>
      </c>
      <c r="H2658" s="28" t="s">
        <v>3601</v>
      </c>
      <c r="I2658" s="5" t="s">
        <v>3148</v>
      </c>
    </row>
    <row r="2659" spans="1:9" ht="51.75" customHeight="1">
      <c r="A2659" s="5">
        <v>1</v>
      </c>
      <c r="B2659" s="5" t="s">
        <v>30769</v>
      </c>
      <c r="C2659" s="5" t="s">
        <v>30770</v>
      </c>
      <c r="D2659" s="246">
        <v>39836</v>
      </c>
      <c r="E2659" s="5" t="s">
        <v>30771</v>
      </c>
      <c r="F2659" s="26"/>
      <c r="G2659" s="27" t="s">
        <v>3531</v>
      </c>
      <c r="H2659" s="28" t="s">
        <v>3532</v>
      </c>
      <c r="I2659" s="5" t="s">
        <v>3148</v>
      </c>
    </row>
    <row r="2660" spans="1:9" ht="51.75" customHeight="1">
      <c r="A2660" s="5">
        <v>1</v>
      </c>
      <c r="B2660" s="5" t="s">
        <v>30772</v>
      </c>
      <c r="C2660" s="5" t="s">
        <v>30773</v>
      </c>
      <c r="D2660" s="246">
        <v>40653</v>
      </c>
      <c r="E2660" s="5" t="s">
        <v>30774</v>
      </c>
      <c r="F2660" s="26"/>
      <c r="G2660" s="27" t="s">
        <v>3146</v>
      </c>
      <c r="H2660" s="28" t="s">
        <v>3147</v>
      </c>
      <c r="I2660" s="5" t="s">
        <v>3148</v>
      </c>
    </row>
    <row r="2661" spans="1:9" ht="51.75" customHeight="1">
      <c r="A2661" s="5">
        <v>2</v>
      </c>
      <c r="B2661" s="5" t="s">
        <v>30775</v>
      </c>
      <c r="C2661" s="5" t="s">
        <v>30776</v>
      </c>
      <c r="D2661" s="246">
        <v>40653</v>
      </c>
      <c r="E2661" s="5" t="s">
        <v>30777</v>
      </c>
      <c r="F2661" s="26"/>
      <c r="G2661" s="27" t="s">
        <v>3146</v>
      </c>
      <c r="H2661" s="28" t="s">
        <v>3147</v>
      </c>
      <c r="I2661" s="5" t="s">
        <v>3148</v>
      </c>
    </row>
    <row r="2662" spans="1:9" ht="51.75" customHeight="1">
      <c r="A2662" s="5">
        <v>1</v>
      </c>
      <c r="B2662" s="5" t="s">
        <v>30778</v>
      </c>
      <c r="C2662" s="5" t="s">
        <v>30779</v>
      </c>
      <c r="D2662" s="246">
        <v>41038</v>
      </c>
      <c r="E2662" s="5" t="s">
        <v>30780</v>
      </c>
      <c r="F2662" s="26"/>
      <c r="G2662" s="27" t="s">
        <v>4764</v>
      </c>
      <c r="H2662" s="28" t="s">
        <v>4765</v>
      </c>
      <c r="I2662" s="5" t="s">
        <v>624</v>
      </c>
    </row>
    <row r="2663" spans="1:9" ht="51.75" customHeight="1">
      <c r="A2663" s="5">
        <v>2</v>
      </c>
      <c r="B2663" s="5" t="s">
        <v>30781</v>
      </c>
      <c r="C2663" s="5" t="s">
        <v>30782</v>
      </c>
      <c r="D2663" s="246">
        <v>41038</v>
      </c>
      <c r="E2663" s="5" t="s">
        <v>30783</v>
      </c>
      <c r="F2663" s="26"/>
      <c r="G2663" s="27" t="s">
        <v>4764</v>
      </c>
      <c r="H2663" s="28" t="s">
        <v>4765</v>
      </c>
      <c r="I2663" s="5" t="s">
        <v>624</v>
      </c>
    </row>
    <row r="2664" spans="1:9" ht="51.75" customHeight="1">
      <c r="A2664" s="5">
        <v>1</v>
      </c>
      <c r="B2664" s="5" t="s">
        <v>30784</v>
      </c>
      <c r="C2664" s="5" t="s">
        <v>30785</v>
      </c>
      <c r="D2664" s="246">
        <v>41038</v>
      </c>
      <c r="E2664" s="5" t="s">
        <v>30785</v>
      </c>
      <c r="F2664" s="26"/>
      <c r="G2664" s="27" t="s">
        <v>7178</v>
      </c>
      <c r="H2664" s="28" t="s">
        <v>7179</v>
      </c>
      <c r="I2664" s="5" t="s">
        <v>624</v>
      </c>
    </row>
    <row r="2665" spans="1:9" ht="51.75" customHeight="1">
      <c r="A2665" s="5">
        <v>1</v>
      </c>
      <c r="B2665" s="5" t="s">
        <v>30786</v>
      </c>
      <c r="C2665" s="5" t="s">
        <v>30787</v>
      </c>
      <c r="D2665" s="246">
        <v>41038</v>
      </c>
      <c r="E2665" s="5" t="s">
        <v>30787</v>
      </c>
      <c r="F2665" s="26"/>
      <c r="G2665" s="27" t="s">
        <v>6904</v>
      </c>
      <c r="H2665" s="28" t="s">
        <v>6905</v>
      </c>
      <c r="I2665" s="5" t="s">
        <v>624</v>
      </c>
    </row>
    <row r="2666" spans="1:9" ht="51.75" customHeight="1">
      <c r="A2666" s="5">
        <v>2</v>
      </c>
      <c r="B2666" s="5" t="s">
        <v>30788</v>
      </c>
      <c r="C2666" s="5" t="s">
        <v>30785</v>
      </c>
      <c r="D2666" s="246">
        <v>41038</v>
      </c>
      <c r="E2666" s="5" t="s">
        <v>30785</v>
      </c>
      <c r="F2666" s="26"/>
      <c r="G2666" s="27" t="s">
        <v>6904</v>
      </c>
      <c r="H2666" s="28" t="s">
        <v>6905</v>
      </c>
      <c r="I2666" s="5" t="s">
        <v>624</v>
      </c>
    </row>
    <row r="2667" spans="1:9" ht="51.75" customHeight="1">
      <c r="A2667" s="5" t="s">
        <v>26270</v>
      </c>
      <c r="B2667" s="5" t="s">
        <v>30789</v>
      </c>
      <c r="C2667" s="5" t="s">
        <v>30790</v>
      </c>
      <c r="D2667" s="246" t="s">
        <v>68</v>
      </c>
      <c r="E2667" s="5" t="s">
        <v>30791</v>
      </c>
      <c r="F2667" s="26" t="s">
        <v>23600</v>
      </c>
      <c r="G2667" s="27" t="s">
        <v>7808</v>
      </c>
      <c r="H2667" s="28" t="s">
        <v>7809</v>
      </c>
      <c r="I2667" s="5" t="s">
        <v>624</v>
      </c>
    </row>
    <row r="2668" spans="1:9" ht="51.75" customHeight="1">
      <c r="A2668" s="5" t="s">
        <v>26265</v>
      </c>
      <c r="B2668" s="5" t="s">
        <v>30792</v>
      </c>
      <c r="C2668" s="5" t="s">
        <v>30793</v>
      </c>
      <c r="D2668" s="246" t="s">
        <v>68</v>
      </c>
      <c r="E2668" s="5" t="s">
        <v>30794</v>
      </c>
      <c r="F2668" s="26" t="s">
        <v>23600</v>
      </c>
      <c r="G2668" s="27" t="s">
        <v>7947</v>
      </c>
      <c r="H2668" s="28" t="s">
        <v>7948</v>
      </c>
      <c r="I2668" s="5" t="s">
        <v>624</v>
      </c>
    </row>
    <row r="2669" spans="1:9" ht="51.75" customHeight="1">
      <c r="A2669" s="5" t="s">
        <v>26250</v>
      </c>
      <c r="B2669" s="5" t="s">
        <v>30795</v>
      </c>
      <c r="C2669" s="5" t="s">
        <v>30793</v>
      </c>
      <c r="D2669" s="246" t="s">
        <v>68</v>
      </c>
      <c r="E2669" s="5" t="s">
        <v>30796</v>
      </c>
      <c r="F2669" s="26" t="s">
        <v>23600</v>
      </c>
      <c r="G2669" s="27" t="s">
        <v>7947</v>
      </c>
      <c r="H2669" s="28" t="s">
        <v>7948</v>
      </c>
      <c r="I2669" s="5" t="s">
        <v>624</v>
      </c>
    </row>
    <row r="2670" spans="1:9" ht="51.75" customHeight="1">
      <c r="A2670" s="5" t="s">
        <v>26255</v>
      </c>
      <c r="B2670" s="5" t="s">
        <v>30797</v>
      </c>
      <c r="C2670" s="5" t="s">
        <v>30798</v>
      </c>
      <c r="D2670" s="246" t="s">
        <v>68</v>
      </c>
      <c r="E2670" s="5" t="s">
        <v>30799</v>
      </c>
      <c r="F2670" s="26" t="s">
        <v>23600</v>
      </c>
      <c r="G2670" s="27" t="s">
        <v>7947</v>
      </c>
      <c r="H2670" s="28" t="s">
        <v>7948</v>
      </c>
      <c r="I2670" s="5" t="s">
        <v>624</v>
      </c>
    </row>
    <row r="2671" spans="1:9" ht="51.75" customHeight="1">
      <c r="A2671" s="5" t="s">
        <v>26259</v>
      </c>
      <c r="B2671" s="5" t="s">
        <v>30800</v>
      </c>
      <c r="C2671" s="5" t="s">
        <v>30798</v>
      </c>
      <c r="D2671" s="246" t="s">
        <v>68</v>
      </c>
      <c r="E2671" s="5" t="s">
        <v>30801</v>
      </c>
      <c r="F2671" s="26" t="s">
        <v>23600</v>
      </c>
      <c r="G2671" s="27" t="s">
        <v>8064</v>
      </c>
      <c r="H2671" s="28" t="s">
        <v>8065</v>
      </c>
      <c r="I2671" s="5" t="s">
        <v>624</v>
      </c>
    </row>
    <row r="2672" spans="1:9" ht="51.75" customHeight="1">
      <c r="A2672" s="5" t="s">
        <v>25938</v>
      </c>
      <c r="B2672" s="5" t="s">
        <v>30802</v>
      </c>
      <c r="C2672" s="5" t="s">
        <v>30803</v>
      </c>
      <c r="D2672" s="246" t="s">
        <v>68</v>
      </c>
      <c r="E2672" s="5" t="s">
        <v>30804</v>
      </c>
      <c r="F2672" s="26" t="s">
        <v>23600</v>
      </c>
      <c r="G2672" s="27" t="s">
        <v>8064</v>
      </c>
      <c r="H2672" s="28" t="s">
        <v>8065</v>
      </c>
      <c r="I2672" s="5" t="s">
        <v>624</v>
      </c>
    </row>
    <row r="2673" spans="1:9" ht="51.75" customHeight="1">
      <c r="A2673" s="5" t="s">
        <v>27211</v>
      </c>
      <c r="B2673" s="5" t="s">
        <v>30805</v>
      </c>
      <c r="C2673" s="5" t="s">
        <v>30806</v>
      </c>
      <c r="D2673" s="246" t="s">
        <v>68</v>
      </c>
      <c r="E2673" s="5" t="s">
        <v>30807</v>
      </c>
      <c r="F2673" s="26" t="s">
        <v>23600</v>
      </c>
      <c r="G2673" s="27" t="s">
        <v>8049</v>
      </c>
      <c r="H2673" s="28" t="s">
        <v>8050</v>
      </c>
      <c r="I2673" s="5" t="s">
        <v>624</v>
      </c>
    </row>
    <row r="2674" spans="1:9" ht="51.75" customHeight="1">
      <c r="A2674" s="5" t="s">
        <v>27094</v>
      </c>
      <c r="B2674" s="5" t="s">
        <v>30808</v>
      </c>
      <c r="C2674" s="5"/>
      <c r="D2674" s="246" t="s">
        <v>68</v>
      </c>
      <c r="E2674" s="5" t="s">
        <v>30809</v>
      </c>
      <c r="F2674" s="26" t="s">
        <v>23600</v>
      </c>
      <c r="G2674" s="27" t="s">
        <v>8110</v>
      </c>
      <c r="H2674" s="28" t="s">
        <v>8111</v>
      </c>
      <c r="I2674" s="5" t="s">
        <v>624</v>
      </c>
    </row>
    <row r="2675" spans="1:9" ht="51.75" customHeight="1">
      <c r="A2675" s="5" t="s">
        <v>27100</v>
      </c>
      <c r="B2675" s="5" t="s">
        <v>30810</v>
      </c>
      <c r="C2675" s="5"/>
      <c r="D2675" s="246" t="s">
        <v>68</v>
      </c>
      <c r="E2675" s="5" t="s">
        <v>30811</v>
      </c>
      <c r="F2675" s="26" t="s">
        <v>23600</v>
      </c>
      <c r="G2675" s="27" t="s">
        <v>8110</v>
      </c>
      <c r="H2675" s="28" t="s">
        <v>8111</v>
      </c>
      <c r="I2675" s="5" t="s">
        <v>624</v>
      </c>
    </row>
    <row r="2676" spans="1:9" ht="51.75" customHeight="1">
      <c r="A2676" s="5" t="s">
        <v>25316</v>
      </c>
      <c r="B2676" s="5" t="s">
        <v>30812</v>
      </c>
      <c r="C2676" s="5"/>
      <c r="D2676" s="246" t="s">
        <v>68</v>
      </c>
      <c r="E2676" s="5" t="s">
        <v>30813</v>
      </c>
      <c r="F2676" s="26" t="s">
        <v>23600</v>
      </c>
      <c r="G2676" s="27" t="s">
        <v>8110</v>
      </c>
      <c r="H2676" s="28" t="s">
        <v>8111</v>
      </c>
      <c r="I2676" s="5" t="s">
        <v>624</v>
      </c>
    </row>
    <row r="2677" spans="1:9" ht="51.75" customHeight="1">
      <c r="A2677" s="5" t="s">
        <v>27119</v>
      </c>
      <c r="B2677" s="5" t="s">
        <v>30814</v>
      </c>
      <c r="C2677" s="5"/>
      <c r="D2677" s="246" t="s">
        <v>68</v>
      </c>
      <c r="E2677" s="5" t="s">
        <v>30801</v>
      </c>
      <c r="F2677" s="26" t="s">
        <v>23600</v>
      </c>
      <c r="G2677" s="27" t="s">
        <v>8081</v>
      </c>
      <c r="H2677" s="28" t="s">
        <v>8082</v>
      </c>
      <c r="I2677" s="5" t="s">
        <v>624</v>
      </c>
    </row>
    <row r="2678" spans="1:9" ht="51.75" customHeight="1">
      <c r="A2678" s="5" t="s">
        <v>27106</v>
      </c>
      <c r="B2678" s="5" t="s">
        <v>30815</v>
      </c>
      <c r="C2678" s="5"/>
      <c r="D2678" s="246" t="s">
        <v>68</v>
      </c>
      <c r="E2678" s="5" t="s">
        <v>30804</v>
      </c>
      <c r="F2678" s="26" t="s">
        <v>23600</v>
      </c>
      <c r="G2678" s="27" t="s">
        <v>8081</v>
      </c>
      <c r="H2678" s="28" t="s">
        <v>8082</v>
      </c>
      <c r="I2678" s="5" t="s">
        <v>624</v>
      </c>
    </row>
    <row r="2679" spans="1:9" ht="51.75" customHeight="1">
      <c r="A2679" s="5" t="s">
        <v>26531</v>
      </c>
      <c r="B2679" s="5" t="s">
        <v>30816</v>
      </c>
      <c r="C2679" s="5"/>
      <c r="D2679" s="246" t="s">
        <v>68</v>
      </c>
      <c r="E2679" s="5" t="s">
        <v>30817</v>
      </c>
      <c r="F2679" s="26" t="s">
        <v>23600</v>
      </c>
      <c r="G2679" s="27" t="s">
        <v>8360</v>
      </c>
      <c r="H2679" s="28" t="s">
        <v>8361</v>
      </c>
      <c r="I2679" s="5" t="s">
        <v>624</v>
      </c>
    </row>
    <row r="2680" spans="1:9" ht="51.75" customHeight="1">
      <c r="A2680" s="5" t="s">
        <v>27211</v>
      </c>
      <c r="B2680" s="5" t="s">
        <v>30818</v>
      </c>
      <c r="C2680" s="5" t="s">
        <v>30819</v>
      </c>
      <c r="D2680" s="246" t="s">
        <v>68</v>
      </c>
      <c r="E2680" s="5" t="s">
        <v>30819</v>
      </c>
      <c r="F2680" s="26" t="s">
        <v>23600</v>
      </c>
      <c r="G2680" s="27" t="s">
        <v>9379</v>
      </c>
      <c r="H2680" s="28" t="s">
        <v>9380</v>
      </c>
      <c r="I2680" s="5" t="s">
        <v>624</v>
      </c>
    </row>
    <row r="2681" spans="1:9" ht="51.75" customHeight="1">
      <c r="A2681" s="5" t="s">
        <v>27217</v>
      </c>
      <c r="B2681" s="5" t="s">
        <v>30820</v>
      </c>
      <c r="C2681" s="5" t="s">
        <v>30821</v>
      </c>
      <c r="D2681" s="246" t="s">
        <v>68</v>
      </c>
      <c r="E2681" s="5" t="s">
        <v>30821</v>
      </c>
      <c r="F2681" s="26" t="s">
        <v>23600</v>
      </c>
      <c r="G2681" s="27" t="s">
        <v>9379</v>
      </c>
      <c r="H2681" s="28" t="s">
        <v>9380</v>
      </c>
      <c r="I2681" s="5" t="s">
        <v>624</v>
      </c>
    </row>
    <row r="2682" spans="1:9" ht="51.75" customHeight="1">
      <c r="A2682" s="5" t="s">
        <v>23748</v>
      </c>
      <c r="B2682" s="5" t="s">
        <v>30822</v>
      </c>
      <c r="C2682" s="5" t="s">
        <v>30823</v>
      </c>
      <c r="D2682" s="246" t="s">
        <v>68</v>
      </c>
      <c r="E2682" s="5" t="s">
        <v>30823</v>
      </c>
      <c r="F2682" s="26" t="s">
        <v>23600</v>
      </c>
      <c r="G2682" s="27" t="s">
        <v>9379</v>
      </c>
      <c r="H2682" s="28" t="s">
        <v>9380</v>
      </c>
      <c r="I2682" s="5" t="s">
        <v>624</v>
      </c>
    </row>
    <row r="2683" spans="1:9" ht="51.75" customHeight="1">
      <c r="A2683" s="5" t="s">
        <v>30115</v>
      </c>
      <c r="B2683" s="5" t="s">
        <v>30824</v>
      </c>
      <c r="C2683" s="5" t="s">
        <v>30825</v>
      </c>
      <c r="D2683" s="246" t="s">
        <v>68</v>
      </c>
      <c r="E2683" s="5" t="s">
        <v>30825</v>
      </c>
      <c r="F2683" s="26" t="s">
        <v>23600</v>
      </c>
      <c r="G2683" s="27" t="s">
        <v>9670</v>
      </c>
      <c r="H2683" s="28" t="s">
        <v>9671</v>
      </c>
      <c r="I2683" s="5" t="s">
        <v>624</v>
      </c>
    </row>
    <row r="2684" spans="1:9" ht="51.75" customHeight="1">
      <c r="A2684" s="5" t="s">
        <v>30826</v>
      </c>
      <c r="B2684" s="5" t="s">
        <v>30827</v>
      </c>
      <c r="C2684" s="5" t="s">
        <v>30828</v>
      </c>
      <c r="D2684" s="246" t="s">
        <v>68</v>
      </c>
      <c r="E2684" s="5" t="s">
        <v>30829</v>
      </c>
      <c r="F2684" s="26" t="s">
        <v>23600</v>
      </c>
      <c r="G2684" s="27" t="s">
        <v>9670</v>
      </c>
      <c r="H2684" s="28" t="s">
        <v>9671</v>
      </c>
      <c r="I2684" s="5" t="s">
        <v>624</v>
      </c>
    </row>
    <row r="2685" spans="1:9" ht="51.75" customHeight="1">
      <c r="A2685" s="5" t="s">
        <v>24975</v>
      </c>
      <c r="B2685" s="5" t="s">
        <v>30830</v>
      </c>
      <c r="C2685" s="5" t="s">
        <v>30831</v>
      </c>
      <c r="D2685" s="246" t="s">
        <v>68</v>
      </c>
      <c r="E2685" s="5" t="s">
        <v>30831</v>
      </c>
      <c r="F2685" s="26" t="s">
        <v>23600</v>
      </c>
      <c r="G2685" s="27" t="s">
        <v>10233</v>
      </c>
      <c r="H2685" s="28" t="s">
        <v>10234</v>
      </c>
      <c r="I2685" s="5" t="s">
        <v>624</v>
      </c>
    </row>
    <row r="2686" spans="1:9" ht="51.75" customHeight="1">
      <c r="A2686" s="5" t="s">
        <v>24487</v>
      </c>
      <c r="B2686" s="5" t="s">
        <v>30832</v>
      </c>
      <c r="C2686" s="5" t="s">
        <v>30833</v>
      </c>
      <c r="D2686" s="246" t="s">
        <v>68</v>
      </c>
      <c r="E2686" s="5" t="s">
        <v>30834</v>
      </c>
      <c r="F2686" s="26" t="s">
        <v>23600</v>
      </c>
      <c r="G2686" s="27" t="s">
        <v>11494</v>
      </c>
      <c r="H2686" s="28" t="s">
        <v>11495</v>
      </c>
      <c r="I2686" s="5" t="s">
        <v>624</v>
      </c>
    </row>
    <row r="2687" spans="1:9" ht="51.75" customHeight="1">
      <c r="A2687" s="5" t="s">
        <v>24491</v>
      </c>
      <c r="B2687" s="5" t="s">
        <v>30835</v>
      </c>
      <c r="C2687" s="5" t="s">
        <v>30793</v>
      </c>
      <c r="D2687" s="246" t="s">
        <v>68</v>
      </c>
      <c r="E2687" s="5" t="s">
        <v>30836</v>
      </c>
      <c r="F2687" s="26" t="s">
        <v>23600</v>
      </c>
      <c r="G2687" s="27" t="s">
        <v>11494</v>
      </c>
      <c r="H2687" s="28" t="s">
        <v>11495</v>
      </c>
      <c r="I2687" s="5" t="s">
        <v>624</v>
      </c>
    </row>
    <row r="2688" spans="1:9" ht="51.75" customHeight="1">
      <c r="A2688" s="5" t="s">
        <v>26828</v>
      </c>
      <c r="B2688" s="5" t="s">
        <v>30837</v>
      </c>
      <c r="C2688" s="5" t="s">
        <v>30838</v>
      </c>
      <c r="D2688" s="246" t="s">
        <v>68</v>
      </c>
      <c r="E2688" s="5" t="s">
        <v>30839</v>
      </c>
      <c r="F2688" s="26" t="s">
        <v>23600</v>
      </c>
      <c r="G2688" s="27" t="s">
        <v>11535</v>
      </c>
      <c r="H2688" s="28" t="s">
        <v>11536</v>
      </c>
      <c r="I2688" s="5" t="s">
        <v>624</v>
      </c>
    </row>
    <row r="2689" spans="1:9" ht="51.75" customHeight="1">
      <c r="A2689" s="5" t="s">
        <v>23724</v>
      </c>
      <c r="B2689" s="5" t="s">
        <v>30840</v>
      </c>
      <c r="C2689" s="5" t="s">
        <v>30841</v>
      </c>
      <c r="D2689" s="246" t="s">
        <v>68</v>
      </c>
      <c r="E2689" s="5" t="s">
        <v>30842</v>
      </c>
      <c r="F2689" s="26" t="s">
        <v>23600</v>
      </c>
      <c r="G2689" s="27" t="s">
        <v>11535</v>
      </c>
      <c r="H2689" s="28" t="s">
        <v>11536</v>
      </c>
      <c r="I2689" s="5" t="s">
        <v>624</v>
      </c>
    </row>
    <row r="2690" spans="1:9" ht="51.75" customHeight="1">
      <c r="A2690" s="5" t="s">
        <v>23692</v>
      </c>
      <c r="B2690" s="5" t="s">
        <v>30843</v>
      </c>
      <c r="C2690" s="5" t="s">
        <v>30844</v>
      </c>
      <c r="D2690" s="246" t="s">
        <v>68</v>
      </c>
      <c r="E2690" s="5" t="s">
        <v>30845</v>
      </c>
      <c r="F2690" s="26" t="s">
        <v>23600</v>
      </c>
      <c r="G2690" s="27" t="s">
        <v>11535</v>
      </c>
      <c r="H2690" s="28" t="s">
        <v>11536</v>
      </c>
      <c r="I2690" s="5" t="s">
        <v>624</v>
      </c>
    </row>
    <row r="2691" spans="1:9" ht="51.75" customHeight="1">
      <c r="A2691" s="5" t="s">
        <v>23601</v>
      </c>
      <c r="B2691" s="5" t="s">
        <v>30846</v>
      </c>
      <c r="C2691" s="5" t="s">
        <v>30847</v>
      </c>
      <c r="D2691" s="246" t="s">
        <v>68</v>
      </c>
      <c r="E2691" s="5" t="s">
        <v>30848</v>
      </c>
      <c r="F2691" s="26" t="s">
        <v>23600</v>
      </c>
      <c r="G2691" s="27" t="s">
        <v>11535</v>
      </c>
      <c r="H2691" s="28" t="s">
        <v>11536</v>
      </c>
      <c r="I2691" s="5" t="s">
        <v>624</v>
      </c>
    </row>
    <row r="2692" spans="1:9" ht="51.75" customHeight="1">
      <c r="A2692" s="5" t="s">
        <v>26848</v>
      </c>
      <c r="B2692" s="5" t="s">
        <v>30849</v>
      </c>
      <c r="C2692" s="5" t="s">
        <v>30850</v>
      </c>
      <c r="D2692" s="246" t="s">
        <v>68</v>
      </c>
      <c r="E2692" s="5" t="s">
        <v>30851</v>
      </c>
      <c r="F2692" s="26" t="s">
        <v>23600</v>
      </c>
      <c r="G2692" s="27" t="s">
        <v>11675</v>
      </c>
      <c r="H2692" s="28" t="s">
        <v>11676</v>
      </c>
      <c r="I2692" s="5" t="s">
        <v>624</v>
      </c>
    </row>
    <row r="2693" spans="1:9" ht="51.75" customHeight="1">
      <c r="A2693" s="5" t="s">
        <v>24725</v>
      </c>
      <c r="B2693" s="5" t="s">
        <v>30852</v>
      </c>
      <c r="C2693" s="5" t="s">
        <v>30853</v>
      </c>
      <c r="D2693" s="246" t="s">
        <v>68</v>
      </c>
      <c r="E2693" s="5" t="s">
        <v>30854</v>
      </c>
      <c r="F2693" s="26" t="s">
        <v>23600</v>
      </c>
      <c r="G2693" s="27" t="s">
        <v>11679</v>
      </c>
      <c r="H2693" s="28" t="s">
        <v>11680</v>
      </c>
      <c r="I2693" s="5" t="s">
        <v>624</v>
      </c>
    </row>
    <row r="2694" spans="1:9" ht="51.75" customHeight="1">
      <c r="A2694" s="5" t="s">
        <v>24624</v>
      </c>
      <c r="B2694" s="5" t="s">
        <v>30855</v>
      </c>
      <c r="C2694" s="5" t="s">
        <v>30850</v>
      </c>
      <c r="D2694" s="246" t="s">
        <v>68</v>
      </c>
      <c r="E2694" s="5" t="s">
        <v>30851</v>
      </c>
      <c r="F2694" s="26" t="s">
        <v>23600</v>
      </c>
      <c r="G2694" s="27" t="s">
        <v>11694</v>
      </c>
      <c r="H2694" s="28" t="s">
        <v>11695</v>
      </c>
      <c r="I2694" s="5" t="s">
        <v>624</v>
      </c>
    </row>
    <row r="2695" spans="1:9" ht="51.75" customHeight="1">
      <c r="A2695" s="5" t="s">
        <v>27078</v>
      </c>
      <c r="B2695" s="5" t="s">
        <v>30856</v>
      </c>
      <c r="C2695" s="5" t="s">
        <v>30857</v>
      </c>
      <c r="D2695" s="246" t="s">
        <v>68</v>
      </c>
      <c r="E2695" s="5" t="s">
        <v>30858</v>
      </c>
      <c r="F2695" s="26" t="s">
        <v>23600</v>
      </c>
      <c r="G2695" s="27" t="s">
        <v>11829</v>
      </c>
      <c r="H2695" s="28" t="s">
        <v>11830</v>
      </c>
      <c r="I2695" s="5" t="s">
        <v>624</v>
      </c>
    </row>
    <row r="2696" spans="1:9" ht="51.75" customHeight="1">
      <c r="A2696" s="5" t="s">
        <v>27119</v>
      </c>
      <c r="B2696" s="5" t="s">
        <v>30859</v>
      </c>
      <c r="C2696" s="5" t="s">
        <v>30860</v>
      </c>
      <c r="D2696" s="246" t="s">
        <v>68</v>
      </c>
      <c r="E2696" s="5" t="s">
        <v>30861</v>
      </c>
      <c r="F2696" s="26" t="s">
        <v>23600</v>
      </c>
      <c r="G2696" s="27" t="s">
        <v>11829</v>
      </c>
      <c r="H2696" s="28" t="s">
        <v>11830</v>
      </c>
      <c r="I2696" s="5" t="s">
        <v>624</v>
      </c>
    </row>
    <row r="2697" spans="1:9" ht="51.75" customHeight="1">
      <c r="A2697" s="5" t="s">
        <v>27106</v>
      </c>
      <c r="B2697" s="5" t="s">
        <v>30862</v>
      </c>
      <c r="C2697" s="5" t="s">
        <v>30863</v>
      </c>
      <c r="D2697" s="246" t="s">
        <v>68</v>
      </c>
      <c r="E2697" s="5" t="s">
        <v>30864</v>
      </c>
      <c r="F2697" s="26" t="s">
        <v>23600</v>
      </c>
      <c r="G2697" s="27" t="s">
        <v>11829</v>
      </c>
      <c r="H2697" s="28" t="s">
        <v>11830</v>
      </c>
      <c r="I2697" s="5" t="s">
        <v>624</v>
      </c>
    </row>
    <row r="2698" spans="1:9" ht="51.75" customHeight="1">
      <c r="A2698" s="5" t="s">
        <v>27109</v>
      </c>
      <c r="B2698" s="5" t="s">
        <v>30865</v>
      </c>
      <c r="C2698" s="5" t="s">
        <v>30866</v>
      </c>
      <c r="D2698" s="246" t="s">
        <v>68</v>
      </c>
      <c r="E2698" s="5" t="s">
        <v>30867</v>
      </c>
      <c r="F2698" s="26" t="s">
        <v>23600</v>
      </c>
      <c r="G2698" s="27" t="s">
        <v>11829</v>
      </c>
      <c r="H2698" s="28" t="s">
        <v>11830</v>
      </c>
      <c r="I2698" s="5" t="s">
        <v>624</v>
      </c>
    </row>
    <row r="2699" spans="1:9" ht="51.75" customHeight="1">
      <c r="A2699" s="5" t="s">
        <v>23888</v>
      </c>
      <c r="B2699" s="5" t="s">
        <v>30868</v>
      </c>
      <c r="C2699" s="5" t="s">
        <v>30869</v>
      </c>
      <c r="D2699" s="246" t="s">
        <v>68</v>
      </c>
      <c r="E2699" s="5" t="s">
        <v>30870</v>
      </c>
      <c r="F2699" s="26" t="s">
        <v>23600</v>
      </c>
      <c r="G2699" s="27" t="s">
        <v>11829</v>
      </c>
      <c r="H2699" s="28" t="s">
        <v>11830</v>
      </c>
      <c r="I2699" s="5" t="s">
        <v>624</v>
      </c>
    </row>
    <row r="2700" spans="1:9" ht="51.75" customHeight="1">
      <c r="A2700" s="5" t="s">
        <v>24389</v>
      </c>
      <c r="B2700" s="5" t="s">
        <v>30871</v>
      </c>
      <c r="C2700" s="5" t="s">
        <v>30872</v>
      </c>
      <c r="D2700" s="246" t="s">
        <v>68</v>
      </c>
      <c r="E2700" s="5" t="s">
        <v>30873</v>
      </c>
      <c r="F2700" s="26" t="s">
        <v>23600</v>
      </c>
      <c r="G2700" s="27" t="s">
        <v>11829</v>
      </c>
      <c r="H2700" s="28" t="s">
        <v>11830</v>
      </c>
      <c r="I2700" s="5" t="s">
        <v>624</v>
      </c>
    </row>
    <row r="2701" spans="1:9" ht="51.75" customHeight="1">
      <c r="A2701" s="5" t="s">
        <v>26087</v>
      </c>
      <c r="B2701" s="5" t="s">
        <v>30874</v>
      </c>
      <c r="C2701" s="5" t="s">
        <v>30875</v>
      </c>
      <c r="D2701" s="246" t="s">
        <v>68</v>
      </c>
      <c r="E2701" s="5" t="s">
        <v>30876</v>
      </c>
      <c r="F2701" s="26" t="s">
        <v>23600</v>
      </c>
      <c r="G2701" s="27" t="s">
        <v>11829</v>
      </c>
      <c r="H2701" s="28" t="s">
        <v>11830</v>
      </c>
      <c r="I2701" s="5" t="s">
        <v>624</v>
      </c>
    </row>
    <row r="2702" spans="1:9" ht="51.75" customHeight="1">
      <c r="A2702" s="5" t="s">
        <v>26092</v>
      </c>
      <c r="B2702" s="5" t="s">
        <v>30877</v>
      </c>
      <c r="C2702" s="5" t="s">
        <v>30878</v>
      </c>
      <c r="D2702" s="246" t="s">
        <v>68</v>
      </c>
      <c r="E2702" s="5" t="s">
        <v>30879</v>
      </c>
      <c r="F2702" s="26" t="s">
        <v>23600</v>
      </c>
      <c r="G2702" s="27" t="s">
        <v>11829</v>
      </c>
      <c r="H2702" s="28" t="s">
        <v>11830</v>
      </c>
      <c r="I2702" s="5" t="s">
        <v>624</v>
      </c>
    </row>
    <row r="2703" spans="1:9" ht="51.75" customHeight="1">
      <c r="A2703" s="5" t="s">
        <v>26064</v>
      </c>
      <c r="B2703" s="5" t="s">
        <v>30880</v>
      </c>
      <c r="C2703" s="5" t="s">
        <v>30881</v>
      </c>
      <c r="D2703" s="246" t="s">
        <v>68</v>
      </c>
      <c r="E2703" s="5" t="s">
        <v>30882</v>
      </c>
      <c r="F2703" s="26" t="s">
        <v>23600</v>
      </c>
      <c r="G2703" s="27" t="s">
        <v>13032</v>
      </c>
      <c r="H2703" s="28" t="s">
        <v>13033</v>
      </c>
      <c r="I2703" s="5" t="s">
        <v>624</v>
      </c>
    </row>
    <row r="2704" spans="1:9" ht="51.75" customHeight="1">
      <c r="A2704" s="5" t="s">
        <v>26074</v>
      </c>
      <c r="B2704" s="5" t="s">
        <v>30883</v>
      </c>
      <c r="C2704" s="5" t="s">
        <v>30884</v>
      </c>
      <c r="D2704" s="246" t="s">
        <v>68</v>
      </c>
      <c r="E2704" s="5" t="s">
        <v>30885</v>
      </c>
      <c r="F2704" s="26" t="s">
        <v>23600</v>
      </c>
      <c r="G2704" s="27" t="s">
        <v>13143</v>
      </c>
      <c r="H2704" s="28" t="s">
        <v>13144</v>
      </c>
      <c r="I2704" s="5" t="s">
        <v>624</v>
      </c>
    </row>
    <row r="2705" spans="1:9" ht="51.75" customHeight="1">
      <c r="A2705" s="5" t="s">
        <v>23888</v>
      </c>
      <c r="B2705" s="5" t="s">
        <v>30886</v>
      </c>
      <c r="C2705" s="5" t="s">
        <v>30887</v>
      </c>
      <c r="D2705" s="246" t="s">
        <v>68</v>
      </c>
      <c r="E2705" s="5" t="s">
        <v>30888</v>
      </c>
      <c r="F2705" s="26" t="s">
        <v>23600</v>
      </c>
      <c r="G2705" s="27" t="s">
        <v>13143</v>
      </c>
      <c r="H2705" s="28" t="s">
        <v>13144</v>
      </c>
      <c r="I2705" s="5" t="s">
        <v>624</v>
      </c>
    </row>
    <row r="2706" spans="1:9" ht="51.75" customHeight="1">
      <c r="A2706" s="5" t="s">
        <v>24385</v>
      </c>
      <c r="B2706" s="5" t="s">
        <v>30889</v>
      </c>
      <c r="C2706" s="5" t="s">
        <v>30890</v>
      </c>
      <c r="D2706" s="246" t="s">
        <v>68</v>
      </c>
      <c r="E2706" s="5" t="s">
        <v>30891</v>
      </c>
      <c r="F2706" s="26" t="s">
        <v>23600</v>
      </c>
      <c r="G2706" s="27" t="s">
        <v>13143</v>
      </c>
      <c r="H2706" s="28" t="s">
        <v>13144</v>
      </c>
      <c r="I2706" s="5" t="s">
        <v>624</v>
      </c>
    </row>
    <row r="2707" spans="1:9" ht="51.75" customHeight="1">
      <c r="A2707" s="5" t="s">
        <v>24389</v>
      </c>
      <c r="B2707" s="5" t="s">
        <v>30892</v>
      </c>
      <c r="C2707" s="5" t="s">
        <v>30893</v>
      </c>
      <c r="D2707" s="246" t="s">
        <v>68</v>
      </c>
      <c r="E2707" s="5" t="s">
        <v>30894</v>
      </c>
      <c r="F2707" s="26" t="s">
        <v>23600</v>
      </c>
      <c r="G2707" s="27" t="s">
        <v>13143</v>
      </c>
      <c r="H2707" s="28" t="s">
        <v>13144</v>
      </c>
      <c r="I2707" s="5" t="s">
        <v>624</v>
      </c>
    </row>
    <row r="2708" spans="1:9" ht="51.75" customHeight="1">
      <c r="A2708" s="5" t="s">
        <v>25953</v>
      </c>
      <c r="B2708" s="5" t="s">
        <v>30895</v>
      </c>
      <c r="C2708" s="5" t="s">
        <v>30896</v>
      </c>
      <c r="D2708" s="246" t="s">
        <v>68</v>
      </c>
      <c r="E2708" s="5" t="s">
        <v>30897</v>
      </c>
      <c r="F2708" s="26" t="s">
        <v>23600</v>
      </c>
      <c r="G2708" s="27" t="s">
        <v>12999</v>
      </c>
      <c r="H2708" s="28" t="s">
        <v>13000</v>
      </c>
      <c r="I2708" s="5" t="s">
        <v>624</v>
      </c>
    </row>
    <row r="2709" spans="1:9" ht="51.75" customHeight="1">
      <c r="A2709" s="5" t="s">
        <v>28914</v>
      </c>
      <c r="B2709" s="5" t="s">
        <v>30898</v>
      </c>
      <c r="C2709" s="5" t="s">
        <v>30899</v>
      </c>
      <c r="D2709" s="246" t="s">
        <v>68</v>
      </c>
      <c r="E2709" s="5" t="s">
        <v>30900</v>
      </c>
      <c r="F2709" s="26" t="s">
        <v>23600</v>
      </c>
      <c r="G2709" s="27" t="s">
        <v>12999</v>
      </c>
      <c r="H2709" s="28" t="s">
        <v>13000</v>
      </c>
      <c r="I2709" s="5" t="s">
        <v>624</v>
      </c>
    </row>
    <row r="2710" spans="1:9" ht="51.75" customHeight="1">
      <c r="A2710" s="5" t="s">
        <v>25958</v>
      </c>
      <c r="B2710" s="5" t="s">
        <v>30901</v>
      </c>
      <c r="C2710" s="5" t="s">
        <v>30902</v>
      </c>
      <c r="D2710" s="246" t="s">
        <v>68</v>
      </c>
      <c r="E2710" s="5" t="s">
        <v>30903</v>
      </c>
      <c r="F2710" s="26" t="s">
        <v>23600</v>
      </c>
      <c r="G2710" s="27" t="s">
        <v>12999</v>
      </c>
      <c r="H2710" s="28" t="s">
        <v>13000</v>
      </c>
      <c r="I2710" s="5" t="s">
        <v>624</v>
      </c>
    </row>
    <row r="2711" spans="1:9" ht="51.75" customHeight="1">
      <c r="A2711" s="5" t="s">
        <v>30904</v>
      </c>
      <c r="B2711" s="5" t="s">
        <v>30905</v>
      </c>
      <c r="C2711" s="5" t="s">
        <v>30906</v>
      </c>
      <c r="D2711" s="246" t="s">
        <v>68</v>
      </c>
      <c r="E2711" s="5" t="s">
        <v>30907</v>
      </c>
      <c r="F2711" s="26" t="s">
        <v>23600</v>
      </c>
      <c r="G2711" s="27" t="s">
        <v>13369</v>
      </c>
      <c r="H2711" s="28" t="s">
        <v>13370</v>
      </c>
      <c r="I2711" s="5" t="s">
        <v>624</v>
      </c>
    </row>
    <row r="2712" spans="1:9" ht="51.75" customHeight="1">
      <c r="A2712" s="5" t="s">
        <v>26537</v>
      </c>
      <c r="B2712" s="5" t="s">
        <v>30908</v>
      </c>
      <c r="C2712" s="5" t="s">
        <v>30909</v>
      </c>
      <c r="D2712" s="246" t="s">
        <v>68</v>
      </c>
      <c r="E2712" s="5" t="s">
        <v>30910</v>
      </c>
      <c r="F2712" s="26" t="s">
        <v>23600</v>
      </c>
      <c r="G2712" s="27" t="s">
        <v>14616</v>
      </c>
      <c r="H2712" s="28" t="s">
        <v>14617</v>
      </c>
      <c r="I2712" s="5" t="s">
        <v>624</v>
      </c>
    </row>
    <row r="2713" spans="1:9" ht="51.75" customHeight="1">
      <c r="A2713" s="5" t="s">
        <v>23810</v>
      </c>
      <c r="B2713" s="5" t="s">
        <v>30911</v>
      </c>
      <c r="C2713" s="5" t="s">
        <v>30912</v>
      </c>
      <c r="D2713" s="246" t="s">
        <v>68</v>
      </c>
      <c r="E2713" s="5" t="s">
        <v>30913</v>
      </c>
      <c r="F2713" s="26" t="s">
        <v>23600</v>
      </c>
      <c r="G2713" s="27" t="s">
        <v>14546</v>
      </c>
      <c r="H2713" s="28" t="s">
        <v>14547</v>
      </c>
      <c r="I2713" s="5" t="s">
        <v>624</v>
      </c>
    </row>
    <row r="2714" spans="1:9" ht="51.75" customHeight="1">
      <c r="A2714" s="5" t="s">
        <v>24599</v>
      </c>
      <c r="B2714" s="5" t="s">
        <v>30914</v>
      </c>
      <c r="C2714" s="5" t="s">
        <v>30915</v>
      </c>
      <c r="D2714" s="246" t="s">
        <v>68</v>
      </c>
      <c r="E2714" s="5" t="s">
        <v>30916</v>
      </c>
      <c r="F2714" s="26" t="s">
        <v>23600</v>
      </c>
      <c r="G2714" s="27" t="s">
        <v>14546</v>
      </c>
      <c r="H2714" s="28" t="s">
        <v>14547</v>
      </c>
      <c r="I2714" s="5" t="s">
        <v>624</v>
      </c>
    </row>
    <row r="2715" spans="1:9" ht="51.75" customHeight="1">
      <c r="A2715" s="5" t="s">
        <v>29896</v>
      </c>
      <c r="B2715" s="5" t="s">
        <v>30917</v>
      </c>
      <c r="C2715" s="5" t="s">
        <v>30918</v>
      </c>
      <c r="D2715" s="246" t="s">
        <v>68</v>
      </c>
      <c r="E2715" s="5" t="s">
        <v>30919</v>
      </c>
      <c r="F2715" s="26" t="s">
        <v>23600</v>
      </c>
      <c r="G2715" s="27" t="s">
        <v>14797</v>
      </c>
      <c r="H2715" s="28" t="s">
        <v>14798</v>
      </c>
      <c r="I2715" s="5" t="s">
        <v>624</v>
      </c>
    </row>
    <row r="2716" spans="1:9" ht="51.75" customHeight="1">
      <c r="A2716" s="5" t="s">
        <v>27440</v>
      </c>
      <c r="B2716" s="5" t="s">
        <v>30920</v>
      </c>
      <c r="C2716" s="5" t="s">
        <v>30921</v>
      </c>
      <c r="D2716" s="246" t="s">
        <v>68</v>
      </c>
      <c r="E2716" s="5" t="s">
        <v>30922</v>
      </c>
      <c r="F2716" s="26" t="s">
        <v>23600</v>
      </c>
      <c r="G2716" s="27" t="s">
        <v>14797</v>
      </c>
      <c r="H2716" s="28" t="s">
        <v>14798</v>
      </c>
      <c r="I2716" s="5" t="s">
        <v>624</v>
      </c>
    </row>
    <row r="2717" spans="1:9" ht="51.75" customHeight="1">
      <c r="A2717" s="5" t="s">
        <v>24351</v>
      </c>
      <c r="B2717" s="5" t="s">
        <v>30923</v>
      </c>
      <c r="C2717" s="5" t="s">
        <v>30924</v>
      </c>
      <c r="D2717" s="246" t="s">
        <v>68</v>
      </c>
      <c r="E2717" s="5" t="s">
        <v>30925</v>
      </c>
      <c r="F2717" s="26" t="s">
        <v>23600</v>
      </c>
      <c r="G2717" s="27" t="s">
        <v>15759</v>
      </c>
      <c r="H2717" s="28" t="s">
        <v>15760</v>
      </c>
      <c r="I2717" s="5" t="s">
        <v>624</v>
      </c>
    </row>
    <row r="2718" spans="1:9" ht="51.75" customHeight="1">
      <c r="A2718" s="5" t="s">
        <v>30926</v>
      </c>
      <c r="B2718" s="5" t="s">
        <v>30927</v>
      </c>
      <c r="C2718" s="5" t="s">
        <v>30928</v>
      </c>
      <c r="D2718" s="246" t="s">
        <v>68</v>
      </c>
      <c r="E2718" s="5" t="s">
        <v>30929</v>
      </c>
      <c r="F2718" s="26" t="s">
        <v>23600</v>
      </c>
      <c r="G2718" s="27" t="s">
        <v>16996</v>
      </c>
      <c r="H2718" s="28" t="s">
        <v>16997</v>
      </c>
      <c r="I2718" s="5" t="s">
        <v>624</v>
      </c>
    </row>
    <row r="2719" spans="1:9" ht="51.75" customHeight="1">
      <c r="A2719" s="5" t="s">
        <v>30930</v>
      </c>
      <c r="B2719" s="5" t="s">
        <v>30931</v>
      </c>
      <c r="C2719" s="5" t="s">
        <v>30932</v>
      </c>
      <c r="D2719" s="246" t="s">
        <v>68</v>
      </c>
      <c r="E2719" s="5" t="s">
        <v>30933</v>
      </c>
      <c r="F2719" s="26" t="s">
        <v>23600</v>
      </c>
      <c r="G2719" s="27" t="s">
        <v>16904</v>
      </c>
      <c r="H2719" s="28" t="s">
        <v>16905</v>
      </c>
      <c r="I2719" s="5" t="s">
        <v>624</v>
      </c>
    </row>
    <row r="2720" spans="1:9" ht="51.75" customHeight="1">
      <c r="A2720" s="5" t="s">
        <v>26686</v>
      </c>
      <c r="B2720" s="5" t="s">
        <v>30934</v>
      </c>
      <c r="C2720" s="5" t="s">
        <v>30935</v>
      </c>
      <c r="D2720" s="246">
        <v>42300</v>
      </c>
      <c r="E2720" s="5" t="s">
        <v>30936</v>
      </c>
      <c r="F2720" s="26" t="s">
        <v>30937</v>
      </c>
      <c r="G2720" s="27" t="s">
        <v>10013</v>
      </c>
      <c r="H2720" s="28" t="s">
        <v>10014</v>
      </c>
      <c r="I2720" s="5" t="s">
        <v>30938</v>
      </c>
    </row>
    <row r="2721" spans="1:9" ht="51.75" customHeight="1">
      <c r="A2721" s="5" t="s">
        <v>26686</v>
      </c>
      <c r="B2721" s="5" t="s">
        <v>30939</v>
      </c>
      <c r="C2721" s="5" t="s">
        <v>30935</v>
      </c>
      <c r="D2721" s="246">
        <v>42300</v>
      </c>
      <c r="E2721" s="5" t="s">
        <v>30940</v>
      </c>
      <c r="F2721" s="26" t="s">
        <v>23600</v>
      </c>
      <c r="G2721" s="27" t="s">
        <v>10013</v>
      </c>
      <c r="H2721" s="28" t="s">
        <v>10014</v>
      </c>
      <c r="I2721" s="5" t="s">
        <v>30938</v>
      </c>
    </row>
    <row r="2722" spans="1:9" ht="51.75" customHeight="1">
      <c r="A2722" s="5" t="s">
        <v>23744</v>
      </c>
      <c r="B2722" s="5" t="s">
        <v>30941</v>
      </c>
      <c r="C2722" s="5" t="s">
        <v>30942</v>
      </c>
      <c r="D2722" s="246">
        <v>41995</v>
      </c>
      <c r="E2722" s="5" t="s">
        <v>30943</v>
      </c>
      <c r="F2722" s="26" t="s">
        <v>30937</v>
      </c>
      <c r="G2722" s="27" t="s">
        <v>10091</v>
      </c>
      <c r="H2722" s="28" t="s">
        <v>10092</v>
      </c>
      <c r="I2722" s="5" t="s">
        <v>30938</v>
      </c>
    </row>
    <row r="2723" spans="1:9" ht="51.75" customHeight="1">
      <c r="A2723" s="5" t="s">
        <v>23744</v>
      </c>
      <c r="B2723" s="5" t="s">
        <v>30944</v>
      </c>
      <c r="C2723" s="5" t="s">
        <v>30942</v>
      </c>
      <c r="D2723" s="246">
        <v>41995</v>
      </c>
      <c r="E2723" s="5" t="s">
        <v>30945</v>
      </c>
      <c r="F2723" s="26" t="s">
        <v>23600</v>
      </c>
      <c r="G2723" s="27" t="s">
        <v>10091</v>
      </c>
      <c r="H2723" s="28" t="s">
        <v>10092</v>
      </c>
      <c r="I2723" s="5" t="s">
        <v>30938</v>
      </c>
    </row>
    <row r="2724" spans="1:9" ht="51.75" customHeight="1">
      <c r="A2724" s="5" t="s">
        <v>30290</v>
      </c>
      <c r="B2724" s="5" t="s">
        <v>30946</v>
      </c>
      <c r="C2724" s="5" t="s">
        <v>30947</v>
      </c>
      <c r="D2724" s="246">
        <v>42142</v>
      </c>
      <c r="E2724" s="5" t="s">
        <v>30948</v>
      </c>
      <c r="F2724" s="26" t="s">
        <v>23600</v>
      </c>
      <c r="G2724" s="27" t="s">
        <v>10289</v>
      </c>
      <c r="H2724" s="28" t="s">
        <v>10290</v>
      </c>
      <c r="I2724" s="5" t="s">
        <v>30938</v>
      </c>
    </row>
    <row r="2725" spans="1:9" ht="51.75" customHeight="1">
      <c r="A2725" s="5" t="s">
        <v>26074</v>
      </c>
      <c r="B2725" s="5" t="s">
        <v>30949</v>
      </c>
      <c r="C2725" s="5" t="s">
        <v>30950</v>
      </c>
      <c r="D2725" s="246">
        <v>42438</v>
      </c>
      <c r="E2725" s="5" t="s">
        <v>30951</v>
      </c>
      <c r="F2725" s="26" t="s">
        <v>23600</v>
      </c>
      <c r="G2725" s="27" t="s">
        <v>10325</v>
      </c>
      <c r="H2725" s="28" t="s">
        <v>10326</v>
      </c>
      <c r="I2725" s="5" t="s">
        <v>30938</v>
      </c>
    </row>
    <row r="2726" spans="1:9" ht="51.75" customHeight="1">
      <c r="A2726" s="5" t="s">
        <v>26074</v>
      </c>
      <c r="B2726" s="5" t="s">
        <v>30952</v>
      </c>
      <c r="C2726" s="5" t="s">
        <v>30950</v>
      </c>
      <c r="D2726" s="246">
        <v>42438</v>
      </c>
      <c r="E2726" s="5" t="s">
        <v>30953</v>
      </c>
      <c r="F2726" s="26" t="s">
        <v>30937</v>
      </c>
      <c r="G2726" s="27" t="s">
        <v>10325</v>
      </c>
      <c r="H2726" s="28" t="s">
        <v>10326</v>
      </c>
      <c r="I2726" s="5" t="s">
        <v>30938</v>
      </c>
    </row>
    <row r="2727" spans="1:9" ht="51.75" customHeight="1">
      <c r="A2727" s="5" t="s">
        <v>25141</v>
      </c>
      <c r="B2727" s="5" t="s">
        <v>30954</v>
      </c>
      <c r="C2727" s="5" t="s">
        <v>30955</v>
      </c>
      <c r="D2727" s="246">
        <v>42101</v>
      </c>
      <c r="E2727" s="5" t="s">
        <v>30956</v>
      </c>
      <c r="F2727" s="26" t="s">
        <v>23600</v>
      </c>
      <c r="G2727" s="27" t="s">
        <v>10355</v>
      </c>
      <c r="H2727" s="28" t="s">
        <v>10356</v>
      </c>
      <c r="I2727" s="5" t="s">
        <v>30938</v>
      </c>
    </row>
    <row r="2728" spans="1:9" ht="51.75" customHeight="1">
      <c r="A2728" s="5" t="s">
        <v>25145</v>
      </c>
      <c r="B2728" s="5" t="s">
        <v>30957</v>
      </c>
      <c r="C2728" s="5" t="s">
        <v>30958</v>
      </c>
      <c r="D2728" s="246">
        <v>42101</v>
      </c>
      <c r="E2728" s="5" t="s">
        <v>30959</v>
      </c>
      <c r="F2728" s="26" t="s">
        <v>23600</v>
      </c>
      <c r="G2728" s="27" t="s">
        <v>10355</v>
      </c>
      <c r="H2728" s="28" t="s">
        <v>10356</v>
      </c>
      <c r="I2728" s="5" t="s">
        <v>30938</v>
      </c>
    </row>
    <row r="2729" spans="1:9" ht="51.75" customHeight="1">
      <c r="A2729" s="5" t="s">
        <v>26952</v>
      </c>
      <c r="B2729" s="5" t="s">
        <v>30960</v>
      </c>
      <c r="C2729" s="5" t="s">
        <v>30961</v>
      </c>
      <c r="D2729" s="246">
        <v>42101</v>
      </c>
      <c r="E2729" s="5" t="s">
        <v>30962</v>
      </c>
      <c r="F2729" s="26" t="s">
        <v>23600</v>
      </c>
      <c r="G2729" s="27" t="s">
        <v>10355</v>
      </c>
      <c r="H2729" s="28" t="s">
        <v>10356</v>
      </c>
      <c r="I2729" s="5" t="s">
        <v>30938</v>
      </c>
    </row>
    <row r="2730" spans="1:9" ht="51.75" customHeight="1">
      <c r="A2730" s="5" t="s">
        <v>26958</v>
      </c>
      <c r="B2730" s="5" t="s">
        <v>30963</v>
      </c>
      <c r="C2730" s="5" t="s">
        <v>30964</v>
      </c>
      <c r="D2730" s="246">
        <v>42101</v>
      </c>
      <c r="E2730" s="5" t="s">
        <v>30965</v>
      </c>
      <c r="F2730" s="26" t="s">
        <v>23600</v>
      </c>
      <c r="G2730" s="27" t="s">
        <v>10355</v>
      </c>
      <c r="H2730" s="28" t="s">
        <v>10356</v>
      </c>
      <c r="I2730" s="5" t="s">
        <v>30938</v>
      </c>
    </row>
    <row r="2731" spans="1:9" ht="51.75" customHeight="1">
      <c r="A2731" s="5" t="s">
        <v>26606</v>
      </c>
      <c r="B2731" s="5" t="s">
        <v>30966</v>
      </c>
      <c r="C2731" s="5" t="s">
        <v>30967</v>
      </c>
      <c r="D2731" s="246">
        <v>42377</v>
      </c>
      <c r="E2731" s="5" t="s">
        <v>30968</v>
      </c>
      <c r="F2731" s="26" t="s">
        <v>30937</v>
      </c>
      <c r="G2731" s="27" t="s">
        <v>10539</v>
      </c>
      <c r="H2731" s="28" t="s">
        <v>10540</v>
      </c>
      <c r="I2731" s="5" t="s">
        <v>30938</v>
      </c>
    </row>
    <row r="2732" spans="1:9" ht="51.75" customHeight="1">
      <c r="A2732" s="5" t="s">
        <v>26606</v>
      </c>
      <c r="B2732" s="5" t="s">
        <v>30969</v>
      </c>
      <c r="C2732" s="5" t="s">
        <v>30967</v>
      </c>
      <c r="D2732" s="246">
        <v>42377</v>
      </c>
      <c r="E2732" s="5" t="s">
        <v>30970</v>
      </c>
      <c r="F2732" s="26" t="s">
        <v>23600</v>
      </c>
      <c r="G2732" s="27" t="s">
        <v>10539</v>
      </c>
      <c r="H2732" s="28" t="s">
        <v>10540</v>
      </c>
      <c r="I2732" s="5" t="s">
        <v>30938</v>
      </c>
    </row>
    <row r="2733" spans="1:9" ht="51.75" customHeight="1">
      <c r="A2733" s="5" t="s">
        <v>23946</v>
      </c>
      <c r="B2733" s="5" t="s">
        <v>30971</v>
      </c>
      <c r="C2733" s="5" t="s">
        <v>30972</v>
      </c>
      <c r="D2733" s="246">
        <v>42368</v>
      </c>
      <c r="E2733" s="5" t="s">
        <v>30973</v>
      </c>
      <c r="F2733" s="26" t="s">
        <v>30937</v>
      </c>
      <c r="G2733" s="27" t="s">
        <v>10795</v>
      </c>
      <c r="H2733" s="28" t="s">
        <v>10796</v>
      </c>
      <c r="I2733" s="5" t="s">
        <v>30938</v>
      </c>
    </row>
    <row r="2734" spans="1:9" ht="51.75" customHeight="1">
      <c r="A2734" s="5" t="s">
        <v>23946</v>
      </c>
      <c r="B2734" s="5" t="s">
        <v>30974</v>
      </c>
      <c r="C2734" s="5" t="s">
        <v>30972</v>
      </c>
      <c r="D2734" s="246">
        <v>42368</v>
      </c>
      <c r="E2734" s="5" t="s">
        <v>30975</v>
      </c>
      <c r="F2734" s="26" t="s">
        <v>23600</v>
      </c>
      <c r="G2734" s="27" t="s">
        <v>10795</v>
      </c>
      <c r="H2734" s="28" t="s">
        <v>10796</v>
      </c>
      <c r="I2734" s="5" t="s">
        <v>30938</v>
      </c>
    </row>
    <row r="2735" spans="1:9" ht="51.75" customHeight="1">
      <c r="A2735" s="5" t="s">
        <v>23623</v>
      </c>
      <c r="B2735" s="5" t="s">
        <v>30976</v>
      </c>
      <c r="C2735" s="5" t="s">
        <v>30977</v>
      </c>
      <c r="D2735" s="246">
        <v>42426</v>
      </c>
      <c r="E2735" s="5" t="s">
        <v>30978</v>
      </c>
      <c r="F2735" s="26" t="s">
        <v>23600</v>
      </c>
      <c r="G2735" s="27" t="s">
        <v>10519</v>
      </c>
      <c r="H2735" s="28" t="s">
        <v>10520</v>
      </c>
      <c r="I2735" s="5" t="s">
        <v>30938</v>
      </c>
    </row>
    <row r="2736" spans="1:9" ht="51.75" customHeight="1">
      <c r="A2736" s="5" t="s">
        <v>23623</v>
      </c>
      <c r="B2736" s="5" t="s">
        <v>30979</v>
      </c>
      <c r="C2736" s="5" t="s">
        <v>30977</v>
      </c>
      <c r="D2736" s="246">
        <v>42426</v>
      </c>
      <c r="E2736" s="5" t="s">
        <v>30980</v>
      </c>
      <c r="F2736" s="26" t="s">
        <v>30937</v>
      </c>
      <c r="G2736" s="27" t="s">
        <v>10519</v>
      </c>
      <c r="H2736" s="28" t="s">
        <v>10520</v>
      </c>
      <c r="I2736" s="5" t="s">
        <v>30938</v>
      </c>
    </row>
    <row r="2737" spans="1:9" ht="51.75" customHeight="1">
      <c r="A2737" s="5" t="s">
        <v>28347</v>
      </c>
      <c r="B2737" s="5" t="s">
        <v>30981</v>
      </c>
      <c r="C2737" s="5" t="s">
        <v>30982</v>
      </c>
      <c r="D2737" s="246">
        <v>42480</v>
      </c>
      <c r="E2737" s="5" t="s">
        <v>30983</v>
      </c>
      <c r="F2737" s="26" t="s">
        <v>30937</v>
      </c>
      <c r="G2737" s="27" t="s">
        <v>10952</v>
      </c>
      <c r="H2737" s="28" t="s">
        <v>10953</v>
      </c>
      <c r="I2737" s="5" t="s">
        <v>30938</v>
      </c>
    </row>
    <row r="2738" spans="1:9" ht="51.75" customHeight="1">
      <c r="A2738" s="5" t="s">
        <v>28347</v>
      </c>
      <c r="B2738" s="5" t="s">
        <v>30984</v>
      </c>
      <c r="C2738" s="5" t="s">
        <v>30982</v>
      </c>
      <c r="D2738" s="246">
        <v>42480</v>
      </c>
      <c r="E2738" s="5" t="s">
        <v>30985</v>
      </c>
      <c r="F2738" s="26" t="s">
        <v>23600</v>
      </c>
      <c r="G2738" s="27" t="s">
        <v>10952</v>
      </c>
      <c r="H2738" s="28" t="s">
        <v>10953</v>
      </c>
      <c r="I2738" s="5" t="s">
        <v>30938</v>
      </c>
    </row>
    <row r="2739" spans="1:9" ht="51.75" customHeight="1">
      <c r="A2739" s="5" t="s">
        <v>28350</v>
      </c>
      <c r="B2739" s="5" t="s">
        <v>30986</v>
      </c>
      <c r="C2739" s="5" t="s">
        <v>30987</v>
      </c>
      <c r="D2739" s="246">
        <v>42480</v>
      </c>
      <c r="E2739" s="5" t="s">
        <v>30988</v>
      </c>
      <c r="F2739" s="26" t="s">
        <v>30937</v>
      </c>
      <c r="G2739" s="27" t="s">
        <v>10952</v>
      </c>
      <c r="H2739" s="28" t="s">
        <v>10953</v>
      </c>
      <c r="I2739" s="5" t="s">
        <v>30938</v>
      </c>
    </row>
    <row r="2740" spans="1:9" ht="51.75" customHeight="1">
      <c r="A2740" s="5" t="s">
        <v>28350</v>
      </c>
      <c r="B2740" s="5" t="s">
        <v>30989</v>
      </c>
      <c r="C2740" s="5" t="s">
        <v>30987</v>
      </c>
      <c r="D2740" s="246">
        <v>42480</v>
      </c>
      <c r="E2740" s="5" t="s">
        <v>30990</v>
      </c>
      <c r="F2740" s="26" t="s">
        <v>23600</v>
      </c>
      <c r="G2740" s="27" t="s">
        <v>10952</v>
      </c>
      <c r="H2740" s="28" t="s">
        <v>10953</v>
      </c>
      <c r="I2740" s="5" t="s">
        <v>30938</v>
      </c>
    </row>
    <row r="2741" spans="1:9" ht="51.75" customHeight="1">
      <c r="A2741" s="5" t="s">
        <v>23596</v>
      </c>
      <c r="B2741" s="5" t="s">
        <v>30991</v>
      </c>
      <c r="C2741" s="5" t="s">
        <v>30992</v>
      </c>
      <c r="D2741" s="246">
        <v>42480</v>
      </c>
      <c r="E2741" s="5" t="s">
        <v>30993</v>
      </c>
      <c r="F2741" s="26" t="s">
        <v>30937</v>
      </c>
      <c r="G2741" s="27" t="s">
        <v>10952</v>
      </c>
      <c r="H2741" s="28" t="s">
        <v>10953</v>
      </c>
      <c r="I2741" s="5" t="s">
        <v>30938</v>
      </c>
    </row>
    <row r="2742" spans="1:9" ht="51.75" customHeight="1">
      <c r="A2742" s="5" t="s">
        <v>23596</v>
      </c>
      <c r="B2742" s="5" t="s">
        <v>30994</v>
      </c>
      <c r="C2742" s="5" t="s">
        <v>30992</v>
      </c>
      <c r="D2742" s="246">
        <v>42480</v>
      </c>
      <c r="E2742" s="5" t="s">
        <v>30995</v>
      </c>
      <c r="F2742" s="26" t="s">
        <v>23600</v>
      </c>
      <c r="G2742" s="27" t="s">
        <v>10952</v>
      </c>
      <c r="H2742" s="28" t="s">
        <v>10953</v>
      </c>
      <c r="I2742" s="5" t="s">
        <v>30938</v>
      </c>
    </row>
    <row r="2743" spans="1:9" ht="51.75" customHeight="1">
      <c r="A2743" s="5" t="s">
        <v>26290</v>
      </c>
      <c r="B2743" s="5" t="s">
        <v>30996</v>
      </c>
      <c r="C2743" s="5" t="s">
        <v>30997</v>
      </c>
      <c r="D2743" s="246">
        <v>42480</v>
      </c>
      <c r="E2743" s="5" t="s">
        <v>30998</v>
      </c>
      <c r="F2743" s="26" t="s">
        <v>30937</v>
      </c>
      <c r="G2743" s="27" t="s">
        <v>10952</v>
      </c>
      <c r="H2743" s="28" t="s">
        <v>10953</v>
      </c>
      <c r="I2743" s="5" t="s">
        <v>30938</v>
      </c>
    </row>
    <row r="2744" spans="1:9" ht="51.75" customHeight="1">
      <c r="A2744" s="5" t="s">
        <v>26290</v>
      </c>
      <c r="B2744" s="5" t="s">
        <v>30999</v>
      </c>
      <c r="C2744" s="5" t="s">
        <v>30997</v>
      </c>
      <c r="D2744" s="246">
        <v>42480</v>
      </c>
      <c r="E2744" s="5" t="s">
        <v>31000</v>
      </c>
      <c r="F2744" s="26" t="s">
        <v>23600</v>
      </c>
      <c r="G2744" s="27" t="s">
        <v>10952</v>
      </c>
      <c r="H2744" s="28" t="s">
        <v>10953</v>
      </c>
      <c r="I2744" s="5" t="s">
        <v>30938</v>
      </c>
    </row>
    <row r="2745" spans="1:9" ht="51.75" customHeight="1">
      <c r="A2745" s="5" t="s">
        <v>30214</v>
      </c>
      <c r="B2745" s="5" t="s">
        <v>31001</v>
      </c>
      <c r="C2745" s="5" t="s">
        <v>31002</v>
      </c>
      <c r="D2745" s="246">
        <v>42480</v>
      </c>
      <c r="E2745" s="5" t="s">
        <v>31003</v>
      </c>
      <c r="F2745" s="26" t="s">
        <v>30937</v>
      </c>
      <c r="G2745" s="27" t="s">
        <v>10952</v>
      </c>
      <c r="H2745" s="28" t="s">
        <v>10953</v>
      </c>
      <c r="I2745" s="5" t="s">
        <v>30938</v>
      </c>
    </row>
    <row r="2746" spans="1:9" ht="51.75" customHeight="1">
      <c r="A2746" s="5" t="s">
        <v>30214</v>
      </c>
      <c r="B2746" s="5" t="s">
        <v>31004</v>
      </c>
      <c r="C2746" s="5" t="s">
        <v>31002</v>
      </c>
      <c r="D2746" s="246">
        <v>42480</v>
      </c>
      <c r="E2746" s="5" t="s">
        <v>31005</v>
      </c>
      <c r="F2746" s="26" t="s">
        <v>23600</v>
      </c>
      <c r="G2746" s="27" t="s">
        <v>10952</v>
      </c>
      <c r="H2746" s="28" t="s">
        <v>10953</v>
      </c>
      <c r="I2746" s="5" t="s">
        <v>30938</v>
      </c>
    </row>
    <row r="2747" spans="1:9" ht="51.75" customHeight="1">
      <c r="A2747" s="5" t="s">
        <v>24987</v>
      </c>
      <c r="B2747" s="5" t="s">
        <v>31006</v>
      </c>
      <c r="C2747" s="5" t="s">
        <v>31007</v>
      </c>
      <c r="D2747" s="246">
        <v>42753</v>
      </c>
      <c r="E2747" s="5" t="s">
        <v>31008</v>
      </c>
      <c r="F2747" s="26" t="s">
        <v>30937</v>
      </c>
      <c r="G2747" s="27" t="s">
        <v>11339</v>
      </c>
      <c r="H2747" s="28" t="s">
        <v>11340</v>
      </c>
      <c r="I2747" s="5" t="s">
        <v>30938</v>
      </c>
    </row>
    <row r="2748" spans="1:9" ht="51.75" customHeight="1">
      <c r="A2748" s="5" t="s">
        <v>24987</v>
      </c>
      <c r="B2748" s="5" t="s">
        <v>31009</v>
      </c>
      <c r="C2748" s="5" t="s">
        <v>31007</v>
      </c>
      <c r="D2748" s="246">
        <v>42753</v>
      </c>
      <c r="E2748" s="5" t="s">
        <v>31010</v>
      </c>
      <c r="F2748" s="26" t="s">
        <v>23600</v>
      </c>
      <c r="G2748" s="27" t="s">
        <v>11339</v>
      </c>
      <c r="H2748" s="28" t="s">
        <v>11340</v>
      </c>
      <c r="I2748" s="5" t="s">
        <v>30938</v>
      </c>
    </row>
    <row r="2749" spans="1:9" ht="51.75" customHeight="1">
      <c r="A2749" s="5" t="s">
        <v>29896</v>
      </c>
      <c r="B2749" s="5" t="s">
        <v>31011</v>
      </c>
      <c r="C2749" s="5" t="s">
        <v>31012</v>
      </c>
      <c r="D2749" s="246">
        <v>42625</v>
      </c>
      <c r="E2749" s="5" t="s">
        <v>31013</v>
      </c>
      <c r="F2749" s="26" t="s">
        <v>23600</v>
      </c>
      <c r="G2749" s="27" t="s">
        <v>11402</v>
      </c>
      <c r="H2749" s="28" t="s">
        <v>11403</v>
      </c>
      <c r="I2749" s="5" t="s">
        <v>30938</v>
      </c>
    </row>
    <row r="2750" spans="1:9" ht="51.75" customHeight="1">
      <c r="A2750" s="5" t="s">
        <v>29896</v>
      </c>
      <c r="B2750" s="5" t="s">
        <v>31014</v>
      </c>
      <c r="C2750" s="5" t="s">
        <v>31012</v>
      </c>
      <c r="D2750" s="246">
        <v>42625</v>
      </c>
      <c r="E2750" s="5" t="s">
        <v>31015</v>
      </c>
      <c r="F2750" s="26" t="s">
        <v>30937</v>
      </c>
      <c r="G2750" s="27" t="s">
        <v>11402</v>
      </c>
      <c r="H2750" s="28" t="s">
        <v>11403</v>
      </c>
      <c r="I2750" s="5" t="s">
        <v>30938</v>
      </c>
    </row>
    <row r="2751" spans="1:9" ht="51.75" customHeight="1">
      <c r="A2751" s="5" t="s">
        <v>27440</v>
      </c>
      <c r="B2751" s="5" t="s">
        <v>31016</v>
      </c>
      <c r="C2751" s="5" t="s">
        <v>31017</v>
      </c>
      <c r="D2751" s="246">
        <v>42625</v>
      </c>
      <c r="E2751" s="5" t="s">
        <v>31018</v>
      </c>
      <c r="F2751" s="26" t="s">
        <v>23600</v>
      </c>
      <c r="G2751" s="27" t="s">
        <v>11402</v>
      </c>
      <c r="H2751" s="28" t="s">
        <v>11403</v>
      </c>
      <c r="I2751" s="5" t="s">
        <v>30938</v>
      </c>
    </row>
    <row r="2752" spans="1:9" ht="51.75" customHeight="1">
      <c r="A2752" s="5" t="s">
        <v>27440</v>
      </c>
      <c r="B2752" s="5" t="s">
        <v>31019</v>
      </c>
      <c r="C2752" s="5" t="s">
        <v>31017</v>
      </c>
      <c r="D2752" s="246">
        <v>42625</v>
      </c>
      <c r="E2752" s="5" t="s">
        <v>31020</v>
      </c>
      <c r="F2752" s="26" t="s">
        <v>30937</v>
      </c>
      <c r="G2752" s="27" t="s">
        <v>11402</v>
      </c>
      <c r="H2752" s="28" t="s">
        <v>11403</v>
      </c>
      <c r="I2752" s="5" t="s">
        <v>30938</v>
      </c>
    </row>
    <row r="2753" spans="1:9" ht="51.75" customHeight="1">
      <c r="A2753" s="5" t="s">
        <v>24704</v>
      </c>
      <c r="B2753" s="5" t="s">
        <v>31021</v>
      </c>
      <c r="C2753" s="5" t="s">
        <v>31022</v>
      </c>
      <c r="D2753" s="246">
        <v>42625</v>
      </c>
      <c r="E2753" s="5" t="s">
        <v>31023</v>
      </c>
      <c r="F2753" s="26" t="s">
        <v>30937</v>
      </c>
      <c r="G2753" s="27" t="s">
        <v>11402</v>
      </c>
      <c r="H2753" s="28" t="s">
        <v>11403</v>
      </c>
      <c r="I2753" s="5" t="s">
        <v>30938</v>
      </c>
    </row>
    <row r="2754" spans="1:9" ht="51.75" customHeight="1">
      <c r="A2754" s="5" t="s">
        <v>24704</v>
      </c>
      <c r="B2754" s="5" t="s">
        <v>31024</v>
      </c>
      <c r="C2754" s="5" t="s">
        <v>31022</v>
      </c>
      <c r="D2754" s="246">
        <v>42625</v>
      </c>
      <c r="E2754" s="5" t="s">
        <v>31025</v>
      </c>
      <c r="F2754" s="26" t="s">
        <v>23600</v>
      </c>
      <c r="G2754" s="27" t="s">
        <v>11402</v>
      </c>
      <c r="H2754" s="28" t="s">
        <v>11403</v>
      </c>
      <c r="I2754" s="5" t="s">
        <v>30938</v>
      </c>
    </row>
    <row r="2755" spans="1:9" ht="51.75" customHeight="1">
      <c r="A2755" s="5" t="s">
        <v>30014</v>
      </c>
      <c r="B2755" s="5" t="s">
        <v>31026</v>
      </c>
      <c r="C2755" s="5" t="s">
        <v>31027</v>
      </c>
      <c r="D2755" s="246">
        <v>42625</v>
      </c>
      <c r="E2755" s="5" t="s">
        <v>31028</v>
      </c>
      <c r="F2755" s="26" t="s">
        <v>30937</v>
      </c>
      <c r="G2755" s="27" t="s">
        <v>11402</v>
      </c>
      <c r="H2755" s="28" t="s">
        <v>11403</v>
      </c>
      <c r="I2755" s="5" t="s">
        <v>30938</v>
      </c>
    </row>
    <row r="2756" spans="1:9" ht="51.75" customHeight="1">
      <c r="A2756" s="5" t="s">
        <v>30014</v>
      </c>
      <c r="B2756" s="5" t="s">
        <v>31029</v>
      </c>
      <c r="C2756" s="5" t="s">
        <v>31027</v>
      </c>
      <c r="D2756" s="246">
        <v>42625</v>
      </c>
      <c r="E2756" s="5" t="s">
        <v>31030</v>
      </c>
      <c r="F2756" s="26" t="s">
        <v>23600</v>
      </c>
      <c r="G2756" s="27" t="s">
        <v>11402</v>
      </c>
      <c r="H2756" s="28" t="s">
        <v>11403</v>
      </c>
      <c r="I2756" s="5" t="s">
        <v>30938</v>
      </c>
    </row>
    <row r="2757" spans="1:9" ht="51.75" customHeight="1">
      <c r="A2757" s="5" t="s">
        <v>24708</v>
      </c>
      <c r="B2757" s="5" t="s">
        <v>31031</v>
      </c>
      <c r="C2757" s="5" t="s">
        <v>31032</v>
      </c>
      <c r="D2757" s="246">
        <v>42625</v>
      </c>
      <c r="E2757" s="5" t="s">
        <v>31033</v>
      </c>
      <c r="F2757" s="26" t="s">
        <v>30937</v>
      </c>
      <c r="G2757" s="27" t="s">
        <v>11402</v>
      </c>
      <c r="H2757" s="28" t="s">
        <v>11403</v>
      </c>
      <c r="I2757" s="5" t="s">
        <v>30938</v>
      </c>
    </row>
    <row r="2758" spans="1:9" ht="51.75" customHeight="1">
      <c r="A2758" s="5" t="s">
        <v>24708</v>
      </c>
      <c r="B2758" s="5" t="s">
        <v>31034</v>
      </c>
      <c r="C2758" s="5" t="s">
        <v>31032</v>
      </c>
      <c r="D2758" s="246">
        <v>42625</v>
      </c>
      <c r="E2758" s="5" t="s">
        <v>31035</v>
      </c>
      <c r="F2758" s="26" t="s">
        <v>23600</v>
      </c>
      <c r="G2758" s="27" t="s">
        <v>11402</v>
      </c>
      <c r="H2758" s="28" t="s">
        <v>11403</v>
      </c>
      <c r="I2758" s="5" t="s">
        <v>30938</v>
      </c>
    </row>
    <row r="2759" spans="1:9" ht="51.75" customHeight="1">
      <c r="A2759" s="5" t="s">
        <v>26549</v>
      </c>
      <c r="B2759" s="5" t="s">
        <v>31036</v>
      </c>
      <c r="C2759" s="5" t="s">
        <v>31037</v>
      </c>
      <c r="D2759" s="246">
        <v>42835</v>
      </c>
      <c r="E2759" s="5" t="s">
        <v>31038</v>
      </c>
      <c r="F2759" s="26" t="s">
        <v>30937</v>
      </c>
      <c r="G2759" s="27" t="s">
        <v>12005</v>
      </c>
      <c r="H2759" s="28" t="s">
        <v>12006</v>
      </c>
      <c r="I2759" s="5" t="s">
        <v>30938</v>
      </c>
    </row>
    <row r="2760" spans="1:9" ht="51.75" customHeight="1">
      <c r="A2760" s="5" t="s">
        <v>26549</v>
      </c>
      <c r="B2760" s="5" t="s">
        <v>31039</v>
      </c>
      <c r="C2760" s="5" t="s">
        <v>31037</v>
      </c>
      <c r="D2760" s="246">
        <v>42835</v>
      </c>
      <c r="E2760" s="5" t="s">
        <v>31040</v>
      </c>
      <c r="F2760" s="26" t="s">
        <v>23600</v>
      </c>
      <c r="G2760" s="27" t="s">
        <v>12005</v>
      </c>
      <c r="H2760" s="28" t="s">
        <v>12006</v>
      </c>
      <c r="I2760" s="5" t="s">
        <v>30938</v>
      </c>
    </row>
    <row r="2761" spans="1:9" ht="51.75" customHeight="1">
      <c r="A2761" s="5" t="s">
        <v>26555</v>
      </c>
      <c r="B2761" s="5" t="s">
        <v>31041</v>
      </c>
      <c r="C2761" s="5" t="s">
        <v>31042</v>
      </c>
      <c r="D2761" s="246">
        <v>42835</v>
      </c>
      <c r="E2761" s="5" t="s">
        <v>31043</v>
      </c>
      <c r="F2761" s="26" t="s">
        <v>30937</v>
      </c>
      <c r="G2761" s="27" t="s">
        <v>12005</v>
      </c>
      <c r="H2761" s="28" t="s">
        <v>12006</v>
      </c>
      <c r="I2761" s="5" t="s">
        <v>30938</v>
      </c>
    </row>
    <row r="2762" spans="1:9" ht="51.75" customHeight="1">
      <c r="A2762" s="5" t="s">
        <v>26555</v>
      </c>
      <c r="B2762" s="5" t="s">
        <v>31044</v>
      </c>
      <c r="C2762" s="5" t="s">
        <v>31042</v>
      </c>
      <c r="D2762" s="246">
        <v>42835</v>
      </c>
      <c r="E2762" s="5" t="s">
        <v>31045</v>
      </c>
      <c r="F2762" s="26" t="s">
        <v>23600</v>
      </c>
      <c r="G2762" s="27" t="s">
        <v>12005</v>
      </c>
      <c r="H2762" s="28" t="s">
        <v>12006</v>
      </c>
      <c r="I2762" s="5" t="s">
        <v>30938</v>
      </c>
    </row>
    <row r="2763" spans="1:9" ht="51.75" customHeight="1">
      <c r="A2763" s="5" t="s">
        <v>31046</v>
      </c>
      <c r="B2763" s="5" t="s">
        <v>31047</v>
      </c>
      <c r="C2763" s="5" t="s">
        <v>31048</v>
      </c>
      <c r="D2763" s="246">
        <v>42906</v>
      </c>
      <c r="E2763" s="5" t="s">
        <v>31049</v>
      </c>
      <c r="F2763" s="26" t="s">
        <v>30937</v>
      </c>
      <c r="G2763" s="27" t="s">
        <v>12395</v>
      </c>
      <c r="H2763" s="28" t="s">
        <v>12396</v>
      </c>
      <c r="I2763" s="5" t="s">
        <v>30938</v>
      </c>
    </row>
    <row r="2764" spans="1:9" ht="51.75" customHeight="1">
      <c r="A2764" s="5" t="s">
        <v>31046</v>
      </c>
      <c r="B2764" s="5" t="s">
        <v>31050</v>
      </c>
      <c r="C2764" s="5" t="s">
        <v>31048</v>
      </c>
      <c r="D2764" s="246">
        <v>42906</v>
      </c>
      <c r="E2764" s="5" t="s">
        <v>31051</v>
      </c>
      <c r="F2764" s="26" t="s">
        <v>23600</v>
      </c>
      <c r="G2764" s="27" t="s">
        <v>12395</v>
      </c>
      <c r="H2764" s="28" t="s">
        <v>12396</v>
      </c>
      <c r="I2764" s="5" t="s">
        <v>30938</v>
      </c>
    </row>
    <row r="2765" spans="1:9" ht="51.75" customHeight="1">
      <c r="A2765" s="5" t="s">
        <v>25350</v>
      </c>
      <c r="B2765" s="5" t="s">
        <v>31052</v>
      </c>
      <c r="C2765" s="5" t="s">
        <v>31053</v>
      </c>
      <c r="D2765" s="246">
        <v>42978</v>
      </c>
      <c r="E2765" s="5" t="s">
        <v>31054</v>
      </c>
      <c r="F2765" s="26" t="s">
        <v>23600</v>
      </c>
      <c r="G2765" s="27" t="s">
        <v>12604</v>
      </c>
      <c r="H2765" s="28" t="s">
        <v>12605</v>
      </c>
      <c r="I2765" s="5" t="s">
        <v>30938</v>
      </c>
    </row>
    <row r="2766" spans="1:9" ht="51.75" customHeight="1">
      <c r="A2766" s="5" t="s">
        <v>25350</v>
      </c>
      <c r="B2766" s="5" t="s">
        <v>31055</v>
      </c>
      <c r="C2766" s="5" t="s">
        <v>31053</v>
      </c>
      <c r="D2766" s="246">
        <v>42978</v>
      </c>
      <c r="E2766" s="5" t="s">
        <v>31056</v>
      </c>
      <c r="F2766" s="26" t="s">
        <v>30937</v>
      </c>
      <c r="G2766" s="27" t="s">
        <v>12604</v>
      </c>
      <c r="H2766" s="28" t="s">
        <v>12605</v>
      </c>
      <c r="I2766" s="5" t="s">
        <v>30938</v>
      </c>
    </row>
    <row r="2767" spans="1:9" ht="51.75" customHeight="1">
      <c r="A2767" s="5" t="s">
        <v>25365</v>
      </c>
      <c r="B2767" s="5" t="s">
        <v>31057</v>
      </c>
      <c r="C2767" s="5" t="s">
        <v>31058</v>
      </c>
      <c r="D2767" s="246">
        <v>43003</v>
      </c>
      <c r="E2767" s="5" t="s">
        <v>31059</v>
      </c>
      <c r="F2767" s="26" t="s">
        <v>30937</v>
      </c>
      <c r="G2767" s="27" t="s">
        <v>12748</v>
      </c>
      <c r="H2767" s="28" t="s">
        <v>12749</v>
      </c>
      <c r="I2767" s="5" t="s">
        <v>30938</v>
      </c>
    </row>
    <row r="2768" spans="1:9" ht="51.75" customHeight="1">
      <c r="A2768" s="5" t="s">
        <v>25365</v>
      </c>
      <c r="B2768" s="5" t="s">
        <v>31060</v>
      </c>
      <c r="C2768" s="5" t="s">
        <v>31058</v>
      </c>
      <c r="D2768" s="246">
        <v>43003</v>
      </c>
      <c r="E2768" s="5" t="s">
        <v>31061</v>
      </c>
      <c r="F2768" s="26" t="s">
        <v>23600</v>
      </c>
      <c r="G2768" s="27" t="s">
        <v>12748</v>
      </c>
      <c r="H2768" s="28" t="s">
        <v>12749</v>
      </c>
      <c r="I2768" s="5" t="s">
        <v>30938</v>
      </c>
    </row>
    <row r="2769" spans="1:9" ht="51.75" customHeight="1">
      <c r="A2769" s="5" t="s">
        <v>24491</v>
      </c>
      <c r="B2769" s="5" t="s">
        <v>31062</v>
      </c>
      <c r="C2769" s="5" t="s">
        <v>31063</v>
      </c>
      <c r="D2769" s="246">
        <v>43019</v>
      </c>
      <c r="E2769" s="5" t="s">
        <v>31064</v>
      </c>
      <c r="F2769" s="26" t="s">
        <v>30937</v>
      </c>
      <c r="G2769" s="27" t="s">
        <v>12871</v>
      </c>
      <c r="H2769" s="28" t="s">
        <v>12872</v>
      </c>
      <c r="I2769" s="5" t="s">
        <v>30938</v>
      </c>
    </row>
    <row r="2770" spans="1:9" ht="51.75" customHeight="1">
      <c r="A2770" s="5" t="s">
        <v>24491</v>
      </c>
      <c r="B2770" s="5" t="s">
        <v>31065</v>
      </c>
      <c r="C2770" s="5" t="s">
        <v>31063</v>
      </c>
      <c r="D2770" s="246">
        <v>43019</v>
      </c>
      <c r="E2770" s="5" t="s">
        <v>31066</v>
      </c>
      <c r="F2770" s="26" t="s">
        <v>23600</v>
      </c>
      <c r="G2770" s="27" t="s">
        <v>12871</v>
      </c>
      <c r="H2770" s="28" t="s">
        <v>12872</v>
      </c>
      <c r="I2770" s="5" t="s">
        <v>30938</v>
      </c>
    </row>
    <row r="2771" spans="1:9" ht="51.75" customHeight="1">
      <c r="A2771" s="5" t="s">
        <v>24495</v>
      </c>
      <c r="B2771" s="5" t="s">
        <v>31067</v>
      </c>
      <c r="C2771" s="5" t="s">
        <v>31068</v>
      </c>
      <c r="D2771" s="246">
        <v>43019</v>
      </c>
      <c r="E2771" s="5" t="s">
        <v>31069</v>
      </c>
      <c r="F2771" s="26" t="s">
        <v>30937</v>
      </c>
      <c r="G2771" s="27" t="s">
        <v>12871</v>
      </c>
      <c r="H2771" s="28" t="s">
        <v>12872</v>
      </c>
      <c r="I2771" s="5" t="s">
        <v>30938</v>
      </c>
    </row>
    <row r="2772" spans="1:9" ht="51.75" customHeight="1">
      <c r="A2772" s="5" t="s">
        <v>24495</v>
      </c>
      <c r="B2772" s="5" t="s">
        <v>31070</v>
      </c>
      <c r="C2772" s="5" t="s">
        <v>31068</v>
      </c>
      <c r="D2772" s="246">
        <v>43019</v>
      </c>
      <c r="E2772" s="5" t="s">
        <v>31071</v>
      </c>
      <c r="F2772" s="26" t="s">
        <v>23600</v>
      </c>
      <c r="G2772" s="27" t="s">
        <v>12871</v>
      </c>
      <c r="H2772" s="28" t="s">
        <v>12872</v>
      </c>
      <c r="I2772" s="5" t="s">
        <v>30938</v>
      </c>
    </row>
    <row r="2773" spans="1:9" ht="51.75" customHeight="1">
      <c r="A2773" s="5" t="s">
        <v>27020</v>
      </c>
      <c r="B2773" s="5" t="s">
        <v>31072</v>
      </c>
      <c r="C2773" s="5" t="s">
        <v>31073</v>
      </c>
      <c r="D2773" s="246">
        <v>43158</v>
      </c>
      <c r="E2773" s="5" t="s">
        <v>31074</v>
      </c>
      <c r="F2773" s="26" t="s">
        <v>30937</v>
      </c>
      <c r="G2773" s="27" t="s">
        <v>12824</v>
      </c>
      <c r="H2773" s="28" t="s">
        <v>12825</v>
      </c>
      <c r="I2773" s="5" t="s">
        <v>30938</v>
      </c>
    </row>
    <row r="2774" spans="1:9" ht="51.75" customHeight="1">
      <c r="A2774" s="5" t="s">
        <v>27020</v>
      </c>
      <c r="B2774" s="5" t="s">
        <v>31075</v>
      </c>
      <c r="C2774" s="5" t="s">
        <v>31073</v>
      </c>
      <c r="D2774" s="246">
        <v>43158</v>
      </c>
      <c r="E2774" s="5" t="s">
        <v>31076</v>
      </c>
      <c r="F2774" s="26" t="s">
        <v>23600</v>
      </c>
      <c r="G2774" s="27" t="s">
        <v>12824</v>
      </c>
      <c r="H2774" s="28" t="s">
        <v>12825</v>
      </c>
      <c r="I2774" s="5" t="s">
        <v>30938</v>
      </c>
    </row>
    <row r="2775" spans="1:9" ht="51.75" customHeight="1">
      <c r="A2775" s="5" t="s">
        <v>27026</v>
      </c>
      <c r="B2775" s="5" t="s">
        <v>31077</v>
      </c>
      <c r="C2775" s="5" t="s">
        <v>31078</v>
      </c>
      <c r="D2775" s="246">
        <v>43158</v>
      </c>
      <c r="E2775" s="5" t="s">
        <v>31079</v>
      </c>
      <c r="F2775" s="26" t="s">
        <v>30937</v>
      </c>
      <c r="G2775" s="27" t="s">
        <v>12824</v>
      </c>
      <c r="H2775" s="28" t="s">
        <v>12825</v>
      </c>
      <c r="I2775" s="5" t="s">
        <v>30938</v>
      </c>
    </row>
    <row r="2776" spans="1:9" ht="51.75" customHeight="1">
      <c r="A2776" s="5" t="s">
        <v>27026</v>
      </c>
      <c r="B2776" s="5" t="s">
        <v>31080</v>
      </c>
      <c r="C2776" s="5" t="s">
        <v>31078</v>
      </c>
      <c r="D2776" s="246">
        <v>43158</v>
      </c>
      <c r="E2776" s="5" t="s">
        <v>31081</v>
      </c>
      <c r="F2776" s="26" t="s">
        <v>23600</v>
      </c>
      <c r="G2776" s="27" t="s">
        <v>12824</v>
      </c>
      <c r="H2776" s="28" t="s">
        <v>12825</v>
      </c>
      <c r="I2776" s="5" t="s">
        <v>30938</v>
      </c>
    </row>
    <row r="2777" spans="1:9" ht="51.75" customHeight="1">
      <c r="A2777" s="5" t="s">
        <v>27032</v>
      </c>
      <c r="B2777" s="5" t="s">
        <v>31082</v>
      </c>
      <c r="C2777" s="5" t="s">
        <v>31083</v>
      </c>
      <c r="D2777" s="246">
        <v>43158</v>
      </c>
      <c r="E2777" s="5" t="s">
        <v>31084</v>
      </c>
      <c r="F2777" s="26" t="s">
        <v>30937</v>
      </c>
      <c r="G2777" s="27" t="s">
        <v>12824</v>
      </c>
      <c r="H2777" s="28" t="s">
        <v>12825</v>
      </c>
      <c r="I2777" s="5" t="s">
        <v>30938</v>
      </c>
    </row>
    <row r="2778" spans="1:9" ht="51.75" customHeight="1">
      <c r="A2778" s="5" t="s">
        <v>27032</v>
      </c>
      <c r="B2778" s="5" t="s">
        <v>31085</v>
      </c>
      <c r="C2778" s="5" t="s">
        <v>31083</v>
      </c>
      <c r="D2778" s="246">
        <v>43158</v>
      </c>
      <c r="E2778" s="5" t="s">
        <v>31086</v>
      </c>
      <c r="F2778" s="26" t="s">
        <v>23600</v>
      </c>
      <c r="G2778" s="27" t="s">
        <v>12824</v>
      </c>
      <c r="H2778" s="28" t="s">
        <v>12825</v>
      </c>
      <c r="I2778" s="5" t="s">
        <v>30938</v>
      </c>
    </row>
    <row r="2779" spans="1:9" ht="51.75" customHeight="1">
      <c r="A2779" s="5" t="s">
        <v>28119</v>
      </c>
      <c r="B2779" s="5" t="s">
        <v>31087</v>
      </c>
      <c r="C2779" s="5" t="s">
        <v>31088</v>
      </c>
      <c r="D2779" s="246">
        <v>43158</v>
      </c>
      <c r="E2779" s="5" t="s">
        <v>31089</v>
      </c>
      <c r="F2779" s="26" t="s">
        <v>30937</v>
      </c>
      <c r="G2779" s="27" t="s">
        <v>12824</v>
      </c>
      <c r="H2779" s="28" t="s">
        <v>12825</v>
      </c>
      <c r="I2779" s="5" t="s">
        <v>30938</v>
      </c>
    </row>
    <row r="2780" spans="1:9" ht="51.75" customHeight="1">
      <c r="A2780" s="5" t="s">
        <v>28119</v>
      </c>
      <c r="B2780" s="5" t="s">
        <v>31090</v>
      </c>
      <c r="C2780" s="5" t="s">
        <v>31088</v>
      </c>
      <c r="D2780" s="246">
        <v>43158</v>
      </c>
      <c r="E2780" s="5" t="s">
        <v>31091</v>
      </c>
      <c r="F2780" s="26" t="s">
        <v>23600</v>
      </c>
      <c r="G2780" s="27" t="s">
        <v>12824</v>
      </c>
      <c r="H2780" s="28" t="s">
        <v>12825</v>
      </c>
      <c r="I2780" s="5" t="s">
        <v>30938</v>
      </c>
    </row>
    <row r="2781" spans="1:9" ht="51.75" customHeight="1">
      <c r="A2781" s="5" t="s">
        <v>26250</v>
      </c>
      <c r="B2781" s="5" t="s">
        <v>31092</v>
      </c>
      <c r="C2781" s="5" t="s">
        <v>31093</v>
      </c>
      <c r="D2781" s="246">
        <v>43143</v>
      </c>
      <c r="E2781" s="5" t="s">
        <v>31094</v>
      </c>
      <c r="F2781" s="26" t="s">
        <v>30937</v>
      </c>
      <c r="G2781" s="27" t="s">
        <v>13459</v>
      </c>
      <c r="H2781" s="28" t="s">
        <v>13460</v>
      </c>
      <c r="I2781" s="5" t="s">
        <v>30938</v>
      </c>
    </row>
    <row r="2782" spans="1:9" ht="51.75" customHeight="1">
      <c r="A2782" s="5" t="s">
        <v>26250</v>
      </c>
      <c r="B2782" s="5" t="s">
        <v>31095</v>
      </c>
      <c r="C2782" s="5" t="s">
        <v>31093</v>
      </c>
      <c r="D2782" s="246">
        <v>43143</v>
      </c>
      <c r="E2782" s="5" t="s">
        <v>31096</v>
      </c>
      <c r="F2782" s="26" t="s">
        <v>23600</v>
      </c>
      <c r="G2782" s="27" t="s">
        <v>13459</v>
      </c>
      <c r="H2782" s="28" t="s">
        <v>13460</v>
      </c>
      <c r="I2782" s="5" t="s">
        <v>30938</v>
      </c>
    </row>
    <row r="2783" spans="1:9" ht="51.75" customHeight="1">
      <c r="A2783" s="5" t="s">
        <v>26255</v>
      </c>
      <c r="B2783" s="5" t="s">
        <v>31097</v>
      </c>
      <c r="C2783" s="5" t="s">
        <v>31098</v>
      </c>
      <c r="D2783" s="246">
        <v>43143</v>
      </c>
      <c r="E2783" s="5" t="s">
        <v>31099</v>
      </c>
      <c r="F2783" s="26" t="s">
        <v>30937</v>
      </c>
      <c r="G2783" s="27" t="s">
        <v>13459</v>
      </c>
      <c r="H2783" s="28" t="s">
        <v>13460</v>
      </c>
      <c r="I2783" s="5" t="s">
        <v>30938</v>
      </c>
    </row>
    <row r="2784" spans="1:9" ht="51.75" customHeight="1">
      <c r="A2784" s="5" t="s">
        <v>26255</v>
      </c>
      <c r="B2784" s="5" t="s">
        <v>31100</v>
      </c>
      <c r="C2784" s="5" t="s">
        <v>31098</v>
      </c>
      <c r="D2784" s="246">
        <v>43143</v>
      </c>
      <c r="E2784" s="5" t="s">
        <v>31101</v>
      </c>
      <c r="F2784" s="26" t="s">
        <v>23600</v>
      </c>
      <c r="G2784" s="27" t="s">
        <v>13459</v>
      </c>
      <c r="H2784" s="28" t="s">
        <v>13460</v>
      </c>
      <c r="I2784" s="5" t="s">
        <v>30938</v>
      </c>
    </row>
    <row r="2785" spans="1:9" ht="51.75" customHeight="1">
      <c r="A2785" s="5" t="s">
        <v>24538</v>
      </c>
      <c r="B2785" s="5" t="s">
        <v>31102</v>
      </c>
      <c r="C2785" s="5" t="s">
        <v>31103</v>
      </c>
      <c r="D2785" s="246">
        <v>43229</v>
      </c>
      <c r="E2785" s="5" t="s">
        <v>31104</v>
      </c>
      <c r="F2785" s="26" t="s">
        <v>30937</v>
      </c>
      <c r="G2785" s="27" t="s">
        <v>13507</v>
      </c>
      <c r="H2785" s="28" t="s">
        <v>13508</v>
      </c>
      <c r="I2785" s="5" t="s">
        <v>30938</v>
      </c>
    </row>
    <row r="2786" spans="1:9" ht="51.75" customHeight="1">
      <c r="A2786" s="5" t="s">
        <v>24538</v>
      </c>
      <c r="B2786" s="5" t="s">
        <v>31105</v>
      </c>
      <c r="C2786" s="5" t="s">
        <v>31103</v>
      </c>
      <c r="D2786" s="246">
        <v>43229</v>
      </c>
      <c r="E2786" s="5" t="s">
        <v>31106</v>
      </c>
      <c r="F2786" s="26" t="s">
        <v>23600</v>
      </c>
      <c r="G2786" s="27" t="s">
        <v>13507</v>
      </c>
      <c r="H2786" s="28" t="s">
        <v>13508</v>
      </c>
      <c r="I2786" s="5" t="s">
        <v>30938</v>
      </c>
    </row>
    <row r="2787" spans="1:9" ht="51.75" customHeight="1">
      <c r="A2787" s="5" t="s">
        <v>25284</v>
      </c>
      <c r="B2787" s="5" t="s">
        <v>31107</v>
      </c>
      <c r="C2787" s="5" t="s">
        <v>31108</v>
      </c>
      <c r="D2787" s="246">
        <v>43696</v>
      </c>
      <c r="E2787" s="5" t="s">
        <v>31109</v>
      </c>
      <c r="F2787" s="26" t="s">
        <v>30937</v>
      </c>
      <c r="G2787" s="27" t="s">
        <v>15184</v>
      </c>
      <c r="H2787" s="28" t="s">
        <v>15185</v>
      </c>
      <c r="I2787" s="5" t="s">
        <v>30938</v>
      </c>
    </row>
    <row r="2788" spans="1:9" ht="51.75" customHeight="1">
      <c r="A2788" s="5" t="s">
        <v>25284</v>
      </c>
      <c r="B2788" s="5" t="s">
        <v>31110</v>
      </c>
      <c r="C2788" s="5" t="s">
        <v>31108</v>
      </c>
      <c r="D2788" s="246">
        <v>43696</v>
      </c>
      <c r="E2788" s="5" t="s">
        <v>31111</v>
      </c>
      <c r="F2788" s="26" t="s">
        <v>23600</v>
      </c>
      <c r="G2788" s="27" t="s">
        <v>15184</v>
      </c>
      <c r="H2788" s="28" t="s">
        <v>15185</v>
      </c>
      <c r="I2788" s="5" t="s">
        <v>30938</v>
      </c>
    </row>
    <row r="2789" spans="1:9" ht="51.75" customHeight="1">
      <c r="A2789" s="5" t="s">
        <v>23968</v>
      </c>
      <c r="B2789" s="5" t="s">
        <v>31112</v>
      </c>
      <c r="C2789" s="5" t="s">
        <v>31113</v>
      </c>
      <c r="D2789" s="246">
        <v>43696</v>
      </c>
      <c r="E2789" s="5" t="s">
        <v>31114</v>
      </c>
      <c r="F2789" s="26" t="s">
        <v>30937</v>
      </c>
      <c r="G2789" s="27" t="s">
        <v>15184</v>
      </c>
      <c r="H2789" s="28" t="s">
        <v>15185</v>
      </c>
      <c r="I2789" s="5" t="s">
        <v>30938</v>
      </c>
    </row>
    <row r="2790" spans="1:9" ht="51.75" customHeight="1">
      <c r="A2790" s="5" t="s">
        <v>23968</v>
      </c>
      <c r="B2790" s="5" t="s">
        <v>31115</v>
      </c>
      <c r="C2790" s="5" t="s">
        <v>31113</v>
      </c>
      <c r="D2790" s="246">
        <v>43696</v>
      </c>
      <c r="E2790" s="5" t="s">
        <v>31116</v>
      </c>
      <c r="F2790" s="26" t="s">
        <v>23600</v>
      </c>
      <c r="G2790" s="27" t="s">
        <v>15184</v>
      </c>
      <c r="H2790" s="28" t="s">
        <v>15185</v>
      </c>
      <c r="I2790" s="5" t="s">
        <v>30938</v>
      </c>
    </row>
    <row r="2791" spans="1:9" ht="51.75" customHeight="1">
      <c r="A2791" s="5" t="s">
        <v>31117</v>
      </c>
      <c r="B2791" s="5" t="s">
        <v>31118</v>
      </c>
      <c r="C2791" s="5" t="s">
        <v>31119</v>
      </c>
      <c r="D2791" s="246">
        <v>43738</v>
      </c>
      <c r="E2791" s="5" t="s">
        <v>31120</v>
      </c>
      <c r="F2791" s="26" t="s">
        <v>30937</v>
      </c>
      <c r="G2791" s="27" t="s">
        <v>15283</v>
      </c>
      <c r="H2791" s="28" t="s">
        <v>15284</v>
      </c>
      <c r="I2791" s="5" t="s">
        <v>30938</v>
      </c>
    </row>
    <row r="2792" spans="1:9" ht="51.75" customHeight="1">
      <c r="A2792" s="5" t="s">
        <v>31117</v>
      </c>
      <c r="B2792" s="5" t="s">
        <v>31121</v>
      </c>
      <c r="C2792" s="5" t="s">
        <v>31119</v>
      </c>
      <c r="D2792" s="246">
        <v>43738</v>
      </c>
      <c r="E2792" s="5" t="s">
        <v>31122</v>
      </c>
      <c r="F2792" s="26" t="s">
        <v>23600</v>
      </c>
      <c r="G2792" s="27" t="s">
        <v>15283</v>
      </c>
      <c r="H2792" s="28" t="s">
        <v>15284</v>
      </c>
      <c r="I2792" s="5" t="s">
        <v>30938</v>
      </c>
    </row>
    <row r="2793" spans="1:9" ht="51.75" customHeight="1">
      <c r="A2793" s="5" t="s">
        <v>28041</v>
      </c>
      <c r="B2793" s="5" t="s">
        <v>31123</v>
      </c>
      <c r="C2793" s="5" t="s">
        <v>31124</v>
      </c>
      <c r="D2793" s="246">
        <v>44026</v>
      </c>
      <c r="E2793" s="5" t="s">
        <v>31125</v>
      </c>
      <c r="F2793" s="26" t="s">
        <v>30937</v>
      </c>
      <c r="G2793" s="27" t="s">
        <v>15680</v>
      </c>
      <c r="H2793" s="28" t="s">
        <v>15681</v>
      </c>
      <c r="I2793" s="5" t="s">
        <v>30938</v>
      </c>
    </row>
    <row r="2794" spans="1:9" ht="51.75" customHeight="1">
      <c r="A2794" s="5" t="s">
        <v>28041</v>
      </c>
      <c r="B2794" s="5" t="s">
        <v>31126</v>
      </c>
      <c r="C2794" s="5" t="s">
        <v>31124</v>
      </c>
      <c r="D2794" s="246">
        <v>44026</v>
      </c>
      <c r="E2794" s="5" t="s">
        <v>31127</v>
      </c>
      <c r="F2794" s="26" t="s">
        <v>23600</v>
      </c>
      <c r="G2794" s="27" t="s">
        <v>15680</v>
      </c>
      <c r="H2794" s="28" t="s">
        <v>15681</v>
      </c>
      <c r="I2794" s="5" t="s">
        <v>30938</v>
      </c>
    </row>
    <row r="2795" spans="1:9" ht="51.75" customHeight="1">
      <c r="A2795" s="5" t="s">
        <v>31128</v>
      </c>
      <c r="B2795" s="5" t="s">
        <v>31129</v>
      </c>
      <c r="C2795" s="5" t="s">
        <v>31130</v>
      </c>
      <c r="D2795" s="246">
        <v>44026</v>
      </c>
      <c r="E2795" s="5" t="s">
        <v>31131</v>
      </c>
      <c r="F2795" s="26" t="s">
        <v>30937</v>
      </c>
      <c r="G2795" s="27" t="s">
        <v>15680</v>
      </c>
      <c r="H2795" s="28" t="s">
        <v>15681</v>
      </c>
      <c r="I2795" s="5" t="s">
        <v>30938</v>
      </c>
    </row>
    <row r="2796" spans="1:9" ht="51.75" customHeight="1">
      <c r="A2796" s="5" t="s">
        <v>31128</v>
      </c>
      <c r="B2796" s="5" t="s">
        <v>31132</v>
      </c>
      <c r="C2796" s="5" t="s">
        <v>31130</v>
      </c>
      <c r="D2796" s="246">
        <v>44026</v>
      </c>
      <c r="E2796" s="5" t="s">
        <v>31133</v>
      </c>
      <c r="F2796" s="26" t="s">
        <v>23600</v>
      </c>
      <c r="G2796" s="27" t="s">
        <v>15680</v>
      </c>
      <c r="H2796" s="28" t="s">
        <v>15681</v>
      </c>
      <c r="I2796" s="5" t="s">
        <v>30938</v>
      </c>
    </row>
    <row r="2797" spans="1:9" ht="51.75" customHeight="1">
      <c r="A2797" s="5" t="s">
        <v>31134</v>
      </c>
      <c r="B2797" s="5" t="s">
        <v>31135</v>
      </c>
      <c r="C2797" s="5" t="s">
        <v>31136</v>
      </c>
      <c r="D2797" s="246">
        <v>44026</v>
      </c>
      <c r="E2797" s="5" t="s">
        <v>31137</v>
      </c>
      <c r="F2797" s="26" t="s">
        <v>30937</v>
      </c>
      <c r="G2797" s="27" t="s">
        <v>15680</v>
      </c>
      <c r="H2797" s="28" t="s">
        <v>15681</v>
      </c>
      <c r="I2797" s="5" t="s">
        <v>30938</v>
      </c>
    </row>
    <row r="2798" spans="1:9" ht="51.75" customHeight="1">
      <c r="A2798" s="5" t="s">
        <v>31134</v>
      </c>
      <c r="B2798" s="5" t="s">
        <v>31138</v>
      </c>
      <c r="C2798" s="5" t="s">
        <v>31136</v>
      </c>
      <c r="D2798" s="246">
        <v>44026</v>
      </c>
      <c r="E2798" s="5" t="s">
        <v>31139</v>
      </c>
      <c r="F2798" s="26" t="s">
        <v>23600</v>
      </c>
      <c r="G2798" s="27" t="s">
        <v>15680</v>
      </c>
      <c r="H2798" s="28" t="s">
        <v>15681</v>
      </c>
      <c r="I2798" s="5" t="s">
        <v>30938</v>
      </c>
    </row>
    <row r="2799" spans="1:9" ht="51.75" customHeight="1">
      <c r="A2799" s="5" t="s">
        <v>27618</v>
      </c>
      <c r="B2799" s="5" t="s">
        <v>31140</v>
      </c>
      <c r="C2799" s="5" t="s">
        <v>31141</v>
      </c>
      <c r="D2799" s="246">
        <v>44026</v>
      </c>
      <c r="E2799" s="5" t="s">
        <v>31142</v>
      </c>
      <c r="F2799" s="26" t="s">
        <v>30937</v>
      </c>
      <c r="G2799" s="27" t="s">
        <v>15680</v>
      </c>
      <c r="H2799" s="28" t="s">
        <v>15681</v>
      </c>
      <c r="I2799" s="5" t="s">
        <v>30938</v>
      </c>
    </row>
    <row r="2800" spans="1:9" ht="51.75" customHeight="1">
      <c r="A2800" s="5" t="s">
        <v>27618</v>
      </c>
      <c r="B2800" s="5" t="s">
        <v>31143</v>
      </c>
      <c r="C2800" s="5" t="s">
        <v>31141</v>
      </c>
      <c r="D2800" s="246">
        <v>44026</v>
      </c>
      <c r="E2800" s="5" t="s">
        <v>31144</v>
      </c>
      <c r="F2800" s="26" t="s">
        <v>23600</v>
      </c>
      <c r="G2800" s="27" t="s">
        <v>15680</v>
      </c>
      <c r="H2800" s="28" t="s">
        <v>15681</v>
      </c>
      <c r="I2800" s="5" t="s">
        <v>30938</v>
      </c>
    </row>
    <row r="2801" spans="1:9" ht="51.75" customHeight="1">
      <c r="A2801" s="5" t="s">
        <v>27622</v>
      </c>
      <c r="B2801" s="5" t="s">
        <v>31145</v>
      </c>
      <c r="C2801" s="5" t="s">
        <v>31146</v>
      </c>
      <c r="D2801" s="246">
        <v>44026</v>
      </c>
      <c r="E2801" s="5" t="s">
        <v>31147</v>
      </c>
      <c r="F2801" s="26" t="s">
        <v>30937</v>
      </c>
      <c r="G2801" s="27" t="s">
        <v>15680</v>
      </c>
      <c r="H2801" s="28" t="s">
        <v>15681</v>
      </c>
      <c r="I2801" s="5" t="s">
        <v>30938</v>
      </c>
    </row>
    <row r="2802" spans="1:9" ht="51.75" customHeight="1">
      <c r="A2802" s="5" t="s">
        <v>27622</v>
      </c>
      <c r="B2802" s="5" t="s">
        <v>31148</v>
      </c>
      <c r="C2802" s="5" t="s">
        <v>31146</v>
      </c>
      <c r="D2802" s="246">
        <v>44026</v>
      </c>
      <c r="E2802" s="5" t="s">
        <v>31149</v>
      </c>
      <c r="F2802" s="26" t="s">
        <v>23600</v>
      </c>
      <c r="G2802" s="27" t="s">
        <v>15680</v>
      </c>
      <c r="H2802" s="28" t="s">
        <v>15681</v>
      </c>
      <c r="I2802" s="5" t="s">
        <v>30938</v>
      </c>
    </row>
    <row r="2803" spans="1:9" ht="51.75" customHeight="1">
      <c r="A2803" s="5" t="s">
        <v>28069</v>
      </c>
      <c r="B2803" s="5" t="s">
        <v>31150</v>
      </c>
      <c r="C2803" s="5" t="s">
        <v>31151</v>
      </c>
      <c r="D2803" s="246">
        <v>44026</v>
      </c>
      <c r="E2803" s="5" t="s">
        <v>31152</v>
      </c>
      <c r="F2803" s="26" t="s">
        <v>30937</v>
      </c>
      <c r="G2803" s="27" t="s">
        <v>15680</v>
      </c>
      <c r="H2803" s="28" t="s">
        <v>15681</v>
      </c>
      <c r="I2803" s="5" t="s">
        <v>30938</v>
      </c>
    </row>
    <row r="2804" spans="1:9" ht="51.75" customHeight="1">
      <c r="A2804" s="5" t="s">
        <v>28069</v>
      </c>
      <c r="B2804" s="5" t="s">
        <v>31153</v>
      </c>
      <c r="C2804" s="5" t="s">
        <v>31151</v>
      </c>
      <c r="D2804" s="246">
        <v>44026</v>
      </c>
      <c r="E2804" s="5" t="s">
        <v>31154</v>
      </c>
      <c r="F2804" s="26" t="s">
        <v>23600</v>
      </c>
      <c r="G2804" s="27" t="s">
        <v>15680</v>
      </c>
      <c r="H2804" s="28" t="s">
        <v>15681</v>
      </c>
      <c r="I2804" s="5" t="s">
        <v>30938</v>
      </c>
    </row>
    <row r="2805" spans="1:9" ht="51.75" customHeight="1">
      <c r="A2805" s="5" t="s">
        <v>27626</v>
      </c>
      <c r="B2805" s="5" t="s">
        <v>31155</v>
      </c>
      <c r="C2805" s="5" t="s">
        <v>31156</v>
      </c>
      <c r="D2805" s="246">
        <v>44026</v>
      </c>
      <c r="E2805" s="5" t="s">
        <v>31157</v>
      </c>
      <c r="F2805" s="26" t="s">
        <v>30937</v>
      </c>
      <c r="G2805" s="27" t="s">
        <v>15680</v>
      </c>
      <c r="H2805" s="28" t="s">
        <v>15681</v>
      </c>
      <c r="I2805" s="5" t="s">
        <v>30938</v>
      </c>
    </row>
    <row r="2806" spans="1:9" ht="51.75" customHeight="1">
      <c r="A2806" s="5" t="s">
        <v>27626</v>
      </c>
      <c r="B2806" s="5" t="s">
        <v>31158</v>
      </c>
      <c r="C2806" s="5" t="s">
        <v>31156</v>
      </c>
      <c r="D2806" s="246">
        <v>44026</v>
      </c>
      <c r="E2806" s="5" t="s">
        <v>31159</v>
      </c>
      <c r="F2806" s="26" t="s">
        <v>23600</v>
      </c>
      <c r="G2806" s="27" t="s">
        <v>15680</v>
      </c>
      <c r="H2806" s="28" t="s">
        <v>15681</v>
      </c>
      <c r="I2806" s="5" t="s">
        <v>30938</v>
      </c>
    </row>
    <row r="2807" spans="1:9" ht="51.75" customHeight="1">
      <c r="A2807" s="5" t="s">
        <v>31160</v>
      </c>
      <c r="B2807" s="5" t="s">
        <v>31161</v>
      </c>
      <c r="C2807" s="5" t="s">
        <v>31162</v>
      </c>
      <c r="D2807" s="246">
        <v>44039</v>
      </c>
      <c r="E2807" s="5" t="s">
        <v>31163</v>
      </c>
      <c r="F2807" s="26" t="s">
        <v>30937</v>
      </c>
      <c r="G2807" s="27" t="s">
        <v>15698</v>
      </c>
      <c r="H2807" s="28" t="s">
        <v>15699</v>
      </c>
      <c r="I2807" s="5" t="s">
        <v>30938</v>
      </c>
    </row>
    <row r="2808" spans="1:9" ht="51.75" customHeight="1">
      <c r="A2808" s="5" t="s">
        <v>31160</v>
      </c>
      <c r="B2808" s="5" t="s">
        <v>31164</v>
      </c>
      <c r="C2808" s="5" t="s">
        <v>31162</v>
      </c>
      <c r="D2808" s="246">
        <v>44039</v>
      </c>
      <c r="E2808" s="5" t="s">
        <v>31165</v>
      </c>
      <c r="F2808" s="26" t="s">
        <v>23600</v>
      </c>
      <c r="G2808" s="27" t="s">
        <v>15698</v>
      </c>
      <c r="H2808" s="28" t="s">
        <v>15699</v>
      </c>
      <c r="I2808" s="5" t="s">
        <v>30938</v>
      </c>
    </row>
    <row r="2809" spans="1:9" ht="51.75" customHeight="1">
      <c r="A2809" s="5" t="s">
        <v>27296</v>
      </c>
      <c r="B2809" s="5" t="s">
        <v>31166</v>
      </c>
      <c r="C2809" s="5" t="s">
        <v>31167</v>
      </c>
      <c r="D2809" s="246">
        <v>44039</v>
      </c>
      <c r="E2809" s="5" t="s">
        <v>31168</v>
      </c>
      <c r="F2809" s="26" t="s">
        <v>30937</v>
      </c>
      <c r="G2809" s="27" t="s">
        <v>15698</v>
      </c>
      <c r="H2809" s="28" t="s">
        <v>15699</v>
      </c>
      <c r="I2809" s="5" t="s">
        <v>30938</v>
      </c>
    </row>
    <row r="2810" spans="1:9" ht="51.75" customHeight="1">
      <c r="A2810" s="5" t="s">
        <v>27296</v>
      </c>
      <c r="B2810" s="5" t="s">
        <v>31169</v>
      </c>
      <c r="C2810" s="5" t="s">
        <v>31167</v>
      </c>
      <c r="D2810" s="246">
        <v>44039</v>
      </c>
      <c r="E2810" s="5" t="s">
        <v>31170</v>
      </c>
      <c r="F2810" s="26" t="s">
        <v>23600</v>
      </c>
      <c r="G2810" s="27" t="s">
        <v>15698</v>
      </c>
      <c r="H2810" s="28" t="s">
        <v>15699</v>
      </c>
      <c r="I2810" s="5" t="s">
        <v>30938</v>
      </c>
    </row>
    <row r="2811" spans="1:9" ht="51.75" customHeight="1">
      <c r="A2811" s="5" t="s">
        <v>31171</v>
      </c>
      <c r="B2811" s="5" t="s">
        <v>31172</v>
      </c>
      <c r="C2811" s="5" t="s">
        <v>31173</v>
      </c>
      <c r="D2811" s="246">
        <v>44067</v>
      </c>
      <c r="E2811" s="5" t="s">
        <v>31174</v>
      </c>
      <c r="F2811" s="26" t="s">
        <v>23600</v>
      </c>
      <c r="G2811" s="27" t="s">
        <v>16374</v>
      </c>
      <c r="H2811" s="28" t="s">
        <v>16375</v>
      </c>
      <c r="I2811" s="5" t="s">
        <v>30938</v>
      </c>
    </row>
    <row r="2812" spans="1:9" ht="51.75" customHeight="1">
      <c r="A2812" s="5" t="s">
        <v>31171</v>
      </c>
      <c r="B2812" s="5" t="s">
        <v>31175</v>
      </c>
      <c r="C2812" s="5" t="s">
        <v>31173</v>
      </c>
      <c r="D2812" s="246">
        <v>44067</v>
      </c>
      <c r="E2812" s="5" t="s">
        <v>31176</v>
      </c>
      <c r="F2812" s="26" t="s">
        <v>30937</v>
      </c>
      <c r="G2812" s="27" t="s">
        <v>16374</v>
      </c>
      <c r="H2812" s="28" t="s">
        <v>16375</v>
      </c>
      <c r="I2812" s="5" t="s">
        <v>30938</v>
      </c>
    </row>
    <row r="2813" spans="1:9" ht="51.75" customHeight="1">
      <c r="A2813" s="5" t="s">
        <v>31177</v>
      </c>
      <c r="B2813" s="5" t="s">
        <v>31178</v>
      </c>
      <c r="C2813" s="5" t="s">
        <v>31179</v>
      </c>
      <c r="D2813" s="246">
        <v>44067</v>
      </c>
      <c r="E2813" s="5" t="s">
        <v>31180</v>
      </c>
      <c r="F2813" s="26" t="s">
        <v>30937</v>
      </c>
      <c r="G2813" s="27" t="s">
        <v>16374</v>
      </c>
      <c r="H2813" s="28" t="s">
        <v>16375</v>
      </c>
      <c r="I2813" s="5" t="s">
        <v>30938</v>
      </c>
    </row>
    <row r="2814" spans="1:9" ht="51.75" customHeight="1">
      <c r="A2814" s="5" t="s">
        <v>31177</v>
      </c>
      <c r="B2814" s="5" t="s">
        <v>31181</v>
      </c>
      <c r="C2814" s="5" t="s">
        <v>31179</v>
      </c>
      <c r="D2814" s="246">
        <v>44067</v>
      </c>
      <c r="E2814" s="5" t="s">
        <v>31182</v>
      </c>
      <c r="F2814" s="26" t="s">
        <v>23600</v>
      </c>
      <c r="G2814" s="27" t="s">
        <v>16374</v>
      </c>
      <c r="H2814" s="28" t="s">
        <v>16375</v>
      </c>
      <c r="I2814" s="5" t="s">
        <v>30938</v>
      </c>
    </row>
    <row r="2815" spans="1:9" ht="51.75" customHeight="1">
      <c r="A2815" s="5" t="s">
        <v>31183</v>
      </c>
      <c r="B2815" s="5" t="s">
        <v>31184</v>
      </c>
      <c r="C2815" s="5" t="s">
        <v>31185</v>
      </c>
      <c r="D2815" s="246">
        <v>44125</v>
      </c>
      <c r="E2815" s="5" t="s">
        <v>31186</v>
      </c>
      <c r="F2815" s="26" t="s">
        <v>30937</v>
      </c>
      <c r="G2815" s="27" t="s">
        <v>16990</v>
      </c>
      <c r="H2815" s="28" t="s">
        <v>16991</v>
      </c>
      <c r="I2815" s="5" t="s">
        <v>30938</v>
      </c>
    </row>
    <row r="2816" spans="1:9" ht="51.75" customHeight="1">
      <c r="A2816" s="5" t="s">
        <v>31183</v>
      </c>
      <c r="B2816" s="5" t="s">
        <v>31187</v>
      </c>
      <c r="C2816" s="5" t="s">
        <v>31185</v>
      </c>
      <c r="D2816" s="246">
        <v>44125</v>
      </c>
      <c r="E2816" s="5" t="s">
        <v>31188</v>
      </c>
      <c r="F2816" s="26" t="s">
        <v>23600</v>
      </c>
      <c r="G2816" s="27" t="s">
        <v>16990</v>
      </c>
      <c r="H2816" s="28" t="s">
        <v>16991</v>
      </c>
      <c r="I2816" s="5" t="s">
        <v>30938</v>
      </c>
    </row>
    <row r="2817" spans="1:9" ht="51.75" customHeight="1">
      <c r="A2817" s="5"/>
      <c r="B2817" s="5" t="s">
        <v>31189</v>
      </c>
      <c r="C2817" s="5" t="s">
        <v>31190</v>
      </c>
      <c r="D2817" s="246">
        <v>44160</v>
      </c>
      <c r="E2817" s="5" t="s">
        <v>31191</v>
      </c>
      <c r="F2817" s="26" t="s">
        <v>23600</v>
      </c>
      <c r="G2817" s="27" t="s">
        <v>16512</v>
      </c>
      <c r="H2817" s="29" t="s">
        <v>16513</v>
      </c>
      <c r="I2817" s="5" t="s">
        <v>30938</v>
      </c>
    </row>
    <row r="2818" spans="1:9" ht="51.75" customHeight="1">
      <c r="A2818" s="5"/>
      <c r="B2818" s="5" t="s">
        <v>31192</v>
      </c>
      <c r="C2818" s="5" t="s">
        <v>31193</v>
      </c>
      <c r="D2818" s="246">
        <v>44222</v>
      </c>
      <c r="E2818" s="5" t="s">
        <v>31194</v>
      </c>
      <c r="F2818" s="26" t="s">
        <v>23600</v>
      </c>
      <c r="G2818" s="27" t="s">
        <v>17594</v>
      </c>
      <c r="H2818" s="29" t="s">
        <v>17595</v>
      </c>
      <c r="I2818" s="5" t="s">
        <v>30938</v>
      </c>
    </row>
    <row r="2819" spans="1:9" ht="51.75" customHeight="1">
      <c r="A2819" s="5"/>
      <c r="B2819" s="5" t="s">
        <v>31195</v>
      </c>
      <c r="C2819" s="27" t="s">
        <v>31196</v>
      </c>
      <c r="D2819" s="246">
        <v>44265</v>
      </c>
      <c r="E2819" s="5" t="s">
        <v>31197</v>
      </c>
      <c r="F2819" s="26" t="s">
        <v>23600</v>
      </c>
      <c r="G2819" s="27" t="s">
        <v>17078</v>
      </c>
      <c r="H2819" s="29" t="s">
        <v>17079</v>
      </c>
      <c r="I2819" s="5" t="s">
        <v>30938</v>
      </c>
    </row>
    <row r="2820" spans="1:9" ht="51.75" customHeight="1">
      <c r="A2820" s="5"/>
      <c r="B2820" s="5" t="s">
        <v>31198</v>
      </c>
      <c r="C2820" s="5" t="s">
        <v>31042</v>
      </c>
      <c r="D2820" s="246">
        <v>44194</v>
      </c>
      <c r="E2820" s="5" t="s">
        <v>31199</v>
      </c>
      <c r="F2820" s="26" t="s">
        <v>23600</v>
      </c>
      <c r="G2820" s="27" t="s">
        <v>17188</v>
      </c>
      <c r="H2820" s="29" t="s">
        <v>31200</v>
      </c>
      <c r="I2820" s="30" t="s">
        <v>30938</v>
      </c>
    </row>
    <row r="2821" spans="1:9" ht="51.75" customHeight="1">
      <c r="A2821" s="5"/>
      <c r="B2821" s="5" t="s">
        <v>31201</v>
      </c>
      <c r="C2821" s="5" t="s">
        <v>31202</v>
      </c>
      <c r="D2821" s="246">
        <v>44358</v>
      </c>
      <c r="E2821" s="5" t="s">
        <v>31203</v>
      </c>
      <c r="F2821" s="26" t="s">
        <v>23600</v>
      </c>
      <c r="G2821" s="27" t="s">
        <v>17882</v>
      </c>
      <c r="H2821" s="29" t="s">
        <v>17883</v>
      </c>
      <c r="I2821" s="30" t="s">
        <v>30938</v>
      </c>
    </row>
    <row r="2822" spans="1:9" ht="51.75" customHeight="1">
      <c r="A2822" s="5"/>
      <c r="B2822" s="5" t="str">
        <f>CONCATENATE(G2822,"/",COUNTIF($G$2:G2822,G2822))</f>
        <v>HR-6340/1</v>
      </c>
      <c r="C2822" s="5" t="s">
        <v>31204</v>
      </c>
      <c r="D2822" s="246">
        <v>44438</v>
      </c>
      <c r="E2822" s="5" t="s">
        <v>31205</v>
      </c>
      <c r="F2822" s="26" t="s">
        <v>23600</v>
      </c>
      <c r="G2822" s="27" t="s">
        <v>18179</v>
      </c>
      <c r="H2822" s="29" t="s">
        <v>18180</v>
      </c>
      <c r="I2822" s="30" t="s">
        <v>30938</v>
      </c>
    </row>
    <row r="2823" spans="1:9" ht="51.75" customHeight="1">
      <c r="A2823" s="5"/>
      <c r="B2823" s="5" t="s">
        <v>31206</v>
      </c>
      <c r="C2823" s="5" t="s">
        <v>31207</v>
      </c>
      <c r="D2823" s="246">
        <v>44224</v>
      </c>
      <c r="E2823" s="5" t="s">
        <v>31208</v>
      </c>
      <c r="F2823" s="26" t="s">
        <v>23600</v>
      </c>
      <c r="G2823" s="27" t="s">
        <v>17517</v>
      </c>
      <c r="H2823" s="29" t="s">
        <v>17518</v>
      </c>
      <c r="I2823" s="30" t="s">
        <v>14753</v>
      </c>
    </row>
    <row r="2824" spans="1:9" ht="51.75" customHeight="1">
      <c r="A2824" s="5"/>
      <c r="B2824" s="5" t="s">
        <v>31209</v>
      </c>
      <c r="C2824" s="5" t="s">
        <v>31210</v>
      </c>
      <c r="D2824" s="246">
        <v>44092</v>
      </c>
      <c r="E2824" s="5" t="s">
        <v>31211</v>
      </c>
      <c r="F2824" s="26" t="s">
        <v>23600</v>
      </c>
      <c r="G2824" s="5" t="s">
        <v>17771</v>
      </c>
      <c r="H2824" s="29" t="s">
        <v>17772</v>
      </c>
      <c r="I2824" s="30" t="s">
        <v>17773</v>
      </c>
    </row>
    <row r="2825" spans="1:9" ht="51.75" customHeight="1">
      <c r="A2825" s="5"/>
      <c r="B2825" s="5" t="s">
        <v>31212</v>
      </c>
      <c r="C2825" s="5" t="s">
        <v>31213</v>
      </c>
      <c r="D2825" s="246">
        <v>44092</v>
      </c>
      <c r="E2825" s="5" t="s">
        <v>31214</v>
      </c>
      <c r="F2825" s="26" t="s">
        <v>23600</v>
      </c>
      <c r="G2825" s="5" t="s">
        <v>17771</v>
      </c>
      <c r="H2825" s="29" t="s">
        <v>17772</v>
      </c>
      <c r="I2825" s="30" t="s">
        <v>17773</v>
      </c>
    </row>
    <row r="2826" spans="1:9" ht="51.75" customHeight="1">
      <c r="A2826" s="5"/>
      <c r="B2826" s="5" t="s">
        <v>31215</v>
      </c>
      <c r="C2826" s="5" t="s">
        <v>31216</v>
      </c>
      <c r="D2826" s="246">
        <v>44092</v>
      </c>
      <c r="E2826" s="5" t="s">
        <v>31217</v>
      </c>
      <c r="F2826" s="26" t="s">
        <v>23600</v>
      </c>
      <c r="G2826" s="5" t="s">
        <v>17771</v>
      </c>
      <c r="H2826" s="29" t="s">
        <v>17772</v>
      </c>
      <c r="I2826" s="30" t="s">
        <v>17773</v>
      </c>
    </row>
    <row r="2827" spans="1:9" ht="51.75" customHeight="1">
      <c r="A2827" s="5"/>
      <c r="B2827" s="5" t="s">
        <v>31218</v>
      </c>
      <c r="C2827" s="5" t="s">
        <v>31219</v>
      </c>
      <c r="D2827" s="246">
        <v>44092</v>
      </c>
      <c r="E2827" s="5" t="s">
        <v>31220</v>
      </c>
      <c r="F2827" s="26" t="s">
        <v>23600</v>
      </c>
      <c r="G2827" s="5" t="s">
        <v>17771</v>
      </c>
      <c r="H2827" s="29" t="s">
        <v>17772</v>
      </c>
      <c r="I2827" s="30" t="s">
        <v>17773</v>
      </c>
    </row>
    <row r="2828" spans="1:9" ht="51.75" customHeight="1">
      <c r="A2828" s="5"/>
      <c r="B2828" s="5" t="s">
        <v>31221</v>
      </c>
      <c r="C2828" s="5" t="s">
        <v>31222</v>
      </c>
      <c r="D2828" s="246">
        <v>44092</v>
      </c>
      <c r="E2828" s="5" t="s">
        <v>31223</v>
      </c>
      <c r="F2828" s="26" t="s">
        <v>23600</v>
      </c>
      <c r="G2828" s="5" t="s">
        <v>17771</v>
      </c>
      <c r="H2828" s="29" t="s">
        <v>17772</v>
      </c>
      <c r="I2828" s="30" t="s">
        <v>17773</v>
      </c>
    </row>
    <row r="2829" spans="1:9" ht="51.75" customHeight="1">
      <c r="A2829" s="5"/>
      <c r="B2829" s="5" t="s">
        <v>31224</v>
      </c>
      <c r="C2829" s="5" t="s">
        <v>31225</v>
      </c>
      <c r="D2829" s="246">
        <v>44092</v>
      </c>
      <c r="E2829" s="5" t="s">
        <v>31226</v>
      </c>
      <c r="F2829" s="26" t="s">
        <v>23600</v>
      </c>
      <c r="G2829" s="5" t="s">
        <v>17771</v>
      </c>
      <c r="H2829" s="29" t="s">
        <v>17772</v>
      </c>
      <c r="I2829" s="30" t="s">
        <v>17773</v>
      </c>
    </row>
    <row r="2830" spans="1:9" ht="51.75" customHeight="1">
      <c r="A2830" s="5"/>
      <c r="B2830" s="5" t="s">
        <v>31227</v>
      </c>
      <c r="C2830" s="5" t="s">
        <v>31228</v>
      </c>
      <c r="D2830" s="246">
        <v>44092</v>
      </c>
      <c r="E2830" s="5" t="s">
        <v>31229</v>
      </c>
      <c r="F2830" s="26" t="s">
        <v>23600</v>
      </c>
      <c r="G2830" s="5" t="s">
        <v>17771</v>
      </c>
      <c r="H2830" s="29" t="s">
        <v>17772</v>
      </c>
      <c r="I2830" s="30" t="s">
        <v>17773</v>
      </c>
    </row>
    <row r="2831" spans="1:9" ht="51.75" customHeight="1">
      <c r="A2831" s="5"/>
      <c r="B2831" s="5" t="s">
        <v>31230</v>
      </c>
      <c r="C2831" s="5" t="s">
        <v>31210</v>
      </c>
      <c r="D2831" s="246">
        <v>44306</v>
      </c>
      <c r="E2831" s="5" t="s">
        <v>31231</v>
      </c>
      <c r="F2831" s="26" t="s">
        <v>23600</v>
      </c>
      <c r="G2831" s="35" t="s">
        <v>18254</v>
      </c>
      <c r="H2831" s="29" t="s">
        <v>18255</v>
      </c>
      <c r="I2831" s="30" t="s">
        <v>17773</v>
      </c>
    </row>
    <row r="2832" spans="1:9" ht="51.75" customHeight="1">
      <c r="A2832" s="5"/>
      <c r="B2832" s="5" t="s">
        <v>31232</v>
      </c>
      <c r="C2832" s="5" t="s">
        <v>31213</v>
      </c>
      <c r="D2832" s="246">
        <v>44306</v>
      </c>
      <c r="E2832" s="5" t="s">
        <v>31233</v>
      </c>
      <c r="F2832" s="26" t="s">
        <v>23600</v>
      </c>
      <c r="G2832" s="35" t="s">
        <v>18254</v>
      </c>
      <c r="H2832" s="29" t="s">
        <v>18255</v>
      </c>
      <c r="I2832" s="30" t="s">
        <v>17773</v>
      </c>
    </row>
    <row r="2833" spans="1:9" ht="51.75" customHeight="1">
      <c r="A2833" s="5"/>
      <c r="B2833" s="5" t="s">
        <v>31234</v>
      </c>
      <c r="C2833" s="5" t="s">
        <v>31216</v>
      </c>
      <c r="D2833" s="246">
        <v>44306</v>
      </c>
      <c r="E2833" s="5" t="s">
        <v>31235</v>
      </c>
      <c r="F2833" s="26" t="s">
        <v>23600</v>
      </c>
      <c r="G2833" s="35" t="s">
        <v>18254</v>
      </c>
      <c r="H2833" s="29" t="s">
        <v>18255</v>
      </c>
      <c r="I2833" s="30" t="s">
        <v>17773</v>
      </c>
    </row>
    <row r="2834" spans="1:9" ht="51.75" customHeight="1">
      <c r="A2834" s="5"/>
      <c r="B2834" s="5" t="s">
        <v>31236</v>
      </c>
      <c r="C2834" s="5" t="s">
        <v>31210</v>
      </c>
      <c r="D2834" s="246">
        <v>44126</v>
      </c>
      <c r="E2834" s="5" t="s">
        <v>31237</v>
      </c>
      <c r="F2834" s="26" t="s">
        <v>23600</v>
      </c>
      <c r="G2834" s="35" t="s">
        <v>17986</v>
      </c>
      <c r="H2834" s="29" t="s">
        <v>17987</v>
      </c>
      <c r="I2834" s="30" t="s">
        <v>17773</v>
      </c>
    </row>
    <row r="2835" spans="1:9" ht="51.75" customHeight="1">
      <c r="A2835" s="5"/>
      <c r="B2835" s="5" t="s">
        <v>31238</v>
      </c>
      <c r="C2835" s="5" t="s">
        <v>31213</v>
      </c>
      <c r="D2835" s="246">
        <v>44126</v>
      </c>
      <c r="E2835" s="5" t="s">
        <v>31239</v>
      </c>
      <c r="F2835" s="26" t="s">
        <v>23600</v>
      </c>
      <c r="G2835" s="35" t="s">
        <v>17986</v>
      </c>
      <c r="H2835" s="29" t="s">
        <v>17987</v>
      </c>
      <c r="I2835" s="30" t="s">
        <v>17773</v>
      </c>
    </row>
    <row r="2836" spans="1:9" ht="51.75" customHeight="1">
      <c r="A2836" s="5"/>
      <c r="B2836" s="5" t="s">
        <v>31240</v>
      </c>
      <c r="C2836" s="5" t="s">
        <v>31216</v>
      </c>
      <c r="D2836" s="246">
        <v>44126</v>
      </c>
      <c r="E2836" s="5" t="s">
        <v>31241</v>
      </c>
      <c r="F2836" s="26" t="s">
        <v>23600</v>
      </c>
      <c r="G2836" s="35" t="s">
        <v>17986</v>
      </c>
      <c r="H2836" s="29" t="s">
        <v>17987</v>
      </c>
      <c r="I2836" s="30" t="s">
        <v>17773</v>
      </c>
    </row>
    <row r="2837" spans="1:9" ht="51.75" customHeight="1">
      <c r="A2837" s="5"/>
      <c r="B2837" s="5" t="s">
        <v>31242</v>
      </c>
      <c r="C2837" s="5" t="s">
        <v>31219</v>
      </c>
      <c r="D2837" s="246">
        <v>44126</v>
      </c>
      <c r="E2837" s="5" t="s">
        <v>31243</v>
      </c>
      <c r="F2837" s="26" t="s">
        <v>23600</v>
      </c>
      <c r="G2837" s="35" t="s">
        <v>17986</v>
      </c>
      <c r="H2837" s="29" t="s">
        <v>17987</v>
      </c>
      <c r="I2837" s="30" t="s">
        <v>17773</v>
      </c>
    </row>
    <row r="2838" spans="1:9" ht="51.75" customHeight="1">
      <c r="A2838" s="5"/>
      <c r="B2838" s="5" t="s">
        <v>31244</v>
      </c>
      <c r="C2838" s="5" t="s">
        <v>31245</v>
      </c>
      <c r="D2838" s="246">
        <v>44333</v>
      </c>
      <c r="E2838" s="5" t="s">
        <v>31246</v>
      </c>
      <c r="F2838" s="26" t="s">
        <v>23600</v>
      </c>
      <c r="G2838" s="36" t="s">
        <v>18434</v>
      </c>
      <c r="H2838" s="29" t="s">
        <v>18435</v>
      </c>
      <c r="I2838" s="30" t="s">
        <v>17773</v>
      </c>
    </row>
    <row r="2839" spans="1:9" ht="51.75" customHeight="1">
      <c r="A2839" s="5"/>
      <c r="B2839" s="5" t="s">
        <v>31247</v>
      </c>
      <c r="C2839" s="5" t="s">
        <v>31248</v>
      </c>
      <c r="D2839" s="246">
        <v>44333</v>
      </c>
      <c r="E2839" s="5" t="s">
        <v>31249</v>
      </c>
      <c r="F2839" s="26" t="s">
        <v>23600</v>
      </c>
      <c r="G2839" s="36" t="s">
        <v>18434</v>
      </c>
      <c r="H2839" s="29" t="s">
        <v>18435</v>
      </c>
      <c r="I2839" s="30" t="s">
        <v>17773</v>
      </c>
    </row>
    <row r="2840" spans="1:9" ht="51.75" customHeight="1">
      <c r="A2840" s="5"/>
      <c r="B2840" s="5" t="s">
        <v>31250</v>
      </c>
      <c r="C2840" s="5" t="s">
        <v>31251</v>
      </c>
      <c r="D2840" s="246">
        <v>44333</v>
      </c>
      <c r="E2840" s="5" t="s">
        <v>31252</v>
      </c>
      <c r="F2840" s="26" t="s">
        <v>23600</v>
      </c>
      <c r="G2840" s="36" t="s">
        <v>18434</v>
      </c>
      <c r="H2840" s="29" t="s">
        <v>18435</v>
      </c>
      <c r="I2840" s="30" t="s">
        <v>17773</v>
      </c>
    </row>
    <row r="2841" spans="1:9" ht="51.75" customHeight="1">
      <c r="A2841" s="5"/>
      <c r="B2841" s="5" t="str">
        <f>CONCATENATE(G2841,"/",COUNTIF($G$2:G2841,G2841))</f>
        <v>BG-10123/1</v>
      </c>
      <c r="C2841" s="5" t="s">
        <v>31253</v>
      </c>
      <c r="D2841" s="246">
        <v>44436</v>
      </c>
      <c r="E2841" s="5" t="s">
        <v>31254</v>
      </c>
      <c r="F2841" s="26" t="s">
        <v>23600</v>
      </c>
      <c r="G2841" s="36" t="s">
        <v>18653</v>
      </c>
      <c r="H2841" s="29" t="s">
        <v>18654</v>
      </c>
      <c r="I2841" s="30" t="s">
        <v>17773</v>
      </c>
    </row>
    <row r="2842" spans="1:9" ht="51.75" customHeight="1">
      <c r="A2842" s="5"/>
      <c r="B2842" s="5" t="str">
        <f>CONCATENATE(G2842,"/",COUNTIF($G$2:G2842,G2842))</f>
        <v>BG-10123/2</v>
      </c>
      <c r="C2842" s="5" t="s">
        <v>31255</v>
      </c>
      <c r="D2842" s="246">
        <v>44448</v>
      </c>
      <c r="E2842" s="5" t="s">
        <v>31256</v>
      </c>
      <c r="F2842" s="26" t="s">
        <v>23600</v>
      </c>
      <c r="G2842" s="36" t="s">
        <v>18653</v>
      </c>
      <c r="H2842" s="29" t="s">
        <v>18654</v>
      </c>
      <c r="I2842" s="30" t="s">
        <v>17773</v>
      </c>
    </row>
    <row r="2843" spans="1:9" ht="51.75" customHeight="1">
      <c r="A2843" s="5"/>
      <c r="B2843" s="5" t="str">
        <f>CONCATENATE(G2843,"/",COUNTIF($G$2:G2843,G2843))</f>
        <v>BG-10123/3</v>
      </c>
      <c r="C2843" s="5" t="s">
        <v>31257</v>
      </c>
      <c r="D2843" s="246">
        <v>44449</v>
      </c>
      <c r="E2843" s="5" t="s">
        <v>31258</v>
      </c>
      <c r="F2843" s="26" t="s">
        <v>23600</v>
      </c>
      <c r="G2843" s="36" t="s">
        <v>18653</v>
      </c>
      <c r="H2843" s="29" t="s">
        <v>18654</v>
      </c>
      <c r="I2843" s="30" t="s">
        <v>17773</v>
      </c>
    </row>
    <row r="2844" spans="1:9" ht="51.75" customHeight="1">
      <c r="A2844" s="5"/>
      <c r="B2844" s="5" t="str">
        <f>CONCATENATE(G2844,"/",COUNTIF($G$2:G2844,G2844))</f>
        <v>BG-10089/1</v>
      </c>
      <c r="C2844" s="5" t="s">
        <v>31259</v>
      </c>
      <c r="D2844" s="246">
        <v>44470</v>
      </c>
      <c r="E2844" s="5" t="s">
        <v>31260</v>
      </c>
      <c r="F2844" s="26" t="s">
        <v>23600</v>
      </c>
      <c r="G2844" s="36" t="s">
        <v>18791</v>
      </c>
      <c r="H2844" s="29" t="s">
        <v>18792</v>
      </c>
      <c r="I2844" s="30" t="s">
        <v>17773</v>
      </c>
    </row>
    <row r="2845" spans="1:9" ht="51.75" customHeight="1">
      <c r="A2845" s="5"/>
      <c r="B2845" s="5" t="str">
        <f>CONCATENATE(G2845,"/",COUNTIF($G$2:G2845,G2845))</f>
        <v>BG-10089/2</v>
      </c>
      <c r="C2845" s="5" t="s">
        <v>31261</v>
      </c>
      <c r="D2845" s="246">
        <v>44470</v>
      </c>
      <c r="E2845" s="5" t="s">
        <v>31262</v>
      </c>
      <c r="F2845" s="26" t="s">
        <v>23600</v>
      </c>
      <c r="G2845" s="36" t="s">
        <v>18791</v>
      </c>
      <c r="H2845" s="29" t="s">
        <v>18792</v>
      </c>
      <c r="I2845" s="30" t="s">
        <v>17773</v>
      </c>
    </row>
    <row r="2846" spans="1:9" ht="51.75" customHeight="1">
      <c r="A2846" s="5"/>
      <c r="B2846" s="5" t="str">
        <f>CONCATENATE(G2846,"/",COUNTIF($G$2:G2846,G2846))</f>
        <v>BG-10089/3</v>
      </c>
      <c r="C2846" s="5" t="s">
        <v>31263</v>
      </c>
      <c r="D2846" s="246">
        <v>44470</v>
      </c>
      <c r="E2846" s="5" t="s">
        <v>31264</v>
      </c>
      <c r="F2846" s="26" t="s">
        <v>23600</v>
      </c>
      <c r="G2846" s="36" t="s">
        <v>18791</v>
      </c>
      <c r="H2846" s="29" t="s">
        <v>18792</v>
      </c>
      <c r="I2846" s="30" t="s">
        <v>17773</v>
      </c>
    </row>
    <row r="2847" spans="1:9" ht="51.75" customHeight="1">
      <c r="A2847" s="5"/>
      <c r="B2847" s="5" t="str">
        <f>CONCATENATE(G2847,"/",COUNTIF($G$2:G2847,G2847))</f>
        <v>BG-10089/4</v>
      </c>
      <c r="C2847" s="5" t="s">
        <v>31265</v>
      </c>
      <c r="D2847" s="246">
        <v>44470</v>
      </c>
      <c r="E2847" s="5" t="s">
        <v>31266</v>
      </c>
      <c r="F2847" s="26" t="s">
        <v>23600</v>
      </c>
      <c r="G2847" s="36" t="s">
        <v>18791</v>
      </c>
      <c r="H2847" s="29" t="s">
        <v>18792</v>
      </c>
      <c r="I2847" s="30" t="s">
        <v>17773</v>
      </c>
    </row>
    <row r="2848" spans="1:9" ht="51.75" customHeight="1">
      <c r="A2848" s="5"/>
      <c r="B2848" s="5" t="str">
        <f>CONCATENATE(G2848,"/",COUNTIF($G$2:G2848,G2848))</f>
        <v>CH-10119/1</v>
      </c>
      <c r="C2848" s="5" t="s">
        <v>31267</v>
      </c>
      <c r="D2848" s="246">
        <v>44439</v>
      </c>
      <c r="E2848" s="5" t="s">
        <v>31268</v>
      </c>
      <c r="F2848" s="26" t="s">
        <v>23600</v>
      </c>
      <c r="G2848" s="37" t="s">
        <v>18328</v>
      </c>
      <c r="H2848" s="38" t="s">
        <v>18329</v>
      </c>
      <c r="I2848" s="5" t="s">
        <v>15071</v>
      </c>
    </row>
    <row r="2849" spans="1:9" ht="51.75" customHeight="1">
      <c r="A2849" s="5"/>
      <c r="B2849" s="5" t="str">
        <f>CONCATENATE(G2849,"/",COUNTIF($G$2:G2849,G2849))</f>
        <v>HR-10001/1</v>
      </c>
      <c r="C2849" s="5" t="s">
        <v>31269</v>
      </c>
      <c r="D2849" s="246">
        <v>44489</v>
      </c>
      <c r="E2849" s="5" t="s">
        <v>31270</v>
      </c>
      <c r="F2849" s="26" t="s">
        <v>23600</v>
      </c>
      <c r="G2849" s="33" t="s">
        <v>18373</v>
      </c>
      <c r="H2849" s="28" t="s">
        <v>18374</v>
      </c>
      <c r="I2849" s="5" t="s">
        <v>31271</v>
      </c>
    </row>
    <row r="2850" spans="1:9" ht="51.75" customHeight="1">
      <c r="A2850" s="5"/>
      <c r="B2850" s="5" t="str">
        <f>CONCATENATE(G2850,"/",COUNTIF($G$2:G2850,G2850))</f>
        <v>HR-10001/2</v>
      </c>
      <c r="C2850" s="5" t="s">
        <v>31272</v>
      </c>
      <c r="D2850" s="246">
        <v>44489</v>
      </c>
      <c r="E2850" s="5" t="s">
        <v>31273</v>
      </c>
      <c r="F2850" s="26" t="s">
        <v>23600</v>
      </c>
      <c r="G2850" s="33" t="s">
        <v>18373</v>
      </c>
      <c r="H2850" s="28" t="s">
        <v>18374</v>
      </c>
      <c r="I2850" s="5" t="s">
        <v>31271</v>
      </c>
    </row>
    <row r="2851" spans="1:9" ht="51.75" customHeight="1">
      <c r="A2851" s="5"/>
      <c r="B2851" s="5" t="s">
        <v>31274</v>
      </c>
      <c r="C2851" s="5" t="s">
        <v>23621</v>
      </c>
      <c r="D2851" s="246">
        <v>44379</v>
      </c>
      <c r="E2851" s="5" t="s">
        <v>31275</v>
      </c>
      <c r="F2851" s="26" t="s">
        <v>23600</v>
      </c>
      <c r="G2851" s="27" t="s">
        <v>18005</v>
      </c>
      <c r="H2851" s="29" t="s">
        <v>18006</v>
      </c>
      <c r="I2851" s="30" t="s">
        <v>16429</v>
      </c>
    </row>
    <row r="2852" spans="1:9" ht="51.75" customHeight="1">
      <c r="A2852" s="5"/>
      <c r="B2852" s="5" t="s">
        <v>31276</v>
      </c>
      <c r="C2852" s="5" t="s">
        <v>23625</v>
      </c>
      <c r="D2852" s="246">
        <v>44379</v>
      </c>
      <c r="E2852" s="5" t="s">
        <v>31277</v>
      </c>
      <c r="F2852" s="26" t="s">
        <v>23600</v>
      </c>
      <c r="G2852" s="27" t="s">
        <v>18005</v>
      </c>
      <c r="H2852" s="29" t="s">
        <v>18006</v>
      </c>
      <c r="I2852" s="30" t="s">
        <v>16429</v>
      </c>
    </row>
    <row r="2853" spans="1:9" ht="51.75" customHeight="1">
      <c r="A2853" s="5"/>
      <c r="B2853" s="5" t="s">
        <v>31278</v>
      </c>
      <c r="C2853" s="5" t="s">
        <v>25972</v>
      </c>
      <c r="D2853" s="246">
        <v>44379</v>
      </c>
      <c r="E2853" s="5" t="s">
        <v>31279</v>
      </c>
      <c r="F2853" s="26" t="s">
        <v>23600</v>
      </c>
      <c r="G2853" s="27" t="s">
        <v>18005</v>
      </c>
      <c r="H2853" s="29" t="s">
        <v>18006</v>
      </c>
      <c r="I2853" s="30" t="s">
        <v>16429</v>
      </c>
    </row>
    <row r="2854" spans="1:9" ht="51.75" customHeight="1">
      <c r="A2854" s="5"/>
      <c r="B2854" s="5" t="str">
        <f>CONCATENATE(G2854,"/",COUNTIF($G$2:G2854,G2854))</f>
        <v>DK-10129/1</v>
      </c>
      <c r="C2854" s="5" t="s">
        <v>31280</v>
      </c>
      <c r="D2854" s="246">
        <v>44493</v>
      </c>
      <c r="E2854" s="5" t="s">
        <v>31281</v>
      </c>
      <c r="F2854" s="26" t="s">
        <v>27950</v>
      </c>
      <c r="G2854" s="36" t="s">
        <v>12908</v>
      </c>
      <c r="H2854" s="28" t="s">
        <v>12909</v>
      </c>
      <c r="I2854" s="5" t="s">
        <v>12910</v>
      </c>
    </row>
    <row r="2855" spans="1:9" ht="51.75" customHeight="1">
      <c r="A2855" s="5"/>
      <c r="B2855" s="5" t="str">
        <f>CONCATENATE(G2855,"/",COUNTIF($G$2:G2855,G2855))</f>
        <v>DK-10130/1</v>
      </c>
      <c r="C2855" s="5" t="s">
        <v>31282</v>
      </c>
      <c r="D2855" s="246">
        <v>43131</v>
      </c>
      <c r="E2855" s="5" t="s">
        <v>31283</v>
      </c>
      <c r="F2855" s="26" t="s">
        <v>27950</v>
      </c>
      <c r="G2855" s="36" t="s">
        <v>14380</v>
      </c>
      <c r="H2855" s="28" t="s">
        <v>14381</v>
      </c>
      <c r="I2855" s="5" t="s">
        <v>12910</v>
      </c>
    </row>
    <row r="2856" spans="1:9" ht="51.75" customHeight="1">
      <c r="A2856" s="5"/>
      <c r="B2856" s="5" t="str">
        <f>CONCATENATE(G2856,"/",COUNTIF($G$2:G2856,G2856))</f>
        <v>DK-10130/2</v>
      </c>
      <c r="C2856" s="5" t="s">
        <v>31284</v>
      </c>
      <c r="D2856" s="246">
        <v>43131</v>
      </c>
      <c r="E2856" s="5" t="s">
        <v>31285</v>
      </c>
      <c r="F2856" s="26" t="s">
        <v>27950</v>
      </c>
      <c r="G2856" s="36" t="s">
        <v>14380</v>
      </c>
      <c r="H2856" s="28" t="s">
        <v>14381</v>
      </c>
      <c r="I2856" s="5" t="s">
        <v>12910</v>
      </c>
    </row>
    <row r="2857" spans="1:9" ht="51.75" customHeight="1">
      <c r="A2857" s="5"/>
      <c r="B2857" s="5" t="str">
        <f>CONCATENATE(G2857,"/",COUNTIF($G$2:G2857,G2857))</f>
        <v>DK-10131/1</v>
      </c>
      <c r="C2857" s="5" t="s">
        <v>31286</v>
      </c>
      <c r="D2857" s="246">
        <v>43417</v>
      </c>
      <c r="E2857" s="5" t="s">
        <v>31287</v>
      </c>
      <c r="F2857" s="26" t="s">
        <v>27950</v>
      </c>
      <c r="G2857" s="36" t="s">
        <v>13282</v>
      </c>
      <c r="H2857" s="28" t="s">
        <v>13283</v>
      </c>
      <c r="I2857" s="5" t="s">
        <v>12910</v>
      </c>
    </row>
    <row r="2858" spans="1:9" ht="51.75" customHeight="1">
      <c r="A2858" s="5"/>
      <c r="B2858" s="5" t="str">
        <f>CONCATENATE(G2858,"/",COUNTIF($G$2:G2858,G2858))</f>
        <v>DK-10131/2</v>
      </c>
      <c r="C2858" s="5" t="s">
        <v>31288</v>
      </c>
      <c r="D2858" s="246">
        <v>43417</v>
      </c>
      <c r="E2858" s="5" t="s">
        <v>31289</v>
      </c>
      <c r="F2858" s="26" t="s">
        <v>27950</v>
      </c>
      <c r="G2858" s="36" t="s">
        <v>13282</v>
      </c>
      <c r="H2858" s="28" t="s">
        <v>13283</v>
      </c>
      <c r="I2858" s="5" t="s">
        <v>12910</v>
      </c>
    </row>
    <row r="2859" spans="1:9" ht="51.75" customHeight="1">
      <c r="A2859" s="5"/>
      <c r="B2859" s="5" t="str">
        <f>CONCATENATE(G2859,"/",COUNTIF($G$2:G2859,G2859))</f>
        <v>DK-10134/1</v>
      </c>
      <c r="C2859" s="5" t="s">
        <v>31290</v>
      </c>
      <c r="D2859" s="246">
        <v>44315</v>
      </c>
      <c r="E2859" s="5" t="s">
        <v>31291</v>
      </c>
      <c r="F2859" s="26" t="s">
        <v>27950</v>
      </c>
      <c r="G2859" s="36" t="s">
        <v>17751</v>
      </c>
      <c r="H2859" s="28" t="s">
        <v>17752</v>
      </c>
      <c r="I2859" s="5" t="s">
        <v>12910</v>
      </c>
    </row>
    <row r="2860" spans="1:9" ht="51.75" customHeight="1">
      <c r="A2860" s="5"/>
      <c r="B2860" s="5" t="str">
        <f>CONCATENATE(G2860,"/",COUNTIF($G$2:G2860,G2860))</f>
        <v>DK-10134/2</v>
      </c>
      <c r="C2860" s="5" t="s">
        <v>31292</v>
      </c>
      <c r="D2860" s="246">
        <v>44315</v>
      </c>
      <c r="E2860" s="5" t="s">
        <v>31293</v>
      </c>
      <c r="F2860" s="26" t="s">
        <v>27950</v>
      </c>
      <c r="G2860" s="36" t="s">
        <v>17751</v>
      </c>
      <c r="H2860" s="28" t="s">
        <v>17752</v>
      </c>
      <c r="I2860" s="5" t="s">
        <v>12910</v>
      </c>
    </row>
    <row r="2861" spans="1:9" ht="51.75" customHeight="1">
      <c r="A2861" s="5"/>
      <c r="B2861" s="5" t="str">
        <f>CONCATENATE(G2861,"/",COUNTIF($G$2:G2861,G2861))</f>
        <v>DK-10136/1</v>
      </c>
      <c r="C2861" s="5" t="s">
        <v>31294</v>
      </c>
      <c r="D2861" s="246">
        <v>44470</v>
      </c>
      <c r="E2861" s="5" t="s">
        <v>31295</v>
      </c>
      <c r="F2861" s="26" t="s">
        <v>27950</v>
      </c>
      <c r="G2861" s="36" t="s">
        <v>18266</v>
      </c>
      <c r="H2861" s="28" t="s">
        <v>18267</v>
      </c>
      <c r="I2861" s="5" t="s">
        <v>12910</v>
      </c>
    </row>
    <row r="2862" spans="1:9" ht="51.75" customHeight="1">
      <c r="A2862" s="5"/>
      <c r="B2862" s="5" t="s">
        <v>31296</v>
      </c>
      <c r="C2862" s="5" t="s">
        <v>31297</v>
      </c>
      <c r="D2862" s="246">
        <v>44337</v>
      </c>
      <c r="E2862" s="30" t="s">
        <v>31298</v>
      </c>
      <c r="F2862" s="26" t="s">
        <v>23600</v>
      </c>
      <c r="G2862" s="27" t="s">
        <v>17801</v>
      </c>
      <c r="H2862" s="29" t="s">
        <v>17802</v>
      </c>
      <c r="I2862" s="30" t="s">
        <v>31299</v>
      </c>
    </row>
    <row r="2863" spans="1:9" ht="51.75" customHeight="1">
      <c r="A2863" s="5"/>
      <c r="B2863" s="5" t="s">
        <v>31300</v>
      </c>
      <c r="C2863" s="5" t="s">
        <v>31301</v>
      </c>
      <c r="D2863" s="246">
        <v>44337</v>
      </c>
      <c r="E2863" s="30" t="s">
        <v>31302</v>
      </c>
      <c r="F2863" s="26" t="s">
        <v>23600</v>
      </c>
      <c r="G2863" s="39" t="s">
        <v>17801</v>
      </c>
      <c r="H2863" s="29" t="s">
        <v>17802</v>
      </c>
      <c r="I2863" s="30" t="s">
        <v>31299</v>
      </c>
    </row>
    <row r="2864" spans="1:9" ht="51.75" customHeight="1">
      <c r="A2864" s="5"/>
      <c r="B2864" s="5" t="s">
        <v>31303</v>
      </c>
      <c r="C2864" s="5" t="s">
        <v>31304</v>
      </c>
      <c r="D2864" s="246">
        <v>44337</v>
      </c>
      <c r="E2864" s="30" t="s">
        <v>31305</v>
      </c>
      <c r="F2864" s="26" t="s">
        <v>23600</v>
      </c>
      <c r="G2864" s="39" t="s">
        <v>17801</v>
      </c>
      <c r="H2864" s="29" t="s">
        <v>17802</v>
      </c>
      <c r="I2864" s="30" t="s">
        <v>31299</v>
      </c>
    </row>
    <row r="2865" spans="1:9" ht="51.75" customHeight="1">
      <c r="A2865" s="5"/>
      <c r="B2865" s="5" t="s">
        <v>31306</v>
      </c>
      <c r="C2865" s="5" t="s">
        <v>31307</v>
      </c>
      <c r="D2865" s="246">
        <v>44337</v>
      </c>
      <c r="E2865" s="30" t="s">
        <v>31308</v>
      </c>
      <c r="F2865" s="26" t="s">
        <v>23600</v>
      </c>
      <c r="G2865" s="39" t="s">
        <v>17801</v>
      </c>
      <c r="H2865" s="29" t="s">
        <v>17802</v>
      </c>
      <c r="I2865" s="30" t="s">
        <v>31299</v>
      </c>
    </row>
    <row r="2866" spans="1:9" ht="51.75" customHeight="1">
      <c r="A2866" s="5"/>
      <c r="B2866" s="5" t="s">
        <v>31309</v>
      </c>
      <c r="C2866" s="5" t="s">
        <v>31310</v>
      </c>
      <c r="D2866" s="246">
        <v>44337</v>
      </c>
      <c r="E2866" s="30" t="s">
        <v>31311</v>
      </c>
      <c r="F2866" s="26" t="s">
        <v>23600</v>
      </c>
      <c r="G2866" s="39" t="s">
        <v>17801</v>
      </c>
      <c r="H2866" s="29" t="s">
        <v>17802</v>
      </c>
      <c r="I2866" s="30" t="s">
        <v>31299</v>
      </c>
    </row>
    <row r="2867" spans="1:9" ht="51.75" customHeight="1">
      <c r="A2867" s="5"/>
      <c r="B2867" s="5" t="s">
        <v>31312</v>
      </c>
      <c r="C2867" s="5" t="s">
        <v>31313</v>
      </c>
      <c r="D2867" s="246">
        <v>44337</v>
      </c>
      <c r="E2867" s="30" t="s">
        <v>31314</v>
      </c>
      <c r="F2867" s="26" t="s">
        <v>23600</v>
      </c>
      <c r="G2867" s="39" t="s">
        <v>17801</v>
      </c>
      <c r="H2867" s="29" t="s">
        <v>17802</v>
      </c>
      <c r="I2867" s="40" t="s">
        <v>31299</v>
      </c>
    </row>
    <row r="2868" spans="1:9" ht="51.75" customHeight="1">
      <c r="A2868" s="5"/>
      <c r="B2868" s="5" t="s">
        <v>31315</v>
      </c>
      <c r="C2868" s="5" t="s">
        <v>31316</v>
      </c>
      <c r="D2868" s="246">
        <v>44370</v>
      </c>
      <c r="E2868" s="5" t="s">
        <v>31317</v>
      </c>
      <c r="F2868" s="26" t="s">
        <v>23600</v>
      </c>
      <c r="G2868" s="27" t="s">
        <v>17915</v>
      </c>
      <c r="H2868" s="29" t="s">
        <v>17916</v>
      </c>
      <c r="I2868" s="30" t="s">
        <v>17682</v>
      </c>
    </row>
    <row r="2869" spans="1:9" ht="51.75" customHeight="1">
      <c r="A2869" s="5"/>
      <c r="B2869" s="5" t="s">
        <v>31318</v>
      </c>
      <c r="C2869" s="5" t="s">
        <v>31319</v>
      </c>
      <c r="D2869" s="246">
        <v>44370</v>
      </c>
      <c r="E2869" s="5" t="s">
        <v>31320</v>
      </c>
      <c r="F2869" s="26" t="s">
        <v>23600</v>
      </c>
      <c r="G2869" s="27" t="s">
        <v>17915</v>
      </c>
      <c r="H2869" s="29" t="s">
        <v>17916</v>
      </c>
      <c r="I2869" s="30" t="s">
        <v>17682</v>
      </c>
    </row>
    <row r="2870" spans="1:9" ht="51.75" customHeight="1">
      <c r="A2870" s="5">
        <v>1</v>
      </c>
      <c r="B2870" s="5" t="s">
        <v>31321</v>
      </c>
      <c r="C2870" s="5" t="s">
        <v>31322</v>
      </c>
      <c r="D2870" s="246">
        <v>40786</v>
      </c>
      <c r="E2870" s="5" t="s">
        <v>31323</v>
      </c>
      <c r="F2870" s="26"/>
      <c r="G2870" s="27" t="s">
        <v>5228</v>
      </c>
      <c r="H2870" s="28" t="s">
        <v>5229</v>
      </c>
      <c r="I2870" s="5" t="s">
        <v>233</v>
      </c>
    </row>
    <row r="2871" spans="1:9" ht="51.75" customHeight="1">
      <c r="A2871" s="5">
        <v>2</v>
      </c>
      <c r="B2871" s="5" t="s">
        <v>31324</v>
      </c>
      <c r="C2871" s="5" t="s">
        <v>31325</v>
      </c>
      <c r="D2871" s="246">
        <v>40786</v>
      </c>
      <c r="E2871" s="5" t="s">
        <v>31326</v>
      </c>
      <c r="F2871" s="26"/>
      <c r="G2871" s="27" t="s">
        <v>5228</v>
      </c>
      <c r="H2871" s="28" t="s">
        <v>5229</v>
      </c>
      <c r="I2871" s="5" t="s">
        <v>233</v>
      </c>
    </row>
    <row r="2872" spans="1:9" ht="51.75" customHeight="1">
      <c r="A2872" s="5">
        <v>3</v>
      </c>
      <c r="B2872" s="5" t="s">
        <v>31327</v>
      </c>
      <c r="C2872" s="5" t="s">
        <v>31328</v>
      </c>
      <c r="D2872" s="246">
        <v>40786</v>
      </c>
      <c r="E2872" s="5" t="s">
        <v>31329</v>
      </c>
      <c r="F2872" s="26"/>
      <c r="G2872" s="27" t="s">
        <v>5228</v>
      </c>
      <c r="H2872" s="28" t="s">
        <v>5229</v>
      </c>
      <c r="I2872" s="5" t="s">
        <v>233</v>
      </c>
    </row>
    <row r="2873" spans="1:9" ht="51.75" customHeight="1">
      <c r="A2873" s="5">
        <v>4</v>
      </c>
      <c r="B2873" s="5" t="s">
        <v>31330</v>
      </c>
      <c r="C2873" s="5" t="s">
        <v>31331</v>
      </c>
      <c r="D2873" s="246">
        <v>40786</v>
      </c>
      <c r="E2873" s="5" t="s">
        <v>31332</v>
      </c>
      <c r="F2873" s="26"/>
      <c r="G2873" s="27" t="s">
        <v>5228</v>
      </c>
      <c r="H2873" s="28" t="s">
        <v>5229</v>
      </c>
      <c r="I2873" s="5" t="s">
        <v>233</v>
      </c>
    </row>
    <row r="2874" spans="1:9" ht="51.75" customHeight="1">
      <c r="A2874" s="5">
        <v>5</v>
      </c>
      <c r="B2874" s="5" t="s">
        <v>31333</v>
      </c>
      <c r="C2874" s="5" t="s">
        <v>31334</v>
      </c>
      <c r="D2874" s="246">
        <v>40786</v>
      </c>
      <c r="E2874" s="5" t="s">
        <v>31335</v>
      </c>
      <c r="F2874" s="26"/>
      <c r="G2874" s="27" t="s">
        <v>5228</v>
      </c>
      <c r="H2874" s="28" t="s">
        <v>5229</v>
      </c>
      <c r="I2874" s="5" t="s">
        <v>233</v>
      </c>
    </row>
    <row r="2875" spans="1:9" ht="51.75" customHeight="1">
      <c r="A2875" s="5">
        <v>6</v>
      </c>
      <c r="B2875" s="5" t="s">
        <v>31336</v>
      </c>
      <c r="C2875" s="5" t="s">
        <v>31337</v>
      </c>
      <c r="D2875" s="246">
        <v>40786</v>
      </c>
      <c r="E2875" s="5" t="s">
        <v>31338</v>
      </c>
      <c r="F2875" s="26"/>
      <c r="G2875" s="27" t="s">
        <v>5228</v>
      </c>
      <c r="H2875" s="28" t="s">
        <v>5229</v>
      </c>
      <c r="I2875" s="5" t="s">
        <v>233</v>
      </c>
    </row>
    <row r="2876" spans="1:9" ht="51.75" customHeight="1">
      <c r="A2876" s="5">
        <v>1</v>
      </c>
      <c r="B2876" s="5" t="s">
        <v>31339</v>
      </c>
      <c r="C2876" s="5" t="s">
        <v>31340</v>
      </c>
      <c r="D2876" s="246">
        <v>40715</v>
      </c>
      <c r="E2876" s="5" t="s">
        <v>31341</v>
      </c>
      <c r="F2876" s="26"/>
      <c r="G2876" s="27" t="s">
        <v>5203</v>
      </c>
      <c r="H2876" s="28" t="s">
        <v>5204</v>
      </c>
      <c r="I2876" s="5" t="s">
        <v>233</v>
      </c>
    </row>
    <row r="2877" spans="1:9" ht="51.75" customHeight="1">
      <c r="A2877" s="5">
        <v>2</v>
      </c>
      <c r="B2877" s="5" t="s">
        <v>31342</v>
      </c>
      <c r="C2877" s="5" t="s">
        <v>31343</v>
      </c>
      <c r="D2877" s="246">
        <v>40715</v>
      </c>
      <c r="E2877" s="5" t="s">
        <v>31344</v>
      </c>
      <c r="F2877" s="26"/>
      <c r="G2877" s="27" t="s">
        <v>5203</v>
      </c>
      <c r="H2877" s="28" t="s">
        <v>5204</v>
      </c>
      <c r="I2877" s="5" t="s">
        <v>233</v>
      </c>
    </row>
    <row r="2878" spans="1:9" ht="51.75" customHeight="1">
      <c r="A2878" s="5">
        <v>3</v>
      </c>
      <c r="B2878" s="5" t="s">
        <v>31345</v>
      </c>
      <c r="C2878" s="5" t="s">
        <v>31346</v>
      </c>
      <c r="D2878" s="246">
        <v>40715</v>
      </c>
      <c r="E2878" s="5" t="s">
        <v>31347</v>
      </c>
      <c r="F2878" s="26"/>
      <c r="G2878" s="27" t="s">
        <v>5203</v>
      </c>
      <c r="H2878" s="28" t="s">
        <v>5204</v>
      </c>
      <c r="I2878" s="5" t="s">
        <v>233</v>
      </c>
    </row>
    <row r="2879" spans="1:9" ht="51.75" customHeight="1">
      <c r="A2879" s="5">
        <v>4</v>
      </c>
      <c r="B2879" s="5" t="s">
        <v>31348</v>
      </c>
      <c r="C2879" s="5" t="s">
        <v>31349</v>
      </c>
      <c r="D2879" s="246">
        <v>40715</v>
      </c>
      <c r="E2879" s="5" t="s">
        <v>31350</v>
      </c>
      <c r="F2879" s="26"/>
      <c r="G2879" s="27" t="s">
        <v>5203</v>
      </c>
      <c r="H2879" s="28" t="s">
        <v>5204</v>
      </c>
      <c r="I2879" s="5" t="s">
        <v>233</v>
      </c>
    </row>
    <row r="2880" spans="1:9" ht="51.75" customHeight="1">
      <c r="A2880" s="5">
        <v>5</v>
      </c>
      <c r="B2880" s="5" t="s">
        <v>31351</v>
      </c>
      <c r="C2880" s="5" t="s">
        <v>31352</v>
      </c>
      <c r="D2880" s="246">
        <v>40715</v>
      </c>
      <c r="E2880" s="5" t="s">
        <v>31353</v>
      </c>
      <c r="F2880" s="26"/>
      <c r="G2880" s="27" t="s">
        <v>5203</v>
      </c>
      <c r="H2880" s="28" t="s">
        <v>5204</v>
      </c>
      <c r="I2880" s="5" t="s">
        <v>233</v>
      </c>
    </row>
    <row r="2881" spans="1:9" ht="51.75" customHeight="1">
      <c r="A2881" s="5">
        <v>6</v>
      </c>
      <c r="B2881" s="5" t="s">
        <v>31354</v>
      </c>
      <c r="C2881" s="5" t="s">
        <v>31355</v>
      </c>
      <c r="D2881" s="246">
        <v>40715</v>
      </c>
      <c r="E2881" s="5" t="s">
        <v>31356</v>
      </c>
      <c r="F2881" s="26"/>
      <c r="G2881" s="27" t="s">
        <v>5203</v>
      </c>
      <c r="H2881" s="28" t="s">
        <v>5204</v>
      </c>
      <c r="I2881" s="5" t="s">
        <v>233</v>
      </c>
    </row>
    <row r="2882" spans="1:9" ht="51.75" customHeight="1">
      <c r="A2882" s="5">
        <v>7</v>
      </c>
      <c r="B2882" s="5" t="s">
        <v>31357</v>
      </c>
      <c r="C2882" s="5" t="s">
        <v>31358</v>
      </c>
      <c r="D2882" s="246">
        <v>40715</v>
      </c>
      <c r="E2882" s="5" t="s">
        <v>31359</v>
      </c>
      <c r="F2882" s="26"/>
      <c r="G2882" s="27" t="s">
        <v>5203</v>
      </c>
      <c r="H2882" s="28" t="s">
        <v>5204</v>
      </c>
      <c r="I2882" s="5" t="s">
        <v>233</v>
      </c>
    </row>
    <row r="2883" spans="1:9" ht="51.75" customHeight="1">
      <c r="A2883" s="5">
        <v>1</v>
      </c>
      <c r="B2883" s="5" t="s">
        <v>31360</v>
      </c>
      <c r="C2883" s="5" t="s">
        <v>31361</v>
      </c>
      <c r="D2883" s="246">
        <v>40645</v>
      </c>
      <c r="E2883" s="5" t="s">
        <v>31362</v>
      </c>
      <c r="F2883" s="26"/>
      <c r="G2883" s="27" t="s">
        <v>5075</v>
      </c>
      <c r="H2883" s="28" t="s">
        <v>5076</v>
      </c>
      <c r="I2883" s="5" t="s">
        <v>233</v>
      </c>
    </row>
    <row r="2884" spans="1:9" ht="51.75" customHeight="1">
      <c r="A2884" s="5">
        <v>2</v>
      </c>
      <c r="B2884" s="5" t="s">
        <v>31363</v>
      </c>
      <c r="C2884" s="5" t="s">
        <v>31364</v>
      </c>
      <c r="D2884" s="246">
        <v>40645</v>
      </c>
      <c r="E2884" s="5" t="s">
        <v>31365</v>
      </c>
      <c r="F2884" s="26"/>
      <c r="G2884" s="27" t="s">
        <v>5075</v>
      </c>
      <c r="H2884" s="28" t="s">
        <v>5076</v>
      </c>
      <c r="I2884" s="5" t="s">
        <v>233</v>
      </c>
    </row>
    <row r="2885" spans="1:9" ht="51.75" customHeight="1">
      <c r="A2885" s="5">
        <v>3</v>
      </c>
      <c r="B2885" s="5" t="s">
        <v>31366</v>
      </c>
      <c r="C2885" s="5" t="s">
        <v>31367</v>
      </c>
      <c r="D2885" s="246">
        <v>40645</v>
      </c>
      <c r="E2885" s="5" t="s">
        <v>31368</v>
      </c>
      <c r="F2885" s="26"/>
      <c r="G2885" s="27" t="s">
        <v>5075</v>
      </c>
      <c r="H2885" s="28" t="s">
        <v>5076</v>
      </c>
      <c r="I2885" s="5" t="s">
        <v>233</v>
      </c>
    </row>
    <row r="2886" spans="1:9" ht="51.75" customHeight="1">
      <c r="A2886" s="5">
        <v>4</v>
      </c>
      <c r="B2886" s="5" t="s">
        <v>31369</v>
      </c>
      <c r="C2886" s="5" t="s">
        <v>31370</v>
      </c>
      <c r="D2886" s="246">
        <v>40645</v>
      </c>
      <c r="E2886" s="5" t="s">
        <v>31371</v>
      </c>
      <c r="F2886" s="26"/>
      <c r="G2886" s="27" t="s">
        <v>5075</v>
      </c>
      <c r="H2886" s="28" t="s">
        <v>5076</v>
      </c>
      <c r="I2886" s="5" t="s">
        <v>233</v>
      </c>
    </row>
    <row r="2887" spans="1:9" ht="51.75" customHeight="1">
      <c r="A2887" s="5">
        <v>1</v>
      </c>
      <c r="B2887" s="5" t="s">
        <v>31372</v>
      </c>
      <c r="C2887" s="5" t="s">
        <v>31373</v>
      </c>
      <c r="D2887" s="246">
        <v>40739</v>
      </c>
      <c r="E2887" s="5" t="s">
        <v>31374</v>
      </c>
      <c r="F2887" s="26"/>
      <c r="G2887" s="27" t="s">
        <v>5136</v>
      </c>
      <c r="H2887" s="28" t="s">
        <v>5137</v>
      </c>
      <c r="I2887" s="5" t="s">
        <v>233</v>
      </c>
    </row>
    <row r="2888" spans="1:9" ht="51.75" customHeight="1">
      <c r="A2888" s="5">
        <v>2</v>
      </c>
      <c r="B2888" s="5" t="s">
        <v>31375</v>
      </c>
      <c r="C2888" s="5" t="s">
        <v>31376</v>
      </c>
      <c r="D2888" s="246">
        <v>40739</v>
      </c>
      <c r="E2888" s="5" t="s">
        <v>31377</v>
      </c>
      <c r="F2888" s="26"/>
      <c r="G2888" s="27" t="s">
        <v>5136</v>
      </c>
      <c r="H2888" s="28" t="s">
        <v>5137</v>
      </c>
      <c r="I2888" s="5" t="s">
        <v>233</v>
      </c>
    </row>
    <row r="2889" spans="1:9" ht="51.75" customHeight="1">
      <c r="A2889" s="5">
        <v>3</v>
      </c>
      <c r="B2889" s="5" t="s">
        <v>31378</v>
      </c>
      <c r="C2889" s="5" t="s">
        <v>31379</v>
      </c>
      <c r="D2889" s="246">
        <v>40739</v>
      </c>
      <c r="E2889" s="5" t="s">
        <v>31380</v>
      </c>
      <c r="F2889" s="26"/>
      <c r="G2889" s="27" t="s">
        <v>5136</v>
      </c>
      <c r="H2889" s="28" t="s">
        <v>5137</v>
      </c>
      <c r="I2889" s="5" t="s">
        <v>233</v>
      </c>
    </row>
    <row r="2890" spans="1:9" ht="51.75" customHeight="1">
      <c r="A2890" s="5">
        <v>4</v>
      </c>
      <c r="B2890" s="5" t="s">
        <v>31381</v>
      </c>
      <c r="C2890" s="5" t="s">
        <v>31382</v>
      </c>
      <c r="D2890" s="246">
        <v>40739</v>
      </c>
      <c r="E2890" s="5" t="s">
        <v>31383</v>
      </c>
      <c r="F2890" s="26"/>
      <c r="G2890" s="27" t="s">
        <v>5136</v>
      </c>
      <c r="H2890" s="28" t="s">
        <v>5137</v>
      </c>
      <c r="I2890" s="5" t="s">
        <v>233</v>
      </c>
    </row>
    <row r="2891" spans="1:9" ht="51.75" customHeight="1">
      <c r="A2891" s="5">
        <v>1</v>
      </c>
      <c r="B2891" s="5" t="s">
        <v>31384</v>
      </c>
      <c r="C2891" s="5" t="s">
        <v>31385</v>
      </c>
      <c r="D2891" s="246">
        <v>40359</v>
      </c>
      <c r="E2891" s="5" t="s">
        <v>31386</v>
      </c>
      <c r="F2891" s="26"/>
      <c r="G2891" s="27" t="s">
        <v>4452</v>
      </c>
      <c r="H2891" s="28" t="s">
        <v>4453</v>
      </c>
      <c r="I2891" s="5" t="s">
        <v>233</v>
      </c>
    </row>
    <row r="2892" spans="1:9" ht="51.75" customHeight="1">
      <c r="A2892" s="5">
        <v>1</v>
      </c>
      <c r="B2892" s="5" t="s">
        <v>31387</v>
      </c>
      <c r="C2892" s="5" t="s">
        <v>31388</v>
      </c>
      <c r="D2892" s="246">
        <v>40739</v>
      </c>
      <c r="E2892" s="5" t="s">
        <v>31389</v>
      </c>
      <c r="F2892" s="26"/>
      <c r="G2892" s="27" t="s">
        <v>4943</v>
      </c>
      <c r="H2892" s="28" t="s">
        <v>4944</v>
      </c>
      <c r="I2892" s="5" t="s">
        <v>233</v>
      </c>
    </row>
    <row r="2893" spans="1:9" ht="51.75" customHeight="1">
      <c r="A2893" s="5">
        <v>2</v>
      </c>
      <c r="B2893" s="5" t="s">
        <v>31390</v>
      </c>
      <c r="C2893" s="5" t="s">
        <v>31391</v>
      </c>
      <c r="D2893" s="246">
        <v>40739</v>
      </c>
      <c r="E2893" s="5" t="s">
        <v>31392</v>
      </c>
      <c r="F2893" s="26"/>
      <c r="G2893" s="27" t="s">
        <v>4943</v>
      </c>
      <c r="H2893" s="28" t="s">
        <v>4944</v>
      </c>
      <c r="I2893" s="5" t="s">
        <v>233</v>
      </c>
    </row>
    <row r="2894" spans="1:9" ht="51.75" customHeight="1">
      <c r="A2894" s="5">
        <v>3</v>
      </c>
      <c r="B2894" s="5" t="s">
        <v>31393</v>
      </c>
      <c r="C2894" s="5" t="s">
        <v>31394</v>
      </c>
      <c r="D2894" s="246">
        <v>40739</v>
      </c>
      <c r="E2894" s="5" t="s">
        <v>31395</v>
      </c>
      <c r="F2894" s="26"/>
      <c r="G2894" s="27" t="s">
        <v>4943</v>
      </c>
      <c r="H2894" s="28" t="s">
        <v>4944</v>
      </c>
      <c r="I2894" s="5" t="s">
        <v>233</v>
      </c>
    </row>
    <row r="2895" spans="1:9" ht="51.75" customHeight="1">
      <c r="A2895" s="5">
        <v>4</v>
      </c>
      <c r="B2895" s="5" t="s">
        <v>31396</v>
      </c>
      <c r="C2895" s="5" t="s">
        <v>31397</v>
      </c>
      <c r="D2895" s="246">
        <v>40739</v>
      </c>
      <c r="E2895" s="5" t="s">
        <v>31398</v>
      </c>
      <c r="F2895" s="26"/>
      <c r="G2895" s="27" t="s">
        <v>4943</v>
      </c>
      <c r="H2895" s="28" t="s">
        <v>4944</v>
      </c>
      <c r="I2895" s="5" t="s">
        <v>233</v>
      </c>
    </row>
    <row r="2896" spans="1:9" ht="51.75" customHeight="1">
      <c r="A2896" s="5">
        <v>5</v>
      </c>
      <c r="B2896" s="5" t="s">
        <v>31399</v>
      </c>
      <c r="C2896" s="5" t="s">
        <v>31400</v>
      </c>
      <c r="D2896" s="246">
        <v>40739</v>
      </c>
      <c r="E2896" s="5" t="s">
        <v>31401</v>
      </c>
      <c r="F2896" s="26"/>
      <c r="G2896" s="27" t="s">
        <v>4943</v>
      </c>
      <c r="H2896" s="28" t="s">
        <v>4944</v>
      </c>
      <c r="I2896" s="5" t="s">
        <v>233</v>
      </c>
    </row>
    <row r="2897" spans="1:9" ht="51.75" customHeight="1">
      <c r="A2897" s="5">
        <v>6</v>
      </c>
      <c r="B2897" s="5" t="s">
        <v>31402</v>
      </c>
      <c r="C2897" s="5" t="s">
        <v>31403</v>
      </c>
      <c r="D2897" s="246">
        <v>40739</v>
      </c>
      <c r="E2897" s="5" t="s">
        <v>31404</v>
      </c>
      <c r="F2897" s="26"/>
      <c r="G2897" s="27" t="s">
        <v>4943</v>
      </c>
      <c r="H2897" s="28" t="s">
        <v>4944</v>
      </c>
      <c r="I2897" s="5" t="s">
        <v>233</v>
      </c>
    </row>
    <row r="2898" spans="1:9" ht="51.75" customHeight="1">
      <c r="A2898" s="5">
        <v>1</v>
      </c>
      <c r="B2898" s="5" t="s">
        <v>31405</v>
      </c>
      <c r="C2898" s="5" t="s">
        <v>31406</v>
      </c>
      <c r="D2898" s="246">
        <v>40631</v>
      </c>
      <c r="E2898" s="5" t="s">
        <v>31407</v>
      </c>
      <c r="F2898" s="26"/>
      <c r="G2898" s="27" t="s">
        <v>4852</v>
      </c>
      <c r="H2898" s="28" t="s">
        <v>4853</v>
      </c>
      <c r="I2898" s="5" t="s">
        <v>233</v>
      </c>
    </row>
    <row r="2899" spans="1:9" ht="51.75" customHeight="1">
      <c r="A2899" s="5">
        <v>2</v>
      </c>
      <c r="B2899" s="5" t="s">
        <v>31408</v>
      </c>
      <c r="C2899" s="5" t="s">
        <v>31409</v>
      </c>
      <c r="D2899" s="246">
        <v>40631</v>
      </c>
      <c r="E2899" s="5" t="s">
        <v>31410</v>
      </c>
      <c r="F2899" s="26"/>
      <c r="G2899" s="27" t="s">
        <v>4852</v>
      </c>
      <c r="H2899" s="28" t="s">
        <v>4853</v>
      </c>
      <c r="I2899" s="5" t="s">
        <v>233</v>
      </c>
    </row>
    <row r="2900" spans="1:9" ht="51.75" customHeight="1">
      <c r="A2900" s="5">
        <v>3</v>
      </c>
      <c r="B2900" s="5" t="s">
        <v>31411</v>
      </c>
      <c r="C2900" s="5" t="s">
        <v>31412</v>
      </c>
      <c r="D2900" s="246">
        <v>40631</v>
      </c>
      <c r="E2900" s="5" t="s">
        <v>31413</v>
      </c>
      <c r="F2900" s="26"/>
      <c r="G2900" s="27" t="s">
        <v>4852</v>
      </c>
      <c r="H2900" s="28" t="s">
        <v>4853</v>
      </c>
      <c r="I2900" s="5" t="s">
        <v>233</v>
      </c>
    </row>
    <row r="2901" spans="1:9" ht="51.75" customHeight="1">
      <c r="A2901" s="5">
        <v>4</v>
      </c>
      <c r="B2901" s="5" t="s">
        <v>31414</v>
      </c>
      <c r="C2901" s="5" t="s">
        <v>31415</v>
      </c>
      <c r="D2901" s="246">
        <v>40631</v>
      </c>
      <c r="E2901" s="5" t="s">
        <v>31416</v>
      </c>
      <c r="F2901" s="26"/>
      <c r="G2901" s="27" t="s">
        <v>4852</v>
      </c>
      <c r="H2901" s="28" t="s">
        <v>4853</v>
      </c>
      <c r="I2901" s="5" t="s">
        <v>233</v>
      </c>
    </row>
    <row r="2902" spans="1:9" ht="51.75" customHeight="1">
      <c r="A2902" s="5">
        <v>5</v>
      </c>
      <c r="B2902" s="5" t="s">
        <v>31417</v>
      </c>
      <c r="C2902" s="5" t="s">
        <v>31418</v>
      </c>
      <c r="D2902" s="246">
        <v>40631</v>
      </c>
      <c r="E2902" s="5" t="s">
        <v>31419</v>
      </c>
      <c r="F2902" s="26"/>
      <c r="G2902" s="27" t="s">
        <v>4852</v>
      </c>
      <c r="H2902" s="28" t="s">
        <v>4853</v>
      </c>
      <c r="I2902" s="5" t="s">
        <v>233</v>
      </c>
    </row>
    <row r="2903" spans="1:9" ht="51.75" customHeight="1">
      <c r="A2903" s="5">
        <v>6</v>
      </c>
      <c r="B2903" s="5" t="s">
        <v>31420</v>
      </c>
      <c r="C2903" s="5" t="s">
        <v>31421</v>
      </c>
      <c r="D2903" s="246">
        <v>40631</v>
      </c>
      <c r="E2903" s="5" t="s">
        <v>31422</v>
      </c>
      <c r="F2903" s="26"/>
      <c r="G2903" s="27" t="s">
        <v>4852</v>
      </c>
      <c r="H2903" s="28" t="s">
        <v>4853</v>
      </c>
      <c r="I2903" s="5" t="s">
        <v>233</v>
      </c>
    </row>
    <row r="2904" spans="1:9" ht="51.75" customHeight="1">
      <c r="A2904" s="5">
        <v>1</v>
      </c>
      <c r="B2904" s="5" t="s">
        <v>31423</v>
      </c>
      <c r="C2904" s="5" t="s">
        <v>31424</v>
      </c>
      <c r="D2904" s="246">
        <v>40631</v>
      </c>
      <c r="E2904" s="5" t="s">
        <v>31425</v>
      </c>
      <c r="F2904" s="26"/>
      <c r="G2904" s="27" t="s">
        <v>4870</v>
      </c>
      <c r="H2904" s="28" t="s">
        <v>4871</v>
      </c>
      <c r="I2904" s="5" t="s">
        <v>233</v>
      </c>
    </row>
    <row r="2905" spans="1:9" ht="51.75" customHeight="1">
      <c r="A2905" s="5">
        <v>2</v>
      </c>
      <c r="B2905" s="5" t="s">
        <v>31426</v>
      </c>
      <c r="C2905" s="5" t="s">
        <v>31427</v>
      </c>
      <c r="D2905" s="246">
        <v>40631</v>
      </c>
      <c r="E2905" s="5" t="s">
        <v>31428</v>
      </c>
      <c r="F2905" s="26"/>
      <c r="G2905" s="27" t="s">
        <v>4870</v>
      </c>
      <c r="H2905" s="28" t="s">
        <v>4871</v>
      </c>
      <c r="I2905" s="5" t="s">
        <v>233</v>
      </c>
    </row>
    <row r="2906" spans="1:9" ht="51.75" customHeight="1">
      <c r="A2906" s="5">
        <v>3</v>
      </c>
      <c r="B2906" s="5" t="s">
        <v>31429</v>
      </c>
      <c r="C2906" s="5" t="s">
        <v>31430</v>
      </c>
      <c r="D2906" s="246">
        <v>40631</v>
      </c>
      <c r="E2906" s="5" t="s">
        <v>31431</v>
      </c>
      <c r="F2906" s="26"/>
      <c r="G2906" s="27" t="s">
        <v>4870</v>
      </c>
      <c r="H2906" s="28" t="s">
        <v>4871</v>
      </c>
      <c r="I2906" s="5" t="s">
        <v>233</v>
      </c>
    </row>
    <row r="2907" spans="1:9" ht="51.75" customHeight="1">
      <c r="A2907" s="5">
        <v>4</v>
      </c>
      <c r="B2907" s="5" t="s">
        <v>31432</v>
      </c>
      <c r="C2907" s="5" t="s">
        <v>31433</v>
      </c>
      <c r="D2907" s="246">
        <v>40631</v>
      </c>
      <c r="E2907" s="5" t="s">
        <v>31434</v>
      </c>
      <c r="F2907" s="26"/>
      <c r="G2907" s="27" t="s">
        <v>4870</v>
      </c>
      <c r="H2907" s="28" t="s">
        <v>4871</v>
      </c>
      <c r="I2907" s="5" t="s">
        <v>233</v>
      </c>
    </row>
    <row r="2908" spans="1:9" ht="51.75" customHeight="1">
      <c r="A2908" s="5">
        <v>5</v>
      </c>
      <c r="B2908" s="5" t="s">
        <v>31435</v>
      </c>
      <c r="C2908" s="5" t="s">
        <v>31436</v>
      </c>
      <c r="D2908" s="246">
        <v>40631</v>
      </c>
      <c r="E2908" s="5" t="s">
        <v>31437</v>
      </c>
      <c r="F2908" s="26"/>
      <c r="G2908" s="27" t="s">
        <v>4870</v>
      </c>
      <c r="H2908" s="28" t="s">
        <v>4871</v>
      </c>
      <c r="I2908" s="5" t="s">
        <v>233</v>
      </c>
    </row>
    <row r="2909" spans="1:9" ht="51.75" customHeight="1">
      <c r="A2909" s="5">
        <v>6</v>
      </c>
      <c r="B2909" s="5" t="s">
        <v>31438</v>
      </c>
      <c r="C2909" s="5" t="s">
        <v>31439</v>
      </c>
      <c r="D2909" s="246">
        <v>40631</v>
      </c>
      <c r="E2909" s="5" t="s">
        <v>31440</v>
      </c>
      <c r="F2909" s="26"/>
      <c r="G2909" s="27" t="s">
        <v>4870</v>
      </c>
      <c r="H2909" s="28" t="s">
        <v>4871</v>
      </c>
      <c r="I2909" s="5" t="s">
        <v>233</v>
      </c>
    </row>
    <row r="2910" spans="1:9" ht="51.75" customHeight="1">
      <c r="A2910" s="5">
        <v>7</v>
      </c>
      <c r="B2910" s="5" t="s">
        <v>31441</v>
      </c>
      <c r="C2910" s="5" t="s">
        <v>31442</v>
      </c>
      <c r="D2910" s="246">
        <v>40631</v>
      </c>
      <c r="E2910" s="5" t="s">
        <v>31443</v>
      </c>
      <c r="F2910" s="26"/>
      <c r="G2910" s="27" t="s">
        <v>4870</v>
      </c>
      <c r="H2910" s="28" t="s">
        <v>4871</v>
      </c>
      <c r="I2910" s="5" t="s">
        <v>233</v>
      </c>
    </row>
    <row r="2911" spans="1:9" ht="51.75" customHeight="1">
      <c r="A2911" s="5">
        <v>8</v>
      </c>
      <c r="B2911" s="5" t="s">
        <v>31444</v>
      </c>
      <c r="C2911" s="5" t="s">
        <v>31445</v>
      </c>
      <c r="D2911" s="246">
        <v>40631</v>
      </c>
      <c r="E2911" s="5" t="s">
        <v>31446</v>
      </c>
      <c r="F2911" s="26"/>
      <c r="G2911" s="27" t="s">
        <v>4870</v>
      </c>
      <c r="H2911" s="28" t="s">
        <v>4871</v>
      </c>
      <c r="I2911" s="5" t="s">
        <v>233</v>
      </c>
    </row>
    <row r="2912" spans="1:9" ht="51.75" customHeight="1">
      <c r="A2912" s="5">
        <v>9</v>
      </c>
      <c r="B2912" s="5" t="s">
        <v>31447</v>
      </c>
      <c r="C2912" s="5" t="s">
        <v>31448</v>
      </c>
      <c r="D2912" s="246">
        <v>40631</v>
      </c>
      <c r="E2912" s="5" t="s">
        <v>31449</v>
      </c>
      <c r="F2912" s="26"/>
      <c r="G2912" s="27" t="s">
        <v>4870</v>
      </c>
      <c r="H2912" s="28" t="s">
        <v>4871</v>
      </c>
      <c r="I2912" s="5" t="s">
        <v>233</v>
      </c>
    </row>
    <row r="2913" spans="1:9" ht="51.75" customHeight="1">
      <c r="A2913" s="5">
        <v>1</v>
      </c>
      <c r="B2913" s="5" t="s">
        <v>31450</v>
      </c>
      <c r="C2913" s="5" t="s">
        <v>31451</v>
      </c>
      <c r="D2913" s="246">
        <v>40631</v>
      </c>
      <c r="E2913" s="5" t="s">
        <v>31452</v>
      </c>
      <c r="F2913" s="26"/>
      <c r="G2913" s="27" t="s">
        <v>4747</v>
      </c>
      <c r="H2913" s="28" t="s">
        <v>4748</v>
      </c>
      <c r="I2913" s="5" t="s">
        <v>233</v>
      </c>
    </row>
    <row r="2914" spans="1:9" ht="51.75" customHeight="1">
      <c r="A2914" s="5">
        <v>2</v>
      </c>
      <c r="B2914" s="5" t="s">
        <v>31453</v>
      </c>
      <c r="C2914" s="5" t="s">
        <v>31454</v>
      </c>
      <c r="D2914" s="246">
        <v>40631</v>
      </c>
      <c r="E2914" s="5" t="s">
        <v>31455</v>
      </c>
      <c r="F2914" s="26"/>
      <c r="G2914" s="27" t="s">
        <v>4747</v>
      </c>
      <c r="H2914" s="28" t="s">
        <v>4748</v>
      </c>
      <c r="I2914" s="5" t="s">
        <v>233</v>
      </c>
    </row>
    <row r="2915" spans="1:9" ht="51.75" customHeight="1">
      <c r="A2915" s="5">
        <v>1</v>
      </c>
      <c r="B2915" s="5" t="s">
        <v>31456</v>
      </c>
      <c r="C2915" s="5" t="s">
        <v>31457</v>
      </c>
      <c r="D2915" s="246">
        <v>40577</v>
      </c>
      <c r="E2915" s="5" t="s">
        <v>31458</v>
      </c>
      <c r="F2915" s="26"/>
      <c r="G2915" s="27" t="s">
        <v>4655</v>
      </c>
      <c r="H2915" s="28" t="s">
        <v>4656</v>
      </c>
      <c r="I2915" s="5" t="s">
        <v>233</v>
      </c>
    </row>
    <row r="2916" spans="1:9" ht="51.75" customHeight="1">
      <c r="A2916" s="5">
        <v>2</v>
      </c>
      <c r="B2916" s="5" t="s">
        <v>31459</v>
      </c>
      <c r="C2916" s="5" t="s">
        <v>31460</v>
      </c>
      <c r="D2916" s="246">
        <v>40577</v>
      </c>
      <c r="E2916" s="5" t="s">
        <v>31461</v>
      </c>
      <c r="F2916" s="26"/>
      <c r="G2916" s="27" t="s">
        <v>4655</v>
      </c>
      <c r="H2916" s="28" t="s">
        <v>4656</v>
      </c>
      <c r="I2916" s="5" t="s">
        <v>233</v>
      </c>
    </row>
    <row r="2917" spans="1:9" ht="51.75" customHeight="1">
      <c r="A2917" s="5">
        <v>3</v>
      </c>
      <c r="B2917" s="5" t="s">
        <v>31462</v>
      </c>
      <c r="C2917" s="5" t="s">
        <v>31463</v>
      </c>
      <c r="D2917" s="246">
        <v>40577</v>
      </c>
      <c r="E2917" s="5" t="s">
        <v>31464</v>
      </c>
      <c r="F2917" s="26"/>
      <c r="G2917" s="27" t="s">
        <v>4655</v>
      </c>
      <c r="H2917" s="28" t="s">
        <v>4656</v>
      </c>
      <c r="I2917" s="5" t="s">
        <v>233</v>
      </c>
    </row>
    <row r="2918" spans="1:9" ht="51.75" customHeight="1">
      <c r="A2918" s="5">
        <v>4</v>
      </c>
      <c r="B2918" s="5" t="s">
        <v>31465</v>
      </c>
      <c r="C2918" s="5" t="s">
        <v>31466</v>
      </c>
      <c r="D2918" s="246">
        <v>40577</v>
      </c>
      <c r="E2918" s="5" t="s">
        <v>31467</v>
      </c>
      <c r="F2918" s="26"/>
      <c r="G2918" s="27" t="s">
        <v>4655</v>
      </c>
      <c r="H2918" s="28" t="s">
        <v>4656</v>
      </c>
      <c r="I2918" s="5" t="s">
        <v>233</v>
      </c>
    </row>
    <row r="2919" spans="1:9" ht="51.75" customHeight="1">
      <c r="A2919" s="5">
        <v>1</v>
      </c>
      <c r="B2919" s="5" t="s">
        <v>31468</v>
      </c>
      <c r="C2919" s="5" t="s">
        <v>31469</v>
      </c>
      <c r="D2919" s="246">
        <v>40945</v>
      </c>
      <c r="E2919" s="5" t="s">
        <v>31470</v>
      </c>
      <c r="F2919" s="26"/>
      <c r="G2919" s="27" t="s">
        <v>4629</v>
      </c>
      <c r="H2919" s="28" t="s">
        <v>4630</v>
      </c>
      <c r="I2919" s="5" t="s">
        <v>233</v>
      </c>
    </row>
    <row r="2920" spans="1:9" ht="51.75" customHeight="1">
      <c r="A2920" s="5">
        <v>2</v>
      </c>
      <c r="B2920" s="5" t="s">
        <v>31471</v>
      </c>
      <c r="C2920" s="5" t="s">
        <v>31472</v>
      </c>
      <c r="D2920" s="246">
        <v>40945</v>
      </c>
      <c r="E2920" s="5" t="s">
        <v>31473</v>
      </c>
      <c r="F2920" s="26"/>
      <c r="G2920" s="27" t="s">
        <v>4629</v>
      </c>
      <c r="H2920" s="28" t="s">
        <v>4630</v>
      </c>
      <c r="I2920" s="5" t="s">
        <v>233</v>
      </c>
    </row>
    <row r="2921" spans="1:9" ht="51.75" customHeight="1">
      <c r="A2921" s="5">
        <v>3</v>
      </c>
      <c r="B2921" s="5" t="s">
        <v>31474</v>
      </c>
      <c r="C2921" s="5" t="s">
        <v>31475</v>
      </c>
      <c r="D2921" s="246">
        <v>40945</v>
      </c>
      <c r="E2921" s="5" t="s">
        <v>31476</v>
      </c>
      <c r="F2921" s="26"/>
      <c r="G2921" s="27" t="s">
        <v>4629</v>
      </c>
      <c r="H2921" s="28" t="s">
        <v>4630</v>
      </c>
      <c r="I2921" s="5" t="s">
        <v>233</v>
      </c>
    </row>
    <row r="2922" spans="1:9" ht="51.75" customHeight="1">
      <c r="A2922" s="5">
        <v>4</v>
      </c>
      <c r="B2922" s="5" t="s">
        <v>31477</v>
      </c>
      <c r="C2922" s="5" t="s">
        <v>31478</v>
      </c>
      <c r="D2922" s="246">
        <v>40945</v>
      </c>
      <c r="E2922" s="5" t="s">
        <v>31479</v>
      </c>
      <c r="F2922" s="26"/>
      <c r="G2922" s="27" t="s">
        <v>4629</v>
      </c>
      <c r="H2922" s="28" t="s">
        <v>4630</v>
      </c>
      <c r="I2922" s="5" t="s">
        <v>233</v>
      </c>
    </row>
    <row r="2923" spans="1:9" ht="51.75" customHeight="1">
      <c r="A2923" s="5">
        <v>1</v>
      </c>
      <c r="B2923" s="5" t="s">
        <v>31480</v>
      </c>
      <c r="C2923" s="5" t="s">
        <v>31481</v>
      </c>
      <c r="D2923" s="246">
        <v>40526</v>
      </c>
      <c r="E2923" s="5" t="s">
        <v>31482</v>
      </c>
      <c r="F2923" s="26"/>
      <c r="G2923" s="27" t="s">
        <v>4571</v>
      </c>
      <c r="H2923" s="28" t="s">
        <v>4572</v>
      </c>
      <c r="I2923" s="5" t="s">
        <v>233</v>
      </c>
    </row>
    <row r="2924" spans="1:9" ht="51.75" customHeight="1">
      <c r="A2924" s="5">
        <v>2</v>
      </c>
      <c r="B2924" s="5" t="s">
        <v>31483</v>
      </c>
      <c r="C2924" s="5" t="s">
        <v>31484</v>
      </c>
      <c r="D2924" s="246">
        <v>40526</v>
      </c>
      <c r="E2924" s="5" t="s">
        <v>31485</v>
      </c>
      <c r="F2924" s="26"/>
      <c r="G2924" s="27" t="s">
        <v>4571</v>
      </c>
      <c r="H2924" s="28" t="s">
        <v>4572</v>
      </c>
      <c r="I2924" s="5" t="s">
        <v>233</v>
      </c>
    </row>
    <row r="2925" spans="1:9" ht="51.75" customHeight="1">
      <c r="A2925" s="5">
        <v>3</v>
      </c>
      <c r="B2925" s="5" t="s">
        <v>31486</v>
      </c>
      <c r="C2925" s="5" t="s">
        <v>31487</v>
      </c>
      <c r="D2925" s="246">
        <v>40526</v>
      </c>
      <c r="E2925" s="5" t="s">
        <v>31488</v>
      </c>
      <c r="F2925" s="26"/>
      <c r="G2925" s="27" t="s">
        <v>4571</v>
      </c>
      <c r="H2925" s="28" t="s">
        <v>4572</v>
      </c>
      <c r="I2925" s="5" t="s">
        <v>233</v>
      </c>
    </row>
    <row r="2926" spans="1:9" ht="51.75" customHeight="1">
      <c r="A2926" s="5">
        <v>4</v>
      </c>
      <c r="B2926" s="5" t="s">
        <v>31489</v>
      </c>
      <c r="C2926" s="5" t="s">
        <v>31490</v>
      </c>
      <c r="D2926" s="246">
        <v>40526</v>
      </c>
      <c r="E2926" s="5" t="s">
        <v>31491</v>
      </c>
      <c r="F2926" s="26"/>
      <c r="G2926" s="27" t="s">
        <v>4571</v>
      </c>
      <c r="H2926" s="28" t="s">
        <v>4572</v>
      </c>
      <c r="I2926" s="5" t="s">
        <v>233</v>
      </c>
    </row>
    <row r="2927" spans="1:9" ht="51.75" customHeight="1">
      <c r="A2927" s="5">
        <v>5</v>
      </c>
      <c r="B2927" s="5" t="s">
        <v>31492</v>
      </c>
      <c r="C2927" s="5" t="s">
        <v>31493</v>
      </c>
      <c r="D2927" s="246">
        <v>40526</v>
      </c>
      <c r="E2927" s="5" t="s">
        <v>31494</v>
      </c>
      <c r="F2927" s="26"/>
      <c r="G2927" s="27" t="s">
        <v>4571</v>
      </c>
      <c r="H2927" s="28" t="s">
        <v>4572</v>
      </c>
      <c r="I2927" s="5" t="s">
        <v>233</v>
      </c>
    </row>
    <row r="2928" spans="1:9" ht="51.75" customHeight="1">
      <c r="A2928" s="5">
        <v>1</v>
      </c>
      <c r="B2928" s="5" t="s">
        <v>31495</v>
      </c>
      <c r="C2928" s="5" t="s">
        <v>31496</v>
      </c>
      <c r="D2928" s="246">
        <v>40603</v>
      </c>
      <c r="E2928" s="5" t="s">
        <v>31497</v>
      </c>
      <c r="F2928" s="26"/>
      <c r="G2928" s="27" t="s">
        <v>4477</v>
      </c>
      <c r="H2928" s="28" t="s">
        <v>4478</v>
      </c>
      <c r="I2928" s="5" t="s">
        <v>233</v>
      </c>
    </row>
    <row r="2929" spans="1:9" ht="51.75" customHeight="1">
      <c r="A2929" s="5">
        <v>2</v>
      </c>
      <c r="B2929" s="5" t="s">
        <v>31498</v>
      </c>
      <c r="C2929" s="5" t="s">
        <v>31499</v>
      </c>
      <c r="D2929" s="246">
        <v>40603</v>
      </c>
      <c r="E2929" s="5" t="s">
        <v>31500</v>
      </c>
      <c r="F2929" s="26"/>
      <c r="G2929" s="27" t="s">
        <v>4477</v>
      </c>
      <c r="H2929" s="28" t="s">
        <v>4478</v>
      </c>
      <c r="I2929" s="5" t="s">
        <v>233</v>
      </c>
    </row>
    <row r="2930" spans="1:9" ht="51.75" customHeight="1">
      <c r="A2930" s="5">
        <v>3</v>
      </c>
      <c r="B2930" s="5" t="s">
        <v>31501</v>
      </c>
      <c r="C2930" s="5" t="s">
        <v>31502</v>
      </c>
      <c r="D2930" s="246">
        <v>40603</v>
      </c>
      <c r="E2930" s="5" t="s">
        <v>31503</v>
      </c>
      <c r="F2930" s="26"/>
      <c r="G2930" s="27" t="s">
        <v>4477</v>
      </c>
      <c r="H2930" s="28" t="s">
        <v>4478</v>
      </c>
      <c r="I2930" s="5" t="s">
        <v>233</v>
      </c>
    </row>
    <row r="2931" spans="1:9" ht="51.75" customHeight="1">
      <c r="A2931" s="5">
        <v>4</v>
      </c>
      <c r="B2931" s="5" t="s">
        <v>31504</v>
      </c>
      <c r="C2931" s="5" t="s">
        <v>31505</v>
      </c>
      <c r="D2931" s="246">
        <v>40603</v>
      </c>
      <c r="E2931" s="5" t="s">
        <v>31506</v>
      </c>
      <c r="F2931" s="26"/>
      <c r="G2931" s="27" t="s">
        <v>4477</v>
      </c>
      <c r="H2931" s="28" t="s">
        <v>4478</v>
      </c>
      <c r="I2931" s="5" t="s">
        <v>233</v>
      </c>
    </row>
    <row r="2932" spans="1:9" ht="51.75" customHeight="1">
      <c r="A2932" s="5">
        <v>1</v>
      </c>
      <c r="B2932" s="5" t="s">
        <v>31507</v>
      </c>
      <c r="C2932" s="5" t="s">
        <v>31508</v>
      </c>
      <c r="D2932" s="246">
        <v>40599</v>
      </c>
      <c r="E2932" s="5" t="s">
        <v>31509</v>
      </c>
      <c r="F2932" s="26"/>
      <c r="G2932" s="27" t="s">
        <v>4446</v>
      </c>
      <c r="H2932" s="28" t="s">
        <v>4447</v>
      </c>
      <c r="I2932" s="5" t="s">
        <v>233</v>
      </c>
    </row>
    <row r="2933" spans="1:9" ht="51.75" customHeight="1">
      <c r="A2933" s="5">
        <v>2</v>
      </c>
      <c r="B2933" s="5" t="s">
        <v>31510</v>
      </c>
      <c r="C2933" s="5" t="s">
        <v>31511</v>
      </c>
      <c r="D2933" s="246">
        <v>40599</v>
      </c>
      <c r="E2933" s="5" t="s">
        <v>31512</v>
      </c>
      <c r="F2933" s="26"/>
      <c r="G2933" s="27" t="s">
        <v>4446</v>
      </c>
      <c r="H2933" s="28" t="s">
        <v>4447</v>
      </c>
      <c r="I2933" s="5" t="s">
        <v>233</v>
      </c>
    </row>
    <row r="2934" spans="1:9" ht="51.75" customHeight="1">
      <c r="A2934" s="5">
        <v>3</v>
      </c>
      <c r="B2934" s="5" t="s">
        <v>31513</v>
      </c>
      <c r="C2934" s="5" t="s">
        <v>31514</v>
      </c>
      <c r="D2934" s="246">
        <v>40599</v>
      </c>
      <c r="E2934" s="5" t="s">
        <v>31515</v>
      </c>
      <c r="F2934" s="26"/>
      <c r="G2934" s="27" t="s">
        <v>4446</v>
      </c>
      <c r="H2934" s="28" t="s">
        <v>4447</v>
      </c>
      <c r="I2934" s="5" t="s">
        <v>233</v>
      </c>
    </row>
    <row r="2935" spans="1:9" ht="51.75" customHeight="1">
      <c r="A2935" s="5">
        <v>4</v>
      </c>
      <c r="B2935" s="5" t="s">
        <v>31516</v>
      </c>
      <c r="C2935" s="5" t="s">
        <v>31517</v>
      </c>
      <c r="D2935" s="246">
        <v>40599</v>
      </c>
      <c r="E2935" s="5" t="s">
        <v>31518</v>
      </c>
      <c r="F2935" s="26"/>
      <c r="G2935" s="27" t="s">
        <v>4446</v>
      </c>
      <c r="H2935" s="28" t="s">
        <v>4447</v>
      </c>
      <c r="I2935" s="5" t="s">
        <v>233</v>
      </c>
    </row>
    <row r="2936" spans="1:9" ht="51.75" customHeight="1">
      <c r="A2936" s="5">
        <v>1</v>
      </c>
      <c r="B2936" s="5" t="s">
        <v>31519</v>
      </c>
      <c r="C2936" s="5" t="s">
        <v>31520</v>
      </c>
      <c r="D2936" s="246">
        <v>40577</v>
      </c>
      <c r="E2936" s="5" t="s">
        <v>31521</v>
      </c>
      <c r="F2936" s="26"/>
      <c r="G2936" s="27" t="s">
        <v>4422</v>
      </c>
      <c r="H2936" s="28" t="s">
        <v>4423</v>
      </c>
      <c r="I2936" s="5" t="s">
        <v>233</v>
      </c>
    </row>
    <row r="2937" spans="1:9" ht="51.75" customHeight="1">
      <c r="A2937" s="5">
        <v>2</v>
      </c>
      <c r="B2937" s="5" t="s">
        <v>31522</v>
      </c>
      <c r="C2937" s="5" t="s">
        <v>31523</v>
      </c>
      <c r="D2937" s="246">
        <v>40577</v>
      </c>
      <c r="E2937" s="5" t="s">
        <v>31524</v>
      </c>
      <c r="F2937" s="26"/>
      <c r="G2937" s="27" t="s">
        <v>4422</v>
      </c>
      <c r="H2937" s="28" t="s">
        <v>4423</v>
      </c>
      <c r="I2937" s="5" t="s">
        <v>233</v>
      </c>
    </row>
    <row r="2938" spans="1:9" ht="51.75" customHeight="1">
      <c r="A2938" s="5">
        <v>3</v>
      </c>
      <c r="B2938" s="5" t="s">
        <v>31525</v>
      </c>
      <c r="C2938" s="5" t="s">
        <v>31520</v>
      </c>
      <c r="D2938" s="246">
        <v>40577</v>
      </c>
      <c r="E2938" s="5" t="s">
        <v>31526</v>
      </c>
      <c r="F2938" s="26"/>
      <c r="G2938" s="27" t="s">
        <v>4422</v>
      </c>
      <c r="H2938" s="28" t="s">
        <v>4423</v>
      </c>
      <c r="I2938" s="5" t="s">
        <v>233</v>
      </c>
    </row>
    <row r="2939" spans="1:9" ht="51.75" customHeight="1">
      <c r="A2939" s="5">
        <v>1</v>
      </c>
      <c r="B2939" s="5" t="s">
        <v>31527</v>
      </c>
      <c r="C2939" s="5" t="s">
        <v>31528</v>
      </c>
      <c r="D2939" s="246">
        <v>40484</v>
      </c>
      <c r="E2939" s="5" t="s">
        <v>31529</v>
      </c>
      <c r="F2939" s="26"/>
      <c r="G2939" s="27" t="s">
        <v>4401</v>
      </c>
      <c r="H2939" s="28" t="s">
        <v>4402</v>
      </c>
      <c r="I2939" s="5" t="s">
        <v>233</v>
      </c>
    </row>
    <row r="2940" spans="1:9" ht="51.75" customHeight="1">
      <c r="A2940" s="5">
        <v>2</v>
      </c>
      <c r="B2940" s="5" t="s">
        <v>31530</v>
      </c>
      <c r="C2940" s="5" t="s">
        <v>31531</v>
      </c>
      <c r="D2940" s="246">
        <v>40484</v>
      </c>
      <c r="E2940" s="5" t="s">
        <v>31532</v>
      </c>
      <c r="F2940" s="26"/>
      <c r="G2940" s="27" t="s">
        <v>4401</v>
      </c>
      <c r="H2940" s="28" t="s">
        <v>4402</v>
      </c>
      <c r="I2940" s="5" t="s">
        <v>233</v>
      </c>
    </row>
    <row r="2941" spans="1:9" ht="51.75" customHeight="1">
      <c r="A2941" s="5">
        <v>3</v>
      </c>
      <c r="B2941" s="5" t="s">
        <v>31533</v>
      </c>
      <c r="C2941" s="5" t="s">
        <v>31534</v>
      </c>
      <c r="D2941" s="246">
        <v>40484</v>
      </c>
      <c r="E2941" s="5" t="s">
        <v>31535</v>
      </c>
      <c r="F2941" s="26"/>
      <c r="G2941" s="27" t="s">
        <v>4401</v>
      </c>
      <c r="H2941" s="28" t="s">
        <v>4402</v>
      </c>
      <c r="I2941" s="5" t="s">
        <v>233</v>
      </c>
    </row>
    <row r="2942" spans="1:9" ht="51.75" customHeight="1">
      <c r="A2942" s="5">
        <v>4</v>
      </c>
      <c r="B2942" s="5" t="s">
        <v>31536</v>
      </c>
      <c r="C2942" s="5" t="s">
        <v>31537</v>
      </c>
      <c r="D2942" s="246">
        <v>40484</v>
      </c>
      <c r="E2942" s="5" t="s">
        <v>31538</v>
      </c>
      <c r="F2942" s="26"/>
      <c r="G2942" s="27" t="s">
        <v>4401</v>
      </c>
      <c r="H2942" s="28" t="s">
        <v>4402</v>
      </c>
      <c r="I2942" s="5" t="s">
        <v>233</v>
      </c>
    </row>
    <row r="2943" spans="1:9" ht="51.75" customHeight="1">
      <c r="A2943" s="5">
        <v>1</v>
      </c>
      <c r="B2943" s="5" t="s">
        <v>31539</v>
      </c>
      <c r="C2943" s="5" t="s">
        <v>31540</v>
      </c>
      <c r="D2943" s="246">
        <v>40485</v>
      </c>
      <c r="E2943" s="5" t="s">
        <v>31541</v>
      </c>
      <c r="F2943" s="26"/>
      <c r="G2943" s="27" t="s">
        <v>4344</v>
      </c>
      <c r="H2943" s="28" t="s">
        <v>4345</v>
      </c>
      <c r="I2943" s="5" t="s">
        <v>233</v>
      </c>
    </row>
    <row r="2944" spans="1:9" ht="51.75" customHeight="1">
      <c r="A2944" s="5">
        <v>2</v>
      </c>
      <c r="B2944" s="5" t="s">
        <v>31542</v>
      </c>
      <c r="C2944" s="5" t="s">
        <v>31543</v>
      </c>
      <c r="D2944" s="246">
        <v>40485</v>
      </c>
      <c r="E2944" s="5" t="s">
        <v>31544</v>
      </c>
      <c r="F2944" s="26"/>
      <c r="G2944" s="27" t="s">
        <v>4344</v>
      </c>
      <c r="H2944" s="28" t="s">
        <v>4345</v>
      </c>
      <c r="I2944" s="5" t="s">
        <v>233</v>
      </c>
    </row>
    <row r="2945" spans="1:9" ht="51.75" customHeight="1">
      <c r="A2945" s="5">
        <v>1</v>
      </c>
      <c r="B2945" s="5" t="s">
        <v>31545</v>
      </c>
      <c r="C2945" s="5" t="s">
        <v>31546</v>
      </c>
      <c r="D2945" s="246">
        <v>40484</v>
      </c>
      <c r="E2945" s="5" t="s">
        <v>31547</v>
      </c>
      <c r="F2945" s="26"/>
      <c r="G2945" s="27" t="s">
        <v>4278</v>
      </c>
      <c r="H2945" s="28" t="s">
        <v>4279</v>
      </c>
      <c r="I2945" s="5" t="s">
        <v>233</v>
      </c>
    </row>
    <row r="2946" spans="1:9" ht="51.75" customHeight="1">
      <c r="A2946" s="5">
        <v>2</v>
      </c>
      <c r="B2946" s="5" t="s">
        <v>31548</v>
      </c>
      <c r="C2946" s="5" t="s">
        <v>31549</v>
      </c>
      <c r="D2946" s="246">
        <v>40484</v>
      </c>
      <c r="E2946" s="5" t="s">
        <v>31550</v>
      </c>
      <c r="F2946" s="26"/>
      <c r="G2946" s="27" t="s">
        <v>4278</v>
      </c>
      <c r="H2946" s="28" t="s">
        <v>4279</v>
      </c>
      <c r="I2946" s="5" t="s">
        <v>233</v>
      </c>
    </row>
    <row r="2947" spans="1:9" ht="51.75" customHeight="1">
      <c r="A2947" s="5">
        <v>3</v>
      </c>
      <c r="B2947" s="5" t="s">
        <v>31551</v>
      </c>
      <c r="C2947" s="5" t="s">
        <v>31552</v>
      </c>
      <c r="D2947" s="246">
        <v>40484</v>
      </c>
      <c r="E2947" s="5" t="s">
        <v>31553</v>
      </c>
      <c r="F2947" s="26"/>
      <c r="G2947" s="27" t="s">
        <v>4278</v>
      </c>
      <c r="H2947" s="28" t="s">
        <v>4279</v>
      </c>
      <c r="I2947" s="5" t="s">
        <v>233</v>
      </c>
    </row>
    <row r="2948" spans="1:9" ht="51.75" customHeight="1">
      <c r="A2948" s="5">
        <v>4</v>
      </c>
      <c r="B2948" s="5" t="s">
        <v>31554</v>
      </c>
      <c r="C2948" s="5" t="s">
        <v>31555</v>
      </c>
      <c r="D2948" s="246">
        <v>40484</v>
      </c>
      <c r="E2948" s="5" t="s">
        <v>31556</v>
      </c>
      <c r="F2948" s="26"/>
      <c r="G2948" s="27" t="s">
        <v>4278</v>
      </c>
      <c r="H2948" s="28" t="s">
        <v>4279</v>
      </c>
      <c r="I2948" s="5" t="s">
        <v>233</v>
      </c>
    </row>
    <row r="2949" spans="1:9" ht="51.75" customHeight="1">
      <c r="A2949" s="5">
        <v>5</v>
      </c>
      <c r="B2949" s="5" t="s">
        <v>31557</v>
      </c>
      <c r="C2949" s="5" t="s">
        <v>31558</v>
      </c>
      <c r="D2949" s="246">
        <v>40484</v>
      </c>
      <c r="E2949" s="5" t="s">
        <v>31559</v>
      </c>
      <c r="F2949" s="26"/>
      <c r="G2949" s="27" t="s">
        <v>4278</v>
      </c>
      <c r="H2949" s="28" t="s">
        <v>4279</v>
      </c>
      <c r="I2949" s="5" t="s">
        <v>233</v>
      </c>
    </row>
    <row r="2950" spans="1:9" ht="51.75" customHeight="1">
      <c r="A2950" s="5">
        <v>6</v>
      </c>
      <c r="B2950" s="5" t="s">
        <v>31560</v>
      </c>
      <c r="C2950" s="5" t="s">
        <v>31561</v>
      </c>
      <c r="D2950" s="246">
        <v>40484</v>
      </c>
      <c r="E2950" s="5" t="s">
        <v>31562</v>
      </c>
      <c r="F2950" s="26"/>
      <c r="G2950" s="27" t="s">
        <v>4278</v>
      </c>
      <c r="H2950" s="28" t="s">
        <v>4279</v>
      </c>
      <c r="I2950" s="5" t="s">
        <v>233</v>
      </c>
    </row>
    <row r="2951" spans="1:9" ht="51.75" customHeight="1">
      <c r="A2951" s="5">
        <v>1</v>
      </c>
      <c r="B2951" s="5" t="s">
        <v>31563</v>
      </c>
      <c r="C2951" s="5" t="s">
        <v>31564</v>
      </c>
      <c r="D2951" s="246">
        <v>40484</v>
      </c>
      <c r="E2951" s="5" t="s">
        <v>31565</v>
      </c>
      <c r="F2951" s="26"/>
      <c r="G2951" s="27" t="s">
        <v>4328</v>
      </c>
      <c r="H2951" s="28" t="s">
        <v>4329</v>
      </c>
      <c r="I2951" s="5" t="s">
        <v>233</v>
      </c>
    </row>
    <row r="2952" spans="1:9" ht="51.75" customHeight="1">
      <c r="A2952" s="5">
        <v>2</v>
      </c>
      <c r="B2952" s="5" t="s">
        <v>31566</v>
      </c>
      <c r="C2952" s="5" t="s">
        <v>31567</v>
      </c>
      <c r="D2952" s="246">
        <v>40484</v>
      </c>
      <c r="E2952" s="5" t="s">
        <v>31568</v>
      </c>
      <c r="F2952" s="26"/>
      <c r="G2952" s="27" t="s">
        <v>4328</v>
      </c>
      <c r="H2952" s="28" t="s">
        <v>4329</v>
      </c>
      <c r="I2952" s="5" t="s">
        <v>233</v>
      </c>
    </row>
    <row r="2953" spans="1:9" ht="51.75" customHeight="1">
      <c r="A2953" s="5">
        <v>3</v>
      </c>
      <c r="B2953" s="5" t="s">
        <v>31569</v>
      </c>
      <c r="C2953" s="5" t="s">
        <v>31570</v>
      </c>
      <c r="D2953" s="246">
        <v>40484</v>
      </c>
      <c r="E2953" s="5" t="s">
        <v>31571</v>
      </c>
      <c r="F2953" s="26"/>
      <c r="G2953" s="27" t="s">
        <v>4328</v>
      </c>
      <c r="H2953" s="28" t="s">
        <v>4329</v>
      </c>
      <c r="I2953" s="5" t="s">
        <v>233</v>
      </c>
    </row>
    <row r="2954" spans="1:9" ht="51.75" customHeight="1">
      <c r="A2954" s="5">
        <v>4</v>
      </c>
      <c r="B2954" s="5" t="s">
        <v>31572</v>
      </c>
      <c r="C2954" s="5" t="s">
        <v>31573</v>
      </c>
      <c r="D2954" s="246">
        <v>40484</v>
      </c>
      <c r="E2954" s="5" t="s">
        <v>31574</v>
      </c>
      <c r="F2954" s="26"/>
      <c r="G2954" s="27" t="s">
        <v>4328</v>
      </c>
      <c r="H2954" s="28" t="s">
        <v>4329</v>
      </c>
      <c r="I2954" s="5" t="s">
        <v>233</v>
      </c>
    </row>
    <row r="2955" spans="1:9" ht="51.75" customHeight="1">
      <c r="A2955" s="5">
        <v>5</v>
      </c>
      <c r="B2955" s="5" t="s">
        <v>31575</v>
      </c>
      <c r="C2955" s="5" t="s">
        <v>31576</v>
      </c>
      <c r="D2955" s="246">
        <v>40484</v>
      </c>
      <c r="E2955" s="5" t="s">
        <v>31577</v>
      </c>
      <c r="F2955" s="26"/>
      <c r="G2955" s="27" t="s">
        <v>4328</v>
      </c>
      <c r="H2955" s="28" t="s">
        <v>4329</v>
      </c>
      <c r="I2955" s="5" t="s">
        <v>233</v>
      </c>
    </row>
    <row r="2956" spans="1:9" ht="51.75" customHeight="1">
      <c r="A2956" s="5">
        <v>1</v>
      </c>
      <c r="B2956" s="5" t="s">
        <v>31578</v>
      </c>
      <c r="C2956" s="5" t="s">
        <v>31579</v>
      </c>
      <c r="D2956" s="246">
        <v>40400</v>
      </c>
      <c r="E2956" s="5" t="s">
        <v>31580</v>
      </c>
      <c r="F2956" s="26"/>
      <c r="G2956" s="27" t="s">
        <v>4221</v>
      </c>
      <c r="H2956" s="28" t="s">
        <v>4222</v>
      </c>
      <c r="I2956" s="5" t="s">
        <v>233</v>
      </c>
    </row>
    <row r="2957" spans="1:9" ht="51.75" customHeight="1">
      <c r="A2957" s="5">
        <v>2</v>
      </c>
      <c r="B2957" s="5" t="s">
        <v>31581</v>
      </c>
      <c r="C2957" s="5" t="s">
        <v>31582</v>
      </c>
      <c r="D2957" s="246">
        <v>40400</v>
      </c>
      <c r="E2957" s="5" t="s">
        <v>31583</v>
      </c>
      <c r="F2957" s="26"/>
      <c r="G2957" s="27" t="s">
        <v>4221</v>
      </c>
      <c r="H2957" s="28" t="s">
        <v>4222</v>
      </c>
      <c r="I2957" s="5" t="s">
        <v>233</v>
      </c>
    </row>
    <row r="2958" spans="1:9" ht="51.75" customHeight="1">
      <c r="A2958" s="5">
        <v>3</v>
      </c>
      <c r="B2958" s="5" t="s">
        <v>31584</v>
      </c>
      <c r="C2958" s="5" t="s">
        <v>31585</v>
      </c>
      <c r="D2958" s="246">
        <v>40400</v>
      </c>
      <c r="E2958" s="5" t="s">
        <v>31586</v>
      </c>
      <c r="F2958" s="26"/>
      <c r="G2958" s="27" t="s">
        <v>4221</v>
      </c>
      <c r="H2958" s="28" t="s">
        <v>4222</v>
      </c>
      <c r="I2958" s="5" t="s">
        <v>233</v>
      </c>
    </row>
    <row r="2959" spans="1:9" ht="51.75" customHeight="1">
      <c r="A2959" s="5">
        <v>1</v>
      </c>
      <c r="B2959" s="5" t="s">
        <v>31587</v>
      </c>
      <c r="C2959" s="5" t="s">
        <v>31588</v>
      </c>
      <c r="D2959" s="246">
        <v>40284</v>
      </c>
      <c r="E2959" s="5" t="s">
        <v>31589</v>
      </c>
      <c r="F2959" s="26"/>
      <c r="G2959" s="27" t="s">
        <v>4185</v>
      </c>
      <c r="H2959" s="28" t="s">
        <v>4186</v>
      </c>
      <c r="I2959" s="5" t="s">
        <v>233</v>
      </c>
    </row>
    <row r="2960" spans="1:9" ht="51.75" customHeight="1">
      <c r="A2960" s="5">
        <v>2</v>
      </c>
      <c r="B2960" s="5" t="s">
        <v>31590</v>
      </c>
      <c r="C2960" s="5" t="s">
        <v>31591</v>
      </c>
      <c r="D2960" s="246">
        <v>40284</v>
      </c>
      <c r="E2960" s="5" t="s">
        <v>31591</v>
      </c>
      <c r="F2960" s="26"/>
      <c r="G2960" s="27" t="s">
        <v>4185</v>
      </c>
      <c r="H2960" s="28" t="s">
        <v>4186</v>
      </c>
      <c r="I2960" s="5" t="s">
        <v>233</v>
      </c>
    </row>
    <row r="2961" spans="1:9" ht="51.75" customHeight="1">
      <c r="A2961" s="5">
        <v>3</v>
      </c>
      <c r="B2961" s="5" t="s">
        <v>31592</v>
      </c>
      <c r="C2961" s="5" t="s">
        <v>31593</v>
      </c>
      <c r="D2961" s="246">
        <v>40284</v>
      </c>
      <c r="E2961" s="5" t="s">
        <v>31593</v>
      </c>
      <c r="F2961" s="26"/>
      <c r="G2961" s="27" t="s">
        <v>4185</v>
      </c>
      <c r="H2961" s="28" t="s">
        <v>4186</v>
      </c>
      <c r="I2961" s="5" t="s">
        <v>233</v>
      </c>
    </row>
    <row r="2962" spans="1:9" ht="51.75" customHeight="1">
      <c r="A2962" s="5">
        <v>4</v>
      </c>
      <c r="B2962" s="5" t="s">
        <v>31594</v>
      </c>
      <c r="C2962" s="5" t="s">
        <v>31595</v>
      </c>
      <c r="D2962" s="246">
        <v>40284</v>
      </c>
      <c r="E2962" s="5" t="s">
        <v>31596</v>
      </c>
      <c r="F2962" s="26"/>
      <c r="G2962" s="27" t="s">
        <v>4185</v>
      </c>
      <c r="H2962" s="28" t="s">
        <v>4186</v>
      </c>
      <c r="I2962" s="5" t="s">
        <v>233</v>
      </c>
    </row>
    <row r="2963" spans="1:9" ht="51.75" customHeight="1">
      <c r="A2963" s="5">
        <v>5</v>
      </c>
      <c r="B2963" s="5" t="s">
        <v>31597</v>
      </c>
      <c r="C2963" s="5" t="s">
        <v>31598</v>
      </c>
      <c r="D2963" s="246">
        <v>40284</v>
      </c>
      <c r="E2963" s="5" t="s">
        <v>31599</v>
      </c>
      <c r="F2963" s="26"/>
      <c r="G2963" s="27" t="s">
        <v>4185</v>
      </c>
      <c r="H2963" s="28" t="s">
        <v>4186</v>
      </c>
      <c r="I2963" s="5" t="s">
        <v>233</v>
      </c>
    </row>
    <row r="2964" spans="1:9" ht="51.75" customHeight="1">
      <c r="A2964" s="5">
        <v>1</v>
      </c>
      <c r="B2964" s="5" t="s">
        <v>31600</v>
      </c>
      <c r="C2964" s="5" t="s">
        <v>31601</v>
      </c>
      <c r="D2964" s="246">
        <v>40401</v>
      </c>
      <c r="E2964" s="5" t="s">
        <v>31602</v>
      </c>
      <c r="F2964" s="26"/>
      <c r="G2964" s="27" t="s">
        <v>4157</v>
      </c>
      <c r="H2964" s="28" t="s">
        <v>4158</v>
      </c>
      <c r="I2964" s="5" t="s">
        <v>233</v>
      </c>
    </row>
    <row r="2965" spans="1:9" ht="51.75" customHeight="1">
      <c r="A2965" s="5">
        <v>2</v>
      </c>
      <c r="B2965" s="5" t="s">
        <v>31603</v>
      </c>
      <c r="C2965" s="5" t="s">
        <v>31604</v>
      </c>
      <c r="D2965" s="246">
        <v>40401</v>
      </c>
      <c r="E2965" s="5" t="s">
        <v>31605</v>
      </c>
      <c r="F2965" s="26"/>
      <c r="G2965" s="27" t="s">
        <v>4157</v>
      </c>
      <c r="H2965" s="28" t="s">
        <v>4158</v>
      </c>
      <c r="I2965" s="5" t="s">
        <v>233</v>
      </c>
    </row>
    <row r="2966" spans="1:9" ht="51.75" customHeight="1">
      <c r="A2966" s="5">
        <v>3</v>
      </c>
      <c r="B2966" s="5" t="s">
        <v>31606</v>
      </c>
      <c r="C2966" s="5" t="s">
        <v>31607</v>
      </c>
      <c r="D2966" s="246">
        <v>40401</v>
      </c>
      <c r="E2966" s="5" t="s">
        <v>31608</v>
      </c>
      <c r="F2966" s="26"/>
      <c r="G2966" s="27" t="s">
        <v>4157</v>
      </c>
      <c r="H2966" s="28" t="s">
        <v>4158</v>
      </c>
      <c r="I2966" s="5" t="s">
        <v>233</v>
      </c>
    </row>
    <row r="2967" spans="1:9" ht="51.75" customHeight="1">
      <c r="A2967" s="5">
        <v>4</v>
      </c>
      <c r="B2967" s="5" t="s">
        <v>31609</v>
      </c>
      <c r="C2967" s="5" t="s">
        <v>31610</v>
      </c>
      <c r="D2967" s="246">
        <v>40401</v>
      </c>
      <c r="E2967" s="5" t="s">
        <v>31611</v>
      </c>
      <c r="F2967" s="26"/>
      <c r="G2967" s="27" t="s">
        <v>4157</v>
      </c>
      <c r="H2967" s="28" t="s">
        <v>4158</v>
      </c>
      <c r="I2967" s="5" t="s">
        <v>233</v>
      </c>
    </row>
    <row r="2968" spans="1:9" ht="51.75" customHeight="1">
      <c r="A2968" s="5">
        <v>5</v>
      </c>
      <c r="B2968" s="5" t="s">
        <v>31612</v>
      </c>
      <c r="C2968" s="5" t="s">
        <v>31613</v>
      </c>
      <c r="D2968" s="246">
        <v>40401</v>
      </c>
      <c r="E2968" s="5" t="s">
        <v>31614</v>
      </c>
      <c r="F2968" s="26"/>
      <c r="G2968" s="27" t="s">
        <v>4157</v>
      </c>
      <c r="H2968" s="28" t="s">
        <v>4158</v>
      </c>
      <c r="I2968" s="5" t="s">
        <v>233</v>
      </c>
    </row>
    <row r="2969" spans="1:9" ht="51.75" customHeight="1">
      <c r="A2969" s="5">
        <v>6</v>
      </c>
      <c r="B2969" s="5" t="s">
        <v>31615</v>
      </c>
      <c r="C2969" s="5" t="s">
        <v>31616</v>
      </c>
      <c r="D2969" s="246">
        <v>40401</v>
      </c>
      <c r="E2969" s="5" t="s">
        <v>31617</v>
      </c>
      <c r="F2969" s="26"/>
      <c r="G2969" s="27" t="s">
        <v>4157</v>
      </c>
      <c r="H2969" s="28" t="s">
        <v>4158</v>
      </c>
      <c r="I2969" s="5" t="s">
        <v>233</v>
      </c>
    </row>
    <row r="2970" spans="1:9" ht="51.75" customHeight="1">
      <c r="A2970" s="5">
        <v>7</v>
      </c>
      <c r="B2970" s="5" t="s">
        <v>31618</v>
      </c>
      <c r="C2970" s="5" t="s">
        <v>31619</v>
      </c>
      <c r="D2970" s="246">
        <v>40401</v>
      </c>
      <c r="E2970" s="5" t="s">
        <v>31620</v>
      </c>
      <c r="F2970" s="26"/>
      <c r="G2970" s="27" t="s">
        <v>4157</v>
      </c>
      <c r="H2970" s="28" t="s">
        <v>4158</v>
      </c>
      <c r="I2970" s="5" t="s">
        <v>233</v>
      </c>
    </row>
    <row r="2971" spans="1:9" ht="51.75" customHeight="1">
      <c r="A2971" s="5">
        <v>1</v>
      </c>
      <c r="B2971" s="5" t="s">
        <v>31621</v>
      </c>
      <c r="C2971" s="5" t="s">
        <v>31622</v>
      </c>
      <c r="D2971" s="246">
        <v>40484</v>
      </c>
      <c r="E2971" s="5" t="s">
        <v>31623</v>
      </c>
      <c r="F2971" s="26"/>
      <c r="G2971" s="27" t="s">
        <v>4192</v>
      </c>
      <c r="H2971" s="28" t="s">
        <v>4193</v>
      </c>
      <c r="I2971" s="5" t="s">
        <v>233</v>
      </c>
    </row>
    <row r="2972" spans="1:9" ht="51.75" customHeight="1">
      <c r="A2972" s="5">
        <v>2</v>
      </c>
      <c r="B2972" s="5" t="s">
        <v>31624</v>
      </c>
      <c r="C2972" s="5" t="s">
        <v>31625</v>
      </c>
      <c r="D2972" s="246">
        <v>40484</v>
      </c>
      <c r="E2972" s="5" t="s">
        <v>31626</v>
      </c>
      <c r="F2972" s="26"/>
      <c r="G2972" s="27" t="s">
        <v>4192</v>
      </c>
      <c r="H2972" s="28" t="s">
        <v>4193</v>
      </c>
      <c r="I2972" s="5" t="s">
        <v>233</v>
      </c>
    </row>
    <row r="2973" spans="1:9" ht="51.75" customHeight="1">
      <c r="A2973" s="5">
        <v>3</v>
      </c>
      <c r="B2973" s="5" t="s">
        <v>31627</v>
      </c>
      <c r="C2973" s="5" t="s">
        <v>31628</v>
      </c>
      <c r="D2973" s="246">
        <v>40484</v>
      </c>
      <c r="E2973" s="5" t="s">
        <v>31629</v>
      </c>
      <c r="F2973" s="26"/>
      <c r="G2973" s="27" t="s">
        <v>4192</v>
      </c>
      <c r="H2973" s="28" t="s">
        <v>4193</v>
      </c>
      <c r="I2973" s="5" t="s">
        <v>233</v>
      </c>
    </row>
    <row r="2974" spans="1:9" ht="51.75" customHeight="1">
      <c r="A2974" s="5">
        <v>4</v>
      </c>
      <c r="B2974" s="5" t="s">
        <v>31630</v>
      </c>
      <c r="C2974" s="5" t="s">
        <v>31631</v>
      </c>
      <c r="D2974" s="246">
        <v>40484</v>
      </c>
      <c r="E2974" s="5" t="s">
        <v>31632</v>
      </c>
      <c r="F2974" s="26"/>
      <c r="G2974" s="27" t="s">
        <v>4192</v>
      </c>
      <c r="H2974" s="28" t="s">
        <v>4193</v>
      </c>
      <c r="I2974" s="5" t="s">
        <v>233</v>
      </c>
    </row>
    <row r="2975" spans="1:9" ht="51.75" customHeight="1">
      <c r="A2975" s="5">
        <v>5</v>
      </c>
      <c r="B2975" s="5" t="s">
        <v>31633</v>
      </c>
      <c r="C2975" s="5" t="s">
        <v>31634</v>
      </c>
      <c r="D2975" s="246">
        <v>40484</v>
      </c>
      <c r="E2975" s="5" t="s">
        <v>31635</v>
      </c>
      <c r="F2975" s="26"/>
      <c r="G2975" s="27" t="s">
        <v>4192</v>
      </c>
      <c r="H2975" s="28" t="s">
        <v>4193</v>
      </c>
      <c r="I2975" s="5" t="s">
        <v>233</v>
      </c>
    </row>
    <row r="2976" spans="1:9" ht="51.75" customHeight="1">
      <c r="A2976" s="5">
        <v>6</v>
      </c>
      <c r="B2976" s="5" t="s">
        <v>31636</v>
      </c>
      <c r="C2976" s="5" t="s">
        <v>31637</v>
      </c>
      <c r="D2976" s="246">
        <v>40484</v>
      </c>
      <c r="E2976" s="5" t="s">
        <v>31638</v>
      </c>
      <c r="F2976" s="26"/>
      <c r="G2976" s="27" t="s">
        <v>4192</v>
      </c>
      <c r="H2976" s="28" t="s">
        <v>4193</v>
      </c>
      <c r="I2976" s="5" t="s">
        <v>233</v>
      </c>
    </row>
    <row r="2977" spans="1:9" ht="51.75" customHeight="1">
      <c r="A2977" s="5">
        <v>1</v>
      </c>
      <c r="B2977" s="5" t="s">
        <v>31639</v>
      </c>
      <c r="C2977" s="5" t="s">
        <v>31640</v>
      </c>
      <c r="D2977" s="246">
        <v>40407</v>
      </c>
      <c r="E2977" s="5" t="s">
        <v>31641</v>
      </c>
      <c r="F2977" s="26"/>
      <c r="G2977" s="27" t="s">
        <v>4121</v>
      </c>
      <c r="H2977" s="28" t="s">
        <v>4122</v>
      </c>
      <c r="I2977" s="5" t="s">
        <v>233</v>
      </c>
    </row>
    <row r="2978" spans="1:9" ht="51.75" customHeight="1">
      <c r="A2978" s="5">
        <v>2</v>
      </c>
      <c r="B2978" s="5" t="s">
        <v>31642</v>
      </c>
      <c r="C2978" s="5" t="s">
        <v>31643</v>
      </c>
      <c r="D2978" s="246">
        <v>40407</v>
      </c>
      <c r="E2978" s="5" t="s">
        <v>31644</v>
      </c>
      <c r="F2978" s="26"/>
      <c r="G2978" s="27" t="s">
        <v>4121</v>
      </c>
      <c r="H2978" s="28" t="s">
        <v>4122</v>
      </c>
      <c r="I2978" s="5" t="s">
        <v>233</v>
      </c>
    </row>
    <row r="2979" spans="1:9" ht="51.75" customHeight="1">
      <c r="A2979" s="5">
        <v>1</v>
      </c>
      <c r="B2979" s="5" t="s">
        <v>31645</v>
      </c>
      <c r="C2979" s="5" t="s">
        <v>31646</v>
      </c>
      <c r="D2979" s="246">
        <v>40408</v>
      </c>
      <c r="E2979" s="5" t="s">
        <v>31647</v>
      </c>
      <c r="F2979" s="26"/>
      <c r="G2979" s="27" t="s">
        <v>4038</v>
      </c>
      <c r="H2979" s="28" t="s">
        <v>4039</v>
      </c>
      <c r="I2979" s="5" t="s">
        <v>233</v>
      </c>
    </row>
    <row r="2980" spans="1:9" ht="51.75" customHeight="1">
      <c r="A2980" s="5">
        <v>2</v>
      </c>
      <c r="B2980" s="5" t="s">
        <v>31648</v>
      </c>
      <c r="C2980" s="5" t="s">
        <v>31649</v>
      </c>
      <c r="D2980" s="246">
        <v>40408</v>
      </c>
      <c r="E2980" s="5" t="s">
        <v>31650</v>
      </c>
      <c r="F2980" s="26"/>
      <c r="G2980" s="27" t="s">
        <v>4038</v>
      </c>
      <c r="H2980" s="28" t="s">
        <v>4039</v>
      </c>
      <c r="I2980" s="5" t="s">
        <v>233</v>
      </c>
    </row>
    <row r="2981" spans="1:9" ht="51.75" customHeight="1">
      <c r="A2981" s="5">
        <v>3</v>
      </c>
      <c r="B2981" s="5" t="s">
        <v>31651</v>
      </c>
      <c r="C2981" s="5" t="s">
        <v>31652</v>
      </c>
      <c r="D2981" s="246">
        <v>40408</v>
      </c>
      <c r="E2981" s="5" t="s">
        <v>31653</v>
      </c>
      <c r="F2981" s="26"/>
      <c r="G2981" s="27" t="s">
        <v>4038</v>
      </c>
      <c r="H2981" s="28" t="s">
        <v>4039</v>
      </c>
      <c r="I2981" s="5" t="s">
        <v>233</v>
      </c>
    </row>
    <row r="2982" spans="1:9" ht="51.75" customHeight="1">
      <c r="A2982" s="5">
        <v>4</v>
      </c>
      <c r="B2982" s="5" t="s">
        <v>31654</v>
      </c>
      <c r="C2982" s="5" t="s">
        <v>31655</v>
      </c>
      <c r="D2982" s="246">
        <v>40408</v>
      </c>
      <c r="E2982" s="5" t="s">
        <v>31656</v>
      </c>
      <c r="F2982" s="26"/>
      <c r="G2982" s="27" t="s">
        <v>4038</v>
      </c>
      <c r="H2982" s="28" t="s">
        <v>4039</v>
      </c>
      <c r="I2982" s="5" t="s">
        <v>233</v>
      </c>
    </row>
    <row r="2983" spans="1:9" ht="51.75" customHeight="1">
      <c r="A2983" s="5">
        <v>1</v>
      </c>
      <c r="B2983" s="5" t="s">
        <v>31657</v>
      </c>
      <c r="C2983" s="5" t="s">
        <v>31658</v>
      </c>
      <c r="D2983" s="246">
        <v>40333</v>
      </c>
      <c r="E2983" s="5" t="s">
        <v>31659</v>
      </c>
      <c r="F2983" s="26"/>
      <c r="G2983" s="27" t="s">
        <v>3997</v>
      </c>
      <c r="H2983" s="28" t="s">
        <v>3998</v>
      </c>
      <c r="I2983" s="5" t="s">
        <v>233</v>
      </c>
    </row>
    <row r="2984" spans="1:9" ht="51.75" customHeight="1">
      <c r="A2984" s="5">
        <v>2</v>
      </c>
      <c r="B2984" s="5" t="s">
        <v>31660</v>
      </c>
      <c r="C2984" s="5" t="s">
        <v>31661</v>
      </c>
      <c r="D2984" s="246">
        <v>40333</v>
      </c>
      <c r="E2984" s="5" t="s">
        <v>31662</v>
      </c>
      <c r="F2984" s="26"/>
      <c r="G2984" s="27" t="s">
        <v>3997</v>
      </c>
      <c r="H2984" s="28" t="s">
        <v>3998</v>
      </c>
      <c r="I2984" s="5" t="s">
        <v>233</v>
      </c>
    </row>
    <row r="2985" spans="1:9" ht="51.75" customHeight="1">
      <c r="A2985" s="5">
        <v>1</v>
      </c>
      <c r="B2985" s="5" t="s">
        <v>31663</v>
      </c>
      <c r="C2985" s="5" t="s">
        <v>31664</v>
      </c>
      <c r="D2985" s="246">
        <v>40263</v>
      </c>
      <c r="E2985" s="5" t="s">
        <v>31665</v>
      </c>
      <c r="F2985" s="26"/>
      <c r="G2985" s="27" t="s">
        <v>3838</v>
      </c>
      <c r="H2985" s="28" t="s">
        <v>3839</v>
      </c>
      <c r="I2985" s="5" t="s">
        <v>233</v>
      </c>
    </row>
    <row r="2986" spans="1:9" ht="51.75" customHeight="1">
      <c r="A2986" s="5">
        <v>2</v>
      </c>
      <c r="B2986" s="5" t="s">
        <v>31666</v>
      </c>
      <c r="C2986" s="5" t="s">
        <v>31667</v>
      </c>
      <c r="D2986" s="246">
        <v>40263</v>
      </c>
      <c r="E2986" s="5" t="s">
        <v>31668</v>
      </c>
      <c r="F2986" s="26"/>
      <c r="G2986" s="27" t="s">
        <v>3838</v>
      </c>
      <c r="H2986" s="28" t="s">
        <v>3839</v>
      </c>
      <c r="I2986" s="5" t="s">
        <v>233</v>
      </c>
    </row>
    <row r="2987" spans="1:9" ht="51.75" customHeight="1">
      <c r="A2987" s="5">
        <v>3</v>
      </c>
      <c r="B2987" s="5" t="s">
        <v>31669</v>
      </c>
      <c r="C2987" s="5" t="s">
        <v>31670</v>
      </c>
      <c r="D2987" s="246">
        <v>40263</v>
      </c>
      <c r="E2987" s="5" t="s">
        <v>31671</v>
      </c>
      <c r="F2987" s="26"/>
      <c r="G2987" s="27" t="s">
        <v>3838</v>
      </c>
      <c r="H2987" s="28" t="s">
        <v>3839</v>
      </c>
      <c r="I2987" s="5" t="s">
        <v>233</v>
      </c>
    </row>
    <row r="2988" spans="1:9" ht="51.75" customHeight="1">
      <c r="A2988" s="5">
        <v>4</v>
      </c>
      <c r="B2988" s="5" t="s">
        <v>31672</v>
      </c>
      <c r="C2988" s="5" t="s">
        <v>31673</v>
      </c>
      <c r="D2988" s="246">
        <v>40263</v>
      </c>
      <c r="E2988" s="5" t="s">
        <v>31674</v>
      </c>
      <c r="F2988" s="26"/>
      <c r="G2988" s="27" t="s">
        <v>3838</v>
      </c>
      <c r="H2988" s="28" t="s">
        <v>3839</v>
      </c>
      <c r="I2988" s="5" t="s">
        <v>233</v>
      </c>
    </row>
    <row r="2989" spans="1:9" ht="51.75" customHeight="1">
      <c r="A2989" s="5">
        <v>5</v>
      </c>
      <c r="B2989" s="5" t="s">
        <v>31675</v>
      </c>
      <c r="C2989" s="5" t="s">
        <v>31676</v>
      </c>
      <c r="D2989" s="246">
        <v>40263</v>
      </c>
      <c r="E2989" s="5" t="s">
        <v>31677</v>
      </c>
      <c r="F2989" s="26"/>
      <c r="G2989" s="27" t="s">
        <v>3838</v>
      </c>
      <c r="H2989" s="28" t="s">
        <v>3839</v>
      </c>
      <c r="I2989" s="5" t="s">
        <v>233</v>
      </c>
    </row>
    <row r="2990" spans="1:9" ht="51.75" customHeight="1">
      <c r="A2990" s="5">
        <v>1</v>
      </c>
      <c r="B2990" s="5" t="s">
        <v>31678</v>
      </c>
      <c r="C2990" s="5" t="s">
        <v>31679</v>
      </c>
      <c r="D2990" s="246">
        <v>40316</v>
      </c>
      <c r="E2990" s="5" t="s">
        <v>31680</v>
      </c>
      <c r="F2990" s="26"/>
      <c r="G2990" s="27" t="s">
        <v>3796</v>
      </c>
      <c r="H2990" s="28" t="s">
        <v>3797</v>
      </c>
      <c r="I2990" s="5" t="s">
        <v>233</v>
      </c>
    </row>
    <row r="2991" spans="1:9" ht="51.75" customHeight="1">
      <c r="A2991" s="5">
        <v>2</v>
      </c>
      <c r="B2991" s="5" t="s">
        <v>31681</v>
      </c>
      <c r="C2991" s="5" t="s">
        <v>31682</v>
      </c>
      <c r="D2991" s="246">
        <v>40316</v>
      </c>
      <c r="E2991" s="5" t="s">
        <v>31683</v>
      </c>
      <c r="F2991" s="26"/>
      <c r="G2991" s="27" t="s">
        <v>3796</v>
      </c>
      <c r="H2991" s="28" t="s">
        <v>3797</v>
      </c>
      <c r="I2991" s="5" t="s">
        <v>233</v>
      </c>
    </row>
    <row r="2992" spans="1:9" ht="51.75" customHeight="1">
      <c r="A2992" s="5">
        <v>3</v>
      </c>
      <c r="B2992" s="5" t="s">
        <v>31684</v>
      </c>
      <c r="C2992" s="5" t="s">
        <v>31685</v>
      </c>
      <c r="D2992" s="246">
        <v>40316</v>
      </c>
      <c r="E2992" s="5" t="s">
        <v>31686</v>
      </c>
      <c r="F2992" s="26"/>
      <c r="G2992" s="27" t="s">
        <v>3796</v>
      </c>
      <c r="H2992" s="28" t="s">
        <v>3797</v>
      </c>
      <c r="I2992" s="5" t="s">
        <v>233</v>
      </c>
    </row>
    <row r="2993" spans="1:9" ht="51.75" customHeight="1">
      <c r="A2993" s="5">
        <v>1</v>
      </c>
      <c r="B2993" s="5" t="s">
        <v>31687</v>
      </c>
      <c r="C2993" s="5" t="s">
        <v>31688</v>
      </c>
      <c r="D2993" s="246">
        <v>38807</v>
      </c>
      <c r="E2993" s="5" t="s">
        <v>31688</v>
      </c>
      <c r="F2993" s="26"/>
      <c r="G2993" s="27" t="s">
        <v>320</v>
      </c>
      <c r="H2993" s="28" t="s">
        <v>321</v>
      </c>
      <c r="I2993" s="5" t="s">
        <v>233</v>
      </c>
    </row>
    <row r="2994" spans="1:9" ht="51.75" customHeight="1">
      <c r="A2994" s="5">
        <v>1</v>
      </c>
      <c r="B2994" s="5" t="s">
        <v>31689</v>
      </c>
      <c r="C2994" s="5" t="s">
        <v>31690</v>
      </c>
      <c r="D2994" s="246">
        <v>38960</v>
      </c>
      <c r="E2994" s="5" t="s">
        <v>31691</v>
      </c>
      <c r="F2994" s="26"/>
      <c r="G2994" s="27" t="s">
        <v>261</v>
      </c>
      <c r="H2994" s="28" t="s">
        <v>262</v>
      </c>
      <c r="I2994" s="5" t="s">
        <v>233</v>
      </c>
    </row>
    <row r="2995" spans="1:9" ht="51.75" customHeight="1">
      <c r="A2995" s="5">
        <v>2</v>
      </c>
      <c r="B2995" s="5" t="s">
        <v>31692</v>
      </c>
      <c r="C2995" s="5" t="s">
        <v>31693</v>
      </c>
      <c r="D2995" s="246">
        <v>38960</v>
      </c>
      <c r="E2995" s="5" t="s">
        <v>31694</v>
      </c>
      <c r="F2995" s="26"/>
      <c r="G2995" s="27" t="s">
        <v>261</v>
      </c>
      <c r="H2995" s="28" t="s">
        <v>262</v>
      </c>
      <c r="I2995" s="5" t="s">
        <v>233</v>
      </c>
    </row>
    <row r="2996" spans="1:9" ht="51.75" customHeight="1">
      <c r="A2996" s="5">
        <v>3</v>
      </c>
      <c r="B2996" s="5" t="s">
        <v>31695</v>
      </c>
      <c r="C2996" s="5" t="s">
        <v>31696</v>
      </c>
      <c r="D2996" s="246">
        <v>38960</v>
      </c>
      <c r="E2996" s="5" t="s">
        <v>31697</v>
      </c>
      <c r="F2996" s="26"/>
      <c r="G2996" s="27" t="s">
        <v>261</v>
      </c>
      <c r="H2996" s="28" t="s">
        <v>262</v>
      </c>
      <c r="I2996" s="5" t="s">
        <v>233</v>
      </c>
    </row>
    <row r="2997" spans="1:9" ht="51.75" customHeight="1">
      <c r="A2997" s="5">
        <v>4</v>
      </c>
      <c r="B2997" s="5" t="s">
        <v>31698</v>
      </c>
      <c r="C2997" s="5" t="s">
        <v>31699</v>
      </c>
      <c r="D2997" s="246">
        <v>38960</v>
      </c>
      <c r="E2997" s="5" t="s">
        <v>31700</v>
      </c>
      <c r="F2997" s="26"/>
      <c r="G2997" s="27" t="s">
        <v>261</v>
      </c>
      <c r="H2997" s="28" t="s">
        <v>262</v>
      </c>
      <c r="I2997" s="5" t="s">
        <v>233</v>
      </c>
    </row>
    <row r="2998" spans="1:9" ht="51.75" customHeight="1">
      <c r="A2998" s="5">
        <v>5</v>
      </c>
      <c r="B2998" s="5" t="s">
        <v>31701</v>
      </c>
      <c r="C2998" s="5" t="s">
        <v>31702</v>
      </c>
      <c r="D2998" s="246">
        <v>38960</v>
      </c>
      <c r="E2998" s="5" t="s">
        <v>31703</v>
      </c>
      <c r="F2998" s="26"/>
      <c r="G2998" s="27" t="s">
        <v>261</v>
      </c>
      <c r="H2998" s="28" t="s">
        <v>262</v>
      </c>
      <c r="I2998" s="5" t="s">
        <v>233</v>
      </c>
    </row>
    <row r="2999" spans="1:9" ht="51.75" customHeight="1">
      <c r="A2999" s="5">
        <v>6</v>
      </c>
      <c r="B2999" s="5" t="s">
        <v>31704</v>
      </c>
      <c r="C2999" s="5" t="s">
        <v>31705</v>
      </c>
      <c r="D2999" s="246">
        <v>38960</v>
      </c>
      <c r="E2999" s="5" t="s">
        <v>31706</v>
      </c>
      <c r="F2999" s="26"/>
      <c r="G2999" s="27" t="s">
        <v>261</v>
      </c>
      <c r="H2999" s="28" t="s">
        <v>262</v>
      </c>
      <c r="I2999" s="5" t="s">
        <v>233</v>
      </c>
    </row>
    <row r="3000" spans="1:9" ht="51.75" customHeight="1">
      <c r="A3000" s="5">
        <v>7</v>
      </c>
      <c r="B3000" s="5" t="s">
        <v>31707</v>
      </c>
      <c r="C3000" s="5" t="s">
        <v>31708</v>
      </c>
      <c r="D3000" s="246">
        <v>38960</v>
      </c>
      <c r="E3000" s="5" t="s">
        <v>31709</v>
      </c>
      <c r="F3000" s="26"/>
      <c r="G3000" s="27" t="s">
        <v>261</v>
      </c>
      <c r="H3000" s="28" t="s">
        <v>262</v>
      </c>
      <c r="I3000" s="5" t="s">
        <v>233</v>
      </c>
    </row>
    <row r="3001" spans="1:9" ht="51.75" customHeight="1">
      <c r="A3001" s="5">
        <v>8</v>
      </c>
      <c r="B3001" s="5" t="s">
        <v>31710</v>
      </c>
      <c r="C3001" s="5" t="s">
        <v>31711</v>
      </c>
      <c r="D3001" s="246">
        <v>38960</v>
      </c>
      <c r="E3001" s="5" t="s">
        <v>31712</v>
      </c>
      <c r="F3001" s="26"/>
      <c r="G3001" s="27" t="s">
        <v>261</v>
      </c>
      <c r="H3001" s="28" t="s">
        <v>262</v>
      </c>
      <c r="I3001" s="5" t="s">
        <v>233</v>
      </c>
    </row>
    <row r="3002" spans="1:9" ht="51.75" customHeight="1">
      <c r="A3002" s="5">
        <v>1</v>
      </c>
      <c r="B3002" s="5" t="s">
        <v>31713</v>
      </c>
      <c r="C3002" s="5" t="s">
        <v>31714</v>
      </c>
      <c r="D3002" s="246">
        <v>40263</v>
      </c>
      <c r="E3002" s="5" t="s">
        <v>31715</v>
      </c>
      <c r="F3002" s="26"/>
      <c r="G3002" s="27" t="s">
        <v>3699</v>
      </c>
      <c r="H3002" s="28" t="s">
        <v>3700</v>
      </c>
      <c r="I3002" s="5" t="s">
        <v>233</v>
      </c>
    </row>
    <row r="3003" spans="1:9" ht="51.75" customHeight="1">
      <c r="A3003" s="5">
        <v>2</v>
      </c>
      <c r="B3003" s="5" t="s">
        <v>31716</v>
      </c>
      <c r="C3003" s="5" t="s">
        <v>31717</v>
      </c>
      <c r="D3003" s="246">
        <v>40263</v>
      </c>
      <c r="E3003" s="5" t="s">
        <v>31718</v>
      </c>
      <c r="F3003" s="26"/>
      <c r="G3003" s="27" t="s">
        <v>3699</v>
      </c>
      <c r="H3003" s="28" t="s">
        <v>3700</v>
      </c>
      <c r="I3003" s="5" t="s">
        <v>233</v>
      </c>
    </row>
    <row r="3004" spans="1:9" ht="51.75" customHeight="1">
      <c r="A3004" s="5">
        <v>3</v>
      </c>
      <c r="B3004" s="5" t="s">
        <v>31719</v>
      </c>
      <c r="C3004" s="5" t="s">
        <v>31720</v>
      </c>
      <c r="D3004" s="246">
        <v>40263</v>
      </c>
      <c r="E3004" s="5" t="s">
        <v>31721</v>
      </c>
      <c r="F3004" s="26"/>
      <c r="G3004" s="27" t="s">
        <v>3699</v>
      </c>
      <c r="H3004" s="28" t="s">
        <v>3700</v>
      </c>
      <c r="I3004" s="5" t="s">
        <v>233</v>
      </c>
    </row>
    <row r="3005" spans="1:9" ht="51.75" customHeight="1">
      <c r="A3005" s="5">
        <v>4</v>
      </c>
      <c r="B3005" s="5" t="s">
        <v>31722</v>
      </c>
      <c r="C3005" s="5" t="s">
        <v>31723</v>
      </c>
      <c r="D3005" s="246">
        <v>40263</v>
      </c>
      <c r="E3005" s="5" t="s">
        <v>31724</v>
      </c>
      <c r="F3005" s="26"/>
      <c r="G3005" s="27" t="s">
        <v>3699</v>
      </c>
      <c r="H3005" s="28" t="s">
        <v>3700</v>
      </c>
      <c r="I3005" s="5" t="s">
        <v>233</v>
      </c>
    </row>
    <row r="3006" spans="1:9" ht="51.75" customHeight="1">
      <c r="A3006" s="5">
        <v>5</v>
      </c>
      <c r="B3006" s="5" t="s">
        <v>31725</v>
      </c>
      <c r="C3006" s="5" t="s">
        <v>31726</v>
      </c>
      <c r="D3006" s="246">
        <v>40263</v>
      </c>
      <c r="E3006" s="5" t="s">
        <v>31727</v>
      </c>
      <c r="F3006" s="26"/>
      <c r="G3006" s="27" t="s">
        <v>3699</v>
      </c>
      <c r="H3006" s="28" t="s">
        <v>3700</v>
      </c>
      <c r="I3006" s="5" t="s">
        <v>233</v>
      </c>
    </row>
    <row r="3007" spans="1:9" ht="51.75" customHeight="1">
      <c r="A3007" s="5">
        <v>6</v>
      </c>
      <c r="B3007" s="5" t="s">
        <v>31728</v>
      </c>
      <c r="C3007" s="5" t="s">
        <v>31729</v>
      </c>
      <c r="D3007" s="246">
        <v>40263</v>
      </c>
      <c r="E3007" s="5" t="s">
        <v>31730</v>
      </c>
      <c r="F3007" s="26"/>
      <c r="G3007" s="27" t="s">
        <v>3699</v>
      </c>
      <c r="H3007" s="28" t="s">
        <v>3700</v>
      </c>
      <c r="I3007" s="5" t="s">
        <v>233</v>
      </c>
    </row>
    <row r="3008" spans="1:9" ht="51.75" customHeight="1">
      <c r="A3008" s="5">
        <v>1</v>
      </c>
      <c r="B3008" s="5" t="s">
        <v>31731</v>
      </c>
      <c r="C3008" s="5" t="s">
        <v>31732</v>
      </c>
      <c r="D3008" s="246">
        <v>40263</v>
      </c>
      <c r="E3008" s="5" t="s">
        <v>31733</v>
      </c>
      <c r="F3008" s="26"/>
      <c r="G3008" s="27" t="s">
        <v>3674</v>
      </c>
      <c r="H3008" s="28" t="s">
        <v>3675</v>
      </c>
      <c r="I3008" s="5" t="s">
        <v>233</v>
      </c>
    </row>
    <row r="3009" spans="1:9" ht="51.75" customHeight="1">
      <c r="A3009" s="5">
        <v>2</v>
      </c>
      <c r="B3009" s="5" t="s">
        <v>31734</v>
      </c>
      <c r="C3009" s="5" t="s">
        <v>31735</v>
      </c>
      <c r="D3009" s="246">
        <v>40263</v>
      </c>
      <c r="E3009" s="5" t="s">
        <v>31736</v>
      </c>
      <c r="F3009" s="26"/>
      <c r="G3009" s="27" t="s">
        <v>3674</v>
      </c>
      <c r="H3009" s="28" t="s">
        <v>3675</v>
      </c>
      <c r="I3009" s="5" t="s">
        <v>233</v>
      </c>
    </row>
    <row r="3010" spans="1:9" ht="51.75" customHeight="1">
      <c r="A3010" s="5">
        <v>3</v>
      </c>
      <c r="B3010" s="5" t="s">
        <v>31737</v>
      </c>
      <c r="C3010" s="5" t="s">
        <v>31738</v>
      </c>
      <c r="D3010" s="246">
        <v>40263</v>
      </c>
      <c r="E3010" s="5" t="s">
        <v>31739</v>
      </c>
      <c r="F3010" s="26"/>
      <c r="G3010" s="27" t="s">
        <v>3674</v>
      </c>
      <c r="H3010" s="28" t="s">
        <v>3675</v>
      </c>
      <c r="I3010" s="5" t="s">
        <v>233</v>
      </c>
    </row>
    <row r="3011" spans="1:9" ht="51.75" customHeight="1">
      <c r="A3011" s="5">
        <v>4</v>
      </c>
      <c r="B3011" s="5" t="s">
        <v>31740</v>
      </c>
      <c r="C3011" s="5" t="s">
        <v>31741</v>
      </c>
      <c r="D3011" s="246">
        <v>40263</v>
      </c>
      <c r="E3011" s="5" t="s">
        <v>31742</v>
      </c>
      <c r="F3011" s="26"/>
      <c r="G3011" s="27" t="s">
        <v>3674</v>
      </c>
      <c r="H3011" s="28" t="s">
        <v>3675</v>
      </c>
      <c r="I3011" s="5" t="s">
        <v>233</v>
      </c>
    </row>
    <row r="3012" spans="1:9" ht="51.75" customHeight="1">
      <c r="A3012" s="5">
        <v>5</v>
      </c>
      <c r="B3012" s="5" t="s">
        <v>31743</v>
      </c>
      <c r="C3012" s="5" t="s">
        <v>31744</v>
      </c>
      <c r="D3012" s="246">
        <v>40263</v>
      </c>
      <c r="E3012" s="5" t="s">
        <v>31745</v>
      </c>
      <c r="F3012" s="26"/>
      <c r="G3012" s="27" t="s">
        <v>3674</v>
      </c>
      <c r="H3012" s="28" t="s">
        <v>3675</v>
      </c>
      <c r="I3012" s="5" t="s">
        <v>233</v>
      </c>
    </row>
    <row r="3013" spans="1:9" ht="51.75" customHeight="1">
      <c r="A3013" s="5">
        <v>6</v>
      </c>
      <c r="B3013" s="5" t="s">
        <v>31746</v>
      </c>
      <c r="C3013" s="5" t="s">
        <v>31747</v>
      </c>
      <c r="D3013" s="246">
        <v>40263</v>
      </c>
      <c r="E3013" s="5" t="s">
        <v>31748</v>
      </c>
      <c r="F3013" s="26"/>
      <c r="G3013" s="27" t="s">
        <v>3674</v>
      </c>
      <c r="H3013" s="28" t="s">
        <v>3675</v>
      </c>
      <c r="I3013" s="5" t="s">
        <v>233</v>
      </c>
    </row>
    <row r="3014" spans="1:9" ht="51.75" customHeight="1">
      <c r="A3014" s="5">
        <v>1</v>
      </c>
      <c r="B3014" s="5" t="s">
        <v>31749</v>
      </c>
      <c r="C3014" s="5" t="s">
        <v>31750</v>
      </c>
      <c r="D3014" s="246">
        <v>40147</v>
      </c>
      <c r="E3014" s="5" t="s">
        <v>31751</v>
      </c>
      <c r="F3014" s="26"/>
      <c r="G3014" s="27" t="s">
        <v>3715</v>
      </c>
      <c r="H3014" s="28" t="s">
        <v>3716</v>
      </c>
      <c r="I3014" s="5" t="s">
        <v>233</v>
      </c>
    </row>
    <row r="3015" spans="1:9" ht="51.75" customHeight="1">
      <c r="A3015" s="5">
        <v>2</v>
      </c>
      <c r="B3015" s="5" t="s">
        <v>31752</v>
      </c>
      <c r="C3015" s="5" t="s">
        <v>31753</v>
      </c>
      <c r="D3015" s="246">
        <v>40147</v>
      </c>
      <c r="E3015" s="5" t="s">
        <v>31754</v>
      </c>
      <c r="F3015" s="26"/>
      <c r="G3015" s="27" t="s">
        <v>3715</v>
      </c>
      <c r="H3015" s="28" t="s">
        <v>3716</v>
      </c>
      <c r="I3015" s="5" t="s">
        <v>233</v>
      </c>
    </row>
    <row r="3016" spans="1:9" ht="51.75" customHeight="1">
      <c r="A3016" s="5">
        <v>3</v>
      </c>
      <c r="B3016" s="5" t="s">
        <v>31755</v>
      </c>
      <c r="C3016" s="5" t="s">
        <v>31756</v>
      </c>
      <c r="D3016" s="246">
        <v>40147</v>
      </c>
      <c r="E3016" s="5" t="s">
        <v>31757</v>
      </c>
      <c r="F3016" s="26"/>
      <c r="G3016" s="27" t="s">
        <v>3715</v>
      </c>
      <c r="H3016" s="28" t="s">
        <v>3716</v>
      </c>
      <c r="I3016" s="5" t="s">
        <v>233</v>
      </c>
    </row>
    <row r="3017" spans="1:9" ht="51.75" customHeight="1">
      <c r="A3017" s="5">
        <v>1</v>
      </c>
      <c r="B3017" s="5" t="s">
        <v>31758</v>
      </c>
      <c r="C3017" s="5" t="s">
        <v>31759</v>
      </c>
      <c r="D3017" s="246">
        <v>40249</v>
      </c>
      <c r="E3017" s="5" t="s">
        <v>31760</v>
      </c>
      <c r="F3017" s="26"/>
      <c r="G3017" s="27" t="s">
        <v>3657</v>
      </c>
      <c r="H3017" s="28" t="s">
        <v>3658</v>
      </c>
      <c r="I3017" s="5" t="s">
        <v>233</v>
      </c>
    </row>
    <row r="3018" spans="1:9" ht="51.75" customHeight="1">
      <c r="A3018" s="5">
        <v>2</v>
      </c>
      <c r="B3018" s="5" t="s">
        <v>31761</v>
      </c>
      <c r="C3018" s="5" t="s">
        <v>31762</v>
      </c>
      <c r="D3018" s="246">
        <v>40249</v>
      </c>
      <c r="E3018" s="5" t="s">
        <v>31763</v>
      </c>
      <c r="F3018" s="26"/>
      <c r="G3018" s="27" t="s">
        <v>3657</v>
      </c>
      <c r="H3018" s="28" t="s">
        <v>3658</v>
      </c>
      <c r="I3018" s="5" t="s">
        <v>233</v>
      </c>
    </row>
    <row r="3019" spans="1:9" ht="51.75" customHeight="1">
      <c r="A3019" s="5">
        <v>3</v>
      </c>
      <c r="B3019" s="5" t="s">
        <v>31764</v>
      </c>
      <c r="C3019" s="5" t="s">
        <v>31765</v>
      </c>
      <c r="D3019" s="246">
        <v>40249</v>
      </c>
      <c r="E3019" s="5" t="s">
        <v>31766</v>
      </c>
      <c r="F3019" s="26"/>
      <c r="G3019" s="27" t="s">
        <v>3657</v>
      </c>
      <c r="H3019" s="28" t="s">
        <v>3658</v>
      </c>
      <c r="I3019" s="5" t="s">
        <v>233</v>
      </c>
    </row>
    <row r="3020" spans="1:9" ht="51.75" customHeight="1">
      <c r="A3020" s="5">
        <v>4</v>
      </c>
      <c r="B3020" s="5" t="s">
        <v>31767</v>
      </c>
      <c r="C3020" s="5" t="s">
        <v>31768</v>
      </c>
      <c r="D3020" s="246">
        <v>40249</v>
      </c>
      <c r="E3020" s="5" t="s">
        <v>31769</v>
      </c>
      <c r="F3020" s="26"/>
      <c r="G3020" s="27" t="s">
        <v>3657</v>
      </c>
      <c r="H3020" s="28" t="s">
        <v>3658</v>
      </c>
      <c r="I3020" s="5" t="s">
        <v>233</v>
      </c>
    </row>
    <row r="3021" spans="1:9" ht="51.75" customHeight="1">
      <c r="A3021" s="5">
        <v>5</v>
      </c>
      <c r="B3021" s="5" t="s">
        <v>31770</v>
      </c>
      <c r="C3021" s="5" t="s">
        <v>31771</v>
      </c>
      <c r="D3021" s="246">
        <v>40249</v>
      </c>
      <c r="E3021" s="5" t="s">
        <v>31772</v>
      </c>
      <c r="F3021" s="26"/>
      <c r="G3021" s="27" t="s">
        <v>3657</v>
      </c>
      <c r="H3021" s="28" t="s">
        <v>3658</v>
      </c>
      <c r="I3021" s="5" t="s">
        <v>233</v>
      </c>
    </row>
    <row r="3022" spans="1:9" ht="51.75" customHeight="1">
      <c r="A3022" s="5">
        <v>6</v>
      </c>
      <c r="B3022" s="5" t="s">
        <v>31773</v>
      </c>
      <c r="C3022" s="5" t="s">
        <v>31774</v>
      </c>
      <c r="D3022" s="246">
        <v>40249</v>
      </c>
      <c r="E3022" s="5" t="s">
        <v>31775</v>
      </c>
      <c r="F3022" s="26"/>
      <c r="G3022" s="27" t="s">
        <v>3657</v>
      </c>
      <c r="H3022" s="28" t="s">
        <v>3658</v>
      </c>
      <c r="I3022" s="5" t="s">
        <v>233</v>
      </c>
    </row>
    <row r="3023" spans="1:9" ht="51.75" customHeight="1">
      <c r="A3023" s="5">
        <v>7</v>
      </c>
      <c r="B3023" s="5" t="s">
        <v>31776</v>
      </c>
      <c r="C3023" s="5" t="s">
        <v>31777</v>
      </c>
      <c r="D3023" s="246">
        <v>40249</v>
      </c>
      <c r="E3023" s="5" t="s">
        <v>31778</v>
      </c>
      <c r="F3023" s="26"/>
      <c r="G3023" s="27" t="s">
        <v>3657</v>
      </c>
      <c r="H3023" s="28" t="s">
        <v>3658</v>
      </c>
      <c r="I3023" s="5" t="s">
        <v>233</v>
      </c>
    </row>
    <row r="3024" spans="1:9" ht="51.75" customHeight="1">
      <c r="A3024" s="5">
        <v>1</v>
      </c>
      <c r="B3024" s="5" t="s">
        <v>31779</v>
      </c>
      <c r="C3024" s="5" t="s">
        <v>31780</v>
      </c>
      <c r="D3024" s="246">
        <v>40163</v>
      </c>
      <c r="E3024" s="5" t="s">
        <v>31781</v>
      </c>
      <c r="F3024" s="26"/>
      <c r="G3024" s="27" t="s">
        <v>3480</v>
      </c>
      <c r="H3024" s="28" t="s">
        <v>3481</v>
      </c>
      <c r="I3024" s="5" t="s">
        <v>233</v>
      </c>
    </row>
    <row r="3025" spans="1:9" ht="51.75" customHeight="1">
      <c r="A3025" s="5">
        <v>2</v>
      </c>
      <c r="B3025" s="5" t="s">
        <v>31782</v>
      </c>
      <c r="C3025" s="5" t="s">
        <v>31783</v>
      </c>
      <c r="D3025" s="246">
        <v>40163</v>
      </c>
      <c r="E3025" s="5" t="s">
        <v>31784</v>
      </c>
      <c r="F3025" s="26"/>
      <c r="G3025" s="27" t="s">
        <v>3480</v>
      </c>
      <c r="H3025" s="28" t="s">
        <v>3481</v>
      </c>
      <c r="I3025" s="5" t="s">
        <v>233</v>
      </c>
    </row>
    <row r="3026" spans="1:9" ht="51.75" customHeight="1">
      <c r="A3026" s="5">
        <v>3</v>
      </c>
      <c r="B3026" s="5" t="s">
        <v>31785</v>
      </c>
      <c r="C3026" s="5" t="s">
        <v>31786</v>
      </c>
      <c r="D3026" s="246">
        <v>40163</v>
      </c>
      <c r="E3026" s="5" t="s">
        <v>31787</v>
      </c>
      <c r="F3026" s="26"/>
      <c r="G3026" s="27" t="s">
        <v>3480</v>
      </c>
      <c r="H3026" s="28" t="s">
        <v>3481</v>
      </c>
      <c r="I3026" s="5" t="s">
        <v>233</v>
      </c>
    </row>
    <row r="3027" spans="1:9" ht="51.75" customHeight="1">
      <c r="A3027" s="5">
        <v>1</v>
      </c>
      <c r="B3027" s="5" t="s">
        <v>31788</v>
      </c>
      <c r="C3027" s="5" t="s">
        <v>31789</v>
      </c>
      <c r="D3027" s="246">
        <v>38929</v>
      </c>
      <c r="E3027" s="5" t="s">
        <v>31790</v>
      </c>
      <c r="F3027" s="26"/>
      <c r="G3027" s="27" t="s">
        <v>231</v>
      </c>
      <c r="H3027" s="28" t="s">
        <v>232</v>
      </c>
      <c r="I3027" s="5" t="s">
        <v>233</v>
      </c>
    </row>
    <row r="3028" spans="1:9" ht="51.75" customHeight="1">
      <c r="A3028" s="5">
        <v>2</v>
      </c>
      <c r="B3028" s="5" t="s">
        <v>31791</v>
      </c>
      <c r="C3028" s="5" t="s">
        <v>31789</v>
      </c>
      <c r="D3028" s="246">
        <v>38929</v>
      </c>
      <c r="E3028" s="5" t="s">
        <v>31792</v>
      </c>
      <c r="F3028" s="26"/>
      <c r="G3028" s="27" t="s">
        <v>231</v>
      </c>
      <c r="H3028" s="28" t="s">
        <v>232</v>
      </c>
      <c r="I3028" s="5" t="s">
        <v>233</v>
      </c>
    </row>
    <row r="3029" spans="1:9" ht="51.75" customHeight="1">
      <c r="A3029" s="5">
        <v>3</v>
      </c>
      <c r="B3029" s="5" t="s">
        <v>31793</v>
      </c>
      <c r="C3029" s="5" t="s">
        <v>31794</v>
      </c>
      <c r="D3029" s="246">
        <v>38929</v>
      </c>
      <c r="E3029" s="5" t="s">
        <v>31795</v>
      </c>
      <c r="F3029" s="26"/>
      <c r="G3029" s="27" t="s">
        <v>231</v>
      </c>
      <c r="H3029" s="28" t="s">
        <v>232</v>
      </c>
      <c r="I3029" s="5" t="s">
        <v>233</v>
      </c>
    </row>
    <row r="3030" spans="1:9" ht="51.75" customHeight="1">
      <c r="A3030" s="5">
        <v>4</v>
      </c>
      <c r="B3030" s="5" t="s">
        <v>31796</v>
      </c>
      <c r="C3030" s="5" t="s">
        <v>31797</v>
      </c>
      <c r="D3030" s="246">
        <v>38929</v>
      </c>
      <c r="E3030" s="5" t="s">
        <v>31798</v>
      </c>
      <c r="F3030" s="26"/>
      <c r="G3030" s="27" t="s">
        <v>231</v>
      </c>
      <c r="H3030" s="28" t="s">
        <v>232</v>
      </c>
      <c r="I3030" s="5" t="s">
        <v>233</v>
      </c>
    </row>
    <row r="3031" spans="1:9" ht="51.75" customHeight="1">
      <c r="A3031" s="5">
        <v>5</v>
      </c>
      <c r="B3031" s="5" t="s">
        <v>31799</v>
      </c>
      <c r="C3031" s="5" t="s">
        <v>31800</v>
      </c>
      <c r="D3031" s="246">
        <v>38929</v>
      </c>
      <c r="E3031" s="5" t="s">
        <v>31801</v>
      </c>
      <c r="F3031" s="26"/>
      <c r="G3031" s="27" t="s">
        <v>231</v>
      </c>
      <c r="H3031" s="28" t="s">
        <v>232</v>
      </c>
      <c r="I3031" s="5" t="s">
        <v>233</v>
      </c>
    </row>
    <row r="3032" spans="1:9" ht="51.75" customHeight="1">
      <c r="A3032" s="5">
        <v>1</v>
      </c>
      <c r="B3032" s="5" t="s">
        <v>31802</v>
      </c>
      <c r="C3032" s="5" t="s">
        <v>31803</v>
      </c>
      <c r="D3032" s="246">
        <v>40221</v>
      </c>
      <c r="E3032" s="5" t="s">
        <v>31804</v>
      </c>
      <c r="F3032" s="26"/>
      <c r="G3032" s="27" t="s">
        <v>3558</v>
      </c>
      <c r="H3032" s="28" t="s">
        <v>3559</v>
      </c>
      <c r="I3032" s="5" t="s">
        <v>233</v>
      </c>
    </row>
    <row r="3033" spans="1:9" ht="51.75" customHeight="1">
      <c r="A3033" s="5">
        <v>2</v>
      </c>
      <c r="B3033" s="5" t="s">
        <v>31805</v>
      </c>
      <c r="C3033" s="5" t="s">
        <v>31806</v>
      </c>
      <c r="D3033" s="246">
        <v>40221</v>
      </c>
      <c r="E3033" s="5" t="s">
        <v>31807</v>
      </c>
      <c r="F3033" s="26"/>
      <c r="G3033" s="27" t="s">
        <v>3558</v>
      </c>
      <c r="H3033" s="28" t="s">
        <v>3559</v>
      </c>
      <c r="I3033" s="5" t="s">
        <v>233</v>
      </c>
    </row>
    <row r="3034" spans="1:9" ht="51.75" customHeight="1">
      <c r="A3034" s="5">
        <v>3</v>
      </c>
      <c r="B3034" s="5" t="s">
        <v>31808</v>
      </c>
      <c r="C3034" s="5" t="s">
        <v>31809</v>
      </c>
      <c r="D3034" s="246">
        <v>40221</v>
      </c>
      <c r="E3034" s="5" t="s">
        <v>31810</v>
      </c>
      <c r="F3034" s="26"/>
      <c r="G3034" s="27" t="s">
        <v>3558</v>
      </c>
      <c r="H3034" s="28" t="s">
        <v>3559</v>
      </c>
      <c r="I3034" s="5" t="s">
        <v>233</v>
      </c>
    </row>
    <row r="3035" spans="1:9" ht="51.75" customHeight="1">
      <c r="A3035" s="5">
        <v>4</v>
      </c>
      <c r="B3035" s="5" t="s">
        <v>31811</v>
      </c>
      <c r="C3035" s="5" t="s">
        <v>31812</v>
      </c>
      <c r="D3035" s="246">
        <v>40221</v>
      </c>
      <c r="E3035" s="5" t="s">
        <v>31813</v>
      </c>
      <c r="F3035" s="26"/>
      <c r="G3035" s="27" t="s">
        <v>3558</v>
      </c>
      <c r="H3035" s="28" t="s">
        <v>3559</v>
      </c>
      <c r="I3035" s="5" t="s">
        <v>233</v>
      </c>
    </row>
    <row r="3036" spans="1:9" ht="51.75" customHeight="1">
      <c r="A3036" s="5">
        <v>5</v>
      </c>
      <c r="B3036" s="5" t="s">
        <v>31814</v>
      </c>
      <c r="C3036" s="5" t="s">
        <v>31815</v>
      </c>
      <c r="D3036" s="246">
        <v>40221</v>
      </c>
      <c r="E3036" s="5" t="s">
        <v>31816</v>
      </c>
      <c r="F3036" s="26"/>
      <c r="G3036" s="27" t="s">
        <v>3558</v>
      </c>
      <c r="H3036" s="28" t="s">
        <v>3559</v>
      </c>
      <c r="I3036" s="5" t="s">
        <v>233</v>
      </c>
    </row>
    <row r="3037" spans="1:9" ht="51.75" customHeight="1">
      <c r="A3037" s="5">
        <v>6</v>
      </c>
      <c r="B3037" s="5" t="s">
        <v>31817</v>
      </c>
      <c r="C3037" s="5" t="s">
        <v>31818</v>
      </c>
      <c r="D3037" s="246">
        <v>40221</v>
      </c>
      <c r="E3037" s="5" t="s">
        <v>31819</v>
      </c>
      <c r="F3037" s="26"/>
      <c r="G3037" s="27" t="s">
        <v>3558</v>
      </c>
      <c r="H3037" s="28" t="s">
        <v>3559</v>
      </c>
      <c r="I3037" s="5" t="s">
        <v>233</v>
      </c>
    </row>
    <row r="3038" spans="1:9" ht="51.75" customHeight="1">
      <c r="A3038" s="5">
        <v>7</v>
      </c>
      <c r="B3038" s="5" t="s">
        <v>31820</v>
      </c>
      <c r="C3038" s="5" t="s">
        <v>31821</v>
      </c>
      <c r="D3038" s="246">
        <v>40221</v>
      </c>
      <c r="E3038" s="5" t="s">
        <v>31822</v>
      </c>
      <c r="F3038" s="26"/>
      <c r="G3038" s="27" t="s">
        <v>3558</v>
      </c>
      <c r="H3038" s="28" t="s">
        <v>3559</v>
      </c>
      <c r="I3038" s="5" t="s">
        <v>233</v>
      </c>
    </row>
    <row r="3039" spans="1:9" ht="51.75" customHeight="1">
      <c r="A3039" s="5">
        <v>8</v>
      </c>
      <c r="B3039" s="5" t="s">
        <v>31823</v>
      </c>
      <c r="C3039" s="5" t="s">
        <v>31824</v>
      </c>
      <c r="D3039" s="246">
        <v>40221</v>
      </c>
      <c r="E3039" s="5" t="s">
        <v>31825</v>
      </c>
      <c r="F3039" s="26"/>
      <c r="G3039" s="27" t="s">
        <v>3558</v>
      </c>
      <c r="H3039" s="28" t="s">
        <v>3559</v>
      </c>
      <c r="I3039" s="5" t="s">
        <v>233</v>
      </c>
    </row>
    <row r="3040" spans="1:9" ht="51.75" customHeight="1">
      <c r="A3040" s="5">
        <v>9</v>
      </c>
      <c r="B3040" s="5" t="s">
        <v>31826</v>
      </c>
      <c r="C3040" s="5" t="s">
        <v>31827</v>
      </c>
      <c r="D3040" s="246">
        <v>40221</v>
      </c>
      <c r="E3040" s="5" t="s">
        <v>31828</v>
      </c>
      <c r="F3040" s="26"/>
      <c r="G3040" s="27" t="s">
        <v>3558</v>
      </c>
      <c r="H3040" s="28" t="s">
        <v>3559</v>
      </c>
      <c r="I3040" s="5" t="s">
        <v>233</v>
      </c>
    </row>
    <row r="3041" spans="1:9" ht="51.75" customHeight="1">
      <c r="A3041" s="5">
        <v>10</v>
      </c>
      <c r="B3041" s="5" t="s">
        <v>31829</v>
      </c>
      <c r="C3041" s="5" t="s">
        <v>31830</v>
      </c>
      <c r="D3041" s="246">
        <v>40221</v>
      </c>
      <c r="E3041" s="5" t="s">
        <v>31831</v>
      </c>
      <c r="F3041" s="26"/>
      <c r="G3041" s="27" t="s">
        <v>3558</v>
      </c>
      <c r="H3041" s="28" t="s">
        <v>3559</v>
      </c>
      <c r="I3041" s="5" t="s">
        <v>233</v>
      </c>
    </row>
    <row r="3042" spans="1:9" ht="51.75" customHeight="1">
      <c r="A3042" s="5">
        <v>1</v>
      </c>
      <c r="B3042" s="5" t="s">
        <v>31832</v>
      </c>
      <c r="C3042" s="5" t="s">
        <v>31833</v>
      </c>
      <c r="D3042" s="246">
        <v>40049</v>
      </c>
      <c r="E3042" s="5" t="s">
        <v>31834</v>
      </c>
      <c r="F3042" s="26"/>
      <c r="G3042" s="27" t="s">
        <v>3486</v>
      </c>
      <c r="H3042" s="28" t="s">
        <v>3487</v>
      </c>
      <c r="I3042" s="5" t="s">
        <v>233</v>
      </c>
    </row>
    <row r="3043" spans="1:9" ht="51.75" customHeight="1">
      <c r="A3043" s="5">
        <v>2</v>
      </c>
      <c r="B3043" s="5" t="s">
        <v>31835</v>
      </c>
      <c r="C3043" s="5" t="s">
        <v>31836</v>
      </c>
      <c r="D3043" s="246">
        <v>40049</v>
      </c>
      <c r="E3043" s="5" t="s">
        <v>31837</v>
      </c>
      <c r="F3043" s="26"/>
      <c r="G3043" s="27" t="s">
        <v>3486</v>
      </c>
      <c r="H3043" s="28" t="s">
        <v>3487</v>
      </c>
      <c r="I3043" s="5" t="s">
        <v>233</v>
      </c>
    </row>
    <row r="3044" spans="1:9" ht="51.75" customHeight="1">
      <c r="A3044" s="5">
        <v>3</v>
      </c>
      <c r="B3044" s="5" t="s">
        <v>31838</v>
      </c>
      <c r="C3044" s="5" t="s">
        <v>31839</v>
      </c>
      <c r="D3044" s="246">
        <v>40049</v>
      </c>
      <c r="E3044" s="5" t="s">
        <v>31840</v>
      </c>
      <c r="F3044" s="26"/>
      <c r="G3044" s="27" t="s">
        <v>3486</v>
      </c>
      <c r="H3044" s="28" t="s">
        <v>3487</v>
      </c>
      <c r="I3044" s="5" t="s">
        <v>233</v>
      </c>
    </row>
    <row r="3045" spans="1:9" ht="51.75" customHeight="1">
      <c r="A3045" s="5">
        <v>1</v>
      </c>
      <c r="B3045" s="5" t="s">
        <v>31841</v>
      </c>
      <c r="C3045" s="5" t="s">
        <v>31842</v>
      </c>
      <c r="D3045" s="246">
        <v>40052</v>
      </c>
      <c r="E3045" s="5" t="s">
        <v>31843</v>
      </c>
      <c r="F3045" s="26"/>
      <c r="G3045" s="27" t="s">
        <v>3451</v>
      </c>
      <c r="H3045" s="28" t="s">
        <v>3452</v>
      </c>
      <c r="I3045" s="5" t="s">
        <v>233</v>
      </c>
    </row>
    <row r="3046" spans="1:9" ht="51.75" customHeight="1">
      <c r="A3046" s="5">
        <v>2</v>
      </c>
      <c r="B3046" s="5" t="s">
        <v>31844</v>
      </c>
      <c r="C3046" s="5" t="s">
        <v>31845</v>
      </c>
      <c r="D3046" s="246">
        <v>40052</v>
      </c>
      <c r="E3046" s="5" t="s">
        <v>31846</v>
      </c>
      <c r="F3046" s="26"/>
      <c r="G3046" s="27" t="s">
        <v>3451</v>
      </c>
      <c r="H3046" s="28" t="s">
        <v>3452</v>
      </c>
      <c r="I3046" s="5" t="s">
        <v>233</v>
      </c>
    </row>
    <row r="3047" spans="1:9" ht="51.75" customHeight="1">
      <c r="A3047" s="5">
        <v>3</v>
      </c>
      <c r="B3047" s="5" t="s">
        <v>31847</v>
      </c>
      <c r="C3047" s="5" t="s">
        <v>31848</v>
      </c>
      <c r="D3047" s="246">
        <v>40052</v>
      </c>
      <c r="E3047" s="5" t="s">
        <v>31849</v>
      </c>
      <c r="F3047" s="26"/>
      <c r="G3047" s="27" t="s">
        <v>3451</v>
      </c>
      <c r="H3047" s="28" t="s">
        <v>3452</v>
      </c>
      <c r="I3047" s="5" t="s">
        <v>233</v>
      </c>
    </row>
    <row r="3048" spans="1:9" ht="51.75" customHeight="1">
      <c r="A3048" s="5">
        <v>4</v>
      </c>
      <c r="B3048" s="5" t="s">
        <v>31850</v>
      </c>
      <c r="C3048" s="5" t="s">
        <v>31851</v>
      </c>
      <c r="D3048" s="246">
        <v>40052</v>
      </c>
      <c r="E3048" s="5" t="s">
        <v>31852</v>
      </c>
      <c r="F3048" s="26"/>
      <c r="G3048" s="27" t="s">
        <v>3451</v>
      </c>
      <c r="H3048" s="28" t="s">
        <v>3452</v>
      </c>
      <c r="I3048" s="5" t="s">
        <v>233</v>
      </c>
    </row>
    <row r="3049" spans="1:9" ht="51.75" customHeight="1">
      <c r="A3049" s="5">
        <v>5</v>
      </c>
      <c r="B3049" s="5" t="s">
        <v>31853</v>
      </c>
      <c r="C3049" s="5" t="s">
        <v>31854</v>
      </c>
      <c r="D3049" s="246">
        <v>40052</v>
      </c>
      <c r="E3049" s="5" t="s">
        <v>31855</v>
      </c>
      <c r="F3049" s="26"/>
      <c r="G3049" s="27" t="s">
        <v>3451</v>
      </c>
      <c r="H3049" s="28" t="s">
        <v>3452</v>
      </c>
      <c r="I3049" s="5" t="s">
        <v>233</v>
      </c>
    </row>
    <row r="3050" spans="1:9" ht="51.75" customHeight="1">
      <c r="A3050" s="5">
        <v>6</v>
      </c>
      <c r="B3050" s="5" t="s">
        <v>31856</v>
      </c>
      <c r="C3050" s="5" t="s">
        <v>31857</v>
      </c>
      <c r="D3050" s="246">
        <v>40052</v>
      </c>
      <c r="E3050" s="5" t="s">
        <v>31858</v>
      </c>
      <c r="F3050" s="26"/>
      <c r="G3050" s="27" t="s">
        <v>3451</v>
      </c>
      <c r="H3050" s="28" t="s">
        <v>3452</v>
      </c>
      <c r="I3050" s="5" t="s">
        <v>233</v>
      </c>
    </row>
    <row r="3051" spans="1:9" ht="51.75" customHeight="1">
      <c r="A3051" s="5">
        <v>1</v>
      </c>
      <c r="B3051" s="5" t="s">
        <v>31859</v>
      </c>
      <c r="C3051" s="5" t="s">
        <v>31860</v>
      </c>
      <c r="D3051" s="246">
        <v>40135</v>
      </c>
      <c r="E3051" s="5" t="s">
        <v>31861</v>
      </c>
      <c r="F3051" s="26"/>
      <c r="G3051" s="27" t="s">
        <v>3383</v>
      </c>
      <c r="H3051" s="28" t="s">
        <v>3384</v>
      </c>
      <c r="I3051" s="5" t="s">
        <v>233</v>
      </c>
    </row>
    <row r="3052" spans="1:9" ht="51.75" customHeight="1">
      <c r="A3052" s="5">
        <v>2</v>
      </c>
      <c r="B3052" s="5" t="s">
        <v>31862</v>
      </c>
      <c r="C3052" s="5" t="s">
        <v>31863</v>
      </c>
      <c r="D3052" s="246">
        <v>40135</v>
      </c>
      <c r="E3052" s="5" t="s">
        <v>31864</v>
      </c>
      <c r="F3052" s="26"/>
      <c r="G3052" s="27" t="s">
        <v>3383</v>
      </c>
      <c r="H3052" s="28" t="s">
        <v>3384</v>
      </c>
      <c r="I3052" s="5" t="s">
        <v>233</v>
      </c>
    </row>
    <row r="3053" spans="1:9" ht="51.75" customHeight="1">
      <c r="A3053" s="5">
        <v>3</v>
      </c>
      <c r="B3053" s="5" t="s">
        <v>31865</v>
      </c>
      <c r="C3053" s="5" t="s">
        <v>31866</v>
      </c>
      <c r="D3053" s="246">
        <v>40135</v>
      </c>
      <c r="E3053" s="5" t="s">
        <v>31867</v>
      </c>
      <c r="F3053" s="26"/>
      <c r="G3053" s="27" t="s">
        <v>3383</v>
      </c>
      <c r="H3053" s="28" t="s">
        <v>3384</v>
      </c>
      <c r="I3053" s="5" t="s">
        <v>233</v>
      </c>
    </row>
    <row r="3054" spans="1:9" ht="51.75" customHeight="1">
      <c r="A3054" s="5">
        <v>4</v>
      </c>
      <c r="B3054" s="5" t="s">
        <v>31868</v>
      </c>
      <c r="C3054" s="5" t="s">
        <v>31869</v>
      </c>
      <c r="D3054" s="246">
        <v>40135</v>
      </c>
      <c r="E3054" s="5" t="s">
        <v>31870</v>
      </c>
      <c r="F3054" s="26"/>
      <c r="G3054" s="27" t="s">
        <v>3383</v>
      </c>
      <c r="H3054" s="28" t="s">
        <v>3384</v>
      </c>
      <c r="I3054" s="5" t="s">
        <v>233</v>
      </c>
    </row>
    <row r="3055" spans="1:9" ht="51.75" customHeight="1">
      <c r="A3055" s="5">
        <v>5</v>
      </c>
      <c r="B3055" s="5" t="s">
        <v>31871</v>
      </c>
      <c r="C3055" s="5" t="s">
        <v>31872</v>
      </c>
      <c r="D3055" s="246">
        <v>40135</v>
      </c>
      <c r="E3055" s="5" t="s">
        <v>31873</v>
      </c>
      <c r="F3055" s="26"/>
      <c r="G3055" s="27" t="s">
        <v>3383</v>
      </c>
      <c r="H3055" s="28" t="s">
        <v>3384</v>
      </c>
      <c r="I3055" s="5" t="s">
        <v>233</v>
      </c>
    </row>
    <row r="3056" spans="1:9" ht="51.75" customHeight="1">
      <c r="A3056" s="5">
        <v>6</v>
      </c>
      <c r="B3056" s="5" t="s">
        <v>31874</v>
      </c>
      <c r="C3056" s="5" t="s">
        <v>31875</v>
      </c>
      <c r="D3056" s="246">
        <v>40135</v>
      </c>
      <c r="E3056" s="5" t="s">
        <v>31876</v>
      </c>
      <c r="F3056" s="26"/>
      <c r="G3056" s="27" t="s">
        <v>3383</v>
      </c>
      <c r="H3056" s="28" t="s">
        <v>3384</v>
      </c>
      <c r="I3056" s="5" t="s">
        <v>233</v>
      </c>
    </row>
    <row r="3057" spans="1:9" ht="51.75" customHeight="1">
      <c r="A3057" s="5">
        <v>7</v>
      </c>
      <c r="B3057" s="5" t="s">
        <v>31877</v>
      </c>
      <c r="C3057" s="5" t="s">
        <v>31878</v>
      </c>
      <c r="D3057" s="246">
        <v>40135</v>
      </c>
      <c r="E3057" s="5" t="s">
        <v>31879</v>
      </c>
      <c r="F3057" s="26"/>
      <c r="G3057" s="27" t="s">
        <v>3383</v>
      </c>
      <c r="H3057" s="28" t="s">
        <v>3384</v>
      </c>
      <c r="I3057" s="5" t="s">
        <v>233</v>
      </c>
    </row>
    <row r="3058" spans="1:9" ht="51.75" customHeight="1">
      <c r="A3058" s="5">
        <v>8</v>
      </c>
      <c r="B3058" s="5" t="s">
        <v>31880</v>
      </c>
      <c r="C3058" s="5" t="s">
        <v>31881</v>
      </c>
      <c r="D3058" s="246">
        <v>40135</v>
      </c>
      <c r="E3058" s="5" t="s">
        <v>31882</v>
      </c>
      <c r="F3058" s="26"/>
      <c r="G3058" s="27" t="s">
        <v>3383</v>
      </c>
      <c r="H3058" s="28" t="s">
        <v>3384</v>
      </c>
      <c r="I3058" s="5" t="s">
        <v>233</v>
      </c>
    </row>
    <row r="3059" spans="1:9" ht="51.75" customHeight="1">
      <c r="A3059" s="5">
        <v>9</v>
      </c>
      <c r="B3059" s="5" t="s">
        <v>31883</v>
      </c>
      <c r="C3059" s="5" t="s">
        <v>31884</v>
      </c>
      <c r="D3059" s="246">
        <v>40135</v>
      </c>
      <c r="E3059" s="5" t="s">
        <v>31885</v>
      </c>
      <c r="F3059" s="26"/>
      <c r="G3059" s="27" t="s">
        <v>3383</v>
      </c>
      <c r="H3059" s="28" t="s">
        <v>3384</v>
      </c>
      <c r="I3059" s="5" t="s">
        <v>233</v>
      </c>
    </row>
    <row r="3060" spans="1:9" ht="51.75" customHeight="1">
      <c r="A3060" s="5">
        <v>10</v>
      </c>
      <c r="B3060" s="5" t="s">
        <v>31886</v>
      </c>
      <c r="C3060" s="5" t="s">
        <v>31887</v>
      </c>
      <c r="D3060" s="246">
        <v>40135</v>
      </c>
      <c r="E3060" s="5" t="s">
        <v>31888</v>
      </c>
      <c r="F3060" s="26"/>
      <c r="G3060" s="27" t="s">
        <v>3383</v>
      </c>
      <c r="H3060" s="28" t="s">
        <v>3384</v>
      </c>
      <c r="I3060" s="5" t="s">
        <v>233</v>
      </c>
    </row>
    <row r="3061" spans="1:9" ht="51.75" customHeight="1">
      <c r="A3061" s="5">
        <v>1</v>
      </c>
      <c r="B3061" s="5" t="s">
        <v>31889</v>
      </c>
      <c r="C3061" s="5" t="s">
        <v>31890</v>
      </c>
      <c r="D3061" s="246">
        <v>40098</v>
      </c>
      <c r="E3061" s="5" t="s">
        <v>31891</v>
      </c>
      <c r="F3061" s="26"/>
      <c r="G3061" s="27" t="s">
        <v>3348</v>
      </c>
      <c r="H3061" s="28" t="s">
        <v>3349</v>
      </c>
      <c r="I3061" s="5" t="s">
        <v>233</v>
      </c>
    </row>
    <row r="3062" spans="1:9" ht="51.75" customHeight="1">
      <c r="A3062" s="5">
        <v>2</v>
      </c>
      <c r="B3062" s="5" t="s">
        <v>31892</v>
      </c>
      <c r="C3062" s="5" t="s">
        <v>31893</v>
      </c>
      <c r="D3062" s="246">
        <v>40098</v>
      </c>
      <c r="E3062" s="5" t="s">
        <v>31894</v>
      </c>
      <c r="F3062" s="26"/>
      <c r="G3062" s="27" t="s">
        <v>3348</v>
      </c>
      <c r="H3062" s="28" t="s">
        <v>3349</v>
      </c>
      <c r="I3062" s="5" t="s">
        <v>233</v>
      </c>
    </row>
    <row r="3063" spans="1:9" ht="51.75" customHeight="1">
      <c r="A3063" s="5">
        <v>3</v>
      </c>
      <c r="B3063" s="5" t="s">
        <v>31895</v>
      </c>
      <c r="C3063" s="5" t="s">
        <v>31896</v>
      </c>
      <c r="D3063" s="246">
        <v>40098</v>
      </c>
      <c r="E3063" s="5" t="s">
        <v>31897</v>
      </c>
      <c r="F3063" s="26"/>
      <c r="G3063" s="27" t="s">
        <v>3348</v>
      </c>
      <c r="H3063" s="28" t="s">
        <v>3349</v>
      </c>
      <c r="I3063" s="5" t="s">
        <v>233</v>
      </c>
    </row>
    <row r="3064" spans="1:9" ht="51.75" customHeight="1">
      <c r="A3064" s="5">
        <v>4</v>
      </c>
      <c r="B3064" s="5" t="s">
        <v>31898</v>
      </c>
      <c r="C3064" s="5" t="s">
        <v>31899</v>
      </c>
      <c r="D3064" s="246">
        <v>40098</v>
      </c>
      <c r="E3064" s="5" t="s">
        <v>31900</v>
      </c>
      <c r="F3064" s="26"/>
      <c r="G3064" s="27" t="s">
        <v>3348</v>
      </c>
      <c r="H3064" s="28" t="s">
        <v>3349</v>
      </c>
      <c r="I3064" s="5" t="s">
        <v>233</v>
      </c>
    </row>
    <row r="3065" spans="1:9" ht="51.75" customHeight="1">
      <c r="A3065" s="5">
        <v>5</v>
      </c>
      <c r="B3065" s="5" t="s">
        <v>31901</v>
      </c>
      <c r="C3065" s="5" t="s">
        <v>31902</v>
      </c>
      <c r="D3065" s="246">
        <v>40098</v>
      </c>
      <c r="E3065" s="5" t="s">
        <v>31903</v>
      </c>
      <c r="F3065" s="26"/>
      <c r="G3065" s="27" t="s">
        <v>3348</v>
      </c>
      <c r="H3065" s="28" t="s">
        <v>3349</v>
      </c>
      <c r="I3065" s="5" t="s">
        <v>233</v>
      </c>
    </row>
    <row r="3066" spans="1:9" ht="51.75" customHeight="1">
      <c r="A3066" s="5">
        <v>1</v>
      </c>
      <c r="B3066" s="5" t="s">
        <v>31904</v>
      </c>
      <c r="C3066" s="5" t="s">
        <v>31905</v>
      </c>
      <c r="D3066" s="246">
        <v>40147</v>
      </c>
      <c r="E3066" s="5" t="s">
        <v>31906</v>
      </c>
      <c r="F3066" s="26"/>
      <c r="G3066" s="27" t="s">
        <v>3416</v>
      </c>
      <c r="H3066" s="28" t="s">
        <v>3417</v>
      </c>
      <c r="I3066" s="5" t="s">
        <v>233</v>
      </c>
    </row>
    <row r="3067" spans="1:9" ht="51.75" customHeight="1">
      <c r="A3067" s="5">
        <v>2</v>
      </c>
      <c r="B3067" s="5" t="s">
        <v>31907</v>
      </c>
      <c r="C3067" s="5" t="s">
        <v>31908</v>
      </c>
      <c r="D3067" s="246">
        <v>40147</v>
      </c>
      <c r="E3067" s="5" t="s">
        <v>31909</v>
      </c>
      <c r="F3067" s="26"/>
      <c r="G3067" s="27" t="s">
        <v>3416</v>
      </c>
      <c r="H3067" s="28" t="s">
        <v>3417</v>
      </c>
      <c r="I3067" s="5" t="s">
        <v>233</v>
      </c>
    </row>
    <row r="3068" spans="1:9" ht="51.75" customHeight="1">
      <c r="A3068" s="5">
        <v>3</v>
      </c>
      <c r="B3068" s="5" t="s">
        <v>31910</v>
      </c>
      <c r="C3068" s="5" t="s">
        <v>31911</v>
      </c>
      <c r="D3068" s="246">
        <v>40147</v>
      </c>
      <c r="E3068" s="5" t="s">
        <v>31912</v>
      </c>
      <c r="F3068" s="26"/>
      <c r="G3068" s="27" t="s">
        <v>3416</v>
      </c>
      <c r="H3068" s="28" t="s">
        <v>3417</v>
      </c>
      <c r="I3068" s="5" t="s">
        <v>233</v>
      </c>
    </row>
    <row r="3069" spans="1:9" ht="51.75" customHeight="1">
      <c r="A3069" s="5">
        <v>4</v>
      </c>
      <c r="B3069" s="5" t="s">
        <v>31913</v>
      </c>
      <c r="C3069" s="5" t="s">
        <v>31914</v>
      </c>
      <c r="D3069" s="246">
        <v>40147</v>
      </c>
      <c r="E3069" s="5" t="s">
        <v>31915</v>
      </c>
      <c r="F3069" s="26"/>
      <c r="G3069" s="27" t="s">
        <v>3416</v>
      </c>
      <c r="H3069" s="28" t="s">
        <v>3417</v>
      </c>
      <c r="I3069" s="5" t="s">
        <v>233</v>
      </c>
    </row>
    <row r="3070" spans="1:9" ht="51.75" customHeight="1">
      <c r="A3070" s="5">
        <v>5</v>
      </c>
      <c r="B3070" s="5" t="s">
        <v>31916</v>
      </c>
      <c r="C3070" s="5" t="s">
        <v>31917</v>
      </c>
      <c r="D3070" s="246">
        <v>40147</v>
      </c>
      <c r="E3070" s="5" t="s">
        <v>31918</v>
      </c>
      <c r="F3070" s="26"/>
      <c r="G3070" s="27" t="s">
        <v>3416</v>
      </c>
      <c r="H3070" s="28" t="s">
        <v>3417</v>
      </c>
      <c r="I3070" s="5" t="s">
        <v>233</v>
      </c>
    </row>
    <row r="3071" spans="1:9" ht="51.75" customHeight="1">
      <c r="A3071" s="5">
        <v>6</v>
      </c>
      <c r="B3071" s="5" t="s">
        <v>31919</v>
      </c>
      <c r="C3071" s="5" t="s">
        <v>31920</v>
      </c>
      <c r="D3071" s="246">
        <v>40147</v>
      </c>
      <c r="E3071" s="5" t="s">
        <v>31921</v>
      </c>
      <c r="F3071" s="26"/>
      <c r="G3071" s="27" t="s">
        <v>3416</v>
      </c>
      <c r="H3071" s="28" t="s">
        <v>3417</v>
      </c>
      <c r="I3071" s="5" t="s">
        <v>233</v>
      </c>
    </row>
    <row r="3072" spans="1:9" ht="51.75" customHeight="1">
      <c r="A3072" s="5">
        <v>7</v>
      </c>
      <c r="B3072" s="5" t="s">
        <v>31922</v>
      </c>
      <c r="C3072" s="5" t="s">
        <v>31923</v>
      </c>
      <c r="D3072" s="246">
        <v>40147</v>
      </c>
      <c r="E3072" s="5" t="s">
        <v>31924</v>
      </c>
      <c r="F3072" s="26"/>
      <c r="G3072" s="27" t="s">
        <v>3416</v>
      </c>
      <c r="H3072" s="28" t="s">
        <v>3417</v>
      </c>
      <c r="I3072" s="5" t="s">
        <v>233</v>
      </c>
    </row>
    <row r="3073" spans="1:9" ht="51.75" customHeight="1">
      <c r="A3073" s="5">
        <v>8</v>
      </c>
      <c r="B3073" s="5" t="s">
        <v>31925</v>
      </c>
      <c r="C3073" s="5" t="s">
        <v>31926</v>
      </c>
      <c r="D3073" s="246">
        <v>40147</v>
      </c>
      <c r="E3073" s="5" t="s">
        <v>31927</v>
      </c>
      <c r="F3073" s="26"/>
      <c r="G3073" s="27" t="s">
        <v>3416</v>
      </c>
      <c r="H3073" s="28" t="s">
        <v>3417</v>
      </c>
      <c r="I3073" s="5" t="s">
        <v>233</v>
      </c>
    </row>
    <row r="3074" spans="1:9" ht="51.75" customHeight="1">
      <c r="A3074" s="5">
        <v>1</v>
      </c>
      <c r="B3074" s="5" t="s">
        <v>31928</v>
      </c>
      <c r="C3074" s="5" t="s">
        <v>31929</v>
      </c>
      <c r="D3074" s="246">
        <v>40029</v>
      </c>
      <c r="E3074" s="5" t="s">
        <v>31930</v>
      </c>
      <c r="F3074" s="26"/>
      <c r="G3074" s="27" t="s">
        <v>3309</v>
      </c>
      <c r="H3074" s="28" t="s">
        <v>3310</v>
      </c>
      <c r="I3074" s="5" t="s">
        <v>233</v>
      </c>
    </row>
    <row r="3075" spans="1:9" ht="51.75" customHeight="1">
      <c r="A3075" s="5">
        <v>2</v>
      </c>
      <c r="B3075" s="5" t="s">
        <v>31931</v>
      </c>
      <c r="C3075" s="5" t="s">
        <v>31932</v>
      </c>
      <c r="D3075" s="246">
        <v>40029</v>
      </c>
      <c r="E3075" s="5" t="s">
        <v>31933</v>
      </c>
      <c r="F3075" s="26"/>
      <c r="G3075" s="27" t="s">
        <v>3309</v>
      </c>
      <c r="H3075" s="28" t="s">
        <v>3310</v>
      </c>
      <c r="I3075" s="5" t="s">
        <v>233</v>
      </c>
    </row>
    <row r="3076" spans="1:9" ht="51.75" customHeight="1">
      <c r="A3076" s="5">
        <v>3</v>
      </c>
      <c r="B3076" s="5" t="s">
        <v>31934</v>
      </c>
      <c r="C3076" s="5" t="s">
        <v>31935</v>
      </c>
      <c r="D3076" s="246">
        <v>40029</v>
      </c>
      <c r="E3076" s="5" t="s">
        <v>31936</v>
      </c>
      <c r="F3076" s="26"/>
      <c r="G3076" s="27" t="s">
        <v>3309</v>
      </c>
      <c r="H3076" s="28" t="s">
        <v>3310</v>
      </c>
      <c r="I3076" s="5" t="s">
        <v>233</v>
      </c>
    </row>
    <row r="3077" spans="1:9" ht="51.75" customHeight="1">
      <c r="A3077" s="5">
        <v>4</v>
      </c>
      <c r="B3077" s="5" t="s">
        <v>31937</v>
      </c>
      <c r="C3077" s="5" t="s">
        <v>31938</v>
      </c>
      <c r="D3077" s="246">
        <v>40029</v>
      </c>
      <c r="E3077" s="5" t="s">
        <v>31939</v>
      </c>
      <c r="F3077" s="26"/>
      <c r="G3077" s="27" t="s">
        <v>3309</v>
      </c>
      <c r="H3077" s="28" t="s">
        <v>3310</v>
      </c>
      <c r="I3077" s="5" t="s">
        <v>233</v>
      </c>
    </row>
    <row r="3078" spans="1:9" ht="51.75" customHeight="1">
      <c r="A3078" s="5">
        <v>5</v>
      </c>
      <c r="B3078" s="5" t="s">
        <v>31940</v>
      </c>
      <c r="C3078" s="5" t="s">
        <v>31941</v>
      </c>
      <c r="D3078" s="246">
        <v>40029</v>
      </c>
      <c r="E3078" s="5" t="s">
        <v>31942</v>
      </c>
      <c r="F3078" s="26"/>
      <c r="G3078" s="27" t="s">
        <v>3309</v>
      </c>
      <c r="H3078" s="28" t="s">
        <v>3310</v>
      </c>
      <c r="I3078" s="5" t="s">
        <v>233</v>
      </c>
    </row>
    <row r="3079" spans="1:9" ht="51.75" customHeight="1">
      <c r="A3079" s="5">
        <v>6</v>
      </c>
      <c r="B3079" s="5" t="s">
        <v>31943</v>
      </c>
      <c r="C3079" s="5" t="s">
        <v>31944</v>
      </c>
      <c r="D3079" s="246">
        <v>40029</v>
      </c>
      <c r="E3079" s="5" t="s">
        <v>31945</v>
      </c>
      <c r="F3079" s="26"/>
      <c r="G3079" s="27" t="s">
        <v>3309</v>
      </c>
      <c r="H3079" s="28" t="s">
        <v>3310</v>
      </c>
      <c r="I3079" s="5" t="s">
        <v>233</v>
      </c>
    </row>
    <row r="3080" spans="1:9" ht="51.75" customHeight="1">
      <c r="A3080" s="5">
        <v>7</v>
      </c>
      <c r="B3080" s="5" t="s">
        <v>31946</v>
      </c>
      <c r="C3080" s="5" t="s">
        <v>31947</v>
      </c>
      <c r="D3080" s="246">
        <v>40029</v>
      </c>
      <c r="E3080" s="5" t="s">
        <v>31948</v>
      </c>
      <c r="F3080" s="26"/>
      <c r="G3080" s="27" t="s">
        <v>3309</v>
      </c>
      <c r="H3080" s="28" t="s">
        <v>3310</v>
      </c>
      <c r="I3080" s="5" t="s">
        <v>233</v>
      </c>
    </row>
    <row r="3081" spans="1:9" ht="51.75" customHeight="1">
      <c r="A3081" s="5">
        <v>8</v>
      </c>
      <c r="B3081" s="5" t="s">
        <v>31949</v>
      </c>
      <c r="C3081" s="5" t="s">
        <v>31950</v>
      </c>
      <c r="D3081" s="246">
        <v>40029</v>
      </c>
      <c r="E3081" s="5" t="s">
        <v>31951</v>
      </c>
      <c r="F3081" s="26"/>
      <c r="G3081" s="27" t="s">
        <v>3309</v>
      </c>
      <c r="H3081" s="28" t="s">
        <v>3310</v>
      </c>
      <c r="I3081" s="5" t="s">
        <v>233</v>
      </c>
    </row>
    <row r="3082" spans="1:9" ht="51.75" customHeight="1">
      <c r="A3082" s="5">
        <v>1</v>
      </c>
      <c r="B3082" s="5" t="s">
        <v>31952</v>
      </c>
      <c r="C3082" s="5" t="s">
        <v>31953</v>
      </c>
      <c r="D3082" s="246">
        <v>39955</v>
      </c>
      <c r="E3082" s="5" t="s">
        <v>31954</v>
      </c>
      <c r="F3082" s="26"/>
      <c r="G3082" s="27" t="s">
        <v>3231</v>
      </c>
      <c r="H3082" s="28" t="s">
        <v>3232</v>
      </c>
      <c r="I3082" s="5" t="s">
        <v>233</v>
      </c>
    </row>
    <row r="3083" spans="1:9" ht="51.75" customHeight="1">
      <c r="A3083" s="5">
        <v>1</v>
      </c>
      <c r="B3083" s="5" t="s">
        <v>31955</v>
      </c>
      <c r="C3083" s="5" t="s">
        <v>31956</v>
      </c>
      <c r="D3083" s="246">
        <v>39694</v>
      </c>
      <c r="E3083" s="5" t="s">
        <v>31957</v>
      </c>
      <c r="F3083" s="26"/>
      <c r="G3083" s="27" t="s">
        <v>536</v>
      </c>
      <c r="H3083" s="28" t="s">
        <v>537</v>
      </c>
      <c r="I3083" s="5" t="s">
        <v>233</v>
      </c>
    </row>
    <row r="3084" spans="1:9" ht="51.75" customHeight="1">
      <c r="A3084" s="5">
        <v>2</v>
      </c>
      <c r="B3084" s="5" t="s">
        <v>31958</v>
      </c>
      <c r="C3084" s="5" t="s">
        <v>31959</v>
      </c>
      <c r="D3084" s="246">
        <v>39694</v>
      </c>
      <c r="E3084" s="5" t="s">
        <v>31960</v>
      </c>
      <c r="F3084" s="26"/>
      <c r="G3084" s="27" t="s">
        <v>536</v>
      </c>
      <c r="H3084" s="28" t="s">
        <v>537</v>
      </c>
      <c r="I3084" s="5" t="s">
        <v>233</v>
      </c>
    </row>
    <row r="3085" spans="1:9" ht="51.75" customHeight="1">
      <c r="A3085" s="5">
        <v>3</v>
      </c>
      <c r="B3085" s="5" t="s">
        <v>31961</v>
      </c>
      <c r="C3085" s="5" t="s">
        <v>31962</v>
      </c>
      <c r="D3085" s="246">
        <v>39694</v>
      </c>
      <c r="E3085" s="5" t="s">
        <v>31963</v>
      </c>
      <c r="F3085" s="26"/>
      <c r="G3085" s="27" t="s">
        <v>536</v>
      </c>
      <c r="H3085" s="28" t="s">
        <v>537</v>
      </c>
      <c r="I3085" s="5" t="s">
        <v>233</v>
      </c>
    </row>
    <row r="3086" spans="1:9" ht="51.75" customHeight="1">
      <c r="A3086" s="5">
        <v>4</v>
      </c>
      <c r="B3086" s="5" t="s">
        <v>31964</v>
      </c>
      <c r="C3086" s="5" t="s">
        <v>31965</v>
      </c>
      <c r="D3086" s="246">
        <v>39694</v>
      </c>
      <c r="E3086" s="5" t="s">
        <v>31966</v>
      </c>
      <c r="F3086" s="26"/>
      <c r="G3086" s="27" t="s">
        <v>536</v>
      </c>
      <c r="H3086" s="28" t="s">
        <v>537</v>
      </c>
      <c r="I3086" s="5" t="s">
        <v>233</v>
      </c>
    </row>
    <row r="3087" spans="1:9" ht="51.75" customHeight="1">
      <c r="A3087" s="5">
        <v>5</v>
      </c>
      <c r="B3087" s="5" t="s">
        <v>31967</v>
      </c>
      <c r="C3087" s="5" t="s">
        <v>31968</v>
      </c>
      <c r="D3087" s="246">
        <v>39694</v>
      </c>
      <c r="E3087" s="5" t="s">
        <v>31969</v>
      </c>
      <c r="F3087" s="26"/>
      <c r="G3087" s="27" t="s">
        <v>536</v>
      </c>
      <c r="H3087" s="28" t="s">
        <v>537</v>
      </c>
      <c r="I3087" s="5" t="s">
        <v>233</v>
      </c>
    </row>
    <row r="3088" spans="1:9" ht="51.75" customHeight="1">
      <c r="A3088" s="5">
        <v>6</v>
      </c>
      <c r="B3088" s="5" t="s">
        <v>31970</v>
      </c>
      <c r="C3088" s="5" t="s">
        <v>31971</v>
      </c>
      <c r="D3088" s="246">
        <v>39694</v>
      </c>
      <c r="E3088" s="5" t="s">
        <v>31972</v>
      </c>
      <c r="F3088" s="26"/>
      <c r="G3088" s="27" t="s">
        <v>536</v>
      </c>
      <c r="H3088" s="28" t="s">
        <v>537</v>
      </c>
      <c r="I3088" s="5" t="s">
        <v>233</v>
      </c>
    </row>
    <row r="3089" spans="1:9" ht="51.75" customHeight="1">
      <c r="A3089" s="5">
        <v>7</v>
      </c>
      <c r="B3089" s="5" t="s">
        <v>31973</v>
      </c>
      <c r="C3089" s="5" t="s">
        <v>31974</v>
      </c>
      <c r="D3089" s="246">
        <v>39694</v>
      </c>
      <c r="E3089" s="5" t="s">
        <v>31975</v>
      </c>
      <c r="F3089" s="26"/>
      <c r="G3089" s="27" t="s">
        <v>536</v>
      </c>
      <c r="H3089" s="28" t="s">
        <v>537</v>
      </c>
      <c r="I3089" s="5" t="s">
        <v>233</v>
      </c>
    </row>
    <row r="3090" spans="1:9" ht="51.75" customHeight="1">
      <c r="A3090" s="5">
        <v>8</v>
      </c>
      <c r="B3090" s="5" t="s">
        <v>31976</v>
      </c>
      <c r="C3090" s="5" t="s">
        <v>31977</v>
      </c>
      <c r="D3090" s="246">
        <v>39694</v>
      </c>
      <c r="E3090" s="5" t="s">
        <v>31978</v>
      </c>
      <c r="F3090" s="26"/>
      <c r="G3090" s="27" t="s">
        <v>536</v>
      </c>
      <c r="H3090" s="28" t="s">
        <v>537</v>
      </c>
      <c r="I3090" s="5" t="s">
        <v>233</v>
      </c>
    </row>
    <row r="3091" spans="1:9" ht="51.75" customHeight="1">
      <c r="A3091" s="5">
        <v>9</v>
      </c>
      <c r="B3091" s="5" t="s">
        <v>31979</v>
      </c>
      <c r="C3091" s="5" t="s">
        <v>31980</v>
      </c>
      <c r="D3091" s="246">
        <v>39694</v>
      </c>
      <c r="E3091" s="5" t="s">
        <v>31981</v>
      </c>
      <c r="F3091" s="26"/>
      <c r="G3091" s="27" t="s">
        <v>536</v>
      </c>
      <c r="H3091" s="28" t="s">
        <v>537</v>
      </c>
      <c r="I3091" s="5" t="s">
        <v>233</v>
      </c>
    </row>
    <row r="3092" spans="1:9" ht="51.75" customHeight="1">
      <c r="A3092" s="5">
        <v>10</v>
      </c>
      <c r="B3092" s="5" t="s">
        <v>31982</v>
      </c>
      <c r="C3092" s="5" t="s">
        <v>31983</v>
      </c>
      <c r="D3092" s="246">
        <v>39694</v>
      </c>
      <c r="E3092" s="5" t="s">
        <v>31984</v>
      </c>
      <c r="F3092" s="26"/>
      <c r="G3092" s="27" t="s">
        <v>536</v>
      </c>
      <c r="H3092" s="28" t="s">
        <v>537</v>
      </c>
      <c r="I3092" s="5" t="s">
        <v>233</v>
      </c>
    </row>
    <row r="3093" spans="1:9" ht="51.75" customHeight="1">
      <c r="A3093" s="5">
        <v>1</v>
      </c>
      <c r="B3093" s="5" t="s">
        <v>31985</v>
      </c>
      <c r="C3093" s="5" t="s">
        <v>31986</v>
      </c>
      <c r="D3093" s="246">
        <v>38840</v>
      </c>
      <c r="E3093" s="5" t="s">
        <v>31987</v>
      </c>
      <c r="F3093" s="26"/>
      <c r="G3093" s="27" t="s">
        <v>729</v>
      </c>
      <c r="H3093" s="28" t="s">
        <v>730</v>
      </c>
      <c r="I3093" s="5" t="s">
        <v>233</v>
      </c>
    </row>
    <row r="3094" spans="1:9" ht="51.75" customHeight="1">
      <c r="A3094" s="5">
        <v>2</v>
      </c>
      <c r="B3094" s="5" t="s">
        <v>31988</v>
      </c>
      <c r="C3094" s="5" t="s">
        <v>31989</v>
      </c>
      <c r="D3094" s="246">
        <v>38840</v>
      </c>
      <c r="E3094" s="5" t="s">
        <v>31990</v>
      </c>
      <c r="F3094" s="26"/>
      <c r="G3094" s="27" t="s">
        <v>729</v>
      </c>
      <c r="H3094" s="28" t="s">
        <v>730</v>
      </c>
      <c r="I3094" s="5" t="s">
        <v>233</v>
      </c>
    </row>
    <row r="3095" spans="1:9" ht="51.75" customHeight="1">
      <c r="A3095" s="5">
        <v>3</v>
      </c>
      <c r="B3095" s="5" t="s">
        <v>31991</v>
      </c>
      <c r="C3095" s="5" t="s">
        <v>31992</v>
      </c>
      <c r="D3095" s="246">
        <v>38840</v>
      </c>
      <c r="E3095" s="5" t="s">
        <v>31993</v>
      </c>
      <c r="F3095" s="26"/>
      <c r="G3095" s="27" t="s">
        <v>729</v>
      </c>
      <c r="H3095" s="28" t="s">
        <v>730</v>
      </c>
      <c r="I3095" s="5" t="s">
        <v>233</v>
      </c>
    </row>
    <row r="3096" spans="1:9" ht="51.75" customHeight="1">
      <c r="A3096" s="5">
        <v>4</v>
      </c>
      <c r="B3096" s="5" t="s">
        <v>31994</v>
      </c>
      <c r="C3096" s="5" t="s">
        <v>31995</v>
      </c>
      <c r="D3096" s="246">
        <v>38840</v>
      </c>
      <c r="E3096" s="5" t="s">
        <v>31996</v>
      </c>
      <c r="F3096" s="26"/>
      <c r="G3096" s="27" t="s">
        <v>729</v>
      </c>
      <c r="H3096" s="28" t="s">
        <v>730</v>
      </c>
      <c r="I3096" s="5" t="s">
        <v>233</v>
      </c>
    </row>
    <row r="3097" spans="1:9" ht="51.75" customHeight="1">
      <c r="A3097" s="5">
        <v>5</v>
      </c>
      <c r="B3097" s="5" t="s">
        <v>31997</v>
      </c>
      <c r="C3097" s="5" t="s">
        <v>31998</v>
      </c>
      <c r="D3097" s="246">
        <v>38840</v>
      </c>
      <c r="E3097" s="5" t="s">
        <v>31999</v>
      </c>
      <c r="F3097" s="26"/>
      <c r="G3097" s="27" t="s">
        <v>729</v>
      </c>
      <c r="H3097" s="28" t="s">
        <v>730</v>
      </c>
      <c r="I3097" s="5" t="s">
        <v>233</v>
      </c>
    </row>
    <row r="3098" spans="1:9" ht="51.75" customHeight="1">
      <c r="A3098" s="5">
        <v>6</v>
      </c>
      <c r="B3098" s="5" t="s">
        <v>32000</v>
      </c>
      <c r="C3098" s="5" t="s">
        <v>32001</v>
      </c>
      <c r="D3098" s="246">
        <v>38840</v>
      </c>
      <c r="E3098" s="5" t="s">
        <v>32002</v>
      </c>
      <c r="F3098" s="26"/>
      <c r="G3098" s="27" t="s">
        <v>729</v>
      </c>
      <c r="H3098" s="28" t="s">
        <v>730</v>
      </c>
      <c r="I3098" s="5" t="s">
        <v>233</v>
      </c>
    </row>
    <row r="3099" spans="1:9" ht="51.75" customHeight="1">
      <c r="A3099" s="5">
        <v>7</v>
      </c>
      <c r="B3099" s="5" t="s">
        <v>32003</v>
      </c>
      <c r="C3099" s="5" t="s">
        <v>32004</v>
      </c>
      <c r="D3099" s="246">
        <v>38840</v>
      </c>
      <c r="E3099" s="5" t="s">
        <v>32005</v>
      </c>
      <c r="F3099" s="26"/>
      <c r="G3099" s="27" t="s">
        <v>729</v>
      </c>
      <c r="H3099" s="28" t="s">
        <v>730</v>
      </c>
      <c r="I3099" s="5" t="s">
        <v>233</v>
      </c>
    </row>
    <row r="3100" spans="1:9" ht="51.75" customHeight="1">
      <c r="A3100" s="5">
        <v>8</v>
      </c>
      <c r="B3100" s="5" t="s">
        <v>32006</v>
      </c>
      <c r="C3100" s="5" t="s">
        <v>32007</v>
      </c>
      <c r="D3100" s="246">
        <v>38840</v>
      </c>
      <c r="E3100" s="5" t="s">
        <v>32008</v>
      </c>
      <c r="F3100" s="26"/>
      <c r="G3100" s="27" t="s">
        <v>729</v>
      </c>
      <c r="H3100" s="28" t="s">
        <v>730</v>
      </c>
      <c r="I3100" s="5" t="s">
        <v>233</v>
      </c>
    </row>
    <row r="3101" spans="1:9" ht="51.75" customHeight="1">
      <c r="A3101" s="5">
        <v>9</v>
      </c>
      <c r="B3101" s="5" t="s">
        <v>32009</v>
      </c>
      <c r="C3101" s="5" t="s">
        <v>32010</v>
      </c>
      <c r="D3101" s="246">
        <v>38840</v>
      </c>
      <c r="E3101" s="5" t="s">
        <v>32011</v>
      </c>
      <c r="F3101" s="26"/>
      <c r="G3101" s="27" t="s">
        <v>729</v>
      </c>
      <c r="H3101" s="28" t="s">
        <v>730</v>
      </c>
      <c r="I3101" s="5" t="s">
        <v>233</v>
      </c>
    </row>
    <row r="3102" spans="1:9" ht="51.75" customHeight="1">
      <c r="A3102" s="5">
        <v>1</v>
      </c>
      <c r="B3102" s="5" t="s">
        <v>32012</v>
      </c>
      <c r="C3102" s="5" t="s">
        <v>32013</v>
      </c>
      <c r="D3102" s="246">
        <v>39682</v>
      </c>
      <c r="E3102" s="5" t="s">
        <v>32014</v>
      </c>
      <c r="F3102" s="26"/>
      <c r="G3102" s="27" t="s">
        <v>1424</v>
      </c>
      <c r="H3102" s="28" t="s">
        <v>1425</v>
      </c>
      <c r="I3102" s="5" t="s">
        <v>233</v>
      </c>
    </row>
    <row r="3103" spans="1:9" ht="51.75" customHeight="1">
      <c r="A3103" s="5">
        <v>2</v>
      </c>
      <c r="B3103" s="5" t="s">
        <v>32015</v>
      </c>
      <c r="C3103" s="5" t="s">
        <v>32016</v>
      </c>
      <c r="D3103" s="246">
        <v>39682</v>
      </c>
      <c r="E3103" s="5" t="s">
        <v>32017</v>
      </c>
      <c r="F3103" s="26"/>
      <c r="G3103" s="27" t="s">
        <v>1424</v>
      </c>
      <c r="H3103" s="28" t="s">
        <v>1425</v>
      </c>
      <c r="I3103" s="5" t="s">
        <v>233</v>
      </c>
    </row>
    <row r="3104" spans="1:9" ht="51.75" customHeight="1">
      <c r="A3104" s="5">
        <v>1</v>
      </c>
      <c r="B3104" s="5" t="s">
        <v>32018</v>
      </c>
      <c r="C3104" s="5" t="s">
        <v>32019</v>
      </c>
      <c r="D3104" s="246">
        <v>40004</v>
      </c>
      <c r="E3104" s="5" t="s">
        <v>32020</v>
      </c>
      <c r="F3104" s="26"/>
      <c r="G3104" s="27" t="s">
        <v>3080</v>
      </c>
      <c r="H3104" s="28" t="s">
        <v>3081</v>
      </c>
      <c r="I3104" s="5" t="s">
        <v>233</v>
      </c>
    </row>
    <row r="3105" spans="1:9" ht="51.75" customHeight="1">
      <c r="A3105" s="5">
        <v>2</v>
      </c>
      <c r="B3105" s="5" t="s">
        <v>32021</v>
      </c>
      <c r="C3105" s="5" t="s">
        <v>32022</v>
      </c>
      <c r="D3105" s="246">
        <v>40004</v>
      </c>
      <c r="E3105" s="5" t="s">
        <v>32023</v>
      </c>
      <c r="F3105" s="26"/>
      <c r="G3105" s="27" t="s">
        <v>3080</v>
      </c>
      <c r="H3105" s="28" t="s">
        <v>3081</v>
      </c>
      <c r="I3105" s="5" t="s">
        <v>233</v>
      </c>
    </row>
    <row r="3106" spans="1:9" ht="51.75" customHeight="1">
      <c r="A3106" s="5">
        <v>3</v>
      </c>
      <c r="B3106" s="5" t="s">
        <v>32024</v>
      </c>
      <c r="C3106" s="5" t="s">
        <v>32025</v>
      </c>
      <c r="D3106" s="246">
        <v>40004</v>
      </c>
      <c r="E3106" s="5" t="s">
        <v>32026</v>
      </c>
      <c r="F3106" s="26"/>
      <c r="G3106" s="27" t="s">
        <v>3080</v>
      </c>
      <c r="H3106" s="28" t="s">
        <v>3081</v>
      </c>
      <c r="I3106" s="5" t="s">
        <v>233</v>
      </c>
    </row>
    <row r="3107" spans="1:9" ht="51.75" customHeight="1">
      <c r="A3107" s="5">
        <v>4</v>
      </c>
      <c r="B3107" s="5" t="s">
        <v>32027</v>
      </c>
      <c r="C3107" s="5" t="s">
        <v>32028</v>
      </c>
      <c r="D3107" s="246">
        <v>40004</v>
      </c>
      <c r="E3107" s="5" t="s">
        <v>32029</v>
      </c>
      <c r="F3107" s="26"/>
      <c r="G3107" s="27" t="s">
        <v>3080</v>
      </c>
      <c r="H3107" s="28" t="s">
        <v>3081</v>
      </c>
      <c r="I3107" s="5" t="s">
        <v>233</v>
      </c>
    </row>
    <row r="3108" spans="1:9" ht="51.75" customHeight="1">
      <c r="A3108" s="5">
        <v>5</v>
      </c>
      <c r="B3108" s="5" t="s">
        <v>32030</v>
      </c>
      <c r="C3108" s="5" t="s">
        <v>32031</v>
      </c>
      <c r="D3108" s="246">
        <v>40004</v>
      </c>
      <c r="E3108" s="5" t="s">
        <v>32032</v>
      </c>
      <c r="F3108" s="26"/>
      <c r="G3108" s="27" t="s">
        <v>3080</v>
      </c>
      <c r="H3108" s="28" t="s">
        <v>3081</v>
      </c>
      <c r="I3108" s="5" t="s">
        <v>233</v>
      </c>
    </row>
    <row r="3109" spans="1:9" ht="51.75" customHeight="1">
      <c r="A3109" s="5">
        <v>1</v>
      </c>
      <c r="B3109" s="5" t="s">
        <v>32033</v>
      </c>
      <c r="C3109" s="5" t="s">
        <v>32034</v>
      </c>
      <c r="D3109" s="246">
        <v>39981</v>
      </c>
      <c r="E3109" s="5" t="s">
        <v>32035</v>
      </c>
      <c r="F3109" s="26"/>
      <c r="G3109" s="27" t="s">
        <v>3017</v>
      </c>
      <c r="H3109" s="28" t="s">
        <v>3018</v>
      </c>
      <c r="I3109" s="5" t="s">
        <v>233</v>
      </c>
    </row>
    <row r="3110" spans="1:9" ht="51.75" customHeight="1">
      <c r="A3110" s="5">
        <v>2</v>
      </c>
      <c r="B3110" s="5" t="s">
        <v>32036</v>
      </c>
      <c r="C3110" s="5" t="s">
        <v>32037</v>
      </c>
      <c r="D3110" s="246">
        <v>39981</v>
      </c>
      <c r="E3110" s="5" t="s">
        <v>32038</v>
      </c>
      <c r="F3110" s="26"/>
      <c r="G3110" s="27" t="s">
        <v>3017</v>
      </c>
      <c r="H3110" s="28" t="s">
        <v>3018</v>
      </c>
      <c r="I3110" s="5" t="s">
        <v>233</v>
      </c>
    </row>
    <row r="3111" spans="1:9" ht="51.75" customHeight="1">
      <c r="A3111" s="5">
        <v>1</v>
      </c>
      <c r="B3111" s="5" t="s">
        <v>32039</v>
      </c>
      <c r="C3111" s="5" t="s">
        <v>32040</v>
      </c>
      <c r="D3111" s="246">
        <v>40074</v>
      </c>
      <c r="E3111" s="5" t="s">
        <v>32041</v>
      </c>
      <c r="F3111" s="26"/>
      <c r="G3111" s="27" t="s">
        <v>3007</v>
      </c>
      <c r="H3111" s="28" t="s">
        <v>3008</v>
      </c>
      <c r="I3111" s="5" t="s">
        <v>233</v>
      </c>
    </row>
    <row r="3112" spans="1:9" ht="51.75" customHeight="1">
      <c r="A3112" s="5">
        <v>2</v>
      </c>
      <c r="B3112" s="5" t="s">
        <v>32042</v>
      </c>
      <c r="C3112" s="5" t="s">
        <v>32043</v>
      </c>
      <c r="D3112" s="246">
        <v>40074</v>
      </c>
      <c r="E3112" s="5" t="s">
        <v>32044</v>
      </c>
      <c r="F3112" s="26"/>
      <c r="G3112" s="27" t="s">
        <v>3007</v>
      </c>
      <c r="H3112" s="28" t="s">
        <v>3008</v>
      </c>
      <c r="I3112" s="5" t="s">
        <v>233</v>
      </c>
    </row>
    <row r="3113" spans="1:9" ht="51.75" customHeight="1">
      <c r="A3113" s="5">
        <v>3</v>
      </c>
      <c r="B3113" s="5" t="s">
        <v>32045</v>
      </c>
      <c r="C3113" s="5" t="s">
        <v>32046</v>
      </c>
      <c r="D3113" s="246">
        <v>40074</v>
      </c>
      <c r="E3113" s="5" t="s">
        <v>32047</v>
      </c>
      <c r="F3113" s="26"/>
      <c r="G3113" s="27" t="s">
        <v>3007</v>
      </c>
      <c r="H3113" s="28" t="s">
        <v>3008</v>
      </c>
      <c r="I3113" s="5" t="s">
        <v>233</v>
      </c>
    </row>
    <row r="3114" spans="1:9" ht="51.75" customHeight="1">
      <c r="A3114" s="5">
        <v>4</v>
      </c>
      <c r="B3114" s="5" t="s">
        <v>32048</v>
      </c>
      <c r="C3114" s="5" t="s">
        <v>32049</v>
      </c>
      <c r="D3114" s="246">
        <v>40074</v>
      </c>
      <c r="E3114" s="5" t="s">
        <v>32050</v>
      </c>
      <c r="F3114" s="26"/>
      <c r="G3114" s="27" t="s">
        <v>3007</v>
      </c>
      <c r="H3114" s="28" t="s">
        <v>3008</v>
      </c>
      <c r="I3114" s="5" t="s">
        <v>233</v>
      </c>
    </row>
    <row r="3115" spans="1:9" ht="51.75" customHeight="1">
      <c r="A3115" s="5">
        <v>5</v>
      </c>
      <c r="B3115" s="5" t="s">
        <v>32051</v>
      </c>
      <c r="C3115" s="5" t="s">
        <v>32052</v>
      </c>
      <c r="D3115" s="246">
        <v>40074</v>
      </c>
      <c r="E3115" s="5" t="s">
        <v>32053</v>
      </c>
      <c r="F3115" s="26"/>
      <c r="G3115" s="27" t="s">
        <v>3007</v>
      </c>
      <c r="H3115" s="28" t="s">
        <v>3008</v>
      </c>
      <c r="I3115" s="5" t="s">
        <v>233</v>
      </c>
    </row>
    <row r="3116" spans="1:9" ht="51.75" customHeight="1">
      <c r="A3116" s="5">
        <v>1</v>
      </c>
      <c r="B3116" s="5" t="s">
        <v>32054</v>
      </c>
      <c r="C3116" s="5" t="s">
        <v>32055</v>
      </c>
      <c r="D3116" s="246">
        <v>39987</v>
      </c>
      <c r="E3116" s="5" t="s">
        <v>32056</v>
      </c>
      <c r="F3116" s="26"/>
      <c r="G3116" s="27" t="s">
        <v>2996</v>
      </c>
      <c r="H3116" s="28" t="s">
        <v>2997</v>
      </c>
      <c r="I3116" s="5" t="s">
        <v>233</v>
      </c>
    </row>
    <row r="3117" spans="1:9" ht="51.75" customHeight="1">
      <c r="A3117" s="5">
        <v>2</v>
      </c>
      <c r="B3117" s="5" t="s">
        <v>32057</v>
      </c>
      <c r="C3117" s="5" t="s">
        <v>32058</v>
      </c>
      <c r="D3117" s="246">
        <v>39987</v>
      </c>
      <c r="E3117" s="5" t="s">
        <v>32059</v>
      </c>
      <c r="F3117" s="26"/>
      <c r="G3117" s="27" t="s">
        <v>2996</v>
      </c>
      <c r="H3117" s="28" t="s">
        <v>2997</v>
      </c>
      <c r="I3117" s="5" t="s">
        <v>233</v>
      </c>
    </row>
    <row r="3118" spans="1:9" ht="51.75" customHeight="1">
      <c r="A3118" s="5">
        <v>3</v>
      </c>
      <c r="B3118" s="5" t="s">
        <v>32060</v>
      </c>
      <c r="C3118" s="5" t="s">
        <v>32061</v>
      </c>
      <c r="D3118" s="246">
        <v>39987</v>
      </c>
      <c r="E3118" s="5" t="s">
        <v>32062</v>
      </c>
      <c r="F3118" s="26"/>
      <c r="G3118" s="27" t="s">
        <v>2996</v>
      </c>
      <c r="H3118" s="28" t="s">
        <v>2997</v>
      </c>
      <c r="I3118" s="5" t="s">
        <v>233</v>
      </c>
    </row>
    <row r="3119" spans="1:9" ht="51.75" customHeight="1">
      <c r="A3119" s="5">
        <v>4</v>
      </c>
      <c r="B3119" s="5" t="s">
        <v>32063</v>
      </c>
      <c r="C3119" s="5" t="s">
        <v>32064</v>
      </c>
      <c r="D3119" s="246">
        <v>39987</v>
      </c>
      <c r="E3119" s="5" t="s">
        <v>32065</v>
      </c>
      <c r="F3119" s="26"/>
      <c r="G3119" s="27" t="s">
        <v>2996</v>
      </c>
      <c r="H3119" s="28" t="s">
        <v>2997</v>
      </c>
      <c r="I3119" s="5" t="s">
        <v>233</v>
      </c>
    </row>
    <row r="3120" spans="1:9" ht="51.75" customHeight="1">
      <c r="A3120" s="5">
        <v>5</v>
      </c>
      <c r="B3120" s="5" t="s">
        <v>32066</v>
      </c>
      <c r="C3120" s="5" t="s">
        <v>32067</v>
      </c>
      <c r="D3120" s="246">
        <v>39987</v>
      </c>
      <c r="E3120" s="5" t="s">
        <v>32068</v>
      </c>
      <c r="F3120" s="26"/>
      <c r="G3120" s="27" t="s">
        <v>2996</v>
      </c>
      <c r="H3120" s="28" t="s">
        <v>2997</v>
      </c>
      <c r="I3120" s="5" t="s">
        <v>233</v>
      </c>
    </row>
    <row r="3121" spans="1:9" ht="51.75" customHeight="1">
      <c r="A3121" s="5">
        <v>6</v>
      </c>
      <c r="B3121" s="5" t="s">
        <v>32069</v>
      </c>
      <c r="C3121" s="5" t="s">
        <v>32070</v>
      </c>
      <c r="D3121" s="246">
        <v>39987</v>
      </c>
      <c r="E3121" s="5" t="s">
        <v>32071</v>
      </c>
      <c r="F3121" s="26"/>
      <c r="G3121" s="27" t="s">
        <v>2996</v>
      </c>
      <c r="H3121" s="28" t="s">
        <v>2997</v>
      </c>
      <c r="I3121" s="5" t="s">
        <v>233</v>
      </c>
    </row>
    <row r="3122" spans="1:9" ht="51.75" customHeight="1">
      <c r="A3122" s="5">
        <v>7</v>
      </c>
      <c r="B3122" s="5" t="s">
        <v>32072</v>
      </c>
      <c r="C3122" s="5" t="s">
        <v>32073</v>
      </c>
      <c r="D3122" s="246">
        <v>39987</v>
      </c>
      <c r="E3122" s="5" t="s">
        <v>32074</v>
      </c>
      <c r="F3122" s="26"/>
      <c r="G3122" s="27" t="s">
        <v>2996</v>
      </c>
      <c r="H3122" s="28" t="s">
        <v>2997</v>
      </c>
      <c r="I3122" s="5" t="s">
        <v>233</v>
      </c>
    </row>
    <row r="3123" spans="1:9" ht="51.75" customHeight="1">
      <c r="A3123" s="5">
        <v>8</v>
      </c>
      <c r="B3123" s="5" t="s">
        <v>32075</v>
      </c>
      <c r="C3123" s="5" t="s">
        <v>32076</v>
      </c>
      <c r="D3123" s="246">
        <v>39987</v>
      </c>
      <c r="E3123" s="5" t="s">
        <v>32077</v>
      </c>
      <c r="F3123" s="26"/>
      <c r="G3123" s="27" t="s">
        <v>2996</v>
      </c>
      <c r="H3123" s="28" t="s">
        <v>2997</v>
      </c>
      <c r="I3123" s="5" t="s">
        <v>233</v>
      </c>
    </row>
    <row r="3124" spans="1:9" ht="51.75" customHeight="1">
      <c r="A3124" s="5">
        <v>1</v>
      </c>
      <c r="B3124" s="5" t="s">
        <v>32078</v>
      </c>
      <c r="C3124" s="5" t="s">
        <v>32079</v>
      </c>
      <c r="D3124" s="246">
        <v>40193</v>
      </c>
      <c r="E3124" s="5" t="s">
        <v>32080</v>
      </c>
      <c r="F3124" s="26"/>
      <c r="G3124" s="27" t="s">
        <v>2951</v>
      </c>
      <c r="H3124" s="28" t="s">
        <v>2952</v>
      </c>
      <c r="I3124" s="5" t="s">
        <v>233</v>
      </c>
    </row>
    <row r="3125" spans="1:9" ht="51.75" customHeight="1">
      <c r="A3125" s="5">
        <v>2</v>
      </c>
      <c r="B3125" s="5" t="s">
        <v>32081</v>
      </c>
      <c r="C3125" s="5" t="s">
        <v>32082</v>
      </c>
      <c r="D3125" s="246">
        <v>40193</v>
      </c>
      <c r="E3125" s="5" t="s">
        <v>32083</v>
      </c>
      <c r="F3125" s="26"/>
      <c r="G3125" s="27" t="s">
        <v>2951</v>
      </c>
      <c r="H3125" s="28" t="s">
        <v>2952</v>
      </c>
      <c r="I3125" s="5" t="s">
        <v>233</v>
      </c>
    </row>
    <row r="3126" spans="1:9" ht="51.75" customHeight="1">
      <c r="A3126" s="5">
        <v>3</v>
      </c>
      <c r="B3126" s="5" t="s">
        <v>32084</v>
      </c>
      <c r="C3126" s="5" t="s">
        <v>32085</v>
      </c>
      <c r="D3126" s="246">
        <v>40193</v>
      </c>
      <c r="E3126" s="5" t="s">
        <v>32086</v>
      </c>
      <c r="F3126" s="26"/>
      <c r="G3126" s="27" t="s">
        <v>2951</v>
      </c>
      <c r="H3126" s="28" t="s">
        <v>2952</v>
      </c>
      <c r="I3126" s="5" t="s">
        <v>233</v>
      </c>
    </row>
    <row r="3127" spans="1:9" ht="51.75" customHeight="1">
      <c r="A3127" s="5">
        <v>4</v>
      </c>
      <c r="B3127" s="5" t="s">
        <v>32087</v>
      </c>
      <c r="C3127" s="5" t="s">
        <v>32088</v>
      </c>
      <c r="D3127" s="246">
        <v>40193</v>
      </c>
      <c r="E3127" s="5" t="s">
        <v>32089</v>
      </c>
      <c r="F3127" s="26"/>
      <c r="G3127" s="27" t="s">
        <v>2951</v>
      </c>
      <c r="H3127" s="28" t="s">
        <v>2952</v>
      </c>
      <c r="I3127" s="5" t="s">
        <v>233</v>
      </c>
    </row>
    <row r="3128" spans="1:9" ht="51.75" customHeight="1">
      <c r="A3128" s="5">
        <v>5</v>
      </c>
      <c r="B3128" s="5" t="s">
        <v>32090</v>
      </c>
      <c r="C3128" s="5" t="s">
        <v>32091</v>
      </c>
      <c r="D3128" s="246">
        <v>40193</v>
      </c>
      <c r="E3128" s="5" t="s">
        <v>32092</v>
      </c>
      <c r="F3128" s="26"/>
      <c r="G3128" s="27" t="s">
        <v>2951</v>
      </c>
      <c r="H3128" s="28" t="s">
        <v>2952</v>
      </c>
      <c r="I3128" s="5" t="s">
        <v>233</v>
      </c>
    </row>
    <row r="3129" spans="1:9" ht="51.75" customHeight="1">
      <c r="A3129" s="5">
        <v>6</v>
      </c>
      <c r="B3129" s="5" t="s">
        <v>32093</v>
      </c>
      <c r="C3129" s="5" t="s">
        <v>32094</v>
      </c>
      <c r="D3129" s="246">
        <v>40193</v>
      </c>
      <c r="E3129" s="5" t="s">
        <v>32095</v>
      </c>
      <c r="F3129" s="26"/>
      <c r="G3129" s="27" t="s">
        <v>2951</v>
      </c>
      <c r="H3129" s="28" t="s">
        <v>2952</v>
      </c>
      <c r="I3129" s="5" t="s">
        <v>233</v>
      </c>
    </row>
    <row r="3130" spans="1:9" ht="51.75" customHeight="1">
      <c r="A3130" s="5">
        <v>7</v>
      </c>
      <c r="B3130" s="5" t="s">
        <v>32096</v>
      </c>
      <c r="C3130" s="5" t="s">
        <v>32097</v>
      </c>
      <c r="D3130" s="246">
        <v>40193</v>
      </c>
      <c r="E3130" s="5" t="s">
        <v>32098</v>
      </c>
      <c r="F3130" s="26"/>
      <c r="G3130" s="27" t="s">
        <v>2951</v>
      </c>
      <c r="H3130" s="28" t="s">
        <v>2952</v>
      </c>
      <c r="I3130" s="5" t="s">
        <v>233</v>
      </c>
    </row>
    <row r="3131" spans="1:9" ht="51.75" customHeight="1">
      <c r="A3131" s="5">
        <v>1</v>
      </c>
      <c r="B3131" s="5" t="s">
        <v>32099</v>
      </c>
      <c r="C3131" s="5" t="s">
        <v>32100</v>
      </c>
      <c r="D3131" s="246">
        <v>40070</v>
      </c>
      <c r="E3131" s="5" t="s">
        <v>32101</v>
      </c>
      <c r="F3131" s="26"/>
      <c r="G3131" s="27" t="s">
        <v>2872</v>
      </c>
      <c r="H3131" s="28" t="s">
        <v>2873</v>
      </c>
      <c r="I3131" s="5" t="s">
        <v>233</v>
      </c>
    </row>
    <row r="3132" spans="1:9" ht="51.75" customHeight="1">
      <c r="A3132" s="5">
        <v>2</v>
      </c>
      <c r="B3132" s="5" t="s">
        <v>32102</v>
      </c>
      <c r="C3132" s="5" t="s">
        <v>32103</v>
      </c>
      <c r="D3132" s="246">
        <v>40070</v>
      </c>
      <c r="E3132" s="5" t="s">
        <v>32104</v>
      </c>
      <c r="F3132" s="26"/>
      <c r="G3132" s="27" t="s">
        <v>2872</v>
      </c>
      <c r="H3132" s="28" t="s">
        <v>2873</v>
      </c>
      <c r="I3132" s="5" t="s">
        <v>233</v>
      </c>
    </row>
    <row r="3133" spans="1:9" ht="51.75" customHeight="1">
      <c r="A3133" s="5">
        <v>3</v>
      </c>
      <c r="B3133" s="5" t="s">
        <v>32105</v>
      </c>
      <c r="C3133" s="5" t="s">
        <v>32106</v>
      </c>
      <c r="D3133" s="246">
        <v>40070</v>
      </c>
      <c r="E3133" s="5" t="s">
        <v>32107</v>
      </c>
      <c r="F3133" s="26"/>
      <c r="G3133" s="27" t="s">
        <v>2872</v>
      </c>
      <c r="H3133" s="28" t="s">
        <v>2873</v>
      </c>
      <c r="I3133" s="5" t="s">
        <v>233</v>
      </c>
    </row>
    <row r="3134" spans="1:9" ht="51.75" customHeight="1">
      <c r="A3134" s="5">
        <v>4</v>
      </c>
      <c r="B3134" s="5" t="s">
        <v>32108</v>
      </c>
      <c r="C3134" s="5" t="s">
        <v>32109</v>
      </c>
      <c r="D3134" s="246">
        <v>40070</v>
      </c>
      <c r="E3134" s="5" t="s">
        <v>32110</v>
      </c>
      <c r="F3134" s="26"/>
      <c r="G3134" s="27" t="s">
        <v>2872</v>
      </c>
      <c r="H3134" s="28" t="s">
        <v>2873</v>
      </c>
      <c r="I3134" s="5" t="s">
        <v>233</v>
      </c>
    </row>
    <row r="3135" spans="1:9" ht="51.75" customHeight="1">
      <c r="A3135" s="5">
        <v>5</v>
      </c>
      <c r="B3135" s="5" t="s">
        <v>32111</v>
      </c>
      <c r="C3135" s="5" t="s">
        <v>32112</v>
      </c>
      <c r="D3135" s="246">
        <v>40070</v>
      </c>
      <c r="E3135" s="5" t="s">
        <v>32113</v>
      </c>
      <c r="F3135" s="26"/>
      <c r="G3135" s="27" t="s">
        <v>2872</v>
      </c>
      <c r="H3135" s="28" t="s">
        <v>2873</v>
      </c>
      <c r="I3135" s="5" t="s">
        <v>233</v>
      </c>
    </row>
    <row r="3136" spans="1:9" ht="51.75" customHeight="1">
      <c r="A3136" s="5">
        <v>6</v>
      </c>
      <c r="B3136" s="5" t="s">
        <v>32114</v>
      </c>
      <c r="C3136" s="5" t="s">
        <v>32115</v>
      </c>
      <c r="D3136" s="246">
        <v>40070</v>
      </c>
      <c r="E3136" s="5" t="s">
        <v>32116</v>
      </c>
      <c r="F3136" s="26"/>
      <c r="G3136" s="27" t="s">
        <v>2872</v>
      </c>
      <c r="H3136" s="28" t="s">
        <v>2873</v>
      </c>
      <c r="I3136" s="5" t="s">
        <v>233</v>
      </c>
    </row>
    <row r="3137" spans="1:9" ht="51.75" customHeight="1">
      <c r="A3137" s="5">
        <v>7</v>
      </c>
      <c r="B3137" s="5" t="s">
        <v>32117</v>
      </c>
      <c r="C3137" s="5" t="s">
        <v>32118</v>
      </c>
      <c r="D3137" s="246">
        <v>40070</v>
      </c>
      <c r="E3137" s="5" t="s">
        <v>32119</v>
      </c>
      <c r="F3137" s="26"/>
      <c r="G3137" s="27" t="s">
        <v>2872</v>
      </c>
      <c r="H3137" s="28" t="s">
        <v>2873</v>
      </c>
      <c r="I3137" s="5" t="s">
        <v>233</v>
      </c>
    </row>
    <row r="3138" spans="1:9" ht="51.75" customHeight="1">
      <c r="A3138" s="5">
        <v>1</v>
      </c>
      <c r="B3138" s="5" t="s">
        <v>32120</v>
      </c>
      <c r="C3138" s="5" t="s">
        <v>32121</v>
      </c>
      <c r="D3138" s="246">
        <v>40141</v>
      </c>
      <c r="E3138" s="5" t="s">
        <v>32122</v>
      </c>
      <c r="F3138" s="26"/>
      <c r="G3138" s="27" t="s">
        <v>2848</v>
      </c>
      <c r="H3138" s="28" t="s">
        <v>2849</v>
      </c>
      <c r="I3138" s="5" t="s">
        <v>233</v>
      </c>
    </row>
    <row r="3139" spans="1:9" ht="51.75" customHeight="1">
      <c r="A3139" s="5">
        <v>2</v>
      </c>
      <c r="B3139" s="5" t="s">
        <v>32123</v>
      </c>
      <c r="C3139" s="5" t="s">
        <v>32124</v>
      </c>
      <c r="D3139" s="246">
        <v>40141</v>
      </c>
      <c r="E3139" s="5" t="s">
        <v>32125</v>
      </c>
      <c r="F3139" s="26"/>
      <c r="G3139" s="27" t="s">
        <v>2848</v>
      </c>
      <c r="H3139" s="28" t="s">
        <v>2849</v>
      </c>
      <c r="I3139" s="5" t="s">
        <v>233</v>
      </c>
    </row>
    <row r="3140" spans="1:9" ht="51.75" customHeight="1">
      <c r="A3140" s="5">
        <v>3</v>
      </c>
      <c r="B3140" s="5" t="s">
        <v>32126</v>
      </c>
      <c r="C3140" s="5" t="s">
        <v>32127</v>
      </c>
      <c r="D3140" s="246">
        <v>40141</v>
      </c>
      <c r="E3140" s="5" t="s">
        <v>32128</v>
      </c>
      <c r="F3140" s="26"/>
      <c r="G3140" s="27" t="s">
        <v>2848</v>
      </c>
      <c r="H3140" s="28" t="s">
        <v>2849</v>
      </c>
      <c r="I3140" s="5" t="s">
        <v>233</v>
      </c>
    </row>
    <row r="3141" spans="1:9" ht="51.75" customHeight="1">
      <c r="A3141" s="5">
        <v>1</v>
      </c>
      <c r="B3141" s="5" t="s">
        <v>32129</v>
      </c>
      <c r="C3141" s="5" t="s">
        <v>32130</v>
      </c>
      <c r="D3141" s="246">
        <v>40004</v>
      </c>
      <c r="E3141" s="5" t="s">
        <v>32131</v>
      </c>
      <c r="F3141" s="26"/>
      <c r="G3141" s="27" t="s">
        <v>2775</v>
      </c>
      <c r="H3141" s="28" t="s">
        <v>2776</v>
      </c>
      <c r="I3141" s="5" t="s">
        <v>233</v>
      </c>
    </row>
    <row r="3142" spans="1:9" ht="51.75" customHeight="1">
      <c r="A3142" s="5">
        <v>2</v>
      </c>
      <c r="B3142" s="5" t="s">
        <v>32132</v>
      </c>
      <c r="C3142" s="5" t="s">
        <v>32133</v>
      </c>
      <c r="D3142" s="246">
        <v>40004</v>
      </c>
      <c r="E3142" s="5" t="s">
        <v>32134</v>
      </c>
      <c r="F3142" s="26"/>
      <c r="G3142" s="27" t="s">
        <v>2775</v>
      </c>
      <c r="H3142" s="28" t="s">
        <v>2776</v>
      </c>
      <c r="I3142" s="5" t="s">
        <v>233</v>
      </c>
    </row>
    <row r="3143" spans="1:9" ht="51.75" customHeight="1">
      <c r="A3143" s="5">
        <v>3</v>
      </c>
      <c r="B3143" s="5" t="s">
        <v>32135</v>
      </c>
      <c r="C3143" s="5" t="s">
        <v>32136</v>
      </c>
      <c r="D3143" s="246">
        <v>40004</v>
      </c>
      <c r="E3143" s="5" t="s">
        <v>32137</v>
      </c>
      <c r="F3143" s="26"/>
      <c r="G3143" s="27" t="s">
        <v>2775</v>
      </c>
      <c r="H3143" s="28" t="s">
        <v>2776</v>
      </c>
      <c r="I3143" s="5" t="s">
        <v>233</v>
      </c>
    </row>
    <row r="3144" spans="1:9" ht="51.75" customHeight="1">
      <c r="A3144" s="5">
        <v>4</v>
      </c>
      <c r="B3144" s="5" t="s">
        <v>32138</v>
      </c>
      <c r="C3144" s="5" t="s">
        <v>32139</v>
      </c>
      <c r="D3144" s="246">
        <v>40004</v>
      </c>
      <c r="E3144" s="5" t="s">
        <v>32140</v>
      </c>
      <c r="F3144" s="26"/>
      <c r="G3144" s="27" t="s">
        <v>2775</v>
      </c>
      <c r="H3144" s="28" t="s">
        <v>2776</v>
      </c>
      <c r="I3144" s="5" t="s">
        <v>233</v>
      </c>
    </row>
    <row r="3145" spans="1:9" ht="51.75" customHeight="1">
      <c r="A3145" s="5">
        <v>5</v>
      </c>
      <c r="B3145" s="5" t="s">
        <v>32141</v>
      </c>
      <c r="C3145" s="5" t="s">
        <v>32142</v>
      </c>
      <c r="D3145" s="246">
        <v>40004</v>
      </c>
      <c r="E3145" s="5" t="s">
        <v>32143</v>
      </c>
      <c r="F3145" s="26"/>
      <c r="G3145" s="27" t="s">
        <v>2775</v>
      </c>
      <c r="H3145" s="28" t="s">
        <v>2776</v>
      </c>
      <c r="I3145" s="5" t="s">
        <v>233</v>
      </c>
    </row>
    <row r="3146" spans="1:9" ht="51.75" customHeight="1">
      <c r="A3146" s="5">
        <v>1</v>
      </c>
      <c r="B3146" s="5" t="s">
        <v>32144</v>
      </c>
      <c r="C3146" s="5" t="s">
        <v>32145</v>
      </c>
      <c r="D3146" s="246">
        <v>40074</v>
      </c>
      <c r="E3146" s="5" t="s">
        <v>32146</v>
      </c>
      <c r="F3146" s="26"/>
      <c r="G3146" s="27" t="s">
        <v>2755</v>
      </c>
      <c r="H3146" s="28" t="s">
        <v>2756</v>
      </c>
      <c r="I3146" s="5" t="s">
        <v>233</v>
      </c>
    </row>
    <row r="3147" spans="1:9" ht="51.75" customHeight="1">
      <c r="A3147" s="5">
        <v>2</v>
      </c>
      <c r="B3147" s="5" t="s">
        <v>32147</v>
      </c>
      <c r="C3147" s="5" t="s">
        <v>32148</v>
      </c>
      <c r="D3147" s="246">
        <v>40074</v>
      </c>
      <c r="E3147" s="5" t="s">
        <v>32149</v>
      </c>
      <c r="F3147" s="26"/>
      <c r="G3147" s="27" t="s">
        <v>2755</v>
      </c>
      <c r="H3147" s="28" t="s">
        <v>2756</v>
      </c>
      <c r="I3147" s="5" t="s">
        <v>233</v>
      </c>
    </row>
    <row r="3148" spans="1:9" ht="51.75" customHeight="1">
      <c r="A3148" s="5">
        <v>3</v>
      </c>
      <c r="B3148" s="5" t="s">
        <v>32150</v>
      </c>
      <c r="C3148" s="5" t="s">
        <v>32151</v>
      </c>
      <c r="D3148" s="246">
        <v>40074</v>
      </c>
      <c r="E3148" s="5" t="s">
        <v>32152</v>
      </c>
      <c r="F3148" s="26"/>
      <c r="G3148" s="27" t="s">
        <v>2755</v>
      </c>
      <c r="H3148" s="28" t="s">
        <v>2756</v>
      </c>
      <c r="I3148" s="5" t="s">
        <v>233</v>
      </c>
    </row>
    <row r="3149" spans="1:9" ht="51.75" customHeight="1">
      <c r="A3149" s="5">
        <v>4</v>
      </c>
      <c r="B3149" s="5" t="s">
        <v>32153</v>
      </c>
      <c r="C3149" s="5" t="s">
        <v>32154</v>
      </c>
      <c r="D3149" s="246">
        <v>40074</v>
      </c>
      <c r="E3149" s="5" t="s">
        <v>32155</v>
      </c>
      <c r="F3149" s="26"/>
      <c r="G3149" s="27" t="s">
        <v>2755</v>
      </c>
      <c r="H3149" s="28" t="s">
        <v>2756</v>
      </c>
      <c r="I3149" s="5" t="s">
        <v>233</v>
      </c>
    </row>
    <row r="3150" spans="1:9" ht="51.75" customHeight="1">
      <c r="A3150" s="5">
        <v>5</v>
      </c>
      <c r="B3150" s="5" t="s">
        <v>32156</v>
      </c>
      <c r="C3150" s="5" t="s">
        <v>32157</v>
      </c>
      <c r="D3150" s="246">
        <v>40074</v>
      </c>
      <c r="E3150" s="5" t="s">
        <v>32158</v>
      </c>
      <c r="F3150" s="26"/>
      <c r="G3150" s="27" t="s">
        <v>2755</v>
      </c>
      <c r="H3150" s="28" t="s">
        <v>2756</v>
      </c>
      <c r="I3150" s="5" t="s">
        <v>233</v>
      </c>
    </row>
    <row r="3151" spans="1:9" ht="51.75" customHeight="1">
      <c r="A3151" s="5">
        <v>6</v>
      </c>
      <c r="B3151" s="5" t="s">
        <v>32159</v>
      </c>
      <c r="C3151" s="5" t="s">
        <v>32160</v>
      </c>
      <c r="D3151" s="246">
        <v>40074</v>
      </c>
      <c r="E3151" s="5" t="s">
        <v>32161</v>
      </c>
      <c r="F3151" s="26"/>
      <c r="G3151" s="27" t="s">
        <v>2755</v>
      </c>
      <c r="H3151" s="28" t="s">
        <v>2756</v>
      </c>
      <c r="I3151" s="5" t="s">
        <v>233</v>
      </c>
    </row>
    <row r="3152" spans="1:9" ht="51.75" customHeight="1">
      <c r="A3152" s="5">
        <v>7</v>
      </c>
      <c r="B3152" s="5" t="s">
        <v>32162</v>
      </c>
      <c r="C3152" s="5" t="s">
        <v>32163</v>
      </c>
      <c r="D3152" s="246">
        <v>40074</v>
      </c>
      <c r="E3152" s="5" t="s">
        <v>32164</v>
      </c>
      <c r="F3152" s="26"/>
      <c r="G3152" s="27" t="s">
        <v>2755</v>
      </c>
      <c r="H3152" s="28" t="s">
        <v>2756</v>
      </c>
      <c r="I3152" s="5" t="s">
        <v>233</v>
      </c>
    </row>
    <row r="3153" spans="1:9" ht="51.75" customHeight="1">
      <c r="A3153" s="5">
        <v>1</v>
      </c>
      <c r="B3153" s="5" t="s">
        <v>32165</v>
      </c>
      <c r="C3153" s="5" t="s">
        <v>32166</v>
      </c>
      <c r="D3153" s="246">
        <v>39909</v>
      </c>
      <c r="E3153" s="5" t="s">
        <v>32167</v>
      </c>
      <c r="F3153" s="26"/>
      <c r="G3153" s="27" t="s">
        <v>2735</v>
      </c>
      <c r="H3153" s="28" t="s">
        <v>2736</v>
      </c>
      <c r="I3153" s="5" t="s">
        <v>233</v>
      </c>
    </row>
    <row r="3154" spans="1:9" ht="51.75" customHeight="1">
      <c r="A3154" s="5">
        <v>2</v>
      </c>
      <c r="B3154" s="5" t="s">
        <v>32168</v>
      </c>
      <c r="C3154" s="5" t="s">
        <v>32169</v>
      </c>
      <c r="D3154" s="246">
        <v>39909</v>
      </c>
      <c r="E3154" s="5" t="s">
        <v>32170</v>
      </c>
      <c r="F3154" s="26"/>
      <c r="G3154" s="27" t="s">
        <v>2735</v>
      </c>
      <c r="H3154" s="28" t="s">
        <v>2736</v>
      </c>
      <c r="I3154" s="5" t="s">
        <v>233</v>
      </c>
    </row>
    <row r="3155" spans="1:9" ht="51.75" customHeight="1">
      <c r="A3155" s="5">
        <v>3</v>
      </c>
      <c r="B3155" s="5" t="s">
        <v>32171</v>
      </c>
      <c r="C3155" s="5" t="s">
        <v>32172</v>
      </c>
      <c r="D3155" s="246">
        <v>39909</v>
      </c>
      <c r="E3155" s="5" t="s">
        <v>32173</v>
      </c>
      <c r="F3155" s="26"/>
      <c r="G3155" s="27" t="s">
        <v>2735</v>
      </c>
      <c r="H3155" s="28" t="s">
        <v>2736</v>
      </c>
      <c r="I3155" s="5" t="s">
        <v>233</v>
      </c>
    </row>
    <row r="3156" spans="1:9" ht="51.75" customHeight="1">
      <c r="A3156" s="5">
        <v>4</v>
      </c>
      <c r="B3156" s="5" t="s">
        <v>32174</v>
      </c>
      <c r="C3156" s="5" t="s">
        <v>32175</v>
      </c>
      <c r="D3156" s="246">
        <v>39909</v>
      </c>
      <c r="E3156" s="5" t="s">
        <v>32176</v>
      </c>
      <c r="F3156" s="26"/>
      <c r="G3156" s="27" t="s">
        <v>2735</v>
      </c>
      <c r="H3156" s="28" t="s">
        <v>2736</v>
      </c>
      <c r="I3156" s="5" t="s">
        <v>233</v>
      </c>
    </row>
    <row r="3157" spans="1:9" ht="51.75" customHeight="1">
      <c r="A3157" s="5">
        <v>1</v>
      </c>
      <c r="B3157" s="5" t="s">
        <v>32177</v>
      </c>
      <c r="C3157" s="5" t="s">
        <v>32178</v>
      </c>
      <c r="D3157" s="246">
        <v>39918</v>
      </c>
      <c r="E3157" s="5" t="s">
        <v>32179</v>
      </c>
      <c r="F3157" s="26"/>
      <c r="G3157" s="27" t="s">
        <v>2700</v>
      </c>
      <c r="H3157" s="28" t="s">
        <v>2701</v>
      </c>
      <c r="I3157" s="5" t="s">
        <v>233</v>
      </c>
    </row>
    <row r="3158" spans="1:9" ht="51.75" customHeight="1">
      <c r="A3158" s="5">
        <v>2</v>
      </c>
      <c r="B3158" s="5" t="s">
        <v>32180</v>
      </c>
      <c r="C3158" s="5" t="s">
        <v>32181</v>
      </c>
      <c r="D3158" s="246">
        <v>39918</v>
      </c>
      <c r="E3158" s="5" t="s">
        <v>32182</v>
      </c>
      <c r="F3158" s="26"/>
      <c r="G3158" s="27" t="s">
        <v>2700</v>
      </c>
      <c r="H3158" s="28" t="s">
        <v>2701</v>
      </c>
      <c r="I3158" s="5" t="s">
        <v>233</v>
      </c>
    </row>
    <row r="3159" spans="1:9" ht="51.75" customHeight="1">
      <c r="A3159" s="5">
        <v>3</v>
      </c>
      <c r="B3159" s="5" t="s">
        <v>32183</v>
      </c>
      <c r="C3159" s="5" t="s">
        <v>32184</v>
      </c>
      <c r="D3159" s="246">
        <v>39918</v>
      </c>
      <c r="E3159" s="5" t="s">
        <v>32185</v>
      </c>
      <c r="F3159" s="26"/>
      <c r="G3159" s="27" t="s">
        <v>2700</v>
      </c>
      <c r="H3159" s="28" t="s">
        <v>2701</v>
      </c>
      <c r="I3159" s="5" t="s">
        <v>233</v>
      </c>
    </row>
    <row r="3160" spans="1:9" ht="51.75" customHeight="1">
      <c r="A3160" s="5">
        <v>1</v>
      </c>
      <c r="B3160" s="5" t="s">
        <v>32186</v>
      </c>
      <c r="C3160" s="5" t="s">
        <v>32187</v>
      </c>
      <c r="D3160" s="246">
        <v>39988</v>
      </c>
      <c r="E3160" s="5" t="s">
        <v>32188</v>
      </c>
      <c r="F3160" s="26"/>
      <c r="G3160" s="27" t="s">
        <v>2693</v>
      </c>
      <c r="H3160" s="28" t="s">
        <v>2694</v>
      </c>
      <c r="I3160" s="5" t="s">
        <v>233</v>
      </c>
    </row>
    <row r="3161" spans="1:9" ht="51.75" customHeight="1">
      <c r="A3161" s="5">
        <v>2</v>
      </c>
      <c r="B3161" s="5" t="s">
        <v>32189</v>
      </c>
      <c r="C3161" s="5" t="s">
        <v>32190</v>
      </c>
      <c r="D3161" s="246">
        <v>39988</v>
      </c>
      <c r="E3161" s="5" t="s">
        <v>32191</v>
      </c>
      <c r="F3161" s="26"/>
      <c r="G3161" s="27" t="s">
        <v>2693</v>
      </c>
      <c r="H3161" s="28" t="s">
        <v>2694</v>
      </c>
      <c r="I3161" s="5" t="s">
        <v>233</v>
      </c>
    </row>
    <row r="3162" spans="1:9" ht="51.75" customHeight="1">
      <c r="A3162" s="5">
        <v>3</v>
      </c>
      <c r="B3162" s="5" t="s">
        <v>32192</v>
      </c>
      <c r="C3162" s="5" t="s">
        <v>32193</v>
      </c>
      <c r="D3162" s="246">
        <v>39988</v>
      </c>
      <c r="E3162" s="5" t="s">
        <v>32194</v>
      </c>
      <c r="F3162" s="26"/>
      <c r="G3162" s="27" t="s">
        <v>2693</v>
      </c>
      <c r="H3162" s="28" t="s">
        <v>2694</v>
      </c>
      <c r="I3162" s="5" t="s">
        <v>233</v>
      </c>
    </row>
    <row r="3163" spans="1:9" ht="51.75" customHeight="1">
      <c r="A3163" s="5">
        <v>4</v>
      </c>
      <c r="B3163" s="5" t="s">
        <v>32195</v>
      </c>
      <c r="C3163" s="5" t="s">
        <v>32196</v>
      </c>
      <c r="D3163" s="246">
        <v>39988</v>
      </c>
      <c r="E3163" s="5" t="s">
        <v>32197</v>
      </c>
      <c r="F3163" s="26"/>
      <c r="G3163" s="27" t="s">
        <v>2693</v>
      </c>
      <c r="H3163" s="28" t="s">
        <v>2694</v>
      </c>
      <c r="I3163" s="5" t="s">
        <v>233</v>
      </c>
    </row>
    <row r="3164" spans="1:9" ht="51.75" customHeight="1">
      <c r="A3164" s="5">
        <v>5</v>
      </c>
      <c r="B3164" s="5" t="s">
        <v>32198</v>
      </c>
      <c r="C3164" s="5" t="s">
        <v>32199</v>
      </c>
      <c r="D3164" s="246">
        <v>39988</v>
      </c>
      <c r="E3164" s="5" t="s">
        <v>32200</v>
      </c>
      <c r="F3164" s="26"/>
      <c r="G3164" s="27" t="s">
        <v>2693</v>
      </c>
      <c r="H3164" s="28" t="s">
        <v>2694</v>
      </c>
      <c r="I3164" s="5" t="s">
        <v>233</v>
      </c>
    </row>
    <row r="3165" spans="1:9" ht="51.75" customHeight="1">
      <c r="A3165" s="5">
        <v>6</v>
      </c>
      <c r="B3165" s="5" t="s">
        <v>32201</v>
      </c>
      <c r="C3165" s="5" t="s">
        <v>32202</v>
      </c>
      <c r="D3165" s="246">
        <v>39988</v>
      </c>
      <c r="E3165" s="5" t="s">
        <v>32203</v>
      </c>
      <c r="F3165" s="26"/>
      <c r="G3165" s="27" t="s">
        <v>2693</v>
      </c>
      <c r="H3165" s="28" t="s">
        <v>2694</v>
      </c>
      <c r="I3165" s="5" t="s">
        <v>233</v>
      </c>
    </row>
    <row r="3166" spans="1:9" ht="51.75" customHeight="1">
      <c r="A3166" s="5">
        <v>7</v>
      </c>
      <c r="B3166" s="5" t="s">
        <v>32204</v>
      </c>
      <c r="C3166" s="5" t="s">
        <v>32205</v>
      </c>
      <c r="D3166" s="246">
        <v>39988</v>
      </c>
      <c r="E3166" s="5" t="s">
        <v>32205</v>
      </c>
      <c r="F3166" s="26"/>
      <c r="G3166" s="27" t="s">
        <v>2693</v>
      </c>
      <c r="H3166" s="28" t="s">
        <v>2694</v>
      </c>
      <c r="I3166" s="5" t="s">
        <v>233</v>
      </c>
    </row>
    <row r="3167" spans="1:9" ht="51.75" customHeight="1">
      <c r="A3167" s="5">
        <v>8</v>
      </c>
      <c r="B3167" s="5" t="s">
        <v>32206</v>
      </c>
      <c r="C3167" s="5" t="s">
        <v>32207</v>
      </c>
      <c r="D3167" s="246">
        <v>39988</v>
      </c>
      <c r="E3167" s="5" t="s">
        <v>32208</v>
      </c>
      <c r="F3167" s="26"/>
      <c r="G3167" s="27" t="s">
        <v>2693</v>
      </c>
      <c r="H3167" s="28" t="s">
        <v>2694</v>
      </c>
      <c r="I3167" s="5" t="s">
        <v>233</v>
      </c>
    </row>
    <row r="3168" spans="1:9" ht="51.75" customHeight="1">
      <c r="A3168" s="5">
        <v>9</v>
      </c>
      <c r="B3168" s="5" t="s">
        <v>32209</v>
      </c>
      <c r="C3168" s="5" t="s">
        <v>32210</v>
      </c>
      <c r="D3168" s="246">
        <v>39988</v>
      </c>
      <c r="E3168" s="5" t="s">
        <v>32211</v>
      </c>
      <c r="F3168" s="26"/>
      <c r="G3168" s="27" t="s">
        <v>2693</v>
      </c>
      <c r="H3168" s="28" t="s">
        <v>2694</v>
      </c>
      <c r="I3168" s="5" t="s">
        <v>233</v>
      </c>
    </row>
    <row r="3169" spans="1:9" ht="51.75" customHeight="1">
      <c r="A3169" s="5">
        <v>10</v>
      </c>
      <c r="B3169" s="5" t="s">
        <v>32212</v>
      </c>
      <c r="C3169" s="5" t="s">
        <v>32213</v>
      </c>
      <c r="D3169" s="246">
        <v>39988</v>
      </c>
      <c r="E3169" s="5" t="s">
        <v>32214</v>
      </c>
      <c r="F3169" s="26"/>
      <c r="G3169" s="27" t="s">
        <v>2693</v>
      </c>
      <c r="H3169" s="28" t="s">
        <v>2694</v>
      </c>
      <c r="I3169" s="5" t="s">
        <v>233</v>
      </c>
    </row>
    <row r="3170" spans="1:9" ht="51.75" customHeight="1">
      <c r="A3170" s="5">
        <v>1</v>
      </c>
      <c r="B3170" s="5" t="s">
        <v>32215</v>
      </c>
      <c r="C3170" s="5" t="s">
        <v>32216</v>
      </c>
      <c r="D3170" s="246">
        <v>39918</v>
      </c>
      <c r="E3170" s="5" t="s">
        <v>32217</v>
      </c>
      <c r="F3170" s="26"/>
      <c r="G3170" s="27" t="s">
        <v>2686</v>
      </c>
      <c r="H3170" s="28" t="s">
        <v>2687</v>
      </c>
      <c r="I3170" s="5" t="s">
        <v>233</v>
      </c>
    </row>
    <row r="3171" spans="1:9" ht="51.75" customHeight="1">
      <c r="A3171" s="5">
        <v>2</v>
      </c>
      <c r="B3171" s="5" t="s">
        <v>32218</v>
      </c>
      <c r="C3171" s="5" t="s">
        <v>32219</v>
      </c>
      <c r="D3171" s="246">
        <v>39918</v>
      </c>
      <c r="E3171" s="5" t="s">
        <v>32220</v>
      </c>
      <c r="F3171" s="26"/>
      <c r="G3171" s="27" t="s">
        <v>2686</v>
      </c>
      <c r="H3171" s="28" t="s">
        <v>2687</v>
      </c>
      <c r="I3171" s="5" t="s">
        <v>233</v>
      </c>
    </row>
    <row r="3172" spans="1:9" ht="51.75" customHeight="1">
      <c r="A3172" s="5">
        <v>3</v>
      </c>
      <c r="B3172" s="5" t="s">
        <v>32221</v>
      </c>
      <c r="C3172" s="5" t="s">
        <v>32222</v>
      </c>
      <c r="D3172" s="246">
        <v>39918</v>
      </c>
      <c r="E3172" s="5" t="s">
        <v>32223</v>
      </c>
      <c r="F3172" s="26"/>
      <c r="G3172" s="27" t="s">
        <v>2686</v>
      </c>
      <c r="H3172" s="28" t="s">
        <v>2687</v>
      </c>
      <c r="I3172" s="5" t="s">
        <v>233</v>
      </c>
    </row>
    <row r="3173" spans="1:9" ht="51.75" customHeight="1">
      <c r="A3173" s="5">
        <v>4</v>
      </c>
      <c r="B3173" s="5" t="s">
        <v>32224</v>
      </c>
      <c r="C3173" s="5" t="s">
        <v>32225</v>
      </c>
      <c r="D3173" s="246">
        <v>39918</v>
      </c>
      <c r="E3173" s="5" t="s">
        <v>32226</v>
      </c>
      <c r="F3173" s="26"/>
      <c r="G3173" s="27" t="s">
        <v>2686</v>
      </c>
      <c r="H3173" s="28" t="s">
        <v>2687</v>
      </c>
      <c r="I3173" s="5" t="s">
        <v>233</v>
      </c>
    </row>
    <row r="3174" spans="1:9" ht="51.75" customHeight="1">
      <c r="A3174" s="5">
        <v>5</v>
      </c>
      <c r="B3174" s="5" t="s">
        <v>32227</v>
      </c>
      <c r="C3174" s="5" t="s">
        <v>32228</v>
      </c>
      <c r="D3174" s="246">
        <v>39918</v>
      </c>
      <c r="E3174" s="5" t="s">
        <v>32229</v>
      </c>
      <c r="F3174" s="26"/>
      <c r="G3174" s="27" t="s">
        <v>2686</v>
      </c>
      <c r="H3174" s="28" t="s">
        <v>2687</v>
      </c>
      <c r="I3174" s="5" t="s">
        <v>233</v>
      </c>
    </row>
    <row r="3175" spans="1:9" ht="51.75" customHeight="1">
      <c r="A3175" s="5">
        <v>6</v>
      </c>
      <c r="B3175" s="5" t="s">
        <v>32230</v>
      </c>
      <c r="C3175" s="5" t="s">
        <v>32231</v>
      </c>
      <c r="D3175" s="246">
        <v>39918</v>
      </c>
      <c r="E3175" s="5" t="s">
        <v>32232</v>
      </c>
      <c r="F3175" s="26"/>
      <c r="G3175" s="27" t="s">
        <v>2686</v>
      </c>
      <c r="H3175" s="28" t="s">
        <v>2687</v>
      </c>
      <c r="I3175" s="5" t="s">
        <v>233</v>
      </c>
    </row>
    <row r="3176" spans="1:9" ht="51.75" customHeight="1">
      <c r="A3176" s="5">
        <v>1</v>
      </c>
      <c r="B3176" s="5" t="s">
        <v>32233</v>
      </c>
      <c r="C3176" s="5" t="s">
        <v>32234</v>
      </c>
      <c r="D3176" s="246">
        <v>39945</v>
      </c>
      <c r="E3176" s="5" t="s">
        <v>32235</v>
      </c>
      <c r="F3176" s="26"/>
      <c r="G3176" s="27" t="s">
        <v>2676</v>
      </c>
      <c r="H3176" s="28" t="s">
        <v>2677</v>
      </c>
      <c r="I3176" s="5" t="s">
        <v>233</v>
      </c>
    </row>
    <row r="3177" spans="1:9" ht="51.75" customHeight="1">
      <c r="A3177" s="5">
        <v>2</v>
      </c>
      <c r="B3177" s="5" t="s">
        <v>32236</v>
      </c>
      <c r="C3177" s="5" t="s">
        <v>32237</v>
      </c>
      <c r="D3177" s="246">
        <v>39945</v>
      </c>
      <c r="E3177" s="5" t="s">
        <v>32238</v>
      </c>
      <c r="F3177" s="26"/>
      <c r="G3177" s="27" t="s">
        <v>2676</v>
      </c>
      <c r="H3177" s="28" t="s">
        <v>2677</v>
      </c>
      <c r="I3177" s="5" t="s">
        <v>233</v>
      </c>
    </row>
    <row r="3178" spans="1:9" ht="51.75" customHeight="1">
      <c r="A3178" s="5">
        <v>3</v>
      </c>
      <c r="B3178" s="5" t="s">
        <v>32239</v>
      </c>
      <c r="C3178" s="5" t="s">
        <v>32240</v>
      </c>
      <c r="D3178" s="246">
        <v>39945</v>
      </c>
      <c r="E3178" s="5" t="s">
        <v>32241</v>
      </c>
      <c r="F3178" s="26"/>
      <c r="G3178" s="27" t="s">
        <v>2676</v>
      </c>
      <c r="H3178" s="28" t="s">
        <v>2677</v>
      </c>
      <c r="I3178" s="5" t="s">
        <v>233</v>
      </c>
    </row>
    <row r="3179" spans="1:9" ht="51.75" customHeight="1">
      <c r="A3179" s="5">
        <v>1</v>
      </c>
      <c r="B3179" s="5" t="s">
        <v>32242</v>
      </c>
      <c r="C3179" s="5" t="s">
        <v>32243</v>
      </c>
      <c r="D3179" s="246">
        <v>39864</v>
      </c>
      <c r="E3179" s="5" t="s">
        <v>32244</v>
      </c>
      <c r="F3179" s="26"/>
      <c r="G3179" s="27" t="s">
        <v>2641</v>
      </c>
      <c r="H3179" s="28" t="s">
        <v>2642</v>
      </c>
      <c r="I3179" s="5" t="s">
        <v>233</v>
      </c>
    </row>
    <row r="3180" spans="1:9" ht="51.75" customHeight="1">
      <c r="A3180" s="5">
        <v>2</v>
      </c>
      <c r="B3180" s="5" t="s">
        <v>32245</v>
      </c>
      <c r="C3180" s="5" t="s">
        <v>32246</v>
      </c>
      <c r="D3180" s="246">
        <v>39864</v>
      </c>
      <c r="E3180" s="5" t="s">
        <v>32247</v>
      </c>
      <c r="F3180" s="26"/>
      <c r="G3180" s="27" t="s">
        <v>2641</v>
      </c>
      <c r="H3180" s="28" t="s">
        <v>2642</v>
      </c>
      <c r="I3180" s="5" t="s">
        <v>233</v>
      </c>
    </row>
    <row r="3181" spans="1:9" ht="51.75" customHeight="1">
      <c r="A3181" s="5">
        <v>3</v>
      </c>
      <c r="B3181" s="5" t="s">
        <v>32248</v>
      </c>
      <c r="C3181" s="5" t="s">
        <v>32249</v>
      </c>
      <c r="D3181" s="246">
        <v>39864</v>
      </c>
      <c r="E3181" s="5" t="s">
        <v>32250</v>
      </c>
      <c r="F3181" s="26"/>
      <c r="G3181" s="27" t="s">
        <v>2641</v>
      </c>
      <c r="H3181" s="28" t="s">
        <v>2642</v>
      </c>
      <c r="I3181" s="5" t="s">
        <v>233</v>
      </c>
    </row>
    <row r="3182" spans="1:9" ht="51.75" customHeight="1">
      <c r="A3182" s="5">
        <v>4</v>
      </c>
      <c r="B3182" s="5" t="s">
        <v>32251</v>
      </c>
      <c r="C3182" s="5" t="s">
        <v>32252</v>
      </c>
      <c r="D3182" s="246">
        <v>39864</v>
      </c>
      <c r="E3182" s="5" t="s">
        <v>32253</v>
      </c>
      <c r="F3182" s="26"/>
      <c r="G3182" s="27" t="s">
        <v>2641</v>
      </c>
      <c r="H3182" s="28" t="s">
        <v>2642</v>
      </c>
      <c r="I3182" s="5" t="s">
        <v>233</v>
      </c>
    </row>
    <row r="3183" spans="1:9" ht="51.75" customHeight="1">
      <c r="A3183" s="5">
        <v>1</v>
      </c>
      <c r="B3183" s="5" t="s">
        <v>32254</v>
      </c>
      <c r="C3183" s="5" t="s">
        <v>32255</v>
      </c>
      <c r="D3183" s="246">
        <v>39961</v>
      </c>
      <c r="E3183" s="5" t="s">
        <v>32256</v>
      </c>
      <c r="F3183" s="26"/>
      <c r="G3183" s="27" t="s">
        <v>2619</v>
      </c>
      <c r="H3183" s="28" t="s">
        <v>2620</v>
      </c>
      <c r="I3183" s="5" t="s">
        <v>233</v>
      </c>
    </row>
    <row r="3184" spans="1:9" ht="51.75" customHeight="1">
      <c r="A3184" s="5">
        <v>2</v>
      </c>
      <c r="B3184" s="5" t="s">
        <v>32257</v>
      </c>
      <c r="C3184" s="5" t="s">
        <v>32258</v>
      </c>
      <c r="D3184" s="246">
        <v>39961</v>
      </c>
      <c r="E3184" s="5" t="s">
        <v>32259</v>
      </c>
      <c r="F3184" s="26"/>
      <c r="G3184" s="27" t="s">
        <v>2619</v>
      </c>
      <c r="H3184" s="28" t="s">
        <v>2620</v>
      </c>
      <c r="I3184" s="5" t="s">
        <v>233</v>
      </c>
    </row>
    <row r="3185" spans="1:9" ht="51.75" customHeight="1">
      <c r="A3185" s="5">
        <v>3</v>
      </c>
      <c r="B3185" s="5" t="s">
        <v>32260</v>
      </c>
      <c r="C3185" s="5" t="s">
        <v>32261</v>
      </c>
      <c r="D3185" s="246">
        <v>39961</v>
      </c>
      <c r="E3185" s="5" t="s">
        <v>32262</v>
      </c>
      <c r="F3185" s="26"/>
      <c r="G3185" s="27" t="s">
        <v>2619</v>
      </c>
      <c r="H3185" s="28" t="s">
        <v>2620</v>
      </c>
      <c r="I3185" s="5" t="s">
        <v>233</v>
      </c>
    </row>
    <row r="3186" spans="1:9" ht="51.75" customHeight="1">
      <c r="A3186" s="5">
        <v>4</v>
      </c>
      <c r="B3186" s="5" t="s">
        <v>32263</v>
      </c>
      <c r="C3186" s="5" t="s">
        <v>32264</v>
      </c>
      <c r="D3186" s="246">
        <v>39961</v>
      </c>
      <c r="E3186" s="5" t="s">
        <v>32265</v>
      </c>
      <c r="F3186" s="26"/>
      <c r="G3186" s="27" t="s">
        <v>2619</v>
      </c>
      <c r="H3186" s="28" t="s">
        <v>2620</v>
      </c>
      <c r="I3186" s="5" t="s">
        <v>233</v>
      </c>
    </row>
    <row r="3187" spans="1:9" ht="51.75" customHeight="1">
      <c r="A3187" s="5">
        <v>5</v>
      </c>
      <c r="B3187" s="5" t="s">
        <v>32266</v>
      </c>
      <c r="C3187" s="5" t="s">
        <v>32267</v>
      </c>
      <c r="D3187" s="246">
        <v>39961</v>
      </c>
      <c r="E3187" s="5" t="s">
        <v>32268</v>
      </c>
      <c r="F3187" s="26"/>
      <c r="G3187" s="27" t="s">
        <v>2619</v>
      </c>
      <c r="H3187" s="28" t="s">
        <v>2620</v>
      </c>
      <c r="I3187" s="5" t="s">
        <v>233</v>
      </c>
    </row>
    <row r="3188" spans="1:9" ht="51.75" customHeight="1">
      <c r="A3188" s="5">
        <v>6</v>
      </c>
      <c r="B3188" s="5" t="s">
        <v>32269</v>
      </c>
      <c r="C3188" s="5" t="s">
        <v>32270</v>
      </c>
      <c r="D3188" s="246">
        <v>39961</v>
      </c>
      <c r="E3188" s="5" t="s">
        <v>32271</v>
      </c>
      <c r="F3188" s="26"/>
      <c r="G3188" s="27" t="s">
        <v>2619</v>
      </c>
      <c r="H3188" s="28" t="s">
        <v>2620</v>
      </c>
      <c r="I3188" s="5" t="s">
        <v>233</v>
      </c>
    </row>
    <row r="3189" spans="1:9" ht="51.75" customHeight="1">
      <c r="A3189" s="5">
        <v>7</v>
      </c>
      <c r="B3189" s="5" t="s">
        <v>32272</v>
      </c>
      <c r="C3189" s="5" t="s">
        <v>32273</v>
      </c>
      <c r="D3189" s="246">
        <v>39961</v>
      </c>
      <c r="E3189" s="5" t="s">
        <v>32274</v>
      </c>
      <c r="F3189" s="26"/>
      <c r="G3189" s="27" t="s">
        <v>2619</v>
      </c>
      <c r="H3189" s="28" t="s">
        <v>2620</v>
      </c>
      <c r="I3189" s="5" t="s">
        <v>233</v>
      </c>
    </row>
    <row r="3190" spans="1:9" ht="51.75" customHeight="1">
      <c r="A3190" s="5">
        <v>8</v>
      </c>
      <c r="B3190" s="5" t="s">
        <v>32275</v>
      </c>
      <c r="C3190" s="5" t="s">
        <v>32276</v>
      </c>
      <c r="D3190" s="246">
        <v>39961</v>
      </c>
      <c r="E3190" s="5" t="s">
        <v>32277</v>
      </c>
      <c r="F3190" s="26"/>
      <c r="G3190" s="27" t="s">
        <v>2619</v>
      </c>
      <c r="H3190" s="28" t="s">
        <v>2620</v>
      </c>
      <c r="I3190" s="5" t="s">
        <v>233</v>
      </c>
    </row>
    <row r="3191" spans="1:9" ht="51.75" customHeight="1">
      <c r="A3191" s="5">
        <v>9</v>
      </c>
      <c r="B3191" s="5" t="s">
        <v>32278</v>
      </c>
      <c r="C3191" s="5" t="s">
        <v>32279</v>
      </c>
      <c r="D3191" s="246">
        <v>39961</v>
      </c>
      <c r="E3191" s="5" t="s">
        <v>32280</v>
      </c>
      <c r="F3191" s="26"/>
      <c r="G3191" s="27" t="s">
        <v>2619</v>
      </c>
      <c r="H3191" s="28" t="s">
        <v>2620</v>
      </c>
      <c r="I3191" s="5" t="s">
        <v>233</v>
      </c>
    </row>
    <row r="3192" spans="1:9" ht="51.75" customHeight="1">
      <c r="A3192" s="5">
        <v>10</v>
      </c>
      <c r="B3192" s="5" t="s">
        <v>32281</v>
      </c>
      <c r="C3192" s="5" t="s">
        <v>32282</v>
      </c>
      <c r="D3192" s="246">
        <v>39961</v>
      </c>
      <c r="E3192" s="5" t="s">
        <v>32283</v>
      </c>
      <c r="F3192" s="26"/>
      <c r="G3192" s="27" t="s">
        <v>2619</v>
      </c>
      <c r="H3192" s="28" t="s">
        <v>2620</v>
      </c>
      <c r="I3192" s="5" t="s">
        <v>233</v>
      </c>
    </row>
    <row r="3193" spans="1:9" ht="51.75" customHeight="1">
      <c r="A3193" s="5">
        <v>1</v>
      </c>
      <c r="B3193" s="5" t="s">
        <v>32284</v>
      </c>
      <c r="C3193" s="5" t="s">
        <v>32285</v>
      </c>
      <c r="D3193" s="246">
        <v>39682</v>
      </c>
      <c r="E3193" s="5" t="s">
        <v>32286</v>
      </c>
      <c r="F3193" s="26"/>
      <c r="G3193" s="27" t="s">
        <v>2573</v>
      </c>
      <c r="H3193" s="28" t="s">
        <v>2574</v>
      </c>
      <c r="I3193" s="5" t="s">
        <v>233</v>
      </c>
    </row>
    <row r="3194" spans="1:9" ht="51.75" customHeight="1">
      <c r="A3194" s="5">
        <v>1</v>
      </c>
      <c r="B3194" s="5" t="s">
        <v>32287</v>
      </c>
      <c r="C3194" s="5" t="s">
        <v>32288</v>
      </c>
      <c r="D3194" s="246">
        <v>39847</v>
      </c>
      <c r="E3194" s="5" t="s">
        <v>32289</v>
      </c>
      <c r="F3194" s="26"/>
      <c r="G3194" s="27" t="s">
        <v>2510</v>
      </c>
      <c r="H3194" s="28" t="s">
        <v>2511</v>
      </c>
      <c r="I3194" s="5" t="s">
        <v>233</v>
      </c>
    </row>
    <row r="3195" spans="1:9" ht="51.75" customHeight="1">
      <c r="A3195" s="5">
        <v>2</v>
      </c>
      <c r="B3195" s="5" t="s">
        <v>32290</v>
      </c>
      <c r="C3195" s="5" t="s">
        <v>32291</v>
      </c>
      <c r="D3195" s="246">
        <v>39847</v>
      </c>
      <c r="E3195" s="5" t="s">
        <v>32292</v>
      </c>
      <c r="F3195" s="26"/>
      <c r="G3195" s="27" t="s">
        <v>2510</v>
      </c>
      <c r="H3195" s="28" t="s">
        <v>2511</v>
      </c>
      <c r="I3195" s="5" t="s">
        <v>233</v>
      </c>
    </row>
    <row r="3196" spans="1:9" ht="51.75" customHeight="1">
      <c r="A3196" s="5">
        <v>3</v>
      </c>
      <c r="B3196" s="5" t="s">
        <v>32293</v>
      </c>
      <c r="C3196" s="5" t="s">
        <v>32294</v>
      </c>
      <c r="D3196" s="246">
        <v>39847</v>
      </c>
      <c r="E3196" s="5" t="s">
        <v>32295</v>
      </c>
      <c r="F3196" s="26"/>
      <c r="G3196" s="27" t="s">
        <v>2510</v>
      </c>
      <c r="H3196" s="28" t="s">
        <v>2511</v>
      </c>
      <c r="I3196" s="5" t="s">
        <v>233</v>
      </c>
    </row>
    <row r="3197" spans="1:9" ht="51.75" customHeight="1">
      <c r="A3197" s="5">
        <v>4</v>
      </c>
      <c r="B3197" s="5" t="s">
        <v>32296</v>
      </c>
      <c r="C3197" s="5" t="s">
        <v>32297</v>
      </c>
      <c r="D3197" s="246">
        <v>39847</v>
      </c>
      <c r="E3197" s="5" t="s">
        <v>32298</v>
      </c>
      <c r="F3197" s="26"/>
      <c r="G3197" s="27" t="s">
        <v>2510</v>
      </c>
      <c r="H3197" s="28" t="s">
        <v>2511</v>
      </c>
      <c r="I3197" s="5" t="s">
        <v>233</v>
      </c>
    </row>
    <row r="3198" spans="1:9" ht="51.75" customHeight="1">
      <c r="A3198" s="5">
        <v>1</v>
      </c>
      <c r="B3198" s="5" t="s">
        <v>32299</v>
      </c>
      <c r="C3198" s="5" t="s">
        <v>32300</v>
      </c>
      <c r="D3198" s="246">
        <v>39832</v>
      </c>
      <c r="E3198" s="5" t="s">
        <v>32301</v>
      </c>
      <c r="F3198" s="26"/>
      <c r="G3198" s="27" t="s">
        <v>2504</v>
      </c>
      <c r="H3198" s="28" t="s">
        <v>2505</v>
      </c>
      <c r="I3198" s="5" t="s">
        <v>233</v>
      </c>
    </row>
    <row r="3199" spans="1:9" ht="51.75" customHeight="1">
      <c r="A3199" s="5">
        <v>2</v>
      </c>
      <c r="B3199" s="5" t="s">
        <v>32302</v>
      </c>
      <c r="C3199" s="5" t="s">
        <v>32303</v>
      </c>
      <c r="D3199" s="246">
        <v>39832</v>
      </c>
      <c r="E3199" s="5" t="s">
        <v>32304</v>
      </c>
      <c r="F3199" s="26"/>
      <c r="G3199" s="27" t="s">
        <v>2504</v>
      </c>
      <c r="H3199" s="28" t="s">
        <v>2505</v>
      </c>
      <c r="I3199" s="5" t="s">
        <v>233</v>
      </c>
    </row>
    <row r="3200" spans="1:9" ht="51.75" customHeight="1">
      <c r="A3200" s="5">
        <v>3</v>
      </c>
      <c r="B3200" s="5" t="s">
        <v>32305</v>
      </c>
      <c r="C3200" s="5" t="s">
        <v>32306</v>
      </c>
      <c r="D3200" s="246">
        <v>39832</v>
      </c>
      <c r="E3200" s="5" t="s">
        <v>32307</v>
      </c>
      <c r="F3200" s="26"/>
      <c r="G3200" s="27" t="s">
        <v>2504</v>
      </c>
      <c r="H3200" s="28" t="s">
        <v>2505</v>
      </c>
      <c r="I3200" s="5" t="s">
        <v>233</v>
      </c>
    </row>
    <row r="3201" spans="1:9" ht="51.75" customHeight="1">
      <c r="A3201" s="5">
        <v>4</v>
      </c>
      <c r="B3201" s="5" t="s">
        <v>32308</v>
      </c>
      <c r="C3201" s="5" t="s">
        <v>32309</v>
      </c>
      <c r="D3201" s="246">
        <v>39832</v>
      </c>
      <c r="E3201" s="5" t="s">
        <v>32310</v>
      </c>
      <c r="F3201" s="26"/>
      <c r="G3201" s="27" t="s">
        <v>2504</v>
      </c>
      <c r="H3201" s="28" t="s">
        <v>2505</v>
      </c>
      <c r="I3201" s="5" t="s">
        <v>233</v>
      </c>
    </row>
    <row r="3202" spans="1:9" ht="51.75" customHeight="1">
      <c r="A3202" s="5">
        <v>5</v>
      </c>
      <c r="B3202" s="5" t="s">
        <v>32311</v>
      </c>
      <c r="C3202" s="5" t="s">
        <v>32312</v>
      </c>
      <c r="D3202" s="246">
        <v>39832</v>
      </c>
      <c r="E3202" s="5" t="s">
        <v>32313</v>
      </c>
      <c r="F3202" s="26"/>
      <c r="G3202" s="27" t="s">
        <v>2504</v>
      </c>
      <c r="H3202" s="28" t="s">
        <v>2505</v>
      </c>
      <c r="I3202" s="5" t="s">
        <v>233</v>
      </c>
    </row>
    <row r="3203" spans="1:9" ht="51.75" customHeight="1">
      <c r="A3203" s="5">
        <v>1</v>
      </c>
      <c r="B3203" s="5" t="s">
        <v>32314</v>
      </c>
      <c r="C3203" s="5" t="s">
        <v>32315</v>
      </c>
      <c r="D3203" s="246">
        <v>39748</v>
      </c>
      <c r="E3203" s="5" t="s">
        <v>32316</v>
      </c>
      <c r="F3203" s="26"/>
      <c r="G3203" s="27" t="s">
        <v>2534</v>
      </c>
      <c r="H3203" s="28" t="s">
        <v>2535</v>
      </c>
      <c r="I3203" s="5" t="s">
        <v>233</v>
      </c>
    </row>
    <row r="3204" spans="1:9" ht="51.75" customHeight="1">
      <c r="A3204" s="5">
        <v>2</v>
      </c>
      <c r="B3204" s="5" t="s">
        <v>32317</v>
      </c>
      <c r="C3204" s="5" t="s">
        <v>32318</v>
      </c>
      <c r="D3204" s="246">
        <v>39748</v>
      </c>
      <c r="E3204" s="5" t="s">
        <v>32319</v>
      </c>
      <c r="F3204" s="26"/>
      <c r="G3204" s="27" t="s">
        <v>2534</v>
      </c>
      <c r="H3204" s="28" t="s">
        <v>2535</v>
      </c>
      <c r="I3204" s="5" t="s">
        <v>233</v>
      </c>
    </row>
    <row r="3205" spans="1:9" ht="51.75" customHeight="1">
      <c r="A3205" s="5">
        <v>3</v>
      </c>
      <c r="B3205" s="5" t="s">
        <v>32320</v>
      </c>
      <c r="C3205" s="5" t="s">
        <v>32321</v>
      </c>
      <c r="D3205" s="246">
        <v>39748</v>
      </c>
      <c r="E3205" s="5" t="s">
        <v>32322</v>
      </c>
      <c r="F3205" s="26"/>
      <c r="G3205" s="27" t="s">
        <v>2534</v>
      </c>
      <c r="H3205" s="28" t="s">
        <v>2535</v>
      </c>
      <c r="I3205" s="5" t="s">
        <v>233</v>
      </c>
    </row>
    <row r="3206" spans="1:9" ht="51.75" customHeight="1">
      <c r="A3206" s="5">
        <v>4</v>
      </c>
      <c r="B3206" s="5" t="s">
        <v>32323</v>
      </c>
      <c r="C3206" s="5" t="s">
        <v>32324</v>
      </c>
      <c r="D3206" s="246">
        <v>39748</v>
      </c>
      <c r="E3206" s="5" t="s">
        <v>32325</v>
      </c>
      <c r="F3206" s="26"/>
      <c r="G3206" s="27" t="s">
        <v>2534</v>
      </c>
      <c r="H3206" s="28" t="s">
        <v>2535</v>
      </c>
      <c r="I3206" s="5" t="s">
        <v>233</v>
      </c>
    </row>
    <row r="3207" spans="1:9" ht="51.75" customHeight="1">
      <c r="A3207" s="5">
        <v>1</v>
      </c>
      <c r="B3207" s="5" t="s">
        <v>32326</v>
      </c>
      <c r="C3207" s="5" t="s">
        <v>32327</v>
      </c>
      <c r="D3207" s="246">
        <v>39947</v>
      </c>
      <c r="E3207" s="5" t="s">
        <v>32328</v>
      </c>
      <c r="F3207" s="26"/>
      <c r="G3207" s="27" t="s">
        <v>2524</v>
      </c>
      <c r="H3207" s="28" t="s">
        <v>2525</v>
      </c>
      <c r="I3207" s="5" t="s">
        <v>233</v>
      </c>
    </row>
    <row r="3208" spans="1:9" ht="51.75" customHeight="1">
      <c r="A3208" s="5">
        <v>2</v>
      </c>
      <c r="B3208" s="5" t="s">
        <v>32329</v>
      </c>
      <c r="C3208" s="5" t="s">
        <v>32330</v>
      </c>
      <c r="D3208" s="246">
        <v>39947</v>
      </c>
      <c r="E3208" s="5" t="s">
        <v>32331</v>
      </c>
      <c r="F3208" s="26"/>
      <c r="G3208" s="27" t="s">
        <v>2524</v>
      </c>
      <c r="H3208" s="28" t="s">
        <v>2525</v>
      </c>
      <c r="I3208" s="5" t="s">
        <v>233</v>
      </c>
    </row>
    <row r="3209" spans="1:9" ht="51.75" customHeight="1">
      <c r="A3209" s="5">
        <v>3</v>
      </c>
      <c r="B3209" s="5" t="s">
        <v>32332</v>
      </c>
      <c r="C3209" s="5" t="s">
        <v>32333</v>
      </c>
      <c r="D3209" s="246">
        <v>39947</v>
      </c>
      <c r="E3209" s="5" t="s">
        <v>32334</v>
      </c>
      <c r="F3209" s="26"/>
      <c r="G3209" s="27" t="s">
        <v>2524</v>
      </c>
      <c r="H3209" s="28" t="s">
        <v>2525</v>
      </c>
      <c r="I3209" s="5" t="s">
        <v>233</v>
      </c>
    </row>
    <row r="3210" spans="1:9" ht="51.75" customHeight="1">
      <c r="A3210" s="5">
        <v>4</v>
      </c>
      <c r="B3210" s="5" t="s">
        <v>32335</v>
      </c>
      <c r="C3210" s="5" t="s">
        <v>32336</v>
      </c>
      <c r="D3210" s="246">
        <v>39947</v>
      </c>
      <c r="E3210" s="5" t="s">
        <v>32337</v>
      </c>
      <c r="F3210" s="26"/>
      <c r="G3210" s="27" t="s">
        <v>2524</v>
      </c>
      <c r="H3210" s="28" t="s">
        <v>2525</v>
      </c>
      <c r="I3210" s="5" t="s">
        <v>233</v>
      </c>
    </row>
    <row r="3211" spans="1:9" ht="51.75" customHeight="1">
      <c r="A3211" s="5">
        <v>5</v>
      </c>
      <c r="B3211" s="5" t="s">
        <v>32338</v>
      </c>
      <c r="C3211" s="5" t="s">
        <v>32339</v>
      </c>
      <c r="D3211" s="246">
        <v>39947</v>
      </c>
      <c r="E3211" s="5" t="s">
        <v>32340</v>
      </c>
      <c r="F3211" s="26"/>
      <c r="G3211" s="27" t="s">
        <v>2524</v>
      </c>
      <c r="H3211" s="28" t="s">
        <v>2525</v>
      </c>
      <c r="I3211" s="5" t="s">
        <v>233</v>
      </c>
    </row>
    <row r="3212" spans="1:9" ht="51.75" customHeight="1">
      <c r="A3212" s="5">
        <v>6</v>
      </c>
      <c r="B3212" s="5" t="s">
        <v>32341</v>
      </c>
      <c r="C3212" s="5" t="s">
        <v>32342</v>
      </c>
      <c r="D3212" s="246">
        <v>39947</v>
      </c>
      <c r="E3212" s="5" t="s">
        <v>32343</v>
      </c>
      <c r="F3212" s="26"/>
      <c r="G3212" s="27" t="s">
        <v>2524</v>
      </c>
      <c r="H3212" s="28" t="s">
        <v>2525</v>
      </c>
      <c r="I3212" s="5" t="s">
        <v>233</v>
      </c>
    </row>
    <row r="3213" spans="1:9" ht="51.75" customHeight="1">
      <c r="A3213" s="5">
        <v>7</v>
      </c>
      <c r="B3213" s="5" t="s">
        <v>32344</v>
      </c>
      <c r="C3213" s="5" t="s">
        <v>32345</v>
      </c>
      <c r="D3213" s="246">
        <v>39947</v>
      </c>
      <c r="E3213" s="5" t="s">
        <v>32346</v>
      </c>
      <c r="F3213" s="26"/>
      <c r="G3213" s="27" t="s">
        <v>2524</v>
      </c>
      <c r="H3213" s="28" t="s">
        <v>2525</v>
      </c>
      <c r="I3213" s="5" t="s">
        <v>233</v>
      </c>
    </row>
    <row r="3214" spans="1:9" ht="51.75" customHeight="1">
      <c r="A3214" s="5">
        <v>8</v>
      </c>
      <c r="B3214" s="5" t="s">
        <v>32347</v>
      </c>
      <c r="C3214" s="5" t="s">
        <v>32348</v>
      </c>
      <c r="D3214" s="246">
        <v>39947</v>
      </c>
      <c r="E3214" s="5" t="s">
        <v>32349</v>
      </c>
      <c r="F3214" s="26"/>
      <c r="G3214" s="27" t="s">
        <v>2524</v>
      </c>
      <c r="H3214" s="28" t="s">
        <v>2525</v>
      </c>
      <c r="I3214" s="5" t="s">
        <v>233</v>
      </c>
    </row>
    <row r="3215" spans="1:9" ht="51.75" customHeight="1">
      <c r="A3215" s="5">
        <v>9</v>
      </c>
      <c r="B3215" s="5" t="s">
        <v>32350</v>
      </c>
      <c r="C3215" s="5" t="s">
        <v>32351</v>
      </c>
      <c r="D3215" s="246">
        <v>39947</v>
      </c>
      <c r="E3215" s="5" t="s">
        <v>32352</v>
      </c>
      <c r="F3215" s="26"/>
      <c r="G3215" s="27" t="s">
        <v>2524</v>
      </c>
      <c r="H3215" s="28" t="s">
        <v>2525</v>
      </c>
      <c r="I3215" s="5" t="s">
        <v>233</v>
      </c>
    </row>
    <row r="3216" spans="1:9" ht="51.75" customHeight="1">
      <c r="A3216" s="5">
        <v>1</v>
      </c>
      <c r="B3216" s="5" t="s">
        <v>32353</v>
      </c>
      <c r="C3216" s="5" t="s">
        <v>32354</v>
      </c>
      <c r="D3216" s="246">
        <v>39891</v>
      </c>
      <c r="E3216" s="5" t="s">
        <v>32355</v>
      </c>
      <c r="F3216" s="26"/>
      <c r="G3216" s="27" t="s">
        <v>2399</v>
      </c>
      <c r="H3216" s="28" t="s">
        <v>2400</v>
      </c>
      <c r="I3216" s="5" t="s">
        <v>233</v>
      </c>
    </row>
    <row r="3217" spans="1:9" ht="51.75" customHeight="1">
      <c r="A3217" s="5">
        <v>2</v>
      </c>
      <c r="B3217" s="5" t="s">
        <v>32356</v>
      </c>
      <c r="C3217" s="5" t="s">
        <v>32357</v>
      </c>
      <c r="D3217" s="246">
        <v>39891</v>
      </c>
      <c r="E3217" s="5" t="s">
        <v>32358</v>
      </c>
      <c r="F3217" s="26"/>
      <c r="G3217" s="27" t="s">
        <v>2399</v>
      </c>
      <c r="H3217" s="28" t="s">
        <v>2400</v>
      </c>
      <c r="I3217" s="5" t="s">
        <v>233</v>
      </c>
    </row>
    <row r="3218" spans="1:9" ht="51.75" customHeight="1">
      <c r="A3218" s="5">
        <v>3</v>
      </c>
      <c r="B3218" s="5" t="s">
        <v>32359</v>
      </c>
      <c r="C3218" s="5" t="s">
        <v>32360</v>
      </c>
      <c r="D3218" s="246">
        <v>39891</v>
      </c>
      <c r="E3218" s="5" t="s">
        <v>32361</v>
      </c>
      <c r="F3218" s="26"/>
      <c r="G3218" s="27" t="s">
        <v>2399</v>
      </c>
      <c r="H3218" s="28" t="s">
        <v>2400</v>
      </c>
      <c r="I3218" s="5" t="s">
        <v>233</v>
      </c>
    </row>
    <row r="3219" spans="1:9" ht="51.75" customHeight="1">
      <c r="A3219" s="5">
        <v>4</v>
      </c>
      <c r="B3219" s="5" t="s">
        <v>32362</v>
      </c>
      <c r="C3219" s="5" t="s">
        <v>32363</v>
      </c>
      <c r="D3219" s="246">
        <v>39891</v>
      </c>
      <c r="E3219" s="5" t="s">
        <v>32364</v>
      </c>
      <c r="F3219" s="26"/>
      <c r="G3219" s="27" t="s">
        <v>2399</v>
      </c>
      <c r="H3219" s="28" t="s">
        <v>2400</v>
      </c>
      <c r="I3219" s="5" t="s">
        <v>233</v>
      </c>
    </row>
    <row r="3220" spans="1:9" ht="51.75" customHeight="1">
      <c r="A3220" s="5">
        <v>5</v>
      </c>
      <c r="B3220" s="5" t="s">
        <v>32365</v>
      </c>
      <c r="C3220" s="5" t="s">
        <v>32366</v>
      </c>
      <c r="D3220" s="246">
        <v>39891</v>
      </c>
      <c r="E3220" s="5" t="s">
        <v>32367</v>
      </c>
      <c r="F3220" s="26"/>
      <c r="G3220" s="27" t="s">
        <v>2399</v>
      </c>
      <c r="H3220" s="28" t="s">
        <v>2400</v>
      </c>
      <c r="I3220" s="5" t="s">
        <v>233</v>
      </c>
    </row>
    <row r="3221" spans="1:9" ht="51.75" customHeight="1">
      <c r="A3221" s="5">
        <v>6</v>
      </c>
      <c r="B3221" s="5" t="s">
        <v>32368</v>
      </c>
      <c r="C3221" s="5" t="s">
        <v>32369</v>
      </c>
      <c r="D3221" s="246">
        <v>39891</v>
      </c>
      <c r="E3221" s="5" t="s">
        <v>32370</v>
      </c>
      <c r="F3221" s="26"/>
      <c r="G3221" s="27" t="s">
        <v>2399</v>
      </c>
      <c r="H3221" s="28" t="s">
        <v>2400</v>
      </c>
      <c r="I3221" s="5" t="s">
        <v>233</v>
      </c>
    </row>
    <row r="3222" spans="1:9" ht="51.75" customHeight="1">
      <c r="A3222" s="5">
        <v>7</v>
      </c>
      <c r="B3222" s="5" t="s">
        <v>32371</v>
      </c>
      <c r="C3222" s="5" t="s">
        <v>32372</v>
      </c>
      <c r="D3222" s="246">
        <v>39891</v>
      </c>
      <c r="E3222" s="5" t="s">
        <v>32373</v>
      </c>
      <c r="F3222" s="26"/>
      <c r="G3222" s="27" t="s">
        <v>2399</v>
      </c>
      <c r="H3222" s="28" t="s">
        <v>2400</v>
      </c>
      <c r="I3222" s="5" t="s">
        <v>233</v>
      </c>
    </row>
    <row r="3223" spans="1:9" ht="51.75" customHeight="1">
      <c r="A3223" s="5">
        <v>1</v>
      </c>
      <c r="B3223" s="5" t="s">
        <v>32374</v>
      </c>
      <c r="C3223" s="5" t="s">
        <v>32375</v>
      </c>
      <c r="D3223" s="246">
        <v>39786</v>
      </c>
      <c r="E3223" s="5" t="s">
        <v>32376</v>
      </c>
      <c r="F3223" s="26"/>
      <c r="G3223" s="27" t="s">
        <v>2385</v>
      </c>
      <c r="H3223" s="28" t="s">
        <v>2386</v>
      </c>
      <c r="I3223" s="5" t="s">
        <v>233</v>
      </c>
    </row>
    <row r="3224" spans="1:9" ht="51.75" customHeight="1">
      <c r="A3224" s="5">
        <v>2</v>
      </c>
      <c r="B3224" s="5" t="s">
        <v>32377</v>
      </c>
      <c r="C3224" s="5" t="s">
        <v>32378</v>
      </c>
      <c r="D3224" s="246">
        <v>39786</v>
      </c>
      <c r="E3224" s="5" t="s">
        <v>32379</v>
      </c>
      <c r="F3224" s="26"/>
      <c r="G3224" s="27" t="s">
        <v>2385</v>
      </c>
      <c r="H3224" s="28" t="s">
        <v>2386</v>
      </c>
      <c r="I3224" s="5" t="s">
        <v>233</v>
      </c>
    </row>
    <row r="3225" spans="1:9" ht="51.75" customHeight="1">
      <c r="A3225" s="5">
        <v>3</v>
      </c>
      <c r="B3225" s="5" t="s">
        <v>32380</v>
      </c>
      <c r="C3225" s="5" t="s">
        <v>32381</v>
      </c>
      <c r="D3225" s="246">
        <v>39786</v>
      </c>
      <c r="E3225" s="5" t="s">
        <v>32382</v>
      </c>
      <c r="F3225" s="26"/>
      <c r="G3225" s="27" t="s">
        <v>2385</v>
      </c>
      <c r="H3225" s="28" t="s">
        <v>2386</v>
      </c>
      <c r="I3225" s="5" t="s">
        <v>233</v>
      </c>
    </row>
    <row r="3226" spans="1:9" ht="51.75" customHeight="1">
      <c r="A3226" s="5">
        <v>4</v>
      </c>
      <c r="B3226" s="5" t="s">
        <v>32383</v>
      </c>
      <c r="C3226" s="5" t="s">
        <v>32384</v>
      </c>
      <c r="D3226" s="246">
        <v>39786</v>
      </c>
      <c r="E3226" s="5" t="s">
        <v>32385</v>
      </c>
      <c r="F3226" s="26"/>
      <c r="G3226" s="27" t="s">
        <v>2385</v>
      </c>
      <c r="H3226" s="28" t="s">
        <v>2386</v>
      </c>
      <c r="I3226" s="5" t="s">
        <v>233</v>
      </c>
    </row>
    <row r="3227" spans="1:9" ht="51.75" customHeight="1">
      <c r="A3227" s="5">
        <v>5</v>
      </c>
      <c r="B3227" s="5" t="s">
        <v>32386</v>
      </c>
      <c r="C3227" s="5" t="s">
        <v>32387</v>
      </c>
      <c r="D3227" s="246">
        <v>39786</v>
      </c>
      <c r="E3227" s="5" t="s">
        <v>32388</v>
      </c>
      <c r="F3227" s="26"/>
      <c r="G3227" s="27" t="s">
        <v>2385</v>
      </c>
      <c r="H3227" s="28" t="s">
        <v>2386</v>
      </c>
      <c r="I3227" s="5" t="s">
        <v>233</v>
      </c>
    </row>
    <row r="3228" spans="1:9" ht="51.75" customHeight="1">
      <c r="A3228" s="5">
        <v>1</v>
      </c>
      <c r="B3228" s="5" t="s">
        <v>32389</v>
      </c>
      <c r="C3228" s="5" t="s">
        <v>32390</v>
      </c>
      <c r="D3228" s="246">
        <v>40029</v>
      </c>
      <c r="E3228" s="5" t="s">
        <v>32391</v>
      </c>
      <c r="F3228" s="26"/>
      <c r="G3228" s="27" t="s">
        <v>2328</v>
      </c>
      <c r="H3228" s="28" t="s">
        <v>2329</v>
      </c>
      <c r="I3228" s="5" t="s">
        <v>233</v>
      </c>
    </row>
    <row r="3229" spans="1:9" ht="51.75" customHeight="1">
      <c r="A3229" s="5">
        <v>2</v>
      </c>
      <c r="B3229" s="5" t="s">
        <v>32392</v>
      </c>
      <c r="C3229" s="5" t="s">
        <v>32393</v>
      </c>
      <c r="D3229" s="246">
        <v>40029</v>
      </c>
      <c r="E3229" s="5" t="s">
        <v>32394</v>
      </c>
      <c r="F3229" s="26"/>
      <c r="G3229" s="27" t="s">
        <v>2328</v>
      </c>
      <c r="H3229" s="28" t="s">
        <v>2329</v>
      </c>
      <c r="I3229" s="5" t="s">
        <v>233</v>
      </c>
    </row>
    <row r="3230" spans="1:9" ht="51.75" customHeight="1">
      <c r="A3230" s="5">
        <v>3</v>
      </c>
      <c r="B3230" s="5" t="s">
        <v>32395</v>
      </c>
      <c r="C3230" s="5" t="s">
        <v>32396</v>
      </c>
      <c r="D3230" s="246">
        <v>40029</v>
      </c>
      <c r="E3230" s="5" t="s">
        <v>32397</v>
      </c>
      <c r="F3230" s="26"/>
      <c r="G3230" s="27" t="s">
        <v>2328</v>
      </c>
      <c r="H3230" s="28" t="s">
        <v>2329</v>
      </c>
      <c r="I3230" s="5" t="s">
        <v>233</v>
      </c>
    </row>
    <row r="3231" spans="1:9" ht="51.75" customHeight="1">
      <c r="A3231" s="5">
        <v>4</v>
      </c>
      <c r="B3231" s="5" t="s">
        <v>32398</v>
      </c>
      <c r="C3231" s="5" t="s">
        <v>32399</v>
      </c>
      <c r="D3231" s="246">
        <v>40029</v>
      </c>
      <c r="E3231" s="5" t="s">
        <v>32400</v>
      </c>
      <c r="F3231" s="26"/>
      <c r="G3231" s="27" t="s">
        <v>2328</v>
      </c>
      <c r="H3231" s="28" t="s">
        <v>2329</v>
      </c>
      <c r="I3231" s="5" t="s">
        <v>233</v>
      </c>
    </row>
    <row r="3232" spans="1:9" ht="51.75" customHeight="1">
      <c r="A3232" s="5">
        <v>5</v>
      </c>
      <c r="B3232" s="5" t="s">
        <v>32401</v>
      </c>
      <c r="C3232" s="5" t="s">
        <v>32402</v>
      </c>
      <c r="D3232" s="246">
        <v>40029</v>
      </c>
      <c r="E3232" s="5" t="s">
        <v>32403</v>
      </c>
      <c r="F3232" s="26"/>
      <c r="G3232" s="27" t="s">
        <v>2328</v>
      </c>
      <c r="H3232" s="28" t="s">
        <v>2329</v>
      </c>
      <c r="I3232" s="5" t="s">
        <v>233</v>
      </c>
    </row>
    <row r="3233" spans="1:9" ht="51.75" customHeight="1">
      <c r="A3233" s="5">
        <v>6</v>
      </c>
      <c r="B3233" s="5" t="s">
        <v>32404</v>
      </c>
      <c r="C3233" s="5" t="s">
        <v>32405</v>
      </c>
      <c r="D3233" s="246">
        <v>40029</v>
      </c>
      <c r="E3233" s="5" t="s">
        <v>32406</v>
      </c>
      <c r="F3233" s="26"/>
      <c r="G3233" s="27" t="s">
        <v>2328</v>
      </c>
      <c r="H3233" s="28" t="s">
        <v>2329</v>
      </c>
      <c r="I3233" s="5" t="s">
        <v>233</v>
      </c>
    </row>
    <row r="3234" spans="1:9" ht="51.75" customHeight="1">
      <c r="A3234" s="5">
        <v>7</v>
      </c>
      <c r="B3234" s="5" t="s">
        <v>32407</v>
      </c>
      <c r="C3234" s="5" t="s">
        <v>32408</v>
      </c>
      <c r="D3234" s="246">
        <v>40029</v>
      </c>
      <c r="E3234" s="5" t="s">
        <v>32409</v>
      </c>
      <c r="F3234" s="26"/>
      <c r="G3234" s="27" t="s">
        <v>2328</v>
      </c>
      <c r="H3234" s="28" t="s">
        <v>2329</v>
      </c>
      <c r="I3234" s="5" t="s">
        <v>233</v>
      </c>
    </row>
    <row r="3235" spans="1:9" ht="51.75" customHeight="1">
      <c r="A3235" s="5">
        <v>8</v>
      </c>
      <c r="B3235" s="5" t="s">
        <v>32410</v>
      </c>
      <c r="C3235" s="5" t="s">
        <v>32411</v>
      </c>
      <c r="D3235" s="246">
        <v>40029</v>
      </c>
      <c r="E3235" s="5" t="s">
        <v>32412</v>
      </c>
      <c r="F3235" s="26"/>
      <c r="G3235" s="27" t="s">
        <v>2328</v>
      </c>
      <c r="H3235" s="28" t="s">
        <v>2329</v>
      </c>
      <c r="I3235" s="5" t="s">
        <v>233</v>
      </c>
    </row>
    <row r="3236" spans="1:9" ht="51.75" customHeight="1">
      <c r="A3236" s="5">
        <v>9</v>
      </c>
      <c r="B3236" s="5" t="s">
        <v>32413</v>
      </c>
      <c r="C3236" s="5" t="s">
        <v>32414</v>
      </c>
      <c r="D3236" s="246">
        <v>40029</v>
      </c>
      <c r="E3236" s="5" t="s">
        <v>32415</v>
      </c>
      <c r="F3236" s="26"/>
      <c r="G3236" s="27" t="s">
        <v>2328</v>
      </c>
      <c r="H3236" s="28" t="s">
        <v>2329</v>
      </c>
      <c r="I3236" s="5" t="s">
        <v>233</v>
      </c>
    </row>
    <row r="3237" spans="1:9" ht="51.75" customHeight="1">
      <c r="A3237" s="5">
        <v>1</v>
      </c>
      <c r="B3237" s="5" t="s">
        <v>32416</v>
      </c>
      <c r="C3237" s="5" t="s">
        <v>32417</v>
      </c>
      <c r="D3237" s="246">
        <v>39961</v>
      </c>
      <c r="E3237" s="5" t="s">
        <v>32418</v>
      </c>
      <c r="F3237" s="26"/>
      <c r="G3237" s="27" t="s">
        <v>2313</v>
      </c>
      <c r="H3237" s="28" t="s">
        <v>2314</v>
      </c>
      <c r="I3237" s="5" t="s">
        <v>233</v>
      </c>
    </row>
    <row r="3238" spans="1:9" ht="51.75" customHeight="1">
      <c r="A3238" s="5">
        <v>2</v>
      </c>
      <c r="B3238" s="5" t="s">
        <v>32419</v>
      </c>
      <c r="C3238" s="5" t="s">
        <v>32417</v>
      </c>
      <c r="D3238" s="246">
        <v>39961</v>
      </c>
      <c r="E3238" s="5" t="s">
        <v>32420</v>
      </c>
      <c r="F3238" s="26"/>
      <c r="G3238" s="27" t="s">
        <v>2313</v>
      </c>
      <c r="H3238" s="28" t="s">
        <v>2314</v>
      </c>
      <c r="I3238" s="5" t="s">
        <v>233</v>
      </c>
    </row>
    <row r="3239" spans="1:9" ht="51.75" customHeight="1">
      <c r="A3239" s="5">
        <v>3</v>
      </c>
      <c r="B3239" s="5" t="s">
        <v>32421</v>
      </c>
      <c r="C3239" s="5" t="s">
        <v>32422</v>
      </c>
      <c r="D3239" s="246">
        <v>39961</v>
      </c>
      <c r="E3239" s="5" t="s">
        <v>32423</v>
      </c>
      <c r="F3239" s="26"/>
      <c r="G3239" s="27" t="s">
        <v>2313</v>
      </c>
      <c r="H3239" s="28" t="s">
        <v>2314</v>
      </c>
      <c r="I3239" s="5" t="s">
        <v>233</v>
      </c>
    </row>
    <row r="3240" spans="1:9" ht="51.75" customHeight="1">
      <c r="A3240" s="5">
        <v>4</v>
      </c>
      <c r="B3240" s="5" t="s">
        <v>32424</v>
      </c>
      <c r="C3240" s="5" t="s">
        <v>32425</v>
      </c>
      <c r="D3240" s="246">
        <v>39961</v>
      </c>
      <c r="E3240" s="5" t="s">
        <v>32426</v>
      </c>
      <c r="F3240" s="26"/>
      <c r="G3240" s="27" t="s">
        <v>2313</v>
      </c>
      <c r="H3240" s="28" t="s">
        <v>2314</v>
      </c>
      <c r="I3240" s="5" t="s">
        <v>233</v>
      </c>
    </row>
    <row r="3241" spans="1:9" ht="51.75" customHeight="1">
      <c r="A3241" s="5">
        <v>5</v>
      </c>
      <c r="B3241" s="5" t="s">
        <v>32427</v>
      </c>
      <c r="C3241" s="5" t="s">
        <v>32428</v>
      </c>
      <c r="D3241" s="246">
        <v>39961</v>
      </c>
      <c r="E3241" s="5" t="s">
        <v>32429</v>
      </c>
      <c r="F3241" s="26"/>
      <c r="G3241" s="27" t="s">
        <v>2313</v>
      </c>
      <c r="H3241" s="28" t="s">
        <v>2314</v>
      </c>
      <c r="I3241" s="5" t="s">
        <v>233</v>
      </c>
    </row>
    <row r="3242" spans="1:9" ht="51.75" customHeight="1">
      <c r="A3242" s="5">
        <v>6</v>
      </c>
      <c r="B3242" s="5" t="s">
        <v>32430</v>
      </c>
      <c r="C3242" s="5" t="s">
        <v>32431</v>
      </c>
      <c r="D3242" s="246">
        <v>39961</v>
      </c>
      <c r="E3242" s="5" t="s">
        <v>32432</v>
      </c>
      <c r="F3242" s="26"/>
      <c r="G3242" s="27" t="s">
        <v>2313</v>
      </c>
      <c r="H3242" s="28" t="s">
        <v>2314</v>
      </c>
      <c r="I3242" s="5" t="s">
        <v>233</v>
      </c>
    </row>
    <row r="3243" spans="1:9" ht="51.75" customHeight="1">
      <c r="A3243" s="5">
        <v>1</v>
      </c>
      <c r="B3243" s="5" t="s">
        <v>32433</v>
      </c>
      <c r="C3243" s="5" t="s">
        <v>32434</v>
      </c>
      <c r="D3243" s="246">
        <v>39749</v>
      </c>
      <c r="E3243" s="5" t="s">
        <v>32435</v>
      </c>
      <c r="F3243" s="26"/>
      <c r="G3243" s="27" t="s">
        <v>2291</v>
      </c>
      <c r="H3243" s="28" t="s">
        <v>2292</v>
      </c>
      <c r="I3243" s="5" t="s">
        <v>233</v>
      </c>
    </row>
    <row r="3244" spans="1:9" ht="51.75" customHeight="1">
      <c r="A3244" s="5">
        <v>1</v>
      </c>
      <c r="B3244" s="5" t="s">
        <v>32436</v>
      </c>
      <c r="C3244" s="5" t="s">
        <v>32437</v>
      </c>
      <c r="D3244" s="246">
        <v>39822</v>
      </c>
      <c r="E3244" s="5" t="s">
        <v>32438</v>
      </c>
      <c r="F3244" s="26"/>
      <c r="G3244" s="27" t="s">
        <v>2270</v>
      </c>
      <c r="H3244" s="28" t="s">
        <v>2271</v>
      </c>
      <c r="I3244" s="5" t="s">
        <v>233</v>
      </c>
    </row>
    <row r="3245" spans="1:9" ht="51.75" customHeight="1">
      <c r="A3245" s="5">
        <v>2</v>
      </c>
      <c r="B3245" s="5" t="s">
        <v>32439</v>
      </c>
      <c r="C3245" s="5" t="s">
        <v>32440</v>
      </c>
      <c r="D3245" s="246">
        <v>39822</v>
      </c>
      <c r="E3245" s="5" t="s">
        <v>32441</v>
      </c>
      <c r="F3245" s="26"/>
      <c r="G3245" s="27" t="s">
        <v>2270</v>
      </c>
      <c r="H3245" s="28" t="s">
        <v>2271</v>
      </c>
      <c r="I3245" s="5" t="s">
        <v>233</v>
      </c>
    </row>
    <row r="3246" spans="1:9" ht="51.75" customHeight="1">
      <c r="A3246" s="5">
        <v>3</v>
      </c>
      <c r="B3246" s="5" t="s">
        <v>32442</v>
      </c>
      <c r="C3246" s="5" t="s">
        <v>32443</v>
      </c>
      <c r="D3246" s="246">
        <v>39822</v>
      </c>
      <c r="E3246" s="5" t="s">
        <v>32444</v>
      </c>
      <c r="F3246" s="26"/>
      <c r="G3246" s="27" t="s">
        <v>2270</v>
      </c>
      <c r="H3246" s="28" t="s">
        <v>2271</v>
      </c>
      <c r="I3246" s="5" t="s">
        <v>233</v>
      </c>
    </row>
    <row r="3247" spans="1:9" ht="51.75" customHeight="1">
      <c r="A3247" s="5">
        <v>4</v>
      </c>
      <c r="B3247" s="5" t="s">
        <v>32445</v>
      </c>
      <c r="C3247" s="5" t="s">
        <v>32446</v>
      </c>
      <c r="D3247" s="246">
        <v>39822</v>
      </c>
      <c r="E3247" s="5" t="s">
        <v>32447</v>
      </c>
      <c r="F3247" s="26"/>
      <c r="G3247" s="27" t="s">
        <v>2270</v>
      </c>
      <c r="H3247" s="28" t="s">
        <v>2271</v>
      </c>
      <c r="I3247" s="5" t="s">
        <v>233</v>
      </c>
    </row>
    <row r="3248" spans="1:9" ht="51.75" customHeight="1">
      <c r="A3248" s="5">
        <v>5</v>
      </c>
      <c r="B3248" s="5" t="s">
        <v>32448</v>
      </c>
      <c r="C3248" s="5" t="s">
        <v>32449</v>
      </c>
      <c r="D3248" s="246">
        <v>39822</v>
      </c>
      <c r="E3248" s="5" t="s">
        <v>32450</v>
      </c>
      <c r="F3248" s="26"/>
      <c r="G3248" s="27" t="s">
        <v>2270</v>
      </c>
      <c r="H3248" s="28" t="s">
        <v>2271</v>
      </c>
      <c r="I3248" s="5" t="s">
        <v>233</v>
      </c>
    </row>
    <row r="3249" spans="1:9" ht="51.75" customHeight="1">
      <c r="A3249" s="5">
        <v>6</v>
      </c>
      <c r="B3249" s="5" t="s">
        <v>32451</v>
      </c>
      <c r="C3249" s="5" t="s">
        <v>32452</v>
      </c>
      <c r="D3249" s="246">
        <v>39822</v>
      </c>
      <c r="E3249" s="5" t="s">
        <v>32453</v>
      </c>
      <c r="F3249" s="26"/>
      <c r="G3249" s="27" t="s">
        <v>2270</v>
      </c>
      <c r="H3249" s="28" t="s">
        <v>2271</v>
      </c>
      <c r="I3249" s="5" t="s">
        <v>233</v>
      </c>
    </row>
    <row r="3250" spans="1:9" ht="51.75" customHeight="1">
      <c r="A3250" s="5">
        <v>7</v>
      </c>
      <c r="B3250" s="5" t="s">
        <v>32454</v>
      </c>
      <c r="C3250" s="5" t="s">
        <v>32455</v>
      </c>
      <c r="D3250" s="246">
        <v>39822</v>
      </c>
      <c r="E3250" s="5" t="s">
        <v>32456</v>
      </c>
      <c r="F3250" s="26"/>
      <c r="G3250" s="27" t="s">
        <v>2270</v>
      </c>
      <c r="H3250" s="28" t="s">
        <v>2271</v>
      </c>
      <c r="I3250" s="5" t="s">
        <v>233</v>
      </c>
    </row>
    <row r="3251" spans="1:9" ht="51.75" customHeight="1">
      <c r="A3251" s="5">
        <v>8</v>
      </c>
      <c r="B3251" s="5" t="s">
        <v>32457</v>
      </c>
      <c r="C3251" s="5" t="s">
        <v>32458</v>
      </c>
      <c r="D3251" s="246">
        <v>39822</v>
      </c>
      <c r="E3251" s="5" t="s">
        <v>32459</v>
      </c>
      <c r="F3251" s="26"/>
      <c r="G3251" s="27" t="s">
        <v>2270</v>
      </c>
      <c r="H3251" s="28" t="s">
        <v>2271</v>
      </c>
      <c r="I3251" s="5" t="s">
        <v>233</v>
      </c>
    </row>
    <row r="3252" spans="1:9" ht="51.75" customHeight="1">
      <c r="A3252" s="5">
        <v>9</v>
      </c>
      <c r="B3252" s="5" t="s">
        <v>32460</v>
      </c>
      <c r="C3252" s="5" t="s">
        <v>32461</v>
      </c>
      <c r="D3252" s="246">
        <v>39822</v>
      </c>
      <c r="E3252" s="5" t="s">
        <v>32462</v>
      </c>
      <c r="F3252" s="26"/>
      <c r="G3252" s="27" t="s">
        <v>2270</v>
      </c>
      <c r="H3252" s="28" t="s">
        <v>2271</v>
      </c>
      <c r="I3252" s="5" t="s">
        <v>233</v>
      </c>
    </row>
    <row r="3253" spans="1:9" ht="51.75" customHeight="1">
      <c r="A3253" s="5">
        <v>10</v>
      </c>
      <c r="B3253" s="5" t="s">
        <v>32463</v>
      </c>
      <c r="C3253" s="5" t="s">
        <v>32464</v>
      </c>
      <c r="D3253" s="246">
        <v>39822</v>
      </c>
      <c r="E3253" s="5" t="s">
        <v>32465</v>
      </c>
      <c r="F3253" s="26"/>
      <c r="G3253" s="27" t="s">
        <v>2270</v>
      </c>
      <c r="H3253" s="28" t="s">
        <v>2271</v>
      </c>
      <c r="I3253" s="5" t="s">
        <v>233</v>
      </c>
    </row>
    <row r="3254" spans="1:9" ht="51.75" customHeight="1">
      <c r="A3254" s="5">
        <v>1</v>
      </c>
      <c r="B3254" s="5" t="s">
        <v>32466</v>
      </c>
      <c r="C3254" s="5" t="s">
        <v>32467</v>
      </c>
      <c r="D3254" s="246">
        <v>39120</v>
      </c>
      <c r="E3254" s="5" t="s">
        <v>32468</v>
      </c>
      <c r="F3254" s="26"/>
      <c r="G3254" s="27" t="s">
        <v>1492</v>
      </c>
      <c r="H3254" s="28" t="s">
        <v>1493</v>
      </c>
      <c r="I3254" s="5" t="s">
        <v>233</v>
      </c>
    </row>
    <row r="3255" spans="1:9" ht="51.75" customHeight="1">
      <c r="A3255" s="5">
        <v>2</v>
      </c>
      <c r="B3255" s="5" t="s">
        <v>32469</v>
      </c>
      <c r="C3255" s="5" t="s">
        <v>32470</v>
      </c>
      <c r="D3255" s="246">
        <v>39120</v>
      </c>
      <c r="E3255" s="5" t="s">
        <v>32471</v>
      </c>
      <c r="F3255" s="26"/>
      <c r="G3255" s="27" t="s">
        <v>1492</v>
      </c>
      <c r="H3255" s="28" t="s">
        <v>1493</v>
      </c>
      <c r="I3255" s="5" t="s">
        <v>233</v>
      </c>
    </row>
    <row r="3256" spans="1:9" ht="51.75" customHeight="1">
      <c r="A3256" s="5">
        <v>3</v>
      </c>
      <c r="B3256" s="5" t="s">
        <v>32472</v>
      </c>
      <c r="C3256" s="5" t="s">
        <v>32473</v>
      </c>
      <c r="D3256" s="246">
        <v>39120</v>
      </c>
      <c r="E3256" s="5" t="s">
        <v>32474</v>
      </c>
      <c r="F3256" s="26"/>
      <c r="G3256" s="27" t="s">
        <v>1492</v>
      </c>
      <c r="H3256" s="28" t="s">
        <v>1493</v>
      </c>
      <c r="I3256" s="5" t="s">
        <v>233</v>
      </c>
    </row>
    <row r="3257" spans="1:9" ht="51.75" customHeight="1">
      <c r="A3257" s="5">
        <v>4</v>
      </c>
      <c r="B3257" s="5" t="s">
        <v>32475</v>
      </c>
      <c r="C3257" s="5" t="s">
        <v>32476</v>
      </c>
      <c r="D3257" s="246">
        <v>39120</v>
      </c>
      <c r="E3257" s="5" t="s">
        <v>32477</v>
      </c>
      <c r="F3257" s="26"/>
      <c r="G3257" s="27" t="s">
        <v>1492</v>
      </c>
      <c r="H3257" s="28" t="s">
        <v>1493</v>
      </c>
      <c r="I3257" s="5" t="s">
        <v>233</v>
      </c>
    </row>
    <row r="3258" spans="1:9" ht="51.75" customHeight="1">
      <c r="A3258" s="5">
        <v>1</v>
      </c>
      <c r="B3258" s="5" t="s">
        <v>32478</v>
      </c>
      <c r="C3258" s="5" t="s">
        <v>32479</v>
      </c>
      <c r="D3258" s="246">
        <v>39587</v>
      </c>
      <c r="E3258" s="5" t="s">
        <v>32480</v>
      </c>
      <c r="F3258" s="26"/>
      <c r="G3258" s="27" t="s">
        <v>1445</v>
      </c>
      <c r="H3258" s="28" t="s">
        <v>1446</v>
      </c>
      <c r="I3258" s="5" t="s">
        <v>233</v>
      </c>
    </row>
    <row r="3259" spans="1:9" ht="51.75" customHeight="1">
      <c r="A3259" s="5">
        <v>2</v>
      </c>
      <c r="B3259" s="5" t="s">
        <v>32481</v>
      </c>
      <c r="C3259" s="5" t="s">
        <v>32482</v>
      </c>
      <c r="D3259" s="246">
        <v>39587</v>
      </c>
      <c r="E3259" s="5" t="s">
        <v>32483</v>
      </c>
      <c r="F3259" s="26"/>
      <c r="G3259" s="27" t="s">
        <v>1445</v>
      </c>
      <c r="H3259" s="28" t="s">
        <v>1446</v>
      </c>
      <c r="I3259" s="5" t="s">
        <v>233</v>
      </c>
    </row>
    <row r="3260" spans="1:9" ht="51.75" customHeight="1">
      <c r="A3260" s="5">
        <v>3</v>
      </c>
      <c r="B3260" s="5" t="s">
        <v>32484</v>
      </c>
      <c r="C3260" s="5" t="s">
        <v>32485</v>
      </c>
      <c r="D3260" s="246">
        <v>39587</v>
      </c>
      <c r="E3260" s="5" t="s">
        <v>32486</v>
      </c>
      <c r="F3260" s="26"/>
      <c r="G3260" s="27" t="s">
        <v>1445</v>
      </c>
      <c r="H3260" s="28" t="s">
        <v>1446</v>
      </c>
      <c r="I3260" s="5" t="s">
        <v>233</v>
      </c>
    </row>
    <row r="3261" spans="1:9" ht="51.75" customHeight="1">
      <c r="A3261" s="5">
        <v>4</v>
      </c>
      <c r="B3261" s="5" t="s">
        <v>32487</v>
      </c>
      <c r="C3261" s="5" t="s">
        <v>32488</v>
      </c>
      <c r="D3261" s="246">
        <v>39587</v>
      </c>
      <c r="E3261" s="5" t="s">
        <v>32489</v>
      </c>
      <c r="F3261" s="26"/>
      <c r="G3261" s="27" t="s">
        <v>1445</v>
      </c>
      <c r="H3261" s="28" t="s">
        <v>1446</v>
      </c>
      <c r="I3261" s="5" t="s">
        <v>233</v>
      </c>
    </row>
    <row r="3262" spans="1:9" ht="51.75" customHeight="1">
      <c r="A3262" s="5">
        <v>5</v>
      </c>
      <c r="B3262" s="5" t="s">
        <v>32490</v>
      </c>
      <c r="C3262" s="5" t="s">
        <v>32491</v>
      </c>
      <c r="D3262" s="246">
        <v>39587</v>
      </c>
      <c r="E3262" s="5" t="s">
        <v>32492</v>
      </c>
      <c r="F3262" s="26"/>
      <c r="G3262" s="27" t="s">
        <v>1445</v>
      </c>
      <c r="H3262" s="28" t="s">
        <v>1446</v>
      </c>
      <c r="I3262" s="5" t="s">
        <v>233</v>
      </c>
    </row>
    <row r="3263" spans="1:9" ht="51.75" customHeight="1">
      <c r="A3263" s="5">
        <v>1</v>
      </c>
      <c r="B3263" s="5" t="s">
        <v>32493</v>
      </c>
      <c r="C3263" s="5" t="s">
        <v>32494</v>
      </c>
      <c r="D3263" s="246">
        <v>39240</v>
      </c>
      <c r="E3263" s="5" t="s">
        <v>32495</v>
      </c>
      <c r="F3263" s="26"/>
      <c r="G3263" s="27" t="s">
        <v>1372</v>
      </c>
      <c r="H3263" s="28" t="s">
        <v>1373</v>
      </c>
      <c r="I3263" s="5" t="s">
        <v>233</v>
      </c>
    </row>
    <row r="3264" spans="1:9" ht="51.75" customHeight="1">
      <c r="A3264" s="5">
        <v>2</v>
      </c>
      <c r="B3264" s="5" t="s">
        <v>32496</v>
      </c>
      <c r="C3264" s="5" t="s">
        <v>32497</v>
      </c>
      <c r="D3264" s="246">
        <v>39240</v>
      </c>
      <c r="E3264" s="5" t="s">
        <v>32498</v>
      </c>
      <c r="F3264" s="26"/>
      <c r="G3264" s="27" t="s">
        <v>1372</v>
      </c>
      <c r="H3264" s="28" t="s">
        <v>1373</v>
      </c>
      <c r="I3264" s="5" t="s">
        <v>233</v>
      </c>
    </row>
    <row r="3265" spans="1:9" ht="51.75" customHeight="1">
      <c r="A3265" s="5">
        <v>3</v>
      </c>
      <c r="B3265" s="5" t="s">
        <v>32499</v>
      </c>
      <c r="C3265" s="5" t="s">
        <v>32500</v>
      </c>
      <c r="D3265" s="246">
        <v>39240</v>
      </c>
      <c r="E3265" s="5" t="s">
        <v>32501</v>
      </c>
      <c r="F3265" s="26"/>
      <c r="G3265" s="27" t="s">
        <v>1372</v>
      </c>
      <c r="H3265" s="28" t="s">
        <v>1373</v>
      </c>
      <c r="I3265" s="5" t="s">
        <v>233</v>
      </c>
    </row>
    <row r="3266" spans="1:9" ht="51.75" customHeight="1">
      <c r="A3266" s="5">
        <v>1</v>
      </c>
      <c r="B3266" s="5" t="s">
        <v>32502</v>
      </c>
      <c r="C3266" s="5" t="s">
        <v>32503</v>
      </c>
      <c r="D3266" s="246">
        <v>39021</v>
      </c>
      <c r="E3266" s="5" t="s">
        <v>32504</v>
      </c>
      <c r="F3266" s="26"/>
      <c r="G3266" s="27" t="s">
        <v>880</v>
      </c>
      <c r="H3266" s="28" t="s">
        <v>881</v>
      </c>
      <c r="I3266" s="5" t="s">
        <v>233</v>
      </c>
    </row>
    <row r="3267" spans="1:9" ht="51.75" customHeight="1">
      <c r="A3267" s="5">
        <v>2</v>
      </c>
      <c r="B3267" s="5" t="s">
        <v>32505</v>
      </c>
      <c r="C3267" s="5" t="s">
        <v>32506</v>
      </c>
      <c r="D3267" s="246">
        <v>39021</v>
      </c>
      <c r="E3267" s="5" t="s">
        <v>32507</v>
      </c>
      <c r="F3267" s="26"/>
      <c r="G3267" s="27" t="s">
        <v>880</v>
      </c>
      <c r="H3267" s="28" t="s">
        <v>881</v>
      </c>
      <c r="I3267" s="5" t="s">
        <v>233</v>
      </c>
    </row>
    <row r="3268" spans="1:9" ht="51.75" customHeight="1">
      <c r="A3268" s="5">
        <v>1</v>
      </c>
      <c r="B3268" s="5" t="s">
        <v>32508</v>
      </c>
      <c r="C3268" s="5" t="s">
        <v>32509</v>
      </c>
      <c r="D3268" s="246">
        <v>39263</v>
      </c>
      <c r="E3268" s="5" t="s">
        <v>32510</v>
      </c>
      <c r="F3268" s="26"/>
      <c r="G3268" s="27" t="s">
        <v>784</v>
      </c>
      <c r="H3268" s="28" t="s">
        <v>785</v>
      </c>
      <c r="I3268" s="5" t="s">
        <v>233</v>
      </c>
    </row>
    <row r="3269" spans="1:9" ht="51.75" customHeight="1">
      <c r="A3269" s="5">
        <v>2</v>
      </c>
      <c r="B3269" s="5" t="s">
        <v>32511</v>
      </c>
      <c r="C3269" s="5" t="s">
        <v>32512</v>
      </c>
      <c r="D3269" s="246">
        <v>39263</v>
      </c>
      <c r="E3269" s="5" t="s">
        <v>32513</v>
      </c>
      <c r="F3269" s="26"/>
      <c r="G3269" s="27" t="s">
        <v>784</v>
      </c>
      <c r="H3269" s="28" t="s">
        <v>785</v>
      </c>
      <c r="I3269" s="5" t="s">
        <v>233</v>
      </c>
    </row>
    <row r="3270" spans="1:9" ht="51.75" customHeight="1">
      <c r="A3270" s="5">
        <v>1</v>
      </c>
      <c r="B3270" s="5" t="s">
        <v>32514</v>
      </c>
      <c r="C3270" s="5" t="s">
        <v>32515</v>
      </c>
      <c r="D3270" s="246">
        <v>39233</v>
      </c>
      <c r="E3270" s="5" t="s">
        <v>32516</v>
      </c>
      <c r="F3270" s="26"/>
      <c r="G3270" s="27" t="s">
        <v>759</v>
      </c>
      <c r="H3270" s="28" t="s">
        <v>760</v>
      </c>
      <c r="I3270" s="5" t="s">
        <v>233</v>
      </c>
    </row>
    <row r="3271" spans="1:9" ht="51.75" customHeight="1">
      <c r="A3271" s="5">
        <v>2</v>
      </c>
      <c r="B3271" s="5" t="s">
        <v>32517</v>
      </c>
      <c r="C3271" s="5" t="s">
        <v>32518</v>
      </c>
      <c r="D3271" s="246">
        <v>39233</v>
      </c>
      <c r="E3271" s="5" t="s">
        <v>32519</v>
      </c>
      <c r="F3271" s="26"/>
      <c r="G3271" s="27" t="s">
        <v>759</v>
      </c>
      <c r="H3271" s="28" t="s">
        <v>760</v>
      </c>
      <c r="I3271" s="5" t="s">
        <v>233</v>
      </c>
    </row>
    <row r="3272" spans="1:9" ht="51.75" customHeight="1">
      <c r="A3272" s="5">
        <v>1</v>
      </c>
      <c r="B3272" s="5" t="s">
        <v>32520</v>
      </c>
      <c r="C3272" s="5" t="s">
        <v>32521</v>
      </c>
      <c r="D3272" s="246">
        <v>39325</v>
      </c>
      <c r="E3272" s="5" t="s">
        <v>32522</v>
      </c>
      <c r="F3272" s="26"/>
      <c r="G3272" s="27" t="s">
        <v>735</v>
      </c>
      <c r="H3272" s="28" t="s">
        <v>736</v>
      </c>
      <c r="I3272" s="5" t="s">
        <v>233</v>
      </c>
    </row>
    <row r="3273" spans="1:9" ht="51.75" customHeight="1">
      <c r="A3273" s="5">
        <v>2</v>
      </c>
      <c r="B3273" s="5" t="s">
        <v>32523</v>
      </c>
      <c r="C3273" s="5" t="s">
        <v>32524</v>
      </c>
      <c r="D3273" s="246">
        <v>39325</v>
      </c>
      <c r="E3273" s="5" t="s">
        <v>32525</v>
      </c>
      <c r="F3273" s="26"/>
      <c r="G3273" s="27" t="s">
        <v>735</v>
      </c>
      <c r="H3273" s="28" t="s">
        <v>736</v>
      </c>
      <c r="I3273" s="5" t="s">
        <v>233</v>
      </c>
    </row>
    <row r="3274" spans="1:9" ht="51.75" customHeight="1">
      <c r="A3274" s="5">
        <v>1</v>
      </c>
      <c r="B3274" s="5" t="s">
        <v>32526</v>
      </c>
      <c r="C3274" s="5" t="s">
        <v>32527</v>
      </c>
      <c r="D3274" s="246">
        <v>39202</v>
      </c>
      <c r="E3274" s="5" t="s">
        <v>32528</v>
      </c>
      <c r="F3274" s="26"/>
      <c r="G3274" s="27" t="s">
        <v>607</v>
      </c>
      <c r="H3274" s="28" t="s">
        <v>608</v>
      </c>
      <c r="I3274" s="5" t="s">
        <v>233</v>
      </c>
    </row>
    <row r="3275" spans="1:9" ht="51.75" customHeight="1">
      <c r="A3275" s="5">
        <v>2</v>
      </c>
      <c r="B3275" s="5" t="s">
        <v>32529</v>
      </c>
      <c r="C3275" s="5" t="s">
        <v>32530</v>
      </c>
      <c r="D3275" s="246">
        <v>39202</v>
      </c>
      <c r="E3275" s="5" t="s">
        <v>32531</v>
      </c>
      <c r="F3275" s="26"/>
      <c r="G3275" s="27" t="s">
        <v>607</v>
      </c>
      <c r="H3275" s="28" t="s">
        <v>608</v>
      </c>
      <c r="I3275" s="5" t="s">
        <v>233</v>
      </c>
    </row>
    <row r="3276" spans="1:9" ht="51.75" customHeight="1">
      <c r="A3276" s="5">
        <v>3</v>
      </c>
      <c r="B3276" s="5" t="s">
        <v>32532</v>
      </c>
      <c r="C3276" s="5" t="s">
        <v>32533</v>
      </c>
      <c r="D3276" s="246">
        <v>39202</v>
      </c>
      <c r="E3276" s="5" t="s">
        <v>32534</v>
      </c>
      <c r="F3276" s="26"/>
      <c r="G3276" s="27" t="s">
        <v>607</v>
      </c>
      <c r="H3276" s="28" t="s">
        <v>608</v>
      </c>
      <c r="I3276" s="5" t="s">
        <v>233</v>
      </c>
    </row>
    <row r="3277" spans="1:9" ht="51.75" customHeight="1">
      <c r="A3277" s="5">
        <v>4</v>
      </c>
      <c r="B3277" s="5" t="s">
        <v>32535</v>
      </c>
      <c r="C3277" s="5" t="s">
        <v>32536</v>
      </c>
      <c r="D3277" s="246">
        <v>39202</v>
      </c>
      <c r="E3277" s="5" t="s">
        <v>32537</v>
      </c>
      <c r="F3277" s="26"/>
      <c r="G3277" s="27" t="s">
        <v>607</v>
      </c>
      <c r="H3277" s="28" t="s">
        <v>608</v>
      </c>
      <c r="I3277" s="5" t="s">
        <v>233</v>
      </c>
    </row>
    <row r="3278" spans="1:9" ht="51.75" customHeight="1">
      <c r="A3278" s="5">
        <v>1</v>
      </c>
      <c r="B3278" s="5" t="s">
        <v>32538</v>
      </c>
      <c r="C3278" s="5" t="s">
        <v>32539</v>
      </c>
      <c r="D3278" s="246">
        <v>38960</v>
      </c>
      <c r="E3278" s="5" t="s">
        <v>32540</v>
      </c>
      <c r="F3278" s="26"/>
      <c r="G3278" s="27" t="s">
        <v>276</v>
      </c>
      <c r="H3278" s="28" t="s">
        <v>32541</v>
      </c>
      <c r="I3278" s="5" t="s">
        <v>233</v>
      </c>
    </row>
    <row r="3279" spans="1:9" ht="51.75" customHeight="1">
      <c r="A3279" s="5">
        <v>2</v>
      </c>
      <c r="B3279" s="5" t="s">
        <v>32542</v>
      </c>
      <c r="C3279" s="5" t="s">
        <v>32543</v>
      </c>
      <c r="D3279" s="246">
        <v>38960</v>
      </c>
      <c r="E3279" s="5" t="s">
        <v>32544</v>
      </c>
      <c r="F3279" s="26"/>
      <c r="G3279" s="27" t="s">
        <v>276</v>
      </c>
      <c r="H3279" s="28" t="s">
        <v>32541</v>
      </c>
      <c r="I3279" s="5" t="s">
        <v>233</v>
      </c>
    </row>
    <row r="3280" spans="1:9" ht="51.75" customHeight="1">
      <c r="A3280" s="5">
        <v>3</v>
      </c>
      <c r="B3280" s="5" t="s">
        <v>32545</v>
      </c>
      <c r="C3280" s="5" t="s">
        <v>32546</v>
      </c>
      <c r="D3280" s="246">
        <v>38960</v>
      </c>
      <c r="E3280" s="5" t="s">
        <v>32547</v>
      </c>
      <c r="F3280" s="26"/>
      <c r="G3280" s="27" t="s">
        <v>276</v>
      </c>
      <c r="H3280" s="28" t="s">
        <v>32541</v>
      </c>
      <c r="I3280" s="5" t="s">
        <v>233</v>
      </c>
    </row>
    <row r="3281" spans="1:9" ht="51.75" customHeight="1">
      <c r="A3281" s="5">
        <v>4</v>
      </c>
      <c r="B3281" s="5" t="s">
        <v>32548</v>
      </c>
      <c r="C3281" s="5" t="s">
        <v>32549</v>
      </c>
      <c r="D3281" s="246">
        <v>38960</v>
      </c>
      <c r="E3281" s="5" t="s">
        <v>32550</v>
      </c>
      <c r="F3281" s="26"/>
      <c r="G3281" s="27" t="s">
        <v>276</v>
      </c>
      <c r="H3281" s="28" t="s">
        <v>32541</v>
      </c>
      <c r="I3281" s="5" t="s">
        <v>233</v>
      </c>
    </row>
    <row r="3282" spans="1:9" ht="51.75" customHeight="1">
      <c r="A3282" s="5">
        <v>5</v>
      </c>
      <c r="B3282" s="5" t="s">
        <v>32551</v>
      </c>
      <c r="C3282" s="5" t="s">
        <v>32552</v>
      </c>
      <c r="D3282" s="246">
        <v>38960</v>
      </c>
      <c r="E3282" s="5" t="s">
        <v>32553</v>
      </c>
      <c r="F3282" s="26"/>
      <c r="G3282" s="27" t="s">
        <v>276</v>
      </c>
      <c r="H3282" s="28" t="s">
        <v>32541</v>
      </c>
      <c r="I3282" s="5" t="s">
        <v>233</v>
      </c>
    </row>
    <row r="3283" spans="1:9" ht="51.75" customHeight="1">
      <c r="A3283" s="5">
        <v>6</v>
      </c>
      <c r="B3283" s="5" t="s">
        <v>32554</v>
      </c>
      <c r="C3283" s="5" t="s">
        <v>32555</v>
      </c>
      <c r="D3283" s="246">
        <v>38960</v>
      </c>
      <c r="E3283" s="5" t="s">
        <v>32556</v>
      </c>
      <c r="F3283" s="26"/>
      <c r="G3283" s="27" t="s">
        <v>276</v>
      </c>
      <c r="H3283" s="28" t="s">
        <v>32541</v>
      </c>
      <c r="I3283" s="5" t="s">
        <v>233</v>
      </c>
    </row>
    <row r="3284" spans="1:9" ht="51.75" customHeight="1">
      <c r="A3284" s="5">
        <v>7</v>
      </c>
      <c r="B3284" s="5" t="s">
        <v>32557</v>
      </c>
      <c r="C3284" s="5" t="s">
        <v>32558</v>
      </c>
      <c r="D3284" s="246">
        <v>38960</v>
      </c>
      <c r="E3284" s="5" t="s">
        <v>32558</v>
      </c>
      <c r="F3284" s="26"/>
      <c r="G3284" s="27" t="s">
        <v>276</v>
      </c>
      <c r="H3284" s="28" t="s">
        <v>32541</v>
      </c>
      <c r="I3284" s="5" t="s">
        <v>233</v>
      </c>
    </row>
    <row r="3285" spans="1:9" ht="51.75" customHeight="1">
      <c r="A3285" s="5">
        <v>8</v>
      </c>
      <c r="B3285" s="5" t="s">
        <v>32559</v>
      </c>
      <c r="C3285" s="5" t="s">
        <v>32560</v>
      </c>
      <c r="D3285" s="246">
        <v>38960</v>
      </c>
      <c r="E3285" s="5" t="s">
        <v>32561</v>
      </c>
      <c r="F3285" s="26"/>
      <c r="G3285" s="27" t="s">
        <v>276</v>
      </c>
      <c r="H3285" s="28" t="s">
        <v>32541</v>
      </c>
      <c r="I3285" s="5" t="s">
        <v>233</v>
      </c>
    </row>
    <row r="3286" spans="1:9" ht="51.75" customHeight="1">
      <c r="A3286" s="5">
        <v>9</v>
      </c>
      <c r="B3286" s="5" t="s">
        <v>32562</v>
      </c>
      <c r="C3286" s="5" t="s">
        <v>32563</v>
      </c>
      <c r="D3286" s="246">
        <v>38960</v>
      </c>
      <c r="E3286" s="5" t="s">
        <v>32564</v>
      </c>
      <c r="F3286" s="26"/>
      <c r="G3286" s="27" t="s">
        <v>276</v>
      </c>
      <c r="H3286" s="28" t="s">
        <v>32541</v>
      </c>
      <c r="I3286" s="5" t="s">
        <v>233</v>
      </c>
    </row>
    <row r="3287" spans="1:9" ht="51.75" customHeight="1">
      <c r="A3287" s="5">
        <v>1</v>
      </c>
      <c r="B3287" s="5" t="s">
        <v>32565</v>
      </c>
      <c r="C3287" s="5" t="s">
        <v>32566</v>
      </c>
      <c r="D3287" s="246">
        <v>38807</v>
      </c>
      <c r="E3287" s="5" t="s">
        <v>32567</v>
      </c>
      <c r="F3287" s="26"/>
      <c r="G3287" s="27" t="s">
        <v>333</v>
      </c>
      <c r="H3287" s="28" t="s">
        <v>334</v>
      </c>
      <c r="I3287" s="5" t="s">
        <v>233</v>
      </c>
    </row>
    <row r="3288" spans="1:9" ht="51.75" customHeight="1">
      <c r="A3288" s="5">
        <v>2</v>
      </c>
      <c r="B3288" s="5" t="s">
        <v>32568</v>
      </c>
      <c r="C3288" s="5" t="s">
        <v>32569</v>
      </c>
      <c r="D3288" s="246">
        <v>38807</v>
      </c>
      <c r="E3288" s="5" t="s">
        <v>32570</v>
      </c>
      <c r="F3288" s="26"/>
      <c r="G3288" s="27" t="s">
        <v>333</v>
      </c>
      <c r="H3288" s="28" t="s">
        <v>334</v>
      </c>
      <c r="I3288" s="5" t="s">
        <v>233</v>
      </c>
    </row>
    <row r="3289" spans="1:9" ht="51.75" customHeight="1">
      <c r="A3289" s="5">
        <v>3</v>
      </c>
      <c r="B3289" s="5" t="s">
        <v>32571</v>
      </c>
      <c r="C3289" s="5" t="s">
        <v>32572</v>
      </c>
      <c r="D3289" s="246">
        <v>38807</v>
      </c>
      <c r="E3289" s="5" t="s">
        <v>32573</v>
      </c>
      <c r="F3289" s="26"/>
      <c r="G3289" s="27" t="s">
        <v>333</v>
      </c>
      <c r="H3289" s="28" t="s">
        <v>334</v>
      </c>
      <c r="I3289" s="5" t="s">
        <v>233</v>
      </c>
    </row>
    <row r="3290" spans="1:9" ht="51.75" customHeight="1">
      <c r="A3290" s="5">
        <v>4</v>
      </c>
      <c r="B3290" s="5" t="s">
        <v>32574</v>
      </c>
      <c r="C3290" s="5" t="s">
        <v>32575</v>
      </c>
      <c r="D3290" s="246">
        <v>38807</v>
      </c>
      <c r="E3290" s="5" t="s">
        <v>32576</v>
      </c>
      <c r="F3290" s="26"/>
      <c r="G3290" s="27" t="s">
        <v>333</v>
      </c>
      <c r="H3290" s="28" t="s">
        <v>334</v>
      </c>
      <c r="I3290" s="5" t="s">
        <v>233</v>
      </c>
    </row>
    <row r="3291" spans="1:9" ht="51.75" customHeight="1">
      <c r="A3291" s="5">
        <v>1</v>
      </c>
      <c r="B3291" s="5" t="s">
        <v>32577</v>
      </c>
      <c r="C3291" s="5" t="s">
        <v>32578</v>
      </c>
      <c r="D3291" s="246">
        <v>39355</v>
      </c>
      <c r="E3291" s="5" t="s">
        <v>32579</v>
      </c>
      <c r="F3291" s="26"/>
      <c r="G3291" s="27" t="s">
        <v>1077</v>
      </c>
      <c r="H3291" s="28" t="s">
        <v>1078</v>
      </c>
      <c r="I3291" s="5" t="s">
        <v>233</v>
      </c>
    </row>
    <row r="3292" spans="1:9" ht="51.75" customHeight="1">
      <c r="A3292" s="5">
        <v>2</v>
      </c>
      <c r="B3292" s="5" t="s">
        <v>32580</v>
      </c>
      <c r="C3292" s="5" t="s">
        <v>32581</v>
      </c>
      <c r="D3292" s="246">
        <v>39355</v>
      </c>
      <c r="E3292" s="5" t="s">
        <v>32582</v>
      </c>
      <c r="F3292" s="26"/>
      <c r="G3292" s="27" t="s">
        <v>1077</v>
      </c>
      <c r="H3292" s="28" t="s">
        <v>1078</v>
      </c>
      <c r="I3292" s="5" t="s">
        <v>233</v>
      </c>
    </row>
    <row r="3293" spans="1:9" ht="51.75" customHeight="1">
      <c r="A3293" s="5">
        <v>3</v>
      </c>
      <c r="B3293" s="5" t="s">
        <v>32583</v>
      </c>
      <c r="C3293" s="5" t="s">
        <v>32584</v>
      </c>
      <c r="D3293" s="246">
        <v>39355</v>
      </c>
      <c r="E3293" s="5" t="s">
        <v>32585</v>
      </c>
      <c r="F3293" s="26"/>
      <c r="G3293" s="27" t="s">
        <v>1077</v>
      </c>
      <c r="H3293" s="28" t="s">
        <v>1078</v>
      </c>
      <c r="I3293" s="5" t="s">
        <v>233</v>
      </c>
    </row>
    <row r="3294" spans="1:9" ht="51.75" customHeight="1">
      <c r="A3294" s="5">
        <v>1</v>
      </c>
      <c r="B3294" s="5" t="s">
        <v>32586</v>
      </c>
      <c r="C3294" s="5" t="s">
        <v>32587</v>
      </c>
      <c r="D3294" s="246">
        <v>39587</v>
      </c>
      <c r="E3294" s="5" t="s">
        <v>32588</v>
      </c>
      <c r="F3294" s="26"/>
      <c r="G3294" s="27" t="s">
        <v>1486</v>
      </c>
      <c r="H3294" s="28" t="s">
        <v>1487</v>
      </c>
      <c r="I3294" s="5" t="s">
        <v>233</v>
      </c>
    </row>
    <row r="3295" spans="1:9" ht="51.75" customHeight="1">
      <c r="A3295" s="5">
        <v>2</v>
      </c>
      <c r="B3295" s="5" t="s">
        <v>32589</v>
      </c>
      <c r="C3295" s="5" t="s">
        <v>32590</v>
      </c>
      <c r="D3295" s="246">
        <v>39587</v>
      </c>
      <c r="E3295" s="5" t="s">
        <v>32591</v>
      </c>
      <c r="F3295" s="26"/>
      <c r="G3295" s="27" t="s">
        <v>1486</v>
      </c>
      <c r="H3295" s="28" t="s">
        <v>1487</v>
      </c>
      <c r="I3295" s="5" t="s">
        <v>233</v>
      </c>
    </row>
    <row r="3296" spans="1:9" ht="51.75" customHeight="1">
      <c r="A3296" s="5">
        <v>3</v>
      </c>
      <c r="B3296" s="5" t="s">
        <v>32592</v>
      </c>
      <c r="C3296" s="5" t="s">
        <v>32593</v>
      </c>
      <c r="D3296" s="246">
        <v>39587</v>
      </c>
      <c r="E3296" s="5" t="s">
        <v>32594</v>
      </c>
      <c r="F3296" s="26"/>
      <c r="G3296" s="27" t="s">
        <v>1486</v>
      </c>
      <c r="H3296" s="28" t="s">
        <v>1487</v>
      </c>
      <c r="I3296" s="5" t="s">
        <v>233</v>
      </c>
    </row>
    <row r="3297" spans="1:9" ht="51.75" customHeight="1">
      <c r="A3297" s="5">
        <v>1</v>
      </c>
      <c r="B3297" s="5" t="s">
        <v>32595</v>
      </c>
      <c r="C3297" s="5" t="s">
        <v>32596</v>
      </c>
      <c r="D3297" s="246">
        <v>39587</v>
      </c>
      <c r="E3297" s="5" t="s">
        <v>32597</v>
      </c>
      <c r="F3297" s="26"/>
      <c r="G3297" s="27" t="s">
        <v>1069</v>
      </c>
      <c r="H3297" s="28" t="s">
        <v>1070</v>
      </c>
      <c r="I3297" s="5" t="s">
        <v>233</v>
      </c>
    </row>
    <row r="3298" spans="1:9" ht="51.75" customHeight="1">
      <c r="A3298" s="5">
        <v>2</v>
      </c>
      <c r="B3298" s="5" t="s">
        <v>32598</v>
      </c>
      <c r="C3298" s="5" t="s">
        <v>32599</v>
      </c>
      <c r="D3298" s="246">
        <v>39587</v>
      </c>
      <c r="E3298" s="5" t="s">
        <v>32600</v>
      </c>
      <c r="F3298" s="26"/>
      <c r="G3298" s="27" t="s">
        <v>1069</v>
      </c>
      <c r="H3298" s="28" t="s">
        <v>1070</v>
      </c>
      <c r="I3298" s="5" t="s">
        <v>233</v>
      </c>
    </row>
    <row r="3299" spans="1:9" ht="51.75" customHeight="1">
      <c r="A3299" s="5">
        <v>3</v>
      </c>
      <c r="B3299" s="5" t="s">
        <v>32601</v>
      </c>
      <c r="C3299" s="5" t="s">
        <v>32602</v>
      </c>
      <c r="D3299" s="246">
        <v>39587</v>
      </c>
      <c r="E3299" s="5" t="s">
        <v>32603</v>
      </c>
      <c r="F3299" s="26"/>
      <c r="G3299" s="27" t="s">
        <v>1069</v>
      </c>
      <c r="H3299" s="28" t="s">
        <v>1070</v>
      </c>
      <c r="I3299" s="5" t="s">
        <v>233</v>
      </c>
    </row>
    <row r="3300" spans="1:9" ht="51.75" customHeight="1">
      <c r="A3300" s="5">
        <v>4</v>
      </c>
      <c r="B3300" s="5" t="s">
        <v>32604</v>
      </c>
      <c r="C3300" s="5" t="s">
        <v>32605</v>
      </c>
      <c r="D3300" s="246">
        <v>39587</v>
      </c>
      <c r="E3300" s="5" t="s">
        <v>32606</v>
      </c>
      <c r="F3300" s="26"/>
      <c r="G3300" s="27" t="s">
        <v>1069</v>
      </c>
      <c r="H3300" s="28" t="s">
        <v>1070</v>
      </c>
      <c r="I3300" s="5" t="s">
        <v>233</v>
      </c>
    </row>
    <row r="3301" spans="1:9" ht="51.75" customHeight="1">
      <c r="A3301" s="5">
        <v>5</v>
      </c>
      <c r="B3301" s="5" t="s">
        <v>32607</v>
      </c>
      <c r="C3301" s="5" t="s">
        <v>32608</v>
      </c>
      <c r="D3301" s="246">
        <v>39587</v>
      </c>
      <c r="E3301" s="5" t="s">
        <v>32609</v>
      </c>
      <c r="F3301" s="26"/>
      <c r="G3301" s="27" t="s">
        <v>1069</v>
      </c>
      <c r="H3301" s="28" t="s">
        <v>1070</v>
      </c>
      <c r="I3301" s="5" t="s">
        <v>233</v>
      </c>
    </row>
    <row r="3302" spans="1:9" ht="51.75" customHeight="1">
      <c r="A3302" s="5">
        <v>6</v>
      </c>
      <c r="B3302" s="5" t="s">
        <v>32610</v>
      </c>
      <c r="C3302" s="5" t="s">
        <v>32611</v>
      </c>
      <c r="D3302" s="246">
        <v>39587</v>
      </c>
      <c r="E3302" s="5" t="s">
        <v>32612</v>
      </c>
      <c r="F3302" s="26"/>
      <c r="G3302" s="27" t="s">
        <v>1069</v>
      </c>
      <c r="H3302" s="28" t="s">
        <v>1070</v>
      </c>
      <c r="I3302" s="5" t="s">
        <v>233</v>
      </c>
    </row>
    <row r="3303" spans="1:9" ht="51.75" customHeight="1">
      <c r="A3303" s="5">
        <v>7</v>
      </c>
      <c r="B3303" s="5" t="s">
        <v>32613</v>
      </c>
      <c r="C3303" s="5" t="s">
        <v>32614</v>
      </c>
      <c r="D3303" s="246">
        <v>39587</v>
      </c>
      <c r="E3303" s="5" t="s">
        <v>32615</v>
      </c>
      <c r="F3303" s="26"/>
      <c r="G3303" s="27" t="s">
        <v>1069</v>
      </c>
      <c r="H3303" s="28" t="s">
        <v>1070</v>
      </c>
      <c r="I3303" s="5" t="s">
        <v>233</v>
      </c>
    </row>
    <row r="3304" spans="1:9" ht="51.75" customHeight="1">
      <c r="A3304" s="5">
        <v>8</v>
      </c>
      <c r="B3304" s="5" t="s">
        <v>32616</v>
      </c>
      <c r="C3304" s="5" t="s">
        <v>32617</v>
      </c>
      <c r="D3304" s="246">
        <v>39587</v>
      </c>
      <c r="E3304" s="5" t="s">
        <v>32618</v>
      </c>
      <c r="F3304" s="26"/>
      <c r="G3304" s="27" t="s">
        <v>1069</v>
      </c>
      <c r="H3304" s="28" t="s">
        <v>1070</v>
      </c>
      <c r="I3304" s="5" t="s">
        <v>233</v>
      </c>
    </row>
    <row r="3305" spans="1:9" ht="51.75" customHeight="1">
      <c r="A3305" s="5">
        <v>9</v>
      </c>
      <c r="B3305" s="5" t="s">
        <v>32619</v>
      </c>
      <c r="C3305" s="5" t="s">
        <v>32620</v>
      </c>
      <c r="D3305" s="246">
        <v>39587</v>
      </c>
      <c r="E3305" s="5" t="s">
        <v>32621</v>
      </c>
      <c r="F3305" s="26"/>
      <c r="G3305" s="27" t="s">
        <v>1069</v>
      </c>
      <c r="H3305" s="28" t="s">
        <v>1070</v>
      </c>
      <c r="I3305" s="5" t="s">
        <v>233</v>
      </c>
    </row>
    <row r="3306" spans="1:9" ht="51.75" customHeight="1">
      <c r="A3306" s="5">
        <v>10</v>
      </c>
      <c r="B3306" s="5" t="s">
        <v>32622</v>
      </c>
      <c r="C3306" s="5" t="s">
        <v>32623</v>
      </c>
      <c r="D3306" s="246">
        <v>39587</v>
      </c>
      <c r="E3306" s="5" t="s">
        <v>32624</v>
      </c>
      <c r="F3306" s="26"/>
      <c r="G3306" s="27" t="s">
        <v>1069</v>
      </c>
      <c r="H3306" s="28" t="s">
        <v>1070</v>
      </c>
      <c r="I3306" s="5" t="s">
        <v>233</v>
      </c>
    </row>
    <row r="3307" spans="1:9" ht="51.75" customHeight="1">
      <c r="A3307" s="5">
        <v>1</v>
      </c>
      <c r="B3307" s="5" t="s">
        <v>32625</v>
      </c>
      <c r="C3307" s="5" t="s">
        <v>32626</v>
      </c>
      <c r="D3307" s="246">
        <v>39416</v>
      </c>
      <c r="E3307" s="5" t="s">
        <v>32627</v>
      </c>
      <c r="F3307" s="26"/>
      <c r="G3307" s="27" t="s">
        <v>1052</v>
      </c>
      <c r="H3307" s="28" t="s">
        <v>1053</v>
      </c>
      <c r="I3307" s="5" t="s">
        <v>233</v>
      </c>
    </row>
    <row r="3308" spans="1:9" ht="51.75" customHeight="1">
      <c r="A3308" s="5">
        <v>2</v>
      </c>
      <c r="B3308" s="5" t="s">
        <v>32628</v>
      </c>
      <c r="C3308" s="5" t="s">
        <v>32629</v>
      </c>
      <c r="D3308" s="246">
        <v>39416</v>
      </c>
      <c r="E3308" s="5" t="s">
        <v>32630</v>
      </c>
      <c r="F3308" s="26"/>
      <c r="G3308" s="27" t="s">
        <v>1052</v>
      </c>
      <c r="H3308" s="28" t="s">
        <v>1053</v>
      </c>
      <c r="I3308" s="5" t="s">
        <v>233</v>
      </c>
    </row>
    <row r="3309" spans="1:9" ht="51.75" customHeight="1">
      <c r="A3309" s="5">
        <v>3</v>
      </c>
      <c r="B3309" s="5" t="s">
        <v>32631</v>
      </c>
      <c r="C3309" s="5" t="s">
        <v>32632</v>
      </c>
      <c r="D3309" s="246">
        <v>39416</v>
      </c>
      <c r="E3309" s="5" t="s">
        <v>32633</v>
      </c>
      <c r="F3309" s="26"/>
      <c r="G3309" s="27" t="s">
        <v>1052</v>
      </c>
      <c r="H3309" s="28" t="s">
        <v>1053</v>
      </c>
      <c r="I3309" s="5" t="s">
        <v>233</v>
      </c>
    </row>
    <row r="3310" spans="1:9" ht="51.75" customHeight="1">
      <c r="A3310" s="5">
        <v>4</v>
      </c>
      <c r="B3310" s="5" t="s">
        <v>32634</v>
      </c>
      <c r="C3310" s="5" t="s">
        <v>32635</v>
      </c>
      <c r="D3310" s="246">
        <v>39416</v>
      </c>
      <c r="E3310" s="5" t="s">
        <v>32636</v>
      </c>
      <c r="F3310" s="26"/>
      <c r="G3310" s="27" t="s">
        <v>1052</v>
      </c>
      <c r="H3310" s="28" t="s">
        <v>1053</v>
      </c>
      <c r="I3310" s="5" t="s">
        <v>233</v>
      </c>
    </row>
    <row r="3311" spans="1:9" ht="51.75" customHeight="1">
      <c r="A3311" s="5">
        <v>1</v>
      </c>
      <c r="B3311" s="5" t="s">
        <v>32637</v>
      </c>
      <c r="C3311" s="5" t="s">
        <v>32638</v>
      </c>
      <c r="D3311" s="246">
        <v>39202</v>
      </c>
      <c r="E3311" s="5" t="s">
        <v>32639</v>
      </c>
      <c r="F3311" s="26"/>
      <c r="G3311" s="27" t="s">
        <v>721</v>
      </c>
      <c r="H3311" s="28" t="s">
        <v>722</v>
      </c>
      <c r="I3311" s="5" t="s">
        <v>233</v>
      </c>
    </row>
    <row r="3312" spans="1:9" ht="51.75" customHeight="1">
      <c r="A3312" s="5">
        <v>2</v>
      </c>
      <c r="B3312" s="5" t="s">
        <v>32640</v>
      </c>
      <c r="C3312" s="5" t="s">
        <v>32641</v>
      </c>
      <c r="D3312" s="246">
        <v>39202</v>
      </c>
      <c r="E3312" s="5" t="s">
        <v>32642</v>
      </c>
      <c r="F3312" s="26"/>
      <c r="G3312" s="27" t="s">
        <v>721</v>
      </c>
      <c r="H3312" s="28" t="s">
        <v>722</v>
      </c>
      <c r="I3312" s="5" t="s">
        <v>233</v>
      </c>
    </row>
    <row r="3313" spans="1:9" ht="51.75" customHeight="1">
      <c r="A3313" s="5">
        <v>3</v>
      </c>
      <c r="B3313" s="5" t="s">
        <v>32643</v>
      </c>
      <c r="C3313" s="5" t="s">
        <v>32644</v>
      </c>
      <c r="D3313" s="246">
        <v>39202</v>
      </c>
      <c r="E3313" s="5" t="s">
        <v>32645</v>
      </c>
      <c r="F3313" s="26"/>
      <c r="G3313" s="27" t="s">
        <v>721</v>
      </c>
      <c r="H3313" s="28" t="s">
        <v>722</v>
      </c>
      <c r="I3313" s="5" t="s">
        <v>233</v>
      </c>
    </row>
    <row r="3314" spans="1:9" ht="51.75" customHeight="1">
      <c r="A3314" s="5">
        <v>4</v>
      </c>
      <c r="B3314" s="5" t="s">
        <v>32646</v>
      </c>
      <c r="C3314" s="5" t="s">
        <v>32647</v>
      </c>
      <c r="D3314" s="246">
        <v>39202</v>
      </c>
      <c r="E3314" s="5" t="s">
        <v>32648</v>
      </c>
      <c r="F3314" s="26"/>
      <c r="G3314" s="27" t="s">
        <v>721</v>
      </c>
      <c r="H3314" s="28" t="s">
        <v>722</v>
      </c>
      <c r="I3314" s="5" t="s">
        <v>233</v>
      </c>
    </row>
    <row r="3315" spans="1:9" ht="51.75" customHeight="1">
      <c r="A3315" s="5">
        <v>5</v>
      </c>
      <c r="B3315" s="5" t="s">
        <v>32649</v>
      </c>
      <c r="C3315" s="5" t="s">
        <v>32650</v>
      </c>
      <c r="D3315" s="246">
        <v>39202</v>
      </c>
      <c r="E3315" s="5" t="s">
        <v>32651</v>
      </c>
      <c r="F3315" s="26"/>
      <c r="G3315" s="27" t="s">
        <v>721</v>
      </c>
      <c r="H3315" s="28" t="s">
        <v>722</v>
      </c>
      <c r="I3315" s="5" t="s">
        <v>233</v>
      </c>
    </row>
    <row r="3316" spans="1:9" ht="51.75" customHeight="1">
      <c r="A3316" s="5">
        <v>6</v>
      </c>
      <c r="B3316" s="5" t="s">
        <v>32652</v>
      </c>
      <c r="C3316" s="5" t="s">
        <v>32653</v>
      </c>
      <c r="D3316" s="246">
        <v>39202</v>
      </c>
      <c r="E3316" s="5" t="s">
        <v>32654</v>
      </c>
      <c r="F3316" s="26"/>
      <c r="G3316" s="27" t="s">
        <v>721</v>
      </c>
      <c r="H3316" s="28" t="s">
        <v>722</v>
      </c>
      <c r="I3316" s="5" t="s">
        <v>233</v>
      </c>
    </row>
    <row r="3317" spans="1:9" ht="51.75" customHeight="1">
      <c r="A3317" s="5">
        <v>7</v>
      </c>
      <c r="B3317" s="5" t="s">
        <v>32655</v>
      </c>
      <c r="C3317" s="5" t="s">
        <v>32656</v>
      </c>
      <c r="D3317" s="246">
        <v>39202</v>
      </c>
      <c r="E3317" s="5" t="s">
        <v>32657</v>
      </c>
      <c r="F3317" s="26"/>
      <c r="G3317" s="27" t="s">
        <v>721</v>
      </c>
      <c r="H3317" s="28" t="s">
        <v>722</v>
      </c>
      <c r="I3317" s="5" t="s">
        <v>233</v>
      </c>
    </row>
    <row r="3318" spans="1:9" ht="51.75" customHeight="1">
      <c r="A3318" s="5">
        <v>8</v>
      </c>
      <c r="B3318" s="5" t="s">
        <v>32658</v>
      </c>
      <c r="C3318" s="5" t="s">
        <v>32659</v>
      </c>
      <c r="D3318" s="246">
        <v>39202</v>
      </c>
      <c r="E3318" s="5" t="s">
        <v>32660</v>
      </c>
      <c r="F3318" s="26"/>
      <c r="G3318" s="27" t="s">
        <v>721</v>
      </c>
      <c r="H3318" s="28" t="s">
        <v>722</v>
      </c>
      <c r="I3318" s="5" t="s">
        <v>233</v>
      </c>
    </row>
    <row r="3319" spans="1:9" ht="51.75" customHeight="1">
      <c r="A3319" s="5">
        <v>1</v>
      </c>
      <c r="B3319" s="5" t="s">
        <v>32661</v>
      </c>
      <c r="C3319" s="5" t="s">
        <v>32662</v>
      </c>
      <c r="D3319" s="246">
        <v>38960</v>
      </c>
      <c r="E3319" s="5" t="s">
        <v>32663</v>
      </c>
      <c r="F3319" s="26"/>
      <c r="G3319" s="27" t="s">
        <v>458</v>
      </c>
      <c r="H3319" s="28" t="s">
        <v>459</v>
      </c>
      <c r="I3319" s="5" t="s">
        <v>233</v>
      </c>
    </row>
    <row r="3320" spans="1:9" ht="51.75" customHeight="1">
      <c r="A3320" s="5">
        <v>2</v>
      </c>
      <c r="B3320" s="5" t="s">
        <v>32664</v>
      </c>
      <c r="C3320" s="5" t="s">
        <v>32665</v>
      </c>
      <c r="D3320" s="246">
        <v>38960</v>
      </c>
      <c r="E3320" s="5" t="s">
        <v>32666</v>
      </c>
      <c r="F3320" s="26"/>
      <c r="G3320" s="27" t="s">
        <v>458</v>
      </c>
      <c r="H3320" s="28" t="s">
        <v>459</v>
      </c>
      <c r="I3320" s="5" t="s">
        <v>233</v>
      </c>
    </row>
    <row r="3321" spans="1:9" ht="51.75" customHeight="1">
      <c r="A3321" s="5">
        <v>3</v>
      </c>
      <c r="B3321" s="5" t="s">
        <v>32667</v>
      </c>
      <c r="C3321" s="5" t="s">
        <v>32668</v>
      </c>
      <c r="D3321" s="246">
        <v>38960</v>
      </c>
      <c r="E3321" s="5" t="s">
        <v>32669</v>
      </c>
      <c r="F3321" s="26"/>
      <c r="G3321" s="27" t="s">
        <v>458</v>
      </c>
      <c r="H3321" s="28" t="s">
        <v>459</v>
      </c>
      <c r="I3321" s="5" t="s">
        <v>233</v>
      </c>
    </row>
    <row r="3322" spans="1:9" ht="51.75" customHeight="1">
      <c r="A3322" s="5">
        <v>4</v>
      </c>
      <c r="B3322" s="5" t="s">
        <v>32670</v>
      </c>
      <c r="C3322" s="5" t="s">
        <v>32671</v>
      </c>
      <c r="D3322" s="246">
        <v>38960</v>
      </c>
      <c r="E3322" s="5" t="s">
        <v>32672</v>
      </c>
      <c r="F3322" s="26"/>
      <c r="G3322" s="27" t="s">
        <v>458</v>
      </c>
      <c r="H3322" s="28" t="s">
        <v>459</v>
      </c>
      <c r="I3322" s="5" t="s">
        <v>233</v>
      </c>
    </row>
    <row r="3323" spans="1:9" ht="51.75" customHeight="1">
      <c r="A3323" s="5">
        <v>5</v>
      </c>
      <c r="B3323" s="5" t="s">
        <v>32673</v>
      </c>
      <c r="C3323" s="5" t="s">
        <v>32674</v>
      </c>
      <c r="D3323" s="246">
        <v>38960</v>
      </c>
      <c r="E3323" s="5" t="s">
        <v>32675</v>
      </c>
      <c r="F3323" s="26"/>
      <c r="G3323" s="27" t="s">
        <v>458</v>
      </c>
      <c r="H3323" s="28" t="s">
        <v>459</v>
      </c>
      <c r="I3323" s="5" t="s">
        <v>233</v>
      </c>
    </row>
    <row r="3324" spans="1:9" ht="51.75" customHeight="1">
      <c r="A3324" s="5">
        <v>6</v>
      </c>
      <c r="B3324" s="5" t="s">
        <v>32676</v>
      </c>
      <c r="C3324" s="5" t="s">
        <v>32677</v>
      </c>
      <c r="D3324" s="246">
        <v>38960</v>
      </c>
      <c r="E3324" s="5" t="s">
        <v>32678</v>
      </c>
      <c r="F3324" s="26"/>
      <c r="G3324" s="27" t="s">
        <v>458</v>
      </c>
      <c r="H3324" s="28" t="s">
        <v>459</v>
      </c>
      <c r="I3324" s="5" t="s">
        <v>233</v>
      </c>
    </row>
    <row r="3325" spans="1:9" ht="51.75" customHeight="1">
      <c r="A3325" s="5">
        <v>7</v>
      </c>
      <c r="B3325" s="5" t="s">
        <v>32679</v>
      </c>
      <c r="C3325" s="5" t="s">
        <v>32680</v>
      </c>
      <c r="D3325" s="246">
        <v>38960</v>
      </c>
      <c r="E3325" s="5" t="s">
        <v>32681</v>
      </c>
      <c r="F3325" s="26"/>
      <c r="G3325" s="27" t="s">
        <v>458</v>
      </c>
      <c r="H3325" s="28" t="s">
        <v>459</v>
      </c>
      <c r="I3325" s="5" t="s">
        <v>233</v>
      </c>
    </row>
    <row r="3326" spans="1:9" ht="51.75" customHeight="1">
      <c r="A3326" s="5">
        <v>8</v>
      </c>
      <c r="B3326" s="5" t="s">
        <v>32682</v>
      </c>
      <c r="C3326" s="5" t="s">
        <v>32683</v>
      </c>
      <c r="D3326" s="246">
        <v>38960</v>
      </c>
      <c r="E3326" s="5" t="s">
        <v>32684</v>
      </c>
      <c r="F3326" s="26"/>
      <c r="G3326" s="27" t="s">
        <v>458</v>
      </c>
      <c r="H3326" s="28" t="s">
        <v>459</v>
      </c>
      <c r="I3326" s="5" t="s">
        <v>233</v>
      </c>
    </row>
    <row r="3327" spans="1:9" ht="51.75" customHeight="1">
      <c r="A3327" s="5">
        <v>1</v>
      </c>
      <c r="B3327" s="5" t="s">
        <v>32685</v>
      </c>
      <c r="C3327" s="5" t="s">
        <v>32686</v>
      </c>
      <c r="D3327" s="246">
        <v>38929</v>
      </c>
      <c r="E3327" s="5" t="s">
        <v>32687</v>
      </c>
      <c r="F3327" s="26"/>
      <c r="G3327" s="27" t="s">
        <v>340</v>
      </c>
      <c r="H3327" s="28" t="s">
        <v>341</v>
      </c>
      <c r="I3327" s="5" t="s">
        <v>233</v>
      </c>
    </row>
    <row r="3328" spans="1:9" ht="51.75" customHeight="1">
      <c r="A3328" s="5">
        <v>2</v>
      </c>
      <c r="B3328" s="5" t="s">
        <v>32688</v>
      </c>
      <c r="C3328" s="5" t="s">
        <v>32689</v>
      </c>
      <c r="D3328" s="246">
        <v>38929</v>
      </c>
      <c r="E3328" s="5" t="s">
        <v>32690</v>
      </c>
      <c r="F3328" s="26"/>
      <c r="G3328" s="27" t="s">
        <v>340</v>
      </c>
      <c r="H3328" s="28" t="s">
        <v>341</v>
      </c>
      <c r="I3328" s="5" t="s">
        <v>233</v>
      </c>
    </row>
    <row r="3329" spans="1:9" ht="51.75" customHeight="1">
      <c r="A3329" s="5">
        <v>3</v>
      </c>
      <c r="B3329" s="5" t="s">
        <v>32691</v>
      </c>
      <c r="C3329" s="5" t="s">
        <v>32692</v>
      </c>
      <c r="D3329" s="246">
        <v>38929</v>
      </c>
      <c r="E3329" s="5" t="s">
        <v>32693</v>
      </c>
      <c r="F3329" s="26"/>
      <c r="G3329" s="27" t="s">
        <v>340</v>
      </c>
      <c r="H3329" s="28" t="s">
        <v>341</v>
      </c>
      <c r="I3329" s="5" t="s">
        <v>233</v>
      </c>
    </row>
    <row r="3330" spans="1:9" ht="51.75" customHeight="1">
      <c r="A3330" s="5">
        <v>4</v>
      </c>
      <c r="B3330" s="5" t="s">
        <v>32694</v>
      </c>
      <c r="C3330" s="5" t="s">
        <v>32695</v>
      </c>
      <c r="D3330" s="246">
        <v>38929</v>
      </c>
      <c r="E3330" s="5" t="s">
        <v>32696</v>
      </c>
      <c r="F3330" s="26"/>
      <c r="G3330" s="27" t="s">
        <v>340</v>
      </c>
      <c r="H3330" s="28" t="s">
        <v>341</v>
      </c>
      <c r="I3330" s="5" t="s">
        <v>233</v>
      </c>
    </row>
    <row r="3331" spans="1:9" ht="51.75" customHeight="1">
      <c r="A3331" s="5">
        <v>5</v>
      </c>
      <c r="B3331" s="5" t="s">
        <v>32697</v>
      </c>
      <c r="C3331" s="5" t="s">
        <v>32698</v>
      </c>
      <c r="D3331" s="246">
        <v>38929</v>
      </c>
      <c r="E3331" s="5" t="s">
        <v>32699</v>
      </c>
      <c r="F3331" s="26"/>
      <c r="G3331" s="27" t="s">
        <v>340</v>
      </c>
      <c r="H3331" s="28" t="s">
        <v>341</v>
      </c>
      <c r="I3331" s="5" t="s">
        <v>233</v>
      </c>
    </row>
    <row r="3332" spans="1:9" ht="51.75" customHeight="1">
      <c r="A3332" s="5">
        <v>1</v>
      </c>
      <c r="B3332" s="5" t="s">
        <v>32700</v>
      </c>
      <c r="C3332" s="5" t="s">
        <v>32701</v>
      </c>
      <c r="D3332" s="246">
        <v>38915</v>
      </c>
      <c r="E3332" s="5" t="s">
        <v>32702</v>
      </c>
      <c r="F3332" s="26"/>
      <c r="G3332" s="27" t="s">
        <v>312</v>
      </c>
      <c r="H3332" s="28" t="s">
        <v>313</v>
      </c>
      <c r="I3332" s="5" t="s">
        <v>233</v>
      </c>
    </row>
    <row r="3333" spans="1:9" ht="51.75" customHeight="1">
      <c r="A3333" s="5">
        <v>2</v>
      </c>
      <c r="B3333" s="5" t="s">
        <v>32703</v>
      </c>
      <c r="C3333" s="5" t="s">
        <v>32704</v>
      </c>
      <c r="D3333" s="246">
        <v>38915</v>
      </c>
      <c r="E3333" s="5" t="s">
        <v>32705</v>
      </c>
      <c r="F3333" s="26"/>
      <c r="G3333" s="27" t="s">
        <v>312</v>
      </c>
      <c r="H3333" s="28" t="s">
        <v>313</v>
      </c>
      <c r="I3333" s="5" t="s">
        <v>233</v>
      </c>
    </row>
    <row r="3334" spans="1:9" ht="51.75" customHeight="1">
      <c r="A3334" s="5">
        <v>3</v>
      </c>
      <c r="B3334" s="5" t="s">
        <v>32706</v>
      </c>
      <c r="C3334" s="5" t="s">
        <v>32707</v>
      </c>
      <c r="D3334" s="246">
        <v>38915</v>
      </c>
      <c r="E3334" s="5" t="s">
        <v>32708</v>
      </c>
      <c r="F3334" s="26"/>
      <c r="G3334" s="27" t="s">
        <v>312</v>
      </c>
      <c r="H3334" s="28" t="s">
        <v>313</v>
      </c>
      <c r="I3334" s="5" t="s">
        <v>233</v>
      </c>
    </row>
    <row r="3335" spans="1:9" ht="51.75" customHeight="1">
      <c r="A3335" s="5">
        <v>4</v>
      </c>
      <c r="B3335" s="5" t="s">
        <v>32709</v>
      </c>
      <c r="C3335" s="5" t="s">
        <v>32710</v>
      </c>
      <c r="D3335" s="246">
        <v>38915</v>
      </c>
      <c r="E3335" s="5" t="s">
        <v>32711</v>
      </c>
      <c r="F3335" s="26"/>
      <c r="G3335" s="27" t="s">
        <v>312</v>
      </c>
      <c r="H3335" s="28" t="s">
        <v>313</v>
      </c>
      <c r="I3335" s="5" t="s">
        <v>233</v>
      </c>
    </row>
    <row r="3336" spans="1:9" ht="51.75" customHeight="1">
      <c r="A3336" s="5">
        <v>5</v>
      </c>
      <c r="B3336" s="5" t="s">
        <v>32712</v>
      </c>
      <c r="C3336" s="5" t="s">
        <v>32713</v>
      </c>
      <c r="D3336" s="246">
        <v>38915</v>
      </c>
      <c r="E3336" s="5" t="s">
        <v>32714</v>
      </c>
      <c r="F3336" s="26"/>
      <c r="G3336" s="27" t="s">
        <v>312</v>
      </c>
      <c r="H3336" s="28" t="s">
        <v>313</v>
      </c>
      <c r="I3336" s="5" t="s">
        <v>233</v>
      </c>
    </row>
    <row r="3337" spans="1:9" ht="51.75" customHeight="1">
      <c r="A3337" s="5">
        <v>6</v>
      </c>
      <c r="B3337" s="5" t="s">
        <v>32715</v>
      </c>
      <c r="C3337" s="5" t="s">
        <v>32716</v>
      </c>
      <c r="D3337" s="246">
        <v>38915</v>
      </c>
      <c r="E3337" s="5" t="s">
        <v>32717</v>
      </c>
      <c r="F3337" s="26"/>
      <c r="G3337" s="27" t="s">
        <v>312</v>
      </c>
      <c r="H3337" s="28" t="s">
        <v>313</v>
      </c>
      <c r="I3337" s="5" t="s">
        <v>233</v>
      </c>
    </row>
    <row r="3338" spans="1:9" ht="51.75" customHeight="1">
      <c r="A3338" s="5">
        <v>7</v>
      </c>
      <c r="B3338" s="5" t="s">
        <v>32718</v>
      </c>
      <c r="C3338" s="5" t="s">
        <v>32719</v>
      </c>
      <c r="D3338" s="246">
        <v>38915</v>
      </c>
      <c r="E3338" s="5" t="s">
        <v>32720</v>
      </c>
      <c r="F3338" s="26"/>
      <c r="G3338" s="27" t="s">
        <v>312</v>
      </c>
      <c r="H3338" s="28" t="s">
        <v>313</v>
      </c>
      <c r="I3338" s="5" t="s">
        <v>233</v>
      </c>
    </row>
    <row r="3339" spans="1:9" ht="51.75" customHeight="1">
      <c r="A3339" s="5">
        <v>8</v>
      </c>
      <c r="B3339" s="5" t="s">
        <v>32721</v>
      </c>
      <c r="C3339" s="5" t="s">
        <v>32722</v>
      </c>
      <c r="D3339" s="246">
        <v>38915</v>
      </c>
      <c r="E3339" s="5" t="s">
        <v>32723</v>
      </c>
      <c r="F3339" s="26"/>
      <c r="G3339" s="27" t="s">
        <v>312</v>
      </c>
      <c r="H3339" s="28" t="s">
        <v>313</v>
      </c>
      <c r="I3339" s="5" t="s">
        <v>233</v>
      </c>
    </row>
    <row r="3340" spans="1:9" ht="51.75" customHeight="1">
      <c r="A3340" s="5">
        <v>9</v>
      </c>
      <c r="B3340" s="5" t="s">
        <v>32724</v>
      </c>
      <c r="C3340" s="5" t="s">
        <v>32725</v>
      </c>
      <c r="D3340" s="246">
        <v>38915</v>
      </c>
      <c r="E3340" s="5" t="s">
        <v>32726</v>
      </c>
      <c r="F3340" s="26"/>
      <c r="G3340" s="27" t="s">
        <v>312</v>
      </c>
      <c r="H3340" s="28" t="s">
        <v>313</v>
      </c>
      <c r="I3340" s="5" t="s">
        <v>233</v>
      </c>
    </row>
    <row r="3341" spans="1:9" ht="51.75" customHeight="1">
      <c r="A3341" s="5">
        <v>1</v>
      </c>
      <c r="B3341" s="5" t="s">
        <v>32727</v>
      </c>
      <c r="C3341" s="5" t="s">
        <v>32728</v>
      </c>
      <c r="D3341" s="246">
        <v>39864</v>
      </c>
      <c r="E3341" s="5" t="s">
        <v>32729</v>
      </c>
      <c r="F3341" s="26"/>
      <c r="G3341" s="27" t="s">
        <v>2201</v>
      </c>
      <c r="H3341" s="28" t="s">
        <v>2202</v>
      </c>
      <c r="I3341" s="5" t="s">
        <v>233</v>
      </c>
    </row>
    <row r="3342" spans="1:9" ht="51.75" customHeight="1">
      <c r="A3342" s="5">
        <v>2</v>
      </c>
      <c r="B3342" s="5" t="s">
        <v>32730</v>
      </c>
      <c r="C3342" s="5" t="s">
        <v>32731</v>
      </c>
      <c r="D3342" s="246">
        <v>39864</v>
      </c>
      <c r="E3342" s="5" t="s">
        <v>32732</v>
      </c>
      <c r="F3342" s="26"/>
      <c r="G3342" s="27" t="s">
        <v>2201</v>
      </c>
      <c r="H3342" s="28" t="s">
        <v>2202</v>
      </c>
      <c r="I3342" s="5" t="s">
        <v>233</v>
      </c>
    </row>
    <row r="3343" spans="1:9" ht="51.75" customHeight="1">
      <c r="A3343" s="5">
        <v>3</v>
      </c>
      <c r="B3343" s="5" t="s">
        <v>32733</v>
      </c>
      <c r="C3343" s="5" t="s">
        <v>32734</v>
      </c>
      <c r="D3343" s="246">
        <v>39864</v>
      </c>
      <c r="E3343" s="5" t="s">
        <v>32735</v>
      </c>
      <c r="F3343" s="26"/>
      <c r="G3343" s="27" t="s">
        <v>2201</v>
      </c>
      <c r="H3343" s="28" t="s">
        <v>2202</v>
      </c>
      <c r="I3343" s="5" t="s">
        <v>233</v>
      </c>
    </row>
    <row r="3344" spans="1:9" ht="51.75" customHeight="1">
      <c r="A3344" s="5">
        <v>4</v>
      </c>
      <c r="B3344" s="5" t="s">
        <v>32736</v>
      </c>
      <c r="C3344" s="5" t="s">
        <v>32737</v>
      </c>
      <c r="D3344" s="246">
        <v>39864</v>
      </c>
      <c r="E3344" s="5" t="s">
        <v>32738</v>
      </c>
      <c r="F3344" s="26"/>
      <c r="G3344" s="27" t="s">
        <v>2201</v>
      </c>
      <c r="H3344" s="28" t="s">
        <v>2202</v>
      </c>
      <c r="I3344" s="5" t="s">
        <v>233</v>
      </c>
    </row>
    <row r="3345" spans="1:9" ht="51.75" customHeight="1">
      <c r="A3345" s="5">
        <v>1</v>
      </c>
      <c r="B3345" s="5" t="s">
        <v>32739</v>
      </c>
      <c r="C3345" s="5" t="s">
        <v>32740</v>
      </c>
      <c r="D3345" s="246">
        <v>39784</v>
      </c>
      <c r="E3345" s="5" t="s">
        <v>32741</v>
      </c>
      <c r="F3345" s="26"/>
      <c r="G3345" s="27" t="s">
        <v>2170</v>
      </c>
      <c r="H3345" s="28" t="s">
        <v>2171</v>
      </c>
      <c r="I3345" s="5" t="s">
        <v>233</v>
      </c>
    </row>
    <row r="3346" spans="1:9" ht="51.75" customHeight="1">
      <c r="A3346" s="5">
        <v>2</v>
      </c>
      <c r="B3346" s="5" t="s">
        <v>32742</v>
      </c>
      <c r="C3346" s="5" t="s">
        <v>32743</v>
      </c>
      <c r="D3346" s="246">
        <v>39784</v>
      </c>
      <c r="E3346" s="5" t="s">
        <v>32744</v>
      </c>
      <c r="F3346" s="26"/>
      <c r="G3346" s="27" t="s">
        <v>2170</v>
      </c>
      <c r="H3346" s="28" t="s">
        <v>2171</v>
      </c>
      <c r="I3346" s="5" t="s">
        <v>233</v>
      </c>
    </row>
    <row r="3347" spans="1:9" ht="51.75" customHeight="1">
      <c r="A3347" s="5">
        <v>3</v>
      </c>
      <c r="B3347" s="5" t="s">
        <v>32745</v>
      </c>
      <c r="C3347" s="5" t="s">
        <v>32746</v>
      </c>
      <c r="D3347" s="246">
        <v>39784</v>
      </c>
      <c r="E3347" s="5" t="s">
        <v>32747</v>
      </c>
      <c r="F3347" s="26"/>
      <c r="G3347" s="27" t="s">
        <v>2170</v>
      </c>
      <c r="H3347" s="28" t="s">
        <v>2171</v>
      </c>
      <c r="I3347" s="5" t="s">
        <v>233</v>
      </c>
    </row>
    <row r="3348" spans="1:9" ht="51.75" customHeight="1">
      <c r="A3348" s="5">
        <v>4</v>
      </c>
      <c r="B3348" s="5" t="s">
        <v>32748</v>
      </c>
      <c r="C3348" s="5" t="s">
        <v>32749</v>
      </c>
      <c r="D3348" s="246">
        <v>39784</v>
      </c>
      <c r="E3348" s="5" t="s">
        <v>32750</v>
      </c>
      <c r="F3348" s="26"/>
      <c r="G3348" s="27" t="s">
        <v>2170</v>
      </c>
      <c r="H3348" s="28" t="s">
        <v>2171</v>
      </c>
      <c r="I3348" s="5" t="s">
        <v>233</v>
      </c>
    </row>
    <row r="3349" spans="1:9" ht="51.75" customHeight="1">
      <c r="A3349" s="5">
        <v>5</v>
      </c>
      <c r="B3349" s="5" t="s">
        <v>32751</v>
      </c>
      <c r="C3349" s="5" t="s">
        <v>32752</v>
      </c>
      <c r="D3349" s="246">
        <v>39784</v>
      </c>
      <c r="E3349" s="5" t="s">
        <v>32753</v>
      </c>
      <c r="F3349" s="26"/>
      <c r="G3349" s="27" t="s">
        <v>2170</v>
      </c>
      <c r="H3349" s="28" t="s">
        <v>2171</v>
      </c>
      <c r="I3349" s="5" t="s">
        <v>233</v>
      </c>
    </row>
    <row r="3350" spans="1:9" ht="51.75" customHeight="1">
      <c r="A3350" s="5">
        <v>6</v>
      </c>
      <c r="B3350" s="5" t="s">
        <v>32754</v>
      </c>
      <c r="C3350" s="5" t="s">
        <v>32755</v>
      </c>
      <c r="D3350" s="246">
        <v>39784</v>
      </c>
      <c r="E3350" s="5" t="s">
        <v>32756</v>
      </c>
      <c r="F3350" s="26"/>
      <c r="G3350" s="27" t="s">
        <v>2170</v>
      </c>
      <c r="H3350" s="28" t="s">
        <v>2171</v>
      </c>
      <c r="I3350" s="5" t="s">
        <v>233</v>
      </c>
    </row>
    <row r="3351" spans="1:9" ht="51.75" customHeight="1">
      <c r="A3351" s="5">
        <v>7</v>
      </c>
      <c r="B3351" s="5" t="s">
        <v>32757</v>
      </c>
      <c r="C3351" s="5" t="s">
        <v>32758</v>
      </c>
      <c r="D3351" s="246">
        <v>39784</v>
      </c>
      <c r="E3351" s="5" t="s">
        <v>32759</v>
      </c>
      <c r="F3351" s="26"/>
      <c r="G3351" s="27" t="s">
        <v>2170</v>
      </c>
      <c r="H3351" s="28" t="s">
        <v>2171</v>
      </c>
      <c r="I3351" s="5" t="s">
        <v>233</v>
      </c>
    </row>
    <row r="3352" spans="1:9" ht="51.75" customHeight="1">
      <c r="A3352" s="5">
        <v>1</v>
      </c>
      <c r="B3352" s="5" t="s">
        <v>32760</v>
      </c>
      <c r="C3352" s="5" t="s">
        <v>32761</v>
      </c>
      <c r="D3352" s="246">
        <v>39609</v>
      </c>
      <c r="E3352" s="5" t="s">
        <v>32762</v>
      </c>
      <c r="F3352" s="26"/>
      <c r="G3352" s="27" t="s">
        <v>2152</v>
      </c>
      <c r="H3352" s="28" t="s">
        <v>2153</v>
      </c>
      <c r="I3352" s="5" t="s">
        <v>233</v>
      </c>
    </row>
    <row r="3353" spans="1:9" ht="51.75" customHeight="1">
      <c r="A3353" s="5">
        <v>2</v>
      </c>
      <c r="B3353" s="5" t="s">
        <v>32763</v>
      </c>
      <c r="C3353" s="5" t="s">
        <v>32764</v>
      </c>
      <c r="D3353" s="246">
        <v>39609</v>
      </c>
      <c r="E3353" s="5" t="s">
        <v>32765</v>
      </c>
      <c r="F3353" s="26"/>
      <c r="G3353" s="27" t="s">
        <v>2152</v>
      </c>
      <c r="H3353" s="28" t="s">
        <v>2153</v>
      </c>
      <c r="I3353" s="5" t="s">
        <v>233</v>
      </c>
    </row>
    <row r="3354" spans="1:9" ht="51.75" customHeight="1">
      <c r="A3354" s="5">
        <v>3</v>
      </c>
      <c r="B3354" s="5" t="s">
        <v>32766</v>
      </c>
      <c r="C3354" s="5" t="s">
        <v>32767</v>
      </c>
      <c r="D3354" s="246">
        <v>39609</v>
      </c>
      <c r="E3354" s="5" t="s">
        <v>32768</v>
      </c>
      <c r="F3354" s="26"/>
      <c r="G3354" s="27" t="s">
        <v>2152</v>
      </c>
      <c r="H3354" s="28" t="s">
        <v>2153</v>
      </c>
      <c r="I3354" s="5" t="s">
        <v>233</v>
      </c>
    </row>
    <row r="3355" spans="1:9" ht="51.75" customHeight="1">
      <c r="A3355" s="5">
        <v>1</v>
      </c>
      <c r="B3355" s="5" t="s">
        <v>32769</v>
      </c>
      <c r="C3355" s="5" t="s">
        <v>32770</v>
      </c>
      <c r="D3355" s="246">
        <v>38807</v>
      </c>
      <c r="E3355" s="5" t="s">
        <v>32771</v>
      </c>
      <c r="F3355" s="26"/>
      <c r="G3355" s="27" t="s">
        <v>269</v>
      </c>
      <c r="H3355" s="28" t="s">
        <v>270</v>
      </c>
      <c r="I3355" s="5" t="s">
        <v>233</v>
      </c>
    </row>
    <row r="3356" spans="1:9" ht="51.75" customHeight="1">
      <c r="A3356" s="5">
        <v>2</v>
      </c>
      <c r="B3356" s="5" t="s">
        <v>32772</v>
      </c>
      <c r="C3356" s="5" t="s">
        <v>32773</v>
      </c>
      <c r="D3356" s="246">
        <v>38807</v>
      </c>
      <c r="E3356" s="5" t="s">
        <v>32774</v>
      </c>
      <c r="F3356" s="26"/>
      <c r="G3356" s="27" t="s">
        <v>269</v>
      </c>
      <c r="H3356" s="28" t="s">
        <v>270</v>
      </c>
      <c r="I3356" s="5" t="s">
        <v>233</v>
      </c>
    </row>
    <row r="3357" spans="1:9" ht="51.75" customHeight="1">
      <c r="A3357" s="5">
        <v>3</v>
      </c>
      <c r="B3357" s="5" t="s">
        <v>32775</v>
      </c>
      <c r="C3357" s="5" t="s">
        <v>32776</v>
      </c>
      <c r="D3357" s="246">
        <v>38807</v>
      </c>
      <c r="E3357" s="5" t="s">
        <v>32777</v>
      </c>
      <c r="F3357" s="26"/>
      <c r="G3357" s="27" t="s">
        <v>269</v>
      </c>
      <c r="H3357" s="28" t="s">
        <v>270</v>
      </c>
      <c r="I3357" s="5" t="s">
        <v>233</v>
      </c>
    </row>
    <row r="3358" spans="1:9" ht="51.75" customHeight="1">
      <c r="A3358" s="5">
        <v>1</v>
      </c>
      <c r="B3358" s="5" t="s">
        <v>32778</v>
      </c>
      <c r="C3358" s="5" t="s">
        <v>32779</v>
      </c>
      <c r="D3358" s="246">
        <v>38807</v>
      </c>
      <c r="E3358" s="5" t="s">
        <v>32780</v>
      </c>
      <c r="F3358" s="26"/>
      <c r="G3358" s="27" t="s">
        <v>251</v>
      </c>
      <c r="H3358" s="28" t="s">
        <v>252</v>
      </c>
      <c r="I3358" s="5" t="s">
        <v>233</v>
      </c>
    </row>
    <row r="3359" spans="1:9" ht="51.75" customHeight="1">
      <c r="A3359" s="5">
        <v>2</v>
      </c>
      <c r="B3359" s="5" t="s">
        <v>32781</v>
      </c>
      <c r="C3359" s="5" t="s">
        <v>32782</v>
      </c>
      <c r="D3359" s="246">
        <v>38807</v>
      </c>
      <c r="E3359" s="5" t="s">
        <v>32783</v>
      </c>
      <c r="F3359" s="26"/>
      <c r="G3359" s="27" t="s">
        <v>251</v>
      </c>
      <c r="H3359" s="28" t="s">
        <v>252</v>
      </c>
      <c r="I3359" s="5" t="s">
        <v>233</v>
      </c>
    </row>
    <row r="3360" spans="1:9" ht="51.75" customHeight="1">
      <c r="A3360" s="5">
        <v>3</v>
      </c>
      <c r="B3360" s="5" t="s">
        <v>32784</v>
      </c>
      <c r="C3360" s="5" t="s">
        <v>32785</v>
      </c>
      <c r="D3360" s="246">
        <v>38807</v>
      </c>
      <c r="E3360" s="5" t="s">
        <v>32786</v>
      </c>
      <c r="F3360" s="26"/>
      <c r="G3360" s="27" t="s">
        <v>251</v>
      </c>
      <c r="H3360" s="28" t="s">
        <v>252</v>
      </c>
      <c r="I3360" s="5" t="s">
        <v>233</v>
      </c>
    </row>
    <row r="3361" spans="1:9" ht="51.75" customHeight="1">
      <c r="A3361" s="5">
        <v>4</v>
      </c>
      <c r="B3361" s="5" t="s">
        <v>32787</v>
      </c>
      <c r="C3361" s="5" t="s">
        <v>32788</v>
      </c>
      <c r="D3361" s="246">
        <v>38807</v>
      </c>
      <c r="E3361" s="5" t="s">
        <v>32789</v>
      </c>
      <c r="F3361" s="26"/>
      <c r="G3361" s="27" t="s">
        <v>251</v>
      </c>
      <c r="H3361" s="28" t="s">
        <v>252</v>
      </c>
      <c r="I3361" s="5" t="s">
        <v>233</v>
      </c>
    </row>
    <row r="3362" spans="1:9" ht="51.75" customHeight="1">
      <c r="A3362" s="5">
        <v>1</v>
      </c>
      <c r="B3362" s="5" t="s">
        <v>32790</v>
      </c>
      <c r="C3362" s="5" t="s">
        <v>32791</v>
      </c>
      <c r="D3362" s="246">
        <v>39465</v>
      </c>
      <c r="E3362" s="5" t="s">
        <v>32792</v>
      </c>
      <c r="F3362" s="26"/>
      <c r="G3362" s="27" t="s">
        <v>2043</v>
      </c>
      <c r="H3362" s="28" t="s">
        <v>2044</v>
      </c>
      <c r="I3362" s="5" t="s">
        <v>233</v>
      </c>
    </row>
    <row r="3363" spans="1:9" ht="51.75" customHeight="1">
      <c r="A3363" s="5">
        <v>2</v>
      </c>
      <c r="B3363" s="5" t="s">
        <v>32793</v>
      </c>
      <c r="C3363" s="5" t="s">
        <v>32794</v>
      </c>
      <c r="D3363" s="246">
        <v>39465</v>
      </c>
      <c r="E3363" s="5" t="s">
        <v>32795</v>
      </c>
      <c r="F3363" s="26"/>
      <c r="G3363" s="27" t="s">
        <v>2043</v>
      </c>
      <c r="H3363" s="28" t="s">
        <v>2044</v>
      </c>
      <c r="I3363" s="5" t="s">
        <v>233</v>
      </c>
    </row>
    <row r="3364" spans="1:9" ht="51.75" customHeight="1">
      <c r="A3364" s="5">
        <v>3</v>
      </c>
      <c r="B3364" s="5" t="s">
        <v>32796</v>
      </c>
      <c r="C3364" s="5" t="s">
        <v>32797</v>
      </c>
      <c r="D3364" s="246">
        <v>39465</v>
      </c>
      <c r="E3364" s="5" t="s">
        <v>32798</v>
      </c>
      <c r="F3364" s="26"/>
      <c r="G3364" s="27" t="s">
        <v>2043</v>
      </c>
      <c r="H3364" s="28" t="s">
        <v>2044</v>
      </c>
      <c r="I3364" s="5" t="s">
        <v>233</v>
      </c>
    </row>
    <row r="3365" spans="1:9" ht="51.75" customHeight="1">
      <c r="A3365" s="5">
        <v>4</v>
      </c>
      <c r="B3365" s="5" t="s">
        <v>32799</v>
      </c>
      <c r="C3365" s="5" t="s">
        <v>32800</v>
      </c>
      <c r="D3365" s="246">
        <v>39465</v>
      </c>
      <c r="E3365" s="5" t="s">
        <v>32801</v>
      </c>
      <c r="F3365" s="26"/>
      <c r="G3365" s="27" t="s">
        <v>2043</v>
      </c>
      <c r="H3365" s="28" t="s">
        <v>2044</v>
      </c>
      <c r="I3365" s="5" t="s">
        <v>233</v>
      </c>
    </row>
    <row r="3366" spans="1:9" ht="51.75" customHeight="1">
      <c r="A3366" s="5">
        <v>1</v>
      </c>
      <c r="B3366" s="5" t="s">
        <v>32802</v>
      </c>
      <c r="C3366" s="5" t="s">
        <v>32803</v>
      </c>
      <c r="D3366" s="246">
        <v>39790</v>
      </c>
      <c r="E3366" s="5" t="s">
        <v>32803</v>
      </c>
      <c r="F3366" s="26"/>
      <c r="G3366" s="27" t="s">
        <v>2164</v>
      </c>
      <c r="H3366" s="28" t="s">
        <v>2165</v>
      </c>
      <c r="I3366" s="5" t="s">
        <v>233</v>
      </c>
    </row>
    <row r="3367" spans="1:9" ht="51.75" customHeight="1">
      <c r="A3367" s="5">
        <v>2</v>
      </c>
      <c r="B3367" s="5" t="s">
        <v>32804</v>
      </c>
      <c r="C3367" s="5" t="s">
        <v>32805</v>
      </c>
      <c r="D3367" s="246">
        <v>39790</v>
      </c>
      <c r="E3367" s="5" t="s">
        <v>32806</v>
      </c>
      <c r="F3367" s="26"/>
      <c r="G3367" s="27" t="s">
        <v>2164</v>
      </c>
      <c r="H3367" s="28" t="s">
        <v>2165</v>
      </c>
      <c r="I3367" s="5" t="s">
        <v>233</v>
      </c>
    </row>
    <row r="3368" spans="1:9" ht="51.75" customHeight="1">
      <c r="A3368" s="5">
        <v>3</v>
      </c>
      <c r="B3368" s="5" t="s">
        <v>32807</v>
      </c>
      <c r="C3368" s="5" t="s">
        <v>32808</v>
      </c>
      <c r="D3368" s="246">
        <v>39790</v>
      </c>
      <c r="E3368" s="5" t="s">
        <v>32809</v>
      </c>
      <c r="F3368" s="26"/>
      <c r="G3368" s="27" t="s">
        <v>2164</v>
      </c>
      <c r="H3368" s="28" t="s">
        <v>2165</v>
      </c>
      <c r="I3368" s="5" t="s">
        <v>233</v>
      </c>
    </row>
    <row r="3369" spans="1:9" ht="51.75" customHeight="1">
      <c r="A3369" s="5">
        <v>4</v>
      </c>
      <c r="B3369" s="5" t="s">
        <v>32810</v>
      </c>
      <c r="C3369" s="5" t="s">
        <v>32811</v>
      </c>
      <c r="D3369" s="246">
        <v>39790</v>
      </c>
      <c r="E3369" s="5" t="s">
        <v>32812</v>
      </c>
      <c r="F3369" s="26"/>
      <c r="G3369" s="27" t="s">
        <v>2164</v>
      </c>
      <c r="H3369" s="28" t="s">
        <v>2165</v>
      </c>
      <c r="I3369" s="5" t="s">
        <v>233</v>
      </c>
    </row>
    <row r="3370" spans="1:9" ht="51.75" customHeight="1">
      <c r="A3370" s="5">
        <v>5</v>
      </c>
      <c r="B3370" s="5" t="s">
        <v>32813</v>
      </c>
      <c r="C3370" s="5" t="s">
        <v>32814</v>
      </c>
      <c r="D3370" s="246">
        <v>39790</v>
      </c>
      <c r="E3370" s="5" t="s">
        <v>32815</v>
      </c>
      <c r="F3370" s="26"/>
      <c r="G3370" s="27" t="s">
        <v>2164</v>
      </c>
      <c r="H3370" s="28" t="s">
        <v>2165</v>
      </c>
      <c r="I3370" s="5" t="s">
        <v>233</v>
      </c>
    </row>
    <row r="3371" spans="1:9" ht="51.75" customHeight="1">
      <c r="A3371" s="5">
        <v>6</v>
      </c>
      <c r="B3371" s="5" t="s">
        <v>32816</v>
      </c>
      <c r="C3371" s="5" t="s">
        <v>32817</v>
      </c>
      <c r="D3371" s="246">
        <v>39790</v>
      </c>
      <c r="E3371" s="5" t="s">
        <v>32818</v>
      </c>
      <c r="F3371" s="26"/>
      <c r="G3371" s="27" t="s">
        <v>2164</v>
      </c>
      <c r="H3371" s="28" t="s">
        <v>2165</v>
      </c>
      <c r="I3371" s="5" t="s">
        <v>233</v>
      </c>
    </row>
    <row r="3372" spans="1:9" ht="51.75" customHeight="1">
      <c r="A3372" s="5">
        <v>1</v>
      </c>
      <c r="B3372" s="5" t="s">
        <v>32819</v>
      </c>
      <c r="C3372" s="5" t="s">
        <v>32820</v>
      </c>
      <c r="D3372" s="246">
        <v>39465</v>
      </c>
      <c r="E3372" s="5" t="s">
        <v>32821</v>
      </c>
      <c r="F3372" s="26"/>
      <c r="G3372" s="27" t="s">
        <v>2140</v>
      </c>
      <c r="H3372" s="28" t="s">
        <v>2141</v>
      </c>
      <c r="I3372" s="5" t="s">
        <v>233</v>
      </c>
    </row>
    <row r="3373" spans="1:9" ht="51.75" customHeight="1">
      <c r="A3373" s="5">
        <v>2</v>
      </c>
      <c r="B3373" s="5" t="s">
        <v>32822</v>
      </c>
      <c r="C3373" s="5" t="s">
        <v>32823</v>
      </c>
      <c r="D3373" s="246">
        <v>39465</v>
      </c>
      <c r="E3373" s="5" t="s">
        <v>32824</v>
      </c>
      <c r="F3373" s="26"/>
      <c r="G3373" s="27" t="s">
        <v>2140</v>
      </c>
      <c r="H3373" s="28" t="s">
        <v>2141</v>
      </c>
      <c r="I3373" s="5" t="s">
        <v>233</v>
      </c>
    </row>
    <row r="3374" spans="1:9" ht="51.75" customHeight="1">
      <c r="A3374" s="5">
        <v>1</v>
      </c>
      <c r="B3374" s="5" t="s">
        <v>32825</v>
      </c>
      <c r="C3374" s="5" t="s">
        <v>32826</v>
      </c>
      <c r="D3374" s="246">
        <v>39825</v>
      </c>
      <c r="E3374" s="5" t="s">
        <v>32827</v>
      </c>
      <c r="F3374" s="26"/>
      <c r="G3374" s="27" t="s">
        <v>2134</v>
      </c>
      <c r="H3374" s="28" t="s">
        <v>2135</v>
      </c>
      <c r="I3374" s="5" t="s">
        <v>233</v>
      </c>
    </row>
    <row r="3375" spans="1:9" ht="51.75" customHeight="1">
      <c r="A3375" s="5">
        <v>2</v>
      </c>
      <c r="B3375" s="5" t="s">
        <v>32828</v>
      </c>
      <c r="C3375" s="5" t="s">
        <v>32829</v>
      </c>
      <c r="D3375" s="246">
        <v>39825</v>
      </c>
      <c r="E3375" s="5" t="s">
        <v>32830</v>
      </c>
      <c r="F3375" s="26"/>
      <c r="G3375" s="27" t="s">
        <v>2134</v>
      </c>
      <c r="H3375" s="28" t="s">
        <v>2135</v>
      </c>
      <c r="I3375" s="5" t="s">
        <v>233</v>
      </c>
    </row>
    <row r="3376" spans="1:9" ht="51.75" customHeight="1">
      <c r="A3376" s="5">
        <v>3</v>
      </c>
      <c r="B3376" s="5" t="s">
        <v>32831</v>
      </c>
      <c r="C3376" s="5" t="s">
        <v>32832</v>
      </c>
      <c r="D3376" s="246">
        <v>39825</v>
      </c>
      <c r="E3376" s="5" t="s">
        <v>32833</v>
      </c>
      <c r="F3376" s="26"/>
      <c r="G3376" s="27" t="s">
        <v>2134</v>
      </c>
      <c r="H3376" s="28" t="s">
        <v>2135</v>
      </c>
      <c r="I3376" s="5" t="s">
        <v>233</v>
      </c>
    </row>
    <row r="3377" spans="1:9" ht="51.75" customHeight="1">
      <c r="A3377" s="5">
        <v>4</v>
      </c>
      <c r="B3377" s="5" t="s">
        <v>32834</v>
      </c>
      <c r="C3377" s="5" t="s">
        <v>32835</v>
      </c>
      <c r="D3377" s="246">
        <v>39825</v>
      </c>
      <c r="E3377" s="5" t="s">
        <v>32836</v>
      </c>
      <c r="F3377" s="26"/>
      <c r="G3377" s="27" t="s">
        <v>2134</v>
      </c>
      <c r="H3377" s="28" t="s">
        <v>2135</v>
      </c>
      <c r="I3377" s="5" t="s">
        <v>233</v>
      </c>
    </row>
    <row r="3378" spans="1:9" ht="51.75" customHeight="1">
      <c r="A3378" s="5">
        <v>5</v>
      </c>
      <c r="B3378" s="5" t="s">
        <v>32837</v>
      </c>
      <c r="C3378" s="5" t="s">
        <v>32838</v>
      </c>
      <c r="D3378" s="246">
        <v>39825</v>
      </c>
      <c r="E3378" s="5" t="s">
        <v>32839</v>
      </c>
      <c r="F3378" s="26"/>
      <c r="G3378" s="27" t="s">
        <v>2134</v>
      </c>
      <c r="H3378" s="28" t="s">
        <v>2135</v>
      </c>
      <c r="I3378" s="5" t="s">
        <v>233</v>
      </c>
    </row>
    <row r="3379" spans="1:9" ht="51.75" customHeight="1">
      <c r="A3379" s="5">
        <v>6</v>
      </c>
      <c r="B3379" s="5" t="s">
        <v>32840</v>
      </c>
      <c r="C3379" s="5" t="s">
        <v>32841</v>
      </c>
      <c r="D3379" s="246">
        <v>39825</v>
      </c>
      <c r="E3379" s="5" t="s">
        <v>32842</v>
      </c>
      <c r="F3379" s="26"/>
      <c r="G3379" s="27" t="s">
        <v>2134</v>
      </c>
      <c r="H3379" s="28" t="s">
        <v>2135</v>
      </c>
      <c r="I3379" s="5" t="s">
        <v>233</v>
      </c>
    </row>
    <row r="3380" spans="1:9" ht="51.75" customHeight="1">
      <c r="A3380" s="5">
        <v>7</v>
      </c>
      <c r="B3380" s="5" t="s">
        <v>32843</v>
      </c>
      <c r="C3380" s="5" t="s">
        <v>32844</v>
      </c>
      <c r="D3380" s="246">
        <v>39825</v>
      </c>
      <c r="E3380" s="5" t="s">
        <v>32845</v>
      </c>
      <c r="F3380" s="26"/>
      <c r="G3380" s="27" t="s">
        <v>2134</v>
      </c>
      <c r="H3380" s="28" t="s">
        <v>2135</v>
      </c>
      <c r="I3380" s="5" t="s">
        <v>233</v>
      </c>
    </row>
    <row r="3381" spans="1:9" ht="51.75" customHeight="1">
      <c r="A3381" s="5">
        <v>8</v>
      </c>
      <c r="B3381" s="5" t="s">
        <v>32846</v>
      </c>
      <c r="C3381" s="5" t="s">
        <v>32847</v>
      </c>
      <c r="D3381" s="246">
        <v>39825</v>
      </c>
      <c r="E3381" s="5" t="s">
        <v>32848</v>
      </c>
      <c r="F3381" s="26"/>
      <c r="G3381" s="27" t="s">
        <v>2134</v>
      </c>
      <c r="H3381" s="28" t="s">
        <v>2135</v>
      </c>
      <c r="I3381" s="5" t="s">
        <v>233</v>
      </c>
    </row>
    <row r="3382" spans="1:9" ht="51.75" customHeight="1">
      <c r="A3382" s="5">
        <v>9</v>
      </c>
      <c r="B3382" s="5" t="s">
        <v>32849</v>
      </c>
      <c r="C3382" s="5" t="s">
        <v>32850</v>
      </c>
      <c r="D3382" s="246">
        <v>39825</v>
      </c>
      <c r="E3382" s="5" t="s">
        <v>32851</v>
      </c>
      <c r="F3382" s="26"/>
      <c r="G3382" s="27" t="s">
        <v>2134</v>
      </c>
      <c r="H3382" s="28" t="s">
        <v>2135</v>
      </c>
      <c r="I3382" s="5" t="s">
        <v>233</v>
      </c>
    </row>
    <row r="3383" spans="1:9" ht="51.75" customHeight="1">
      <c r="A3383" s="5">
        <v>1</v>
      </c>
      <c r="B3383" s="5" t="s">
        <v>32852</v>
      </c>
      <c r="C3383" s="5" t="s">
        <v>32853</v>
      </c>
      <c r="D3383" s="246">
        <v>39632</v>
      </c>
      <c r="E3383" s="5" t="s">
        <v>32854</v>
      </c>
      <c r="F3383" s="26"/>
      <c r="G3383" s="27" t="s">
        <v>2116</v>
      </c>
      <c r="H3383" s="28" t="s">
        <v>2117</v>
      </c>
      <c r="I3383" s="5" t="s">
        <v>233</v>
      </c>
    </row>
    <row r="3384" spans="1:9" ht="51.75" customHeight="1">
      <c r="A3384" s="5">
        <v>2</v>
      </c>
      <c r="B3384" s="5" t="s">
        <v>32855</v>
      </c>
      <c r="C3384" s="5" t="s">
        <v>32856</v>
      </c>
      <c r="D3384" s="246">
        <v>39632</v>
      </c>
      <c r="E3384" s="5" t="s">
        <v>32857</v>
      </c>
      <c r="F3384" s="26"/>
      <c r="G3384" s="27" t="s">
        <v>2116</v>
      </c>
      <c r="H3384" s="28" t="s">
        <v>2117</v>
      </c>
      <c r="I3384" s="5" t="s">
        <v>233</v>
      </c>
    </row>
    <row r="3385" spans="1:9" ht="51.75" customHeight="1">
      <c r="A3385" s="5">
        <v>3</v>
      </c>
      <c r="B3385" s="5" t="s">
        <v>32858</v>
      </c>
      <c r="C3385" s="5" t="s">
        <v>32859</v>
      </c>
      <c r="D3385" s="246">
        <v>39632</v>
      </c>
      <c r="E3385" s="5" t="s">
        <v>32860</v>
      </c>
      <c r="F3385" s="26"/>
      <c r="G3385" s="27" t="s">
        <v>2116</v>
      </c>
      <c r="H3385" s="28" t="s">
        <v>2117</v>
      </c>
      <c r="I3385" s="5" t="s">
        <v>233</v>
      </c>
    </row>
    <row r="3386" spans="1:9" ht="51.75" customHeight="1">
      <c r="A3386" s="5">
        <v>4</v>
      </c>
      <c r="B3386" s="5" t="s">
        <v>32861</v>
      </c>
      <c r="C3386" s="5" t="s">
        <v>32862</v>
      </c>
      <c r="D3386" s="246">
        <v>39632</v>
      </c>
      <c r="E3386" s="5" t="s">
        <v>32863</v>
      </c>
      <c r="F3386" s="26"/>
      <c r="G3386" s="27" t="s">
        <v>2116</v>
      </c>
      <c r="H3386" s="28" t="s">
        <v>2117</v>
      </c>
      <c r="I3386" s="5" t="s">
        <v>233</v>
      </c>
    </row>
    <row r="3387" spans="1:9" ht="51.75" customHeight="1">
      <c r="A3387" s="5">
        <v>5</v>
      </c>
      <c r="B3387" s="5" t="s">
        <v>32864</v>
      </c>
      <c r="C3387" s="5" t="s">
        <v>32865</v>
      </c>
      <c r="D3387" s="246">
        <v>39632</v>
      </c>
      <c r="E3387" s="5" t="s">
        <v>32866</v>
      </c>
      <c r="F3387" s="26"/>
      <c r="G3387" s="27" t="s">
        <v>2116</v>
      </c>
      <c r="H3387" s="28" t="s">
        <v>2117</v>
      </c>
      <c r="I3387" s="5" t="s">
        <v>233</v>
      </c>
    </row>
    <row r="3388" spans="1:9" ht="51.75" customHeight="1">
      <c r="A3388" s="5">
        <v>6</v>
      </c>
      <c r="B3388" s="5" t="s">
        <v>32867</v>
      </c>
      <c r="C3388" s="5" t="s">
        <v>32868</v>
      </c>
      <c r="D3388" s="246">
        <v>39632</v>
      </c>
      <c r="E3388" s="5" t="s">
        <v>32869</v>
      </c>
      <c r="F3388" s="26"/>
      <c r="G3388" s="27" t="s">
        <v>2116</v>
      </c>
      <c r="H3388" s="28" t="s">
        <v>2117</v>
      </c>
      <c r="I3388" s="5" t="s">
        <v>233</v>
      </c>
    </row>
    <row r="3389" spans="1:9" ht="51.75" customHeight="1">
      <c r="A3389" s="5">
        <v>7</v>
      </c>
      <c r="B3389" s="5" t="s">
        <v>32870</v>
      </c>
      <c r="C3389" s="5" t="s">
        <v>32871</v>
      </c>
      <c r="D3389" s="246">
        <v>39632</v>
      </c>
      <c r="E3389" s="5" t="s">
        <v>32872</v>
      </c>
      <c r="F3389" s="26"/>
      <c r="G3389" s="27" t="s">
        <v>2116</v>
      </c>
      <c r="H3389" s="28" t="s">
        <v>2117</v>
      </c>
      <c r="I3389" s="5" t="s">
        <v>233</v>
      </c>
    </row>
    <row r="3390" spans="1:9" ht="51.75" customHeight="1">
      <c r="A3390" s="5">
        <v>8</v>
      </c>
      <c r="B3390" s="5" t="s">
        <v>32873</v>
      </c>
      <c r="C3390" s="5" t="s">
        <v>32874</v>
      </c>
      <c r="D3390" s="246">
        <v>39632</v>
      </c>
      <c r="E3390" s="5" t="s">
        <v>32875</v>
      </c>
      <c r="F3390" s="26"/>
      <c r="G3390" s="27" t="s">
        <v>2116</v>
      </c>
      <c r="H3390" s="28" t="s">
        <v>2117</v>
      </c>
      <c r="I3390" s="5" t="s">
        <v>233</v>
      </c>
    </row>
    <row r="3391" spans="1:9" ht="51.75" customHeight="1">
      <c r="A3391" s="5">
        <v>9</v>
      </c>
      <c r="B3391" s="5" t="s">
        <v>32876</v>
      </c>
      <c r="C3391" s="5" t="s">
        <v>32877</v>
      </c>
      <c r="D3391" s="246">
        <v>39632</v>
      </c>
      <c r="E3391" s="5" t="s">
        <v>32878</v>
      </c>
      <c r="F3391" s="26"/>
      <c r="G3391" s="27" t="s">
        <v>2116</v>
      </c>
      <c r="H3391" s="28" t="s">
        <v>2117</v>
      </c>
      <c r="I3391" s="5" t="s">
        <v>233</v>
      </c>
    </row>
    <row r="3392" spans="1:9" ht="51.75" customHeight="1">
      <c r="A3392" s="5">
        <v>10</v>
      </c>
      <c r="B3392" s="5" t="s">
        <v>32879</v>
      </c>
      <c r="C3392" s="5" t="s">
        <v>32880</v>
      </c>
      <c r="D3392" s="246">
        <v>39632</v>
      </c>
      <c r="E3392" s="5" t="s">
        <v>32881</v>
      </c>
      <c r="F3392" s="26"/>
      <c r="G3392" s="27" t="s">
        <v>2116</v>
      </c>
      <c r="H3392" s="28" t="s">
        <v>2117</v>
      </c>
      <c r="I3392" s="5" t="s">
        <v>233</v>
      </c>
    </row>
    <row r="3393" spans="1:9" ht="51.75" customHeight="1">
      <c r="A3393" s="5">
        <v>1</v>
      </c>
      <c r="B3393" s="5" t="s">
        <v>32882</v>
      </c>
      <c r="C3393" s="5" t="s">
        <v>32883</v>
      </c>
      <c r="D3393" s="246">
        <v>39686</v>
      </c>
      <c r="E3393" s="5" t="s">
        <v>32884</v>
      </c>
      <c r="F3393" s="26"/>
      <c r="G3393" s="27" t="s">
        <v>2098</v>
      </c>
      <c r="H3393" s="28" t="s">
        <v>2099</v>
      </c>
      <c r="I3393" s="5" t="s">
        <v>233</v>
      </c>
    </row>
    <row r="3394" spans="1:9" ht="51.75" customHeight="1">
      <c r="A3394" s="5">
        <v>2</v>
      </c>
      <c r="B3394" s="5" t="s">
        <v>32885</v>
      </c>
      <c r="C3394" s="5" t="s">
        <v>32886</v>
      </c>
      <c r="D3394" s="246">
        <v>39686</v>
      </c>
      <c r="E3394" s="5" t="s">
        <v>32887</v>
      </c>
      <c r="F3394" s="26"/>
      <c r="G3394" s="27" t="s">
        <v>2098</v>
      </c>
      <c r="H3394" s="28" t="s">
        <v>2099</v>
      </c>
      <c r="I3394" s="5" t="s">
        <v>233</v>
      </c>
    </row>
    <row r="3395" spans="1:9" ht="51.75" customHeight="1">
      <c r="A3395" s="5">
        <v>3</v>
      </c>
      <c r="B3395" s="5" t="s">
        <v>32888</v>
      </c>
      <c r="C3395" s="5" t="s">
        <v>32889</v>
      </c>
      <c r="D3395" s="246">
        <v>39686</v>
      </c>
      <c r="E3395" s="5" t="s">
        <v>32890</v>
      </c>
      <c r="F3395" s="26"/>
      <c r="G3395" s="27" t="s">
        <v>2098</v>
      </c>
      <c r="H3395" s="28" t="s">
        <v>2099</v>
      </c>
      <c r="I3395" s="5" t="s">
        <v>233</v>
      </c>
    </row>
    <row r="3396" spans="1:9" ht="51.75" customHeight="1">
      <c r="A3396" s="5">
        <v>4</v>
      </c>
      <c r="B3396" s="5" t="s">
        <v>32891</v>
      </c>
      <c r="C3396" s="5" t="s">
        <v>32892</v>
      </c>
      <c r="D3396" s="246">
        <v>39686</v>
      </c>
      <c r="E3396" s="5" t="s">
        <v>32893</v>
      </c>
      <c r="F3396" s="26"/>
      <c r="G3396" s="27" t="s">
        <v>2098</v>
      </c>
      <c r="H3396" s="28" t="s">
        <v>2099</v>
      </c>
      <c r="I3396" s="5" t="s">
        <v>233</v>
      </c>
    </row>
    <row r="3397" spans="1:9" ht="51.75" customHeight="1">
      <c r="A3397" s="5">
        <v>5</v>
      </c>
      <c r="B3397" s="5" t="s">
        <v>32894</v>
      </c>
      <c r="C3397" s="5" t="s">
        <v>32895</v>
      </c>
      <c r="D3397" s="246">
        <v>39686</v>
      </c>
      <c r="E3397" s="5" t="s">
        <v>32896</v>
      </c>
      <c r="F3397" s="26"/>
      <c r="G3397" s="27" t="s">
        <v>2098</v>
      </c>
      <c r="H3397" s="28" t="s">
        <v>2099</v>
      </c>
      <c r="I3397" s="5" t="s">
        <v>233</v>
      </c>
    </row>
    <row r="3398" spans="1:9" ht="51.75" customHeight="1">
      <c r="A3398" s="5">
        <v>6</v>
      </c>
      <c r="B3398" s="5" t="s">
        <v>32897</v>
      </c>
      <c r="C3398" s="5" t="s">
        <v>32898</v>
      </c>
      <c r="D3398" s="246">
        <v>39686</v>
      </c>
      <c r="E3398" s="5" t="s">
        <v>32899</v>
      </c>
      <c r="F3398" s="26"/>
      <c r="G3398" s="27" t="s">
        <v>2098</v>
      </c>
      <c r="H3398" s="28" t="s">
        <v>2099</v>
      </c>
      <c r="I3398" s="5" t="s">
        <v>233</v>
      </c>
    </row>
    <row r="3399" spans="1:9" ht="51.75" customHeight="1">
      <c r="A3399" s="5">
        <v>7</v>
      </c>
      <c r="B3399" s="5" t="s">
        <v>32900</v>
      </c>
      <c r="C3399" s="5" t="s">
        <v>32901</v>
      </c>
      <c r="D3399" s="246">
        <v>39686</v>
      </c>
      <c r="E3399" s="5" t="s">
        <v>32901</v>
      </c>
      <c r="F3399" s="26"/>
      <c r="G3399" s="27" t="s">
        <v>2098</v>
      </c>
      <c r="H3399" s="28" t="s">
        <v>2099</v>
      </c>
      <c r="I3399" s="5" t="s">
        <v>233</v>
      </c>
    </row>
    <row r="3400" spans="1:9" ht="51.75" customHeight="1">
      <c r="A3400" s="5">
        <v>8</v>
      </c>
      <c r="B3400" s="5" t="s">
        <v>32902</v>
      </c>
      <c r="C3400" s="5" t="s">
        <v>32903</v>
      </c>
      <c r="D3400" s="246">
        <v>39686</v>
      </c>
      <c r="E3400" s="5" t="s">
        <v>32904</v>
      </c>
      <c r="F3400" s="26"/>
      <c r="G3400" s="27" t="s">
        <v>2098</v>
      </c>
      <c r="H3400" s="28" t="s">
        <v>2099</v>
      </c>
      <c r="I3400" s="5" t="s">
        <v>233</v>
      </c>
    </row>
    <row r="3401" spans="1:9" ht="51.75" customHeight="1">
      <c r="A3401" s="5">
        <v>1</v>
      </c>
      <c r="B3401" s="5" t="s">
        <v>32905</v>
      </c>
      <c r="C3401" s="5" t="s">
        <v>32906</v>
      </c>
      <c r="D3401" s="246">
        <v>39587</v>
      </c>
      <c r="E3401" s="5" t="s">
        <v>32907</v>
      </c>
      <c r="F3401" s="26"/>
      <c r="G3401" s="27" t="s">
        <v>2056</v>
      </c>
      <c r="H3401" s="28" t="s">
        <v>2057</v>
      </c>
      <c r="I3401" s="5" t="s">
        <v>233</v>
      </c>
    </row>
    <row r="3402" spans="1:9" ht="51.75" customHeight="1">
      <c r="A3402" s="5">
        <v>2</v>
      </c>
      <c r="B3402" s="5" t="s">
        <v>32908</v>
      </c>
      <c r="C3402" s="5" t="s">
        <v>32909</v>
      </c>
      <c r="D3402" s="246">
        <v>39587</v>
      </c>
      <c r="E3402" s="5" t="s">
        <v>32910</v>
      </c>
      <c r="F3402" s="26"/>
      <c r="G3402" s="27" t="s">
        <v>2056</v>
      </c>
      <c r="H3402" s="28" t="s">
        <v>2057</v>
      </c>
      <c r="I3402" s="5" t="s">
        <v>233</v>
      </c>
    </row>
    <row r="3403" spans="1:9" ht="51.75" customHeight="1">
      <c r="A3403" s="5">
        <v>3</v>
      </c>
      <c r="B3403" s="5" t="s">
        <v>32911</v>
      </c>
      <c r="C3403" s="5" t="s">
        <v>32912</v>
      </c>
      <c r="D3403" s="246">
        <v>39587</v>
      </c>
      <c r="E3403" s="5" t="s">
        <v>32913</v>
      </c>
      <c r="F3403" s="26"/>
      <c r="G3403" s="27" t="s">
        <v>2056</v>
      </c>
      <c r="H3403" s="28" t="s">
        <v>2057</v>
      </c>
      <c r="I3403" s="5" t="s">
        <v>233</v>
      </c>
    </row>
    <row r="3404" spans="1:9" ht="51.75" customHeight="1">
      <c r="A3404" s="5">
        <v>4</v>
      </c>
      <c r="B3404" s="5" t="s">
        <v>32914</v>
      </c>
      <c r="C3404" s="5" t="s">
        <v>32915</v>
      </c>
      <c r="D3404" s="246">
        <v>39587</v>
      </c>
      <c r="E3404" s="5" t="s">
        <v>32916</v>
      </c>
      <c r="F3404" s="26"/>
      <c r="G3404" s="27" t="s">
        <v>2056</v>
      </c>
      <c r="H3404" s="28" t="s">
        <v>2057</v>
      </c>
      <c r="I3404" s="5" t="s">
        <v>233</v>
      </c>
    </row>
    <row r="3405" spans="1:9" ht="51.75" customHeight="1">
      <c r="A3405" s="5">
        <v>5</v>
      </c>
      <c r="B3405" s="5" t="s">
        <v>32917</v>
      </c>
      <c r="C3405" s="5" t="s">
        <v>32918</v>
      </c>
      <c r="D3405" s="246">
        <v>39587</v>
      </c>
      <c r="E3405" s="5" t="s">
        <v>32919</v>
      </c>
      <c r="F3405" s="26"/>
      <c r="G3405" s="27" t="s">
        <v>2056</v>
      </c>
      <c r="H3405" s="28" t="s">
        <v>2057</v>
      </c>
      <c r="I3405" s="5" t="s">
        <v>233</v>
      </c>
    </row>
    <row r="3406" spans="1:9" ht="51.75" customHeight="1">
      <c r="A3406" s="5">
        <v>6</v>
      </c>
      <c r="B3406" s="5" t="s">
        <v>32920</v>
      </c>
      <c r="C3406" s="5" t="s">
        <v>32921</v>
      </c>
      <c r="D3406" s="246">
        <v>39587</v>
      </c>
      <c r="E3406" s="5" t="s">
        <v>32922</v>
      </c>
      <c r="F3406" s="26"/>
      <c r="G3406" s="27" t="s">
        <v>2056</v>
      </c>
      <c r="H3406" s="28" t="s">
        <v>2057</v>
      </c>
      <c r="I3406" s="5" t="s">
        <v>233</v>
      </c>
    </row>
    <row r="3407" spans="1:9" ht="51.75" customHeight="1">
      <c r="A3407" s="5">
        <v>1</v>
      </c>
      <c r="B3407" s="5" t="s">
        <v>32923</v>
      </c>
      <c r="C3407" s="5" t="s">
        <v>32924</v>
      </c>
      <c r="D3407" s="246">
        <v>39601</v>
      </c>
      <c r="E3407" s="5" t="s">
        <v>32925</v>
      </c>
      <c r="F3407" s="26"/>
      <c r="G3407" s="27" t="s">
        <v>1997</v>
      </c>
      <c r="H3407" s="28" t="s">
        <v>1998</v>
      </c>
      <c r="I3407" s="5" t="s">
        <v>233</v>
      </c>
    </row>
    <row r="3408" spans="1:9" ht="51.75" customHeight="1">
      <c r="A3408" s="5">
        <v>2</v>
      </c>
      <c r="B3408" s="5" t="s">
        <v>32926</v>
      </c>
      <c r="C3408" s="5" t="s">
        <v>32927</v>
      </c>
      <c r="D3408" s="246">
        <v>39601</v>
      </c>
      <c r="E3408" s="5" t="s">
        <v>32928</v>
      </c>
      <c r="F3408" s="26"/>
      <c r="G3408" s="27" t="s">
        <v>1997</v>
      </c>
      <c r="H3408" s="28" t="s">
        <v>1998</v>
      </c>
      <c r="I3408" s="5" t="s">
        <v>233</v>
      </c>
    </row>
    <row r="3409" spans="1:9" ht="51.75" customHeight="1">
      <c r="A3409" s="5">
        <v>3</v>
      </c>
      <c r="B3409" s="5" t="s">
        <v>32929</v>
      </c>
      <c r="C3409" s="5" t="s">
        <v>32930</v>
      </c>
      <c r="D3409" s="246">
        <v>39601</v>
      </c>
      <c r="E3409" s="5" t="s">
        <v>32931</v>
      </c>
      <c r="F3409" s="26"/>
      <c r="G3409" s="27" t="s">
        <v>1997</v>
      </c>
      <c r="H3409" s="28" t="s">
        <v>1998</v>
      </c>
      <c r="I3409" s="5" t="s">
        <v>233</v>
      </c>
    </row>
    <row r="3410" spans="1:9" ht="51.75" customHeight="1">
      <c r="A3410" s="5">
        <v>4</v>
      </c>
      <c r="B3410" s="5" t="s">
        <v>32932</v>
      </c>
      <c r="C3410" s="5" t="s">
        <v>32933</v>
      </c>
      <c r="D3410" s="246">
        <v>39601</v>
      </c>
      <c r="E3410" s="5" t="s">
        <v>32934</v>
      </c>
      <c r="F3410" s="26"/>
      <c r="G3410" s="27" t="s">
        <v>1997</v>
      </c>
      <c r="H3410" s="28" t="s">
        <v>1998</v>
      </c>
      <c r="I3410" s="5" t="s">
        <v>233</v>
      </c>
    </row>
    <row r="3411" spans="1:9" ht="51.75" customHeight="1">
      <c r="A3411" s="5">
        <v>5</v>
      </c>
      <c r="B3411" s="5" t="s">
        <v>32935</v>
      </c>
      <c r="C3411" s="5" t="s">
        <v>32936</v>
      </c>
      <c r="D3411" s="246">
        <v>39601</v>
      </c>
      <c r="E3411" s="5" t="s">
        <v>32937</v>
      </c>
      <c r="F3411" s="26"/>
      <c r="G3411" s="27" t="s">
        <v>1997</v>
      </c>
      <c r="H3411" s="28" t="s">
        <v>1998</v>
      </c>
      <c r="I3411" s="5" t="s">
        <v>233</v>
      </c>
    </row>
    <row r="3412" spans="1:9" ht="51.75" customHeight="1">
      <c r="A3412" s="5">
        <v>6</v>
      </c>
      <c r="B3412" s="5" t="s">
        <v>32938</v>
      </c>
      <c r="C3412" s="5" t="s">
        <v>32939</v>
      </c>
      <c r="D3412" s="246">
        <v>39601</v>
      </c>
      <c r="E3412" s="5" t="s">
        <v>32939</v>
      </c>
      <c r="F3412" s="26"/>
      <c r="G3412" s="27" t="s">
        <v>1997</v>
      </c>
      <c r="H3412" s="28" t="s">
        <v>1998</v>
      </c>
      <c r="I3412" s="5" t="s">
        <v>233</v>
      </c>
    </row>
    <row r="3413" spans="1:9" ht="51.75" customHeight="1">
      <c r="A3413" s="5">
        <v>7</v>
      </c>
      <c r="B3413" s="5" t="s">
        <v>32940</v>
      </c>
      <c r="C3413" s="5" t="s">
        <v>32941</v>
      </c>
      <c r="D3413" s="246">
        <v>39601</v>
      </c>
      <c r="E3413" s="5" t="s">
        <v>32942</v>
      </c>
      <c r="F3413" s="26"/>
      <c r="G3413" s="27" t="s">
        <v>1997</v>
      </c>
      <c r="H3413" s="28" t="s">
        <v>1998</v>
      </c>
      <c r="I3413" s="5" t="s">
        <v>233</v>
      </c>
    </row>
    <row r="3414" spans="1:9" ht="51.75" customHeight="1">
      <c r="A3414" s="5">
        <v>8</v>
      </c>
      <c r="B3414" s="5" t="s">
        <v>32943</v>
      </c>
      <c r="C3414" s="5" t="s">
        <v>32944</v>
      </c>
      <c r="D3414" s="246">
        <v>39601</v>
      </c>
      <c r="E3414" s="5" t="s">
        <v>32945</v>
      </c>
      <c r="F3414" s="26"/>
      <c r="G3414" s="27" t="s">
        <v>1997</v>
      </c>
      <c r="H3414" s="28" t="s">
        <v>1998</v>
      </c>
      <c r="I3414" s="5" t="s">
        <v>233</v>
      </c>
    </row>
    <row r="3415" spans="1:9" ht="51.75" customHeight="1">
      <c r="A3415" s="5">
        <v>1</v>
      </c>
      <c r="B3415" s="5" t="s">
        <v>32946</v>
      </c>
      <c r="C3415" s="5" t="s">
        <v>32947</v>
      </c>
      <c r="D3415" s="246">
        <v>39303</v>
      </c>
      <c r="E3415" s="5" t="s">
        <v>32948</v>
      </c>
      <c r="F3415" s="26"/>
      <c r="G3415" s="27" t="s">
        <v>1956</v>
      </c>
      <c r="H3415" s="28" t="s">
        <v>1957</v>
      </c>
      <c r="I3415" s="5" t="s">
        <v>233</v>
      </c>
    </row>
    <row r="3416" spans="1:9" ht="51.75" customHeight="1">
      <c r="A3416" s="5">
        <v>2</v>
      </c>
      <c r="B3416" s="5" t="s">
        <v>32949</v>
      </c>
      <c r="C3416" s="5" t="s">
        <v>32950</v>
      </c>
      <c r="D3416" s="246">
        <v>39303</v>
      </c>
      <c r="E3416" s="5" t="s">
        <v>32951</v>
      </c>
      <c r="F3416" s="26"/>
      <c r="G3416" s="27" t="s">
        <v>1956</v>
      </c>
      <c r="H3416" s="28" t="s">
        <v>1957</v>
      </c>
      <c r="I3416" s="5" t="s">
        <v>233</v>
      </c>
    </row>
    <row r="3417" spans="1:9" ht="51.75" customHeight="1">
      <c r="A3417" s="5">
        <v>3</v>
      </c>
      <c r="B3417" s="5" t="s">
        <v>32952</v>
      </c>
      <c r="C3417" s="5" t="s">
        <v>32953</v>
      </c>
      <c r="D3417" s="246">
        <v>39303</v>
      </c>
      <c r="E3417" s="5" t="s">
        <v>32954</v>
      </c>
      <c r="F3417" s="26"/>
      <c r="G3417" s="27" t="s">
        <v>1956</v>
      </c>
      <c r="H3417" s="28" t="s">
        <v>1957</v>
      </c>
      <c r="I3417" s="5" t="s">
        <v>233</v>
      </c>
    </row>
    <row r="3418" spans="1:9" ht="51.75" customHeight="1">
      <c r="A3418" s="5">
        <v>4</v>
      </c>
      <c r="B3418" s="5" t="s">
        <v>32955</v>
      </c>
      <c r="C3418" s="5" t="s">
        <v>32956</v>
      </c>
      <c r="D3418" s="246">
        <v>39303</v>
      </c>
      <c r="E3418" s="5" t="s">
        <v>32957</v>
      </c>
      <c r="F3418" s="26"/>
      <c r="G3418" s="27" t="s">
        <v>1956</v>
      </c>
      <c r="H3418" s="28" t="s">
        <v>1957</v>
      </c>
      <c r="I3418" s="5" t="s">
        <v>233</v>
      </c>
    </row>
    <row r="3419" spans="1:9" ht="51.75" customHeight="1">
      <c r="A3419" s="5">
        <v>5</v>
      </c>
      <c r="B3419" s="5" t="s">
        <v>32958</v>
      </c>
      <c r="C3419" s="5" t="s">
        <v>32959</v>
      </c>
      <c r="D3419" s="246">
        <v>39303</v>
      </c>
      <c r="E3419" s="5" t="s">
        <v>32960</v>
      </c>
      <c r="F3419" s="26"/>
      <c r="G3419" s="27" t="s">
        <v>1956</v>
      </c>
      <c r="H3419" s="28" t="s">
        <v>1957</v>
      </c>
      <c r="I3419" s="5" t="s">
        <v>233</v>
      </c>
    </row>
    <row r="3420" spans="1:9" ht="51.75" customHeight="1">
      <c r="A3420" s="5">
        <v>1</v>
      </c>
      <c r="B3420" s="5" t="s">
        <v>32961</v>
      </c>
      <c r="C3420" s="5" t="s">
        <v>32962</v>
      </c>
      <c r="D3420" s="246">
        <v>39303</v>
      </c>
      <c r="E3420" s="5" t="s">
        <v>32963</v>
      </c>
      <c r="F3420" s="26"/>
      <c r="G3420" s="27" t="s">
        <v>1875</v>
      </c>
      <c r="H3420" s="28" t="s">
        <v>1876</v>
      </c>
      <c r="I3420" s="5" t="s">
        <v>233</v>
      </c>
    </row>
    <row r="3421" spans="1:9" ht="51.75" customHeight="1">
      <c r="A3421" s="5">
        <v>2</v>
      </c>
      <c r="B3421" s="5" t="s">
        <v>32964</v>
      </c>
      <c r="C3421" s="5" t="s">
        <v>32965</v>
      </c>
      <c r="D3421" s="246">
        <v>39303</v>
      </c>
      <c r="E3421" s="5" t="s">
        <v>32966</v>
      </c>
      <c r="F3421" s="26"/>
      <c r="G3421" s="27" t="s">
        <v>1875</v>
      </c>
      <c r="H3421" s="28" t="s">
        <v>1876</v>
      </c>
      <c r="I3421" s="5" t="s">
        <v>233</v>
      </c>
    </row>
    <row r="3422" spans="1:9" ht="51.75" customHeight="1">
      <c r="A3422" s="5">
        <v>3</v>
      </c>
      <c r="B3422" s="5" t="s">
        <v>32967</v>
      </c>
      <c r="C3422" s="5" t="s">
        <v>32968</v>
      </c>
      <c r="D3422" s="246">
        <v>39303</v>
      </c>
      <c r="E3422" s="5" t="s">
        <v>32969</v>
      </c>
      <c r="F3422" s="26"/>
      <c r="G3422" s="27" t="s">
        <v>1875</v>
      </c>
      <c r="H3422" s="28" t="s">
        <v>1876</v>
      </c>
      <c r="I3422" s="5" t="s">
        <v>233</v>
      </c>
    </row>
    <row r="3423" spans="1:9" ht="51.75" customHeight="1">
      <c r="A3423" s="5">
        <v>4</v>
      </c>
      <c r="B3423" s="5" t="s">
        <v>32970</v>
      </c>
      <c r="C3423" s="5" t="s">
        <v>32971</v>
      </c>
      <c r="D3423" s="246">
        <v>39303</v>
      </c>
      <c r="E3423" s="5" t="s">
        <v>32972</v>
      </c>
      <c r="F3423" s="26"/>
      <c r="G3423" s="27" t="s">
        <v>1875</v>
      </c>
      <c r="H3423" s="28" t="s">
        <v>1876</v>
      </c>
      <c r="I3423" s="5" t="s">
        <v>233</v>
      </c>
    </row>
    <row r="3424" spans="1:9" ht="51.75" customHeight="1">
      <c r="A3424" s="5">
        <v>1</v>
      </c>
      <c r="B3424" s="5" t="s">
        <v>32973</v>
      </c>
      <c r="C3424" s="5" t="s">
        <v>32974</v>
      </c>
      <c r="D3424" s="246">
        <v>39303</v>
      </c>
      <c r="E3424" s="5" t="s">
        <v>32975</v>
      </c>
      <c r="F3424" s="26"/>
      <c r="G3424" s="27" t="s">
        <v>1836</v>
      </c>
      <c r="H3424" s="28" t="s">
        <v>1837</v>
      </c>
      <c r="I3424" s="5" t="s">
        <v>233</v>
      </c>
    </row>
    <row r="3425" spans="1:9" ht="51.75" customHeight="1">
      <c r="A3425" s="5">
        <v>2</v>
      </c>
      <c r="B3425" s="5" t="s">
        <v>32976</v>
      </c>
      <c r="C3425" s="5" t="s">
        <v>32977</v>
      </c>
      <c r="D3425" s="246">
        <v>39303</v>
      </c>
      <c r="E3425" s="5" t="s">
        <v>32978</v>
      </c>
      <c r="F3425" s="26"/>
      <c r="G3425" s="27" t="s">
        <v>1836</v>
      </c>
      <c r="H3425" s="28" t="s">
        <v>1837</v>
      </c>
      <c r="I3425" s="5" t="s">
        <v>233</v>
      </c>
    </row>
    <row r="3426" spans="1:9" ht="51.75" customHeight="1">
      <c r="A3426" s="5">
        <v>1</v>
      </c>
      <c r="B3426" s="5" t="s">
        <v>32979</v>
      </c>
      <c r="C3426" s="5" t="s">
        <v>32980</v>
      </c>
      <c r="D3426" s="246">
        <v>39303</v>
      </c>
      <c r="E3426" s="5" t="s">
        <v>32981</v>
      </c>
      <c r="F3426" s="26"/>
      <c r="G3426" s="27" t="s">
        <v>1793</v>
      </c>
      <c r="H3426" s="28" t="s">
        <v>1794</v>
      </c>
      <c r="I3426" s="5" t="s">
        <v>233</v>
      </c>
    </row>
    <row r="3427" spans="1:9" ht="51.75" customHeight="1">
      <c r="A3427" s="5">
        <v>2</v>
      </c>
      <c r="B3427" s="5" t="s">
        <v>32982</v>
      </c>
      <c r="C3427" s="5" t="s">
        <v>32983</v>
      </c>
      <c r="D3427" s="246">
        <v>39303</v>
      </c>
      <c r="E3427" s="5" t="s">
        <v>32984</v>
      </c>
      <c r="F3427" s="26"/>
      <c r="G3427" s="27" t="s">
        <v>1793</v>
      </c>
      <c r="H3427" s="28" t="s">
        <v>1794</v>
      </c>
      <c r="I3427" s="5" t="s">
        <v>233</v>
      </c>
    </row>
    <row r="3428" spans="1:9" ht="51.75" customHeight="1">
      <c r="A3428" s="5">
        <v>1</v>
      </c>
      <c r="B3428" s="5" t="s">
        <v>32985</v>
      </c>
      <c r="C3428" s="5" t="s">
        <v>32986</v>
      </c>
      <c r="D3428" s="246">
        <v>39303</v>
      </c>
      <c r="E3428" s="5" t="s">
        <v>32987</v>
      </c>
      <c r="F3428" s="26"/>
      <c r="G3428" s="27" t="s">
        <v>1696</v>
      </c>
      <c r="H3428" s="28" t="s">
        <v>1697</v>
      </c>
      <c r="I3428" s="5" t="s">
        <v>233</v>
      </c>
    </row>
    <row r="3429" spans="1:9" ht="51.75" customHeight="1">
      <c r="A3429" s="5">
        <v>2</v>
      </c>
      <c r="B3429" s="5" t="s">
        <v>32988</v>
      </c>
      <c r="C3429" s="5" t="s">
        <v>32989</v>
      </c>
      <c r="D3429" s="246">
        <v>39303</v>
      </c>
      <c r="E3429" s="5" t="s">
        <v>32990</v>
      </c>
      <c r="F3429" s="26"/>
      <c r="G3429" s="27" t="s">
        <v>1696</v>
      </c>
      <c r="H3429" s="28" t="s">
        <v>1697</v>
      </c>
      <c r="I3429" s="5" t="s">
        <v>233</v>
      </c>
    </row>
    <row r="3430" spans="1:9" ht="51.75" customHeight="1">
      <c r="A3430" s="5">
        <v>3</v>
      </c>
      <c r="B3430" s="5" t="s">
        <v>32991</v>
      </c>
      <c r="C3430" s="5" t="s">
        <v>32992</v>
      </c>
      <c r="D3430" s="246">
        <v>39303</v>
      </c>
      <c r="E3430" s="5" t="s">
        <v>32993</v>
      </c>
      <c r="F3430" s="26"/>
      <c r="G3430" s="27" t="s">
        <v>1696</v>
      </c>
      <c r="H3430" s="28" t="s">
        <v>1697</v>
      </c>
      <c r="I3430" s="5" t="s">
        <v>233</v>
      </c>
    </row>
    <row r="3431" spans="1:9" ht="51.75" customHeight="1">
      <c r="A3431" s="5">
        <v>1</v>
      </c>
      <c r="B3431" s="5" t="s">
        <v>32994</v>
      </c>
      <c r="C3431" s="5" t="s">
        <v>32995</v>
      </c>
      <c r="D3431" s="246">
        <v>39303</v>
      </c>
      <c r="E3431" s="5" t="s">
        <v>32996</v>
      </c>
      <c r="F3431" s="26"/>
      <c r="G3431" s="27" t="s">
        <v>1671</v>
      </c>
      <c r="H3431" s="28" t="s">
        <v>1672</v>
      </c>
      <c r="I3431" s="5" t="s">
        <v>233</v>
      </c>
    </row>
    <row r="3432" spans="1:9" ht="51.75" customHeight="1">
      <c r="A3432" s="5">
        <v>2</v>
      </c>
      <c r="B3432" s="5" t="s">
        <v>32997</v>
      </c>
      <c r="C3432" s="5" t="s">
        <v>32998</v>
      </c>
      <c r="D3432" s="246">
        <v>39303</v>
      </c>
      <c r="E3432" s="5" t="s">
        <v>32999</v>
      </c>
      <c r="F3432" s="26"/>
      <c r="G3432" s="27" t="s">
        <v>1671</v>
      </c>
      <c r="H3432" s="28" t="s">
        <v>1672</v>
      </c>
      <c r="I3432" s="5" t="s">
        <v>233</v>
      </c>
    </row>
    <row r="3433" spans="1:9" ht="51.75" customHeight="1">
      <c r="A3433" s="5">
        <v>1</v>
      </c>
      <c r="B3433" s="5" t="s">
        <v>33000</v>
      </c>
      <c r="C3433" s="5" t="s">
        <v>33001</v>
      </c>
      <c r="D3433" s="246">
        <v>39303</v>
      </c>
      <c r="E3433" s="5" t="s">
        <v>33002</v>
      </c>
      <c r="F3433" s="26"/>
      <c r="G3433" s="27" t="s">
        <v>1468</v>
      </c>
      <c r="H3433" s="28" t="s">
        <v>1469</v>
      </c>
      <c r="I3433" s="5" t="s">
        <v>233</v>
      </c>
    </row>
    <row r="3434" spans="1:9" ht="51.75" customHeight="1">
      <c r="A3434" s="5">
        <v>2</v>
      </c>
      <c r="B3434" s="5" t="s">
        <v>33003</v>
      </c>
      <c r="C3434" s="5" t="s">
        <v>33004</v>
      </c>
      <c r="D3434" s="246">
        <v>39303</v>
      </c>
      <c r="E3434" s="5" t="s">
        <v>33005</v>
      </c>
      <c r="F3434" s="26"/>
      <c r="G3434" s="27" t="s">
        <v>1468</v>
      </c>
      <c r="H3434" s="28" t="s">
        <v>1469</v>
      </c>
      <c r="I3434" s="5" t="s">
        <v>233</v>
      </c>
    </row>
    <row r="3435" spans="1:9" ht="51.75" customHeight="1">
      <c r="A3435" s="5">
        <v>1</v>
      </c>
      <c r="B3435" s="5" t="s">
        <v>33006</v>
      </c>
      <c r="C3435" s="5" t="s">
        <v>33007</v>
      </c>
      <c r="D3435" s="246">
        <v>39489</v>
      </c>
      <c r="E3435" s="5" t="s">
        <v>33008</v>
      </c>
      <c r="F3435" s="26"/>
      <c r="G3435" s="27" t="s">
        <v>1819</v>
      </c>
      <c r="H3435" s="28" t="s">
        <v>1820</v>
      </c>
      <c r="I3435" s="5" t="s">
        <v>233</v>
      </c>
    </row>
    <row r="3436" spans="1:9" ht="51.75" customHeight="1">
      <c r="A3436" s="5">
        <v>2</v>
      </c>
      <c r="B3436" s="5" t="s">
        <v>33009</v>
      </c>
      <c r="C3436" s="5" t="s">
        <v>33010</v>
      </c>
      <c r="D3436" s="246">
        <v>39489</v>
      </c>
      <c r="E3436" s="5" t="s">
        <v>33011</v>
      </c>
      <c r="F3436" s="26"/>
      <c r="G3436" s="27" t="s">
        <v>1819</v>
      </c>
      <c r="H3436" s="28" t="s">
        <v>1820</v>
      </c>
      <c r="I3436" s="5" t="s">
        <v>233</v>
      </c>
    </row>
    <row r="3437" spans="1:9" ht="51.75" customHeight="1">
      <c r="A3437" s="5">
        <v>3</v>
      </c>
      <c r="B3437" s="5" t="s">
        <v>33012</v>
      </c>
      <c r="C3437" s="5" t="s">
        <v>33013</v>
      </c>
      <c r="D3437" s="246">
        <v>39489</v>
      </c>
      <c r="E3437" s="5" t="s">
        <v>33014</v>
      </c>
      <c r="F3437" s="26"/>
      <c r="G3437" s="27" t="s">
        <v>1819</v>
      </c>
      <c r="H3437" s="28" t="s">
        <v>1820</v>
      </c>
      <c r="I3437" s="5" t="s">
        <v>233</v>
      </c>
    </row>
    <row r="3438" spans="1:9" ht="51.75" customHeight="1">
      <c r="A3438" s="5">
        <v>4</v>
      </c>
      <c r="B3438" s="5" t="s">
        <v>33015</v>
      </c>
      <c r="C3438" s="5" t="s">
        <v>33016</v>
      </c>
      <c r="D3438" s="246">
        <v>39489</v>
      </c>
      <c r="E3438" s="5" t="s">
        <v>33017</v>
      </c>
      <c r="F3438" s="26"/>
      <c r="G3438" s="27" t="s">
        <v>1819</v>
      </c>
      <c r="H3438" s="28" t="s">
        <v>1820</v>
      </c>
      <c r="I3438" s="5" t="s">
        <v>233</v>
      </c>
    </row>
    <row r="3439" spans="1:9" ht="51.75" customHeight="1">
      <c r="A3439" s="5">
        <v>1</v>
      </c>
      <c r="B3439" s="5" t="s">
        <v>33018</v>
      </c>
      <c r="C3439" s="5" t="s">
        <v>33019</v>
      </c>
      <c r="D3439" s="246">
        <v>39267</v>
      </c>
      <c r="E3439" s="5" t="s">
        <v>33020</v>
      </c>
      <c r="F3439" s="26"/>
      <c r="G3439" s="27" t="s">
        <v>1756</v>
      </c>
      <c r="H3439" s="28" t="s">
        <v>1757</v>
      </c>
      <c r="I3439" s="5" t="s">
        <v>233</v>
      </c>
    </row>
    <row r="3440" spans="1:9" ht="51.75" customHeight="1">
      <c r="A3440" s="5">
        <v>2</v>
      </c>
      <c r="B3440" s="5" t="s">
        <v>33021</v>
      </c>
      <c r="C3440" s="5" t="s">
        <v>33022</v>
      </c>
      <c r="D3440" s="246">
        <v>39267</v>
      </c>
      <c r="E3440" s="5" t="s">
        <v>33023</v>
      </c>
      <c r="F3440" s="26"/>
      <c r="G3440" s="27" t="s">
        <v>1756</v>
      </c>
      <c r="H3440" s="28" t="s">
        <v>1757</v>
      </c>
      <c r="I3440" s="5" t="s">
        <v>233</v>
      </c>
    </row>
    <row r="3441" spans="1:9" ht="51.75" customHeight="1">
      <c r="A3441" s="5">
        <v>3</v>
      </c>
      <c r="B3441" s="5" t="s">
        <v>33024</v>
      </c>
      <c r="C3441" s="5" t="s">
        <v>33025</v>
      </c>
      <c r="D3441" s="246">
        <v>39267</v>
      </c>
      <c r="E3441" s="5" t="s">
        <v>33026</v>
      </c>
      <c r="F3441" s="26"/>
      <c r="G3441" s="27" t="s">
        <v>1756</v>
      </c>
      <c r="H3441" s="28" t="s">
        <v>1757</v>
      </c>
      <c r="I3441" s="5" t="s">
        <v>233</v>
      </c>
    </row>
    <row r="3442" spans="1:9" ht="51.75" customHeight="1">
      <c r="A3442" s="5">
        <v>4</v>
      </c>
      <c r="B3442" s="5" t="s">
        <v>33027</v>
      </c>
      <c r="C3442" s="5" t="s">
        <v>33028</v>
      </c>
      <c r="D3442" s="246">
        <v>39267</v>
      </c>
      <c r="E3442" s="5" t="s">
        <v>33029</v>
      </c>
      <c r="F3442" s="26"/>
      <c r="G3442" s="27" t="s">
        <v>1756</v>
      </c>
      <c r="H3442" s="28" t="s">
        <v>1757</v>
      </c>
      <c r="I3442" s="5" t="s">
        <v>233</v>
      </c>
    </row>
    <row r="3443" spans="1:9" ht="51.75" customHeight="1">
      <c r="A3443" s="5">
        <v>5</v>
      </c>
      <c r="B3443" s="5" t="s">
        <v>33030</v>
      </c>
      <c r="C3443" s="5" t="s">
        <v>33031</v>
      </c>
      <c r="D3443" s="246">
        <v>39267</v>
      </c>
      <c r="E3443" s="5" t="s">
        <v>33032</v>
      </c>
      <c r="F3443" s="26"/>
      <c r="G3443" s="27" t="s">
        <v>1756</v>
      </c>
      <c r="H3443" s="28" t="s">
        <v>1757</v>
      </c>
      <c r="I3443" s="5" t="s">
        <v>233</v>
      </c>
    </row>
    <row r="3444" spans="1:9" ht="51.75" customHeight="1">
      <c r="A3444" s="5">
        <v>6</v>
      </c>
      <c r="B3444" s="5" t="s">
        <v>33033</v>
      </c>
      <c r="C3444" s="5" t="s">
        <v>33034</v>
      </c>
      <c r="D3444" s="246">
        <v>39267</v>
      </c>
      <c r="E3444" s="5" t="s">
        <v>33035</v>
      </c>
      <c r="F3444" s="26"/>
      <c r="G3444" s="27" t="s">
        <v>1756</v>
      </c>
      <c r="H3444" s="28" t="s">
        <v>1757</v>
      </c>
      <c r="I3444" s="5" t="s">
        <v>233</v>
      </c>
    </row>
    <row r="3445" spans="1:9" ht="51.75" customHeight="1">
      <c r="A3445" s="5">
        <v>7</v>
      </c>
      <c r="B3445" s="5" t="s">
        <v>33036</v>
      </c>
      <c r="C3445" s="5" t="s">
        <v>33037</v>
      </c>
      <c r="D3445" s="246">
        <v>39267</v>
      </c>
      <c r="E3445" s="5" t="s">
        <v>33038</v>
      </c>
      <c r="F3445" s="26"/>
      <c r="G3445" s="27" t="s">
        <v>1756</v>
      </c>
      <c r="H3445" s="28" t="s">
        <v>1757</v>
      </c>
      <c r="I3445" s="5" t="s">
        <v>233</v>
      </c>
    </row>
    <row r="3446" spans="1:9" ht="51.75" customHeight="1">
      <c r="A3446" s="5">
        <v>1</v>
      </c>
      <c r="B3446" s="5" t="s">
        <v>33039</v>
      </c>
      <c r="C3446" s="5" t="s">
        <v>33040</v>
      </c>
      <c r="D3446" s="246">
        <v>39267</v>
      </c>
      <c r="E3446" s="5" t="s">
        <v>33041</v>
      </c>
      <c r="F3446" s="26"/>
      <c r="G3446" s="27" t="s">
        <v>1660</v>
      </c>
      <c r="H3446" s="28" t="s">
        <v>1661</v>
      </c>
      <c r="I3446" s="5" t="s">
        <v>233</v>
      </c>
    </row>
    <row r="3447" spans="1:9" ht="51.75" customHeight="1">
      <c r="A3447" s="5">
        <v>2</v>
      </c>
      <c r="B3447" s="5" t="s">
        <v>33042</v>
      </c>
      <c r="C3447" s="5" t="s">
        <v>33043</v>
      </c>
      <c r="D3447" s="246">
        <v>39267</v>
      </c>
      <c r="E3447" s="5" t="s">
        <v>33044</v>
      </c>
      <c r="F3447" s="26"/>
      <c r="G3447" s="27" t="s">
        <v>1660</v>
      </c>
      <c r="H3447" s="28" t="s">
        <v>1661</v>
      </c>
      <c r="I3447" s="5" t="s">
        <v>233</v>
      </c>
    </row>
    <row r="3448" spans="1:9" ht="51.75" customHeight="1">
      <c r="A3448" s="5">
        <v>3</v>
      </c>
      <c r="B3448" s="5" t="s">
        <v>33045</v>
      </c>
      <c r="C3448" s="5" t="s">
        <v>33046</v>
      </c>
      <c r="D3448" s="246">
        <v>39267</v>
      </c>
      <c r="E3448" s="5" t="s">
        <v>33047</v>
      </c>
      <c r="F3448" s="26"/>
      <c r="G3448" s="27" t="s">
        <v>1660</v>
      </c>
      <c r="H3448" s="28" t="s">
        <v>1661</v>
      </c>
      <c r="I3448" s="5" t="s">
        <v>233</v>
      </c>
    </row>
    <row r="3449" spans="1:9" ht="51.75" customHeight="1">
      <c r="A3449" s="5">
        <v>4</v>
      </c>
      <c r="B3449" s="5" t="s">
        <v>33048</v>
      </c>
      <c r="C3449" s="5" t="s">
        <v>33049</v>
      </c>
      <c r="D3449" s="246">
        <v>39267</v>
      </c>
      <c r="E3449" s="5" t="s">
        <v>33050</v>
      </c>
      <c r="F3449" s="26"/>
      <c r="G3449" s="27" t="s">
        <v>1660</v>
      </c>
      <c r="H3449" s="28" t="s">
        <v>1661</v>
      </c>
      <c r="I3449" s="5" t="s">
        <v>233</v>
      </c>
    </row>
    <row r="3450" spans="1:9" ht="51.75" customHeight="1">
      <c r="A3450" s="5">
        <v>5</v>
      </c>
      <c r="B3450" s="5" t="s">
        <v>33051</v>
      </c>
      <c r="C3450" s="5" t="s">
        <v>33052</v>
      </c>
      <c r="D3450" s="246">
        <v>39267</v>
      </c>
      <c r="E3450" s="5" t="s">
        <v>33053</v>
      </c>
      <c r="F3450" s="26"/>
      <c r="G3450" s="27" t="s">
        <v>1660</v>
      </c>
      <c r="H3450" s="28" t="s">
        <v>1661</v>
      </c>
      <c r="I3450" s="5" t="s">
        <v>233</v>
      </c>
    </row>
    <row r="3451" spans="1:9" ht="51.75" customHeight="1">
      <c r="A3451" s="5">
        <v>6</v>
      </c>
      <c r="B3451" s="5" t="s">
        <v>33054</v>
      </c>
      <c r="C3451" s="5" t="s">
        <v>33055</v>
      </c>
      <c r="D3451" s="246">
        <v>39267</v>
      </c>
      <c r="E3451" s="5" t="s">
        <v>33056</v>
      </c>
      <c r="F3451" s="26"/>
      <c r="G3451" s="27" t="s">
        <v>1660</v>
      </c>
      <c r="H3451" s="28" t="s">
        <v>1661</v>
      </c>
      <c r="I3451" s="5" t="s">
        <v>233</v>
      </c>
    </row>
    <row r="3452" spans="1:9" ht="51.75" customHeight="1">
      <c r="A3452" s="5">
        <v>7</v>
      </c>
      <c r="B3452" s="5" t="s">
        <v>33057</v>
      </c>
      <c r="C3452" s="5" t="s">
        <v>33058</v>
      </c>
      <c r="D3452" s="246">
        <v>39267</v>
      </c>
      <c r="E3452" s="5" t="s">
        <v>33059</v>
      </c>
      <c r="F3452" s="26"/>
      <c r="G3452" s="27" t="s">
        <v>1660</v>
      </c>
      <c r="H3452" s="28" t="s">
        <v>1661</v>
      </c>
      <c r="I3452" s="5" t="s">
        <v>233</v>
      </c>
    </row>
    <row r="3453" spans="1:9" ht="51.75" customHeight="1">
      <c r="A3453" s="5">
        <v>8</v>
      </c>
      <c r="B3453" s="5" t="s">
        <v>33060</v>
      </c>
      <c r="C3453" s="5" t="s">
        <v>33061</v>
      </c>
      <c r="D3453" s="246">
        <v>39267</v>
      </c>
      <c r="E3453" s="5" t="s">
        <v>33062</v>
      </c>
      <c r="F3453" s="26"/>
      <c r="G3453" s="27" t="s">
        <v>1660</v>
      </c>
      <c r="H3453" s="28" t="s">
        <v>1661</v>
      </c>
      <c r="I3453" s="5" t="s">
        <v>233</v>
      </c>
    </row>
    <row r="3454" spans="1:9" ht="51.75" customHeight="1">
      <c r="A3454" s="5">
        <v>1</v>
      </c>
      <c r="B3454" s="5" t="s">
        <v>33063</v>
      </c>
      <c r="C3454" s="5" t="s">
        <v>33064</v>
      </c>
      <c r="D3454" s="246">
        <v>39051</v>
      </c>
      <c r="E3454" s="5" t="s">
        <v>33065</v>
      </c>
      <c r="F3454" s="26"/>
      <c r="G3454" s="27" t="s">
        <v>355</v>
      </c>
      <c r="H3454" s="28" t="s">
        <v>356</v>
      </c>
      <c r="I3454" s="5" t="s">
        <v>233</v>
      </c>
    </row>
    <row r="3455" spans="1:9" ht="51.75" customHeight="1">
      <c r="A3455" s="5">
        <v>2</v>
      </c>
      <c r="B3455" s="5" t="s">
        <v>33066</v>
      </c>
      <c r="C3455" s="5" t="s">
        <v>33067</v>
      </c>
      <c r="D3455" s="246">
        <v>39051</v>
      </c>
      <c r="E3455" s="5" t="s">
        <v>33068</v>
      </c>
      <c r="F3455" s="26"/>
      <c r="G3455" s="27" t="s">
        <v>355</v>
      </c>
      <c r="H3455" s="28" t="s">
        <v>356</v>
      </c>
      <c r="I3455" s="5" t="s">
        <v>233</v>
      </c>
    </row>
    <row r="3456" spans="1:9" ht="51.75" customHeight="1">
      <c r="A3456" s="5">
        <v>3</v>
      </c>
      <c r="B3456" s="5" t="s">
        <v>33069</v>
      </c>
      <c r="C3456" s="5" t="s">
        <v>33070</v>
      </c>
      <c r="D3456" s="246">
        <v>39051</v>
      </c>
      <c r="E3456" s="5" t="s">
        <v>33071</v>
      </c>
      <c r="F3456" s="26"/>
      <c r="G3456" s="27" t="s">
        <v>355</v>
      </c>
      <c r="H3456" s="28" t="s">
        <v>356</v>
      </c>
      <c r="I3456" s="5" t="s">
        <v>233</v>
      </c>
    </row>
    <row r="3457" spans="1:9" ht="51.75" customHeight="1">
      <c r="A3457" s="5">
        <v>4</v>
      </c>
      <c r="B3457" s="5" t="s">
        <v>33072</v>
      </c>
      <c r="C3457" s="5" t="s">
        <v>33073</v>
      </c>
      <c r="D3457" s="246">
        <v>39051</v>
      </c>
      <c r="E3457" s="5" t="s">
        <v>33074</v>
      </c>
      <c r="F3457" s="26"/>
      <c r="G3457" s="27" t="s">
        <v>355</v>
      </c>
      <c r="H3457" s="28" t="s">
        <v>356</v>
      </c>
      <c r="I3457" s="5" t="s">
        <v>233</v>
      </c>
    </row>
    <row r="3458" spans="1:9" ht="51.75" customHeight="1">
      <c r="A3458" s="5">
        <v>5</v>
      </c>
      <c r="B3458" s="5" t="s">
        <v>33075</v>
      </c>
      <c r="C3458" s="5" t="s">
        <v>33076</v>
      </c>
      <c r="D3458" s="246">
        <v>39051</v>
      </c>
      <c r="E3458" s="5" t="s">
        <v>33077</v>
      </c>
      <c r="F3458" s="26"/>
      <c r="G3458" s="27" t="s">
        <v>355</v>
      </c>
      <c r="H3458" s="28" t="s">
        <v>356</v>
      </c>
      <c r="I3458" s="5" t="s">
        <v>233</v>
      </c>
    </row>
    <row r="3459" spans="1:9" ht="51.75" customHeight="1">
      <c r="A3459" s="5">
        <v>6</v>
      </c>
      <c r="B3459" s="5" t="s">
        <v>33078</v>
      </c>
      <c r="C3459" s="5" t="s">
        <v>33079</v>
      </c>
      <c r="D3459" s="246">
        <v>39051</v>
      </c>
      <c r="E3459" s="5" t="s">
        <v>33080</v>
      </c>
      <c r="F3459" s="26"/>
      <c r="G3459" s="27" t="s">
        <v>355</v>
      </c>
      <c r="H3459" s="28" t="s">
        <v>356</v>
      </c>
      <c r="I3459" s="5" t="s">
        <v>233</v>
      </c>
    </row>
    <row r="3460" spans="1:9" ht="51.75" customHeight="1">
      <c r="A3460" s="5">
        <v>7</v>
      </c>
      <c r="B3460" s="5" t="s">
        <v>33081</v>
      </c>
      <c r="C3460" s="5" t="s">
        <v>33082</v>
      </c>
      <c r="D3460" s="246">
        <v>39051</v>
      </c>
      <c r="E3460" s="5" t="s">
        <v>33083</v>
      </c>
      <c r="F3460" s="26"/>
      <c r="G3460" s="27" t="s">
        <v>355</v>
      </c>
      <c r="H3460" s="28" t="s">
        <v>356</v>
      </c>
      <c r="I3460" s="5" t="s">
        <v>233</v>
      </c>
    </row>
    <row r="3461" spans="1:9" ht="51.75" customHeight="1">
      <c r="A3461" s="5">
        <v>8</v>
      </c>
      <c r="B3461" s="5" t="s">
        <v>33084</v>
      </c>
      <c r="C3461" s="5" t="s">
        <v>33085</v>
      </c>
      <c r="D3461" s="246">
        <v>39051</v>
      </c>
      <c r="E3461" s="5" t="s">
        <v>33086</v>
      </c>
      <c r="F3461" s="26"/>
      <c r="G3461" s="27" t="s">
        <v>355</v>
      </c>
      <c r="H3461" s="28" t="s">
        <v>356</v>
      </c>
      <c r="I3461" s="5" t="s">
        <v>233</v>
      </c>
    </row>
    <row r="3462" spans="1:9" ht="51.75" customHeight="1">
      <c r="A3462" s="5">
        <v>9</v>
      </c>
      <c r="B3462" s="5" t="s">
        <v>33087</v>
      </c>
      <c r="C3462" s="5" t="s">
        <v>33088</v>
      </c>
      <c r="D3462" s="246">
        <v>39051</v>
      </c>
      <c r="E3462" s="5" t="s">
        <v>33089</v>
      </c>
      <c r="F3462" s="26"/>
      <c r="G3462" s="27" t="s">
        <v>355</v>
      </c>
      <c r="H3462" s="28" t="s">
        <v>356</v>
      </c>
      <c r="I3462" s="5" t="s">
        <v>233</v>
      </c>
    </row>
    <row r="3463" spans="1:9" ht="51.75" customHeight="1">
      <c r="A3463" s="5">
        <v>10</v>
      </c>
      <c r="B3463" s="5" t="s">
        <v>33090</v>
      </c>
      <c r="C3463" s="5" t="s">
        <v>33091</v>
      </c>
      <c r="D3463" s="246">
        <v>39051</v>
      </c>
      <c r="E3463" s="5" t="s">
        <v>33092</v>
      </c>
      <c r="F3463" s="26"/>
      <c r="G3463" s="27" t="s">
        <v>355</v>
      </c>
      <c r="H3463" s="28" t="s">
        <v>356</v>
      </c>
      <c r="I3463" s="5" t="s">
        <v>233</v>
      </c>
    </row>
    <row r="3464" spans="1:9" ht="51.75" customHeight="1">
      <c r="A3464" s="5">
        <v>1</v>
      </c>
      <c r="B3464" s="5" t="s">
        <v>33093</v>
      </c>
      <c r="C3464" s="5" t="s">
        <v>33094</v>
      </c>
      <c r="D3464" s="246">
        <v>39090</v>
      </c>
      <c r="E3464" s="5" t="s">
        <v>33095</v>
      </c>
      <c r="F3464" s="26"/>
      <c r="G3464" s="27" t="s">
        <v>368</v>
      </c>
      <c r="H3464" s="28" t="s">
        <v>369</v>
      </c>
      <c r="I3464" s="5" t="s">
        <v>233</v>
      </c>
    </row>
    <row r="3465" spans="1:9" ht="51.75" customHeight="1">
      <c r="A3465" s="5">
        <v>2</v>
      </c>
      <c r="B3465" s="5" t="s">
        <v>33096</v>
      </c>
      <c r="C3465" s="5" t="s">
        <v>33097</v>
      </c>
      <c r="D3465" s="246">
        <v>39090</v>
      </c>
      <c r="E3465" s="5" t="s">
        <v>33098</v>
      </c>
      <c r="F3465" s="26"/>
      <c r="G3465" s="27" t="s">
        <v>368</v>
      </c>
      <c r="H3465" s="28" t="s">
        <v>369</v>
      </c>
      <c r="I3465" s="5" t="s">
        <v>233</v>
      </c>
    </row>
    <row r="3466" spans="1:9" ht="51.75" customHeight="1">
      <c r="A3466" s="5">
        <v>3</v>
      </c>
      <c r="B3466" s="5" t="s">
        <v>33099</v>
      </c>
      <c r="C3466" s="5" t="s">
        <v>33100</v>
      </c>
      <c r="D3466" s="246">
        <v>39090</v>
      </c>
      <c r="E3466" s="5" t="s">
        <v>33101</v>
      </c>
      <c r="F3466" s="26"/>
      <c r="G3466" s="27" t="s">
        <v>368</v>
      </c>
      <c r="H3466" s="28" t="s">
        <v>369</v>
      </c>
      <c r="I3466" s="5" t="s">
        <v>233</v>
      </c>
    </row>
    <row r="3467" spans="1:9" ht="51.75" customHeight="1">
      <c r="A3467" s="5">
        <v>4</v>
      </c>
      <c r="B3467" s="5" t="s">
        <v>33102</v>
      </c>
      <c r="C3467" s="5" t="s">
        <v>33103</v>
      </c>
      <c r="D3467" s="246">
        <v>39090</v>
      </c>
      <c r="E3467" s="5" t="s">
        <v>33104</v>
      </c>
      <c r="F3467" s="26"/>
      <c r="G3467" s="27" t="s">
        <v>368</v>
      </c>
      <c r="H3467" s="28" t="s">
        <v>369</v>
      </c>
      <c r="I3467" s="5" t="s">
        <v>233</v>
      </c>
    </row>
    <row r="3468" spans="1:9" ht="51.75" customHeight="1">
      <c r="A3468" s="5">
        <v>5</v>
      </c>
      <c r="B3468" s="5" t="s">
        <v>33105</v>
      </c>
      <c r="C3468" s="5" t="s">
        <v>33106</v>
      </c>
      <c r="D3468" s="246">
        <v>39090</v>
      </c>
      <c r="E3468" s="5" t="s">
        <v>33107</v>
      </c>
      <c r="F3468" s="26"/>
      <c r="G3468" s="27" t="s">
        <v>368</v>
      </c>
      <c r="H3468" s="28" t="s">
        <v>369</v>
      </c>
      <c r="I3468" s="5" t="s">
        <v>233</v>
      </c>
    </row>
    <row r="3469" spans="1:9" ht="51.75" customHeight="1">
      <c r="A3469" s="5">
        <v>6</v>
      </c>
      <c r="B3469" s="5" t="s">
        <v>33108</v>
      </c>
      <c r="C3469" s="5" t="s">
        <v>33109</v>
      </c>
      <c r="D3469" s="246">
        <v>39090</v>
      </c>
      <c r="E3469" s="5" t="s">
        <v>33110</v>
      </c>
      <c r="F3469" s="26"/>
      <c r="G3469" s="27" t="s">
        <v>368</v>
      </c>
      <c r="H3469" s="28" t="s">
        <v>369</v>
      </c>
      <c r="I3469" s="5" t="s">
        <v>233</v>
      </c>
    </row>
    <row r="3470" spans="1:9" ht="51.75" customHeight="1">
      <c r="A3470" s="5">
        <v>7</v>
      </c>
      <c r="B3470" s="5" t="s">
        <v>33111</v>
      </c>
      <c r="C3470" s="5" t="s">
        <v>33112</v>
      </c>
      <c r="D3470" s="246">
        <v>39090</v>
      </c>
      <c r="E3470" s="5" t="s">
        <v>33113</v>
      </c>
      <c r="F3470" s="26"/>
      <c r="G3470" s="27" t="s">
        <v>368</v>
      </c>
      <c r="H3470" s="28" t="s">
        <v>369</v>
      </c>
      <c r="I3470" s="5" t="s">
        <v>233</v>
      </c>
    </row>
    <row r="3471" spans="1:9" ht="51.75" customHeight="1">
      <c r="A3471" s="5">
        <v>8</v>
      </c>
      <c r="B3471" s="5" t="s">
        <v>33114</v>
      </c>
      <c r="C3471" s="5" t="s">
        <v>33115</v>
      </c>
      <c r="D3471" s="246">
        <v>39090</v>
      </c>
      <c r="E3471" s="5" t="s">
        <v>33116</v>
      </c>
      <c r="F3471" s="26"/>
      <c r="G3471" s="27" t="s">
        <v>368</v>
      </c>
      <c r="H3471" s="28" t="s">
        <v>369</v>
      </c>
      <c r="I3471" s="5" t="s">
        <v>233</v>
      </c>
    </row>
    <row r="3472" spans="1:9" ht="51.75" customHeight="1">
      <c r="A3472" s="5">
        <v>9</v>
      </c>
      <c r="B3472" s="5" t="s">
        <v>33117</v>
      </c>
      <c r="C3472" s="5" t="s">
        <v>33118</v>
      </c>
      <c r="D3472" s="246">
        <v>39090</v>
      </c>
      <c r="E3472" s="5" t="s">
        <v>33119</v>
      </c>
      <c r="F3472" s="26"/>
      <c r="G3472" s="27" t="s">
        <v>368</v>
      </c>
      <c r="H3472" s="28" t="s">
        <v>369</v>
      </c>
      <c r="I3472" s="5" t="s">
        <v>233</v>
      </c>
    </row>
    <row r="3473" spans="1:9" ht="51.75" customHeight="1">
      <c r="A3473" s="5">
        <v>10</v>
      </c>
      <c r="B3473" s="5" t="s">
        <v>33120</v>
      </c>
      <c r="C3473" s="5" t="s">
        <v>33121</v>
      </c>
      <c r="D3473" s="246">
        <v>39090</v>
      </c>
      <c r="E3473" s="5" t="s">
        <v>33122</v>
      </c>
      <c r="F3473" s="26"/>
      <c r="G3473" s="27" t="s">
        <v>368</v>
      </c>
      <c r="H3473" s="28" t="s">
        <v>369</v>
      </c>
      <c r="I3473" s="5" t="s">
        <v>233</v>
      </c>
    </row>
    <row r="3474" spans="1:9" ht="51.75" customHeight="1">
      <c r="A3474" s="5">
        <v>1</v>
      </c>
      <c r="B3474" s="5" t="s">
        <v>33123</v>
      </c>
      <c r="C3474" s="5" t="s">
        <v>33124</v>
      </c>
      <c r="D3474" s="246">
        <v>39842</v>
      </c>
      <c r="E3474" s="5" t="s">
        <v>33125</v>
      </c>
      <c r="F3474" s="26"/>
      <c r="G3474" s="27" t="s">
        <v>1918</v>
      </c>
      <c r="H3474" s="28" t="s">
        <v>1919</v>
      </c>
      <c r="I3474" s="5" t="s">
        <v>233</v>
      </c>
    </row>
    <row r="3475" spans="1:9" ht="51.75" customHeight="1">
      <c r="A3475" s="5">
        <v>2</v>
      </c>
      <c r="B3475" s="5" t="s">
        <v>33126</v>
      </c>
      <c r="C3475" s="5" t="s">
        <v>33127</v>
      </c>
      <c r="D3475" s="246">
        <v>39842</v>
      </c>
      <c r="E3475" s="5" t="s">
        <v>33128</v>
      </c>
      <c r="F3475" s="26"/>
      <c r="G3475" s="27" t="s">
        <v>1918</v>
      </c>
      <c r="H3475" s="28" t="s">
        <v>1919</v>
      </c>
      <c r="I3475" s="5" t="s">
        <v>233</v>
      </c>
    </row>
    <row r="3476" spans="1:9" ht="51.75" customHeight="1">
      <c r="A3476" s="5">
        <v>3</v>
      </c>
      <c r="B3476" s="5" t="s">
        <v>33129</v>
      </c>
      <c r="C3476" s="5" t="s">
        <v>33130</v>
      </c>
      <c r="D3476" s="246">
        <v>39842</v>
      </c>
      <c r="E3476" s="5" t="s">
        <v>33131</v>
      </c>
      <c r="F3476" s="26"/>
      <c r="G3476" s="27" t="s">
        <v>1918</v>
      </c>
      <c r="H3476" s="28" t="s">
        <v>1919</v>
      </c>
      <c r="I3476" s="5" t="s">
        <v>233</v>
      </c>
    </row>
    <row r="3477" spans="1:9" ht="51.75" customHeight="1">
      <c r="A3477" s="5">
        <v>4</v>
      </c>
      <c r="B3477" s="5" t="s">
        <v>33132</v>
      </c>
      <c r="C3477" s="5" t="s">
        <v>33133</v>
      </c>
      <c r="D3477" s="246">
        <v>39842</v>
      </c>
      <c r="E3477" s="5" t="s">
        <v>33134</v>
      </c>
      <c r="F3477" s="26"/>
      <c r="G3477" s="27" t="s">
        <v>1918</v>
      </c>
      <c r="H3477" s="28" t="s">
        <v>1919</v>
      </c>
      <c r="I3477" s="5" t="s">
        <v>233</v>
      </c>
    </row>
    <row r="3478" spans="1:9" ht="51.75" customHeight="1">
      <c r="A3478" s="5">
        <v>5</v>
      </c>
      <c r="B3478" s="5" t="s">
        <v>33135</v>
      </c>
      <c r="C3478" s="5" t="s">
        <v>33136</v>
      </c>
      <c r="D3478" s="246">
        <v>39842</v>
      </c>
      <c r="E3478" s="5" t="s">
        <v>33137</v>
      </c>
      <c r="F3478" s="26"/>
      <c r="G3478" s="27" t="s">
        <v>1918</v>
      </c>
      <c r="H3478" s="28" t="s">
        <v>1919</v>
      </c>
      <c r="I3478" s="5" t="s">
        <v>233</v>
      </c>
    </row>
    <row r="3479" spans="1:9" ht="51.75" customHeight="1">
      <c r="A3479" s="5">
        <v>6</v>
      </c>
      <c r="B3479" s="5" t="s">
        <v>33138</v>
      </c>
      <c r="C3479" s="5" t="s">
        <v>33139</v>
      </c>
      <c r="D3479" s="246">
        <v>39842</v>
      </c>
      <c r="E3479" s="5" t="s">
        <v>33140</v>
      </c>
      <c r="F3479" s="26"/>
      <c r="G3479" s="27" t="s">
        <v>1918</v>
      </c>
      <c r="H3479" s="28" t="s">
        <v>1919</v>
      </c>
      <c r="I3479" s="5" t="s">
        <v>233</v>
      </c>
    </row>
    <row r="3480" spans="1:9" ht="51.75" customHeight="1">
      <c r="A3480" s="5">
        <v>7</v>
      </c>
      <c r="B3480" s="5" t="s">
        <v>33141</v>
      </c>
      <c r="C3480" s="5" t="s">
        <v>33142</v>
      </c>
      <c r="D3480" s="246">
        <v>39842</v>
      </c>
      <c r="E3480" s="5" t="s">
        <v>33143</v>
      </c>
      <c r="F3480" s="26"/>
      <c r="G3480" s="27" t="s">
        <v>1918</v>
      </c>
      <c r="H3480" s="28" t="s">
        <v>1919</v>
      </c>
      <c r="I3480" s="5" t="s">
        <v>233</v>
      </c>
    </row>
    <row r="3481" spans="1:9" ht="51.75" customHeight="1">
      <c r="A3481" s="5">
        <v>8</v>
      </c>
      <c r="B3481" s="5" t="s">
        <v>33144</v>
      </c>
      <c r="C3481" s="5" t="s">
        <v>33145</v>
      </c>
      <c r="D3481" s="246">
        <v>39842</v>
      </c>
      <c r="E3481" s="5" t="s">
        <v>33146</v>
      </c>
      <c r="F3481" s="26"/>
      <c r="G3481" s="27" t="s">
        <v>1918</v>
      </c>
      <c r="H3481" s="28" t="s">
        <v>1919</v>
      </c>
      <c r="I3481" s="5" t="s">
        <v>233</v>
      </c>
    </row>
    <row r="3482" spans="1:9" ht="51.75" customHeight="1">
      <c r="A3482" s="5">
        <v>9</v>
      </c>
      <c r="B3482" s="5" t="s">
        <v>33147</v>
      </c>
      <c r="C3482" s="5" t="s">
        <v>33148</v>
      </c>
      <c r="D3482" s="246">
        <v>39842</v>
      </c>
      <c r="E3482" s="5" t="s">
        <v>33149</v>
      </c>
      <c r="F3482" s="26"/>
      <c r="G3482" s="27" t="s">
        <v>1918</v>
      </c>
      <c r="H3482" s="28" t="s">
        <v>1919</v>
      </c>
      <c r="I3482" s="5" t="s">
        <v>233</v>
      </c>
    </row>
    <row r="3483" spans="1:9" ht="51.75" customHeight="1">
      <c r="A3483" s="5">
        <v>10</v>
      </c>
      <c r="B3483" s="5" t="s">
        <v>33150</v>
      </c>
      <c r="C3483" s="5" t="s">
        <v>33151</v>
      </c>
      <c r="D3483" s="246">
        <v>39842</v>
      </c>
      <c r="E3483" s="5" t="s">
        <v>33152</v>
      </c>
      <c r="F3483" s="26"/>
      <c r="G3483" s="27" t="s">
        <v>1918</v>
      </c>
      <c r="H3483" s="28" t="s">
        <v>1919</v>
      </c>
      <c r="I3483" s="5" t="s">
        <v>233</v>
      </c>
    </row>
    <row r="3484" spans="1:9" ht="51.75" customHeight="1">
      <c r="A3484" s="5">
        <v>1</v>
      </c>
      <c r="B3484" s="5" t="s">
        <v>33153</v>
      </c>
      <c r="C3484" s="5" t="s">
        <v>33043</v>
      </c>
      <c r="D3484" s="246">
        <v>39260</v>
      </c>
      <c r="E3484" s="5" t="s">
        <v>33154</v>
      </c>
      <c r="F3484" s="26"/>
      <c r="G3484" s="27" t="s">
        <v>1778</v>
      </c>
      <c r="H3484" s="28" t="s">
        <v>1779</v>
      </c>
      <c r="I3484" s="5" t="s">
        <v>233</v>
      </c>
    </row>
    <row r="3485" spans="1:9" ht="51.75" customHeight="1">
      <c r="A3485" s="5">
        <v>2</v>
      </c>
      <c r="B3485" s="5" t="s">
        <v>33155</v>
      </c>
      <c r="C3485" s="5" t="s">
        <v>33156</v>
      </c>
      <c r="D3485" s="246">
        <v>39260</v>
      </c>
      <c r="E3485" s="5" t="s">
        <v>33157</v>
      </c>
      <c r="F3485" s="26"/>
      <c r="G3485" s="27" t="s">
        <v>1778</v>
      </c>
      <c r="H3485" s="28" t="s">
        <v>1779</v>
      </c>
      <c r="I3485" s="5" t="s">
        <v>233</v>
      </c>
    </row>
    <row r="3486" spans="1:9" ht="51.75" customHeight="1">
      <c r="A3486" s="5">
        <v>3</v>
      </c>
      <c r="B3486" s="5" t="s">
        <v>33158</v>
      </c>
      <c r="C3486" s="5" t="s">
        <v>33159</v>
      </c>
      <c r="D3486" s="246">
        <v>39260</v>
      </c>
      <c r="E3486" s="5" t="s">
        <v>33160</v>
      </c>
      <c r="F3486" s="26"/>
      <c r="G3486" s="27" t="s">
        <v>1778</v>
      </c>
      <c r="H3486" s="28" t="s">
        <v>1779</v>
      </c>
      <c r="I3486" s="5" t="s">
        <v>233</v>
      </c>
    </row>
    <row r="3487" spans="1:9" ht="51.75" customHeight="1">
      <c r="A3487" s="5">
        <v>4</v>
      </c>
      <c r="B3487" s="5" t="s">
        <v>33161</v>
      </c>
      <c r="C3487" s="5" t="s">
        <v>33162</v>
      </c>
      <c r="D3487" s="246">
        <v>39260</v>
      </c>
      <c r="E3487" s="5" t="s">
        <v>33163</v>
      </c>
      <c r="F3487" s="26"/>
      <c r="G3487" s="27" t="s">
        <v>1778</v>
      </c>
      <c r="H3487" s="28" t="s">
        <v>1779</v>
      </c>
      <c r="I3487" s="5" t="s">
        <v>233</v>
      </c>
    </row>
    <row r="3488" spans="1:9" ht="51.75" customHeight="1">
      <c r="A3488" s="5">
        <v>5</v>
      </c>
      <c r="B3488" s="5" t="s">
        <v>33164</v>
      </c>
      <c r="C3488" s="5" t="s">
        <v>33165</v>
      </c>
      <c r="D3488" s="246">
        <v>39260</v>
      </c>
      <c r="E3488" s="5" t="s">
        <v>33166</v>
      </c>
      <c r="F3488" s="26"/>
      <c r="G3488" s="27" t="s">
        <v>1778</v>
      </c>
      <c r="H3488" s="28" t="s">
        <v>1779</v>
      </c>
      <c r="I3488" s="5" t="s">
        <v>233</v>
      </c>
    </row>
    <row r="3489" spans="1:9" ht="51.75" customHeight="1">
      <c r="A3489" s="5">
        <v>6</v>
      </c>
      <c r="B3489" s="5" t="s">
        <v>33167</v>
      </c>
      <c r="C3489" s="5" t="s">
        <v>33168</v>
      </c>
      <c r="D3489" s="246">
        <v>39260</v>
      </c>
      <c r="E3489" s="5" t="s">
        <v>33169</v>
      </c>
      <c r="F3489" s="26"/>
      <c r="G3489" s="27" t="s">
        <v>1778</v>
      </c>
      <c r="H3489" s="28" t="s">
        <v>1779</v>
      </c>
      <c r="I3489" s="5" t="s">
        <v>233</v>
      </c>
    </row>
    <row r="3490" spans="1:9" ht="51.75" customHeight="1">
      <c r="A3490" s="5">
        <v>7</v>
      </c>
      <c r="B3490" s="5" t="s">
        <v>33170</v>
      </c>
      <c r="C3490" s="5" t="s">
        <v>33171</v>
      </c>
      <c r="D3490" s="246">
        <v>39260</v>
      </c>
      <c r="E3490" s="5" t="s">
        <v>33172</v>
      </c>
      <c r="F3490" s="26"/>
      <c r="G3490" s="27" t="s">
        <v>1778</v>
      </c>
      <c r="H3490" s="28" t="s">
        <v>1779</v>
      </c>
      <c r="I3490" s="5" t="s">
        <v>233</v>
      </c>
    </row>
    <row r="3491" spans="1:9" ht="51.75" customHeight="1">
      <c r="A3491" s="5">
        <v>1</v>
      </c>
      <c r="B3491" s="5" t="s">
        <v>33173</v>
      </c>
      <c r="C3491" s="5" t="s">
        <v>33174</v>
      </c>
      <c r="D3491" s="246">
        <v>39233</v>
      </c>
      <c r="E3491" s="5" t="s">
        <v>33175</v>
      </c>
      <c r="F3491" s="26"/>
      <c r="G3491" s="27" t="s">
        <v>714</v>
      </c>
      <c r="H3491" s="28" t="s">
        <v>715</v>
      </c>
      <c r="I3491" s="5" t="s">
        <v>233</v>
      </c>
    </row>
    <row r="3492" spans="1:9" ht="51.75" customHeight="1">
      <c r="A3492" s="5">
        <v>2</v>
      </c>
      <c r="B3492" s="5" t="s">
        <v>33176</v>
      </c>
      <c r="C3492" s="5" t="s">
        <v>33177</v>
      </c>
      <c r="D3492" s="246">
        <v>39233</v>
      </c>
      <c r="E3492" s="5" t="s">
        <v>33178</v>
      </c>
      <c r="F3492" s="26"/>
      <c r="G3492" s="27" t="s">
        <v>714</v>
      </c>
      <c r="H3492" s="28" t="s">
        <v>715</v>
      </c>
      <c r="I3492" s="5" t="s">
        <v>233</v>
      </c>
    </row>
    <row r="3493" spans="1:9" ht="51.75" customHeight="1">
      <c r="A3493" s="5">
        <v>3</v>
      </c>
      <c r="B3493" s="5" t="s">
        <v>33179</v>
      </c>
      <c r="C3493" s="5" t="s">
        <v>33180</v>
      </c>
      <c r="D3493" s="246">
        <v>39233</v>
      </c>
      <c r="E3493" s="5" t="s">
        <v>33181</v>
      </c>
      <c r="F3493" s="26"/>
      <c r="G3493" s="27" t="s">
        <v>714</v>
      </c>
      <c r="H3493" s="28" t="s">
        <v>715</v>
      </c>
      <c r="I3493" s="5" t="s">
        <v>233</v>
      </c>
    </row>
    <row r="3494" spans="1:9" ht="51.75" customHeight="1">
      <c r="A3494" s="5">
        <v>4</v>
      </c>
      <c r="B3494" s="5" t="s">
        <v>33182</v>
      </c>
      <c r="C3494" s="5" t="s">
        <v>33183</v>
      </c>
      <c r="D3494" s="246">
        <v>39233</v>
      </c>
      <c r="E3494" s="5" t="s">
        <v>33184</v>
      </c>
      <c r="F3494" s="26"/>
      <c r="G3494" s="27" t="s">
        <v>714</v>
      </c>
      <c r="H3494" s="28" t="s">
        <v>715</v>
      </c>
      <c r="I3494" s="5" t="s">
        <v>233</v>
      </c>
    </row>
    <row r="3495" spans="1:9" ht="51.75" customHeight="1">
      <c r="A3495" s="5">
        <v>5</v>
      </c>
      <c r="B3495" s="5" t="s">
        <v>33185</v>
      </c>
      <c r="C3495" s="5" t="s">
        <v>33186</v>
      </c>
      <c r="D3495" s="246">
        <v>39233</v>
      </c>
      <c r="E3495" s="5" t="s">
        <v>33187</v>
      </c>
      <c r="F3495" s="26"/>
      <c r="G3495" s="27" t="s">
        <v>714</v>
      </c>
      <c r="H3495" s="28" t="s">
        <v>715</v>
      </c>
      <c r="I3495" s="5" t="s">
        <v>233</v>
      </c>
    </row>
    <row r="3496" spans="1:9" ht="51.75" customHeight="1">
      <c r="A3496" s="5">
        <v>6</v>
      </c>
      <c r="B3496" s="5" t="s">
        <v>33188</v>
      </c>
      <c r="C3496" s="5" t="s">
        <v>33189</v>
      </c>
      <c r="D3496" s="246">
        <v>39233</v>
      </c>
      <c r="E3496" s="5" t="s">
        <v>33190</v>
      </c>
      <c r="F3496" s="26"/>
      <c r="G3496" s="27" t="s">
        <v>714</v>
      </c>
      <c r="H3496" s="28" t="s">
        <v>715</v>
      </c>
      <c r="I3496" s="5" t="s">
        <v>233</v>
      </c>
    </row>
    <row r="3497" spans="1:9" ht="51.75" customHeight="1">
      <c r="A3497" s="5">
        <v>1</v>
      </c>
      <c r="B3497" s="5" t="s">
        <v>33191</v>
      </c>
      <c r="C3497" s="5" t="s">
        <v>33192</v>
      </c>
      <c r="D3497" s="246">
        <v>39434</v>
      </c>
      <c r="E3497" s="5" t="s">
        <v>33193</v>
      </c>
      <c r="F3497" s="26"/>
      <c r="G3497" s="27" t="s">
        <v>1187</v>
      </c>
      <c r="H3497" s="28" t="s">
        <v>1188</v>
      </c>
      <c r="I3497" s="5" t="s">
        <v>233</v>
      </c>
    </row>
    <row r="3498" spans="1:9" ht="51.75" customHeight="1">
      <c r="A3498" s="5">
        <v>2</v>
      </c>
      <c r="B3498" s="5" t="s">
        <v>33194</v>
      </c>
      <c r="C3498" s="5" t="s">
        <v>33195</v>
      </c>
      <c r="D3498" s="246">
        <v>39434</v>
      </c>
      <c r="E3498" s="5" t="s">
        <v>33196</v>
      </c>
      <c r="F3498" s="26"/>
      <c r="G3498" s="27" t="s">
        <v>1187</v>
      </c>
      <c r="H3498" s="28" t="s">
        <v>1188</v>
      </c>
      <c r="I3498" s="5" t="s">
        <v>233</v>
      </c>
    </row>
    <row r="3499" spans="1:9" ht="51.75" customHeight="1">
      <c r="A3499" s="5">
        <v>3</v>
      </c>
      <c r="B3499" s="5" t="s">
        <v>33197</v>
      </c>
      <c r="C3499" s="5" t="s">
        <v>33198</v>
      </c>
      <c r="D3499" s="246">
        <v>39434</v>
      </c>
      <c r="E3499" s="5" t="s">
        <v>33199</v>
      </c>
      <c r="F3499" s="26"/>
      <c r="G3499" s="27" t="s">
        <v>1187</v>
      </c>
      <c r="H3499" s="28" t="s">
        <v>1188</v>
      </c>
      <c r="I3499" s="5" t="s">
        <v>233</v>
      </c>
    </row>
    <row r="3500" spans="1:9" ht="51.75" customHeight="1">
      <c r="A3500" s="5">
        <v>4</v>
      </c>
      <c r="B3500" s="5" t="s">
        <v>33200</v>
      </c>
      <c r="C3500" s="5" t="s">
        <v>33201</v>
      </c>
      <c r="D3500" s="246">
        <v>39434</v>
      </c>
      <c r="E3500" s="5" t="s">
        <v>33202</v>
      </c>
      <c r="F3500" s="26"/>
      <c r="G3500" s="27" t="s">
        <v>1187</v>
      </c>
      <c r="H3500" s="28" t="s">
        <v>1188</v>
      </c>
      <c r="I3500" s="5" t="s">
        <v>233</v>
      </c>
    </row>
    <row r="3501" spans="1:9" ht="51.75" customHeight="1">
      <c r="A3501" s="5">
        <v>5</v>
      </c>
      <c r="B3501" s="5" t="s">
        <v>33203</v>
      </c>
      <c r="C3501" s="5" t="s">
        <v>33204</v>
      </c>
      <c r="D3501" s="246">
        <v>39434</v>
      </c>
      <c r="E3501" s="5" t="s">
        <v>33205</v>
      </c>
      <c r="F3501" s="26"/>
      <c r="G3501" s="27" t="s">
        <v>1187</v>
      </c>
      <c r="H3501" s="28" t="s">
        <v>1188</v>
      </c>
      <c r="I3501" s="5" t="s">
        <v>233</v>
      </c>
    </row>
    <row r="3502" spans="1:9" ht="51.75" customHeight="1">
      <c r="A3502" s="5">
        <v>6</v>
      </c>
      <c r="B3502" s="5" t="s">
        <v>33206</v>
      </c>
      <c r="C3502" s="5" t="s">
        <v>33207</v>
      </c>
      <c r="D3502" s="246">
        <v>39434</v>
      </c>
      <c r="E3502" s="5" t="s">
        <v>33208</v>
      </c>
      <c r="F3502" s="26"/>
      <c r="G3502" s="27" t="s">
        <v>1187</v>
      </c>
      <c r="H3502" s="28" t="s">
        <v>1188</v>
      </c>
      <c r="I3502" s="5" t="s">
        <v>233</v>
      </c>
    </row>
    <row r="3503" spans="1:9" ht="51.75" customHeight="1">
      <c r="A3503" s="5">
        <v>7</v>
      </c>
      <c r="B3503" s="5" t="s">
        <v>33209</v>
      </c>
      <c r="C3503" s="5" t="s">
        <v>33210</v>
      </c>
      <c r="D3503" s="246">
        <v>39434</v>
      </c>
      <c r="E3503" s="5" t="s">
        <v>33211</v>
      </c>
      <c r="F3503" s="26"/>
      <c r="G3503" s="27" t="s">
        <v>1187</v>
      </c>
      <c r="H3503" s="28" t="s">
        <v>1188</v>
      </c>
      <c r="I3503" s="5" t="s">
        <v>233</v>
      </c>
    </row>
    <row r="3504" spans="1:9" ht="51.75" customHeight="1">
      <c r="A3504" s="5">
        <v>8</v>
      </c>
      <c r="B3504" s="5" t="s">
        <v>33212</v>
      </c>
      <c r="C3504" s="5" t="s">
        <v>33213</v>
      </c>
      <c r="D3504" s="246">
        <v>39434</v>
      </c>
      <c r="E3504" s="5" t="s">
        <v>33214</v>
      </c>
      <c r="F3504" s="26"/>
      <c r="G3504" s="27" t="s">
        <v>1187</v>
      </c>
      <c r="H3504" s="28" t="s">
        <v>1188</v>
      </c>
      <c r="I3504" s="5" t="s">
        <v>233</v>
      </c>
    </row>
    <row r="3505" spans="1:9" ht="51.75" customHeight="1">
      <c r="A3505" s="5">
        <v>9</v>
      </c>
      <c r="B3505" s="5" t="s">
        <v>33215</v>
      </c>
      <c r="C3505" s="5" t="s">
        <v>33216</v>
      </c>
      <c r="D3505" s="246">
        <v>39434</v>
      </c>
      <c r="E3505" s="5" t="s">
        <v>33217</v>
      </c>
      <c r="F3505" s="26"/>
      <c r="G3505" s="27" t="s">
        <v>1187</v>
      </c>
      <c r="H3505" s="28" t="s">
        <v>1188</v>
      </c>
      <c r="I3505" s="5" t="s">
        <v>233</v>
      </c>
    </row>
    <row r="3506" spans="1:9" ht="51.75" customHeight="1">
      <c r="A3506" s="5">
        <v>10</v>
      </c>
      <c r="B3506" s="5" t="s">
        <v>33218</v>
      </c>
      <c r="C3506" s="5" t="s">
        <v>33219</v>
      </c>
      <c r="D3506" s="246">
        <v>39434</v>
      </c>
      <c r="E3506" s="5" t="s">
        <v>33220</v>
      </c>
      <c r="F3506" s="26"/>
      <c r="G3506" s="27" t="s">
        <v>1187</v>
      </c>
      <c r="H3506" s="28" t="s">
        <v>1188</v>
      </c>
      <c r="I3506" s="5" t="s">
        <v>233</v>
      </c>
    </row>
    <row r="3507" spans="1:9" ht="51.75" customHeight="1">
      <c r="A3507" s="5">
        <v>1</v>
      </c>
      <c r="B3507" s="5" t="s">
        <v>33221</v>
      </c>
      <c r="C3507" s="5" t="s">
        <v>33222</v>
      </c>
      <c r="D3507" s="246">
        <v>39338</v>
      </c>
      <c r="E3507" s="5" t="s">
        <v>33223</v>
      </c>
      <c r="F3507" s="26"/>
      <c r="G3507" s="27" t="s">
        <v>1289</v>
      </c>
      <c r="H3507" s="28" t="s">
        <v>1290</v>
      </c>
      <c r="I3507" s="5" t="s">
        <v>233</v>
      </c>
    </row>
    <row r="3508" spans="1:9" ht="51.75" customHeight="1">
      <c r="A3508" s="5">
        <v>2</v>
      </c>
      <c r="B3508" s="5" t="s">
        <v>33224</v>
      </c>
      <c r="C3508" s="5" t="s">
        <v>33225</v>
      </c>
      <c r="D3508" s="246">
        <v>39338</v>
      </c>
      <c r="E3508" s="5" t="s">
        <v>33226</v>
      </c>
      <c r="F3508" s="26"/>
      <c r="G3508" s="27" t="s">
        <v>1289</v>
      </c>
      <c r="H3508" s="28" t="s">
        <v>1290</v>
      </c>
      <c r="I3508" s="5" t="s">
        <v>233</v>
      </c>
    </row>
    <row r="3509" spans="1:9" ht="51.75" customHeight="1">
      <c r="A3509" s="5">
        <v>3</v>
      </c>
      <c r="B3509" s="5" t="s">
        <v>33227</v>
      </c>
      <c r="C3509" s="5" t="s">
        <v>33228</v>
      </c>
      <c r="D3509" s="246">
        <v>39338</v>
      </c>
      <c r="E3509" s="5" t="s">
        <v>33229</v>
      </c>
      <c r="F3509" s="26"/>
      <c r="G3509" s="27" t="s">
        <v>1289</v>
      </c>
      <c r="H3509" s="28" t="s">
        <v>1290</v>
      </c>
      <c r="I3509" s="5" t="s">
        <v>233</v>
      </c>
    </row>
    <row r="3510" spans="1:9" ht="51.75" customHeight="1">
      <c r="A3510" s="5">
        <v>4</v>
      </c>
      <c r="B3510" s="5" t="s">
        <v>33230</v>
      </c>
      <c r="C3510" s="5" t="s">
        <v>33231</v>
      </c>
      <c r="D3510" s="246">
        <v>39338</v>
      </c>
      <c r="E3510" s="5" t="s">
        <v>33232</v>
      </c>
      <c r="F3510" s="26"/>
      <c r="G3510" s="27" t="s">
        <v>1289</v>
      </c>
      <c r="H3510" s="28" t="s">
        <v>1290</v>
      </c>
      <c r="I3510" s="5" t="s">
        <v>233</v>
      </c>
    </row>
    <row r="3511" spans="1:9" ht="51.75" customHeight="1">
      <c r="A3511" s="5">
        <v>5</v>
      </c>
      <c r="B3511" s="5" t="s">
        <v>33233</v>
      </c>
      <c r="C3511" s="5" t="s">
        <v>33234</v>
      </c>
      <c r="D3511" s="246">
        <v>39338</v>
      </c>
      <c r="E3511" s="5" t="s">
        <v>33235</v>
      </c>
      <c r="F3511" s="26"/>
      <c r="G3511" s="27" t="s">
        <v>1289</v>
      </c>
      <c r="H3511" s="28" t="s">
        <v>1290</v>
      </c>
      <c r="I3511" s="5" t="s">
        <v>233</v>
      </c>
    </row>
    <row r="3512" spans="1:9" ht="51.75" customHeight="1">
      <c r="A3512" s="5">
        <v>1</v>
      </c>
      <c r="B3512" s="5" t="s">
        <v>33236</v>
      </c>
      <c r="C3512" s="5" t="s">
        <v>33237</v>
      </c>
      <c r="D3512" s="246">
        <v>39325</v>
      </c>
      <c r="E3512" s="5" t="s">
        <v>33238</v>
      </c>
      <c r="F3512" s="26"/>
      <c r="G3512" s="27" t="s">
        <v>997</v>
      </c>
      <c r="H3512" s="28" t="s">
        <v>998</v>
      </c>
      <c r="I3512" s="5" t="s">
        <v>233</v>
      </c>
    </row>
    <row r="3513" spans="1:9" ht="51.75" customHeight="1">
      <c r="A3513" s="5">
        <v>2</v>
      </c>
      <c r="B3513" s="5" t="s">
        <v>33239</v>
      </c>
      <c r="C3513" s="5" t="s">
        <v>33240</v>
      </c>
      <c r="D3513" s="246">
        <v>39325</v>
      </c>
      <c r="E3513" s="5" t="s">
        <v>33241</v>
      </c>
      <c r="F3513" s="26"/>
      <c r="G3513" s="27" t="s">
        <v>997</v>
      </c>
      <c r="H3513" s="28" t="s">
        <v>998</v>
      </c>
      <c r="I3513" s="5" t="s">
        <v>233</v>
      </c>
    </row>
    <row r="3514" spans="1:9" ht="51.75" customHeight="1">
      <c r="A3514" s="5">
        <v>3</v>
      </c>
      <c r="B3514" s="5" t="s">
        <v>33242</v>
      </c>
      <c r="C3514" s="5" t="s">
        <v>33243</v>
      </c>
      <c r="D3514" s="246">
        <v>39325</v>
      </c>
      <c r="E3514" s="5" t="s">
        <v>33244</v>
      </c>
      <c r="F3514" s="26"/>
      <c r="G3514" s="27" t="s">
        <v>997</v>
      </c>
      <c r="H3514" s="28" t="s">
        <v>998</v>
      </c>
      <c r="I3514" s="5" t="s">
        <v>233</v>
      </c>
    </row>
    <row r="3515" spans="1:9" ht="51.75" customHeight="1">
      <c r="A3515" s="5">
        <v>4</v>
      </c>
      <c r="B3515" s="5" t="s">
        <v>33245</v>
      </c>
      <c r="C3515" s="5" t="s">
        <v>33246</v>
      </c>
      <c r="D3515" s="246">
        <v>39325</v>
      </c>
      <c r="E3515" s="5" t="s">
        <v>33247</v>
      </c>
      <c r="F3515" s="26"/>
      <c r="G3515" s="27" t="s">
        <v>997</v>
      </c>
      <c r="H3515" s="28" t="s">
        <v>998</v>
      </c>
      <c r="I3515" s="5" t="s">
        <v>233</v>
      </c>
    </row>
    <row r="3516" spans="1:9" ht="51.75" customHeight="1">
      <c r="A3516" s="5">
        <v>5</v>
      </c>
      <c r="B3516" s="5" t="s">
        <v>33248</v>
      </c>
      <c r="C3516" s="5" t="s">
        <v>33249</v>
      </c>
      <c r="D3516" s="246">
        <v>39325</v>
      </c>
      <c r="E3516" s="5" t="s">
        <v>33250</v>
      </c>
      <c r="F3516" s="26"/>
      <c r="G3516" s="27" t="s">
        <v>997</v>
      </c>
      <c r="H3516" s="28" t="s">
        <v>998</v>
      </c>
      <c r="I3516" s="5" t="s">
        <v>233</v>
      </c>
    </row>
    <row r="3517" spans="1:9" ht="51.75" customHeight="1">
      <c r="A3517" s="5">
        <v>1</v>
      </c>
      <c r="B3517" s="5" t="s">
        <v>33251</v>
      </c>
      <c r="C3517" s="5" t="s">
        <v>33252</v>
      </c>
      <c r="D3517" s="246">
        <v>39694</v>
      </c>
      <c r="E3517" s="5" t="s">
        <v>33253</v>
      </c>
      <c r="F3517" s="26"/>
      <c r="G3517" s="27" t="s">
        <v>751</v>
      </c>
      <c r="H3517" s="28" t="s">
        <v>752</v>
      </c>
      <c r="I3517" s="5" t="s">
        <v>233</v>
      </c>
    </row>
    <row r="3518" spans="1:9" ht="51.75" customHeight="1">
      <c r="A3518" s="5">
        <v>2</v>
      </c>
      <c r="B3518" s="5" t="s">
        <v>33254</v>
      </c>
      <c r="C3518" s="5" t="s">
        <v>33255</v>
      </c>
      <c r="D3518" s="246">
        <v>39694</v>
      </c>
      <c r="E3518" s="5" t="s">
        <v>33256</v>
      </c>
      <c r="F3518" s="26"/>
      <c r="G3518" s="27" t="s">
        <v>751</v>
      </c>
      <c r="H3518" s="28" t="s">
        <v>752</v>
      </c>
      <c r="I3518" s="5" t="s">
        <v>233</v>
      </c>
    </row>
    <row r="3519" spans="1:9" ht="51.75" customHeight="1">
      <c r="A3519" s="5">
        <v>3</v>
      </c>
      <c r="B3519" s="5" t="s">
        <v>33257</v>
      </c>
      <c r="C3519" s="5" t="s">
        <v>33258</v>
      </c>
      <c r="D3519" s="246">
        <v>39694</v>
      </c>
      <c r="E3519" s="5" t="s">
        <v>33259</v>
      </c>
      <c r="F3519" s="26"/>
      <c r="G3519" s="27" t="s">
        <v>751</v>
      </c>
      <c r="H3519" s="28" t="s">
        <v>752</v>
      </c>
      <c r="I3519" s="5" t="s">
        <v>233</v>
      </c>
    </row>
    <row r="3520" spans="1:9" ht="51.75" customHeight="1">
      <c r="A3520" s="5">
        <v>4</v>
      </c>
      <c r="B3520" s="5" t="s">
        <v>33260</v>
      </c>
      <c r="C3520" s="5" t="s">
        <v>33261</v>
      </c>
      <c r="D3520" s="246">
        <v>39694</v>
      </c>
      <c r="E3520" s="5" t="s">
        <v>33262</v>
      </c>
      <c r="F3520" s="26"/>
      <c r="G3520" s="27" t="s">
        <v>751</v>
      </c>
      <c r="H3520" s="28" t="s">
        <v>752</v>
      </c>
      <c r="I3520" s="5" t="s">
        <v>233</v>
      </c>
    </row>
    <row r="3521" spans="1:9" ht="51.75" customHeight="1">
      <c r="A3521" s="5">
        <v>5</v>
      </c>
      <c r="B3521" s="5" t="s">
        <v>33263</v>
      </c>
      <c r="C3521" s="5" t="s">
        <v>33264</v>
      </c>
      <c r="D3521" s="246">
        <v>39694</v>
      </c>
      <c r="E3521" s="5" t="s">
        <v>33265</v>
      </c>
      <c r="F3521" s="26"/>
      <c r="G3521" s="27" t="s">
        <v>751</v>
      </c>
      <c r="H3521" s="28" t="s">
        <v>752</v>
      </c>
      <c r="I3521" s="5" t="s">
        <v>233</v>
      </c>
    </row>
    <row r="3522" spans="1:9" ht="51.75" customHeight="1">
      <c r="A3522" s="5">
        <v>6</v>
      </c>
      <c r="B3522" s="5" t="s">
        <v>33266</v>
      </c>
      <c r="C3522" s="5" t="s">
        <v>33267</v>
      </c>
      <c r="D3522" s="246">
        <v>39694</v>
      </c>
      <c r="E3522" s="5" t="s">
        <v>33268</v>
      </c>
      <c r="F3522" s="26"/>
      <c r="G3522" s="27" t="s">
        <v>751</v>
      </c>
      <c r="H3522" s="28" t="s">
        <v>752</v>
      </c>
      <c r="I3522" s="5" t="s">
        <v>233</v>
      </c>
    </row>
    <row r="3523" spans="1:9" ht="51.75" customHeight="1">
      <c r="A3523" s="5">
        <v>7</v>
      </c>
      <c r="B3523" s="5" t="s">
        <v>33269</v>
      </c>
      <c r="C3523" s="5" t="s">
        <v>33270</v>
      </c>
      <c r="D3523" s="246">
        <v>39694</v>
      </c>
      <c r="E3523" s="5" t="s">
        <v>33271</v>
      </c>
      <c r="F3523" s="26"/>
      <c r="G3523" s="27" t="s">
        <v>751</v>
      </c>
      <c r="H3523" s="28" t="s">
        <v>752</v>
      </c>
      <c r="I3523" s="5" t="s">
        <v>233</v>
      </c>
    </row>
    <row r="3524" spans="1:9" ht="51.75" customHeight="1">
      <c r="A3524" s="5">
        <v>8</v>
      </c>
      <c r="B3524" s="5" t="s">
        <v>33272</v>
      </c>
      <c r="C3524" s="5" t="s">
        <v>33273</v>
      </c>
      <c r="D3524" s="246">
        <v>39694</v>
      </c>
      <c r="E3524" s="5" t="s">
        <v>33274</v>
      </c>
      <c r="F3524" s="26"/>
      <c r="G3524" s="27" t="s">
        <v>751</v>
      </c>
      <c r="H3524" s="28" t="s">
        <v>752</v>
      </c>
      <c r="I3524" s="5" t="s">
        <v>233</v>
      </c>
    </row>
    <row r="3525" spans="1:9" ht="51.75" customHeight="1">
      <c r="A3525" s="5">
        <v>1</v>
      </c>
      <c r="B3525" s="5" t="s">
        <v>33275</v>
      </c>
      <c r="C3525" s="5" t="s">
        <v>33276</v>
      </c>
      <c r="D3525" s="246">
        <v>39693</v>
      </c>
      <c r="E3525" s="5" t="s">
        <v>33277</v>
      </c>
      <c r="F3525" s="26"/>
      <c r="G3525" s="27" t="s">
        <v>651</v>
      </c>
      <c r="H3525" s="28" t="s">
        <v>652</v>
      </c>
      <c r="I3525" s="5" t="s">
        <v>233</v>
      </c>
    </row>
    <row r="3526" spans="1:9" ht="51.75" customHeight="1">
      <c r="A3526" s="5">
        <v>2</v>
      </c>
      <c r="B3526" s="5" t="s">
        <v>33278</v>
      </c>
      <c r="C3526" s="5" t="s">
        <v>33279</v>
      </c>
      <c r="D3526" s="246">
        <v>39693</v>
      </c>
      <c r="E3526" s="5" t="s">
        <v>33280</v>
      </c>
      <c r="F3526" s="26"/>
      <c r="G3526" s="27" t="s">
        <v>651</v>
      </c>
      <c r="H3526" s="28" t="s">
        <v>652</v>
      </c>
      <c r="I3526" s="5" t="s">
        <v>233</v>
      </c>
    </row>
    <row r="3527" spans="1:9" ht="51.75" customHeight="1">
      <c r="A3527" s="5">
        <v>3</v>
      </c>
      <c r="B3527" s="5" t="s">
        <v>33281</v>
      </c>
      <c r="C3527" s="5" t="s">
        <v>33282</v>
      </c>
      <c r="D3527" s="246">
        <v>39693</v>
      </c>
      <c r="E3527" s="5" t="s">
        <v>33283</v>
      </c>
      <c r="F3527" s="26"/>
      <c r="G3527" s="27" t="s">
        <v>651</v>
      </c>
      <c r="H3527" s="28" t="s">
        <v>652</v>
      </c>
      <c r="I3527" s="5" t="s">
        <v>233</v>
      </c>
    </row>
    <row r="3528" spans="1:9" ht="51.75" customHeight="1">
      <c r="A3528" s="5">
        <v>4</v>
      </c>
      <c r="B3528" s="5" t="s">
        <v>33284</v>
      </c>
      <c r="C3528" s="5" t="s">
        <v>33285</v>
      </c>
      <c r="D3528" s="246">
        <v>39693</v>
      </c>
      <c r="E3528" s="5" t="s">
        <v>33286</v>
      </c>
      <c r="F3528" s="26"/>
      <c r="G3528" s="27" t="s">
        <v>651</v>
      </c>
      <c r="H3528" s="28" t="s">
        <v>652</v>
      </c>
      <c r="I3528" s="5" t="s">
        <v>233</v>
      </c>
    </row>
    <row r="3529" spans="1:9" ht="51.75" customHeight="1">
      <c r="A3529" s="5">
        <v>5</v>
      </c>
      <c r="B3529" s="5" t="s">
        <v>33287</v>
      </c>
      <c r="C3529" s="5" t="s">
        <v>33288</v>
      </c>
      <c r="D3529" s="246">
        <v>39693</v>
      </c>
      <c r="E3529" s="5" t="s">
        <v>33289</v>
      </c>
      <c r="F3529" s="26"/>
      <c r="G3529" s="27" t="s">
        <v>651</v>
      </c>
      <c r="H3529" s="28" t="s">
        <v>652</v>
      </c>
      <c r="I3529" s="5" t="s">
        <v>233</v>
      </c>
    </row>
    <row r="3530" spans="1:9" ht="51.75" customHeight="1">
      <c r="A3530" s="5">
        <v>6</v>
      </c>
      <c r="B3530" s="5" t="s">
        <v>33290</v>
      </c>
      <c r="C3530" s="5" t="s">
        <v>33291</v>
      </c>
      <c r="D3530" s="246">
        <v>39693</v>
      </c>
      <c r="E3530" s="5" t="s">
        <v>33292</v>
      </c>
      <c r="F3530" s="26"/>
      <c r="G3530" s="27" t="s">
        <v>651</v>
      </c>
      <c r="H3530" s="28" t="s">
        <v>652</v>
      </c>
      <c r="I3530" s="5" t="s">
        <v>233</v>
      </c>
    </row>
    <row r="3531" spans="1:9" ht="51.75" customHeight="1">
      <c r="A3531" s="5">
        <v>7</v>
      </c>
      <c r="B3531" s="5" t="s">
        <v>33293</v>
      </c>
      <c r="C3531" s="5" t="s">
        <v>33294</v>
      </c>
      <c r="D3531" s="246">
        <v>39693</v>
      </c>
      <c r="E3531" s="5" t="s">
        <v>33295</v>
      </c>
      <c r="F3531" s="26"/>
      <c r="G3531" s="27" t="s">
        <v>651</v>
      </c>
      <c r="H3531" s="28" t="s">
        <v>652</v>
      </c>
      <c r="I3531" s="5" t="s">
        <v>233</v>
      </c>
    </row>
    <row r="3532" spans="1:9" ht="51.75" customHeight="1">
      <c r="A3532" s="5">
        <v>8</v>
      </c>
      <c r="B3532" s="5" t="s">
        <v>33296</v>
      </c>
      <c r="C3532" s="5" t="s">
        <v>33297</v>
      </c>
      <c r="D3532" s="246">
        <v>39693</v>
      </c>
      <c r="E3532" s="5" t="s">
        <v>33298</v>
      </c>
      <c r="F3532" s="26"/>
      <c r="G3532" s="27" t="s">
        <v>651</v>
      </c>
      <c r="H3532" s="28" t="s">
        <v>652</v>
      </c>
      <c r="I3532" s="5" t="s">
        <v>233</v>
      </c>
    </row>
    <row r="3533" spans="1:9" ht="51.75" customHeight="1">
      <c r="A3533" s="5">
        <v>9</v>
      </c>
      <c r="B3533" s="5" t="s">
        <v>33299</v>
      </c>
      <c r="C3533" s="5" t="s">
        <v>33300</v>
      </c>
      <c r="D3533" s="246">
        <v>39693</v>
      </c>
      <c r="E3533" s="5" t="s">
        <v>33301</v>
      </c>
      <c r="F3533" s="26"/>
      <c r="G3533" s="27" t="s">
        <v>651</v>
      </c>
      <c r="H3533" s="28" t="s">
        <v>652</v>
      </c>
      <c r="I3533" s="5" t="s">
        <v>233</v>
      </c>
    </row>
    <row r="3534" spans="1:9" ht="51.75" customHeight="1">
      <c r="A3534" s="5">
        <v>1</v>
      </c>
      <c r="B3534" s="5" t="s">
        <v>33302</v>
      </c>
      <c r="C3534" s="5" t="s">
        <v>33303</v>
      </c>
      <c r="D3534" s="246">
        <v>39294</v>
      </c>
      <c r="E3534" s="5" t="s">
        <v>33304</v>
      </c>
      <c r="F3534" s="26"/>
      <c r="G3534" s="27" t="s">
        <v>671</v>
      </c>
      <c r="H3534" s="28" t="s">
        <v>672</v>
      </c>
      <c r="I3534" s="5" t="s">
        <v>233</v>
      </c>
    </row>
    <row r="3535" spans="1:9" ht="51.75" customHeight="1">
      <c r="A3535" s="5">
        <v>2</v>
      </c>
      <c r="B3535" s="5" t="s">
        <v>33305</v>
      </c>
      <c r="C3535" s="5" t="s">
        <v>33306</v>
      </c>
      <c r="D3535" s="246">
        <v>39294</v>
      </c>
      <c r="E3535" s="5" t="s">
        <v>33307</v>
      </c>
      <c r="F3535" s="26"/>
      <c r="G3535" s="27" t="s">
        <v>671</v>
      </c>
      <c r="H3535" s="28" t="s">
        <v>672</v>
      </c>
      <c r="I3535" s="5" t="s">
        <v>233</v>
      </c>
    </row>
    <row r="3536" spans="1:9" ht="51.75" customHeight="1">
      <c r="A3536" s="5">
        <v>3</v>
      </c>
      <c r="B3536" s="5" t="s">
        <v>33308</v>
      </c>
      <c r="C3536" s="5" t="s">
        <v>33309</v>
      </c>
      <c r="D3536" s="246">
        <v>39294</v>
      </c>
      <c r="E3536" s="5" t="s">
        <v>33310</v>
      </c>
      <c r="F3536" s="26"/>
      <c r="G3536" s="27" t="s">
        <v>671</v>
      </c>
      <c r="H3536" s="28" t="s">
        <v>672</v>
      </c>
      <c r="I3536" s="5" t="s">
        <v>233</v>
      </c>
    </row>
    <row r="3537" spans="1:9" ht="51.75" customHeight="1">
      <c r="A3537" s="5">
        <v>4</v>
      </c>
      <c r="B3537" s="5" t="s">
        <v>33311</v>
      </c>
      <c r="C3537" s="5" t="s">
        <v>33312</v>
      </c>
      <c r="D3537" s="246">
        <v>39294</v>
      </c>
      <c r="E3537" s="5" t="s">
        <v>33313</v>
      </c>
      <c r="F3537" s="26"/>
      <c r="G3537" s="27" t="s">
        <v>671</v>
      </c>
      <c r="H3537" s="28" t="s">
        <v>672</v>
      </c>
      <c r="I3537" s="5" t="s">
        <v>233</v>
      </c>
    </row>
    <row r="3538" spans="1:9" ht="51.75" customHeight="1">
      <c r="A3538" s="5">
        <v>5</v>
      </c>
      <c r="B3538" s="5" t="s">
        <v>33314</v>
      </c>
      <c r="C3538" s="5" t="s">
        <v>33315</v>
      </c>
      <c r="D3538" s="246">
        <v>39294</v>
      </c>
      <c r="E3538" s="5" t="s">
        <v>33316</v>
      </c>
      <c r="F3538" s="26"/>
      <c r="G3538" s="27" t="s">
        <v>671</v>
      </c>
      <c r="H3538" s="28" t="s">
        <v>672</v>
      </c>
      <c r="I3538" s="5" t="s">
        <v>233</v>
      </c>
    </row>
    <row r="3539" spans="1:9" ht="51.75" customHeight="1">
      <c r="A3539" s="5">
        <v>6</v>
      </c>
      <c r="B3539" s="5" t="s">
        <v>33317</v>
      </c>
      <c r="C3539" s="5" t="s">
        <v>33318</v>
      </c>
      <c r="D3539" s="246">
        <v>39294</v>
      </c>
      <c r="E3539" s="5" t="s">
        <v>33319</v>
      </c>
      <c r="F3539" s="26"/>
      <c r="G3539" s="27" t="s">
        <v>671</v>
      </c>
      <c r="H3539" s="28" t="s">
        <v>672</v>
      </c>
      <c r="I3539" s="5" t="s">
        <v>233</v>
      </c>
    </row>
    <row r="3540" spans="1:9" ht="51.75" customHeight="1">
      <c r="A3540" s="5">
        <v>7</v>
      </c>
      <c r="B3540" s="5" t="s">
        <v>33320</v>
      </c>
      <c r="C3540" s="5" t="s">
        <v>33321</v>
      </c>
      <c r="D3540" s="246">
        <v>39294</v>
      </c>
      <c r="E3540" s="5" t="s">
        <v>33322</v>
      </c>
      <c r="F3540" s="26"/>
      <c r="G3540" s="27" t="s">
        <v>671</v>
      </c>
      <c r="H3540" s="28" t="s">
        <v>672</v>
      </c>
      <c r="I3540" s="5" t="s">
        <v>233</v>
      </c>
    </row>
    <row r="3541" spans="1:9" ht="51.75" customHeight="1">
      <c r="A3541" s="5">
        <v>8</v>
      </c>
      <c r="B3541" s="5" t="s">
        <v>33323</v>
      </c>
      <c r="C3541" s="5" t="s">
        <v>33324</v>
      </c>
      <c r="D3541" s="246">
        <v>39294</v>
      </c>
      <c r="E3541" s="5" t="s">
        <v>33325</v>
      </c>
      <c r="F3541" s="26"/>
      <c r="G3541" s="27" t="s">
        <v>671</v>
      </c>
      <c r="H3541" s="28" t="s">
        <v>672</v>
      </c>
      <c r="I3541" s="5" t="s">
        <v>233</v>
      </c>
    </row>
    <row r="3542" spans="1:9" ht="51.75" customHeight="1">
      <c r="A3542" s="5">
        <v>1</v>
      </c>
      <c r="B3542" s="5" t="s">
        <v>33326</v>
      </c>
      <c r="C3542" s="5" t="s">
        <v>33327</v>
      </c>
      <c r="D3542" s="246">
        <v>39085</v>
      </c>
      <c r="E3542" s="5" t="s">
        <v>33328</v>
      </c>
      <c r="F3542" s="26"/>
      <c r="G3542" s="27" t="s">
        <v>770</v>
      </c>
      <c r="H3542" s="28" t="s">
        <v>771</v>
      </c>
      <c r="I3542" s="5" t="s">
        <v>233</v>
      </c>
    </row>
    <row r="3543" spans="1:9" ht="51.75" customHeight="1">
      <c r="A3543" s="5">
        <v>2</v>
      </c>
      <c r="B3543" s="5" t="s">
        <v>33329</v>
      </c>
      <c r="C3543" s="5" t="s">
        <v>33330</v>
      </c>
      <c r="D3543" s="246">
        <v>39085</v>
      </c>
      <c r="E3543" s="5" t="s">
        <v>33331</v>
      </c>
      <c r="F3543" s="26"/>
      <c r="G3543" s="27" t="s">
        <v>770</v>
      </c>
      <c r="H3543" s="28" t="s">
        <v>771</v>
      </c>
      <c r="I3543" s="5" t="s">
        <v>233</v>
      </c>
    </row>
    <row r="3544" spans="1:9" ht="51.75" customHeight="1">
      <c r="A3544" s="5">
        <v>3</v>
      </c>
      <c r="B3544" s="5" t="s">
        <v>33332</v>
      </c>
      <c r="C3544" s="5" t="s">
        <v>33333</v>
      </c>
      <c r="D3544" s="246">
        <v>39085</v>
      </c>
      <c r="E3544" s="5" t="s">
        <v>33334</v>
      </c>
      <c r="F3544" s="26"/>
      <c r="G3544" s="27" t="s">
        <v>770</v>
      </c>
      <c r="H3544" s="28" t="s">
        <v>771</v>
      </c>
      <c r="I3544" s="5" t="s">
        <v>233</v>
      </c>
    </row>
    <row r="3545" spans="1:9" ht="51.75" customHeight="1">
      <c r="A3545" s="5">
        <v>1</v>
      </c>
      <c r="B3545" s="5" t="s">
        <v>33335</v>
      </c>
      <c r="C3545" s="5" t="s">
        <v>33336</v>
      </c>
      <c r="D3545" s="246">
        <v>39023</v>
      </c>
      <c r="E3545" s="5" t="s">
        <v>33337</v>
      </c>
      <c r="F3545" s="26"/>
      <c r="G3545" s="27" t="s">
        <v>297</v>
      </c>
      <c r="H3545" s="28" t="s">
        <v>298</v>
      </c>
      <c r="I3545" s="5" t="s">
        <v>233</v>
      </c>
    </row>
    <row r="3546" spans="1:9" ht="51.75" customHeight="1">
      <c r="A3546" s="5">
        <v>2</v>
      </c>
      <c r="B3546" s="5" t="s">
        <v>33338</v>
      </c>
      <c r="C3546" s="5" t="s">
        <v>33339</v>
      </c>
      <c r="D3546" s="246">
        <v>39023</v>
      </c>
      <c r="E3546" s="5" t="s">
        <v>33340</v>
      </c>
      <c r="F3546" s="26"/>
      <c r="G3546" s="27" t="s">
        <v>297</v>
      </c>
      <c r="H3546" s="28" t="s">
        <v>298</v>
      </c>
      <c r="I3546" s="5" t="s">
        <v>233</v>
      </c>
    </row>
    <row r="3547" spans="1:9" ht="51.75" customHeight="1">
      <c r="A3547" s="5">
        <v>3</v>
      </c>
      <c r="B3547" s="5" t="s">
        <v>33341</v>
      </c>
      <c r="C3547" s="5" t="s">
        <v>33342</v>
      </c>
      <c r="D3547" s="246">
        <v>39023</v>
      </c>
      <c r="E3547" s="5" t="s">
        <v>33343</v>
      </c>
      <c r="F3547" s="26"/>
      <c r="G3547" s="27" t="s">
        <v>297</v>
      </c>
      <c r="H3547" s="28" t="s">
        <v>298</v>
      </c>
      <c r="I3547" s="5" t="s">
        <v>233</v>
      </c>
    </row>
    <row r="3548" spans="1:9" ht="51.75" customHeight="1">
      <c r="A3548" s="5">
        <v>4</v>
      </c>
      <c r="B3548" s="5" t="s">
        <v>33344</v>
      </c>
      <c r="C3548" s="5" t="s">
        <v>33345</v>
      </c>
      <c r="D3548" s="246">
        <v>39023</v>
      </c>
      <c r="E3548" s="5" t="s">
        <v>33345</v>
      </c>
      <c r="F3548" s="26"/>
      <c r="G3548" s="27" t="s">
        <v>297</v>
      </c>
      <c r="H3548" s="28" t="s">
        <v>298</v>
      </c>
      <c r="I3548" s="5" t="s">
        <v>233</v>
      </c>
    </row>
    <row r="3549" spans="1:9" ht="51.75" customHeight="1">
      <c r="A3549" s="5">
        <v>5</v>
      </c>
      <c r="B3549" s="5" t="s">
        <v>33346</v>
      </c>
      <c r="C3549" s="5" t="s">
        <v>33347</v>
      </c>
      <c r="D3549" s="246">
        <v>39023</v>
      </c>
      <c r="E3549" s="5" t="s">
        <v>33348</v>
      </c>
      <c r="F3549" s="26"/>
      <c r="G3549" s="27" t="s">
        <v>297</v>
      </c>
      <c r="H3549" s="28" t="s">
        <v>298</v>
      </c>
      <c r="I3549" s="5" t="s">
        <v>233</v>
      </c>
    </row>
    <row r="3550" spans="1:9" ht="51.75" customHeight="1">
      <c r="A3550" s="5">
        <v>6</v>
      </c>
      <c r="B3550" s="5" t="s">
        <v>33349</v>
      </c>
      <c r="C3550" s="5" t="s">
        <v>33350</v>
      </c>
      <c r="D3550" s="246">
        <v>39023</v>
      </c>
      <c r="E3550" s="5" t="s">
        <v>33351</v>
      </c>
      <c r="F3550" s="26"/>
      <c r="G3550" s="27" t="s">
        <v>297</v>
      </c>
      <c r="H3550" s="28" t="s">
        <v>298</v>
      </c>
      <c r="I3550" s="5" t="s">
        <v>233</v>
      </c>
    </row>
    <row r="3551" spans="1:9" ht="51.75" customHeight="1">
      <c r="A3551" s="5">
        <v>7</v>
      </c>
      <c r="B3551" s="5" t="s">
        <v>33352</v>
      </c>
      <c r="C3551" s="5" t="s">
        <v>33353</v>
      </c>
      <c r="D3551" s="246">
        <v>39023</v>
      </c>
      <c r="E3551" s="5" t="s">
        <v>33354</v>
      </c>
      <c r="F3551" s="26"/>
      <c r="G3551" s="27" t="s">
        <v>297</v>
      </c>
      <c r="H3551" s="28" t="s">
        <v>298</v>
      </c>
      <c r="I3551" s="5" t="s">
        <v>233</v>
      </c>
    </row>
    <row r="3552" spans="1:9" ht="51.75" customHeight="1">
      <c r="A3552" s="5">
        <v>8</v>
      </c>
      <c r="B3552" s="5" t="s">
        <v>33355</v>
      </c>
      <c r="C3552" s="5" t="s">
        <v>33356</v>
      </c>
      <c r="D3552" s="246">
        <v>39023</v>
      </c>
      <c r="E3552" s="5" t="s">
        <v>33357</v>
      </c>
      <c r="F3552" s="26"/>
      <c r="G3552" s="27" t="s">
        <v>297</v>
      </c>
      <c r="H3552" s="28" t="s">
        <v>298</v>
      </c>
      <c r="I3552" s="5" t="s">
        <v>233</v>
      </c>
    </row>
    <row r="3553" spans="1:9" ht="51.75" customHeight="1">
      <c r="A3553" s="5">
        <v>9</v>
      </c>
      <c r="B3553" s="5" t="s">
        <v>33358</v>
      </c>
      <c r="C3553" s="5" t="s">
        <v>33359</v>
      </c>
      <c r="D3553" s="246">
        <v>39023</v>
      </c>
      <c r="E3553" s="5" t="s">
        <v>33360</v>
      </c>
      <c r="F3553" s="26"/>
      <c r="G3553" s="27" t="s">
        <v>297</v>
      </c>
      <c r="H3553" s="28" t="s">
        <v>298</v>
      </c>
      <c r="I3553" s="5" t="s">
        <v>233</v>
      </c>
    </row>
    <row r="3554" spans="1:9" ht="51.75" customHeight="1">
      <c r="A3554" s="5">
        <v>10</v>
      </c>
      <c r="B3554" s="5" t="s">
        <v>33361</v>
      </c>
      <c r="C3554" s="5" t="s">
        <v>33362</v>
      </c>
      <c r="D3554" s="246">
        <v>39023</v>
      </c>
      <c r="E3554" s="5" t="s">
        <v>33363</v>
      </c>
      <c r="F3554" s="26"/>
      <c r="G3554" s="27" t="s">
        <v>297</v>
      </c>
      <c r="H3554" s="28" t="s">
        <v>298</v>
      </c>
      <c r="I3554" s="5" t="s">
        <v>233</v>
      </c>
    </row>
    <row r="3555" spans="1:9" ht="51.75" customHeight="1">
      <c r="A3555" s="5">
        <v>1</v>
      </c>
      <c r="B3555" s="5" t="s">
        <v>33364</v>
      </c>
      <c r="C3555" s="5" t="s">
        <v>33365</v>
      </c>
      <c r="D3555" s="246">
        <v>39023</v>
      </c>
      <c r="E3555" s="5" t="s">
        <v>33366</v>
      </c>
      <c r="F3555" s="26"/>
      <c r="G3555" s="27" t="s">
        <v>304</v>
      </c>
      <c r="H3555" s="28" t="s">
        <v>305</v>
      </c>
      <c r="I3555" s="5" t="s">
        <v>233</v>
      </c>
    </row>
    <row r="3556" spans="1:9" ht="51.75" customHeight="1">
      <c r="A3556" s="5">
        <v>2</v>
      </c>
      <c r="B3556" s="5" t="s">
        <v>33367</v>
      </c>
      <c r="C3556" s="5" t="s">
        <v>33368</v>
      </c>
      <c r="D3556" s="246">
        <v>39023</v>
      </c>
      <c r="E3556" s="5" t="s">
        <v>33369</v>
      </c>
      <c r="F3556" s="26"/>
      <c r="G3556" s="27" t="s">
        <v>304</v>
      </c>
      <c r="H3556" s="28" t="s">
        <v>305</v>
      </c>
      <c r="I3556" s="5" t="s">
        <v>233</v>
      </c>
    </row>
    <row r="3557" spans="1:9" ht="51.75" customHeight="1">
      <c r="A3557" s="5">
        <v>3</v>
      </c>
      <c r="B3557" s="5" t="s">
        <v>33370</v>
      </c>
      <c r="C3557" s="5" t="s">
        <v>33371</v>
      </c>
      <c r="D3557" s="246">
        <v>39023</v>
      </c>
      <c r="E3557" s="5" t="s">
        <v>33372</v>
      </c>
      <c r="F3557" s="26"/>
      <c r="G3557" s="27" t="s">
        <v>304</v>
      </c>
      <c r="H3557" s="28" t="s">
        <v>305</v>
      </c>
      <c r="I3557" s="5" t="s">
        <v>233</v>
      </c>
    </row>
    <row r="3558" spans="1:9" ht="51.75" customHeight="1">
      <c r="A3558" s="5">
        <v>4</v>
      </c>
      <c r="B3558" s="5" t="s">
        <v>33373</v>
      </c>
      <c r="C3558" s="5" t="s">
        <v>33374</v>
      </c>
      <c r="D3558" s="246">
        <v>39023</v>
      </c>
      <c r="E3558" s="5" t="s">
        <v>33375</v>
      </c>
      <c r="F3558" s="26"/>
      <c r="G3558" s="27" t="s">
        <v>304</v>
      </c>
      <c r="H3558" s="28" t="s">
        <v>305</v>
      </c>
      <c r="I3558" s="5" t="s">
        <v>233</v>
      </c>
    </row>
    <row r="3559" spans="1:9" ht="51.75" customHeight="1">
      <c r="A3559" s="5">
        <v>5</v>
      </c>
      <c r="B3559" s="5" t="s">
        <v>33376</v>
      </c>
      <c r="C3559" s="5" t="s">
        <v>33377</v>
      </c>
      <c r="D3559" s="246">
        <v>39023</v>
      </c>
      <c r="E3559" s="5" t="s">
        <v>33378</v>
      </c>
      <c r="F3559" s="26"/>
      <c r="G3559" s="27" t="s">
        <v>304</v>
      </c>
      <c r="H3559" s="28" t="s">
        <v>305</v>
      </c>
      <c r="I3559" s="5" t="s">
        <v>233</v>
      </c>
    </row>
    <row r="3560" spans="1:9" ht="51.75" customHeight="1">
      <c r="A3560" s="5">
        <v>6</v>
      </c>
      <c r="B3560" s="5" t="s">
        <v>33379</v>
      </c>
      <c r="C3560" s="5" t="s">
        <v>33380</v>
      </c>
      <c r="D3560" s="246">
        <v>39023</v>
      </c>
      <c r="E3560" s="5" t="s">
        <v>33381</v>
      </c>
      <c r="F3560" s="26"/>
      <c r="G3560" s="27" t="s">
        <v>304</v>
      </c>
      <c r="H3560" s="28" t="s">
        <v>305</v>
      </c>
      <c r="I3560" s="5" t="s">
        <v>233</v>
      </c>
    </row>
    <row r="3561" spans="1:9" ht="51.75" customHeight="1">
      <c r="A3561" s="5">
        <v>1</v>
      </c>
      <c r="B3561" s="5" t="s">
        <v>33382</v>
      </c>
      <c r="C3561" s="5" t="s">
        <v>33383</v>
      </c>
      <c r="D3561" s="246">
        <v>39113</v>
      </c>
      <c r="E3561" s="5" t="s">
        <v>33384</v>
      </c>
      <c r="F3561" s="26"/>
      <c r="G3561" s="27" t="s">
        <v>347</v>
      </c>
      <c r="H3561" s="28" t="s">
        <v>348</v>
      </c>
      <c r="I3561" s="5" t="s">
        <v>233</v>
      </c>
    </row>
    <row r="3562" spans="1:9" ht="51.75" customHeight="1">
      <c r="A3562" s="5">
        <v>2</v>
      </c>
      <c r="B3562" s="5" t="s">
        <v>33385</v>
      </c>
      <c r="C3562" s="5" t="s">
        <v>33386</v>
      </c>
      <c r="D3562" s="246">
        <v>39113</v>
      </c>
      <c r="E3562" s="5" t="s">
        <v>33387</v>
      </c>
      <c r="F3562" s="26"/>
      <c r="G3562" s="27" t="s">
        <v>347</v>
      </c>
      <c r="H3562" s="28" t="s">
        <v>348</v>
      </c>
      <c r="I3562" s="5" t="s">
        <v>233</v>
      </c>
    </row>
    <row r="3563" spans="1:9" ht="51.75" customHeight="1">
      <c r="A3563" s="5">
        <v>3</v>
      </c>
      <c r="B3563" s="5" t="s">
        <v>33388</v>
      </c>
      <c r="C3563" s="5" t="s">
        <v>33389</v>
      </c>
      <c r="D3563" s="246">
        <v>39113</v>
      </c>
      <c r="E3563" s="5" t="s">
        <v>33390</v>
      </c>
      <c r="F3563" s="26"/>
      <c r="G3563" s="27" t="s">
        <v>347</v>
      </c>
      <c r="H3563" s="28" t="s">
        <v>348</v>
      </c>
      <c r="I3563" s="5" t="s">
        <v>233</v>
      </c>
    </row>
    <row r="3564" spans="1:9" ht="51.75" customHeight="1">
      <c r="A3564" s="5">
        <v>1</v>
      </c>
      <c r="B3564" s="5" t="s">
        <v>33391</v>
      </c>
      <c r="C3564" s="5" t="s">
        <v>33392</v>
      </c>
      <c r="D3564" s="246">
        <v>39693</v>
      </c>
      <c r="E3564" s="5" t="s">
        <v>33393</v>
      </c>
      <c r="F3564" s="26"/>
      <c r="G3564" s="27" t="s">
        <v>472</v>
      </c>
      <c r="H3564" s="28" t="s">
        <v>473</v>
      </c>
      <c r="I3564" s="5" t="s">
        <v>233</v>
      </c>
    </row>
    <row r="3565" spans="1:9" ht="51.75" customHeight="1">
      <c r="A3565" s="5">
        <v>2</v>
      </c>
      <c r="B3565" s="5" t="s">
        <v>33394</v>
      </c>
      <c r="C3565" s="5" t="s">
        <v>33395</v>
      </c>
      <c r="D3565" s="246">
        <v>39693</v>
      </c>
      <c r="E3565" s="5" t="s">
        <v>33396</v>
      </c>
      <c r="F3565" s="26"/>
      <c r="G3565" s="27" t="s">
        <v>472</v>
      </c>
      <c r="H3565" s="28" t="s">
        <v>473</v>
      </c>
      <c r="I3565" s="5" t="s">
        <v>233</v>
      </c>
    </row>
    <row r="3566" spans="1:9" ht="51.75" customHeight="1">
      <c r="A3566" s="5">
        <v>3</v>
      </c>
      <c r="B3566" s="5" t="s">
        <v>33397</v>
      </c>
      <c r="C3566" s="5" t="s">
        <v>33398</v>
      </c>
      <c r="D3566" s="246">
        <v>39693</v>
      </c>
      <c r="E3566" s="5" t="s">
        <v>33399</v>
      </c>
      <c r="F3566" s="26"/>
      <c r="G3566" s="27" t="s">
        <v>472</v>
      </c>
      <c r="H3566" s="28" t="s">
        <v>473</v>
      </c>
      <c r="I3566" s="5" t="s">
        <v>233</v>
      </c>
    </row>
    <row r="3567" spans="1:9" ht="51.75" customHeight="1">
      <c r="A3567" s="5">
        <v>1</v>
      </c>
      <c r="B3567" s="5" t="s">
        <v>33400</v>
      </c>
      <c r="C3567" s="5" t="s">
        <v>33401</v>
      </c>
      <c r="D3567" s="246">
        <v>39693</v>
      </c>
      <c r="E3567" s="5" t="s">
        <v>33402</v>
      </c>
      <c r="F3567" s="26"/>
      <c r="G3567" s="27" t="s">
        <v>478</v>
      </c>
      <c r="H3567" s="28" t="s">
        <v>479</v>
      </c>
      <c r="I3567" s="5" t="s">
        <v>233</v>
      </c>
    </row>
    <row r="3568" spans="1:9" ht="51.75" customHeight="1">
      <c r="A3568" s="5">
        <v>2</v>
      </c>
      <c r="B3568" s="5" t="s">
        <v>33403</v>
      </c>
      <c r="C3568" s="5" t="s">
        <v>33404</v>
      </c>
      <c r="D3568" s="246">
        <v>39693</v>
      </c>
      <c r="E3568" s="5" t="s">
        <v>33405</v>
      </c>
      <c r="F3568" s="26"/>
      <c r="G3568" s="27" t="s">
        <v>478</v>
      </c>
      <c r="H3568" s="28" t="s">
        <v>479</v>
      </c>
      <c r="I3568" s="5" t="s">
        <v>233</v>
      </c>
    </row>
    <row r="3569" spans="1:9" ht="51.75" customHeight="1">
      <c r="A3569" s="5">
        <v>3</v>
      </c>
      <c r="B3569" s="5" t="s">
        <v>33406</v>
      </c>
      <c r="C3569" s="5" t="s">
        <v>33407</v>
      </c>
      <c r="D3569" s="246">
        <v>39693</v>
      </c>
      <c r="E3569" s="5" t="s">
        <v>33408</v>
      </c>
      <c r="F3569" s="26"/>
      <c r="G3569" s="27" t="s">
        <v>478</v>
      </c>
      <c r="H3569" s="28" t="s">
        <v>479</v>
      </c>
      <c r="I3569" s="5" t="s">
        <v>233</v>
      </c>
    </row>
    <row r="3570" spans="1:9" ht="51.75" customHeight="1">
      <c r="A3570" s="5">
        <v>4</v>
      </c>
      <c r="B3570" s="5" t="s">
        <v>33409</v>
      </c>
      <c r="C3570" s="5" t="s">
        <v>33410</v>
      </c>
      <c r="D3570" s="246">
        <v>39693</v>
      </c>
      <c r="E3570" s="5" t="s">
        <v>33411</v>
      </c>
      <c r="F3570" s="26"/>
      <c r="G3570" s="27" t="s">
        <v>478</v>
      </c>
      <c r="H3570" s="28" t="s">
        <v>479</v>
      </c>
      <c r="I3570" s="5" t="s">
        <v>233</v>
      </c>
    </row>
    <row r="3571" spans="1:9" ht="51.75" customHeight="1">
      <c r="A3571" s="5">
        <v>1</v>
      </c>
      <c r="B3571" s="5" t="s">
        <v>33412</v>
      </c>
      <c r="C3571" s="5" t="s">
        <v>33413</v>
      </c>
      <c r="D3571" s="246">
        <v>39693</v>
      </c>
      <c r="E3571" s="5" t="s">
        <v>33414</v>
      </c>
      <c r="F3571" s="26"/>
      <c r="G3571" s="27" t="s">
        <v>556</v>
      </c>
      <c r="H3571" s="28" t="s">
        <v>557</v>
      </c>
      <c r="I3571" s="5" t="s">
        <v>233</v>
      </c>
    </row>
    <row r="3572" spans="1:9" ht="51.75" customHeight="1">
      <c r="A3572" s="5">
        <v>2</v>
      </c>
      <c r="B3572" s="5" t="s">
        <v>33415</v>
      </c>
      <c r="C3572" s="5" t="s">
        <v>33416</v>
      </c>
      <c r="D3572" s="246">
        <v>39693</v>
      </c>
      <c r="E3572" s="5" t="s">
        <v>33417</v>
      </c>
      <c r="F3572" s="26"/>
      <c r="G3572" s="27" t="s">
        <v>556</v>
      </c>
      <c r="H3572" s="28" t="s">
        <v>557</v>
      </c>
      <c r="I3572" s="5" t="s">
        <v>233</v>
      </c>
    </row>
    <row r="3573" spans="1:9" ht="51.75" customHeight="1">
      <c r="A3573" s="5">
        <v>3</v>
      </c>
      <c r="B3573" s="5" t="s">
        <v>33418</v>
      </c>
      <c r="C3573" s="5" t="s">
        <v>33419</v>
      </c>
      <c r="D3573" s="246">
        <v>39693</v>
      </c>
      <c r="E3573" s="5" t="s">
        <v>33420</v>
      </c>
      <c r="F3573" s="26"/>
      <c r="G3573" s="27" t="s">
        <v>556</v>
      </c>
      <c r="H3573" s="28" t="s">
        <v>557</v>
      </c>
      <c r="I3573" s="5" t="s">
        <v>233</v>
      </c>
    </row>
    <row r="3574" spans="1:9" ht="51.75" customHeight="1">
      <c r="A3574" s="5">
        <v>4</v>
      </c>
      <c r="B3574" s="5" t="s">
        <v>33421</v>
      </c>
      <c r="C3574" s="5" t="s">
        <v>33422</v>
      </c>
      <c r="D3574" s="246">
        <v>39693</v>
      </c>
      <c r="E3574" s="5" t="s">
        <v>33423</v>
      </c>
      <c r="F3574" s="26"/>
      <c r="G3574" s="27" t="s">
        <v>556</v>
      </c>
      <c r="H3574" s="28" t="s">
        <v>557</v>
      </c>
      <c r="I3574" s="5" t="s">
        <v>233</v>
      </c>
    </row>
    <row r="3575" spans="1:9" ht="51.75" customHeight="1">
      <c r="A3575" s="5">
        <v>5</v>
      </c>
      <c r="B3575" s="5" t="s">
        <v>33424</v>
      </c>
      <c r="C3575" s="5" t="s">
        <v>33425</v>
      </c>
      <c r="D3575" s="246">
        <v>39693</v>
      </c>
      <c r="E3575" s="5" t="s">
        <v>33426</v>
      </c>
      <c r="F3575" s="26"/>
      <c r="G3575" s="27" t="s">
        <v>556</v>
      </c>
      <c r="H3575" s="28" t="s">
        <v>557</v>
      </c>
      <c r="I3575" s="5" t="s">
        <v>233</v>
      </c>
    </row>
    <row r="3576" spans="1:9" ht="51.75" customHeight="1">
      <c r="A3576" s="5">
        <v>1</v>
      </c>
      <c r="B3576" s="5" t="s">
        <v>33427</v>
      </c>
      <c r="C3576" s="5" t="s">
        <v>33428</v>
      </c>
      <c r="D3576" s="246">
        <v>39693</v>
      </c>
      <c r="E3576" s="5" t="s">
        <v>33429</v>
      </c>
      <c r="F3576" s="26"/>
      <c r="G3576" s="27" t="s">
        <v>515</v>
      </c>
      <c r="H3576" s="28" t="s">
        <v>516</v>
      </c>
      <c r="I3576" s="5" t="s">
        <v>233</v>
      </c>
    </row>
    <row r="3577" spans="1:9" ht="51.75" customHeight="1">
      <c r="A3577" s="5">
        <v>2</v>
      </c>
      <c r="B3577" s="5" t="s">
        <v>33430</v>
      </c>
      <c r="C3577" s="5" t="s">
        <v>33431</v>
      </c>
      <c r="D3577" s="246">
        <v>39693</v>
      </c>
      <c r="E3577" s="5" t="s">
        <v>33432</v>
      </c>
      <c r="F3577" s="26"/>
      <c r="G3577" s="27" t="s">
        <v>515</v>
      </c>
      <c r="H3577" s="28" t="s">
        <v>516</v>
      </c>
      <c r="I3577" s="5" t="s">
        <v>233</v>
      </c>
    </row>
    <row r="3578" spans="1:9" ht="51.75" customHeight="1">
      <c r="A3578" s="5">
        <v>3</v>
      </c>
      <c r="B3578" s="5" t="s">
        <v>33433</v>
      </c>
      <c r="C3578" s="5" t="s">
        <v>32330</v>
      </c>
      <c r="D3578" s="246">
        <v>39693</v>
      </c>
      <c r="E3578" s="5" t="s">
        <v>33434</v>
      </c>
      <c r="F3578" s="26"/>
      <c r="G3578" s="27" t="s">
        <v>515</v>
      </c>
      <c r="H3578" s="28" t="s">
        <v>516</v>
      </c>
      <c r="I3578" s="5" t="s">
        <v>233</v>
      </c>
    </row>
    <row r="3579" spans="1:9" ht="51.75" customHeight="1">
      <c r="A3579" s="5">
        <v>4</v>
      </c>
      <c r="B3579" s="5" t="s">
        <v>33435</v>
      </c>
      <c r="C3579" s="5" t="s">
        <v>33436</v>
      </c>
      <c r="D3579" s="246">
        <v>39693</v>
      </c>
      <c r="E3579" s="5" t="s">
        <v>33437</v>
      </c>
      <c r="F3579" s="26"/>
      <c r="G3579" s="27" t="s">
        <v>515</v>
      </c>
      <c r="H3579" s="28" t="s">
        <v>516</v>
      </c>
      <c r="I3579" s="5" t="s">
        <v>233</v>
      </c>
    </row>
    <row r="3580" spans="1:9" ht="51.75" customHeight="1">
      <c r="A3580" s="5">
        <v>5</v>
      </c>
      <c r="B3580" s="5" t="s">
        <v>33438</v>
      </c>
      <c r="C3580" s="5" t="s">
        <v>33439</v>
      </c>
      <c r="D3580" s="246">
        <v>39693</v>
      </c>
      <c r="E3580" s="5" t="s">
        <v>33440</v>
      </c>
      <c r="F3580" s="26"/>
      <c r="G3580" s="27" t="s">
        <v>515</v>
      </c>
      <c r="H3580" s="28" t="s">
        <v>516</v>
      </c>
      <c r="I3580" s="5" t="s">
        <v>233</v>
      </c>
    </row>
    <row r="3581" spans="1:9" ht="51.75" customHeight="1">
      <c r="A3581" s="5">
        <v>6</v>
      </c>
      <c r="B3581" s="5" t="s">
        <v>33441</v>
      </c>
      <c r="C3581" s="5" t="s">
        <v>33442</v>
      </c>
      <c r="D3581" s="246">
        <v>39693</v>
      </c>
      <c r="E3581" s="5" t="s">
        <v>33443</v>
      </c>
      <c r="F3581" s="26"/>
      <c r="G3581" s="27" t="s">
        <v>515</v>
      </c>
      <c r="H3581" s="28" t="s">
        <v>516</v>
      </c>
      <c r="I3581" s="5" t="s">
        <v>233</v>
      </c>
    </row>
    <row r="3582" spans="1:9" ht="51.75" customHeight="1">
      <c r="A3582" s="5">
        <v>1</v>
      </c>
      <c r="B3582" s="5" t="s">
        <v>33444</v>
      </c>
      <c r="C3582" s="5" t="s">
        <v>33445</v>
      </c>
      <c r="D3582" s="246">
        <v>38736</v>
      </c>
      <c r="E3582" s="5" t="s">
        <v>33446</v>
      </c>
      <c r="F3582" s="26"/>
      <c r="G3582" s="27" t="s">
        <v>429</v>
      </c>
      <c r="H3582" s="28" t="s">
        <v>430</v>
      </c>
      <c r="I3582" s="5" t="s">
        <v>233</v>
      </c>
    </row>
    <row r="3583" spans="1:9" ht="51.75" customHeight="1">
      <c r="A3583" s="5">
        <v>2</v>
      </c>
      <c r="B3583" s="5" t="s">
        <v>33447</v>
      </c>
      <c r="C3583" s="5" t="s">
        <v>33448</v>
      </c>
      <c r="D3583" s="246">
        <v>38736</v>
      </c>
      <c r="E3583" s="5" t="s">
        <v>33449</v>
      </c>
      <c r="F3583" s="26"/>
      <c r="G3583" s="27" t="s">
        <v>429</v>
      </c>
      <c r="H3583" s="28" t="s">
        <v>430</v>
      </c>
      <c r="I3583" s="5" t="s">
        <v>233</v>
      </c>
    </row>
    <row r="3584" spans="1:9" ht="51.75" customHeight="1">
      <c r="A3584" s="5">
        <v>3</v>
      </c>
      <c r="B3584" s="5" t="s">
        <v>33450</v>
      </c>
      <c r="C3584" s="5" t="s">
        <v>33451</v>
      </c>
      <c r="D3584" s="246">
        <v>38736</v>
      </c>
      <c r="E3584" s="5" t="s">
        <v>33452</v>
      </c>
      <c r="F3584" s="26"/>
      <c r="G3584" s="27" t="s">
        <v>429</v>
      </c>
      <c r="H3584" s="28" t="s">
        <v>430</v>
      </c>
      <c r="I3584" s="5" t="s">
        <v>233</v>
      </c>
    </row>
    <row r="3585" spans="1:9" ht="51.75" customHeight="1">
      <c r="A3585" s="5">
        <v>4</v>
      </c>
      <c r="B3585" s="5" t="s">
        <v>33453</v>
      </c>
      <c r="C3585" s="5" t="s">
        <v>33454</v>
      </c>
      <c r="D3585" s="246">
        <v>38736</v>
      </c>
      <c r="E3585" s="5" t="s">
        <v>33455</v>
      </c>
      <c r="F3585" s="26"/>
      <c r="G3585" s="27" t="s">
        <v>429</v>
      </c>
      <c r="H3585" s="28" t="s">
        <v>430</v>
      </c>
      <c r="I3585" s="5" t="s">
        <v>233</v>
      </c>
    </row>
    <row r="3586" spans="1:9" ht="51.75" customHeight="1">
      <c r="A3586" s="5">
        <v>5</v>
      </c>
      <c r="B3586" s="5" t="s">
        <v>33456</v>
      </c>
      <c r="C3586" s="5" t="s">
        <v>33457</v>
      </c>
      <c r="D3586" s="246">
        <v>38736</v>
      </c>
      <c r="E3586" s="5" t="s">
        <v>33458</v>
      </c>
      <c r="F3586" s="26"/>
      <c r="G3586" s="27" t="s">
        <v>429</v>
      </c>
      <c r="H3586" s="28" t="s">
        <v>430</v>
      </c>
      <c r="I3586" s="5" t="s">
        <v>233</v>
      </c>
    </row>
    <row r="3587" spans="1:9" ht="51.75" customHeight="1">
      <c r="A3587" s="5">
        <v>6</v>
      </c>
      <c r="B3587" s="5" t="s">
        <v>33459</v>
      </c>
      <c r="C3587" s="5" t="s">
        <v>33460</v>
      </c>
      <c r="D3587" s="246">
        <v>38736</v>
      </c>
      <c r="E3587" s="5" t="s">
        <v>33461</v>
      </c>
      <c r="F3587" s="26"/>
      <c r="G3587" s="27" t="s">
        <v>429</v>
      </c>
      <c r="H3587" s="28" t="s">
        <v>430</v>
      </c>
      <c r="I3587" s="5" t="s">
        <v>233</v>
      </c>
    </row>
    <row r="3588" spans="1:9" ht="51.75" customHeight="1">
      <c r="A3588" s="5">
        <v>1</v>
      </c>
      <c r="B3588" s="5" t="s">
        <v>33462</v>
      </c>
      <c r="C3588" s="5" t="s">
        <v>33463</v>
      </c>
      <c r="D3588" s="246">
        <v>39693</v>
      </c>
      <c r="E3588" s="5" t="s">
        <v>33464</v>
      </c>
      <c r="F3588" s="26"/>
      <c r="G3588" s="27" t="s">
        <v>501</v>
      </c>
      <c r="H3588" s="28" t="s">
        <v>502</v>
      </c>
      <c r="I3588" s="5" t="s">
        <v>233</v>
      </c>
    </row>
    <row r="3589" spans="1:9" ht="51.75" customHeight="1">
      <c r="A3589" s="5">
        <v>2</v>
      </c>
      <c r="B3589" s="5" t="s">
        <v>33465</v>
      </c>
      <c r="C3589" s="5" t="s">
        <v>33466</v>
      </c>
      <c r="D3589" s="246">
        <v>39693</v>
      </c>
      <c r="E3589" s="5" t="s">
        <v>33467</v>
      </c>
      <c r="F3589" s="26"/>
      <c r="G3589" s="27" t="s">
        <v>501</v>
      </c>
      <c r="H3589" s="28" t="s">
        <v>502</v>
      </c>
      <c r="I3589" s="5" t="s">
        <v>233</v>
      </c>
    </row>
    <row r="3590" spans="1:9" ht="51.75" customHeight="1">
      <c r="A3590" s="5">
        <v>3</v>
      </c>
      <c r="B3590" s="5" t="s">
        <v>33468</v>
      </c>
      <c r="C3590" s="5" t="s">
        <v>33469</v>
      </c>
      <c r="D3590" s="246">
        <v>39693</v>
      </c>
      <c r="E3590" s="5" t="s">
        <v>33470</v>
      </c>
      <c r="F3590" s="26"/>
      <c r="G3590" s="27" t="s">
        <v>501</v>
      </c>
      <c r="H3590" s="28" t="s">
        <v>502</v>
      </c>
      <c r="I3590" s="5" t="s">
        <v>233</v>
      </c>
    </row>
    <row r="3591" spans="1:9" ht="51.75" customHeight="1">
      <c r="A3591" s="5">
        <v>4</v>
      </c>
      <c r="B3591" s="5" t="s">
        <v>33471</v>
      </c>
      <c r="C3591" s="5" t="s">
        <v>33472</v>
      </c>
      <c r="D3591" s="246">
        <v>39693</v>
      </c>
      <c r="E3591" s="5" t="s">
        <v>33473</v>
      </c>
      <c r="F3591" s="26"/>
      <c r="G3591" s="27" t="s">
        <v>501</v>
      </c>
      <c r="H3591" s="28" t="s">
        <v>502</v>
      </c>
      <c r="I3591" s="5" t="s">
        <v>233</v>
      </c>
    </row>
    <row r="3592" spans="1:9" ht="51.75" customHeight="1">
      <c r="A3592" s="5">
        <v>5</v>
      </c>
      <c r="B3592" s="5" t="s">
        <v>33474</v>
      </c>
      <c r="C3592" s="5" t="s">
        <v>33475</v>
      </c>
      <c r="D3592" s="246">
        <v>39693</v>
      </c>
      <c r="E3592" s="5" t="s">
        <v>33476</v>
      </c>
      <c r="F3592" s="26"/>
      <c r="G3592" s="27" t="s">
        <v>501</v>
      </c>
      <c r="H3592" s="28" t="s">
        <v>502</v>
      </c>
      <c r="I3592" s="5" t="s">
        <v>233</v>
      </c>
    </row>
    <row r="3593" spans="1:9" ht="51.75" customHeight="1">
      <c r="A3593" s="5">
        <v>6</v>
      </c>
      <c r="B3593" s="5" t="s">
        <v>33477</v>
      </c>
      <c r="C3593" s="5" t="s">
        <v>33478</v>
      </c>
      <c r="D3593" s="246">
        <v>39693</v>
      </c>
      <c r="E3593" s="5" t="s">
        <v>33479</v>
      </c>
      <c r="F3593" s="26"/>
      <c r="G3593" s="27" t="s">
        <v>501</v>
      </c>
      <c r="H3593" s="28" t="s">
        <v>502</v>
      </c>
      <c r="I3593" s="5" t="s">
        <v>233</v>
      </c>
    </row>
    <row r="3594" spans="1:9" ht="51.75" customHeight="1">
      <c r="A3594" s="5">
        <v>7</v>
      </c>
      <c r="B3594" s="5" t="s">
        <v>33480</v>
      </c>
      <c r="C3594" s="5" t="s">
        <v>33481</v>
      </c>
      <c r="D3594" s="246">
        <v>39693</v>
      </c>
      <c r="E3594" s="5" t="s">
        <v>33482</v>
      </c>
      <c r="F3594" s="26"/>
      <c r="G3594" s="27" t="s">
        <v>501</v>
      </c>
      <c r="H3594" s="28" t="s">
        <v>502</v>
      </c>
      <c r="I3594" s="5" t="s">
        <v>233</v>
      </c>
    </row>
    <row r="3595" spans="1:9" ht="51.75" customHeight="1">
      <c r="A3595" s="5">
        <v>1</v>
      </c>
      <c r="B3595" s="5" t="s">
        <v>33483</v>
      </c>
      <c r="C3595" s="5" t="s">
        <v>33484</v>
      </c>
      <c r="D3595" s="246">
        <v>39693</v>
      </c>
      <c r="E3595" s="5" t="s">
        <v>33485</v>
      </c>
      <c r="F3595" s="26"/>
      <c r="G3595" s="27" t="s">
        <v>465</v>
      </c>
      <c r="H3595" s="28" t="s">
        <v>466</v>
      </c>
      <c r="I3595" s="5" t="s">
        <v>233</v>
      </c>
    </row>
    <row r="3596" spans="1:9" ht="51.75" customHeight="1">
      <c r="A3596" s="5">
        <v>2</v>
      </c>
      <c r="B3596" s="5" t="s">
        <v>33486</v>
      </c>
      <c r="C3596" s="5" t="s">
        <v>33487</v>
      </c>
      <c r="D3596" s="246">
        <v>39693</v>
      </c>
      <c r="E3596" s="5" t="s">
        <v>33488</v>
      </c>
      <c r="F3596" s="26"/>
      <c r="G3596" s="27" t="s">
        <v>465</v>
      </c>
      <c r="H3596" s="28" t="s">
        <v>466</v>
      </c>
      <c r="I3596" s="5" t="s">
        <v>233</v>
      </c>
    </row>
    <row r="3597" spans="1:9" ht="51.75" customHeight="1">
      <c r="A3597" s="5">
        <v>1</v>
      </c>
      <c r="B3597" s="5" t="s">
        <v>33489</v>
      </c>
      <c r="C3597" s="5" t="s">
        <v>33490</v>
      </c>
      <c r="D3597" s="246">
        <v>39693</v>
      </c>
      <c r="E3597" s="5" t="s">
        <v>33491</v>
      </c>
      <c r="F3597" s="26"/>
      <c r="G3597" s="27" t="s">
        <v>521</v>
      </c>
      <c r="H3597" s="28" t="s">
        <v>522</v>
      </c>
      <c r="I3597" s="5" t="s">
        <v>233</v>
      </c>
    </row>
    <row r="3598" spans="1:9" ht="51.75" customHeight="1">
      <c r="A3598" s="5">
        <v>2</v>
      </c>
      <c r="B3598" s="5" t="s">
        <v>33492</v>
      </c>
      <c r="C3598" s="5" t="s">
        <v>33493</v>
      </c>
      <c r="D3598" s="246">
        <v>39693</v>
      </c>
      <c r="E3598" s="5" t="s">
        <v>33494</v>
      </c>
      <c r="F3598" s="26"/>
      <c r="G3598" s="27" t="s">
        <v>521</v>
      </c>
      <c r="H3598" s="28" t="s">
        <v>522</v>
      </c>
      <c r="I3598" s="5" t="s">
        <v>233</v>
      </c>
    </row>
    <row r="3599" spans="1:9" ht="51.75" customHeight="1">
      <c r="A3599" s="5">
        <v>3</v>
      </c>
      <c r="B3599" s="5" t="s">
        <v>33495</v>
      </c>
      <c r="C3599" s="5" t="s">
        <v>33496</v>
      </c>
      <c r="D3599" s="246">
        <v>39693</v>
      </c>
      <c r="E3599" s="5" t="s">
        <v>33497</v>
      </c>
      <c r="F3599" s="26"/>
      <c r="G3599" s="27" t="s">
        <v>521</v>
      </c>
      <c r="H3599" s="28" t="s">
        <v>522</v>
      </c>
      <c r="I3599" s="5" t="s">
        <v>233</v>
      </c>
    </row>
    <row r="3600" spans="1:9" ht="51.75" customHeight="1">
      <c r="A3600" s="5">
        <v>4</v>
      </c>
      <c r="B3600" s="5" t="s">
        <v>33498</v>
      </c>
      <c r="C3600" s="5" t="s">
        <v>33499</v>
      </c>
      <c r="D3600" s="246">
        <v>39693</v>
      </c>
      <c r="E3600" s="5" t="s">
        <v>33500</v>
      </c>
      <c r="F3600" s="26"/>
      <c r="G3600" s="27" t="s">
        <v>521</v>
      </c>
      <c r="H3600" s="28" t="s">
        <v>522</v>
      </c>
      <c r="I3600" s="5" t="s">
        <v>233</v>
      </c>
    </row>
    <row r="3601" spans="1:9" ht="51.75" customHeight="1">
      <c r="A3601" s="5">
        <v>1</v>
      </c>
      <c r="B3601" s="5" t="s">
        <v>33501</v>
      </c>
      <c r="C3601" s="5" t="s">
        <v>33502</v>
      </c>
      <c r="D3601" s="246">
        <v>39693</v>
      </c>
      <c r="E3601" s="5" t="s">
        <v>33503</v>
      </c>
      <c r="F3601" s="26"/>
      <c r="G3601" s="27" t="s">
        <v>529</v>
      </c>
      <c r="H3601" s="28" t="s">
        <v>530</v>
      </c>
      <c r="I3601" s="5" t="s">
        <v>233</v>
      </c>
    </row>
    <row r="3602" spans="1:9" ht="51.75" customHeight="1">
      <c r="A3602" s="5">
        <v>2</v>
      </c>
      <c r="B3602" s="5" t="s">
        <v>33504</v>
      </c>
      <c r="C3602" s="5" t="s">
        <v>33505</v>
      </c>
      <c r="D3602" s="246">
        <v>39693</v>
      </c>
      <c r="E3602" s="5" t="s">
        <v>33506</v>
      </c>
      <c r="F3602" s="26"/>
      <c r="G3602" s="27" t="s">
        <v>529</v>
      </c>
      <c r="H3602" s="28" t="s">
        <v>530</v>
      </c>
      <c r="I3602" s="5" t="s">
        <v>233</v>
      </c>
    </row>
    <row r="3603" spans="1:9" ht="51.75" customHeight="1">
      <c r="A3603" s="5">
        <v>3</v>
      </c>
      <c r="B3603" s="5" t="s">
        <v>33507</v>
      </c>
      <c r="C3603" s="5" t="s">
        <v>33508</v>
      </c>
      <c r="D3603" s="246">
        <v>39693</v>
      </c>
      <c r="E3603" s="5" t="s">
        <v>33509</v>
      </c>
      <c r="F3603" s="26"/>
      <c r="G3603" s="27" t="s">
        <v>529</v>
      </c>
      <c r="H3603" s="28" t="s">
        <v>530</v>
      </c>
      <c r="I3603" s="5" t="s">
        <v>233</v>
      </c>
    </row>
    <row r="3604" spans="1:9" ht="51.75" customHeight="1">
      <c r="A3604" s="5">
        <v>4</v>
      </c>
      <c r="B3604" s="5" t="s">
        <v>33510</v>
      </c>
      <c r="C3604" s="5" t="s">
        <v>33511</v>
      </c>
      <c r="D3604" s="246">
        <v>39693</v>
      </c>
      <c r="E3604" s="5" t="s">
        <v>33512</v>
      </c>
      <c r="F3604" s="26"/>
      <c r="G3604" s="27" t="s">
        <v>529</v>
      </c>
      <c r="H3604" s="28" t="s">
        <v>530</v>
      </c>
      <c r="I3604" s="5" t="s">
        <v>233</v>
      </c>
    </row>
    <row r="3605" spans="1:9" ht="51.75" customHeight="1">
      <c r="A3605" s="5">
        <v>5</v>
      </c>
      <c r="B3605" s="5" t="s">
        <v>33513</v>
      </c>
      <c r="C3605" s="5" t="s">
        <v>33514</v>
      </c>
      <c r="D3605" s="246">
        <v>39693</v>
      </c>
      <c r="E3605" s="5" t="s">
        <v>33515</v>
      </c>
      <c r="F3605" s="26"/>
      <c r="G3605" s="27" t="s">
        <v>529</v>
      </c>
      <c r="H3605" s="28" t="s">
        <v>530</v>
      </c>
      <c r="I3605" s="5" t="s">
        <v>233</v>
      </c>
    </row>
    <row r="3606" spans="1:9" ht="51.75" customHeight="1">
      <c r="A3606" s="5">
        <v>6</v>
      </c>
      <c r="B3606" s="5" t="s">
        <v>33516</v>
      </c>
      <c r="C3606" s="5" t="s">
        <v>33517</v>
      </c>
      <c r="D3606" s="246">
        <v>39693</v>
      </c>
      <c r="E3606" s="5" t="s">
        <v>33518</v>
      </c>
      <c r="F3606" s="26"/>
      <c r="G3606" s="27" t="s">
        <v>529</v>
      </c>
      <c r="H3606" s="28" t="s">
        <v>530</v>
      </c>
      <c r="I3606" s="5" t="s">
        <v>233</v>
      </c>
    </row>
    <row r="3607" spans="1:9" ht="51.75" customHeight="1">
      <c r="A3607" s="5">
        <v>1</v>
      </c>
      <c r="B3607" s="5" t="s">
        <v>33519</v>
      </c>
      <c r="C3607" s="5" t="s">
        <v>33520</v>
      </c>
      <c r="D3607" s="246">
        <v>39262</v>
      </c>
      <c r="E3607" s="5" t="s">
        <v>33521</v>
      </c>
      <c r="F3607" s="26"/>
      <c r="G3607" s="27" t="s">
        <v>679</v>
      </c>
      <c r="H3607" s="28" t="s">
        <v>680</v>
      </c>
      <c r="I3607" s="5" t="s">
        <v>233</v>
      </c>
    </row>
    <row r="3608" spans="1:9" ht="51.75" customHeight="1">
      <c r="A3608" s="5">
        <v>2</v>
      </c>
      <c r="B3608" s="5" t="s">
        <v>33522</v>
      </c>
      <c r="C3608" s="5" t="s">
        <v>33523</v>
      </c>
      <c r="D3608" s="246">
        <v>39262</v>
      </c>
      <c r="E3608" s="5" t="s">
        <v>33524</v>
      </c>
      <c r="F3608" s="26"/>
      <c r="G3608" s="27" t="s">
        <v>679</v>
      </c>
      <c r="H3608" s="28" t="s">
        <v>680</v>
      </c>
      <c r="I3608" s="5" t="s">
        <v>233</v>
      </c>
    </row>
    <row r="3609" spans="1:9" ht="51.75" customHeight="1">
      <c r="A3609" s="5">
        <v>3</v>
      </c>
      <c r="B3609" s="5" t="s">
        <v>33525</v>
      </c>
      <c r="C3609" s="5" t="s">
        <v>33526</v>
      </c>
      <c r="D3609" s="246">
        <v>39262</v>
      </c>
      <c r="E3609" s="5" t="s">
        <v>33527</v>
      </c>
      <c r="F3609" s="26"/>
      <c r="G3609" s="27" t="s">
        <v>679</v>
      </c>
      <c r="H3609" s="28" t="s">
        <v>680</v>
      </c>
      <c r="I3609" s="5" t="s">
        <v>233</v>
      </c>
    </row>
    <row r="3610" spans="1:9" ht="51.75" customHeight="1">
      <c r="A3610" s="5">
        <v>4</v>
      </c>
      <c r="B3610" s="5" t="s">
        <v>33528</v>
      </c>
      <c r="C3610" s="5" t="s">
        <v>33529</v>
      </c>
      <c r="D3610" s="246">
        <v>39262</v>
      </c>
      <c r="E3610" s="5" t="s">
        <v>33530</v>
      </c>
      <c r="F3610" s="26"/>
      <c r="G3610" s="27" t="s">
        <v>679</v>
      </c>
      <c r="H3610" s="28" t="s">
        <v>680</v>
      </c>
      <c r="I3610" s="5" t="s">
        <v>233</v>
      </c>
    </row>
    <row r="3611" spans="1:9" ht="51.75" customHeight="1">
      <c r="A3611" s="5">
        <v>5</v>
      </c>
      <c r="B3611" s="5" t="s">
        <v>33531</v>
      </c>
      <c r="C3611" s="5" t="s">
        <v>33532</v>
      </c>
      <c r="D3611" s="246">
        <v>39262</v>
      </c>
      <c r="E3611" s="5" t="s">
        <v>33533</v>
      </c>
      <c r="F3611" s="26"/>
      <c r="G3611" s="27" t="s">
        <v>679</v>
      </c>
      <c r="H3611" s="28" t="s">
        <v>680</v>
      </c>
      <c r="I3611" s="5" t="s">
        <v>233</v>
      </c>
    </row>
    <row r="3612" spans="1:9" ht="51.75" customHeight="1">
      <c r="A3612" s="5">
        <v>6</v>
      </c>
      <c r="B3612" s="5" t="s">
        <v>33534</v>
      </c>
      <c r="C3612" s="5" t="s">
        <v>33535</v>
      </c>
      <c r="D3612" s="246">
        <v>39262</v>
      </c>
      <c r="E3612" s="5" t="s">
        <v>33536</v>
      </c>
      <c r="F3612" s="26"/>
      <c r="G3612" s="27" t="s">
        <v>679</v>
      </c>
      <c r="H3612" s="28" t="s">
        <v>680</v>
      </c>
      <c r="I3612" s="5" t="s">
        <v>233</v>
      </c>
    </row>
    <row r="3613" spans="1:9" ht="51.75" customHeight="1">
      <c r="A3613" s="5">
        <v>7</v>
      </c>
      <c r="B3613" s="5" t="s">
        <v>33537</v>
      </c>
      <c r="C3613" s="5" t="s">
        <v>33538</v>
      </c>
      <c r="D3613" s="246">
        <v>39262</v>
      </c>
      <c r="E3613" s="5" t="s">
        <v>33539</v>
      </c>
      <c r="F3613" s="26"/>
      <c r="G3613" s="27" t="s">
        <v>679</v>
      </c>
      <c r="H3613" s="28" t="s">
        <v>680</v>
      </c>
      <c r="I3613" s="5" t="s">
        <v>233</v>
      </c>
    </row>
    <row r="3614" spans="1:9" ht="51.75" customHeight="1">
      <c r="A3614" s="5">
        <v>8</v>
      </c>
      <c r="B3614" s="5" t="s">
        <v>33540</v>
      </c>
      <c r="C3614" s="5" t="s">
        <v>33541</v>
      </c>
      <c r="D3614" s="246">
        <v>39262</v>
      </c>
      <c r="E3614" s="5" t="s">
        <v>33542</v>
      </c>
      <c r="F3614" s="26"/>
      <c r="G3614" s="27" t="s">
        <v>679</v>
      </c>
      <c r="H3614" s="28" t="s">
        <v>680</v>
      </c>
      <c r="I3614" s="5" t="s">
        <v>233</v>
      </c>
    </row>
    <row r="3615" spans="1:9" ht="51.75" customHeight="1">
      <c r="A3615" s="5">
        <v>9</v>
      </c>
      <c r="B3615" s="5" t="s">
        <v>33543</v>
      </c>
      <c r="C3615" s="5" t="s">
        <v>33544</v>
      </c>
      <c r="D3615" s="246">
        <v>39262</v>
      </c>
      <c r="E3615" s="5" t="s">
        <v>33545</v>
      </c>
      <c r="F3615" s="26"/>
      <c r="G3615" s="27" t="s">
        <v>679</v>
      </c>
      <c r="H3615" s="28" t="s">
        <v>680</v>
      </c>
      <c r="I3615" s="5" t="s">
        <v>233</v>
      </c>
    </row>
    <row r="3616" spans="1:9" ht="51.75" customHeight="1">
      <c r="A3616" s="5">
        <v>10</v>
      </c>
      <c r="B3616" s="5" t="s">
        <v>33546</v>
      </c>
      <c r="C3616" s="5" t="s">
        <v>33547</v>
      </c>
      <c r="D3616" s="246">
        <v>39262</v>
      </c>
      <c r="E3616" s="5" t="s">
        <v>33548</v>
      </c>
      <c r="F3616" s="26"/>
      <c r="G3616" s="27" t="s">
        <v>679</v>
      </c>
      <c r="H3616" s="28" t="s">
        <v>680</v>
      </c>
      <c r="I3616" s="5" t="s">
        <v>233</v>
      </c>
    </row>
    <row r="3617" spans="1:9" ht="51.75" customHeight="1">
      <c r="A3617" s="5">
        <v>1</v>
      </c>
      <c r="B3617" s="5" t="s">
        <v>33549</v>
      </c>
      <c r="C3617" s="5" t="s">
        <v>33550</v>
      </c>
      <c r="D3617" s="246">
        <v>39294</v>
      </c>
      <c r="E3617" s="5" t="s">
        <v>33551</v>
      </c>
      <c r="F3617" s="26"/>
      <c r="G3617" s="27" t="s">
        <v>842</v>
      </c>
      <c r="H3617" s="28" t="s">
        <v>843</v>
      </c>
      <c r="I3617" s="5" t="s">
        <v>233</v>
      </c>
    </row>
    <row r="3618" spans="1:9" ht="51.75" customHeight="1">
      <c r="A3618" s="5">
        <v>2</v>
      </c>
      <c r="B3618" s="5" t="s">
        <v>33552</v>
      </c>
      <c r="C3618" s="5" t="s">
        <v>33553</v>
      </c>
      <c r="D3618" s="246">
        <v>39294</v>
      </c>
      <c r="E3618" s="5" t="s">
        <v>33554</v>
      </c>
      <c r="F3618" s="26"/>
      <c r="G3618" s="27" t="s">
        <v>842</v>
      </c>
      <c r="H3618" s="28" t="s">
        <v>843</v>
      </c>
      <c r="I3618" s="5" t="s">
        <v>233</v>
      </c>
    </row>
    <row r="3619" spans="1:9" ht="51.75" customHeight="1">
      <c r="A3619" s="5">
        <v>3</v>
      </c>
      <c r="B3619" s="5" t="s">
        <v>33555</v>
      </c>
      <c r="C3619" s="5" t="s">
        <v>33556</v>
      </c>
      <c r="D3619" s="246">
        <v>39294</v>
      </c>
      <c r="E3619" s="5" t="s">
        <v>33557</v>
      </c>
      <c r="F3619" s="26"/>
      <c r="G3619" s="27" t="s">
        <v>842</v>
      </c>
      <c r="H3619" s="28" t="s">
        <v>843</v>
      </c>
      <c r="I3619" s="5" t="s">
        <v>233</v>
      </c>
    </row>
    <row r="3620" spans="1:9" ht="51.75" customHeight="1">
      <c r="A3620" s="5">
        <v>4</v>
      </c>
      <c r="B3620" s="5" t="s">
        <v>33558</v>
      </c>
      <c r="C3620" s="5" t="s">
        <v>33559</v>
      </c>
      <c r="D3620" s="246">
        <v>39294</v>
      </c>
      <c r="E3620" s="5" t="s">
        <v>33560</v>
      </c>
      <c r="F3620" s="26"/>
      <c r="G3620" s="27" t="s">
        <v>842</v>
      </c>
      <c r="H3620" s="28" t="s">
        <v>843</v>
      </c>
      <c r="I3620" s="5" t="s">
        <v>233</v>
      </c>
    </row>
    <row r="3621" spans="1:9" ht="51.75" customHeight="1">
      <c r="A3621" s="5">
        <v>1</v>
      </c>
      <c r="B3621" s="5" t="s">
        <v>33561</v>
      </c>
      <c r="C3621" s="5" t="s">
        <v>33562</v>
      </c>
      <c r="D3621" s="246">
        <v>39100</v>
      </c>
      <c r="E3621" s="5" t="s">
        <v>33563</v>
      </c>
      <c r="F3621" s="26"/>
      <c r="G3621" s="27" t="s">
        <v>1418</v>
      </c>
      <c r="H3621" s="28" t="s">
        <v>1419</v>
      </c>
      <c r="I3621" s="5" t="s">
        <v>233</v>
      </c>
    </row>
    <row r="3622" spans="1:9" ht="51.75" customHeight="1">
      <c r="A3622" s="5">
        <v>2</v>
      </c>
      <c r="B3622" s="5" t="s">
        <v>33564</v>
      </c>
      <c r="C3622" s="5" t="s">
        <v>33565</v>
      </c>
      <c r="D3622" s="246">
        <v>39100</v>
      </c>
      <c r="E3622" s="5" t="s">
        <v>33566</v>
      </c>
      <c r="F3622" s="26"/>
      <c r="G3622" s="27" t="s">
        <v>1418</v>
      </c>
      <c r="H3622" s="28" t="s">
        <v>1419</v>
      </c>
      <c r="I3622" s="5" t="s">
        <v>233</v>
      </c>
    </row>
    <row r="3623" spans="1:9" ht="51.75" customHeight="1">
      <c r="A3623" s="5">
        <v>3</v>
      </c>
      <c r="B3623" s="5" t="s">
        <v>33567</v>
      </c>
      <c r="C3623" s="5" t="s">
        <v>33568</v>
      </c>
      <c r="D3623" s="246">
        <v>39100</v>
      </c>
      <c r="E3623" s="5" t="s">
        <v>33569</v>
      </c>
      <c r="F3623" s="26"/>
      <c r="G3623" s="27" t="s">
        <v>1418</v>
      </c>
      <c r="H3623" s="28" t="s">
        <v>1419</v>
      </c>
      <c r="I3623" s="5" t="s">
        <v>233</v>
      </c>
    </row>
    <row r="3624" spans="1:9" ht="51.75" customHeight="1">
      <c r="A3624" s="5">
        <v>4</v>
      </c>
      <c r="B3624" s="5" t="s">
        <v>33570</v>
      </c>
      <c r="C3624" s="5" t="s">
        <v>33571</v>
      </c>
      <c r="D3624" s="246">
        <v>39100</v>
      </c>
      <c r="E3624" s="5" t="s">
        <v>33572</v>
      </c>
      <c r="F3624" s="26"/>
      <c r="G3624" s="27" t="s">
        <v>1418</v>
      </c>
      <c r="H3624" s="28" t="s">
        <v>1419</v>
      </c>
      <c r="I3624" s="5" t="s">
        <v>233</v>
      </c>
    </row>
    <row r="3625" spans="1:9" ht="51.75" customHeight="1">
      <c r="A3625" s="5">
        <v>5</v>
      </c>
      <c r="B3625" s="5" t="s">
        <v>33573</v>
      </c>
      <c r="C3625" s="5" t="s">
        <v>33574</v>
      </c>
      <c r="D3625" s="246">
        <v>39100</v>
      </c>
      <c r="E3625" s="5" t="s">
        <v>33575</v>
      </c>
      <c r="F3625" s="26"/>
      <c r="G3625" s="27" t="s">
        <v>1418</v>
      </c>
      <c r="H3625" s="28" t="s">
        <v>1419</v>
      </c>
      <c r="I3625" s="5" t="s">
        <v>233</v>
      </c>
    </row>
    <row r="3626" spans="1:9" ht="51.75" customHeight="1">
      <c r="A3626" s="5">
        <v>6</v>
      </c>
      <c r="B3626" s="5" t="s">
        <v>33576</v>
      </c>
      <c r="C3626" s="5" t="s">
        <v>33577</v>
      </c>
      <c r="D3626" s="246">
        <v>39100</v>
      </c>
      <c r="E3626" s="5" t="s">
        <v>33578</v>
      </c>
      <c r="F3626" s="26"/>
      <c r="G3626" s="27" t="s">
        <v>1418</v>
      </c>
      <c r="H3626" s="28" t="s">
        <v>1419</v>
      </c>
      <c r="I3626" s="5" t="s">
        <v>233</v>
      </c>
    </row>
    <row r="3627" spans="1:9" ht="51.75" customHeight="1">
      <c r="A3627" s="5">
        <v>7</v>
      </c>
      <c r="B3627" s="5" t="s">
        <v>33579</v>
      </c>
      <c r="C3627" s="5" t="s">
        <v>33580</v>
      </c>
      <c r="D3627" s="246">
        <v>39100</v>
      </c>
      <c r="E3627" s="5" t="s">
        <v>33581</v>
      </c>
      <c r="F3627" s="26"/>
      <c r="G3627" s="27" t="s">
        <v>1418</v>
      </c>
      <c r="H3627" s="28" t="s">
        <v>1419</v>
      </c>
      <c r="I3627" s="5" t="s">
        <v>233</v>
      </c>
    </row>
    <row r="3628" spans="1:9" ht="51.75" customHeight="1">
      <c r="A3628" s="5">
        <v>8</v>
      </c>
      <c r="B3628" s="5" t="s">
        <v>33582</v>
      </c>
      <c r="C3628" s="5" t="s">
        <v>33583</v>
      </c>
      <c r="D3628" s="246">
        <v>39100</v>
      </c>
      <c r="E3628" s="5" t="s">
        <v>33584</v>
      </c>
      <c r="F3628" s="26"/>
      <c r="G3628" s="27" t="s">
        <v>1418</v>
      </c>
      <c r="H3628" s="28" t="s">
        <v>1419</v>
      </c>
      <c r="I3628" s="5" t="s">
        <v>233</v>
      </c>
    </row>
    <row r="3629" spans="1:9" ht="51.75" customHeight="1">
      <c r="A3629" s="5">
        <v>9</v>
      </c>
      <c r="B3629" s="5" t="s">
        <v>33585</v>
      </c>
      <c r="C3629" s="5" t="s">
        <v>33586</v>
      </c>
      <c r="D3629" s="246">
        <v>39100</v>
      </c>
      <c r="E3629" s="5" t="s">
        <v>33587</v>
      </c>
      <c r="F3629" s="26"/>
      <c r="G3629" s="27" t="s">
        <v>1418</v>
      </c>
      <c r="H3629" s="28" t="s">
        <v>1419</v>
      </c>
      <c r="I3629" s="5" t="s">
        <v>233</v>
      </c>
    </row>
    <row r="3630" spans="1:9" ht="51.75" customHeight="1">
      <c r="A3630" s="5">
        <v>1</v>
      </c>
      <c r="B3630" s="5" t="s">
        <v>33588</v>
      </c>
      <c r="C3630" s="5" t="s">
        <v>33589</v>
      </c>
      <c r="D3630" s="246">
        <v>39263</v>
      </c>
      <c r="E3630" s="5" t="s">
        <v>33590</v>
      </c>
      <c r="F3630" s="26"/>
      <c r="G3630" s="27" t="s">
        <v>934</v>
      </c>
      <c r="H3630" s="28" t="s">
        <v>935</v>
      </c>
      <c r="I3630" s="5" t="s">
        <v>233</v>
      </c>
    </row>
    <row r="3631" spans="1:9" ht="51.75" customHeight="1">
      <c r="A3631" s="5">
        <v>2</v>
      </c>
      <c r="B3631" s="5" t="s">
        <v>33591</v>
      </c>
      <c r="C3631" s="5" t="s">
        <v>33592</v>
      </c>
      <c r="D3631" s="246">
        <v>39263</v>
      </c>
      <c r="E3631" s="5" t="s">
        <v>33593</v>
      </c>
      <c r="F3631" s="26"/>
      <c r="G3631" s="27" t="s">
        <v>934</v>
      </c>
      <c r="H3631" s="28" t="s">
        <v>935</v>
      </c>
      <c r="I3631" s="5" t="s">
        <v>233</v>
      </c>
    </row>
    <row r="3632" spans="1:9" ht="51.75" customHeight="1">
      <c r="A3632" s="5">
        <v>3</v>
      </c>
      <c r="B3632" s="5" t="s">
        <v>33594</v>
      </c>
      <c r="C3632" s="5" t="s">
        <v>33595</v>
      </c>
      <c r="D3632" s="246">
        <v>39263</v>
      </c>
      <c r="E3632" s="5" t="s">
        <v>33596</v>
      </c>
      <c r="F3632" s="26"/>
      <c r="G3632" s="27" t="s">
        <v>934</v>
      </c>
      <c r="H3632" s="28" t="s">
        <v>935</v>
      </c>
      <c r="I3632" s="5" t="s">
        <v>233</v>
      </c>
    </row>
    <row r="3633" spans="1:9" ht="51.75" customHeight="1">
      <c r="A3633" s="5">
        <v>4</v>
      </c>
      <c r="B3633" s="5" t="s">
        <v>33597</v>
      </c>
      <c r="C3633" s="5" t="s">
        <v>33598</v>
      </c>
      <c r="D3633" s="246">
        <v>39263</v>
      </c>
      <c r="E3633" s="5" t="s">
        <v>33599</v>
      </c>
      <c r="F3633" s="26"/>
      <c r="G3633" s="27" t="s">
        <v>934</v>
      </c>
      <c r="H3633" s="28" t="s">
        <v>935</v>
      </c>
      <c r="I3633" s="5" t="s">
        <v>233</v>
      </c>
    </row>
    <row r="3634" spans="1:9" ht="51.75" customHeight="1">
      <c r="A3634" s="5">
        <v>5</v>
      </c>
      <c r="B3634" s="5" t="s">
        <v>33600</v>
      </c>
      <c r="C3634" s="5" t="s">
        <v>33598</v>
      </c>
      <c r="D3634" s="246">
        <v>39263</v>
      </c>
      <c r="E3634" s="5" t="s">
        <v>33599</v>
      </c>
      <c r="F3634" s="26"/>
      <c r="G3634" s="27" t="s">
        <v>934</v>
      </c>
      <c r="H3634" s="28" t="s">
        <v>935</v>
      </c>
      <c r="I3634" s="5" t="s">
        <v>233</v>
      </c>
    </row>
    <row r="3635" spans="1:9" ht="51.75" customHeight="1">
      <c r="A3635" s="5">
        <v>6</v>
      </c>
      <c r="B3635" s="5" t="s">
        <v>33601</v>
      </c>
      <c r="C3635" s="5" t="s">
        <v>33602</v>
      </c>
      <c r="D3635" s="246">
        <v>39263</v>
      </c>
      <c r="E3635" s="5" t="s">
        <v>33603</v>
      </c>
      <c r="F3635" s="26"/>
      <c r="G3635" s="27" t="s">
        <v>934</v>
      </c>
      <c r="H3635" s="28" t="s">
        <v>935</v>
      </c>
      <c r="I3635" s="5" t="s">
        <v>233</v>
      </c>
    </row>
    <row r="3636" spans="1:9" ht="51.75" customHeight="1">
      <c r="A3636" s="5">
        <v>1</v>
      </c>
      <c r="B3636" s="5" t="s">
        <v>33604</v>
      </c>
      <c r="C3636" s="5" t="s">
        <v>33605</v>
      </c>
      <c r="D3636" s="246">
        <v>38807</v>
      </c>
      <c r="E3636" s="5" t="s">
        <v>33606</v>
      </c>
      <c r="F3636" s="26"/>
      <c r="G3636" s="27" t="s">
        <v>284</v>
      </c>
      <c r="H3636" s="28" t="s">
        <v>285</v>
      </c>
      <c r="I3636" s="5" t="s">
        <v>233</v>
      </c>
    </row>
    <row r="3637" spans="1:9" ht="51.75" customHeight="1">
      <c r="A3637" s="5">
        <v>2</v>
      </c>
      <c r="B3637" s="5" t="s">
        <v>33607</v>
      </c>
      <c r="C3637" s="5" t="s">
        <v>33608</v>
      </c>
      <c r="D3637" s="246">
        <v>38807</v>
      </c>
      <c r="E3637" s="5" t="s">
        <v>33609</v>
      </c>
      <c r="F3637" s="26"/>
      <c r="G3637" s="27" t="s">
        <v>284</v>
      </c>
      <c r="H3637" s="28" t="s">
        <v>285</v>
      </c>
      <c r="I3637" s="5" t="s">
        <v>233</v>
      </c>
    </row>
    <row r="3638" spans="1:9" ht="51.75" customHeight="1">
      <c r="A3638" s="5">
        <v>3</v>
      </c>
      <c r="B3638" s="5" t="s">
        <v>33610</v>
      </c>
      <c r="C3638" s="5" t="s">
        <v>33611</v>
      </c>
      <c r="D3638" s="246">
        <v>38807</v>
      </c>
      <c r="E3638" s="5" t="s">
        <v>33612</v>
      </c>
      <c r="F3638" s="26"/>
      <c r="G3638" s="27" t="s">
        <v>284</v>
      </c>
      <c r="H3638" s="28" t="s">
        <v>285</v>
      </c>
      <c r="I3638" s="5" t="s">
        <v>233</v>
      </c>
    </row>
    <row r="3639" spans="1:9" ht="51.75" customHeight="1">
      <c r="A3639" s="5">
        <v>4</v>
      </c>
      <c r="B3639" s="5" t="s">
        <v>33613</v>
      </c>
      <c r="C3639" s="5" t="s">
        <v>33614</v>
      </c>
      <c r="D3639" s="246">
        <v>38807</v>
      </c>
      <c r="E3639" s="5" t="s">
        <v>33615</v>
      </c>
      <c r="F3639" s="26"/>
      <c r="G3639" s="27" t="s">
        <v>284</v>
      </c>
      <c r="H3639" s="28" t="s">
        <v>285</v>
      </c>
      <c r="I3639" s="5" t="s">
        <v>233</v>
      </c>
    </row>
    <row r="3640" spans="1:9" ht="51.75" customHeight="1">
      <c r="A3640" s="5" t="s">
        <v>25006</v>
      </c>
      <c r="B3640" s="5" t="s">
        <v>33616</v>
      </c>
      <c r="C3640" s="5" t="s">
        <v>33617</v>
      </c>
      <c r="D3640" s="246">
        <v>41319</v>
      </c>
      <c r="E3640" s="5" t="s">
        <v>33618</v>
      </c>
      <c r="F3640" s="26" t="s">
        <v>23600</v>
      </c>
      <c r="G3640" s="27" t="s">
        <v>7534</v>
      </c>
      <c r="H3640" s="28" t="s">
        <v>7535</v>
      </c>
      <c r="I3640" s="5" t="s">
        <v>233</v>
      </c>
    </row>
    <row r="3641" spans="1:9" ht="51.75" customHeight="1">
      <c r="A3641" s="5" t="s">
        <v>25012</v>
      </c>
      <c r="B3641" s="5" t="s">
        <v>33619</v>
      </c>
      <c r="C3641" s="5" t="s">
        <v>33620</v>
      </c>
      <c r="D3641" s="246">
        <v>41319</v>
      </c>
      <c r="E3641" s="5" t="s">
        <v>33621</v>
      </c>
      <c r="F3641" s="26" t="s">
        <v>23600</v>
      </c>
      <c r="G3641" s="27" t="s">
        <v>7534</v>
      </c>
      <c r="H3641" s="28" t="s">
        <v>7535</v>
      </c>
      <c r="I3641" s="5" t="s">
        <v>233</v>
      </c>
    </row>
    <row r="3642" spans="1:9" ht="51.75" customHeight="1">
      <c r="A3642" s="5" t="s">
        <v>24969</v>
      </c>
      <c r="B3642" s="5" t="s">
        <v>33622</v>
      </c>
      <c r="C3642" s="5" t="s">
        <v>33623</v>
      </c>
      <c r="D3642" s="246">
        <v>41319</v>
      </c>
      <c r="E3642" s="5" t="s">
        <v>33624</v>
      </c>
      <c r="F3642" s="26" t="s">
        <v>23600</v>
      </c>
      <c r="G3642" s="27" t="s">
        <v>7534</v>
      </c>
      <c r="H3642" s="28" t="s">
        <v>7535</v>
      </c>
      <c r="I3642" s="5" t="s">
        <v>233</v>
      </c>
    </row>
    <row r="3643" spans="1:9" ht="51.75" customHeight="1">
      <c r="A3643" s="5" t="s">
        <v>24975</v>
      </c>
      <c r="B3643" s="5" t="s">
        <v>33625</v>
      </c>
      <c r="C3643" s="5" t="s">
        <v>33626</v>
      </c>
      <c r="D3643" s="246">
        <v>41319</v>
      </c>
      <c r="E3643" s="5" t="s">
        <v>33627</v>
      </c>
      <c r="F3643" s="26" t="s">
        <v>23600</v>
      </c>
      <c r="G3643" s="27" t="s">
        <v>7534</v>
      </c>
      <c r="H3643" s="28" t="s">
        <v>7535</v>
      </c>
      <c r="I3643" s="5" t="s">
        <v>233</v>
      </c>
    </row>
    <row r="3644" spans="1:9" ht="51.75" customHeight="1">
      <c r="A3644" s="5" t="s">
        <v>24981</v>
      </c>
      <c r="B3644" s="5" t="s">
        <v>33628</v>
      </c>
      <c r="C3644" s="5" t="s">
        <v>33629</v>
      </c>
      <c r="D3644" s="246">
        <v>41319</v>
      </c>
      <c r="E3644" s="5" t="s">
        <v>33630</v>
      </c>
      <c r="F3644" s="26" t="s">
        <v>23600</v>
      </c>
      <c r="G3644" s="27" t="s">
        <v>7534</v>
      </c>
      <c r="H3644" s="28" t="s">
        <v>7535</v>
      </c>
      <c r="I3644" s="5" t="s">
        <v>233</v>
      </c>
    </row>
    <row r="3645" spans="1:9" ht="51.75" customHeight="1">
      <c r="A3645" s="5" t="s">
        <v>23704</v>
      </c>
      <c r="B3645" s="5" t="s">
        <v>33631</v>
      </c>
      <c r="C3645" s="5" t="s">
        <v>33632</v>
      </c>
      <c r="D3645" s="246">
        <v>41200</v>
      </c>
      <c r="E3645" s="5" t="s">
        <v>33633</v>
      </c>
      <c r="F3645" s="26" t="s">
        <v>23600</v>
      </c>
      <c r="G3645" s="27" t="s">
        <v>7551</v>
      </c>
      <c r="H3645" s="28" t="s">
        <v>7552</v>
      </c>
      <c r="I3645" s="5" t="s">
        <v>233</v>
      </c>
    </row>
    <row r="3646" spans="1:9" ht="51.75" customHeight="1">
      <c r="A3646" s="5">
        <v>1</v>
      </c>
      <c r="B3646" s="5" t="s">
        <v>33634</v>
      </c>
      <c r="C3646" s="5" t="s">
        <v>33635</v>
      </c>
      <c r="D3646" s="246">
        <v>41059</v>
      </c>
      <c r="E3646" s="5" t="s">
        <v>33636</v>
      </c>
      <c r="F3646" s="26"/>
      <c r="G3646" s="27" t="s">
        <v>6677</v>
      </c>
      <c r="H3646" s="28" t="s">
        <v>6678</v>
      </c>
      <c r="I3646" s="5" t="s">
        <v>233</v>
      </c>
    </row>
    <row r="3647" spans="1:9" ht="51.75" customHeight="1">
      <c r="A3647" s="5" t="s">
        <v>26497</v>
      </c>
      <c r="B3647" s="5" t="s">
        <v>33637</v>
      </c>
      <c r="C3647" s="5" t="s">
        <v>33638</v>
      </c>
      <c r="D3647" s="246">
        <v>41288</v>
      </c>
      <c r="E3647" s="5" t="s">
        <v>33639</v>
      </c>
      <c r="F3647" s="26" t="s">
        <v>23600</v>
      </c>
      <c r="G3647" s="27" t="s">
        <v>7485</v>
      </c>
      <c r="H3647" s="28" t="s">
        <v>7486</v>
      </c>
      <c r="I3647" s="5" t="s">
        <v>233</v>
      </c>
    </row>
    <row r="3648" spans="1:9" ht="51.75" customHeight="1">
      <c r="A3648" s="5" t="s">
        <v>26285</v>
      </c>
      <c r="B3648" s="5" t="s">
        <v>33640</v>
      </c>
      <c r="C3648" s="5" t="s">
        <v>33641</v>
      </c>
      <c r="D3648" s="246">
        <v>41246</v>
      </c>
      <c r="E3648" s="5" t="s">
        <v>33642</v>
      </c>
      <c r="F3648" s="26" t="s">
        <v>23600</v>
      </c>
      <c r="G3648" s="27" t="s">
        <v>7395</v>
      </c>
      <c r="H3648" s="28" t="s">
        <v>7396</v>
      </c>
      <c r="I3648" s="5" t="s">
        <v>233</v>
      </c>
    </row>
    <row r="3649" spans="1:9" ht="51.75" customHeight="1">
      <c r="A3649" s="5" t="s">
        <v>26296</v>
      </c>
      <c r="B3649" s="5" t="s">
        <v>33643</v>
      </c>
      <c r="C3649" s="5" t="s">
        <v>33644</v>
      </c>
      <c r="D3649" s="246">
        <v>41246</v>
      </c>
      <c r="E3649" s="5" t="s">
        <v>33645</v>
      </c>
      <c r="F3649" s="26" t="s">
        <v>23600</v>
      </c>
      <c r="G3649" s="27" t="s">
        <v>7395</v>
      </c>
      <c r="H3649" s="28" t="s">
        <v>7396</v>
      </c>
      <c r="I3649" s="5" t="s">
        <v>233</v>
      </c>
    </row>
    <row r="3650" spans="1:9" ht="51.75" customHeight="1">
      <c r="A3650" s="5" t="s">
        <v>26301</v>
      </c>
      <c r="B3650" s="5" t="s">
        <v>33646</v>
      </c>
      <c r="C3650" s="5" t="s">
        <v>33647</v>
      </c>
      <c r="D3650" s="246">
        <v>41246</v>
      </c>
      <c r="E3650" s="5" t="s">
        <v>33648</v>
      </c>
      <c r="F3650" s="26" t="s">
        <v>23600</v>
      </c>
      <c r="G3650" s="27" t="s">
        <v>7395</v>
      </c>
      <c r="H3650" s="28" t="s">
        <v>7396</v>
      </c>
      <c r="I3650" s="5" t="s">
        <v>233</v>
      </c>
    </row>
    <row r="3651" spans="1:9" ht="51.75" customHeight="1">
      <c r="A3651" s="5" t="s">
        <v>25539</v>
      </c>
      <c r="B3651" s="5" t="s">
        <v>33649</v>
      </c>
      <c r="C3651" s="5" t="s">
        <v>33650</v>
      </c>
      <c r="D3651" s="246">
        <v>41246</v>
      </c>
      <c r="E3651" s="5" t="s">
        <v>33651</v>
      </c>
      <c r="F3651" s="26" t="s">
        <v>23600</v>
      </c>
      <c r="G3651" s="27" t="s">
        <v>7395</v>
      </c>
      <c r="H3651" s="28" t="s">
        <v>7396</v>
      </c>
      <c r="I3651" s="5" t="s">
        <v>233</v>
      </c>
    </row>
    <row r="3652" spans="1:9" ht="51.75" customHeight="1">
      <c r="A3652" s="5" t="s">
        <v>25944</v>
      </c>
      <c r="B3652" s="5" t="s">
        <v>33652</v>
      </c>
      <c r="C3652" s="5" t="s">
        <v>33653</v>
      </c>
      <c r="D3652" s="246">
        <v>41246</v>
      </c>
      <c r="E3652" s="5" t="s">
        <v>33654</v>
      </c>
      <c r="F3652" s="26" t="s">
        <v>23600</v>
      </c>
      <c r="G3652" s="27" t="s">
        <v>7395</v>
      </c>
      <c r="H3652" s="28" t="s">
        <v>7396</v>
      </c>
      <c r="I3652" s="5" t="s">
        <v>233</v>
      </c>
    </row>
    <row r="3653" spans="1:9" ht="51.75" customHeight="1">
      <c r="A3653" s="5" t="s">
        <v>33655</v>
      </c>
      <c r="B3653" s="5" t="s">
        <v>33656</v>
      </c>
      <c r="C3653" s="5" t="s">
        <v>33657</v>
      </c>
      <c r="D3653" s="246">
        <v>41529</v>
      </c>
      <c r="E3653" s="5" t="s">
        <v>33658</v>
      </c>
      <c r="F3653" s="26"/>
      <c r="G3653" s="27" t="s">
        <v>7304</v>
      </c>
      <c r="H3653" s="28" t="s">
        <v>7305</v>
      </c>
      <c r="I3653" s="5" t="s">
        <v>233</v>
      </c>
    </row>
    <row r="3654" spans="1:9" ht="51.75" customHeight="1">
      <c r="A3654" s="5" t="s">
        <v>24487</v>
      </c>
      <c r="B3654" s="5" t="s">
        <v>33659</v>
      </c>
      <c r="C3654" s="5" t="s">
        <v>33660</v>
      </c>
      <c r="D3654" s="246">
        <v>41529</v>
      </c>
      <c r="E3654" s="5" t="s">
        <v>33661</v>
      </c>
      <c r="F3654" s="26"/>
      <c r="G3654" s="27" t="s">
        <v>7304</v>
      </c>
      <c r="H3654" s="28" t="s">
        <v>7305</v>
      </c>
      <c r="I3654" s="5" t="s">
        <v>233</v>
      </c>
    </row>
    <row r="3655" spans="1:9" ht="51.75" customHeight="1">
      <c r="A3655" s="5" t="s">
        <v>24491</v>
      </c>
      <c r="B3655" s="5" t="s">
        <v>33662</v>
      </c>
      <c r="C3655" s="5" t="s">
        <v>33663</v>
      </c>
      <c r="D3655" s="246">
        <v>41529</v>
      </c>
      <c r="E3655" s="5" t="s">
        <v>33664</v>
      </c>
      <c r="F3655" s="26"/>
      <c r="G3655" s="27" t="s">
        <v>7304</v>
      </c>
      <c r="H3655" s="28" t="s">
        <v>7305</v>
      </c>
      <c r="I3655" s="5" t="s">
        <v>233</v>
      </c>
    </row>
    <row r="3656" spans="1:9" ht="51.75" customHeight="1">
      <c r="A3656" s="5" t="s">
        <v>24495</v>
      </c>
      <c r="B3656" s="5" t="s">
        <v>33665</v>
      </c>
      <c r="C3656" s="5" t="s">
        <v>33666</v>
      </c>
      <c r="D3656" s="246">
        <v>41529</v>
      </c>
      <c r="E3656" s="5" t="s">
        <v>33667</v>
      </c>
      <c r="F3656" s="26"/>
      <c r="G3656" s="27" t="s">
        <v>7304</v>
      </c>
      <c r="H3656" s="28" t="s">
        <v>7305</v>
      </c>
      <c r="I3656" s="5" t="s">
        <v>233</v>
      </c>
    </row>
    <row r="3657" spans="1:9" ht="51.75" customHeight="1">
      <c r="A3657" s="5" t="s">
        <v>24499</v>
      </c>
      <c r="B3657" s="5" t="s">
        <v>33668</v>
      </c>
      <c r="C3657" s="5" t="s">
        <v>33669</v>
      </c>
      <c r="D3657" s="246">
        <v>41529</v>
      </c>
      <c r="E3657" s="5" t="s">
        <v>33670</v>
      </c>
      <c r="F3657" s="26"/>
      <c r="G3657" s="27" t="s">
        <v>7304</v>
      </c>
      <c r="H3657" s="28" t="s">
        <v>7305</v>
      </c>
      <c r="I3657" s="5" t="s">
        <v>233</v>
      </c>
    </row>
    <row r="3658" spans="1:9" ht="51.75" customHeight="1">
      <c r="A3658" s="5" t="s">
        <v>24503</v>
      </c>
      <c r="B3658" s="5" t="s">
        <v>33671</v>
      </c>
      <c r="C3658" s="5" t="s">
        <v>33672</v>
      </c>
      <c r="D3658" s="246">
        <v>41529</v>
      </c>
      <c r="E3658" s="5" t="s">
        <v>33673</v>
      </c>
      <c r="F3658" s="26"/>
      <c r="G3658" s="27" t="s">
        <v>7304</v>
      </c>
      <c r="H3658" s="28" t="s">
        <v>7305</v>
      </c>
      <c r="I3658" s="5" t="s">
        <v>233</v>
      </c>
    </row>
    <row r="3659" spans="1:9" ht="51.75" customHeight="1">
      <c r="A3659" s="5" t="s">
        <v>27133</v>
      </c>
      <c r="B3659" s="5" t="s">
        <v>33674</v>
      </c>
      <c r="C3659" s="5" t="s">
        <v>33675</v>
      </c>
      <c r="D3659" s="246">
        <v>41529</v>
      </c>
      <c r="E3659" s="5" t="s">
        <v>33676</v>
      </c>
      <c r="F3659" s="26"/>
      <c r="G3659" s="27" t="s">
        <v>7304</v>
      </c>
      <c r="H3659" s="28" t="s">
        <v>7305</v>
      </c>
      <c r="I3659" s="5" t="s">
        <v>233</v>
      </c>
    </row>
    <row r="3660" spans="1:9" ht="51.75" customHeight="1">
      <c r="A3660" s="5" t="s">
        <v>24515</v>
      </c>
      <c r="B3660" s="5" t="s">
        <v>33677</v>
      </c>
      <c r="C3660" s="5" t="s">
        <v>33678</v>
      </c>
      <c r="D3660" s="246">
        <v>41479</v>
      </c>
      <c r="E3660" s="5" t="s">
        <v>33679</v>
      </c>
      <c r="F3660" s="26" t="s">
        <v>23600</v>
      </c>
      <c r="G3660" s="27" t="s">
        <v>7347</v>
      </c>
      <c r="H3660" s="28" t="s">
        <v>7348</v>
      </c>
      <c r="I3660" s="5" t="s">
        <v>233</v>
      </c>
    </row>
    <row r="3661" spans="1:9" ht="51.75" customHeight="1">
      <c r="A3661" s="5" t="s">
        <v>33680</v>
      </c>
      <c r="B3661" s="5" t="s">
        <v>33681</v>
      </c>
      <c r="C3661" s="5" t="s">
        <v>33682</v>
      </c>
      <c r="D3661" s="246">
        <v>41479</v>
      </c>
      <c r="E3661" s="5" t="s">
        <v>33683</v>
      </c>
      <c r="F3661" s="26" t="s">
        <v>23600</v>
      </c>
      <c r="G3661" s="27" t="s">
        <v>7347</v>
      </c>
      <c r="H3661" s="28" t="s">
        <v>7348</v>
      </c>
      <c r="I3661" s="5" t="s">
        <v>233</v>
      </c>
    </row>
    <row r="3662" spans="1:9" ht="51.75" customHeight="1">
      <c r="A3662" s="5" t="s">
        <v>27767</v>
      </c>
      <c r="B3662" s="5" t="s">
        <v>33684</v>
      </c>
      <c r="C3662" s="5" t="s">
        <v>33685</v>
      </c>
      <c r="D3662" s="246">
        <v>41479</v>
      </c>
      <c r="E3662" s="5" t="s">
        <v>33686</v>
      </c>
      <c r="F3662" s="26" t="s">
        <v>23600</v>
      </c>
      <c r="G3662" s="27" t="s">
        <v>7347</v>
      </c>
      <c r="H3662" s="28" t="s">
        <v>7348</v>
      </c>
      <c r="I3662" s="5" t="s">
        <v>233</v>
      </c>
    </row>
    <row r="3663" spans="1:9" ht="51.75" customHeight="1">
      <c r="A3663" s="5" t="s">
        <v>27771</v>
      </c>
      <c r="B3663" s="5" t="s">
        <v>33687</v>
      </c>
      <c r="C3663" s="5" t="s">
        <v>33688</v>
      </c>
      <c r="D3663" s="246">
        <v>41479</v>
      </c>
      <c r="E3663" s="5" t="s">
        <v>33689</v>
      </c>
      <c r="F3663" s="26" t="s">
        <v>23600</v>
      </c>
      <c r="G3663" s="27" t="s">
        <v>7347</v>
      </c>
      <c r="H3663" s="28" t="s">
        <v>7348</v>
      </c>
      <c r="I3663" s="5" t="s">
        <v>233</v>
      </c>
    </row>
    <row r="3664" spans="1:9" ht="51.75" customHeight="1">
      <c r="A3664" s="5" t="s">
        <v>24123</v>
      </c>
      <c r="B3664" s="5" t="s">
        <v>33690</v>
      </c>
      <c r="C3664" s="5" t="s">
        <v>33691</v>
      </c>
      <c r="D3664" s="246">
        <v>41479</v>
      </c>
      <c r="E3664" s="5" t="s">
        <v>33692</v>
      </c>
      <c r="F3664" s="26" t="s">
        <v>23600</v>
      </c>
      <c r="G3664" s="27" t="s">
        <v>7347</v>
      </c>
      <c r="H3664" s="28" t="s">
        <v>7348</v>
      </c>
      <c r="I3664" s="5" t="s">
        <v>233</v>
      </c>
    </row>
    <row r="3665" spans="1:9" ht="51.75" customHeight="1">
      <c r="A3665" s="5" t="s">
        <v>24942</v>
      </c>
      <c r="B3665" s="5" t="s">
        <v>33693</v>
      </c>
      <c r="C3665" s="5" t="s">
        <v>33694</v>
      </c>
      <c r="D3665" s="246">
        <v>41256</v>
      </c>
      <c r="E3665" s="5" t="s">
        <v>33695</v>
      </c>
      <c r="F3665" s="26" t="s">
        <v>23600</v>
      </c>
      <c r="G3665" s="27" t="s">
        <v>7063</v>
      </c>
      <c r="H3665" s="28" t="s">
        <v>7064</v>
      </c>
      <c r="I3665" s="5" t="s">
        <v>233</v>
      </c>
    </row>
    <row r="3666" spans="1:9" ht="51.75" customHeight="1">
      <c r="A3666" s="5" t="s">
        <v>24948</v>
      </c>
      <c r="B3666" s="5" t="s">
        <v>33696</v>
      </c>
      <c r="C3666" s="5" t="s">
        <v>33697</v>
      </c>
      <c r="D3666" s="246">
        <v>41256</v>
      </c>
      <c r="E3666" s="5" t="s">
        <v>33698</v>
      </c>
      <c r="F3666" s="26" t="s">
        <v>23600</v>
      </c>
      <c r="G3666" s="27" t="s">
        <v>7063</v>
      </c>
      <c r="H3666" s="28" t="s">
        <v>7064</v>
      </c>
      <c r="I3666" s="5" t="s">
        <v>233</v>
      </c>
    </row>
    <row r="3667" spans="1:9" ht="51.75" customHeight="1">
      <c r="A3667" s="5" t="s">
        <v>24926</v>
      </c>
      <c r="B3667" s="5" t="s">
        <v>33699</v>
      </c>
      <c r="C3667" s="5" t="s">
        <v>33700</v>
      </c>
      <c r="D3667" s="246">
        <v>41256</v>
      </c>
      <c r="E3667" s="5" t="s">
        <v>33701</v>
      </c>
      <c r="F3667" s="26" t="s">
        <v>23600</v>
      </c>
      <c r="G3667" s="27" t="s">
        <v>7063</v>
      </c>
      <c r="H3667" s="28" t="s">
        <v>7064</v>
      </c>
      <c r="I3667" s="5" t="s">
        <v>233</v>
      </c>
    </row>
    <row r="3668" spans="1:9" ht="51.75" customHeight="1">
      <c r="A3668" s="5" t="s">
        <v>26064</v>
      </c>
      <c r="B3668" s="5" t="s">
        <v>33702</v>
      </c>
      <c r="C3668" s="5" t="s">
        <v>33703</v>
      </c>
      <c r="D3668" s="246">
        <v>41361</v>
      </c>
      <c r="E3668" s="5" t="s">
        <v>33704</v>
      </c>
      <c r="F3668" s="26" t="s">
        <v>23600</v>
      </c>
      <c r="G3668" s="27" t="s">
        <v>7161</v>
      </c>
      <c r="H3668" s="28" t="s">
        <v>7162</v>
      </c>
      <c r="I3668" s="5" t="s">
        <v>233</v>
      </c>
    </row>
    <row r="3669" spans="1:9" ht="51.75" customHeight="1">
      <c r="A3669" s="5" t="s">
        <v>26069</v>
      </c>
      <c r="B3669" s="5" t="s">
        <v>33705</v>
      </c>
      <c r="C3669" s="5" t="s">
        <v>33706</v>
      </c>
      <c r="D3669" s="246">
        <v>41361</v>
      </c>
      <c r="E3669" s="5" t="s">
        <v>33707</v>
      </c>
      <c r="F3669" s="26" t="s">
        <v>23600</v>
      </c>
      <c r="G3669" s="27" t="s">
        <v>7161</v>
      </c>
      <c r="H3669" s="28" t="s">
        <v>7162</v>
      </c>
      <c r="I3669" s="5" t="s">
        <v>233</v>
      </c>
    </row>
    <row r="3670" spans="1:9" ht="51.75" customHeight="1">
      <c r="A3670" s="5" t="s">
        <v>26074</v>
      </c>
      <c r="B3670" s="5" t="s">
        <v>33708</v>
      </c>
      <c r="C3670" s="5" t="s">
        <v>33709</v>
      </c>
      <c r="D3670" s="246">
        <v>41361</v>
      </c>
      <c r="E3670" s="5" t="s">
        <v>33710</v>
      </c>
      <c r="F3670" s="26" t="s">
        <v>23600</v>
      </c>
      <c r="G3670" s="27" t="s">
        <v>7161</v>
      </c>
      <c r="H3670" s="28" t="s">
        <v>7162</v>
      </c>
      <c r="I3670" s="5" t="s">
        <v>233</v>
      </c>
    </row>
    <row r="3671" spans="1:9" ht="51.75" customHeight="1">
      <c r="A3671" s="5" t="s">
        <v>23780</v>
      </c>
      <c r="B3671" s="5" t="s">
        <v>33711</v>
      </c>
      <c r="C3671" s="5" t="s">
        <v>33712</v>
      </c>
      <c r="D3671" s="246">
        <v>41235</v>
      </c>
      <c r="E3671" s="5" t="s">
        <v>33713</v>
      </c>
      <c r="F3671" s="26" t="s">
        <v>23600</v>
      </c>
      <c r="G3671" s="27" t="s">
        <v>7113</v>
      </c>
      <c r="H3671" s="28" t="s">
        <v>7114</v>
      </c>
      <c r="I3671" s="5" t="s">
        <v>233</v>
      </c>
    </row>
    <row r="3672" spans="1:9" ht="51.75" customHeight="1">
      <c r="A3672" s="5" t="s">
        <v>26432</v>
      </c>
      <c r="B3672" s="5" t="s">
        <v>33714</v>
      </c>
      <c r="C3672" s="5" t="s">
        <v>33715</v>
      </c>
      <c r="D3672" s="246">
        <v>41235</v>
      </c>
      <c r="E3672" s="5" t="s">
        <v>33716</v>
      </c>
      <c r="F3672" s="26" t="s">
        <v>23600</v>
      </c>
      <c r="G3672" s="27" t="s">
        <v>7113</v>
      </c>
      <c r="H3672" s="28" t="s">
        <v>7114</v>
      </c>
      <c r="I3672" s="5" t="s">
        <v>233</v>
      </c>
    </row>
    <row r="3673" spans="1:9" ht="51.75" customHeight="1">
      <c r="A3673" s="5" t="s">
        <v>25177</v>
      </c>
      <c r="B3673" s="5" t="s">
        <v>33717</v>
      </c>
      <c r="C3673" s="5" t="s">
        <v>33718</v>
      </c>
      <c r="D3673" s="246">
        <v>41235</v>
      </c>
      <c r="E3673" s="5" t="s">
        <v>33719</v>
      </c>
      <c r="F3673" s="26" t="s">
        <v>23600</v>
      </c>
      <c r="G3673" s="27" t="s">
        <v>7113</v>
      </c>
      <c r="H3673" s="28" t="s">
        <v>7114</v>
      </c>
      <c r="I3673" s="5" t="s">
        <v>233</v>
      </c>
    </row>
    <row r="3674" spans="1:9" ht="51.75" customHeight="1">
      <c r="A3674" s="5" t="s">
        <v>23768</v>
      </c>
      <c r="B3674" s="5" t="s">
        <v>33720</v>
      </c>
      <c r="C3674" s="5" t="s">
        <v>33721</v>
      </c>
      <c r="D3674" s="246">
        <v>41302</v>
      </c>
      <c r="E3674" s="5" t="s">
        <v>33722</v>
      </c>
      <c r="F3674" s="26" t="s">
        <v>23600</v>
      </c>
      <c r="G3674" s="27" t="s">
        <v>7057</v>
      </c>
      <c r="H3674" s="28" t="s">
        <v>7058</v>
      </c>
      <c r="I3674" s="5" t="s">
        <v>233</v>
      </c>
    </row>
    <row r="3675" spans="1:9" ht="51.75" customHeight="1">
      <c r="A3675" s="5" t="s">
        <v>25141</v>
      </c>
      <c r="B3675" s="5" t="s">
        <v>33723</v>
      </c>
      <c r="C3675" s="5" t="s">
        <v>33724</v>
      </c>
      <c r="D3675" s="246">
        <v>41302</v>
      </c>
      <c r="E3675" s="5" t="s">
        <v>33725</v>
      </c>
      <c r="F3675" s="26" t="s">
        <v>23600</v>
      </c>
      <c r="G3675" s="27" t="s">
        <v>7057</v>
      </c>
      <c r="H3675" s="28" t="s">
        <v>7058</v>
      </c>
      <c r="I3675" s="5" t="s">
        <v>233</v>
      </c>
    </row>
    <row r="3676" spans="1:9" ht="51.75" customHeight="1">
      <c r="A3676" s="5" t="s">
        <v>25145</v>
      </c>
      <c r="B3676" s="5" t="s">
        <v>33726</v>
      </c>
      <c r="C3676" s="5" t="s">
        <v>33727</v>
      </c>
      <c r="D3676" s="246">
        <v>41302</v>
      </c>
      <c r="E3676" s="5" t="s">
        <v>33728</v>
      </c>
      <c r="F3676" s="26" t="s">
        <v>23600</v>
      </c>
      <c r="G3676" s="27" t="s">
        <v>7057</v>
      </c>
      <c r="H3676" s="28" t="s">
        <v>7058</v>
      </c>
      <c r="I3676" s="5" t="s">
        <v>233</v>
      </c>
    </row>
    <row r="3677" spans="1:9" ht="51.75" customHeight="1">
      <c r="A3677" s="5" t="s">
        <v>26952</v>
      </c>
      <c r="B3677" s="5" t="s">
        <v>33729</v>
      </c>
      <c r="C3677" s="5" t="s">
        <v>33730</v>
      </c>
      <c r="D3677" s="246">
        <v>41302</v>
      </c>
      <c r="E3677" s="5" t="s">
        <v>33731</v>
      </c>
      <c r="F3677" s="26" t="s">
        <v>23600</v>
      </c>
      <c r="G3677" s="27" t="s">
        <v>7057</v>
      </c>
      <c r="H3677" s="28" t="s">
        <v>7058</v>
      </c>
      <c r="I3677" s="5" t="s">
        <v>233</v>
      </c>
    </row>
    <row r="3678" spans="1:9" ht="51.75" customHeight="1">
      <c r="A3678" s="5" t="s">
        <v>26958</v>
      </c>
      <c r="B3678" s="5" t="s">
        <v>33732</v>
      </c>
      <c r="C3678" s="5" t="s">
        <v>33733</v>
      </c>
      <c r="D3678" s="246">
        <v>41302</v>
      </c>
      <c r="E3678" s="5" t="s">
        <v>33734</v>
      </c>
      <c r="F3678" s="26" t="s">
        <v>23600</v>
      </c>
      <c r="G3678" s="27" t="s">
        <v>7057</v>
      </c>
      <c r="H3678" s="28" t="s">
        <v>7058</v>
      </c>
      <c r="I3678" s="5" t="s">
        <v>233</v>
      </c>
    </row>
    <row r="3679" spans="1:9" ht="51.75" customHeight="1">
      <c r="A3679" s="5" t="s">
        <v>28127</v>
      </c>
      <c r="B3679" s="5" t="s">
        <v>33735</v>
      </c>
      <c r="C3679" s="5" t="s">
        <v>33736</v>
      </c>
      <c r="D3679" s="246">
        <v>41414</v>
      </c>
      <c r="E3679" s="5" t="s">
        <v>33737</v>
      </c>
      <c r="F3679" s="26" t="s">
        <v>23600</v>
      </c>
      <c r="G3679" s="27" t="s">
        <v>6948</v>
      </c>
      <c r="H3679" s="28" t="s">
        <v>6949</v>
      </c>
      <c r="I3679" s="5" t="s">
        <v>233</v>
      </c>
    </row>
    <row r="3680" spans="1:9" ht="51.75" customHeight="1">
      <c r="A3680" s="5" t="s">
        <v>33738</v>
      </c>
      <c r="B3680" s="5" t="s">
        <v>33739</v>
      </c>
      <c r="C3680" s="5" t="s">
        <v>33740</v>
      </c>
      <c r="D3680" s="246">
        <v>41414</v>
      </c>
      <c r="E3680" s="5" t="s">
        <v>33741</v>
      </c>
      <c r="F3680" s="26" t="s">
        <v>23600</v>
      </c>
      <c r="G3680" s="27" t="s">
        <v>6948</v>
      </c>
      <c r="H3680" s="28" t="s">
        <v>6949</v>
      </c>
      <c r="I3680" s="5" t="s">
        <v>233</v>
      </c>
    </row>
    <row r="3681" spans="1:9" ht="51.75" customHeight="1">
      <c r="A3681" s="5">
        <v>1</v>
      </c>
      <c r="B3681" s="5" t="s">
        <v>33742</v>
      </c>
      <c r="C3681" s="5" t="s">
        <v>33743</v>
      </c>
      <c r="D3681" s="246">
        <v>39202</v>
      </c>
      <c r="E3681" s="5" t="s">
        <v>33744</v>
      </c>
      <c r="F3681" s="26"/>
      <c r="G3681" s="27" t="s">
        <v>542</v>
      </c>
      <c r="H3681" s="28" t="s">
        <v>543</v>
      </c>
      <c r="I3681" s="5" t="s">
        <v>233</v>
      </c>
    </row>
    <row r="3682" spans="1:9" ht="51.75" customHeight="1">
      <c r="A3682" s="5">
        <v>2</v>
      </c>
      <c r="B3682" s="5" t="s">
        <v>33745</v>
      </c>
      <c r="C3682" s="5" t="s">
        <v>33746</v>
      </c>
      <c r="D3682" s="246">
        <v>39202</v>
      </c>
      <c r="E3682" s="5" t="s">
        <v>33747</v>
      </c>
      <c r="F3682" s="26"/>
      <c r="G3682" s="27" t="s">
        <v>542</v>
      </c>
      <c r="H3682" s="28" t="s">
        <v>543</v>
      </c>
      <c r="I3682" s="5" t="s">
        <v>233</v>
      </c>
    </row>
    <row r="3683" spans="1:9" ht="51.75" customHeight="1">
      <c r="A3683" s="5">
        <v>3</v>
      </c>
      <c r="B3683" s="5" t="s">
        <v>33748</v>
      </c>
      <c r="C3683" s="5" t="s">
        <v>33749</v>
      </c>
      <c r="D3683" s="246">
        <v>39202</v>
      </c>
      <c r="E3683" s="5" t="s">
        <v>33750</v>
      </c>
      <c r="F3683" s="26"/>
      <c r="G3683" s="27" t="s">
        <v>542</v>
      </c>
      <c r="H3683" s="28" t="s">
        <v>543</v>
      </c>
      <c r="I3683" s="5" t="s">
        <v>233</v>
      </c>
    </row>
    <row r="3684" spans="1:9" ht="51.75" customHeight="1">
      <c r="A3684" s="5">
        <v>4</v>
      </c>
      <c r="B3684" s="5" t="s">
        <v>33751</v>
      </c>
      <c r="C3684" s="5" t="s">
        <v>33752</v>
      </c>
      <c r="D3684" s="246">
        <v>39202</v>
      </c>
      <c r="E3684" s="5" t="s">
        <v>33753</v>
      </c>
      <c r="F3684" s="26"/>
      <c r="G3684" s="27" t="s">
        <v>542</v>
      </c>
      <c r="H3684" s="28" t="s">
        <v>543</v>
      </c>
      <c r="I3684" s="5" t="s">
        <v>233</v>
      </c>
    </row>
    <row r="3685" spans="1:9" ht="51.75" customHeight="1">
      <c r="A3685" s="5">
        <v>5</v>
      </c>
      <c r="B3685" s="5" t="s">
        <v>33754</v>
      </c>
      <c r="C3685" s="5" t="s">
        <v>33755</v>
      </c>
      <c r="D3685" s="246">
        <v>39202</v>
      </c>
      <c r="E3685" s="5" t="s">
        <v>33756</v>
      </c>
      <c r="F3685" s="26"/>
      <c r="G3685" s="27" t="s">
        <v>542</v>
      </c>
      <c r="H3685" s="28" t="s">
        <v>543</v>
      </c>
      <c r="I3685" s="5" t="s">
        <v>233</v>
      </c>
    </row>
    <row r="3686" spans="1:9" ht="51.75" customHeight="1">
      <c r="A3686" s="5">
        <v>6</v>
      </c>
      <c r="B3686" s="5" t="s">
        <v>33757</v>
      </c>
      <c r="C3686" s="5" t="s">
        <v>33758</v>
      </c>
      <c r="D3686" s="246">
        <v>39202</v>
      </c>
      <c r="E3686" s="5" t="s">
        <v>33759</v>
      </c>
      <c r="F3686" s="26"/>
      <c r="G3686" s="27" t="s">
        <v>542</v>
      </c>
      <c r="H3686" s="28" t="s">
        <v>543</v>
      </c>
      <c r="I3686" s="5" t="s">
        <v>233</v>
      </c>
    </row>
    <row r="3687" spans="1:9" ht="51.75" customHeight="1">
      <c r="A3687" s="5" t="s">
        <v>29768</v>
      </c>
      <c r="B3687" s="5" t="s">
        <v>33760</v>
      </c>
      <c r="C3687" s="5" t="s">
        <v>33761</v>
      </c>
      <c r="D3687" s="246">
        <v>41179</v>
      </c>
      <c r="E3687" s="5" t="s">
        <v>33762</v>
      </c>
      <c r="F3687" s="26" t="s">
        <v>23600</v>
      </c>
      <c r="G3687" s="27" t="s">
        <v>6921</v>
      </c>
      <c r="H3687" s="28" t="s">
        <v>6922</v>
      </c>
      <c r="I3687" s="5" t="s">
        <v>233</v>
      </c>
    </row>
    <row r="3688" spans="1:9" ht="51.75" customHeight="1">
      <c r="A3688" s="5" t="s">
        <v>29772</v>
      </c>
      <c r="B3688" s="5" t="s">
        <v>33763</v>
      </c>
      <c r="C3688" s="5" t="s">
        <v>33764</v>
      </c>
      <c r="D3688" s="246">
        <v>41179</v>
      </c>
      <c r="E3688" s="5" t="s">
        <v>33765</v>
      </c>
      <c r="F3688" s="26" t="s">
        <v>23600</v>
      </c>
      <c r="G3688" s="27" t="s">
        <v>6921</v>
      </c>
      <c r="H3688" s="28" t="s">
        <v>6922</v>
      </c>
      <c r="I3688" s="5" t="s">
        <v>233</v>
      </c>
    </row>
    <row r="3689" spans="1:9" ht="51.75" customHeight="1">
      <c r="A3689" s="5" t="s">
        <v>24587</v>
      </c>
      <c r="B3689" s="5" t="s">
        <v>33766</v>
      </c>
      <c r="C3689" s="5" t="s">
        <v>33767</v>
      </c>
      <c r="D3689" s="246">
        <v>41179</v>
      </c>
      <c r="E3689" s="5" t="s">
        <v>33768</v>
      </c>
      <c r="F3689" s="26" t="s">
        <v>23600</v>
      </c>
      <c r="G3689" s="27" t="s">
        <v>6921</v>
      </c>
      <c r="H3689" s="28" t="s">
        <v>6922</v>
      </c>
      <c r="I3689" s="5" t="s">
        <v>233</v>
      </c>
    </row>
    <row r="3690" spans="1:9" ht="51.75" customHeight="1">
      <c r="A3690" s="5" t="s">
        <v>24591</v>
      </c>
      <c r="B3690" s="5" t="s">
        <v>33769</v>
      </c>
      <c r="C3690" s="5" t="s">
        <v>33770</v>
      </c>
      <c r="D3690" s="246">
        <v>41179</v>
      </c>
      <c r="E3690" s="5" t="s">
        <v>33771</v>
      </c>
      <c r="F3690" s="26" t="s">
        <v>23600</v>
      </c>
      <c r="G3690" s="27" t="s">
        <v>6921</v>
      </c>
      <c r="H3690" s="28" t="s">
        <v>6922</v>
      </c>
      <c r="I3690" s="5" t="s">
        <v>233</v>
      </c>
    </row>
    <row r="3691" spans="1:9" ht="51.75" customHeight="1">
      <c r="A3691" s="5" t="s">
        <v>24595</v>
      </c>
      <c r="B3691" s="5" t="s">
        <v>33772</v>
      </c>
      <c r="C3691" s="5" t="s">
        <v>33773</v>
      </c>
      <c r="D3691" s="246">
        <v>41179</v>
      </c>
      <c r="E3691" s="5" t="s">
        <v>33774</v>
      </c>
      <c r="F3691" s="26" t="s">
        <v>23600</v>
      </c>
      <c r="G3691" s="27" t="s">
        <v>6921</v>
      </c>
      <c r="H3691" s="28" t="s">
        <v>6922</v>
      </c>
      <c r="I3691" s="5" t="s">
        <v>233</v>
      </c>
    </row>
    <row r="3692" spans="1:9" ht="51.75" customHeight="1">
      <c r="A3692" s="5" t="s">
        <v>25190</v>
      </c>
      <c r="B3692" s="5" t="s">
        <v>33775</v>
      </c>
      <c r="C3692" s="5" t="s">
        <v>33776</v>
      </c>
      <c r="D3692" s="246">
        <v>41179</v>
      </c>
      <c r="E3692" s="5" t="s">
        <v>33777</v>
      </c>
      <c r="F3692" s="26" t="s">
        <v>23600</v>
      </c>
      <c r="G3692" s="27" t="s">
        <v>6921</v>
      </c>
      <c r="H3692" s="28" t="s">
        <v>6922</v>
      </c>
      <c r="I3692" s="5" t="s">
        <v>233</v>
      </c>
    </row>
    <row r="3693" spans="1:9" ht="51.75" customHeight="1">
      <c r="A3693" s="5" t="s">
        <v>25262</v>
      </c>
      <c r="B3693" s="5" t="s">
        <v>33778</v>
      </c>
      <c r="C3693" s="5" t="s">
        <v>33779</v>
      </c>
      <c r="D3693" s="246">
        <v>41234</v>
      </c>
      <c r="E3693" s="5" t="s">
        <v>33780</v>
      </c>
      <c r="F3693" s="26" t="s">
        <v>23600</v>
      </c>
      <c r="G3693" s="27" t="s">
        <v>6830</v>
      </c>
      <c r="H3693" s="28" t="s">
        <v>6831</v>
      </c>
      <c r="I3693" s="5" t="s">
        <v>233</v>
      </c>
    </row>
    <row r="3694" spans="1:9" ht="51.75" customHeight="1">
      <c r="A3694" s="5" t="s">
        <v>25265</v>
      </c>
      <c r="B3694" s="5" t="s">
        <v>33781</v>
      </c>
      <c r="C3694" s="5" t="s">
        <v>33782</v>
      </c>
      <c r="D3694" s="246">
        <v>41234</v>
      </c>
      <c r="E3694" s="5" t="s">
        <v>33783</v>
      </c>
      <c r="F3694" s="26" t="s">
        <v>23600</v>
      </c>
      <c r="G3694" s="27" t="s">
        <v>6830</v>
      </c>
      <c r="H3694" s="28" t="s">
        <v>6831</v>
      </c>
      <c r="I3694" s="5" t="s">
        <v>233</v>
      </c>
    </row>
    <row r="3695" spans="1:9" ht="51.75" customHeight="1">
      <c r="A3695" s="5" t="s">
        <v>25268</v>
      </c>
      <c r="B3695" s="5" t="s">
        <v>33784</v>
      </c>
      <c r="C3695" s="5" t="s">
        <v>33785</v>
      </c>
      <c r="D3695" s="246">
        <v>41234</v>
      </c>
      <c r="E3695" s="5" t="s">
        <v>33786</v>
      </c>
      <c r="F3695" s="26" t="s">
        <v>23600</v>
      </c>
      <c r="G3695" s="27" t="s">
        <v>6830</v>
      </c>
      <c r="H3695" s="28" t="s">
        <v>6831</v>
      </c>
      <c r="I3695" s="5" t="s">
        <v>233</v>
      </c>
    </row>
    <row r="3696" spans="1:9" ht="51.75" customHeight="1">
      <c r="A3696" s="5" t="s">
        <v>25202</v>
      </c>
      <c r="B3696" s="5" t="s">
        <v>33787</v>
      </c>
      <c r="C3696" s="5" t="s">
        <v>33788</v>
      </c>
      <c r="D3696" s="246">
        <v>41234</v>
      </c>
      <c r="E3696" s="5" t="s">
        <v>33789</v>
      </c>
      <c r="F3696" s="26" t="s">
        <v>23600</v>
      </c>
      <c r="G3696" s="27" t="s">
        <v>6830</v>
      </c>
      <c r="H3696" s="28" t="s">
        <v>6831</v>
      </c>
      <c r="I3696" s="5" t="s">
        <v>233</v>
      </c>
    </row>
    <row r="3697" spans="1:9" ht="51.75" customHeight="1">
      <c r="A3697" s="5" t="s">
        <v>25206</v>
      </c>
      <c r="B3697" s="5" t="s">
        <v>33790</v>
      </c>
      <c r="C3697" s="5" t="s">
        <v>33791</v>
      </c>
      <c r="D3697" s="246">
        <v>41234</v>
      </c>
      <c r="E3697" s="5" t="s">
        <v>33792</v>
      </c>
      <c r="F3697" s="26" t="s">
        <v>23600</v>
      </c>
      <c r="G3697" s="27" t="s">
        <v>6830</v>
      </c>
      <c r="H3697" s="28" t="s">
        <v>6831</v>
      </c>
      <c r="I3697" s="5" t="s">
        <v>233</v>
      </c>
    </row>
    <row r="3698" spans="1:9" ht="51.75" customHeight="1">
      <c r="A3698" s="5" t="s">
        <v>25210</v>
      </c>
      <c r="B3698" s="5" t="s">
        <v>33793</v>
      </c>
      <c r="C3698" s="5" t="s">
        <v>33794</v>
      </c>
      <c r="D3698" s="246">
        <v>41234</v>
      </c>
      <c r="E3698" s="5" t="s">
        <v>33795</v>
      </c>
      <c r="F3698" s="26" t="s">
        <v>23600</v>
      </c>
      <c r="G3698" s="27" t="s">
        <v>6830</v>
      </c>
      <c r="H3698" s="28" t="s">
        <v>6831</v>
      </c>
      <c r="I3698" s="5" t="s">
        <v>233</v>
      </c>
    </row>
    <row r="3699" spans="1:9" ht="51.75" customHeight="1">
      <c r="A3699" s="5" t="s">
        <v>23776</v>
      </c>
      <c r="B3699" s="5" t="s">
        <v>33796</v>
      </c>
      <c r="C3699" s="5" t="s">
        <v>33797</v>
      </c>
      <c r="D3699" s="246">
        <v>41234</v>
      </c>
      <c r="E3699" s="5" t="s">
        <v>33798</v>
      </c>
      <c r="F3699" s="26" t="s">
        <v>23600</v>
      </c>
      <c r="G3699" s="27" t="s">
        <v>6830</v>
      </c>
      <c r="H3699" s="28" t="s">
        <v>6831</v>
      </c>
      <c r="I3699" s="5" t="s">
        <v>233</v>
      </c>
    </row>
    <row r="3700" spans="1:9" ht="51.75" customHeight="1">
      <c r="A3700" s="5" t="s">
        <v>26415</v>
      </c>
      <c r="B3700" s="5" t="s">
        <v>33799</v>
      </c>
      <c r="C3700" s="5" t="s">
        <v>33800</v>
      </c>
      <c r="D3700" s="246">
        <v>41234</v>
      </c>
      <c r="E3700" s="5" t="s">
        <v>33801</v>
      </c>
      <c r="F3700" s="26" t="s">
        <v>23600</v>
      </c>
      <c r="G3700" s="27" t="s">
        <v>6830</v>
      </c>
      <c r="H3700" s="28" t="s">
        <v>6831</v>
      </c>
      <c r="I3700" s="5" t="s">
        <v>233</v>
      </c>
    </row>
    <row r="3701" spans="1:9" ht="51.75" customHeight="1">
      <c r="A3701" s="5" t="s">
        <v>26421</v>
      </c>
      <c r="B3701" s="5" t="s">
        <v>33802</v>
      </c>
      <c r="C3701" s="5" t="s">
        <v>33803</v>
      </c>
      <c r="D3701" s="246">
        <v>41234</v>
      </c>
      <c r="E3701" s="5" t="s">
        <v>33804</v>
      </c>
      <c r="F3701" s="26" t="s">
        <v>23600</v>
      </c>
      <c r="G3701" s="27" t="s">
        <v>6830</v>
      </c>
      <c r="H3701" s="28" t="s">
        <v>6831</v>
      </c>
      <c r="I3701" s="5" t="s">
        <v>233</v>
      </c>
    </row>
    <row r="3702" spans="1:9" ht="51.75" customHeight="1">
      <c r="A3702" s="5">
        <v>1</v>
      </c>
      <c r="B3702" s="5" t="s">
        <v>33805</v>
      </c>
      <c r="C3702" s="5" t="s">
        <v>33806</v>
      </c>
      <c r="D3702" s="246">
        <v>39202</v>
      </c>
      <c r="E3702" s="5" t="s">
        <v>33807</v>
      </c>
      <c r="F3702" s="26"/>
      <c r="G3702" s="27" t="s">
        <v>645</v>
      </c>
      <c r="H3702" s="28" t="s">
        <v>646</v>
      </c>
      <c r="I3702" s="5" t="s">
        <v>233</v>
      </c>
    </row>
    <row r="3703" spans="1:9" ht="51.75" customHeight="1">
      <c r="A3703" s="5">
        <v>2</v>
      </c>
      <c r="B3703" s="5" t="s">
        <v>33808</v>
      </c>
      <c r="C3703" s="5" t="s">
        <v>33809</v>
      </c>
      <c r="D3703" s="246">
        <v>39202</v>
      </c>
      <c r="E3703" s="5" t="s">
        <v>33810</v>
      </c>
      <c r="F3703" s="26"/>
      <c r="G3703" s="27" t="s">
        <v>645</v>
      </c>
      <c r="H3703" s="28" t="s">
        <v>646</v>
      </c>
      <c r="I3703" s="5" t="s">
        <v>233</v>
      </c>
    </row>
    <row r="3704" spans="1:9" ht="51.75" customHeight="1">
      <c r="A3704" s="5">
        <v>3</v>
      </c>
      <c r="B3704" s="5" t="s">
        <v>33811</v>
      </c>
      <c r="C3704" s="5" t="s">
        <v>33812</v>
      </c>
      <c r="D3704" s="246">
        <v>39202</v>
      </c>
      <c r="E3704" s="5" t="s">
        <v>33813</v>
      </c>
      <c r="F3704" s="26"/>
      <c r="G3704" s="27" t="s">
        <v>645</v>
      </c>
      <c r="H3704" s="28" t="s">
        <v>646</v>
      </c>
      <c r="I3704" s="5" t="s">
        <v>233</v>
      </c>
    </row>
    <row r="3705" spans="1:9" ht="51.75" customHeight="1">
      <c r="A3705" s="5">
        <v>4</v>
      </c>
      <c r="B3705" s="5" t="s">
        <v>33814</v>
      </c>
      <c r="C3705" s="5" t="s">
        <v>33815</v>
      </c>
      <c r="D3705" s="246">
        <v>39202</v>
      </c>
      <c r="E3705" s="5" t="s">
        <v>33816</v>
      </c>
      <c r="F3705" s="26"/>
      <c r="G3705" s="27" t="s">
        <v>645</v>
      </c>
      <c r="H3705" s="28" t="s">
        <v>646</v>
      </c>
      <c r="I3705" s="5" t="s">
        <v>233</v>
      </c>
    </row>
    <row r="3706" spans="1:9" ht="51.75" customHeight="1">
      <c r="A3706" s="5">
        <v>5</v>
      </c>
      <c r="B3706" s="5" t="s">
        <v>33817</v>
      </c>
      <c r="C3706" s="5" t="s">
        <v>33818</v>
      </c>
      <c r="D3706" s="246">
        <v>39202</v>
      </c>
      <c r="E3706" s="5" t="s">
        <v>33819</v>
      </c>
      <c r="F3706" s="26"/>
      <c r="G3706" s="27" t="s">
        <v>645</v>
      </c>
      <c r="H3706" s="28" t="s">
        <v>646</v>
      </c>
      <c r="I3706" s="5" t="s">
        <v>233</v>
      </c>
    </row>
    <row r="3707" spans="1:9" ht="51.75" customHeight="1">
      <c r="A3707" s="5">
        <v>6</v>
      </c>
      <c r="B3707" s="5" t="s">
        <v>33820</v>
      </c>
      <c r="C3707" s="5" t="s">
        <v>33821</v>
      </c>
      <c r="D3707" s="246">
        <v>39202</v>
      </c>
      <c r="E3707" s="5" t="s">
        <v>33822</v>
      </c>
      <c r="F3707" s="26"/>
      <c r="G3707" s="27" t="s">
        <v>645</v>
      </c>
      <c r="H3707" s="28" t="s">
        <v>646</v>
      </c>
      <c r="I3707" s="5" t="s">
        <v>233</v>
      </c>
    </row>
    <row r="3708" spans="1:9" ht="51.75" customHeight="1">
      <c r="A3708" s="5">
        <v>7</v>
      </c>
      <c r="B3708" s="5" t="s">
        <v>33823</v>
      </c>
      <c r="C3708" s="5" t="s">
        <v>33824</v>
      </c>
      <c r="D3708" s="246">
        <v>39202</v>
      </c>
      <c r="E3708" s="5" t="s">
        <v>33825</v>
      </c>
      <c r="F3708" s="26"/>
      <c r="G3708" s="27" t="s">
        <v>645</v>
      </c>
      <c r="H3708" s="28" t="s">
        <v>646</v>
      </c>
      <c r="I3708" s="5" t="s">
        <v>233</v>
      </c>
    </row>
    <row r="3709" spans="1:9" ht="51.75" customHeight="1">
      <c r="A3709" s="5">
        <v>8</v>
      </c>
      <c r="B3709" s="5" t="s">
        <v>33826</v>
      </c>
      <c r="C3709" s="5" t="s">
        <v>33827</v>
      </c>
      <c r="D3709" s="246">
        <v>39202</v>
      </c>
      <c r="E3709" s="5" t="s">
        <v>33828</v>
      </c>
      <c r="F3709" s="26"/>
      <c r="G3709" s="27" t="s">
        <v>645</v>
      </c>
      <c r="H3709" s="28" t="s">
        <v>646</v>
      </c>
      <c r="I3709" s="5" t="s">
        <v>233</v>
      </c>
    </row>
    <row r="3710" spans="1:9" ht="51.75" customHeight="1">
      <c r="A3710" s="5">
        <v>9</v>
      </c>
      <c r="B3710" s="5" t="s">
        <v>33829</v>
      </c>
      <c r="C3710" s="5" t="s">
        <v>33830</v>
      </c>
      <c r="D3710" s="246">
        <v>39202</v>
      </c>
      <c r="E3710" s="5" t="s">
        <v>33831</v>
      </c>
      <c r="F3710" s="26"/>
      <c r="G3710" s="27" t="s">
        <v>645</v>
      </c>
      <c r="H3710" s="28" t="s">
        <v>646</v>
      </c>
      <c r="I3710" s="5" t="s">
        <v>233</v>
      </c>
    </row>
    <row r="3711" spans="1:9" ht="51.75" customHeight="1">
      <c r="A3711" s="5">
        <v>1</v>
      </c>
      <c r="B3711" s="5" t="s">
        <v>33832</v>
      </c>
      <c r="C3711" s="5" t="s">
        <v>33833</v>
      </c>
      <c r="D3711" s="246">
        <v>41082</v>
      </c>
      <c r="E3711" s="5" t="s">
        <v>33834</v>
      </c>
      <c r="F3711" s="26"/>
      <c r="G3711" s="27" t="s">
        <v>6646</v>
      </c>
      <c r="H3711" s="28" t="s">
        <v>6647</v>
      </c>
      <c r="I3711" s="5" t="s">
        <v>233</v>
      </c>
    </row>
    <row r="3712" spans="1:9" ht="51.75" customHeight="1">
      <c r="A3712" s="5">
        <v>2</v>
      </c>
      <c r="B3712" s="5" t="s">
        <v>33835</v>
      </c>
      <c r="C3712" s="5" t="s">
        <v>33836</v>
      </c>
      <c r="D3712" s="246">
        <v>41082</v>
      </c>
      <c r="E3712" s="5" t="s">
        <v>33837</v>
      </c>
      <c r="F3712" s="26"/>
      <c r="G3712" s="27" t="s">
        <v>6646</v>
      </c>
      <c r="H3712" s="28" t="s">
        <v>6647</v>
      </c>
      <c r="I3712" s="5" t="s">
        <v>233</v>
      </c>
    </row>
    <row r="3713" spans="1:9" ht="51.75" customHeight="1">
      <c r="A3713" s="5">
        <v>3</v>
      </c>
      <c r="B3713" s="5" t="s">
        <v>33838</v>
      </c>
      <c r="C3713" s="5" t="s">
        <v>33839</v>
      </c>
      <c r="D3713" s="246">
        <v>41082</v>
      </c>
      <c r="E3713" s="5" t="s">
        <v>33840</v>
      </c>
      <c r="F3713" s="26"/>
      <c r="G3713" s="27" t="s">
        <v>6646</v>
      </c>
      <c r="H3713" s="28" t="s">
        <v>6647</v>
      </c>
      <c r="I3713" s="5" t="s">
        <v>233</v>
      </c>
    </row>
    <row r="3714" spans="1:9" ht="51.75" customHeight="1">
      <c r="A3714" s="5">
        <v>4</v>
      </c>
      <c r="B3714" s="5" t="s">
        <v>33841</v>
      </c>
      <c r="C3714" s="5" t="s">
        <v>33842</v>
      </c>
      <c r="D3714" s="246">
        <v>41082</v>
      </c>
      <c r="E3714" s="5" t="s">
        <v>33843</v>
      </c>
      <c r="F3714" s="26"/>
      <c r="G3714" s="27" t="s">
        <v>6646</v>
      </c>
      <c r="H3714" s="28" t="s">
        <v>6647</v>
      </c>
      <c r="I3714" s="5" t="s">
        <v>233</v>
      </c>
    </row>
    <row r="3715" spans="1:9" ht="51.75" customHeight="1">
      <c r="A3715" s="5">
        <v>5</v>
      </c>
      <c r="B3715" s="5" t="s">
        <v>33844</v>
      </c>
      <c r="C3715" s="5" t="s">
        <v>33845</v>
      </c>
      <c r="D3715" s="246">
        <v>41082</v>
      </c>
      <c r="E3715" s="5" t="s">
        <v>33846</v>
      </c>
      <c r="F3715" s="26"/>
      <c r="G3715" s="27" t="s">
        <v>6646</v>
      </c>
      <c r="H3715" s="28" t="s">
        <v>6647</v>
      </c>
      <c r="I3715" s="5" t="s">
        <v>233</v>
      </c>
    </row>
    <row r="3716" spans="1:9" ht="51.75" customHeight="1">
      <c r="A3716" s="5">
        <v>1</v>
      </c>
      <c r="B3716" s="5" t="s">
        <v>33847</v>
      </c>
      <c r="C3716" s="5" t="s">
        <v>33848</v>
      </c>
      <c r="D3716" s="246">
        <v>39082</v>
      </c>
      <c r="E3716" s="5" t="s">
        <v>33849</v>
      </c>
      <c r="F3716" s="26"/>
      <c r="G3716" s="27" t="s">
        <v>509</v>
      </c>
      <c r="H3716" s="28" t="s">
        <v>510</v>
      </c>
      <c r="I3716" s="5" t="s">
        <v>233</v>
      </c>
    </row>
    <row r="3717" spans="1:9" ht="51.75" customHeight="1">
      <c r="A3717" s="5">
        <v>2</v>
      </c>
      <c r="B3717" s="5" t="s">
        <v>33850</v>
      </c>
      <c r="C3717" s="5" t="s">
        <v>33851</v>
      </c>
      <c r="D3717" s="246">
        <v>39082</v>
      </c>
      <c r="E3717" s="5" t="s">
        <v>33852</v>
      </c>
      <c r="F3717" s="26"/>
      <c r="G3717" s="27" t="s">
        <v>509</v>
      </c>
      <c r="H3717" s="28" t="s">
        <v>510</v>
      </c>
      <c r="I3717" s="5" t="s">
        <v>233</v>
      </c>
    </row>
    <row r="3718" spans="1:9" ht="51.75" customHeight="1">
      <c r="A3718" s="5" t="s">
        <v>25631</v>
      </c>
      <c r="B3718" s="5" t="s">
        <v>33853</v>
      </c>
      <c r="C3718" s="5" t="s">
        <v>33854</v>
      </c>
      <c r="D3718" s="246">
        <v>41240</v>
      </c>
      <c r="E3718" s="5" t="s">
        <v>33855</v>
      </c>
      <c r="F3718" s="26" t="s">
        <v>23600</v>
      </c>
      <c r="G3718" s="27" t="s">
        <v>6729</v>
      </c>
      <c r="H3718" s="28" t="s">
        <v>6730</v>
      </c>
      <c r="I3718" s="5" t="s">
        <v>233</v>
      </c>
    </row>
    <row r="3719" spans="1:9" ht="51.75" customHeight="1">
      <c r="A3719" s="5" t="s">
        <v>29022</v>
      </c>
      <c r="B3719" s="5" t="s">
        <v>33856</v>
      </c>
      <c r="C3719" s="5" t="s">
        <v>33857</v>
      </c>
      <c r="D3719" s="246">
        <v>41240</v>
      </c>
      <c r="E3719" s="5" t="s">
        <v>33858</v>
      </c>
      <c r="F3719" s="26" t="s">
        <v>23600</v>
      </c>
      <c r="G3719" s="27" t="s">
        <v>6729</v>
      </c>
      <c r="H3719" s="28" t="s">
        <v>6730</v>
      </c>
      <c r="I3719" s="5" t="s">
        <v>233</v>
      </c>
    </row>
    <row r="3720" spans="1:9" ht="51.75" customHeight="1">
      <c r="A3720" s="5" t="s">
        <v>29027</v>
      </c>
      <c r="B3720" s="5" t="s">
        <v>33859</v>
      </c>
      <c r="C3720" s="5" t="s">
        <v>33860</v>
      </c>
      <c r="D3720" s="246">
        <v>41240</v>
      </c>
      <c r="E3720" s="5" t="s">
        <v>33861</v>
      </c>
      <c r="F3720" s="26" t="s">
        <v>23600</v>
      </c>
      <c r="G3720" s="27" t="s">
        <v>6729</v>
      </c>
      <c r="H3720" s="28" t="s">
        <v>6730</v>
      </c>
      <c r="I3720" s="5" t="s">
        <v>233</v>
      </c>
    </row>
    <row r="3721" spans="1:9" ht="51.75" customHeight="1">
      <c r="A3721" s="5">
        <v>1</v>
      </c>
      <c r="B3721" s="5" t="s">
        <v>33862</v>
      </c>
      <c r="C3721" s="5" t="s">
        <v>33863</v>
      </c>
      <c r="D3721" s="246">
        <v>39325</v>
      </c>
      <c r="E3721" s="5" t="s">
        <v>33863</v>
      </c>
      <c r="F3721" s="26"/>
      <c r="G3721" s="27" t="s">
        <v>796</v>
      </c>
      <c r="H3721" s="28" t="s">
        <v>797</v>
      </c>
      <c r="I3721" s="5" t="s">
        <v>233</v>
      </c>
    </row>
    <row r="3722" spans="1:9" ht="51.75" customHeight="1">
      <c r="A3722" s="5">
        <v>2</v>
      </c>
      <c r="B3722" s="5" t="s">
        <v>33864</v>
      </c>
      <c r="C3722" s="5" t="s">
        <v>33865</v>
      </c>
      <c r="D3722" s="246">
        <v>39325</v>
      </c>
      <c r="E3722" s="5" t="s">
        <v>33866</v>
      </c>
      <c r="F3722" s="26"/>
      <c r="G3722" s="27" t="s">
        <v>796</v>
      </c>
      <c r="H3722" s="28" t="s">
        <v>797</v>
      </c>
      <c r="I3722" s="5" t="s">
        <v>233</v>
      </c>
    </row>
    <row r="3723" spans="1:9" ht="51.75" customHeight="1">
      <c r="A3723" s="5">
        <v>3</v>
      </c>
      <c r="B3723" s="5" t="s">
        <v>33867</v>
      </c>
      <c r="C3723" s="5" t="s">
        <v>33868</v>
      </c>
      <c r="D3723" s="246">
        <v>39325</v>
      </c>
      <c r="E3723" s="5" t="s">
        <v>33869</v>
      </c>
      <c r="F3723" s="26"/>
      <c r="G3723" s="27" t="s">
        <v>796</v>
      </c>
      <c r="H3723" s="28" t="s">
        <v>797</v>
      </c>
      <c r="I3723" s="5" t="s">
        <v>233</v>
      </c>
    </row>
    <row r="3724" spans="1:9" ht="51.75" customHeight="1">
      <c r="A3724" s="5">
        <v>4</v>
      </c>
      <c r="B3724" s="5" t="s">
        <v>33870</v>
      </c>
      <c r="C3724" s="5" t="s">
        <v>33871</v>
      </c>
      <c r="D3724" s="246">
        <v>39325</v>
      </c>
      <c r="E3724" s="5" t="s">
        <v>33872</v>
      </c>
      <c r="F3724" s="26"/>
      <c r="G3724" s="27" t="s">
        <v>796</v>
      </c>
      <c r="H3724" s="28" t="s">
        <v>797</v>
      </c>
      <c r="I3724" s="5" t="s">
        <v>233</v>
      </c>
    </row>
    <row r="3725" spans="1:9" ht="51.75" customHeight="1">
      <c r="A3725" s="5">
        <v>5</v>
      </c>
      <c r="B3725" s="5" t="s">
        <v>33873</v>
      </c>
      <c r="C3725" s="5" t="s">
        <v>33874</v>
      </c>
      <c r="D3725" s="246">
        <v>39325</v>
      </c>
      <c r="E3725" s="5" t="s">
        <v>33875</v>
      </c>
      <c r="F3725" s="26"/>
      <c r="G3725" s="27" t="s">
        <v>796</v>
      </c>
      <c r="H3725" s="28" t="s">
        <v>797</v>
      </c>
      <c r="I3725" s="5" t="s">
        <v>233</v>
      </c>
    </row>
    <row r="3726" spans="1:9" ht="51.75" customHeight="1">
      <c r="A3726" s="5">
        <v>6</v>
      </c>
      <c r="B3726" s="5" t="s">
        <v>33876</v>
      </c>
      <c r="C3726" s="5" t="s">
        <v>33877</v>
      </c>
      <c r="D3726" s="246">
        <v>39325</v>
      </c>
      <c r="E3726" s="5" t="s">
        <v>33878</v>
      </c>
      <c r="F3726" s="26"/>
      <c r="G3726" s="27" t="s">
        <v>796</v>
      </c>
      <c r="H3726" s="28" t="s">
        <v>797</v>
      </c>
      <c r="I3726" s="5" t="s">
        <v>233</v>
      </c>
    </row>
    <row r="3727" spans="1:9" ht="51.75" customHeight="1">
      <c r="A3727" s="5">
        <v>7</v>
      </c>
      <c r="B3727" s="5" t="s">
        <v>33879</v>
      </c>
      <c r="C3727" s="5" t="s">
        <v>33880</v>
      </c>
      <c r="D3727" s="246">
        <v>39325</v>
      </c>
      <c r="E3727" s="5" t="s">
        <v>33881</v>
      </c>
      <c r="F3727" s="26"/>
      <c r="G3727" s="27" t="s">
        <v>796</v>
      </c>
      <c r="H3727" s="28" t="s">
        <v>797</v>
      </c>
      <c r="I3727" s="5" t="s">
        <v>233</v>
      </c>
    </row>
    <row r="3728" spans="1:9" ht="51.75" customHeight="1">
      <c r="A3728" s="5">
        <v>8</v>
      </c>
      <c r="B3728" s="5" t="s">
        <v>33882</v>
      </c>
      <c r="C3728" s="5" t="s">
        <v>33877</v>
      </c>
      <c r="D3728" s="246">
        <v>39325</v>
      </c>
      <c r="E3728" s="5" t="s">
        <v>33883</v>
      </c>
      <c r="F3728" s="26"/>
      <c r="G3728" s="27" t="s">
        <v>796</v>
      </c>
      <c r="H3728" s="28" t="s">
        <v>797</v>
      </c>
      <c r="I3728" s="5" t="s">
        <v>233</v>
      </c>
    </row>
    <row r="3729" spans="1:9" ht="51.75" customHeight="1">
      <c r="A3729" s="5">
        <v>9</v>
      </c>
      <c r="B3729" s="5" t="s">
        <v>33884</v>
      </c>
      <c r="C3729" s="5" t="s">
        <v>33885</v>
      </c>
      <c r="D3729" s="246">
        <v>39325</v>
      </c>
      <c r="E3729" s="5" t="s">
        <v>33886</v>
      </c>
      <c r="F3729" s="26"/>
      <c r="G3729" s="27" t="s">
        <v>796</v>
      </c>
      <c r="H3729" s="28" t="s">
        <v>797</v>
      </c>
      <c r="I3729" s="5" t="s">
        <v>233</v>
      </c>
    </row>
    <row r="3730" spans="1:9" ht="51.75" customHeight="1">
      <c r="A3730" s="5">
        <v>1</v>
      </c>
      <c r="B3730" s="5" t="s">
        <v>33887</v>
      </c>
      <c r="C3730" s="5" t="s">
        <v>33888</v>
      </c>
      <c r="D3730" s="246">
        <v>38965</v>
      </c>
      <c r="E3730" s="5" t="s">
        <v>33889</v>
      </c>
      <c r="F3730" s="26"/>
      <c r="G3730" s="27" t="s">
        <v>1018</v>
      </c>
      <c r="H3730" s="28" t="s">
        <v>1019</v>
      </c>
      <c r="I3730" s="5" t="s">
        <v>233</v>
      </c>
    </row>
    <row r="3731" spans="1:9" ht="51.75" customHeight="1">
      <c r="A3731" s="5">
        <v>2</v>
      </c>
      <c r="B3731" s="5" t="s">
        <v>33890</v>
      </c>
      <c r="C3731" s="5" t="s">
        <v>33891</v>
      </c>
      <c r="D3731" s="246">
        <v>38965</v>
      </c>
      <c r="E3731" s="5" t="s">
        <v>33892</v>
      </c>
      <c r="F3731" s="26"/>
      <c r="G3731" s="27" t="s">
        <v>1018</v>
      </c>
      <c r="H3731" s="28" t="s">
        <v>1019</v>
      </c>
      <c r="I3731" s="5" t="s">
        <v>233</v>
      </c>
    </row>
    <row r="3732" spans="1:9" ht="51.75" customHeight="1">
      <c r="A3732" s="5">
        <v>3</v>
      </c>
      <c r="B3732" s="5" t="s">
        <v>33893</v>
      </c>
      <c r="C3732" s="5" t="s">
        <v>33894</v>
      </c>
      <c r="D3732" s="246">
        <v>38965</v>
      </c>
      <c r="E3732" s="5" t="s">
        <v>33895</v>
      </c>
      <c r="F3732" s="26"/>
      <c r="G3732" s="27" t="s">
        <v>1018</v>
      </c>
      <c r="H3732" s="28" t="s">
        <v>1019</v>
      </c>
      <c r="I3732" s="5" t="s">
        <v>233</v>
      </c>
    </row>
    <row r="3733" spans="1:9" ht="51.75" customHeight="1">
      <c r="A3733" s="5">
        <v>4</v>
      </c>
      <c r="B3733" s="5" t="s">
        <v>33896</v>
      </c>
      <c r="C3733" s="5" t="s">
        <v>33897</v>
      </c>
      <c r="D3733" s="246">
        <v>38965</v>
      </c>
      <c r="E3733" s="5" t="s">
        <v>33898</v>
      </c>
      <c r="F3733" s="26"/>
      <c r="G3733" s="27" t="s">
        <v>1018</v>
      </c>
      <c r="H3733" s="28" t="s">
        <v>1019</v>
      </c>
      <c r="I3733" s="5" t="s">
        <v>233</v>
      </c>
    </row>
    <row r="3734" spans="1:9" ht="51.75" customHeight="1">
      <c r="A3734" s="5">
        <v>5</v>
      </c>
      <c r="B3734" s="5" t="s">
        <v>33899</v>
      </c>
      <c r="C3734" s="5" t="s">
        <v>33900</v>
      </c>
      <c r="D3734" s="246">
        <v>38965</v>
      </c>
      <c r="E3734" s="5" t="s">
        <v>33901</v>
      </c>
      <c r="F3734" s="26"/>
      <c r="G3734" s="27" t="s">
        <v>1018</v>
      </c>
      <c r="H3734" s="28" t="s">
        <v>1019</v>
      </c>
      <c r="I3734" s="5" t="s">
        <v>233</v>
      </c>
    </row>
    <row r="3735" spans="1:9" ht="51.75" customHeight="1">
      <c r="A3735" s="5">
        <v>6</v>
      </c>
      <c r="B3735" s="5" t="s">
        <v>33902</v>
      </c>
      <c r="C3735" s="5" t="s">
        <v>33903</v>
      </c>
      <c r="D3735" s="246">
        <v>38965</v>
      </c>
      <c r="E3735" s="5" t="s">
        <v>33904</v>
      </c>
      <c r="F3735" s="26"/>
      <c r="G3735" s="27" t="s">
        <v>1018</v>
      </c>
      <c r="H3735" s="28" t="s">
        <v>1019</v>
      </c>
      <c r="I3735" s="5" t="s">
        <v>233</v>
      </c>
    </row>
    <row r="3736" spans="1:9" ht="51.75" customHeight="1">
      <c r="A3736" s="5">
        <v>7</v>
      </c>
      <c r="B3736" s="5" t="s">
        <v>33905</v>
      </c>
      <c r="C3736" s="5" t="s">
        <v>33906</v>
      </c>
      <c r="D3736" s="246">
        <v>38965</v>
      </c>
      <c r="E3736" s="5" t="s">
        <v>33907</v>
      </c>
      <c r="F3736" s="26"/>
      <c r="G3736" s="27" t="s">
        <v>1018</v>
      </c>
      <c r="H3736" s="28" t="s">
        <v>1019</v>
      </c>
      <c r="I3736" s="5" t="s">
        <v>233</v>
      </c>
    </row>
    <row r="3737" spans="1:9" ht="51.75" customHeight="1">
      <c r="A3737" s="5">
        <v>8</v>
      </c>
      <c r="B3737" s="5" t="s">
        <v>33908</v>
      </c>
      <c r="C3737" s="5" t="s">
        <v>33909</v>
      </c>
      <c r="D3737" s="246">
        <v>38965</v>
      </c>
      <c r="E3737" s="5" t="s">
        <v>33910</v>
      </c>
      <c r="F3737" s="26"/>
      <c r="G3737" s="27" t="s">
        <v>1018</v>
      </c>
      <c r="H3737" s="28" t="s">
        <v>1019</v>
      </c>
      <c r="I3737" s="5" t="s">
        <v>233</v>
      </c>
    </row>
    <row r="3738" spans="1:9" ht="51.75" customHeight="1">
      <c r="A3738" s="5" t="s">
        <v>25984</v>
      </c>
      <c r="B3738" s="5" t="s">
        <v>33911</v>
      </c>
      <c r="C3738" s="5" t="s">
        <v>31210</v>
      </c>
      <c r="D3738" s="246" t="s">
        <v>68</v>
      </c>
      <c r="E3738" s="5" t="s">
        <v>33912</v>
      </c>
      <c r="F3738" s="26" t="s">
        <v>23600</v>
      </c>
      <c r="G3738" s="27" t="s">
        <v>6521</v>
      </c>
      <c r="H3738" s="28" t="s">
        <v>6522</v>
      </c>
      <c r="I3738" s="5" t="s">
        <v>233</v>
      </c>
    </row>
    <row r="3739" spans="1:9" ht="51.75" customHeight="1">
      <c r="A3739" s="5" t="s">
        <v>24689</v>
      </c>
      <c r="B3739" s="5" t="s">
        <v>33913</v>
      </c>
      <c r="C3739" s="5" t="s">
        <v>31213</v>
      </c>
      <c r="D3739" s="246" t="s">
        <v>68</v>
      </c>
      <c r="E3739" s="5" t="s">
        <v>33914</v>
      </c>
      <c r="F3739" s="26" t="s">
        <v>23600</v>
      </c>
      <c r="G3739" s="27" t="s">
        <v>6521</v>
      </c>
      <c r="H3739" s="28" t="s">
        <v>6522</v>
      </c>
      <c r="I3739" s="5" t="s">
        <v>233</v>
      </c>
    </row>
    <row r="3740" spans="1:9" ht="51.75" customHeight="1">
      <c r="A3740" s="5" t="s">
        <v>24693</v>
      </c>
      <c r="B3740" s="5" t="s">
        <v>33915</v>
      </c>
      <c r="C3740" s="5" t="s">
        <v>31216</v>
      </c>
      <c r="D3740" s="246" t="s">
        <v>68</v>
      </c>
      <c r="E3740" s="5" t="s">
        <v>33916</v>
      </c>
      <c r="F3740" s="26" t="s">
        <v>23600</v>
      </c>
      <c r="G3740" s="27" t="s">
        <v>6521</v>
      </c>
      <c r="H3740" s="28" t="s">
        <v>6522</v>
      </c>
      <c r="I3740" s="5" t="s">
        <v>233</v>
      </c>
    </row>
    <row r="3741" spans="1:9" ht="51.75" customHeight="1">
      <c r="A3741" s="5" t="s">
        <v>24697</v>
      </c>
      <c r="B3741" s="5" t="s">
        <v>33917</v>
      </c>
      <c r="C3741" s="5" t="s">
        <v>31219</v>
      </c>
      <c r="D3741" s="246" t="s">
        <v>68</v>
      </c>
      <c r="E3741" s="5" t="s">
        <v>33918</v>
      </c>
      <c r="F3741" s="26" t="s">
        <v>23600</v>
      </c>
      <c r="G3741" s="27" t="s">
        <v>6521</v>
      </c>
      <c r="H3741" s="28" t="s">
        <v>6522</v>
      </c>
      <c r="I3741" s="5" t="s">
        <v>233</v>
      </c>
    </row>
    <row r="3742" spans="1:9" ht="51.75" customHeight="1">
      <c r="A3742" s="5" t="s">
        <v>30098</v>
      </c>
      <c r="B3742" s="5" t="s">
        <v>33919</v>
      </c>
      <c r="C3742" s="5" t="s">
        <v>31222</v>
      </c>
      <c r="D3742" s="246" t="s">
        <v>68</v>
      </c>
      <c r="E3742" s="5" t="s">
        <v>33920</v>
      </c>
      <c r="F3742" s="26" t="s">
        <v>23600</v>
      </c>
      <c r="G3742" s="27" t="s">
        <v>6521</v>
      </c>
      <c r="H3742" s="28" t="s">
        <v>6522</v>
      </c>
      <c r="I3742" s="5" t="s">
        <v>233</v>
      </c>
    </row>
    <row r="3743" spans="1:9" ht="51.75" customHeight="1">
      <c r="A3743" s="5" t="s">
        <v>24942</v>
      </c>
      <c r="B3743" s="5" t="s">
        <v>33921</v>
      </c>
      <c r="C3743" s="5" t="s">
        <v>31225</v>
      </c>
      <c r="D3743" s="246" t="s">
        <v>68</v>
      </c>
      <c r="E3743" s="5" t="s">
        <v>33922</v>
      </c>
      <c r="F3743" s="26" t="s">
        <v>23600</v>
      </c>
      <c r="G3743" s="27" t="s">
        <v>6521</v>
      </c>
      <c r="H3743" s="28" t="s">
        <v>6522</v>
      </c>
      <c r="I3743" s="5" t="s">
        <v>233</v>
      </c>
    </row>
    <row r="3744" spans="1:9" ht="51.75" customHeight="1">
      <c r="A3744" s="5">
        <v>1</v>
      </c>
      <c r="B3744" s="5" t="s">
        <v>33923</v>
      </c>
      <c r="C3744" s="5" t="s">
        <v>33924</v>
      </c>
      <c r="D3744" s="246">
        <v>39294</v>
      </c>
      <c r="E3744" s="5" t="s">
        <v>33925</v>
      </c>
      <c r="F3744" s="26"/>
      <c r="G3744" s="27" t="s">
        <v>601</v>
      </c>
      <c r="H3744" s="28" t="s">
        <v>602</v>
      </c>
      <c r="I3744" s="5" t="s">
        <v>233</v>
      </c>
    </row>
    <row r="3745" spans="1:9" ht="51.75" customHeight="1">
      <c r="A3745" s="5">
        <v>2</v>
      </c>
      <c r="B3745" s="5" t="s">
        <v>33926</v>
      </c>
      <c r="C3745" s="5" t="s">
        <v>33927</v>
      </c>
      <c r="D3745" s="246">
        <v>39294</v>
      </c>
      <c r="E3745" s="5" t="s">
        <v>33928</v>
      </c>
      <c r="F3745" s="26"/>
      <c r="G3745" s="27" t="s">
        <v>601</v>
      </c>
      <c r="H3745" s="28" t="s">
        <v>602</v>
      </c>
      <c r="I3745" s="5" t="s">
        <v>233</v>
      </c>
    </row>
    <row r="3746" spans="1:9" ht="51.75" customHeight="1">
      <c r="A3746" s="5">
        <v>3</v>
      </c>
      <c r="B3746" s="5" t="s">
        <v>33929</v>
      </c>
      <c r="C3746" s="5" t="s">
        <v>33930</v>
      </c>
      <c r="D3746" s="246">
        <v>39294</v>
      </c>
      <c r="E3746" s="5" t="s">
        <v>33931</v>
      </c>
      <c r="F3746" s="26"/>
      <c r="G3746" s="27" t="s">
        <v>601</v>
      </c>
      <c r="H3746" s="28" t="s">
        <v>602</v>
      </c>
      <c r="I3746" s="5" t="s">
        <v>233</v>
      </c>
    </row>
    <row r="3747" spans="1:9" ht="51.75" customHeight="1">
      <c r="A3747" s="5" t="s">
        <v>23596</v>
      </c>
      <c r="B3747" s="5" t="s">
        <v>33932</v>
      </c>
      <c r="C3747" s="5" t="s">
        <v>33933</v>
      </c>
      <c r="D3747" s="246">
        <v>41171</v>
      </c>
      <c r="E3747" s="5" t="s">
        <v>33934</v>
      </c>
      <c r="F3747" s="26" t="s">
        <v>23600</v>
      </c>
      <c r="G3747" s="27" t="s">
        <v>6477</v>
      </c>
      <c r="H3747" s="28" t="s">
        <v>6478</v>
      </c>
      <c r="I3747" s="5" t="s">
        <v>233</v>
      </c>
    </row>
    <row r="3748" spans="1:9" ht="51.75" customHeight="1">
      <c r="A3748" s="5" t="s">
        <v>26290</v>
      </c>
      <c r="B3748" s="5" t="s">
        <v>33935</v>
      </c>
      <c r="C3748" s="5" t="s">
        <v>33936</v>
      </c>
      <c r="D3748" s="246" t="s">
        <v>68</v>
      </c>
      <c r="E3748" s="5" t="s">
        <v>33937</v>
      </c>
      <c r="F3748" s="26" t="s">
        <v>23600</v>
      </c>
      <c r="G3748" s="27" t="s">
        <v>6477</v>
      </c>
      <c r="H3748" s="28" t="s">
        <v>6478</v>
      </c>
      <c r="I3748" s="5" t="s">
        <v>233</v>
      </c>
    </row>
    <row r="3749" spans="1:9" ht="51.75" customHeight="1">
      <c r="A3749" s="5" t="s">
        <v>30214</v>
      </c>
      <c r="B3749" s="5" t="s">
        <v>33938</v>
      </c>
      <c r="C3749" s="5" t="s">
        <v>33939</v>
      </c>
      <c r="D3749" s="246">
        <v>41171</v>
      </c>
      <c r="E3749" s="5" t="s">
        <v>33940</v>
      </c>
      <c r="F3749" s="26" t="s">
        <v>23600</v>
      </c>
      <c r="G3749" s="27" t="s">
        <v>6477</v>
      </c>
      <c r="H3749" s="28" t="s">
        <v>6478</v>
      </c>
      <c r="I3749" s="5" t="s">
        <v>233</v>
      </c>
    </row>
    <row r="3750" spans="1:9" ht="51.75" customHeight="1">
      <c r="A3750" s="5" t="s">
        <v>33941</v>
      </c>
      <c r="B3750" s="5" t="s">
        <v>33942</v>
      </c>
      <c r="C3750" s="5" t="s">
        <v>33943</v>
      </c>
      <c r="D3750" s="246">
        <v>41171</v>
      </c>
      <c r="E3750" s="5" t="s">
        <v>33944</v>
      </c>
      <c r="F3750" s="26" t="s">
        <v>23600</v>
      </c>
      <c r="G3750" s="27" t="s">
        <v>6477</v>
      </c>
      <c r="H3750" s="28" t="s">
        <v>6478</v>
      </c>
      <c r="I3750" s="5" t="s">
        <v>233</v>
      </c>
    </row>
    <row r="3751" spans="1:9" ht="51.75" customHeight="1">
      <c r="A3751" s="5" t="s">
        <v>24929</v>
      </c>
      <c r="B3751" s="5" t="s">
        <v>33945</v>
      </c>
      <c r="C3751" s="5" t="s">
        <v>33946</v>
      </c>
      <c r="D3751" s="246">
        <v>41263</v>
      </c>
      <c r="E3751" s="5" t="s">
        <v>33947</v>
      </c>
      <c r="F3751" s="26" t="s">
        <v>23600</v>
      </c>
      <c r="G3751" s="27" t="s">
        <v>6504</v>
      </c>
      <c r="H3751" s="28" t="s">
        <v>6505</v>
      </c>
      <c r="I3751" s="5" t="s">
        <v>233</v>
      </c>
    </row>
    <row r="3752" spans="1:9" ht="51.75" customHeight="1">
      <c r="A3752" s="5" t="s">
        <v>25070</v>
      </c>
      <c r="B3752" s="5" t="s">
        <v>33948</v>
      </c>
      <c r="C3752" s="5" t="s">
        <v>33949</v>
      </c>
      <c r="D3752" s="246">
        <v>41263</v>
      </c>
      <c r="E3752" s="5" t="s">
        <v>33950</v>
      </c>
      <c r="F3752" s="26" t="s">
        <v>23600</v>
      </c>
      <c r="G3752" s="27" t="s">
        <v>6504</v>
      </c>
      <c r="H3752" s="28" t="s">
        <v>6505</v>
      </c>
      <c r="I3752" s="5" t="s">
        <v>233</v>
      </c>
    </row>
    <row r="3753" spans="1:9" ht="51.75" customHeight="1">
      <c r="A3753" s="5" t="s">
        <v>25074</v>
      </c>
      <c r="B3753" s="5" t="s">
        <v>33951</v>
      </c>
      <c r="C3753" s="5" t="s">
        <v>33952</v>
      </c>
      <c r="D3753" s="246">
        <v>41263</v>
      </c>
      <c r="E3753" s="5" t="s">
        <v>33953</v>
      </c>
      <c r="F3753" s="26" t="s">
        <v>23600</v>
      </c>
      <c r="G3753" s="27" t="s">
        <v>6504</v>
      </c>
      <c r="H3753" s="28" t="s">
        <v>6505</v>
      </c>
      <c r="I3753" s="5" t="s">
        <v>233</v>
      </c>
    </row>
    <row r="3754" spans="1:9" ht="51.75" customHeight="1">
      <c r="A3754" s="5" t="s">
        <v>25078</v>
      </c>
      <c r="B3754" s="5" t="s">
        <v>33954</v>
      </c>
      <c r="C3754" s="5" t="s">
        <v>33955</v>
      </c>
      <c r="D3754" s="246">
        <v>41263</v>
      </c>
      <c r="E3754" s="5" t="s">
        <v>33956</v>
      </c>
      <c r="F3754" s="26" t="s">
        <v>23600</v>
      </c>
      <c r="G3754" s="27" t="s">
        <v>6504</v>
      </c>
      <c r="H3754" s="28" t="s">
        <v>6505</v>
      </c>
      <c r="I3754" s="5" t="s">
        <v>233</v>
      </c>
    </row>
    <row r="3755" spans="1:9" ht="51.75" customHeight="1">
      <c r="A3755" s="5" t="s">
        <v>26232</v>
      </c>
      <c r="B3755" s="5" t="s">
        <v>33957</v>
      </c>
      <c r="C3755" s="5" t="s">
        <v>33958</v>
      </c>
      <c r="D3755" s="246">
        <v>41263</v>
      </c>
      <c r="E3755" s="5" t="s">
        <v>33959</v>
      </c>
      <c r="F3755" s="26" t="s">
        <v>23600</v>
      </c>
      <c r="G3755" s="27" t="s">
        <v>6504</v>
      </c>
      <c r="H3755" s="28" t="s">
        <v>6505</v>
      </c>
      <c r="I3755" s="5" t="s">
        <v>233</v>
      </c>
    </row>
    <row r="3756" spans="1:9" ht="51.75" customHeight="1">
      <c r="A3756" s="5" t="s">
        <v>26902</v>
      </c>
      <c r="B3756" s="5" t="s">
        <v>33960</v>
      </c>
      <c r="C3756" s="5" t="s">
        <v>33961</v>
      </c>
      <c r="D3756" s="246">
        <v>41263</v>
      </c>
      <c r="E3756" s="5" t="s">
        <v>33962</v>
      </c>
      <c r="F3756" s="26" t="s">
        <v>23600</v>
      </c>
      <c r="G3756" s="27" t="s">
        <v>6504</v>
      </c>
      <c r="H3756" s="28" t="s">
        <v>6505</v>
      </c>
      <c r="I3756" s="5" t="s">
        <v>233</v>
      </c>
    </row>
    <row r="3757" spans="1:9" ht="51.75" customHeight="1">
      <c r="A3757" s="5" t="s">
        <v>28025</v>
      </c>
      <c r="B3757" s="5" t="s">
        <v>33963</v>
      </c>
      <c r="C3757" s="5" t="s">
        <v>33964</v>
      </c>
      <c r="D3757" s="246">
        <v>41263</v>
      </c>
      <c r="E3757" s="5" t="s">
        <v>33965</v>
      </c>
      <c r="F3757" s="26" t="s">
        <v>23600</v>
      </c>
      <c r="G3757" s="27" t="s">
        <v>6504</v>
      </c>
      <c r="H3757" s="28" t="s">
        <v>6505</v>
      </c>
      <c r="I3757" s="5" t="s">
        <v>233</v>
      </c>
    </row>
    <row r="3758" spans="1:9" ht="51.75" customHeight="1">
      <c r="A3758" s="5" t="s">
        <v>27272</v>
      </c>
      <c r="B3758" s="5" t="s">
        <v>33966</v>
      </c>
      <c r="C3758" s="5" t="s">
        <v>33967</v>
      </c>
      <c r="D3758" s="246">
        <v>41501</v>
      </c>
      <c r="E3758" s="5" t="s">
        <v>33968</v>
      </c>
      <c r="F3758" s="26"/>
      <c r="G3758" s="27" t="s">
        <v>6592</v>
      </c>
      <c r="H3758" s="28" t="s">
        <v>6593</v>
      </c>
      <c r="I3758" s="5" t="s">
        <v>233</v>
      </c>
    </row>
    <row r="3759" spans="1:9" ht="51.75" customHeight="1">
      <c r="A3759" s="5" t="s">
        <v>27278</v>
      </c>
      <c r="B3759" s="5" t="s">
        <v>33969</v>
      </c>
      <c r="C3759" s="5" t="s">
        <v>33970</v>
      </c>
      <c r="D3759" s="246">
        <v>41501</v>
      </c>
      <c r="E3759" s="5" t="s">
        <v>33971</v>
      </c>
      <c r="F3759" s="26"/>
      <c r="G3759" s="27" t="s">
        <v>6592</v>
      </c>
      <c r="H3759" s="28" t="s">
        <v>6593</v>
      </c>
      <c r="I3759" s="5" t="s">
        <v>233</v>
      </c>
    </row>
    <row r="3760" spans="1:9" ht="51.75" customHeight="1">
      <c r="A3760" s="5" t="s">
        <v>27284</v>
      </c>
      <c r="B3760" s="5" t="s">
        <v>33972</v>
      </c>
      <c r="C3760" s="5" t="s">
        <v>33973</v>
      </c>
      <c r="D3760" s="246">
        <v>41501</v>
      </c>
      <c r="E3760" s="5" t="s">
        <v>33974</v>
      </c>
      <c r="F3760" s="26"/>
      <c r="G3760" s="27" t="s">
        <v>6592</v>
      </c>
      <c r="H3760" s="28" t="s">
        <v>6593</v>
      </c>
      <c r="I3760" s="5" t="s">
        <v>233</v>
      </c>
    </row>
    <row r="3761" spans="1:9" ht="51.75" customHeight="1">
      <c r="A3761" s="5" t="s">
        <v>25545</v>
      </c>
      <c r="B3761" s="5" t="s">
        <v>33975</v>
      </c>
      <c r="C3761" s="5" t="s">
        <v>33976</v>
      </c>
      <c r="D3761" s="246">
        <v>41501</v>
      </c>
      <c r="E3761" s="5" t="s">
        <v>33977</v>
      </c>
      <c r="F3761" s="26"/>
      <c r="G3761" s="27" t="s">
        <v>6592</v>
      </c>
      <c r="H3761" s="28" t="s">
        <v>6593</v>
      </c>
      <c r="I3761" s="5" t="s">
        <v>233</v>
      </c>
    </row>
    <row r="3762" spans="1:9" ht="51.75" customHeight="1">
      <c r="A3762" s="5" t="s">
        <v>30128</v>
      </c>
      <c r="B3762" s="5" t="s">
        <v>33978</v>
      </c>
      <c r="C3762" s="5" t="s">
        <v>33979</v>
      </c>
      <c r="D3762" s="246">
        <v>41501</v>
      </c>
      <c r="E3762" s="5" t="s">
        <v>33980</v>
      </c>
      <c r="F3762" s="26"/>
      <c r="G3762" s="27" t="s">
        <v>6592</v>
      </c>
      <c r="H3762" s="28" t="s">
        <v>6593</v>
      </c>
      <c r="I3762" s="5" t="s">
        <v>233</v>
      </c>
    </row>
    <row r="3763" spans="1:9" ht="51.75" customHeight="1">
      <c r="A3763" s="5" t="s">
        <v>33981</v>
      </c>
      <c r="B3763" s="5" t="s">
        <v>33982</v>
      </c>
      <c r="C3763" s="5" t="s">
        <v>33983</v>
      </c>
      <c r="D3763" s="246">
        <v>41501</v>
      </c>
      <c r="E3763" s="5" t="s">
        <v>33984</v>
      </c>
      <c r="F3763" s="26"/>
      <c r="G3763" s="27" t="s">
        <v>6592</v>
      </c>
      <c r="H3763" s="28" t="s">
        <v>6593</v>
      </c>
      <c r="I3763" s="5" t="s">
        <v>233</v>
      </c>
    </row>
    <row r="3764" spans="1:9" ht="51.75" customHeight="1">
      <c r="A3764" s="5" t="s">
        <v>33985</v>
      </c>
      <c r="B3764" s="5" t="s">
        <v>33986</v>
      </c>
      <c r="C3764" s="5" t="s">
        <v>33987</v>
      </c>
      <c r="D3764" s="246">
        <v>41501</v>
      </c>
      <c r="E3764" s="5" t="s">
        <v>33988</v>
      </c>
      <c r="F3764" s="26"/>
      <c r="G3764" s="27" t="s">
        <v>6592</v>
      </c>
      <c r="H3764" s="28" t="s">
        <v>6593</v>
      </c>
      <c r="I3764" s="5" t="s">
        <v>233</v>
      </c>
    </row>
    <row r="3765" spans="1:9" ht="51.75" customHeight="1">
      <c r="A3765" s="5" t="s">
        <v>33989</v>
      </c>
      <c r="B3765" s="5" t="s">
        <v>33990</v>
      </c>
      <c r="C3765" s="5" t="s">
        <v>33991</v>
      </c>
      <c r="D3765" s="246">
        <v>41501</v>
      </c>
      <c r="E3765" s="5" t="s">
        <v>33992</v>
      </c>
      <c r="F3765" s="26"/>
      <c r="G3765" s="27" t="s">
        <v>6592</v>
      </c>
      <c r="H3765" s="28" t="s">
        <v>6593</v>
      </c>
      <c r="I3765" s="5" t="s">
        <v>233</v>
      </c>
    </row>
    <row r="3766" spans="1:9" ht="51.75" customHeight="1">
      <c r="A3766" s="5" t="s">
        <v>30132</v>
      </c>
      <c r="B3766" s="5" t="s">
        <v>33993</v>
      </c>
      <c r="C3766" s="5" t="s">
        <v>33994</v>
      </c>
      <c r="D3766" s="246">
        <v>41501</v>
      </c>
      <c r="E3766" s="5" t="s">
        <v>33995</v>
      </c>
      <c r="F3766" s="26"/>
      <c r="G3766" s="27" t="s">
        <v>6592</v>
      </c>
      <c r="H3766" s="28" t="s">
        <v>6593</v>
      </c>
      <c r="I3766" s="5" t="s">
        <v>233</v>
      </c>
    </row>
    <row r="3767" spans="1:9" ht="51.75" customHeight="1">
      <c r="A3767" s="5">
        <v>1</v>
      </c>
      <c r="B3767" s="5" t="s">
        <v>33996</v>
      </c>
      <c r="C3767" s="5" t="s">
        <v>33997</v>
      </c>
      <c r="D3767" s="246">
        <v>39062</v>
      </c>
      <c r="E3767" s="5" t="s">
        <v>33998</v>
      </c>
      <c r="F3767" s="26"/>
      <c r="G3767" s="27" t="s">
        <v>384</v>
      </c>
      <c r="H3767" s="28" t="s">
        <v>385</v>
      </c>
      <c r="I3767" s="5" t="s">
        <v>233</v>
      </c>
    </row>
    <row r="3768" spans="1:9" ht="51.75" customHeight="1">
      <c r="A3768" s="5">
        <v>2</v>
      </c>
      <c r="B3768" s="5" t="s">
        <v>33999</v>
      </c>
      <c r="C3768" s="5" t="s">
        <v>34000</v>
      </c>
      <c r="D3768" s="246">
        <v>39062</v>
      </c>
      <c r="E3768" s="5" t="s">
        <v>34001</v>
      </c>
      <c r="F3768" s="26"/>
      <c r="G3768" s="27" t="s">
        <v>384</v>
      </c>
      <c r="H3768" s="28" t="s">
        <v>385</v>
      </c>
      <c r="I3768" s="5" t="s">
        <v>233</v>
      </c>
    </row>
    <row r="3769" spans="1:9" ht="51.75" customHeight="1">
      <c r="A3769" s="5">
        <v>3</v>
      </c>
      <c r="B3769" s="5" t="s">
        <v>34002</v>
      </c>
      <c r="C3769" s="5" t="s">
        <v>34003</v>
      </c>
      <c r="D3769" s="246">
        <v>39062</v>
      </c>
      <c r="E3769" s="5" t="s">
        <v>34004</v>
      </c>
      <c r="F3769" s="26"/>
      <c r="G3769" s="27" t="s">
        <v>384</v>
      </c>
      <c r="H3769" s="28" t="s">
        <v>385</v>
      </c>
      <c r="I3769" s="5" t="s">
        <v>233</v>
      </c>
    </row>
    <row r="3770" spans="1:9" ht="51.75" customHeight="1">
      <c r="A3770" s="5">
        <v>4</v>
      </c>
      <c r="B3770" s="5" t="s">
        <v>34005</v>
      </c>
      <c r="C3770" s="5" t="s">
        <v>34006</v>
      </c>
      <c r="D3770" s="246">
        <v>39062</v>
      </c>
      <c r="E3770" s="5" t="s">
        <v>34007</v>
      </c>
      <c r="F3770" s="26"/>
      <c r="G3770" s="27" t="s">
        <v>384</v>
      </c>
      <c r="H3770" s="28" t="s">
        <v>385</v>
      </c>
      <c r="I3770" s="5" t="s">
        <v>233</v>
      </c>
    </row>
    <row r="3771" spans="1:9" ht="51.75" customHeight="1">
      <c r="A3771" s="5">
        <v>5</v>
      </c>
      <c r="B3771" s="5" t="s">
        <v>34008</v>
      </c>
      <c r="C3771" s="5" t="s">
        <v>34009</v>
      </c>
      <c r="D3771" s="246">
        <v>39062</v>
      </c>
      <c r="E3771" s="5" t="s">
        <v>34010</v>
      </c>
      <c r="F3771" s="26"/>
      <c r="G3771" s="27" t="s">
        <v>384</v>
      </c>
      <c r="H3771" s="28" t="s">
        <v>385</v>
      </c>
      <c r="I3771" s="5" t="s">
        <v>233</v>
      </c>
    </row>
    <row r="3772" spans="1:9" ht="51.75" customHeight="1">
      <c r="A3772" s="5">
        <v>6</v>
      </c>
      <c r="B3772" s="5" t="s">
        <v>34011</v>
      </c>
      <c r="C3772" s="5" t="s">
        <v>34012</v>
      </c>
      <c r="D3772" s="246">
        <v>39062</v>
      </c>
      <c r="E3772" s="5" t="s">
        <v>34013</v>
      </c>
      <c r="F3772" s="26"/>
      <c r="G3772" s="27" t="s">
        <v>384</v>
      </c>
      <c r="H3772" s="28" t="s">
        <v>385</v>
      </c>
      <c r="I3772" s="5" t="s">
        <v>233</v>
      </c>
    </row>
    <row r="3773" spans="1:9" ht="51.75" customHeight="1">
      <c r="A3773" s="5">
        <v>7</v>
      </c>
      <c r="B3773" s="5" t="s">
        <v>34014</v>
      </c>
      <c r="C3773" s="5" t="s">
        <v>34015</v>
      </c>
      <c r="D3773" s="246">
        <v>39062</v>
      </c>
      <c r="E3773" s="5" t="s">
        <v>34016</v>
      </c>
      <c r="F3773" s="26"/>
      <c r="G3773" s="27" t="s">
        <v>384</v>
      </c>
      <c r="H3773" s="28" t="s">
        <v>385</v>
      </c>
      <c r="I3773" s="5" t="s">
        <v>233</v>
      </c>
    </row>
    <row r="3774" spans="1:9" ht="51.75" customHeight="1">
      <c r="A3774" s="5">
        <v>8</v>
      </c>
      <c r="B3774" s="5" t="s">
        <v>34017</v>
      </c>
      <c r="C3774" s="5" t="s">
        <v>34018</v>
      </c>
      <c r="D3774" s="246">
        <v>39062</v>
      </c>
      <c r="E3774" s="5" t="s">
        <v>34019</v>
      </c>
      <c r="F3774" s="26"/>
      <c r="G3774" s="27" t="s">
        <v>384</v>
      </c>
      <c r="H3774" s="28" t="s">
        <v>385</v>
      </c>
      <c r="I3774" s="5" t="s">
        <v>233</v>
      </c>
    </row>
    <row r="3775" spans="1:9" ht="51.75" customHeight="1">
      <c r="A3775" s="5">
        <v>9</v>
      </c>
      <c r="B3775" s="5" t="s">
        <v>34020</v>
      </c>
      <c r="C3775" s="5" t="s">
        <v>34021</v>
      </c>
      <c r="D3775" s="246">
        <v>39062</v>
      </c>
      <c r="E3775" s="5" t="s">
        <v>34022</v>
      </c>
      <c r="F3775" s="26"/>
      <c r="G3775" s="27" t="s">
        <v>384</v>
      </c>
      <c r="H3775" s="28" t="s">
        <v>385</v>
      </c>
      <c r="I3775" s="5" t="s">
        <v>233</v>
      </c>
    </row>
    <row r="3776" spans="1:9" ht="51.75" customHeight="1">
      <c r="A3776" s="5">
        <v>10</v>
      </c>
      <c r="B3776" s="5" t="s">
        <v>34023</v>
      </c>
      <c r="C3776" s="5" t="s">
        <v>34024</v>
      </c>
      <c r="D3776" s="246">
        <v>39062</v>
      </c>
      <c r="E3776" s="5" t="s">
        <v>34025</v>
      </c>
      <c r="F3776" s="26"/>
      <c r="G3776" s="27" t="s">
        <v>384</v>
      </c>
      <c r="H3776" s="28" t="s">
        <v>385</v>
      </c>
      <c r="I3776" s="5" t="s">
        <v>233</v>
      </c>
    </row>
    <row r="3777" spans="1:9" ht="51.75" customHeight="1">
      <c r="A3777" s="5">
        <v>1</v>
      </c>
      <c r="B3777" s="5" t="s">
        <v>34026</v>
      </c>
      <c r="C3777" s="5" t="s">
        <v>34027</v>
      </c>
      <c r="D3777" s="246">
        <v>41059</v>
      </c>
      <c r="E3777" s="5" t="s">
        <v>34028</v>
      </c>
      <c r="F3777" s="26"/>
      <c r="G3777" s="27" t="s">
        <v>6137</v>
      </c>
      <c r="H3777" s="28" t="s">
        <v>6138</v>
      </c>
      <c r="I3777" s="5" t="s">
        <v>233</v>
      </c>
    </row>
    <row r="3778" spans="1:9" ht="51.75" customHeight="1">
      <c r="A3778" s="5">
        <v>2</v>
      </c>
      <c r="B3778" s="5" t="s">
        <v>34029</v>
      </c>
      <c r="C3778" s="5" t="s">
        <v>34030</v>
      </c>
      <c r="D3778" s="246">
        <v>41059</v>
      </c>
      <c r="E3778" s="5" t="s">
        <v>34031</v>
      </c>
      <c r="F3778" s="26"/>
      <c r="G3778" s="27" t="s">
        <v>6137</v>
      </c>
      <c r="H3778" s="28" t="s">
        <v>6138</v>
      </c>
      <c r="I3778" s="5" t="s">
        <v>233</v>
      </c>
    </row>
    <row r="3779" spans="1:9" ht="51.75" customHeight="1">
      <c r="A3779" s="5" t="s">
        <v>27026</v>
      </c>
      <c r="B3779" s="5" t="s">
        <v>34032</v>
      </c>
      <c r="C3779" s="5" t="s">
        <v>34033</v>
      </c>
      <c r="D3779" s="246">
        <v>41108</v>
      </c>
      <c r="E3779" s="5" t="s">
        <v>34034</v>
      </c>
      <c r="F3779" s="26" t="s">
        <v>23600</v>
      </c>
      <c r="G3779" s="27" t="s">
        <v>6461</v>
      </c>
      <c r="H3779" s="28" t="s">
        <v>6462</v>
      </c>
      <c r="I3779" s="5" t="s">
        <v>233</v>
      </c>
    </row>
    <row r="3780" spans="1:9" ht="51.75" customHeight="1">
      <c r="A3780" s="5" t="s">
        <v>27032</v>
      </c>
      <c r="B3780" s="5" t="s">
        <v>34035</v>
      </c>
      <c r="C3780" s="5" t="s">
        <v>34036</v>
      </c>
      <c r="D3780" s="246">
        <v>41108</v>
      </c>
      <c r="E3780" s="5" t="s">
        <v>34037</v>
      </c>
      <c r="F3780" s="26" t="s">
        <v>23600</v>
      </c>
      <c r="G3780" s="27" t="s">
        <v>6461</v>
      </c>
      <c r="H3780" s="28" t="s">
        <v>6462</v>
      </c>
      <c r="I3780" s="5" t="s">
        <v>233</v>
      </c>
    </row>
    <row r="3781" spans="1:9" ht="51.75" customHeight="1">
      <c r="A3781" s="5" t="s">
        <v>28119</v>
      </c>
      <c r="B3781" s="5" t="s">
        <v>34038</v>
      </c>
      <c r="C3781" s="5" t="s">
        <v>34039</v>
      </c>
      <c r="D3781" s="246">
        <v>41108</v>
      </c>
      <c r="E3781" s="5" t="s">
        <v>34040</v>
      </c>
      <c r="F3781" s="26" t="s">
        <v>23600</v>
      </c>
      <c r="G3781" s="27" t="s">
        <v>6461</v>
      </c>
      <c r="H3781" s="28" t="s">
        <v>6462</v>
      </c>
      <c r="I3781" s="5" t="s">
        <v>233</v>
      </c>
    </row>
    <row r="3782" spans="1:9" ht="51.75" customHeight="1">
      <c r="A3782" s="5" t="s">
        <v>28123</v>
      </c>
      <c r="B3782" s="5" t="s">
        <v>34041</v>
      </c>
      <c r="C3782" s="5" t="s">
        <v>34042</v>
      </c>
      <c r="D3782" s="246">
        <v>41108</v>
      </c>
      <c r="E3782" s="5" t="s">
        <v>34043</v>
      </c>
      <c r="F3782" s="26" t="s">
        <v>23600</v>
      </c>
      <c r="G3782" s="27" t="s">
        <v>6461</v>
      </c>
      <c r="H3782" s="28" t="s">
        <v>6462</v>
      </c>
      <c r="I3782" s="5" t="s">
        <v>233</v>
      </c>
    </row>
    <row r="3783" spans="1:9" ht="51.75" customHeight="1">
      <c r="A3783" s="5">
        <v>1</v>
      </c>
      <c r="B3783" s="5" t="s">
        <v>34044</v>
      </c>
      <c r="C3783" s="5" t="s">
        <v>34045</v>
      </c>
      <c r="D3783" s="246">
        <v>39294</v>
      </c>
      <c r="E3783" s="5" t="s">
        <v>34046</v>
      </c>
      <c r="F3783" s="26"/>
      <c r="G3783" s="27" t="s">
        <v>911</v>
      </c>
      <c r="H3783" s="28" t="s">
        <v>912</v>
      </c>
      <c r="I3783" s="5" t="s">
        <v>233</v>
      </c>
    </row>
    <row r="3784" spans="1:9" ht="51.75" customHeight="1">
      <c r="A3784" s="5">
        <v>2</v>
      </c>
      <c r="B3784" s="5" t="s">
        <v>34047</v>
      </c>
      <c r="C3784" s="5" t="s">
        <v>34048</v>
      </c>
      <c r="D3784" s="246">
        <v>39294</v>
      </c>
      <c r="E3784" s="5" t="s">
        <v>34049</v>
      </c>
      <c r="F3784" s="26"/>
      <c r="G3784" s="27" t="s">
        <v>911</v>
      </c>
      <c r="H3784" s="28" t="s">
        <v>912</v>
      </c>
      <c r="I3784" s="5" t="s">
        <v>233</v>
      </c>
    </row>
    <row r="3785" spans="1:9" ht="51.75" customHeight="1">
      <c r="A3785" s="5">
        <v>3</v>
      </c>
      <c r="B3785" s="5" t="s">
        <v>34050</v>
      </c>
      <c r="C3785" s="5" t="s">
        <v>34051</v>
      </c>
      <c r="D3785" s="246">
        <v>39294</v>
      </c>
      <c r="E3785" s="5" t="s">
        <v>34052</v>
      </c>
      <c r="F3785" s="26"/>
      <c r="G3785" s="27" t="s">
        <v>911</v>
      </c>
      <c r="H3785" s="28" t="s">
        <v>912</v>
      </c>
      <c r="I3785" s="5" t="s">
        <v>233</v>
      </c>
    </row>
    <row r="3786" spans="1:9" ht="51.75" customHeight="1">
      <c r="A3786" s="5">
        <v>4</v>
      </c>
      <c r="B3786" s="5" t="s">
        <v>34053</v>
      </c>
      <c r="C3786" s="5" t="s">
        <v>34054</v>
      </c>
      <c r="D3786" s="246">
        <v>39294</v>
      </c>
      <c r="E3786" s="5" t="s">
        <v>34055</v>
      </c>
      <c r="F3786" s="26"/>
      <c r="G3786" s="27" t="s">
        <v>911</v>
      </c>
      <c r="H3786" s="28" t="s">
        <v>912</v>
      </c>
      <c r="I3786" s="5" t="s">
        <v>233</v>
      </c>
    </row>
    <row r="3787" spans="1:9" ht="51.75" customHeight="1">
      <c r="A3787" s="5">
        <v>5</v>
      </c>
      <c r="B3787" s="5" t="s">
        <v>34056</v>
      </c>
      <c r="C3787" s="5" t="s">
        <v>34057</v>
      </c>
      <c r="D3787" s="246">
        <v>39294</v>
      </c>
      <c r="E3787" s="5" t="s">
        <v>34058</v>
      </c>
      <c r="F3787" s="26"/>
      <c r="G3787" s="27" t="s">
        <v>911</v>
      </c>
      <c r="H3787" s="28" t="s">
        <v>912</v>
      </c>
      <c r="I3787" s="5" t="s">
        <v>233</v>
      </c>
    </row>
    <row r="3788" spans="1:9" ht="51.75" customHeight="1">
      <c r="A3788" s="5">
        <v>6</v>
      </c>
      <c r="B3788" s="5" t="s">
        <v>34059</v>
      </c>
      <c r="C3788" s="5" t="s">
        <v>34060</v>
      </c>
      <c r="D3788" s="246">
        <v>39294</v>
      </c>
      <c r="E3788" s="5" t="s">
        <v>34061</v>
      </c>
      <c r="F3788" s="26"/>
      <c r="G3788" s="27" t="s">
        <v>911</v>
      </c>
      <c r="H3788" s="28" t="s">
        <v>912</v>
      </c>
      <c r="I3788" s="5" t="s">
        <v>233</v>
      </c>
    </row>
    <row r="3789" spans="1:9" ht="51.75" customHeight="1">
      <c r="A3789" s="5">
        <v>7</v>
      </c>
      <c r="B3789" s="5" t="s">
        <v>34062</v>
      </c>
      <c r="C3789" s="5" t="s">
        <v>34063</v>
      </c>
      <c r="D3789" s="246">
        <v>39294</v>
      </c>
      <c r="E3789" s="5" t="s">
        <v>34064</v>
      </c>
      <c r="F3789" s="26"/>
      <c r="G3789" s="27" t="s">
        <v>911</v>
      </c>
      <c r="H3789" s="28" t="s">
        <v>912</v>
      </c>
      <c r="I3789" s="5" t="s">
        <v>233</v>
      </c>
    </row>
    <row r="3790" spans="1:9" ht="51.75" customHeight="1">
      <c r="A3790" s="5">
        <v>1</v>
      </c>
      <c r="B3790" s="5" t="s">
        <v>34065</v>
      </c>
      <c r="C3790" s="5" t="s">
        <v>34066</v>
      </c>
      <c r="D3790" s="246">
        <v>40983</v>
      </c>
      <c r="E3790" s="5" t="s">
        <v>34067</v>
      </c>
      <c r="F3790" s="26"/>
      <c r="G3790" s="27" t="s">
        <v>6263</v>
      </c>
      <c r="H3790" s="28" t="s">
        <v>6264</v>
      </c>
      <c r="I3790" s="5" t="s">
        <v>233</v>
      </c>
    </row>
    <row r="3791" spans="1:9" ht="51.75" customHeight="1">
      <c r="A3791" s="5">
        <v>2</v>
      </c>
      <c r="B3791" s="5" t="s">
        <v>34068</v>
      </c>
      <c r="C3791" s="5" t="s">
        <v>34069</v>
      </c>
      <c r="D3791" s="246">
        <v>40983</v>
      </c>
      <c r="E3791" s="5" t="s">
        <v>34070</v>
      </c>
      <c r="F3791" s="26"/>
      <c r="G3791" s="27" t="s">
        <v>6263</v>
      </c>
      <c r="H3791" s="28" t="s">
        <v>6264</v>
      </c>
      <c r="I3791" s="5" t="s">
        <v>233</v>
      </c>
    </row>
    <row r="3792" spans="1:9" ht="51.75" customHeight="1">
      <c r="A3792" s="5" t="s">
        <v>28127</v>
      </c>
      <c r="B3792" s="5" t="s">
        <v>34071</v>
      </c>
      <c r="C3792" s="5" t="s">
        <v>34072</v>
      </c>
      <c r="D3792" s="246">
        <v>41151</v>
      </c>
      <c r="E3792" s="5" t="s">
        <v>34073</v>
      </c>
      <c r="F3792" s="26" t="s">
        <v>23600</v>
      </c>
      <c r="G3792" s="27" t="s">
        <v>6388</v>
      </c>
      <c r="H3792" s="28" t="s">
        <v>6389</v>
      </c>
      <c r="I3792" s="5" t="s">
        <v>233</v>
      </c>
    </row>
    <row r="3793" spans="1:9" ht="51.75" customHeight="1">
      <c r="A3793" s="5" t="s">
        <v>33738</v>
      </c>
      <c r="B3793" s="5" t="s">
        <v>34074</v>
      </c>
      <c r="C3793" s="5" t="s">
        <v>34075</v>
      </c>
      <c r="D3793" s="246">
        <v>41151</v>
      </c>
      <c r="E3793" s="5" t="s">
        <v>34076</v>
      </c>
      <c r="F3793" s="26" t="s">
        <v>23600</v>
      </c>
      <c r="G3793" s="27" t="s">
        <v>6388</v>
      </c>
      <c r="H3793" s="28" t="s">
        <v>6389</v>
      </c>
      <c r="I3793" s="5" t="s">
        <v>233</v>
      </c>
    </row>
    <row r="3794" spans="1:9" ht="51.75" customHeight="1">
      <c r="A3794" s="5" t="s">
        <v>25054</v>
      </c>
      <c r="B3794" s="5" t="s">
        <v>34077</v>
      </c>
      <c r="C3794" s="5" t="s">
        <v>34078</v>
      </c>
      <c r="D3794" s="246">
        <v>41151</v>
      </c>
      <c r="E3794" s="5" t="s">
        <v>34079</v>
      </c>
      <c r="F3794" s="26" t="s">
        <v>23600</v>
      </c>
      <c r="G3794" s="27" t="s">
        <v>6388</v>
      </c>
      <c r="H3794" s="28" t="s">
        <v>6389</v>
      </c>
      <c r="I3794" s="5" t="s">
        <v>233</v>
      </c>
    </row>
    <row r="3795" spans="1:9" ht="51.75" customHeight="1">
      <c r="A3795" s="5" t="s">
        <v>25058</v>
      </c>
      <c r="B3795" s="5" t="s">
        <v>34080</v>
      </c>
      <c r="C3795" s="5" t="s">
        <v>34081</v>
      </c>
      <c r="D3795" s="246">
        <v>41151</v>
      </c>
      <c r="E3795" s="5" t="s">
        <v>34082</v>
      </c>
      <c r="F3795" s="26" t="s">
        <v>23600</v>
      </c>
      <c r="G3795" s="27" t="s">
        <v>6388</v>
      </c>
      <c r="H3795" s="28" t="s">
        <v>6389</v>
      </c>
      <c r="I3795" s="5" t="s">
        <v>233</v>
      </c>
    </row>
    <row r="3796" spans="1:9" ht="51.75" customHeight="1">
      <c r="A3796" s="5" t="s">
        <v>25062</v>
      </c>
      <c r="B3796" s="5" t="s">
        <v>34083</v>
      </c>
      <c r="C3796" s="5" t="s">
        <v>34084</v>
      </c>
      <c r="D3796" s="246">
        <v>41151</v>
      </c>
      <c r="E3796" s="5" t="s">
        <v>34085</v>
      </c>
      <c r="F3796" s="26" t="s">
        <v>23600</v>
      </c>
      <c r="G3796" s="27" t="s">
        <v>6388</v>
      </c>
      <c r="H3796" s="28" t="s">
        <v>6389</v>
      </c>
      <c r="I3796" s="5" t="s">
        <v>233</v>
      </c>
    </row>
    <row r="3797" spans="1:9" ht="51.75" customHeight="1">
      <c r="A3797" s="5" t="s">
        <v>25990</v>
      </c>
      <c r="B3797" s="5" t="s">
        <v>34086</v>
      </c>
      <c r="C3797" s="5" t="s">
        <v>31210</v>
      </c>
      <c r="D3797" s="246" t="s">
        <v>68</v>
      </c>
      <c r="E3797" s="5" t="s">
        <v>34087</v>
      </c>
      <c r="F3797" s="26" t="s">
        <v>23600</v>
      </c>
      <c r="G3797" s="27" t="s">
        <v>6332</v>
      </c>
      <c r="H3797" s="28" t="s">
        <v>6333</v>
      </c>
      <c r="I3797" s="5" t="s">
        <v>233</v>
      </c>
    </row>
    <row r="3798" spans="1:9" ht="51.75" customHeight="1">
      <c r="A3798" s="5" t="s">
        <v>23612</v>
      </c>
      <c r="B3798" s="5" t="s">
        <v>34088</v>
      </c>
      <c r="C3798" s="5" t="s">
        <v>31213</v>
      </c>
      <c r="D3798" s="246" t="s">
        <v>68</v>
      </c>
      <c r="E3798" s="5" t="s">
        <v>34089</v>
      </c>
      <c r="F3798" s="26" t="s">
        <v>23600</v>
      </c>
      <c r="G3798" s="27" t="s">
        <v>6332</v>
      </c>
      <c r="H3798" s="28" t="s">
        <v>6333</v>
      </c>
      <c r="I3798" s="5" t="s">
        <v>233</v>
      </c>
    </row>
    <row r="3799" spans="1:9" ht="51.75" customHeight="1">
      <c r="A3799" s="5" t="s">
        <v>23946</v>
      </c>
      <c r="B3799" s="5" t="s">
        <v>34090</v>
      </c>
      <c r="C3799" s="5" t="s">
        <v>31216</v>
      </c>
      <c r="D3799" s="246" t="s">
        <v>68</v>
      </c>
      <c r="E3799" s="5" t="s">
        <v>34091</v>
      </c>
      <c r="F3799" s="26" t="s">
        <v>23600</v>
      </c>
      <c r="G3799" s="27" t="s">
        <v>6332</v>
      </c>
      <c r="H3799" s="28" t="s">
        <v>6333</v>
      </c>
      <c r="I3799" s="5" t="s">
        <v>233</v>
      </c>
    </row>
    <row r="3800" spans="1:9" ht="51.75" customHeight="1">
      <c r="A3800" s="5" t="s">
        <v>34092</v>
      </c>
      <c r="B3800" s="5" t="s">
        <v>34093</v>
      </c>
      <c r="C3800" s="5" t="s">
        <v>31219</v>
      </c>
      <c r="D3800" s="246" t="s">
        <v>68</v>
      </c>
      <c r="E3800" s="5" t="s">
        <v>34094</v>
      </c>
      <c r="F3800" s="26" t="s">
        <v>23600</v>
      </c>
      <c r="G3800" s="27" t="s">
        <v>6332</v>
      </c>
      <c r="H3800" s="28" t="s">
        <v>6333</v>
      </c>
      <c r="I3800" s="5" t="s">
        <v>233</v>
      </c>
    </row>
    <row r="3801" spans="1:9" ht="51.75" customHeight="1">
      <c r="A3801" s="5">
        <v>1</v>
      </c>
      <c r="B3801" s="5" t="s">
        <v>34095</v>
      </c>
      <c r="C3801" s="5" t="s">
        <v>34096</v>
      </c>
      <c r="D3801" s="246">
        <v>39233</v>
      </c>
      <c r="E3801" s="5" t="s">
        <v>34097</v>
      </c>
      <c r="F3801" s="26"/>
      <c r="G3801" s="27" t="s">
        <v>957</v>
      </c>
      <c r="H3801" s="28" t="s">
        <v>958</v>
      </c>
      <c r="I3801" s="5" t="s">
        <v>233</v>
      </c>
    </row>
    <row r="3802" spans="1:9" ht="51.75" customHeight="1">
      <c r="A3802" s="5">
        <v>2</v>
      </c>
      <c r="B3802" s="5" t="s">
        <v>34098</v>
      </c>
      <c r="C3802" s="5" t="s">
        <v>34099</v>
      </c>
      <c r="D3802" s="246">
        <v>39233</v>
      </c>
      <c r="E3802" s="5" t="s">
        <v>34100</v>
      </c>
      <c r="F3802" s="26"/>
      <c r="G3802" s="27" t="s">
        <v>957</v>
      </c>
      <c r="H3802" s="28" t="s">
        <v>958</v>
      </c>
      <c r="I3802" s="5" t="s">
        <v>233</v>
      </c>
    </row>
    <row r="3803" spans="1:9" ht="51.75" customHeight="1">
      <c r="A3803" s="5">
        <v>3</v>
      </c>
      <c r="B3803" s="5" t="s">
        <v>34101</v>
      </c>
      <c r="C3803" s="5" t="s">
        <v>34102</v>
      </c>
      <c r="D3803" s="246">
        <v>39233</v>
      </c>
      <c r="E3803" s="5" t="s">
        <v>34103</v>
      </c>
      <c r="F3803" s="26"/>
      <c r="G3803" s="27" t="s">
        <v>957</v>
      </c>
      <c r="H3803" s="28" t="s">
        <v>958</v>
      </c>
      <c r="I3803" s="5" t="s">
        <v>233</v>
      </c>
    </row>
    <row r="3804" spans="1:9" ht="51.75" customHeight="1">
      <c r="A3804" s="5">
        <v>4</v>
      </c>
      <c r="B3804" s="5" t="s">
        <v>34104</v>
      </c>
      <c r="C3804" s="5" t="s">
        <v>34105</v>
      </c>
      <c r="D3804" s="246">
        <v>39233</v>
      </c>
      <c r="E3804" s="5" t="s">
        <v>34106</v>
      </c>
      <c r="F3804" s="26"/>
      <c r="G3804" s="27" t="s">
        <v>957</v>
      </c>
      <c r="H3804" s="28" t="s">
        <v>958</v>
      </c>
      <c r="I3804" s="5" t="s">
        <v>233</v>
      </c>
    </row>
    <row r="3805" spans="1:9" ht="51.75" customHeight="1">
      <c r="A3805" s="5">
        <v>5</v>
      </c>
      <c r="B3805" s="5" t="s">
        <v>34107</v>
      </c>
      <c r="C3805" s="5" t="s">
        <v>34108</v>
      </c>
      <c r="D3805" s="246">
        <v>39233</v>
      </c>
      <c r="E3805" s="5" t="s">
        <v>34109</v>
      </c>
      <c r="F3805" s="26"/>
      <c r="G3805" s="27" t="s">
        <v>957</v>
      </c>
      <c r="H3805" s="28" t="s">
        <v>958</v>
      </c>
      <c r="I3805" s="5" t="s">
        <v>233</v>
      </c>
    </row>
    <row r="3806" spans="1:9" ht="51.75" customHeight="1">
      <c r="A3806" s="5">
        <v>6</v>
      </c>
      <c r="B3806" s="5" t="s">
        <v>34110</v>
      </c>
      <c r="C3806" s="5" t="s">
        <v>34111</v>
      </c>
      <c r="D3806" s="246">
        <v>39233</v>
      </c>
      <c r="E3806" s="5" t="s">
        <v>34112</v>
      </c>
      <c r="F3806" s="26"/>
      <c r="G3806" s="27" t="s">
        <v>957</v>
      </c>
      <c r="H3806" s="28" t="s">
        <v>958</v>
      </c>
      <c r="I3806" s="5" t="s">
        <v>233</v>
      </c>
    </row>
    <row r="3807" spans="1:9" ht="51.75" customHeight="1">
      <c r="A3807" s="5">
        <v>7</v>
      </c>
      <c r="B3807" s="5" t="s">
        <v>34113</v>
      </c>
      <c r="C3807" s="5" t="s">
        <v>34114</v>
      </c>
      <c r="D3807" s="246">
        <v>39233</v>
      </c>
      <c r="E3807" s="5" t="s">
        <v>34115</v>
      </c>
      <c r="F3807" s="26"/>
      <c r="G3807" s="27" t="s">
        <v>957</v>
      </c>
      <c r="H3807" s="28" t="s">
        <v>958</v>
      </c>
      <c r="I3807" s="5" t="s">
        <v>233</v>
      </c>
    </row>
    <row r="3808" spans="1:9" ht="51.75" customHeight="1">
      <c r="A3808" s="5">
        <v>8</v>
      </c>
      <c r="B3808" s="5" t="s">
        <v>34116</v>
      </c>
      <c r="C3808" s="5" t="s">
        <v>34117</v>
      </c>
      <c r="D3808" s="246">
        <v>39233</v>
      </c>
      <c r="E3808" s="5" t="s">
        <v>34118</v>
      </c>
      <c r="F3808" s="26"/>
      <c r="G3808" s="27" t="s">
        <v>957</v>
      </c>
      <c r="H3808" s="28" t="s">
        <v>958</v>
      </c>
      <c r="I3808" s="5" t="s">
        <v>233</v>
      </c>
    </row>
    <row r="3809" spans="1:9" ht="51.75" customHeight="1">
      <c r="A3809" s="5">
        <v>9</v>
      </c>
      <c r="B3809" s="5" t="s">
        <v>34119</v>
      </c>
      <c r="C3809" s="5" t="s">
        <v>34120</v>
      </c>
      <c r="D3809" s="246">
        <v>39233</v>
      </c>
      <c r="E3809" s="5" t="s">
        <v>34121</v>
      </c>
      <c r="F3809" s="26"/>
      <c r="G3809" s="27" t="s">
        <v>957</v>
      </c>
      <c r="H3809" s="28" t="s">
        <v>958</v>
      </c>
      <c r="I3809" s="5" t="s">
        <v>233</v>
      </c>
    </row>
    <row r="3810" spans="1:9" ht="51.75" customHeight="1">
      <c r="A3810" s="5" t="s">
        <v>26543</v>
      </c>
      <c r="B3810" s="5" t="s">
        <v>34122</v>
      </c>
      <c r="C3810" s="5" t="s">
        <v>34123</v>
      </c>
      <c r="D3810" s="246">
        <v>41095</v>
      </c>
      <c r="E3810" s="5" t="s">
        <v>34124</v>
      </c>
      <c r="F3810" s="26" t="s">
        <v>23600</v>
      </c>
      <c r="G3810" s="27" t="s">
        <v>6301</v>
      </c>
      <c r="H3810" s="28" t="s">
        <v>6302</v>
      </c>
      <c r="I3810" s="5" t="s">
        <v>233</v>
      </c>
    </row>
    <row r="3811" spans="1:9" ht="51.75" customHeight="1">
      <c r="A3811" s="5" t="s">
        <v>26549</v>
      </c>
      <c r="B3811" s="5" t="s">
        <v>34125</v>
      </c>
      <c r="C3811" s="5" t="s">
        <v>34126</v>
      </c>
      <c r="D3811" s="246">
        <v>41095</v>
      </c>
      <c r="E3811" s="5" t="s">
        <v>34127</v>
      </c>
      <c r="F3811" s="26" t="s">
        <v>23600</v>
      </c>
      <c r="G3811" s="27" t="s">
        <v>6301</v>
      </c>
      <c r="H3811" s="28" t="s">
        <v>6302</v>
      </c>
      <c r="I3811" s="5" t="s">
        <v>233</v>
      </c>
    </row>
    <row r="3812" spans="1:9" ht="51.75" customHeight="1">
      <c r="A3812" s="5" t="s">
        <v>26555</v>
      </c>
      <c r="B3812" s="5" t="s">
        <v>34128</v>
      </c>
      <c r="C3812" s="5" t="s">
        <v>34129</v>
      </c>
      <c r="D3812" s="246">
        <v>41095</v>
      </c>
      <c r="E3812" s="5" t="s">
        <v>34130</v>
      </c>
      <c r="F3812" s="26" t="s">
        <v>23600</v>
      </c>
      <c r="G3812" s="27" t="s">
        <v>6301</v>
      </c>
      <c r="H3812" s="28" t="s">
        <v>6302</v>
      </c>
      <c r="I3812" s="5" t="s">
        <v>233</v>
      </c>
    </row>
    <row r="3813" spans="1:9" ht="51.75" customHeight="1">
      <c r="A3813" s="5" t="s">
        <v>27014</v>
      </c>
      <c r="B3813" s="5" t="s">
        <v>34131</v>
      </c>
      <c r="C3813" s="5" t="s">
        <v>34132</v>
      </c>
      <c r="D3813" s="246">
        <v>41095</v>
      </c>
      <c r="E3813" s="5" t="s">
        <v>34133</v>
      </c>
      <c r="F3813" s="26" t="s">
        <v>23600</v>
      </c>
      <c r="G3813" s="27" t="s">
        <v>6301</v>
      </c>
      <c r="H3813" s="28" t="s">
        <v>6302</v>
      </c>
      <c r="I3813" s="5" t="s">
        <v>233</v>
      </c>
    </row>
    <row r="3814" spans="1:9" ht="51.75" customHeight="1">
      <c r="A3814" s="5">
        <v>1</v>
      </c>
      <c r="B3814" s="5" t="s">
        <v>34134</v>
      </c>
      <c r="C3814" s="5" t="s">
        <v>34135</v>
      </c>
      <c r="D3814" s="246">
        <v>41089</v>
      </c>
      <c r="E3814" s="5" t="s">
        <v>34136</v>
      </c>
      <c r="F3814" s="26"/>
      <c r="G3814" s="27" t="s">
        <v>6218</v>
      </c>
      <c r="H3814" s="28" t="s">
        <v>6219</v>
      </c>
      <c r="I3814" s="5" t="s">
        <v>233</v>
      </c>
    </row>
    <row r="3815" spans="1:9" ht="51.75" customHeight="1">
      <c r="A3815" s="5">
        <v>2</v>
      </c>
      <c r="B3815" s="5" t="s">
        <v>34137</v>
      </c>
      <c r="C3815" s="5" t="s">
        <v>34138</v>
      </c>
      <c r="D3815" s="246">
        <v>41089</v>
      </c>
      <c r="E3815" s="5" t="s">
        <v>34139</v>
      </c>
      <c r="F3815" s="26"/>
      <c r="G3815" s="27" t="s">
        <v>6218</v>
      </c>
      <c r="H3815" s="28" t="s">
        <v>6219</v>
      </c>
      <c r="I3815" s="5" t="s">
        <v>233</v>
      </c>
    </row>
    <row r="3816" spans="1:9" ht="51.75" customHeight="1">
      <c r="A3816" s="5">
        <v>3</v>
      </c>
      <c r="B3816" s="5" t="s">
        <v>34140</v>
      </c>
      <c r="C3816" s="5" t="s">
        <v>34141</v>
      </c>
      <c r="D3816" s="246">
        <v>41089</v>
      </c>
      <c r="E3816" s="5" t="s">
        <v>34142</v>
      </c>
      <c r="F3816" s="26"/>
      <c r="G3816" s="27" t="s">
        <v>6218</v>
      </c>
      <c r="H3816" s="28" t="s">
        <v>6219</v>
      </c>
      <c r="I3816" s="5" t="s">
        <v>233</v>
      </c>
    </row>
    <row r="3817" spans="1:9" ht="51.75" customHeight="1">
      <c r="A3817" s="5">
        <v>4</v>
      </c>
      <c r="B3817" s="5" t="s">
        <v>34143</v>
      </c>
      <c r="C3817" s="5" t="s">
        <v>34144</v>
      </c>
      <c r="D3817" s="246">
        <v>41089</v>
      </c>
      <c r="E3817" s="5" t="s">
        <v>34145</v>
      </c>
      <c r="F3817" s="26"/>
      <c r="G3817" s="27" t="s">
        <v>6218</v>
      </c>
      <c r="H3817" s="28" t="s">
        <v>6219</v>
      </c>
      <c r="I3817" s="5" t="s">
        <v>233</v>
      </c>
    </row>
    <row r="3818" spans="1:9" ht="51.75" customHeight="1">
      <c r="A3818" s="5">
        <v>5</v>
      </c>
      <c r="B3818" s="5" t="s">
        <v>34146</v>
      </c>
      <c r="C3818" s="5" t="s">
        <v>34147</v>
      </c>
      <c r="D3818" s="246">
        <v>41089</v>
      </c>
      <c r="E3818" s="5" t="s">
        <v>34148</v>
      </c>
      <c r="F3818" s="26"/>
      <c r="G3818" s="27" t="s">
        <v>6218</v>
      </c>
      <c r="H3818" s="28" t="s">
        <v>6219</v>
      </c>
      <c r="I3818" s="5" t="s">
        <v>233</v>
      </c>
    </row>
    <row r="3819" spans="1:9" ht="51.75" customHeight="1">
      <c r="A3819" s="5">
        <v>6</v>
      </c>
      <c r="B3819" s="5" t="s">
        <v>34149</v>
      </c>
      <c r="C3819" s="5" t="s">
        <v>34150</v>
      </c>
      <c r="D3819" s="246">
        <v>41089</v>
      </c>
      <c r="E3819" s="5" t="s">
        <v>34151</v>
      </c>
      <c r="F3819" s="26"/>
      <c r="G3819" s="27" t="s">
        <v>6218</v>
      </c>
      <c r="H3819" s="28" t="s">
        <v>6219</v>
      </c>
      <c r="I3819" s="5" t="s">
        <v>233</v>
      </c>
    </row>
    <row r="3820" spans="1:9" ht="51.75" customHeight="1">
      <c r="A3820" s="5">
        <v>1</v>
      </c>
      <c r="B3820" s="5" t="s">
        <v>34152</v>
      </c>
      <c r="C3820" s="5" t="s">
        <v>34153</v>
      </c>
      <c r="D3820" s="246">
        <v>39355</v>
      </c>
      <c r="E3820" s="5" t="s">
        <v>34154</v>
      </c>
      <c r="F3820" s="26"/>
      <c r="G3820" s="27" t="s">
        <v>1103</v>
      </c>
      <c r="H3820" s="28" t="s">
        <v>1104</v>
      </c>
      <c r="I3820" s="5" t="s">
        <v>233</v>
      </c>
    </row>
    <row r="3821" spans="1:9" ht="51.75" customHeight="1">
      <c r="A3821" s="5">
        <v>2</v>
      </c>
      <c r="B3821" s="5" t="s">
        <v>34155</v>
      </c>
      <c r="C3821" s="5" t="s">
        <v>34156</v>
      </c>
      <c r="D3821" s="246">
        <v>39355</v>
      </c>
      <c r="E3821" s="5" t="s">
        <v>34157</v>
      </c>
      <c r="F3821" s="26"/>
      <c r="G3821" s="27" t="s">
        <v>1103</v>
      </c>
      <c r="H3821" s="28" t="s">
        <v>1104</v>
      </c>
      <c r="I3821" s="5" t="s">
        <v>233</v>
      </c>
    </row>
    <row r="3822" spans="1:9" ht="51.75" customHeight="1">
      <c r="A3822" s="5">
        <v>1</v>
      </c>
      <c r="B3822" s="5" t="s">
        <v>34158</v>
      </c>
      <c r="C3822" s="5" t="s">
        <v>34159</v>
      </c>
      <c r="D3822" s="246">
        <v>39681</v>
      </c>
      <c r="E3822" s="5" t="s">
        <v>34160</v>
      </c>
      <c r="F3822" s="26"/>
      <c r="G3822" s="27" t="s">
        <v>1517</v>
      </c>
      <c r="H3822" s="28" t="s">
        <v>1518</v>
      </c>
      <c r="I3822" s="5" t="s">
        <v>233</v>
      </c>
    </row>
    <row r="3823" spans="1:9" ht="51.75" customHeight="1">
      <c r="A3823" s="5">
        <v>2</v>
      </c>
      <c r="B3823" s="5" t="s">
        <v>34161</v>
      </c>
      <c r="C3823" s="5" t="s">
        <v>34162</v>
      </c>
      <c r="D3823" s="246">
        <v>39681</v>
      </c>
      <c r="E3823" s="5" t="s">
        <v>34162</v>
      </c>
      <c r="F3823" s="26"/>
      <c r="G3823" s="27" t="s">
        <v>1517</v>
      </c>
      <c r="H3823" s="28" t="s">
        <v>1518</v>
      </c>
      <c r="I3823" s="5" t="s">
        <v>233</v>
      </c>
    </row>
    <row r="3824" spans="1:9" ht="51.75" customHeight="1">
      <c r="A3824" s="5">
        <v>3</v>
      </c>
      <c r="B3824" s="5" t="s">
        <v>34163</v>
      </c>
      <c r="C3824" s="5" t="s">
        <v>34164</v>
      </c>
      <c r="D3824" s="246">
        <v>39681</v>
      </c>
      <c r="E3824" s="5" t="s">
        <v>34165</v>
      </c>
      <c r="F3824" s="26"/>
      <c r="G3824" s="27" t="s">
        <v>1517</v>
      </c>
      <c r="H3824" s="28" t="s">
        <v>1518</v>
      </c>
      <c r="I3824" s="5" t="s">
        <v>233</v>
      </c>
    </row>
    <row r="3825" spans="1:9" ht="51.75" customHeight="1">
      <c r="A3825" s="5">
        <v>4</v>
      </c>
      <c r="B3825" s="5" t="s">
        <v>34166</v>
      </c>
      <c r="C3825" s="5" t="s">
        <v>34167</v>
      </c>
      <c r="D3825" s="246">
        <v>39681</v>
      </c>
      <c r="E3825" s="5" t="s">
        <v>34168</v>
      </c>
      <c r="F3825" s="26"/>
      <c r="G3825" s="27" t="s">
        <v>1517</v>
      </c>
      <c r="H3825" s="28" t="s">
        <v>1518</v>
      </c>
      <c r="I3825" s="5" t="s">
        <v>233</v>
      </c>
    </row>
    <row r="3826" spans="1:9" ht="51.75" customHeight="1">
      <c r="A3826" s="5">
        <v>5</v>
      </c>
      <c r="B3826" s="5" t="s">
        <v>34169</v>
      </c>
      <c r="C3826" s="5" t="s">
        <v>34170</v>
      </c>
      <c r="D3826" s="246">
        <v>39681</v>
      </c>
      <c r="E3826" s="5" t="s">
        <v>34171</v>
      </c>
      <c r="F3826" s="26"/>
      <c r="G3826" s="27" t="s">
        <v>1517</v>
      </c>
      <c r="H3826" s="28" t="s">
        <v>1518</v>
      </c>
      <c r="I3826" s="5" t="s">
        <v>233</v>
      </c>
    </row>
    <row r="3827" spans="1:9" ht="51.75" customHeight="1">
      <c r="A3827" s="5">
        <v>6</v>
      </c>
      <c r="B3827" s="5" t="s">
        <v>34172</v>
      </c>
      <c r="C3827" s="5" t="s">
        <v>34173</v>
      </c>
      <c r="D3827" s="246">
        <v>39681</v>
      </c>
      <c r="E3827" s="5" t="s">
        <v>34174</v>
      </c>
      <c r="F3827" s="26"/>
      <c r="G3827" s="27" t="s">
        <v>1517</v>
      </c>
      <c r="H3827" s="28" t="s">
        <v>1518</v>
      </c>
      <c r="I3827" s="5" t="s">
        <v>233</v>
      </c>
    </row>
    <row r="3828" spans="1:9" ht="51.75" customHeight="1">
      <c r="A3828" s="5">
        <v>1</v>
      </c>
      <c r="B3828" s="5" t="s">
        <v>34175</v>
      </c>
      <c r="C3828" s="5" t="s">
        <v>34176</v>
      </c>
      <c r="D3828" s="246">
        <v>39850</v>
      </c>
      <c r="E3828" s="5" t="s">
        <v>34177</v>
      </c>
      <c r="F3828" s="26"/>
      <c r="G3828" s="27" t="s">
        <v>1592</v>
      </c>
      <c r="H3828" s="28" t="s">
        <v>1593</v>
      </c>
      <c r="I3828" s="5" t="s">
        <v>233</v>
      </c>
    </row>
    <row r="3829" spans="1:9" ht="51.75" customHeight="1">
      <c r="A3829" s="5">
        <v>2</v>
      </c>
      <c r="B3829" s="5" t="s">
        <v>34178</v>
      </c>
      <c r="C3829" s="5" t="s">
        <v>34179</v>
      </c>
      <c r="D3829" s="246">
        <v>39850</v>
      </c>
      <c r="E3829" s="5" t="s">
        <v>34180</v>
      </c>
      <c r="F3829" s="26"/>
      <c r="G3829" s="27" t="s">
        <v>1592</v>
      </c>
      <c r="H3829" s="28" t="s">
        <v>1593</v>
      </c>
      <c r="I3829" s="5" t="s">
        <v>233</v>
      </c>
    </row>
    <row r="3830" spans="1:9" ht="51.75" customHeight="1">
      <c r="A3830" s="5">
        <v>3</v>
      </c>
      <c r="B3830" s="5" t="s">
        <v>34181</v>
      </c>
      <c r="C3830" s="5" t="s">
        <v>34182</v>
      </c>
      <c r="D3830" s="246">
        <v>39850</v>
      </c>
      <c r="E3830" s="5" t="s">
        <v>34183</v>
      </c>
      <c r="F3830" s="26"/>
      <c r="G3830" s="27" t="s">
        <v>1592</v>
      </c>
      <c r="H3830" s="28" t="s">
        <v>1593</v>
      </c>
      <c r="I3830" s="5" t="s">
        <v>233</v>
      </c>
    </row>
    <row r="3831" spans="1:9" ht="51.75" customHeight="1">
      <c r="A3831" s="5">
        <v>4</v>
      </c>
      <c r="B3831" s="5" t="s">
        <v>34184</v>
      </c>
      <c r="C3831" s="5" t="s">
        <v>34185</v>
      </c>
      <c r="D3831" s="246">
        <v>39850</v>
      </c>
      <c r="E3831" s="5" t="s">
        <v>34186</v>
      </c>
      <c r="F3831" s="26"/>
      <c r="G3831" s="27" t="s">
        <v>1592</v>
      </c>
      <c r="H3831" s="28" t="s">
        <v>1593</v>
      </c>
      <c r="I3831" s="5" t="s">
        <v>233</v>
      </c>
    </row>
    <row r="3832" spans="1:9" ht="51.75" customHeight="1">
      <c r="A3832" s="5">
        <v>5</v>
      </c>
      <c r="B3832" s="5" t="s">
        <v>34187</v>
      </c>
      <c r="C3832" s="5" t="s">
        <v>34188</v>
      </c>
      <c r="D3832" s="246">
        <v>39850</v>
      </c>
      <c r="E3832" s="5" t="s">
        <v>34189</v>
      </c>
      <c r="F3832" s="26"/>
      <c r="G3832" s="27" t="s">
        <v>1592</v>
      </c>
      <c r="H3832" s="28" t="s">
        <v>1593</v>
      </c>
      <c r="I3832" s="5" t="s">
        <v>233</v>
      </c>
    </row>
    <row r="3833" spans="1:9" ht="51.75" customHeight="1">
      <c r="A3833" s="5">
        <v>6</v>
      </c>
      <c r="B3833" s="5" t="s">
        <v>34190</v>
      </c>
      <c r="C3833" s="5" t="s">
        <v>34191</v>
      </c>
      <c r="D3833" s="246">
        <v>39850</v>
      </c>
      <c r="E3833" s="5" t="s">
        <v>34192</v>
      </c>
      <c r="F3833" s="26"/>
      <c r="G3833" s="27" t="s">
        <v>1592</v>
      </c>
      <c r="H3833" s="28" t="s">
        <v>1593</v>
      </c>
      <c r="I3833" s="5" t="s">
        <v>233</v>
      </c>
    </row>
    <row r="3834" spans="1:9" ht="51.75" customHeight="1">
      <c r="A3834" s="5">
        <v>7</v>
      </c>
      <c r="B3834" s="5" t="s">
        <v>34193</v>
      </c>
      <c r="C3834" s="5" t="s">
        <v>34194</v>
      </c>
      <c r="D3834" s="246">
        <v>39850</v>
      </c>
      <c r="E3834" s="5" t="s">
        <v>34195</v>
      </c>
      <c r="F3834" s="26"/>
      <c r="G3834" s="27" t="s">
        <v>1592</v>
      </c>
      <c r="H3834" s="28" t="s">
        <v>1593</v>
      </c>
      <c r="I3834" s="5" t="s">
        <v>233</v>
      </c>
    </row>
    <row r="3835" spans="1:9" ht="51.75" customHeight="1">
      <c r="A3835" s="5">
        <v>8</v>
      </c>
      <c r="B3835" s="5" t="s">
        <v>34196</v>
      </c>
      <c r="C3835" s="5" t="s">
        <v>34197</v>
      </c>
      <c r="D3835" s="246">
        <v>39850</v>
      </c>
      <c r="E3835" s="5" t="s">
        <v>34198</v>
      </c>
      <c r="F3835" s="26"/>
      <c r="G3835" s="27" t="s">
        <v>1592</v>
      </c>
      <c r="H3835" s="28" t="s">
        <v>1593</v>
      </c>
      <c r="I3835" s="5" t="s">
        <v>233</v>
      </c>
    </row>
    <row r="3836" spans="1:9" ht="51.75" customHeight="1">
      <c r="A3836" s="5">
        <v>9</v>
      </c>
      <c r="B3836" s="5" t="s">
        <v>34199</v>
      </c>
      <c r="C3836" s="5" t="s">
        <v>34200</v>
      </c>
      <c r="D3836" s="246">
        <v>39850</v>
      </c>
      <c r="E3836" s="5" t="s">
        <v>34201</v>
      </c>
      <c r="F3836" s="26"/>
      <c r="G3836" s="27" t="s">
        <v>1592</v>
      </c>
      <c r="H3836" s="28" t="s">
        <v>1593</v>
      </c>
      <c r="I3836" s="5" t="s">
        <v>233</v>
      </c>
    </row>
    <row r="3837" spans="1:9" ht="51.75" customHeight="1">
      <c r="A3837" s="5">
        <v>10</v>
      </c>
      <c r="B3837" s="5" t="s">
        <v>34202</v>
      </c>
      <c r="C3837" s="5" t="s">
        <v>34203</v>
      </c>
      <c r="D3837" s="246">
        <v>39850</v>
      </c>
      <c r="E3837" s="5" t="s">
        <v>34204</v>
      </c>
      <c r="F3837" s="26"/>
      <c r="G3837" s="27" t="s">
        <v>1592</v>
      </c>
      <c r="H3837" s="28" t="s">
        <v>1593</v>
      </c>
      <c r="I3837" s="5" t="s">
        <v>233</v>
      </c>
    </row>
    <row r="3838" spans="1:9" ht="51.75" customHeight="1">
      <c r="A3838" s="5" t="s">
        <v>34205</v>
      </c>
      <c r="B3838" s="5" t="s">
        <v>34206</v>
      </c>
      <c r="C3838" s="5" t="s">
        <v>34207</v>
      </c>
      <c r="D3838" s="246">
        <v>41127</v>
      </c>
      <c r="E3838" s="5" t="s">
        <v>34208</v>
      </c>
      <c r="F3838" s="26" t="s">
        <v>23600</v>
      </c>
      <c r="G3838" s="27" t="s">
        <v>6191</v>
      </c>
      <c r="H3838" s="28" t="s">
        <v>6192</v>
      </c>
      <c r="I3838" s="5" t="s">
        <v>233</v>
      </c>
    </row>
    <row r="3839" spans="1:9" ht="51.75" customHeight="1">
      <c r="A3839" s="5">
        <v>1</v>
      </c>
      <c r="B3839" s="5" t="s">
        <v>34209</v>
      </c>
      <c r="C3839" s="5" t="s">
        <v>34210</v>
      </c>
      <c r="D3839" s="246">
        <v>38924</v>
      </c>
      <c r="E3839" s="5" t="s">
        <v>34211</v>
      </c>
      <c r="F3839" s="26"/>
      <c r="G3839" s="27" t="s">
        <v>917</v>
      </c>
      <c r="H3839" s="28" t="s">
        <v>918</v>
      </c>
      <c r="I3839" s="5" t="s">
        <v>233</v>
      </c>
    </row>
    <row r="3840" spans="1:9" ht="51.75" customHeight="1">
      <c r="A3840" s="5">
        <v>2</v>
      </c>
      <c r="B3840" s="5" t="s">
        <v>34212</v>
      </c>
      <c r="C3840" s="5" t="s">
        <v>34213</v>
      </c>
      <c r="D3840" s="246">
        <v>38924</v>
      </c>
      <c r="E3840" s="5" t="s">
        <v>34214</v>
      </c>
      <c r="F3840" s="26"/>
      <c r="G3840" s="27" t="s">
        <v>917</v>
      </c>
      <c r="H3840" s="28" t="s">
        <v>918</v>
      </c>
      <c r="I3840" s="5" t="s">
        <v>233</v>
      </c>
    </row>
    <row r="3841" spans="1:9" ht="51.75" customHeight="1">
      <c r="A3841" s="5">
        <v>3</v>
      </c>
      <c r="B3841" s="5" t="s">
        <v>34215</v>
      </c>
      <c r="C3841" s="5" t="s">
        <v>34216</v>
      </c>
      <c r="D3841" s="246">
        <v>38924</v>
      </c>
      <c r="E3841" s="5" t="s">
        <v>34217</v>
      </c>
      <c r="F3841" s="26"/>
      <c r="G3841" s="27" t="s">
        <v>917</v>
      </c>
      <c r="H3841" s="28" t="s">
        <v>918</v>
      </c>
      <c r="I3841" s="5" t="s">
        <v>233</v>
      </c>
    </row>
    <row r="3842" spans="1:9" ht="51.75" customHeight="1">
      <c r="A3842" s="5">
        <v>4</v>
      </c>
      <c r="B3842" s="5" t="s">
        <v>34218</v>
      </c>
      <c r="C3842" s="5" t="s">
        <v>34219</v>
      </c>
      <c r="D3842" s="246">
        <v>38924</v>
      </c>
      <c r="E3842" s="5" t="s">
        <v>34220</v>
      </c>
      <c r="F3842" s="26"/>
      <c r="G3842" s="27" t="s">
        <v>917</v>
      </c>
      <c r="H3842" s="28" t="s">
        <v>918</v>
      </c>
      <c r="I3842" s="5" t="s">
        <v>233</v>
      </c>
    </row>
    <row r="3843" spans="1:9" ht="51.75" customHeight="1">
      <c r="A3843" s="5">
        <v>5</v>
      </c>
      <c r="B3843" s="5" t="s">
        <v>34221</v>
      </c>
      <c r="C3843" s="5" t="s">
        <v>34222</v>
      </c>
      <c r="D3843" s="246">
        <v>38924</v>
      </c>
      <c r="E3843" s="5" t="s">
        <v>34223</v>
      </c>
      <c r="F3843" s="26"/>
      <c r="G3843" s="27" t="s">
        <v>917</v>
      </c>
      <c r="H3843" s="28" t="s">
        <v>918</v>
      </c>
      <c r="I3843" s="5" t="s">
        <v>233</v>
      </c>
    </row>
    <row r="3844" spans="1:9" ht="51.75" customHeight="1">
      <c r="A3844" s="5">
        <v>6</v>
      </c>
      <c r="B3844" s="5" t="s">
        <v>34224</v>
      </c>
      <c r="C3844" s="5" t="s">
        <v>34225</v>
      </c>
      <c r="D3844" s="246">
        <v>38924</v>
      </c>
      <c r="E3844" s="5" t="s">
        <v>34226</v>
      </c>
      <c r="F3844" s="26"/>
      <c r="G3844" s="27" t="s">
        <v>917</v>
      </c>
      <c r="H3844" s="28" t="s">
        <v>918</v>
      </c>
      <c r="I3844" s="5" t="s">
        <v>233</v>
      </c>
    </row>
    <row r="3845" spans="1:9" ht="51.75" customHeight="1">
      <c r="A3845" s="5">
        <v>7</v>
      </c>
      <c r="B3845" s="5" t="s">
        <v>34227</v>
      </c>
      <c r="C3845" s="5" t="s">
        <v>34228</v>
      </c>
      <c r="D3845" s="246">
        <v>38924</v>
      </c>
      <c r="E3845" s="5" t="s">
        <v>34229</v>
      </c>
      <c r="F3845" s="26"/>
      <c r="G3845" s="27" t="s">
        <v>917</v>
      </c>
      <c r="H3845" s="28" t="s">
        <v>918</v>
      </c>
      <c r="I3845" s="5" t="s">
        <v>233</v>
      </c>
    </row>
    <row r="3846" spans="1:9" ht="51.75" customHeight="1">
      <c r="A3846" s="5">
        <v>8</v>
      </c>
      <c r="B3846" s="5" t="s">
        <v>34230</v>
      </c>
      <c r="C3846" s="5" t="s">
        <v>34231</v>
      </c>
      <c r="D3846" s="246">
        <v>38924</v>
      </c>
      <c r="E3846" s="5" t="s">
        <v>34232</v>
      </c>
      <c r="F3846" s="26"/>
      <c r="G3846" s="27" t="s">
        <v>917</v>
      </c>
      <c r="H3846" s="28" t="s">
        <v>918</v>
      </c>
      <c r="I3846" s="5" t="s">
        <v>233</v>
      </c>
    </row>
    <row r="3847" spans="1:9" ht="51.75" customHeight="1">
      <c r="A3847" s="5">
        <v>9</v>
      </c>
      <c r="B3847" s="5" t="s">
        <v>34233</v>
      </c>
      <c r="C3847" s="5" t="s">
        <v>34234</v>
      </c>
      <c r="D3847" s="246">
        <v>38924</v>
      </c>
      <c r="E3847" s="5" t="s">
        <v>34235</v>
      </c>
      <c r="F3847" s="26"/>
      <c r="G3847" s="27" t="s">
        <v>917</v>
      </c>
      <c r="H3847" s="28" t="s">
        <v>918</v>
      </c>
      <c r="I3847" s="5" t="s">
        <v>233</v>
      </c>
    </row>
    <row r="3848" spans="1:9" ht="51.75" customHeight="1">
      <c r="A3848" s="5">
        <v>1</v>
      </c>
      <c r="B3848" s="5" t="s">
        <v>34236</v>
      </c>
      <c r="C3848" s="5" t="s">
        <v>34237</v>
      </c>
      <c r="D3848" s="246">
        <v>38919</v>
      </c>
      <c r="E3848" s="5" t="s">
        <v>34238</v>
      </c>
      <c r="F3848" s="26"/>
      <c r="G3848" s="27" t="s">
        <v>242</v>
      </c>
      <c r="H3848" s="28" t="s">
        <v>243</v>
      </c>
      <c r="I3848" s="5" t="s">
        <v>233</v>
      </c>
    </row>
    <row r="3849" spans="1:9" ht="51.75" customHeight="1">
      <c r="A3849" s="5">
        <v>2</v>
      </c>
      <c r="B3849" s="5" t="s">
        <v>34239</v>
      </c>
      <c r="C3849" s="5" t="s">
        <v>34240</v>
      </c>
      <c r="D3849" s="246">
        <v>38919</v>
      </c>
      <c r="E3849" s="5" t="s">
        <v>34241</v>
      </c>
      <c r="F3849" s="26"/>
      <c r="G3849" s="27" t="s">
        <v>242</v>
      </c>
      <c r="H3849" s="28" t="s">
        <v>243</v>
      </c>
      <c r="I3849" s="5" t="s">
        <v>233</v>
      </c>
    </row>
    <row r="3850" spans="1:9" ht="51.75" customHeight="1">
      <c r="A3850" s="5">
        <v>3</v>
      </c>
      <c r="B3850" s="5" t="s">
        <v>34242</v>
      </c>
      <c r="C3850" s="5" t="s">
        <v>34243</v>
      </c>
      <c r="D3850" s="246">
        <v>38919</v>
      </c>
      <c r="E3850" s="5" t="s">
        <v>34244</v>
      </c>
      <c r="F3850" s="26"/>
      <c r="G3850" s="27" t="s">
        <v>242</v>
      </c>
      <c r="H3850" s="28" t="s">
        <v>243</v>
      </c>
      <c r="I3850" s="5" t="s">
        <v>233</v>
      </c>
    </row>
    <row r="3851" spans="1:9" ht="51.75" customHeight="1">
      <c r="A3851" s="5">
        <v>4</v>
      </c>
      <c r="B3851" s="5" t="s">
        <v>34245</v>
      </c>
      <c r="C3851" s="5" t="s">
        <v>34246</v>
      </c>
      <c r="D3851" s="246">
        <v>38919</v>
      </c>
      <c r="E3851" s="5" t="s">
        <v>34247</v>
      </c>
      <c r="F3851" s="26"/>
      <c r="G3851" s="27" t="s">
        <v>242</v>
      </c>
      <c r="H3851" s="28" t="s">
        <v>243</v>
      </c>
      <c r="I3851" s="5" t="s">
        <v>233</v>
      </c>
    </row>
    <row r="3852" spans="1:9" ht="51.75" customHeight="1">
      <c r="A3852" s="5">
        <v>1</v>
      </c>
      <c r="B3852" s="5" t="s">
        <v>34248</v>
      </c>
      <c r="C3852" s="5" t="s">
        <v>34249</v>
      </c>
      <c r="D3852" s="246">
        <v>41053</v>
      </c>
      <c r="E3852" s="5" t="s">
        <v>34250</v>
      </c>
      <c r="F3852" s="26"/>
      <c r="G3852" s="27" t="s">
        <v>6099</v>
      </c>
      <c r="H3852" s="28" t="s">
        <v>6100</v>
      </c>
      <c r="I3852" s="5" t="s">
        <v>233</v>
      </c>
    </row>
    <row r="3853" spans="1:9" ht="51.75" customHeight="1">
      <c r="A3853" s="5">
        <v>2</v>
      </c>
      <c r="B3853" s="5" t="s">
        <v>34251</v>
      </c>
      <c r="C3853" s="5" t="s">
        <v>34252</v>
      </c>
      <c r="D3853" s="246">
        <v>41053</v>
      </c>
      <c r="E3853" s="5" t="s">
        <v>34253</v>
      </c>
      <c r="F3853" s="26"/>
      <c r="G3853" s="27" t="s">
        <v>6099</v>
      </c>
      <c r="H3853" s="28" t="s">
        <v>6100</v>
      </c>
      <c r="I3853" s="5" t="s">
        <v>233</v>
      </c>
    </row>
    <row r="3854" spans="1:9" ht="51.75" customHeight="1">
      <c r="A3854" s="5">
        <v>3</v>
      </c>
      <c r="B3854" s="5" t="s">
        <v>34254</v>
      </c>
      <c r="C3854" s="5" t="s">
        <v>34255</v>
      </c>
      <c r="D3854" s="246">
        <v>41053</v>
      </c>
      <c r="E3854" s="5" t="s">
        <v>34256</v>
      </c>
      <c r="F3854" s="26"/>
      <c r="G3854" s="27" t="s">
        <v>6099</v>
      </c>
      <c r="H3854" s="28" t="s">
        <v>6100</v>
      </c>
      <c r="I3854" s="5" t="s">
        <v>233</v>
      </c>
    </row>
    <row r="3855" spans="1:9" ht="51.75" customHeight="1">
      <c r="A3855" s="5">
        <v>1</v>
      </c>
      <c r="B3855" s="5" t="s">
        <v>34257</v>
      </c>
      <c r="C3855" s="5" t="s">
        <v>34258</v>
      </c>
      <c r="D3855" s="246">
        <v>39386</v>
      </c>
      <c r="E3855" s="5" t="s">
        <v>34259</v>
      </c>
      <c r="F3855" s="26" t="s">
        <v>23600</v>
      </c>
      <c r="G3855" s="27" t="s">
        <v>1010</v>
      </c>
      <c r="H3855" s="28" t="s">
        <v>1011</v>
      </c>
      <c r="I3855" s="5" t="s">
        <v>233</v>
      </c>
    </row>
    <row r="3856" spans="1:9" ht="51.75" customHeight="1">
      <c r="A3856" s="5">
        <v>2</v>
      </c>
      <c r="B3856" s="5" t="s">
        <v>34260</v>
      </c>
      <c r="C3856" s="5" t="s">
        <v>34261</v>
      </c>
      <c r="D3856" s="246">
        <v>39386</v>
      </c>
      <c r="E3856" s="5" t="s">
        <v>34262</v>
      </c>
      <c r="F3856" s="26" t="s">
        <v>23600</v>
      </c>
      <c r="G3856" s="27" t="s">
        <v>1010</v>
      </c>
      <c r="H3856" s="28" t="s">
        <v>1011</v>
      </c>
      <c r="I3856" s="5" t="s">
        <v>233</v>
      </c>
    </row>
    <row r="3857" spans="1:9" ht="51.75" customHeight="1">
      <c r="A3857" s="5">
        <v>3</v>
      </c>
      <c r="B3857" s="5" t="s">
        <v>34263</v>
      </c>
      <c r="C3857" s="5" t="s">
        <v>34264</v>
      </c>
      <c r="D3857" s="246">
        <v>39386</v>
      </c>
      <c r="E3857" s="5" t="s">
        <v>34265</v>
      </c>
      <c r="F3857" s="26" t="s">
        <v>23600</v>
      </c>
      <c r="G3857" s="27" t="s">
        <v>1010</v>
      </c>
      <c r="H3857" s="28" t="s">
        <v>1011</v>
      </c>
      <c r="I3857" s="5" t="s">
        <v>233</v>
      </c>
    </row>
    <row r="3858" spans="1:9" ht="51.75" customHeight="1">
      <c r="A3858" s="5">
        <v>4</v>
      </c>
      <c r="B3858" s="5" t="s">
        <v>34266</v>
      </c>
      <c r="C3858" s="5" t="s">
        <v>34267</v>
      </c>
      <c r="D3858" s="246">
        <v>39386</v>
      </c>
      <c r="E3858" s="5" t="s">
        <v>34268</v>
      </c>
      <c r="F3858" s="26" t="s">
        <v>23600</v>
      </c>
      <c r="G3858" s="27" t="s">
        <v>1010</v>
      </c>
      <c r="H3858" s="28" t="s">
        <v>1011</v>
      </c>
      <c r="I3858" s="5" t="s">
        <v>233</v>
      </c>
    </row>
    <row r="3859" spans="1:9" ht="51.75" customHeight="1">
      <c r="A3859" s="5">
        <v>5</v>
      </c>
      <c r="B3859" s="5" t="s">
        <v>34269</v>
      </c>
      <c r="C3859" s="5" t="s">
        <v>34270</v>
      </c>
      <c r="D3859" s="246">
        <v>39386</v>
      </c>
      <c r="E3859" s="5" t="s">
        <v>34271</v>
      </c>
      <c r="F3859" s="26" t="s">
        <v>23600</v>
      </c>
      <c r="G3859" s="27" t="s">
        <v>1010</v>
      </c>
      <c r="H3859" s="28" t="s">
        <v>1011</v>
      </c>
      <c r="I3859" s="5" t="s">
        <v>233</v>
      </c>
    </row>
    <row r="3860" spans="1:9" ht="51.75" customHeight="1">
      <c r="A3860" s="5">
        <v>6</v>
      </c>
      <c r="B3860" s="5" t="s">
        <v>34272</v>
      </c>
      <c r="C3860" s="5" t="s">
        <v>34273</v>
      </c>
      <c r="D3860" s="246">
        <v>39386</v>
      </c>
      <c r="E3860" s="5" t="s">
        <v>34274</v>
      </c>
      <c r="F3860" s="26" t="s">
        <v>23600</v>
      </c>
      <c r="G3860" s="27" t="s">
        <v>1010</v>
      </c>
      <c r="H3860" s="28" t="s">
        <v>1011</v>
      </c>
      <c r="I3860" s="5" t="s">
        <v>233</v>
      </c>
    </row>
    <row r="3861" spans="1:9" ht="51.75" customHeight="1">
      <c r="A3861" s="5">
        <v>7</v>
      </c>
      <c r="B3861" s="5" t="s">
        <v>34275</v>
      </c>
      <c r="C3861" s="5" t="s">
        <v>34276</v>
      </c>
      <c r="D3861" s="246">
        <v>39386</v>
      </c>
      <c r="E3861" s="5" t="s">
        <v>34277</v>
      </c>
      <c r="F3861" s="26" t="s">
        <v>23600</v>
      </c>
      <c r="G3861" s="27" t="s">
        <v>1010</v>
      </c>
      <c r="H3861" s="28" t="s">
        <v>1011</v>
      </c>
      <c r="I3861" s="5" t="s">
        <v>233</v>
      </c>
    </row>
    <row r="3862" spans="1:9" ht="51.75" customHeight="1">
      <c r="A3862" s="5">
        <v>8</v>
      </c>
      <c r="B3862" s="5" t="s">
        <v>34278</v>
      </c>
      <c r="C3862" s="5" t="s">
        <v>34279</v>
      </c>
      <c r="D3862" s="246">
        <v>39386</v>
      </c>
      <c r="E3862" s="5" t="s">
        <v>34280</v>
      </c>
      <c r="F3862" s="26" t="s">
        <v>23600</v>
      </c>
      <c r="G3862" s="27" t="s">
        <v>1010</v>
      </c>
      <c r="H3862" s="28" t="s">
        <v>1011</v>
      </c>
      <c r="I3862" s="5" t="s">
        <v>233</v>
      </c>
    </row>
    <row r="3863" spans="1:9" ht="51.75" customHeight="1">
      <c r="A3863" s="5">
        <v>9</v>
      </c>
      <c r="B3863" s="5" t="s">
        <v>34281</v>
      </c>
      <c r="C3863" s="5" t="s">
        <v>34282</v>
      </c>
      <c r="D3863" s="246">
        <v>39386</v>
      </c>
      <c r="E3863" s="5" t="s">
        <v>34283</v>
      </c>
      <c r="F3863" s="26" t="s">
        <v>23600</v>
      </c>
      <c r="G3863" s="27" t="s">
        <v>1010</v>
      </c>
      <c r="H3863" s="28" t="s">
        <v>1011</v>
      </c>
      <c r="I3863" s="5" t="s">
        <v>233</v>
      </c>
    </row>
    <row r="3864" spans="1:9" ht="51.75" customHeight="1">
      <c r="A3864" s="5">
        <v>10</v>
      </c>
      <c r="B3864" s="5" t="s">
        <v>34284</v>
      </c>
      <c r="C3864" s="5" t="s">
        <v>34285</v>
      </c>
      <c r="D3864" s="246">
        <v>39386</v>
      </c>
      <c r="E3864" s="5" t="s">
        <v>34286</v>
      </c>
      <c r="F3864" s="26" t="s">
        <v>23600</v>
      </c>
      <c r="G3864" s="27" t="s">
        <v>1010</v>
      </c>
      <c r="H3864" s="28" t="s">
        <v>1011</v>
      </c>
      <c r="I3864" s="5" t="s">
        <v>233</v>
      </c>
    </row>
    <row r="3865" spans="1:9" ht="51.75" customHeight="1">
      <c r="A3865" s="5" t="s">
        <v>28628</v>
      </c>
      <c r="B3865" s="5" t="s">
        <v>34287</v>
      </c>
      <c r="C3865" s="5" t="s">
        <v>34288</v>
      </c>
      <c r="D3865" s="246">
        <v>39386</v>
      </c>
      <c r="E3865" s="5" t="s">
        <v>34289</v>
      </c>
      <c r="F3865" s="26" t="s">
        <v>23600</v>
      </c>
      <c r="G3865" s="27" t="s">
        <v>1010</v>
      </c>
      <c r="H3865" s="28" t="s">
        <v>1011</v>
      </c>
      <c r="I3865" s="5" t="s">
        <v>233</v>
      </c>
    </row>
    <row r="3866" spans="1:9" ht="51.75" customHeight="1">
      <c r="A3866" s="5" t="s">
        <v>28631</v>
      </c>
      <c r="B3866" s="5" t="s">
        <v>34290</v>
      </c>
      <c r="C3866" s="5" t="s">
        <v>34291</v>
      </c>
      <c r="D3866" s="246">
        <v>39386</v>
      </c>
      <c r="E3866" s="5" t="s">
        <v>34292</v>
      </c>
      <c r="F3866" s="26" t="s">
        <v>23600</v>
      </c>
      <c r="G3866" s="27" t="s">
        <v>1010</v>
      </c>
      <c r="H3866" s="28" t="s">
        <v>1011</v>
      </c>
      <c r="I3866" s="5" t="s">
        <v>233</v>
      </c>
    </row>
    <row r="3867" spans="1:9" ht="51.75" customHeight="1">
      <c r="A3867" s="5" t="s">
        <v>28634</v>
      </c>
      <c r="B3867" s="5" t="s">
        <v>34293</v>
      </c>
      <c r="C3867" s="5" t="s">
        <v>34294</v>
      </c>
      <c r="D3867" s="246">
        <v>39386</v>
      </c>
      <c r="E3867" s="5" t="s">
        <v>34295</v>
      </c>
      <c r="F3867" s="26" t="s">
        <v>23600</v>
      </c>
      <c r="G3867" s="27" t="s">
        <v>1010</v>
      </c>
      <c r="H3867" s="28" t="s">
        <v>1011</v>
      </c>
      <c r="I3867" s="5" t="s">
        <v>233</v>
      </c>
    </row>
    <row r="3868" spans="1:9" ht="51.75" customHeight="1">
      <c r="A3868" s="5" t="s">
        <v>28637</v>
      </c>
      <c r="B3868" s="5" t="s">
        <v>34296</v>
      </c>
      <c r="C3868" s="5" t="s">
        <v>34297</v>
      </c>
      <c r="D3868" s="246">
        <v>39386</v>
      </c>
      <c r="E3868" s="5" t="s">
        <v>34298</v>
      </c>
      <c r="F3868" s="26" t="s">
        <v>23600</v>
      </c>
      <c r="G3868" s="27" t="s">
        <v>1010</v>
      </c>
      <c r="H3868" s="28" t="s">
        <v>1011</v>
      </c>
      <c r="I3868" s="5" t="s">
        <v>233</v>
      </c>
    </row>
    <row r="3869" spans="1:9" ht="51.75" customHeight="1">
      <c r="A3869" s="5" t="s">
        <v>28640</v>
      </c>
      <c r="B3869" s="5" t="s">
        <v>34299</v>
      </c>
      <c r="C3869" s="5" t="s">
        <v>34300</v>
      </c>
      <c r="D3869" s="246">
        <v>39386</v>
      </c>
      <c r="E3869" s="5" t="s">
        <v>34301</v>
      </c>
      <c r="F3869" s="26" t="s">
        <v>23600</v>
      </c>
      <c r="G3869" s="27" t="s">
        <v>1010</v>
      </c>
      <c r="H3869" s="28" t="s">
        <v>1011</v>
      </c>
      <c r="I3869" s="5" t="s">
        <v>233</v>
      </c>
    </row>
    <row r="3870" spans="1:9" ht="51.75" customHeight="1">
      <c r="A3870" s="5" t="s">
        <v>23832</v>
      </c>
      <c r="B3870" s="5" t="s">
        <v>34302</v>
      </c>
      <c r="C3870" s="5" t="s">
        <v>34303</v>
      </c>
      <c r="D3870" s="246">
        <v>39386</v>
      </c>
      <c r="E3870" s="5" t="s">
        <v>34304</v>
      </c>
      <c r="F3870" s="26" t="s">
        <v>23600</v>
      </c>
      <c r="G3870" s="27" t="s">
        <v>1010</v>
      </c>
      <c r="H3870" s="28" t="s">
        <v>1011</v>
      </c>
      <c r="I3870" s="5" t="s">
        <v>233</v>
      </c>
    </row>
    <row r="3871" spans="1:9" ht="51.75" customHeight="1">
      <c r="A3871" s="5">
        <v>1</v>
      </c>
      <c r="B3871" s="5" t="s">
        <v>34305</v>
      </c>
      <c r="C3871" s="5" t="s">
        <v>34306</v>
      </c>
      <c r="D3871" s="246">
        <v>39029</v>
      </c>
      <c r="E3871" s="5" t="s">
        <v>34307</v>
      </c>
      <c r="F3871" s="26"/>
      <c r="G3871" s="27" t="s">
        <v>1218</v>
      </c>
      <c r="H3871" s="28" t="s">
        <v>1219</v>
      </c>
      <c r="I3871" s="5" t="s">
        <v>233</v>
      </c>
    </row>
    <row r="3872" spans="1:9" ht="51.75" customHeight="1">
      <c r="A3872" s="5">
        <v>2</v>
      </c>
      <c r="B3872" s="5" t="s">
        <v>34308</v>
      </c>
      <c r="C3872" s="5" t="s">
        <v>34309</v>
      </c>
      <c r="D3872" s="246">
        <v>39029</v>
      </c>
      <c r="E3872" s="5" t="s">
        <v>34310</v>
      </c>
      <c r="F3872" s="26"/>
      <c r="G3872" s="27" t="s">
        <v>1218</v>
      </c>
      <c r="H3872" s="28" t="s">
        <v>1219</v>
      </c>
      <c r="I3872" s="5" t="s">
        <v>233</v>
      </c>
    </row>
    <row r="3873" spans="1:9" ht="51.75" customHeight="1">
      <c r="A3873" s="5">
        <v>3</v>
      </c>
      <c r="B3873" s="5" t="s">
        <v>34311</v>
      </c>
      <c r="C3873" s="5" t="s">
        <v>34312</v>
      </c>
      <c r="D3873" s="246">
        <v>39029</v>
      </c>
      <c r="E3873" s="5" t="s">
        <v>34313</v>
      </c>
      <c r="F3873" s="26"/>
      <c r="G3873" s="27" t="s">
        <v>1218</v>
      </c>
      <c r="H3873" s="28" t="s">
        <v>1219</v>
      </c>
      <c r="I3873" s="5" t="s">
        <v>233</v>
      </c>
    </row>
    <row r="3874" spans="1:9" ht="51.75" customHeight="1">
      <c r="A3874" s="5">
        <v>4</v>
      </c>
      <c r="B3874" s="5" t="s">
        <v>34314</v>
      </c>
      <c r="C3874" s="5" t="s">
        <v>34315</v>
      </c>
      <c r="D3874" s="246">
        <v>39029</v>
      </c>
      <c r="E3874" s="5" t="s">
        <v>34316</v>
      </c>
      <c r="F3874" s="26"/>
      <c r="G3874" s="27" t="s">
        <v>1218</v>
      </c>
      <c r="H3874" s="28" t="s">
        <v>1219</v>
      </c>
      <c r="I3874" s="5" t="s">
        <v>233</v>
      </c>
    </row>
    <row r="3875" spans="1:9" ht="51.75" customHeight="1">
      <c r="A3875" s="5" t="s">
        <v>25194</v>
      </c>
      <c r="B3875" s="5" t="s">
        <v>34317</v>
      </c>
      <c r="C3875" s="5" t="s">
        <v>34318</v>
      </c>
      <c r="D3875" s="246">
        <v>41179</v>
      </c>
      <c r="E3875" s="5" t="s">
        <v>34319</v>
      </c>
      <c r="F3875" s="26" t="s">
        <v>23600</v>
      </c>
      <c r="G3875" s="27" t="s">
        <v>5967</v>
      </c>
      <c r="H3875" s="28" t="s">
        <v>5968</v>
      </c>
      <c r="I3875" s="5" t="s">
        <v>233</v>
      </c>
    </row>
    <row r="3876" spans="1:9" ht="51.75" customHeight="1">
      <c r="A3876" s="5" t="s">
        <v>25198</v>
      </c>
      <c r="B3876" s="5" t="s">
        <v>34320</v>
      </c>
      <c r="C3876" s="5" t="s">
        <v>34321</v>
      </c>
      <c r="D3876" s="246">
        <v>41179</v>
      </c>
      <c r="E3876" s="5" t="s">
        <v>34322</v>
      </c>
      <c r="F3876" s="26" t="s">
        <v>23600</v>
      </c>
      <c r="G3876" s="27" t="s">
        <v>5967</v>
      </c>
      <c r="H3876" s="28" t="s">
        <v>5968</v>
      </c>
      <c r="I3876" s="5" t="s">
        <v>233</v>
      </c>
    </row>
    <row r="3877" spans="1:9" ht="51.75" customHeight="1">
      <c r="A3877" s="5" t="s">
        <v>28158</v>
      </c>
      <c r="B3877" s="5" t="s">
        <v>34323</v>
      </c>
      <c r="C3877" s="5" t="s">
        <v>34324</v>
      </c>
      <c r="D3877" s="246">
        <v>41179</v>
      </c>
      <c r="E3877" s="5" t="s">
        <v>34325</v>
      </c>
      <c r="F3877" s="26" t="s">
        <v>23600</v>
      </c>
      <c r="G3877" s="27" t="s">
        <v>5967</v>
      </c>
      <c r="H3877" s="28" t="s">
        <v>5968</v>
      </c>
      <c r="I3877" s="5" t="s">
        <v>233</v>
      </c>
    </row>
    <row r="3878" spans="1:9" ht="51.75" customHeight="1">
      <c r="A3878" s="5" t="s">
        <v>23712</v>
      </c>
      <c r="B3878" s="5" t="s">
        <v>34326</v>
      </c>
      <c r="C3878" s="5" t="s">
        <v>34327</v>
      </c>
      <c r="D3878" s="246">
        <v>41179</v>
      </c>
      <c r="E3878" s="5" t="s">
        <v>34328</v>
      </c>
      <c r="F3878" s="26" t="s">
        <v>23600</v>
      </c>
      <c r="G3878" s="27" t="s">
        <v>5967</v>
      </c>
      <c r="H3878" s="28" t="s">
        <v>5968</v>
      </c>
      <c r="I3878" s="5" t="s">
        <v>233</v>
      </c>
    </row>
    <row r="3879" spans="1:9" ht="51.75" customHeight="1">
      <c r="A3879" s="5" t="s">
        <v>28165</v>
      </c>
      <c r="B3879" s="5" t="s">
        <v>34329</v>
      </c>
      <c r="C3879" s="5" t="s">
        <v>34330</v>
      </c>
      <c r="D3879" s="246">
        <v>41179</v>
      </c>
      <c r="E3879" s="5" t="s">
        <v>34331</v>
      </c>
      <c r="F3879" s="26" t="s">
        <v>23600</v>
      </c>
      <c r="G3879" s="27" t="s">
        <v>5967</v>
      </c>
      <c r="H3879" s="28" t="s">
        <v>5968</v>
      </c>
      <c r="I3879" s="5" t="s">
        <v>233</v>
      </c>
    </row>
    <row r="3880" spans="1:9" ht="51.75" customHeight="1">
      <c r="A3880" s="5" t="s">
        <v>23708</v>
      </c>
      <c r="B3880" s="5" t="s">
        <v>34332</v>
      </c>
      <c r="C3880" s="5" t="s">
        <v>34333</v>
      </c>
      <c r="D3880" s="246">
        <v>41179</v>
      </c>
      <c r="E3880" s="5" t="s">
        <v>34334</v>
      </c>
      <c r="F3880" s="26" t="s">
        <v>23600</v>
      </c>
      <c r="G3880" s="27" t="s">
        <v>5967</v>
      </c>
      <c r="H3880" s="28" t="s">
        <v>5968</v>
      </c>
      <c r="I3880" s="5" t="s">
        <v>233</v>
      </c>
    </row>
    <row r="3881" spans="1:9" ht="51.75" customHeight="1">
      <c r="A3881" s="5" t="s">
        <v>23700</v>
      </c>
      <c r="B3881" s="5" t="s">
        <v>34335</v>
      </c>
      <c r="C3881" s="5" t="s">
        <v>34336</v>
      </c>
      <c r="D3881" s="246">
        <v>41179</v>
      </c>
      <c r="E3881" s="5" t="s">
        <v>34337</v>
      </c>
      <c r="F3881" s="26" t="s">
        <v>23600</v>
      </c>
      <c r="G3881" s="27" t="s">
        <v>5967</v>
      </c>
      <c r="H3881" s="28" t="s">
        <v>5968</v>
      </c>
      <c r="I3881" s="5" t="s">
        <v>233</v>
      </c>
    </row>
    <row r="3882" spans="1:9" ht="51.75" customHeight="1">
      <c r="A3882" s="5">
        <v>1</v>
      </c>
      <c r="B3882" s="5" t="s">
        <v>34338</v>
      </c>
      <c r="C3882" s="5" t="s">
        <v>34339</v>
      </c>
      <c r="D3882" s="246">
        <v>40905</v>
      </c>
      <c r="E3882" s="5" t="s">
        <v>34340</v>
      </c>
      <c r="F3882" s="26"/>
      <c r="G3882" s="27" t="s">
        <v>5891</v>
      </c>
      <c r="H3882" s="28" t="s">
        <v>5892</v>
      </c>
      <c r="I3882" s="5" t="s">
        <v>233</v>
      </c>
    </row>
    <row r="3883" spans="1:9" ht="51.75" customHeight="1">
      <c r="A3883" s="5">
        <v>2</v>
      </c>
      <c r="B3883" s="5" t="s">
        <v>34341</v>
      </c>
      <c r="C3883" s="5" t="s">
        <v>34342</v>
      </c>
      <c r="D3883" s="246">
        <v>40905</v>
      </c>
      <c r="E3883" s="5" t="s">
        <v>34343</v>
      </c>
      <c r="F3883" s="26"/>
      <c r="G3883" s="27" t="s">
        <v>5891</v>
      </c>
      <c r="H3883" s="28" t="s">
        <v>5892</v>
      </c>
      <c r="I3883" s="5" t="s">
        <v>233</v>
      </c>
    </row>
    <row r="3884" spans="1:9" ht="51.75" customHeight="1">
      <c r="A3884" s="5">
        <v>3</v>
      </c>
      <c r="B3884" s="5" t="s">
        <v>34344</v>
      </c>
      <c r="C3884" s="5" t="s">
        <v>34345</v>
      </c>
      <c r="D3884" s="246">
        <v>40905</v>
      </c>
      <c r="E3884" s="5" t="s">
        <v>34346</v>
      </c>
      <c r="F3884" s="26"/>
      <c r="G3884" s="27" t="s">
        <v>5891</v>
      </c>
      <c r="H3884" s="28" t="s">
        <v>5892</v>
      </c>
      <c r="I3884" s="5" t="s">
        <v>233</v>
      </c>
    </row>
    <row r="3885" spans="1:9" ht="51.75" customHeight="1">
      <c r="A3885" s="5" t="s">
        <v>26606</v>
      </c>
      <c r="B3885" s="5" t="s">
        <v>34347</v>
      </c>
      <c r="C3885" s="5" t="s">
        <v>31210</v>
      </c>
      <c r="D3885" s="246" t="s">
        <v>68</v>
      </c>
      <c r="E3885" s="5" t="s">
        <v>34348</v>
      </c>
      <c r="F3885" s="26" t="s">
        <v>23600</v>
      </c>
      <c r="G3885" s="27" t="s">
        <v>5946</v>
      </c>
      <c r="H3885" s="28" t="s">
        <v>5947</v>
      </c>
      <c r="I3885" s="5" t="s">
        <v>233</v>
      </c>
    </row>
    <row r="3886" spans="1:9" ht="51.75" customHeight="1">
      <c r="A3886" s="5" t="s">
        <v>23764</v>
      </c>
      <c r="B3886" s="5" t="s">
        <v>34349</v>
      </c>
      <c r="C3886" s="5" t="s">
        <v>31213</v>
      </c>
      <c r="D3886" s="246" t="s">
        <v>68</v>
      </c>
      <c r="E3886" s="5" t="s">
        <v>34350</v>
      </c>
      <c r="F3886" s="26" t="s">
        <v>23600</v>
      </c>
      <c r="G3886" s="27" t="s">
        <v>5946</v>
      </c>
      <c r="H3886" s="28" t="s">
        <v>5947</v>
      </c>
      <c r="I3886" s="5" t="s">
        <v>233</v>
      </c>
    </row>
    <row r="3887" spans="1:9" ht="51.75" customHeight="1">
      <c r="A3887" s="5" t="s">
        <v>24993</v>
      </c>
      <c r="B3887" s="5" t="s">
        <v>34351</v>
      </c>
      <c r="C3887" s="5" t="s">
        <v>31216</v>
      </c>
      <c r="D3887" s="246" t="s">
        <v>68</v>
      </c>
      <c r="E3887" s="5" t="s">
        <v>34352</v>
      </c>
      <c r="F3887" s="26" t="s">
        <v>23600</v>
      </c>
      <c r="G3887" s="27" t="s">
        <v>5946</v>
      </c>
      <c r="H3887" s="28" t="s">
        <v>5947</v>
      </c>
      <c r="I3887" s="5" t="s">
        <v>233</v>
      </c>
    </row>
    <row r="3888" spans="1:9" ht="51.75" customHeight="1">
      <c r="A3888" s="5" t="s">
        <v>23952</v>
      </c>
      <c r="B3888" s="5" t="s">
        <v>34353</v>
      </c>
      <c r="C3888" s="5" t="s">
        <v>31219</v>
      </c>
      <c r="D3888" s="246" t="s">
        <v>68</v>
      </c>
      <c r="E3888" s="5" t="s">
        <v>34354</v>
      </c>
      <c r="F3888" s="26" t="s">
        <v>23600</v>
      </c>
      <c r="G3888" s="27" t="s">
        <v>5946</v>
      </c>
      <c r="H3888" s="28" t="s">
        <v>5947</v>
      </c>
      <c r="I3888" s="5" t="s">
        <v>233</v>
      </c>
    </row>
    <row r="3889" spans="1:9" ht="51.75" customHeight="1">
      <c r="A3889" s="5" t="s">
        <v>24681</v>
      </c>
      <c r="B3889" s="5" t="s">
        <v>34355</v>
      </c>
      <c r="C3889" s="5" t="s">
        <v>31222</v>
      </c>
      <c r="D3889" s="246" t="s">
        <v>68</v>
      </c>
      <c r="E3889" s="5" t="s">
        <v>34356</v>
      </c>
      <c r="F3889" s="26" t="s">
        <v>23600</v>
      </c>
      <c r="G3889" s="27" t="s">
        <v>5946</v>
      </c>
      <c r="H3889" s="28" t="s">
        <v>5947</v>
      </c>
      <c r="I3889" s="5" t="s">
        <v>233</v>
      </c>
    </row>
    <row r="3890" spans="1:9" ht="51.75" customHeight="1">
      <c r="A3890" s="5" t="s">
        <v>24685</v>
      </c>
      <c r="B3890" s="5" t="s">
        <v>34357</v>
      </c>
      <c r="C3890" s="5" t="s">
        <v>31225</v>
      </c>
      <c r="D3890" s="246" t="s">
        <v>68</v>
      </c>
      <c r="E3890" s="5" t="s">
        <v>34358</v>
      </c>
      <c r="F3890" s="26" t="s">
        <v>23600</v>
      </c>
      <c r="G3890" s="27" t="s">
        <v>5946</v>
      </c>
      <c r="H3890" s="28" t="s">
        <v>5947</v>
      </c>
      <c r="I3890" s="5" t="s">
        <v>233</v>
      </c>
    </row>
    <row r="3891" spans="1:9" ht="51.75" customHeight="1">
      <c r="A3891" s="5">
        <v>1</v>
      </c>
      <c r="B3891" s="5" t="s">
        <v>34359</v>
      </c>
      <c r="C3891" s="5" t="s">
        <v>34360</v>
      </c>
      <c r="D3891" s="246">
        <v>40997</v>
      </c>
      <c r="E3891" s="5" t="s">
        <v>34361</v>
      </c>
      <c r="F3891" s="26"/>
      <c r="G3891" s="27" t="s">
        <v>5924</v>
      </c>
      <c r="H3891" s="28" t="s">
        <v>5925</v>
      </c>
      <c r="I3891" s="5" t="s">
        <v>233</v>
      </c>
    </row>
    <row r="3892" spans="1:9" ht="51.75" customHeight="1">
      <c r="A3892" s="5">
        <v>2</v>
      </c>
      <c r="B3892" s="5" t="s">
        <v>34362</v>
      </c>
      <c r="C3892" s="5" t="s">
        <v>34363</v>
      </c>
      <c r="D3892" s="246">
        <v>40997</v>
      </c>
      <c r="E3892" s="5" t="s">
        <v>34364</v>
      </c>
      <c r="F3892" s="26"/>
      <c r="G3892" s="27" t="s">
        <v>5924</v>
      </c>
      <c r="H3892" s="28" t="s">
        <v>5925</v>
      </c>
      <c r="I3892" s="5" t="s">
        <v>233</v>
      </c>
    </row>
    <row r="3893" spans="1:9" ht="51.75" customHeight="1">
      <c r="A3893" s="5">
        <v>3</v>
      </c>
      <c r="B3893" s="5" t="s">
        <v>34365</v>
      </c>
      <c r="C3893" s="5" t="s">
        <v>34366</v>
      </c>
      <c r="D3893" s="246">
        <v>40997</v>
      </c>
      <c r="E3893" s="5" t="s">
        <v>34367</v>
      </c>
      <c r="F3893" s="26"/>
      <c r="G3893" s="27" t="s">
        <v>5924</v>
      </c>
      <c r="H3893" s="28" t="s">
        <v>5925</v>
      </c>
      <c r="I3893" s="5" t="s">
        <v>233</v>
      </c>
    </row>
    <row r="3894" spans="1:9" ht="51.75" customHeight="1">
      <c r="A3894" s="5">
        <v>1</v>
      </c>
      <c r="B3894" s="5" t="s">
        <v>34368</v>
      </c>
      <c r="C3894" s="5" t="s">
        <v>34369</v>
      </c>
      <c r="D3894" s="246">
        <v>40969</v>
      </c>
      <c r="E3894" s="5" t="s">
        <v>34370</v>
      </c>
      <c r="F3894" s="26"/>
      <c r="G3894" s="27" t="s">
        <v>5849</v>
      </c>
      <c r="H3894" s="28" t="s">
        <v>5850</v>
      </c>
      <c r="I3894" s="5" t="s">
        <v>233</v>
      </c>
    </row>
    <row r="3895" spans="1:9" ht="51.75" customHeight="1">
      <c r="A3895" s="5">
        <v>2</v>
      </c>
      <c r="B3895" s="5" t="s">
        <v>34371</v>
      </c>
      <c r="C3895" s="5" t="s">
        <v>34372</v>
      </c>
      <c r="D3895" s="246">
        <v>40969</v>
      </c>
      <c r="E3895" s="5" t="s">
        <v>34373</v>
      </c>
      <c r="F3895" s="26"/>
      <c r="G3895" s="27" t="s">
        <v>5849</v>
      </c>
      <c r="H3895" s="28" t="s">
        <v>5850</v>
      </c>
      <c r="I3895" s="5" t="s">
        <v>233</v>
      </c>
    </row>
    <row r="3896" spans="1:9" ht="51.75" customHeight="1">
      <c r="A3896" s="5">
        <v>3</v>
      </c>
      <c r="B3896" s="5" t="s">
        <v>34374</v>
      </c>
      <c r="C3896" s="5" t="s">
        <v>34375</v>
      </c>
      <c r="D3896" s="246">
        <v>40969</v>
      </c>
      <c r="E3896" s="5" t="s">
        <v>34376</v>
      </c>
      <c r="F3896" s="26"/>
      <c r="G3896" s="27" t="s">
        <v>5849</v>
      </c>
      <c r="H3896" s="28" t="s">
        <v>5850</v>
      </c>
      <c r="I3896" s="5" t="s">
        <v>233</v>
      </c>
    </row>
    <row r="3897" spans="1:9" ht="51.75" customHeight="1">
      <c r="A3897" s="5">
        <v>4</v>
      </c>
      <c r="B3897" s="5" t="s">
        <v>34377</v>
      </c>
      <c r="C3897" s="5" t="s">
        <v>34378</v>
      </c>
      <c r="D3897" s="246">
        <v>40969</v>
      </c>
      <c r="E3897" s="5" t="s">
        <v>34379</v>
      </c>
      <c r="F3897" s="26"/>
      <c r="G3897" s="27" t="s">
        <v>5849</v>
      </c>
      <c r="H3897" s="28" t="s">
        <v>5850</v>
      </c>
      <c r="I3897" s="5" t="s">
        <v>233</v>
      </c>
    </row>
    <row r="3898" spans="1:9" ht="51.75" customHeight="1">
      <c r="A3898" s="5">
        <v>5</v>
      </c>
      <c r="B3898" s="5" t="s">
        <v>34380</v>
      </c>
      <c r="C3898" s="5" t="s">
        <v>34381</v>
      </c>
      <c r="D3898" s="246">
        <v>40969</v>
      </c>
      <c r="E3898" s="5" t="s">
        <v>34382</v>
      </c>
      <c r="F3898" s="26"/>
      <c r="G3898" s="27" t="s">
        <v>5849</v>
      </c>
      <c r="H3898" s="28" t="s">
        <v>5850</v>
      </c>
      <c r="I3898" s="5" t="s">
        <v>233</v>
      </c>
    </row>
    <row r="3899" spans="1:9" ht="51.75" customHeight="1">
      <c r="A3899" s="5">
        <v>1</v>
      </c>
      <c r="B3899" s="5" t="s">
        <v>34383</v>
      </c>
      <c r="C3899" s="5" t="s">
        <v>34384</v>
      </c>
      <c r="D3899" s="246">
        <v>40878</v>
      </c>
      <c r="E3899" s="5" t="s">
        <v>34385</v>
      </c>
      <c r="F3899" s="26"/>
      <c r="G3899" s="27" t="s">
        <v>5721</v>
      </c>
      <c r="H3899" s="28" t="s">
        <v>5722</v>
      </c>
      <c r="I3899" s="5" t="s">
        <v>233</v>
      </c>
    </row>
    <row r="3900" spans="1:9" ht="51.75" customHeight="1">
      <c r="A3900" s="5">
        <v>2</v>
      </c>
      <c r="B3900" s="5" t="s">
        <v>34386</v>
      </c>
      <c r="C3900" s="5" t="s">
        <v>34387</v>
      </c>
      <c r="D3900" s="246">
        <v>40878</v>
      </c>
      <c r="E3900" s="5" t="s">
        <v>34388</v>
      </c>
      <c r="F3900" s="26"/>
      <c r="G3900" s="27" t="s">
        <v>5721</v>
      </c>
      <c r="H3900" s="28" t="s">
        <v>5722</v>
      </c>
      <c r="I3900" s="5" t="s">
        <v>233</v>
      </c>
    </row>
    <row r="3901" spans="1:9" ht="51.75" customHeight="1">
      <c r="A3901" s="5">
        <v>3</v>
      </c>
      <c r="B3901" s="5" t="s">
        <v>34389</v>
      </c>
      <c r="C3901" s="5" t="s">
        <v>34390</v>
      </c>
      <c r="D3901" s="246">
        <v>40878</v>
      </c>
      <c r="E3901" s="5" t="s">
        <v>34391</v>
      </c>
      <c r="F3901" s="26"/>
      <c r="G3901" s="27" t="s">
        <v>5721</v>
      </c>
      <c r="H3901" s="28" t="s">
        <v>5722</v>
      </c>
      <c r="I3901" s="5" t="s">
        <v>233</v>
      </c>
    </row>
    <row r="3902" spans="1:9" ht="51.75" customHeight="1">
      <c r="A3902" s="5">
        <v>4</v>
      </c>
      <c r="B3902" s="5" t="s">
        <v>34392</v>
      </c>
      <c r="C3902" s="5" t="s">
        <v>34393</v>
      </c>
      <c r="D3902" s="246">
        <v>40878</v>
      </c>
      <c r="E3902" s="5" t="s">
        <v>34394</v>
      </c>
      <c r="F3902" s="26"/>
      <c r="G3902" s="27" t="s">
        <v>5721</v>
      </c>
      <c r="H3902" s="28" t="s">
        <v>5722</v>
      </c>
      <c r="I3902" s="5" t="s">
        <v>233</v>
      </c>
    </row>
    <row r="3903" spans="1:9" ht="51.75" customHeight="1">
      <c r="A3903" s="5">
        <v>5</v>
      </c>
      <c r="B3903" s="5" t="s">
        <v>34395</v>
      </c>
      <c r="C3903" s="5" t="s">
        <v>34396</v>
      </c>
      <c r="D3903" s="246">
        <v>40878</v>
      </c>
      <c r="E3903" s="5" t="s">
        <v>34397</v>
      </c>
      <c r="F3903" s="26"/>
      <c r="G3903" s="27" t="s">
        <v>5721</v>
      </c>
      <c r="H3903" s="28" t="s">
        <v>5722</v>
      </c>
      <c r="I3903" s="5" t="s">
        <v>233</v>
      </c>
    </row>
    <row r="3904" spans="1:9" ht="51.75" customHeight="1">
      <c r="A3904" s="5">
        <v>1</v>
      </c>
      <c r="B3904" s="5" t="s">
        <v>34398</v>
      </c>
      <c r="C3904" s="5" t="s">
        <v>34399</v>
      </c>
      <c r="D3904" s="246">
        <v>40841</v>
      </c>
      <c r="E3904" s="5" t="s">
        <v>34400</v>
      </c>
      <c r="F3904" s="26"/>
      <c r="G3904" s="27" t="s">
        <v>5744</v>
      </c>
      <c r="H3904" s="28" t="s">
        <v>5745</v>
      </c>
      <c r="I3904" s="5" t="s">
        <v>233</v>
      </c>
    </row>
    <row r="3905" spans="1:9" ht="51.75" customHeight="1">
      <c r="A3905" s="5">
        <v>2</v>
      </c>
      <c r="B3905" s="5" t="s">
        <v>34401</v>
      </c>
      <c r="C3905" s="5" t="s">
        <v>34402</v>
      </c>
      <c r="D3905" s="246">
        <v>40841</v>
      </c>
      <c r="E3905" s="5" t="s">
        <v>34403</v>
      </c>
      <c r="F3905" s="26"/>
      <c r="G3905" s="27" t="s">
        <v>5744</v>
      </c>
      <c r="H3905" s="28" t="s">
        <v>5745</v>
      </c>
      <c r="I3905" s="5" t="s">
        <v>233</v>
      </c>
    </row>
    <row r="3906" spans="1:9" ht="51.75" customHeight="1">
      <c r="A3906" s="5">
        <v>3</v>
      </c>
      <c r="B3906" s="5" t="s">
        <v>34404</v>
      </c>
      <c r="C3906" s="5" t="s">
        <v>34405</v>
      </c>
      <c r="D3906" s="246">
        <v>40841</v>
      </c>
      <c r="E3906" s="5" t="s">
        <v>34406</v>
      </c>
      <c r="F3906" s="26"/>
      <c r="G3906" s="27" t="s">
        <v>5744</v>
      </c>
      <c r="H3906" s="28" t="s">
        <v>5745</v>
      </c>
      <c r="I3906" s="5" t="s">
        <v>233</v>
      </c>
    </row>
    <row r="3907" spans="1:9" ht="51.75" customHeight="1">
      <c r="A3907" s="5">
        <v>4</v>
      </c>
      <c r="B3907" s="5" t="s">
        <v>34407</v>
      </c>
      <c r="C3907" s="5" t="s">
        <v>34408</v>
      </c>
      <c r="D3907" s="246">
        <v>40841</v>
      </c>
      <c r="E3907" s="5" t="s">
        <v>34409</v>
      </c>
      <c r="F3907" s="26"/>
      <c r="G3907" s="27" t="s">
        <v>5744</v>
      </c>
      <c r="H3907" s="28" t="s">
        <v>5745</v>
      </c>
      <c r="I3907" s="5" t="s">
        <v>233</v>
      </c>
    </row>
    <row r="3908" spans="1:9" ht="51.75" customHeight="1">
      <c r="A3908" s="5">
        <v>5</v>
      </c>
      <c r="B3908" s="5" t="s">
        <v>34410</v>
      </c>
      <c r="C3908" s="5" t="s">
        <v>34411</v>
      </c>
      <c r="D3908" s="246">
        <v>40841</v>
      </c>
      <c r="E3908" s="5" t="s">
        <v>34412</v>
      </c>
      <c r="F3908" s="26"/>
      <c r="G3908" s="27" t="s">
        <v>5744</v>
      </c>
      <c r="H3908" s="28" t="s">
        <v>5745</v>
      </c>
      <c r="I3908" s="5" t="s">
        <v>233</v>
      </c>
    </row>
    <row r="3909" spans="1:9" ht="51.75" customHeight="1">
      <c r="A3909" s="5">
        <v>1</v>
      </c>
      <c r="B3909" s="5" t="s">
        <v>34413</v>
      </c>
      <c r="C3909" s="5" t="s">
        <v>34414</v>
      </c>
      <c r="D3909" s="246">
        <v>40961</v>
      </c>
      <c r="E3909" s="5" t="s">
        <v>34415</v>
      </c>
      <c r="F3909" s="26"/>
      <c r="G3909" s="27" t="s">
        <v>5640</v>
      </c>
      <c r="H3909" s="28" t="s">
        <v>5641</v>
      </c>
      <c r="I3909" s="5" t="s">
        <v>233</v>
      </c>
    </row>
    <row r="3910" spans="1:9" ht="51.75" customHeight="1">
      <c r="A3910" s="5">
        <v>1</v>
      </c>
      <c r="B3910" s="5" t="s">
        <v>34416</v>
      </c>
      <c r="C3910" s="5" t="s">
        <v>34417</v>
      </c>
      <c r="D3910" s="246">
        <v>40829</v>
      </c>
      <c r="E3910" s="5" t="s">
        <v>34418</v>
      </c>
      <c r="F3910" s="26"/>
      <c r="G3910" s="27" t="s">
        <v>5608</v>
      </c>
      <c r="H3910" s="28" t="s">
        <v>5609</v>
      </c>
      <c r="I3910" s="5" t="s">
        <v>233</v>
      </c>
    </row>
    <row r="3911" spans="1:9" ht="51.75" customHeight="1">
      <c r="A3911" s="5">
        <v>2</v>
      </c>
      <c r="B3911" s="5" t="s">
        <v>34419</v>
      </c>
      <c r="C3911" s="5" t="s">
        <v>34420</v>
      </c>
      <c r="D3911" s="246">
        <v>40829</v>
      </c>
      <c r="E3911" s="5" t="s">
        <v>34421</v>
      </c>
      <c r="F3911" s="26"/>
      <c r="G3911" s="27" t="s">
        <v>5608</v>
      </c>
      <c r="H3911" s="28" t="s">
        <v>5609</v>
      </c>
      <c r="I3911" s="5" t="s">
        <v>233</v>
      </c>
    </row>
    <row r="3912" spans="1:9" ht="51.75" customHeight="1">
      <c r="A3912" s="5">
        <v>3</v>
      </c>
      <c r="B3912" s="5" t="s">
        <v>34422</v>
      </c>
      <c r="C3912" s="5" t="s">
        <v>34423</v>
      </c>
      <c r="D3912" s="246">
        <v>40829</v>
      </c>
      <c r="E3912" s="5" t="s">
        <v>34424</v>
      </c>
      <c r="F3912" s="26"/>
      <c r="G3912" s="27" t="s">
        <v>5608</v>
      </c>
      <c r="H3912" s="28" t="s">
        <v>5609</v>
      </c>
      <c r="I3912" s="5" t="s">
        <v>233</v>
      </c>
    </row>
    <row r="3913" spans="1:9" ht="51.75" customHeight="1">
      <c r="A3913" s="5">
        <v>4</v>
      </c>
      <c r="B3913" s="5" t="s">
        <v>34425</v>
      </c>
      <c r="C3913" s="5" t="s">
        <v>34426</v>
      </c>
      <c r="D3913" s="246">
        <v>40829</v>
      </c>
      <c r="E3913" s="5" t="s">
        <v>34427</v>
      </c>
      <c r="F3913" s="26"/>
      <c r="G3913" s="27" t="s">
        <v>5608</v>
      </c>
      <c r="H3913" s="28" t="s">
        <v>5609</v>
      </c>
      <c r="I3913" s="5" t="s">
        <v>233</v>
      </c>
    </row>
    <row r="3914" spans="1:9" ht="51.75" customHeight="1">
      <c r="A3914" s="5">
        <v>5</v>
      </c>
      <c r="B3914" s="5" t="s">
        <v>34428</v>
      </c>
      <c r="C3914" s="5" t="s">
        <v>34429</v>
      </c>
      <c r="D3914" s="246">
        <v>40829</v>
      </c>
      <c r="E3914" s="5" t="s">
        <v>34430</v>
      </c>
      <c r="F3914" s="26"/>
      <c r="G3914" s="27" t="s">
        <v>5608</v>
      </c>
      <c r="H3914" s="28" t="s">
        <v>5609</v>
      </c>
      <c r="I3914" s="5" t="s">
        <v>233</v>
      </c>
    </row>
    <row r="3915" spans="1:9" ht="51.75" customHeight="1">
      <c r="A3915" s="5">
        <v>1</v>
      </c>
      <c r="B3915" s="5" t="s">
        <v>34431</v>
      </c>
      <c r="C3915" s="5" t="s">
        <v>34432</v>
      </c>
      <c r="D3915" s="246">
        <v>40865</v>
      </c>
      <c r="E3915" s="5" t="s">
        <v>34433</v>
      </c>
      <c r="F3915" s="26"/>
      <c r="G3915" s="27" t="s">
        <v>5460</v>
      </c>
      <c r="H3915" s="28" t="s">
        <v>5461</v>
      </c>
      <c r="I3915" s="5" t="s">
        <v>233</v>
      </c>
    </row>
    <row r="3916" spans="1:9" ht="51.75" customHeight="1">
      <c r="A3916" s="5">
        <v>2</v>
      </c>
      <c r="B3916" s="5" t="s">
        <v>34434</v>
      </c>
      <c r="C3916" s="5" t="s">
        <v>34435</v>
      </c>
      <c r="D3916" s="246">
        <v>40865</v>
      </c>
      <c r="E3916" s="5" t="s">
        <v>34436</v>
      </c>
      <c r="F3916" s="26"/>
      <c r="G3916" s="27" t="s">
        <v>5460</v>
      </c>
      <c r="H3916" s="28" t="s">
        <v>5461</v>
      </c>
      <c r="I3916" s="5" t="s">
        <v>233</v>
      </c>
    </row>
    <row r="3917" spans="1:9" ht="51.75" customHeight="1">
      <c r="A3917" s="5">
        <v>3</v>
      </c>
      <c r="B3917" s="5" t="s">
        <v>34437</v>
      </c>
      <c r="C3917" s="5" t="s">
        <v>34438</v>
      </c>
      <c r="D3917" s="246">
        <v>40865</v>
      </c>
      <c r="E3917" s="5" t="s">
        <v>34439</v>
      </c>
      <c r="F3917" s="26"/>
      <c r="G3917" s="27" t="s">
        <v>5460</v>
      </c>
      <c r="H3917" s="28" t="s">
        <v>5461</v>
      </c>
      <c r="I3917" s="5" t="s">
        <v>233</v>
      </c>
    </row>
    <row r="3918" spans="1:9" ht="51.75" customHeight="1">
      <c r="A3918" s="5">
        <v>1</v>
      </c>
      <c r="B3918" s="5" t="s">
        <v>34440</v>
      </c>
      <c r="C3918" s="5" t="s">
        <v>34441</v>
      </c>
      <c r="D3918" s="246">
        <v>40763</v>
      </c>
      <c r="E3918" s="5" t="s">
        <v>34442</v>
      </c>
      <c r="F3918" s="26"/>
      <c r="G3918" s="27" t="s">
        <v>5447</v>
      </c>
      <c r="H3918" s="28" t="s">
        <v>5448</v>
      </c>
      <c r="I3918" s="5" t="s">
        <v>233</v>
      </c>
    </row>
    <row r="3919" spans="1:9" ht="51.75" customHeight="1">
      <c r="A3919" s="5">
        <v>2</v>
      </c>
      <c r="B3919" s="5" t="s">
        <v>34443</v>
      </c>
      <c r="C3919" s="5" t="s">
        <v>34444</v>
      </c>
      <c r="D3919" s="246">
        <v>40763</v>
      </c>
      <c r="E3919" s="5" t="s">
        <v>34445</v>
      </c>
      <c r="F3919" s="26"/>
      <c r="G3919" s="27" t="s">
        <v>5447</v>
      </c>
      <c r="H3919" s="28" t="s">
        <v>5448</v>
      </c>
      <c r="I3919" s="5" t="s">
        <v>233</v>
      </c>
    </row>
    <row r="3920" spans="1:9" ht="51.75" customHeight="1">
      <c r="A3920" s="5">
        <v>3</v>
      </c>
      <c r="B3920" s="5" t="s">
        <v>34446</v>
      </c>
      <c r="C3920" s="5" t="s">
        <v>34447</v>
      </c>
      <c r="D3920" s="246">
        <v>40763</v>
      </c>
      <c r="E3920" s="5" t="s">
        <v>34448</v>
      </c>
      <c r="F3920" s="26"/>
      <c r="G3920" s="27" t="s">
        <v>5447</v>
      </c>
      <c r="H3920" s="28" t="s">
        <v>5448</v>
      </c>
      <c r="I3920" s="5" t="s">
        <v>233</v>
      </c>
    </row>
    <row r="3921" spans="1:9" ht="51.75" customHeight="1">
      <c r="A3921" s="5">
        <v>4</v>
      </c>
      <c r="B3921" s="5" t="s">
        <v>34449</v>
      </c>
      <c r="C3921" s="5" t="s">
        <v>34450</v>
      </c>
      <c r="D3921" s="246">
        <v>40763</v>
      </c>
      <c r="E3921" s="5" t="s">
        <v>34451</v>
      </c>
      <c r="F3921" s="26"/>
      <c r="G3921" s="27" t="s">
        <v>5447</v>
      </c>
      <c r="H3921" s="28" t="s">
        <v>5448</v>
      </c>
      <c r="I3921" s="5" t="s">
        <v>233</v>
      </c>
    </row>
    <row r="3922" spans="1:9" ht="51.75" customHeight="1">
      <c r="A3922" s="5">
        <v>5</v>
      </c>
      <c r="B3922" s="5" t="s">
        <v>34452</v>
      </c>
      <c r="C3922" s="5" t="s">
        <v>34453</v>
      </c>
      <c r="D3922" s="246">
        <v>40763</v>
      </c>
      <c r="E3922" s="5" t="s">
        <v>34454</v>
      </c>
      <c r="F3922" s="26"/>
      <c r="G3922" s="27" t="s">
        <v>5447</v>
      </c>
      <c r="H3922" s="28" t="s">
        <v>5448</v>
      </c>
      <c r="I3922" s="5" t="s">
        <v>233</v>
      </c>
    </row>
    <row r="3923" spans="1:9" ht="51.75" customHeight="1">
      <c r="A3923" s="5">
        <v>1</v>
      </c>
      <c r="B3923" s="5" t="s">
        <v>34455</v>
      </c>
      <c r="C3923" s="5" t="s">
        <v>34456</v>
      </c>
      <c r="D3923" s="246">
        <v>40771</v>
      </c>
      <c r="E3923" s="5" t="s">
        <v>34457</v>
      </c>
      <c r="F3923" s="26"/>
      <c r="G3923" s="27" t="s">
        <v>5223</v>
      </c>
      <c r="H3923" s="28" t="s">
        <v>5224</v>
      </c>
      <c r="I3923" s="5" t="s">
        <v>233</v>
      </c>
    </row>
    <row r="3924" spans="1:9" ht="51.75" customHeight="1">
      <c r="A3924" s="5">
        <v>2</v>
      </c>
      <c r="B3924" s="5" t="s">
        <v>34458</v>
      </c>
      <c r="C3924" s="5" t="s">
        <v>34459</v>
      </c>
      <c r="D3924" s="246">
        <v>40771</v>
      </c>
      <c r="E3924" s="5" t="s">
        <v>34460</v>
      </c>
      <c r="F3924" s="26"/>
      <c r="G3924" s="27" t="s">
        <v>5223</v>
      </c>
      <c r="H3924" s="28" t="s">
        <v>5224</v>
      </c>
      <c r="I3924" s="5" t="s">
        <v>233</v>
      </c>
    </row>
    <row r="3925" spans="1:9" ht="51.75" customHeight="1">
      <c r="A3925" s="5">
        <v>3</v>
      </c>
      <c r="B3925" s="5" t="s">
        <v>34461</v>
      </c>
      <c r="C3925" s="5" t="s">
        <v>34462</v>
      </c>
      <c r="D3925" s="246">
        <v>40771</v>
      </c>
      <c r="E3925" s="5" t="s">
        <v>34463</v>
      </c>
      <c r="F3925" s="26"/>
      <c r="G3925" s="27" t="s">
        <v>5223</v>
      </c>
      <c r="H3925" s="28" t="s">
        <v>5224</v>
      </c>
      <c r="I3925" s="5" t="s">
        <v>233</v>
      </c>
    </row>
    <row r="3926" spans="1:9" ht="51.75" customHeight="1">
      <c r="A3926" s="5">
        <v>4</v>
      </c>
      <c r="B3926" s="5" t="s">
        <v>34464</v>
      </c>
      <c r="C3926" s="5" t="s">
        <v>34465</v>
      </c>
      <c r="D3926" s="246">
        <v>40771</v>
      </c>
      <c r="E3926" s="5" t="s">
        <v>34466</v>
      </c>
      <c r="F3926" s="26"/>
      <c r="G3926" s="27" t="s">
        <v>5223</v>
      </c>
      <c r="H3926" s="28" t="s">
        <v>5224</v>
      </c>
      <c r="I3926" s="5" t="s">
        <v>233</v>
      </c>
    </row>
    <row r="3927" spans="1:9" ht="51.75" customHeight="1">
      <c r="A3927" s="5" t="s">
        <v>30904</v>
      </c>
      <c r="B3927" s="5" t="s">
        <v>34467</v>
      </c>
      <c r="C3927" s="5" t="s">
        <v>34468</v>
      </c>
      <c r="D3927" s="246">
        <v>41477</v>
      </c>
      <c r="E3927" s="5" t="s">
        <v>34469</v>
      </c>
      <c r="F3927" s="26" t="s">
        <v>23600</v>
      </c>
      <c r="G3927" s="27" t="s">
        <v>7775</v>
      </c>
      <c r="H3927" s="28" t="s">
        <v>7776</v>
      </c>
      <c r="I3927" s="5" t="s">
        <v>233</v>
      </c>
    </row>
    <row r="3928" spans="1:9" ht="51.75" customHeight="1">
      <c r="A3928" s="5" t="s">
        <v>24550</v>
      </c>
      <c r="B3928" s="5" t="s">
        <v>34470</v>
      </c>
      <c r="C3928" s="5" t="s">
        <v>34471</v>
      </c>
      <c r="D3928" s="246">
        <v>41477</v>
      </c>
      <c r="E3928" s="5" t="s">
        <v>34472</v>
      </c>
      <c r="F3928" s="26" t="s">
        <v>23600</v>
      </c>
      <c r="G3928" s="27" t="s">
        <v>7775</v>
      </c>
      <c r="H3928" s="28" t="s">
        <v>7776</v>
      </c>
      <c r="I3928" s="5" t="s">
        <v>233</v>
      </c>
    </row>
    <row r="3929" spans="1:9" ht="51.75" customHeight="1">
      <c r="A3929" s="5" t="s">
        <v>24507</v>
      </c>
      <c r="B3929" s="5" t="s">
        <v>34473</v>
      </c>
      <c r="C3929" s="5" t="s">
        <v>34474</v>
      </c>
      <c r="D3929" s="246">
        <v>41477</v>
      </c>
      <c r="E3929" s="5" t="s">
        <v>34475</v>
      </c>
      <c r="F3929" s="26" t="s">
        <v>23600</v>
      </c>
      <c r="G3929" s="27" t="s">
        <v>7775</v>
      </c>
      <c r="H3929" s="28" t="s">
        <v>7776</v>
      </c>
      <c r="I3929" s="5" t="s">
        <v>233</v>
      </c>
    </row>
    <row r="3930" spans="1:9" ht="51.75" customHeight="1">
      <c r="A3930" s="5" t="s">
        <v>24511</v>
      </c>
      <c r="B3930" s="5" t="s">
        <v>34476</v>
      </c>
      <c r="C3930" s="5" t="s">
        <v>34477</v>
      </c>
      <c r="D3930" s="246">
        <v>41477</v>
      </c>
      <c r="E3930" s="5" t="s">
        <v>34478</v>
      </c>
      <c r="F3930" s="26" t="s">
        <v>23600</v>
      </c>
      <c r="G3930" s="27" t="s">
        <v>7775</v>
      </c>
      <c r="H3930" s="28" t="s">
        <v>7776</v>
      </c>
      <c r="I3930" s="5" t="s">
        <v>233</v>
      </c>
    </row>
    <row r="3931" spans="1:9" ht="51.75" customHeight="1">
      <c r="A3931" s="5" t="s">
        <v>25117</v>
      </c>
      <c r="B3931" s="5" t="s">
        <v>34479</v>
      </c>
      <c r="C3931" s="5" t="s">
        <v>34480</v>
      </c>
      <c r="D3931" s="246">
        <v>41494</v>
      </c>
      <c r="E3931" s="5" t="s">
        <v>34481</v>
      </c>
      <c r="F3931" s="26"/>
      <c r="G3931" s="27" t="s">
        <v>7875</v>
      </c>
      <c r="H3931" s="28" t="s">
        <v>7876</v>
      </c>
      <c r="I3931" s="5" t="s">
        <v>233</v>
      </c>
    </row>
    <row r="3932" spans="1:9" ht="51.75" customHeight="1">
      <c r="A3932" s="5" t="s">
        <v>25346</v>
      </c>
      <c r="B3932" s="5" t="s">
        <v>34482</v>
      </c>
      <c r="C3932" s="5" t="s">
        <v>34483</v>
      </c>
      <c r="D3932" s="246">
        <v>41494</v>
      </c>
      <c r="E3932" s="5" t="s">
        <v>34484</v>
      </c>
      <c r="F3932" s="26"/>
      <c r="G3932" s="27" t="s">
        <v>7875</v>
      </c>
      <c r="H3932" s="28" t="s">
        <v>7876</v>
      </c>
      <c r="I3932" s="5" t="s">
        <v>233</v>
      </c>
    </row>
    <row r="3933" spans="1:9" ht="51.75" customHeight="1">
      <c r="A3933" s="5" t="s">
        <v>29929</v>
      </c>
      <c r="B3933" s="5" t="s">
        <v>34485</v>
      </c>
      <c r="C3933" s="5" t="s">
        <v>34486</v>
      </c>
      <c r="D3933" s="246">
        <v>41494</v>
      </c>
      <c r="E3933" s="5" t="s">
        <v>34487</v>
      </c>
      <c r="F3933" s="26"/>
      <c r="G3933" s="27" t="s">
        <v>7875</v>
      </c>
      <c r="H3933" s="28" t="s">
        <v>7876</v>
      </c>
      <c r="I3933" s="5" t="s">
        <v>233</v>
      </c>
    </row>
    <row r="3934" spans="1:9" ht="51.75" customHeight="1">
      <c r="A3934" s="5" t="s">
        <v>28568</v>
      </c>
      <c r="B3934" s="5" t="s">
        <v>34488</v>
      </c>
      <c r="C3934" s="5" t="s">
        <v>34489</v>
      </c>
      <c r="D3934" s="246">
        <v>41550</v>
      </c>
      <c r="E3934" s="5" t="s">
        <v>34490</v>
      </c>
      <c r="F3934" s="26" t="s">
        <v>23600</v>
      </c>
      <c r="G3934" s="27" t="s">
        <v>7863</v>
      </c>
      <c r="H3934" s="28" t="s">
        <v>7864</v>
      </c>
      <c r="I3934" s="5" t="s">
        <v>233</v>
      </c>
    </row>
    <row r="3935" spans="1:9" ht="51.75" customHeight="1">
      <c r="A3935" s="5" t="s">
        <v>28574</v>
      </c>
      <c r="B3935" s="5" t="s">
        <v>34491</v>
      </c>
      <c r="C3935" s="5" t="s">
        <v>34492</v>
      </c>
      <c r="D3935" s="246">
        <v>41550</v>
      </c>
      <c r="E3935" s="5" t="s">
        <v>34493</v>
      </c>
      <c r="F3935" s="26" t="s">
        <v>23600</v>
      </c>
      <c r="G3935" s="27" t="s">
        <v>7863</v>
      </c>
      <c r="H3935" s="28" t="s">
        <v>7864</v>
      </c>
      <c r="I3935" s="5" t="s">
        <v>233</v>
      </c>
    </row>
    <row r="3936" spans="1:9" ht="51.75" customHeight="1">
      <c r="A3936" s="5" t="s">
        <v>24655</v>
      </c>
      <c r="B3936" s="5" t="s">
        <v>34494</v>
      </c>
      <c r="C3936" s="5" t="s">
        <v>34495</v>
      </c>
      <c r="D3936" s="246">
        <v>41550</v>
      </c>
      <c r="E3936" s="5" t="s">
        <v>34496</v>
      </c>
      <c r="F3936" s="26" t="s">
        <v>23600</v>
      </c>
      <c r="G3936" s="27" t="s">
        <v>7863</v>
      </c>
      <c r="H3936" s="28" t="s">
        <v>7864</v>
      </c>
      <c r="I3936" s="5" t="s">
        <v>233</v>
      </c>
    </row>
    <row r="3937" spans="1:9" ht="51.75" customHeight="1">
      <c r="A3937" s="5" t="s">
        <v>24659</v>
      </c>
      <c r="B3937" s="5" t="s">
        <v>34497</v>
      </c>
      <c r="C3937" s="5" t="s">
        <v>34498</v>
      </c>
      <c r="D3937" s="246">
        <v>41550</v>
      </c>
      <c r="E3937" s="5" t="s">
        <v>34499</v>
      </c>
      <c r="F3937" s="26" t="s">
        <v>23600</v>
      </c>
      <c r="G3937" s="27" t="s">
        <v>7863</v>
      </c>
      <c r="H3937" s="28" t="s">
        <v>7864</v>
      </c>
      <c r="I3937" s="5" t="s">
        <v>233</v>
      </c>
    </row>
    <row r="3938" spans="1:9" ht="51.75" customHeight="1">
      <c r="A3938" s="5" t="s">
        <v>23784</v>
      </c>
      <c r="B3938" s="5" t="s">
        <v>34500</v>
      </c>
      <c r="C3938" s="5" t="s">
        <v>34501</v>
      </c>
      <c r="D3938" s="246">
        <v>41550</v>
      </c>
      <c r="E3938" s="5" t="s">
        <v>34502</v>
      </c>
      <c r="F3938" s="26" t="s">
        <v>23600</v>
      </c>
      <c r="G3938" s="27" t="s">
        <v>7863</v>
      </c>
      <c r="H3938" s="28" t="s">
        <v>7864</v>
      </c>
      <c r="I3938" s="5" t="s">
        <v>233</v>
      </c>
    </row>
    <row r="3939" spans="1:9" ht="51.75" customHeight="1">
      <c r="A3939" s="5">
        <v>1</v>
      </c>
      <c r="B3939" s="5" t="s">
        <v>34503</v>
      </c>
      <c r="C3939" s="5" t="s">
        <v>34504</v>
      </c>
      <c r="D3939" s="246">
        <v>40147</v>
      </c>
      <c r="E3939" s="5" t="s">
        <v>34505</v>
      </c>
      <c r="F3939" s="26" t="s">
        <v>23600</v>
      </c>
      <c r="G3939" s="27" t="s">
        <v>3935</v>
      </c>
      <c r="H3939" s="28" t="s">
        <v>3936</v>
      </c>
      <c r="I3939" s="5" t="s">
        <v>233</v>
      </c>
    </row>
    <row r="3940" spans="1:9" ht="51.75" customHeight="1">
      <c r="A3940" s="5">
        <v>2</v>
      </c>
      <c r="B3940" s="5" t="s">
        <v>34506</v>
      </c>
      <c r="C3940" s="5" t="s">
        <v>34507</v>
      </c>
      <c r="D3940" s="246">
        <v>40147</v>
      </c>
      <c r="E3940" s="5" t="s">
        <v>34508</v>
      </c>
      <c r="F3940" s="26" t="s">
        <v>23600</v>
      </c>
      <c r="G3940" s="27" t="s">
        <v>3935</v>
      </c>
      <c r="H3940" s="28" t="s">
        <v>3936</v>
      </c>
      <c r="I3940" s="5" t="s">
        <v>233</v>
      </c>
    </row>
    <row r="3941" spans="1:9" ht="51.75" customHeight="1">
      <c r="A3941" s="5">
        <v>3</v>
      </c>
      <c r="B3941" s="5" t="s">
        <v>34509</v>
      </c>
      <c r="C3941" s="5" t="s">
        <v>34510</v>
      </c>
      <c r="D3941" s="246">
        <v>40147</v>
      </c>
      <c r="E3941" s="5" t="s">
        <v>34511</v>
      </c>
      <c r="F3941" s="26" t="s">
        <v>23600</v>
      </c>
      <c r="G3941" s="27" t="s">
        <v>3935</v>
      </c>
      <c r="H3941" s="28" t="s">
        <v>3936</v>
      </c>
      <c r="I3941" s="5" t="s">
        <v>233</v>
      </c>
    </row>
    <row r="3942" spans="1:9" ht="51.75" customHeight="1">
      <c r="A3942" s="5" t="s">
        <v>26658</v>
      </c>
      <c r="B3942" s="5" t="s">
        <v>34512</v>
      </c>
      <c r="C3942" s="5" t="s">
        <v>34513</v>
      </c>
      <c r="D3942" s="246">
        <v>41519</v>
      </c>
      <c r="E3942" s="5" t="s">
        <v>34514</v>
      </c>
      <c r="F3942" s="26" t="s">
        <v>23600</v>
      </c>
      <c r="G3942" s="27" t="s">
        <v>7713</v>
      </c>
      <c r="H3942" s="28" t="s">
        <v>7714</v>
      </c>
      <c r="I3942" s="5" t="s">
        <v>233</v>
      </c>
    </row>
    <row r="3943" spans="1:9" ht="51.75" customHeight="1">
      <c r="A3943" s="5" t="s">
        <v>25161</v>
      </c>
      <c r="B3943" s="5" t="s">
        <v>34515</v>
      </c>
      <c r="C3943" s="5" t="s">
        <v>34516</v>
      </c>
      <c r="D3943" s="246">
        <v>41519</v>
      </c>
      <c r="E3943" s="5" t="s">
        <v>34517</v>
      </c>
      <c r="F3943" s="26" t="s">
        <v>23600</v>
      </c>
      <c r="G3943" s="27" t="s">
        <v>7713</v>
      </c>
      <c r="H3943" s="28" t="s">
        <v>7714</v>
      </c>
      <c r="I3943" s="5" t="s">
        <v>233</v>
      </c>
    </row>
    <row r="3944" spans="1:9" ht="51.75" customHeight="1">
      <c r="A3944" s="5" t="s">
        <v>25165</v>
      </c>
      <c r="B3944" s="5" t="s">
        <v>34518</v>
      </c>
      <c r="C3944" s="5" t="s">
        <v>34519</v>
      </c>
      <c r="D3944" s="246">
        <v>41519</v>
      </c>
      <c r="E3944" s="5" t="s">
        <v>34520</v>
      </c>
      <c r="F3944" s="26" t="s">
        <v>23600</v>
      </c>
      <c r="G3944" s="27" t="s">
        <v>7713</v>
      </c>
      <c r="H3944" s="28" t="s">
        <v>7714</v>
      </c>
      <c r="I3944" s="5" t="s">
        <v>233</v>
      </c>
    </row>
    <row r="3945" spans="1:9" ht="51.75" customHeight="1">
      <c r="A3945" s="5" t="s">
        <v>25169</v>
      </c>
      <c r="B3945" s="5" t="s">
        <v>34521</v>
      </c>
      <c r="C3945" s="5" t="s">
        <v>34522</v>
      </c>
      <c r="D3945" s="246">
        <v>41519</v>
      </c>
      <c r="E3945" s="5" t="s">
        <v>34523</v>
      </c>
      <c r="F3945" s="26" t="s">
        <v>23600</v>
      </c>
      <c r="G3945" s="27" t="s">
        <v>7713</v>
      </c>
      <c r="H3945" s="28" t="s">
        <v>7714</v>
      </c>
      <c r="I3945" s="5" t="s">
        <v>233</v>
      </c>
    </row>
    <row r="3946" spans="1:9" ht="51.75" customHeight="1">
      <c r="A3946" s="5" t="s">
        <v>25173</v>
      </c>
      <c r="B3946" s="5" t="s">
        <v>34524</v>
      </c>
      <c r="C3946" s="5" t="s">
        <v>34525</v>
      </c>
      <c r="D3946" s="246">
        <v>41519</v>
      </c>
      <c r="E3946" s="5" t="s">
        <v>34526</v>
      </c>
      <c r="F3946" s="26" t="s">
        <v>23600</v>
      </c>
      <c r="G3946" s="27" t="s">
        <v>7713</v>
      </c>
      <c r="H3946" s="28" t="s">
        <v>7714</v>
      </c>
      <c r="I3946" s="5" t="s">
        <v>233</v>
      </c>
    </row>
    <row r="3947" spans="1:9" ht="51.75" customHeight="1">
      <c r="A3947" s="5" t="s">
        <v>26476</v>
      </c>
      <c r="B3947" s="5" t="s">
        <v>34527</v>
      </c>
      <c r="C3947" s="5" t="s">
        <v>34528</v>
      </c>
      <c r="D3947" s="246">
        <v>41533</v>
      </c>
      <c r="E3947" s="5" t="s">
        <v>34529</v>
      </c>
      <c r="F3947" s="26"/>
      <c r="G3947" s="27" t="s">
        <v>7469</v>
      </c>
      <c r="H3947" s="28" t="s">
        <v>7470</v>
      </c>
      <c r="I3947" s="5" t="s">
        <v>233</v>
      </c>
    </row>
    <row r="3948" spans="1:9" ht="51.75" customHeight="1">
      <c r="A3948" s="5" t="s">
        <v>34530</v>
      </c>
      <c r="B3948" s="5" t="s">
        <v>34531</v>
      </c>
      <c r="C3948" s="5" t="s">
        <v>34532</v>
      </c>
      <c r="D3948" s="246">
        <v>41533</v>
      </c>
      <c r="E3948" s="5" t="s">
        <v>34533</v>
      </c>
      <c r="F3948" s="26"/>
      <c r="G3948" s="27" t="s">
        <v>7469</v>
      </c>
      <c r="H3948" s="28" t="s">
        <v>7470</v>
      </c>
      <c r="I3948" s="5" t="s">
        <v>233</v>
      </c>
    </row>
    <row r="3949" spans="1:9" ht="51.75" customHeight="1">
      <c r="A3949" s="5" t="s">
        <v>34534</v>
      </c>
      <c r="B3949" s="5" t="s">
        <v>34535</v>
      </c>
      <c r="C3949" s="5" t="s">
        <v>34536</v>
      </c>
      <c r="D3949" s="246">
        <v>41533</v>
      </c>
      <c r="E3949" s="5" t="s">
        <v>34537</v>
      </c>
      <c r="F3949" s="26"/>
      <c r="G3949" s="27" t="s">
        <v>7469</v>
      </c>
      <c r="H3949" s="28" t="s">
        <v>7470</v>
      </c>
      <c r="I3949" s="5" t="s">
        <v>233</v>
      </c>
    </row>
    <row r="3950" spans="1:9" ht="51.75" customHeight="1">
      <c r="A3950" s="5" t="s">
        <v>29056</v>
      </c>
      <c r="B3950" s="5" t="s">
        <v>34538</v>
      </c>
      <c r="C3950" s="5" t="s">
        <v>34539</v>
      </c>
      <c r="D3950" s="246">
        <v>41533</v>
      </c>
      <c r="E3950" s="5" t="s">
        <v>34540</v>
      </c>
      <c r="F3950" s="26"/>
      <c r="G3950" s="27" t="s">
        <v>7469</v>
      </c>
      <c r="H3950" s="28" t="s">
        <v>7470</v>
      </c>
      <c r="I3950" s="5" t="s">
        <v>233</v>
      </c>
    </row>
    <row r="3951" spans="1:9" ht="51.75" customHeight="1">
      <c r="A3951" s="5" t="s">
        <v>28428</v>
      </c>
      <c r="B3951" s="5" t="s">
        <v>34541</v>
      </c>
      <c r="C3951" s="5" t="s">
        <v>34542</v>
      </c>
      <c r="D3951" s="246">
        <v>41533</v>
      </c>
      <c r="E3951" s="5" t="s">
        <v>34543</v>
      </c>
      <c r="F3951" s="26"/>
      <c r="G3951" s="27" t="s">
        <v>7469</v>
      </c>
      <c r="H3951" s="28" t="s">
        <v>7470</v>
      </c>
      <c r="I3951" s="5" t="s">
        <v>233</v>
      </c>
    </row>
    <row r="3952" spans="1:9" ht="51.75" customHeight="1">
      <c r="A3952" s="5" t="s">
        <v>27106</v>
      </c>
      <c r="B3952" s="5" t="s">
        <v>34544</v>
      </c>
      <c r="C3952" s="5" t="s">
        <v>34545</v>
      </c>
      <c r="D3952" s="246">
        <v>41956</v>
      </c>
      <c r="E3952" s="5" t="s">
        <v>34546</v>
      </c>
      <c r="F3952" s="26" t="s">
        <v>23600</v>
      </c>
      <c r="G3952" s="27" t="s">
        <v>7974</v>
      </c>
      <c r="H3952" s="28" t="s">
        <v>7975</v>
      </c>
      <c r="I3952" s="5" t="s">
        <v>233</v>
      </c>
    </row>
    <row r="3953" spans="1:9" ht="51.75" customHeight="1">
      <c r="A3953" s="5" t="s">
        <v>27109</v>
      </c>
      <c r="B3953" s="5" t="s">
        <v>34547</v>
      </c>
      <c r="C3953" s="5" t="s">
        <v>34548</v>
      </c>
      <c r="D3953" s="246">
        <v>41956</v>
      </c>
      <c r="E3953" s="5" t="s">
        <v>34549</v>
      </c>
      <c r="F3953" s="26" t="s">
        <v>23600</v>
      </c>
      <c r="G3953" s="27" t="s">
        <v>7974</v>
      </c>
      <c r="H3953" s="28" t="s">
        <v>7975</v>
      </c>
      <c r="I3953" s="5" t="s">
        <v>233</v>
      </c>
    </row>
    <row r="3954" spans="1:9" ht="51.75" customHeight="1">
      <c r="A3954" s="5" t="s">
        <v>26052</v>
      </c>
      <c r="B3954" s="5" t="s">
        <v>34550</v>
      </c>
      <c r="C3954" s="5" t="s">
        <v>34551</v>
      </c>
      <c r="D3954" s="246">
        <v>41956</v>
      </c>
      <c r="E3954" s="5" t="s">
        <v>34552</v>
      </c>
      <c r="F3954" s="26" t="s">
        <v>23600</v>
      </c>
      <c r="G3954" s="27" t="s">
        <v>7974</v>
      </c>
      <c r="H3954" s="28" t="s">
        <v>7975</v>
      </c>
      <c r="I3954" s="5" t="s">
        <v>233</v>
      </c>
    </row>
    <row r="3955" spans="1:9" ht="51.75" customHeight="1">
      <c r="A3955" s="5" t="s">
        <v>26058</v>
      </c>
      <c r="B3955" s="5" t="s">
        <v>34553</v>
      </c>
      <c r="C3955" s="5" t="s">
        <v>34554</v>
      </c>
      <c r="D3955" s="246">
        <v>41956</v>
      </c>
      <c r="E3955" s="5" t="s">
        <v>34555</v>
      </c>
      <c r="F3955" s="26" t="s">
        <v>23600</v>
      </c>
      <c r="G3955" s="27" t="s">
        <v>7974</v>
      </c>
      <c r="H3955" s="28" t="s">
        <v>7975</v>
      </c>
      <c r="I3955" s="5" t="s">
        <v>233</v>
      </c>
    </row>
    <row r="3956" spans="1:9" ht="51.75" customHeight="1">
      <c r="A3956" s="5" t="s">
        <v>26064</v>
      </c>
      <c r="B3956" s="5" t="s">
        <v>34556</v>
      </c>
      <c r="C3956" s="5" t="s">
        <v>34557</v>
      </c>
      <c r="D3956" s="246">
        <v>41956</v>
      </c>
      <c r="E3956" s="5" t="s">
        <v>34558</v>
      </c>
      <c r="F3956" s="26" t="s">
        <v>23600</v>
      </c>
      <c r="G3956" s="27" t="s">
        <v>7974</v>
      </c>
      <c r="H3956" s="28" t="s">
        <v>7975</v>
      </c>
      <c r="I3956" s="5" t="s">
        <v>233</v>
      </c>
    </row>
    <row r="3957" spans="1:9" ht="51.75" customHeight="1">
      <c r="A3957" s="5" t="s">
        <v>28619</v>
      </c>
      <c r="B3957" s="5" t="s">
        <v>34559</v>
      </c>
      <c r="C3957" s="5" t="s">
        <v>34560</v>
      </c>
      <c r="D3957" s="246">
        <v>41543</v>
      </c>
      <c r="E3957" s="5" t="s">
        <v>34561</v>
      </c>
      <c r="F3957" s="26" t="s">
        <v>23600</v>
      </c>
      <c r="G3957" s="27" t="s">
        <v>8183</v>
      </c>
      <c r="H3957" s="28" t="s">
        <v>8184</v>
      </c>
      <c r="I3957" s="5" t="s">
        <v>233</v>
      </c>
    </row>
    <row r="3958" spans="1:9" ht="51.75" customHeight="1">
      <c r="A3958" s="5" t="s">
        <v>28622</v>
      </c>
      <c r="B3958" s="5" t="s">
        <v>34562</v>
      </c>
      <c r="C3958" s="5" t="s">
        <v>34563</v>
      </c>
      <c r="D3958" s="246">
        <v>41543</v>
      </c>
      <c r="E3958" s="5" t="s">
        <v>34564</v>
      </c>
      <c r="F3958" s="26"/>
      <c r="G3958" s="27" t="s">
        <v>8183</v>
      </c>
      <c r="H3958" s="28" t="s">
        <v>8184</v>
      </c>
      <c r="I3958" s="5" t="s">
        <v>233</v>
      </c>
    </row>
    <row r="3959" spans="1:9" ht="51.75" customHeight="1">
      <c r="A3959" s="5" t="s">
        <v>28625</v>
      </c>
      <c r="B3959" s="5" t="s">
        <v>34565</v>
      </c>
      <c r="C3959" s="5" t="s">
        <v>34566</v>
      </c>
      <c r="D3959" s="246">
        <v>41543</v>
      </c>
      <c r="E3959" s="5" t="s">
        <v>34567</v>
      </c>
      <c r="F3959" s="26"/>
      <c r="G3959" s="27" t="s">
        <v>8183</v>
      </c>
      <c r="H3959" s="28" t="s">
        <v>8184</v>
      </c>
      <c r="I3959" s="5" t="s">
        <v>233</v>
      </c>
    </row>
    <row r="3960" spans="1:9" ht="51.75" customHeight="1">
      <c r="A3960" s="5" t="s">
        <v>28628</v>
      </c>
      <c r="B3960" s="5" t="s">
        <v>34568</v>
      </c>
      <c r="C3960" s="5" t="s">
        <v>34569</v>
      </c>
      <c r="D3960" s="246">
        <v>41543</v>
      </c>
      <c r="E3960" s="5" t="s">
        <v>34570</v>
      </c>
      <c r="F3960" s="26"/>
      <c r="G3960" s="27" t="s">
        <v>8183</v>
      </c>
      <c r="H3960" s="28" t="s">
        <v>8184</v>
      </c>
      <c r="I3960" s="5" t="s">
        <v>233</v>
      </c>
    </row>
    <row r="3961" spans="1:9" ht="51.75" customHeight="1">
      <c r="A3961" s="5" t="s">
        <v>28434</v>
      </c>
      <c r="B3961" s="5" t="s">
        <v>34571</v>
      </c>
      <c r="C3961" s="5" t="s">
        <v>34572</v>
      </c>
      <c r="D3961" s="246">
        <v>41541</v>
      </c>
      <c r="E3961" s="5" t="s">
        <v>34573</v>
      </c>
      <c r="F3961" s="26"/>
      <c r="G3961" s="27" t="s">
        <v>8199</v>
      </c>
      <c r="H3961" s="28" t="s">
        <v>8200</v>
      </c>
      <c r="I3961" s="5" t="s">
        <v>233</v>
      </c>
    </row>
    <row r="3962" spans="1:9" ht="51.75" customHeight="1">
      <c r="A3962" s="5" t="s">
        <v>28437</v>
      </c>
      <c r="B3962" s="5" t="s">
        <v>34574</v>
      </c>
      <c r="C3962" s="5" t="s">
        <v>34575</v>
      </c>
      <c r="D3962" s="246">
        <v>41541</v>
      </c>
      <c r="E3962" s="5" t="s">
        <v>34576</v>
      </c>
      <c r="F3962" s="26"/>
      <c r="G3962" s="27" t="s">
        <v>8199</v>
      </c>
      <c r="H3962" s="28" t="s">
        <v>8200</v>
      </c>
      <c r="I3962" s="5" t="s">
        <v>233</v>
      </c>
    </row>
    <row r="3963" spans="1:9" ht="51.75" customHeight="1">
      <c r="A3963" s="5" t="s">
        <v>28440</v>
      </c>
      <c r="B3963" s="5" t="s">
        <v>34577</v>
      </c>
      <c r="C3963" s="5" t="s">
        <v>34578</v>
      </c>
      <c r="D3963" s="246">
        <v>41541</v>
      </c>
      <c r="E3963" s="5" t="s">
        <v>34579</v>
      </c>
      <c r="F3963" s="26"/>
      <c r="G3963" s="27" t="s">
        <v>8199</v>
      </c>
      <c r="H3963" s="28" t="s">
        <v>8200</v>
      </c>
      <c r="I3963" s="5" t="s">
        <v>233</v>
      </c>
    </row>
    <row r="3964" spans="1:9" ht="51.75" customHeight="1">
      <c r="A3964" s="5" t="s">
        <v>29066</v>
      </c>
      <c r="B3964" s="5" t="s">
        <v>34580</v>
      </c>
      <c r="C3964" s="5" t="s">
        <v>34581</v>
      </c>
      <c r="D3964" s="246">
        <v>41541</v>
      </c>
      <c r="E3964" s="5" t="s">
        <v>34582</v>
      </c>
      <c r="F3964" s="26"/>
      <c r="G3964" s="27" t="s">
        <v>8199</v>
      </c>
      <c r="H3964" s="28" t="s">
        <v>8200</v>
      </c>
      <c r="I3964" s="5" t="s">
        <v>233</v>
      </c>
    </row>
    <row r="3965" spans="1:9" ht="51.75" customHeight="1">
      <c r="A3965" s="5" t="s">
        <v>24643</v>
      </c>
      <c r="B3965" s="5" t="s">
        <v>34583</v>
      </c>
      <c r="C3965" s="5" t="s">
        <v>34584</v>
      </c>
      <c r="D3965" s="246">
        <v>41576</v>
      </c>
      <c r="E3965" s="5" t="s">
        <v>34585</v>
      </c>
      <c r="F3965" s="26" t="s">
        <v>23600</v>
      </c>
      <c r="G3965" s="27" t="s">
        <v>8205</v>
      </c>
      <c r="H3965" s="28" t="s">
        <v>8206</v>
      </c>
      <c r="I3965" s="5" t="s">
        <v>233</v>
      </c>
    </row>
    <row r="3966" spans="1:9" ht="51.75" customHeight="1">
      <c r="A3966" s="5" t="s">
        <v>28660</v>
      </c>
      <c r="B3966" s="5" t="s">
        <v>34586</v>
      </c>
      <c r="C3966" s="5" t="s">
        <v>34587</v>
      </c>
      <c r="D3966" s="246">
        <v>41576</v>
      </c>
      <c r="E3966" s="5" t="s">
        <v>34588</v>
      </c>
      <c r="F3966" s="26" t="s">
        <v>23600</v>
      </c>
      <c r="G3966" s="27" t="s">
        <v>8205</v>
      </c>
      <c r="H3966" s="28" t="s">
        <v>8206</v>
      </c>
      <c r="I3966" s="5" t="s">
        <v>233</v>
      </c>
    </row>
    <row r="3967" spans="1:9" ht="51.75" customHeight="1">
      <c r="A3967" s="5" t="s">
        <v>28666</v>
      </c>
      <c r="B3967" s="5" t="s">
        <v>34589</v>
      </c>
      <c r="C3967" s="5" t="s">
        <v>34590</v>
      </c>
      <c r="D3967" s="246">
        <v>41576</v>
      </c>
      <c r="E3967" s="5" t="s">
        <v>34591</v>
      </c>
      <c r="F3967" s="26" t="s">
        <v>23600</v>
      </c>
      <c r="G3967" s="27" t="s">
        <v>8205</v>
      </c>
      <c r="H3967" s="28" t="s">
        <v>8206</v>
      </c>
      <c r="I3967" s="5" t="s">
        <v>233</v>
      </c>
    </row>
    <row r="3968" spans="1:9" ht="51.75" customHeight="1">
      <c r="A3968" s="5" t="s">
        <v>27164</v>
      </c>
      <c r="B3968" s="5" t="s">
        <v>34592</v>
      </c>
      <c r="C3968" s="5" t="s">
        <v>34593</v>
      </c>
      <c r="D3968" s="246">
        <v>41576</v>
      </c>
      <c r="E3968" s="5" t="s">
        <v>34594</v>
      </c>
      <c r="F3968" s="26" t="s">
        <v>23600</v>
      </c>
      <c r="G3968" s="27" t="s">
        <v>8205</v>
      </c>
      <c r="H3968" s="28" t="s">
        <v>8206</v>
      </c>
      <c r="I3968" s="5" t="s">
        <v>233</v>
      </c>
    </row>
    <row r="3969" spans="1:9" ht="51.75" customHeight="1">
      <c r="A3969" s="5" t="s">
        <v>29022</v>
      </c>
      <c r="B3969" s="5" t="s">
        <v>34595</v>
      </c>
      <c r="C3969" s="5" t="s">
        <v>34596</v>
      </c>
      <c r="D3969" s="246">
        <v>41452</v>
      </c>
      <c r="E3969" s="5" t="s">
        <v>34597</v>
      </c>
      <c r="F3969" s="26" t="s">
        <v>23600</v>
      </c>
      <c r="G3969" s="27" t="s">
        <v>7787</v>
      </c>
      <c r="H3969" s="28" t="s">
        <v>7788</v>
      </c>
      <c r="I3969" s="5" t="s">
        <v>233</v>
      </c>
    </row>
    <row r="3970" spans="1:9" ht="51.75" customHeight="1">
      <c r="A3970" s="5" t="s">
        <v>29027</v>
      </c>
      <c r="B3970" s="5" t="s">
        <v>34598</v>
      </c>
      <c r="C3970" s="5" t="s">
        <v>34599</v>
      </c>
      <c r="D3970" s="246">
        <v>41452</v>
      </c>
      <c r="E3970" s="5" t="s">
        <v>34600</v>
      </c>
      <c r="F3970" s="26" t="s">
        <v>23600</v>
      </c>
      <c r="G3970" s="27" t="s">
        <v>7787</v>
      </c>
      <c r="H3970" s="28" t="s">
        <v>7788</v>
      </c>
      <c r="I3970" s="5" t="s">
        <v>233</v>
      </c>
    </row>
    <row r="3971" spans="1:9" ht="51.75" customHeight="1">
      <c r="A3971" s="5" t="s">
        <v>28326</v>
      </c>
      <c r="B3971" s="5" t="s">
        <v>34601</v>
      </c>
      <c r="C3971" s="5" t="s">
        <v>34602</v>
      </c>
      <c r="D3971" s="246">
        <v>41731</v>
      </c>
      <c r="E3971" s="5" t="s">
        <v>34603</v>
      </c>
      <c r="F3971" s="26" t="s">
        <v>23600</v>
      </c>
      <c r="G3971" s="27" t="s">
        <v>7719</v>
      </c>
      <c r="H3971" s="28" t="s">
        <v>7720</v>
      </c>
      <c r="I3971" s="5" t="s">
        <v>233</v>
      </c>
    </row>
    <row r="3972" spans="1:9" ht="51.75" customHeight="1">
      <c r="A3972" s="5" t="s">
        <v>28329</v>
      </c>
      <c r="B3972" s="5" t="s">
        <v>34604</v>
      </c>
      <c r="C3972" s="5" t="s">
        <v>34605</v>
      </c>
      <c r="D3972" s="246">
        <v>41731</v>
      </c>
      <c r="E3972" s="5" t="s">
        <v>34606</v>
      </c>
      <c r="F3972" s="26" t="s">
        <v>23600</v>
      </c>
      <c r="G3972" s="27" t="s">
        <v>7719</v>
      </c>
      <c r="H3972" s="28" t="s">
        <v>7720</v>
      </c>
      <c r="I3972" s="5" t="s">
        <v>233</v>
      </c>
    </row>
    <row r="3973" spans="1:9" ht="51.75" customHeight="1">
      <c r="A3973" s="5" t="s">
        <v>28332</v>
      </c>
      <c r="B3973" s="5" t="s">
        <v>34607</v>
      </c>
      <c r="C3973" s="5" t="s">
        <v>34608</v>
      </c>
      <c r="D3973" s="246">
        <v>41731</v>
      </c>
      <c r="E3973" s="5" t="s">
        <v>34609</v>
      </c>
      <c r="F3973" s="26" t="s">
        <v>23600</v>
      </c>
      <c r="G3973" s="27" t="s">
        <v>7719</v>
      </c>
      <c r="H3973" s="28" t="s">
        <v>7720</v>
      </c>
      <c r="I3973" s="5" t="s">
        <v>233</v>
      </c>
    </row>
    <row r="3974" spans="1:9" ht="51.75" customHeight="1">
      <c r="A3974" s="5" t="s">
        <v>28335</v>
      </c>
      <c r="B3974" s="5" t="s">
        <v>34610</v>
      </c>
      <c r="C3974" s="5" t="s">
        <v>34611</v>
      </c>
      <c r="D3974" s="246">
        <v>41731</v>
      </c>
      <c r="E3974" s="5" t="s">
        <v>34612</v>
      </c>
      <c r="F3974" s="26" t="s">
        <v>23600</v>
      </c>
      <c r="G3974" s="27" t="s">
        <v>7719</v>
      </c>
      <c r="H3974" s="28" t="s">
        <v>7720</v>
      </c>
      <c r="I3974" s="5" t="s">
        <v>233</v>
      </c>
    </row>
    <row r="3975" spans="1:9" ht="51.75" customHeight="1">
      <c r="A3975" s="5" t="s">
        <v>23810</v>
      </c>
      <c r="B3975" s="5" t="s">
        <v>34613</v>
      </c>
      <c r="C3975" s="5" t="s">
        <v>34614</v>
      </c>
      <c r="D3975" s="246">
        <v>41731</v>
      </c>
      <c r="E3975" s="5" t="s">
        <v>34615</v>
      </c>
      <c r="F3975" s="26" t="s">
        <v>23600</v>
      </c>
      <c r="G3975" s="27" t="s">
        <v>7719</v>
      </c>
      <c r="H3975" s="28" t="s">
        <v>7720</v>
      </c>
      <c r="I3975" s="5" t="s">
        <v>233</v>
      </c>
    </row>
    <row r="3976" spans="1:9" ht="51.75" customHeight="1">
      <c r="A3976" s="5" t="s">
        <v>25153</v>
      </c>
      <c r="B3976" s="5" t="s">
        <v>34616</v>
      </c>
      <c r="C3976" s="5" t="s">
        <v>34617</v>
      </c>
      <c r="D3976" s="246">
        <v>41619</v>
      </c>
      <c r="E3976" s="5" t="s">
        <v>34618</v>
      </c>
      <c r="F3976" s="26" t="s">
        <v>23600</v>
      </c>
      <c r="G3976" s="27" t="s">
        <v>8271</v>
      </c>
      <c r="H3976" s="28" t="s">
        <v>8272</v>
      </c>
      <c r="I3976" s="5" t="s">
        <v>233</v>
      </c>
    </row>
    <row r="3977" spans="1:9" ht="51.75" customHeight="1">
      <c r="A3977" s="5" t="s">
        <v>25157</v>
      </c>
      <c r="B3977" s="5" t="s">
        <v>34619</v>
      </c>
      <c r="C3977" s="5" t="s">
        <v>34620</v>
      </c>
      <c r="D3977" s="246">
        <v>41619</v>
      </c>
      <c r="E3977" s="5" t="s">
        <v>34621</v>
      </c>
      <c r="F3977" s="26" t="s">
        <v>23600</v>
      </c>
      <c r="G3977" s="27" t="s">
        <v>8271</v>
      </c>
      <c r="H3977" s="28" t="s">
        <v>8272</v>
      </c>
      <c r="I3977" s="5" t="s">
        <v>233</v>
      </c>
    </row>
    <row r="3978" spans="1:9" ht="51.75" customHeight="1">
      <c r="A3978" s="5" t="s">
        <v>27824</v>
      </c>
      <c r="B3978" s="5" t="s">
        <v>34622</v>
      </c>
      <c r="C3978" s="5" t="s">
        <v>34623</v>
      </c>
      <c r="D3978" s="246">
        <v>41619</v>
      </c>
      <c r="E3978" s="5" t="s">
        <v>34624</v>
      </c>
      <c r="F3978" s="26" t="s">
        <v>23600</v>
      </c>
      <c r="G3978" s="27" t="s">
        <v>8271</v>
      </c>
      <c r="H3978" s="28" t="s">
        <v>8272</v>
      </c>
      <c r="I3978" s="5" t="s">
        <v>233</v>
      </c>
    </row>
    <row r="3979" spans="1:9" ht="51.75" customHeight="1">
      <c r="A3979" s="5" t="s">
        <v>24697</v>
      </c>
      <c r="B3979" s="5" t="s">
        <v>34625</v>
      </c>
      <c r="C3979" s="5" t="s">
        <v>34626</v>
      </c>
      <c r="D3979" s="246">
        <v>41655</v>
      </c>
      <c r="E3979" s="5" t="s">
        <v>34627</v>
      </c>
      <c r="F3979" s="26" t="s">
        <v>23600</v>
      </c>
      <c r="G3979" s="27" t="s">
        <v>8347</v>
      </c>
      <c r="H3979" s="28" t="s">
        <v>8348</v>
      </c>
      <c r="I3979" s="5" t="s">
        <v>233</v>
      </c>
    </row>
    <row r="3980" spans="1:9" ht="51.75" customHeight="1">
      <c r="A3980" s="5" t="s">
        <v>30098</v>
      </c>
      <c r="B3980" s="5" t="s">
        <v>34628</v>
      </c>
      <c r="C3980" s="5" t="s">
        <v>34629</v>
      </c>
      <c r="D3980" s="246">
        <v>41655</v>
      </c>
      <c r="E3980" s="5" t="s">
        <v>34630</v>
      </c>
      <c r="F3980" s="26" t="s">
        <v>23600</v>
      </c>
      <c r="G3980" s="27" t="s">
        <v>8347</v>
      </c>
      <c r="H3980" s="28" t="s">
        <v>8348</v>
      </c>
      <c r="I3980" s="5" t="s">
        <v>233</v>
      </c>
    </row>
    <row r="3981" spans="1:9" ht="51.75" customHeight="1">
      <c r="A3981" s="5" t="s">
        <v>26370</v>
      </c>
      <c r="B3981" s="5" t="s">
        <v>34631</v>
      </c>
      <c r="C3981" s="5" t="s">
        <v>34632</v>
      </c>
      <c r="D3981" s="246">
        <v>41729</v>
      </c>
      <c r="E3981" s="5" t="s">
        <v>34633</v>
      </c>
      <c r="F3981" s="26" t="s">
        <v>23600</v>
      </c>
      <c r="G3981" s="27" t="s">
        <v>8364</v>
      </c>
      <c r="H3981" s="28" t="s">
        <v>8365</v>
      </c>
      <c r="I3981" s="5" t="s">
        <v>233</v>
      </c>
    </row>
    <row r="3982" spans="1:9" ht="51.75" customHeight="1">
      <c r="A3982" s="5" t="s">
        <v>28320</v>
      </c>
      <c r="B3982" s="5" t="s">
        <v>34634</v>
      </c>
      <c r="C3982" s="5" t="s">
        <v>34635</v>
      </c>
      <c r="D3982" s="246">
        <v>41729</v>
      </c>
      <c r="E3982" s="5" t="s">
        <v>34636</v>
      </c>
      <c r="F3982" s="26" t="s">
        <v>23600</v>
      </c>
      <c r="G3982" s="27" t="s">
        <v>8364</v>
      </c>
      <c r="H3982" s="28" t="s">
        <v>8365</v>
      </c>
      <c r="I3982" s="5" t="s">
        <v>233</v>
      </c>
    </row>
    <row r="3983" spans="1:9" ht="51.75" customHeight="1">
      <c r="A3983" s="5" t="s">
        <v>28323</v>
      </c>
      <c r="B3983" s="5" t="s">
        <v>34637</v>
      </c>
      <c r="C3983" s="5" t="s">
        <v>34638</v>
      </c>
      <c r="D3983" s="246">
        <v>41729</v>
      </c>
      <c r="E3983" s="5" t="s">
        <v>34639</v>
      </c>
      <c r="F3983" s="26" t="s">
        <v>23600</v>
      </c>
      <c r="G3983" s="27" t="s">
        <v>8364</v>
      </c>
      <c r="H3983" s="28" t="s">
        <v>8365</v>
      </c>
      <c r="I3983" s="5" t="s">
        <v>233</v>
      </c>
    </row>
    <row r="3984" spans="1:9" ht="51.75" customHeight="1">
      <c r="A3984" s="5" t="s">
        <v>25000</v>
      </c>
      <c r="B3984" s="5" t="s">
        <v>34640</v>
      </c>
      <c r="C3984" s="5" t="s">
        <v>34641</v>
      </c>
      <c r="D3984" s="246">
        <v>41984</v>
      </c>
      <c r="E3984" s="5" t="s">
        <v>34642</v>
      </c>
      <c r="F3984" s="26" t="s">
        <v>23600</v>
      </c>
      <c r="G3984" s="27" t="s">
        <v>8371</v>
      </c>
      <c r="H3984" s="28" t="s">
        <v>8372</v>
      </c>
      <c r="I3984" s="5" t="s">
        <v>233</v>
      </c>
    </row>
    <row r="3985" spans="1:9" ht="51.75" customHeight="1">
      <c r="A3985" s="5" t="s">
        <v>25006</v>
      </c>
      <c r="B3985" s="5" t="s">
        <v>34643</v>
      </c>
      <c r="C3985" s="5" t="s">
        <v>34644</v>
      </c>
      <c r="D3985" s="246">
        <v>41984</v>
      </c>
      <c r="E3985" s="5" t="s">
        <v>34645</v>
      </c>
      <c r="F3985" s="26" t="s">
        <v>23600</v>
      </c>
      <c r="G3985" s="27" t="s">
        <v>8371</v>
      </c>
      <c r="H3985" s="28" t="s">
        <v>8372</v>
      </c>
      <c r="I3985" s="5" t="s">
        <v>233</v>
      </c>
    </row>
    <row r="3986" spans="1:9" ht="51.75" customHeight="1">
      <c r="A3986" s="5" t="s">
        <v>25012</v>
      </c>
      <c r="B3986" s="5" t="s">
        <v>34646</v>
      </c>
      <c r="C3986" s="5" t="s">
        <v>34647</v>
      </c>
      <c r="D3986" s="246">
        <v>41984</v>
      </c>
      <c r="E3986" s="5" t="s">
        <v>34648</v>
      </c>
      <c r="F3986" s="26" t="s">
        <v>23600</v>
      </c>
      <c r="G3986" s="27" t="s">
        <v>8371</v>
      </c>
      <c r="H3986" s="28" t="s">
        <v>8372</v>
      </c>
      <c r="I3986" s="5" t="s">
        <v>233</v>
      </c>
    </row>
    <row r="3987" spans="1:9" ht="51.75" customHeight="1">
      <c r="A3987" s="5" t="s">
        <v>24526</v>
      </c>
      <c r="B3987" s="5" t="s">
        <v>34649</v>
      </c>
      <c r="C3987" s="5" t="s">
        <v>34650</v>
      </c>
      <c r="D3987" s="246">
        <v>41542</v>
      </c>
      <c r="E3987" s="5" t="s">
        <v>34651</v>
      </c>
      <c r="F3987" s="26"/>
      <c r="G3987" s="27" t="s">
        <v>8298</v>
      </c>
      <c r="H3987" s="28" t="s">
        <v>8299</v>
      </c>
      <c r="I3987" s="5" t="s">
        <v>233</v>
      </c>
    </row>
    <row r="3988" spans="1:9" ht="51.75" customHeight="1">
      <c r="A3988" s="5" t="s">
        <v>27757</v>
      </c>
      <c r="B3988" s="5" t="s">
        <v>34652</v>
      </c>
      <c r="C3988" s="5" t="s">
        <v>34653</v>
      </c>
      <c r="D3988" s="246">
        <v>41542</v>
      </c>
      <c r="E3988" s="5" t="s">
        <v>34654</v>
      </c>
      <c r="F3988" s="26"/>
      <c r="G3988" s="27" t="s">
        <v>8298</v>
      </c>
      <c r="H3988" s="28" t="s">
        <v>8299</v>
      </c>
      <c r="I3988" s="5" t="s">
        <v>233</v>
      </c>
    </row>
    <row r="3989" spans="1:9" ht="51.75" customHeight="1">
      <c r="A3989" s="5" t="s">
        <v>28614</v>
      </c>
      <c r="B3989" s="5" t="s">
        <v>34655</v>
      </c>
      <c r="C3989" s="5" t="s">
        <v>34656</v>
      </c>
      <c r="D3989" s="246">
        <v>41542</v>
      </c>
      <c r="E3989" s="5" t="s">
        <v>34657</v>
      </c>
      <c r="F3989" s="26"/>
      <c r="G3989" s="27" t="s">
        <v>8298</v>
      </c>
      <c r="H3989" s="28" t="s">
        <v>8299</v>
      </c>
      <c r="I3989" s="5" t="s">
        <v>233</v>
      </c>
    </row>
    <row r="3990" spans="1:9" ht="51.75" customHeight="1">
      <c r="A3990" s="5" t="s">
        <v>23716</v>
      </c>
      <c r="B3990" s="5" t="s">
        <v>34658</v>
      </c>
      <c r="C3990" s="5" t="s">
        <v>34659</v>
      </c>
      <c r="D3990" s="246">
        <v>41683</v>
      </c>
      <c r="E3990" s="5" t="s">
        <v>34660</v>
      </c>
      <c r="F3990" s="26" t="s">
        <v>23600</v>
      </c>
      <c r="G3990" s="27" t="s">
        <v>8544</v>
      </c>
      <c r="H3990" s="28" t="s">
        <v>8545</v>
      </c>
      <c r="I3990" s="5" t="s">
        <v>233</v>
      </c>
    </row>
    <row r="3991" spans="1:9" ht="51.75" customHeight="1">
      <c r="A3991" s="5" t="s">
        <v>23720</v>
      </c>
      <c r="B3991" s="5" t="s">
        <v>34661</v>
      </c>
      <c r="C3991" s="5" t="s">
        <v>34662</v>
      </c>
      <c r="D3991" s="246">
        <v>41683</v>
      </c>
      <c r="E3991" s="5" t="s">
        <v>34663</v>
      </c>
      <c r="F3991" s="26" t="s">
        <v>23600</v>
      </c>
      <c r="G3991" s="27" t="s">
        <v>8544</v>
      </c>
      <c r="H3991" s="28" t="s">
        <v>8545</v>
      </c>
      <c r="I3991" s="5" t="s">
        <v>233</v>
      </c>
    </row>
    <row r="3992" spans="1:9" ht="51.75" customHeight="1">
      <c r="A3992" s="5" t="s">
        <v>23728</v>
      </c>
      <c r="B3992" s="5" t="s">
        <v>34664</v>
      </c>
      <c r="C3992" s="5" t="s">
        <v>34665</v>
      </c>
      <c r="D3992" s="246">
        <v>41683</v>
      </c>
      <c r="E3992" s="5" t="s">
        <v>34666</v>
      </c>
      <c r="F3992" s="26" t="s">
        <v>23600</v>
      </c>
      <c r="G3992" s="27" t="s">
        <v>8544</v>
      </c>
      <c r="H3992" s="28" t="s">
        <v>8545</v>
      </c>
      <c r="I3992" s="5" t="s">
        <v>233</v>
      </c>
    </row>
    <row r="3993" spans="1:9" ht="51.75" customHeight="1">
      <c r="A3993" s="5" t="s">
        <v>23740</v>
      </c>
      <c r="B3993" s="5" t="s">
        <v>34667</v>
      </c>
      <c r="C3993" s="5" t="s">
        <v>34668</v>
      </c>
      <c r="D3993" s="246">
        <v>41683</v>
      </c>
      <c r="E3993" s="5" t="s">
        <v>34669</v>
      </c>
      <c r="F3993" s="26" t="s">
        <v>23600</v>
      </c>
      <c r="G3993" s="27" t="s">
        <v>8544</v>
      </c>
      <c r="H3993" s="28" t="s">
        <v>8545</v>
      </c>
      <c r="I3993" s="5" t="s">
        <v>233</v>
      </c>
    </row>
    <row r="3994" spans="1:9" ht="51.75" customHeight="1">
      <c r="A3994" s="5" t="s">
        <v>25905</v>
      </c>
      <c r="B3994" s="5" t="s">
        <v>34670</v>
      </c>
      <c r="C3994" s="5" t="s">
        <v>34671</v>
      </c>
      <c r="D3994" s="246">
        <v>41683</v>
      </c>
      <c r="E3994" s="5" t="s">
        <v>34672</v>
      </c>
      <c r="F3994" s="26" t="s">
        <v>23600</v>
      </c>
      <c r="G3994" s="27" t="s">
        <v>8544</v>
      </c>
      <c r="H3994" s="28" t="s">
        <v>8545</v>
      </c>
      <c r="I3994" s="5" t="s">
        <v>233</v>
      </c>
    </row>
    <row r="3995" spans="1:9" ht="51.75" customHeight="1">
      <c r="A3995" s="5" t="s">
        <v>26058</v>
      </c>
      <c r="B3995" s="5" t="s">
        <v>34673</v>
      </c>
      <c r="C3995" s="5" t="s">
        <v>34674</v>
      </c>
      <c r="D3995" s="246">
        <v>41694</v>
      </c>
      <c r="E3995" s="5" t="s">
        <v>34675</v>
      </c>
      <c r="F3995" s="26" t="s">
        <v>23600</v>
      </c>
      <c r="G3995" s="27" t="s">
        <v>8568</v>
      </c>
      <c r="H3995" s="28" t="s">
        <v>8569</v>
      </c>
      <c r="I3995" s="5" t="s">
        <v>233</v>
      </c>
    </row>
    <row r="3996" spans="1:9" ht="51.75" customHeight="1">
      <c r="A3996" s="5" t="s">
        <v>26064</v>
      </c>
      <c r="B3996" s="5" t="s">
        <v>34676</v>
      </c>
      <c r="C3996" s="5" t="s">
        <v>34677</v>
      </c>
      <c r="D3996" s="246">
        <v>41694</v>
      </c>
      <c r="E3996" s="5" t="s">
        <v>34678</v>
      </c>
      <c r="F3996" s="26" t="s">
        <v>23600</v>
      </c>
      <c r="G3996" s="27" t="s">
        <v>8568</v>
      </c>
      <c r="H3996" s="28" t="s">
        <v>8569</v>
      </c>
      <c r="I3996" s="5" t="s">
        <v>233</v>
      </c>
    </row>
    <row r="3997" spans="1:9" ht="51.75" customHeight="1">
      <c r="A3997" s="5" t="s">
        <v>26069</v>
      </c>
      <c r="B3997" s="5" t="s">
        <v>34679</v>
      </c>
      <c r="C3997" s="5" t="s">
        <v>34680</v>
      </c>
      <c r="D3997" s="246">
        <v>41694</v>
      </c>
      <c r="E3997" s="5" t="s">
        <v>34681</v>
      </c>
      <c r="F3997" s="26" t="s">
        <v>23600</v>
      </c>
      <c r="G3997" s="27" t="s">
        <v>8568</v>
      </c>
      <c r="H3997" s="28" t="s">
        <v>8569</v>
      </c>
      <c r="I3997" s="5" t="s">
        <v>233</v>
      </c>
    </row>
    <row r="3998" spans="1:9" ht="51.75" customHeight="1">
      <c r="A3998" s="5" t="s">
        <v>26074</v>
      </c>
      <c r="B3998" s="5" t="s">
        <v>34682</v>
      </c>
      <c r="C3998" s="5" t="s">
        <v>34683</v>
      </c>
      <c r="D3998" s="246">
        <v>41694</v>
      </c>
      <c r="E3998" s="5" t="s">
        <v>34684</v>
      </c>
      <c r="F3998" s="26" t="s">
        <v>23600</v>
      </c>
      <c r="G3998" s="27" t="s">
        <v>8568</v>
      </c>
      <c r="H3998" s="28" t="s">
        <v>8569</v>
      </c>
      <c r="I3998" s="5" t="s">
        <v>233</v>
      </c>
    </row>
    <row r="3999" spans="1:9" ht="51.75" customHeight="1">
      <c r="A3999" s="5" t="s">
        <v>25990</v>
      </c>
      <c r="B3999" s="5" t="s">
        <v>34685</v>
      </c>
      <c r="C3999" s="5" t="s">
        <v>34686</v>
      </c>
      <c r="D3999" s="246">
        <v>41653</v>
      </c>
      <c r="E3999" s="5" t="s">
        <v>34687</v>
      </c>
      <c r="F3999" s="26" t="s">
        <v>23600</v>
      </c>
      <c r="G3999" s="27" t="s">
        <v>8383</v>
      </c>
      <c r="H3999" s="28" t="s">
        <v>8384</v>
      </c>
      <c r="I3999" s="5" t="s">
        <v>233</v>
      </c>
    </row>
    <row r="4000" spans="1:9" ht="51.75" customHeight="1">
      <c r="A4000" s="5" t="s">
        <v>23612</v>
      </c>
      <c r="B4000" s="5" t="s">
        <v>34688</v>
      </c>
      <c r="C4000" s="5" t="s">
        <v>34689</v>
      </c>
      <c r="D4000" s="246">
        <v>41653</v>
      </c>
      <c r="E4000" s="5" t="s">
        <v>34690</v>
      </c>
      <c r="F4000" s="26" t="s">
        <v>23600</v>
      </c>
      <c r="G4000" s="27" t="s">
        <v>8383</v>
      </c>
      <c r="H4000" s="28" t="s">
        <v>8384</v>
      </c>
      <c r="I4000" s="5" t="s">
        <v>233</v>
      </c>
    </row>
    <row r="4001" spans="1:9" ht="51.75" customHeight="1">
      <c r="A4001" s="5" t="s">
        <v>23946</v>
      </c>
      <c r="B4001" s="5" t="s">
        <v>34691</v>
      </c>
      <c r="C4001" s="5" t="s">
        <v>34692</v>
      </c>
      <c r="D4001" s="246">
        <v>41653</v>
      </c>
      <c r="E4001" s="5" t="s">
        <v>34693</v>
      </c>
      <c r="F4001" s="26" t="s">
        <v>23600</v>
      </c>
      <c r="G4001" s="27" t="s">
        <v>8383</v>
      </c>
      <c r="H4001" s="28" t="s">
        <v>8384</v>
      </c>
      <c r="I4001" s="5" t="s">
        <v>233</v>
      </c>
    </row>
    <row r="4002" spans="1:9" ht="51.75" customHeight="1">
      <c r="A4002" s="5" t="s">
        <v>34092</v>
      </c>
      <c r="B4002" s="5" t="s">
        <v>34694</v>
      </c>
      <c r="C4002" s="5" t="s">
        <v>34695</v>
      </c>
      <c r="D4002" s="246">
        <v>41653</v>
      </c>
      <c r="E4002" s="5" t="s">
        <v>34696</v>
      </c>
      <c r="F4002" s="26" t="s">
        <v>23600</v>
      </c>
      <c r="G4002" s="27" t="s">
        <v>8383</v>
      </c>
      <c r="H4002" s="28" t="s">
        <v>8384</v>
      </c>
      <c r="I4002" s="5" t="s">
        <v>233</v>
      </c>
    </row>
    <row r="4003" spans="1:9" ht="51.75" customHeight="1">
      <c r="A4003" s="5" t="s">
        <v>24196</v>
      </c>
      <c r="B4003" s="5" t="s">
        <v>34697</v>
      </c>
      <c r="C4003" s="5" t="s">
        <v>34698</v>
      </c>
      <c r="D4003" s="246">
        <v>41704</v>
      </c>
      <c r="E4003" s="5" t="s">
        <v>34699</v>
      </c>
      <c r="F4003" s="26" t="s">
        <v>23600</v>
      </c>
      <c r="G4003" s="27" t="s">
        <v>8646</v>
      </c>
      <c r="H4003" s="28" t="s">
        <v>8647</v>
      </c>
      <c r="I4003" s="5" t="s">
        <v>233</v>
      </c>
    </row>
    <row r="4004" spans="1:9" ht="51.75" customHeight="1">
      <c r="A4004" s="5" t="s">
        <v>26115</v>
      </c>
      <c r="B4004" s="5" t="s">
        <v>34700</v>
      </c>
      <c r="C4004" s="5" t="s">
        <v>34701</v>
      </c>
      <c r="D4004" s="246">
        <v>41704</v>
      </c>
      <c r="E4004" s="5" t="s">
        <v>34702</v>
      </c>
      <c r="F4004" s="26" t="s">
        <v>23600</v>
      </c>
      <c r="G4004" s="27" t="s">
        <v>8646</v>
      </c>
      <c r="H4004" s="28" t="s">
        <v>8647</v>
      </c>
      <c r="I4004" s="5" t="s">
        <v>233</v>
      </c>
    </row>
    <row r="4005" spans="1:9" ht="51.75" customHeight="1">
      <c r="A4005" s="5" t="s">
        <v>26120</v>
      </c>
      <c r="B4005" s="5" t="s">
        <v>34703</v>
      </c>
      <c r="C4005" s="5" t="s">
        <v>34704</v>
      </c>
      <c r="D4005" s="246">
        <v>41704</v>
      </c>
      <c r="E4005" s="5" t="s">
        <v>34705</v>
      </c>
      <c r="F4005" s="26" t="s">
        <v>23600</v>
      </c>
      <c r="G4005" s="27" t="s">
        <v>8646</v>
      </c>
      <c r="H4005" s="28" t="s">
        <v>8647</v>
      </c>
      <c r="I4005" s="5" t="s">
        <v>233</v>
      </c>
    </row>
    <row r="4006" spans="1:9" ht="51.75" customHeight="1">
      <c r="A4006" s="5" t="s">
        <v>26531</v>
      </c>
      <c r="B4006" s="5" t="s">
        <v>34706</v>
      </c>
      <c r="C4006" s="5" t="s">
        <v>34707</v>
      </c>
      <c r="D4006" s="246">
        <v>41704</v>
      </c>
      <c r="E4006" s="5" t="s">
        <v>34708</v>
      </c>
      <c r="F4006" s="26" t="s">
        <v>23600</v>
      </c>
      <c r="G4006" s="27" t="s">
        <v>8646</v>
      </c>
      <c r="H4006" s="28" t="s">
        <v>8647</v>
      </c>
      <c r="I4006" s="5" t="s">
        <v>233</v>
      </c>
    </row>
    <row r="4007" spans="1:9" ht="51.75" customHeight="1">
      <c r="A4007" s="5" t="s">
        <v>26537</v>
      </c>
      <c r="B4007" s="5" t="s">
        <v>34709</v>
      </c>
      <c r="C4007" s="5" t="s">
        <v>34710</v>
      </c>
      <c r="D4007" s="246">
        <v>41704</v>
      </c>
      <c r="E4007" s="5" t="s">
        <v>34711</v>
      </c>
      <c r="F4007" s="26" t="s">
        <v>23600</v>
      </c>
      <c r="G4007" s="27" t="s">
        <v>8646</v>
      </c>
      <c r="H4007" s="28" t="s">
        <v>8647</v>
      </c>
      <c r="I4007" s="5" t="s">
        <v>233</v>
      </c>
    </row>
    <row r="4008" spans="1:9" ht="51.75" customHeight="1">
      <c r="A4008" s="5" t="s">
        <v>26543</v>
      </c>
      <c r="B4008" s="5" t="s">
        <v>34712</v>
      </c>
      <c r="C4008" s="5" t="s">
        <v>34713</v>
      </c>
      <c r="D4008" s="246">
        <v>41704</v>
      </c>
      <c r="E4008" s="5" t="s">
        <v>34714</v>
      </c>
      <c r="F4008" s="26" t="s">
        <v>23600</v>
      </c>
      <c r="G4008" s="27" t="s">
        <v>8646</v>
      </c>
      <c r="H4008" s="28" t="s">
        <v>8647</v>
      </c>
      <c r="I4008" s="5" t="s">
        <v>233</v>
      </c>
    </row>
    <row r="4009" spans="1:9" ht="51.75" customHeight="1">
      <c r="A4009" s="5" t="s">
        <v>26549</v>
      </c>
      <c r="B4009" s="5" t="s">
        <v>34715</v>
      </c>
      <c r="C4009" s="5" t="s">
        <v>34716</v>
      </c>
      <c r="D4009" s="246">
        <v>41704</v>
      </c>
      <c r="E4009" s="5" t="s">
        <v>34717</v>
      </c>
      <c r="F4009" s="26" t="s">
        <v>23600</v>
      </c>
      <c r="G4009" s="27" t="s">
        <v>8646</v>
      </c>
      <c r="H4009" s="28" t="s">
        <v>8647</v>
      </c>
      <c r="I4009" s="5" t="s">
        <v>233</v>
      </c>
    </row>
    <row r="4010" spans="1:9" ht="51.75" customHeight="1">
      <c r="A4010" s="5" t="s">
        <v>26555</v>
      </c>
      <c r="B4010" s="5" t="s">
        <v>34718</v>
      </c>
      <c r="C4010" s="5" t="s">
        <v>34719</v>
      </c>
      <c r="D4010" s="246">
        <v>41704</v>
      </c>
      <c r="E4010" s="5" t="s">
        <v>34720</v>
      </c>
      <c r="F4010" s="26" t="s">
        <v>23600</v>
      </c>
      <c r="G4010" s="27" t="s">
        <v>8646</v>
      </c>
      <c r="H4010" s="28" t="s">
        <v>8647</v>
      </c>
      <c r="I4010" s="5" t="s">
        <v>233</v>
      </c>
    </row>
    <row r="4011" spans="1:9" ht="51.75" customHeight="1">
      <c r="A4011" s="5" t="s">
        <v>25505</v>
      </c>
      <c r="B4011" s="5" t="s">
        <v>34721</v>
      </c>
      <c r="C4011" s="5" t="s">
        <v>34722</v>
      </c>
      <c r="D4011" s="246">
        <v>41837</v>
      </c>
      <c r="E4011" s="5" t="s">
        <v>34723</v>
      </c>
      <c r="F4011" s="26" t="s">
        <v>23600</v>
      </c>
      <c r="G4011" s="27" t="s">
        <v>8675</v>
      </c>
      <c r="H4011" s="28" t="s">
        <v>8676</v>
      </c>
      <c r="I4011" s="5" t="s">
        <v>233</v>
      </c>
    </row>
    <row r="4012" spans="1:9" ht="51.75" customHeight="1">
      <c r="A4012" s="5" t="s">
        <v>25511</v>
      </c>
      <c r="B4012" s="5" t="s">
        <v>34724</v>
      </c>
      <c r="C4012" s="5" t="s">
        <v>34725</v>
      </c>
      <c r="D4012" s="246">
        <v>41837</v>
      </c>
      <c r="E4012" s="5" t="s">
        <v>34726</v>
      </c>
      <c r="F4012" s="26" t="s">
        <v>23600</v>
      </c>
      <c r="G4012" s="27" t="s">
        <v>8675</v>
      </c>
      <c r="H4012" s="28" t="s">
        <v>8676</v>
      </c>
      <c r="I4012" s="5" t="s">
        <v>233</v>
      </c>
    </row>
    <row r="4013" spans="1:9" ht="51.75" customHeight="1">
      <c r="A4013" s="5" t="s">
        <v>25517</v>
      </c>
      <c r="B4013" s="5" t="s">
        <v>34727</v>
      </c>
      <c r="C4013" s="5" t="s">
        <v>34728</v>
      </c>
      <c r="D4013" s="246">
        <v>41837</v>
      </c>
      <c r="E4013" s="5" t="s">
        <v>34729</v>
      </c>
      <c r="F4013" s="26" t="s">
        <v>23600</v>
      </c>
      <c r="G4013" s="27" t="s">
        <v>8675</v>
      </c>
      <c r="H4013" s="28" t="s">
        <v>8676</v>
      </c>
      <c r="I4013" s="5" t="s">
        <v>233</v>
      </c>
    </row>
    <row r="4014" spans="1:9" ht="51.75" customHeight="1">
      <c r="A4014" s="5" t="s">
        <v>23872</v>
      </c>
      <c r="B4014" s="5" t="s">
        <v>34730</v>
      </c>
      <c r="C4014" s="5" t="s">
        <v>34731</v>
      </c>
      <c r="D4014" s="246">
        <v>41837</v>
      </c>
      <c r="E4014" s="5" t="s">
        <v>34732</v>
      </c>
      <c r="F4014" s="26" t="s">
        <v>23600</v>
      </c>
      <c r="G4014" s="27" t="s">
        <v>8675</v>
      </c>
      <c r="H4014" s="28" t="s">
        <v>8676</v>
      </c>
      <c r="I4014" s="5" t="s">
        <v>233</v>
      </c>
    </row>
    <row r="4015" spans="1:9" ht="51.75" customHeight="1">
      <c r="A4015" s="5" t="s">
        <v>23876</v>
      </c>
      <c r="B4015" s="5" t="s">
        <v>34733</v>
      </c>
      <c r="C4015" s="5" t="s">
        <v>34734</v>
      </c>
      <c r="D4015" s="246">
        <v>41484</v>
      </c>
      <c r="E4015" s="5" t="s">
        <v>34735</v>
      </c>
      <c r="F4015" s="26"/>
      <c r="G4015" s="27" t="s">
        <v>7326</v>
      </c>
      <c r="H4015" s="28" t="s">
        <v>7327</v>
      </c>
      <c r="I4015" s="5" t="s">
        <v>233</v>
      </c>
    </row>
    <row r="4016" spans="1:9" ht="51.75" customHeight="1">
      <c r="A4016" s="5" t="s">
        <v>23772</v>
      </c>
      <c r="B4016" s="5" t="s">
        <v>34736</v>
      </c>
      <c r="C4016" s="5" t="s">
        <v>34737</v>
      </c>
      <c r="D4016" s="246">
        <v>41484</v>
      </c>
      <c r="E4016" s="5" t="s">
        <v>34738</v>
      </c>
      <c r="F4016" s="26"/>
      <c r="G4016" s="27" t="s">
        <v>7326</v>
      </c>
      <c r="H4016" s="28" t="s">
        <v>7327</v>
      </c>
      <c r="I4016" s="5" t="s">
        <v>233</v>
      </c>
    </row>
    <row r="4017" spans="1:9" ht="51.75" customHeight="1">
      <c r="A4017" s="5" t="s">
        <v>23839</v>
      </c>
      <c r="B4017" s="5" t="s">
        <v>34739</v>
      </c>
      <c r="C4017" s="5" t="s">
        <v>34740</v>
      </c>
      <c r="D4017" s="246">
        <v>41484</v>
      </c>
      <c r="E4017" s="5" t="s">
        <v>34741</v>
      </c>
      <c r="F4017" s="26"/>
      <c r="G4017" s="27" t="s">
        <v>7326</v>
      </c>
      <c r="H4017" s="28" t="s">
        <v>7327</v>
      </c>
      <c r="I4017" s="5" t="s">
        <v>233</v>
      </c>
    </row>
    <row r="4018" spans="1:9" ht="51.75" customHeight="1">
      <c r="A4018" s="5" t="s">
        <v>23843</v>
      </c>
      <c r="B4018" s="5" t="s">
        <v>34742</v>
      </c>
      <c r="C4018" s="5" t="s">
        <v>34743</v>
      </c>
      <c r="D4018" s="246">
        <v>41484</v>
      </c>
      <c r="E4018" s="5" t="s">
        <v>34744</v>
      </c>
      <c r="F4018" s="26"/>
      <c r="G4018" s="27" t="s">
        <v>7326</v>
      </c>
      <c r="H4018" s="28" t="s">
        <v>7327</v>
      </c>
      <c r="I4018" s="5" t="s">
        <v>233</v>
      </c>
    </row>
    <row r="4019" spans="1:9" ht="51.75" customHeight="1">
      <c r="A4019" s="5" t="s">
        <v>23915</v>
      </c>
      <c r="B4019" s="5" t="s">
        <v>34745</v>
      </c>
      <c r="C4019" s="5" t="s">
        <v>34746</v>
      </c>
      <c r="D4019" s="246">
        <v>41484</v>
      </c>
      <c r="E4019" s="5" t="s">
        <v>34747</v>
      </c>
      <c r="F4019" s="26"/>
      <c r="G4019" s="27" t="s">
        <v>7326</v>
      </c>
      <c r="H4019" s="28" t="s">
        <v>7327</v>
      </c>
      <c r="I4019" s="5" t="s">
        <v>233</v>
      </c>
    </row>
    <row r="4020" spans="1:9" ht="51.75" customHeight="1">
      <c r="A4020" s="5" t="s">
        <v>28178</v>
      </c>
      <c r="B4020" s="5" t="s">
        <v>34748</v>
      </c>
      <c r="C4020" s="5" t="s">
        <v>34749</v>
      </c>
      <c r="D4020" s="246">
        <v>41771</v>
      </c>
      <c r="E4020" s="5" t="s">
        <v>34750</v>
      </c>
      <c r="F4020" s="26" t="s">
        <v>23600</v>
      </c>
      <c r="G4020" s="27" t="s">
        <v>8809</v>
      </c>
      <c r="H4020" s="28" t="s">
        <v>8810</v>
      </c>
      <c r="I4020" s="5" t="s">
        <v>233</v>
      </c>
    </row>
    <row r="4021" spans="1:9" ht="51.75" customHeight="1">
      <c r="A4021" s="5" t="s">
        <v>28182</v>
      </c>
      <c r="B4021" s="5" t="s">
        <v>34751</v>
      </c>
      <c r="C4021" s="5" t="s">
        <v>34752</v>
      </c>
      <c r="D4021" s="246">
        <v>41771</v>
      </c>
      <c r="E4021" s="5" t="s">
        <v>34753</v>
      </c>
      <c r="F4021" s="26" t="s">
        <v>23600</v>
      </c>
      <c r="G4021" s="27" t="s">
        <v>8809</v>
      </c>
      <c r="H4021" s="28" t="s">
        <v>8810</v>
      </c>
      <c r="I4021" s="5" t="s">
        <v>233</v>
      </c>
    </row>
    <row r="4022" spans="1:9" ht="51.75" customHeight="1">
      <c r="A4022" s="5" t="s">
        <v>25262</v>
      </c>
      <c r="B4022" s="5" t="s">
        <v>34754</v>
      </c>
      <c r="C4022" s="5" t="s">
        <v>34755</v>
      </c>
      <c r="D4022" s="246">
        <v>41771</v>
      </c>
      <c r="E4022" s="5" t="s">
        <v>34756</v>
      </c>
      <c r="F4022" s="26" t="s">
        <v>23600</v>
      </c>
      <c r="G4022" s="27" t="s">
        <v>8809</v>
      </c>
      <c r="H4022" s="28" t="s">
        <v>8810</v>
      </c>
      <c r="I4022" s="5" t="s">
        <v>233</v>
      </c>
    </row>
    <row r="4023" spans="1:9" ht="51.75" customHeight="1">
      <c r="A4023" s="5" t="s">
        <v>25265</v>
      </c>
      <c r="B4023" s="5" t="s">
        <v>34757</v>
      </c>
      <c r="C4023" s="5" t="s">
        <v>34758</v>
      </c>
      <c r="D4023" s="246">
        <v>41774</v>
      </c>
      <c r="E4023" s="5" t="s">
        <v>34759</v>
      </c>
      <c r="F4023" s="26" t="s">
        <v>23600</v>
      </c>
      <c r="G4023" s="27" t="s">
        <v>8837</v>
      </c>
      <c r="H4023" s="28" t="s">
        <v>8838</v>
      </c>
      <c r="I4023" s="5" t="s">
        <v>233</v>
      </c>
    </row>
    <row r="4024" spans="1:9" ht="51.75" customHeight="1">
      <c r="A4024" s="5" t="s">
        <v>25268</v>
      </c>
      <c r="B4024" s="5" t="s">
        <v>34760</v>
      </c>
      <c r="C4024" s="5" t="s">
        <v>34761</v>
      </c>
      <c r="D4024" s="246">
        <v>41774</v>
      </c>
      <c r="E4024" s="5" t="s">
        <v>34762</v>
      </c>
      <c r="F4024" s="26" t="s">
        <v>23600</v>
      </c>
      <c r="G4024" s="27" t="s">
        <v>8837</v>
      </c>
      <c r="H4024" s="28" t="s">
        <v>8838</v>
      </c>
      <c r="I4024" s="5" t="s">
        <v>233</v>
      </c>
    </row>
    <row r="4025" spans="1:9" ht="51.75" customHeight="1">
      <c r="A4025" s="5" t="s">
        <v>25202</v>
      </c>
      <c r="B4025" s="5" t="s">
        <v>34763</v>
      </c>
      <c r="C4025" s="5" t="s">
        <v>34764</v>
      </c>
      <c r="D4025" s="246">
        <v>41774</v>
      </c>
      <c r="E4025" s="5" t="s">
        <v>34765</v>
      </c>
      <c r="F4025" s="26" t="s">
        <v>23600</v>
      </c>
      <c r="G4025" s="27" t="s">
        <v>8837</v>
      </c>
      <c r="H4025" s="28" t="s">
        <v>8838</v>
      </c>
      <c r="I4025" s="5" t="s">
        <v>233</v>
      </c>
    </row>
    <row r="4026" spans="1:9" ht="51.75" customHeight="1">
      <c r="A4026" s="5" t="s">
        <v>25206</v>
      </c>
      <c r="B4026" s="5" t="s">
        <v>34766</v>
      </c>
      <c r="C4026" s="5" t="s">
        <v>34767</v>
      </c>
      <c r="D4026" s="246">
        <v>41774</v>
      </c>
      <c r="E4026" s="5" t="s">
        <v>34768</v>
      </c>
      <c r="F4026" s="26" t="s">
        <v>23600</v>
      </c>
      <c r="G4026" s="27" t="s">
        <v>8837</v>
      </c>
      <c r="H4026" s="28" t="s">
        <v>8838</v>
      </c>
      <c r="I4026" s="5" t="s">
        <v>233</v>
      </c>
    </row>
    <row r="4027" spans="1:9" ht="51.75" customHeight="1">
      <c r="A4027" s="5" t="s">
        <v>25210</v>
      </c>
      <c r="B4027" s="5" t="s">
        <v>34769</v>
      </c>
      <c r="C4027" s="5" t="s">
        <v>34770</v>
      </c>
      <c r="D4027" s="246">
        <v>41774</v>
      </c>
      <c r="E4027" s="5" t="s">
        <v>34771</v>
      </c>
      <c r="F4027" s="26" t="s">
        <v>23600</v>
      </c>
      <c r="G4027" s="27" t="s">
        <v>8837</v>
      </c>
      <c r="H4027" s="28" t="s">
        <v>8838</v>
      </c>
      <c r="I4027" s="5" t="s">
        <v>233</v>
      </c>
    </row>
    <row r="4028" spans="1:9" ht="51.75" customHeight="1">
      <c r="A4028" s="5" t="s">
        <v>23776</v>
      </c>
      <c r="B4028" s="5" t="s">
        <v>34772</v>
      </c>
      <c r="C4028" s="5" t="s">
        <v>34773</v>
      </c>
      <c r="D4028" s="246">
        <v>41774</v>
      </c>
      <c r="E4028" s="5" t="s">
        <v>34774</v>
      </c>
      <c r="F4028" s="26" t="s">
        <v>23600</v>
      </c>
      <c r="G4028" s="27" t="s">
        <v>8837</v>
      </c>
      <c r="H4028" s="28" t="s">
        <v>8838</v>
      </c>
      <c r="I4028" s="5" t="s">
        <v>233</v>
      </c>
    </row>
    <row r="4029" spans="1:9" ht="51.75" customHeight="1">
      <c r="A4029" s="5" t="s">
        <v>24515</v>
      </c>
      <c r="B4029" s="5" t="s">
        <v>34775</v>
      </c>
      <c r="C4029" s="5" t="s">
        <v>34776</v>
      </c>
      <c r="D4029" s="246">
        <v>41806</v>
      </c>
      <c r="E4029" s="5" t="s">
        <v>34777</v>
      </c>
      <c r="F4029" s="26"/>
      <c r="G4029" s="27" t="s">
        <v>8893</v>
      </c>
      <c r="H4029" s="28" t="s">
        <v>8894</v>
      </c>
      <c r="I4029" s="5" t="s">
        <v>233</v>
      </c>
    </row>
    <row r="4030" spans="1:9" ht="51.75" customHeight="1">
      <c r="A4030" s="5" t="s">
        <v>33680</v>
      </c>
      <c r="B4030" s="5" t="s">
        <v>34778</v>
      </c>
      <c r="C4030" s="5" t="s">
        <v>34779</v>
      </c>
      <c r="D4030" s="246">
        <v>41806</v>
      </c>
      <c r="E4030" s="5" t="s">
        <v>34780</v>
      </c>
      <c r="F4030" s="26"/>
      <c r="G4030" s="27" t="s">
        <v>8893</v>
      </c>
      <c r="H4030" s="28" t="s">
        <v>8894</v>
      </c>
      <c r="I4030" s="5" t="s">
        <v>233</v>
      </c>
    </row>
    <row r="4031" spans="1:9" ht="51.75" customHeight="1">
      <c r="A4031" s="5" t="s">
        <v>24299</v>
      </c>
      <c r="B4031" s="5" t="s">
        <v>34781</v>
      </c>
      <c r="C4031" s="5" t="s">
        <v>34782</v>
      </c>
      <c r="D4031" s="246">
        <v>41806</v>
      </c>
      <c r="E4031" s="5" t="s">
        <v>34783</v>
      </c>
      <c r="F4031" s="26"/>
      <c r="G4031" s="27" t="s">
        <v>8893</v>
      </c>
      <c r="H4031" s="28" t="s">
        <v>8894</v>
      </c>
      <c r="I4031" s="5" t="s">
        <v>233</v>
      </c>
    </row>
    <row r="4032" spans="1:9" ht="51.75" customHeight="1">
      <c r="A4032" s="5" t="s">
        <v>24303</v>
      </c>
      <c r="B4032" s="5" t="s">
        <v>34784</v>
      </c>
      <c r="C4032" s="5" t="s">
        <v>34785</v>
      </c>
      <c r="D4032" s="246">
        <v>41806</v>
      </c>
      <c r="E4032" s="5" t="s">
        <v>34786</v>
      </c>
      <c r="F4032" s="26"/>
      <c r="G4032" s="27" t="s">
        <v>8893</v>
      </c>
      <c r="H4032" s="28" t="s">
        <v>8894</v>
      </c>
      <c r="I4032" s="5" t="s">
        <v>233</v>
      </c>
    </row>
    <row r="4033" spans="1:9" ht="51.75" customHeight="1">
      <c r="A4033" s="5" t="s">
        <v>27721</v>
      </c>
      <c r="B4033" s="5" t="s">
        <v>34787</v>
      </c>
      <c r="C4033" s="5" t="s">
        <v>34788</v>
      </c>
      <c r="D4033" s="246">
        <v>41912</v>
      </c>
      <c r="E4033" s="5" t="s">
        <v>34789</v>
      </c>
      <c r="F4033" s="26" t="s">
        <v>23600</v>
      </c>
      <c r="G4033" s="27" t="s">
        <v>8827</v>
      </c>
      <c r="H4033" s="28" t="s">
        <v>8828</v>
      </c>
      <c r="I4033" s="5" t="s">
        <v>233</v>
      </c>
    </row>
    <row r="4034" spans="1:9" ht="51.75" customHeight="1">
      <c r="A4034" s="5" t="s">
        <v>24554</v>
      </c>
      <c r="B4034" s="5" t="s">
        <v>34790</v>
      </c>
      <c r="C4034" s="5" t="s">
        <v>34791</v>
      </c>
      <c r="D4034" s="246">
        <v>41912</v>
      </c>
      <c r="E4034" s="5" t="s">
        <v>34792</v>
      </c>
      <c r="F4034" s="26" t="s">
        <v>23600</v>
      </c>
      <c r="G4034" s="27" t="s">
        <v>8827</v>
      </c>
      <c r="H4034" s="28" t="s">
        <v>8828</v>
      </c>
      <c r="I4034" s="5" t="s">
        <v>233</v>
      </c>
    </row>
    <row r="4035" spans="1:9" ht="51.75" customHeight="1">
      <c r="A4035" s="5" t="s">
        <v>24558</v>
      </c>
      <c r="B4035" s="5" t="s">
        <v>34793</v>
      </c>
      <c r="C4035" s="5" t="s">
        <v>34794</v>
      </c>
      <c r="D4035" s="246">
        <v>41912</v>
      </c>
      <c r="E4035" s="5" t="s">
        <v>34795</v>
      </c>
      <c r="F4035" s="26" t="s">
        <v>23600</v>
      </c>
      <c r="G4035" s="27" t="s">
        <v>8827</v>
      </c>
      <c r="H4035" s="28" t="s">
        <v>8828</v>
      </c>
      <c r="I4035" s="5" t="s">
        <v>233</v>
      </c>
    </row>
    <row r="4036" spans="1:9" ht="51.75" customHeight="1">
      <c r="A4036" s="5" t="s">
        <v>26697</v>
      </c>
      <c r="B4036" s="5" t="s">
        <v>34796</v>
      </c>
      <c r="C4036" s="5" t="s">
        <v>34797</v>
      </c>
      <c r="D4036" s="246">
        <v>41912</v>
      </c>
      <c r="E4036" s="5" t="s">
        <v>34798</v>
      </c>
      <c r="F4036" s="26" t="s">
        <v>23600</v>
      </c>
      <c r="G4036" s="27" t="s">
        <v>8827</v>
      </c>
      <c r="H4036" s="28" t="s">
        <v>8828</v>
      </c>
      <c r="I4036" s="5" t="s">
        <v>233</v>
      </c>
    </row>
    <row r="4037" spans="1:9" ht="51.75" customHeight="1">
      <c r="A4037" s="5" t="s">
        <v>26703</v>
      </c>
      <c r="B4037" s="5" t="s">
        <v>34799</v>
      </c>
      <c r="C4037" s="5" t="s">
        <v>34800</v>
      </c>
      <c r="D4037" s="246">
        <v>41912</v>
      </c>
      <c r="E4037" s="5" t="s">
        <v>34801</v>
      </c>
      <c r="F4037" s="26" t="s">
        <v>23600</v>
      </c>
      <c r="G4037" s="27" t="s">
        <v>8827</v>
      </c>
      <c r="H4037" s="28" t="s">
        <v>8828</v>
      </c>
      <c r="I4037" s="5" t="s">
        <v>233</v>
      </c>
    </row>
    <row r="4038" spans="1:9" ht="51.75" customHeight="1">
      <c r="A4038" s="5" t="s">
        <v>25278</v>
      </c>
      <c r="B4038" s="5" t="s">
        <v>34802</v>
      </c>
      <c r="C4038" s="5" t="s">
        <v>34803</v>
      </c>
      <c r="D4038" s="246">
        <v>41912</v>
      </c>
      <c r="E4038" s="5" t="s">
        <v>34804</v>
      </c>
      <c r="F4038" s="26" t="s">
        <v>23600</v>
      </c>
      <c r="G4038" s="27" t="s">
        <v>8827</v>
      </c>
      <c r="H4038" s="28" t="s">
        <v>8828</v>
      </c>
      <c r="I4038" s="5" t="s">
        <v>233</v>
      </c>
    </row>
    <row r="4039" spans="1:9" ht="51.75" customHeight="1">
      <c r="A4039" s="5" t="s">
        <v>24591</v>
      </c>
      <c r="B4039" s="5" t="s">
        <v>34805</v>
      </c>
      <c r="C4039" s="5" t="s">
        <v>34806</v>
      </c>
      <c r="D4039" s="246">
        <v>41760</v>
      </c>
      <c r="E4039" s="5" t="s">
        <v>34807</v>
      </c>
      <c r="F4039" s="26" t="s">
        <v>23600</v>
      </c>
      <c r="G4039" s="27" t="s">
        <v>8989</v>
      </c>
      <c r="H4039" s="28" t="s">
        <v>8990</v>
      </c>
      <c r="I4039" s="5" t="s">
        <v>233</v>
      </c>
    </row>
    <row r="4040" spans="1:9" ht="51.75" customHeight="1">
      <c r="A4040" s="5" t="s">
        <v>24595</v>
      </c>
      <c r="B4040" s="5" t="s">
        <v>34808</v>
      </c>
      <c r="C4040" s="5" t="s">
        <v>34809</v>
      </c>
      <c r="D4040" s="246">
        <v>41760</v>
      </c>
      <c r="E4040" s="5" t="s">
        <v>34810</v>
      </c>
      <c r="F4040" s="26" t="s">
        <v>23600</v>
      </c>
      <c r="G4040" s="27" t="s">
        <v>8989</v>
      </c>
      <c r="H4040" s="28" t="s">
        <v>8990</v>
      </c>
      <c r="I4040" s="5" t="s">
        <v>233</v>
      </c>
    </row>
    <row r="4041" spans="1:9" ht="51.75" customHeight="1">
      <c r="A4041" s="5" t="s">
        <v>25190</v>
      </c>
      <c r="B4041" s="5" t="s">
        <v>34811</v>
      </c>
      <c r="C4041" s="5" t="s">
        <v>34812</v>
      </c>
      <c r="D4041" s="246">
        <v>41760</v>
      </c>
      <c r="E4041" s="5" t="s">
        <v>34813</v>
      </c>
      <c r="F4041" s="26" t="s">
        <v>23600</v>
      </c>
      <c r="G4041" s="27" t="s">
        <v>8989</v>
      </c>
      <c r="H4041" s="28" t="s">
        <v>8990</v>
      </c>
      <c r="I4041" s="5" t="s">
        <v>233</v>
      </c>
    </row>
    <row r="4042" spans="1:9" ht="51.75" customHeight="1">
      <c r="A4042" s="5" t="s">
        <v>25194</v>
      </c>
      <c r="B4042" s="5" t="s">
        <v>34814</v>
      </c>
      <c r="C4042" s="5" t="s">
        <v>34815</v>
      </c>
      <c r="D4042" s="246">
        <v>41760</v>
      </c>
      <c r="E4042" s="5" t="s">
        <v>34816</v>
      </c>
      <c r="F4042" s="26" t="s">
        <v>23600</v>
      </c>
      <c r="G4042" s="27" t="s">
        <v>8989</v>
      </c>
      <c r="H4042" s="28" t="s">
        <v>8990</v>
      </c>
      <c r="I4042" s="5" t="s">
        <v>233</v>
      </c>
    </row>
    <row r="4043" spans="1:9" ht="51.75" customHeight="1">
      <c r="A4043" s="5" t="s">
        <v>25198</v>
      </c>
      <c r="B4043" s="5" t="s">
        <v>34817</v>
      </c>
      <c r="C4043" s="5" t="s">
        <v>34818</v>
      </c>
      <c r="D4043" s="246">
        <v>41760</v>
      </c>
      <c r="E4043" s="5" t="s">
        <v>34819</v>
      </c>
      <c r="F4043" s="26" t="s">
        <v>23600</v>
      </c>
      <c r="G4043" s="27" t="s">
        <v>8989</v>
      </c>
      <c r="H4043" s="28" t="s">
        <v>8990</v>
      </c>
      <c r="I4043" s="5" t="s">
        <v>233</v>
      </c>
    </row>
    <row r="4044" spans="1:9" ht="51.75" customHeight="1">
      <c r="A4044" s="5" t="s">
        <v>26285</v>
      </c>
      <c r="B4044" s="5" t="s">
        <v>34820</v>
      </c>
      <c r="C4044" s="5" t="s">
        <v>34821</v>
      </c>
      <c r="D4044" s="246">
        <v>41988</v>
      </c>
      <c r="E4044" s="5" t="s">
        <v>34822</v>
      </c>
      <c r="F4044" s="26" t="s">
        <v>23600</v>
      </c>
      <c r="G4044" s="27" t="s">
        <v>8965</v>
      </c>
      <c r="H4044" s="28" t="s">
        <v>8966</v>
      </c>
      <c r="I4044" s="5" t="s">
        <v>233</v>
      </c>
    </row>
    <row r="4045" spans="1:9" ht="51.75" customHeight="1">
      <c r="A4045" s="5" t="s">
        <v>26296</v>
      </c>
      <c r="B4045" s="5" t="s">
        <v>34823</v>
      </c>
      <c r="C4045" s="5" t="s">
        <v>34824</v>
      </c>
      <c r="D4045" s="246">
        <v>41988</v>
      </c>
      <c r="E4045" s="5" t="s">
        <v>34825</v>
      </c>
      <c r="F4045" s="26" t="s">
        <v>23600</v>
      </c>
      <c r="G4045" s="27" t="s">
        <v>8965</v>
      </c>
      <c r="H4045" s="28" t="s">
        <v>8966</v>
      </c>
      <c r="I4045" s="5" t="s">
        <v>233</v>
      </c>
    </row>
    <row r="4046" spans="1:9" ht="51.75" customHeight="1">
      <c r="A4046" s="5" t="s">
        <v>26301</v>
      </c>
      <c r="B4046" s="5" t="s">
        <v>34826</v>
      </c>
      <c r="C4046" s="5" t="s">
        <v>34827</v>
      </c>
      <c r="D4046" s="246">
        <v>41988</v>
      </c>
      <c r="E4046" s="5" t="s">
        <v>34828</v>
      </c>
      <c r="F4046" s="26" t="s">
        <v>23600</v>
      </c>
      <c r="G4046" s="27" t="s">
        <v>8965</v>
      </c>
      <c r="H4046" s="28" t="s">
        <v>8966</v>
      </c>
      <c r="I4046" s="5" t="s">
        <v>233</v>
      </c>
    </row>
    <row r="4047" spans="1:9" ht="51.75" customHeight="1">
      <c r="A4047" s="5" t="s">
        <v>25539</v>
      </c>
      <c r="B4047" s="5" t="s">
        <v>34829</v>
      </c>
      <c r="C4047" s="5" t="s">
        <v>34830</v>
      </c>
      <c r="D4047" s="246">
        <v>41988</v>
      </c>
      <c r="E4047" s="5" t="s">
        <v>34831</v>
      </c>
      <c r="F4047" s="26" t="s">
        <v>23600</v>
      </c>
      <c r="G4047" s="27" t="s">
        <v>8965</v>
      </c>
      <c r="H4047" s="28" t="s">
        <v>8966</v>
      </c>
      <c r="I4047" s="5" t="s">
        <v>233</v>
      </c>
    </row>
    <row r="4048" spans="1:9" ht="51.75" customHeight="1">
      <c r="A4048" s="5" t="s">
        <v>25944</v>
      </c>
      <c r="B4048" s="5" t="s">
        <v>34832</v>
      </c>
      <c r="C4048" s="5" t="s">
        <v>34833</v>
      </c>
      <c r="D4048" s="246">
        <v>41988</v>
      </c>
      <c r="E4048" s="5" t="s">
        <v>34834</v>
      </c>
      <c r="F4048" s="26" t="s">
        <v>23600</v>
      </c>
      <c r="G4048" s="27" t="s">
        <v>8965</v>
      </c>
      <c r="H4048" s="28" t="s">
        <v>8966</v>
      </c>
      <c r="I4048" s="5" t="s">
        <v>233</v>
      </c>
    </row>
    <row r="4049" spans="1:9" ht="51.75" customHeight="1">
      <c r="A4049" s="5" t="s">
        <v>25350</v>
      </c>
      <c r="B4049" s="5" t="s">
        <v>34835</v>
      </c>
      <c r="C4049" s="5" t="s">
        <v>34836</v>
      </c>
      <c r="D4049" s="246">
        <v>41848</v>
      </c>
      <c r="E4049" s="5" t="s">
        <v>34837</v>
      </c>
      <c r="F4049" s="26" t="s">
        <v>23600</v>
      </c>
      <c r="G4049" s="27" t="s">
        <v>9127</v>
      </c>
      <c r="H4049" s="28" t="s">
        <v>9128</v>
      </c>
      <c r="I4049" s="5" t="s">
        <v>233</v>
      </c>
    </row>
    <row r="4050" spans="1:9" ht="51.75" customHeight="1">
      <c r="A4050" s="5" t="s">
        <v>34838</v>
      </c>
      <c r="B4050" s="5" t="s">
        <v>34839</v>
      </c>
      <c r="C4050" s="5" t="s">
        <v>34840</v>
      </c>
      <c r="D4050" s="246">
        <v>41848</v>
      </c>
      <c r="E4050" s="5" t="s">
        <v>34841</v>
      </c>
      <c r="F4050" s="26" t="s">
        <v>23600</v>
      </c>
      <c r="G4050" s="27" t="s">
        <v>9127</v>
      </c>
      <c r="H4050" s="28" t="s">
        <v>9128</v>
      </c>
      <c r="I4050" s="5" t="s">
        <v>233</v>
      </c>
    </row>
    <row r="4051" spans="1:9" ht="51.75" customHeight="1">
      <c r="A4051" s="5" t="s">
        <v>25354</v>
      </c>
      <c r="B4051" s="5" t="s">
        <v>34842</v>
      </c>
      <c r="C4051" s="5" t="s">
        <v>34843</v>
      </c>
      <c r="D4051" s="246">
        <v>41848</v>
      </c>
      <c r="E4051" s="5" t="s">
        <v>34844</v>
      </c>
      <c r="F4051" s="26" t="s">
        <v>23600</v>
      </c>
      <c r="G4051" s="27" t="s">
        <v>9127</v>
      </c>
      <c r="H4051" s="28" t="s">
        <v>9128</v>
      </c>
      <c r="I4051" s="5" t="s">
        <v>233</v>
      </c>
    </row>
    <row r="4052" spans="1:9" ht="51.75" customHeight="1">
      <c r="A4052" s="5" t="s">
        <v>23956</v>
      </c>
      <c r="B4052" s="5" t="s">
        <v>34845</v>
      </c>
      <c r="C4052" s="5" t="s">
        <v>34846</v>
      </c>
      <c r="D4052" s="246">
        <v>41848</v>
      </c>
      <c r="E4052" s="5" t="s">
        <v>34847</v>
      </c>
      <c r="F4052" s="26" t="s">
        <v>23600</v>
      </c>
      <c r="G4052" s="27" t="s">
        <v>9127</v>
      </c>
      <c r="H4052" s="28" t="s">
        <v>9128</v>
      </c>
      <c r="I4052" s="5" t="s">
        <v>233</v>
      </c>
    </row>
    <row r="4053" spans="1:9" ht="51.75" customHeight="1">
      <c r="A4053" s="5" t="s">
        <v>25666</v>
      </c>
      <c r="B4053" s="5" t="s">
        <v>34848</v>
      </c>
      <c r="C4053" s="5" t="s">
        <v>34849</v>
      </c>
      <c r="D4053" s="246">
        <v>41848</v>
      </c>
      <c r="E4053" s="5" t="s">
        <v>34850</v>
      </c>
      <c r="F4053" s="26" t="s">
        <v>23600</v>
      </c>
      <c r="G4053" s="27" t="s">
        <v>9127</v>
      </c>
      <c r="H4053" s="28" t="s">
        <v>9128</v>
      </c>
      <c r="I4053" s="5" t="s">
        <v>233</v>
      </c>
    </row>
    <row r="4054" spans="1:9" ht="51.75" customHeight="1">
      <c r="A4054" s="5" t="s">
        <v>25358</v>
      </c>
      <c r="B4054" s="5" t="s">
        <v>34851</v>
      </c>
      <c r="C4054" s="5" t="s">
        <v>34852</v>
      </c>
      <c r="D4054" s="246">
        <v>41848</v>
      </c>
      <c r="E4054" s="5" t="s">
        <v>34853</v>
      </c>
      <c r="F4054" s="26" t="s">
        <v>23600</v>
      </c>
      <c r="G4054" s="27" t="s">
        <v>9127</v>
      </c>
      <c r="H4054" s="28" t="s">
        <v>9128</v>
      </c>
      <c r="I4054" s="5" t="s">
        <v>233</v>
      </c>
    </row>
    <row r="4055" spans="1:9" ht="51.75" customHeight="1">
      <c r="A4055" s="5" t="s">
        <v>25905</v>
      </c>
      <c r="B4055" s="5" t="s">
        <v>34854</v>
      </c>
      <c r="C4055" s="5" t="s">
        <v>34855</v>
      </c>
      <c r="D4055" s="246">
        <v>42096</v>
      </c>
      <c r="E4055" s="5" t="s">
        <v>34856</v>
      </c>
      <c r="F4055" s="26" t="s">
        <v>23600</v>
      </c>
      <c r="G4055" s="27" t="s">
        <v>9133</v>
      </c>
      <c r="H4055" s="28" t="s">
        <v>9134</v>
      </c>
      <c r="I4055" s="5" t="s">
        <v>233</v>
      </c>
    </row>
    <row r="4056" spans="1:9" ht="51.75" customHeight="1">
      <c r="A4056" s="5" t="s">
        <v>24448</v>
      </c>
      <c r="B4056" s="5" t="s">
        <v>34857</v>
      </c>
      <c r="C4056" s="5" t="s">
        <v>34858</v>
      </c>
      <c r="D4056" s="246">
        <v>42096</v>
      </c>
      <c r="E4056" s="5" t="s">
        <v>34859</v>
      </c>
      <c r="F4056" s="26" t="s">
        <v>23600</v>
      </c>
      <c r="G4056" s="27" t="s">
        <v>9133</v>
      </c>
      <c r="H4056" s="28" t="s">
        <v>9134</v>
      </c>
      <c r="I4056" s="5" t="s">
        <v>233</v>
      </c>
    </row>
    <row r="4057" spans="1:9" ht="51.75" customHeight="1">
      <c r="A4057" s="5" t="s">
        <v>24452</v>
      </c>
      <c r="B4057" s="5" t="s">
        <v>34860</v>
      </c>
      <c r="C4057" s="5" t="s">
        <v>34861</v>
      </c>
      <c r="D4057" s="246">
        <v>42096</v>
      </c>
      <c r="E4057" s="5" t="s">
        <v>34862</v>
      </c>
      <c r="F4057" s="26" t="s">
        <v>23600</v>
      </c>
      <c r="G4057" s="27" t="s">
        <v>9133</v>
      </c>
      <c r="H4057" s="28" t="s">
        <v>9134</v>
      </c>
      <c r="I4057" s="5" t="s">
        <v>233</v>
      </c>
    </row>
    <row r="4058" spans="1:9" ht="51.75" customHeight="1">
      <c r="A4058" s="5" t="s">
        <v>24456</v>
      </c>
      <c r="B4058" s="5" t="s">
        <v>34863</v>
      </c>
      <c r="C4058" s="5" t="s">
        <v>34864</v>
      </c>
      <c r="D4058" s="246">
        <v>42096</v>
      </c>
      <c r="E4058" s="5" t="s">
        <v>34865</v>
      </c>
      <c r="F4058" s="26" t="s">
        <v>23600</v>
      </c>
      <c r="G4058" s="27" t="s">
        <v>9133</v>
      </c>
      <c r="H4058" s="28" t="s">
        <v>9134</v>
      </c>
      <c r="I4058" s="5" t="s">
        <v>233</v>
      </c>
    </row>
    <row r="4059" spans="1:9" ht="51.75" customHeight="1">
      <c r="A4059" s="5" t="s">
        <v>28434</v>
      </c>
      <c r="B4059" s="5" t="s">
        <v>34866</v>
      </c>
      <c r="C4059" s="5" t="s">
        <v>34867</v>
      </c>
      <c r="D4059" s="246">
        <v>41865</v>
      </c>
      <c r="E4059" s="5" t="s">
        <v>34868</v>
      </c>
      <c r="F4059" s="26" t="s">
        <v>23600</v>
      </c>
      <c r="G4059" s="27" t="s">
        <v>9139</v>
      </c>
      <c r="H4059" s="28" t="s">
        <v>9140</v>
      </c>
      <c r="I4059" s="5" t="s">
        <v>233</v>
      </c>
    </row>
    <row r="4060" spans="1:9" ht="51.75" customHeight="1">
      <c r="A4060" s="5" t="s">
        <v>28437</v>
      </c>
      <c r="B4060" s="5" t="s">
        <v>34869</v>
      </c>
      <c r="C4060" s="5" t="s">
        <v>34870</v>
      </c>
      <c r="D4060" s="246">
        <v>41865</v>
      </c>
      <c r="E4060" s="5" t="s">
        <v>34871</v>
      </c>
      <c r="F4060" s="26" t="s">
        <v>23600</v>
      </c>
      <c r="G4060" s="27" t="s">
        <v>9139</v>
      </c>
      <c r="H4060" s="28" t="s">
        <v>9140</v>
      </c>
      <c r="I4060" s="5" t="s">
        <v>233</v>
      </c>
    </row>
    <row r="4061" spans="1:9" ht="51.75" customHeight="1">
      <c r="A4061" s="5" t="s">
        <v>28440</v>
      </c>
      <c r="B4061" s="5" t="s">
        <v>34872</v>
      </c>
      <c r="C4061" s="5" t="s">
        <v>34873</v>
      </c>
      <c r="D4061" s="246">
        <v>41865</v>
      </c>
      <c r="E4061" s="5" t="s">
        <v>34874</v>
      </c>
      <c r="F4061" s="26" t="s">
        <v>23600</v>
      </c>
      <c r="G4061" s="27" t="s">
        <v>9139</v>
      </c>
      <c r="H4061" s="28" t="s">
        <v>9140</v>
      </c>
      <c r="I4061" s="5" t="s">
        <v>233</v>
      </c>
    </row>
    <row r="4062" spans="1:9" ht="51.75" customHeight="1">
      <c r="A4062" s="5" t="s">
        <v>29066</v>
      </c>
      <c r="B4062" s="5" t="s">
        <v>34875</v>
      </c>
      <c r="C4062" s="5" t="s">
        <v>34876</v>
      </c>
      <c r="D4062" s="246">
        <v>41865</v>
      </c>
      <c r="E4062" s="5" t="s">
        <v>34877</v>
      </c>
      <c r="F4062" s="26" t="s">
        <v>23600</v>
      </c>
      <c r="G4062" s="27" t="s">
        <v>9139</v>
      </c>
      <c r="H4062" s="28" t="s">
        <v>9140</v>
      </c>
      <c r="I4062" s="5" t="s">
        <v>233</v>
      </c>
    </row>
    <row r="4063" spans="1:9" ht="51.75" customHeight="1">
      <c r="A4063" s="5" t="s">
        <v>26382</v>
      </c>
      <c r="B4063" s="5" t="s">
        <v>34878</v>
      </c>
      <c r="C4063" s="5" t="s">
        <v>34879</v>
      </c>
      <c r="D4063" s="246">
        <v>41926</v>
      </c>
      <c r="E4063" s="5" t="s">
        <v>34880</v>
      </c>
      <c r="F4063" s="26" t="s">
        <v>23600</v>
      </c>
      <c r="G4063" s="27" t="s">
        <v>9276</v>
      </c>
      <c r="H4063" s="28" t="s">
        <v>9277</v>
      </c>
      <c r="I4063" s="5" t="s">
        <v>233</v>
      </c>
    </row>
    <row r="4064" spans="1:9" ht="51.75" customHeight="1">
      <c r="A4064" s="5" t="s">
        <v>26388</v>
      </c>
      <c r="B4064" s="5" t="s">
        <v>34881</v>
      </c>
      <c r="C4064" s="5" t="s">
        <v>34882</v>
      </c>
      <c r="D4064" s="246">
        <v>41926</v>
      </c>
      <c r="E4064" s="5" t="s">
        <v>34883</v>
      </c>
      <c r="F4064" s="26" t="s">
        <v>23600</v>
      </c>
      <c r="G4064" s="27" t="s">
        <v>9276</v>
      </c>
      <c r="H4064" s="28" t="s">
        <v>9277</v>
      </c>
      <c r="I4064" s="5" t="s">
        <v>233</v>
      </c>
    </row>
    <row r="4065" spans="1:9" ht="51.75" customHeight="1">
      <c r="A4065" s="5" t="s">
        <v>26394</v>
      </c>
      <c r="B4065" s="5" t="s">
        <v>34884</v>
      </c>
      <c r="C4065" s="5" t="s">
        <v>34885</v>
      </c>
      <c r="D4065" s="246">
        <v>41926</v>
      </c>
      <c r="E4065" s="5" t="s">
        <v>34886</v>
      </c>
      <c r="F4065" s="26" t="s">
        <v>23600</v>
      </c>
      <c r="G4065" s="27" t="s">
        <v>9276</v>
      </c>
      <c r="H4065" s="28" t="s">
        <v>9277</v>
      </c>
      <c r="I4065" s="5" t="s">
        <v>233</v>
      </c>
    </row>
    <row r="4066" spans="1:9" ht="51.75" customHeight="1">
      <c r="A4066" s="5" t="s">
        <v>25284</v>
      </c>
      <c r="B4066" s="5" t="s">
        <v>34887</v>
      </c>
      <c r="C4066" s="5" t="s">
        <v>34888</v>
      </c>
      <c r="D4066" s="246">
        <v>41921</v>
      </c>
      <c r="E4066" s="5" t="s">
        <v>34889</v>
      </c>
      <c r="F4066" s="26" t="s">
        <v>23600</v>
      </c>
      <c r="G4066" s="27" t="s">
        <v>9282</v>
      </c>
      <c r="H4066" s="28" t="s">
        <v>9283</v>
      </c>
      <c r="I4066" s="5" t="s">
        <v>233</v>
      </c>
    </row>
    <row r="4067" spans="1:9" ht="51.75" customHeight="1">
      <c r="A4067" s="5" t="s">
        <v>23968</v>
      </c>
      <c r="B4067" s="5" t="s">
        <v>34890</v>
      </c>
      <c r="C4067" s="5" t="s">
        <v>34891</v>
      </c>
      <c r="D4067" s="246">
        <v>41921</v>
      </c>
      <c r="E4067" s="5" t="s">
        <v>34892</v>
      </c>
      <c r="F4067" s="26" t="s">
        <v>23600</v>
      </c>
      <c r="G4067" s="27" t="s">
        <v>9282</v>
      </c>
      <c r="H4067" s="28" t="s">
        <v>9283</v>
      </c>
      <c r="I4067" s="5" t="s">
        <v>233</v>
      </c>
    </row>
    <row r="4068" spans="1:9" ht="51.75" customHeight="1">
      <c r="A4068" s="5" t="s">
        <v>25218</v>
      </c>
      <c r="B4068" s="5" t="s">
        <v>34893</v>
      </c>
      <c r="C4068" s="5" t="s">
        <v>34894</v>
      </c>
      <c r="D4068" s="246">
        <v>41921</v>
      </c>
      <c r="E4068" s="5" t="s">
        <v>34895</v>
      </c>
      <c r="F4068" s="26" t="s">
        <v>23600</v>
      </c>
      <c r="G4068" s="27" t="s">
        <v>9282</v>
      </c>
      <c r="H4068" s="28" t="s">
        <v>9283</v>
      </c>
      <c r="I4068" s="5" t="s">
        <v>233</v>
      </c>
    </row>
    <row r="4069" spans="1:9" ht="51.75" customHeight="1">
      <c r="A4069" s="5" t="s">
        <v>25223</v>
      </c>
      <c r="B4069" s="5" t="s">
        <v>34896</v>
      </c>
      <c r="C4069" s="5" t="s">
        <v>34897</v>
      </c>
      <c r="D4069" s="246">
        <v>41921</v>
      </c>
      <c r="E4069" s="5" t="s">
        <v>34898</v>
      </c>
      <c r="F4069" s="26" t="s">
        <v>23600</v>
      </c>
      <c r="G4069" s="27" t="s">
        <v>9282</v>
      </c>
      <c r="H4069" s="28" t="s">
        <v>9283</v>
      </c>
      <c r="I4069" s="5" t="s">
        <v>233</v>
      </c>
    </row>
    <row r="4070" spans="1:9" ht="51.75" customHeight="1">
      <c r="A4070" s="5" t="s">
        <v>26879</v>
      </c>
      <c r="B4070" s="5" t="s">
        <v>34899</v>
      </c>
      <c r="C4070" s="5" t="s">
        <v>34900</v>
      </c>
      <c r="D4070" s="246">
        <v>41921</v>
      </c>
      <c r="E4070" s="5" t="s">
        <v>34901</v>
      </c>
      <c r="F4070" s="26" t="s">
        <v>23600</v>
      </c>
      <c r="G4070" s="27" t="s">
        <v>9282</v>
      </c>
      <c r="H4070" s="28" t="s">
        <v>9283</v>
      </c>
      <c r="I4070" s="5" t="s">
        <v>233</v>
      </c>
    </row>
    <row r="4071" spans="1:9" ht="51.75" customHeight="1">
      <c r="A4071" s="5" t="s">
        <v>26885</v>
      </c>
      <c r="B4071" s="5" t="s">
        <v>34902</v>
      </c>
      <c r="C4071" s="5" t="s">
        <v>34903</v>
      </c>
      <c r="D4071" s="246">
        <v>41921</v>
      </c>
      <c r="E4071" s="5" t="s">
        <v>34904</v>
      </c>
      <c r="F4071" s="26" t="s">
        <v>23600</v>
      </c>
      <c r="G4071" s="27" t="s">
        <v>9282</v>
      </c>
      <c r="H4071" s="28" t="s">
        <v>9283</v>
      </c>
      <c r="I4071" s="5" t="s">
        <v>233</v>
      </c>
    </row>
    <row r="4072" spans="1:9" ht="51.75" customHeight="1">
      <c r="A4072" s="5" t="s">
        <v>23974</v>
      </c>
      <c r="B4072" s="5" t="s">
        <v>34905</v>
      </c>
      <c r="C4072" s="5" t="s">
        <v>34906</v>
      </c>
      <c r="D4072" s="246">
        <v>41921</v>
      </c>
      <c r="E4072" s="5" t="s">
        <v>34907</v>
      </c>
      <c r="F4072" s="26" t="s">
        <v>23600</v>
      </c>
      <c r="G4072" s="27" t="s">
        <v>9282</v>
      </c>
      <c r="H4072" s="28" t="s">
        <v>9283</v>
      </c>
      <c r="I4072" s="5" t="s">
        <v>233</v>
      </c>
    </row>
    <row r="4073" spans="1:9" ht="51.75" customHeight="1">
      <c r="A4073" s="5" t="s">
        <v>27771</v>
      </c>
      <c r="B4073" s="5" t="s">
        <v>34908</v>
      </c>
      <c r="C4073" s="5" t="s">
        <v>34566</v>
      </c>
      <c r="D4073" s="246">
        <v>41816</v>
      </c>
      <c r="E4073" s="5" t="s">
        <v>34909</v>
      </c>
      <c r="F4073" s="26" t="s">
        <v>23600</v>
      </c>
      <c r="G4073" s="27" t="s">
        <v>9330</v>
      </c>
      <c r="H4073" s="28" t="s">
        <v>9331</v>
      </c>
      <c r="I4073" s="5" t="s">
        <v>233</v>
      </c>
    </row>
    <row r="4074" spans="1:9" ht="51.75" customHeight="1">
      <c r="A4074" s="5" t="s">
        <v>24123</v>
      </c>
      <c r="B4074" s="5" t="s">
        <v>34910</v>
      </c>
      <c r="C4074" s="5" t="s">
        <v>34911</v>
      </c>
      <c r="D4074" s="246">
        <v>41816</v>
      </c>
      <c r="E4074" s="5" t="s">
        <v>34912</v>
      </c>
      <c r="F4074" s="26"/>
      <c r="G4074" s="27" t="s">
        <v>9330</v>
      </c>
      <c r="H4074" s="28" t="s">
        <v>9331</v>
      </c>
      <c r="I4074" s="5" t="s">
        <v>233</v>
      </c>
    </row>
    <row r="4075" spans="1:9" ht="51.75" customHeight="1">
      <c r="A4075" s="5" t="s">
        <v>25932</v>
      </c>
      <c r="B4075" s="5" t="s">
        <v>34913</v>
      </c>
      <c r="C4075" s="5" t="s">
        <v>34914</v>
      </c>
      <c r="D4075" s="246">
        <v>41967</v>
      </c>
      <c r="E4075" s="5" t="s">
        <v>34915</v>
      </c>
      <c r="F4075" s="26" t="s">
        <v>23600</v>
      </c>
      <c r="G4075" s="27" t="s">
        <v>9405</v>
      </c>
      <c r="H4075" s="28" t="s">
        <v>9406</v>
      </c>
      <c r="I4075" s="5" t="s">
        <v>233</v>
      </c>
    </row>
    <row r="4076" spans="1:9" ht="51.75" customHeight="1">
      <c r="A4076" s="5" t="s">
        <v>26275</v>
      </c>
      <c r="B4076" s="5" t="s">
        <v>34916</v>
      </c>
      <c r="C4076" s="5" t="s">
        <v>34917</v>
      </c>
      <c r="D4076" s="246">
        <v>41967</v>
      </c>
      <c r="E4076" s="5" t="s">
        <v>34918</v>
      </c>
      <c r="F4076" s="26" t="s">
        <v>23600</v>
      </c>
      <c r="G4076" s="27" t="s">
        <v>9405</v>
      </c>
      <c r="H4076" s="28" t="s">
        <v>9406</v>
      </c>
      <c r="I4076" s="5" t="s">
        <v>233</v>
      </c>
    </row>
    <row r="4077" spans="1:9" ht="51.75" customHeight="1">
      <c r="A4077" s="5" t="s">
        <v>26280</v>
      </c>
      <c r="B4077" s="5" t="s">
        <v>34919</v>
      </c>
      <c r="C4077" s="5" t="s">
        <v>34920</v>
      </c>
      <c r="D4077" s="246">
        <v>41967</v>
      </c>
      <c r="E4077" s="5" t="s">
        <v>34921</v>
      </c>
      <c r="F4077" s="26" t="s">
        <v>23600</v>
      </c>
      <c r="G4077" s="27" t="s">
        <v>9405</v>
      </c>
      <c r="H4077" s="28" t="s">
        <v>9406</v>
      </c>
      <c r="I4077" s="5" t="s">
        <v>233</v>
      </c>
    </row>
    <row r="4078" spans="1:9" ht="51.75" customHeight="1">
      <c r="A4078" s="5" t="s">
        <v>24307</v>
      </c>
      <c r="B4078" s="5" t="s">
        <v>34922</v>
      </c>
      <c r="C4078" s="5" t="s">
        <v>34923</v>
      </c>
      <c r="D4078" s="246">
        <v>41806</v>
      </c>
      <c r="E4078" s="5" t="s">
        <v>34924</v>
      </c>
      <c r="F4078" s="26" t="s">
        <v>23600</v>
      </c>
      <c r="G4078" s="27" t="s">
        <v>9411</v>
      </c>
      <c r="H4078" s="28" t="s">
        <v>9412</v>
      </c>
      <c r="I4078" s="5" t="s">
        <v>233</v>
      </c>
    </row>
    <row r="4079" spans="1:9" ht="51.75" customHeight="1">
      <c r="A4079" s="5" t="s">
        <v>24311</v>
      </c>
      <c r="B4079" s="5" t="s">
        <v>34925</v>
      </c>
      <c r="C4079" s="5" t="s">
        <v>34926</v>
      </c>
      <c r="D4079" s="246">
        <v>41806</v>
      </c>
      <c r="E4079" s="5" t="s">
        <v>34927</v>
      </c>
      <c r="F4079" s="26" t="s">
        <v>23600</v>
      </c>
      <c r="G4079" s="27" t="s">
        <v>9411</v>
      </c>
      <c r="H4079" s="28" t="s">
        <v>9412</v>
      </c>
      <c r="I4079" s="5" t="s">
        <v>233</v>
      </c>
    </row>
    <row r="4080" spans="1:9" ht="51.75" customHeight="1">
      <c r="A4080" s="5" t="s">
        <v>24315</v>
      </c>
      <c r="B4080" s="5" t="s">
        <v>34928</v>
      </c>
      <c r="C4080" s="5" t="s">
        <v>34929</v>
      </c>
      <c r="D4080" s="246">
        <v>41806</v>
      </c>
      <c r="E4080" s="5" t="s">
        <v>34930</v>
      </c>
      <c r="F4080" s="26" t="s">
        <v>23600</v>
      </c>
      <c r="G4080" s="27" t="s">
        <v>9411</v>
      </c>
      <c r="H4080" s="28" t="s">
        <v>9412</v>
      </c>
      <c r="I4080" s="5" t="s">
        <v>233</v>
      </c>
    </row>
    <row r="4081" spans="1:9" ht="51.75" customHeight="1">
      <c r="A4081" s="5" t="s">
        <v>27767</v>
      </c>
      <c r="B4081" s="5" t="s">
        <v>34931</v>
      </c>
      <c r="C4081" s="5" t="s">
        <v>34932</v>
      </c>
      <c r="D4081" s="246">
        <v>41806</v>
      </c>
      <c r="E4081" s="5" t="s">
        <v>34933</v>
      </c>
      <c r="F4081" s="26" t="s">
        <v>23600</v>
      </c>
      <c r="G4081" s="27" t="s">
        <v>9411</v>
      </c>
      <c r="H4081" s="28" t="s">
        <v>9412</v>
      </c>
      <c r="I4081" s="5" t="s">
        <v>233</v>
      </c>
    </row>
    <row r="4082" spans="1:9" ht="51.75" customHeight="1">
      <c r="A4082" s="5" t="s">
        <v>26709</v>
      </c>
      <c r="B4082" s="5" t="s">
        <v>34934</v>
      </c>
      <c r="C4082" s="5" t="s">
        <v>34935</v>
      </c>
      <c r="D4082" s="246">
        <v>41935</v>
      </c>
      <c r="E4082" s="5" t="s">
        <v>34936</v>
      </c>
      <c r="F4082" s="26" t="s">
        <v>23600</v>
      </c>
      <c r="G4082" s="27" t="s">
        <v>9037</v>
      </c>
      <c r="H4082" s="28" t="s">
        <v>9038</v>
      </c>
      <c r="I4082" s="5" t="s">
        <v>233</v>
      </c>
    </row>
    <row r="4083" spans="1:9" ht="51.75" customHeight="1">
      <c r="A4083" s="5" t="s">
        <v>26270</v>
      </c>
      <c r="B4083" s="5" t="s">
        <v>34937</v>
      </c>
      <c r="C4083" s="5" t="s">
        <v>34938</v>
      </c>
      <c r="D4083" s="246">
        <v>42051</v>
      </c>
      <c r="E4083" s="5" t="s">
        <v>34939</v>
      </c>
      <c r="F4083" s="26"/>
      <c r="G4083" s="27" t="s">
        <v>9571</v>
      </c>
      <c r="H4083" s="28" t="s">
        <v>9572</v>
      </c>
      <c r="I4083" s="5" t="s">
        <v>233</v>
      </c>
    </row>
    <row r="4084" spans="1:9" ht="51.75" customHeight="1">
      <c r="A4084" s="5" t="s">
        <v>26265</v>
      </c>
      <c r="B4084" s="5" t="s">
        <v>34940</v>
      </c>
      <c r="C4084" s="5" t="s">
        <v>34941</v>
      </c>
      <c r="D4084" s="246">
        <v>42051</v>
      </c>
      <c r="E4084" s="5" t="s">
        <v>34942</v>
      </c>
      <c r="F4084" s="26"/>
      <c r="G4084" s="27" t="s">
        <v>9571</v>
      </c>
      <c r="H4084" s="28" t="s">
        <v>9572</v>
      </c>
      <c r="I4084" s="5" t="s">
        <v>233</v>
      </c>
    </row>
    <row r="4085" spans="1:9" ht="51.75" customHeight="1">
      <c r="A4085" s="5" t="s">
        <v>25915</v>
      </c>
      <c r="B4085" s="5" t="s">
        <v>34943</v>
      </c>
      <c r="C4085" s="5" t="s">
        <v>34944</v>
      </c>
      <c r="D4085" s="246">
        <v>41655</v>
      </c>
      <c r="E4085" s="5" t="s">
        <v>34945</v>
      </c>
      <c r="F4085" s="26" t="s">
        <v>23600</v>
      </c>
      <c r="G4085" s="27" t="s">
        <v>9555</v>
      </c>
      <c r="H4085" s="28" t="s">
        <v>9556</v>
      </c>
      <c r="I4085" s="5" t="s">
        <v>233</v>
      </c>
    </row>
    <row r="4086" spans="1:9" ht="51.75" customHeight="1">
      <c r="A4086" s="5" t="s">
        <v>25920</v>
      </c>
      <c r="B4086" s="5" t="s">
        <v>34946</v>
      </c>
      <c r="C4086" s="5" t="s">
        <v>34947</v>
      </c>
      <c r="D4086" s="246">
        <v>41963</v>
      </c>
      <c r="E4086" s="5" t="s">
        <v>34948</v>
      </c>
      <c r="F4086" s="26" t="s">
        <v>23600</v>
      </c>
      <c r="G4086" s="27" t="s">
        <v>9555</v>
      </c>
      <c r="H4086" s="28" t="s">
        <v>9556</v>
      </c>
      <c r="I4086" s="5" t="s">
        <v>233</v>
      </c>
    </row>
    <row r="4087" spans="1:9" ht="51.75" customHeight="1">
      <c r="A4087" s="5" t="s">
        <v>25926</v>
      </c>
      <c r="B4087" s="5" t="s">
        <v>34949</v>
      </c>
      <c r="C4087" s="5" t="s">
        <v>34950</v>
      </c>
      <c r="D4087" s="246">
        <v>41963</v>
      </c>
      <c r="E4087" s="5" t="s">
        <v>34951</v>
      </c>
      <c r="F4087" s="26" t="s">
        <v>23600</v>
      </c>
      <c r="G4087" s="27" t="s">
        <v>9555</v>
      </c>
      <c r="H4087" s="28" t="s">
        <v>9556</v>
      </c>
      <c r="I4087" s="5" t="s">
        <v>233</v>
      </c>
    </row>
    <row r="4088" spans="1:9" ht="51.75" customHeight="1">
      <c r="A4088" s="5" t="s">
        <v>25652</v>
      </c>
      <c r="B4088" s="5" t="s">
        <v>34952</v>
      </c>
      <c r="C4088" s="5" t="s">
        <v>34953</v>
      </c>
      <c r="D4088" s="246">
        <v>41935</v>
      </c>
      <c r="E4088" s="5" t="s">
        <v>34954</v>
      </c>
      <c r="F4088" s="26" t="s">
        <v>23600</v>
      </c>
      <c r="G4088" s="27" t="s">
        <v>9615</v>
      </c>
      <c r="H4088" s="28" t="s">
        <v>9616</v>
      </c>
      <c r="I4088" s="5" t="s">
        <v>233</v>
      </c>
    </row>
    <row r="4089" spans="1:9" ht="51.75" customHeight="1">
      <c r="A4089" s="5" t="s">
        <v>26290</v>
      </c>
      <c r="B4089" s="5" t="s">
        <v>34955</v>
      </c>
      <c r="C4089" s="5" t="s">
        <v>34956</v>
      </c>
      <c r="D4089" s="246">
        <v>41725</v>
      </c>
      <c r="E4089" s="5" t="s">
        <v>34957</v>
      </c>
      <c r="F4089" s="26" t="s">
        <v>23600</v>
      </c>
      <c r="G4089" s="27" t="s">
        <v>8971</v>
      </c>
      <c r="H4089" s="28" t="s">
        <v>8972</v>
      </c>
      <c r="I4089" s="5" t="s">
        <v>233</v>
      </c>
    </row>
    <row r="4090" spans="1:9" ht="51.75" customHeight="1">
      <c r="A4090" s="5" t="s">
        <v>30214</v>
      </c>
      <c r="B4090" s="5" t="s">
        <v>34958</v>
      </c>
      <c r="C4090" s="5" t="s">
        <v>34959</v>
      </c>
      <c r="D4090" s="246">
        <v>41725</v>
      </c>
      <c r="E4090" s="5" t="s">
        <v>34960</v>
      </c>
      <c r="F4090" s="26" t="s">
        <v>23600</v>
      </c>
      <c r="G4090" s="27" t="s">
        <v>8971</v>
      </c>
      <c r="H4090" s="28" t="s">
        <v>8972</v>
      </c>
      <c r="I4090" s="5" t="s">
        <v>233</v>
      </c>
    </row>
    <row r="4091" spans="1:9" ht="51.75" customHeight="1">
      <c r="A4091" s="5" t="s">
        <v>33941</v>
      </c>
      <c r="B4091" s="5" t="s">
        <v>34961</v>
      </c>
      <c r="C4091" s="5" t="s">
        <v>34962</v>
      </c>
      <c r="D4091" s="246">
        <v>41725</v>
      </c>
      <c r="E4091" s="5" t="s">
        <v>34963</v>
      </c>
      <c r="F4091" s="26" t="s">
        <v>23600</v>
      </c>
      <c r="G4091" s="27" t="s">
        <v>8971</v>
      </c>
      <c r="H4091" s="28" t="s">
        <v>8972</v>
      </c>
      <c r="I4091" s="5" t="s">
        <v>233</v>
      </c>
    </row>
    <row r="4092" spans="1:9" ht="51.75" customHeight="1">
      <c r="A4092" s="5" t="s">
        <v>29772</v>
      </c>
      <c r="B4092" s="5" t="s">
        <v>34964</v>
      </c>
      <c r="C4092" s="5" t="s">
        <v>34965</v>
      </c>
      <c r="D4092" s="246">
        <v>41995</v>
      </c>
      <c r="E4092" s="5" t="s">
        <v>34966</v>
      </c>
      <c r="F4092" s="26" t="s">
        <v>23600</v>
      </c>
      <c r="G4092" s="27" t="s">
        <v>9740</v>
      </c>
      <c r="H4092" s="28" t="s">
        <v>9741</v>
      </c>
      <c r="I4092" s="5" t="s">
        <v>233</v>
      </c>
    </row>
    <row r="4093" spans="1:9" ht="51.75" customHeight="1">
      <c r="A4093" s="5" t="s">
        <v>24587</v>
      </c>
      <c r="B4093" s="5" t="s">
        <v>34967</v>
      </c>
      <c r="C4093" s="5" t="s">
        <v>34968</v>
      </c>
      <c r="D4093" s="246">
        <v>41995</v>
      </c>
      <c r="E4093" s="5" t="s">
        <v>34969</v>
      </c>
      <c r="F4093" s="26" t="s">
        <v>23600</v>
      </c>
      <c r="G4093" s="27" t="s">
        <v>9740</v>
      </c>
      <c r="H4093" s="28" t="s">
        <v>9741</v>
      </c>
      <c r="I4093" s="5" t="s">
        <v>233</v>
      </c>
    </row>
    <row r="4094" spans="1:9" ht="51.75" customHeight="1">
      <c r="A4094" s="5" t="s">
        <v>24591</v>
      </c>
      <c r="B4094" s="5" t="s">
        <v>34970</v>
      </c>
      <c r="C4094" s="5" t="s">
        <v>34971</v>
      </c>
      <c r="D4094" s="246">
        <v>41995</v>
      </c>
      <c r="E4094" s="5" t="s">
        <v>34972</v>
      </c>
      <c r="F4094" s="26" t="s">
        <v>23600</v>
      </c>
      <c r="G4094" s="27" t="s">
        <v>9740</v>
      </c>
      <c r="H4094" s="28" t="s">
        <v>9741</v>
      </c>
      <c r="I4094" s="5" t="s">
        <v>233</v>
      </c>
    </row>
    <row r="4095" spans="1:9" ht="51.75" customHeight="1">
      <c r="A4095" s="5" t="s">
        <v>28320</v>
      </c>
      <c r="B4095" s="5" t="s">
        <v>34973</v>
      </c>
      <c r="C4095" s="5" t="s">
        <v>34974</v>
      </c>
      <c r="D4095" s="246">
        <v>42145</v>
      </c>
      <c r="E4095" s="5" t="s">
        <v>34975</v>
      </c>
      <c r="F4095" s="26" t="s">
        <v>23600</v>
      </c>
      <c r="G4095" s="27" t="s">
        <v>9916</v>
      </c>
      <c r="H4095" s="28" t="s">
        <v>9917</v>
      </c>
      <c r="I4095" s="5" t="s">
        <v>233</v>
      </c>
    </row>
    <row r="4096" spans="1:9" ht="51.75" customHeight="1">
      <c r="A4096" s="5" t="s">
        <v>28323</v>
      </c>
      <c r="B4096" s="5" t="s">
        <v>34976</v>
      </c>
      <c r="C4096" s="5" t="s">
        <v>34977</v>
      </c>
      <c r="D4096" s="246">
        <v>42145</v>
      </c>
      <c r="E4096" s="5" t="s">
        <v>34978</v>
      </c>
      <c r="F4096" s="26" t="s">
        <v>23600</v>
      </c>
      <c r="G4096" s="27" t="s">
        <v>9916</v>
      </c>
      <c r="H4096" s="28" t="s">
        <v>9917</v>
      </c>
      <c r="I4096" s="5" t="s">
        <v>233</v>
      </c>
    </row>
    <row r="4097" spans="1:9" ht="51.75" customHeight="1">
      <c r="A4097" s="5" t="s">
        <v>28326</v>
      </c>
      <c r="B4097" s="5" t="s">
        <v>34979</v>
      </c>
      <c r="C4097" s="5" t="s">
        <v>34980</v>
      </c>
      <c r="D4097" s="246">
        <v>42145</v>
      </c>
      <c r="E4097" s="5" t="s">
        <v>34981</v>
      </c>
      <c r="F4097" s="26" t="s">
        <v>23600</v>
      </c>
      <c r="G4097" s="27" t="s">
        <v>9916</v>
      </c>
      <c r="H4097" s="28" t="s">
        <v>9917</v>
      </c>
      <c r="I4097" s="5" t="s">
        <v>233</v>
      </c>
    </row>
    <row r="4098" spans="1:9" ht="51.75" customHeight="1">
      <c r="A4098" s="5" t="s">
        <v>28329</v>
      </c>
      <c r="B4098" s="5" t="s">
        <v>34982</v>
      </c>
      <c r="C4098" s="5" t="s">
        <v>34983</v>
      </c>
      <c r="D4098" s="246">
        <v>42145</v>
      </c>
      <c r="E4098" s="5" t="s">
        <v>33500</v>
      </c>
      <c r="F4098" s="26" t="s">
        <v>23600</v>
      </c>
      <c r="G4098" s="27" t="s">
        <v>9916</v>
      </c>
      <c r="H4098" s="28" t="s">
        <v>9917</v>
      </c>
      <c r="I4098" s="5" t="s">
        <v>233</v>
      </c>
    </row>
    <row r="4099" spans="1:9" ht="51.75" customHeight="1">
      <c r="A4099" s="5" t="s">
        <v>23915</v>
      </c>
      <c r="B4099" s="5" t="s">
        <v>34984</v>
      </c>
      <c r="C4099" s="5" t="s">
        <v>34985</v>
      </c>
      <c r="D4099" s="246">
        <v>42228</v>
      </c>
      <c r="E4099" s="5" t="s">
        <v>34986</v>
      </c>
      <c r="F4099" s="26" t="s">
        <v>23600</v>
      </c>
      <c r="G4099" s="27" t="s">
        <v>9770</v>
      </c>
      <c r="H4099" s="28" t="s">
        <v>9771</v>
      </c>
      <c r="I4099" s="5" t="s">
        <v>233</v>
      </c>
    </row>
    <row r="4100" spans="1:9" ht="51.75" customHeight="1">
      <c r="A4100" s="5" t="s">
        <v>27857</v>
      </c>
      <c r="B4100" s="5" t="s">
        <v>34987</v>
      </c>
      <c r="C4100" s="5" t="s">
        <v>34988</v>
      </c>
      <c r="D4100" s="246">
        <v>42228</v>
      </c>
      <c r="E4100" s="5" t="s">
        <v>34989</v>
      </c>
      <c r="F4100" s="26" t="s">
        <v>23600</v>
      </c>
      <c r="G4100" s="27" t="s">
        <v>9770</v>
      </c>
      <c r="H4100" s="28" t="s">
        <v>9771</v>
      </c>
      <c r="I4100" s="5" t="s">
        <v>233</v>
      </c>
    </row>
    <row r="4101" spans="1:9" ht="51.75" customHeight="1">
      <c r="A4101" s="5" t="s">
        <v>27861</v>
      </c>
      <c r="B4101" s="5" t="s">
        <v>34990</v>
      </c>
      <c r="C4101" s="5" t="s">
        <v>34991</v>
      </c>
      <c r="D4101" s="246">
        <v>42228</v>
      </c>
      <c r="E4101" s="5" t="s">
        <v>34992</v>
      </c>
      <c r="F4101" s="26" t="s">
        <v>23600</v>
      </c>
      <c r="G4101" s="27" t="s">
        <v>9770</v>
      </c>
      <c r="H4101" s="28" t="s">
        <v>9771</v>
      </c>
      <c r="I4101" s="5" t="s">
        <v>233</v>
      </c>
    </row>
    <row r="4102" spans="1:9" ht="51.75" customHeight="1">
      <c r="A4102" s="5" t="s">
        <v>25327</v>
      </c>
      <c r="B4102" s="5" t="s">
        <v>34993</v>
      </c>
      <c r="C4102" s="5" t="s">
        <v>34994</v>
      </c>
      <c r="D4102" s="246">
        <v>42228</v>
      </c>
      <c r="E4102" s="5" t="s">
        <v>34995</v>
      </c>
      <c r="F4102" s="26" t="s">
        <v>23600</v>
      </c>
      <c r="G4102" s="27" t="s">
        <v>9770</v>
      </c>
      <c r="H4102" s="28" t="s">
        <v>9771</v>
      </c>
      <c r="I4102" s="5" t="s">
        <v>233</v>
      </c>
    </row>
    <row r="4103" spans="1:9" ht="51.75" customHeight="1">
      <c r="A4103" s="5" t="s">
        <v>25331</v>
      </c>
      <c r="B4103" s="5" t="s">
        <v>34996</v>
      </c>
      <c r="C4103" s="5" t="s">
        <v>34997</v>
      </c>
      <c r="D4103" s="246">
        <v>42228</v>
      </c>
      <c r="E4103" s="5" t="s">
        <v>34998</v>
      </c>
      <c r="F4103" s="26" t="s">
        <v>23600</v>
      </c>
      <c r="G4103" s="27" t="s">
        <v>9770</v>
      </c>
      <c r="H4103" s="28" t="s">
        <v>9771</v>
      </c>
      <c r="I4103" s="5" t="s">
        <v>233</v>
      </c>
    </row>
    <row r="4104" spans="1:9" ht="51.75" customHeight="1">
      <c r="A4104" s="5" t="s">
        <v>25335</v>
      </c>
      <c r="B4104" s="5" t="s">
        <v>34999</v>
      </c>
      <c r="C4104" s="5" t="s">
        <v>35000</v>
      </c>
      <c r="D4104" s="246">
        <v>42228</v>
      </c>
      <c r="E4104" s="5" t="s">
        <v>35001</v>
      </c>
      <c r="F4104" s="26" t="s">
        <v>23600</v>
      </c>
      <c r="G4104" s="27" t="s">
        <v>9770</v>
      </c>
      <c r="H4104" s="28" t="s">
        <v>9771</v>
      </c>
      <c r="I4104" s="5" t="s">
        <v>233</v>
      </c>
    </row>
    <row r="4105" spans="1:9" ht="51.75" customHeight="1">
      <c r="A4105" s="5" t="s">
        <v>24174</v>
      </c>
      <c r="B4105" s="5" t="s">
        <v>35002</v>
      </c>
      <c r="C4105" s="5" t="s">
        <v>35003</v>
      </c>
      <c r="D4105" s="246">
        <v>42124</v>
      </c>
      <c r="E4105" s="5" t="s">
        <v>35004</v>
      </c>
      <c r="F4105" s="26" t="s">
        <v>23600</v>
      </c>
      <c r="G4105" s="27" t="s">
        <v>9944</v>
      </c>
      <c r="H4105" s="28" t="s">
        <v>9945</v>
      </c>
      <c r="I4105" s="5" t="s">
        <v>233</v>
      </c>
    </row>
    <row r="4106" spans="1:9" ht="51.75" customHeight="1">
      <c r="A4106" s="5" t="s">
        <v>24178</v>
      </c>
      <c r="B4106" s="5" t="s">
        <v>35005</v>
      </c>
      <c r="C4106" s="5" t="s">
        <v>35006</v>
      </c>
      <c r="D4106" s="246">
        <v>42124</v>
      </c>
      <c r="E4106" s="5" t="s">
        <v>35007</v>
      </c>
      <c r="F4106" s="26" t="s">
        <v>23600</v>
      </c>
      <c r="G4106" s="27" t="s">
        <v>9944</v>
      </c>
      <c r="H4106" s="28" t="s">
        <v>9945</v>
      </c>
      <c r="I4106" s="5" t="s">
        <v>233</v>
      </c>
    </row>
    <row r="4107" spans="1:9" ht="51.75" customHeight="1">
      <c r="A4107" s="5" t="s">
        <v>24182</v>
      </c>
      <c r="B4107" s="5" t="s">
        <v>35008</v>
      </c>
      <c r="C4107" s="5" t="s">
        <v>35009</v>
      </c>
      <c r="D4107" s="246">
        <v>42124</v>
      </c>
      <c r="E4107" s="5" t="s">
        <v>35010</v>
      </c>
      <c r="F4107" s="26" t="s">
        <v>23600</v>
      </c>
      <c r="G4107" s="27" t="s">
        <v>9944</v>
      </c>
      <c r="H4107" s="28" t="s">
        <v>9945</v>
      </c>
      <c r="I4107" s="5" t="s">
        <v>233</v>
      </c>
    </row>
    <row r="4108" spans="1:9" ht="51.75" customHeight="1">
      <c r="A4108" s="5" t="s">
        <v>23788</v>
      </c>
      <c r="B4108" s="5" t="s">
        <v>35011</v>
      </c>
      <c r="C4108" s="5" t="s">
        <v>35012</v>
      </c>
      <c r="D4108" s="246">
        <v>42124</v>
      </c>
      <c r="E4108" s="5" t="s">
        <v>35013</v>
      </c>
      <c r="F4108" s="26" t="s">
        <v>23600</v>
      </c>
      <c r="G4108" s="27" t="s">
        <v>9944</v>
      </c>
      <c r="H4108" s="28" t="s">
        <v>9945</v>
      </c>
      <c r="I4108" s="5" t="s">
        <v>233</v>
      </c>
    </row>
    <row r="4109" spans="1:9" ht="51.75" customHeight="1">
      <c r="A4109" s="5" t="s">
        <v>23806</v>
      </c>
      <c r="B4109" s="5" t="s">
        <v>35014</v>
      </c>
      <c r="C4109" s="5" t="s">
        <v>35015</v>
      </c>
      <c r="D4109" s="246">
        <v>42124</v>
      </c>
      <c r="E4109" s="5" t="s">
        <v>35016</v>
      </c>
      <c r="F4109" s="26" t="s">
        <v>23600</v>
      </c>
      <c r="G4109" s="27" t="s">
        <v>9944</v>
      </c>
      <c r="H4109" s="28" t="s">
        <v>9945</v>
      </c>
      <c r="I4109" s="5" t="s">
        <v>233</v>
      </c>
    </row>
    <row r="4110" spans="1:9" ht="51.75" customHeight="1">
      <c r="A4110" s="5" t="s">
        <v>28332</v>
      </c>
      <c r="B4110" s="5" t="s">
        <v>35017</v>
      </c>
      <c r="C4110" s="5" t="s">
        <v>35018</v>
      </c>
      <c r="D4110" s="246">
        <v>42152</v>
      </c>
      <c r="E4110" s="5" t="s">
        <v>35019</v>
      </c>
      <c r="F4110" s="26" t="s">
        <v>23600</v>
      </c>
      <c r="G4110" s="27" t="s">
        <v>9904</v>
      </c>
      <c r="H4110" s="28" t="s">
        <v>9905</v>
      </c>
      <c r="I4110" s="5" t="s">
        <v>233</v>
      </c>
    </row>
    <row r="4111" spans="1:9" ht="51.75" customHeight="1">
      <c r="A4111" s="5" t="s">
        <v>28335</v>
      </c>
      <c r="B4111" s="5" t="s">
        <v>35020</v>
      </c>
      <c r="C4111" s="5" t="s">
        <v>35021</v>
      </c>
      <c r="D4111" s="246">
        <v>42152</v>
      </c>
      <c r="E4111" s="5" t="s">
        <v>35022</v>
      </c>
      <c r="F4111" s="26" t="s">
        <v>23600</v>
      </c>
      <c r="G4111" s="27" t="s">
        <v>9904</v>
      </c>
      <c r="H4111" s="28" t="s">
        <v>9905</v>
      </c>
      <c r="I4111" s="5" t="s">
        <v>233</v>
      </c>
    </row>
    <row r="4112" spans="1:9" ht="51.75" customHeight="1">
      <c r="A4112" s="5" t="s">
        <v>23810</v>
      </c>
      <c r="B4112" s="5" t="s">
        <v>35023</v>
      </c>
      <c r="C4112" s="5" t="s">
        <v>35024</v>
      </c>
      <c r="D4112" s="246">
        <v>42152</v>
      </c>
      <c r="E4112" s="5" t="s">
        <v>35025</v>
      </c>
      <c r="F4112" s="26" t="s">
        <v>23600</v>
      </c>
      <c r="G4112" s="27" t="s">
        <v>9904</v>
      </c>
      <c r="H4112" s="28" t="s">
        <v>9905</v>
      </c>
      <c r="I4112" s="5" t="s">
        <v>233</v>
      </c>
    </row>
    <row r="4113" spans="1:9" ht="51.75" customHeight="1">
      <c r="A4113" s="5" t="s">
        <v>24599</v>
      </c>
      <c r="B4113" s="5" t="s">
        <v>35026</v>
      </c>
      <c r="C4113" s="5" t="s">
        <v>35027</v>
      </c>
      <c r="D4113" s="246">
        <v>42152</v>
      </c>
      <c r="E4113" s="5" t="s">
        <v>35028</v>
      </c>
      <c r="F4113" s="26" t="s">
        <v>23600</v>
      </c>
      <c r="G4113" s="27" t="s">
        <v>9904</v>
      </c>
      <c r="H4113" s="28" t="s">
        <v>9905</v>
      </c>
      <c r="I4113" s="5" t="s">
        <v>233</v>
      </c>
    </row>
    <row r="4114" spans="1:9" ht="51.75" customHeight="1">
      <c r="A4114" s="5" t="s">
        <v>23752</v>
      </c>
      <c r="B4114" s="5" t="s">
        <v>35029</v>
      </c>
      <c r="C4114" s="5" t="s">
        <v>35030</v>
      </c>
      <c r="D4114" s="246">
        <v>42152</v>
      </c>
      <c r="E4114" s="5" t="s">
        <v>35031</v>
      </c>
      <c r="F4114" s="26" t="s">
        <v>23600</v>
      </c>
      <c r="G4114" s="27" t="s">
        <v>9904</v>
      </c>
      <c r="H4114" s="28" t="s">
        <v>9905</v>
      </c>
      <c r="I4114" s="5" t="s">
        <v>233</v>
      </c>
    </row>
    <row r="4115" spans="1:9" ht="51.75" customHeight="1">
      <c r="A4115" s="5" t="s">
        <v>24606</v>
      </c>
      <c r="B4115" s="5" t="s">
        <v>35032</v>
      </c>
      <c r="C4115" s="5" t="s">
        <v>35033</v>
      </c>
      <c r="D4115" s="246">
        <v>42152</v>
      </c>
      <c r="E4115" s="5" t="s">
        <v>35034</v>
      </c>
      <c r="F4115" s="26" t="s">
        <v>23600</v>
      </c>
      <c r="G4115" s="27" t="s">
        <v>9904</v>
      </c>
      <c r="H4115" s="28" t="s">
        <v>9905</v>
      </c>
      <c r="I4115" s="5" t="s">
        <v>233</v>
      </c>
    </row>
    <row r="4116" spans="1:9" ht="51.75" customHeight="1">
      <c r="A4116" s="5" t="s">
        <v>28347</v>
      </c>
      <c r="B4116" s="5" t="s">
        <v>35035</v>
      </c>
      <c r="C4116" s="5" t="s">
        <v>35036</v>
      </c>
      <c r="D4116" s="246">
        <v>42170</v>
      </c>
      <c r="E4116" s="5" t="s">
        <v>35037</v>
      </c>
      <c r="F4116" s="26" t="s">
        <v>23600</v>
      </c>
      <c r="G4116" s="27" t="s">
        <v>10025</v>
      </c>
      <c r="H4116" s="28" t="s">
        <v>10026</v>
      </c>
      <c r="I4116" s="5" t="s">
        <v>233</v>
      </c>
    </row>
    <row r="4117" spans="1:9" ht="51.75" customHeight="1">
      <c r="A4117" s="5" t="s">
        <v>27452</v>
      </c>
      <c r="B4117" s="5" t="s">
        <v>35038</v>
      </c>
      <c r="C4117" s="5" t="s">
        <v>35039</v>
      </c>
      <c r="D4117" s="246">
        <v>42170</v>
      </c>
      <c r="E4117" s="5" t="s">
        <v>35040</v>
      </c>
      <c r="F4117" s="26" t="s">
        <v>23600</v>
      </c>
      <c r="G4117" s="27" t="s">
        <v>10025</v>
      </c>
      <c r="H4117" s="28" t="s">
        <v>10026</v>
      </c>
      <c r="I4117" s="5" t="s">
        <v>233</v>
      </c>
    </row>
    <row r="4118" spans="1:9" ht="51.75" customHeight="1">
      <c r="A4118" s="5" t="s">
        <v>26290</v>
      </c>
      <c r="B4118" s="5" t="s">
        <v>35041</v>
      </c>
      <c r="C4118" s="5" t="s">
        <v>35042</v>
      </c>
      <c r="D4118" s="246">
        <v>42170</v>
      </c>
      <c r="E4118" s="5" t="s">
        <v>35043</v>
      </c>
      <c r="F4118" s="26" t="s">
        <v>23600</v>
      </c>
      <c r="G4118" s="27" t="s">
        <v>10025</v>
      </c>
      <c r="H4118" s="28" t="s">
        <v>10026</v>
      </c>
      <c r="I4118" s="5" t="s">
        <v>233</v>
      </c>
    </row>
    <row r="4119" spans="1:9" ht="51.75" customHeight="1">
      <c r="A4119" s="5" t="s">
        <v>27418</v>
      </c>
      <c r="B4119" s="5" t="s">
        <v>35044</v>
      </c>
      <c r="C4119" s="5" t="s">
        <v>28079</v>
      </c>
      <c r="D4119" s="246">
        <v>42215</v>
      </c>
      <c r="E4119" s="5" t="s">
        <v>35045</v>
      </c>
      <c r="F4119" s="26" t="s">
        <v>23600</v>
      </c>
      <c r="G4119" s="27" t="s">
        <v>10216</v>
      </c>
      <c r="H4119" s="28" t="s">
        <v>10217</v>
      </c>
      <c r="I4119" s="5" t="s">
        <v>233</v>
      </c>
    </row>
    <row r="4120" spans="1:9" ht="51.75" customHeight="1">
      <c r="A4120" s="5" t="s">
        <v>27424</v>
      </c>
      <c r="B4120" s="5" t="s">
        <v>35046</v>
      </c>
      <c r="C4120" s="5" t="s">
        <v>35047</v>
      </c>
      <c r="D4120" s="246">
        <v>42215</v>
      </c>
      <c r="E4120" s="5" t="s">
        <v>35048</v>
      </c>
      <c r="F4120" s="26" t="s">
        <v>23600</v>
      </c>
      <c r="G4120" s="27" t="s">
        <v>10216</v>
      </c>
      <c r="H4120" s="28" t="s">
        <v>10217</v>
      </c>
      <c r="I4120" s="5" t="s">
        <v>233</v>
      </c>
    </row>
    <row r="4121" spans="1:9" ht="51.75" customHeight="1">
      <c r="A4121" s="5" t="s">
        <v>35049</v>
      </c>
      <c r="B4121" s="5" t="s">
        <v>35050</v>
      </c>
      <c r="C4121" s="5" t="s">
        <v>35051</v>
      </c>
      <c r="D4121" s="246">
        <v>42215</v>
      </c>
      <c r="E4121" s="5" t="s">
        <v>35052</v>
      </c>
      <c r="F4121" s="26" t="s">
        <v>23600</v>
      </c>
      <c r="G4121" s="27" t="s">
        <v>10216</v>
      </c>
      <c r="H4121" s="28" t="s">
        <v>10217</v>
      </c>
      <c r="I4121" s="5" t="s">
        <v>233</v>
      </c>
    </row>
    <row r="4122" spans="1:9" ht="51.75" customHeight="1">
      <c r="A4122" s="5" t="s">
        <v>25435</v>
      </c>
      <c r="B4122" s="5" t="s">
        <v>35053</v>
      </c>
      <c r="C4122" s="5" t="s">
        <v>35054</v>
      </c>
      <c r="D4122" s="246">
        <v>42201</v>
      </c>
      <c r="E4122" s="5" t="s">
        <v>35055</v>
      </c>
      <c r="F4122" s="26" t="s">
        <v>23600</v>
      </c>
      <c r="G4122" s="27" t="s">
        <v>10367</v>
      </c>
      <c r="H4122" s="28" t="s">
        <v>10368</v>
      </c>
      <c r="I4122" s="5" t="s">
        <v>233</v>
      </c>
    </row>
    <row r="4123" spans="1:9" ht="51.75" customHeight="1">
      <c r="A4123" s="5" t="s">
        <v>23820</v>
      </c>
      <c r="B4123" s="5" t="s">
        <v>35056</v>
      </c>
      <c r="C4123" s="5" t="s">
        <v>35057</v>
      </c>
      <c r="D4123" s="246">
        <v>42201</v>
      </c>
      <c r="E4123" s="5" t="s">
        <v>35058</v>
      </c>
      <c r="F4123" s="26" t="s">
        <v>23600</v>
      </c>
      <c r="G4123" s="27" t="s">
        <v>10367</v>
      </c>
      <c r="H4123" s="28" t="s">
        <v>10368</v>
      </c>
      <c r="I4123" s="5" t="s">
        <v>233</v>
      </c>
    </row>
    <row r="4124" spans="1:9" ht="51.75" customHeight="1">
      <c r="A4124" s="5" t="s">
        <v>30214</v>
      </c>
      <c r="B4124" s="5" t="s">
        <v>35059</v>
      </c>
      <c r="C4124" s="5" t="s">
        <v>35060</v>
      </c>
      <c r="D4124" s="246">
        <v>42179</v>
      </c>
      <c r="E4124" s="5" t="s">
        <v>35061</v>
      </c>
      <c r="F4124" s="26" t="s">
        <v>23600</v>
      </c>
      <c r="G4124" s="27" t="s">
        <v>10373</v>
      </c>
      <c r="H4124" s="28" t="s">
        <v>10374</v>
      </c>
      <c r="I4124" s="5" t="s">
        <v>233</v>
      </c>
    </row>
    <row r="4125" spans="1:9" ht="51.75" customHeight="1">
      <c r="A4125" s="5" t="s">
        <v>33941</v>
      </c>
      <c r="B4125" s="5" t="s">
        <v>35062</v>
      </c>
      <c r="C4125" s="5" t="s">
        <v>35063</v>
      </c>
      <c r="D4125" s="246">
        <v>42179</v>
      </c>
      <c r="E4125" s="5" t="s">
        <v>35064</v>
      </c>
      <c r="F4125" s="26" t="s">
        <v>23600</v>
      </c>
      <c r="G4125" s="27" t="s">
        <v>10373</v>
      </c>
      <c r="H4125" s="28" t="s">
        <v>10374</v>
      </c>
      <c r="I4125" s="5" t="s">
        <v>233</v>
      </c>
    </row>
    <row r="4126" spans="1:9" ht="51.75" customHeight="1">
      <c r="A4126" s="5" t="s">
        <v>31046</v>
      </c>
      <c r="B4126" s="5" t="s">
        <v>35065</v>
      </c>
      <c r="C4126" s="5" t="s">
        <v>35066</v>
      </c>
      <c r="D4126" s="246">
        <v>42222</v>
      </c>
      <c r="E4126" s="5" t="s">
        <v>35067</v>
      </c>
      <c r="F4126" s="26" t="s">
        <v>23600</v>
      </c>
      <c r="G4126" s="27" t="s">
        <v>10403</v>
      </c>
      <c r="H4126" s="28" t="s">
        <v>10404</v>
      </c>
      <c r="I4126" s="5" t="s">
        <v>233</v>
      </c>
    </row>
    <row r="4127" spans="1:9" ht="51.75" customHeight="1">
      <c r="A4127" s="5" t="s">
        <v>25240</v>
      </c>
      <c r="B4127" s="5" t="s">
        <v>35068</v>
      </c>
      <c r="C4127" s="5" t="s">
        <v>35069</v>
      </c>
      <c r="D4127" s="246">
        <v>42222</v>
      </c>
      <c r="E4127" s="5" t="s">
        <v>35070</v>
      </c>
      <c r="F4127" s="26" t="s">
        <v>23600</v>
      </c>
      <c r="G4127" s="27" t="s">
        <v>10403</v>
      </c>
      <c r="H4127" s="28" t="s">
        <v>10404</v>
      </c>
      <c r="I4127" s="5" t="s">
        <v>233</v>
      </c>
    </row>
    <row r="4128" spans="1:9" ht="51.75" customHeight="1">
      <c r="A4128" s="5" t="s">
        <v>25243</v>
      </c>
      <c r="B4128" s="5" t="s">
        <v>35071</v>
      </c>
      <c r="C4128" s="5" t="s">
        <v>35072</v>
      </c>
      <c r="D4128" s="246">
        <v>42222</v>
      </c>
      <c r="E4128" s="5" t="s">
        <v>35073</v>
      </c>
      <c r="F4128" s="26" t="s">
        <v>23600</v>
      </c>
      <c r="G4128" s="27" t="s">
        <v>10403</v>
      </c>
      <c r="H4128" s="28" t="s">
        <v>10404</v>
      </c>
      <c r="I4128" s="5" t="s">
        <v>233</v>
      </c>
    </row>
    <row r="4129" spans="1:9" ht="51.75" customHeight="1">
      <c r="A4129" s="5" t="s">
        <v>35074</v>
      </c>
      <c r="B4129" s="5" t="s">
        <v>35075</v>
      </c>
      <c r="C4129" s="5" t="s">
        <v>35076</v>
      </c>
      <c r="D4129" s="246">
        <v>42229</v>
      </c>
      <c r="E4129" s="5" t="s">
        <v>35077</v>
      </c>
      <c r="F4129" s="26" t="s">
        <v>23600</v>
      </c>
      <c r="G4129" s="27" t="s">
        <v>10454</v>
      </c>
      <c r="H4129" s="28" t="s">
        <v>10455</v>
      </c>
      <c r="I4129" s="5" t="s">
        <v>233</v>
      </c>
    </row>
    <row r="4130" spans="1:9" ht="51.75" customHeight="1">
      <c r="A4130" s="5" t="s">
        <v>35078</v>
      </c>
      <c r="B4130" s="5" t="s">
        <v>35079</v>
      </c>
      <c r="C4130" s="5" t="s">
        <v>35080</v>
      </c>
      <c r="D4130" s="246">
        <v>42229</v>
      </c>
      <c r="E4130" s="5" t="s">
        <v>35081</v>
      </c>
      <c r="F4130" s="26" t="s">
        <v>23600</v>
      </c>
      <c r="G4130" s="27" t="s">
        <v>10454</v>
      </c>
      <c r="H4130" s="28" t="s">
        <v>10455</v>
      </c>
      <c r="I4130" s="5" t="s">
        <v>233</v>
      </c>
    </row>
    <row r="4131" spans="1:9" ht="51.75" customHeight="1">
      <c r="A4131" s="5" t="s">
        <v>25365</v>
      </c>
      <c r="B4131" s="5" t="s">
        <v>35082</v>
      </c>
      <c r="C4131" s="5" t="s">
        <v>35083</v>
      </c>
      <c r="D4131" s="246">
        <v>42229</v>
      </c>
      <c r="E4131" s="5" t="s">
        <v>35084</v>
      </c>
      <c r="F4131" s="26" t="s">
        <v>23600</v>
      </c>
      <c r="G4131" s="27" t="s">
        <v>10454</v>
      </c>
      <c r="H4131" s="28" t="s">
        <v>10455</v>
      </c>
      <c r="I4131" s="5" t="s">
        <v>233</v>
      </c>
    </row>
    <row r="4132" spans="1:9" ht="51.75" customHeight="1">
      <c r="A4132" s="5" t="s">
        <v>27272</v>
      </c>
      <c r="B4132" s="5" t="s">
        <v>35085</v>
      </c>
      <c r="C4132" s="5" t="s">
        <v>35086</v>
      </c>
      <c r="D4132" s="246">
        <v>42229</v>
      </c>
      <c r="E4132" s="5" t="s">
        <v>35087</v>
      </c>
      <c r="F4132" s="26" t="s">
        <v>23600</v>
      </c>
      <c r="G4132" s="27" t="s">
        <v>10454</v>
      </c>
      <c r="H4132" s="28" t="s">
        <v>10455</v>
      </c>
      <c r="I4132" s="5" t="s">
        <v>233</v>
      </c>
    </row>
    <row r="4133" spans="1:9" ht="51.75" customHeight="1">
      <c r="A4133" s="5" t="s">
        <v>27278</v>
      </c>
      <c r="B4133" s="5" t="s">
        <v>35088</v>
      </c>
      <c r="C4133" s="5" t="s">
        <v>35089</v>
      </c>
      <c r="D4133" s="246">
        <v>42229</v>
      </c>
      <c r="E4133" s="5" t="s">
        <v>35090</v>
      </c>
      <c r="F4133" s="26" t="s">
        <v>23600</v>
      </c>
      <c r="G4133" s="27" t="s">
        <v>10454</v>
      </c>
      <c r="H4133" s="28" t="s">
        <v>10455</v>
      </c>
      <c r="I4133" s="5" t="s">
        <v>233</v>
      </c>
    </row>
    <row r="4134" spans="1:9" ht="51.75" customHeight="1">
      <c r="A4134" s="5" t="s">
        <v>27284</v>
      </c>
      <c r="B4134" s="5" t="s">
        <v>35091</v>
      </c>
      <c r="C4134" s="5" t="s">
        <v>35092</v>
      </c>
      <c r="D4134" s="246">
        <v>42229</v>
      </c>
      <c r="E4134" s="5" t="s">
        <v>35093</v>
      </c>
      <c r="F4134" s="26" t="s">
        <v>23600</v>
      </c>
      <c r="G4134" s="27" t="s">
        <v>10454</v>
      </c>
      <c r="H4134" s="28" t="s">
        <v>10455</v>
      </c>
      <c r="I4134" s="5" t="s">
        <v>233</v>
      </c>
    </row>
    <row r="4135" spans="1:9" ht="51.75" customHeight="1">
      <c r="A4135" s="5" t="s">
        <v>27380</v>
      </c>
      <c r="B4135" s="5" t="s">
        <v>35094</v>
      </c>
      <c r="C4135" s="5" t="s">
        <v>35095</v>
      </c>
      <c r="D4135" s="246">
        <v>42233</v>
      </c>
      <c r="E4135" s="5" t="s">
        <v>35096</v>
      </c>
      <c r="F4135" s="26" t="s">
        <v>23600</v>
      </c>
      <c r="G4135" s="27" t="s">
        <v>10477</v>
      </c>
      <c r="H4135" s="28" t="s">
        <v>10478</v>
      </c>
      <c r="I4135" s="5" t="s">
        <v>233</v>
      </c>
    </row>
    <row r="4136" spans="1:9" ht="51.75" customHeight="1">
      <c r="A4136" s="5" t="s">
        <v>27261</v>
      </c>
      <c r="B4136" s="5" t="s">
        <v>35097</v>
      </c>
      <c r="C4136" s="5" t="s">
        <v>35098</v>
      </c>
      <c r="D4136" s="246">
        <v>42233</v>
      </c>
      <c r="E4136" s="5" t="s">
        <v>35099</v>
      </c>
      <c r="F4136" s="26" t="s">
        <v>23600</v>
      </c>
      <c r="G4136" s="27" t="s">
        <v>10477</v>
      </c>
      <c r="H4136" s="28" t="s">
        <v>10478</v>
      </c>
      <c r="I4136" s="5" t="s">
        <v>233</v>
      </c>
    </row>
    <row r="4137" spans="1:9" ht="51.75" customHeight="1">
      <c r="A4137" s="5" t="s">
        <v>27386</v>
      </c>
      <c r="B4137" s="5" t="s">
        <v>35100</v>
      </c>
      <c r="C4137" s="5" t="s">
        <v>35101</v>
      </c>
      <c r="D4137" s="246">
        <v>42233</v>
      </c>
      <c r="E4137" s="5" t="s">
        <v>35102</v>
      </c>
      <c r="F4137" s="26" t="s">
        <v>23600</v>
      </c>
      <c r="G4137" s="27" t="s">
        <v>10477</v>
      </c>
      <c r="H4137" s="28" t="s">
        <v>10478</v>
      </c>
      <c r="I4137" s="5" t="s">
        <v>233</v>
      </c>
    </row>
    <row r="4138" spans="1:9" ht="51.75" customHeight="1">
      <c r="A4138" s="5" t="s">
        <v>35103</v>
      </c>
      <c r="B4138" s="5" t="s">
        <v>35104</v>
      </c>
      <c r="C4138" s="5" t="s">
        <v>35105</v>
      </c>
      <c r="D4138" s="246">
        <v>42233</v>
      </c>
      <c r="E4138" s="5" t="s">
        <v>35106</v>
      </c>
      <c r="F4138" s="26" t="s">
        <v>23600</v>
      </c>
      <c r="G4138" s="27" t="s">
        <v>10477</v>
      </c>
      <c r="H4138" s="28" t="s">
        <v>10478</v>
      </c>
      <c r="I4138" s="5" t="s">
        <v>233</v>
      </c>
    </row>
    <row r="4139" spans="1:9" ht="51.75" customHeight="1">
      <c r="A4139" s="5" t="s">
        <v>35107</v>
      </c>
      <c r="B4139" s="5" t="s">
        <v>35108</v>
      </c>
      <c r="C4139" s="5" t="s">
        <v>35109</v>
      </c>
      <c r="D4139" s="246">
        <v>42233</v>
      </c>
      <c r="E4139" s="5" t="s">
        <v>35110</v>
      </c>
      <c r="F4139" s="26" t="s">
        <v>23600</v>
      </c>
      <c r="G4139" s="27" t="s">
        <v>10477</v>
      </c>
      <c r="H4139" s="28" t="s">
        <v>10478</v>
      </c>
      <c r="I4139" s="5" t="s">
        <v>233</v>
      </c>
    </row>
    <row r="4140" spans="1:9" ht="51.75" customHeight="1">
      <c r="A4140" s="5" t="s">
        <v>28237</v>
      </c>
      <c r="B4140" s="5" t="s">
        <v>35111</v>
      </c>
      <c r="C4140" s="5" t="s">
        <v>35112</v>
      </c>
      <c r="D4140" s="246">
        <v>42233</v>
      </c>
      <c r="E4140" s="5" t="s">
        <v>35113</v>
      </c>
      <c r="F4140" s="26" t="s">
        <v>23600</v>
      </c>
      <c r="G4140" s="27" t="s">
        <v>10477</v>
      </c>
      <c r="H4140" s="28" t="s">
        <v>10478</v>
      </c>
      <c r="I4140" s="5" t="s">
        <v>233</v>
      </c>
    </row>
    <row r="4141" spans="1:9" ht="51.75" customHeight="1">
      <c r="A4141" s="5" t="s">
        <v>23696</v>
      </c>
      <c r="B4141" s="5" t="s">
        <v>35114</v>
      </c>
      <c r="C4141" s="5" t="s">
        <v>35115</v>
      </c>
      <c r="D4141" s="246">
        <v>42271</v>
      </c>
      <c r="E4141" s="5" t="s">
        <v>35116</v>
      </c>
      <c r="F4141" s="26" t="s">
        <v>23600</v>
      </c>
      <c r="G4141" s="27" t="s">
        <v>10448</v>
      </c>
      <c r="H4141" s="28" t="s">
        <v>10449</v>
      </c>
      <c r="I4141" s="5" t="s">
        <v>233</v>
      </c>
    </row>
    <row r="4142" spans="1:9" ht="51.75" customHeight="1">
      <c r="A4142" s="5" t="s">
        <v>27187</v>
      </c>
      <c r="B4142" s="5" t="s">
        <v>35117</v>
      </c>
      <c r="C4142" s="5" t="s">
        <v>35118</v>
      </c>
      <c r="D4142" s="246">
        <v>42271</v>
      </c>
      <c r="E4142" s="5" t="s">
        <v>35119</v>
      </c>
      <c r="F4142" s="26" t="s">
        <v>23600</v>
      </c>
      <c r="G4142" s="27" t="s">
        <v>10448</v>
      </c>
      <c r="H4142" s="28" t="s">
        <v>10449</v>
      </c>
      <c r="I4142" s="5" t="s">
        <v>233</v>
      </c>
    </row>
    <row r="4143" spans="1:9" ht="51.75" customHeight="1">
      <c r="A4143" s="5" t="s">
        <v>27191</v>
      </c>
      <c r="B4143" s="5" t="s">
        <v>35120</v>
      </c>
      <c r="C4143" s="5" t="s">
        <v>35121</v>
      </c>
      <c r="D4143" s="246">
        <v>42271</v>
      </c>
      <c r="E4143" s="5" t="s">
        <v>35122</v>
      </c>
      <c r="F4143" s="26" t="s">
        <v>23600</v>
      </c>
      <c r="G4143" s="27" t="s">
        <v>10448</v>
      </c>
      <c r="H4143" s="28" t="s">
        <v>10449</v>
      </c>
      <c r="I4143" s="5" t="s">
        <v>233</v>
      </c>
    </row>
    <row r="4144" spans="1:9" ht="51.75" customHeight="1">
      <c r="A4144" s="5" t="s">
        <v>23828</v>
      </c>
      <c r="B4144" s="5" t="s">
        <v>35123</v>
      </c>
      <c r="C4144" s="5" t="s">
        <v>35124</v>
      </c>
      <c r="D4144" s="246">
        <v>42271</v>
      </c>
      <c r="E4144" s="5" t="s">
        <v>35122</v>
      </c>
      <c r="F4144" s="26" t="s">
        <v>23600</v>
      </c>
      <c r="G4144" s="27" t="s">
        <v>10448</v>
      </c>
      <c r="H4144" s="28" t="s">
        <v>10449</v>
      </c>
      <c r="I4144" s="5" t="s">
        <v>233</v>
      </c>
    </row>
    <row r="4145" spans="1:9" ht="51.75" customHeight="1">
      <c r="A4145" s="5" t="s">
        <v>33655</v>
      </c>
      <c r="B4145" s="5" t="s">
        <v>35125</v>
      </c>
      <c r="C4145" s="5" t="s">
        <v>35126</v>
      </c>
      <c r="D4145" s="246">
        <v>42271</v>
      </c>
      <c r="E4145" s="5" t="s">
        <v>35127</v>
      </c>
      <c r="F4145" s="26" t="s">
        <v>23600</v>
      </c>
      <c r="G4145" s="27" t="s">
        <v>10448</v>
      </c>
      <c r="H4145" s="28" t="s">
        <v>10449</v>
      </c>
      <c r="I4145" s="5" t="s">
        <v>233</v>
      </c>
    </row>
    <row r="4146" spans="1:9" ht="51.75" customHeight="1">
      <c r="A4146" s="5" t="s">
        <v>25161</v>
      </c>
      <c r="B4146" s="5" t="s">
        <v>35128</v>
      </c>
      <c r="C4146" s="5" t="s">
        <v>35129</v>
      </c>
      <c r="D4146" s="246">
        <v>42270</v>
      </c>
      <c r="E4146" s="5" t="s">
        <v>35130</v>
      </c>
      <c r="F4146" s="26"/>
      <c r="G4146" s="27" t="s">
        <v>10581</v>
      </c>
      <c r="H4146" s="28" t="s">
        <v>10582</v>
      </c>
      <c r="I4146" s="5" t="s">
        <v>233</v>
      </c>
    </row>
    <row r="4147" spans="1:9" ht="51.75" customHeight="1">
      <c r="A4147" s="5" t="s">
        <v>25165</v>
      </c>
      <c r="B4147" s="5" t="s">
        <v>35131</v>
      </c>
      <c r="C4147" s="5" t="s">
        <v>35132</v>
      </c>
      <c r="D4147" s="246">
        <v>42270</v>
      </c>
      <c r="E4147" s="5" t="s">
        <v>35133</v>
      </c>
      <c r="F4147" s="26" t="s">
        <v>23600</v>
      </c>
      <c r="G4147" s="27" t="s">
        <v>10581</v>
      </c>
      <c r="H4147" s="28" t="s">
        <v>10582</v>
      </c>
      <c r="I4147" s="5" t="s">
        <v>233</v>
      </c>
    </row>
    <row r="4148" spans="1:9" ht="51.75" customHeight="1">
      <c r="A4148" s="5" t="s">
        <v>25169</v>
      </c>
      <c r="B4148" s="5" t="s">
        <v>35134</v>
      </c>
      <c r="C4148" s="5" t="s">
        <v>35135</v>
      </c>
      <c r="D4148" s="246">
        <v>42270</v>
      </c>
      <c r="E4148" s="5" t="s">
        <v>35136</v>
      </c>
      <c r="F4148" s="26" t="s">
        <v>23600</v>
      </c>
      <c r="G4148" s="27" t="s">
        <v>10581</v>
      </c>
      <c r="H4148" s="28" t="s">
        <v>10582</v>
      </c>
      <c r="I4148" s="5" t="s">
        <v>233</v>
      </c>
    </row>
    <row r="4149" spans="1:9" ht="51.75" customHeight="1">
      <c r="A4149" s="5" t="s">
        <v>25173</v>
      </c>
      <c r="B4149" s="5" t="s">
        <v>35137</v>
      </c>
      <c r="C4149" s="5" t="s">
        <v>35138</v>
      </c>
      <c r="D4149" s="246" t="s">
        <v>68</v>
      </c>
      <c r="E4149" s="5" t="s">
        <v>35139</v>
      </c>
      <c r="F4149" s="26" t="s">
        <v>23600</v>
      </c>
      <c r="G4149" s="27" t="s">
        <v>10581</v>
      </c>
      <c r="H4149" s="28" t="s">
        <v>10582</v>
      </c>
      <c r="I4149" s="5" t="s">
        <v>233</v>
      </c>
    </row>
    <row r="4150" spans="1:9" ht="51.75" customHeight="1">
      <c r="A4150" s="5" t="s">
        <v>23641</v>
      </c>
      <c r="B4150" s="5" t="s">
        <v>35140</v>
      </c>
      <c r="C4150" s="5" t="s">
        <v>35141</v>
      </c>
      <c r="D4150" s="246">
        <v>42270</v>
      </c>
      <c r="E4150" s="5" t="s">
        <v>35142</v>
      </c>
      <c r="F4150" s="26" t="s">
        <v>23600</v>
      </c>
      <c r="G4150" s="27" t="s">
        <v>10581</v>
      </c>
      <c r="H4150" s="28" t="s">
        <v>10582</v>
      </c>
      <c r="I4150" s="5" t="s">
        <v>233</v>
      </c>
    </row>
    <row r="4151" spans="1:9" ht="51.75" customHeight="1">
      <c r="A4151" s="5" t="s">
        <v>25511</v>
      </c>
      <c r="B4151" s="5" t="s">
        <v>35143</v>
      </c>
      <c r="C4151" s="5" t="s">
        <v>35144</v>
      </c>
      <c r="D4151" s="246">
        <v>42499</v>
      </c>
      <c r="E4151" s="5" t="s">
        <v>35145</v>
      </c>
      <c r="F4151" s="26" t="s">
        <v>23600</v>
      </c>
      <c r="G4151" s="27" t="s">
        <v>10613</v>
      </c>
      <c r="H4151" s="28" t="s">
        <v>10614</v>
      </c>
      <c r="I4151" s="5" t="s">
        <v>233</v>
      </c>
    </row>
    <row r="4152" spans="1:9" ht="51.75" customHeight="1">
      <c r="A4152" s="5" t="s">
        <v>25517</v>
      </c>
      <c r="B4152" s="5" t="s">
        <v>35146</v>
      </c>
      <c r="C4152" s="5" t="s">
        <v>35147</v>
      </c>
      <c r="D4152" s="246">
        <v>42499</v>
      </c>
      <c r="E4152" s="5" t="s">
        <v>35148</v>
      </c>
      <c r="F4152" s="26" t="s">
        <v>23600</v>
      </c>
      <c r="G4152" s="27" t="s">
        <v>10613</v>
      </c>
      <c r="H4152" s="28" t="s">
        <v>10614</v>
      </c>
      <c r="I4152" s="5" t="s">
        <v>233</v>
      </c>
    </row>
    <row r="4153" spans="1:9" ht="51.75" customHeight="1">
      <c r="A4153" s="5" t="s">
        <v>23872</v>
      </c>
      <c r="B4153" s="5" t="s">
        <v>35149</v>
      </c>
      <c r="C4153" s="5" t="s">
        <v>35150</v>
      </c>
      <c r="D4153" s="246">
        <v>42499</v>
      </c>
      <c r="E4153" s="5" t="s">
        <v>35151</v>
      </c>
      <c r="F4153" s="26" t="s">
        <v>23600</v>
      </c>
      <c r="G4153" s="27" t="s">
        <v>10613</v>
      </c>
      <c r="H4153" s="28" t="s">
        <v>10614</v>
      </c>
      <c r="I4153" s="5" t="s">
        <v>233</v>
      </c>
    </row>
    <row r="4154" spans="1:9" ht="51.75" customHeight="1">
      <c r="A4154" s="5" t="s">
        <v>25121</v>
      </c>
      <c r="B4154" s="5" t="s">
        <v>35152</v>
      </c>
      <c r="C4154" s="5" t="s">
        <v>35153</v>
      </c>
      <c r="D4154" s="246">
        <v>42499</v>
      </c>
      <c r="E4154" s="5" t="s">
        <v>35154</v>
      </c>
      <c r="F4154" s="26" t="s">
        <v>23600</v>
      </c>
      <c r="G4154" s="27" t="s">
        <v>10613</v>
      </c>
      <c r="H4154" s="28" t="s">
        <v>10614</v>
      </c>
      <c r="I4154" s="5" t="s">
        <v>233</v>
      </c>
    </row>
    <row r="4155" spans="1:9" ht="51.75" customHeight="1">
      <c r="A4155" s="5" t="s">
        <v>23876</v>
      </c>
      <c r="B4155" s="5" t="s">
        <v>35155</v>
      </c>
      <c r="C4155" s="5" t="s">
        <v>35156</v>
      </c>
      <c r="D4155" s="246">
        <v>42499</v>
      </c>
      <c r="E4155" s="5" t="s">
        <v>35157</v>
      </c>
      <c r="F4155" s="26"/>
      <c r="G4155" s="27" t="s">
        <v>10613</v>
      </c>
      <c r="H4155" s="28" t="s">
        <v>10614</v>
      </c>
      <c r="I4155" s="5" t="s">
        <v>233</v>
      </c>
    </row>
    <row r="4156" spans="1:9" ht="51.75" customHeight="1">
      <c r="A4156" s="5" t="s">
        <v>24932</v>
      </c>
      <c r="B4156" s="5" t="s">
        <v>35158</v>
      </c>
      <c r="C4156" s="5" t="s">
        <v>35159</v>
      </c>
      <c r="D4156" s="246">
        <v>42354</v>
      </c>
      <c r="E4156" s="5" t="s">
        <v>35160</v>
      </c>
      <c r="F4156" s="26" t="s">
        <v>23600</v>
      </c>
      <c r="G4156" s="27" t="s">
        <v>10748</v>
      </c>
      <c r="H4156" s="28" t="s">
        <v>10749</v>
      </c>
      <c r="I4156" s="5" t="s">
        <v>233</v>
      </c>
    </row>
    <row r="4157" spans="1:9" ht="51.75" customHeight="1">
      <c r="A4157" s="5" t="s">
        <v>26310</v>
      </c>
      <c r="B4157" s="5" t="s">
        <v>35161</v>
      </c>
      <c r="C4157" s="5" t="s">
        <v>35162</v>
      </c>
      <c r="D4157" s="246">
        <v>42354</v>
      </c>
      <c r="E4157" s="5" t="s">
        <v>35163</v>
      </c>
      <c r="F4157" s="26" t="s">
        <v>23600</v>
      </c>
      <c r="G4157" s="27" t="s">
        <v>10748</v>
      </c>
      <c r="H4157" s="28" t="s">
        <v>10749</v>
      </c>
      <c r="I4157" s="5" t="s">
        <v>233</v>
      </c>
    </row>
    <row r="4158" spans="1:9" ht="51.75" customHeight="1">
      <c r="A4158" s="5" t="s">
        <v>26316</v>
      </c>
      <c r="B4158" s="5" t="s">
        <v>35164</v>
      </c>
      <c r="C4158" s="5" t="s">
        <v>35165</v>
      </c>
      <c r="D4158" s="246">
        <v>42354</v>
      </c>
      <c r="E4158" s="5" t="s">
        <v>35166</v>
      </c>
      <c r="F4158" s="26" t="s">
        <v>23600</v>
      </c>
      <c r="G4158" s="27" t="s">
        <v>10748</v>
      </c>
      <c r="H4158" s="28" t="s">
        <v>10749</v>
      </c>
      <c r="I4158" s="5" t="s">
        <v>233</v>
      </c>
    </row>
    <row r="4159" spans="1:9" ht="51.75" customHeight="1">
      <c r="A4159" s="5" t="s">
        <v>26993</v>
      </c>
      <c r="B4159" s="5" t="s">
        <v>35167</v>
      </c>
      <c r="C4159" s="5" t="s">
        <v>35168</v>
      </c>
      <c r="D4159" s="246">
        <v>42354</v>
      </c>
      <c r="E4159" s="5" t="s">
        <v>35169</v>
      </c>
      <c r="F4159" s="26" t="s">
        <v>23600</v>
      </c>
      <c r="G4159" s="27" t="s">
        <v>10748</v>
      </c>
      <c r="H4159" s="28" t="s">
        <v>10749</v>
      </c>
      <c r="I4159" s="5" t="s">
        <v>233</v>
      </c>
    </row>
    <row r="4160" spans="1:9" ht="51.75" customHeight="1">
      <c r="A4160" s="5" t="s">
        <v>24647</v>
      </c>
      <c r="B4160" s="5" t="s">
        <v>35170</v>
      </c>
      <c r="C4160" s="5" t="s">
        <v>34722</v>
      </c>
      <c r="D4160" s="246">
        <v>42298</v>
      </c>
      <c r="E4160" s="5" t="s">
        <v>35171</v>
      </c>
      <c r="F4160" s="26" t="s">
        <v>23600</v>
      </c>
      <c r="G4160" s="27" t="s">
        <v>10849</v>
      </c>
      <c r="H4160" s="28" t="s">
        <v>10850</v>
      </c>
      <c r="I4160" s="5" t="s">
        <v>233</v>
      </c>
    </row>
    <row r="4161" spans="1:9" ht="51.75" customHeight="1">
      <c r="A4161" s="5" t="s">
        <v>28551</v>
      </c>
      <c r="B4161" s="5" t="s">
        <v>35172</v>
      </c>
      <c r="C4161" s="5" t="s">
        <v>35173</v>
      </c>
      <c r="D4161" s="246">
        <v>42298</v>
      </c>
      <c r="E4161" s="5" t="s">
        <v>35174</v>
      </c>
      <c r="F4161" s="26" t="s">
        <v>23600</v>
      </c>
      <c r="G4161" s="27" t="s">
        <v>10849</v>
      </c>
      <c r="H4161" s="28" t="s">
        <v>10850</v>
      </c>
      <c r="I4161" s="5" t="s">
        <v>233</v>
      </c>
    </row>
    <row r="4162" spans="1:9" ht="51.75" customHeight="1">
      <c r="A4162" s="5" t="s">
        <v>28557</v>
      </c>
      <c r="B4162" s="5" t="s">
        <v>35175</v>
      </c>
      <c r="C4162" s="5" t="s">
        <v>35176</v>
      </c>
      <c r="D4162" s="246">
        <v>42298</v>
      </c>
      <c r="E4162" s="5" t="s">
        <v>35177</v>
      </c>
      <c r="F4162" s="26" t="s">
        <v>23600</v>
      </c>
      <c r="G4162" s="27" t="s">
        <v>10849</v>
      </c>
      <c r="H4162" s="28" t="s">
        <v>10850</v>
      </c>
      <c r="I4162" s="5" t="s">
        <v>233</v>
      </c>
    </row>
    <row r="4163" spans="1:9" ht="51.75" customHeight="1">
      <c r="A4163" s="5" t="s">
        <v>24651</v>
      </c>
      <c r="B4163" s="5" t="s">
        <v>35178</v>
      </c>
      <c r="C4163" s="5" t="s">
        <v>35179</v>
      </c>
      <c r="D4163" s="246">
        <v>42298</v>
      </c>
      <c r="E4163" s="5" t="s">
        <v>35180</v>
      </c>
      <c r="F4163" s="26" t="s">
        <v>23600</v>
      </c>
      <c r="G4163" s="27" t="s">
        <v>10849</v>
      </c>
      <c r="H4163" s="28" t="s">
        <v>10850</v>
      </c>
      <c r="I4163" s="5" t="s">
        <v>233</v>
      </c>
    </row>
    <row r="4164" spans="1:9" ht="51.75" customHeight="1">
      <c r="A4164" s="5" t="s">
        <v>27488</v>
      </c>
      <c r="B4164" s="5" t="s">
        <v>35181</v>
      </c>
      <c r="C4164" s="5" t="s">
        <v>35182</v>
      </c>
      <c r="D4164" s="246">
        <v>42495</v>
      </c>
      <c r="E4164" s="5" t="s">
        <v>35183</v>
      </c>
      <c r="F4164" s="26" t="s">
        <v>23600</v>
      </c>
      <c r="G4164" s="27" t="s">
        <v>10986</v>
      </c>
      <c r="H4164" s="28" t="s">
        <v>10987</v>
      </c>
      <c r="I4164" s="5" t="s">
        <v>233</v>
      </c>
    </row>
    <row r="4165" spans="1:9" ht="51.75" customHeight="1">
      <c r="A4165" s="5" t="s">
        <v>25435</v>
      </c>
      <c r="B4165" s="5" t="s">
        <v>35184</v>
      </c>
      <c r="C4165" s="5" t="s">
        <v>35185</v>
      </c>
      <c r="D4165" s="246">
        <v>42495</v>
      </c>
      <c r="E4165" s="5" t="s">
        <v>35186</v>
      </c>
      <c r="F4165" s="26" t="s">
        <v>23600</v>
      </c>
      <c r="G4165" s="27" t="s">
        <v>10986</v>
      </c>
      <c r="H4165" s="28" t="s">
        <v>10987</v>
      </c>
      <c r="I4165" s="5" t="s">
        <v>233</v>
      </c>
    </row>
    <row r="4166" spans="1:9" ht="51.75" customHeight="1">
      <c r="A4166" s="5" t="s">
        <v>25442</v>
      </c>
      <c r="B4166" s="5" t="s">
        <v>35187</v>
      </c>
      <c r="C4166" s="5" t="s">
        <v>35188</v>
      </c>
      <c r="D4166" s="246">
        <v>42495</v>
      </c>
      <c r="E4166" s="5" t="s">
        <v>35189</v>
      </c>
      <c r="F4166" s="26" t="s">
        <v>23600</v>
      </c>
      <c r="G4166" s="27" t="s">
        <v>10986</v>
      </c>
      <c r="H4166" s="28" t="s">
        <v>10987</v>
      </c>
      <c r="I4166" s="5" t="s">
        <v>233</v>
      </c>
    </row>
    <row r="4167" spans="1:9" ht="51.75" customHeight="1">
      <c r="A4167" s="5" t="s">
        <v>23820</v>
      </c>
      <c r="B4167" s="5" t="s">
        <v>35190</v>
      </c>
      <c r="C4167" s="5" t="s">
        <v>35191</v>
      </c>
      <c r="D4167" s="246">
        <v>42495</v>
      </c>
      <c r="E4167" s="5" t="s">
        <v>35192</v>
      </c>
      <c r="F4167" s="26" t="s">
        <v>23600</v>
      </c>
      <c r="G4167" s="27" t="s">
        <v>10986</v>
      </c>
      <c r="H4167" s="28" t="s">
        <v>10987</v>
      </c>
      <c r="I4167" s="5" t="s">
        <v>233</v>
      </c>
    </row>
    <row r="4168" spans="1:9" ht="51.75" customHeight="1">
      <c r="A4168" s="5" t="s">
        <v>27418</v>
      </c>
      <c r="B4168" s="5" t="s">
        <v>35193</v>
      </c>
      <c r="C4168" s="5" t="s">
        <v>35194</v>
      </c>
      <c r="D4168" s="246">
        <v>42495</v>
      </c>
      <c r="E4168" s="5" t="s">
        <v>35195</v>
      </c>
      <c r="F4168" s="26" t="s">
        <v>23600</v>
      </c>
      <c r="G4168" s="27" t="s">
        <v>10986</v>
      </c>
      <c r="H4168" s="28" t="s">
        <v>10987</v>
      </c>
      <c r="I4168" s="5" t="s">
        <v>233</v>
      </c>
    </row>
    <row r="4169" spans="1:9" ht="51.75" customHeight="1">
      <c r="A4169" s="5" t="s">
        <v>24583</v>
      </c>
      <c r="B4169" s="5" t="s">
        <v>35196</v>
      </c>
      <c r="C4169" s="5" t="s">
        <v>35197</v>
      </c>
      <c r="D4169" s="246">
        <v>42389</v>
      </c>
      <c r="E4169" s="5" t="s">
        <v>35198</v>
      </c>
      <c r="F4169" s="26" t="s">
        <v>23600</v>
      </c>
      <c r="G4169" s="27" t="s">
        <v>10940</v>
      </c>
      <c r="H4169" s="28" t="s">
        <v>10941</v>
      </c>
      <c r="I4169" s="5" t="s">
        <v>233</v>
      </c>
    </row>
    <row r="4170" spans="1:9" ht="51.75" customHeight="1">
      <c r="A4170" s="5" t="s">
        <v>35199</v>
      </c>
      <c r="B4170" s="5" t="s">
        <v>35200</v>
      </c>
      <c r="C4170" s="5" t="s">
        <v>35201</v>
      </c>
      <c r="D4170" s="246">
        <v>42389</v>
      </c>
      <c r="E4170" s="5" t="s">
        <v>35202</v>
      </c>
      <c r="F4170" s="26" t="s">
        <v>23600</v>
      </c>
      <c r="G4170" s="27" t="s">
        <v>10940</v>
      </c>
      <c r="H4170" s="28" t="s">
        <v>10941</v>
      </c>
      <c r="I4170" s="5" t="s">
        <v>233</v>
      </c>
    </row>
    <row r="4171" spans="1:9" ht="51.75" customHeight="1">
      <c r="A4171" s="5" t="s">
        <v>25301</v>
      </c>
      <c r="B4171" s="5" t="s">
        <v>35203</v>
      </c>
      <c r="C4171" s="5" t="s">
        <v>35204</v>
      </c>
      <c r="D4171" s="246">
        <v>42389</v>
      </c>
      <c r="E4171" s="5" t="s">
        <v>35205</v>
      </c>
      <c r="F4171" s="26" t="s">
        <v>23600</v>
      </c>
      <c r="G4171" s="27" t="s">
        <v>10940</v>
      </c>
      <c r="H4171" s="28" t="s">
        <v>10941</v>
      </c>
      <c r="I4171" s="5" t="s">
        <v>233</v>
      </c>
    </row>
    <row r="4172" spans="1:9" ht="51.75" customHeight="1">
      <c r="A4172" s="5" t="s">
        <v>25304</v>
      </c>
      <c r="B4172" s="5" t="s">
        <v>35206</v>
      </c>
      <c r="C4172" s="5" t="s">
        <v>35207</v>
      </c>
      <c r="D4172" s="246">
        <v>42389</v>
      </c>
      <c r="E4172" s="5" t="s">
        <v>35208</v>
      </c>
      <c r="F4172" s="26" t="s">
        <v>23600</v>
      </c>
      <c r="G4172" s="27" t="s">
        <v>10940</v>
      </c>
      <c r="H4172" s="28" t="s">
        <v>10941</v>
      </c>
      <c r="I4172" s="5" t="s">
        <v>233</v>
      </c>
    </row>
    <row r="4173" spans="1:9" ht="51.75" customHeight="1">
      <c r="A4173" s="5" t="s">
        <v>28344</v>
      </c>
      <c r="B4173" s="5" t="s">
        <v>35209</v>
      </c>
      <c r="C4173" s="5" t="s">
        <v>35210</v>
      </c>
      <c r="D4173" s="246">
        <v>42438</v>
      </c>
      <c r="E4173" s="5" t="s">
        <v>35211</v>
      </c>
      <c r="F4173" s="26" t="s">
        <v>23600</v>
      </c>
      <c r="G4173" s="27" t="s">
        <v>11009</v>
      </c>
      <c r="H4173" s="28" t="s">
        <v>11010</v>
      </c>
      <c r="I4173" s="5" t="s">
        <v>233</v>
      </c>
    </row>
    <row r="4174" spans="1:9" ht="51.75" customHeight="1">
      <c r="A4174" s="5" t="s">
        <v>28240</v>
      </c>
      <c r="B4174" s="5" t="s">
        <v>35212</v>
      </c>
      <c r="C4174" s="5" t="s">
        <v>35213</v>
      </c>
      <c r="D4174" s="246">
        <v>42284</v>
      </c>
      <c r="E4174" s="5" t="s">
        <v>35214</v>
      </c>
      <c r="F4174" s="26" t="s">
        <v>23600</v>
      </c>
      <c r="G4174" s="27" t="s">
        <v>10843</v>
      </c>
      <c r="H4174" s="28" t="s">
        <v>10844</v>
      </c>
      <c r="I4174" s="5" t="s">
        <v>233</v>
      </c>
    </row>
    <row r="4175" spans="1:9" ht="51.75" customHeight="1">
      <c r="A4175" s="5" t="s">
        <v>28243</v>
      </c>
      <c r="B4175" s="5" t="s">
        <v>35215</v>
      </c>
      <c r="C4175" s="5" t="s">
        <v>35216</v>
      </c>
      <c r="D4175" s="246">
        <v>42284</v>
      </c>
      <c r="E4175" s="5" t="s">
        <v>35217</v>
      </c>
      <c r="F4175" s="26" t="s">
        <v>23600</v>
      </c>
      <c r="G4175" s="27" t="s">
        <v>10843</v>
      </c>
      <c r="H4175" s="28" t="s">
        <v>10844</v>
      </c>
      <c r="I4175" s="5" t="s">
        <v>233</v>
      </c>
    </row>
    <row r="4176" spans="1:9" ht="51.75" customHeight="1">
      <c r="A4176" s="5" t="s">
        <v>24606</v>
      </c>
      <c r="B4176" s="5" t="s">
        <v>35218</v>
      </c>
      <c r="C4176" s="5" t="s">
        <v>35219</v>
      </c>
      <c r="D4176" s="246">
        <v>42429</v>
      </c>
      <c r="E4176" s="5" t="s">
        <v>35220</v>
      </c>
      <c r="F4176" s="26" t="s">
        <v>23600</v>
      </c>
      <c r="G4176" s="27" t="s">
        <v>11084</v>
      </c>
      <c r="H4176" s="28" t="s">
        <v>11085</v>
      </c>
      <c r="I4176" s="5" t="s">
        <v>233</v>
      </c>
    </row>
    <row r="4177" spans="1:9" ht="51.75" customHeight="1">
      <c r="A4177" s="5" t="s">
        <v>24610</v>
      </c>
      <c r="B4177" s="5" t="s">
        <v>35221</v>
      </c>
      <c r="C4177" s="5" t="s">
        <v>35222</v>
      </c>
      <c r="D4177" s="246">
        <v>42429</v>
      </c>
      <c r="E4177" s="5" t="s">
        <v>35223</v>
      </c>
      <c r="F4177" s="26" t="s">
        <v>23600</v>
      </c>
      <c r="G4177" s="27" t="s">
        <v>11084</v>
      </c>
      <c r="H4177" s="28" t="s">
        <v>11085</v>
      </c>
      <c r="I4177" s="5" t="s">
        <v>233</v>
      </c>
    </row>
    <row r="4178" spans="1:9" ht="51.75" customHeight="1">
      <c r="A4178" s="5" t="s">
        <v>26238</v>
      </c>
      <c r="B4178" s="5" t="s">
        <v>35224</v>
      </c>
      <c r="C4178" s="5" t="s">
        <v>35225</v>
      </c>
      <c r="D4178" s="246">
        <v>42380</v>
      </c>
      <c r="E4178" s="5" t="s">
        <v>35226</v>
      </c>
      <c r="F4178" s="26" t="s">
        <v>23600</v>
      </c>
      <c r="G4178" s="27" t="s">
        <v>11033</v>
      </c>
      <c r="H4178" s="28" t="s">
        <v>11034</v>
      </c>
      <c r="I4178" s="5" t="s">
        <v>233</v>
      </c>
    </row>
    <row r="4179" spans="1:9" ht="51.75" customHeight="1">
      <c r="A4179" s="5" t="s">
        <v>26244</v>
      </c>
      <c r="B4179" s="5" t="s">
        <v>35227</v>
      </c>
      <c r="C4179" s="5" t="s">
        <v>35228</v>
      </c>
      <c r="D4179" s="246">
        <v>42380</v>
      </c>
      <c r="E4179" s="5" t="s">
        <v>35229</v>
      </c>
      <c r="F4179" s="26" t="s">
        <v>23600</v>
      </c>
      <c r="G4179" s="27" t="s">
        <v>11033</v>
      </c>
      <c r="H4179" s="28" t="s">
        <v>11034</v>
      </c>
      <c r="I4179" s="5" t="s">
        <v>233</v>
      </c>
    </row>
    <row r="4180" spans="1:9" ht="51.75" customHeight="1">
      <c r="A4180" s="5" t="s">
        <v>26270</v>
      </c>
      <c r="B4180" s="5" t="s">
        <v>35230</v>
      </c>
      <c r="C4180" s="5" t="s">
        <v>35231</v>
      </c>
      <c r="D4180" s="246">
        <v>42380</v>
      </c>
      <c r="E4180" s="5" t="s">
        <v>35232</v>
      </c>
      <c r="F4180" s="26" t="s">
        <v>23600</v>
      </c>
      <c r="G4180" s="27" t="s">
        <v>11033</v>
      </c>
      <c r="H4180" s="28" t="s">
        <v>11034</v>
      </c>
      <c r="I4180" s="5" t="s">
        <v>233</v>
      </c>
    </row>
    <row r="4181" spans="1:9" ht="51.75" customHeight="1">
      <c r="A4181" s="5" t="s">
        <v>23704</v>
      </c>
      <c r="B4181" s="5" t="s">
        <v>35233</v>
      </c>
      <c r="C4181" s="5" t="s">
        <v>35234</v>
      </c>
      <c r="D4181" s="246">
        <v>42472</v>
      </c>
      <c r="E4181" s="5" t="s">
        <v>35235</v>
      </c>
      <c r="F4181" s="26" t="s">
        <v>23600</v>
      </c>
      <c r="G4181" s="27" t="s">
        <v>11193</v>
      </c>
      <c r="H4181" s="28" t="s">
        <v>11194</v>
      </c>
      <c r="I4181" s="5" t="s">
        <v>233</v>
      </c>
    </row>
    <row r="4182" spans="1:9" ht="51.75" customHeight="1">
      <c r="A4182" s="5" t="s">
        <v>28178</v>
      </c>
      <c r="B4182" s="5" t="s">
        <v>35236</v>
      </c>
      <c r="C4182" s="5" t="s">
        <v>35237</v>
      </c>
      <c r="D4182" s="246">
        <v>42472</v>
      </c>
      <c r="E4182" s="5" t="s">
        <v>35238</v>
      </c>
      <c r="F4182" s="26" t="s">
        <v>23600</v>
      </c>
      <c r="G4182" s="27" t="s">
        <v>11193</v>
      </c>
      <c r="H4182" s="28" t="s">
        <v>11194</v>
      </c>
      <c r="I4182" s="5" t="s">
        <v>233</v>
      </c>
    </row>
    <row r="4183" spans="1:9" ht="51.75" customHeight="1">
      <c r="A4183" s="5" t="s">
        <v>28182</v>
      </c>
      <c r="B4183" s="5" t="s">
        <v>35239</v>
      </c>
      <c r="C4183" s="5" t="s">
        <v>35240</v>
      </c>
      <c r="D4183" s="246">
        <v>42472</v>
      </c>
      <c r="E4183" s="5" t="s">
        <v>35241</v>
      </c>
      <c r="F4183" s="26" t="s">
        <v>23600</v>
      </c>
      <c r="G4183" s="27" t="s">
        <v>11193</v>
      </c>
      <c r="H4183" s="28" t="s">
        <v>11194</v>
      </c>
      <c r="I4183" s="5" t="s">
        <v>233</v>
      </c>
    </row>
    <row r="4184" spans="1:9" ht="51.75" customHeight="1">
      <c r="A4184" s="5" t="s">
        <v>25545</v>
      </c>
      <c r="B4184" s="5" t="s">
        <v>35242</v>
      </c>
      <c r="C4184" s="5" t="s">
        <v>35243</v>
      </c>
      <c r="D4184" s="246">
        <v>42548</v>
      </c>
      <c r="E4184" s="5" t="s">
        <v>35244</v>
      </c>
      <c r="F4184" s="26" t="s">
        <v>23600</v>
      </c>
      <c r="G4184" s="27" t="s">
        <v>11351</v>
      </c>
      <c r="H4184" s="28" t="s">
        <v>11352</v>
      </c>
      <c r="I4184" s="5" t="s">
        <v>233</v>
      </c>
    </row>
    <row r="4185" spans="1:9" ht="51.75" customHeight="1">
      <c r="A4185" s="5" t="s">
        <v>30128</v>
      </c>
      <c r="B4185" s="5" t="s">
        <v>35245</v>
      </c>
      <c r="C4185" s="5" t="s">
        <v>35246</v>
      </c>
      <c r="D4185" s="246">
        <v>42548</v>
      </c>
      <c r="E4185" s="5" t="s">
        <v>35247</v>
      </c>
      <c r="F4185" s="26" t="s">
        <v>23600</v>
      </c>
      <c r="G4185" s="27" t="s">
        <v>11351</v>
      </c>
      <c r="H4185" s="28" t="s">
        <v>11352</v>
      </c>
      <c r="I4185" s="5" t="s">
        <v>233</v>
      </c>
    </row>
    <row r="4186" spans="1:9" ht="51.75" customHeight="1">
      <c r="A4186" s="5" t="s">
        <v>33981</v>
      </c>
      <c r="B4186" s="5" t="s">
        <v>35248</v>
      </c>
      <c r="C4186" s="5" t="s">
        <v>34495</v>
      </c>
      <c r="D4186" s="246">
        <v>42548</v>
      </c>
      <c r="E4186" s="5" t="s">
        <v>35249</v>
      </c>
      <c r="F4186" s="26" t="s">
        <v>23600</v>
      </c>
      <c r="G4186" s="27" t="s">
        <v>11351</v>
      </c>
      <c r="H4186" s="28" t="s">
        <v>11352</v>
      </c>
      <c r="I4186" s="5" t="s">
        <v>233</v>
      </c>
    </row>
    <row r="4187" spans="1:9" ht="51.75" customHeight="1">
      <c r="A4187" s="5" t="s">
        <v>33985</v>
      </c>
      <c r="B4187" s="5" t="s">
        <v>35250</v>
      </c>
      <c r="C4187" s="5" t="s">
        <v>35251</v>
      </c>
      <c r="D4187" s="246">
        <v>42548</v>
      </c>
      <c r="E4187" s="5" t="s">
        <v>35252</v>
      </c>
      <c r="F4187" s="26" t="s">
        <v>23600</v>
      </c>
      <c r="G4187" s="27" t="s">
        <v>11351</v>
      </c>
      <c r="H4187" s="28" t="s">
        <v>11352</v>
      </c>
      <c r="I4187" s="5" t="s">
        <v>233</v>
      </c>
    </row>
    <row r="4188" spans="1:9" ht="51.75" customHeight="1">
      <c r="A4188" s="5" t="s">
        <v>23772</v>
      </c>
      <c r="B4188" s="5" t="s">
        <v>35253</v>
      </c>
      <c r="C4188" s="5" t="s">
        <v>35254</v>
      </c>
      <c r="D4188" s="246">
        <v>42522</v>
      </c>
      <c r="E4188" s="5" t="s">
        <v>35255</v>
      </c>
      <c r="F4188" s="26" t="s">
        <v>23600</v>
      </c>
      <c r="G4188" s="27" t="s">
        <v>11283</v>
      </c>
      <c r="H4188" s="28" t="s">
        <v>11284</v>
      </c>
      <c r="I4188" s="5" t="s">
        <v>233</v>
      </c>
    </row>
    <row r="4189" spans="1:9" ht="51.75" customHeight="1">
      <c r="A4189" s="5" t="s">
        <v>23839</v>
      </c>
      <c r="B4189" s="5" t="s">
        <v>35256</v>
      </c>
      <c r="C4189" s="5" t="s">
        <v>35257</v>
      </c>
      <c r="D4189" s="246">
        <v>42522</v>
      </c>
      <c r="E4189" s="5" t="s">
        <v>35258</v>
      </c>
      <c r="F4189" s="26" t="s">
        <v>23600</v>
      </c>
      <c r="G4189" s="27" t="s">
        <v>11283</v>
      </c>
      <c r="H4189" s="28" t="s">
        <v>11284</v>
      </c>
      <c r="I4189" s="5" t="s">
        <v>233</v>
      </c>
    </row>
    <row r="4190" spans="1:9" ht="51.75" customHeight="1">
      <c r="A4190" s="5" t="s">
        <v>23843</v>
      </c>
      <c r="B4190" s="5" t="s">
        <v>35259</v>
      </c>
      <c r="C4190" s="5" t="s">
        <v>35260</v>
      </c>
      <c r="D4190" s="246">
        <v>42522</v>
      </c>
      <c r="E4190" s="5" t="s">
        <v>35261</v>
      </c>
      <c r="F4190" s="26" t="s">
        <v>23600</v>
      </c>
      <c r="G4190" s="27" t="s">
        <v>11283</v>
      </c>
      <c r="H4190" s="28" t="s">
        <v>11284</v>
      </c>
      <c r="I4190" s="5" t="s">
        <v>233</v>
      </c>
    </row>
    <row r="4191" spans="1:9" ht="51.75" customHeight="1">
      <c r="A4191" s="5" t="s">
        <v>24954</v>
      </c>
      <c r="B4191" s="5" t="s">
        <v>35262</v>
      </c>
      <c r="C4191" s="5" t="s">
        <v>35263</v>
      </c>
      <c r="D4191" s="246">
        <v>42488</v>
      </c>
      <c r="E4191" s="5" t="s">
        <v>35264</v>
      </c>
      <c r="F4191" s="26" t="s">
        <v>23600</v>
      </c>
      <c r="G4191" s="27" t="s">
        <v>11199</v>
      </c>
      <c r="H4191" s="28" t="s">
        <v>11200</v>
      </c>
      <c r="I4191" s="5" t="s">
        <v>233</v>
      </c>
    </row>
    <row r="4192" spans="1:9" ht="51.75" customHeight="1">
      <c r="A4192" s="5" t="s">
        <v>23814</v>
      </c>
      <c r="B4192" s="5" t="s">
        <v>35265</v>
      </c>
      <c r="C4192" s="5" t="s">
        <v>35266</v>
      </c>
      <c r="D4192" s="246">
        <v>42488</v>
      </c>
      <c r="E4192" s="5" t="s">
        <v>35267</v>
      </c>
      <c r="F4192" s="26" t="s">
        <v>23600</v>
      </c>
      <c r="G4192" s="27" t="s">
        <v>11199</v>
      </c>
      <c r="H4192" s="28" t="s">
        <v>11200</v>
      </c>
      <c r="I4192" s="5" t="s">
        <v>233</v>
      </c>
    </row>
    <row r="4193" spans="1:9" ht="51.75" customHeight="1">
      <c r="A4193" s="5" t="s">
        <v>28291</v>
      </c>
      <c r="B4193" s="5" t="s">
        <v>35268</v>
      </c>
      <c r="C4193" s="5" t="s">
        <v>35269</v>
      </c>
      <c r="D4193" s="246">
        <v>42488</v>
      </c>
      <c r="E4193" s="5" t="s">
        <v>35270</v>
      </c>
      <c r="F4193" s="26" t="s">
        <v>23600</v>
      </c>
      <c r="G4193" s="27" t="s">
        <v>11199</v>
      </c>
      <c r="H4193" s="28" t="s">
        <v>11200</v>
      </c>
      <c r="I4193" s="5" t="s">
        <v>233</v>
      </c>
    </row>
    <row r="4194" spans="1:9" ht="51.75" customHeight="1">
      <c r="A4194" s="5" t="s">
        <v>28158</v>
      </c>
      <c r="B4194" s="5" t="s">
        <v>35271</v>
      </c>
      <c r="C4194" s="5" t="s">
        <v>35272</v>
      </c>
      <c r="D4194" s="246">
        <v>42466</v>
      </c>
      <c r="E4194" s="5" t="s">
        <v>35273</v>
      </c>
      <c r="F4194" s="26" t="s">
        <v>23600</v>
      </c>
      <c r="G4194" s="27" t="s">
        <v>11465</v>
      </c>
      <c r="H4194" s="28" t="s">
        <v>11466</v>
      </c>
      <c r="I4194" s="5" t="s">
        <v>233</v>
      </c>
    </row>
    <row r="4195" spans="1:9" ht="51.75" customHeight="1">
      <c r="A4195" s="5" t="s">
        <v>23712</v>
      </c>
      <c r="B4195" s="5" t="s">
        <v>35274</v>
      </c>
      <c r="C4195" s="5" t="s">
        <v>35275</v>
      </c>
      <c r="D4195" s="246">
        <v>42466</v>
      </c>
      <c r="E4195" s="5" t="s">
        <v>35276</v>
      </c>
      <c r="F4195" s="26" t="s">
        <v>23600</v>
      </c>
      <c r="G4195" s="27" t="s">
        <v>11465</v>
      </c>
      <c r="H4195" s="28" t="s">
        <v>11466</v>
      </c>
      <c r="I4195" s="5" t="s">
        <v>233</v>
      </c>
    </row>
    <row r="4196" spans="1:9" ht="51.75" customHeight="1">
      <c r="A4196" s="5" t="s">
        <v>28165</v>
      </c>
      <c r="B4196" s="5" t="s">
        <v>35277</v>
      </c>
      <c r="C4196" s="5" t="s">
        <v>35278</v>
      </c>
      <c r="D4196" s="246">
        <v>42466</v>
      </c>
      <c r="E4196" s="5" t="s">
        <v>35279</v>
      </c>
      <c r="F4196" s="26" t="s">
        <v>23600</v>
      </c>
      <c r="G4196" s="27" t="s">
        <v>11465</v>
      </c>
      <c r="H4196" s="28" t="s">
        <v>11466</v>
      </c>
      <c r="I4196" s="5" t="s">
        <v>233</v>
      </c>
    </row>
    <row r="4197" spans="1:9" ht="51.75" customHeight="1">
      <c r="A4197" s="5" t="s">
        <v>23708</v>
      </c>
      <c r="B4197" s="5" t="s">
        <v>35280</v>
      </c>
      <c r="C4197" s="5" t="s">
        <v>35281</v>
      </c>
      <c r="D4197" s="246">
        <v>42466</v>
      </c>
      <c r="E4197" s="5" t="s">
        <v>35282</v>
      </c>
      <c r="F4197" s="26" t="s">
        <v>23600</v>
      </c>
      <c r="G4197" s="27" t="s">
        <v>11465</v>
      </c>
      <c r="H4197" s="28" t="s">
        <v>11466</v>
      </c>
      <c r="I4197" s="5" t="s">
        <v>233</v>
      </c>
    </row>
    <row r="4198" spans="1:9" ht="51.75" customHeight="1">
      <c r="A4198" s="5" t="s">
        <v>23700</v>
      </c>
      <c r="B4198" s="5" t="s">
        <v>35283</v>
      </c>
      <c r="C4198" s="5" t="s">
        <v>34968</v>
      </c>
      <c r="D4198" s="246" t="s">
        <v>68</v>
      </c>
      <c r="E4198" s="5" t="s">
        <v>35284</v>
      </c>
      <c r="F4198" s="26" t="s">
        <v>23600</v>
      </c>
      <c r="G4198" s="27" t="s">
        <v>11465</v>
      </c>
      <c r="H4198" s="28" t="s">
        <v>11466</v>
      </c>
      <c r="I4198" s="5" t="s">
        <v>233</v>
      </c>
    </row>
    <row r="4199" spans="1:9" ht="51.75" customHeight="1">
      <c r="A4199" s="5" t="s">
        <v>24444</v>
      </c>
      <c r="B4199" s="5" t="s">
        <v>35285</v>
      </c>
      <c r="C4199" s="5" t="s">
        <v>35286</v>
      </c>
      <c r="D4199" s="246">
        <v>42564</v>
      </c>
      <c r="E4199" s="5" t="s">
        <v>35287</v>
      </c>
      <c r="F4199" s="26" t="s">
        <v>23600</v>
      </c>
      <c r="G4199" s="27" t="s">
        <v>11483</v>
      </c>
      <c r="H4199" s="28" t="s">
        <v>11484</v>
      </c>
      <c r="I4199" s="5" t="s">
        <v>233</v>
      </c>
    </row>
    <row r="4200" spans="1:9" ht="51.75" customHeight="1">
      <c r="A4200" s="5" t="s">
        <v>25137</v>
      </c>
      <c r="B4200" s="5" t="s">
        <v>35288</v>
      </c>
      <c r="C4200" s="5" t="s">
        <v>35289</v>
      </c>
      <c r="D4200" s="246">
        <v>42564</v>
      </c>
      <c r="E4200" s="5" t="s">
        <v>35290</v>
      </c>
      <c r="F4200" s="26" t="s">
        <v>23600</v>
      </c>
      <c r="G4200" s="27" t="s">
        <v>11483</v>
      </c>
      <c r="H4200" s="28" t="s">
        <v>11484</v>
      </c>
      <c r="I4200" s="5" t="s">
        <v>233</v>
      </c>
    </row>
    <row r="4201" spans="1:9" ht="51.75" customHeight="1">
      <c r="A4201" s="5" t="s">
        <v>25066</v>
      </c>
      <c r="B4201" s="5" t="s">
        <v>35291</v>
      </c>
      <c r="C4201" s="5" t="s">
        <v>35292</v>
      </c>
      <c r="D4201" s="246">
        <v>42564</v>
      </c>
      <c r="E4201" s="5" t="s">
        <v>35293</v>
      </c>
      <c r="F4201" s="26" t="s">
        <v>23600</v>
      </c>
      <c r="G4201" s="27" t="s">
        <v>11483</v>
      </c>
      <c r="H4201" s="28" t="s">
        <v>11484</v>
      </c>
      <c r="I4201" s="5" t="s">
        <v>233</v>
      </c>
    </row>
    <row r="4202" spans="1:9" ht="51.75" customHeight="1">
      <c r="A4202" s="5" t="s">
        <v>26646</v>
      </c>
      <c r="B4202" s="5" t="s">
        <v>35294</v>
      </c>
      <c r="C4202" s="5" t="s">
        <v>35295</v>
      </c>
      <c r="D4202" s="246">
        <v>42564</v>
      </c>
      <c r="E4202" s="5" t="s">
        <v>35296</v>
      </c>
      <c r="F4202" s="26" t="s">
        <v>23600</v>
      </c>
      <c r="G4202" s="27" t="s">
        <v>11483</v>
      </c>
      <c r="H4202" s="28" t="s">
        <v>11484</v>
      </c>
      <c r="I4202" s="5" t="s">
        <v>233</v>
      </c>
    </row>
    <row r="4203" spans="1:9" ht="51.75" customHeight="1">
      <c r="A4203" s="5" t="s">
        <v>26848</v>
      </c>
      <c r="B4203" s="5" t="s">
        <v>35297</v>
      </c>
      <c r="C4203" s="5" t="s">
        <v>35298</v>
      </c>
      <c r="D4203" s="246">
        <v>42585</v>
      </c>
      <c r="E4203" s="5" t="s">
        <v>35299</v>
      </c>
      <c r="F4203" s="26" t="s">
        <v>23600</v>
      </c>
      <c r="G4203" s="27" t="s">
        <v>11669</v>
      </c>
      <c r="H4203" s="28" t="s">
        <v>11670</v>
      </c>
      <c r="I4203" s="5" t="s">
        <v>233</v>
      </c>
    </row>
    <row r="4204" spans="1:9" ht="51.75" customHeight="1">
      <c r="A4204" s="5" t="s">
        <v>24725</v>
      </c>
      <c r="B4204" s="5" t="s">
        <v>35300</v>
      </c>
      <c r="C4204" s="5" t="s">
        <v>35301</v>
      </c>
      <c r="D4204" s="246">
        <v>42585</v>
      </c>
      <c r="E4204" s="5" t="s">
        <v>35302</v>
      </c>
      <c r="F4204" s="26" t="s">
        <v>23600</v>
      </c>
      <c r="G4204" s="27" t="s">
        <v>11669</v>
      </c>
      <c r="H4204" s="28" t="s">
        <v>11670</v>
      </c>
      <c r="I4204" s="5" t="s">
        <v>233</v>
      </c>
    </row>
    <row r="4205" spans="1:9" ht="51.75" customHeight="1">
      <c r="A4205" s="5" t="s">
        <v>24614</v>
      </c>
      <c r="B4205" s="5" t="s">
        <v>35303</v>
      </c>
      <c r="C4205" s="5" t="s">
        <v>35304</v>
      </c>
      <c r="D4205" s="246">
        <v>42583</v>
      </c>
      <c r="E4205" s="5" t="s">
        <v>35305</v>
      </c>
      <c r="F4205" s="26" t="s">
        <v>23600</v>
      </c>
      <c r="G4205" s="27" t="s">
        <v>11626</v>
      </c>
      <c r="H4205" s="28" t="s">
        <v>11627</v>
      </c>
      <c r="I4205" s="5" t="s">
        <v>233</v>
      </c>
    </row>
    <row r="4206" spans="1:9" ht="51.75" customHeight="1">
      <c r="A4206" s="5" t="s">
        <v>26828</v>
      </c>
      <c r="B4206" s="5" t="s">
        <v>35306</v>
      </c>
      <c r="C4206" s="5" t="s">
        <v>35307</v>
      </c>
      <c r="D4206" s="246">
        <v>42583</v>
      </c>
      <c r="E4206" s="5" t="s">
        <v>35308</v>
      </c>
      <c r="F4206" s="26" t="s">
        <v>23600</v>
      </c>
      <c r="G4206" s="27" t="s">
        <v>11626</v>
      </c>
      <c r="H4206" s="28" t="s">
        <v>11627</v>
      </c>
      <c r="I4206" s="5" t="s">
        <v>233</v>
      </c>
    </row>
    <row r="4207" spans="1:9" ht="51.75" customHeight="1">
      <c r="A4207" s="5" t="s">
        <v>23724</v>
      </c>
      <c r="B4207" s="5" t="s">
        <v>35309</v>
      </c>
      <c r="C4207" s="5" t="s">
        <v>35310</v>
      </c>
      <c r="D4207" s="246">
        <v>42583</v>
      </c>
      <c r="E4207" s="5" t="s">
        <v>35311</v>
      </c>
      <c r="F4207" s="26" t="s">
        <v>23600</v>
      </c>
      <c r="G4207" s="27" t="s">
        <v>11626</v>
      </c>
      <c r="H4207" s="28" t="s">
        <v>11627</v>
      </c>
      <c r="I4207" s="5" t="s">
        <v>233</v>
      </c>
    </row>
    <row r="4208" spans="1:9" ht="51.75" customHeight="1">
      <c r="A4208" s="5" t="s">
        <v>23692</v>
      </c>
      <c r="B4208" s="5" t="s">
        <v>35312</v>
      </c>
      <c r="C4208" s="5" t="s">
        <v>35313</v>
      </c>
      <c r="D4208" s="246">
        <v>42583</v>
      </c>
      <c r="E4208" s="5" t="s">
        <v>35314</v>
      </c>
      <c r="F4208" s="26" t="s">
        <v>23600</v>
      </c>
      <c r="G4208" s="27" t="s">
        <v>11626</v>
      </c>
      <c r="H4208" s="28" t="s">
        <v>11627</v>
      </c>
      <c r="I4208" s="5" t="s">
        <v>233</v>
      </c>
    </row>
    <row r="4209" spans="1:9" ht="51.75" customHeight="1">
      <c r="A4209" s="5" t="s">
        <v>23601</v>
      </c>
      <c r="B4209" s="5" t="s">
        <v>35315</v>
      </c>
      <c r="C4209" s="5" t="s">
        <v>35316</v>
      </c>
      <c r="D4209" s="246">
        <v>42583</v>
      </c>
      <c r="E4209" s="5" t="s">
        <v>35317</v>
      </c>
      <c r="F4209" s="26" t="s">
        <v>23600</v>
      </c>
      <c r="G4209" s="27" t="s">
        <v>11626</v>
      </c>
      <c r="H4209" s="28" t="s">
        <v>11627</v>
      </c>
      <c r="I4209" s="5" t="s">
        <v>233</v>
      </c>
    </row>
    <row r="4210" spans="1:9" ht="51.75" customHeight="1">
      <c r="A4210" s="5" t="s">
        <v>24635</v>
      </c>
      <c r="B4210" s="5" t="s">
        <v>35318</v>
      </c>
      <c r="C4210" s="5" t="s">
        <v>35319</v>
      </c>
      <c r="D4210" s="246">
        <v>42591</v>
      </c>
      <c r="E4210" s="5" t="s">
        <v>35320</v>
      </c>
      <c r="F4210" s="26" t="s">
        <v>23600</v>
      </c>
      <c r="G4210" s="27" t="s">
        <v>11762</v>
      </c>
      <c r="H4210" s="28" t="s">
        <v>11763</v>
      </c>
      <c r="I4210" s="5" t="s">
        <v>233</v>
      </c>
    </row>
    <row r="4211" spans="1:9" ht="51.75" customHeight="1">
      <c r="A4211" s="5" t="s">
        <v>27168</v>
      </c>
      <c r="B4211" s="5" t="s">
        <v>35321</v>
      </c>
      <c r="C4211" s="5" t="s">
        <v>35322</v>
      </c>
      <c r="D4211" s="246">
        <v>42642</v>
      </c>
      <c r="E4211" s="5" t="s">
        <v>35323</v>
      </c>
      <c r="F4211" s="26" t="s">
        <v>23600</v>
      </c>
      <c r="G4211" s="27" t="s">
        <v>11833</v>
      </c>
      <c r="H4211" s="28" t="s">
        <v>11834</v>
      </c>
      <c r="I4211" s="5" t="s">
        <v>233</v>
      </c>
    </row>
    <row r="4212" spans="1:9" ht="51.75" customHeight="1">
      <c r="A4212" s="5" t="s">
        <v>27171</v>
      </c>
      <c r="B4212" s="5" t="s">
        <v>35324</v>
      </c>
      <c r="C4212" s="5" t="s">
        <v>35325</v>
      </c>
      <c r="D4212" s="246">
        <v>42642</v>
      </c>
      <c r="E4212" s="5" t="s">
        <v>35326</v>
      </c>
      <c r="F4212" s="26" t="s">
        <v>23600</v>
      </c>
      <c r="G4212" s="27" t="s">
        <v>11833</v>
      </c>
      <c r="H4212" s="28" t="s">
        <v>11834</v>
      </c>
      <c r="I4212" s="5" t="s">
        <v>233</v>
      </c>
    </row>
    <row r="4213" spans="1:9" ht="51.75" customHeight="1">
      <c r="A4213" s="5" t="s">
        <v>23904</v>
      </c>
      <c r="B4213" s="5" t="s">
        <v>35327</v>
      </c>
      <c r="C4213" s="5" t="s">
        <v>35328</v>
      </c>
      <c r="D4213" s="246">
        <v>42642</v>
      </c>
      <c r="E4213" s="5" t="s">
        <v>35329</v>
      </c>
      <c r="F4213" s="26" t="s">
        <v>23600</v>
      </c>
      <c r="G4213" s="27" t="s">
        <v>11833</v>
      </c>
      <c r="H4213" s="28" t="s">
        <v>11834</v>
      </c>
      <c r="I4213" s="5" t="s">
        <v>233</v>
      </c>
    </row>
    <row r="4214" spans="1:9" ht="51.75" customHeight="1">
      <c r="A4214" s="5" t="s">
        <v>24666</v>
      </c>
      <c r="B4214" s="5" t="s">
        <v>35330</v>
      </c>
      <c r="C4214" s="5" t="s">
        <v>35331</v>
      </c>
      <c r="D4214" s="246">
        <v>42586</v>
      </c>
      <c r="E4214" s="5" t="s">
        <v>35332</v>
      </c>
      <c r="F4214" s="26" t="s">
        <v>23600</v>
      </c>
      <c r="G4214" s="27" t="s">
        <v>11855</v>
      </c>
      <c r="H4214" s="28" t="s">
        <v>11856</v>
      </c>
      <c r="I4214" s="5" t="s">
        <v>233</v>
      </c>
    </row>
    <row r="4215" spans="1:9" ht="51.75" customHeight="1">
      <c r="A4215" s="5" t="s">
        <v>33989</v>
      </c>
      <c r="B4215" s="5" t="s">
        <v>35333</v>
      </c>
      <c r="C4215" s="5" t="s">
        <v>35334</v>
      </c>
      <c r="D4215" s="246">
        <v>42551</v>
      </c>
      <c r="E4215" s="5" t="s">
        <v>35335</v>
      </c>
      <c r="F4215" s="26" t="s">
        <v>23600</v>
      </c>
      <c r="G4215" s="27" t="s">
        <v>11459</v>
      </c>
      <c r="H4215" s="28" t="s">
        <v>11460</v>
      </c>
      <c r="I4215" s="5" t="s">
        <v>233</v>
      </c>
    </row>
    <row r="4216" spans="1:9" ht="51.75" customHeight="1">
      <c r="A4216" s="5" t="s">
        <v>30132</v>
      </c>
      <c r="B4216" s="5" t="s">
        <v>35336</v>
      </c>
      <c r="C4216" s="5" t="s">
        <v>35337</v>
      </c>
      <c r="D4216" s="246">
        <v>42551</v>
      </c>
      <c r="E4216" s="5" t="s">
        <v>35338</v>
      </c>
      <c r="F4216" s="26" t="s">
        <v>23600</v>
      </c>
      <c r="G4216" s="27" t="s">
        <v>11459</v>
      </c>
      <c r="H4216" s="28" t="s">
        <v>11460</v>
      </c>
      <c r="I4216" s="5" t="s">
        <v>233</v>
      </c>
    </row>
    <row r="4217" spans="1:9" ht="51.75" customHeight="1">
      <c r="A4217" s="5" t="s">
        <v>23908</v>
      </c>
      <c r="B4217" s="5" t="s">
        <v>35339</v>
      </c>
      <c r="C4217" s="5" t="s">
        <v>34528</v>
      </c>
      <c r="D4217" s="246">
        <v>42649</v>
      </c>
      <c r="E4217" s="5" t="s">
        <v>35340</v>
      </c>
      <c r="F4217" s="26" t="s">
        <v>23600</v>
      </c>
      <c r="G4217" s="27" t="s">
        <v>12017</v>
      </c>
      <c r="H4217" s="28" t="s">
        <v>12018</v>
      </c>
      <c r="I4217" s="5" t="s">
        <v>233</v>
      </c>
    </row>
    <row r="4218" spans="1:9" ht="51.75" customHeight="1">
      <c r="A4218" s="5" t="s">
        <v>27180</v>
      </c>
      <c r="B4218" s="5" t="s">
        <v>35341</v>
      </c>
      <c r="C4218" s="5" t="s">
        <v>35342</v>
      </c>
      <c r="D4218" s="246">
        <v>42649</v>
      </c>
      <c r="E4218" s="5" t="s">
        <v>35343</v>
      </c>
      <c r="F4218" s="26" t="s">
        <v>23600</v>
      </c>
      <c r="G4218" s="27" t="s">
        <v>12017</v>
      </c>
      <c r="H4218" s="28" t="s">
        <v>12018</v>
      </c>
      <c r="I4218" s="5" t="s">
        <v>233</v>
      </c>
    </row>
    <row r="4219" spans="1:9" ht="51.75" customHeight="1">
      <c r="A4219" s="5" t="s">
        <v>27183</v>
      </c>
      <c r="B4219" s="5" t="s">
        <v>35344</v>
      </c>
      <c r="C4219" s="5" t="s">
        <v>35345</v>
      </c>
      <c r="D4219" s="246">
        <v>42649</v>
      </c>
      <c r="E4219" s="5" t="s">
        <v>35346</v>
      </c>
      <c r="F4219" s="26" t="s">
        <v>23600</v>
      </c>
      <c r="G4219" s="27" t="s">
        <v>12017</v>
      </c>
      <c r="H4219" s="28" t="s">
        <v>12018</v>
      </c>
      <c r="I4219" s="5" t="s">
        <v>233</v>
      </c>
    </row>
    <row r="4220" spans="1:9" ht="51.75" customHeight="1">
      <c r="A4220" s="5" t="s">
        <v>35347</v>
      </c>
      <c r="B4220" s="5" t="s">
        <v>35348</v>
      </c>
      <c r="C4220" s="5" t="s">
        <v>35349</v>
      </c>
      <c r="D4220" s="246">
        <v>42688</v>
      </c>
      <c r="E4220" s="5" t="s">
        <v>35350</v>
      </c>
      <c r="F4220" s="26" t="s">
        <v>23600</v>
      </c>
      <c r="G4220" s="27" t="s">
        <v>12011</v>
      </c>
      <c r="H4220" s="28" t="s">
        <v>12012</v>
      </c>
      <c r="I4220" s="5" t="s">
        <v>233</v>
      </c>
    </row>
    <row r="4221" spans="1:9" ht="51.75" customHeight="1">
      <c r="A4221" s="5" t="s">
        <v>35351</v>
      </c>
      <c r="B4221" s="5" t="s">
        <v>35352</v>
      </c>
      <c r="C4221" s="5" t="s">
        <v>35353</v>
      </c>
      <c r="D4221" s="246">
        <v>42688</v>
      </c>
      <c r="E4221" s="5" t="s">
        <v>35354</v>
      </c>
      <c r="F4221" s="26" t="s">
        <v>23600</v>
      </c>
      <c r="G4221" s="27" t="s">
        <v>12011</v>
      </c>
      <c r="H4221" s="28" t="s">
        <v>12012</v>
      </c>
      <c r="I4221" s="5" t="s">
        <v>233</v>
      </c>
    </row>
    <row r="4222" spans="1:9" ht="51.75" customHeight="1">
      <c r="A4222" s="5" t="s">
        <v>28081</v>
      </c>
      <c r="B4222" s="5" t="s">
        <v>35355</v>
      </c>
      <c r="C4222" s="5" t="s">
        <v>35356</v>
      </c>
      <c r="D4222" s="246">
        <v>42688</v>
      </c>
      <c r="E4222" s="5" t="s">
        <v>35357</v>
      </c>
      <c r="F4222" s="26" t="s">
        <v>23600</v>
      </c>
      <c r="G4222" s="27" t="s">
        <v>12011</v>
      </c>
      <c r="H4222" s="28" t="s">
        <v>12012</v>
      </c>
      <c r="I4222" s="5" t="s">
        <v>233</v>
      </c>
    </row>
    <row r="4223" spans="1:9" ht="51.75" customHeight="1">
      <c r="A4223" s="5" t="s">
        <v>27715</v>
      </c>
      <c r="B4223" s="5" t="s">
        <v>35358</v>
      </c>
      <c r="C4223" s="5" t="s">
        <v>35359</v>
      </c>
      <c r="D4223" s="246">
        <v>42670</v>
      </c>
      <c r="E4223" s="5" t="s">
        <v>35360</v>
      </c>
      <c r="F4223" s="26" t="s">
        <v>23600</v>
      </c>
      <c r="G4223" s="27" t="s">
        <v>12152</v>
      </c>
      <c r="H4223" s="28" t="s">
        <v>12153</v>
      </c>
      <c r="I4223" s="5" t="s">
        <v>233</v>
      </c>
    </row>
    <row r="4224" spans="1:9" ht="51.75" customHeight="1">
      <c r="A4224" s="5" t="s">
        <v>27721</v>
      </c>
      <c r="B4224" s="5" t="s">
        <v>35361</v>
      </c>
      <c r="C4224" s="5" t="s">
        <v>35362</v>
      </c>
      <c r="D4224" s="246">
        <v>42670</v>
      </c>
      <c r="E4224" s="5" t="s">
        <v>35363</v>
      </c>
      <c r="F4224" s="26" t="s">
        <v>23600</v>
      </c>
      <c r="G4224" s="27" t="s">
        <v>12152</v>
      </c>
      <c r="H4224" s="28" t="s">
        <v>12153</v>
      </c>
      <c r="I4224" s="5" t="s">
        <v>233</v>
      </c>
    </row>
    <row r="4225" spans="1:9" ht="51.75" customHeight="1">
      <c r="A4225" s="5" t="s">
        <v>35364</v>
      </c>
      <c r="B4225" s="5" t="s">
        <v>35365</v>
      </c>
      <c r="C4225" s="5" t="s">
        <v>35366</v>
      </c>
      <c r="D4225" s="246">
        <v>42670</v>
      </c>
      <c r="E4225" s="5" t="s">
        <v>35367</v>
      </c>
      <c r="F4225" s="26" t="s">
        <v>23600</v>
      </c>
      <c r="G4225" s="27" t="s">
        <v>12152</v>
      </c>
      <c r="H4225" s="28" t="s">
        <v>12153</v>
      </c>
      <c r="I4225" s="5" t="s">
        <v>233</v>
      </c>
    </row>
    <row r="4226" spans="1:9" ht="51.75" customHeight="1">
      <c r="A4226" s="5" t="s">
        <v>28037</v>
      </c>
      <c r="B4226" s="5" t="s">
        <v>35368</v>
      </c>
      <c r="C4226" s="5" t="s">
        <v>35369</v>
      </c>
      <c r="D4226" s="246">
        <v>42670</v>
      </c>
      <c r="E4226" s="5" t="s">
        <v>35370</v>
      </c>
      <c r="F4226" s="26" t="s">
        <v>23600</v>
      </c>
      <c r="G4226" s="27" t="s">
        <v>12152</v>
      </c>
      <c r="H4226" s="28" t="s">
        <v>12153</v>
      </c>
      <c r="I4226" s="5" t="s">
        <v>233</v>
      </c>
    </row>
    <row r="4227" spans="1:9" ht="51.75" customHeight="1">
      <c r="A4227" s="5" t="s">
        <v>27223</v>
      </c>
      <c r="B4227" s="5" t="s">
        <v>35371</v>
      </c>
      <c r="C4227" s="5" t="s">
        <v>35372</v>
      </c>
      <c r="D4227" s="246">
        <v>42660</v>
      </c>
      <c r="E4227" s="5" t="s">
        <v>35373</v>
      </c>
      <c r="F4227" s="26" t="s">
        <v>23600</v>
      </c>
      <c r="G4227" s="27" t="s">
        <v>12123</v>
      </c>
      <c r="H4227" s="28" t="s">
        <v>12124</v>
      </c>
      <c r="I4227" s="5" t="s">
        <v>233</v>
      </c>
    </row>
    <row r="4228" spans="1:9" ht="51.75" customHeight="1">
      <c r="A4228" s="5" t="s">
        <v>27227</v>
      </c>
      <c r="B4228" s="5" t="s">
        <v>35374</v>
      </c>
      <c r="C4228" s="5" t="s">
        <v>35375</v>
      </c>
      <c r="D4228" s="246">
        <v>42660</v>
      </c>
      <c r="E4228" s="5" t="s">
        <v>35376</v>
      </c>
      <c r="F4228" s="26" t="s">
        <v>23600</v>
      </c>
      <c r="G4228" s="27" t="s">
        <v>12123</v>
      </c>
      <c r="H4228" s="28" t="s">
        <v>12124</v>
      </c>
      <c r="I4228" s="5" t="s">
        <v>233</v>
      </c>
    </row>
    <row r="4229" spans="1:9" ht="51.75" customHeight="1">
      <c r="A4229" s="5" t="s">
        <v>25920</v>
      </c>
      <c r="B4229" s="5" t="s">
        <v>35377</v>
      </c>
      <c r="C4229" s="5" t="s">
        <v>35378</v>
      </c>
      <c r="D4229" s="246">
        <v>42709</v>
      </c>
      <c r="E4229" s="5" t="s">
        <v>35379</v>
      </c>
      <c r="F4229" s="26" t="s">
        <v>23600</v>
      </c>
      <c r="G4229" s="27" t="s">
        <v>12204</v>
      </c>
      <c r="H4229" s="28" t="s">
        <v>12205</v>
      </c>
      <c r="I4229" s="5" t="s">
        <v>233</v>
      </c>
    </row>
    <row r="4230" spans="1:9" ht="51.75" customHeight="1">
      <c r="A4230" s="5" t="s">
        <v>25926</v>
      </c>
      <c r="B4230" s="5" t="s">
        <v>35380</v>
      </c>
      <c r="C4230" s="5" t="s">
        <v>35381</v>
      </c>
      <c r="D4230" s="246">
        <v>42709</v>
      </c>
      <c r="E4230" s="5" t="s">
        <v>35382</v>
      </c>
      <c r="F4230" s="26" t="s">
        <v>23600</v>
      </c>
      <c r="G4230" s="27" t="s">
        <v>12204</v>
      </c>
      <c r="H4230" s="28" t="s">
        <v>12205</v>
      </c>
      <c r="I4230" s="5" t="s">
        <v>233</v>
      </c>
    </row>
    <row r="4231" spans="1:9" ht="51.75" customHeight="1">
      <c r="A4231" s="5" t="s">
        <v>25932</v>
      </c>
      <c r="B4231" s="5" t="s">
        <v>35383</v>
      </c>
      <c r="C4231" s="5" t="s">
        <v>35384</v>
      </c>
      <c r="D4231" s="246">
        <v>42709</v>
      </c>
      <c r="E4231" s="5" t="s">
        <v>35385</v>
      </c>
      <c r="F4231" s="26" t="s">
        <v>23600</v>
      </c>
      <c r="G4231" s="27" t="s">
        <v>12204</v>
      </c>
      <c r="H4231" s="28" t="s">
        <v>12205</v>
      </c>
      <c r="I4231" s="5" t="s">
        <v>233</v>
      </c>
    </row>
    <row r="4232" spans="1:9" ht="51.75" customHeight="1">
      <c r="A4232" s="5" t="s">
        <v>25652</v>
      </c>
      <c r="B4232" s="5" t="s">
        <v>35386</v>
      </c>
      <c r="C4232" s="5" t="s">
        <v>35387</v>
      </c>
      <c r="D4232" s="246">
        <v>42695</v>
      </c>
      <c r="E4232" s="5" t="s">
        <v>35388</v>
      </c>
      <c r="F4232" s="26" t="s">
        <v>23600</v>
      </c>
      <c r="G4232" s="27" t="s">
        <v>12187</v>
      </c>
      <c r="H4232" s="28" t="s">
        <v>12188</v>
      </c>
      <c r="I4232" s="5" t="s">
        <v>233</v>
      </c>
    </row>
    <row r="4233" spans="1:9" ht="51.75" customHeight="1">
      <c r="A4233" s="5" t="s">
        <v>25915</v>
      </c>
      <c r="B4233" s="5" t="s">
        <v>35389</v>
      </c>
      <c r="C4233" s="5" t="s">
        <v>35390</v>
      </c>
      <c r="D4233" s="246">
        <v>42695</v>
      </c>
      <c r="E4233" s="5" t="s">
        <v>35391</v>
      </c>
      <c r="F4233" s="26" t="s">
        <v>23600</v>
      </c>
      <c r="G4233" s="27" t="s">
        <v>12187</v>
      </c>
      <c r="H4233" s="28" t="s">
        <v>12188</v>
      </c>
      <c r="I4233" s="5" t="s">
        <v>233</v>
      </c>
    </row>
    <row r="4234" spans="1:9" ht="51.75" customHeight="1">
      <c r="A4234" s="5" t="s">
        <v>24162</v>
      </c>
      <c r="B4234" s="5" t="s">
        <v>35392</v>
      </c>
      <c r="C4234" s="5" t="s">
        <v>35393</v>
      </c>
      <c r="D4234" s="246">
        <v>42808</v>
      </c>
      <c r="E4234" s="5" t="s">
        <v>35394</v>
      </c>
      <c r="F4234" s="26" t="s">
        <v>23600</v>
      </c>
      <c r="G4234" s="27" t="s">
        <v>12308</v>
      </c>
      <c r="H4234" s="28" t="s">
        <v>12309</v>
      </c>
      <c r="I4234" s="5" t="s">
        <v>233</v>
      </c>
    </row>
    <row r="4235" spans="1:9" ht="51.75" customHeight="1">
      <c r="A4235" s="5" t="s">
        <v>24166</v>
      </c>
      <c r="B4235" s="5" t="s">
        <v>35395</v>
      </c>
      <c r="C4235" s="5" t="s">
        <v>35396</v>
      </c>
      <c r="D4235" s="246">
        <v>42808</v>
      </c>
      <c r="E4235" s="5" t="s">
        <v>35397</v>
      </c>
      <c r="F4235" s="26" t="s">
        <v>23600</v>
      </c>
      <c r="G4235" s="27" t="s">
        <v>12308</v>
      </c>
      <c r="H4235" s="28" t="s">
        <v>12309</v>
      </c>
      <c r="I4235" s="5" t="s">
        <v>233</v>
      </c>
    </row>
    <row r="4236" spans="1:9" ht="51.75" customHeight="1">
      <c r="A4236" s="5" t="s">
        <v>24170</v>
      </c>
      <c r="B4236" s="5" t="s">
        <v>35398</v>
      </c>
      <c r="C4236" s="5" t="s">
        <v>34528</v>
      </c>
      <c r="D4236" s="246">
        <v>42808</v>
      </c>
      <c r="E4236" s="5" t="s">
        <v>35399</v>
      </c>
      <c r="F4236" s="26" t="s">
        <v>23600</v>
      </c>
      <c r="G4236" s="27" t="s">
        <v>12308</v>
      </c>
      <c r="H4236" s="28" t="s">
        <v>12309</v>
      </c>
      <c r="I4236" s="5" t="s">
        <v>233</v>
      </c>
    </row>
    <row r="4237" spans="1:9" ht="51.75" customHeight="1">
      <c r="A4237" s="5" t="s">
        <v>23748</v>
      </c>
      <c r="B4237" s="5" t="s">
        <v>35400</v>
      </c>
      <c r="C4237" s="5" t="s">
        <v>35401</v>
      </c>
      <c r="D4237" s="246">
        <v>42779</v>
      </c>
      <c r="E4237" s="5" t="s">
        <v>35402</v>
      </c>
      <c r="F4237" s="26" t="s">
        <v>23600</v>
      </c>
      <c r="G4237" s="27" t="s">
        <v>12296</v>
      </c>
      <c r="H4237" s="28" t="s">
        <v>12297</v>
      </c>
      <c r="I4237" s="5" t="s">
        <v>233</v>
      </c>
    </row>
    <row r="4238" spans="1:9" ht="51.75" customHeight="1">
      <c r="A4238" s="5" t="s">
        <v>25905</v>
      </c>
      <c r="B4238" s="5" t="s">
        <v>35403</v>
      </c>
      <c r="C4238" s="5" t="s">
        <v>35404</v>
      </c>
      <c r="D4238" s="246">
        <v>42779</v>
      </c>
      <c r="E4238" s="5" t="s">
        <v>35405</v>
      </c>
      <c r="F4238" s="26" t="s">
        <v>23600</v>
      </c>
      <c r="G4238" s="27" t="s">
        <v>12296</v>
      </c>
      <c r="H4238" s="28" t="s">
        <v>12297</v>
      </c>
      <c r="I4238" s="5" t="s">
        <v>233</v>
      </c>
    </row>
    <row r="4239" spans="1:9" ht="51.75" customHeight="1">
      <c r="A4239" s="5" t="s">
        <v>24448</v>
      </c>
      <c r="B4239" s="5" t="s">
        <v>35406</v>
      </c>
      <c r="C4239" s="5" t="s">
        <v>35407</v>
      </c>
      <c r="D4239" s="246">
        <v>42779</v>
      </c>
      <c r="E4239" s="5" t="s">
        <v>35408</v>
      </c>
      <c r="F4239" s="26" t="s">
        <v>23600</v>
      </c>
      <c r="G4239" s="27" t="s">
        <v>12296</v>
      </c>
      <c r="H4239" s="28" t="s">
        <v>12297</v>
      </c>
      <c r="I4239" s="5" t="s">
        <v>233</v>
      </c>
    </row>
    <row r="4240" spans="1:9" ht="51.75" customHeight="1">
      <c r="A4240" s="5" t="s">
        <v>24674</v>
      </c>
      <c r="B4240" s="5" t="s">
        <v>35409</v>
      </c>
      <c r="C4240" s="5" t="s">
        <v>35410</v>
      </c>
      <c r="D4240" s="246">
        <v>42754</v>
      </c>
      <c r="E4240" s="5" t="s">
        <v>35411</v>
      </c>
      <c r="F4240" s="26" t="s">
        <v>23600</v>
      </c>
      <c r="G4240" s="27" t="s">
        <v>12302</v>
      </c>
      <c r="H4240" s="28" t="s">
        <v>12303</v>
      </c>
      <c r="I4240" s="5" t="s">
        <v>233</v>
      </c>
    </row>
    <row r="4241" spans="1:9" ht="51.75" customHeight="1">
      <c r="A4241" s="5" t="s">
        <v>24963</v>
      </c>
      <c r="B4241" s="5" t="s">
        <v>35412</v>
      </c>
      <c r="C4241" s="5" t="s">
        <v>35413</v>
      </c>
      <c r="D4241" s="246">
        <v>42754</v>
      </c>
      <c r="E4241" s="5" t="s">
        <v>35414</v>
      </c>
      <c r="F4241" s="26" t="s">
        <v>23600</v>
      </c>
      <c r="G4241" s="27" t="s">
        <v>12302</v>
      </c>
      <c r="H4241" s="28" t="s">
        <v>12303</v>
      </c>
      <c r="I4241" s="5" t="s">
        <v>233</v>
      </c>
    </row>
    <row r="4242" spans="1:9" ht="51.75" customHeight="1">
      <c r="A4242" s="5" t="s">
        <v>25018</v>
      </c>
      <c r="B4242" s="5" t="s">
        <v>35415</v>
      </c>
      <c r="C4242" s="5" t="s">
        <v>35416</v>
      </c>
      <c r="D4242" s="246">
        <v>42754</v>
      </c>
      <c r="E4242" s="5" t="s">
        <v>35417</v>
      </c>
      <c r="F4242" s="26" t="s">
        <v>23600</v>
      </c>
      <c r="G4242" s="27" t="s">
        <v>12302</v>
      </c>
      <c r="H4242" s="28" t="s">
        <v>12303</v>
      </c>
      <c r="I4242" s="5" t="s">
        <v>233</v>
      </c>
    </row>
    <row r="4243" spans="1:9" ht="51.75" customHeight="1">
      <c r="A4243" s="5" t="s">
        <v>23744</v>
      </c>
      <c r="B4243" s="5" t="s">
        <v>35418</v>
      </c>
      <c r="C4243" s="5" t="s">
        <v>35419</v>
      </c>
      <c r="D4243" s="246">
        <v>42754</v>
      </c>
      <c r="E4243" s="5" t="s">
        <v>35420</v>
      </c>
      <c r="F4243" s="26" t="s">
        <v>23600</v>
      </c>
      <c r="G4243" s="27" t="s">
        <v>12302</v>
      </c>
      <c r="H4243" s="28" t="s">
        <v>12303</v>
      </c>
      <c r="I4243" s="5" t="s">
        <v>233</v>
      </c>
    </row>
    <row r="4244" spans="1:9" ht="51.75" customHeight="1">
      <c r="A4244" s="5" t="s">
        <v>23942</v>
      </c>
      <c r="B4244" s="5" t="s">
        <v>35421</v>
      </c>
      <c r="C4244" s="5" t="s">
        <v>35422</v>
      </c>
      <c r="D4244" s="246">
        <v>42754</v>
      </c>
      <c r="E4244" s="5" t="s">
        <v>35423</v>
      </c>
      <c r="F4244" s="26" t="s">
        <v>23600</v>
      </c>
      <c r="G4244" s="27" t="s">
        <v>12302</v>
      </c>
      <c r="H4244" s="28" t="s">
        <v>12303</v>
      </c>
      <c r="I4244" s="5" t="s">
        <v>233</v>
      </c>
    </row>
    <row r="4245" spans="1:9" ht="51.75" customHeight="1">
      <c r="A4245" s="5" t="s">
        <v>24456</v>
      </c>
      <c r="B4245" s="5" t="s">
        <v>35424</v>
      </c>
      <c r="C4245" s="5" t="s">
        <v>35425</v>
      </c>
      <c r="D4245" s="246" t="s">
        <v>68</v>
      </c>
      <c r="E4245" s="5" t="s">
        <v>35426</v>
      </c>
      <c r="F4245" s="26" t="s">
        <v>23600</v>
      </c>
      <c r="G4245" s="27" t="s">
        <v>12500</v>
      </c>
      <c r="H4245" s="28" t="s">
        <v>12501</v>
      </c>
      <c r="I4245" s="5" t="s">
        <v>233</v>
      </c>
    </row>
    <row r="4246" spans="1:9" ht="51.75" customHeight="1">
      <c r="A4246" s="5" t="s">
        <v>23619</v>
      </c>
      <c r="B4246" s="5" t="s">
        <v>35427</v>
      </c>
      <c r="C4246" s="5" t="s">
        <v>35428</v>
      </c>
      <c r="D4246" s="246">
        <v>42783</v>
      </c>
      <c r="E4246" s="5" t="s">
        <v>35429</v>
      </c>
      <c r="F4246" s="26" t="s">
        <v>23600</v>
      </c>
      <c r="G4246" s="27" t="s">
        <v>12500</v>
      </c>
      <c r="H4246" s="28" t="s">
        <v>12501</v>
      </c>
      <c r="I4246" s="5" t="s">
        <v>233</v>
      </c>
    </row>
    <row r="4247" spans="1:9" ht="51.75" customHeight="1">
      <c r="A4247" s="5" t="s">
        <v>23623</v>
      </c>
      <c r="B4247" s="5" t="s">
        <v>35430</v>
      </c>
      <c r="C4247" s="5" t="s">
        <v>35431</v>
      </c>
      <c r="D4247" s="246">
        <v>42782</v>
      </c>
      <c r="E4247" s="5" t="s">
        <v>35432</v>
      </c>
      <c r="F4247" s="26" t="s">
        <v>23600</v>
      </c>
      <c r="G4247" s="27" t="s">
        <v>12500</v>
      </c>
      <c r="H4247" s="28" t="s">
        <v>12501</v>
      </c>
      <c r="I4247" s="5" t="s">
        <v>233</v>
      </c>
    </row>
    <row r="4248" spans="1:9" ht="51.75" customHeight="1">
      <c r="A4248" s="5" t="s">
        <v>28344</v>
      </c>
      <c r="B4248" s="5" t="s">
        <v>35433</v>
      </c>
      <c r="C4248" s="5" t="s">
        <v>35434</v>
      </c>
      <c r="D4248" s="246">
        <v>42858</v>
      </c>
      <c r="E4248" s="5" t="s">
        <v>35435</v>
      </c>
      <c r="F4248" s="26" t="s">
        <v>23600</v>
      </c>
      <c r="G4248" s="27" t="s">
        <v>12518</v>
      </c>
      <c r="H4248" s="28" t="s">
        <v>12519</v>
      </c>
      <c r="I4248" s="5" t="s">
        <v>233</v>
      </c>
    </row>
    <row r="4249" spans="1:9" ht="51.75" customHeight="1">
      <c r="A4249" s="5" t="s">
        <v>27446</v>
      </c>
      <c r="B4249" s="5" t="s">
        <v>35436</v>
      </c>
      <c r="C4249" s="5" t="s">
        <v>35437</v>
      </c>
      <c r="D4249" s="246">
        <v>42858</v>
      </c>
      <c r="E4249" s="5" t="s">
        <v>35438</v>
      </c>
      <c r="F4249" s="26" t="s">
        <v>23600</v>
      </c>
      <c r="G4249" s="27" t="s">
        <v>12518</v>
      </c>
      <c r="H4249" s="28" t="s">
        <v>12519</v>
      </c>
      <c r="I4249" s="5" t="s">
        <v>233</v>
      </c>
    </row>
    <row r="4250" spans="1:9" ht="51.75" customHeight="1">
      <c r="A4250" s="5" t="s">
        <v>28347</v>
      </c>
      <c r="B4250" s="5" t="s">
        <v>35439</v>
      </c>
      <c r="C4250" s="5" t="s">
        <v>35440</v>
      </c>
      <c r="D4250" s="246">
        <v>42858</v>
      </c>
      <c r="E4250" s="5" t="s">
        <v>35441</v>
      </c>
      <c r="F4250" s="26" t="s">
        <v>23600</v>
      </c>
      <c r="G4250" s="27" t="s">
        <v>12518</v>
      </c>
      <c r="H4250" s="28" t="s">
        <v>12519</v>
      </c>
      <c r="I4250" s="5" t="s">
        <v>233</v>
      </c>
    </row>
    <row r="4251" spans="1:9" ht="51.75" customHeight="1">
      <c r="A4251" s="5" t="s">
        <v>23596</v>
      </c>
      <c r="B4251" s="5" t="s">
        <v>35442</v>
      </c>
      <c r="C4251" s="5" t="s">
        <v>35443</v>
      </c>
      <c r="D4251" s="246">
        <v>42858</v>
      </c>
      <c r="E4251" s="5" t="s">
        <v>35444</v>
      </c>
      <c r="F4251" s="26" t="s">
        <v>23600</v>
      </c>
      <c r="G4251" s="27" t="s">
        <v>12518</v>
      </c>
      <c r="H4251" s="28" t="s">
        <v>12519</v>
      </c>
      <c r="I4251" s="5" t="s">
        <v>233</v>
      </c>
    </row>
    <row r="4252" spans="1:9" ht="51.75" customHeight="1">
      <c r="A4252" s="5" t="s">
        <v>24192</v>
      </c>
      <c r="B4252" s="5" t="s">
        <v>35445</v>
      </c>
      <c r="C4252" s="5" t="s">
        <v>35446</v>
      </c>
      <c r="D4252" s="246">
        <v>42818</v>
      </c>
      <c r="E4252" s="5" t="s">
        <v>35447</v>
      </c>
      <c r="F4252" s="26" t="s">
        <v>23600</v>
      </c>
      <c r="G4252" s="27" t="s">
        <v>12536</v>
      </c>
      <c r="H4252" s="28" t="s">
        <v>12537</v>
      </c>
      <c r="I4252" s="5" t="s">
        <v>233</v>
      </c>
    </row>
    <row r="4253" spans="1:9" ht="51.75" customHeight="1">
      <c r="A4253" s="5" t="s">
        <v>24196</v>
      </c>
      <c r="B4253" s="5" t="s">
        <v>35448</v>
      </c>
      <c r="C4253" s="5" t="s">
        <v>35449</v>
      </c>
      <c r="D4253" s="246">
        <v>42818</v>
      </c>
      <c r="E4253" s="5" t="s">
        <v>35450</v>
      </c>
      <c r="F4253" s="26" t="s">
        <v>23600</v>
      </c>
      <c r="G4253" s="27" t="s">
        <v>12536</v>
      </c>
      <c r="H4253" s="28" t="s">
        <v>12537</v>
      </c>
      <c r="I4253" s="5" t="s">
        <v>233</v>
      </c>
    </row>
    <row r="4254" spans="1:9" ht="51.75" customHeight="1">
      <c r="A4254" s="5" t="s">
        <v>26115</v>
      </c>
      <c r="B4254" s="5" t="s">
        <v>35451</v>
      </c>
      <c r="C4254" s="5" t="s">
        <v>35316</v>
      </c>
      <c r="D4254" s="246">
        <v>42818</v>
      </c>
      <c r="E4254" s="5" t="s">
        <v>35452</v>
      </c>
      <c r="F4254" s="26" t="s">
        <v>23600</v>
      </c>
      <c r="G4254" s="27" t="s">
        <v>12536</v>
      </c>
      <c r="H4254" s="28" t="s">
        <v>12537</v>
      </c>
      <c r="I4254" s="5" t="s">
        <v>233</v>
      </c>
    </row>
    <row r="4255" spans="1:9" ht="51.75" customHeight="1">
      <c r="A4255" s="5" t="s">
        <v>30064</v>
      </c>
      <c r="B4255" s="5" t="s">
        <v>35453</v>
      </c>
      <c r="C4255" s="5" t="s">
        <v>35454</v>
      </c>
      <c r="D4255" s="246">
        <v>42892</v>
      </c>
      <c r="E4255" s="5" t="s">
        <v>35455</v>
      </c>
      <c r="F4255" s="26" t="s">
        <v>23600</v>
      </c>
      <c r="G4255" s="27" t="s">
        <v>12639</v>
      </c>
      <c r="H4255" s="28" t="s">
        <v>12640</v>
      </c>
      <c r="I4255" s="5" t="s">
        <v>233</v>
      </c>
    </row>
    <row r="4256" spans="1:9" ht="51.75" customHeight="1">
      <c r="A4256" s="5" t="s">
        <v>25488</v>
      </c>
      <c r="B4256" s="5" t="s">
        <v>35456</v>
      </c>
      <c r="C4256" s="5" t="s">
        <v>35135</v>
      </c>
      <c r="D4256" s="246">
        <v>42892</v>
      </c>
      <c r="E4256" s="5" t="s">
        <v>35457</v>
      </c>
      <c r="F4256" s="26" t="s">
        <v>23600</v>
      </c>
      <c r="G4256" s="27" t="s">
        <v>12639</v>
      </c>
      <c r="H4256" s="28" t="s">
        <v>12640</v>
      </c>
      <c r="I4256" s="5" t="s">
        <v>233</v>
      </c>
    </row>
    <row r="4257" spans="1:9" ht="51.75" customHeight="1">
      <c r="A4257" s="5" t="s">
        <v>24954</v>
      </c>
      <c r="B4257" s="5" t="s">
        <v>35458</v>
      </c>
      <c r="C4257" s="5" t="s">
        <v>35459</v>
      </c>
      <c r="D4257" s="246">
        <v>42892</v>
      </c>
      <c r="E4257" s="5" t="s">
        <v>35460</v>
      </c>
      <c r="F4257" s="26" t="s">
        <v>23600</v>
      </c>
      <c r="G4257" s="27" t="s">
        <v>12639</v>
      </c>
      <c r="H4257" s="28" t="s">
        <v>12640</v>
      </c>
      <c r="I4257" s="5" t="s">
        <v>233</v>
      </c>
    </row>
    <row r="4258" spans="1:9" ht="51.75" customHeight="1">
      <c r="A4258" s="5" t="s">
        <v>26543</v>
      </c>
      <c r="B4258" s="5" t="s">
        <v>35461</v>
      </c>
      <c r="C4258" s="5" t="s">
        <v>35462</v>
      </c>
      <c r="D4258" s="246">
        <v>42830</v>
      </c>
      <c r="E4258" s="5" t="s">
        <v>35463</v>
      </c>
      <c r="F4258" s="26" t="s">
        <v>23600</v>
      </c>
      <c r="G4258" s="27" t="s">
        <v>12674</v>
      </c>
      <c r="H4258" s="28" t="s">
        <v>12675</v>
      </c>
      <c r="I4258" s="5" t="s">
        <v>233</v>
      </c>
    </row>
    <row r="4259" spans="1:9" ht="51.75" customHeight="1">
      <c r="A4259" s="5" t="s">
        <v>24303</v>
      </c>
      <c r="B4259" s="5" t="s">
        <v>35464</v>
      </c>
      <c r="C4259" s="5" t="s">
        <v>35465</v>
      </c>
      <c r="D4259" s="246">
        <v>42957</v>
      </c>
      <c r="E4259" s="5" t="s">
        <v>35466</v>
      </c>
      <c r="F4259" s="26" t="s">
        <v>23600</v>
      </c>
      <c r="G4259" s="27" t="s">
        <v>12777</v>
      </c>
      <c r="H4259" s="28" t="s">
        <v>12778</v>
      </c>
      <c r="I4259" s="5" t="s">
        <v>233</v>
      </c>
    </row>
    <row r="4260" spans="1:9" ht="51.75" customHeight="1">
      <c r="A4260" s="5" t="s">
        <v>24307</v>
      </c>
      <c r="B4260" s="5" t="s">
        <v>35467</v>
      </c>
      <c r="C4260" s="5" t="s">
        <v>35468</v>
      </c>
      <c r="D4260" s="246">
        <v>42957</v>
      </c>
      <c r="E4260" s="5" t="s">
        <v>35469</v>
      </c>
      <c r="F4260" s="26" t="s">
        <v>23600</v>
      </c>
      <c r="G4260" s="27" t="s">
        <v>12777</v>
      </c>
      <c r="H4260" s="28" t="s">
        <v>12778</v>
      </c>
      <c r="I4260" s="5" t="s">
        <v>233</v>
      </c>
    </row>
    <row r="4261" spans="1:9" ht="51.75" customHeight="1">
      <c r="A4261" s="5" t="s">
        <v>24311</v>
      </c>
      <c r="B4261" s="5" t="s">
        <v>35470</v>
      </c>
      <c r="C4261" s="5" t="s">
        <v>35328</v>
      </c>
      <c r="D4261" s="246">
        <v>42957</v>
      </c>
      <c r="E4261" s="5" t="s">
        <v>35471</v>
      </c>
      <c r="F4261" s="26" t="s">
        <v>23600</v>
      </c>
      <c r="G4261" s="27" t="s">
        <v>12777</v>
      </c>
      <c r="H4261" s="28" t="s">
        <v>12778</v>
      </c>
      <c r="I4261" s="5" t="s">
        <v>233</v>
      </c>
    </row>
    <row r="4262" spans="1:9" ht="51.75" customHeight="1">
      <c r="A4262" s="5" t="s">
        <v>24315</v>
      </c>
      <c r="B4262" s="5" t="s">
        <v>35472</v>
      </c>
      <c r="C4262" s="5" t="s">
        <v>35473</v>
      </c>
      <c r="D4262" s="246">
        <v>42957</v>
      </c>
      <c r="E4262" s="5" t="s">
        <v>35474</v>
      </c>
      <c r="F4262" s="26" t="s">
        <v>23600</v>
      </c>
      <c r="G4262" s="27" t="s">
        <v>12777</v>
      </c>
      <c r="H4262" s="28" t="s">
        <v>12778</v>
      </c>
      <c r="I4262" s="5" t="s">
        <v>233</v>
      </c>
    </row>
    <row r="4263" spans="1:9" ht="51.75" customHeight="1">
      <c r="A4263" s="5" t="s">
        <v>27767</v>
      </c>
      <c r="B4263" s="5" t="s">
        <v>35475</v>
      </c>
      <c r="C4263" s="5" t="s">
        <v>35476</v>
      </c>
      <c r="D4263" s="246">
        <v>42957</v>
      </c>
      <c r="E4263" s="5" t="s">
        <v>35477</v>
      </c>
      <c r="F4263" s="26" t="s">
        <v>23600</v>
      </c>
      <c r="G4263" s="27" t="s">
        <v>12777</v>
      </c>
      <c r="H4263" s="28" t="s">
        <v>12778</v>
      </c>
      <c r="I4263" s="5" t="s">
        <v>233</v>
      </c>
    </row>
    <row r="4264" spans="1:9" ht="51.75" customHeight="1">
      <c r="A4264" s="5" t="s">
        <v>27771</v>
      </c>
      <c r="B4264" s="5" t="s">
        <v>35478</v>
      </c>
      <c r="C4264" s="5" t="s">
        <v>35479</v>
      </c>
      <c r="D4264" s="246">
        <v>42957</v>
      </c>
      <c r="E4264" s="5" t="s">
        <v>35480</v>
      </c>
      <c r="F4264" s="26" t="s">
        <v>23600</v>
      </c>
      <c r="G4264" s="27" t="s">
        <v>12777</v>
      </c>
      <c r="H4264" s="28" t="s">
        <v>12778</v>
      </c>
      <c r="I4264" s="5" t="s">
        <v>233</v>
      </c>
    </row>
    <row r="4265" spans="1:9" ht="51.75" customHeight="1">
      <c r="A4265" s="5" t="s">
        <v>25190</v>
      </c>
      <c r="B4265" s="5" t="s">
        <v>35481</v>
      </c>
      <c r="C4265" s="5" t="s">
        <v>35482</v>
      </c>
      <c r="D4265" s="246">
        <v>42880</v>
      </c>
      <c r="E4265" s="5" t="s">
        <v>35483</v>
      </c>
      <c r="F4265" s="26" t="s">
        <v>23600</v>
      </c>
      <c r="G4265" s="27" t="s">
        <v>12657</v>
      </c>
      <c r="H4265" s="28" t="s">
        <v>12658</v>
      </c>
      <c r="I4265" s="5" t="s">
        <v>233</v>
      </c>
    </row>
    <row r="4266" spans="1:9" ht="51.75" customHeight="1">
      <c r="A4266" s="5" t="s">
        <v>25194</v>
      </c>
      <c r="B4266" s="5" t="s">
        <v>35484</v>
      </c>
      <c r="C4266" s="5" t="s">
        <v>35485</v>
      </c>
      <c r="D4266" s="246">
        <v>42880</v>
      </c>
      <c r="E4266" s="5" t="s">
        <v>35486</v>
      </c>
      <c r="F4266" s="26" t="s">
        <v>23600</v>
      </c>
      <c r="G4266" s="27" t="s">
        <v>12657</v>
      </c>
      <c r="H4266" s="28" t="s">
        <v>12658</v>
      </c>
      <c r="I4266" s="5" t="s">
        <v>233</v>
      </c>
    </row>
    <row r="4267" spans="1:9" ht="51.75" customHeight="1">
      <c r="A4267" s="5" t="s">
        <v>27757</v>
      </c>
      <c r="B4267" s="5" t="s">
        <v>35487</v>
      </c>
      <c r="C4267" s="5" t="s">
        <v>35488</v>
      </c>
      <c r="D4267" s="246" t="s">
        <v>68</v>
      </c>
      <c r="E4267" s="5" t="s">
        <v>35489</v>
      </c>
      <c r="F4267" s="26" t="s">
        <v>23600</v>
      </c>
      <c r="G4267" s="27" t="s">
        <v>12837</v>
      </c>
      <c r="H4267" s="28" t="s">
        <v>12838</v>
      </c>
      <c r="I4267" s="5" t="s">
        <v>233</v>
      </c>
    </row>
    <row r="4268" spans="1:9" ht="51.75" customHeight="1">
      <c r="A4268" s="5" t="s">
        <v>26779</v>
      </c>
      <c r="B4268" s="5" t="s">
        <v>35490</v>
      </c>
      <c r="C4268" s="5" t="s">
        <v>35491</v>
      </c>
      <c r="D4268" s="246">
        <v>43076</v>
      </c>
      <c r="E4268" s="5" t="s">
        <v>35492</v>
      </c>
      <c r="F4268" s="26" t="s">
        <v>23600</v>
      </c>
      <c r="G4268" s="27" t="s">
        <v>12971</v>
      </c>
      <c r="H4268" s="28" t="s">
        <v>12972</v>
      </c>
      <c r="I4268" s="5" t="s">
        <v>233</v>
      </c>
    </row>
    <row r="4269" spans="1:9" ht="51.75" customHeight="1">
      <c r="A4269" s="5" t="s">
        <v>26818</v>
      </c>
      <c r="B4269" s="5" t="s">
        <v>35493</v>
      </c>
      <c r="C4269" s="5" t="s">
        <v>35494</v>
      </c>
      <c r="D4269" s="246">
        <v>43076</v>
      </c>
      <c r="E4269" s="5" t="s">
        <v>35495</v>
      </c>
      <c r="F4269" s="26" t="s">
        <v>23600</v>
      </c>
      <c r="G4269" s="27" t="s">
        <v>12971</v>
      </c>
      <c r="H4269" s="28" t="s">
        <v>12972</v>
      </c>
      <c r="I4269" s="5" t="s">
        <v>233</v>
      </c>
    </row>
    <row r="4270" spans="1:9" ht="51.75" customHeight="1">
      <c r="A4270" s="5" t="s">
        <v>24628</v>
      </c>
      <c r="B4270" s="5" t="s">
        <v>35496</v>
      </c>
      <c r="C4270" s="5" t="s">
        <v>35497</v>
      </c>
      <c r="D4270" s="246">
        <v>43076</v>
      </c>
      <c r="E4270" s="5" t="s">
        <v>35498</v>
      </c>
      <c r="F4270" s="26" t="s">
        <v>23600</v>
      </c>
      <c r="G4270" s="27" t="s">
        <v>12971</v>
      </c>
      <c r="H4270" s="28" t="s">
        <v>12972</v>
      </c>
      <c r="I4270" s="5" t="s">
        <v>233</v>
      </c>
    </row>
    <row r="4271" spans="1:9" ht="51.75" customHeight="1">
      <c r="A4271" s="5" t="s">
        <v>24647</v>
      </c>
      <c r="B4271" s="5" t="s">
        <v>35499</v>
      </c>
      <c r="C4271" s="5" t="s">
        <v>35500</v>
      </c>
      <c r="D4271" s="246">
        <v>43076</v>
      </c>
      <c r="E4271" s="5" t="s">
        <v>35501</v>
      </c>
      <c r="F4271" s="26" t="s">
        <v>23600</v>
      </c>
      <c r="G4271" s="27" t="s">
        <v>12971</v>
      </c>
      <c r="H4271" s="28" t="s">
        <v>12972</v>
      </c>
      <c r="I4271" s="5" t="s">
        <v>233</v>
      </c>
    </row>
    <row r="4272" spans="1:9" ht="51.75" customHeight="1">
      <c r="A4272" s="5" t="s">
        <v>28551</v>
      </c>
      <c r="B4272" s="5" t="s">
        <v>35502</v>
      </c>
      <c r="C4272" s="5" t="s">
        <v>35503</v>
      </c>
      <c r="D4272" s="246">
        <v>43076</v>
      </c>
      <c r="E4272" s="5" t="s">
        <v>35504</v>
      </c>
      <c r="F4272" s="26" t="s">
        <v>23600</v>
      </c>
      <c r="G4272" s="27" t="s">
        <v>12971</v>
      </c>
      <c r="H4272" s="28" t="s">
        <v>12972</v>
      </c>
      <c r="I4272" s="5" t="s">
        <v>233</v>
      </c>
    </row>
    <row r="4273" spans="1:9" ht="51.75" customHeight="1">
      <c r="A4273" s="5" t="s">
        <v>28557</v>
      </c>
      <c r="B4273" s="5" t="s">
        <v>35505</v>
      </c>
      <c r="C4273" s="5" t="s">
        <v>35506</v>
      </c>
      <c r="D4273" s="246">
        <v>43076</v>
      </c>
      <c r="E4273" s="5" t="s">
        <v>35507</v>
      </c>
      <c r="F4273" s="26" t="s">
        <v>23600</v>
      </c>
      <c r="G4273" s="27" t="s">
        <v>12971</v>
      </c>
      <c r="H4273" s="28" t="s">
        <v>12972</v>
      </c>
      <c r="I4273" s="5" t="s">
        <v>233</v>
      </c>
    </row>
    <row r="4274" spans="1:9" ht="51.75" customHeight="1">
      <c r="A4274" s="5" t="s">
        <v>24651</v>
      </c>
      <c r="B4274" s="5" t="s">
        <v>35508</v>
      </c>
      <c r="C4274" s="5" t="s">
        <v>35509</v>
      </c>
      <c r="D4274" s="246">
        <v>43076</v>
      </c>
      <c r="E4274" s="5" t="s">
        <v>35510</v>
      </c>
      <c r="F4274" s="26" t="s">
        <v>23600</v>
      </c>
      <c r="G4274" s="27" t="s">
        <v>12971</v>
      </c>
      <c r="H4274" s="28" t="s">
        <v>12972</v>
      </c>
      <c r="I4274" s="5" t="s">
        <v>233</v>
      </c>
    </row>
    <row r="4275" spans="1:9" ht="51.75" customHeight="1">
      <c r="A4275" s="5" t="s">
        <v>28568</v>
      </c>
      <c r="B4275" s="5" t="s">
        <v>35511</v>
      </c>
      <c r="C4275" s="5" t="s">
        <v>35179</v>
      </c>
      <c r="D4275" s="246">
        <v>43076</v>
      </c>
      <c r="E4275" s="5" t="s">
        <v>35512</v>
      </c>
      <c r="F4275" s="26" t="s">
        <v>23600</v>
      </c>
      <c r="G4275" s="27" t="s">
        <v>12971</v>
      </c>
      <c r="H4275" s="28" t="s">
        <v>12972</v>
      </c>
      <c r="I4275" s="5" t="s">
        <v>233</v>
      </c>
    </row>
    <row r="4276" spans="1:9" ht="51.75" customHeight="1">
      <c r="A4276" s="5" t="s">
        <v>28574</v>
      </c>
      <c r="B4276" s="5" t="s">
        <v>35513</v>
      </c>
      <c r="C4276" s="5" t="s">
        <v>35514</v>
      </c>
      <c r="D4276" s="246">
        <v>43076</v>
      </c>
      <c r="E4276" s="5" t="s">
        <v>35515</v>
      </c>
      <c r="F4276" s="26" t="s">
        <v>23600</v>
      </c>
      <c r="G4276" s="27" t="s">
        <v>12971</v>
      </c>
      <c r="H4276" s="28" t="s">
        <v>12972</v>
      </c>
      <c r="I4276" s="5" t="s">
        <v>233</v>
      </c>
    </row>
    <row r="4277" spans="1:9" ht="51.75" customHeight="1">
      <c r="A4277" s="5" t="s">
        <v>24655</v>
      </c>
      <c r="B4277" s="5" t="s">
        <v>35516</v>
      </c>
      <c r="C4277" s="5" t="s">
        <v>35204</v>
      </c>
      <c r="D4277" s="246">
        <v>43076</v>
      </c>
      <c r="E4277" s="5" t="s">
        <v>35517</v>
      </c>
      <c r="F4277" s="26" t="s">
        <v>23600</v>
      </c>
      <c r="G4277" s="27" t="s">
        <v>12971</v>
      </c>
      <c r="H4277" s="28" t="s">
        <v>12972</v>
      </c>
      <c r="I4277" s="5" t="s">
        <v>233</v>
      </c>
    </row>
    <row r="4278" spans="1:9" ht="51.75" customHeight="1">
      <c r="A4278" s="5" t="s">
        <v>24659</v>
      </c>
      <c r="B4278" s="5" t="s">
        <v>35518</v>
      </c>
      <c r="C4278" s="5" t="s">
        <v>35446</v>
      </c>
      <c r="D4278" s="246">
        <v>43076</v>
      </c>
      <c r="E4278" s="5" t="s">
        <v>35519</v>
      </c>
      <c r="F4278" s="26" t="s">
        <v>23600</v>
      </c>
      <c r="G4278" s="27" t="s">
        <v>12971</v>
      </c>
      <c r="H4278" s="28" t="s">
        <v>12972</v>
      </c>
      <c r="I4278" s="5" t="s">
        <v>233</v>
      </c>
    </row>
    <row r="4279" spans="1:9" ht="51.75" customHeight="1">
      <c r="A4279" s="5" t="s">
        <v>23784</v>
      </c>
      <c r="B4279" s="5" t="s">
        <v>35520</v>
      </c>
      <c r="C4279" s="5" t="s">
        <v>35521</v>
      </c>
      <c r="D4279" s="246">
        <v>43076</v>
      </c>
      <c r="E4279" s="5" t="s">
        <v>35522</v>
      </c>
      <c r="F4279" s="26" t="s">
        <v>23600</v>
      </c>
      <c r="G4279" s="27" t="s">
        <v>12971</v>
      </c>
      <c r="H4279" s="28" t="s">
        <v>12972</v>
      </c>
      <c r="I4279" s="5" t="s">
        <v>233</v>
      </c>
    </row>
    <row r="4280" spans="1:9" ht="51.75" customHeight="1">
      <c r="A4280" s="5" t="s">
        <v>24666</v>
      </c>
      <c r="B4280" s="5" t="s">
        <v>35523</v>
      </c>
      <c r="C4280" s="5" t="s">
        <v>35524</v>
      </c>
      <c r="D4280" s="246">
        <v>43076</v>
      </c>
      <c r="E4280" s="5" t="s">
        <v>35525</v>
      </c>
      <c r="F4280" s="26" t="s">
        <v>23600</v>
      </c>
      <c r="G4280" s="27" t="s">
        <v>12971</v>
      </c>
      <c r="H4280" s="28" t="s">
        <v>12972</v>
      </c>
      <c r="I4280" s="5" t="s">
        <v>233</v>
      </c>
    </row>
    <row r="4281" spans="1:9" ht="51.75" customHeight="1">
      <c r="A4281" s="5" t="s">
        <v>24670</v>
      </c>
      <c r="B4281" s="5" t="s">
        <v>35526</v>
      </c>
      <c r="C4281" s="5" t="s">
        <v>35527</v>
      </c>
      <c r="D4281" s="246">
        <v>43076</v>
      </c>
      <c r="E4281" s="5" t="s">
        <v>35528</v>
      </c>
      <c r="F4281" s="26" t="s">
        <v>23600</v>
      </c>
      <c r="G4281" s="27" t="s">
        <v>12971</v>
      </c>
      <c r="H4281" s="28" t="s">
        <v>12972</v>
      </c>
      <c r="I4281" s="5" t="s">
        <v>233</v>
      </c>
    </row>
    <row r="4282" spans="1:9" ht="51.75" customHeight="1">
      <c r="A4282" s="5" t="s">
        <v>24631</v>
      </c>
      <c r="B4282" s="5" t="s">
        <v>35529</v>
      </c>
      <c r="C4282" s="5" t="s">
        <v>35530</v>
      </c>
      <c r="D4282" s="246">
        <v>43076</v>
      </c>
      <c r="E4282" s="5" t="s">
        <v>35531</v>
      </c>
      <c r="F4282" s="26" t="s">
        <v>23600</v>
      </c>
      <c r="G4282" s="27" t="s">
        <v>12971</v>
      </c>
      <c r="H4282" s="28" t="s">
        <v>12972</v>
      </c>
      <c r="I4282" s="5" t="s">
        <v>233</v>
      </c>
    </row>
    <row r="4283" spans="1:9" ht="51.75" customHeight="1">
      <c r="A4283" s="5" t="s">
        <v>25169</v>
      </c>
      <c r="B4283" s="5" t="s">
        <v>35532</v>
      </c>
      <c r="C4283" s="5" t="s">
        <v>35533</v>
      </c>
      <c r="D4283" s="246">
        <v>43005</v>
      </c>
      <c r="E4283" s="5" t="s">
        <v>35534</v>
      </c>
      <c r="F4283" s="26" t="s">
        <v>23600</v>
      </c>
      <c r="G4283" s="27" t="s">
        <v>13074</v>
      </c>
      <c r="H4283" s="28" t="s">
        <v>13075</v>
      </c>
      <c r="I4283" s="5" t="s">
        <v>233</v>
      </c>
    </row>
    <row r="4284" spans="1:9" ht="51.75" customHeight="1">
      <c r="A4284" s="5" t="s">
        <v>25173</v>
      </c>
      <c r="B4284" s="5" t="s">
        <v>35535</v>
      </c>
      <c r="C4284" s="5" t="s">
        <v>35536</v>
      </c>
      <c r="D4284" s="246">
        <v>43005</v>
      </c>
      <c r="E4284" s="5" t="s">
        <v>35537</v>
      </c>
      <c r="F4284" s="26" t="s">
        <v>23600</v>
      </c>
      <c r="G4284" s="27" t="s">
        <v>13074</v>
      </c>
      <c r="H4284" s="28" t="s">
        <v>13075</v>
      </c>
      <c r="I4284" s="5" t="s">
        <v>233</v>
      </c>
    </row>
    <row r="4285" spans="1:9" ht="51.75" customHeight="1">
      <c r="A4285" s="5" t="s">
        <v>28123</v>
      </c>
      <c r="B4285" s="5" t="s">
        <v>35538</v>
      </c>
      <c r="C4285" s="5" t="s">
        <v>35539</v>
      </c>
      <c r="D4285" s="246">
        <v>43159</v>
      </c>
      <c r="E4285" s="5" t="s">
        <v>35540</v>
      </c>
      <c r="F4285" s="26" t="s">
        <v>23600</v>
      </c>
      <c r="G4285" s="27" t="s">
        <v>13204</v>
      </c>
      <c r="H4285" s="28" t="s">
        <v>13205</v>
      </c>
      <c r="I4285" s="5" t="s">
        <v>233</v>
      </c>
    </row>
    <row r="4286" spans="1:9" ht="51.75" customHeight="1">
      <c r="A4286" s="5" t="s">
        <v>34205</v>
      </c>
      <c r="B4286" s="5" t="s">
        <v>35541</v>
      </c>
      <c r="C4286" s="5" t="s">
        <v>35542</v>
      </c>
      <c r="D4286" s="246">
        <v>43159</v>
      </c>
      <c r="E4286" s="5" t="s">
        <v>35543</v>
      </c>
      <c r="F4286" s="26" t="s">
        <v>23600</v>
      </c>
      <c r="G4286" s="27" t="s">
        <v>13204</v>
      </c>
      <c r="H4286" s="28" t="s">
        <v>13205</v>
      </c>
      <c r="I4286" s="5" t="s">
        <v>233</v>
      </c>
    </row>
    <row r="4287" spans="1:9" ht="51.75" customHeight="1">
      <c r="A4287" s="5" t="s">
        <v>28127</v>
      </c>
      <c r="B4287" s="5" t="s">
        <v>35544</v>
      </c>
      <c r="C4287" s="5" t="s">
        <v>35545</v>
      </c>
      <c r="D4287" s="246">
        <v>43159</v>
      </c>
      <c r="E4287" s="5" t="s">
        <v>35546</v>
      </c>
      <c r="F4287" s="26" t="s">
        <v>23600</v>
      </c>
      <c r="G4287" s="27" t="s">
        <v>13204</v>
      </c>
      <c r="H4287" s="28" t="s">
        <v>13205</v>
      </c>
      <c r="I4287" s="5" t="s">
        <v>233</v>
      </c>
    </row>
    <row r="4288" spans="1:9" ht="51.75" customHeight="1">
      <c r="A4288" s="5" t="s">
        <v>33738</v>
      </c>
      <c r="B4288" s="5" t="s">
        <v>35547</v>
      </c>
      <c r="C4288" s="5" t="s">
        <v>35548</v>
      </c>
      <c r="D4288" s="246">
        <v>43159</v>
      </c>
      <c r="E4288" s="5" t="s">
        <v>35549</v>
      </c>
      <c r="F4288" s="26" t="s">
        <v>23600</v>
      </c>
      <c r="G4288" s="27" t="s">
        <v>13204</v>
      </c>
      <c r="H4288" s="28" t="s">
        <v>13205</v>
      </c>
      <c r="I4288" s="5" t="s">
        <v>233</v>
      </c>
    </row>
    <row r="4289" spans="1:9" ht="51.75" customHeight="1">
      <c r="A4289" s="5" t="s">
        <v>25054</v>
      </c>
      <c r="B4289" s="5" t="s">
        <v>35550</v>
      </c>
      <c r="C4289" s="5" t="s">
        <v>35551</v>
      </c>
      <c r="D4289" s="246">
        <v>43159</v>
      </c>
      <c r="E4289" s="5" t="s">
        <v>35552</v>
      </c>
      <c r="F4289" s="26" t="s">
        <v>23600</v>
      </c>
      <c r="G4289" s="27" t="s">
        <v>13204</v>
      </c>
      <c r="H4289" s="28" t="s">
        <v>13205</v>
      </c>
      <c r="I4289" s="5" t="s">
        <v>233</v>
      </c>
    </row>
    <row r="4290" spans="1:9" ht="51.75" customHeight="1">
      <c r="A4290" s="5" t="s">
        <v>28631</v>
      </c>
      <c r="B4290" s="5" t="s">
        <v>35553</v>
      </c>
      <c r="C4290" s="5" t="s">
        <v>35554</v>
      </c>
      <c r="D4290" s="246">
        <v>43038</v>
      </c>
      <c r="E4290" s="5" t="s">
        <v>35555</v>
      </c>
      <c r="F4290" s="26" t="s">
        <v>23600</v>
      </c>
      <c r="G4290" s="27" t="s">
        <v>13091</v>
      </c>
      <c r="H4290" s="28" t="s">
        <v>13092</v>
      </c>
      <c r="I4290" s="5" t="s">
        <v>233</v>
      </c>
    </row>
    <row r="4291" spans="1:9" ht="51.75" customHeight="1">
      <c r="A4291" s="5" t="s">
        <v>28634</v>
      </c>
      <c r="B4291" s="5" t="s">
        <v>35556</v>
      </c>
      <c r="C4291" s="5" t="s">
        <v>35557</v>
      </c>
      <c r="D4291" s="246">
        <v>43038</v>
      </c>
      <c r="E4291" s="5" t="s">
        <v>35558</v>
      </c>
      <c r="F4291" s="26" t="s">
        <v>23600</v>
      </c>
      <c r="G4291" s="27" t="s">
        <v>13091</v>
      </c>
      <c r="H4291" s="28" t="s">
        <v>13092</v>
      </c>
      <c r="I4291" s="5" t="s">
        <v>233</v>
      </c>
    </row>
    <row r="4292" spans="1:9" ht="51.75" customHeight="1">
      <c r="A4292" s="5" t="s">
        <v>28637</v>
      </c>
      <c r="B4292" s="5" t="s">
        <v>35559</v>
      </c>
      <c r="C4292" s="5" t="s">
        <v>35322</v>
      </c>
      <c r="D4292" s="246">
        <v>43038</v>
      </c>
      <c r="E4292" s="5" t="s">
        <v>35560</v>
      </c>
      <c r="F4292" s="26" t="s">
        <v>23600</v>
      </c>
      <c r="G4292" s="27" t="s">
        <v>13091</v>
      </c>
      <c r="H4292" s="28" t="s">
        <v>13092</v>
      </c>
      <c r="I4292" s="5" t="s">
        <v>233</v>
      </c>
    </row>
    <row r="4293" spans="1:9" ht="51.75" customHeight="1">
      <c r="A4293" s="5" t="s">
        <v>25082</v>
      </c>
      <c r="B4293" s="5" t="s">
        <v>35561</v>
      </c>
      <c r="C4293" s="5" t="s">
        <v>35076</v>
      </c>
      <c r="D4293" s="246">
        <v>42999</v>
      </c>
      <c r="E4293" s="5" t="s">
        <v>35562</v>
      </c>
      <c r="F4293" s="26" t="s">
        <v>23600</v>
      </c>
      <c r="G4293" s="27" t="s">
        <v>13257</v>
      </c>
      <c r="H4293" s="28" t="s">
        <v>13258</v>
      </c>
      <c r="I4293" s="5" t="s">
        <v>233</v>
      </c>
    </row>
    <row r="4294" spans="1:9" ht="51.75" customHeight="1">
      <c r="A4294" s="5" t="s">
        <v>25086</v>
      </c>
      <c r="B4294" s="5" t="s">
        <v>35563</v>
      </c>
      <c r="C4294" s="5" t="s">
        <v>35564</v>
      </c>
      <c r="D4294" s="246">
        <v>42999</v>
      </c>
      <c r="E4294" s="5" t="s">
        <v>35565</v>
      </c>
      <c r="F4294" s="26" t="s">
        <v>23600</v>
      </c>
      <c r="G4294" s="27" t="s">
        <v>13257</v>
      </c>
      <c r="H4294" s="28" t="s">
        <v>13258</v>
      </c>
      <c r="I4294" s="5" t="s">
        <v>233</v>
      </c>
    </row>
    <row r="4295" spans="1:9" ht="51.75" customHeight="1">
      <c r="A4295" s="5" t="s">
        <v>35566</v>
      </c>
      <c r="B4295" s="5" t="s">
        <v>35567</v>
      </c>
      <c r="C4295" s="5" t="s">
        <v>35568</v>
      </c>
      <c r="D4295" s="246" t="s">
        <v>68</v>
      </c>
      <c r="E4295" s="5" t="s">
        <v>35569</v>
      </c>
      <c r="F4295" s="26" t="s">
        <v>23600</v>
      </c>
      <c r="G4295" s="27" t="s">
        <v>13257</v>
      </c>
      <c r="H4295" s="28" t="s">
        <v>13258</v>
      </c>
      <c r="I4295" s="5" t="s">
        <v>233</v>
      </c>
    </row>
    <row r="4296" spans="1:9" ht="51.75" customHeight="1">
      <c r="A4296" s="5" t="s">
        <v>23601</v>
      </c>
      <c r="B4296" s="5" t="s">
        <v>35570</v>
      </c>
      <c r="C4296" s="5" t="s">
        <v>35571</v>
      </c>
      <c r="D4296" s="246" t="s">
        <v>68</v>
      </c>
      <c r="E4296" s="5" t="s">
        <v>35572</v>
      </c>
      <c r="F4296" s="26" t="s">
        <v>23600</v>
      </c>
      <c r="G4296" s="27" t="s">
        <v>13337</v>
      </c>
      <c r="H4296" s="28" t="s">
        <v>13338</v>
      </c>
      <c r="I4296" s="5" t="s">
        <v>233</v>
      </c>
    </row>
    <row r="4297" spans="1:9" ht="51.75" customHeight="1">
      <c r="A4297" s="5" t="s">
        <v>26848</v>
      </c>
      <c r="B4297" s="5" t="s">
        <v>35573</v>
      </c>
      <c r="C4297" s="5" t="s">
        <v>35574</v>
      </c>
      <c r="D4297" s="246" t="s">
        <v>68</v>
      </c>
      <c r="E4297" s="5" t="s">
        <v>35575</v>
      </c>
      <c r="F4297" s="26" t="s">
        <v>23600</v>
      </c>
      <c r="G4297" s="27" t="s">
        <v>13337</v>
      </c>
      <c r="H4297" s="28" t="s">
        <v>13338</v>
      </c>
      <c r="I4297" s="5" t="s">
        <v>233</v>
      </c>
    </row>
    <row r="4298" spans="1:9" ht="51.75" customHeight="1">
      <c r="A4298" s="5" t="s">
        <v>24704</v>
      </c>
      <c r="B4298" s="5" t="s">
        <v>35576</v>
      </c>
      <c r="C4298" s="5" t="s">
        <v>35577</v>
      </c>
      <c r="D4298" s="246" t="s">
        <v>68</v>
      </c>
      <c r="E4298" s="5" t="s">
        <v>35578</v>
      </c>
      <c r="F4298" s="26" t="s">
        <v>23600</v>
      </c>
      <c r="G4298" s="27" t="s">
        <v>13344</v>
      </c>
      <c r="H4298" s="28" t="s">
        <v>13345</v>
      </c>
      <c r="I4298" s="5" t="s">
        <v>233</v>
      </c>
    </row>
    <row r="4299" spans="1:9" ht="51.75" customHeight="1">
      <c r="A4299" s="5" t="s">
        <v>30014</v>
      </c>
      <c r="B4299" s="5" t="s">
        <v>35579</v>
      </c>
      <c r="C4299" s="5" t="s">
        <v>35580</v>
      </c>
      <c r="D4299" s="246" t="s">
        <v>68</v>
      </c>
      <c r="E4299" s="5" t="s">
        <v>35581</v>
      </c>
      <c r="F4299" s="26" t="s">
        <v>23600</v>
      </c>
      <c r="G4299" s="27" t="s">
        <v>13344</v>
      </c>
      <c r="H4299" s="28" t="s">
        <v>13345</v>
      </c>
      <c r="I4299" s="5" t="s">
        <v>233</v>
      </c>
    </row>
    <row r="4300" spans="1:9" ht="51.75" customHeight="1">
      <c r="A4300" s="5" t="s">
        <v>24708</v>
      </c>
      <c r="B4300" s="5" t="s">
        <v>35582</v>
      </c>
      <c r="C4300" s="5" t="s">
        <v>35583</v>
      </c>
      <c r="D4300" s="246" t="s">
        <v>68</v>
      </c>
      <c r="E4300" s="5" t="s">
        <v>35584</v>
      </c>
      <c r="F4300" s="26" t="s">
        <v>23600</v>
      </c>
      <c r="G4300" s="27" t="s">
        <v>13344</v>
      </c>
      <c r="H4300" s="28" t="s">
        <v>13345</v>
      </c>
      <c r="I4300" s="5" t="s">
        <v>233</v>
      </c>
    </row>
    <row r="4301" spans="1:9" ht="51.75" customHeight="1">
      <c r="A4301" s="5" t="s">
        <v>24725</v>
      </c>
      <c r="B4301" s="5" t="s">
        <v>35585</v>
      </c>
      <c r="C4301" s="5" t="s">
        <v>35586</v>
      </c>
      <c r="D4301" s="246">
        <v>43082</v>
      </c>
      <c r="E4301" s="5" t="s">
        <v>35587</v>
      </c>
      <c r="F4301" s="26" t="s">
        <v>23600</v>
      </c>
      <c r="G4301" s="27" t="s">
        <v>13431</v>
      </c>
      <c r="H4301" s="28" t="s">
        <v>13432</v>
      </c>
      <c r="I4301" s="5" t="s">
        <v>233</v>
      </c>
    </row>
    <row r="4302" spans="1:9" ht="51.75" customHeight="1">
      <c r="A4302" s="5" t="s">
        <v>24624</v>
      </c>
      <c r="B4302" s="5" t="s">
        <v>35588</v>
      </c>
      <c r="C4302" s="5" t="s">
        <v>35589</v>
      </c>
      <c r="D4302" s="246">
        <v>43082</v>
      </c>
      <c r="E4302" s="5" t="s">
        <v>35590</v>
      </c>
      <c r="F4302" s="26" t="s">
        <v>23600</v>
      </c>
      <c r="G4302" s="27" t="s">
        <v>13431</v>
      </c>
      <c r="H4302" s="28" t="s">
        <v>13432</v>
      </c>
      <c r="I4302" s="5" t="s">
        <v>233</v>
      </c>
    </row>
    <row r="4303" spans="1:9" ht="51.75" customHeight="1">
      <c r="A4303" s="5" t="s">
        <v>26767</v>
      </c>
      <c r="B4303" s="5" t="s">
        <v>35591</v>
      </c>
      <c r="C4303" s="5" t="s">
        <v>35592</v>
      </c>
      <c r="D4303" s="246">
        <v>43082</v>
      </c>
      <c r="E4303" s="5" t="s">
        <v>35593</v>
      </c>
      <c r="F4303" s="26" t="s">
        <v>23600</v>
      </c>
      <c r="G4303" s="27" t="s">
        <v>13431</v>
      </c>
      <c r="H4303" s="28" t="s">
        <v>13432</v>
      </c>
      <c r="I4303" s="5" t="s">
        <v>233</v>
      </c>
    </row>
    <row r="4304" spans="1:9" ht="51.75" customHeight="1">
      <c r="A4304" s="5" t="s">
        <v>26773</v>
      </c>
      <c r="B4304" s="5" t="s">
        <v>35594</v>
      </c>
      <c r="C4304" s="5" t="s">
        <v>20050</v>
      </c>
      <c r="D4304" s="246">
        <v>43082</v>
      </c>
      <c r="E4304" s="5" t="s">
        <v>35595</v>
      </c>
      <c r="F4304" s="26" t="s">
        <v>23600</v>
      </c>
      <c r="G4304" s="27" t="s">
        <v>13431</v>
      </c>
      <c r="H4304" s="28" t="s">
        <v>13432</v>
      </c>
      <c r="I4304" s="5" t="s">
        <v>233</v>
      </c>
    </row>
    <row r="4305" spans="1:9" ht="51.75" customHeight="1">
      <c r="A4305" s="5" t="s">
        <v>24311</v>
      </c>
      <c r="B4305" s="5" t="s">
        <v>35596</v>
      </c>
      <c r="C4305" s="5" t="s">
        <v>35597</v>
      </c>
      <c r="D4305" s="246">
        <v>43241</v>
      </c>
      <c r="E4305" s="5" t="s">
        <v>35598</v>
      </c>
      <c r="F4305" s="26" t="s">
        <v>23600</v>
      </c>
      <c r="G4305" s="27" t="s">
        <v>13700</v>
      </c>
      <c r="H4305" s="28" t="s">
        <v>13701</v>
      </c>
      <c r="I4305" s="5" t="s">
        <v>233</v>
      </c>
    </row>
    <row r="4306" spans="1:9" ht="51.75" customHeight="1">
      <c r="A4306" s="5" t="s">
        <v>24196</v>
      </c>
      <c r="B4306" s="5" t="s">
        <v>35599</v>
      </c>
      <c r="C4306" s="5" t="s">
        <v>35600</v>
      </c>
      <c r="D4306" s="246">
        <v>43150</v>
      </c>
      <c r="E4306" s="5" t="s">
        <v>35601</v>
      </c>
      <c r="F4306" s="26" t="s">
        <v>23600</v>
      </c>
      <c r="G4306" s="27" t="s">
        <v>13689</v>
      </c>
      <c r="H4306" s="28" t="s">
        <v>13690</v>
      </c>
      <c r="I4306" s="5" t="s">
        <v>233</v>
      </c>
    </row>
    <row r="4307" spans="1:9" ht="51.75" customHeight="1">
      <c r="A4307" s="5" t="s">
        <v>26115</v>
      </c>
      <c r="B4307" s="5" t="s">
        <v>35602</v>
      </c>
      <c r="C4307" s="5" t="s">
        <v>35603</v>
      </c>
      <c r="D4307" s="246" t="s">
        <v>68</v>
      </c>
      <c r="E4307" s="5" t="s">
        <v>35604</v>
      </c>
      <c r="F4307" s="26" t="s">
        <v>23600</v>
      </c>
      <c r="G4307" s="27" t="s">
        <v>13689</v>
      </c>
      <c r="H4307" s="28" t="s">
        <v>13690</v>
      </c>
      <c r="I4307" s="5" t="s">
        <v>233</v>
      </c>
    </row>
    <row r="4308" spans="1:9" ht="51.75" customHeight="1">
      <c r="A4308" s="5" t="s">
        <v>26120</v>
      </c>
      <c r="B4308" s="5" t="s">
        <v>35605</v>
      </c>
      <c r="C4308" s="5" t="s">
        <v>35606</v>
      </c>
      <c r="D4308" s="246">
        <v>43150</v>
      </c>
      <c r="E4308" s="5" t="s">
        <v>35607</v>
      </c>
      <c r="F4308" s="26" t="s">
        <v>23600</v>
      </c>
      <c r="G4308" s="27" t="s">
        <v>13689</v>
      </c>
      <c r="H4308" s="28" t="s">
        <v>13690</v>
      </c>
      <c r="I4308" s="5" t="s">
        <v>233</v>
      </c>
    </row>
    <row r="4309" spans="1:9" ht="51.75" customHeight="1">
      <c r="A4309" s="5" t="s">
        <v>24929</v>
      </c>
      <c r="B4309" s="5" t="s">
        <v>35608</v>
      </c>
      <c r="C4309" s="5" t="s">
        <v>35083</v>
      </c>
      <c r="D4309" s="246">
        <v>43130</v>
      </c>
      <c r="E4309" s="5" t="s">
        <v>35609</v>
      </c>
      <c r="F4309" s="26" t="s">
        <v>23600</v>
      </c>
      <c r="G4309" s="27" t="s">
        <v>13775</v>
      </c>
      <c r="H4309" s="28" t="s">
        <v>13776</v>
      </c>
      <c r="I4309" s="5" t="s">
        <v>233</v>
      </c>
    </row>
    <row r="4310" spans="1:9" ht="51.75" customHeight="1">
      <c r="A4310" s="5" t="s">
        <v>23752</v>
      </c>
      <c r="B4310" s="5" t="s">
        <v>35610</v>
      </c>
      <c r="C4310" s="5" t="s">
        <v>35611</v>
      </c>
      <c r="D4310" s="246">
        <v>43179</v>
      </c>
      <c r="E4310" s="5" t="s">
        <v>35612</v>
      </c>
      <c r="F4310" s="26" t="s">
        <v>23600</v>
      </c>
      <c r="G4310" s="27" t="s">
        <v>13820</v>
      </c>
      <c r="H4310" s="28" t="s">
        <v>13821</v>
      </c>
      <c r="I4310" s="5" t="s">
        <v>233</v>
      </c>
    </row>
    <row r="4311" spans="1:9" ht="51.75" customHeight="1">
      <c r="A4311" s="5" t="s">
        <v>25488</v>
      </c>
      <c r="B4311" s="5" t="s">
        <v>35613</v>
      </c>
      <c r="C4311" s="5" t="s">
        <v>35614</v>
      </c>
      <c r="D4311" s="246">
        <v>43229</v>
      </c>
      <c r="E4311" s="5" t="s">
        <v>35615</v>
      </c>
      <c r="F4311" s="26" t="s">
        <v>23600</v>
      </c>
      <c r="G4311" s="27" t="s">
        <v>13916</v>
      </c>
      <c r="H4311" s="28" t="s">
        <v>13917</v>
      </c>
      <c r="I4311" s="5" t="s">
        <v>233</v>
      </c>
    </row>
    <row r="4312" spans="1:9" ht="51.75" customHeight="1">
      <c r="A4312" s="5" t="s">
        <v>24954</v>
      </c>
      <c r="B4312" s="5" t="s">
        <v>35616</v>
      </c>
      <c r="C4312" s="5" t="s">
        <v>35617</v>
      </c>
      <c r="D4312" s="246">
        <v>43229</v>
      </c>
      <c r="E4312" s="5" t="s">
        <v>35618</v>
      </c>
      <c r="F4312" s="26" t="s">
        <v>23600</v>
      </c>
      <c r="G4312" s="27" t="s">
        <v>13916</v>
      </c>
      <c r="H4312" s="28" t="s">
        <v>13917</v>
      </c>
      <c r="I4312" s="5" t="s">
        <v>233</v>
      </c>
    </row>
    <row r="4313" spans="1:9" ht="51.75" customHeight="1">
      <c r="A4313" s="5" t="s">
        <v>23814</v>
      </c>
      <c r="B4313" s="5" t="s">
        <v>35619</v>
      </c>
      <c r="C4313" s="5" t="s">
        <v>35620</v>
      </c>
      <c r="D4313" s="246">
        <v>43229</v>
      </c>
      <c r="E4313" s="5" t="s">
        <v>35621</v>
      </c>
      <c r="F4313" s="26" t="s">
        <v>23600</v>
      </c>
      <c r="G4313" s="27" t="s">
        <v>13916</v>
      </c>
      <c r="H4313" s="28" t="s">
        <v>13917</v>
      </c>
      <c r="I4313" s="5" t="s">
        <v>233</v>
      </c>
    </row>
    <row r="4314" spans="1:9" ht="51.75" customHeight="1">
      <c r="A4314" s="5" t="s">
        <v>30930</v>
      </c>
      <c r="B4314" s="5" t="s">
        <v>35622</v>
      </c>
      <c r="C4314" s="5" t="s">
        <v>35623</v>
      </c>
      <c r="D4314" s="246">
        <v>43314</v>
      </c>
      <c r="E4314" s="5" t="s">
        <v>35624</v>
      </c>
      <c r="F4314" s="26" t="s">
        <v>23600</v>
      </c>
      <c r="G4314" s="27" t="s">
        <v>13968</v>
      </c>
      <c r="H4314" s="28" t="s">
        <v>13969</v>
      </c>
      <c r="I4314" s="5" t="s">
        <v>233</v>
      </c>
    </row>
    <row r="4315" spans="1:9" ht="51.75" customHeight="1">
      <c r="A4315" s="5" t="s">
        <v>35625</v>
      </c>
      <c r="B4315" s="5" t="s">
        <v>35626</v>
      </c>
      <c r="C4315" s="5" t="s">
        <v>35627</v>
      </c>
      <c r="D4315" s="246">
        <v>43423</v>
      </c>
      <c r="E4315" s="5" t="s">
        <v>35628</v>
      </c>
      <c r="F4315" s="26" t="s">
        <v>23600</v>
      </c>
      <c r="G4315" s="27" t="s">
        <v>13974</v>
      </c>
      <c r="H4315" s="28" t="s">
        <v>13975</v>
      </c>
      <c r="I4315" s="5" t="s">
        <v>233</v>
      </c>
    </row>
    <row r="4316" spans="1:9" ht="51.75" customHeight="1">
      <c r="A4316" s="5" t="s">
        <v>35629</v>
      </c>
      <c r="B4316" s="5" t="s">
        <v>35630</v>
      </c>
      <c r="C4316" s="5" t="s">
        <v>35631</v>
      </c>
      <c r="D4316" s="246">
        <v>43423</v>
      </c>
      <c r="E4316" s="5" t="s">
        <v>35632</v>
      </c>
      <c r="F4316" s="26" t="s">
        <v>23600</v>
      </c>
      <c r="G4316" s="27" t="s">
        <v>13974</v>
      </c>
      <c r="H4316" s="28" t="s">
        <v>13975</v>
      </c>
      <c r="I4316" s="5" t="s">
        <v>233</v>
      </c>
    </row>
    <row r="4317" spans="1:9" ht="51.75" customHeight="1">
      <c r="A4317" s="5" t="s">
        <v>35633</v>
      </c>
      <c r="B4317" s="5" t="s">
        <v>35634</v>
      </c>
      <c r="C4317" s="5" t="s">
        <v>35631</v>
      </c>
      <c r="D4317" s="246">
        <v>43423</v>
      </c>
      <c r="E4317" s="5" t="s">
        <v>35635</v>
      </c>
      <c r="F4317" s="26" t="s">
        <v>23600</v>
      </c>
      <c r="G4317" s="27" t="s">
        <v>13974</v>
      </c>
      <c r="H4317" s="28" t="s">
        <v>13975</v>
      </c>
      <c r="I4317" s="5" t="s">
        <v>233</v>
      </c>
    </row>
    <row r="4318" spans="1:9" ht="51.75" customHeight="1">
      <c r="A4318" s="5" t="s">
        <v>35636</v>
      </c>
      <c r="B4318" s="5" t="s">
        <v>35637</v>
      </c>
      <c r="C4318" s="5" t="s">
        <v>35638</v>
      </c>
      <c r="D4318" s="246">
        <v>43321</v>
      </c>
      <c r="E4318" s="5" t="s">
        <v>35639</v>
      </c>
      <c r="F4318" s="26" t="s">
        <v>23600</v>
      </c>
      <c r="G4318" s="27" t="s">
        <v>14179</v>
      </c>
      <c r="H4318" s="28" t="s">
        <v>14180</v>
      </c>
      <c r="I4318" s="5" t="s">
        <v>233</v>
      </c>
    </row>
    <row r="4319" spans="1:9" ht="51.75" customHeight="1">
      <c r="A4319" s="5" t="s">
        <v>35640</v>
      </c>
      <c r="B4319" s="5" t="s">
        <v>35641</v>
      </c>
      <c r="C4319" s="5" t="s">
        <v>35642</v>
      </c>
      <c r="D4319" s="246">
        <v>43321</v>
      </c>
      <c r="E4319" s="5" t="s">
        <v>35643</v>
      </c>
      <c r="F4319" s="26" t="s">
        <v>23600</v>
      </c>
      <c r="G4319" s="27" t="s">
        <v>14179</v>
      </c>
      <c r="H4319" s="28" t="s">
        <v>14180</v>
      </c>
      <c r="I4319" s="5" t="s">
        <v>233</v>
      </c>
    </row>
    <row r="4320" spans="1:9" ht="51.75" customHeight="1">
      <c r="A4320" s="5" t="s">
        <v>35644</v>
      </c>
      <c r="B4320" s="5" t="s">
        <v>35645</v>
      </c>
      <c r="C4320" s="5" t="s">
        <v>35646</v>
      </c>
      <c r="D4320" s="246">
        <v>43321</v>
      </c>
      <c r="E4320" s="5" t="s">
        <v>35647</v>
      </c>
      <c r="F4320" s="26" t="s">
        <v>23600</v>
      </c>
      <c r="G4320" s="27" t="s">
        <v>14179</v>
      </c>
      <c r="H4320" s="28" t="s">
        <v>14180</v>
      </c>
      <c r="I4320" s="5" t="s">
        <v>233</v>
      </c>
    </row>
    <row r="4321" spans="1:9" ht="51.75" customHeight="1">
      <c r="A4321" s="5" t="s">
        <v>24685</v>
      </c>
      <c r="B4321" s="5" t="s">
        <v>35648</v>
      </c>
      <c r="C4321" s="5" t="s">
        <v>35649</v>
      </c>
      <c r="D4321" s="246">
        <v>43111</v>
      </c>
      <c r="E4321" s="5" t="s">
        <v>35650</v>
      </c>
      <c r="F4321" s="26" t="s">
        <v>23600</v>
      </c>
      <c r="G4321" s="27" t="s">
        <v>14228</v>
      </c>
      <c r="H4321" s="28" t="s">
        <v>14229</v>
      </c>
      <c r="I4321" s="5" t="s">
        <v>233</v>
      </c>
    </row>
    <row r="4322" spans="1:9" ht="51.75" customHeight="1">
      <c r="A4322" s="5" t="s">
        <v>24689</v>
      </c>
      <c r="B4322" s="5" t="s">
        <v>35651</v>
      </c>
      <c r="C4322" s="5" t="s">
        <v>35652</v>
      </c>
      <c r="D4322" s="246" t="s">
        <v>68</v>
      </c>
      <c r="E4322" s="5" t="s">
        <v>35653</v>
      </c>
      <c r="F4322" s="26" t="s">
        <v>23600</v>
      </c>
      <c r="G4322" s="27" t="s">
        <v>14228</v>
      </c>
      <c r="H4322" s="28" t="s">
        <v>14229</v>
      </c>
      <c r="I4322" s="5" t="s">
        <v>233</v>
      </c>
    </row>
    <row r="4323" spans="1:9" ht="51.75" customHeight="1">
      <c r="A4323" s="5" t="s">
        <v>35654</v>
      </c>
      <c r="B4323" s="5" t="s">
        <v>35655</v>
      </c>
      <c r="C4323" s="5" t="s">
        <v>35656</v>
      </c>
      <c r="D4323" s="246">
        <v>43335</v>
      </c>
      <c r="E4323" s="5" t="s">
        <v>35657</v>
      </c>
      <c r="F4323" s="26" t="s">
        <v>23600</v>
      </c>
      <c r="G4323" s="27" t="s">
        <v>14246</v>
      </c>
      <c r="H4323" s="28" t="s">
        <v>14247</v>
      </c>
      <c r="I4323" s="5" t="s">
        <v>233</v>
      </c>
    </row>
    <row r="4324" spans="1:9" ht="51.75" customHeight="1">
      <c r="A4324" s="5" t="s">
        <v>27342</v>
      </c>
      <c r="B4324" s="5" t="s">
        <v>35658</v>
      </c>
      <c r="C4324" s="5" t="s">
        <v>35659</v>
      </c>
      <c r="D4324" s="246">
        <v>43335</v>
      </c>
      <c r="E4324" s="5" t="s">
        <v>35660</v>
      </c>
      <c r="F4324" s="26" t="s">
        <v>23600</v>
      </c>
      <c r="G4324" s="27" t="s">
        <v>14246</v>
      </c>
      <c r="H4324" s="28" t="s">
        <v>14247</v>
      </c>
      <c r="I4324" s="5" t="s">
        <v>233</v>
      </c>
    </row>
    <row r="4325" spans="1:9" ht="51.75" customHeight="1">
      <c r="A4325" s="5" t="s">
        <v>35661</v>
      </c>
      <c r="B4325" s="5" t="s">
        <v>35662</v>
      </c>
      <c r="C4325" s="5" t="s">
        <v>35663</v>
      </c>
      <c r="D4325" s="246">
        <v>43335</v>
      </c>
      <c r="E4325" s="5" t="s">
        <v>35664</v>
      </c>
      <c r="F4325" s="26" t="s">
        <v>23600</v>
      </c>
      <c r="G4325" s="27" t="s">
        <v>14246</v>
      </c>
      <c r="H4325" s="28" t="s">
        <v>14247</v>
      </c>
      <c r="I4325" s="5" t="s">
        <v>233</v>
      </c>
    </row>
    <row r="4326" spans="1:9" ht="51.75" customHeight="1">
      <c r="A4326" s="5" t="s">
        <v>35665</v>
      </c>
      <c r="B4326" s="5" t="s">
        <v>35666</v>
      </c>
      <c r="C4326" s="5" t="s">
        <v>34036</v>
      </c>
      <c r="D4326" s="246">
        <v>43335</v>
      </c>
      <c r="E4326" s="5" t="s">
        <v>35667</v>
      </c>
      <c r="F4326" s="26" t="s">
        <v>23600</v>
      </c>
      <c r="G4326" s="27" t="s">
        <v>14246</v>
      </c>
      <c r="H4326" s="28" t="s">
        <v>14247</v>
      </c>
      <c r="I4326" s="5" t="s">
        <v>233</v>
      </c>
    </row>
    <row r="4327" spans="1:9" ht="51.75" customHeight="1">
      <c r="A4327" s="5" t="s">
        <v>35668</v>
      </c>
      <c r="B4327" s="5" t="s">
        <v>35669</v>
      </c>
      <c r="C4327" s="5" t="s">
        <v>35670</v>
      </c>
      <c r="D4327" s="246" t="s">
        <v>68</v>
      </c>
      <c r="E4327" s="5" t="s">
        <v>35671</v>
      </c>
      <c r="F4327" s="26" t="s">
        <v>23600</v>
      </c>
      <c r="G4327" s="27" t="s">
        <v>14306</v>
      </c>
      <c r="H4327" s="28" t="s">
        <v>14307</v>
      </c>
      <c r="I4327" s="5" t="s">
        <v>233</v>
      </c>
    </row>
    <row r="4328" spans="1:9" ht="51.75" customHeight="1">
      <c r="A4328" s="5" t="s">
        <v>35672</v>
      </c>
      <c r="B4328" s="5" t="s">
        <v>35673</v>
      </c>
      <c r="C4328" s="5" t="s">
        <v>35674</v>
      </c>
      <c r="D4328" s="246">
        <v>43382</v>
      </c>
      <c r="E4328" s="5" t="s">
        <v>35675</v>
      </c>
      <c r="F4328" s="26" t="s">
        <v>23600</v>
      </c>
      <c r="G4328" s="27" t="s">
        <v>14342</v>
      </c>
      <c r="H4328" s="28" t="s">
        <v>14343</v>
      </c>
      <c r="I4328" s="5" t="s">
        <v>233</v>
      </c>
    </row>
    <row r="4329" spans="1:9" ht="51.75" customHeight="1">
      <c r="A4329" s="5" t="s">
        <v>35676</v>
      </c>
      <c r="B4329" s="5" t="s">
        <v>35677</v>
      </c>
      <c r="C4329" s="5" t="s">
        <v>35179</v>
      </c>
      <c r="D4329" s="246">
        <v>43382</v>
      </c>
      <c r="E4329" s="5" t="s">
        <v>35678</v>
      </c>
      <c r="F4329" s="26" t="s">
        <v>23600</v>
      </c>
      <c r="G4329" s="27" t="s">
        <v>14342</v>
      </c>
      <c r="H4329" s="28" t="s">
        <v>14343</v>
      </c>
      <c r="I4329" s="5" t="s">
        <v>233</v>
      </c>
    </row>
    <row r="4330" spans="1:9" ht="51.75" customHeight="1">
      <c r="A4330" s="5" t="s">
        <v>35679</v>
      </c>
      <c r="B4330" s="5" t="s">
        <v>35680</v>
      </c>
      <c r="C4330" s="5" t="s">
        <v>35681</v>
      </c>
      <c r="D4330" s="246">
        <v>43382</v>
      </c>
      <c r="E4330" s="5" t="s">
        <v>35682</v>
      </c>
      <c r="F4330" s="26" t="s">
        <v>23600</v>
      </c>
      <c r="G4330" s="27" t="s">
        <v>14342</v>
      </c>
      <c r="H4330" s="28" t="s">
        <v>14343</v>
      </c>
      <c r="I4330" s="5" t="s">
        <v>233</v>
      </c>
    </row>
    <row r="4331" spans="1:9" ht="51.75" customHeight="1">
      <c r="A4331" s="5" t="s">
        <v>35683</v>
      </c>
      <c r="B4331" s="5" t="s">
        <v>35684</v>
      </c>
      <c r="C4331" s="5" t="s">
        <v>35685</v>
      </c>
      <c r="D4331" s="246" t="s">
        <v>68</v>
      </c>
      <c r="E4331" s="5" t="s">
        <v>35686</v>
      </c>
      <c r="F4331" s="26" t="s">
        <v>23600</v>
      </c>
      <c r="G4331" s="27" t="s">
        <v>14534</v>
      </c>
      <c r="H4331" s="28" t="s">
        <v>14535</v>
      </c>
      <c r="I4331" s="5" t="s">
        <v>233</v>
      </c>
    </row>
    <row r="4332" spans="1:9" ht="51.75" customHeight="1">
      <c r="A4332" s="5" t="s">
        <v>35687</v>
      </c>
      <c r="B4332" s="5" t="s">
        <v>35688</v>
      </c>
      <c r="C4332" s="5" t="s">
        <v>35689</v>
      </c>
      <c r="D4332" s="246" t="s">
        <v>68</v>
      </c>
      <c r="E4332" s="5" t="s">
        <v>35690</v>
      </c>
      <c r="F4332" s="26" t="s">
        <v>23600</v>
      </c>
      <c r="G4332" s="27" t="s">
        <v>14534</v>
      </c>
      <c r="H4332" s="28" t="s">
        <v>14535</v>
      </c>
      <c r="I4332" s="5" t="s">
        <v>233</v>
      </c>
    </row>
    <row r="4333" spans="1:9" ht="51.75" customHeight="1">
      <c r="A4333" s="5" t="s">
        <v>26715</v>
      </c>
      <c r="B4333" s="5" t="s">
        <v>35691</v>
      </c>
      <c r="C4333" s="5" t="s">
        <v>35692</v>
      </c>
      <c r="D4333" s="246">
        <v>43300</v>
      </c>
      <c r="E4333" s="5" t="s">
        <v>35693</v>
      </c>
      <c r="F4333" s="26"/>
      <c r="G4333" s="27" t="s">
        <v>14626</v>
      </c>
      <c r="H4333" s="28" t="s">
        <v>14627</v>
      </c>
      <c r="I4333" s="5" t="s">
        <v>233</v>
      </c>
    </row>
    <row r="4334" spans="1:9" ht="51.75" customHeight="1">
      <c r="A4334" s="5" t="s">
        <v>26721</v>
      </c>
      <c r="B4334" s="5" t="s">
        <v>35694</v>
      </c>
      <c r="C4334" s="5" t="s">
        <v>35695</v>
      </c>
      <c r="D4334" s="246">
        <v>43300</v>
      </c>
      <c r="E4334" s="5" t="s">
        <v>35696</v>
      </c>
      <c r="F4334" s="26"/>
      <c r="G4334" s="27" t="s">
        <v>14626</v>
      </c>
      <c r="H4334" s="28" t="s">
        <v>14627</v>
      </c>
      <c r="I4334" s="5" t="s">
        <v>233</v>
      </c>
    </row>
    <row r="4335" spans="1:9" ht="51.75" customHeight="1">
      <c r="A4335" s="5" t="s">
        <v>35697</v>
      </c>
      <c r="B4335" s="5" t="s">
        <v>35698</v>
      </c>
      <c r="C4335" s="5" t="s">
        <v>35699</v>
      </c>
      <c r="D4335" s="246">
        <v>43319</v>
      </c>
      <c r="E4335" s="5" t="s">
        <v>35700</v>
      </c>
      <c r="F4335" s="26"/>
      <c r="G4335" s="27" t="s">
        <v>14671</v>
      </c>
      <c r="H4335" s="28" t="s">
        <v>14672</v>
      </c>
      <c r="I4335" s="5" t="s">
        <v>233</v>
      </c>
    </row>
    <row r="4336" spans="1:9" ht="51.75" customHeight="1">
      <c r="A4336" s="5" t="s">
        <v>26275</v>
      </c>
      <c r="B4336" s="5" t="s">
        <v>35701</v>
      </c>
      <c r="C4336" s="5" t="s">
        <v>35702</v>
      </c>
      <c r="D4336" s="246">
        <v>43818</v>
      </c>
      <c r="E4336" s="5" t="s">
        <v>35703</v>
      </c>
      <c r="F4336" s="26" t="s">
        <v>23600</v>
      </c>
      <c r="G4336" s="27" t="s">
        <v>14240</v>
      </c>
      <c r="H4336" s="28" t="s">
        <v>14241</v>
      </c>
      <c r="I4336" s="5" t="s">
        <v>233</v>
      </c>
    </row>
    <row r="4337" spans="1:9" ht="51.75" customHeight="1">
      <c r="A4337" s="5" t="s">
        <v>26280</v>
      </c>
      <c r="B4337" s="5" t="s">
        <v>35704</v>
      </c>
      <c r="C4337" s="5" t="s">
        <v>35705</v>
      </c>
      <c r="D4337" s="246">
        <v>43818</v>
      </c>
      <c r="E4337" s="5" t="s">
        <v>35706</v>
      </c>
      <c r="F4337" s="26" t="s">
        <v>23600</v>
      </c>
      <c r="G4337" s="27" t="s">
        <v>14240</v>
      </c>
      <c r="H4337" s="28" t="s">
        <v>14241</v>
      </c>
      <c r="I4337" s="5" t="s">
        <v>233</v>
      </c>
    </row>
    <row r="4338" spans="1:9" ht="51.75" customHeight="1">
      <c r="A4338" s="5" t="s">
        <v>26285</v>
      </c>
      <c r="B4338" s="5" t="s">
        <v>35707</v>
      </c>
      <c r="C4338" s="5" t="s">
        <v>35708</v>
      </c>
      <c r="D4338" s="246">
        <v>43818</v>
      </c>
      <c r="E4338" s="5" t="s">
        <v>35709</v>
      </c>
      <c r="F4338" s="26" t="s">
        <v>23600</v>
      </c>
      <c r="G4338" s="27" t="s">
        <v>14240</v>
      </c>
      <c r="H4338" s="28" t="s">
        <v>14241</v>
      </c>
      <c r="I4338" s="5" t="s">
        <v>233</v>
      </c>
    </row>
    <row r="4339" spans="1:9" ht="51.75" customHeight="1">
      <c r="A4339" s="5" t="s">
        <v>26296</v>
      </c>
      <c r="B4339" s="5" t="s">
        <v>35710</v>
      </c>
      <c r="C4339" s="5" t="s">
        <v>35711</v>
      </c>
      <c r="D4339" s="246">
        <v>43818</v>
      </c>
      <c r="E4339" s="5" t="s">
        <v>35712</v>
      </c>
      <c r="F4339" s="26" t="s">
        <v>23600</v>
      </c>
      <c r="G4339" s="27" t="s">
        <v>14240</v>
      </c>
      <c r="H4339" s="28" t="s">
        <v>14241</v>
      </c>
      <c r="I4339" s="5" t="s">
        <v>233</v>
      </c>
    </row>
    <row r="4340" spans="1:9" ht="51.75" customHeight="1">
      <c r="A4340" s="5" t="s">
        <v>26301</v>
      </c>
      <c r="B4340" s="5" t="s">
        <v>35713</v>
      </c>
      <c r="C4340" s="5" t="s">
        <v>35714</v>
      </c>
      <c r="D4340" s="246">
        <v>43818</v>
      </c>
      <c r="E4340" s="5" t="s">
        <v>35715</v>
      </c>
      <c r="F4340" s="26" t="s">
        <v>23600</v>
      </c>
      <c r="G4340" s="27" t="s">
        <v>14240</v>
      </c>
      <c r="H4340" s="28" t="s">
        <v>14241</v>
      </c>
      <c r="I4340" s="5" t="s">
        <v>233</v>
      </c>
    </row>
    <row r="4341" spans="1:9" ht="51.75" customHeight="1">
      <c r="A4341" s="5" t="s">
        <v>30405</v>
      </c>
      <c r="B4341" s="5" t="s">
        <v>35716</v>
      </c>
      <c r="C4341" s="5" t="s">
        <v>35717</v>
      </c>
      <c r="D4341" s="246">
        <v>43346</v>
      </c>
      <c r="E4341" s="5" t="s">
        <v>35718</v>
      </c>
      <c r="F4341" s="26" t="s">
        <v>23600</v>
      </c>
      <c r="G4341" s="27" t="s">
        <v>14704</v>
      </c>
      <c r="H4341" s="28" t="s">
        <v>14705</v>
      </c>
      <c r="I4341" s="5" t="s">
        <v>233</v>
      </c>
    </row>
    <row r="4342" spans="1:9" ht="51.75" customHeight="1">
      <c r="A4342" s="5" t="s">
        <v>31160</v>
      </c>
      <c r="B4342" s="5" t="s">
        <v>35719</v>
      </c>
      <c r="C4342" s="5" t="s">
        <v>35720</v>
      </c>
      <c r="D4342" s="246">
        <v>43346</v>
      </c>
      <c r="E4342" s="5" t="s">
        <v>35721</v>
      </c>
      <c r="F4342" s="26" t="s">
        <v>23600</v>
      </c>
      <c r="G4342" s="27" t="s">
        <v>14704</v>
      </c>
      <c r="H4342" s="28" t="s">
        <v>14705</v>
      </c>
      <c r="I4342" s="5" t="s">
        <v>233</v>
      </c>
    </row>
    <row r="4343" spans="1:9" ht="51.75" customHeight="1">
      <c r="A4343" s="5" t="s">
        <v>35722</v>
      </c>
      <c r="B4343" s="5" t="s">
        <v>35723</v>
      </c>
      <c r="C4343" s="5" t="s">
        <v>35724</v>
      </c>
      <c r="D4343" s="246">
        <v>43346</v>
      </c>
      <c r="E4343" s="5" t="s">
        <v>35725</v>
      </c>
      <c r="F4343" s="26" t="s">
        <v>23600</v>
      </c>
      <c r="G4343" s="27" t="s">
        <v>14704</v>
      </c>
      <c r="H4343" s="28" t="s">
        <v>14705</v>
      </c>
      <c r="I4343" s="5" t="s">
        <v>233</v>
      </c>
    </row>
    <row r="4344" spans="1:9" ht="51.75" customHeight="1">
      <c r="A4344" s="5" t="s">
        <v>27290</v>
      </c>
      <c r="B4344" s="5" t="s">
        <v>35726</v>
      </c>
      <c r="C4344" s="5" t="s">
        <v>35727</v>
      </c>
      <c r="D4344" s="246">
        <v>43346</v>
      </c>
      <c r="E4344" s="5" t="s">
        <v>35728</v>
      </c>
      <c r="F4344" s="26" t="s">
        <v>23600</v>
      </c>
      <c r="G4344" s="27" t="s">
        <v>14704</v>
      </c>
      <c r="H4344" s="28" t="s">
        <v>14705</v>
      </c>
      <c r="I4344" s="5" t="s">
        <v>233</v>
      </c>
    </row>
    <row r="4345" spans="1:9" ht="51.75" customHeight="1">
      <c r="A4345" s="5" t="s">
        <v>27296</v>
      </c>
      <c r="B4345" s="5" t="s">
        <v>35729</v>
      </c>
      <c r="C4345" s="5" t="s">
        <v>35730</v>
      </c>
      <c r="D4345" s="246">
        <v>43346</v>
      </c>
      <c r="E4345" s="5" t="s">
        <v>35731</v>
      </c>
      <c r="F4345" s="26" t="s">
        <v>23600</v>
      </c>
      <c r="G4345" s="27" t="s">
        <v>14704</v>
      </c>
      <c r="H4345" s="28" t="s">
        <v>14705</v>
      </c>
      <c r="I4345" s="5" t="s">
        <v>233</v>
      </c>
    </row>
    <row r="4346" spans="1:9" ht="51.75" customHeight="1">
      <c r="A4346" s="5" t="s">
        <v>26120</v>
      </c>
      <c r="B4346" s="5" t="s">
        <v>35732</v>
      </c>
      <c r="C4346" s="5" t="s">
        <v>35733</v>
      </c>
      <c r="D4346" s="246">
        <v>43549</v>
      </c>
      <c r="E4346" s="5" t="s">
        <v>35734</v>
      </c>
      <c r="F4346" s="26" t="s">
        <v>23600</v>
      </c>
      <c r="G4346" s="27" t="s">
        <v>14868</v>
      </c>
      <c r="H4346" s="28" t="s">
        <v>14869</v>
      </c>
      <c r="I4346" s="5" t="s">
        <v>233</v>
      </c>
    </row>
    <row r="4347" spans="1:9" ht="51.75" customHeight="1">
      <c r="A4347" s="5" t="s">
        <v>26531</v>
      </c>
      <c r="B4347" s="5" t="s">
        <v>35735</v>
      </c>
      <c r="C4347" s="5" t="s">
        <v>35736</v>
      </c>
      <c r="D4347" s="246">
        <v>43549</v>
      </c>
      <c r="E4347" s="5" t="s">
        <v>35737</v>
      </c>
      <c r="F4347" s="26" t="s">
        <v>23600</v>
      </c>
      <c r="G4347" s="27" t="s">
        <v>14868</v>
      </c>
      <c r="H4347" s="28" t="s">
        <v>14869</v>
      </c>
      <c r="I4347" s="5" t="s">
        <v>233</v>
      </c>
    </row>
    <row r="4348" spans="1:9" ht="51.75" customHeight="1">
      <c r="A4348" s="5" t="s">
        <v>26537</v>
      </c>
      <c r="B4348" s="5" t="s">
        <v>35738</v>
      </c>
      <c r="C4348" s="5" t="s">
        <v>35739</v>
      </c>
      <c r="D4348" s="246">
        <v>43549</v>
      </c>
      <c r="E4348" s="5" t="s">
        <v>35740</v>
      </c>
      <c r="F4348" s="26" t="s">
        <v>23600</v>
      </c>
      <c r="G4348" s="27" t="s">
        <v>14868</v>
      </c>
      <c r="H4348" s="28" t="s">
        <v>14869</v>
      </c>
      <c r="I4348" s="5" t="s">
        <v>233</v>
      </c>
    </row>
    <row r="4349" spans="1:9" ht="51.75" customHeight="1">
      <c r="A4349" s="5" t="s">
        <v>26543</v>
      </c>
      <c r="B4349" s="5" t="s">
        <v>35741</v>
      </c>
      <c r="C4349" s="5" t="s">
        <v>35742</v>
      </c>
      <c r="D4349" s="246">
        <v>43549</v>
      </c>
      <c r="E4349" s="5" t="s">
        <v>35743</v>
      </c>
      <c r="F4349" s="26" t="s">
        <v>23600</v>
      </c>
      <c r="G4349" s="27" t="s">
        <v>14868</v>
      </c>
      <c r="H4349" s="28" t="s">
        <v>14869</v>
      </c>
      <c r="I4349" s="5" t="s">
        <v>233</v>
      </c>
    </row>
    <row r="4350" spans="1:9" ht="51.75" customHeight="1">
      <c r="A4350" s="5" t="s">
        <v>26549</v>
      </c>
      <c r="B4350" s="5" t="s">
        <v>35744</v>
      </c>
      <c r="C4350" s="5" t="s">
        <v>35745</v>
      </c>
      <c r="D4350" s="246">
        <v>43549</v>
      </c>
      <c r="E4350" s="5" t="s">
        <v>35746</v>
      </c>
      <c r="F4350" s="26" t="s">
        <v>23600</v>
      </c>
      <c r="G4350" s="27" t="s">
        <v>14868</v>
      </c>
      <c r="H4350" s="28" t="s">
        <v>14869</v>
      </c>
      <c r="I4350" s="5" t="s">
        <v>233</v>
      </c>
    </row>
    <row r="4351" spans="1:9" ht="51.75" customHeight="1">
      <c r="A4351" s="5" t="s">
        <v>27348</v>
      </c>
      <c r="B4351" s="5" t="s">
        <v>35747</v>
      </c>
      <c r="C4351" s="5" t="s">
        <v>35748</v>
      </c>
      <c r="D4351" s="246">
        <v>43340</v>
      </c>
      <c r="E4351" s="5" t="s">
        <v>35749</v>
      </c>
      <c r="F4351" s="26" t="s">
        <v>23600</v>
      </c>
      <c r="G4351" s="27" t="s">
        <v>14821</v>
      </c>
      <c r="H4351" s="28" t="s">
        <v>14822</v>
      </c>
      <c r="I4351" s="5" t="s">
        <v>233</v>
      </c>
    </row>
    <row r="4352" spans="1:9" ht="51.75" customHeight="1">
      <c r="A4352" s="5" t="s">
        <v>35750</v>
      </c>
      <c r="B4352" s="5" t="s">
        <v>35751</v>
      </c>
      <c r="C4352" s="5" t="s">
        <v>35752</v>
      </c>
      <c r="D4352" s="246">
        <v>43340</v>
      </c>
      <c r="E4352" s="5" t="s">
        <v>35753</v>
      </c>
      <c r="F4352" s="26" t="s">
        <v>23600</v>
      </c>
      <c r="G4352" s="27" t="s">
        <v>14821</v>
      </c>
      <c r="H4352" s="28" t="s">
        <v>14822</v>
      </c>
      <c r="I4352" s="5" t="s">
        <v>233</v>
      </c>
    </row>
    <row r="4353" spans="1:9" ht="51.75" customHeight="1">
      <c r="A4353" s="5" t="s">
        <v>35754</v>
      </c>
      <c r="B4353" s="5" t="s">
        <v>35755</v>
      </c>
      <c r="C4353" s="5" t="s">
        <v>35756</v>
      </c>
      <c r="D4353" s="246">
        <v>43340</v>
      </c>
      <c r="E4353" s="5" t="s">
        <v>35757</v>
      </c>
      <c r="F4353" s="26" t="s">
        <v>23600</v>
      </c>
      <c r="G4353" s="27" t="s">
        <v>14821</v>
      </c>
      <c r="H4353" s="28" t="s">
        <v>14822</v>
      </c>
      <c r="I4353" s="5" t="s">
        <v>233</v>
      </c>
    </row>
    <row r="4354" spans="1:9" ht="51.75" customHeight="1">
      <c r="A4354" s="5" t="s">
        <v>35758</v>
      </c>
      <c r="B4354" s="5" t="s">
        <v>35759</v>
      </c>
      <c r="C4354" s="5" t="s">
        <v>35760</v>
      </c>
      <c r="D4354" s="246">
        <v>43340</v>
      </c>
      <c r="E4354" s="5" t="s">
        <v>35761</v>
      </c>
      <c r="F4354" s="26" t="s">
        <v>23600</v>
      </c>
      <c r="G4354" s="27" t="s">
        <v>14821</v>
      </c>
      <c r="H4354" s="28" t="s">
        <v>14822</v>
      </c>
      <c r="I4354" s="5" t="s">
        <v>233</v>
      </c>
    </row>
    <row r="4355" spans="1:9" ht="51.75" customHeight="1">
      <c r="A4355" s="5" t="s">
        <v>30393</v>
      </c>
      <c r="B4355" s="5" t="s">
        <v>35762</v>
      </c>
      <c r="C4355" s="5" t="s">
        <v>35763</v>
      </c>
      <c r="D4355" s="246">
        <v>43340</v>
      </c>
      <c r="E4355" s="5" t="s">
        <v>35764</v>
      </c>
      <c r="F4355" s="26" t="s">
        <v>23600</v>
      </c>
      <c r="G4355" s="27" t="s">
        <v>14821</v>
      </c>
      <c r="H4355" s="28" t="s">
        <v>14822</v>
      </c>
      <c r="I4355" s="5" t="s">
        <v>233</v>
      </c>
    </row>
    <row r="4356" spans="1:9" ht="51.75" customHeight="1">
      <c r="A4356" s="5" t="s">
        <v>35765</v>
      </c>
      <c r="B4356" s="5" t="s">
        <v>35766</v>
      </c>
      <c r="C4356" s="5" t="s">
        <v>35767</v>
      </c>
      <c r="D4356" s="246">
        <v>43452</v>
      </c>
      <c r="E4356" s="5" t="s">
        <v>35768</v>
      </c>
      <c r="F4356" s="26" t="s">
        <v>23600</v>
      </c>
      <c r="G4356" s="27" t="s">
        <v>14895</v>
      </c>
      <c r="H4356" s="28" t="s">
        <v>14896</v>
      </c>
      <c r="I4356" s="5" t="s">
        <v>233</v>
      </c>
    </row>
    <row r="4357" spans="1:9" ht="51.75" customHeight="1">
      <c r="A4357" s="5" t="s">
        <v>35769</v>
      </c>
      <c r="B4357" s="5" t="s">
        <v>35770</v>
      </c>
      <c r="C4357" s="5" t="s">
        <v>35771</v>
      </c>
      <c r="D4357" s="246">
        <v>43452</v>
      </c>
      <c r="E4357" s="5" t="s">
        <v>35772</v>
      </c>
      <c r="F4357" s="26" t="s">
        <v>23600</v>
      </c>
      <c r="G4357" s="27" t="s">
        <v>14895</v>
      </c>
      <c r="H4357" s="28" t="s">
        <v>14896</v>
      </c>
      <c r="I4357" s="5" t="s">
        <v>233</v>
      </c>
    </row>
    <row r="4358" spans="1:9" ht="51.75" customHeight="1">
      <c r="A4358" s="5" t="s">
        <v>35773</v>
      </c>
      <c r="B4358" s="5" t="s">
        <v>35774</v>
      </c>
      <c r="C4358" s="5" t="s">
        <v>35775</v>
      </c>
      <c r="D4358" s="246">
        <v>43452</v>
      </c>
      <c r="E4358" s="5" t="s">
        <v>35776</v>
      </c>
      <c r="F4358" s="26" t="s">
        <v>23600</v>
      </c>
      <c r="G4358" s="27" t="s">
        <v>14895</v>
      </c>
      <c r="H4358" s="28" t="s">
        <v>14896</v>
      </c>
      <c r="I4358" s="5" t="s">
        <v>233</v>
      </c>
    </row>
    <row r="4359" spans="1:9" ht="51.75" customHeight="1">
      <c r="A4359" s="5" t="s">
        <v>35777</v>
      </c>
      <c r="B4359" s="5" t="s">
        <v>35778</v>
      </c>
      <c r="C4359" s="5" t="s">
        <v>35779</v>
      </c>
      <c r="D4359" s="246">
        <v>43452</v>
      </c>
      <c r="E4359" s="5" t="s">
        <v>35780</v>
      </c>
      <c r="F4359" s="26" t="s">
        <v>23600</v>
      </c>
      <c r="G4359" s="27" t="s">
        <v>14895</v>
      </c>
      <c r="H4359" s="28" t="s">
        <v>14896</v>
      </c>
      <c r="I4359" s="5" t="s">
        <v>233</v>
      </c>
    </row>
    <row r="4360" spans="1:9" ht="51.75" customHeight="1">
      <c r="A4360" s="5" t="s">
        <v>35781</v>
      </c>
      <c r="B4360" s="5" t="s">
        <v>35782</v>
      </c>
      <c r="C4360" s="5" t="s">
        <v>35783</v>
      </c>
      <c r="D4360" s="246">
        <v>43452</v>
      </c>
      <c r="E4360" s="5" t="s">
        <v>35784</v>
      </c>
      <c r="F4360" s="26" t="s">
        <v>23600</v>
      </c>
      <c r="G4360" s="27" t="s">
        <v>14895</v>
      </c>
      <c r="H4360" s="28" t="s">
        <v>14896</v>
      </c>
      <c r="I4360" s="5" t="s">
        <v>233</v>
      </c>
    </row>
    <row r="4361" spans="1:9" ht="51.75" customHeight="1">
      <c r="A4361" s="5" t="s">
        <v>35785</v>
      </c>
      <c r="B4361" s="5" t="s">
        <v>35786</v>
      </c>
      <c r="C4361" s="5" t="s">
        <v>35787</v>
      </c>
      <c r="D4361" s="246">
        <v>43452</v>
      </c>
      <c r="E4361" s="5" t="s">
        <v>35788</v>
      </c>
      <c r="F4361" s="26" t="s">
        <v>23600</v>
      </c>
      <c r="G4361" s="27" t="s">
        <v>14895</v>
      </c>
      <c r="H4361" s="28" t="s">
        <v>14896</v>
      </c>
      <c r="I4361" s="5" t="s">
        <v>233</v>
      </c>
    </row>
    <row r="4362" spans="1:9" ht="51.75" customHeight="1">
      <c r="A4362" s="5" t="s">
        <v>35789</v>
      </c>
      <c r="B4362" s="5" t="s">
        <v>35790</v>
      </c>
      <c r="C4362" s="5" t="s">
        <v>35791</v>
      </c>
      <c r="D4362" s="246">
        <v>43416</v>
      </c>
      <c r="E4362" s="5" t="s">
        <v>35792</v>
      </c>
      <c r="F4362" s="26" t="s">
        <v>23600</v>
      </c>
      <c r="G4362" s="27" t="s">
        <v>14913</v>
      </c>
      <c r="H4362" s="28" t="s">
        <v>14914</v>
      </c>
      <c r="I4362" s="5" t="s">
        <v>233</v>
      </c>
    </row>
    <row r="4363" spans="1:9" ht="51.75" customHeight="1">
      <c r="A4363" s="5" t="s">
        <v>35793</v>
      </c>
      <c r="B4363" s="5" t="s">
        <v>35794</v>
      </c>
      <c r="C4363" s="5" t="s">
        <v>35795</v>
      </c>
      <c r="D4363" s="246">
        <v>43416</v>
      </c>
      <c r="E4363" s="5" t="s">
        <v>35796</v>
      </c>
      <c r="F4363" s="26" t="s">
        <v>23600</v>
      </c>
      <c r="G4363" s="27" t="s">
        <v>14913</v>
      </c>
      <c r="H4363" s="28" t="s">
        <v>14914</v>
      </c>
      <c r="I4363" s="5" t="s">
        <v>233</v>
      </c>
    </row>
    <row r="4364" spans="1:9" ht="51.75" customHeight="1">
      <c r="A4364" s="5" t="s">
        <v>35797</v>
      </c>
      <c r="B4364" s="5" t="s">
        <v>35798</v>
      </c>
      <c r="C4364" s="5" t="s">
        <v>35799</v>
      </c>
      <c r="D4364" s="246">
        <v>43416</v>
      </c>
      <c r="E4364" s="5" t="s">
        <v>35800</v>
      </c>
      <c r="F4364" s="26" t="s">
        <v>23600</v>
      </c>
      <c r="G4364" s="27" t="s">
        <v>14913</v>
      </c>
      <c r="H4364" s="28" t="s">
        <v>14914</v>
      </c>
      <c r="I4364" s="5" t="s">
        <v>233</v>
      </c>
    </row>
    <row r="4365" spans="1:9" ht="51.75" customHeight="1">
      <c r="A4365" s="5" t="s">
        <v>26555</v>
      </c>
      <c r="B4365" s="5" t="s">
        <v>35801</v>
      </c>
      <c r="C4365" s="5" t="s">
        <v>35802</v>
      </c>
      <c r="D4365" s="246">
        <v>43549</v>
      </c>
      <c r="E4365" s="5" t="s">
        <v>35803</v>
      </c>
      <c r="F4365" s="26" t="s">
        <v>23600</v>
      </c>
      <c r="G4365" s="27" t="s">
        <v>15228</v>
      </c>
      <c r="H4365" s="28" t="s">
        <v>15229</v>
      </c>
      <c r="I4365" s="5" t="s">
        <v>233</v>
      </c>
    </row>
    <row r="4366" spans="1:9" ht="51.75" customHeight="1">
      <c r="A4366" s="5" t="s">
        <v>27014</v>
      </c>
      <c r="B4366" s="5" t="s">
        <v>35804</v>
      </c>
      <c r="C4366" s="5" t="s">
        <v>35805</v>
      </c>
      <c r="D4366" s="246">
        <v>43538</v>
      </c>
      <c r="E4366" s="5" t="s">
        <v>35806</v>
      </c>
      <c r="F4366" s="26" t="s">
        <v>23600</v>
      </c>
      <c r="G4366" s="27" t="s">
        <v>15228</v>
      </c>
      <c r="H4366" s="28" t="s">
        <v>15229</v>
      </c>
      <c r="I4366" s="5" t="s">
        <v>233</v>
      </c>
    </row>
    <row r="4367" spans="1:9" ht="51.75" customHeight="1">
      <c r="A4367" s="5" t="s">
        <v>27020</v>
      </c>
      <c r="B4367" s="5" t="s">
        <v>35807</v>
      </c>
      <c r="C4367" s="5" t="s">
        <v>35808</v>
      </c>
      <c r="D4367" s="246">
        <v>43538</v>
      </c>
      <c r="E4367" s="5" t="s">
        <v>35809</v>
      </c>
      <c r="F4367" s="26" t="s">
        <v>23600</v>
      </c>
      <c r="G4367" s="27" t="s">
        <v>15228</v>
      </c>
      <c r="H4367" s="28" t="s">
        <v>15229</v>
      </c>
      <c r="I4367" s="5" t="s">
        <v>233</v>
      </c>
    </row>
    <row r="4368" spans="1:9" ht="51.75" customHeight="1">
      <c r="A4368" s="5" t="s">
        <v>28619</v>
      </c>
      <c r="B4368" s="5" t="s">
        <v>35810</v>
      </c>
      <c r="C4368" s="5" t="s">
        <v>35811</v>
      </c>
      <c r="D4368" s="246">
        <v>43621</v>
      </c>
      <c r="E4368" s="5" t="s">
        <v>35812</v>
      </c>
      <c r="F4368" s="26" t="s">
        <v>23600</v>
      </c>
      <c r="G4368" s="27" t="s">
        <v>15382</v>
      </c>
      <c r="H4368" s="28" t="s">
        <v>15383</v>
      </c>
      <c r="I4368" s="5" t="s">
        <v>233</v>
      </c>
    </row>
    <row r="4369" spans="1:9" ht="51.75" customHeight="1">
      <c r="A4369" s="5" t="s">
        <v>28622</v>
      </c>
      <c r="B4369" s="5" t="s">
        <v>35813</v>
      </c>
      <c r="C4369" s="5" t="s">
        <v>35814</v>
      </c>
      <c r="D4369" s="246">
        <v>43621</v>
      </c>
      <c r="E4369" s="5" t="s">
        <v>35815</v>
      </c>
      <c r="F4369" s="26" t="s">
        <v>23600</v>
      </c>
      <c r="G4369" s="27" t="s">
        <v>15382</v>
      </c>
      <c r="H4369" s="28" t="s">
        <v>15383</v>
      </c>
      <c r="I4369" s="5" t="s">
        <v>233</v>
      </c>
    </row>
    <row r="4370" spans="1:9" ht="51.75" customHeight="1">
      <c r="A4370" s="5" t="s">
        <v>28625</v>
      </c>
      <c r="B4370" s="5" t="s">
        <v>35816</v>
      </c>
      <c r="C4370" s="5" t="s">
        <v>35817</v>
      </c>
      <c r="D4370" s="246">
        <v>43621</v>
      </c>
      <c r="E4370" s="5" t="s">
        <v>35818</v>
      </c>
      <c r="F4370" s="26" t="s">
        <v>23600</v>
      </c>
      <c r="G4370" s="27" t="s">
        <v>15382</v>
      </c>
      <c r="H4370" s="28" t="s">
        <v>15383</v>
      </c>
      <c r="I4370" s="5" t="s">
        <v>233</v>
      </c>
    </row>
    <row r="4371" spans="1:9" ht="51.75" customHeight="1">
      <c r="A4371" s="5" t="s">
        <v>28628</v>
      </c>
      <c r="B4371" s="5" t="s">
        <v>35819</v>
      </c>
      <c r="C4371" s="5" t="s">
        <v>35820</v>
      </c>
      <c r="D4371" s="246">
        <v>43621</v>
      </c>
      <c r="E4371" s="5" t="s">
        <v>35821</v>
      </c>
      <c r="F4371" s="26" t="s">
        <v>23600</v>
      </c>
      <c r="G4371" s="27" t="s">
        <v>15382</v>
      </c>
      <c r="H4371" s="28" t="s">
        <v>15383</v>
      </c>
      <c r="I4371" s="5" t="s">
        <v>233</v>
      </c>
    </row>
    <row r="4372" spans="1:9" ht="51.75" customHeight="1">
      <c r="A4372" s="5" t="s">
        <v>28631</v>
      </c>
      <c r="B4372" s="5" t="s">
        <v>35822</v>
      </c>
      <c r="C4372" s="5" t="s">
        <v>35823</v>
      </c>
      <c r="D4372" s="246">
        <v>43621</v>
      </c>
      <c r="E4372" s="5" t="s">
        <v>35824</v>
      </c>
      <c r="F4372" s="26" t="s">
        <v>23600</v>
      </c>
      <c r="G4372" s="27" t="s">
        <v>15382</v>
      </c>
      <c r="H4372" s="28" t="s">
        <v>15383</v>
      </c>
      <c r="I4372" s="5" t="s">
        <v>233</v>
      </c>
    </row>
    <row r="4373" spans="1:9" ht="51.75" customHeight="1">
      <c r="A4373" s="5" t="s">
        <v>35825</v>
      </c>
      <c r="B4373" s="5" t="s">
        <v>35826</v>
      </c>
      <c r="C4373" s="5" t="s">
        <v>35827</v>
      </c>
      <c r="D4373" s="246">
        <v>43692</v>
      </c>
      <c r="E4373" s="5" t="s">
        <v>35828</v>
      </c>
      <c r="F4373" s="26" t="s">
        <v>23600</v>
      </c>
      <c r="G4373" s="27" t="s">
        <v>15491</v>
      </c>
      <c r="H4373" s="28" t="s">
        <v>15492</v>
      </c>
      <c r="I4373" s="5" t="s">
        <v>233</v>
      </c>
    </row>
    <row r="4374" spans="1:9" ht="51.75" customHeight="1">
      <c r="A4374" s="5" t="s">
        <v>27380</v>
      </c>
      <c r="B4374" s="5" t="s">
        <v>35829</v>
      </c>
      <c r="C4374" s="5" t="s">
        <v>35830</v>
      </c>
      <c r="D4374" s="246">
        <v>43641</v>
      </c>
      <c r="E4374" s="5" t="s">
        <v>35831</v>
      </c>
      <c r="F4374" s="26" t="s">
        <v>23600</v>
      </c>
      <c r="G4374" s="27" t="s">
        <v>15531</v>
      </c>
      <c r="H4374" s="28" t="s">
        <v>15532</v>
      </c>
      <c r="I4374" s="5" t="s">
        <v>233</v>
      </c>
    </row>
    <row r="4375" spans="1:9" ht="51.75" customHeight="1">
      <c r="A4375" s="5" t="s">
        <v>27261</v>
      </c>
      <c r="B4375" s="5" t="s">
        <v>35832</v>
      </c>
      <c r="C4375" s="5" t="s">
        <v>35833</v>
      </c>
      <c r="D4375" s="246">
        <v>43641</v>
      </c>
      <c r="E4375" s="5" t="s">
        <v>35834</v>
      </c>
      <c r="F4375" s="26" t="s">
        <v>23600</v>
      </c>
      <c r="G4375" s="27" t="s">
        <v>15531</v>
      </c>
      <c r="H4375" s="28" t="s">
        <v>15532</v>
      </c>
      <c r="I4375" s="5" t="s">
        <v>233</v>
      </c>
    </row>
    <row r="4376" spans="1:9" ht="51.75" customHeight="1">
      <c r="A4376" s="5" t="s">
        <v>28614</v>
      </c>
      <c r="B4376" s="5" t="s">
        <v>35835</v>
      </c>
      <c r="C4376" s="5" t="s">
        <v>35836</v>
      </c>
      <c r="D4376" s="246">
        <v>43586</v>
      </c>
      <c r="E4376" s="5" t="s">
        <v>35837</v>
      </c>
      <c r="F4376" s="26" t="s">
        <v>23600</v>
      </c>
      <c r="G4376" s="27" t="s">
        <v>15554</v>
      </c>
      <c r="H4376" s="28" t="s">
        <v>15555</v>
      </c>
      <c r="I4376" s="5" t="s">
        <v>233</v>
      </c>
    </row>
    <row r="4377" spans="1:9" ht="51.75" customHeight="1">
      <c r="A4377" s="5" t="s">
        <v>26686</v>
      </c>
      <c r="B4377" s="5" t="s">
        <v>35838</v>
      </c>
      <c r="C4377" s="5" t="s">
        <v>35536</v>
      </c>
      <c r="D4377" s="246">
        <v>43586</v>
      </c>
      <c r="E4377" s="5" t="s">
        <v>35839</v>
      </c>
      <c r="F4377" s="26" t="s">
        <v>23600</v>
      </c>
      <c r="G4377" s="27" t="s">
        <v>15554</v>
      </c>
      <c r="H4377" s="28" t="s">
        <v>15555</v>
      </c>
      <c r="I4377" s="5" t="s">
        <v>233</v>
      </c>
    </row>
    <row r="4378" spans="1:9" ht="51.75" customHeight="1">
      <c r="A4378" s="5" t="s">
        <v>28634</v>
      </c>
      <c r="B4378" s="5" t="s">
        <v>35840</v>
      </c>
      <c r="C4378" s="5" t="s">
        <v>35841</v>
      </c>
      <c r="D4378" s="246">
        <v>43656</v>
      </c>
      <c r="E4378" s="5" t="s">
        <v>35842</v>
      </c>
      <c r="F4378" s="26" t="s">
        <v>23600</v>
      </c>
      <c r="G4378" s="27" t="s">
        <v>15519</v>
      </c>
      <c r="H4378" s="28" t="s">
        <v>15520</v>
      </c>
      <c r="I4378" s="5" t="s">
        <v>233</v>
      </c>
    </row>
    <row r="4379" spans="1:9" ht="51.75" customHeight="1">
      <c r="A4379" s="5" t="s">
        <v>28637</v>
      </c>
      <c r="B4379" s="5" t="s">
        <v>35843</v>
      </c>
      <c r="C4379" s="5" t="s">
        <v>35844</v>
      </c>
      <c r="D4379" s="246">
        <v>43656</v>
      </c>
      <c r="E4379" s="5" t="s">
        <v>35845</v>
      </c>
      <c r="F4379" s="26" t="s">
        <v>23600</v>
      </c>
      <c r="G4379" s="27" t="s">
        <v>15519</v>
      </c>
      <c r="H4379" s="28" t="s">
        <v>15520</v>
      </c>
      <c r="I4379" s="5" t="s">
        <v>233</v>
      </c>
    </row>
    <row r="4380" spans="1:9" ht="51.75" customHeight="1">
      <c r="A4380" s="5" t="s">
        <v>28640</v>
      </c>
      <c r="B4380" s="5" t="s">
        <v>35846</v>
      </c>
      <c r="C4380" s="5" t="s">
        <v>35847</v>
      </c>
      <c r="D4380" s="246">
        <v>43656</v>
      </c>
      <c r="E4380" s="5" t="s">
        <v>35848</v>
      </c>
      <c r="F4380" s="26" t="s">
        <v>23600</v>
      </c>
      <c r="G4380" s="27" t="s">
        <v>15519</v>
      </c>
      <c r="H4380" s="28" t="s">
        <v>15520</v>
      </c>
      <c r="I4380" s="5" t="s">
        <v>233</v>
      </c>
    </row>
    <row r="4381" spans="1:9" ht="51.75" customHeight="1">
      <c r="A4381" s="5" t="s">
        <v>23832</v>
      </c>
      <c r="B4381" s="5" t="s">
        <v>35849</v>
      </c>
      <c r="C4381" s="5" t="s">
        <v>35446</v>
      </c>
      <c r="D4381" s="246">
        <v>43656</v>
      </c>
      <c r="E4381" s="5" t="s">
        <v>35850</v>
      </c>
      <c r="F4381" s="26" t="s">
        <v>23600</v>
      </c>
      <c r="G4381" s="27" t="s">
        <v>15519</v>
      </c>
      <c r="H4381" s="28" t="s">
        <v>15520</v>
      </c>
      <c r="I4381" s="5" t="s">
        <v>233</v>
      </c>
    </row>
    <row r="4382" spans="1:9" ht="51.75" customHeight="1">
      <c r="A4382" s="5" t="s">
        <v>28551</v>
      </c>
      <c r="B4382" s="5" t="s">
        <v>35851</v>
      </c>
      <c r="C4382" s="5" t="s">
        <v>35852</v>
      </c>
      <c r="D4382" s="246">
        <v>43671</v>
      </c>
      <c r="E4382" s="5" t="s">
        <v>35853</v>
      </c>
      <c r="F4382" s="26" t="s">
        <v>23600</v>
      </c>
      <c r="G4382" s="27" t="s">
        <v>15573</v>
      </c>
      <c r="H4382" s="28" t="s">
        <v>15574</v>
      </c>
      <c r="I4382" s="5" t="s">
        <v>233</v>
      </c>
    </row>
    <row r="4383" spans="1:9" ht="51.75" customHeight="1">
      <c r="A4383" s="5" t="s">
        <v>28557</v>
      </c>
      <c r="B4383" s="5" t="s">
        <v>35854</v>
      </c>
      <c r="C4383" s="5" t="s">
        <v>35855</v>
      </c>
      <c r="D4383" s="246">
        <v>43671</v>
      </c>
      <c r="E4383" s="5" t="s">
        <v>35856</v>
      </c>
      <c r="F4383" s="26" t="s">
        <v>23600</v>
      </c>
      <c r="G4383" s="27" t="s">
        <v>15573</v>
      </c>
      <c r="H4383" s="28" t="s">
        <v>15574</v>
      </c>
      <c r="I4383" s="5" t="s">
        <v>233</v>
      </c>
    </row>
    <row r="4384" spans="1:9" ht="51.75" customHeight="1">
      <c r="A4384" s="5" t="s">
        <v>24651</v>
      </c>
      <c r="B4384" s="5" t="s">
        <v>35857</v>
      </c>
      <c r="C4384" s="5" t="s">
        <v>35858</v>
      </c>
      <c r="D4384" s="246">
        <v>43671</v>
      </c>
      <c r="E4384" s="5" t="s">
        <v>35859</v>
      </c>
      <c r="F4384" s="26" t="s">
        <v>23600</v>
      </c>
      <c r="G4384" s="27" t="s">
        <v>15573</v>
      </c>
      <c r="H4384" s="28" t="s">
        <v>15574</v>
      </c>
      <c r="I4384" s="5" t="s">
        <v>233</v>
      </c>
    </row>
    <row r="4385" spans="1:9" ht="51.75" customHeight="1">
      <c r="A4385" s="5" t="s">
        <v>28568</v>
      </c>
      <c r="B4385" s="5" t="s">
        <v>35860</v>
      </c>
      <c r="C4385" s="5" t="s">
        <v>35861</v>
      </c>
      <c r="D4385" s="246">
        <v>43671</v>
      </c>
      <c r="E4385" s="5" t="s">
        <v>35862</v>
      </c>
      <c r="F4385" s="26" t="s">
        <v>23600</v>
      </c>
      <c r="G4385" s="27" t="s">
        <v>15573</v>
      </c>
      <c r="H4385" s="28" t="s">
        <v>15574</v>
      </c>
      <c r="I4385" s="5" t="s">
        <v>233</v>
      </c>
    </row>
    <row r="4386" spans="1:9" ht="51.75" customHeight="1">
      <c r="A4386" s="5" t="s">
        <v>28237</v>
      </c>
      <c r="B4386" s="5" t="s">
        <v>35863</v>
      </c>
      <c r="C4386" s="5" t="s">
        <v>35864</v>
      </c>
      <c r="D4386" s="246">
        <v>43662</v>
      </c>
      <c r="E4386" s="5" t="s">
        <v>35865</v>
      </c>
      <c r="F4386" s="26" t="s">
        <v>23600</v>
      </c>
      <c r="G4386" s="27" t="s">
        <v>15604</v>
      </c>
      <c r="H4386" s="28" t="s">
        <v>15605</v>
      </c>
      <c r="I4386" s="5" t="s">
        <v>233</v>
      </c>
    </row>
    <row r="4387" spans="1:9" ht="51.75" customHeight="1">
      <c r="A4387" s="5" t="s">
        <v>28240</v>
      </c>
      <c r="B4387" s="5" t="s">
        <v>35866</v>
      </c>
      <c r="C4387" s="5" t="s">
        <v>35867</v>
      </c>
      <c r="D4387" s="246">
        <v>43662</v>
      </c>
      <c r="E4387" s="5" t="s">
        <v>35868</v>
      </c>
      <c r="F4387" s="26" t="s">
        <v>23600</v>
      </c>
      <c r="G4387" s="27" t="s">
        <v>15604</v>
      </c>
      <c r="H4387" s="28" t="s">
        <v>15605</v>
      </c>
      <c r="I4387" s="5" t="s">
        <v>233</v>
      </c>
    </row>
    <row r="4388" spans="1:9" ht="51.75" customHeight="1">
      <c r="A4388" s="5" t="s">
        <v>27386</v>
      </c>
      <c r="B4388" s="5" t="s">
        <v>35869</v>
      </c>
      <c r="C4388" s="5" t="s">
        <v>35870</v>
      </c>
      <c r="D4388" s="246">
        <v>43657</v>
      </c>
      <c r="E4388" s="5" t="s">
        <v>35871</v>
      </c>
      <c r="F4388" s="26" t="s">
        <v>23600</v>
      </c>
      <c r="G4388" s="27" t="s">
        <v>15738</v>
      </c>
      <c r="H4388" s="28" t="s">
        <v>15739</v>
      </c>
      <c r="I4388" s="5" t="s">
        <v>233</v>
      </c>
    </row>
    <row r="4389" spans="1:9" ht="51.75" customHeight="1">
      <c r="A4389" s="5" t="s">
        <v>35107</v>
      </c>
      <c r="B4389" s="5" t="s">
        <v>35872</v>
      </c>
      <c r="C4389" s="5" t="s">
        <v>35873</v>
      </c>
      <c r="D4389" s="246">
        <v>43657</v>
      </c>
      <c r="E4389" s="5" t="s">
        <v>35874</v>
      </c>
      <c r="F4389" s="26" t="s">
        <v>23600</v>
      </c>
      <c r="G4389" s="27" t="s">
        <v>15738</v>
      </c>
      <c r="H4389" s="28" t="s">
        <v>15739</v>
      </c>
      <c r="I4389" s="5" t="s">
        <v>233</v>
      </c>
    </row>
    <row r="4390" spans="1:9" ht="51.75" customHeight="1">
      <c r="A4390" s="5" t="s">
        <v>28574</v>
      </c>
      <c r="B4390" s="5" t="s">
        <v>35875</v>
      </c>
      <c r="C4390" s="5" t="s">
        <v>35876</v>
      </c>
      <c r="D4390" s="246">
        <v>43678</v>
      </c>
      <c r="E4390" s="5" t="s">
        <v>35877</v>
      </c>
      <c r="F4390" s="26" t="s">
        <v>23600</v>
      </c>
      <c r="G4390" s="27" t="s">
        <v>15692</v>
      </c>
      <c r="H4390" s="28" t="s">
        <v>15693</v>
      </c>
      <c r="I4390" s="5" t="s">
        <v>233</v>
      </c>
    </row>
    <row r="4391" spans="1:9" ht="51.75" customHeight="1">
      <c r="A4391" s="5" t="s">
        <v>24655</v>
      </c>
      <c r="B4391" s="5" t="s">
        <v>35878</v>
      </c>
      <c r="C4391" s="5" t="s">
        <v>35879</v>
      </c>
      <c r="D4391" s="246">
        <v>43678</v>
      </c>
      <c r="E4391" s="5" t="s">
        <v>35880</v>
      </c>
      <c r="F4391" s="26" t="s">
        <v>23600</v>
      </c>
      <c r="G4391" s="27" t="s">
        <v>15692</v>
      </c>
      <c r="H4391" s="28" t="s">
        <v>15693</v>
      </c>
      <c r="I4391" s="5" t="s">
        <v>233</v>
      </c>
    </row>
    <row r="4392" spans="1:9" ht="51.75" customHeight="1">
      <c r="A4392" s="5" t="s">
        <v>24659</v>
      </c>
      <c r="B4392" s="5" t="s">
        <v>35881</v>
      </c>
      <c r="C4392" s="5" t="s">
        <v>35882</v>
      </c>
      <c r="D4392" s="246">
        <v>43678</v>
      </c>
      <c r="E4392" s="5" t="s">
        <v>35883</v>
      </c>
      <c r="F4392" s="26" t="s">
        <v>23600</v>
      </c>
      <c r="G4392" s="27" t="s">
        <v>15692</v>
      </c>
      <c r="H4392" s="28" t="s">
        <v>15693</v>
      </c>
      <c r="I4392" s="5" t="s">
        <v>233</v>
      </c>
    </row>
    <row r="4393" spans="1:9" ht="51.75" customHeight="1">
      <c r="A4393" s="5" t="s">
        <v>23784</v>
      </c>
      <c r="B4393" s="5" t="s">
        <v>35884</v>
      </c>
      <c r="C4393" s="5" t="s">
        <v>35885</v>
      </c>
      <c r="D4393" s="246">
        <v>43678</v>
      </c>
      <c r="E4393" s="5" t="s">
        <v>35886</v>
      </c>
      <c r="F4393" s="26" t="s">
        <v>23600</v>
      </c>
      <c r="G4393" s="27" t="s">
        <v>15692</v>
      </c>
      <c r="H4393" s="28" t="s">
        <v>15693</v>
      </c>
      <c r="I4393" s="5" t="s">
        <v>233</v>
      </c>
    </row>
    <row r="4394" spans="1:9" ht="51.75" customHeight="1">
      <c r="A4394" s="5" t="s">
        <v>24666</v>
      </c>
      <c r="B4394" s="5" t="s">
        <v>35887</v>
      </c>
      <c r="C4394" s="5" t="s">
        <v>35811</v>
      </c>
      <c r="D4394" s="246">
        <v>43678</v>
      </c>
      <c r="E4394" s="5" t="s">
        <v>35888</v>
      </c>
      <c r="F4394" s="26" t="s">
        <v>23600</v>
      </c>
      <c r="G4394" s="27" t="s">
        <v>15692</v>
      </c>
      <c r="H4394" s="28" t="s">
        <v>15693</v>
      </c>
      <c r="I4394" s="5" t="s">
        <v>233</v>
      </c>
    </row>
    <row r="4395" spans="1:9" ht="51.75" customHeight="1">
      <c r="A4395" s="5" t="s">
        <v>35676</v>
      </c>
      <c r="B4395" s="5" t="s">
        <v>35889</v>
      </c>
      <c r="C4395" s="5" t="s">
        <v>35890</v>
      </c>
      <c r="D4395" s="246">
        <v>43734</v>
      </c>
      <c r="E4395" s="5" t="s">
        <v>35891</v>
      </c>
      <c r="F4395" s="26"/>
      <c r="G4395" s="27" t="s">
        <v>15835</v>
      </c>
      <c r="H4395" s="28" t="s">
        <v>15836</v>
      </c>
      <c r="I4395" s="5" t="s">
        <v>233</v>
      </c>
    </row>
    <row r="4396" spans="1:9" ht="51.75" customHeight="1">
      <c r="A4396" s="5" t="s">
        <v>35679</v>
      </c>
      <c r="B4396" s="5" t="s">
        <v>35892</v>
      </c>
      <c r="C4396" s="5" t="s">
        <v>35893</v>
      </c>
      <c r="D4396" s="246">
        <v>43734</v>
      </c>
      <c r="E4396" s="5" t="s">
        <v>35894</v>
      </c>
      <c r="F4396" s="26"/>
      <c r="G4396" s="27" t="s">
        <v>15835</v>
      </c>
      <c r="H4396" s="28" t="s">
        <v>15836</v>
      </c>
      <c r="I4396" s="5" t="s">
        <v>233</v>
      </c>
    </row>
    <row r="4397" spans="1:9" ht="51.75" customHeight="1">
      <c r="A4397" s="5" t="s">
        <v>35895</v>
      </c>
      <c r="B4397" s="5" t="s">
        <v>35896</v>
      </c>
      <c r="C4397" s="5" t="s">
        <v>35897</v>
      </c>
      <c r="D4397" s="246">
        <v>43754</v>
      </c>
      <c r="E4397" s="5" t="s">
        <v>35898</v>
      </c>
      <c r="F4397" s="26" t="s">
        <v>23600</v>
      </c>
      <c r="G4397" s="27" t="s">
        <v>15829</v>
      </c>
      <c r="H4397" s="28" t="s">
        <v>15830</v>
      </c>
      <c r="I4397" s="5" t="s">
        <v>233</v>
      </c>
    </row>
    <row r="4398" spans="1:9" ht="51.75" customHeight="1">
      <c r="A4398" s="5" t="s">
        <v>35899</v>
      </c>
      <c r="B4398" s="5" t="s">
        <v>35900</v>
      </c>
      <c r="C4398" s="5" t="s">
        <v>35901</v>
      </c>
      <c r="D4398" s="246">
        <v>43754</v>
      </c>
      <c r="E4398" s="5" t="s">
        <v>35902</v>
      </c>
      <c r="F4398" s="26" t="s">
        <v>23600</v>
      </c>
      <c r="G4398" s="27" t="s">
        <v>15829</v>
      </c>
      <c r="H4398" s="28" t="s">
        <v>15830</v>
      </c>
      <c r="I4398" s="5" t="s">
        <v>233</v>
      </c>
    </row>
    <row r="4399" spans="1:9" ht="51.75" customHeight="1">
      <c r="A4399" s="5" t="s">
        <v>35903</v>
      </c>
      <c r="B4399" s="5" t="s">
        <v>35904</v>
      </c>
      <c r="C4399" s="5" t="s">
        <v>35905</v>
      </c>
      <c r="D4399" s="246">
        <v>43754</v>
      </c>
      <c r="E4399" s="5" t="s">
        <v>35906</v>
      </c>
      <c r="F4399" s="26" t="s">
        <v>23600</v>
      </c>
      <c r="G4399" s="27" t="s">
        <v>15829</v>
      </c>
      <c r="H4399" s="28" t="s">
        <v>15830</v>
      </c>
      <c r="I4399" s="5" t="s">
        <v>233</v>
      </c>
    </row>
    <row r="4400" spans="1:9" ht="51.75" customHeight="1">
      <c r="A4400" s="5" t="s">
        <v>35907</v>
      </c>
      <c r="B4400" s="5" t="s">
        <v>35908</v>
      </c>
      <c r="C4400" s="5" t="s">
        <v>35909</v>
      </c>
      <c r="D4400" s="246">
        <v>43754</v>
      </c>
      <c r="E4400" s="5" t="s">
        <v>35910</v>
      </c>
      <c r="F4400" s="26" t="s">
        <v>23600</v>
      </c>
      <c r="G4400" s="27" t="s">
        <v>15829</v>
      </c>
      <c r="H4400" s="28" t="s">
        <v>15830</v>
      </c>
      <c r="I4400" s="5" t="s">
        <v>233</v>
      </c>
    </row>
    <row r="4401" spans="1:9" ht="51.75" customHeight="1">
      <c r="A4401" s="5" t="s">
        <v>35911</v>
      </c>
      <c r="B4401" s="5" t="s">
        <v>35912</v>
      </c>
      <c r="C4401" s="5" t="s">
        <v>35913</v>
      </c>
      <c r="D4401" s="246">
        <v>43748</v>
      </c>
      <c r="E4401" s="5" t="s">
        <v>35914</v>
      </c>
      <c r="F4401" s="26" t="s">
        <v>23600</v>
      </c>
      <c r="G4401" s="27" t="s">
        <v>16049</v>
      </c>
      <c r="H4401" s="28" t="s">
        <v>16050</v>
      </c>
      <c r="I4401" s="5" t="s">
        <v>233</v>
      </c>
    </row>
    <row r="4402" spans="1:9" ht="51.75" customHeight="1">
      <c r="A4402" s="5" t="s">
        <v>25652</v>
      </c>
      <c r="B4402" s="5" t="s">
        <v>35915</v>
      </c>
      <c r="C4402" s="5" t="s">
        <v>35916</v>
      </c>
      <c r="D4402" s="246">
        <v>43797</v>
      </c>
      <c r="E4402" s="5" t="s">
        <v>35917</v>
      </c>
      <c r="F4402" s="26" t="s">
        <v>23600</v>
      </c>
      <c r="G4402" s="27" t="s">
        <v>16205</v>
      </c>
      <c r="H4402" s="28" t="s">
        <v>16206</v>
      </c>
      <c r="I4402" s="5" t="s">
        <v>233</v>
      </c>
    </row>
    <row r="4403" spans="1:9" ht="51.75" customHeight="1">
      <c r="A4403" s="5" t="s">
        <v>25915</v>
      </c>
      <c r="B4403" s="5" t="s">
        <v>35918</v>
      </c>
      <c r="C4403" s="5" t="s">
        <v>35919</v>
      </c>
      <c r="D4403" s="246">
        <v>43797</v>
      </c>
      <c r="E4403" s="5" t="s">
        <v>35920</v>
      </c>
      <c r="F4403" s="26" t="s">
        <v>23600</v>
      </c>
      <c r="G4403" s="27" t="s">
        <v>16205</v>
      </c>
      <c r="H4403" s="28" t="s">
        <v>16206</v>
      </c>
      <c r="I4403" s="5" t="s">
        <v>233</v>
      </c>
    </row>
    <row r="4404" spans="1:9" ht="51.75" customHeight="1">
      <c r="A4404" s="5" t="s">
        <v>25920</v>
      </c>
      <c r="B4404" s="5" t="s">
        <v>35921</v>
      </c>
      <c r="C4404" s="5" t="s">
        <v>35922</v>
      </c>
      <c r="D4404" s="246">
        <v>43797</v>
      </c>
      <c r="E4404" s="5" t="s">
        <v>35923</v>
      </c>
      <c r="F4404" s="26" t="s">
        <v>23600</v>
      </c>
      <c r="G4404" s="27" t="s">
        <v>16205</v>
      </c>
      <c r="H4404" s="28" t="s">
        <v>16206</v>
      </c>
      <c r="I4404" s="5" t="s">
        <v>233</v>
      </c>
    </row>
    <row r="4405" spans="1:9" ht="51.75" customHeight="1">
      <c r="A4405" s="5" t="s">
        <v>25926</v>
      </c>
      <c r="B4405" s="5" t="s">
        <v>35924</v>
      </c>
      <c r="C4405" s="5" t="s">
        <v>35925</v>
      </c>
      <c r="D4405" s="246">
        <v>43797</v>
      </c>
      <c r="E4405" s="5" t="s">
        <v>35926</v>
      </c>
      <c r="F4405" s="26" t="s">
        <v>23600</v>
      </c>
      <c r="G4405" s="27" t="s">
        <v>16205</v>
      </c>
      <c r="H4405" s="28" t="s">
        <v>16206</v>
      </c>
      <c r="I4405" s="5" t="s">
        <v>233</v>
      </c>
    </row>
    <row r="4406" spans="1:9" ht="51.75" customHeight="1">
      <c r="A4406" s="5" t="s">
        <v>23748</v>
      </c>
      <c r="B4406" s="5" t="s">
        <v>35927</v>
      </c>
      <c r="C4406" s="5" t="s">
        <v>35150</v>
      </c>
      <c r="D4406" s="246">
        <v>43867</v>
      </c>
      <c r="E4406" s="5" t="s">
        <v>35928</v>
      </c>
      <c r="F4406" s="26" t="s">
        <v>23600</v>
      </c>
      <c r="G4406" s="27" t="s">
        <v>16336</v>
      </c>
      <c r="H4406" s="28" t="s">
        <v>16337</v>
      </c>
      <c r="I4406" s="5" t="s">
        <v>233</v>
      </c>
    </row>
    <row r="4407" spans="1:9" ht="51.75" customHeight="1">
      <c r="A4407" s="5" t="s">
        <v>23716</v>
      </c>
      <c r="B4407" s="5" t="s">
        <v>35929</v>
      </c>
      <c r="C4407" s="5" t="s">
        <v>35930</v>
      </c>
      <c r="D4407" s="246">
        <v>43867</v>
      </c>
      <c r="E4407" s="5" t="s">
        <v>35931</v>
      </c>
      <c r="F4407" s="26" t="s">
        <v>23600</v>
      </c>
      <c r="G4407" s="27" t="s">
        <v>16336</v>
      </c>
      <c r="H4407" s="28" t="s">
        <v>16337</v>
      </c>
      <c r="I4407" s="5" t="s">
        <v>233</v>
      </c>
    </row>
    <row r="4408" spans="1:9" ht="51.75" customHeight="1">
      <c r="A4408" s="5" t="s">
        <v>23720</v>
      </c>
      <c r="B4408" s="5" t="s">
        <v>35932</v>
      </c>
      <c r="C4408" s="5" t="s">
        <v>35933</v>
      </c>
      <c r="D4408" s="246">
        <v>43867</v>
      </c>
      <c r="E4408" s="5" t="s">
        <v>35934</v>
      </c>
      <c r="F4408" s="26" t="s">
        <v>23600</v>
      </c>
      <c r="G4408" s="27" t="s">
        <v>16336</v>
      </c>
      <c r="H4408" s="28" t="s">
        <v>16337</v>
      </c>
      <c r="I4408" s="5" t="s">
        <v>233</v>
      </c>
    </row>
    <row r="4409" spans="1:9" ht="51.75" customHeight="1">
      <c r="A4409" s="5" t="s">
        <v>23728</v>
      </c>
      <c r="B4409" s="5" t="s">
        <v>35935</v>
      </c>
      <c r="C4409" s="5" t="s">
        <v>9919</v>
      </c>
      <c r="D4409" s="246">
        <v>43867</v>
      </c>
      <c r="E4409" s="5" t="s">
        <v>35936</v>
      </c>
      <c r="F4409" s="26" t="s">
        <v>23600</v>
      </c>
      <c r="G4409" s="27" t="s">
        <v>16336</v>
      </c>
      <c r="H4409" s="28" t="s">
        <v>16337</v>
      </c>
      <c r="I4409" s="5" t="s">
        <v>233</v>
      </c>
    </row>
    <row r="4410" spans="1:9" ht="51.75" customHeight="1">
      <c r="A4410" s="5" t="s">
        <v>23740</v>
      </c>
      <c r="B4410" s="5" t="s">
        <v>35937</v>
      </c>
      <c r="C4410" s="5" t="s">
        <v>35938</v>
      </c>
      <c r="D4410" s="246">
        <v>43864</v>
      </c>
      <c r="E4410" s="5" t="s">
        <v>35939</v>
      </c>
      <c r="F4410" s="26" t="s">
        <v>23600</v>
      </c>
      <c r="G4410" s="27" t="s">
        <v>16362</v>
      </c>
      <c r="H4410" s="28" t="s">
        <v>16363</v>
      </c>
      <c r="I4410" s="5" t="s">
        <v>233</v>
      </c>
    </row>
    <row r="4411" spans="1:9" ht="51.75" customHeight="1">
      <c r="A4411" s="5" t="s">
        <v>25905</v>
      </c>
      <c r="B4411" s="5" t="s">
        <v>35940</v>
      </c>
      <c r="C4411" s="5" t="s">
        <v>35941</v>
      </c>
      <c r="D4411" s="246">
        <v>43864</v>
      </c>
      <c r="E4411" s="5" t="s">
        <v>35942</v>
      </c>
      <c r="F4411" s="26" t="s">
        <v>23600</v>
      </c>
      <c r="G4411" s="27" t="s">
        <v>16362</v>
      </c>
      <c r="H4411" s="28" t="s">
        <v>16363</v>
      </c>
      <c r="I4411" s="5" t="s">
        <v>233</v>
      </c>
    </row>
    <row r="4412" spans="1:9" ht="51.75" customHeight="1">
      <c r="A4412" s="5" t="s">
        <v>24448</v>
      </c>
      <c r="B4412" s="5" t="s">
        <v>35943</v>
      </c>
      <c r="C4412" s="5" t="s">
        <v>35944</v>
      </c>
      <c r="D4412" s="246">
        <v>43864</v>
      </c>
      <c r="E4412" s="5" t="s">
        <v>35945</v>
      </c>
      <c r="F4412" s="26" t="s">
        <v>23600</v>
      </c>
      <c r="G4412" s="27" t="s">
        <v>16362</v>
      </c>
      <c r="H4412" s="28" t="s">
        <v>16363</v>
      </c>
      <c r="I4412" s="5" t="s">
        <v>233</v>
      </c>
    </row>
    <row r="4413" spans="1:9" ht="51.75" customHeight="1">
      <c r="A4413" s="5" t="s">
        <v>24452</v>
      </c>
      <c r="B4413" s="5" t="s">
        <v>35946</v>
      </c>
      <c r="C4413" s="5" t="s">
        <v>35286</v>
      </c>
      <c r="D4413" s="246">
        <v>43864</v>
      </c>
      <c r="E4413" s="5" t="s">
        <v>35947</v>
      </c>
      <c r="F4413" s="26" t="s">
        <v>23600</v>
      </c>
      <c r="G4413" s="27" t="s">
        <v>16362</v>
      </c>
      <c r="H4413" s="28" t="s">
        <v>16363</v>
      </c>
      <c r="I4413" s="5" t="s">
        <v>233</v>
      </c>
    </row>
    <row r="4414" spans="1:9" ht="51.75" customHeight="1">
      <c r="A4414" s="5" t="s">
        <v>27302</v>
      </c>
      <c r="B4414" s="5" t="s">
        <v>35948</v>
      </c>
      <c r="C4414" s="5" t="s">
        <v>35949</v>
      </c>
      <c r="D4414" s="246">
        <v>44046</v>
      </c>
      <c r="E4414" s="5" t="s">
        <v>35950</v>
      </c>
      <c r="F4414" s="26" t="s">
        <v>23600</v>
      </c>
      <c r="G4414" s="27" t="s">
        <v>16438</v>
      </c>
      <c r="H4414" s="28" t="s">
        <v>16439</v>
      </c>
      <c r="I4414" s="5" t="s">
        <v>233</v>
      </c>
    </row>
    <row r="4415" spans="1:9" ht="51.75" customHeight="1">
      <c r="A4415" s="5" t="s">
        <v>23868</v>
      </c>
      <c r="B4415" s="5" t="s">
        <v>35951</v>
      </c>
      <c r="C4415" s="5" t="s">
        <v>35952</v>
      </c>
      <c r="D4415" s="246">
        <v>44046</v>
      </c>
      <c r="E4415" s="5" t="s">
        <v>35953</v>
      </c>
      <c r="F4415" s="26" t="s">
        <v>23600</v>
      </c>
      <c r="G4415" s="27" t="s">
        <v>16438</v>
      </c>
      <c r="H4415" s="28" t="s">
        <v>16439</v>
      </c>
      <c r="I4415" s="5" t="s">
        <v>233</v>
      </c>
    </row>
    <row r="4416" spans="1:9" ht="51.75" customHeight="1">
      <c r="A4416" s="5" t="s">
        <v>27313</v>
      </c>
      <c r="B4416" s="5" t="s">
        <v>35954</v>
      </c>
      <c r="C4416" s="5" t="s">
        <v>35955</v>
      </c>
      <c r="D4416" s="246">
        <v>44046</v>
      </c>
      <c r="E4416" s="5" t="s">
        <v>35956</v>
      </c>
      <c r="F4416" s="26" t="s">
        <v>23600</v>
      </c>
      <c r="G4416" s="27" t="s">
        <v>16438</v>
      </c>
      <c r="H4416" s="28" t="s">
        <v>16439</v>
      </c>
      <c r="I4416" s="5" t="s">
        <v>233</v>
      </c>
    </row>
    <row r="4417" spans="1:9" ht="51.75" customHeight="1">
      <c r="A4417" s="5" t="s">
        <v>35903</v>
      </c>
      <c r="B4417" s="5" t="s">
        <v>35957</v>
      </c>
      <c r="C4417" s="5" t="s">
        <v>35823</v>
      </c>
      <c r="D4417" s="246">
        <v>44068</v>
      </c>
      <c r="E4417" s="5" t="s">
        <v>35958</v>
      </c>
      <c r="F4417" s="26" t="s">
        <v>23600</v>
      </c>
      <c r="G4417" s="27" t="s">
        <v>16380</v>
      </c>
      <c r="H4417" s="28" t="s">
        <v>16381</v>
      </c>
      <c r="I4417" s="5" t="s">
        <v>233</v>
      </c>
    </row>
    <row r="4418" spans="1:9" ht="51.75" customHeight="1">
      <c r="A4418" s="5" t="s">
        <v>35907</v>
      </c>
      <c r="B4418" s="5" t="s">
        <v>35959</v>
      </c>
      <c r="C4418" s="5" t="s">
        <v>35960</v>
      </c>
      <c r="D4418" s="246">
        <v>44068</v>
      </c>
      <c r="E4418" s="5" t="s">
        <v>35961</v>
      </c>
      <c r="F4418" s="26" t="s">
        <v>23600</v>
      </c>
      <c r="G4418" s="27" t="s">
        <v>16380</v>
      </c>
      <c r="H4418" s="28" t="s">
        <v>16381</v>
      </c>
      <c r="I4418" s="5" t="s">
        <v>233</v>
      </c>
    </row>
    <row r="4419" spans="1:9" ht="51.75" customHeight="1">
      <c r="A4419" s="5" t="s">
        <v>35962</v>
      </c>
      <c r="B4419" s="5" t="s">
        <v>35963</v>
      </c>
      <c r="C4419" s="5" t="s">
        <v>30950</v>
      </c>
      <c r="D4419" s="246">
        <v>44068</v>
      </c>
      <c r="E4419" s="5" t="s">
        <v>35964</v>
      </c>
      <c r="F4419" s="26" t="s">
        <v>23600</v>
      </c>
      <c r="G4419" s="27" t="s">
        <v>16380</v>
      </c>
      <c r="H4419" s="28" t="s">
        <v>16381</v>
      </c>
      <c r="I4419" s="5" t="s">
        <v>233</v>
      </c>
    </row>
    <row r="4420" spans="1:9" ht="51.75" customHeight="1">
      <c r="A4420" s="5" t="s">
        <v>35965</v>
      </c>
      <c r="B4420" s="5" t="s">
        <v>35966</v>
      </c>
      <c r="C4420" s="5" t="s">
        <v>35967</v>
      </c>
      <c r="D4420" s="246">
        <v>44068</v>
      </c>
      <c r="E4420" s="5" t="s">
        <v>35968</v>
      </c>
      <c r="F4420" s="26" t="s">
        <v>23600</v>
      </c>
      <c r="G4420" s="27" t="s">
        <v>16380</v>
      </c>
      <c r="H4420" s="28" t="s">
        <v>16381</v>
      </c>
      <c r="I4420" s="5" t="s">
        <v>233</v>
      </c>
    </row>
    <row r="4421" spans="1:9" ht="51.75" customHeight="1">
      <c r="A4421" s="5" t="s">
        <v>27380</v>
      </c>
      <c r="B4421" s="5" t="s">
        <v>35969</v>
      </c>
      <c r="C4421" s="5" t="s">
        <v>35970</v>
      </c>
      <c r="D4421" s="246">
        <v>43977</v>
      </c>
      <c r="E4421" s="5" t="s">
        <v>35971</v>
      </c>
      <c r="F4421" s="26" t="s">
        <v>23600</v>
      </c>
      <c r="G4421" s="27" t="s">
        <v>16488</v>
      </c>
      <c r="H4421" s="28" t="s">
        <v>16489</v>
      </c>
      <c r="I4421" s="5" t="s">
        <v>233</v>
      </c>
    </row>
    <row r="4422" spans="1:9" ht="51.75" customHeight="1">
      <c r="A4422" s="5" t="s">
        <v>27261</v>
      </c>
      <c r="B4422" s="5" t="s">
        <v>35972</v>
      </c>
      <c r="C4422" s="5" t="s">
        <v>35973</v>
      </c>
      <c r="D4422" s="246">
        <v>43977</v>
      </c>
      <c r="E4422" s="5" t="s">
        <v>35974</v>
      </c>
      <c r="F4422" s="26" t="s">
        <v>23600</v>
      </c>
      <c r="G4422" s="27" t="s">
        <v>16488</v>
      </c>
      <c r="H4422" s="28" t="s">
        <v>16489</v>
      </c>
      <c r="I4422" s="5" t="s">
        <v>233</v>
      </c>
    </row>
    <row r="4423" spans="1:9" ht="51.75" customHeight="1">
      <c r="A4423" s="5" t="s">
        <v>27386</v>
      </c>
      <c r="B4423" s="5" t="s">
        <v>35975</v>
      </c>
      <c r="C4423" s="5" t="s">
        <v>35976</v>
      </c>
      <c r="D4423" s="246">
        <v>43977</v>
      </c>
      <c r="E4423" s="5" t="s">
        <v>35977</v>
      </c>
      <c r="F4423" s="26" t="s">
        <v>23600</v>
      </c>
      <c r="G4423" s="27" t="s">
        <v>16488</v>
      </c>
      <c r="H4423" s="28" t="s">
        <v>16489</v>
      </c>
      <c r="I4423" s="5" t="s">
        <v>233</v>
      </c>
    </row>
    <row r="4424" spans="1:9" ht="51.75" customHeight="1">
      <c r="A4424" s="5" t="s">
        <v>35103</v>
      </c>
      <c r="B4424" s="5" t="s">
        <v>35978</v>
      </c>
      <c r="C4424" s="5" t="s">
        <v>35979</v>
      </c>
      <c r="D4424" s="246">
        <v>43977</v>
      </c>
      <c r="E4424" s="5" t="s">
        <v>35980</v>
      </c>
      <c r="F4424" s="26" t="s">
        <v>23600</v>
      </c>
      <c r="G4424" s="27" t="s">
        <v>16488</v>
      </c>
      <c r="H4424" s="28" t="s">
        <v>16489</v>
      </c>
      <c r="I4424" s="5" t="s">
        <v>233</v>
      </c>
    </row>
    <row r="4425" spans="1:9" ht="51.75" customHeight="1">
      <c r="A4425" s="5" t="s">
        <v>35107</v>
      </c>
      <c r="B4425" s="5" t="s">
        <v>35981</v>
      </c>
      <c r="C4425" s="5" t="s">
        <v>35982</v>
      </c>
      <c r="D4425" s="246">
        <v>43978</v>
      </c>
      <c r="E4425" s="5" t="s">
        <v>35983</v>
      </c>
      <c r="F4425" s="26" t="s">
        <v>23600</v>
      </c>
      <c r="G4425" s="27" t="s">
        <v>16488</v>
      </c>
      <c r="H4425" s="28" t="s">
        <v>16489</v>
      </c>
      <c r="I4425" s="5" t="s">
        <v>233</v>
      </c>
    </row>
    <row r="4426" spans="1:9" ht="51.75" customHeight="1">
      <c r="A4426" s="5" t="s">
        <v>35984</v>
      </c>
      <c r="B4426" s="5" t="s">
        <v>35985</v>
      </c>
      <c r="C4426" s="5" t="s">
        <v>35986</v>
      </c>
      <c r="D4426" s="246">
        <v>44147</v>
      </c>
      <c r="E4426" s="5" t="s">
        <v>35987</v>
      </c>
      <c r="F4426" s="26" t="s">
        <v>23600</v>
      </c>
      <c r="G4426" s="27" t="s">
        <v>16581</v>
      </c>
      <c r="H4426" s="28" t="s">
        <v>16582</v>
      </c>
      <c r="I4426" s="5" t="s">
        <v>233</v>
      </c>
    </row>
    <row r="4427" spans="1:9" ht="51.75" customHeight="1">
      <c r="A4427" s="5" t="s">
        <v>35988</v>
      </c>
      <c r="B4427" s="5" t="s">
        <v>35989</v>
      </c>
      <c r="C4427" s="5" t="s">
        <v>35990</v>
      </c>
      <c r="D4427" s="246">
        <v>44147</v>
      </c>
      <c r="E4427" s="5" t="s">
        <v>35991</v>
      </c>
      <c r="F4427" s="26" t="s">
        <v>23600</v>
      </c>
      <c r="G4427" s="27" t="s">
        <v>16581</v>
      </c>
      <c r="H4427" s="28" t="s">
        <v>16582</v>
      </c>
      <c r="I4427" s="5" t="s">
        <v>233</v>
      </c>
    </row>
    <row r="4428" spans="1:9" ht="51.75" customHeight="1">
      <c r="A4428" s="5" t="s">
        <v>35992</v>
      </c>
      <c r="B4428" s="5" t="s">
        <v>35993</v>
      </c>
      <c r="C4428" s="5" t="s">
        <v>35994</v>
      </c>
      <c r="D4428" s="246">
        <v>44147</v>
      </c>
      <c r="E4428" s="5" t="s">
        <v>35995</v>
      </c>
      <c r="F4428" s="26" t="s">
        <v>23600</v>
      </c>
      <c r="G4428" s="27" t="s">
        <v>16581</v>
      </c>
      <c r="H4428" s="28" t="s">
        <v>16582</v>
      </c>
      <c r="I4428" s="5" t="s">
        <v>233</v>
      </c>
    </row>
    <row r="4429" spans="1:9" ht="51.75" customHeight="1">
      <c r="A4429" s="5" t="s">
        <v>35996</v>
      </c>
      <c r="B4429" s="5" t="s">
        <v>35997</v>
      </c>
      <c r="C4429" s="5" t="s">
        <v>35998</v>
      </c>
      <c r="D4429" s="246">
        <v>44147</v>
      </c>
      <c r="E4429" s="5" t="s">
        <v>35999</v>
      </c>
      <c r="F4429" s="26" t="s">
        <v>23600</v>
      </c>
      <c r="G4429" s="27" t="s">
        <v>16581</v>
      </c>
      <c r="H4429" s="28" t="s">
        <v>16582</v>
      </c>
      <c r="I4429" s="5" t="s">
        <v>233</v>
      </c>
    </row>
    <row r="4430" spans="1:9" ht="51.75" customHeight="1">
      <c r="A4430" s="5" t="s">
        <v>36000</v>
      </c>
      <c r="B4430" s="5" t="s">
        <v>36001</v>
      </c>
      <c r="C4430" s="5" t="s">
        <v>36002</v>
      </c>
      <c r="D4430" s="246">
        <v>44147</v>
      </c>
      <c r="E4430" s="5" t="s">
        <v>36003</v>
      </c>
      <c r="F4430" s="26" t="s">
        <v>23600</v>
      </c>
      <c r="G4430" s="27" t="s">
        <v>16581</v>
      </c>
      <c r="H4430" s="28" t="s">
        <v>16582</v>
      </c>
      <c r="I4430" s="5" t="s">
        <v>233</v>
      </c>
    </row>
    <row r="4431" spans="1:9" ht="51.75" customHeight="1">
      <c r="A4431" s="5" t="s">
        <v>36004</v>
      </c>
      <c r="B4431" s="5" t="s">
        <v>36005</v>
      </c>
      <c r="C4431" s="5" t="s">
        <v>35462</v>
      </c>
      <c r="D4431" s="246">
        <v>44147</v>
      </c>
      <c r="E4431" s="5" t="s">
        <v>36006</v>
      </c>
      <c r="F4431" s="26" t="s">
        <v>23600</v>
      </c>
      <c r="G4431" s="27" t="s">
        <v>16581</v>
      </c>
      <c r="H4431" s="28" t="s">
        <v>16582</v>
      </c>
      <c r="I4431" s="5" t="s">
        <v>233</v>
      </c>
    </row>
    <row r="4432" spans="1:9" ht="51.75" customHeight="1">
      <c r="A4432" s="5" t="s">
        <v>36007</v>
      </c>
      <c r="B4432" s="5" t="s">
        <v>36008</v>
      </c>
      <c r="C4432" s="5" t="s">
        <v>36009</v>
      </c>
      <c r="D4432" s="246">
        <v>44147</v>
      </c>
      <c r="E4432" s="5" t="s">
        <v>36010</v>
      </c>
      <c r="F4432" s="26" t="s">
        <v>23600</v>
      </c>
      <c r="G4432" s="27" t="s">
        <v>16581</v>
      </c>
      <c r="H4432" s="28" t="s">
        <v>16582</v>
      </c>
      <c r="I4432" s="5" t="s">
        <v>233</v>
      </c>
    </row>
    <row r="4433" spans="1:9" ht="51.75" customHeight="1">
      <c r="A4433" s="5" t="s">
        <v>36011</v>
      </c>
      <c r="B4433" s="5" t="s">
        <v>36012</v>
      </c>
      <c r="C4433" s="5" t="s">
        <v>36013</v>
      </c>
      <c r="D4433" s="246">
        <v>44147</v>
      </c>
      <c r="E4433" s="5" t="s">
        <v>36014</v>
      </c>
      <c r="F4433" s="26" t="s">
        <v>23600</v>
      </c>
      <c r="G4433" s="27" t="s">
        <v>16581</v>
      </c>
      <c r="H4433" s="28" t="s">
        <v>16582</v>
      </c>
      <c r="I4433" s="5" t="s">
        <v>233</v>
      </c>
    </row>
    <row r="4434" spans="1:9" ht="51.75" customHeight="1">
      <c r="A4434" s="5" t="s">
        <v>36015</v>
      </c>
      <c r="B4434" s="5" t="s">
        <v>36016</v>
      </c>
      <c r="C4434" s="5" t="s">
        <v>36017</v>
      </c>
      <c r="D4434" s="246">
        <v>44147</v>
      </c>
      <c r="E4434" s="5" t="s">
        <v>36018</v>
      </c>
      <c r="F4434" s="26" t="s">
        <v>23600</v>
      </c>
      <c r="G4434" s="27" t="s">
        <v>16581</v>
      </c>
      <c r="H4434" s="28" t="s">
        <v>16582</v>
      </c>
      <c r="I4434" s="5" t="s">
        <v>233</v>
      </c>
    </row>
    <row r="4435" spans="1:9" ht="51.75" customHeight="1">
      <c r="A4435" s="5" t="s">
        <v>36019</v>
      </c>
      <c r="B4435" s="5" t="s">
        <v>36020</v>
      </c>
      <c r="C4435" s="5" t="s">
        <v>36021</v>
      </c>
      <c r="D4435" s="246">
        <v>44147</v>
      </c>
      <c r="E4435" s="5" t="s">
        <v>36022</v>
      </c>
      <c r="F4435" s="26" t="s">
        <v>23600</v>
      </c>
      <c r="G4435" s="27" t="s">
        <v>16581</v>
      </c>
      <c r="H4435" s="28" t="s">
        <v>16582</v>
      </c>
      <c r="I4435" s="5" t="s">
        <v>233</v>
      </c>
    </row>
    <row r="4436" spans="1:9" ht="51.75" customHeight="1">
      <c r="A4436" s="5" t="s">
        <v>36023</v>
      </c>
      <c r="B4436" s="5" t="s">
        <v>36024</v>
      </c>
      <c r="C4436" s="5" t="s">
        <v>36025</v>
      </c>
      <c r="D4436" s="246">
        <v>44147</v>
      </c>
      <c r="E4436" s="5" t="s">
        <v>36026</v>
      </c>
      <c r="F4436" s="26" t="s">
        <v>23600</v>
      </c>
      <c r="G4436" s="27" t="s">
        <v>16581</v>
      </c>
      <c r="H4436" s="28" t="s">
        <v>16582</v>
      </c>
      <c r="I4436" s="5" t="s">
        <v>233</v>
      </c>
    </row>
    <row r="4437" spans="1:9" ht="51.75" customHeight="1">
      <c r="A4437" s="5" t="s">
        <v>28243</v>
      </c>
      <c r="B4437" s="5" t="s">
        <v>36027</v>
      </c>
      <c r="C4437" s="5" t="s">
        <v>36028</v>
      </c>
      <c r="D4437" s="246">
        <v>43979</v>
      </c>
      <c r="E4437" s="5" t="s">
        <v>36029</v>
      </c>
      <c r="F4437" s="26" t="s">
        <v>23600</v>
      </c>
      <c r="G4437" s="27" t="s">
        <v>16738</v>
      </c>
      <c r="H4437" s="28" t="s">
        <v>16739</v>
      </c>
      <c r="I4437" s="5" t="s">
        <v>233</v>
      </c>
    </row>
    <row r="4438" spans="1:9" ht="51.75" customHeight="1">
      <c r="A4438" s="5" t="s">
        <v>24700</v>
      </c>
      <c r="B4438" s="5" t="s">
        <v>36030</v>
      </c>
      <c r="C4438" s="5" t="s">
        <v>36031</v>
      </c>
      <c r="D4438" s="246">
        <v>43979</v>
      </c>
      <c r="E4438" s="5" t="s">
        <v>36032</v>
      </c>
      <c r="F4438" s="26" t="s">
        <v>23600</v>
      </c>
      <c r="G4438" s="27" t="s">
        <v>16738</v>
      </c>
      <c r="H4438" s="28" t="s">
        <v>16739</v>
      </c>
      <c r="I4438" s="5" t="s">
        <v>233</v>
      </c>
    </row>
    <row r="4439" spans="1:9" ht="51.75" customHeight="1">
      <c r="A4439" s="5" t="s">
        <v>36033</v>
      </c>
      <c r="B4439" s="5" t="s">
        <v>36034</v>
      </c>
      <c r="C4439" s="5" t="s">
        <v>36035</v>
      </c>
      <c r="D4439" s="246">
        <v>44153</v>
      </c>
      <c r="E4439" s="5" t="s">
        <v>36036</v>
      </c>
      <c r="F4439" s="26"/>
      <c r="G4439" s="27" t="s">
        <v>17134</v>
      </c>
      <c r="H4439" s="28" t="s">
        <v>17135</v>
      </c>
      <c r="I4439" s="5" t="s">
        <v>233</v>
      </c>
    </row>
    <row r="4440" spans="1:9" ht="51.75" customHeight="1">
      <c r="A4440" s="5" t="s">
        <v>36037</v>
      </c>
      <c r="B4440" s="5" t="s">
        <v>36038</v>
      </c>
      <c r="C4440" s="5" t="s">
        <v>34965</v>
      </c>
      <c r="D4440" s="246">
        <v>44154</v>
      </c>
      <c r="E4440" s="5" t="s">
        <v>36039</v>
      </c>
      <c r="F4440" s="26"/>
      <c r="G4440" s="27" t="s">
        <v>17134</v>
      </c>
      <c r="H4440" s="28" t="s">
        <v>17135</v>
      </c>
      <c r="I4440" s="5" t="s">
        <v>233</v>
      </c>
    </row>
    <row r="4441" spans="1:9" ht="51.75" customHeight="1">
      <c r="A4441" s="5" t="s">
        <v>36040</v>
      </c>
      <c r="B4441" s="5" t="s">
        <v>36041</v>
      </c>
      <c r="C4441" s="5" t="s">
        <v>36042</v>
      </c>
      <c r="D4441" s="246">
        <v>44154</v>
      </c>
      <c r="E4441" s="5" t="s">
        <v>36043</v>
      </c>
      <c r="F4441" s="26"/>
      <c r="G4441" s="27" t="s">
        <v>17134</v>
      </c>
      <c r="H4441" s="28" t="s">
        <v>17135</v>
      </c>
      <c r="I4441" s="5" t="s">
        <v>233</v>
      </c>
    </row>
    <row r="4442" spans="1:9" ht="51.75" customHeight="1">
      <c r="A4442" s="5" t="s">
        <v>36044</v>
      </c>
      <c r="B4442" s="5" t="s">
        <v>36045</v>
      </c>
      <c r="C4442" s="5" t="s">
        <v>34994</v>
      </c>
      <c r="D4442" s="246">
        <v>44154</v>
      </c>
      <c r="E4442" s="5" t="s">
        <v>36046</v>
      </c>
      <c r="F4442" s="26"/>
      <c r="G4442" s="27" t="s">
        <v>17134</v>
      </c>
      <c r="H4442" s="28" t="s">
        <v>17135</v>
      </c>
      <c r="I4442" s="5" t="s">
        <v>233</v>
      </c>
    </row>
    <row r="4443" spans="1:9" ht="51.75" customHeight="1">
      <c r="A4443" s="5" t="s">
        <v>36047</v>
      </c>
      <c r="B4443" s="5" t="s">
        <v>36048</v>
      </c>
      <c r="C4443" s="5" t="s">
        <v>36049</v>
      </c>
      <c r="D4443" s="246">
        <v>44154</v>
      </c>
      <c r="E4443" s="5" t="s">
        <v>36050</v>
      </c>
      <c r="F4443" s="26"/>
      <c r="G4443" s="27" t="s">
        <v>17134</v>
      </c>
      <c r="H4443" s="28" t="s">
        <v>17135</v>
      </c>
      <c r="I4443" s="5" t="s">
        <v>233</v>
      </c>
    </row>
    <row r="4444" spans="1:9" ht="51.75" customHeight="1">
      <c r="A4444" s="5" t="s">
        <v>36051</v>
      </c>
      <c r="B4444" s="5" t="s">
        <v>36052</v>
      </c>
      <c r="C4444" s="5" t="s">
        <v>36053</v>
      </c>
      <c r="D4444" s="246">
        <v>44151</v>
      </c>
      <c r="E4444" s="5" t="s">
        <v>36054</v>
      </c>
      <c r="F4444" s="26"/>
      <c r="G4444" s="27" t="s">
        <v>17296</v>
      </c>
      <c r="H4444" s="28" t="s">
        <v>17297</v>
      </c>
      <c r="I4444" s="5" t="s">
        <v>233</v>
      </c>
    </row>
    <row r="4445" spans="1:9" ht="51.75" customHeight="1">
      <c r="A4445" s="5" t="s">
        <v>36055</v>
      </c>
      <c r="B4445" s="5" t="s">
        <v>36056</v>
      </c>
      <c r="C4445" s="5" t="s">
        <v>36057</v>
      </c>
      <c r="D4445" s="246">
        <v>44151</v>
      </c>
      <c r="E4445" s="5" t="s">
        <v>36058</v>
      </c>
      <c r="F4445" s="26"/>
      <c r="G4445" s="27" t="s">
        <v>17296</v>
      </c>
      <c r="H4445" s="28" t="s">
        <v>17297</v>
      </c>
      <c r="I4445" s="5" t="s">
        <v>233</v>
      </c>
    </row>
    <row r="4446" spans="1:9" ht="51.75" customHeight="1">
      <c r="A4446" s="5" t="s">
        <v>36059</v>
      </c>
      <c r="B4446" s="5" t="s">
        <v>36060</v>
      </c>
      <c r="C4446" s="5" t="s">
        <v>36061</v>
      </c>
      <c r="D4446" s="246">
        <v>44102</v>
      </c>
      <c r="E4446" s="5" t="s">
        <v>36062</v>
      </c>
      <c r="F4446" s="26" t="s">
        <v>23600</v>
      </c>
      <c r="G4446" s="27" t="s">
        <v>17313</v>
      </c>
      <c r="H4446" s="28" t="s">
        <v>17314</v>
      </c>
      <c r="I4446" s="5" t="s">
        <v>233</v>
      </c>
    </row>
    <row r="4447" spans="1:9" ht="51.75" customHeight="1">
      <c r="A4447" s="5" t="s">
        <v>36063</v>
      </c>
      <c r="B4447" s="5" t="s">
        <v>36064</v>
      </c>
      <c r="C4447" s="5" t="s">
        <v>36065</v>
      </c>
      <c r="D4447" s="246">
        <v>44102</v>
      </c>
      <c r="E4447" s="5" t="s">
        <v>36066</v>
      </c>
      <c r="F4447" s="26" t="s">
        <v>23600</v>
      </c>
      <c r="G4447" s="27" t="s">
        <v>17313</v>
      </c>
      <c r="H4447" s="28" t="s">
        <v>17314</v>
      </c>
      <c r="I4447" s="5" t="s">
        <v>233</v>
      </c>
    </row>
    <row r="4448" spans="1:9" ht="51.75" customHeight="1">
      <c r="A4448" s="5" t="s">
        <v>36067</v>
      </c>
      <c r="B4448" s="5" t="s">
        <v>36068</v>
      </c>
      <c r="C4448" s="5" t="s">
        <v>36069</v>
      </c>
      <c r="D4448" s="246">
        <v>44102</v>
      </c>
      <c r="E4448" s="5" t="s">
        <v>36070</v>
      </c>
      <c r="F4448" s="26" t="s">
        <v>23600</v>
      </c>
      <c r="G4448" s="27" t="s">
        <v>17313</v>
      </c>
      <c r="H4448" s="28" t="s">
        <v>17314</v>
      </c>
      <c r="I4448" s="5" t="s">
        <v>233</v>
      </c>
    </row>
    <row r="4449" spans="1:9" ht="51.75" customHeight="1">
      <c r="A4449" s="5" t="s">
        <v>36071</v>
      </c>
      <c r="B4449" s="5" t="s">
        <v>36072</v>
      </c>
      <c r="C4449" s="5" t="s">
        <v>36073</v>
      </c>
      <c r="D4449" s="246">
        <v>44102</v>
      </c>
      <c r="E4449" s="5" t="s">
        <v>36074</v>
      </c>
      <c r="F4449" s="26" t="s">
        <v>23600</v>
      </c>
      <c r="G4449" s="27" t="s">
        <v>17313</v>
      </c>
      <c r="H4449" s="28" t="s">
        <v>17314</v>
      </c>
      <c r="I4449" s="5" t="s">
        <v>233</v>
      </c>
    </row>
    <row r="4450" spans="1:9" ht="51.75" customHeight="1">
      <c r="A4450" s="5" t="s">
        <v>36075</v>
      </c>
      <c r="B4450" s="5" t="s">
        <v>36076</v>
      </c>
      <c r="C4450" s="5" t="s">
        <v>36077</v>
      </c>
      <c r="D4450" s="246">
        <v>44102</v>
      </c>
      <c r="E4450" s="5" t="s">
        <v>36078</v>
      </c>
      <c r="F4450" s="26" t="s">
        <v>23600</v>
      </c>
      <c r="G4450" s="27" t="s">
        <v>17313</v>
      </c>
      <c r="H4450" s="28" t="s">
        <v>17314</v>
      </c>
      <c r="I4450" s="5" t="s">
        <v>233</v>
      </c>
    </row>
    <row r="4451" spans="1:9" ht="51.75" customHeight="1">
      <c r="A4451" s="5" t="s">
        <v>36079</v>
      </c>
      <c r="B4451" s="5" t="s">
        <v>36080</v>
      </c>
      <c r="C4451" s="5" t="s">
        <v>36081</v>
      </c>
      <c r="D4451" s="246">
        <v>44154</v>
      </c>
      <c r="E4451" s="5" t="s">
        <v>36082</v>
      </c>
      <c r="F4451" s="26" t="s">
        <v>23600</v>
      </c>
      <c r="G4451" s="27" t="s">
        <v>17620</v>
      </c>
      <c r="H4451" s="28" t="s">
        <v>17621</v>
      </c>
      <c r="I4451" s="5" t="s">
        <v>233</v>
      </c>
    </row>
    <row r="4452" spans="1:9" ht="51.75" customHeight="1">
      <c r="A4452" s="5" t="s">
        <v>36083</v>
      </c>
      <c r="B4452" s="5" t="s">
        <v>36084</v>
      </c>
      <c r="C4452" s="5" t="s">
        <v>36085</v>
      </c>
      <c r="D4452" s="246">
        <v>44144</v>
      </c>
      <c r="E4452" s="5" t="s">
        <v>36086</v>
      </c>
      <c r="F4452" s="26" t="s">
        <v>23600</v>
      </c>
      <c r="G4452" s="27" t="s">
        <v>17626</v>
      </c>
      <c r="H4452" s="28" t="s">
        <v>17627</v>
      </c>
      <c r="I4452" s="5" t="s">
        <v>233</v>
      </c>
    </row>
    <row r="4453" spans="1:9" ht="51.75" customHeight="1">
      <c r="A4453" s="5">
        <v>1</v>
      </c>
      <c r="B4453" s="5" t="s">
        <v>36087</v>
      </c>
      <c r="C4453" s="5" t="s">
        <v>36088</v>
      </c>
      <c r="D4453" s="246">
        <v>39693</v>
      </c>
      <c r="E4453" s="5" t="s">
        <v>36088</v>
      </c>
      <c r="F4453" s="26"/>
      <c r="G4453" s="27" t="s">
        <v>1452</v>
      </c>
      <c r="H4453" s="28" t="s">
        <v>1453</v>
      </c>
      <c r="I4453" s="5" t="s">
        <v>423</v>
      </c>
    </row>
    <row r="4454" spans="1:9" ht="51.75" customHeight="1">
      <c r="A4454" s="5">
        <v>2</v>
      </c>
      <c r="B4454" s="5" t="s">
        <v>36089</v>
      </c>
      <c r="C4454" s="5" t="s">
        <v>36090</v>
      </c>
      <c r="D4454" s="246">
        <v>39693</v>
      </c>
      <c r="E4454" s="5" t="s">
        <v>36091</v>
      </c>
      <c r="F4454" s="26"/>
      <c r="G4454" s="27" t="s">
        <v>1452</v>
      </c>
      <c r="H4454" s="28" t="s">
        <v>1453</v>
      </c>
      <c r="I4454" s="5" t="s">
        <v>423</v>
      </c>
    </row>
    <row r="4455" spans="1:9" ht="51.75" customHeight="1">
      <c r="A4455" s="5">
        <v>3</v>
      </c>
      <c r="B4455" s="5" t="s">
        <v>36092</v>
      </c>
      <c r="C4455" s="5" t="s">
        <v>36093</v>
      </c>
      <c r="D4455" s="246">
        <v>39693</v>
      </c>
      <c r="E4455" s="5" t="s">
        <v>36094</v>
      </c>
      <c r="F4455" s="26"/>
      <c r="G4455" s="27" t="s">
        <v>1452</v>
      </c>
      <c r="H4455" s="28" t="s">
        <v>1453</v>
      </c>
      <c r="I4455" s="5" t="s">
        <v>423</v>
      </c>
    </row>
    <row r="4456" spans="1:9" ht="51.75" customHeight="1">
      <c r="A4456" s="5">
        <v>4</v>
      </c>
      <c r="B4456" s="5" t="s">
        <v>36095</v>
      </c>
      <c r="C4456" s="5" t="s">
        <v>36096</v>
      </c>
      <c r="D4456" s="246">
        <v>39693</v>
      </c>
      <c r="E4456" s="5" t="s">
        <v>36097</v>
      </c>
      <c r="F4456" s="26"/>
      <c r="G4456" s="27" t="s">
        <v>1452</v>
      </c>
      <c r="H4456" s="28" t="s">
        <v>1453</v>
      </c>
      <c r="I4456" s="5" t="s">
        <v>423</v>
      </c>
    </row>
    <row r="4457" spans="1:9" ht="51.75" customHeight="1">
      <c r="A4457" s="5">
        <v>5</v>
      </c>
      <c r="B4457" s="5" t="s">
        <v>36098</v>
      </c>
      <c r="C4457" s="5" t="s">
        <v>36099</v>
      </c>
      <c r="D4457" s="246">
        <v>39693</v>
      </c>
      <c r="E4457" s="5" t="s">
        <v>36100</v>
      </c>
      <c r="F4457" s="26"/>
      <c r="G4457" s="27" t="s">
        <v>1452</v>
      </c>
      <c r="H4457" s="28" t="s">
        <v>1453</v>
      </c>
      <c r="I4457" s="5" t="s">
        <v>423</v>
      </c>
    </row>
    <row r="4458" spans="1:9" ht="51.75" customHeight="1">
      <c r="A4458" s="5">
        <v>6</v>
      </c>
      <c r="B4458" s="5" t="s">
        <v>36101</v>
      </c>
      <c r="C4458" s="5" t="s">
        <v>36102</v>
      </c>
      <c r="D4458" s="246">
        <v>39693</v>
      </c>
      <c r="E4458" s="5" t="s">
        <v>36103</v>
      </c>
      <c r="F4458" s="26"/>
      <c r="G4458" s="27" t="s">
        <v>1452</v>
      </c>
      <c r="H4458" s="28" t="s">
        <v>1453</v>
      </c>
      <c r="I4458" s="5" t="s">
        <v>423</v>
      </c>
    </row>
    <row r="4459" spans="1:9" ht="51.75" customHeight="1">
      <c r="A4459" s="5">
        <v>1</v>
      </c>
      <c r="B4459" s="5" t="s">
        <v>36104</v>
      </c>
      <c r="C4459" s="5" t="s">
        <v>36105</v>
      </c>
      <c r="D4459" s="246">
        <v>39136</v>
      </c>
      <c r="E4459" s="5" t="s">
        <v>36106</v>
      </c>
      <c r="F4459" s="26"/>
      <c r="G4459" s="27" t="s">
        <v>1558</v>
      </c>
      <c r="H4459" s="28" t="s">
        <v>1559</v>
      </c>
      <c r="I4459" s="5" t="s">
        <v>423</v>
      </c>
    </row>
    <row r="4460" spans="1:9" ht="51.75" customHeight="1">
      <c r="A4460" s="5">
        <v>2</v>
      </c>
      <c r="B4460" s="5" t="s">
        <v>36107</v>
      </c>
      <c r="C4460" s="5" t="s">
        <v>36108</v>
      </c>
      <c r="D4460" s="246">
        <v>39136</v>
      </c>
      <c r="E4460" s="5" t="s">
        <v>36108</v>
      </c>
      <c r="F4460" s="26"/>
      <c r="G4460" s="27" t="s">
        <v>1558</v>
      </c>
      <c r="H4460" s="28" t="s">
        <v>1559</v>
      </c>
      <c r="I4460" s="5" t="s">
        <v>423</v>
      </c>
    </row>
    <row r="4461" spans="1:9" ht="51.75" customHeight="1">
      <c r="A4461" s="5">
        <v>1</v>
      </c>
      <c r="B4461" s="5" t="s">
        <v>36109</v>
      </c>
      <c r="C4461" s="5" t="s">
        <v>36110</v>
      </c>
      <c r="D4461" s="246">
        <v>39693</v>
      </c>
      <c r="E4461" s="5" t="s">
        <v>36111</v>
      </c>
      <c r="F4461" s="26"/>
      <c r="G4461" s="27" t="s">
        <v>1810</v>
      </c>
      <c r="H4461" s="28" t="s">
        <v>1811</v>
      </c>
      <c r="I4461" s="5" t="s">
        <v>423</v>
      </c>
    </row>
    <row r="4462" spans="1:9" ht="51.75" customHeight="1">
      <c r="A4462" s="5">
        <v>2</v>
      </c>
      <c r="B4462" s="5" t="s">
        <v>36112</v>
      </c>
      <c r="C4462" s="5" t="s">
        <v>36113</v>
      </c>
      <c r="D4462" s="246">
        <v>39693</v>
      </c>
      <c r="E4462" s="5" t="s">
        <v>36114</v>
      </c>
      <c r="F4462" s="26"/>
      <c r="G4462" s="27" t="s">
        <v>1810</v>
      </c>
      <c r="H4462" s="28" t="s">
        <v>1811</v>
      </c>
      <c r="I4462" s="5" t="s">
        <v>423</v>
      </c>
    </row>
    <row r="4463" spans="1:9" ht="51.75" customHeight="1">
      <c r="A4463" s="5">
        <v>1</v>
      </c>
      <c r="B4463" s="5" t="s">
        <v>36115</v>
      </c>
      <c r="C4463" s="5" t="s">
        <v>36116</v>
      </c>
      <c r="D4463" s="246">
        <v>39694</v>
      </c>
      <c r="E4463" s="5" t="s">
        <v>36117</v>
      </c>
      <c r="F4463" s="26"/>
      <c r="G4463" s="27" t="s">
        <v>1985</v>
      </c>
      <c r="H4463" s="28" t="s">
        <v>1986</v>
      </c>
      <c r="I4463" s="5" t="s">
        <v>423</v>
      </c>
    </row>
    <row r="4464" spans="1:9" ht="51.75" customHeight="1">
      <c r="A4464" s="5">
        <v>2</v>
      </c>
      <c r="B4464" s="5" t="s">
        <v>36118</v>
      </c>
      <c r="C4464" s="5" t="s">
        <v>36119</v>
      </c>
      <c r="D4464" s="246">
        <v>39694</v>
      </c>
      <c r="E4464" s="5" t="s">
        <v>36120</v>
      </c>
      <c r="F4464" s="26"/>
      <c r="G4464" s="27" t="s">
        <v>1985</v>
      </c>
      <c r="H4464" s="28" t="s">
        <v>1986</v>
      </c>
      <c r="I4464" s="5" t="s">
        <v>423</v>
      </c>
    </row>
    <row r="4465" spans="1:9" ht="51.75" customHeight="1">
      <c r="A4465" s="5">
        <v>3</v>
      </c>
      <c r="B4465" s="5" t="s">
        <v>36121</v>
      </c>
      <c r="C4465" s="5" t="s">
        <v>36122</v>
      </c>
      <c r="D4465" s="246">
        <v>39694</v>
      </c>
      <c r="E4465" s="5" t="s">
        <v>36123</v>
      </c>
      <c r="F4465" s="26"/>
      <c r="G4465" s="27" t="s">
        <v>1985</v>
      </c>
      <c r="H4465" s="28" t="s">
        <v>1986</v>
      </c>
      <c r="I4465" s="5" t="s">
        <v>423</v>
      </c>
    </row>
    <row r="4466" spans="1:9" ht="51.75" customHeight="1">
      <c r="A4466" s="5">
        <v>1</v>
      </c>
      <c r="B4466" s="5" t="s">
        <v>36124</v>
      </c>
      <c r="C4466" s="5" t="s">
        <v>36125</v>
      </c>
      <c r="D4466" s="246">
        <v>39694</v>
      </c>
      <c r="E4466" s="5" t="s">
        <v>36125</v>
      </c>
      <c r="F4466" s="26"/>
      <c r="G4466" s="27" t="s">
        <v>1951</v>
      </c>
      <c r="H4466" s="28" t="s">
        <v>1952</v>
      </c>
      <c r="I4466" s="5" t="s">
        <v>423</v>
      </c>
    </row>
    <row r="4467" spans="1:9" ht="51.75" customHeight="1">
      <c r="A4467" s="5" t="s">
        <v>26000</v>
      </c>
      <c r="B4467" s="5" t="s">
        <v>36126</v>
      </c>
      <c r="C4467" s="5" t="s">
        <v>23621</v>
      </c>
      <c r="D4467" s="246">
        <v>41278</v>
      </c>
      <c r="E4467" s="5" t="s">
        <v>36127</v>
      </c>
      <c r="F4467" s="26" t="s">
        <v>23600</v>
      </c>
      <c r="G4467" s="27" t="s">
        <v>7498</v>
      </c>
      <c r="H4467" s="28" t="s">
        <v>7499</v>
      </c>
      <c r="I4467" s="5" t="s">
        <v>423</v>
      </c>
    </row>
    <row r="4468" spans="1:9" ht="51.75" customHeight="1">
      <c r="A4468" s="5" t="s">
        <v>26005</v>
      </c>
      <c r="B4468" s="5" t="s">
        <v>36128</v>
      </c>
      <c r="C4468" s="5" t="s">
        <v>23625</v>
      </c>
      <c r="D4468" s="246">
        <v>41278</v>
      </c>
      <c r="E4468" s="5" t="s">
        <v>36129</v>
      </c>
      <c r="F4468" s="26" t="s">
        <v>23600</v>
      </c>
      <c r="G4468" s="27" t="s">
        <v>7498</v>
      </c>
      <c r="H4468" s="28" t="s">
        <v>7499</v>
      </c>
      <c r="I4468" s="5" t="s">
        <v>423</v>
      </c>
    </row>
    <row r="4469" spans="1:9" ht="51.75" customHeight="1">
      <c r="A4469" s="5" t="s">
        <v>26010</v>
      </c>
      <c r="B4469" s="5" t="s">
        <v>36130</v>
      </c>
      <c r="C4469" s="5" t="s">
        <v>25972</v>
      </c>
      <c r="D4469" s="246">
        <v>41278</v>
      </c>
      <c r="E4469" s="5" t="s">
        <v>36127</v>
      </c>
      <c r="F4469" s="26" t="s">
        <v>23600</v>
      </c>
      <c r="G4469" s="27" t="s">
        <v>7498</v>
      </c>
      <c r="H4469" s="28" t="s">
        <v>7499</v>
      </c>
      <c r="I4469" s="5" t="s">
        <v>423</v>
      </c>
    </row>
    <row r="4470" spans="1:9" ht="51.75" customHeight="1">
      <c r="A4470" s="5" t="s">
        <v>26030</v>
      </c>
      <c r="B4470" s="5" t="s">
        <v>36131</v>
      </c>
      <c r="C4470" s="5" t="s">
        <v>25928</v>
      </c>
      <c r="D4470" s="246">
        <v>41278</v>
      </c>
      <c r="E4470" s="5" t="s">
        <v>36132</v>
      </c>
      <c r="F4470" s="26" t="s">
        <v>23600</v>
      </c>
      <c r="G4470" s="27" t="s">
        <v>7498</v>
      </c>
      <c r="H4470" s="28" t="s">
        <v>7499</v>
      </c>
      <c r="I4470" s="5" t="s">
        <v>423</v>
      </c>
    </row>
    <row r="4471" spans="1:9" ht="51.75" customHeight="1">
      <c r="A4471" s="5" t="s">
        <v>33738</v>
      </c>
      <c r="B4471" s="5" t="s">
        <v>36133</v>
      </c>
      <c r="C4471" s="5" t="s">
        <v>23621</v>
      </c>
      <c r="D4471" s="246">
        <v>41703</v>
      </c>
      <c r="E4471" s="5" t="s">
        <v>36134</v>
      </c>
      <c r="F4471" s="26" t="s">
        <v>23600</v>
      </c>
      <c r="G4471" s="27" t="s">
        <v>7540</v>
      </c>
      <c r="H4471" s="28" t="s">
        <v>7541</v>
      </c>
      <c r="I4471" s="5" t="s">
        <v>423</v>
      </c>
    </row>
    <row r="4472" spans="1:9" ht="51.75" customHeight="1">
      <c r="A4472" s="5" t="s">
        <v>25442</v>
      </c>
      <c r="B4472" s="5" t="s">
        <v>36135</v>
      </c>
      <c r="C4472" s="5" t="s">
        <v>23621</v>
      </c>
      <c r="D4472" s="246">
        <v>41435</v>
      </c>
      <c r="E4472" s="5" t="s">
        <v>36136</v>
      </c>
      <c r="F4472" s="26" t="s">
        <v>23600</v>
      </c>
      <c r="G4472" s="27" t="s">
        <v>7155</v>
      </c>
      <c r="H4472" s="28" t="s">
        <v>7156</v>
      </c>
      <c r="I4472" s="5" t="s">
        <v>423</v>
      </c>
    </row>
    <row r="4473" spans="1:9" ht="51.75" customHeight="1">
      <c r="A4473" s="5" t="s">
        <v>23820</v>
      </c>
      <c r="B4473" s="5" t="s">
        <v>36137</v>
      </c>
      <c r="C4473" s="5" t="s">
        <v>23625</v>
      </c>
      <c r="D4473" s="246">
        <v>41435</v>
      </c>
      <c r="E4473" s="5" t="s">
        <v>36138</v>
      </c>
      <c r="F4473" s="26" t="s">
        <v>23600</v>
      </c>
      <c r="G4473" s="27" t="s">
        <v>7155</v>
      </c>
      <c r="H4473" s="28" t="s">
        <v>7156</v>
      </c>
      <c r="I4473" s="5" t="s">
        <v>423</v>
      </c>
    </row>
    <row r="4474" spans="1:9" ht="51.75" customHeight="1">
      <c r="A4474" s="5" t="s">
        <v>27418</v>
      </c>
      <c r="B4474" s="5" t="s">
        <v>36139</v>
      </c>
      <c r="C4474" s="5" t="s">
        <v>25972</v>
      </c>
      <c r="D4474" s="246">
        <v>41435</v>
      </c>
      <c r="E4474" s="5" t="s">
        <v>36140</v>
      </c>
      <c r="F4474" s="26" t="s">
        <v>23600</v>
      </c>
      <c r="G4474" s="27" t="s">
        <v>7155</v>
      </c>
      <c r="H4474" s="28" t="s">
        <v>7156</v>
      </c>
      <c r="I4474" s="5" t="s">
        <v>423</v>
      </c>
    </row>
    <row r="4475" spans="1:9" ht="51.75" customHeight="1">
      <c r="A4475" s="5" t="s">
        <v>27424</v>
      </c>
      <c r="B4475" s="5" t="s">
        <v>36141</v>
      </c>
      <c r="C4475" s="5" t="s">
        <v>25928</v>
      </c>
      <c r="D4475" s="246">
        <v>41435</v>
      </c>
      <c r="E4475" s="5" t="s">
        <v>36142</v>
      </c>
      <c r="F4475" s="26" t="s">
        <v>23600</v>
      </c>
      <c r="G4475" s="27" t="s">
        <v>7155</v>
      </c>
      <c r="H4475" s="28" t="s">
        <v>7156</v>
      </c>
      <c r="I4475" s="5" t="s">
        <v>423</v>
      </c>
    </row>
    <row r="4476" spans="1:9" ht="51.75" customHeight="1">
      <c r="A4476" s="5" t="s">
        <v>35049</v>
      </c>
      <c r="B4476" s="5" t="s">
        <v>36143</v>
      </c>
      <c r="C4476" s="5" t="s">
        <v>25934</v>
      </c>
      <c r="D4476" s="246">
        <v>41435</v>
      </c>
      <c r="E4476" s="5" t="s">
        <v>36144</v>
      </c>
      <c r="F4476" s="26" t="s">
        <v>23600</v>
      </c>
      <c r="G4476" s="27" t="s">
        <v>7155</v>
      </c>
      <c r="H4476" s="28" t="s">
        <v>7156</v>
      </c>
      <c r="I4476" s="5" t="s">
        <v>423</v>
      </c>
    </row>
    <row r="4477" spans="1:9" ht="51.75" customHeight="1">
      <c r="A4477" s="5" t="s">
        <v>31046</v>
      </c>
      <c r="B4477" s="5" t="s">
        <v>36145</v>
      </c>
      <c r="C4477" s="5" t="s">
        <v>25986</v>
      </c>
      <c r="D4477" s="246">
        <v>41435</v>
      </c>
      <c r="E4477" s="5" t="s">
        <v>36146</v>
      </c>
      <c r="F4477" s="26" t="s">
        <v>23600</v>
      </c>
      <c r="G4477" s="27" t="s">
        <v>7155</v>
      </c>
      <c r="H4477" s="28" t="s">
        <v>7156</v>
      </c>
      <c r="I4477" s="5" t="s">
        <v>423</v>
      </c>
    </row>
    <row r="4478" spans="1:9" ht="51.75" customHeight="1">
      <c r="A4478" s="5" t="s">
        <v>25000</v>
      </c>
      <c r="B4478" s="5" t="s">
        <v>36147</v>
      </c>
      <c r="C4478" s="5" t="s">
        <v>23621</v>
      </c>
      <c r="D4478" s="246">
        <v>41276</v>
      </c>
      <c r="E4478" s="5" t="s">
        <v>36148</v>
      </c>
      <c r="F4478" s="26" t="s">
        <v>23600</v>
      </c>
      <c r="G4478" s="27" t="s">
        <v>6398</v>
      </c>
      <c r="H4478" s="28" t="s">
        <v>6399</v>
      </c>
      <c r="I4478" s="5" t="s">
        <v>423</v>
      </c>
    </row>
    <row r="4479" spans="1:9" ht="51.75" customHeight="1">
      <c r="A4479" s="5" t="s">
        <v>25006</v>
      </c>
      <c r="B4479" s="5" t="s">
        <v>36149</v>
      </c>
      <c r="C4479" s="5" t="s">
        <v>23625</v>
      </c>
      <c r="D4479" s="246">
        <v>41276</v>
      </c>
      <c r="E4479" s="5" t="s">
        <v>36150</v>
      </c>
      <c r="F4479" s="26" t="s">
        <v>23600</v>
      </c>
      <c r="G4479" s="27" t="s">
        <v>6398</v>
      </c>
      <c r="H4479" s="28" t="s">
        <v>6399</v>
      </c>
      <c r="I4479" s="5" t="s">
        <v>423</v>
      </c>
    </row>
    <row r="4480" spans="1:9" ht="51.75" customHeight="1">
      <c r="A4480" s="5" t="s">
        <v>25012</v>
      </c>
      <c r="B4480" s="5" t="s">
        <v>36151</v>
      </c>
      <c r="C4480" s="5" t="s">
        <v>25972</v>
      </c>
      <c r="D4480" s="246">
        <v>41276</v>
      </c>
      <c r="E4480" s="5" t="s">
        <v>36152</v>
      </c>
      <c r="F4480" s="26" t="s">
        <v>23600</v>
      </c>
      <c r="G4480" s="27" t="s">
        <v>6398</v>
      </c>
      <c r="H4480" s="28" t="s">
        <v>6399</v>
      </c>
      <c r="I4480" s="5" t="s">
        <v>423</v>
      </c>
    </row>
    <row r="4481" spans="1:9" ht="51.75" customHeight="1">
      <c r="A4481" s="5" t="s">
        <v>24969</v>
      </c>
      <c r="B4481" s="5" t="s">
        <v>36153</v>
      </c>
      <c r="C4481" s="5" t="s">
        <v>25928</v>
      </c>
      <c r="D4481" s="246">
        <v>41276</v>
      </c>
      <c r="E4481" s="5" t="s">
        <v>36154</v>
      </c>
      <c r="F4481" s="26" t="s">
        <v>23600</v>
      </c>
      <c r="G4481" s="27" t="s">
        <v>6398</v>
      </c>
      <c r="H4481" s="28" t="s">
        <v>6399</v>
      </c>
      <c r="I4481" s="5" t="s">
        <v>423</v>
      </c>
    </row>
    <row r="4482" spans="1:9" ht="51.75" customHeight="1">
      <c r="A4482" s="5" t="s">
        <v>28178</v>
      </c>
      <c r="B4482" s="5" t="s">
        <v>36155</v>
      </c>
      <c r="C4482" s="5" t="s">
        <v>23621</v>
      </c>
      <c r="D4482" s="246">
        <v>41194</v>
      </c>
      <c r="E4482" s="5" t="s">
        <v>36156</v>
      </c>
      <c r="F4482" s="26" t="s">
        <v>23600</v>
      </c>
      <c r="G4482" s="27" t="s">
        <v>7249</v>
      </c>
      <c r="H4482" s="28" t="s">
        <v>7250</v>
      </c>
      <c r="I4482" s="5" t="s">
        <v>423</v>
      </c>
    </row>
    <row r="4483" spans="1:9" ht="51.75" customHeight="1">
      <c r="A4483" s="5" t="s">
        <v>28182</v>
      </c>
      <c r="B4483" s="5" t="s">
        <v>36157</v>
      </c>
      <c r="C4483" s="5" t="s">
        <v>23625</v>
      </c>
      <c r="D4483" s="246">
        <v>41194</v>
      </c>
      <c r="E4483" s="5" t="s">
        <v>36129</v>
      </c>
      <c r="F4483" s="26" t="s">
        <v>23600</v>
      </c>
      <c r="G4483" s="27" t="s">
        <v>7249</v>
      </c>
      <c r="H4483" s="28" t="s">
        <v>7250</v>
      </c>
      <c r="I4483" s="5" t="s">
        <v>423</v>
      </c>
    </row>
    <row r="4484" spans="1:9" ht="51.75" customHeight="1">
      <c r="A4484" s="5" t="s">
        <v>25926</v>
      </c>
      <c r="B4484" s="5" t="s">
        <v>36158</v>
      </c>
      <c r="C4484" s="5" t="s">
        <v>23621</v>
      </c>
      <c r="D4484" s="246">
        <v>41277</v>
      </c>
      <c r="E4484" s="5" t="s">
        <v>36156</v>
      </c>
      <c r="F4484" s="26" t="s">
        <v>23600</v>
      </c>
      <c r="G4484" s="27" t="s">
        <v>7221</v>
      </c>
      <c r="H4484" s="28" t="s">
        <v>7222</v>
      </c>
      <c r="I4484" s="5" t="s">
        <v>423</v>
      </c>
    </row>
    <row r="4485" spans="1:9" ht="51.75" customHeight="1">
      <c r="A4485" s="5" t="s">
        <v>25932</v>
      </c>
      <c r="B4485" s="5" t="s">
        <v>36159</v>
      </c>
      <c r="C4485" s="5" t="s">
        <v>23625</v>
      </c>
      <c r="D4485" s="246">
        <v>41277</v>
      </c>
      <c r="E4485" s="5" t="s">
        <v>36160</v>
      </c>
      <c r="F4485" s="26" t="s">
        <v>23600</v>
      </c>
      <c r="G4485" s="27" t="s">
        <v>7221</v>
      </c>
      <c r="H4485" s="28" t="s">
        <v>7222</v>
      </c>
      <c r="I4485" s="5" t="s">
        <v>423</v>
      </c>
    </row>
    <row r="4486" spans="1:9" ht="51.75" customHeight="1">
      <c r="A4486" s="5" t="s">
        <v>23752</v>
      </c>
      <c r="B4486" s="5" t="s">
        <v>36161</v>
      </c>
      <c r="C4486" s="5" t="s">
        <v>23621</v>
      </c>
      <c r="D4486" s="246">
        <v>41197</v>
      </c>
      <c r="E4486" s="5" t="s">
        <v>36162</v>
      </c>
      <c r="F4486" s="26" t="s">
        <v>23600</v>
      </c>
      <c r="G4486" s="27" t="s">
        <v>7204</v>
      </c>
      <c r="H4486" s="28" t="s">
        <v>7205</v>
      </c>
      <c r="I4486" s="5" t="s">
        <v>423</v>
      </c>
    </row>
    <row r="4487" spans="1:9" ht="51.75" customHeight="1">
      <c r="A4487" s="5" t="s">
        <v>26275</v>
      </c>
      <c r="B4487" s="5" t="s">
        <v>36163</v>
      </c>
      <c r="C4487" s="5" t="s">
        <v>23621</v>
      </c>
      <c r="D4487" s="246">
        <v>41277</v>
      </c>
      <c r="E4487" s="5" t="s">
        <v>36156</v>
      </c>
      <c r="F4487" s="26" t="s">
        <v>23600</v>
      </c>
      <c r="G4487" s="27" t="s">
        <v>7014</v>
      </c>
      <c r="H4487" s="28" t="s">
        <v>7015</v>
      </c>
      <c r="I4487" s="5" t="s">
        <v>423</v>
      </c>
    </row>
    <row r="4488" spans="1:9" ht="51.75" customHeight="1">
      <c r="A4488" s="5" t="s">
        <v>26280</v>
      </c>
      <c r="B4488" s="5" t="s">
        <v>36164</v>
      </c>
      <c r="C4488" s="5" t="s">
        <v>23625</v>
      </c>
      <c r="D4488" s="246">
        <v>41277</v>
      </c>
      <c r="E4488" s="5" t="s">
        <v>36129</v>
      </c>
      <c r="F4488" s="26" t="s">
        <v>23600</v>
      </c>
      <c r="G4488" s="27" t="s">
        <v>7014</v>
      </c>
      <c r="H4488" s="28" t="s">
        <v>7015</v>
      </c>
      <c r="I4488" s="5" t="s">
        <v>423</v>
      </c>
    </row>
    <row r="4489" spans="1:9" ht="51.75" customHeight="1">
      <c r="A4489" s="5" t="s">
        <v>28329</v>
      </c>
      <c r="B4489" s="5" t="s">
        <v>36165</v>
      </c>
      <c r="C4489" s="5" t="s">
        <v>23621</v>
      </c>
      <c r="D4489" s="246">
        <v>41198</v>
      </c>
      <c r="E4489" s="5" t="s">
        <v>36166</v>
      </c>
      <c r="F4489" s="26" t="s">
        <v>23600</v>
      </c>
      <c r="G4489" s="27" t="s">
        <v>7029</v>
      </c>
      <c r="H4489" s="28" t="s">
        <v>7030</v>
      </c>
      <c r="I4489" s="5" t="s">
        <v>423</v>
      </c>
    </row>
    <row r="4490" spans="1:9" ht="51.75" customHeight="1">
      <c r="A4490" s="5" t="s">
        <v>28332</v>
      </c>
      <c r="B4490" s="5" t="s">
        <v>36167</v>
      </c>
      <c r="C4490" s="5" t="s">
        <v>23625</v>
      </c>
      <c r="D4490" s="246">
        <v>41198</v>
      </c>
      <c r="E4490" s="5" t="s">
        <v>36168</v>
      </c>
      <c r="F4490" s="26" t="s">
        <v>23600</v>
      </c>
      <c r="G4490" s="27" t="s">
        <v>7029</v>
      </c>
      <c r="H4490" s="28" t="s">
        <v>7030</v>
      </c>
      <c r="I4490" s="5" t="s">
        <v>423</v>
      </c>
    </row>
    <row r="4491" spans="1:9" ht="51.75" customHeight="1">
      <c r="A4491" s="5" t="s">
        <v>28335</v>
      </c>
      <c r="B4491" s="5" t="s">
        <v>36169</v>
      </c>
      <c r="C4491" s="5" t="s">
        <v>25972</v>
      </c>
      <c r="D4491" s="246">
        <v>41198</v>
      </c>
      <c r="E4491" s="5" t="s">
        <v>36170</v>
      </c>
      <c r="F4491" s="26" t="s">
        <v>23600</v>
      </c>
      <c r="G4491" s="27" t="s">
        <v>7029</v>
      </c>
      <c r="H4491" s="28" t="s">
        <v>7030</v>
      </c>
      <c r="I4491" s="5" t="s">
        <v>423</v>
      </c>
    </row>
    <row r="4492" spans="1:9" ht="51.75" customHeight="1">
      <c r="A4492" s="5" t="s">
        <v>25301</v>
      </c>
      <c r="B4492" s="5" t="s">
        <v>36171</v>
      </c>
      <c r="C4492" s="5" t="s">
        <v>23621</v>
      </c>
      <c r="D4492" s="246">
        <v>41158</v>
      </c>
      <c r="E4492" s="5" t="s">
        <v>36172</v>
      </c>
      <c r="F4492" s="26" t="s">
        <v>23600</v>
      </c>
      <c r="G4492" s="27" t="s">
        <v>6818</v>
      </c>
      <c r="H4492" s="28" t="s">
        <v>6819</v>
      </c>
      <c r="I4492" s="5" t="s">
        <v>423</v>
      </c>
    </row>
    <row r="4493" spans="1:9" ht="51.75" customHeight="1">
      <c r="A4493" s="5" t="s">
        <v>25304</v>
      </c>
      <c r="B4493" s="5" t="s">
        <v>36173</v>
      </c>
      <c r="C4493" s="5" t="s">
        <v>23625</v>
      </c>
      <c r="D4493" s="246">
        <v>41158</v>
      </c>
      <c r="E4493" s="5" t="s">
        <v>36174</v>
      </c>
      <c r="F4493" s="26" t="s">
        <v>23600</v>
      </c>
      <c r="G4493" s="27" t="s">
        <v>6818</v>
      </c>
      <c r="H4493" s="28" t="s">
        <v>6819</v>
      </c>
      <c r="I4493" s="5" t="s">
        <v>423</v>
      </c>
    </row>
    <row r="4494" spans="1:9" ht="51.75" customHeight="1">
      <c r="A4494" s="5" t="s">
        <v>25307</v>
      </c>
      <c r="B4494" s="5" t="s">
        <v>36175</v>
      </c>
      <c r="C4494" s="5" t="s">
        <v>25972</v>
      </c>
      <c r="D4494" s="246">
        <v>41158</v>
      </c>
      <c r="E4494" s="5" t="s">
        <v>36176</v>
      </c>
      <c r="F4494" s="26" t="s">
        <v>23600</v>
      </c>
      <c r="G4494" s="27" t="s">
        <v>6818</v>
      </c>
      <c r="H4494" s="28" t="s">
        <v>6819</v>
      </c>
      <c r="I4494" s="5" t="s">
        <v>423</v>
      </c>
    </row>
    <row r="4495" spans="1:9" ht="51.75" customHeight="1">
      <c r="A4495" s="5" t="s">
        <v>27452</v>
      </c>
      <c r="B4495" s="5" t="s">
        <v>36177</v>
      </c>
      <c r="C4495" s="5" t="s">
        <v>23621</v>
      </c>
      <c r="D4495" s="246">
        <v>41198</v>
      </c>
      <c r="E4495" s="5" t="s">
        <v>36178</v>
      </c>
      <c r="F4495" s="26" t="s">
        <v>23600</v>
      </c>
      <c r="G4495" s="27" t="s">
        <v>6870</v>
      </c>
      <c r="H4495" s="28" t="s">
        <v>6871</v>
      </c>
      <c r="I4495" s="5" t="s">
        <v>423</v>
      </c>
    </row>
    <row r="4496" spans="1:9" ht="51.75" customHeight="1">
      <c r="A4496" s="5" t="s">
        <v>28350</v>
      </c>
      <c r="B4496" s="5" t="s">
        <v>36179</v>
      </c>
      <c r="C4496" s="5" t="s">
        <v>23625</v>
      </c>
      <c r="D4496" s="246">
        <v>41198</v>
      </c>
      <c r="E4496" s="5" t="s">
        <v>36180</v>
      </c>
      <c r="F4496" s="26" t="s">
        <v>23600</v>
      </c>
      <c r="G4496" s="27" t="s">
        <v>6870</v>
      </c>
      <c r="H4496" s="28" t="s">
        <v>6871</v>
      </c>
      <c r="I4496" s="5" t="s">
        <v>423</v>
      </c>
    </row>
    <row r="4497" spans="1:9" ht="51.75" customHeight="1">
      <c r="A4497" s="5" t="s">
        <v>27043</v>
      </c>
      <c r="B4497" s="5" t="s">
        <v>36181</v>
      </c>
      <c r="C4497" s="5" t="s">
        <v>36182</v>
      </c>
      <c r="D4497" s="246">
        <v>41085</v>
      </c>
      <c r="E4497" s="5" t="s">
        <v>36183</v>
      </c>
      <c r="F4497" s="26" t="s">
        <v>23600</v>
      </c>
      <c r="G4497" s="27" t="s">
        <v>6847</v>
      </c>
      <c r="H4497" s="28" t="s">
        <v>6848</v>
      </c>
      <c r="I4497" s="5" t="s">
        <v>423</v>
      </c>
    </row>
    <row r="4498" spans="1:9" ht="51.75" customHeight="1">
      <c r="A4498" s="5" t="s">
        <v>27049</v>
      </c>
      <c r="B4498" s="5" t="s">
        <v>36184</v>
      </c>
      <c r="C4498" s="5" t="s">
        <v>36185</v>
      </c>
      <c r="D4498" s="246">
        <v>41085</v>
      </c>
      <c r="E4498" s="5" t="s">
        <v>36186</v>
      </c>
      <c r="F4498" s="26" t="s">
        <v>23600</v>
      </c>
      <c r="G4498" s="27" t="s">
        <v>6847</v>
      </c>
      <c r="H4498" s="28" t="s">
        <v>6848</v>
      </c>
      <c r="I4498" s="5" t="s">
        <v>423</v>
      </c>
    </row>
    <row r="4499" spans="1:9" ht="51.75" customHeight="1">
      <c r="A4499" s="5" t="s">
        <v>27054</v>
      </c>
      <c r="B4499" s="5" t="s">
        <v>36187</v>
      </c>
      <c r="C4499" s="5" t="s">
        <v>36188</v>
      </c>
      <c r="D4499" s="246">
        <v>41085</v>
      </c>
      <c r="E4499" s="5" t="s">
        <v>36189</v>
      </c>
      <c r="F4499" s="26" t="s">
        <v>23600</v>
      </c>
      <c r="G4499" s="27" t="s">
        <v>6847</v>
      </c>
      <c r="H4499" s="28" t="s">
        <v>6848</v>
      </c>
      <c r="I4499" s="5" t="s">
        <v>423</v>
      </c>
    </row>
    <row r="4500" spans="1:9" ht="51.75" customHeight="1">
      <c r="A4500" s="5" t="s">
        <v>27060</v>
      </c>
      <c r="B4500" s="5" t="s">
        <v>36190</v>
      </c>
      <c r="C4500" s="5" t="s">
        <v>36191</v>
      </c>
      <c r="D4500" s="246">
        <v>41085</v>
      </c>
      <c r="E4500" s="5" t="s">
        <v>36192</v>
      </c>
      <c r="F4500" s="26" t="s">
        <v>23600</v>
      </c>
      <c r="G4500" s="27" t="s">
        <v>6847</v>
      </c>
      <c r="H4500" s="28" t="s">
        <v>6848</v>
      </c>
      <c r="I4500" s="5" t="s">
        <v>423</v>
      </c>
    </row>
    <row r="4501" spans="1:9" ht="51.75" customHeight="1">
      <c r="A4501" s="5" t="s">
        <v>27066</v>
      </c>
      <c r="B4501" s="5" t="s">
        <v>36193</v>
      </c>
      <c r="C4501" s="5" t="s">
        <v>36194</v>
      </c>
      <c r="D4501" s="246">
        <v>41085</v>
      </c>
      <c r="E4501" s="5" t="s">
        <v>36195</v>
      </c>
      <c r="F4501" s="26" t="s">
        <v>23600</v>
      </c>
      <c r="G4501" s="27" t="s">
        <v>6847</v>
      </c>
      <c r="H4501" s="28" t="s">
        <v>6848</v>
      </c>
      <c r="I4501" s="5" t="s">
        <v>423</v>
      </c>
    </row>
    <row r="4502" spans="1:9" ht="51.75" customHeight="1">
      <c r="A4502" s="5" t="s">
        <v>27072</v>
      </c>
      <c r="B4502" s="5" t="s">
        <v>36196</v>
      </c>
      <c r="C4502" s="5" t="s">
        <v>36197</v>
      </c>
      <c r="D4502" s="246">
        <v>41085</v>
      </c>
      <c r="E4502" s="5" t="s">
        <v>36198</v>
      </c>
      <c r="F4502" s="26" t="s">
        <v>23600</v>
      </c>
      <c r="G4502" s="27" t="s">
        <v>6847</v>
      </c>
      <c r="H4502" s="28" t="s">
        <v>6848</v>
      </c>
      <c r="I4502" s="5" t="s">
        <v>423</v>
      </c>
    </row>
    <row r="4503" spans="1:9" ht="51.75" customHeight="1">
      <c r="A4503" s="5" t="s">
        <v>28320</v>
      </c>
      <c r="B4503" s="5" t="s">
        <v>36199</v>
      </c>
      <c r="C4503" s="5" t="s">
        <v>23621</v>
      </c>
      <c r="D4503" s="246">
        <v>41204</v>
      </c>
      <c r="E4503" s="5" t="s">
        <v>36200</v>
      </c>
      <c r="F4503" s="26" t="s">
        <v>23600</v>
      </c>
      <c r="G4503" s="27" t="s">
        <v>6802</v>
      </c>
      <c r="H4503" s="28" t="s">
        <v>6803</v>
      </c>
      <c r="I4503" s="5" t="s">
        <v>423</v>
      </c>
    </row>
    <row r="4504" spans="1:9" ht="51.75" customHeight="1">
      <c r="A4504" s="5" t="s">
        <v>28323</v>
      </c>
      <c r="B4504" s="5" t="s">
        <v>36201</v>
      </c>
      <c r="C4504" s="5" t="s">
        <v>23625</v>
      </c>
      <c r="D4504" s="246">
        <v>41204</v>
      </c>
      <c r="E4504" s="5" t="s">
        <v>36202</v>
      </c>
      <c r="F4504" s="26" t="s">
        <v>23600</v>
      </c>
      <c r="G4504" s="27" t="s">
        <v>6802</v>
      </c>
      <c r="H4504" s="28" t="s">
        <v>6803</v>
      </c>
      <c r="I4504" s="5" t="s">
        <v>423</v>
      </c>
    </row>
    <row r="4505" spans="1:9" ht="51.75" customHeight="1">
      <c r="A4505" s="5" t="s">
        <v>28326</v>
      </c>
      <c r="B4505" s="5" t="s">
        <v>36203</v>
      </c>
      <c r="C4505" s="5" t="s">
        <v>25972</v>
      </c>
      <c r="D4505" s="246">
        <v>41204</v>
      </c>
      <c r="E4505" s="5" t="s">
        <v>36129</v>
      </c>
      <c r="F4505" s="26" t="s">
        <v>23600</v>
      </c>
      <c r="G4505" s="27" t="s">
        <v>6802</v>
      </c>
      <c r="H4505" s="28" t="s">
        <v>6803</v>
      </c>
      <c r="I4505" s="5" t="s">
        <v>423</v>
      </c>
    </row>
    <row r="4506" spans="1:9" ht="51.75" customHeight="1">
      <c r="A4506" s="5">
        <v>1</v>
      </c>
      <c r="B4506" s="5" t="s">
        <v>36204</v>
      </c>
      <c r="C4506" s="5" t="s">
        <v>36205</v>
      </c>
      <c r="D4506" s="246">
        <v>41057</v>
      </c>
      <c r="E4506" s="5" t="s">
        <v>36206</v>
      </c>
      <c r="F4506" s="26"/>
      <c r="G4506" s="27" t="s">
        <v>6694</v>
      </c>
      <c r="H4506" s="28" t="s">
        <v>6695</v>
      </c>
      <c r="I4506" s="5" t="s">
        <v>423</v>
      </c>
    </row>
    <row r="4507" spans="1:9" ht="51.75" customHeight="1">
      <c r="A4507" s="5">
        <v>2</v>
      </c>
      <c r="B4507" s="5" t="s">
        <v>36207</v>
      </c>
      <c r="C4507" s="5" t="s">
        <v>36208</v>
      </c>
      <c r="D4507" s="246">
        <v>41057</v>
      </c>
      <c r="E4507" s="5" t="s">
        <v>36209</v>
      </c>
      <c r="F4507" s="26"/>
      <c r="G4507" s="27" t="s">
        <v>6694</v>
      </c>
      <c r="H4507" s="28" t="s">
        <v>6695</v>
      </c>
      <c r="I4507" s="5" t="s">
        <v>423</v>
      </c>
    </row>
    <row r="4508" spans="1:9" ht="51.75" customHeight="1">
      <c r="A4508" s="5">
        <v>3</v>
      </c>
      <c r="B4508" s="5" t="s">
        <v>36210</v>
      </c>
      <c r="C4508" s="5" t="s">
        <v>36211</v>
      </c>
      <c r="D4508" s="246">
        <v>41057</v>
      </c>
      <c r="E4508" s="5" t="s">
        <v>36212</v>
      </c>
      <c r="F4508" s="26"/>
      <c r="G4508" s="27" t="s">
        <v>6694</v>
      </c>
      <c r="H4508" s="28" t="s">
        <v>6695</v>
      </c>
      <c r="I4508" s="5" t="s">
        <v>423</v>
      </c>
    </row>
    <row r="4509" spans="1:9" ht="51.75" customHeight="1">
      <c r="A4509" s="5">
        <v>4</v>
      </c>
      <c r="B4509" s="5" t="s">
        <v>36213</v>
      </c>
      <c r="C4509" s="5" t="s">
        <v>36214</v>
      </c>
      <c r="D4509" s="246">
        <v>41057</v>
      </c>
      <c r="E4509" s="5" t="s">
        <v>36215</v>
      </c>
      <c r="F4509" s="26"/>
      <c r="G4509" s="27" t="s">
        <v>6694</v>
      </c>
      <c r="H4509" s="28" t="s">
        <v>6695</v>
      </c>
      <c r="I4509" s="5" t="s">
        <v>423</v>
      </c>
    </row>
    <row r="4510" spans="1:9" ht="51.75" customHeight="1">
      <c r="A4510" s="5">
        <v>1</v>
      </c>
      <c r="B4510" s="5" t="s">
        <v>36216</v>
      </c>
      <c r="C4510" s="5" t="s">
        <v>36217</v>
      </c>
      <c r="D4510" s="246">
        <v>41066</v>
      </c>
      <c r="E4510" s="5" t="s">
        <v>36217</v>
      </c>
      <c r="F4510" s="26"/>
      <c r="G4510" s="27" t="s">
        <v>6720</v>
      </c>
      <c r="H4510" s="28" t="s">
        <v>6721</v>
      </c>
      <c r="I4510" s="5" t="s">
        <v>423</v>
      </c>
    </row>
    <row r="4511" spans="1:9" ht="51.75" customHeight="1">
      <c r="A4511" s="5">
        <v>2</v>
      </c>
      <c r="B4511" s="5" t="s">
        <v>36218</v>
      </c>
      <c r="C4511" s="5" t="s">
        <v>36219</v>
      </c>
      <c r="D4511" s="246">
        <v>41066</v>
      </c>
      <c r="E4511" s="5" t="s">
        <v>36220</v>
      </c>
      <c r="F4511" s="26"/>
      <c r="G4511" s="27" t="s">
        <v>6720</v>
      </c>
      <c r="H4511" s="28" t="s">
        <v>6721</v>
      </c>
      <c r="I4511" s="5" t="s">
        <v>423</v>
      </c>
    </row>
    <row r="4512" spans="1:9" ht="51.75" customHeight="1">
      <c r="A4512" s="5">
        <v>3</v>
      </c>
      <c r="B4512" s="5" t="s">
        <v>36221</v>
      </c>
      <c r="C4512" s="5" t="s">
        <v>36222</v>
      </c>
      <c r="D4512" s="246">
        <v>41066</v>
      </c>
      <c r="E4512" s="5" t="s">
        <v>36223</v>
      </c>
      <c r="F4512" s="26"/>
      <c r="G4512" s="27" t="s">
        <v>6720</v>
      </c>
      <c r="H4512" s="28" t="s">
        <v>6721</v>
      </c>
      <c r="I4512" s="5" t="s">
        <v>423</v>
      </c>
    </row>
    <row r="4513" spans="1:9" ht="51.75" customHeight="1">
      <c r="A4513" s="5">
        <v>4</v>
      </c>
      <c r="B4513" s="5" t="s">
        <v>36224</v>
      </c>
      <c r="C4513" s="5" t="s">
        <v>36225</v>
      </c>
      <c r="D4513" s="246">
        <v>41066</v>
      </c>
      <c r="E4513" s="5" t="s">
        <v>36225</v>
      </c>
      <c r="F4513" s="26"/>
      <c r="G4513" s="27" t="s">
        <v>6720</v>
      </c>
      <c r="H4513" s="28" t="s">
        <v>6721</v>
      </c>
      <c r="I4513" s="5" t="s">
        <v>423</v>
      </c>
    </row>
    <row r="4514" spans="1:9" ht="51.75" customHeight="1">
      <c r="A4514" s="5" t="s">
        <v>28291</v>
      </c>
      <c r="B4514" s="5" t="s">
        <v>36226</v>
      </c>
      <c r="C4514" s="5" t="s">
        <v>23621</v>
      </c>
      <c r="D4514" s="246">
        <v>41458</v>
      </c>
      <c r="E4514" s="5" t="s">
        <v>36227</v>
      </c>
      <c r="F4514" s="26" t="s">
        <v>23600</v>
      </c>
      <c r="G4514" s="27" t="s">
        <v>6548</v>
      </c>
      <c r="H4514" s="28" t="s">
        <v>6549</v>
      </c>
      <c r="I4514" s="5" t="s">
        <v>423</v>
      </c>
    </row>
    <row r="4515" spans="1:9" ht="51.75" customHeight="1">
      <c r="A4515" s="5" t="s">
        <v>27488</v>
      </c>
      <c r="B4515" s="5" t="s">
        <v>36228</v>
      </c>
      <c r="C4515" s="5" t="s">
        <v>23625</v>
      </c>
      <c r="D4515" s="246">
        <v>41458</v>
      </c>
      <c r="E4515" s="5" t="s">
        <v>36229</v>
      </c>
      <c r="F4515" s="26" t="s">
        <v>23600</v>
      </c>
      <c r="G4515" s="27" t="s">
        <v>6548</v>
      </c>
      <c r="H4515" s="28" t="s">
        <v>6549</v>
      </c>
      <c r="I4515" s="5" t="s">
        <v>423</v>
      </c>
    </row>
    <row r="4516" spans="1:9" ht="51.75" customHeight="1">
      <c r="A4516" s="5" t="s">
        <v>25435</v>
      </c>
      <c r="B4516" s="5" t="s">
        <v>36230</v>
      </c>
      <c r="C4516" s="5" t="s">
        <v>25972</v>
      </c>
      <c r="D4516" s="246">
        <v>41458</v>
      </c>
      <c r="E4516" s="5" t="s">
        <v>36231</v>
      </c>
      <c r="F4516" s="26" t="s">
        <v>23600</v>
      </c>
      <c r="G4516" s="27" t="s">
        <v>6548</v>
      </c>
      <c r="H4516" s="28" t="s">
        <v>6549</v>
      </c>
      <c r="I4516" s="5" t="s">
        <v>423</v>
      </c>
    </row>
    <row r="4517" spans="1:9" ht="51.75" customHeight="1">
      <c r="A4517" s="5" t="s">
        <v>24932</v>
      </c>
      <c r="B4517" s="5" t="s">
        <v>36232</v>
      </c>
      <c r="C4517" s="5" t="s">
        <v>23621</v>
      </c>
      <c r="D4517" s="246">
        <v>41208</v>
      </c>
      <c r="E4517" s="5" t="s">
        <v>36233</v>
      </c>
      <c r="F4517" s="26" t="s">
        <v>23600</v>
      </c>
      <c r="G4517" s="27" t="s">
        <v>6532</v>
      </c>
      <c r="H4517" s="28" t="s">
        <v>6533</v>
      </c>
      <c r="I4517" s="5" t="s">
        <v>423</v>
      </c>
    </row>
    <row r="4518" spans="1:9" ht="51.75" customHeight="1">
      <c r="A4518" s="5" t="s">
        <v>26310</v>
      </c>
      <c r="B4518" s="5" t="s">
        <v>36234</v>
      </c>
      <c r="C4518" s="5" t="s">
        <v>23625</v>
      </c>
      <c r="D4518" s="246">
        <v>41208</v>
      </c>
      <c r="E4518" s="5" t="s">
        <v>36129</v>
      </c>
      <c r="F4518" s="26" t="s">
        <v>23600</v>
      </c>
      <c r="G4518" s="27" t="s">
        <v>6532</v>
      </c>
      <c r="H4518" s="28" t="s">
        <v>6533</v>
      </c>
      <c r="I4518" s="5" t="s">
        <v>423</v>
      </c>
    </row>
    <row r="4519" spans="1:9" ht="51.75" customHeight="1">
      <c r="A4519" s="5" t="s">
        <v>26316</v>
      </c>
      <c r="B4519" s="5" t="s">
        <v>36235</v>
      </c>
      <c r="C4519" s="5" t="s">
        <v>25972</v>
      </c>
      <c r="D4519" s="246">
        <v>41208</v>
      </c>
      <c r="E4519" s="5" t="s">
        <v>36236</v>
      </c>
      <c r="F4519" s="26" t="s">
        <v>23600</v>
      </c>
      <c r="G4519" s="27" t="s">
        <v>6532</v>
      </c>
      <c r="H4519" s="28" t="s">
        <v>6533</v>
      </c>
      <c r="I4519" s="5" t="s">
        <v>423</v>
      </c>
    </row>
    <row r="4520" spans="1:9" ht="51.75" customHeight="1">
      <c r="A4520" s="5" t="s">
        <v>26503</v>
      </c>
      <c r="B4520" s="5" t="s">
        <v>36237</v>
      </c>
      <c r="C4520" s="5" t="s">
        <v>23621</v>
      </c>
      <c r="D4520" s="246">
        <v>41277</v>
      </c>
      <c r="E4520" s="5" t="s">
        <v>36238</v>
      </c>
      <c r="F4520" s="26" t="s">
        <v>23600</v>
      </c>
      <c r="G4520" s="27" t="s">
        <v>6515</v>
      </c>
      <c r="H4520" s="28" t="s">
        <v>6516</v>
      </c>
      <c r="I4520" s="5" t="s">
        <v>423</v>
      </c>
    </row>
    <row r="4521" spans="1:9" ht="51.75" customHeight="1">
      <c r="A4521" s="5" t="s">
        <v>26509</v>
      </c>
      <c r="B4521" s="5" t="s">
        <v>36239</v>
      </c>
      <c r="C4521" s="5" t="s">
        <v>23625</v>
      </c>
      <c r="D4521" s="246">
        <v>41277</v>
      </c>
      <c r="E4521" s="5" t="s">
        <v>36129</v>
      </c>
      <c r="F4521" s="26" t="s">
        <v>23600</v>
      </c>
      <c r="G4521" s="27" t="s">
        <v>6515</v>
      </c>
      <c r="H4521" s="28" t="s">
        <v>6516</v>
      </c>
      <c r="I4521" s="5" t="s">
        <v>423</v>
      </c>
    </row>
    <row r="4522" spans="1:9" ht="51.75" customHeight="1">
      <c r="A4522" s="5" t="s">
        <v>26515</v>
      </c>
      <c r="B4522" s="5" t="s">
        <v>36240</v>
      </c>
      <c r="C4522" s="5" t="s">
        <v>25972</v>
      </c>
      <c r="D4522" s="246">
        <v>41277</v>
      </c>
      <c r="E4522" s="5" t="s">
        <v>36241</v>
      </c>
      <c r="F4522" s="26" t="s">
        <v>23600</v>
      </c>
      <c r="G4522" s="27" t="s">
        <v>6515</v>
      </c>
      <c r="H4522" s="28" t="s">
        <v>6516</v>
      </c>
      <c r="I4522" s="5" t="s">
        <v>423</v>
      </c>
    </row>
    <row r="4523" spans="1:9" ht="51.75" customHeight="1">
      <c r="A4523" s="5" t="s">
        <v>27094</v>
      </c>
      <c r="B4523" s="5" t="s">
        <v>36242</v>
      </c>
      <c r="C4523" s="5" t="s">
        <v>23621</v>
      </c>
      <c r="D4523" s="246">
        <v>41155</v>
      </c>
      <c r="E4523" s="5" t="s">
        <v>36243</v>
      </c>
      <c r="F4523" s="26" t="s">
        <v>23600</v>
      </c>
      <c r="G4523" s="27" t="s">
        <v>6447</v>
      </c>
      <c r="H4523" s="28" t="s">
        <v>6448</v>
      </c>
      <c r="I4523" s="5" t="s">
        <v>423</v>
      </c>
    </row>
    <row r="4524" spans="1:9" ht="51.75" customHeight="1">
      <c r="A4524" s="5" t="s">
        <v>27100</v>
      </c>
      <c r="B4524" s="5" t="s">
        <v>36244</v>
      </c>
      <c r="C4524" s="5" t="s">
        <v>23625</v>
      </c>
      <c r="D4524" s="246">
        <v>41155</v>
      </c>
      <c r="E4524" s="5" t="s">
        <v>36186</v>
      </c>
      <c r="F4524" s="26" t="s">
        <v>23600</v>
      </c>
      <c r="G4524" s="27" t="s">
        <v>6447</v>
      </c>
      <c r="H4524" s="28" t="s">
        <v>6448</v>
      </c>
      <c r="I4524" s="5" t="s">
        <v>423</v>
      </c>
    </row>
    <row r="4525" spans="1:9" ht="51.75" customHeight="1">
      <c r="A4525" s="5" t="s">
        <v>25316</v>
      </c>
      <c r="B4525" s="5" t="s">
        <v>36245</v>
      </c>
      <c r="C4525" s="5" t="s">
        <v>25972</v>
      </c>
      <c r="D4525" s="246">
        <v>41155</v>
      </c>
      <c r="E4525" s="5" t="s">
        <v>36189</v>
      </c>
      <c r="F4525" s="26" t="s">
        <v>23600</v>
      </c>
      <c r="G4525" s="27" t="s">
        <v>6447</v>
      </c>
      <c r="H4525" s="28" t="s">
        <v>6448</v>
      </c>
      <c r="I4525" s="5" t="s">
        <v>423</v>
      </c>
    </row>
    <row r="4526" spans="1:9" ht="51.75" customHeight="1">
      <c r="A4526" s="5" t="s">
        <v>27119</v>
      </c>
      <c r="B4526" s="5" t="s">
        <v>36246</v>
      </c>
      <c r="C4526" s="5" t="s">
        <v>25928</v>
      </c>
      <c r="D4526" s="246">
        <v>41155</v>
      </c>
      <c r="E4526" s="5" t="s">
        <v>36192</v>
      </c>
      <c r="F4526" s="26" t="s">
        <v>23600</v>
      </c>
      <c r="G4526" s="27" t="s">
        <v>6447</v>
      </c>
      <c r="H4526" s="28" t="s">
        <v>6448</v>
      </c>
      <c r="I4526" s="5" t="s">
        <v>423</v>
      </c>
    </row>
    <row r="4527" spans="1:9" ht="51.75" customHeight="1">
      <c r="A4527" s="5" t="s">
        <v>27106</v>
      </c>
      <c r="B4527" s="5" t="s">
        <v>36247</v>
      </c>
      <c r="C4527" s="5" t="s">
        <v>25934</v>
      </c>
      <c r="D4527" s="246">
        <v>41155</v>
      </c>
      <c r="E4527" s="5" t="s">
        <v>36195</v>
      </c>
      <c r="F4527" s="26" t="s">
        <v>23600</v>
      </c>
      <c r="G4527" s="27" t="s">
        <v>6447</v>
      </c>
      <c r="H4527" s="28" t="s">
        <v>6448</v>
      </c>
      <c r="I4527" s="5" t="s">
        <v>423</v>
      </c>
    </row>
    <row r="4528" spans="1:9" ht="51.75" customHeight="1">
      <c r="A4528" s="5" t="s">
        <v>27109</v>
      </c>
      <c r="B4528" s="5" t="s">
        <v>36248</v>
      </c>
      <c r="C4528" s="5" t="s">
        <v>25986</v>
      </c>
      <c r="D4528" s="246">
        <v>41155</v>
      </c>
      <c r="E4528" s="5" t="s">
        <v>36198</v>
      </c>
      <c r="F4528" s="26" t="s">
        <v>23600</v>
      </c>
      <c r="G4528" s="27" t="s">
        <v>6447</v>
      </c>
      <c r="H4528" s="28" t="s">
        <v>6448</v>
      </c>
      <c r="I4528" s="5" t="s">
        <v>423</v>
      </c>
    </row>
    <row r="4529" spans="1:9" ht="51.75" customHeight="1">
      <c r="A4529" s="5">
        <v>1</v>
      </c>
      <c r="B4529" s="5" t="s">
        <v>36249</v>
      </c>
      <c r="C4529" s="5" t="s">
        <v>36250</v>
      </c>
      <c r="D4529" s="246">
        <v>41050</v>
      </c>
      <c r="E4529" s="5" t="s">
        <v>36251</v>
      </c>
      <c r="F4529" s="26"/>
      <c r="G4529" s="27" t="s">
        <v>6394</v>
      </c>
      <c r="H4529" s="28" t="s">
        <v>6395</v>
      </c>
      <c r="I4529" s="5" t="s">
        <v>423</v>
      </c>
    </row>
    <row r="4530" spans="1:9" ht="51.75" customHeight="1">
      <c r="A4530" s="5">
        <v>2</v>
      </c>
      <c r="B4530" s="5" t="s">
        <v>36252</v>
      </c>
      <c r="C4530" s="5" t="s">
        <v>36253</v>
      </c>
      <c r="D4530" s="246">
        <v>41050</v>
      </c>
      <c r="E4530" s="5" t="s">
        <v>36254</v>
      </c>
      <c r="F4530" s="26"/>
      <c r="G4530" s="27" t="s">
        <v>6394</v>
      </c>
      <c r="H4530" s="28" t="s">
        <v>6395</v>
      </c>
      <c r="I4530" s="5" t="s">
        <v>423</v>
      </c>
    </row>
    <row r="4531" spans="1:9" ht="51.75" customHeight="1">
      <c r="A4531" s="5" t="s">
        <v>27060</v>
      </c>
      <c r="B4531" s="5" t="s">
        <v>36255</v>
      </c>
      <c r="C4531" s="5" t="s">
        <v>23621</v>
      </c>
      <c r="D4531" s="246">
        <v>41296</v>
      </c>
      <c r="E4531" s="5" t="s">
        <v>36256</v>
      </c>
      <c r="F4531" s="26" t="s">
        <v>23600</v>
      </c>
      <c r="G4531" s="27" t="s">
        <v>6348</v>
      </c>
      <c r="H4531" s="28" t="s">
        <v>6349</v>
      </c>
      <c r="I4531" s="5" t="s">
        <v>423</v>
      </c>
    </row>
    <row r="4532" spans="1:9" ht="51.75" customHeight="1">
      <c r="A4532" s="5" t="s">
        <v>27066</v>
      </c>
      <c r="B4532" s="5" t="s">
        <v>36257</v>
      </c>
      <c r="C4532" s="5" t="s">
        <v>23625</v>
      </c>
      <c r="D4532" s="246">
        <v>41296</v>
      </c>
      <c r="E4532" s="5" t="s">
        <v>36258</v>
      </c>
      <c r="F4532" s="26" t="s">
        <v>23600</v>
      </c>
      <c r="G4532" s="27" t="s">
        <v>6348</v>
      </c>
      <c r="H4532" s="28" t="s">
        <v>6349</v>
      </c>
      <c r="I4532" s="5" t="s">
        <v>423</v>
      </c>
    </row>
    <row r="4533" spans="1:9" ht="51.75" customHeight="1">
      <c r="A4533" s="5" t="s">
        <v>27072</v>
      </c>
      <c r="B4533" s="5" t="s">
        <v>36259</v>
      </c>
      <c r="C4533" s="5" t="s">
        <v>25972</v>
      </c>
      <c r="D4533" s="246">
        <v>41296</v>
      </c>
      <c r="E4533" s="5" t="s">
        <v>36260</v>
      </c>
      <c r="F4533" s="26" t="s">
        <v>23600</v>
      </c>
      <c r="G4533" s="27" t="s">
        <v>6348</v>
      </c>
      <c r="H4533" s="28" t="s">
        <v>6349</v>
      </c>
      <c r="I4533" s="5" t="s">
        <v>423</v>
      </c>
    </row>
    <row r="4534" spans="1:9" ht="51.75" customHeight="1">
      <c r="A4534" s="5" t="s">
        <v>27078</v>
      </c>
      <c r="B4534" s="5" t="s">
        <v>36261</v>
      </c>
      <c r="C4534" s="5" t="s">
        <v>25928</v>
      </c>
      <c r="D4534" s="246">
        <v>41296</v>
      </c>
      <c r="E4534" s="5" t="s">
        <v>36262</v>
      </c>
      <c r="F4534" s="26" t="s">
        <v>23600</v>
      </c>
      <c r="G4534" s="27" t="s">
        <v>6348</v>
      </c>
      <c r="H4534" s="28" t="s">
        <v>6349</v>
      </c>
      <c r="I4534" s="5" t="s">
        <v>423</v>
      </c>
    </row>
    <row r="4535" spans="1:9" ht="51.75" customHeight="1">
      <c r="A4535" s="5" t="s">
        <v>25310</v>
      </c>
      <c r="B4535" s="5" t="s">
        <v>36263</v>
      </c>
      <c r="C4535" s="5" t="s">
        <v>25934</v>
      </c>
      <c r="D4535" s="246">
        <v>41296</v>
      </c>
      <c r="E4535" s="5" t="s">
        <v>36260</v>
      </c>
      <c r="F4535" s="26" t="s">
        <v>23600</v>
      </c>
      <c r="G4535" s="27" t="s">
        <v>6348</v>
      </c>
      <c r="H4535" s="28" t="s">
        <v>6349</v>
      </c>
      <c r="I4535" s="5" t="s">
        <v>423</v>
      </c>
    </row>
    <row r="4536" spans="1:9" ht="51.75" customHeight="1">
      <c r="A4536" s="5" t="s">
        <v>25313</v>
      </c>
      <c r="B4536" s="5" t="s">
        <v>36264</v>
      </c>
      <c r="C4536" s="5" t="s">
        <v>25986</v>
      </c>
      <c r="D4536" s="246">
        <v>41296</v>
      </c>
      <c r="E4536" s="5" t="s">
        <v>36262</v>
      </c>
      <c r="F4536" s="26" t="s">
        <v>23600</v>
      </c>
      <c r="G4536" s="27" t="s">
        <v>6348</v>
      </c>
      <c r="H4536" s="28" t="s">
        <v>6349</v>
      </c>
      <c r="I4536" s="5" t="s">
        <v>423</v>
      </c>
    </row>
    <row r="4537" spans="1:9" ht="51.75" customHeight="1">
      <c r="A4537" s="5">
        <v>1</v>
      </c>
      <c r="B4537" s="5" t="s">
        <v>36265</v>
      </c>
      <c r="C4537" s="5" t="s">
        <v>36266</v>
      </c>
      <c r="D4537" s="246">
        <v>40990</v>
      </c>
      <c r="E4537" s="5" t="s">
        <v>36267</v>
      </c>
      <c r="F4537" s="26"/>
      <c r="G4537" s="27" t="s">
        <v>6287</v>
      </c>
      <c r="H4537" s="28" t="s">
        <v>6288</v>
      </c>
      <c r="I4537" s="5" t="s">
        <v>423</v>
      </c>
    </row>
    <row r="4538" spans="1:9" ht="51.75" customHeight="1">
      <c r="A4538" s="5">
        <v>2</v>
      </c>
      <c r="B4538" s="5" t="s">
        <v>36268</v>
      </c>
      <c r="C4538" s="5" t="s">
        <v>36269</v>
      </c>
      <c r="D4538" s="246">
        <v>40990</v>
      </c>
      <c r="E4538" s="5" t="s">
        <v>36270</v>
      </c>
      <c r="F4538" s="26"/>
      <c r="G4538" s="27" t="s">
        <v>6287</v>
      </c>
      <c r="H4538" s="28" t="s">
        <v>6288</v>
      </c>
      <c r="I4538" s="5" t="s">
        <v>423</v>
      </c>
    </row>
    <row r="4539" spans="1:9" ht="51.75" customHeight="1">
      <c r="A4539" s="5">
        <v>1</v>
      </c>
      <c r="B4539" s="5" t="s">
        <v>36271</v>
      </c>
      <c r="C4539" s="5" t="s">
        <v>36272</v>
      </c>
      <c r="D4539" s="246">
        <v>41029</v>
      </c>
      <c r="E4539" s="5" t="s">
        <v>36273</v>
      </c>
      <c r="F4539" s="26"/>
      <c r="G4539" s="27" t="s">
        <v>6132</v>
      </c>
      <c r="H4539" s="28" t="s">
        <v>6133</v>
      </c>
      <c r="I4539" s="5" t="s">
        <v>423</v>
      </c>
    </row>
    <row r="4540" spans="1:9" ht="51.75" customHeight="1">
      <c r="A4540" s="5">
        <v>2</v>
      </c>
      <c r="B4540" s="5" t="s">
        <v>36274</v>
      </c>
      <c r="C4540" s="5" t="s">
        <v>36275</v>
      </c>
      <c r="D4540" s="246">
        <v>41029</v>
      </c>
      <c r="E4540" s="5" t="s">
        <v>36276</v>
      </c>
      <c r="F4540" s="26"/>
      <c r="G4540" s="27" t="s">
        <v>6132</v>
      </c>
      <c r="H4540" s="28" t="s">
        <v>6133</v>
      </c>
      <c r="I4540" s="5" t="s">
        <v>423</v>
      </c>
    </row>
    <row r="4541" spans="1:9" ht="51.75" customHeight="1">
      <c r="A4541" s="5">
        <v>3</v>
      </c>
      <c r="B4541" s="5" t="s">
        <v>36277</v>
      </c>
      <c r="C4541" s="5" t="s">
        <v>36278</v>
      </c>
      <c r="D4541" s="246">
        <v>41029</v>
      </c>
      <c r="E4541" s="5" t="s">
        <v>36279</v>
      </c>
      <c r="F4541" s="26"/>
      <c r="G4541" s="27" t="s">
        <v>6132</v>
      </c>
      <c r="H4541" s="28" t="s">
        <v>6133</v>
      </c>
      <c r="I4541" s="5" t="s">
        <v>423</v>
      </c>
    </row>
    <row r="4542" spans="1:9" ht="51.75" customHeight="1">
      <c r="A4542" s="5">
        <v>4</v>
      </c>
      <c r="B4542" s="5" t="s">
        <v>36280</v>
      </c>
      <c r="C4542" s="5" t="s">
        <v>36281</v>
      </c>
      <c r="D4542" s="246">
        <v>41029</v>
      </c>
      <c r="E4542" s="5" t="s">
        <v>36282</v>
      </c>
      <c r="F4542" s="26"/>
      <c r="G4542" s="27" t="s">
        <v>6132</v>
      </c>
      <c r="H4542" s="28" t="s">
        <v>6133</v>
      </c>
      <c r="I4542" s="5" t="s">
        <v>423</v>
      </c>
    </row>
    <row r="4543" spans="1:9" ht="51.75" customHeight="1">
      <c r="A4543" s="5">
        <v>5</v>
      </c>
      <c r="B4543" s="5" t="s">
        <v>36283</v>
      </c>
      <c r="C4543" s="5" t="s">
        <v>36284</v>
      </c>
      <c r="D4543" s="246">
        <v>41029</v>
      </c>
      <c r="E4543" s="5" t="s">
        <v>36285</v>
      </c>
      <c r="F4543" s="26"/>
      <c r="G4543" s="27" t="s">
        <v>6132</v>
      </c>
      <c r="H4543" s="28" t="s">
        <v>6133</v>
      </c>
      <c r="I4543" s="5" t="s">
        <v>423</v>
      </c>
    </row>
    <row r="4544" spans="1:9" ht="51.75" customHeight="1">
      <c r="A4544" s="5">
        <v>6</v>
      </c>
      <c r="B4544" s="5" t="s">
        <v>36286</v>
      </c>
      <c r="C4544" s="5" t="s">
        <v>36287</v>
      </c>
      <c r="D4544" s="246">
        <v>41029</v>
      </c>
      <c r="E4544" s="5" t="s">
        <v>36288</v>
      </c>
      <c r="F4544" s="26"/>
      <c r="G4544" s="27" t="s">
        <v>6132</v>
      </c>
      <c r="H4544" s="28" t="s">
        <v>6133</v>
      </c>
      <c r="I4544" s="5" t="s">
        <v>423</v>
      </c>
    </row>
    <row r="4545" spans="1:9" ht="51.75" customHeight="1">
      <c r="A4545" s="5">
        <v>7</v>
      </c>
      <c r="B4545" s="5" t="s">
        <v>36289</v>
      </c>
      <c r="C4545" s="5" t="s">
        <v>36290</v>
      </c>
      <c r="D4545" s="246">
        <v>41029</v>
      </c>
      <c r="E4545" s="5" t="s">
        <v>36291</v>
      </c>
      <c r="F4545" s="26"/>
      <c r="G4545" s="27" t="s">
        <v>6132</v>
      </c>
      <c r="H4545" s="28" t="s">
        <v>6133</v>
      </c>
      <c r="I4545" s="5" t="s">
        <v>423</v>
      </c>
    </row>
    <row r="4546" spans="1:9" ht="51.75" customHeight="1">
      <c r="A4546" s="5">
        <v>8</v>
      </c>
      <c r="B4546" s="5" t="s">
        <v>36292</v>
      </c>
      <c r="C4546" s="5" t="s">
        <v>36293</v>
      </c>
      <c r="D4546" s="246">
        <v>41029</v>
      </c>
      <c r="E4546" s="5" t="s">
        <v>36294</v>
      </c>
      <c r="F4546" s="26"/>
      <c r="G4546" s="27" t="s">
        <v>6132</v>
      </c>
      <c r="H4546" s="28" t="s">
        <v>6133</v>
      </c>
      <c r="I4546" s="5" t="s">
        <v>423</v>
      </c>
    </row>
    <row r="4547" spans="1:9" ht="51.75" customHeight="1">
      <c r="A4547" s="5">
        <v>1</v>
      </c>
      <c r="B4547" s="5" t="s">
        <v>36295</v>
      </c>
      <c r="C4547" s="5" t="s">
        <v>36296</v>
      </c>
      <c r="D4547" s="246">
        <v>40968</v>
      </c>
      <c r="E4547" s="5" t="s">
        <v>36297</v>
      </c>
      <c r="F4547" s="26"/>
      <c r="G4547" s="27" t="s">
        <v>5867</v>
      </c>
      <c r="H4547" s="28" t="s">
        <v>5868</v>
      </c>
      <c r="I4547" s="5" t="s">
        <v>423</v>
      </c>
    </row>
    <row r="4548" spans="1:9" ht="51.75" customHeight="1">
      <c r="A4548" s="5">
        <v>2</v>
      </c>
      <c r="B4548" s="5" t="s">
        <v>36298</v>
      </c>
      <c r="C4548" s="5" t="s">
        <v>36299</v>
      </c>
      <c r="D4548" s="246">
        <v>40968</v>
      </c>
      <c r="E4548" s="5" t="s">
        <v>36300</v>
      </c>
      <c r="F4548" s="26"/>
      <c r="G4548" s="27" t="s">
        <v>5867</v>
      </c>
      <c r="H4548" s="28" t="s">
        <v>5868</v>
      </c>
      <c r="I4548" s="5" t="s">
        <v>423</v>
      </c>
    </row>
    <row r="4549" spans="1:9" ht="51.75" customHeight="1">
      <c r="A4549" s="5">
        <v>3</v>
      </c>
      <c r="B4549" s="5" t="s">
        <v>36301</v>
      </c>
      <c r="C4549" s="5" t="s">
        <v>36302</v>
      </c>
      <c r="D4549" s="246">
        <v>40968</v>
      </c>
      <c r="E4549" s="5" t="s">
        <v>36303</v>
      </c>
      <c r="F4549" s="26"/>
      <c r="G4549" s="27" t="s">
        <v>5867</v>
      </c>
      <c r="H4549" s="28" t="s">
        <v>5868</v>
      </c>
      <c r="I4549" s="5" t="s">
        <v>423</v>
      </c>
    </row>
    <row r="4550" spans="1:9" ht="51.75" customHeight="1">
      <c r="A4550" s="5">
        <v>4</v>
      </c>
      <c r="B4550" s="5" t="s">
        <v>36304</v>
      </c>
      <c r="C4550" s="5" t="s">
        <v>36305</v>
      </c>
      <c r="D4550" s="246">
        <v>40968</v>
      </c>
      <c r="E4550" s="5" t="s">
        <v>36306</v>
      </c>
      <c r="F4550" s="26"/>
      <c r="G4550" s="27" t="s">
        <v>5867</v>
      </c>
      <c r="H4550" s="28" t="s">
        <v>5868</v>
      </c>
      <c r="I4550" s="5" t="s">
        <v>423</v>
      </c>
    </row>
    <row r="4551" spans="1:9" ht="51.75" customHeight="1">
      <c r="A4551" s="5">
        <v>1</v>
      </c>
      <c r="B4551" s="5" t="s">
        <v>36307</v>
      </c>
      <c r="C4551" s="5" t="s">
        <v>36308</v>
      </c>
      <c r="D4551" s="246">
        <v>40898</v>
      </c>
      <c r="E4551" s="5" t="s">
        <v>36309</v>
      </c>
      <c r="F4551" s="26"/>
      <c r="G4551" s="27" t="s">
        <v>5901</v>
      </c>
      <c r="H4551" s="28" t="s">
        <v>5902</v>
      </c>
      <c r="I4551" s="5" t="s">
        <v>423</v>
      </c>
    </row>
    <row r="4552" spans="1:9" ht="51.75" customHeight="1">
      <c r="A4552" s="5">
        <v>2</v>
      </c>
      <c r="B4552" s="5" t="s">
        <v>36310</v>
      </c>
      <c r="C4552" s="5" t="s">
        <v>36311</v>
      </c>
      <c r="D4552" s="246">
        <v>40898</v>
      </c>
      <c r="E4552" s="5" t="s">
        <v>36312</v>
      </c>
      <c r="F4552" s="26"/>
      <c r="G4552" s="27" t="s">
        <v>5901</v>
      </c>
      <c r="H4552" s="28" t="s">
        <v>5902</v>
      </c>
      <c r="I4552" s="5" t="s">
        <v>423</v>
      </c>
    </row>
    <row r="4553" spans="1:9" ht="51.75" customHeight="1">
      <c r="A4553" s="5">
        <v>3</v>
      </c>
      <c r="B4553" s="5" t="s">
        <v>36313</v>
      </c>
      <c r="C4553" s="5" t="s">
        <v>36314</v>
      </c>
      <c r="D4553" s="246">
        <v>40898</v>
      </c>
      <c r="E4553" s="5" t="s">
        <v>36315</v>
      </c>
      <c r="F4553" s="26"/>
      <c r="G4553" s="27" t="s">
        <v>5901</v>
      </c>
      <c r="H4553" s="28" t="s">
        <v>5902</v>
      </c>
      <c r="I4553" s="5" t="s">
        <v>423</v>
      </c>
    </row>
    <row r="4554" spans="1:9" ht="51.75" customHeight="1">
      <c r="A4554" s="5">
        <v>4</v>
      </c>
      <c r="B4554" s="5" t="s">
        <v>36316</v>
      </c>
      <c r="C4554" s="5" t="s">
        <v>36317</v>
      </c>
      <c r="D4554" s="246">
        <v>40898</v>
      </c>
      <c r="E4554" s="5" t="s">
        <v>36318</v>
      </c>
      <c r="F4554" s="26"/>
      <c r="G4554" s="27" t="s">
        <v>5901</v>
      </c>
      <c r="H4554" s="28" t="s">
        <v>5902</v>
      </c>
      <c r="I4554" s="5" t="s">
        <v>423</v>
      </c>
    </row>
    <row r="4555" spans="1:9" ht="51.75" customHeight="1">
      <c r="A4555" s="5">
        <v>5</v>
      </c>
      <c r="B4555" s="5" t="s">
        <v>36319</v>
      </c>
      <c r="C4555" s="5" t="s">
        <v>36320</v>
      </c>
      <c r="D4555" s="246">
        <v>40898</v>
      </c>
      <c r="E4555" s="5" t="s">
        <v>36321</v>
      </c>
      <c r="F4555" s="26"/>
      <c r="G4555" s="27" t="s">
        <v>5901</v>
      </c>
      <c r="H4555" s="28" t="s">
        <v>5902</v>
      </c>
      <c r="I4555" s="5" t="s">
        <v>423</v>
      </c>
    </row>
    <row r="4556" spans="1:9" ht="51.75" customHeight="1">
      <c r="A4556" s="5">
        <v>6</v>
      </c>
      <c r="B4556" s="5" t="s">
        <v>36322</v>
      </c>
      <c r="C4556" s="5" t="s">
        <v>36323</v>
      </c>
      <c r="D4556" s="246">
        <v>40898</v>
      </c>
      <c r="E4556" s="5" t="s">
        <v>36324</v>
      </c>
      <c r="F4556" s="26"/>
      <c r="G4556" s="27" t="s">
        <v>5901</v>
      </c>
      <c r="H4556" s="28" t="s">
        <v>5902</v>
      </c>
      <c r="I4556" s="5" t="s">
        <v>423</v>
      </c>
    </row>
    <row r="4557" spans="1:9" ht="51.75" customHeight="1">
      <c r="A4557" s="5">
        <v>7</v>
      </c>
      <c r="B4557" s="5" t="s">
        <v>36325</v>
      </c>
      <c r="C4557" s="5" t="s">
        <v>36326</v>
      </c>
      <c r="D4557" s="246">
        <v>40898</v>
      </c>
      <c r="E4557" s="5" t="s">
        <v>36327</v>
      </c>
      <c r="F4557" s="26"/>
      <c r="G4557" s="27" t="s">
        <v>5901</v>
      </c>
      <c r="H4557" s="28" t="s">
        <v>5902</v>
      </c>
      <c r="I4557" s="5" t="s">
        <v>423</v>
      </c>
    </row>
    <row r="4558" spans="1:9" ht="51.75" customHeight="1">
      <c r="A4558" s="5">
        <v>1</v>
      </c>
      <c r="B4558" s="5" t="s">
        <v>36328</v>
      </c>
      <c r="C4558" s="5" t="s">
        <v>36329</v>
      </c>
      <c r="D4558" s="246">
        <v>40886</v>
      </c>
      <c r="E4558" s="5" t="s">
        <v>36330</v>
      </c>
      <c r="F4558" s="26"/>
      <c r="G4558" s="27" t="s">
        <v>5973</v>
      </c>
      <c r="H4558" s="28" t="s">
        <v>5974</v>
      </c>
      <c r="I4558" s="5" t="s">
        <v>423</v>
      </c>
    </row>
    <row r="4559" spans="1:9" ht="51.75" customHeight="1">
      <c r="A4559" s="5">
        <v>2</v>
      </c>
      <c r="B4559" s="5" t="s">
        <v>36331</v>
      </c>
      <c r="C4559" s="5" t="s">
        <v>36332</v>
      </c>
      <c r="D4559" s="246">
        <v>40886</v>
      </c>
      <c r="E4559" s="5" t="s">
        <v>36333</v>
      </c>
      <c r="F4559" s="26"/>
      <c r="G4559" s="27" t="s">
        <v>5973</v>
      </c>
      <c r="H4559" s="28" t="s">
        <v>5974</v>
      </c>
      <c r="I4559" s="5" t="s">
        <v>423</v>
      </c>
    </row>
    <row r="4560" spans="1:9" ht="51.75" customHeight="1">
      <c r="A4560" s="5">
        <v>3</v>
      </c>
      <c r="B4560" s="5" t="s">
        <v>36334</v>
      </c>
      <c r="C4560" s="5" t="s">
        <v>36335</v>
      </c>
      <c r="D4560" s="246">
        <v>40886</v>
      </c>
      <c r="E4560" s="5" t="s">
        <v>36336</v>
      </c>
      <c r="F4560" s="26"/>
      <c r="G4560" s="27" t="s">
        <v>5973</v>
      </c>
      <c r="H4560" s="28" t="s">
        <v>5974</v>
      </c>
      <c r="I4560" s="5" t="s">
        <v>423</v>
      </c>
    </row>
    <row r="4561" spans="1:9" ht="51.75" customHeight="1">
      <c r="A4561" s="5">
        <v>1</v>
      </c>
      <c r="B4561" s="5" t="s">
        <v>36337</v>
      </c>
      <c r="C4561" s="5" t="s">
        <v>36338</v>
      </c>
      <c r="D4561" s="246">
        <v>40791</v>
      </c>
      <c r="E4561" s="5" t="s">
        <v>36339</v>
      </c>
      <c r="F4561" s="26"/>
      <c r="G4561" s="27" t="s">
        <v>5733</v>
      </c>
      <c r="H4561" s="28" t="s">
        <v>5734</v>
      </c>
      <c r="I4561" s="5" t="s">
        <v>423</v>
      </c>
    </row>
    <row r="4562" spans="1:9" ht="51.75" customHeight="1">
      <c r="A4562" s="5">
        <v>2</v>
      </c>
      <c r="B4562" s="5" t="s">
        <v>36340</v>
      </c>
      <c r="C4562" s="5" t="s">
        <v>36341</v>
      </c>
      <c r="D4562" s="246">
        <v>40791</v>
      </c>
      <c r="E4562" s="5" t="s">
        <v>36342</v>
      </c>
      <c r="F4562" s="26"/>
      <c r="G4562" s="27" t="s">
        <v>5733</v>
      </c>
      <c r="H4562" s="28" t="s">
        <v>5734</v>
      </c>
      <c r="I4562" s="5" t="s">
        <v>423</v>
      </c>
    </row>
    <row r="4563" spans="1:9" ht="51.75" customHeight="1">
      <c r="A4563" s="5">
        <v>3</v>
      </c>
      <c r="B4563" s="5" t="s">
        <v>36343</v>
      </c>
      <c r="C4563" s="5" t="s">
        <v>36344</v>
      </c>
      <c r="D4563" s="246">
        <v>40791</v>
      </c>
      <c r="E4563" s="5" t="s">
        <v>36345</v>
      </c>
      <c r="F4563" s="26"/>
      <c r="G4563" s="27" t="s">
        <v>5733</v>
      </c>
      <c r="H4563" s="28" t="s">
        <v>5734</v>
      </c>
      <c r="I4563" s="5" t="s">
        <v>423</v>
      </c>
    </row>
    <row r="4564" spans="1:9" ht="51.75" customHeight="1">
      <c r="A4564" s="5">
        <v>4</v>
      </c>
      <c r="B4564" s="5" t="s">
        <v>36346</v>
      </c>
      <c r="C4564" s="5" t="s">
        <v>36347</v>
      </c>
      <c r="D4564" s="246">
        <v>40791</v>
      </c>
      <c r="E4564" s="5" t="s">
        <v>36348</v>
      </c>
      <c r="F4564" s="26"/>
      <c r="G4564" s="27" t="s">
        <v>5733</v>
      </c>
      <c r="H4564" s="28" t="s">
        <v>5734</v>
      </c>
      <c r="I4564" s="5" t="s">
        <v>423</v>
      </c>
    </row>
    <row r="4565" spans="1:9" ht="51.75" customHeight="1">
      <c r="A4565" s="5">
        <v>5</v>
      </c>
      <c r="B4565" s="5" t="s">
        <v>36349</v>
      </c>
      <c r="C4565" s="5" t="s">
        <v>36350</v>
      </c>
      <c r="D4565" s="246">
        <v>40791</v>
      </c>
      <c r="E4565" s="5" t="s">
        <v>36351</v>
      </c>
      <c r="F4565" s="26"/>
      <c r="G4565" s="27" t="s">
        <v>5733</v>
      </c>
      <c r="H4565" s="28" t="s">
        <v>5734</v>
      </c>
      <c r="I4565" s="5" t="s">
        <v>423</v>
      </c>
    </row>
    <row r="4566" spans="1:9" ht="51.75" customHeight="1">
      <c r="A4566" s="5">
        <v>6</v>
      </c>
      <c r="B4566" s="5" t="s">
        <v>36352</v>
      </c>
      <c r="C4566" s="5" t="s">
        <v>36305</v>
      </c>
      <c r="D4566" s="246">
        <v>40791</v>
      </c>
      <c r="E4566" s="5" t="s">
        <v>36353</v>
      </c>
      <c r="F4566" s="26"/>
      <c r="G4566" s="27" t="s">
        <v>5733</v>
      </c>
      <c r="H4566" s="28" t="s">
        <v>5734</v>
      </c>
      <c r="I4566" s="5" t="s">
        <v>423</v>
      </c>
    </row>
    <row r="4567" spans="1:9" ht="51.75" customHeight="1">
      <c r="A4567" s="5">
        <v>7</v>
      </c>
      <c r="B4567" s="5" t="s">
        <v>36354</v>
      </c>
      <c r="C4567" s="5" t="s">
        <v>36355</v>
      </c>
      <c r="D4567" s="246">
        <v>40791</v>
      </c>
      <c r="E4567" s="5" t="s">
        <v>36356</v>
      </c>
      <c r="F4567" s="26"/>
      <c r="G4567" s="27" t="s">
        <v>5733</v>
      </c>
      <c r="H4567" s="28" t="s">
        <v>5734</v>
      </c>
      <c r="I4567" s="5" t="s">
        <v>423</v>
      </c>
    </row>
    <row r="4568" spans="1:9" ht="51.75" customHeight="1">
      <c r="A4568" s="5">
        <v>8</v>
      </c>
      <c r="B4568" s="5" t="s">
        <v>36357</v>
      </c>
      <c r="C4568" s="5" t="s">
        <v>36358</v>
      </c>
      <c r="D4568" s="246">
        <v>40791</v>
      </c>
      <c r="E4568" s="5" t="s">
        <v>36359</v>
      </c>
      <c r="F4568" s="26"/>
      <c r="G4568" s="27" t="s">
        <v>5733</v>
      </c>
      <c r="H4568" s="28" t="s">
        <v>5734</v>
      </c>
      <c r="I4568" s="5" t="s">
        <v>423</v>
      </c>
    </row>
    <row r="4569" spans="1:9" ht="51.75" customHeight="1">
      <c r="A4569" s="5">
        <v>1</v>
      </c>
      <c r="B4569" s="5" t="s">
        <v>36360</v>
      </c>
      <c r="C4569" s="5" t="s">
        <v>36361</v>
      </c>
      <c r="D4569" s="246">
        <v>40850</v>
      </c>
      <c r="E4569" s="5" t="s">
        <v>36362</v>
      </c>
      <c r="F4569" s="26"/>
      <c r="G4569" s="27" t="s">
        <v>5676</v>
      </c>
      <c r="H4569" s="28" t="s">
        <v>5677</v>
      </c>
      <c r="I4569" s="5" t="s">
        <v>423</v>
      </c>
    </row>
    <row r="4570" spans="1:9" ht="51.75" customHeight="1">
      <c r="A4570" s="5">
        <v>2</v>
      </c>
      <c r="B4570" s="5" t="s">
        <v>36363</v>
      </c>
      <c r="C4570" s="5" t="s">
        <v>36364</v>
      </c>
      <c r="D4570" s="246">
        <v>40850</v>
      </c>
      <c r="E4570" s="5" t="s">
        <v>36365</v>
      </c>
      <c r="F4570" s="26"/>
      <c r="G4570" s="27" t="s">
        <v>5676</v>
      </c>
      <c r="H4570" s="28" t="s">
        <v>5677</v>
      </c>
      <c r="I4570" s="5" t="s">
        <v>423</v>
      </c>
    </row>
    <row r="4571" spans="1:9" ht="51.75" customHeight="1">
      <c r="A4571" s="5">
        <v>3</v>
      </c>
      <c r="B4571" s="5" t="s">
        <v>36366</v>
      </c>
      <c r="C4571" s="5" t="s">
        <v>36367</v>
      </c>
      <c r="D4571" s="246">
        <v>40850</v>
      </c>
      <c r="E4571" s="5" t="s">
        <v>36368</v>
      </c>
      <c r="F4571" s="26"/>
      <c r="G4571" s="27" t="s">
        <v>5676</v>
      </c>
      <c r="H4571" s="28" t="s">
        <v>5677</v>
      </c>
      <c r="I4571" s="5" t="s">
        <v>423</v>
      </c>
    </row>
    <row r="4572" spans="1:9" ht="51.75" customHeight="1">
      <c r="A4572" s="5">
        <v>4</v>
      </c>
      <c r="B4572" s="5" t="s">
        <v>36369</v>
      </c>
      <c r="C4572" s="5" t="s">
        <v>36370</v>
      </c>
      <c r="D4572" s="246">
        <v>40850</v>
      </c>
      <c r="E4572" s="5" t="s">
        <v>36371</v>
      </c>
      <c r="F4572" s="26"/>
      <c r="G4572" s="27" t="s">
        <v>5676</v>
      </c>
      <c r="H4572" s="28" t="s">
        <v>5677</v>
      </c>
      <c r="I4572" s="5" t="s">
        <v>423</v>
      </c>
    </row>
    <row r="4573" spans="1:9" ht="51.75" customHeight="1">
      <c r="A4573" s="5">
        <v>1</v>
      </c>
      <c r="B4573" s="5" t="s">
        <v>36372</v>
      </c>
      <c r="C4573" s="5" t="s">
        <v>36373</v>
      </c>
      <c r="D4573" s="246">
        <v>40861</v>
      </c>
      <c r="E4573" s="5" t="s">
        <v>36374</v>
      </c>
      <c r="F4573" s="26"/>
      <c r="G4573" s="27" t="s">
        <v>5629</v>
      </c>
      <c r="H4573" s="28" t="s">
        <v>5630</v>
      </c>
      <c r="I4573" s="5" t="s">
        <v>423</v>
      </c>
    </row>
    <row r="4574" spans="1:9" ht="51.75" customHeight="1">
      <c r="A4574" s="5">
        <v>2</v>
      </c>
      <c r="B4574" s="5" t="s">
        <v>36375</v>
      </c>
      <c r="C4574" s="5" t="s">
        <v>36376</v>
      </c>
      <c r="D4574" s="246">
        <v>40861</v>
      </c>
      <c r="E4574" s="5" t="s">
        <v>36377</v>
      </c>
      <c r="F4574" s="26"/>
      <c r="G4574" s="27" t="s">
        <v>5629</v>
      </c>
      <c r="H4574" s="28" t="s">
        <v>5630</v>
      </c>
      <c r="I4574" s="5" t="s">
        <v>423</v>
      </c>
    </row>
    <row r="4575" spans="1:9" ht="51.75" customHeight="1">
      <c r="A4575" s="5">
        <v>3</v>
      </c>
      <c r="B4575" s="5" t="s">
        <v>36378</v>
      </c>
      <c r="C4575" s="5" t="s">
        <v>36379</v>
      </c>
      <c r="D4575" s="246">
        <v>40861</v>
      </c>
      <c r="E4575" s="5" t="s">
        <v>36380</v>
      </c>
      <c r="F4575" s="26"/>
      <c r="G4575" s="27" t="s">
        <v>5629</v>
      </c>
      <c r="H4575" s="28" t="s">
        <v>5630</v>
      </c>
      <c r="I4575" s="5" t="s">
        <v>423</v>
      </c>
    </row>
    <row r="4576" spans="1:9" ht="51.75" customHeight="1">
      <c r="A4576" s="5">
        <v>4</v>
      </c>
      <c r="B4576" s="5" t="s">
        <v>36381</v>
      </c>
      <c r="C4576" s="5" t="s">
        <v>36382</v>
      </c>
      <c r="D4576" s="246">
        <v>40861</v>
      </c>
      <c r="E4576" s="5" t="s">
        <v>36383</v>
      </c>
      <c r="F4576" s="26"/>
      <c r="G4576" s="27" t="s">
        <v>5629</v>
      </c>
      <c r="H4576" s="28" t="s">
        <v>5630</v>
      </c>
      <c r="I4576" s="5" t="s">
        <v>423</v>
      </c>
    </row>
    <row r="4577" spans="1:9" ht="51.75" customHeight="1">
      <c r="A4577" s="5">
        <v>5</v>
      </c>
      <c r="B4577" s="5" t="s">
        <v>36384</v>
      </c>
      <c r="C4577" s="5" t="s">
        <v>36385</v>
      </c>
      <c r="D4577" s="246">
        <v>40861</v>
      </c>
      <c r="E4577" s="5" t="s">
        <v>36386</v>
      </c>
      <c r="F4577" s="26"/>
      <c r="G4577" s="27" t="s">
        <v>5629</v>
      </c>
      <c r="H4577" s="28" t="s">
        <v>5630</v>
      </c>
      <c r="I4577" s="5" t="s">
        <v>423</v>
      </c>
    </row>
    <row r="4578" spans="1:9" ht="51.75" customHeight="1">
      <c r="A4578" s="5">
        <v>1</v>
      </c>
      <c r="B4578" s="5" t="s">
        <v>36387</v>
      </c>
      <c r="C4578" s="5" t="s">
        <v>36388</v>
      </c>
      <c r="D4578" s="246">
        <v>40778</v>
      </c>
      <c r="E4578" s="5" t="s">
        <v>36389</v>
      </c>
      <c r="F4578" s="26"/>
      <c r="G4578" s="27" t="s">
        <v>4770</v>
      </c>
      <c r="H4578" s="28" t="s">
        <v>4771</v>
      </c>
      <c r="I4578" s="5" t="s">
        <v>423</v>
      </c>
    </row>
    <row r="4579" spans="1:9" ht="51.75" customHeight="1">
      <c r="A4579" s="5">
        <v>2</v>
      </c>
      <c r="B4579" s="5" t="s">
        <v>36390</v>
      </c>
      <c r="C4579" s="5" t="s">
        <v>36391</v>
      </c>
      <c r="D4579" s="246">
        <v>40778</v>
      </c>
      <c r="E4579" s="5" t="s">
        <v>36392</v>
      </c>
      <c r="F4579" s="26"/>
      <c r="G4579" s="27" t="s">
        <v>4770</v>
      </c>
      <c r="H4579" s="28" t="s">
        <v>4771</v>
      </c>
      <c r="I4579" s="5" t="s">
        <v>423</v>
      </c>
    </row>
    <row r="4580" spans="1:9" ht="51.75" customHeight="1">
      <c r="A4580" s="5">
        <v>1</v>
      </c>
      <c r="B4580" s="5" t="s">
        <v>36393</v>
      </c>
      <c r="C4580" s="5" t="s">
        <v>36344</v>
      </c>
      <c r="D4580" s="246">
        <v>40785</v>
      </c>
      <c r="E4580" s="5" t="s">
        <v>36345</v>
      </c>
      <c r="F4580" s="26"/>
      <c r="G4580" s="27" t="s">
        <v>5585</v>
      </c>
      <c r="H4580" s="28" t="s">
        <v>5586</v>
      </c>
      <c r="I4580" s="5" t="s">
        <v>423</v>
      </c>
    </row>
    <row r="4581" spans="1:9" ht="51.75" customHeight="1">
      <c r="A4581" s="5">
        <v>2</v>
      </c>
      <c r="B4581" s="5" t="s">
        <v>36394</v>
      </c>
      <c r="C4581" s="5" t="s">
        <v>36350</v>
      </c>
      <c r="D4581" s="246">
        <v>40785</v>
      </c>
      <c r="E4581" s="5" t="s">
        <v>36351</v>
      </c>
      <c r="F4581" s="26"/>
      <c r="G4581" s="27" t="s">
        <v>5585</v>
      </c>
      <c r="H4581" s="28" t="s">
        <v>5586</v>
      </c>
      <c r="I4581" s="5" t="s">
        <v>423</v>
      </c>
    </row>
    <row r="4582" spans="1:9" ht="51.75" customHeight="1">
      <c r="A4582" s="5">
        <v>3</v>
      </c>
      <c r="B4582" s="5" t="s">
        <v>36395</v>
      </c>
      <c r="C4582" s="5" t="s">
        <v>36355</v>
      </c>
      <c r="D4582" s="246">
        <v>40785</v>
      </c>
      <c r="E4582" s="5" t="s">
        <v>36356</v>
      </c>
      <c r="F4582" s="26"/>
      <c r="G4582" s="27" t="s">
        <v>5585</v>
      </c>
      <c r="H4582" s="28" t="s">
        <v>5586</v>
      </c>
      <c r="I4582" s="5" t="s">
        <v>423</v>
      </c>
    </row>
    <row r="4583" spans="1:9" ht="51.75" customHeight="1">
      <c r="A4583" s="5">
        <v>4</v>
      </c>
      <c r="B4583" s="5" t="s">
        <v>36396</v>
      </c>
      <c r="C4583" s="5" t="s">
        <v>36358</v>
      </c>
      <c r="D4583" s="246">
        <v>40785</v>
      </c>
      <c r="E4583" s="5" t="s">
        <v>36359</v>
      </c>
      <c r="F4583" s="26"/>
      <c r="G4583" s="27" t="s">
        <v>5585</v>
      </c>
      <c r="H4583" s="28" t="s">
        <v>5586</v>
      </c>
      <c r="I4583" s="5" t="s">
        <v>423</v>
      </c>
    </row>
    <row r="4584" spans="1:9" ht="51.75" customHeight="1">
      <c r="A4584" s="5">
        <v>1</v>
      </c>
      <c r="B4584" s="5" t="s">
        <v>36397</v>
      </c>
      <c r="C4584" s="5" t="s">
        <v>36398</v>
      </c>
      <c r="D4584" s="246">
        <v>40742</v>
      </c>
      <c r="E4584" s="5" t="s">
        <v>36399</v>
      </c>
      <c r="F4584" s="26"/>
      <c r="G4584" s="27" t="s">
        <v>5536</v>
      </c>
      <c r="H4584" s="28" t="s">
        <v>5537</v>
      </c>
      <c r="I4584" s="5" t="s">
        <v>423</v>
      </c>
    </row>
    <row r="4585" spans="1:9" ht="51.75" customHeight="1">
      <c r="A4585" s="5">
        <v>2</v>
      </c>
      <c r="B4585" s="5" t="s">
        <v>36400</v>
      </c>
      <c r="C4585" s="5" t="s">
        <v>36401</v>
      </c>
      <c r="D4585" s="246">
        <v>40742</v>
      </c>
      <c r="E4585" s="5" t="s">
        <v>36402</v>
      </c>
      <c r="F4585" s="26"/>
      <c r="G4585" s="27" t="s">
        <v>5536</v>
      </c>
      <c r="H4585" s="28" t="s">
        <v>5537</v>
      </c>
      <c r="I4585" s="5" t="s">
        <v>423</v>
      </c>
    </row>
    <row r="4586" spans="1:9" ht="51.75" customHeight="1">
      <c r="A4586" s="5" t="s">
        <v>26537</v>
      </c>
      <c r="B4586" s="5" t="s">
        <v>36403</v>
      </c>
      <c r="C4586" s="5" t="s">
        <v>23621</v>
      </c>
      <c r="D4586" s="246">
        <v>41407</v>
      </c>
      <c r="E4586" s="5" t="s">
        <v>36404</v>
      </c>
      <c r="F4586" s="26" t="s">
        <v>23600</v>
      </c>
      <c r="G4586" s="27" t="s">
        <v>7353</v>
      </c>
      <c r="H4586" s="28" t="s">
        <v>7354</v>
      </c>
      <c r="I4586" s="5" t="s">
        <v>423</v>
      </c>
    </row>
    <row r="4587" spans="1:9" ht="51.75" customHeight="1">
      <c r="A4587" s="5" t="s">
        <v>26543</v>
      </c>
      <c r="B4587" s="5" t="s">
        <v>36405</v>
      </c>
      <c r="C4587" s="5" t="s">
        <v>23625</v>
      </c>
      <c r="D4587" s="246">
        <v>41407</v>
      </c>
      <c r="E4587" s="5" t="s">
        <v>36406</v>
      </c>
      <c r="F4587" s="26" t="s">
        <v>23600</v>
      </c>
      <c r="G4587" s="27" t="s">
        <v>7353</v>
      </c>
      <c r="H4587" s="28" t="s">
        <v>7354</v>
      </c>
      <c r="I4587" s="5" t="s">
        <v>423</v>
      </c>
    </row>
    <row r="4588" spans="1:9" ht="51.75" customHeight="1">
      <c r="A4588" s="5" t="s">
        <v>26549</v>
      </c>
      <c r="B4588" s="5" t="s">
        <v>36407</v>
      </c>
      <c r="C4588" s="5" t="s">
        <v>25972</v>
      </c>
      <c r="D4588" s="246">
        <v>41407</v>
      </c>
      <c r="E4588" s="5" t="s">
        <v>36189</v>
      </c>
      <c r="F4588" s="26" t="s">
        <v>23600</v>
      </c>
      <c r="G4588" s="27" t="s">
        <v>7353</v>
      </c>
      <c r="H4588" s="28" t="s">
        <v>7354</v>
      </c>
      <c r="I4588" s="5" t="s">
        <v>423</v>
      </c>
    </row>
    <row r="4589" spans="1:9" ht="51.75" customHeight="1">
      <c r="A4589" s="5" t="s">
        <v>26555</v>
      </c>
      <c r="B4589" s="5" t="s">
        <v>36408</v>
      </c>
      <c r="C4589" s="5" t="s">
        <v>25928</v>
      </c>
      <c r="D4589" s="246">
        <v>41407</v>
      </c>
      <c r="E4589" s="5" t="s">
        <v>36409</v>
      </c>
      <c r="F4589" s="26" t="s">
        <v>23600</v>
      </c>
      <c r="G4589" s="27" t="s">
        <v>7353</v>
      </c>
      <c r="H4589" s="28" t="s">
        <v>7354</v>
      </c>
      <c r="I4589" s="5" t="s">
        <v>423</v>
      </c>
    </row>
    <row r="4590" spans="1:9" ht="51.75" customHeight="1">
      <c r="A4590" s="5" t="s">
        <v>27014</v>
      </c>
      <c r="B4590" s="5" t="s">
        <v>36410</v>
      </c>
      <c r="C4590" s="5" t="s">
        <v>25934</v>
      </c>
      <c r="D4590" s="246">
        <v>41407</v>
      </c>
      <c r="E4590" s="5" t="s">
        <v>36411</v>
      </c>
      <c r="F4590" s="26" t="s">
        <v>23600</v>
      </c>
      <c r="G4590" s="27" t="s">
        <v>7353</v>
      </c>
      <c r="H4590" s="28" t="s">
        <v>7354</v>
      </c>
      <c r="I4590" s="5" t="s">
        <v>423</v>
      </c>
    </row>
    <row r="4591" spans="1:9" ht="51.75" customHeight="1">
      <c r="A4591" s="5" t="s">
        <v>27020</v>
      </c>
      <c r="B4591" s="5" t="s">
        <v>36412</v>
      </c>
      <c r="C4591" s="5" t="s">
        <v>25986</v>
      </c>
      <c r="D4591" s="246">
        <v>41407</v>
      </c>
      <c r="E4591" s="5" t="s">
        <v>36413</v>
      </c>
      <c r="F4591" s="26" t="s">
        <v>23600</v>
      </c>
      <c r="G4591" s="27" t="s">
        <v>7353</v>
      </c>
      <c r="H4591" s="28" t="s">
        <v>7354</v>
      </c>
      <c r="I4591" s="5" t="s">
        <v>423</v>
      </c>
    </row>
    <row r="4592" spans="1:9" ht="51.75" customHeight="1">
      <c r="A4592" s="5" t="s">
        <v>27026</v>
      </c>
      <c r="B4592" s="5" t="s">
        <v>36414</v>
      </c>
      <c r="C4592" s="5" t="s">
        <v>25992</v>
      </c>
      <c r="D4592" s="246">
        <v>41407</v>
      </c>
      <c r="E4592" s="5" t="s">
        <v>36195</v>
      </c>
      <c r="F4592" s="26" t="s">
        <v>23600</v>
      </c>
      <c r="G4592" s="27" t="s">
        <v>7353</v>
      </c>
      <c r="H4592" s="28" t="s">
        <v>7354</v>
      </c>
      <c r="I4592" s="5" t="s">
        <v>423</v>
      </c>
    </row>
    <row r="4593" spans="1:9" ht="51.75" customHeight="1">
      <c r="A4593" s="5" t="s">
        <v>27032</v>
      </c>
      <c r="B4593" s="5" t="s">
        <v>36415</v>
      </c>
      <c r="C4593" s="5" t="s">
        <v>36416</v>
      </c>
      <c r="D4593" s="246">
        <v>41407</v>
      </c>
      <c r="E4593" s="5" t="s">
        <v>36198</v>
      </c>
      <c r="F4593" s="26" t="s">
        <v>23600</v>
      </c>
      <c r="G4593" s="27" t="s">
        <v>7353</v>
      </c>
      <c r="H4593" s="28" t="s">
        <v>7354</v>
      </c>
      <c r="I4593" s="5" t="s">
        <v>423</v>
      </c>
    </row>
    <row r="4594" spans="1:9" ht="51.75" customHeight="1">
      <c r="A4594" s="5" t="s">
        <v>28119</v>
      </c>
      <c r="B4594" s="5" t="s">
        <v>36417</v>
      </c>
      <c r="C4594" s="5" t="s">
        <v>23621</v>
      </c>
      <c r="D4594" s="246">
        <v>41408</v>
      </c>
      <c r="E4594" s="5" t="s">
        <v>36418</v>
      </c>
      <c r="F4594" s="26" t="s">
        <v>23600</v>
      </c>
      <c r="G4594" s="27" t="s">
        <v>7845</v>
      </c>
      <c r="H4594" s="28" t="s">
        <v>7846</v>
      </c>
      <c r="I4594" s="5" t="s">
        <v>423</v>
      </c>
    </row>
    <row r="4595" spans="1:9" ht="51.75" customHeight="1">
      <c r="A4595" s="5" t="s">
        <v>28123</v>
      </c>
      <c r="B4595" s="5" t="s">
        <v>36419</v>
      </c>
      <c r="C4595" s="5" t="s">
        <v>23625</v>
      </c>
      <c r="D4595" s="246">
        <v>41408</v>
      </c>
      <c r="E4595" s="5" t="s">
        <v>36420</v>
      </c>
      <c r="F4595" s="26" t="s">
        <v>23600</v>
      </c>
      <c r="G4595" s="27" t="s">
        <v>7845</v>
      </c>
      <c r="H4595" s="28" t="s">
        <v>7846</v>
      </c>
      <c r="I4595" s="5" t="s">
        <v>423</v>
      </c>
    </row>
    <row r="4596" spans="1:9" ht="51.75" customHeight="1">
      <c r="A4596" s="5" t="s">
        <v>34205</v>
      </c>
      <c r="B4596" s="5" t="s">
        <v>36421</v>
      </c>
      <c r="C4596" s="5" t="s">
        <v>25972</v>
      </c>
      <c r="D4596" s="246">
        <v>41408</v>
      </c>
      <c r="E4596" s="5" t="s">
        <v>36422</v>
      </c>
      <c r="F4596" s="26" t="s">
        <v>23600</v>
      </c>
      <c r="G4596" s="27" t="s">
        <v>7845</v>
      </c>
      <c r="H4596" s="28" t="s">
        <v>7846</v>
      </c>
      <c r="I4596" s="5" t="s">
        <v>423</v>
      </c>
    </row>
    <row r="4597" spans="1:9" ht="51.75" customHeight="1">
      <c r="A4597" s="5" t="s">
        <v>26098</v>
      </c>
      <c r="B4597" s="5" t="s">
        <v>36423</v>
      </c>
      <c r="C4597" s="5" t="s">
        <v>23621</v>
      </c>
      <c r="D4597" s="246">
        <v>41331</v>
      </c>
      <c r="E4597" s="5" t="s">
        <v>36256</v>
      </c>
      <c r="F4597" s="26" t="s">
        <v>23600</v>
      </c>
      <c r="G4597" s="27" t="s">
        <v>7909</v>
      </c>
      <c r="H4597" s="28" t="s">
        <v>7910</v>
      </c>
      <c r="I4597" s="5" t="s">
        <v>423</v>
      </c>
    </row>
    <row r="4598" spans="1:9" ht="51.75" customHeight="1">
      <c r="A4598" s="5" t="s">
        <v>25953</v>
      </c>
      <c r="B4598" s="5" t="s">
        <v>36424</v>
      </c>
      <c r="C4598" s="5" t="s">
        <v>23625</v>
      </c>
      <c r="D4598" s="246">
        <v>41331</v>
      </c>
      <c r="E4598" s="5" t="s">
        <v>36258</v>
      </c>
      <c r="F4598" s="26" t="s">
        <v>23600</v>
      </c>
      <c r="G4598" s="27" t="s">
        <v>7909</v>
      </c>
      <c r="H4598" s="28" t="s">
        <v>7910</v>
      </c>
      <c r="I4598" s="5" t="s">
        <v>423</v>
      </c>
    </row>
    <row r="4599" spans="1:9" ht="51.75" customHeight="1">
      <c r="A4599" s="5" t="s">
        <v>28914</v>
      </c>
      <c r="B4599" s="5" t="s">
        <v>36425</v>
      </c>
      <c r="C4599" s="5" t="s">
        <v>25972</v>
      </c>
      <c r="D4599" s="246">
        <v>41331</v>
      </c>
      <c r="E4599" s="5" t="s">
        <v>36426</v>
      </c>
      <c r="F4599" s="26" t="s">
        <v>23600</v>
      </c>
      <c r="G4599" s="27" t="s">
        <v>7909</v>
      </c>
      <c r="H4599" s="28" t="s">
        <v>7910</v>
      </c>
      <c r="I4599" s="5" t="s">
        <v>423</v>
      </c>
    </row>
    <row r="4600" spans="1:9" ht="51.75" customHeight="1">
      <c r="A4600" s="5" t="s">
        <v>25958</v>
      </c>
      <c r="B4600" s="5" t="s">
        <v>36427</v>
      </c>
      <c r="C4600" s="5" t="s">
        <v>25928</v>
      </c>
      <c r="D4600" s="246">
        <v>41331</v>
      </c>
      <c r="E4600" s="5" t="s">
        <v>36428</v>
      </c>
      <c r="F4600" s="26" t="s">
        <v>23600</v>
      </c>
      <c r="G4600" s="27" t="s">
        <v>7909</v>
      </c>
      <c r="H4600" s="28" t="s">
        <v>7910</v>
      </c>
      <c r="I4600" s="5" t="s">
        <v>423</v>
      </c>
    </row>
    <row r="4601" spans="1:9" ht="51.75" customHeight="1">
      <c r="A4601" s="5" t="s">
        <v>26104</v>
      </c>
      <c r="B4601" s="5" t="s">
        <v>36429</v>
      </c>
      <c r="C4601" s="5" t="s">
        <v>25934</v>
      </c>
      <c r="D4601" s="246">
        <v>41331</v>
      </c>
      <c r="E4601" s="5" t="s">
        <v>36129</v>
      </c>
      <c r="F4601" s="26" t="s">
        <v>23600</v>
      </c>
      <c r="G4601" s="27" t="s">
        <v>7909</v>
      </c>
      <c r="H4601" s="28" t="s">
        <v>7910</v>
      </c>
      <c r="I4601" s="5" t="s">
        <v>423</v>
      </c>
    </row>
    <row r="4602" spans="1:9" ht="51.75" customHeight="1">
      <c r="A4602" s="5" t="s">
        <v>26109</v>
      </c>
      <c r="B4602" s="5" t="s">
        <v>36430</v>
      </c>
      <c r="C4602" s="5" t="s">
        <v>25986</v>
      </c>
      <c r="D4602" s="246">
        <v>41331</v>
      </c>
      <c r="E4602" s="5" t="s">
        <v>36426</v>
      </c>
      <c r="F4602" s="26" t="s">
        <v>23600</v>
      </c>
      <c r="G4602" s="27" t="s">
        <v>7909</v>
      </c>
      <c r="H4602" s="28" t="s">
        <v>7910</v>
      </c>
      <c r="I4602" s="5" t="s">
        <v>423</v>
      </c>
    </row>
    <row r="4603" spans="1:9" ht="51.75" customHeight="1">
      <c r="A4603" s="5" t="s">
        <v>30290</v>
      </c>
      <c r="B4603" s="5" t="s">
        <v>36431</v>
      </c>
      <c r="C4603" s="5" t="s">
        <v>25992</v>
      </c>
      <c r="D4603" s="246">
        <v>41331</v>
      </c>
      <c r="E4603" s="5" t="s">
        <v>36428</v>
      </c>
      <c r="F4603" s="26" t="s">
        <v>23600</v>
      </c>
      <c r="G4603" s="27" t="s">
        <v>7909</v>
      </c>
      <c r="H4603" s="28" t="s">
        <v>7910</v>
      </c>
      <c r="I4603" s="5" t="s">
        <v>423</v>
      </c>
    </row>
    <row r="4604" spans="1:9" ht="51.75" customHeight="1">
      <c r="A4604" s="5" t="s">
        <v>24538</v>
      </c>
      <c r="B4604" s="5" t="s">
        <v>36432</v>
      </c>
      <c r="C4604" s="5" t="s">
        <v>23621</v>
      </c>
      <c r="D4604" s="246">
        <v>41465</v>
      </c>
      <c r="E4604" s="5" t="s">
        <v>36433</v>
      </c>
      <c r="F4604" s="26" t="s">
        <v>23600</v>
      </c>
      <c r="G4604" s="27" t="s">
        <v>7358</v>
      </c>
      <c r="H4604" s="28" t="s">
        <v>7359</v>
      </c>
      <c r="I4604" s="5" t="s">
        <v>423</v>
      </c>
    </row>
    <row r="4605" spans="1:9" ht="51.75" customHeight="1">
      <c r="A4605" s="5" t="s">
        <v>24542</v>
      </c>
      <c r="B4605" s="5" t="s">
        <v>36434</v>
      </c>
      <c r="C4605" s="5" t="s">
        <v>23625</v>
      </c>
      <c r="D4605" s="246">
        <v>41465</v>
      </c>
      <c r="E4605" s="5" t="s">
        <v>36435</v>
      </c>
      <c r="F4605" s="26" t="s">
        <v>23600</v>
      </c>
      <c r="G4605" s="27" t="s">
        <v>7358</v>
      </c>
      <c r="H4605" s="28" t="s">
        <v>7359</v>
      </c>
      <c r="I4605" s="5" t="s">
        <v>423</v>
      </c>
    </row>
    <row r="4606" spans="1:9" ht="51.75" customHeight="1">
      <c r="A4606" s="5" t="s">
        <v>24546</v>
      </c>
      <c r="B4606" s="5" t="s">
        <v>36436</v>
      </c>
      <c r="C4606" s="5" t="s">
        <v>25972</v>
      </c>
      <c r="D4606" s="246">
        <v>41465</v>
      </c>
      <c r="E4606" s="5" t="s">
        <v>36437</v>
      </c>
      <c r="F4606" s="26" t="s">
        <v>23600</v>
      </c>
      <c r="G4606" s="27" t="s">
        <v>7358</v>
      </c>
      <c r="H4606" s="28" t="s">
        <v>7359</v>
      </c>
      <c r="I4606" s="5" t="s">
        <v>423</v>
      </c>
    </row>
    <row r="4607" spans="1:9" ht="51.75" customHeight="1">
      <c r="A4607" s="5" t="s">
        <v>23888</v>
      </c>
      <c r="B4607" s="5" t="s">
        <v>36438</v>
      </c>
      <c r="C4607" s="5" t="s">
        <v>23621</v>
      </c>
      <c r="D4607" s="246">
        <v>41323</v>
      </c>
      <c r="E4607" s="5" t="s">
        <v>36439</v>
      </c>
      <c r="F4607" s="26" t="s">
        <v>23600</v>
      </c>
      <c r="G4607" s="27" t="s">
        <v>7818</v>
      </c>
      <c r="H4607" s="28" t="s">
        <v>7819</v>
      </c>
      <c r="I4607" s="5" t="s">
        <v>423</v>
      </c>
    </row>
    <row r="4608" spans="1:9" ht="51.75" customHeight="1">
      <c r="A4608" s="5" t="s">
        <v>24385</v>
      </c>
      <c r="B4608" s="5" t="s">
        <v>36440</v>
      </c>
      <c r="C4608" s="5" t="s">
        <v>23625</v>
      </c>
      <c r="D4608" s="246">
        <v>41323</v>
      </c>
      <c r="E4608" s="5" t="s">
        <v>36441</v>
      </c>
      <c r="F4608" s="26" t="s">
        <v>23600</v>
      </c>
      <c r="G4608" s="27" t="s">
        <v>7818</v>
      </c>
      <c r="H4608" s="28" t="s">
        <v>7819</v>
      </c>
      <c r="I4608" s="5" t="s">
        <v>423</v>
      </c>
    </row>
    <row r="4609" spans="1:9" ht="51.75" customHeight="1">
      <c r="A4609" s="5" t="s">
        <v>28999</v>
      </c>
      <c r="B4609" s="5" t="s">
        <v>36442</v>
      </c>
      <c r="C4609" s="5" t="s">
        <v>23621</v>
      </c>
      <c r="D4609" s="246">
        <v>41698</v>
      </c>
      <c r="E4609" s="5" t="s">
        <v>36443</v>
      </c>
      <c r="F4609" s="26" t="s">
        <v>23600</v>
      </c>
      <c r="G4609" s="27" t="s">
        <v>7963</v>
      </c>
      <c r="H4609" s="28" t="s">
        <v>7964</v>
      </c>
      <c r="I4609" s="5" t="s">
        <v>423</v>
      </c>
    </row>
    <row r="4610" spans="1:9" ht="51.75" customHeight="1">
      <c r="A4610" s="5" t="s">
        <v>24571</v>
      </c>
      <c r="B4610" s="5" t="s">
        <v>36444</v>
      </c>
      <c r="C4610" s="5" t="s">
        <v>23625</v>
      </c>
      <c r="D4610" s="246">
        <v>41698</v>
      </c>
      <c r="E4610" s="5" t="s">
        <v>36445</v>
      </c>
      <c r="F4610" s="26" t="s">
        <v>23600</v>
      </c>
      <c r="G4610" s="27" t="s">
        <v>7963</v>
      </c>
      <c r="H4610" s="28" t="s">
        <v>7964</v>
      </c>
      <c r="I4610" s="5" t="s">
        <v>423</v>
      </c>
    </row>
    <row r="4611" spans="1:9" ht="51.75" customHeight="1">
      <c r="A4611" s="5" t="s">
        <v>24575</v>
      </c>
      <c r="B4611" s="5" t="s">
        <v>36446</v>
      </c>
      <c r="C4611" s="5" t="s">
        <v>25972</v>
      </c>
      <c r="D4611" s="246">
        <v>41698</v>
      </c>
      <c r="E4611" s="5" t="s">
        <v>36447</v>
      </c>
      <c r="F4611" s="26" t="s">
        <v>23600</v>
      </c>
      <c r="G4611" s="27" t="s">
        <v>7963</v>
      </c>
      <c r="H4611" s="28" t="s">
        <v>7964</v>
      </c>
      <c r="I4611" s="5" t="s">
        <v>423</v>
      </c>
    </row>
    <row r="4612" spans="1:9" ht="51.75" customHeight="1">
      <c r="A4612" s="5" t="s">
        <v>24579</v>
      </c>
      <c r="B4612" s="5" t="s">
        <v>36448</v>
      </c>
      <c r="C4612" s="5" t="s">
        <v>25928</v>
      </c>
      <c r="D4612" s="246">
        <v>41698</v>
      </c>
      <c r="E4612" s="5" t="s">
        <v>36449</v>
      </c>
      <c r="F4612" s="26" t="s">
        <v>23600</v>
      </c>
      <c r="G4612" s="27" t="s">
        <v>7963</v>
      </c>
      <c r="H4612" s="28" t="s">
        <v>7964</v>
      </c>
      <c r="I4612" s="5" t="s">
        <v>423</v>
      </c>
    </row>
    <row r="4613" spans="1:9" ht="51.75" customHeight="1">
      <c r="A4613" s="5" t="s">
        <v>24583</v>
      </c>
      <c r="B4613" s="5" t="s">
        <v>36450</v>
      </c>
      <c r="C4613" s="5" t="s">
        <v>25934</v>
      </c>
      <c r="D4613" s="246">
        <v>41698</v>
      </c>
      <c r="E4613" s="5" t="s">
        <v>36451</v>
      </c>
      <c r="F4613" s="26" t="s">
        <v>23600</v>
      </c>
      <c r="G4613" s="27" t="s">
        <v>7963</v>
      </c>
      <c r="H4613" s="28" t="s">
        <v>7964</v>
      </c>
      <c r="I4613" s="5" t="s">
        <v>423</v>
      </c>
    </row>
    <row r="4614" spans="1:9" ht="51.75" customHeight="1">
      <c r="A4614" s="5" t="s">
        <v>35199</v>
      </c>
      <c r="B4614" s="5" t="s">
        <v>36452</v>
      </c>
      <c r="C4614" s="5" t="s">
        <v>25986</v>
      </c>
      <c r="D4614" s="246">
        <v>41698</v>
      </c>
      <c r="E4614" s="5" t="s">
        <v>36453</v>
      </c>
      <c r="F4614" s="26" t="s">
        <v>23600</v>
      </c>
      <c r="G4614" s="27" t="s">
        <v>7963</v>
      </c>
      <c r="H4614" s="28" t="s">
        <v>7964</v>
      </c>
      <c r="I4614" s="5" t="s">
        <v>423</v>
      </c>
    </row>
    <row r="4615" spans="1:9" ht="51.75" customHeight="1">
      <c r="A4615" s="5" t="s">
        <v>25301</v>
      </c>
      <c r="B4615" s="5" t="s">
        <v>36454</v>
      </c>
      <c r="C4615" s="5" t="s">
        <v>25992</v>
      </c>
      <c r="D4615" s="246">
        <v>41698</v>
      </c>
      <c r="E4615" s="5" t="s">
        <v>36455</v>
      </c>
      <c r="F4615" s="26" t="s">
        <v>23600</v>
      </c>
      <c r="G4615" s="27" t="s">
        <v>7963</v>
      </c>
      <c r="H4615" s="28" t="s">
        <v>7964</v>
      </c>
      <c r="I4615" s="5" t="s">
        <v>423</v>
      </c>
    </row>
    <row r="4616" spans="1:9" ht="51.75" customHeight="1">
      <c r="A4616" s="5" t="s">
        <v>25304</v>
      </c>
      <c r="B4616" s="5" t="s">
        <v>36456</v>
      </c>
      <c r="C4616" s="5" t="s">
        <v>36416</v>
      </c>
      <c r="D4616" s="246">
        <v>41698</v>
      </c>
      <c r="E4616" s="5" t="s">
        <v>36457</v>
      </c>
      <c r="F4616" s="26" t="s">
        <v>23600</v>
      </c>
      <c r="G4616" s="27" t="s">
        <v>7963</v>
      </c>
      <c r="H4616" s="28" t="s">
        <v>7964</v>
      </c>
      <c r="I4616" s="5" t="s">
        <v>423</v>
      </c>
    </row>
    <row r="4617" spans="1:9" ht="51.75" customHeight="1">
      <c r="A4617" s="5">
        <v>1</v>
      </c>
      <c r="B4617" s="5" t="s">
        <v>36458</v>
      </c>
      <c r="C4617" s="5" t="s">
        <v>36459</v>
      </c>
      <c r="D4617" s="246">
        <v>41093</v>
      </c>
      <c r="E4617" s="5" t="s">
        <v>36460</v>
      </c>
      <c r="F4617" s="26" t="s">
        <v>23600</v>
      </c>
      <c r="G4617" s="27" t="s">
        <v>5399</v>
      </c>
      <c r="H4617" s="28" t="s">
        <v>5400</v>
      </c>
      <c r="I4617" s="5" t="s">
        <v>423</v>
      </c>
    </row>
    <row r="4618" spans="1:9" ht="51.75" customHeight="1">
      <c r="A4618" s="5">
        <v>2</v>
      </c>
      <c r="B4618" s="5" t="s">
        <v>36461</v>
      </c>
      <c r="C4618" s="5" t="s">
        <v>36462</v>
      </c>
      <c r="D4618" s="246">
        <v>41093</v>
      </c>
      <c r="E4618" s="5" t="s">
        <v>36463</v>
      </c>
      <c r="F4618" s="26" t="s">
        <v>23600</v>
      </c>
      <c r="G4618" s="27" t="s">
        <v>5399</v>
      </c>
      <c r="H4618" s="28" t="s">
        <v>5400</v>
      </c>
      <c r="I4618" s="5" t="s">
        <v>423</v>
      </c>
    </row>
    <row r="4619" spans="1:9" ht="51.75" customHeight="1">
      <c r="A4619" s="5">
        <v>3</v>
      </c>
      <c r="B4619" s="5" t="s">
        <v>36464</v>
      </c>
      <c r="C4619" s="5" t="s">
        <v>36465</v>
      </c>
      <c r="D4619" s="246">
        <v>41093</v>
      </c>
      <c r="E4619" s="5" t="s">
        <v>36466</v>
      </c>
      <c r="F4619" s="26" t="s">
        <v>23600</v>
      </c>
      <c r="G4619" s="27" t="s">
        <v>5399</v>
      </c>
      <c r="H4619" s="28" t="s">
        <v>5400</v>
      </c>
      <c r="I4619" s="5" t="s">
        <v>423</v>
      </c>
    </row>
    <row r="4620" spans="1:9" ht="51.75" customHeight="1">
      <c r="A4620" s="5" t="s">
        <v>24166</v>
      </c>
      <c r="B4620" s="5" t="s">
        <v>36467</v>
      </c>
      <c r="C4620" s="5" t="s">
        <v>23621</v>
      </c>
      <c r="D4620" s="246">
        <v>41394</v>
      </c>
      <c r="E4620" s="5" t="s">
        <v>36468</v>
      </c>
      <c r="F4620" s="26" t="s">
        <v>23600</v>
      </c>
      <c r="G4620" s="27" t="s">
        <v>8138</v>
      </c>
      <c r="H4620" s="28" t="s">
        <v>8139</v>
      </c>
      <c r="I4620" s="5" t="s">
        <v>423</v>
      </c>
    </row>
    <row r="4621" spans="1:9" ht="51.75" customHeight="1">
      <c r="A4621" s="5" t="s">
        <v>24170</v>
      </c>
      <c r="B4621" s="5" t="s">
        <v>36469</v>
      </c>
      <c r="C4621" s="5" t="s">
        <v>23625</v>
      </c>
      <c r="D4621" s="246">
        <v>41394</v>
      </c>
      <c r="E4621" s="5" t="s">
        <v>36470</v>
      </c>
      <c r="F4621" s="26" t="s">
        <v>23600</v>
      </c>
      <c r="G4621" s="27" t="s">
        <v>8138</v>
      </c>
      <c r="H4621" s="28" t="s">
        <v>8139</v>
      </c>
      <c r="I4621" s="5" t="s">
        <v>423</v>
      </c>
    </row>
    <row r="4622" spans="1:9" ht="51.75" customHeight="1">
      <c r="A4622" s="5" t="s">
        <v>24174</v>
      </c>
      <c r="B4622" s="5" t="s">
        <v>36471</v>
      </c>
      <c r="C4622" s="5" t="s">
        <v>25972</v>
      </c>
      <c r="D4622" s="246">
        <v>41394</v>
      </c>
      <c r="E4622" s="5" t="s">
        <v>36472</v>
      </c>
      <c r="F4622" s="26" t="s">
        <v>23600</v>
      </c>
      <c r="G4622" s="27" t="s">
        <v>8138</v>
      </c>
      <c r="H4622" s="28" t="s">
        <v>8139</v>
      </c>
      <c r="I4622" s="5" t="s">
        <v>423</v>
      </c>
    </row>
    <row r="4623" spans="1:9" ht="51.75" customHeight="1">
      <c r="A4623" s="5" t="s">
        <v>25121</v>
      </c>
      <c r="B4623" s="5" t="s">
        <v>36473</v>
      </c>
      <c r="C4623" s="5" t="s">
        <v>23621</v>
      </c>
      <c r="D4623" s="246">
        <v>41828</v>
      </c>
      <c r="E4623" s="5" t="s">
        <v>36474</v>
      </c>
      <c r="F4623" s="26" t="s">
        <v>23600</v>
      </c>
      <c r="G4623" s="27" t="s">
        <v>8156</v>
      </c>
      <c r="H4623" s="28" t="s">
        <v>8157</v>
      </c>
      <c r="I4623" s="5" t="s">
        <v>423</v>
      </c>
    </row>
    <row r="4624" spans="1:9" ht="51.75" customHeight="1">
      <c r="A4624" s="5" t="s">
        <v>23876</v>
      </c>
      <c r="B4624" s="5" t="s">
        <v>36475</v>
      </c>
      <c r="C4624" s="5" t="s">
        <v>23625</v>
      </c>
      <c r="D4624" s="246">
        <v>41828</v>
      </c>
      <c r="E4624" s="5" t="s">
        <v>36476</v>
      </c>
      <c r="F4624" s="26" t="s">
        <v>23600</v>
      </c>
      <c r="G4624" s="27" t="s">
        <v>8156</v>
      </c>
      <c r="H4624" s="28" t="s">
        <v>8157</v>
      </c>
      <c r="I4624" s="5" t="s">
        <v>423</v>
      </c>
    </row>
    <row r="4625" spans="1:9" ht="51.75" customHeight="1">
      <c r="A4625" s="5" t="s">
        <v>23772</v>
      </c>
      <c r="B4625" s="5" t="s">
        <v>36477</v>
      </c>
      <c r="C4625" s="5" t="s">
        <v>25972</v>
      </c>
      <c r="D4625" s="246">
        <v>41828</v>
      </c>
      <c r="E4625" s="5" t="s">
        <v>36478</v>
      </c>
      <c r="F4625" s="26" t="s">
        <v>23600</v>
      </c>
      <c r="G4625" s="27" t="s">
        <v>8156</v>
      </c>
      <c r="H4625" s="28" t="s">
        <v>8157</v>
      </c>
      <c r="I4625" s="5" t="s">
        <v>423</v>
      </c>
    </row>
    <row r="4626" spans="1:9" ht="51.75" customHeight="1">
      <c r="A4626" s="5" t="s">
        <v>23839</v>
      </c>
      <c r="B4626" s="5" t="s">
        <v>36479</v>
      </c>
      <c r="C4626" s="5" t="s">
        <v>25928</v>
      </c>
      <c r="D4626" s="246">
        <v>41828</v>
      </c>
      <c r="E4626" s="5" t="s">
        <v>36480</v>
      </c>
      <c r="F4626" s="26" t="s">
        <v>23600</v>
      </c>
      <c r="G4626" s="27" t="s">
        <v>8156</v>
      </c>
      <c r="H4626" s="28" t="s">
        <v>8157</v>
      </c>
      <c r="I4626" s="5" t="s">
        <v>423</v>
      </c>
    </row>
    <row r="4627" spans="1:9" ht="51.75" customHeight="1">
      <c r="A4627" s="5" t="s">
        <v>23843</v>
      </c>
      <c r="B4627" s="5" t="s">
        <v>36481</v>
      </c>
      <c r="C4627" s="5" t="s">
        <v>25934</v>
      </c>
      <c r="D4627" s="246">
        <v>41828</v>
      </c>
      <c r="E4627" s="5" t="s">
        <v>36482</v>
      </c>
      <c r="F4627" s="26" t="s">
        <v>23600</v>
      </c>
      <c r="G4627" s="27" t="s">
        <v>8156</v>
      </c>
      <c r="H4627" s="28" t="s">
        <v>8157</v>
      </c>
      <c r="I4627" s="5" t="s">
        <v>423</v>
      </c>
    </row>
    <row r="4628" spans="1:9" ht="51.75" customHeight="1">
      <c r="A4628" s="5" t="s">
        <v>25944</v>
      </c>
      <c r="B4628" s="5" t="s">
        <v>36483</v>
      </c>
      <c r="C4628" s="5" t="s">
        <v>23621</v>
      </c>
      <c r="D4628" s="246">
        <v>41605</v>
      </c>
      <c r="E4628" s="5" t="s">
        <v>36484</v>
      </c>
      <c r="F4628" s="26" t="s">
        <v>23600</v>
      </c>
      <c r="G4628" s="27" t="s">
        <v>7685</v>
      </c>
      <c r="H4628" s="28" t="s">
        <v>7686</v>
      </c>
      <c r="I4628" s="5" t="s">
        <v>423</v>
      </c>
    </row>
    <row r="4629" spans="1:9" ht="51.75" customHeight="1">
      <c r="A4629" s="5" t="s">
        <v>25000</v>
      </c>
      <c r="B4629" s="5" t="s">
        <v>36485</v>
      </c>
      <c r="C4629" s="5" t="s">
        <v>23625</v>
      </c>
      <c r="D4629" s="246">
        <v>41605</v>
      </c>
      <c r="E4629" s="5" t="s">
        <v>36486</v>
      </c>
      <c r="F4629" s="26" t="s">
        <v>23600</v>
      </c>
      <c r="G4629" s="27" t="s">
        <v>7685</v>
      </c>
      <c r="H4629" s="28" t="s">
        <v>7686</v>
      </c>
      <c r="I4629" s="5" t="s">
        <v>423</v>
      </c>
    </row>
    <row r="4630" spans="1:9" ht="51.75" customHeight="1">
      <c r="A4630" s="5" t="s">
        <v>25006</v>
      </c>
      <c r="B4630" s="5" t="s">
        <v>36487</v>
      </c>
      <c r="C4630" s="5" t="s">
        <v>25972</v>
      </c>
      <c r="D4630" s="246">
        <v>41605</v>
      </c>
      <c r="E4630" s="5" t="s">
        <v>36488</v>
      </c>
      <c r="F4630" s="26" t="s">
        <v>23600</v>
      </c>
      <c r="G4630" s="27" t="s">
        <v>7685</v>
      </c>
      <c r="H4630" s="28" t="s">
        <v>7686</v>
      </c>
      <c r="I4630" s="5" t="s">
        <v>423</v>
      </c>
    </row>
    <row r="4631" spans="1:9" ht="51.75" customHeight="1">
      <c r="A4631" s="5" t="s">
        <v>25012</v>
      </c>
      <c r="B4631" s="5" t="s">
        <v>36489</v>
      </c>
      <c r="C4631" s="5" t="s">
        <v>25928</v>
      </c>
      <c r="D4631" s="246">
        <v>41605</v>
      </c>
      <c r="E4631" s="5" t="s">
        <v>36490</v>
      </c>
      <c r="F4631" s="26" t="s">
        <v>23600</v>
      </c>
      <c r="G4631" s="27" t="s">
        <v>7685</v>
      </c>
      <c r="H4631" s="28" t="s">
        <v>7686</v>
      </c>
      <c r="I4631" s="5" t="s">
        <v>423</v>
      </c>
    </row>
    <row r="4632" spans="1:9" ht="51.75" customHeight="1">
      <c r="A4632" s="5" t="s">
        <v>25350</v>
      </c>
      <c r="B4632" s="5" t="s">
        <v>36491</v>
      </c>
      <c r="C4632" s="5" t="s">
        <v>23621</v>
      </c>
      <c r="D4632" s="246">
        <v>41474</v>
      </c>
      <c r="E4632" s="5" t="s">
        <v>36492</v>
      </c>
      <c r="F4632" s="26" t="s">
        <v>23600</v>
      </c>
      <c r="G4632" s="27" t="s">
        <v>8325</v>
      </c>
      <c r="H4632" s="28" t="s">
        <v>8326</v>
      </c>
      <c r="I4632" s="5" t="s">
        <v>423</v>
      </c>
    </row>
    <row r="4633" spans="1:9" ht="51.75" customHeight="1">
      <c r="A4633" s="5" t="s">
        <v>34838</v>
      </c>
      <c r="B4633" s="5" t="s">
        <v>36493</v>
      </c>
      <c r="C4633" s="5" t="s">
        <v>23625</v>
      </c>
      <c r="D4633" s="246">
        <v>41474</v>
      </c>
      <c r="E4633" s="5" t="s">
        <v>36494</v>
      </c>
      <c r="F4633" s="26" t="s">
        <v>23600</v>
      </c>
      <c r="G4633" s="27" t="s">
        <v>8325</v>
      </c>
      <c r="H4633" s="28" t="s">
        <v>8326</v>
      </c>
      <c r="I4633" s="5" t="s">
        <v>423</v>
      </c>
    </row>
    <row r="4634" spans="1:9" ht="51.75" customHeight="1">
      <c r="A4634" s="5" t="s">
        <v>25354</v>
      </c>
      <c r="B4634" s="5" t="s">
        <v>36495</v>
      </c>
      <c r="C4634" s="5" t="s">
        <v>25972</v>
      </c>
      <c r="D4634" s="246">
        <v>41474</v>
      </c>
      <c r="E4634" s="5" t="s">
        <v>36496</v>
      </c>
      <c r="F4634" s="26" t="s">
        <v>23600</v>
      </c>
      <c r="G4634" s="27" t="s">
        <v>8325</v>
      </c>
      <c r="H4634" s="28" t="s">
        <v>8326</v>
      </c>
      <c r="I4634" s="5" t="s">
        <v>423</v>
      </c>
    </row>
    <row r="4635" spans="1:9" ht="51.75" customHeight="1">
      <c r="A4635" s="5" t="s">
        <v>23956</v>
      </c>
      <c r="B4635" s="5" t="s">
        <v>36497</v>
      </c>
      <c r="C4635" s="5" t="s">
        <v>25928</v>
      </c>
      <c r="D4635" s="246">
        <v>41474</v>
      </c>
      <c r="E4635" s="5" t="s">
        <v>36498</v>
      </c>
      <c r="F4635" s="26" t="s">
        <v>23600</v>
      </c>
      <c r="G4635" s="27" t="s">
        <v>8325</v>
      </c>
      <c r="H4635" s="28" t="s">
        <v>8326</v>
      </c>
      <c r="I4635" s="5" t="s">
        <v>423</v>
      </c>
    </row>
    <row r="4636" spans="1:9" ht="51.75" customHeight="1">
      <c r="A4636" s="5" t="s">
        <v>25666</v>
      </c>
      <c r="B4636" s="5" t="s">
        <v>36499</v>
      </c>
      <c r="C4636" s="5" t="s">
        <v>25934</v>
      </c>
      <c r="D4636" s="246">
        <v>41474</v>
      </c>
      <c r="E4636" s="5" t="s">
        <v>36500</v>
      </c>
      <c r="F4636" s="26" t="s">
        <v>23600</v>
      </c>
      <c r="G4636" s="27" t="s">
        <v>8325</v>
      </c>
      <c r="H4636" s="28" t="s">
        <v>8326</v>
      </c>
      <c r="I4636" s="5" t="s">
        <v>423</v>
      </c>
    </row>
    <row r="4637" spans="1:9" ht="51.75" customHeight="1">
      <c r="A4637" s="5" t="s">
        <v>27369</v>
      </c>
      <c r="B4637" s="5" t="s">
        <v>36501</v>
      </c>
      <c r="C4637" s="5" t="s">
        <v>23621</v>
      </c>
      <c r="D4637" s="246">
        <v>41523</v>
      </c>
      <c r="E4637" s="5" t="s">
        <v>36502</v>
      </c>
      <c r="F4637" s="26" t="s">
        <v>23600</v>
      </c>
      <c r="G4637" s="27" t="s">
        <v>8319</v>
      </c>
      <c r="H4637" s="28" t="s">
        <v>8320</v>
      </c>
      <c r="I4637" s="5" t="s">
        <v>423</v>
      </c>
    </row>
    <row r="4638" spans="1:9" ht="51.75" customHeight="1">
      <c r="A4638" s="5" t="s">
        <v>26646</v>
      </c>
      <c r="B4638" s="5" t="s">
        <v>36503</v>
      </c>
      <c r="C4638" s="5" t="s">
        <v>23625</v>
      </c>
      <c r="D4638" s="246">
        <v>41523</v>
      </c>
      <c r="E4638" s="5" t="s">
        <v>36504</v>
      </c>
      <c r="F4638" s="26" t="s">
        <v>23600</v>
      </c>
      <c r="G4638" s="27" t="s">
        <v>8319</v>
      </c>
      <c r="H4638" s="28" t="s">
        <v>8320</v>
      </c>
      <c r="I4638" s="5" t="s">
        <v>423</v>
      </c>
    </row>
    <row r="4639" spans="1:9" ht="51.75" customHeight="1">
      <c r="A4639" s="5" t="s">
        <v>26652</v>
      </c>
      <c r="B4639" s="5" t="s">
        <v>36505</v>
      </c>
      <c r="C4639" s="5" t="s">
        <v>25972</v>
      </c>
      <c r="D4639" s="246">
        <v>41523</v>
      </c>
      <c r="E4639" s="5" t="s">
        <v>36506</v>
      </c>
      <c r="F4639" s="26" t="s">
        <v>23600</v>
      </c>
      <c r="G4639" s="27" t="s">
        <v>8319</v>
      </c>
      <c r="H4639" s="28" t="s">
        <v>8320</v>
      </c>
      <c r="I4639" s="5" t="s">
        <v>423</v>
      </c>
    </row>
    <row r="4640" spans="1:9" ht="51.75" customHeight="1">
      <c r="A4640" s="5" t="s">
        <v>24704</v>
      </c>
      <c r="B4640" s="5" t="s">
        <v>36507</v>
      </c>
      <c r="C4640" s="5" t="s">
        <v>23621</v>
      </c>
      <c r="D4640" s="246">
        <v>41514</v>
      </c>
      <c r="E4640" s="5" t="s">
        <v>36508</v>
      </c>
      <c r="F4640" s="26" t="s">
        <v>23600</v>
      </c>
      <c r="G4640" s="27" t="s">
        <v>8232</v>
      </c>
      <c r="H4640" s="28" t="s">
        <v>8233</v>
      </c>
      <c r="I4640" s="5" t="s">
        <v>423</v>
      </c>
    </row>
    <row r="4641" spans="1:9" ht="51.75" customHeight="1">
      <c r="A4641" s="5" t="s">
        <v>30014</v>
      </c>
      <c r="B4641" s="5" t="s">
        <v>36509</v>
      </c>
      <c r="C4641" s="5" t="s">
        <v>23625</v>
      </c>
      <c r="D4641" s="246">
        <v>41514</v>
      </c>
      <c r="E4641" s="5" t="s">
        <v>36510</v>
      </c>
      <c r="F4641" s="26" t="s">
        <v>23600</v>
      </c>
      <c r="G4641" s="27" t="s">
        <v>8232</v>
      </c>
      <c r="H4641" s="28" t="s">
        <v>8233</v>
      </c>
      <c r="I4641" s="5" t="s">
        <v>423</v>
      </c>
    </row>
    <row r="4642" spans="1:9" ht="51.75" customHeight="1">
      <c r="A4642" s="5" t="s">
        <v>24708</v>
      </c>
      <c r="B4642" s="5" t="s">
        <v>36511</v>
      </c>
      <c r="C4642" s="5" t="s">
        <v>25972</v>
      </c>
      <c r="D4642" s="246">
        <v>41514</v>
      </c>
      <c r="E4642" s="5" t="s">
        <v>36512</v>
      </c>
      <c r="F4642" s="26" t="s">
        <v>23600</v>
      </c>
      <c r="G4642" s="27" t="s">
        <v>8232</v>
      </c>
      <c r="H4642" s="28" t="s">
        <v>8233</v>
      </c>
      <c r="I4642" s="5" t="s">
        <v>423</v>
      </c>
    </row>
    <row r="4643" spans="1:9" ht="51.75" customHeight="1">
      <c r="A4643" s="5" t="s">
        <v>27392</v>
      </c>
      <c r="B4643" s="5" t="s">
        <v>36513</v>
      </c>
      <c r="C4643" s="5" t="s">
        <v>25928</v>
      </c>
      <c r="D4643" s="246">
        <v>41514</v>
      </c>
      <c r="E4643" s="5" t="s">
        <v>36129</v>
      </c>
      <c r="F4643" s="26" t="s">
        <v>23600</v>
      </c>
      <c r="G4643" s="27" t="s">
        <v>8232</v>
      </c>
      <c r="H4643" s="28" t="s">
        <v>8233</v>
      </c>
      <c r="I4643" s="5" t="s">
        <v>423</v>
      </c>
    </row>
    <row r="4644" spans="1:9" ht="51.75" customHeight="1">
      <c r="A4644" s="5" t="s">
        <v>24712</v>
      </c>
      <c r="B4644" s="5" t="s">
        <v>36514</v>
      </c>
      <c r="C4644" s="5" t="s">
        <v>25934</v>
      </c>
      <c r="D4644" s="246">
        <v>41514</v>
      </c>
      <c r="E4644" s="5" t="s">
        <v>36515</v>
      </c>
      <c r="F4644" s="26" t="s">
        <v>23600</v>
      </c>
      <c r="G4644" s="27" t="s">
        <v>8232</v>
      </c>
      <c r="H4644" s="28" t="s">
        <v>8233</v>
      </c>
      <c r="I4644" s="5" t="s">
        <v>423</v>
      </c>
    </row>
    <row r="4645" spans="1:9" ht="51.75" customHeight="1">
      <c r="A4645" s="5" t="s">
        <v>23915</v>
      </c>
      <c r="B4645" s="5" t="s">
        <v>36516</v>
      </c>
      <c r="C4645" s="5" t="s">
        <v>23621</v>
      </c>
      <c r="D4645" s="246">
        <v>41835</v>
      </c>
      <c r="E4645" s="5" t="s">
        <v>36517</v>
      </c>
      <c r="F4645" s="26" t="s">
        <v>23600</v>
      </c>
      <c r="G4645" s="27" t="s">
        <v>8394</v>
      </c>
      <c r="H4645" s="28" t="s">
        <v>8395</v>
      </c>
      <c r="I4645" s="5" t="s">
        <v>423</v>
      </c>
    </row>
    <row r="4646" spans="1:9" ht="51.75" customHeight="1">
      <c r="A4646" s="5" t="s">
        <v>27857</v>
      </c>
      <c r="B4646" s="5" t="s">
        <v>36518</v>
      </c>
      <c r="C4646" s="5" t="s">
        <v>23625</v>
      </c>
      <c r="D4646" s="246">
        <v>41835</v>
      </c>
      <c r="E4646" s="5" t="s">
        <v>36406</v>
      </c>
      <c r="F4646" s="26" t="s">
        <v>23600</v>
      </c>
      <c r="G4646" s="27" t="s">
        <v>8394</v>
      </c>
      <c r="H4646" s="28" t="s">
        <v>8395</v>
      </c>
      <c r="I4646" s="5" t="s">
        <v>423</v>
      </c>
    </row>
    <row r="4647" spans="1:9" ht="51.75" customHeight="1">
      <c r="A4647" s="5" t="s">
        <v>27861</v>
      </c>
      <c r="B4647" s="5" t="s">
        <v>36519</v>
      </c>
      <c r="C4647" s="5" t="s">
        <v>25972</v>
      </c>
      <c r="D4647" s="246">
        <v>41835</v>
      </c>
      <c r="E4647" s="5" t="s">
        <v>36520</v>
      </c>
      <c r="F4647" s="26" t="s">
        <v>23600</v>
      </c>
      <c r="G4647" s="27" t="s">
        <v>8394</v>
      </c>
      <c r="H4647" s="28" t="s">
        <v>8395</v>
      </c>
      <c r="I4647" s="5" t="s">
        <v>423</v>
      </c>
    </row>
    <row r="4648" spans="1:9" ht="51.75" customHeight="1">
      <c r="A4648" s="5" t="s">
        <v>25327</v>
      </c>
      <c r="B4648" s="5" t="s">
        <v>36521</v>
      </c>
      <c r="C4648" s="5" t="s">
        <v>25928</v>
      </c>
      <c r="D4648" s="246">
        <v>41835</v>
      </c>
      <c r="E4648" s="5" t="s">
        <v>36522</v>
      </c>
      <c r="F4648" s="26" t="s">
        <v>23600</v>
      </c>
      <c r="G4648" s="27" t="s">
        <v>8394</v>
      </c>
      <c r="H4648" s="28" t="s">
        <v>8395</v>
      </c>
      <c r="I4648" s="5" t="s">
        <v>423</v>
      </c>
    </row>
    <row r="4649" spans="1:9" ht="51.75" customHeight="1">
      <c r="A4649" s="5" t="s">
        <v>28257</v>
      </c>
      <c r="B4649" s="5" t="s">
        <v>36523</v>
      </c>
      <c r="C4649" s="5" t="s">
        <v>25934</v>
      </c>
      <c r="D4649" s="246">
        <v>41835</v>
      </c>
      <c r="E4649" s="5" t="s">
        <v>36198</v>
      </c>
      <c r="F4649" s="26" t="s">
        <v>23600</v>
      </c>
      <c r="G4649" s="27" t="s">
        <v>8394</v>
      </c>
      <c r="H4649" s="28" t="s">
        <v>8395</v>
      </c>
      <c r="I4649" s="5" t="s">
        <v>423</v>
      </c>
    </row>
    <row r="4650" spans="1:9" ht="51.75" customHeight="1">
      <c r="A4650" s="5" t="s">
        <v>24666</v>
      </c>
      <c r="B4650" s="5" t="s">
        <v>36524</v>
      </c>
      <c r="C4650" s="5" t="s">
        <v>23621</v>
      </c>
      <c r="D4650" s="246">
        <v>41569</v>
      </c>
      <c r="E4650" s="5" t="s">
        <v>36525</v>
      </c>
      <c r="F4650" s="26" t="s">
        <v>23600</v>
      </c>
      <c r="G4650" s="27" t="s">
        <v>8353</v>
      </c>
      <c r="H4650" s="28" t="s">
        <v>8354</v>
      </c>
      <c r="I4650" s="5" t="s">
        <v>423</v>
      </c>
    </row>
    <row r="4651" spans="1:9" ht="51.75" customHeight="1">
      <c r="A4651" s="5" t="s">
        <v>24670</v>
      </c>
      <c r="B4651" s="5" t="s">
        <v>36526</v>
      </c>
      <c r="C4651" s="5" t="s">
        <v>23625</v>
      </c>
      <c r="D4651" s="246">
        <v>41569</v>
      </c>
      <c r="E4651" s="5" t="s">
        <v>36406</v>
      </c>
      <c r="F4651" s="26" t="s">
        <v>23600</v>
      </c>
      <c r="G4651" s="27" t="s">
        <v>8353</v>
      </c>
      <c r="H4651" s="28" t="s">
        <v>8354</v>
      </c>
      <c r="I4651" s="5" t="s">
        <v>423</v>
      </c>
    </row>
    <row r="4652" spans="1:9" ht="51.75" customHeight="1">
      <c r="A4652" s="5" t="s">
        <v>24631</v>
      </c>
      <c r="B4652" s="5" t="s">
        <v>36527</v>
      </c>
      <c r="C4652" s="5" t="s">
        <v>25972</v>
      </c>
      <c r="D4652" s="246">
        <v>41569</v>
      </c>
      <c r="E4652" s="5" t="s">
        <v>36520</v>
      </c>
      <c r="F4652" s="26" t="s">
        <v>23600</v>
      </c>
      <c r="G4652" s="27" t="s">
        <v>8353</v>
      </c>
      <c r="H4652" s="28" t="s">
        <v>8354</v>
      </c>
      <c r="I4652" s="5" t="s">
        <v>423</v>
      </c>
    </row>
    <row r="4653" spans="1:9" ht="51.75" customHeight="1">
      <c r="A4653" s="5" t="s">
        <v>24635</v>
      </c>
      <c r="B4653" s="5" t="s">
        <v>36528</v>
      </c>
      <c r="C4653" s="5" t="s">
        <v>25928</v>
      </c>
      <c r="D4653" s="246">
        <v>41569</v>
      </c>
      <c r="E4653" s="5" t="s">
        <v>36522</v>
      </c>
      <c r="F4653" s="26" t="s">
        <v>23600</v>
      </c>
      <c r="G4653" s="27" t="s">
        <v>8353</v>
      </c>
      <c r="H4653" s="28" t="s">
        <v>8354</v>
      </c>
      <c r="I4653" s="5" t="s">
        <v>423</v>
      </c>
    </row>
    <row r="4654" spans="1:9" ht="51.75" customHeight="1">
      <c r="A4654" s="5" t="s">
        <v>24639</v>
      </c>
      <c r="B4654" s="5" t="s">
        <v>36529</v>
      </c>
      <c r="C4654" s="5" t="s">
        <v>25934</v>
      </c>
      <c r="D4654" s="246">
        <v>41569</v>
      </c>
      <c r="E4654" s="5" t="s">
        <v>36198</v>
      </c>
      <c r="F4654" s="26" t="s">
        <v>23600</v>
      </c>
      <c r="G4654" s="27" t="s">
        <v>8353</v>
      </c>
      <c r="H4654" s="28" t="s">
        <v>8354</v>
      </c>
      <c r="I4654" s="5" t="s">
        <v>423</v>
      </c>
    </row>
    <row r="4655" spans="1:9" ht="51.75" customHeight="1">
      <c r="A4655" s="5" t="s">
        <v>35074</v>
      </c>
      <c r="B4655" s="5" t="s">
        <v>36530</v>
      </c>
      <c r="C4655" s="5" t="s">
        <v>23621</v>
      </c>
      <c r="D4655" s="246">
        <v>41500</v>
      </c>
      <c r="E4655" s="5" t="s">
        <v>36531</v>
      </c>
      <c r="F4655" s="26" t="s">
        <v>23600</v>
      </c>
      <c r="G4655" s="27" t="s">
        <v>8416</v>
      </c>
      <c r="H4655" s="28" t="s">
        <v>8417</v>
      </c>
      <c r="I4655" s="5" t="s">
        <v>423</v>
      </c>
    </row>
    <row r="4656" spans="1:9" ht="51.75" customHeight="1">
      <c r="A4656" s="5" t="s">
        <v>35078</v>
      </c>
      <c r="B4656" s="5" t="s">
        <v>36532</v>
      </c>
      <c r="C4656" s="5" t="s">
        <v>23625</v>
      </c>
      <c r="D4656" s="246">
        <v>41500</v>
      </c>
      <c r="E4656" s="5" t="s">
        <v>36533</v>
      </c>
      <c r="F4656" s="26" t="s">
        <v>23600</v>
      </c>
      <c r="G4656" s="27" t="s">
        <v>8416</v>
      </c>
      <c r="H4656" s="28" t="s">
        <v>8417</v>
      </c>
      <c r="I4656" s="5" t="s">
        <v>423</v>
      </c>
    </row>
    <row r="4657" spans="1:9" ht="51.75" customHeight="1">
      <c r="A4657" s="5" t="s">
        <v>25365</v>
      </c>
      <c r="B4657" s="5" t="s">
        <v>36534</v>
      </c>
      <c r="C4657" s="5" t="s">
        <v>25972</v>
      </c>
      <c r="D4657" s="246">
        <v>41500</v>
      </c>
      <c r="E4657" s="5" t="s">
        <v>36535</v>
      </c>
      <c r="F4657" s="26" t="s">
        <v>23600</v>
      </c>
      <c r="G4657" s="27" t="s">
        <v>8416</v>
      </c>
      <c r="H4657" s="28" t="s">
        <v>8417</v>
      </c>
      <c r="I4657" s="5" t="s">
        <v>423</v>
      </c>
    </row>
    <row r="4658" spans="1:9" ht="51.75" customHeight="1">
      <c r="A4658" s="5" t="s">
        <v>23908</v>
      </c>
      <c r="B4658" s="5" t="s">
        <v>36536</v>
      </c>
      <c r="C4658" s="5" t="s">
        <v>23621</v>
      </c>
      <c r="D4658" s="246">
        <v>41578</v>
      </c>
      <c r="E4658" s="5" t="s">
        <v>36537</v>
      </c>
      <c r="F4658" s="26" t="s">
        <v>23600</v>
      </c>
      <c r="G4658" s="27" t="s">
        <v>8410</v>
      </c>
      <c r="H4658" s="28" t="s">
        <v>8411</v>
      </c>
      <c r="I4658" s="5" t="s">
        <v>423</v>
      </c>
    </row>
    <row r="4659" spans="1:9" ht="51.75" customHeight="1">
      <c r="A4659" s="5" t="s">
        <v>27180</v>
      </c>
      <c r="B4659" s="5" t="s">
        <v>36538</v>
      </c>
      <c r="C4659" s="5" t="s">
        <v>23625</v>
      </c>
      <c r="D4659" s="246">
        <v>41578</v>
      </c>
      <c r="E4659" s="5" t="s">
        <v>36539</v>
      </c>
      <c r="F4659" s="26" t="s">
        <v>23600</v>
      </c>
      <c r="G4659" s="27" t="s">
        <v>8410</v>
      </c>
      <c r="H4659" s="28" t="s">
        <v>8411</v>
      </c>
      <c r="I4659" s="5" t="s">
        <v>423</v>
      </c>
    </row>
    <row r="4660" spans="1:9" ht="51.75" customHeight="1">
      <c r="A4660" s="5" t="s">
        <v>24538</v>
      </c>
      <c r="B4660" s="5" t="s">
        <v>36540</v>
      </c>
      <c r="C4660" s="5" t="s">
        <v>23621</v>
      </c>
      <c r="D4660" s="246">
        <v>41800</v>
      </c>
      <c r="E4660" s="5" t="s">
        <v>36541</v>
      </c>
      <c r="F4660" s="26" t="s">
        <v>23600</v>
      </c>
      <c r="G4660" s="27" t="s">
        <v>8550</v>
      </c>
      <c r="H4660" s="28" t="s">
        <v>8551</v>
      </c>
      <c r="I4660" s="5" t="s">
        <v>423</v>
      </c>
    </row>
    <row r="4661" spans="1:9" ht="51.75" customHeight="1">
      <c r="A4661" s="5" t="s">
        <v>24542</v>
      </c>
      <c r="B4661" s="5" t="s">
        <v>36542</v>
      </c>
      <c r="C4661" s="5" t="s">
        <v>23625</v>
      </c>
      <c r="D4661" s="246">
        <v>41800</v>
      </c>
      <c r="E4661" s="5" t="s">
        <v>36543</v>
      </c>
      <c r="F4661" s="26" t="s">
        <v>23600</v>
      </c>
      <c r="G4661" s="27" t="s">
        <v>8550</v>
      </c>
      <c r="H4661" s="28" t="s">
        <v>8551</v>
      </c>
      <c r="I4661" s="5" t="s">
        <v>423</v>
      </c>
    </row>
    <row r="4662" spans="1:9" ht="51.75" customHeight="1">
      <c r="A4662" s="5" t="s">
        <v>24546</v>
      </c>
      <c r="B4662" s="5" t="s">
        <v>36544</v>
      </c>
      <c r="C4662" s="5" t="s">
        <v>25972</v>
      </c>
      <c r="D4662" s="246">
        <v>41800</v>
      </c>
      <c r="E4662" s="5" t="s">
        <v>36545</v>
      </c>
      <c r="F4662" s="26" t="s">
        <v>23600</v>
      </c>
      <c r="G4662" s="27" t="s">
        <v>8550</v>
      </c>
      <c r="H4662" s="28" t="s">
        <v>8551</v>
      </c>
      <c r="I4662" s="5" t="s">
        <v>423</v>
      </c>
    </row>
    <row r="4663" spans="1:9" ht="51.75" customHeight="1">
      <c r="A4663" s="5" t="s">
        <v>24969</v>
      </c>
      <c r="B4663" s="5" t="s">
        <v>36546</v>
      </c>
      <c r="C4663" s="5" t="s">
        <v>23621</v>
      </c>
      <c r="D4663" s="246">
        <v>41604</v>
      </c>
      <c r="E4663" s="5" t="s">
        <v>36547</v>
      </c>
      <c r="F4663" s="26" t="s">
        <v>23600</v>
      </c>
      <c r="G4663" s="27" t="s">
        <v>8579</v>
      </c>
      <c r="H4663" s="28" t="s">
        <v>8580</v>
      </c>
      <c r="I4663" s="5" t="s">
        <v>423</v>
      </c>
    </row>
    <row r="4664" spans="1:9" ht="51.75" customHeight="1">
      <c r="A4664" s="5" t="s">
        <v>24975</v>
      </c>
      <c r="B4664" s="5" t="s">
        <v>36548</v>
      </c>
      <c r="C4664" s="5" t="s">
        <v>23625</v>
      </c>
      <c r="D4664" s="246">
        <v>41604</v>
      </c>
      <c r="E4664" s="5" t="s">
        <v>36549</v>
      </c>
      <c r="F4664" s="26" t="s">
        <v>23600</v>
      </c>
      <c r="G4664" s="27" t="s">
        <v>8579</v>
      </c>
      <c r="H4664" s="28" t="s">
        <v>8580</v>
      </c>
      <c r="I4664" s="5" t="s">
        <v>423</v>
      </c>
    </row>
    <row r="4665" spans="1:9" ht="51.75" customHeight="1">
      <c r="A4665" s="5" t="s">
        <v>24981</v>
      </c>
      <c r="B4665" s="5" t="s">
        <v>36550</v>
      </c>
      <c r="C4665" s="5" t="s">
        <v>25972</v>
      </c>
      <c r="D4665" s="246">
        <v>41604</v>
      </c>
      <c r="E4665" s="5" t="s">
        <v>36551</v>
      </c>
      <c r="F4665" s="26" t="s">
        <v>23600</v>
      </c>
      <c r="G4665" s="27" t="s">
        <v>8579</v>
      </c>
      <c r="H4665" s="28" t="s">
        <v>8580</v>
      </c>
      <c r="I4665" s="5" t="s">
        <v>423</v>
      </c>
    </row>
    <row r="4666" spans="1:9" ht="51.75" customHeight="1">
      <c r="A4666" s="5" t="s">
        <v>27168</v>
      </c>
      <c r="B4666" s="5" t="s">
        <v>36552</v>
      </c>
      <c r="C4666" s="5" t="s">
        <v>23621</v>
      </c>
      <c r="D4666" s="246">
        <v>41571</v>
      </c>
      <c r="E4666" s="5" t="s">
        <v>36553</v>
      </c>
      <c r="F4666" s="26" t="s">
        <v>23600</v>
      </c>
      <c r="G4666" s="27" t="s">
        <v>8608</v>
      </c>
      <c r="H4666" s="28" t="s">
        <v>8609</v>
      </c>
      <c r="I4666" s="5" t="s">
        <v>423</v>
      </c>
    </row>
    <row r="4667" spans="1:9" ht="51.75" customHeight="1">
      <c r="A4667" s="5" t="s">
        <v>27171</v>
      </c>
      <c r="B4667" s="5" t="s">
        <v>36554</v>
      </c>
      <c r="C4667" s="5" t="s">
        <v>23625</v>
      </c>
      <c r="D4667" s="246">
        <v>41571</v>
      </c>
      <c r="E4667" s="5" t="s">
        <v>36555</v>
      </c>
      <c r="F4667" s="26" t="s">
        <v>23600</v>
      </c>
      <c r="G4667" s="27" t="s">
        <v>8608</v>
      </c>
      <c r="H4667" s="28" t="s">
        <v>8609</v>
      </c>
      <c r="I4667" s="5" t="s">
        <v>423</v>
      </c>
    </row>
    <row r="4668" spans="1:9" ht="51.75" customHeight="1">
      <c r="A4668" s="5" t="s">
        <v>23904</v>
      </c>
      <c r="B4668" s="5" t="s">
        <v>36556</v>
      </c>
      <c r="C4668" s="5" t="s">
        <v>25972</v>
      </c>
      <c r="D4668" s="246">
        <v>41571</v>
      </c>
      <c r="E4668" s="5" t="s">
        <v>36506</v>
      </c>
      <c r="F4668" s="26" t="s">
        <v>23600</v>
      </c>
      <c r="G4668" s="27" t="s">
        <v>8608</v>
      </c>
      <c r="H4668" s="28" t="s">
        <v>8609</v>
      </c>
      <c r="I4668" s="5" t="s">
        <v>423</v>
      </c>
    </row>
    <row r="4669" spans="1:9" ht="51.75" customHeight="1">
      <c r="A4669" s="5" t="s">
        <v>26352</v>
      </c>
      <c r="B4669" s="5" t="s">
        <v>36557</v>
      </c>
      <c r="C4669" s="5" t="s">
        <v>23621</v>
      </c>
      <c r="D4669" s="246">
        <v>41711</v>
      </c>
      <c r="E4669" s="5" t="s">
        <v>36558</v>
      </c>
      <c r="F4669" s="26" t="s">
        <v>23600</v>
      </c>
      <c r="G4669" s="27" t="s">
        <v>8501</v>
      </c>
      <c r="H4669" s="28" t="s">
        <v>8502</v>
      </c>
      <c r="I4669" s="5" t="s">
        <v>423</v>
      </c>
    </row>
    <row r="4670" spans="1:9" ht="51.75" customHeight="1">
      <c r="A4670" s="5" t="s">
        <v>26358</v>
      </c>
      <c r="B4670" s="5" t="s">
        <v>36559</v>
      </c>
      <c r="C4670" s="5" t="s">
        <v>23625</v>
      </c>
      <c r="D4670" s="246">
        <v>41711</v>
      </c>
      <c r="E4670" s="5" t="s">
        <v>36560</v>
      </c>
      <c r="F4670" s="26" t="s">
        <v>23600</v>
      </c>
      <c r="G4670" s="27" t="s">
        <v>8501</v>
      </c>
      <c r="H4670" s="28" t="s">
        <v>8502</v>
      </c>
      <c r="I4670" s="5" t="s">
        <v>423</v>
      </c>
    </row>
    <row r="4671" spans="1:9" ht="51.75" customHeight="1">
      <c r="A4671" s="5" t="s">
        <v>24647</v>
      </c>
      <c r="B4671" s="5" t="s">
        <v>36561</v>
      </c>
      <c r="C4671" s="5" t="s">
        <v>23621</v>
      </c>
      <c r="D4671" s="246">
        <v>41540</v>
      </c>
      <c r="E4671" s="5" t="s">
        <v>36562</v>
      </c>
      <c r="F4671" s="26" t="s">
        <v>23600</v>
      </c>
      <c r="G4671" s="27" t="s">
        <v>8614</v>
      </c>
      <c r="H4671" s="28" t="s">
        <v>8615</v>
      </c>
      <c r="I4671" s="5" t="s">
        <v>423</v>
      </c>
    </row>
    <row r="4672" spans="1:9" ht="51.75" customHeight="1">
      <c r="A4672" s="5" t="s">
        <v>28551</v>
      </c>
      <c r="B4672" s="5" t="s">
        <v>36563</v>
      </c>
      <c r="C4672" s="5" t="s">
        <v>23625</v>
      </c>
      <c r="D4672" s="246">
        <v>41540</v>
      </c>
      <c r="E4672" s="5" t="s">
        <v>36564</v>
      </c>
      <c r="F4672" s="26" t="s">
        <v>23600</v>
      </c>
      <c r="G4672" s="27" t="s">
        <v>8614</v>
      </c>
      <c r="H4672" s="28" t="s">
        <v>8615</v>
      </c>
      <c r="I4672" s="5" t="s">
        <v>423</v>
      </c>
    </row>
    <row r="4673" spans="1:9" ht="51.75" customHeight="1">
      <c r="A4673" s="5" t="s">
        <v>28557</v>
      </c>
      <c r="B4673" s="5" t="s">
        <v>36565</v>
      </c>
      <c r="C4673" s="5" t="s">
        <v>25972</v>
      </c>
      <c r="D4673" s="246">
        <v>41540</v>
      </c>
      <c r="E4673" s="5" t="s">
        <v>36566</v>
      </c>
      <c r="F4673" s="26" t="s">
        <v>23600</v>
      </c>
      <c r="G4673" s="27" t="s">
        <v>8614</v>
      </c>
      <c r="H4673" s="28" t="s">
        <v>8615</v>
      </c>
      <c r="I4673" s="5" t="s">
        <v>423</v>
      </c>
    </row>
    <row r="4674" spans="1:9" ht="51.75" customHeight="1">
      <c r="A4674" s="5" t="s">
        <v>24651</v>
      </c>
      <c r="B4674" s="5" t="s">
        <v>36567</v>
      </c>
      <c r="C4674" s="5" t="s">
        <v>25928</v>
      </c>
      <c r="D4674" s="246">
        <v>41540</v>
      </c>
      <c r="E4674" s="5" t="s">
        <v>36568</v>
      </c>
      <c r="F4674" s="26" t="s">
        <v>23600</v>
      </c>
      <c r="G4674" s="27" t="s">
        <v>8614</v>
      </c>
      <c r="H4674" s="28" t="s">
        <v>8615</v>
      </c>
      <c r="I4674" s="5" t="s">
        <v>423</v>
      </c>
    </row>
    <row r="4675" spans="1:9" ht="51.75" customHeight="1">
      <c r="A4675" s="5" t="s">
        <v>24475</v>
      </c>
      <c r="B4675" s="5" t="s">
        <v>36569</v>
      </c>
      <c r="C4675" s="5" t="s">
        <v>23621</v>
      </c>
      <c r="D4675" s="246">
        <v>41612</v>
      </c>
      <c r="E4675" s="5" t="s">
        <v>36570</v>
      </c>
      <c r="F4675" s="26" t="s">
        <v>23600</v>
      </c>
      <c r="G4675" s="27" t="s">
        <v>8686</v>
      </c>
      <c r="H4675" s="28" t="s">
        <v>8687</v>
      </c>
      <c r="I4675" s="5" t="s">
        <v>423</v>
      </c>
    </row>
    <row r="4676" spans="1:9" ht="51.75" customHeight="1">
      <c r="A4676" s="5" t="s">
        <v>24479</v>
      </c>
      <c r="B4676" s="5" t="s">
        <v>36571</v>
      </c>
      <c r="C4676" s="5" t="s">
        <v>23625</v>
      </c>
      <c r="D4676" s="246">
        <v>41612</v>
      </c>
      <c r="E4676" s="5" t="s">
        <v>36572</v>
      </c>
      <c r="F4676" s="26" t="s">
        <v>23600</v>
      </c>
      <c r="G4676" s="27" t="s">
        <v>8686</v>
      </c>
      <c r="H4676" s="28" t="s">
        <v>8687</v>
      </c>
      <c r="I4676" s="5" t="s">
        <v>423</v>
      </c>
    </row>
    <row r="4677" spans="1:9" ht="51.75" customHeight="1">
      <c r="A4677" s="5" t="s">
        <v>24483</v>
      </c>
      <c r="B4677" s="5" t="s">
        <v>36573</v>
      </c>
      <c r="C4677" s="5" t="s">
        <v>25972</v>
      </c>
      <c r="D4677" s="246">
        <v>41612</v>
      </c>
      <c r="E4677" s="5" t="s">
        <v>36574</v>
      </c>
      <c r="F4677" s="26" t="s">
        <v>23600</v>
      </c>
      <c r="G4677" s="27" t="s">
        <v>8686</v>
      </c>
      <c r="H4677" s="28" t="s">
        <v>8687</v>
      </c>
      <c r="I4677" s="5" t="s">
        <v>423</v>
      </c>
    </row>
    <row r="4678" spans="1:9" ht="51.75" customHeight="1">
      <c r="A4678" s="5" t="s">
        <v>23736</v>
      </c>
      <c r="B4678" s="5" t="s">
        <v>36575</v>
      </c>
      <c r="C4678" s="5" t="s">
        <v>25928</v>
      </c>
      <c r="D4678" s="246">
        <v>41612</v>
      </c>
      <c r="E4678" s="5" t="s">
        <v>36576</v>
      </c>
      <c r="F4678" s="26" t="s">
        <v>23600</v>
      </c>
      <c r="G4678" s="27" t="s">
        <v>8686</v>
      </c>
      <c r="H4678" s="28" t="s">
        <v>8687</v>
      </c>
      <c r="I4678" s="5" t="s">
        <v>423</v>
      </c>
    </row>
    <row r="4679" spans="1:9" ht="51.75" customHeight="1">
      <c r="A4679" s="5" t="s">
        <v>25533</v>
      </c>
      <c r="B4679" s="5" t="s">
        <v>36577</v>
      </c>
      <c r="C4679" s="5" t="s">
        <v>25934</v>
      </c>
      <c r="D4679" s="246">
        <v>41612</v>
      </c>
      <c r="E4679" s="5" t="s">
        <v>36578</v>
      </c>
      <c r="F4679" s="26" t="s">
        <v>23600</v>
      </c>
      <c r="G4679" s="27" t="s">
        <v>8686</v>
      </c>
      <c r="H4679" s="28" t="s">
        <v>8687</v>
      </c>
      <c r="I4679" s="5" t="s">
        <v>423</v>
      </c>
    </row>
    <row r="4680" spans="1:9" ht="51.75" customHeight="1">
      <c r="A4680" s="5" t="s">
        <v>25149</v>
      </c>
      <c r="B4680" s="5" t="s">
        <v>36579</v>
      </c>
      <c r="C4680" s="5" t="s">
        <v>25986</v>
      </c>
      <c r="D4680" s="246">
        <v>41612</v>
      </c>
      <c r="E4680" s="5" t="s">
        <v>36580</v>
      </c>
      <c r="F4680" s="26" t="s">
        <v>23600</v>
      </c>
      <c r="G4680" s="27" t="s">
        <v>8686</v>
      </c>
      <c r="H4680" s="28" t="s">
        <v>8687</v>
      </c>
      <c r="I4680" s="5" t="s">
        <v>423</v>
      </c>
    </row>
    <row r="4681" spans="1:9" ht="51.75" customHeight="1">
      <c r="A4681" s="5" t="s">
        <v>26232</v>
      </c>
      <c r="B4681" s="5" t="s">
        <v>36581</v>
      </c>
      <c r="C4681" s="5" t="s">
        <v>23621</v>
      </c>
      <c r="D4681" s="246">
        <v>41654</v>
      </c>
      <c r="E4681" s="5" t="s">
        <v>36582</v>
      </c>
      <c r="F4681" s="26" t="s">
        <v>23600</v>
      </c>
      <c r="G4681" s="27" t="s">
        <v>8702</v>
      </c>
      <c r="H4681" s="28" t="s">
        <v>8703</v>
      </c>
      <c r="I4681" s="5" t="s">
        <v>423</v>
      </c>
    </row>
    <row r="4682" spans="1:9" ht="51.75" customHeight="1">
      <c r="A4682" s="5" t="s">
        <v>26902</v>
      </c>
      <c r="B4682" s="5" t="s">
        <v>36583</v>
      </c>
      <c r="C4682" s="5" t="s">
        <v>23625</v>
      </c>
      <c r="D4682" s="246">
        <v>41654</v>
      </c>
      <c r="E4682" s="5" t="s">
        <v>36584</v>
      </c>
      <c r="F4682" s="26" t="s">
        <v>23600</v>
      </c>
      <c r="G4682" s="27" t="s">
        <v>8702</v>
      </c>
      <c r="H4682" s="28" t="s">
        <v>8703</v>
      </c>
      <c r="I4682" s="5" t="s">
        <v>423</v>
      </c>
    </row>
    <row r="4683" spans="1:9" ht="51.75" customHeight="1">
      <c r="A4683" s="5" t="s">
        <v>28025</v>
      </c>
      <c r="B4683" s="5" t="s">
        <v>36585</v>
      </c>
      <c r="C4683" s="5" t="s">
        <v>25972</v>
      </c>
      <c r="D4683" s="246">
        <v>41654</v>
      </c>
      <c r="E4683" s="5" t="s">
        <v>36586</v>
      </c>
      <c r="F4683" s="26" t="s">
        <v>23600</v>
      </c>
      <c r="G4683" s="27" t="s">
        <v>8702</v>
      </c>
      <c r="H4683" s="28" t="s">
        <v>8703</v>
      </c>
      <c r="I4683" s="5" t="s">
        <v>423</v>
      </c>
    </row>
    <row r="4684" spans="1:9" ht="51.75" customHeight="1">
      <c r="A4684" s="5" t="s">
        <v>26497</v>
      </c>
      <c r="B4684" s="5" t="s">
        <v>36587</v>
      </c>
      <c r="C4684" s="5" t="s">
        <v>25928</v>
      </c>
      <c r="D4684" s="246">
        <v>41654</v>
      </c>
      <c r="E4684" s="5" t="s">
        <v>36588</v>
      </c>
      <c r="F4684" s="26" t="s">
        <v>23600</v>
      </c>
      <c r="G4684" s="27" t="s">
        <v>8702</v>
      </c>
      <c r="H4684" s="28" t="s">
        <v>8703</v>
      </c>
      <c r="I4684" s="5" t="s">
        <v>423</v>
      </c>
    </row>
    <row r="4685" spans="1:9" ht="51.75" customHeight="1">
      <c r="A4685" s="5" t="s">
        <v>26503</v>
      </c>
      <c r="B4685" s="5" t="s">
        <v>36589</v>
      </c>
      <c r="C4685" s="5" t="s">
        <v>25934</v>
      </c>
      <c r="D4685" s="246">
        <v>41654</v>
      </c>
      <c r="E4685" s="5" t="s">
        <v>36590</v>
      </c>
      <c r="F4685" s="26" t="s">
        <v>23600</v>
      </c>
      <c r="G4685" s="27" t="s">
        <v>8702</v>
      </c>
      <c r="H4685" s="28" t="s">
        <v>8703</v>
      </c>
      <c r="I4685" s="5" t="s">
        <v>423</v>
      </c>
    </row>
    <row r="4686" spans="1:9" ht="51.75" customHeight="1">
      <c r="A4686" s="5" t="s">
        <v>26509</v>
      </c>
      <c r="B4686" s="5" t="s">
        <v>36591</v>
      </c>
      <c r="C4686" s="5" t="s">
        <v>25986</v>
      </c>
      <c r="D4686" s="246">
        <v>41654</v>
      </c>
      <c r="E4686" s="5" t="s">
        <v>36592</v>
      </c>
      <c r="F4686" s="26" t="s">
        <v>23600</v>
      </c>
      <c r="G4686" s="27" t="s">
        <v>8702</v>
      </c>
      <c r="H4686" s="28" t="s">
        <v>8703</v>
      </c>
      <c r="I4686" s="5" t="s">
        <v>423</v>
      </c>
    </row>
    <row r="4687" spans="1:9" ht="51.75" customHeight="1">
      <c r="A4687" s="5" t="s">
        <v>26515</v>
      </c>
      <c r="B4687" s="5" t="s">
        <v>36593</v>
      </c>
      <c r="C4687" s="5" t="s">
        <v>25992</v>
      </c>
      <c r="D4687" s="246">
        <v>41654</v>
      </c>
      <c r="E4687" s="5" t="s">
        <v>36198</v>
      </c>
      <c r="F4687" s="26" t="s">
        <v>23600</v>
      </c>
      <c r="G4687" s="27" t="s">
        <v>8702</v>
      </c>
      <c r="H4687" s="28" t="s">
        <v>8703</v>
      </c>
      <c r="I4687" s="5" t="s">
        <v>423</v>
      </c>
    </row>
    <row r="4688" spans="1:9" ht="51.75" customHeight="1">
      <c r="A4688" s="5" t="s">
        <v>23820</v>
      </c>
      <c r="B4688" s="5" t="s">
        <v>36594</v>
      </c>
      <c r="C4688" s="5" t="s">
        <v>23621</v>
      </c>
      <c r="D4688" s="246">
        <v>41778</v>
      </c>
      <c r="E4688" s="5" t="s">
        <v>36595</v>
      </c>
      <c r="F4688" s="26" t="s">
        <v>23600</v>
      </c>
      <c r="G4688" s="27" t="s">
        <v>8596</v>
      </c>
      <c r="H4688" s="28" t="s">
        <v>8597</v>
      </c>
      <c r="I4688" s="5" t="s">
        <v>423</v>
      </c>
    </row>
    <row r="4689" spans="1:9" ht="51.75" customHeight="1">
      <c r="A4689" s="5" t="s">
        <v>27418</v>
      </c>
      <c r="B4689" s="5" t="s">
        <v>36596</v>
      </c>
      <c r="C4689" s="5" t="s">
        <v>23625</v>
      </c>
      <c r="D4689" s="246">
        <v>41778</v>
      </c>
      <c r="E4689" s="5" t="s">
        <v>36406</v>
      </c>
      <c r="F4689" s="26" t="s">
        <v>23600</v>
      </c>
      <c r="G4689" s="27" t="s">
        <v>8596</v>
      </c>
      <c r="H4689" s="28" t="s">
        <v>8597</v>
      </c>
      <c r="I4689" s="5" t="s">
        <v>423</v>
      </c>
    </row>
    <row r="4690" spans="1:9" ht="51.75" customHeight="1">
      <c r="A4690" s="5" t="s">
        <v>27424</v>
      </c>
      <c r="B4690" s="5" t="s">
        <v>36597</v>
      </c>
      <c r="C4690" s="5" t="s">
        <v>25972</v>
      </c>
      <c r="D4690" s="246">
        <v>41778</v>
      </c>
      <c r="E4690" s="5" t="s">
        <v>36520</v>
      </c>
      <c r="F4690" s="26" t="s">
        <v>23600</v>
      </c>
      <c r="G4690" s="27" t="s">
        <v>8596</v>
      </c>
      <c r="H4690" s="28" t="s">
        <v>8597</v>
      </c>
      <c r="I4690" s="5" t="s">
        <v>423</v>
      </c>
    </row>
    <row r="4691" spans="1:9" ht="51.75" customHeight="1">
      <c r="A4691" s="5" t="s">
        <v>35049</v>
      </c>
      <c r="B4691" s="5" t="s">
        <v>36598</v>
      </c>
      <c r="C4691" s="5" t="s">
        <v>25928</v>
      </c>
      <c r="D4691" s="246">
        <v>41778</v>
      </c>
      <c r="E4691" s="5" t="s">
        <v>36522</v>
      </c>
      <c r="F4691" s="26" t="s">
        <v>23600</v>
      </c>
      <c r="G4691" s="27" t="s">
        <v>8596</v>
      </c>
      <c r="H4691" s="28" t="s">
        <v>8597</v>
      </c>
      <c r="I4691" s="5" t="s">
        <v>423</v>
      </c>
    </row>
    <row r="4692" spans="1:9" ht="51.75" customHeight="1">
      <c r="A4692" s="5" t="s">
        <v>31046</v>
      </c>
      <c r="B4692" s="5" t="s">
        <v>36599</v>
      </c>
      <c r="C4692" s="5" t="s">
        <v>25934</v>
      </c>
      <c r="D4692" s="246">
        <v>41778</v>
      </c>
      <c r="E4692" s="5" t="s">
        <v>36198</v>
      </c>
      <c r="F4692" s="26" t="s">
        <v>23600</v>
      </c>
      <c r="G4692" s="27" t="s">
        <v>8596</v>
      </c>
      <c r="H4692" s="28" t="s">
        <v>8597</v>
      </c>
      <c r="I4692" s="5" t="s">
        <v>423</v>
      </c>
    </row>
    <row r="4693" spans="1:9" ht="51.75" customHeight="1">
      <c r="A4693" s="5" t="s">
        <v>27236</v>
      </c>
      <c r="B4693" s="5" t="s">
        <v>36600</v>
      </c>
      <c r="C4693" s="5" t="s">
        <v>23621</v>
      </c>
      <c r="D4693" s="246">
        <v>41579</v>
      </c>
      <c r="E4693" s="5" t="s">
        <v>36601</v>
      </c>
      <c r="F4693" s="26" t="s">
        <v>23600</v>
      </c>
      <c r="G4693" s="27" t="s">
        <v>8761</v>
      </c>
      <c r="H4693" s="28" t="s">
        <v>8762</v>
      </c>
      <c r="I4693" s="5" t="s">
        <v>423</v>
      </c>
    </row>
    <row r="4694" spans="1:9" ht="51.75" customHeight="1">
      <c r="A4694" s="5" t="s">
        <v>27703</v>
      </c>
      <c r="B4694" s="5" t="s">
        <v>36602</v>
      </c>
      <c r="C4694" s="5" t="s">
        <v>23625</v>
      </c>
      <c r="D4694" s="246">
        <v>41579</v>
      </c>
      <c r="E4694" s="5" t="s">
        <v>36603</v>
      </c>
      <c r="F4694" s="26" t="s">
        <v>23600</v>
      </c>
      <c r="G4694" s="27" t="s">
        <v>8761</v>
      </c>
      <c r="H4694" s="28" t="s">
        <v>8762</v>
      </c>
      <c r="I4694" s="5" t="s">
        <v>423</v>
      </c>
    </row>
    <row r="4695" spans="1:9" ht="51.75" customHeight="1">
      <c r="A4695" s="5" t="s">
        <v>27709</v>
      </c>
      <c r="B4695" s="5" t="s">
        <v>36604</v>
      </c>
      <c r="C4695" s="5" t="s">
        <v>25972</v>
      </c>
      <c r="D4695" s="246">
        <v>41579</v>
      </c>
      <c r="E4695" s="5" t="s">
        <v>36605</v>
      </c>
      <c r="F4695" s="26" t="s">
        <v>23600</v>
      </c>
      <c r="G4695" s="27" t="s">
        <v>8761</v>
      </c>
      <c r="H4695" s="28" t="s">
        <v>8762</v>
      </c>
      <c r="I4695" s="5" t="s">
        <v>423</v>
      </c>
    </row>
    <row r="4696" spans="1:9" ht="51.75" customHeight="1">
      <c r="A4696" s="5" t="s">
        <v>27715</v>
      </c>
      <c r="B4696" s="5" t="s">
        <v>36606</v>
      </c>
      <c r="C4696" s="5" t="s">
        <v>25928</v>
      </c>
      <c r="D4696" s="246">
        <v>41579</v>
      </c>
      <c r="E4696" s="5" t="s">
        <v>36607</v>
      </c>
      <c r="F4696" s="26" t="s">
        <v>23600</v>
      </c>
      <c r="G4696" s="27" t="s">
        <v>8761</v>
      </c>
      <c r="H4696" s="28" t="s">
        <v>8762</v>
      </c>
      <c r="I4696" s="5" t="s">
        <v>423</v>
      </c>
    </row>
    <row r="4697" spans="1:9" ht="51.75" customHeight="1">
      <c r="A4697" s="5" t="s">
        <v>27721</v>
      </c>
      <c r="B4697" s="5" t="s">
        <v>36608</v>
      </c>
      <c r="C4697" s="5" t="s">
        <v>25934</v>
      </c>
      <c r="D4697" s="246">
        <v>41579</v>
      </c>
      <c r="E4697" s="5" t="s">
        <v>36609</v>
      </c>
      <c r="F4697" s="26" t="s">
        <v>23600</v>
      </c>
      <c r="G4697" s="27" t="s">
        <v>8761</v>
      </c>
      <c r="H4697" s="28" t="s">
        <v>8762</v>
      </c>
      <c r="I4697" s="5" t="s">
        <v>423</v>
      </c>
    </row>
    <row r="4698" spans="1:9" ht="51.75" customHeight="1">
      <c r="A4698" s="5" t="s">
        <v>24554</v>
      </c>
      <c r="B4698" s="5" t="s">
        <v>36610</v>
      </c>
      <c r="C4698" s="5" t="s">
        <v>25986</v>
      </c>
      <c r="D4698" s="246">
        <v>41579</v>
      </c>
      <c r="E4698" s="5" t="s">
        <v>36611</v>
      </c>
      <c r="F4698" s="26" t="s">
        <v>23600</v>
      </c>
      <c r="G4698" s="27" t="s">
        <v>8761</v>
      </c>
      <c r="H4698" s="28" t="s">
        <v>8762</v>
      </c>
      <c r="I4698" s="5" t="s">
        <v>423</v>
      </c>
    </row>
    <row r="4699" spans="1:9" ht="51.75" customHeight="1">
      <c r="A4699" s="5" t="s">
        <v>27014</v>
      </c>
      <c r="B4699" s="5" t="s">
        <v>36612</v>
      </c>
      <c r="C4699" s="5" t="s">
        <v>23621</v>
      </c>
      <c r="D4699" s="246">
        <v>41703</v>
      </c>
      <c r="E4699" s="5" t="s">
        <v>36613</v>
      </c>
      <c r="F4699" s="26" t="s">
        <v>23600</v>
      </c>
      <c r="G4699" s="27" t="s">
        <v>8772</v>
      </c>
      <c r="H4699" s="28" t="s">
        <v>8773</v>
      </c>
      <c r="I4699" s="5" t="s">
        <v>423</v>
      </c>
    </row>
    <row r="4700" spans="1:9" ht="51.75" customHeight="1">
      <c r="A4700" s="5" t="s">
        <v>27020</v>
      </c>
      <c r="B4700" s="5" t="s">
        <v>36614</v>
      </c>
      <c r="C4700" s="5" t="s">
        <v>23625</v>
      </c>
      <c r="D4700" s="246">
        <v>41703</v>
      </c>
      <c r="E4700" s="5" t="s">
        <v>36506</v>
      </c>
      <c r="F4700" s="26" t="s">
        <v>23600</v>
      </c>
      <c r="G4700" s="27" t="s">
        <v>8772</v>
      </c>
      <c r="H4700" s="28" t="s">
        <v>8773</v>
      </c>
      <c r="I4700" s="5" t="s">
        <v>423</v>
      </c>
    </row>
    <row r="4701" spans="1:9" ht="51.75" customHeight="1">
      <c r="A4701" s="5" t="s">
        <v>26087</v>
      </c>
      <c r="B4701" s="5" t="s">
        <v>36615</v>
      </c>
      <c r="C4701" s="5" t="s">
        <v>23621</v>
      </c>
      <c r="D4701" s="246">
        <v>41681</v>
      </c>
      <c r="E4701" s="5" t="s">
        <v>36616</v>
      </c>
      <c r="F4701" s="26" t="s">
        <v>23600</v>
      </c>
      <c r="G4701" s="27" t="s">
        <v>8875</v>
      </c>
      <c r="H4701" s="28" t="s">
        <v>8876</v>
      </c>
      <c r="I4701" s="5" t="s">
        <v>423</v>
      </c>
    </row>
    <row r="4702" spans="1:9" ht="51.75" customHeight="1">
      <c r="A4702" s="5" t="s">
        <v>26092</v>
      </c>
      <c r="B4702" s="5" t="s">
        <v>36617</v>
      </c>
      <c r="C4702" s="5" t="s">
        <v>23625</v>
      </c>
      <c r="D4702" s="246">
        <v>41681</v>
      </c>
      <c r="E4702" s="5" t="s">
        <v>36618</v>
      </c>
      <c r="F4702" s="26" t="s">
        <v>23600</v>
      </c>
      <c r="G4702" s="27" t="s">
        <v>8875</v>
      </c>
      <c r="H4702" s="28" t="s">
        <v>8876</v>
      </c>
      <c r="I4702" s="5" t="s">
        <v>423</v>
      </c>
    </row>
    <row r="4703" spans="1:9" ht="51.75" customHeight="1">
      <c r="A4703" s="5" t="s">
        <v>26098</v>
      </c>
      <c r="B4703" s="5" t="s">
        <v>36619</v>
      </c>
      <c r="C4703" s="5" t="s">
        <v>25972</v>
      </c>
      <c r="D4703" s="246">
        <v>41681</v>
      </c>
      <c r="E4703" s="5" t="s">
        <v>36620</v>
      </c>
      <c r="F4703" s="26" t="s">
        <v>23600</v>
      </c>
      <c r="G4703" s="27" t="s">
        <v>8875</v>
      </c>
      <c r="H4703" s="28" t="s">
        <v>8876</v>
      </c>
      <c r="I4703" s="5" t="s">
        <v>423</v>
      </c>
    </row>
    <row r="4704" spans="1:9" ht="51.75" customHeight="1">
      <c r="A4704" s="5" t="s">
        <v>25953</v>
      </c>
      <c r="B4704" s="5" t="s">
        <v>36621</v>
      </c>
      <c r="C4704" s="5" t="s">
        <v>25928</v>
      </c>
      <c r="D4704" s="246">
        <v>41681</v>
      </c>
      <c r="E4704" s="5" t="s">
        <v>36622</v>
      </c>
      <c r="F4704" s="26" t="s">
        <v>23600</v>
      </c>
      <c r="G4704" s="27" t="s">
        <v>8875</v>
      </c>
      <c r="H4704" s="28" t="s">
        <v>8876</v>
      </c>
      <c r="I4704" s="5" t="s">
        <v>423</v>
      </c>
    </row>
    <row r="4705" spans="1:9" ht="51.75" customHeight="1">
      <c r="A4705" s="5" t="s">
        <v>25307</v>
      </c>
      <c r="B4705" s="5" t="s">
        <v>36623</v>
      </c>
      <c r="C4705" s="5" t="s">
        <v>23621</v>
      </c>
      <c r="D4705" s="246">
        <v>41695</v>
      </c>
      <c r="E4705" s="5" t="s">
        <v>36624</v>
      </c>
      <c r="F4705" s="26" t="s">
        <v>23600</v>
      </c>
      <c r="G4705" s="27" t="s">
        <v>8960</v>
      </c>
      <c r="H4705" s="28" t="s">
        <v>8961</v>
      </c>
      <c r="I4705" s="5" t="s">
        <v>423</v>
      </c>
    </row>
    <row r="4706" spans="1:9" ht="51.75" customHeight="1">
      <c r="A4706" s="5" t="s">
        <v>24347</v>
      </c>
      <c r="B4706" s="5" t="s">
        <v>36625</v>
      </c>
      <c r="C4706" s="5" t="s">
        <v>23625</v>
      </c>
      <c r="D4706" s="246">
        <v>41695</v>
      </c>
      <c r="E4706" s="5" t="s">
        <v>36129</v>
      </c>
      <c r="F4706" s="26" t="s">
        <v>23600</v>
      </c>
      <c r="G4706" s="27" t="s">
        <v>8960</v>
      </c>
      <c r="H4706" s="28" t="s">
        <v>8961</v>
      </c>
      <c r="I4706" s="5" t="s">
        <v>423</v>
      </c>
    </row>
    <row r="4707" spans="1:9" ht="51.75" customHeight="1">
      <c r="A4707" s="5" t="s">
        <v>24351</v>
      </c>
      <c r="B4707" s="5" t="s">
        <v>36626</v>
      </c>
      <c r="C4707" s="5" t="s">
        <v>25972</v>
      </c>
      <c r="D4707" s="246">
        <v>41695</v>
      </c>
      <c r="E4707" s="5" t="s">
        <v>36627</v>
      </c>
      <c r="F4707" s="26" t="s">
        <v>23600</v>
      </c>
      <c r="G4707" s="27" t="s">
        <v>8960</v>
      </c>
      <c r="H4707" s="28" t="s">
        <v>8961</v>
      </c>
      <c r="I4707" s="5" t="s">
        <v>423</v>
      </c>
    </row>
    <row r="4708" spans="1:9" ht="51.75" customHeight="1">
      <c r="A4708" s="5" t="s">
        <v>28914</v>
      </c>
      <c r="B4708" s="5" t="s">
        <v>36628</v>
      </c>
      <c r="C4708" s="5" t="s">
        <v>23621</v>
      </c>
      <c r="D4708" s="246">
        <v>41695</v>
      </c>
      <c r="E4708" s="5" t="s">
        <v>36629</v>
      </c>
      <c r="F4708" s="26" t="s">
        <v>23600</v>
      </c>
      <c r="G4708" s="27" t="s">
        <v>8982</v>
      </c>
      <c r="H4708" s="28" t="s">
        <v>8983</v>
      </c>
      <c r="I4708" s="5" t="s">
        <v>423</v>
      </c>
    </row>
    <row r="4709" spans="1:9" ht="51.75" customHeight="1">
      <c r="A4709" s="5" t="s">
        <v>25958</v>
      </c>
      <c r="B4709" s="5" t="s">
        <v>36630</v>
      </c>
      <c r="C4709" s="5" t="s">
        <v>23625</v>
      </c>
      <c r="D4709" s="246">
        <v>41695</v>
      </c>
      <c r="E4709" s="5" t="s">
        <v>36631</v>
      </c>
      <c r="F4709" s="26" t="s">
        <v>23600</v>
      </c>
      <c r="G4709" s="27" t="s">
        <v>8982</v>
      </c>
      <c r="H4709" s="28" t="s">
        <v>8983</v>
      </c>
      <c r="I4709" s="5" t="s">
        <v>423</v>
      </c>
    </row>
    <row r="4710" spans="1:9" ht="51.75" customHeight="1">
      <c r="A4710" s="5" t="s">
        <v>26104</v>
      </c>
      <c r="B4710" s="5" t="s">
        <v>36632</v>
      </c>
      <c r="C4710" s="5" t="s">
        <v>25972</v>
      </c>
      <c r="D4710" s="246">
        <v>41695</v>
      </c>
      <c r="E4710" s="5" t="s">
        <v>36633</v>
      </c>
      <c r="F4710" s="26" t="s">
        <v>23600</v>
      </c>
      <c r="G4710" s="27" t="s">
        <v>8982</v>
      </c>
      <c r="H4710" s="28" t="s">
        <v>8983</v>
      </c>
      <c r="I4710" s="5" t="s">
        <v>423</v>
      </c>
    </row>
    <row r="4711" spans="1:9" ht="51.75" customHeight="1">
      <c r="A4711" s="5" t="s">
        <v>26109</v>
      </c>
      <c r="B4711" s="5" t="s">
        <v>36634</v>
      </c>
      <c r="C4711" s="5" t="s">
        <v>25928</v>
      </c>
      <c r="D4711" s="246">
        <v>41695</v>
      </c>
      <c r="E4711" s="5" t="s">
        <v>36635</v>
      </c>
      <c r="F4711" s="26" t="s">
        <v>23600</v>
      </c>
      <c r="G4711" s="27" t="s">
        <v>8982</v>
      </c>
      <c r="H4711" s="28" t="s">
        <v>8983</v>
      </c>
      <c r="I4711" s="5" t="s">
        <v>423</v>
      </c>
    </row>
    <row r="4712" spans="1:9" ht="51.75" customHeight="1">
      <c r="A4712" s="5" t="s">
        <v>30290</v>
      </c>
      <c r="B4712" s="5" t="s">
        <v>36636</v>
      </c>
      <c r="C4712" s="5" t="s">
        <v>25934</v>
      </c>
      <c r="D4712" s="246">
        <v>41695</v>
      </c>
      <c r="E4712" s="5" t="s">
        <v>36482</v>
      </c>
      <c r="F4712" s="26" t="s">
        <v>23600</v>
      </c>
      <c r="G4712" s="27" t="s">
        <v>8982</v>
      </c>
      <c r="H4712" s="28" t="s">
        <v>8983</v>
      </c>
      <c r="I4712" s="5" t="s">
        <v>423</v>
      </c>
    </row>
    <row r="4713" spans="1:9" ht="51.75" customHeight="1">
      <c r="A4713" s="5" t="s">
        <v>27757</v>
      </c>
      <c r="B4713" s="5" t="s">
        <v>36637</v>
      </c>
      <c r="C4713" s="5" t="s">
        <v>23621</v>
      </c>
      <c r="D4713" s="246">
        <v>41827</v>
      </c>
      <c r="E4713" s="5" t="s">
        <v>36638</v>
      </c>
      <c r="F4713" s="26" t="s">
        <v>23600</v>
      </c>
      <c r="G4713" s="27" t="s">
        <v>9060</v>
      </c>
      <c r="H4713" s="28" t="s">
        <v>9061</v>
      </c>
      <c r="I4713" s="5" t="s">
        <v>423</v>
      </c>
    </row>
    <row r="4714" spans="1:9" ht="51.75" customHeight="1">
      <c r="A4714" s="5" t="s">
        <v>28614</v>
      </c>
      <c r="B4714" s="5" t="s">
        <v>36639</v>
      </c>
      <c r="C4714" s="5" t="s">
        <v>23625</v>
      </c>
      <c r="D4714" s="246">
        <v>41827</v>
      </c>
      <c r="E4714" s="5" t="s">
        <v>36640</v>
      </c>
      <c r="F4714" s="26" t="s">
        <v>23600</v>
      </c>
      <c r="G4714" s="27" t="s">
        <v>9060</v>
      </c>
      <c r="H4714" s="28" t="s">
        <v>9061</v>
      </c>
      <c r="I4714" s="5" t="s">
        <v>423</v>
      </c>
    </row>
    <row r="4715" spans="1:9" ht="51.75" customHeight="1">
      <c r="A4715" s="5" t="s">
        <v>26686</v>
      </c>
      <c r="B4715" s="5" t="s">
        <v>36641</v>
      </c>
      <c r="C4715" s="5" t="s">
        <v>25972</v>
      </c>
      <c r="D4715" s="246">
        <v>41827</v>
      </c>
      <c r="E4715" s="5" t="s">
        <v>36566</v>
      </c>
      <c r="F4715" s="26" t="s">
        <v>23600</v>
      </c>
      <c r="G4715" s="27" t="s">
        <v>9060</v>
      </c>
      <c r="H4715" s="28" t="s">
        <v>9061</v>
      </c>
      <c r="I4715" s="5" t="s">
        <v>423</v>
      </c>
    </row>
    <row r="4716" spans="1:9" ht="51.75" customHeight="1">
      <c r="A4716" s="5" t="s">
        <v>28619</v>
      </c>
      <c r="B4716" s="5" t="s">
        <v>36642</v>
      </c>
      <c r="C4716" s="5" t="s">
        <v>25928</v>
      </c>
      <c r="D4716" s="246">
        <v>41827</v>
      </c>
      <c r="E4716" s="5" t="s">
        <v>36643</v>
      </c>
      <c r="F4716" s="26" t="s">
        <v>23600</v>
      </c>
      <c r="G4716" s="27" t="s">
        <v>9060</v>
      </c>
      <c r="H4716" s="28" t="s">
        <v>9061</v>
      </c>
      <c r="I4716" s="5" t="s">
        <v>423</v>
      </c>
    </row>
    <row r="4717" spans="1:9" ht="51.75" customHeight="1">
      <c r="A4717" s="5" t="s">
        <v>24599</v>
      </c>
      <c r="B4717" s="5" t="s">
        <v>36644</v>
      </c>
      <c r="C4717" s="5" t="s">
        <v>23621</v>
      </c>
      <c r="D4717" s="246">
        <v>41731</v>
      </c>
      <c r="E4717" s="5" t="s">
        <v>36645</v>
      </c>
      <c r="F4717" s="26" t="s">
        <v>23600</v>
      </c>
      <c r="G4717" s="27" t="s">
        <v>9146</v>
      </c>
      <c r="H4717" s="28" t="s">
        <v>9147</v>
      </c>
      <c r="I4717" s="5" t="s">
        <v>423</v>
      </c>
    </row>
    <row r="4718" spans="1:9" ht="51.75" customHeight="1">
      <c r="A4718" s="5" t="s">
        <v>23752</v>
      </c>
      <c r="B4718" s="5" t="s">
        <v>36646</v>
      </c>
      <c r="C4718" s="5" t="s">
        <v>23625</v>
      </c>
      <c r="D4718" s="246">
        <v>41731</v>
      </c>
      <c r="E4718" s="5" t="s">
        <v>36647</v>
      </c>
      <c r="F4718" s="26" t="s">
        <v>23600</v>
      </c>
      <c r="G4718" s="27" t="s">
        <v>9146</v>
      </c>
      <c r="H4718" s="28" t="s">
        <v>9147</v>
      </c>
      <c r="I4718" s="5" t="s">
        <v>423</v>
      </c>
    </row>
    <row r="4719" spans="1:9" ht="51.75" customHeight="1">
      <c r="A4719" s="5" t="s">
        <v>24606</v>
      </c>
      <c r="B4719" s="5" t="s">
        <v>36648</v>
      </c>
      <c r="C4719" s="5" t="s">
        <v>25972</v>
      </c>
      <c r="D4719" s="246">
        <v>41731</v>
      </c>
      <c r="E4719" s="5" t="s">
        <v>36649</v>
      </c>
      <c r="F4719" s="26" t="s">
        <v>23600</v>
      </c>
      <c r="G4719" s="27" t="s">
        <v>9146</v>
      </c>
      <c r="H4719" s="28" t="s">
        <v>9147</v>
      </c>
      <c r="I4719" s="5" t="s">
        <v>423</v>
      </c>
    </row>
    <row r="4720" spans="1:9" ht="51.75" customHeight="1">
      <c r="A4720" s="5" t="s">
        <v>24610</v>
      </c>
      <c r="B4720" s="5" t="s">
        <v>36650</v>
      </c>
      <c r="C4720" s="5" t="s">
        <v>25928</v>
      </c>
      <c r="D4720" s="246">
        <v>41731</v>
      </c>
      <c r="E4720" s="5" t="s">
        <v>36651</v>
      </c>
      <c r="F4720" s="26" t="s">
        <v>23600</v>
      </c>
      <c r="G4720" s="27" t="s">
        <v>9146</v>
      </c>
      <c r="H4720" s="28" t="s">
        <v>9147</v>
      </c>
      <c r="I4720" s="5" t="s">
        <v>423</v>
      </c>
    </row>
    <row r="4721" spans="1:9" ht="51.75" customHeight="1">
      <c r="A4721" s="5" t="s">
        <v>28344</v>
      </c>
      <c r="B4721" s="5" t="s">
        <v>36652</v>
      </c>
      <c r="C4721" s="5" t="s">
        <v>25934</v>
      </c>
      <c r="D4721" s="246">
        <v>41731</v>
      </c>
      <c r="E4721" s="5" t="s">
        <v>36653</v>
      </c>
      <c r="F4721" s="26" t="s">
        <v>23600</v>
      </c>
      <c r="G4721" s="27" t="s">
        <v>9146</v>
      </c>
      <c r="H4721" s="28" t="s">
        <v>9147</v>
      </c>
      <c r="I4721" s="5" t="s">
        <v>423</v>
      </c>
    </row>
    <row r="4722" spans="1:9" ht="51.75" customHeight="1">
      <c r="A4722" s="5" t="s">
        <v>27446</v>
      </c>
      <c r="B4722" s="5" t="s">
        <v>36654</v>
      </c>
      <c r="C4722" s="5" t="s">
        <v>25986</v>
      </c>
      <c r="D4722" s="246">
        <v>41731</v>
      </c>
      <c r="E4722" s="5" t="s">
        <v>36655</v>
      </c>
      <c r="F4722" s="26" t="s">
        <v>23600</v>
      </c>
      <c r="G4722" s="27" t="s">
        <v>9146</v>
      </c>
      <c r="H4722" s="28" t="s">
        <v>9147</v>
      </c>
      <c r="I4722" s="5" t="s">
        <v>423</v>
      </c>
    </row>
    <row r="4723" spans="1:9" ht="51.75" customHeight="1">
      <c r="A4723" s="5" t="s">
        <v>28347</v>
      </c>
      <c r="B4723" s="5" t="s">
        <v>36656</v>
      </c>
      <c r="C4723" s="5" t="s">
        <v>25992</v>
      </c>
      <c r="D4723" s="246">
        <v>41731</v>
      </c>
      <c r="E4723" s="5" t="s">
        <v>36198</v>
      </c>
      <c r="F4723" s="26" t="s">
        <v>23600</v>
      </c>
      <c r="G4723" s="27" t="s">
        <v>9146</v>
      </c>
      <c r="H4723" s="28" t="s">
        <v>9147</v>
      </c>
      <c r="I4723" s="5" t="s">
        <v>423</v>
      </c>
    </row>
    <row r="4724" spans="1:9" ht="51.75" customHeight="1">
      <c r="A4724" s="5" t="s">
        <v>25054</v>
      </c>
      <c r="B4724" s="5" t="s">
        <v>36657</v>
      </c>
      <c r="C4724" s="5" t="s">
        <v>23621</v>
      </c>
      <c r="D4724" s="246">
        <v>41703</v>
      </c>
      <c r="E4724" s="5" t="s">
        <v>36658</v>
      </c>
      <c r="F4724" s="26" t="s">
        <v>23600</v>
      </c>
      <c r="G4724" s="27" t="s">
        <v>9180</v>
      </c>
      <c r="H4724" s="28" t="s">
        <v>9181</v>
      </c>
      <c r="I4724" s="5" t="s">
        <v>423</v>
      </c>
    </row>
    <row r="4725" spans="1:9" ht="51.75" customHeight="1">
      <c r="A4725" s="5" t="s">
        <v>25058</v>
      </c>
      <c r="B4725" s="5" t="s">
        <v>36659</v>
      </c>
      <c r="C4725" s="5" t="s">
        <v>23625</v>
      </c>
      <c r="D4725" s="246">
        <v>41703</v>
      </c>
      <c r="E4725" s="5" t="s">
        <v>36660</v>
      </c>
      <c r="F4725" s="26" t="s">
        <v>23600</v>
      </c>
      <c r="G4725" s="27" t="s">
        <v>9180</v>
      </c>
      <c r="H4725" s="28" t="s">
        <v>9181</v>
      </c>
      <c r="I4725" s="5" t="s">
        <v>423</v>
      </c>
    </row>
    <row r="4726" spans="1:9" ht="51.75" customHeight="1">
      <c r="A4726" s="5" t="s">
        <v>25062</v>
      </c>
      <c r="B4726" s="5" t="s">
        <v>36661</v>
      </c>
      <c r="C4726" s="5" t="s">
        <v>25972</v>
      </c>
      <c r="D4726" s="246">
        <v>41703</v>
      </c>
      <c r="E4726" s="5" t="s">
        <v>36482</v>
      </c>
      <c r="F4726" s="26" t="s">
        <v>23600</v>
      </c>
      <c r="G4726" s="27" t="s">
        <v>9180</v>
      </c>
      <c r="H4726" s="28" t="s">
        <v>9181</v>
      </c>
      <c r="I4726" s="5" t="s">
        <v>423</v>
      </c>
    </row>
    <row r="4727" spans="1:9" ht="51.75" customHeight="1">
      <c r="A4727" s="5" t="s">
        <v>28574</v>
      </c>
      <c r="B4727" s="5" t="s">
        <v>36662</v>
      </c>
      <c r="C4727" s="5" t="s">
        <v>23621</v>
      </c>
      <c r="D4727" s="246">
        <v>41809</v>
      </c>
      <c r="E4727" s="5" t="s">
        <v>36663</v>
      </c>
      <c r="F4727" s="26" t="s">
        <v>23600</v>
      </c>
      <c r="G4727" s="27" t="s">
        <v>9253</v>
      </c>
      <c r="H4727" s="28" t="s">
        <v>9254</v>
      </c>
      <c r="I4727" s="5" t="s">
        <v>423</v>
      </c>
    </row>
    <row r="4728" spans="1:9" ht="51.75" customHeight="1">
      <c r="A4728" s="5" t="s">
        <v>24655</v>
      </c>
      <c r="B4728" s="5" t="s">
        <v>36664</v>
      </c>
      <c r="C4728" s="5" t="s">
        <v>23625</v>
      </c>
      <c r="D4728" s="246">
        <v>41809</v>
      </c>
      <c r="E4728" s="5" t="s">
        <v>36665</v>
      </c>
      <c r="F4728" s="26" t="s">
        <v>23600</v>
      </c>
      <c r="G4728" s="27" t="s">
        <v>9253</v>
      </c>
      <c r="H4728" s="28" t="s">
        <v>9254</v>
      </c>
      <c r="I4728" s="5" t="s">
        <v>423</v>
      </c>
    </row>
    <row r="4729" spans="1:9" ht="51.75" customHeight="1">
      <c r="A4729" s="5" t="s">
        <v>24659</v>
      </c>
      <c r="B4729" s="5" t="s">
        <v>36666</v>
      </c>
      <c r="C4729" s="5" t="s">
        <v>25972</v>
      </c>
      <c r="D4729" s="246">
        <v>41809</v>
      </c>
      <c r="E4729" s="5" t="s">
        <v>36667</v>
      </c>
      <c r="F4729" s="26" t="s">
        <v>23600</v>
      </c>
      <c r="G4729" s="27" t="s">
        <v>9253</v>
      </c>
      <c r="H4729" s="28" t="s">
        <v>9254</v>
      </c>
      <c r="I4729" s="5" t="s">
        <v>423</v>
      </c>
    </row>
    <row r="4730" spans="1:9" ht="51.75" customHeight="1">
      <c r="A4730" s="5" t="s">
        <v>23784</v>
      </c>
      <c r="B4730" s="5" t="s">
        <v>36668</v>
      </c>
      <c r="C4730" s="5" t="s">
        <v>25928</v>
      </c>
      <c r="D4730" s="246">
        <v>41809</v>
      </c>
      <c r="E4730" s="5" t="s">
        <v>36129</v>
      </c>
      <c r="F4730" s="26" t="s">
        <v>23600</v>
      </c>
      <c r="G4730" s="27" t="s">
        <v>9253</v>
      </c>
      <c r="H4730" s="28" t="s">
        <v>9254</v>
      </c>
      <c r="I4730" s="5" t="s">
        <v>423</v>
      </c>
    </row>
    <row r="4731" spans="1:9" ht="51.75" customHeight="1">
      <c r="A4731" s="5" t="s">
        <v>26497</v>
      </c>
      <c r="B4731" s="5" t="s">
        <v>36669</v>
      </c>
      <c r="C4731" s="5" t="s">
        <v>23621</v>
      </c>
      <c r="D4731" s="246">
        <v>42066</v>
      </c>
      <c r="E4731" s="5" t="s">
        <v>36670</v>
      </c>
      <c r="F4731" s="26" t="s">
        <v>23600</v>
      </c>
      <c r="G4731" s="27" t="s">
        <v>9264</v>
      </c>
      <c r="H4731" s="28" t="s">
        <v>9265</v>
      </c>
      <c r="I4731" s="5" t="s">
        <v>423</v>
      </c>
    </row>
    <row r="4732" spans="1:9" ht="51.75" customHeight="1">
      <c r="A4732" s="5" t="s">
        <v>26767</v>
      </c>
      <c r="B4732" s="5" t="s">
        <v>36671</v>
      </c>
      <c r="C4732" s="5" t="s">
        <v>36672</v>
      </c>
      <c r="D4732" s="246">
        <v>41913</v>
      </c>
      <c r="E4732" s="5" t="s">
        <v>36673</v>
      </c>
      <c r="F4732" s="26" t="s">
        <v>23600</v>
      </c>
      <c r="G4732" s="27" t="s">
        <v>9352</v>
      </c>
      <c r="H4732" s="28" t="s">
        <v>9353</v>
      </c>
      <c r="I4732" s="5" t="s">
        <v>423</v>
      </c>
    </row>
    <row r="4733" spans="1:9" ht="51.75" customHeight="1">
      <c r="A4733" s="5" t="s">
        <v>26773</v>
      </c>
      <c r="B4733" s="5" t="s">
        <v>36674</v>
      </c>
      <c r="C4733" s="5" t="s">
        <v>36675</v>
      </c>
      <c r="D4733" s="246">
        <v>41913</v>
      </c>
      <c r="E4733" s="5" t="s">
        <v>36676</v>
      </c>
      <c r="F4733" s="26" t="s">
        <v>23600</v>
      </c>
      <c r="G4733" s="27" t="s">
        <v>9352</v>
      </c>
      <c r="H4733" s="28" t="s">
        <v>9353</v>
      </c>
      <c r="I4733" s="5" t="s">
        <v>423</v>
      </c>
    </row>
    <row r="4734" spans="1:9" ht="51.75" customHeight="1">
      <c r="A4734" s="5" t="s">
        <v>26779</v>
      </c>
      <c r="B4734" s="5" t="s">
        <v>36677</v>
      </c>
      <c r="C4734" s="5" t="s">
        <v>36678</v>
      </c>
      <c r="D4734" s="246">
        <v>41913</v>
      </c>
      <c r="E4734" s="5" t="s">
        <v>36679</v>
      </c>
      <c r="F4734" s="26" t="s">
        <v>23600</v>
      </c>
      <c r="G4734" s="27" t="s">
        <v>9352</v>
      </c>
      <c r="H4734" s="28" t="s">
        <v>9353</v>
      </c>
      <c r="I4734" s="5" t="s">
        <v>423</v>
      </c>
    </row>
    <row r="4735" spans="1:9" ht="51.75" customHeight="1">
      <c r="A4735" s="5" t="s">
        <v>26818</v>
      </c>
      <c r="B4735" s="5" t="s">
        <v>36680</v>
      </c>
      <c r="C4735" s="5" t="s">
        <v>36681</v>
      </c>
      <c r="D4735" s="246">
        <v>41913</v>
      </c>
      <c r="E4735" s="5" t="s">
        <v>36682</v>
      </c>
      <c r="F4735" s="26" t="s">
        <v>23600</v>
      </c>
      <c r="G4735" s="27" t="s">
        <v>9352</v>
      </c>
      <c r="H4735" s="28" t="s">
        <v>9353</v>
      </c>
      <c r="I4735" s="5" t="s">
        <v>423</v>
      </c>
    </row>
    <row r="4736" spans="1:9" ht="51.75" customHeight="1">
      <c r="A4736" s="5" t="s">
        <v>24628</v>
      </c>
      <c r="B4736" s="5" t="s">
        <v>36683</v>
      </c>
      <c r="C4736" s="5" t="s">
        <v>36684</v>
      </c>
      <c r="D4736" s="246">
        <v>41913</v>
      </c>
      <c r="E4736" s="5" t="s">
        <v>36685</v>
      </c>
      <c r="F4736" s="26" t="s">
        <v>23600</v>
      </c>
      <c r="G4736" s="27" t="s">
        <v>9352</v>
      </c>
      <c r="H4736" s="28" t="s">
        <v>9353</v>
      </c>
      <c r="I4736" s="5" t="s">
        <v>423</v>
      </c>
    </row>
    <row r="4737" spans="1:9" ht="51.75" customHeight="1">
      <c r="A4737" s="5" t="s">
        <v>24647</v>
      </c>
      <c r="B4737" s="5" t="s">
        <v>36686</v>
      </c>
      <c r="C4737" s="5" t="s">
        <v>36687</v>
      </c>
      <c r="D4737" s="246">
        <v>41913</v>
      </c>
      <c r="E4737" s="5" t="s">
        <v>36688</v>
      </c>
      <c r="F4737" s="26" t="s">
        <v>23600</v>
      </c>
      <c r="G4737" s="27" t="s">
        <v>9352</v>
      </c>
      <c r="H4737" s="28" t="s">
        <v>9353</v>
      </c>
      <c r="I4737" s="5" t="s">
        <v>423</v>
      </c>
    </row>
    <row r="4738" spans="1:9" ht="51.75" customHeight="1">
      <c r="A4738" s="5" t="s">
        <v>24639</v>
      </c>
      <c r="B4738" s="5" t="s">
        <v>36689</v>
      </c>
      <c r="C4738" s="5" t="s">
        <v>23621</v>
      </c>
      <c r="D4738" s="246">
        <v>41921</v>
      </c>
      <c r="E4738" s="5" t="s">
        <v>36690</v>
      </c>
      <c r="F4738" s="26" t="s">
        <v>23600</v>
      </c>
      <c r="G4738" s="27" t="s">
        <v>9627</v>
      </c>
      <c r="H4738" s="28" t="s">
        <v>9628</v>
      </c>
      <c r="I4738" s="5" t="s">
        <v>423</v>
      </c>
    </row>
    <row r="4739" spans="1:9" ht="51.75" customHeight="1">
      <c r="A4739" s="5" t="s">
        <v>26733</v>
      </c>
      <c r="B4739" s="5" t="s">
        <v>36691</v>
      </c>
      <c r="C4739" s="5" t="s">
        <v>23621</v>
      </c>
      <c r="D4739" s="246">
        <v>41947</v>
      </c>
      <c r="E4739" s="5" t="s">
        <v>36692</v>
      </c>
      <c r="F4739" s="26" t="s">
        <v>23600</v>
      </c>
      <c r="G4739" s="27" t="s">
        <v>9537</v>
      </c>
      <c r="H4739" s="28" t="s">
        <v>9538</v>
      </c>
      <c r="I4739" s="5" t="s">
        <v>423</v>
      </c>
    </row>
    <row r="4740" spans="1:9" ht="51.75" customHeight="1">
      <c r="A4740" s="5" t="s">
        <v>30930</v>
      </c>
      <c r="B4740" s="5" t="s">
        <v>36693</v>
      </c>
      <c r="C4740" s="5" t="s">
        <v>23625</v>
      </c>
      <c r="D4740" s="246">
        <v>41947</v>
      </c>
      <c r="E4740" s="5" t="s">
        <v>36694</v>
      </c>
      <c r="F4740" s="26" t="s">
        <v>23600</v>
      </c>
      <c r="G4740" s="27" t="s">
        <v>9537</v>
      </c>
      <c r="H4740" s="28" t="s">
        <v>9538</v>
      </c>
      <c r="I4740" s="5" t="s">
        <v>423</v>
      </c>
    </row>
    <row r="4741" spans="1:9" ht="51.75" customHeight="1">
      <c r="A4741" s="5" t="s">
        <v>26797</v>
      </c>
      <c r="B4741" s="5" t="s">
        <v>36695</v>
      </c>
      <c r="C4741" s="5" t="s">
        <v>23621</v>
      </c>
      <c r="D4741" s="246">
        <v>41941</v>
      </c>
      <c r="E4741" s="5" t="s">
        <v>36696</v>
      </c>
      <c r="F4741" s="26" t="s">
        <v>23600</v>
      </c>
      <c r="G4741" s="27" t="s">
        <v>9697</v>
      </c>
      <c r="H4741" s="28" t="s">
        <v>9698</v>
      </c>
      <c r="I4741" s="5" t="s">
        <v>423</v>
      </c>
    </row>
    <row r="4742" spans="1:9" ht="51.75" customHeight="1">
      <c r="A4742" s="5" t="s">
        <v>26803</v>
      </c>
      <c r="B4742" s="5" t="s">
        <v>36697</v>
      </c>
      <c r="C4742" s="5" t="s">
        <v>23625</v>
      </c>
      <c r="D4742" s="246">
        <v>41941</v>
      </c>
      <c r="E4742" s="5" t="s">
        <v>36698</v>
      </c>
      <c r="F4742" s="26" t="s">
        <v>23600</v>
      </c>
      <c r="G4742" s="27" t="s">
        <v>9697</v>
      </c>
      <c r="H4742" s="28" t="s">
        <v>9698</v>
      </c>
      <c r="I4742" s="5" t="s">
        <v>423</v>
      </c>
    </row>
    <row r="4743" spans="1:9" ht="51.75" customHeight="1">
      <c r="A4743" s="5" t="s">
        <v>26376</v>
      </c>
      <c r="B4743" s="5" t="s">
        <v>36699</v>
      </c>
      <c r="C4743" s="5" t="s">
        <v>25972</v>
      </c>
      <c r="D4743" s="246">
        <v>41941</v>
      </c>
      <c r="E4743" s="5" t="s">
        <v>36700</v>
      </c>
      <c r="F4743" s="26" t="s">
        <v>23600</v>
      </c>
      <c r="G4743" s="27" t="s">
        <v>9697</v>
      </c>
      <c r="H4743" s="28" t="s">
        <v>9698</v>
      </c>
      <c r="I4743" s="5" t="s">
        <v>423</v>
      </c>
    </row>
    <row r="4744" spans="1:9" ht="51.75" customHeight="1">
      <c r="A4744" s="5" t="s">
        <v>26848</v>
      </c>
      <c r="B4744" s="5" t="s">
        <v>36701</v>
      </c>
      <c r="C4744" s="5" t="s">
        <v>23621</v>
      </c>
      <c r="D4744" s="246">
        <v>41901</v>
      </c>
      <c r="E4744" s="5" t="s">
        <v>36702</v>
      </c>
      <c r="F4744" s="26" t="s">
        <v>23600</v>
      </c>
      <c r="G4744" s="27" t="s">
        <v>9703</v>
      </c>
      <c r="H4744" s="28" t="s">
        <v>9704</v>
      </c>
      <c r="I4744" s="5" t="s">
        <v>423</v>
      </c>
    </row>
    <row r="4745" spans="1:9" ht="51.75" customHeight="1">
      <c r="A4745" s="5" t="s">
        <v>24725</v>
      </c>
      <c r="B4745" s="5" t="s">
        <v>36703</v>
      </c>
      <c r="C4745" s="5" t="s">
        <v>23625</v>
      </c>
      <c r="D4745" s="246">
        <v>41901</v>
      </c>
      <c r="E4745" s="5" t="s">
        <v>36704</v>
      </c>
      <c r="F4745" s="26" t="s">
        <v>23600</v>
      </c>
      <c r="G4745" s="27" t="s">
        <v>9703</v>
      </c>
      <c r="H4745" s="28" t="s">
        <v>9704</v>
      </c>
      <c r="I4745" s="5" t="s">
        <v>423</v>
      </c>
    </row>
    <row r="4746" spans="1:9" ht="51.75" customHeight="1">
      <c r="A4746" s="5" t="s">
        <v>24624</v>
      </c>
      <c r="B4746" s="5" t="s">
        <v>36705</v>
      </c>
      <c r="C4746" s="5" t="s">
        <v>25972</v>
      </c>
      <c r="D4746" s="246">
        <v>41901</v>
      </c>
      <c r="E4746" s="5" t="s">
        <v>36706</v>
      </c>
      <c r="F4746" s="26" t="s">
        <v>23600</v>
      </c>
      <c r="G4746" s="27" t="s">
        <v>9703</v>
      </c>
      <c r="H4746" s="28" t="s">
        <v>9704</v>
      </c>
      <c r="I4746" s="5" t="s">
        <v>423</v>
      </c>
    </row>
    <row r="4747" spans="1:9" ht="51.75" customHeight="1">
      <c r="A4747" s="5" t="s">
        <v>24595</v>
      </c>
      <c r="B4747" s="5" t="s">
        <v>36707</v>
      </c>
      <c r="C4747" s="5" t="s">
        <v>23621</v>
      </c>
      <c r="D4747" s="246">
        <v>42221</v>
      </c>
      <c r="E4747" s="5" t="s">
        <v>36708</v>
      </c>
      <c r="F4747" s="26" t="s">
        <v>23600</v>
      </c>
      <c r="G4747" s="27" t="s">
        <v>9764</v>
      </c>
      <c r="H4747" s="28" t="s">
        <v>9765</v>
      </c>
      <c r="I4747" s="5" t="s">
        <v>423</v>
      </c>
    </row>
    <row r="4748" spans="1:9" ht="51.75" customHeight="1">
      <c r="A4748" s="5" t="s">
        <v>24981</v>
      </c>
      <c r="B4748" s="5" t="s">
        <v>36709</v>
      </c>
      <c r="C4748" s="5" t="s">
        <v>23621</v>
      </c>
      <c r="D4748" s="246">
        <v>41991</v>
      </c>
      <c r="E4748" s="5" t="s">
        <v>36710</v>
      </c>
      <c r="F4748" s="26" t="s">
        <v>23600</v>
      </c>
      <c r="G4748" s="27" t="s">
        <v>9728</v>
      </c>
      <c r="H4748" s="28" t="s">
        <v>9729</v>
      </c>
      <c r="I4748" s="5" t="s">
        <v>423</v>
      </c>
    </row>
    <row r="4749" spans="1:9" ht="51.75" customHeight="1">
      <c r="A4749" s="5" t="s">
        <v>24987</v>
      </c>
      <c r="B4749" s="5" t="s">
        <v>36711</v>
      </c>
      <c r="C4749" s="5" t="s">
        <v>23625</v>
      </c>
      <c r="D4749" s="246">
        <v>41991</v>
      </c>
      <c r="E4749" s="5" t="s">
        <v>36129</v>
      </c>
      <c r="F4749" s="26" t="s">
        <v>23600</v>
      </c>
      <c r="G4749" s="27" t="s">
        <v>9728</v>
      </c>
      <c r="H4749" s="28" t="s">
        <v>9729</v>
      </c>
      <c r="I4749" s="5" t="s">
        <v>423</v>
      </c>
    </row>
    <row r="4750" spans="1:9" ht="51.75" customHeight="1">
      <c r="A4750" s="5" t="s">
        <v>24674</v>
      </c>
      <c r="B4750" s="5" t="s">
        <v>36712</v>
      </c>
      <c r="C4750" s="5" t="s">
        <v>25972</v>
      </c>
      <c r="D4750" s="246">
        <v>41991</v>
      </c>
      <c r="E4750" s="5" t="s">
        <v>36713</v>
      </c>
      <c r="F4750" s="26" t="s">
        <v>23600</v>
      </c>
      <c r="G4750" s="27" t="s">
        <v>9728</v>
      </c>
      <c r="H4750" s="28" t="s">
        <v>9729</v>
      </c>
      <c r="I4750" s="5" t="s">
        <v>423</v>
      </c>
    </row>
    <row r="4751" spans="1:9" ht="51.75" customHeight="1">
      <c r="A4751" s="5" t="s">
        <v>24963</v>
      </c>
      <c r="B4751" s="5" t="s">
        <v>36714</v>
      </c>
      <c r="C4751" s="5" t="s">
        <v>25928</v>
      </c>
      <c r="D4751" s="246">
        <v>41991</v>
      </c>
      <c r="E4751" s="5" t="s">
        <v>36715</v>
      </c>
      <c r="F4751" s="26" t="s">
        <v>23600</v>
      </c>
      <c r="G4751" s="27" t="s">
        <v>9728</v>
      </c>
      <c r="H4751" s="28" t="s">
        <v>9729</v>
      </c>
      <c r="I4751" s="5" t="s">
        <v>423</v>
      </c>
    </row>
    <row r="4752" spans="1:9" ht="51.75" customHeight="1">
      <c r="A4752" s="5" t="s">
        <v>24969</v>
      </c>
      <c r="B4752" s="5" t="s">
        <v>36716</v>
      </c>
      <c r="C4752" s="5" t="s">
        <v>23621</v>
      </c>
      <c r="D4752" s="246">
        <v>41991</v>
      </c>
      <c r="E4752" s="5" t="s">
        <v>36717</v>
      </c>
      <c r="F4752" s="26" t="s">
        <v>23600</v>
      </c>
      <c r="G4752" s="27" t="s">
        <v>9747</v>
      </c>
      <c r="H4752" s="28" t="s">
        <v>9748</v>
      </c>
      <c r="I4752" s="5" t="s">
        <v>423</v>
      </c>
    </row>
    <row r="4753" spans="1:9" ht="51.75" customHeight="1">
      <c r="A4753" s="5" t="s">
        <v>24975</v>
      </c>
      <c r="B4753" s="5" t="s">
        <v>36718</v>
      </c>
      <c r="C4753" s="5" t="s">
        <v>23625</v>
      </c>
      <c r="D4753" s="246">
        <v>41991</v>
      </c>
      <c r="E4753" s="5" t="s">
        <v>36129</v>
      </c>
      <c r="F4753" s="26" t="s">
        <v>23600</v>
      </c>
      <c r="G4753" s="27" t="s">
        <v>9747</v>
      </c>
      <c r="H4753" s="28" t="s">
        <v>9748</v>
      </c>
      <c r="I4753" s="5" t="s">
        <v>423</v>
      </c>
    </row>
    <row r="4754" spans="1:9" ht="51.75" customHeight="1">
      <c r="A4754" s="5" t="s">
        <v>24610</v>
      </c>
      <c r="B4754" s="5" t="s">
        <v>36719</v>
      </c>
      <c r="C4754" s="5" t="s">
        <v>23621</v>
      </c>
      <c r="D4754" s="246">
        <v>42209</v>
      </c>
      <c r="E4754" s="5" t="s">
        <v>36720</v>
      </c>
      <c r="F4754" s="26" t="s">
        <v>23600</v>
      </c>
      <c r="G4754" s="27" t="s">
        <v>9841</v>
      </c>
      <c r="H4754" s="28" t="s">
        <v>9842</v>
      </c>
      <c r="I4754" s="5" t="s">
        <v>423</v>
      </c>
    </row>
    <row r="4755" spans="1:9" ht="51.75" customHeight="1">
      <c r="A4755" s="5" t="s">
        <v>27446</v>
      </c>
      <c r="B4755" s="5" t="s">
        <v>36721</v>
      </c>
      <c r="C4755" s="5" t="s">
        <v>23625</v>
      </c>
      <c r="D4755" s="246">
        <v>42209</v>
      </c>
      <c r="E4755" s="5" t="s">
        <v>36722</v>
      </c>
      <c r="F4755" s="26" t="s">
        <v>23600</v>
      </c>
      <c r="G4755" s="27" t="s">
        <v>9841</v>
      </c>
      <c r="H4755" s="28" t="s">
        <v>9842</v>
      </c>
      <c r="I4755" s="5" t="s">
        <v>423</v>
      </c>
    </row>
    <row r="4756" spans="1:9" ht="51.75" customHeight="1">
      <c r="A4756" s="5" t="s">
        <v>26005</v>
      </c>
      <c r="B4756" s="5" t="s">
        <v>36723</v>
      </c>
      <c r="C4756" s="5" t="s">
        <v>36672</v>
      </c>
      <c r="D4756" s="246">
        <v>42403</v>
      </c>
      <c r="E4756" s="5" t="s">
        <v>36724</v>
      </c>
      <c r="F4756" s="26" t="s">
        <v>36725</v>
      </c>
      <c r="G4756" s="27" t="s">
        <v>9996</v>
      </c>
      <c r="H4756" s="28" t="s">
        <v>9997</v>
      </c>
      <c r="I4756" s="5" t="s">
        <v>423</v>
      </c>
    </row>
    <row r="4757" spans="1:9" ht="51.75" customHeight="1">
      <c r="A4757" s="5" t="s">
        <v>26010</v>
      </c>
      <c r="B4757" s="5" t="s">
        <v>36726</v>
      </c>
      <c r="C4757" s="5" t="s">
        <v>36675</v>
      </c>
      <c r="D4757" s="246">
        <v>42403</v>
      </c>
      <c r="E4757" s="5" t="s">
        <v>36727</v>
      </c>
      <c r="F4757" s="26" t="s">
        <v>23600</v>
      </c>
      <c r="G4757" s="27" t="s">
        <v>9996</v>
      </c>
      <c r="H4757" s="28" t="s">
        <v>9997</v>
      </c>
      <c r="I4757" s="5" t="s">
        <v>423</v>
      </c>
    </row>
    <row r="4758" spans="1:9" ht="51.75" customHeight="1">
      <c r="A4758" s="5" t="s">
        <v>34205</v>
      </c>
      <c r="B4758" s="5" t="s">
        <v>36728</v>
      </c>
      <c r="C4758" s="5" t="s">
        <v>23621</v>
      </c>
      <c r="D4758" s="246">
        <v>42181</v>
      </c>
      <c r="E4758" s="5" t="s">
        <v>36729</v>
      </c>
      <c r="F4758" s="26" t="s">
        <v>23600</v>
      </c>
      <c r="G4758" s="27" t="s">
        <v>10057</v>
      </c>
      <c r="H4758" s="28" t="s">
        <v>10058</v>
      </c>
      <c r="I4758" s="5" t="s">
        <v>423</v>
      </c>
    </row>
    <row r="4759" spans="1:9" ht="51.75" customHeight="1">
      <c r="A4759" s="5" t="s">
        <v>28127</v>
      </c>
      <c r="B4759" s="5" t="s">
        <v>36730</v>
      </c>
      <c r="C4759" s="5" t="s">
        <v>23625</v>
      </c>
      <c r="D4759" s="246">
        <v>42181</v>
      </c>
      <c r="E4759" s="5" t="s">
        <v>36731</v>
      </c>
      <c r="F4759" s="26" t="s">
        <v>23600</v>
      </c>
      <c r="G4759" s="27" t="s">
        <v>10057</v>
      </c>
      <c r="H4759" s="28" t="s">
        <v>10058</v>
      </c>
      <c r="I4759" s="5" t="s">
        <v>423</v>
      </c>
    </row>
    <row r="4760" spans="1:9" ht="51.75" customHeight="1">
      <c r="A4760" s="5" t="s">
        <v>33738</v>
      </c>
      <c r="B4760" s="5" t="s">
        <v>36732</v>
      </c>
      <c r="C4760" s="5" t="s">
        <v>25972</v>
      </c>
      <c r="D4760" s="246">
        <v>42181</v>
      </c>
      <c r="E4760" s="5" t="s">
        <v>36733</v>
      </c>
      <c r="F4760" s="26" t="s">
        <v>23600</v>
      </c>
      <c r="G4760" s="27" t="s">
        <v>10057</v>
      </c>
      <c r="H4760" s="28" t="s">
        <v>10058</v>
      </c>
      <c r="I4760" s="5" t="s">
        <v>423</v>
      </c>
    </row>
    <row r="4761" spans="1:9" ht="51.75" customHeight="1">
      <c r="A4761" s="5" t="s">
        <v>28637</v>
      </c>
      <c r="B4761" s="5" t="s">
        <v>36734</v>
      </c>
      <c r="C4761" s="5" t="s">
        <v>23621</v>
      </c>
      <c r="D4761" s="246">
        <v>42313</v>
      </c>
      <c r="E4761" s="5" t="s">
        <v>36735</v>
      </c>
      <c r="F4761" s="26" t="s">
        <v>23600</v>
      </c>
      <c r="G4761" s="27" t="s">
        <v>9715</v>
      </c>
      <c r="H4761" s="28" t="s">
        <v>9716</v>
      </c>
      <c r="I4761" s="5" t="s">
        <v>423</v>
      </c>
    </row>
    <row r="4762" spans="1:9" ht="51.75" customHeight="1">
      <c r="A4762" s="5" t="s">
        <v>23832</v>
      </c>
      <c r="B4762" s="5" t="s">
        <v>36736</v>
      </c>
      <c r="C4762" s="5" t="s">
        <v>23625</v>
      </c>
      <c r="D4762" s="246">
        <v>42313</v>
      </c>
      <c r="E4762" s="5" t="s">
        <v>36737</v>
      </c>
      <c r="F4762" s="26" t="s">
        <v>23600</v>
      </c>
      <c r="G4762" s="27" t="s">
        <v>9715</v>
      </c>
      <c r="H4762" s="28" t="s">
        <v>9716</v>
      </c>
      <c r="I4762" s="5" t="s">
        <v>423</v>
      </c>
    </row>
    <row r="4763" spans="1:9" ht="51.75" customHeight="1">
      <c r="A4763" s="5" t="s">
        <v>24666</v>
      </c>
      <c r="B4763" s="5" t="s">
        <v>36738</v>
      </c>
      <c r="C4763" s="5" t="s">
        <v>36672</v>
      </c>
      <c r="D4763" s="246">
        <v>42349</v>
      </c>
      <c r="E4763" s="5" t="s">
        <v>36739</v>
      </c>
      <c r="F4763" s="26" t="s">
        <v>23600</v>
      </c>
      <c r="G4763" s="27" t="s">
        <v>10164</v>
      </c>
      <c r="H4763" s="28" t="s">
        <v>10165</v>
      </c>
      <c r="I4763" s="5" t="s">
        <v>423</v>
      </c>
    </row>
    <row r="4764" spans="1:9" ht="51.75" customHeight="1">
      <c r="A4764" s="5" t="s">
        <v>24635</v>
      </c>
      <c r="B4764" s="5" t="s">
        <v>36740</v>
      </c>
      <c r="C4764" s="5" t="s">
        <v>36741</v>
      </c>
      <c r="D4764" s="246">
        <v>42349</v>
      </c>
      <c r="E4764" s="5" t="s">
        <v>36742</v>
      </c>
      <c r="F4764" s="26" t="s">
        <v>23600</v>
      </c>
      <c r="G4764" s="27" t="s">
        <v>10164</v>
      </c>
      <c r="H4764" s="28" t="s">
        <v>10165</v>
      </c>
      <c r="I4764" s="5" t="s">
        <v>423</v>
      </c>
    </row>
    <row r="4765" spans="1:9" ht="51.75" customHeight="1">
      <c r="A4765" s="5" t="s">
        <v>26646</v>
      </c>
      <c r="B4765" s="5" t="s">
        <v>36743</v>
      </c>
      <c r="C4765" s="5" t="s">
        <v>23621</v>
      </c>
      <c r="D4765" s="246">
        <v>42289</v>
      </c>
      <c r="E4765" s="5" t="s">
        <v>36744</v>
      </c>
      <c r="F4765" s="26" t="s">
        <v>23600</v>
      </c>
      <c r="G4765" s="27" t="s">
        <v>10158</v>
      </c>
      <c r="H4765" s="28" t="s">
        <v>10159</v>
      </c>
      <c r="I4765" s="5" t="s">
        <v>423</v>
      </c>
    </row>
    <row r="4766" spans="1:9" ht="51.75" customHeight="1">
      <c r="A4766" s="5" t="s">
        <v>26658</v>
      </c>
      <c r="B4766" s="5" t="s">
        <v>36745</v>
      </c>
      <c r="C4766" s="5" t="s">
        <v>23625</v>
      </c>
      <c r="D4766" s="246">
        <v>42289</v>
      </c>
      <c r="E4766" s="5" t="s">
        <v>36746</v>
      </c>
      <c r="F4766" s="26" t="s">
        <v>23600</v>
      </c>
      <c r="G4766" s="27" t="s">
        <v>10158</v>
      </c>
      <c r="H4766" s="28" t="s">
        <v>10159</v>
      </c>
      <c r="I4766" s="5" t="s">
        <v>423</v>
      </c>
    </row>
    <row r="4767" spans="1:9" ht="51.75" customHeight="1">
      <c r="A4767" s="5" t="s">
        <v>26993</v>
      </c>
      <c r="B4767" s="5" t="s">
        <v>36747</v>
      </c>
      <c r="C4767" s="5" t="s">
        <v>23621</v>
      </c>
      <c r="D4767" s="246">
        <v>42094</v>
      </c>
      <c r="E4767" s="5" t="s">
        <v>36748</v>
      </c>
      <c r="F4767" s="26" t="s">
        <v>23600</v>
      </c>
      <c r="G4767" s="27" t="s">
        <v>10080</v>
      </c>
      <c r="H4767" s="28" t="s">
        <v>10081</v>
      </c>
      <c r="I4767" s="5" t="s">
        <v>423</v>
      </c>
    </row>
    <row r="4768" spans="1:9" ht="51.75" customHeight="1">
      <c r="A4768" s="5" t="s">
        <v>26238</v>
      </c>
      <c r="B4768" s="5" t="s">
        <v>36749</v>
      </c>
      <c r="C4768" s="5" t="s">
        <v>23625</v>
      </c>
      <c r="D4768" s="246">
        <v>42094</v>
      </c>
      <c r="E4768" s="5" t="s">
        <v>36750</v>
      </c>
      <c r="F4768" s="26" t="s">
        <v>23600</v>
      </c>
      <c r="G4768" s="27" t="s">
        <v>10080</v>
      </c>
      <c r="H4768" s="28" t="s">
        <v>10081</v>
      </c>
      <c r="I4768" s="5" t="s">
        <v>423</v>
      </c>
    </row>
    <row r="4769" spans="1:9" ht="51.75" customHeight="1">
      <c r="A4769" s="5" t="s">
        <v>26244</v>
      </c>
      <c r="B4769" s="5" t="s">
        <v>36751</v>
      </c>
      <c r="C4769" s="5" t="s">
        <v>25972</v>
      </c>
      <c r="D4769" s="246">
        <v>42094</v>
      </c>
      <c r="E4769" s="5" t="s">
        <v>36752</v>
      </c>
      <c r="F4769" s="26" t="s">
        <v>23600</v>
      </c>
      <c r="G4769" s="27" t="s">
        <v>10080</v>
      </c>
      <c r="H4769" s="28" t="s">
        <v>10081</v>
      </c>
      <c r="I4769" s="5" t="s">
        <v>423</v>
      </c>
    </row>
    <row r="4770" spans="1:9" ht="51.75" customHeight="1">
      <c r="A4770" s="5" t="s">
        <v>24347</v>
      </c>
      <c r="B4770" s="5" t="s">
        <v>36753</v>
      </c>
      <c r="C4770" s="5" t="s">
        <v>23621</v>
      </c>
      <c r="D4770" s="246">
        <v>42157</v>
      </c>
      <c r="E4770" s="5" t="s">
        <v>36754</v>
      </c>
      <c r="F4770" s="26" t="s">
        <v>23600</v>
      </c>
      <c r="G4770" s="27" t="s">
        <v>10242</v>
      </c>
      <c r="H4770" s="28" t="s">
        <v>10243</v>
      </c>
      <c r="I4770" s="5" t="s">
        <v>423</v>
      </c>
    </row>
    <row r="4771" spans="1:9" ht="51.75" customHeight="1">
      <c r="A4771" s="5" t="s">
        <v>24351</v>
      </c>
      <c r="B4771" s="5" t="s">
        <v>36755</v>
      </c>
      <c r="C4771" s="5" t="s">
        <v>23625</v>
      </c>
      <c r="D4771" s="246">
        <v>42157</v>
      </c>
      <c r="E4771" s="5" t="s">
        <v>36756</v>
      </c>
      <c r="F4771" s="26" t="s">
        <v>23600</v>
      </c>
      <c r="G4771" s="27" t="s">
        <v>10242</v>
      </c>
      <c r="H4771" s="28" t="s">
        <v>10243</v>
      </c>
      <c r="I4771" s="5" t="s">
        <v>423</v>
      </c>
    </row>
    <row r="4772" spans="1:9" ht="51.75" customHeight="1">
      <c r="A4772" s="5" t="s">
        <v>26301</v>
      </c>
      <c r="B4772" s="5" t="s">
        <v>36757</v>
      </c>
      <c r="C4772" s="5" t="s">
        <v>23621</v>
      </c>
      <c r="D4772" s="246">
        <v>42740</v>
      </c>
      <c r="E4772" s="5" t="s">
        <v>36758</v>
      </c>
      <c r="F4772" s="26" t="s">
        <v>23600</v>
      </c>
      <c r="G4772" s="27" t="s">
        <v>10331</v>
      </c>
      <c r="H4772" s="28" t="s">
        <v>10332</v>
      </c>
      <c r="I4772" s="5" t="s">
        <v>423</v>
      </c>
    </row>
    <row r="4773" spans="1:9" ht="51.75" customHeight="1">
      <c r="A4773" s="5" t="s">
        <v>26352</v>
      </c>
      <c r="B4773" s="5" t="s">
        <v>36759</v>
      </c>
      <c r="C4773" s="5" t="s">
        <v>23621</v>
      </c>
      <c r="D4773" s="246">
        <v>42194</v>
      </c>
      <c r="E4773" s="5" t="s">
        <v>36760</v>
      </c>
      <c r="F4773" s="26" t="s">
        <v>23600</v>
      </c>
      <c r="G4773" s="27" t="s">
        <v>10313</v>
      </c>
      <c r="H4773" s="28" t="s">
        <v>10314</v>
      </c>
      <c r="I4773" s="5" t="s">
        <v>423</v>
      </c>
    </row>
    <row r="4774" spans="1:9" ht="51.75" customHeight="1">
      <c r="A4774" s="5" t="s">
        <v>28119</v>
      </c>
      <c r="B4774" s="5" t="s">
        <v>36761</v>
      </c>
      <c r="C4774" s="5" t="s">
        <v>23621</v>
      </c>
      <c r="D4774" s="246">
        <v>42181</v>
      </c>
      <c r="E4774" s="5" t="s">
        <v>36762</v>
      </c>
      <c r="F4774" s="26" t="s">
        <v>23600</v>
      </c>
      <c r="G4774" s="27" t="s">
        <v>10532</v>
      </c>
      <c r="H4774" s="28" t="s">
        <v>10533</v>
      </c>
      <c r="I4774" s="5" t="s">
        <v>423</v>
      </c>
    </row>
    <row r="4775" spans="1:9" ht="51.75" customHeight="1">
      <c r="A4775" s="5" t="s">
        <v>28123</v>
      </c>
      <c r="B4775" s="5" t="s">
        <v>36763</v>
      </c>
      <c r="C4775" s="5" t="s">
        <v>23625</v>
      </c>
      <c r="D4775" s="246">
        <v>42181</v>
      </c>
      <c r="E4775" s="5" t="s">
        <v>36764</v>
      </c>
      <c r="F4775" s="26" t="s">
        <v>23600</v>
      </c>
      <c r="G4775" s="27" t="s">
        <v>10532</v>
      </c>
      <c r="H4775" s="28" t="s">
        <v>10533</v>
      </c>
      <c r="I4775" s="5" t="s">
        <v>423</v>
      </c>
    </row>
    <row r="4776" spans="1:9" ht="51.75" customHeight="1">
      <c r="A4776" s="5" t="s">
        <v>26652</v>
      </c>
      <c r="B4776" s="5" t="s">
        <v>36765</v>
      </c>
      <c r="C4776" s="5" t="s">
        <v>23621</v>
      </c>
      <c r="D4776" s="246">
        <v>42604</v>
      </c>
      <c r="E4776" s="5" t="s">
        <v>36766</v>
      </c>
      <c r="F4776" s="26" t="s">
        <v>23600</v>
      </c>
      <c r="G4776" s="27" t="s">
        <v>10557</v>
      </c>
      <c r="H4776" s="28" t="s">
        <v>10558</v>
      </c>
      <c r="I4776" s="5" t="s">
        <v>423</v>
      </c>
    </row>
    <row r="4777" spans="1:9" ht="51.75" customHeight="1">
      <c r="A4777" s="5" t="s">
        <v>26658</v>
      </c>
      <c r="B4777" s="5" t="s">
        <v>36767</v>
      </c>
      <c r="C4777" s="5" t="s">
        <v>23625</v>
      </c>
      <c r="D4777" s="246">
        <v>42604</v>
      </c>
      <c r="E4777" s="5" t="s">
        <v>36768</v>
      </c>
      <c r="F4777" s="26" t="s">
        <v>23600</v>
      </c>
      <c r="G4777" s="27" t="s">
        <v>10557</v>
      </c>
      <c r="H4777" s="28" t="s">
        <v>10558</v>
      </c>
      <c r="I4777" s="5" t="s">
        <v>423</v>
      </c>
    </row>
    <row r="4778" spans="1:9" ht="51.75" customHeight="1">
      <c r="A4778" s="5" t="s">
        <v>25339</v>
      </c>
      <c r="B4778" s="5" t="s">
        <v>36769</v>
      </c>
      <c r="C4778" s="5" t="s">
        <v>23621</v>
      </c>
      <c r="D4778" s="246">
        <v>42256</v>
      </c>
      <c r="E4778" s="5" t="s">
        <v>36770</v>
      </c>
      <c r="F4778" s="26" t="s">
        <v>23600</v>
      </c>
      <c r="G4778" s="27" t="s">
        <v>10598</v>
      </c>
      <c r="H4778" s="28" t="s">
        <v>10599</v>
      </c>
      <c r="I4778" s="5" t="s">
        <v>423</v>
      </c>
    </row>
    <row r="4779" spans="1:9" ht="51.75" customHeight="1">
      <c r="A4779" s="5" t="s">
        <v>28420</v>
      </c>
      <c r="B4779" s="5" t="s">
        <v>36771</v>
      </c>
      <c r="C4779" s="5" t="s">
        <v>23625</v>
      </c>
      <c r="D4779" s="246">
        <v>42256</v>
      </c>
      <c r="E4779" s="5" t="s">
        <v>36772</v>
      </c>
      <c r="F4779" s="26" t="s">
        <v>23600</v>
      </c>
      <c r="G4779" s="27" t="s">
        <v>10598</v>
      </c>
      <c r="H4779" s="28" t="s">
        <v>10599</v>
      </c>
      <c r="I4779" s="5" t="s">
        <v>423</v>
      </c>
    </row>
    <row r="4780" spans="1:9" ht="51.75" customHeight="1">
      <c r="A4780" s="5">
        <v>1</v>
      </c>
      <c r="B4780" s="5" t="s">
        <v>36773</v>
      </c>
      <c r="C4780" s="5" t="s">
        <v>36774</v>
      </c>
      <c r="D4780" s="246">
        <v>39693</v>
      </c>
      <c r="E4780" s="5" t="s">
        <v>36775</v>
      </c>
      <c r="F4780" s="26"/>
      <c r="G4780" s="27" t="s">
        <v>1678</v>
      </c>
      <c r="H4780" s="28" t="s">
        <v>1679</v>
      </c>
      <c r="I4780" s="5" t="s">
        <v>423</v>
      </c>
    </row>
    <row r="4781" spans="1:9" ht="51.75" customHeight="1">
      <c r="A4781" s="5">
        <v>2</v>
      </c>
      <c r="B4781" s="5" t="s">
        <v>36776</v>
      </c>
      <c r="C4781" s="5" t="s">
        <v>36777</v>
      </c>
      <c r="D4781" s="246">
        <v>39693</v>
      </c>
      <c r="E4781" s="5" t="s">
        <v>36778</v>
      </c>
      <c r="F4781" s="26"/>
      <c r="G4781" s="27" t="s">
        <v>1678</v>
      </c>
      <c r="H4781" s="28" t="s">
        <v>1679</v>
      </c>
      <c r="I4781" s="5" t="s">
        <v>423</v>
      </c>
    </row>
    <row r="4782" spans="1:9" ht="51.75" customHeight="1">
      <c r="A4782" s="5">
        <v>3</v>
      </c>
      <c r="B4782" s="5" t="s">
        <v>36779</v>
      </c>
      <c r="C4782" s="5" t="s">
        <v>36780</v>
      </c>
      <c r="D4782" s="246">
        <v>39693</v>
      </c>
      <c r="E4782" s="5" t="s">
        <v>36781</v>
      </c>
      <c r="F4782" s="26"/>
      <c r="G4782" s="27" t="s">
        <v>1678</v>
      </c>
      <c r="H4782" s="28" t="s">
        <v>1679</v>
      </c>
      <c r="I4782" s="5" t="s">
        <v>423</v>
      </c>
    </row>
    <row r="4783" spans="1:9" ht="51.75" customHeight="1">
      <c r="A4783" s="5">
        <v>4</v>
      </c>
      <c r="B4783" s="5" t="s">
        <v>36782</v>
      </c>
      <c r="C4783" s="5" t="s">
        <v>36783</v>
      </c>
      <c r="D4783" s="246">
        <v>39693</v>
      </c>
      <c r="E4783" s="5" t="s">
        <v>36784</v>
      </c>
      <c r="F4783" s="26"/>
      <c r="G4783" s="27" t="s">
        <v>1678</v>
      </c>
      <c r="H4783" s="28" t="s">
        <v>1679</v>
      </c>
      <c r="I4783" s="5" t="s">
        <v>423</v>
      </c>
    </row>
    <row r="4784" spans="1:9" ht="51.75" customHeight="1">
      <c r="A4784" s="5">
        <v>5</v>
      </c>
      <c r="B4784" s="5" t="s">
        <v>36785</v>
      </c>
      <c r="C4784" s="5" t="s">
        <v>36786</v>
      </c>
      <c r="D4784" s="246">
        <v>39693</v>
      </c>
      <c r="E4784" s="5" t="s">
        <v>36786</v>
      </c>
      <c r="F4784" s="26"/>
      <c r="G4784" s="27" t="s">
        <v>1678</v>
      </c>
      <c r="H4784" s="28" t="s">
        <v>1679</v>
      </c>
      <c r="I4784" s="5" t="s">
        <v>423</v>
      </c>
    </row>
    <row r="4785" spans="1:9" ht="51.75" customHeight="1">
      <c r="A4785" s="5">
        <v>1</v>
      </c>
      <c r="B4785" s="5" t="s">
        <v>36787</v>
      </c>
      <c r="C4785" s="5" t="s">
        <v>36788</v>
      </c>
      <c r="D4785" s="246">
        <v>40634</v>
      </c>
      <c r="E4785" s="5" t="s">
        <v>36789</v>
      </c>
      <c r="F4785" s="26"/>
      <c r="G4785" s="27" t="s">
        <v>4683</v>
      </c>
      <c r="H4785" s="28" t="s">
        <v>4684</v>
      </c>
      <c r="I4785" s="5" t="s">
        <v>423</v>
      </c>
    </row>
    <row r="4786" spans="1:9" ht="51.75" customHeight="1">
      <c r="A4786" s="5">
        <v>2</v>
      </c>
      <c r="B4786" s="5" t="s">
        <v>36790</v>
      </c>
      <c r="C4786" s="5" t="s">
        <v>36791</v>
      </c>
      <c r="D4786" s="246">
        <v>40634</v>
      </c>
      <c r="E4786" s="5" t="s">
        <v>36792</v>
      </c>
      <c r="F4786" s="26"/>
      <c r="G4786" s="27" t="s">
        <v>4683</v>
      </c>
      <c r="H4786" s="28" t="s">
        <v>4684</v>
      </c>
      <c r="I4786" s="5" t="s">
        <v>423</v>
      </c>
    </row>
    <row r="4787" spans="1:9" ht="51.75" customHeight="1">
      <c r="A4787" s="5">
        <v>3</v>
      </c>
      <c r="B4787" s="5" t="s">
        <v>36793</v>
      </c>
      <c r="C4787" s="5" t="s">
        <v>36326</v>
      </c>
      <c r="D4787" s="246">
        <v>40634</v>
      </c>
      <c r="E4787" s="5" t="s">
        <v>36794</v>
      </c>
      <c r="F4787" s="26"/>
      <c r="G4787" s="27" t="s">
        <v>4683</v>
      </c>
      <c r="H4787" s="28" t="s">
        <v>4684</v>
      </c>
      <c r="I4787" s="5" t="s">
        <v>423</v>
      </c>
    </row>
    <row r="4788" spans="1:9" ht="51.75" customHeight="1">
      <c r="A4788" s="5">
        <v>1</v>
      </c>
      <c r="B4788" s="5" t="s">
        <v>36795</v>
      </c>
      <c r="C4788" s="5" t="s">
        <v>36796</v>
      </c>
      <c r="D4788" s="246">
        <v>40749</v>
      </c>
      <c r="E4788" s="5" t="s">
        <v>36797</v>
      </c>
      <c r="F4788" s="26"/>
      <c r="G4788" s="27" t="s">
        <v>5020</v>
      </c>
      <c r="H4788" s="28" t="s">
        <v>5021</v>
      </c>
      <c r="I4788" s="5" t="s">
        <v>423</v>
      </c>
    </row>
    <row r="4789" spans="1:9" ht="51.75" customHeight="1">
      <c r="A4789" s="5">
        <v>2</v>
      </c>
      <c r="B4789" s="5" t="s">
        <v>36798</v>
      </c>
      <c r="C4789" s="5" t="s">
        <v>36799</v>
      </c>
      <c r="D4789" s="246">
        <v>40749</v>
      </c>
      <c r="E4789" s="5" t="s">
        <v>36799</v>
      </c>
      <c r="F4789" s="26"/>
      <c r="G4789" s="27" t="s">
        <v>5020</v>
      </c>
      <c r="H4789" s="28" t="s">
        <v>5021</v>
      </c>
      <c r="I4789" s="5" t="s">
        <v>423</v>
      </c>
    </row>
    <row r="4790" spans="1:9" ht="51.75" customHeight="1">
      <c r="A4790" s="5">
        <v>3</v>
      </c>
      <c r="B4790" s="5" t="s">
        <v>36800</v>
      </c>
      <c r="C4790" s="5" t="s">
        <v>36801</v>
      </c>
      <c r="D4790" s="246">
        <v>40749</v>
      </c>
      <c r="E4790" s="5" t="s">
        <v>36802</v>
      </c>
      <c r="F4790" s="26"/>
      <c r="G4790" s="27" t="s">
        <v>5020</v>
      </c>
      <c r="H4790" s="28" t="s">
        <v>5021</v>
      </c>
      <c r="I4790" s="5" t="s">
        <v>423</v>
      </c>
    </row>
    <row r="4791" spans="1:9" ht="51.75" customHeight="1">
      <c r="A4791" s="5">
        <v>1</v>
      </c>
      <c r="B4791" s="5" t="s">
        <v>36803</v>
      </c>
      <c r="C4791" s="5" t="s">
        <v>36804</v>
      </c>
      <c r="D4791" s="246">
        <v>40631</v>
      </c>
      <c r="E4791" s="5" t="s">
        <v>36805</v>
      </c>
      <c r="F4791" s="26"/>
      <c r="G4791" s="27" t="s">
        <v>4923</v>
      </c>
      <c r="H4791" s="28" t="s">
        <v>4924</v>
      </c>
      <c r="I4791" s="5" t="s">
        <v>423</v>
      </c>
    </row>
    <row r="4792" spans="1:9" ht="51.75" customHeight="1">
      <c r="A4792" s="5">
        <v>2</v>
      </c>
      <c r="B4792" s="5" t="s">
        <v>36806</v>
      </c>
      <c r="C4792" s="5" t="s">
        <v>36807</v>
      </c>
      <c r="D4792" s="246">
        <v>40631</v>
      </c>
      <c r="E4792" s="5" t="s">
        <v>36808</v>
      </c>
      <c r="F4792" s="26"/>
      <c r="G4792" s="27" t="s">
        <v>4923</v>
      </c>
      <c r="H4792" s="28" t="s">
        <v>4924</v>
      </c>
      <c r="I4792" s="5" t="s">
        <v>423</v>
      </c>
    </row>
    <row r="4793" spans="1:9" ht="51.75" customHeight="1">
      <c r="A4793" s="5">
        <v>3</v>
      </c>
      <c r="B4793" s="5" t="s">
        <v>36809</v>
      </c>
      <c r="C4793" s="5" t="s">
        <v>36810</v>
      </c>
      <c r="D4793" s="246">
        <v>40631</v>
      </c>
      <c r="E4793" s="5" t="s">
        <v>36811</v>
      </c>
      <c r="F4793" s="26"/>
      <c r="G4793" s="27" t="s">
        <v>4923</v>
      </c>
      <c r="H4793" s="28" t="s">
        <v>4924</v>
      </c>
      <c r="I4793" s="5" t="s">
        <v>423</v>
      </c>
    </row>
    <row r="4794" spans="1:9" ht="51.75" customHeight="1">
      <c r="A4794" s="5">
        <v>4</v>
      </c>
      <c r="B4794" s="5" t="s">
        <v>36812</v>
      </c>
      <c r="C4794" s="5" t="s">
        <v>36813</v>
      </c>
      <c r="D4794" s="246">
        <v>40631</v>
      </c>
      <c r="E4794" s="5" t="s">
        <v>36814</v>
      </c>
      <c r="F4794" s="26"/>
      <c r="G4794" s="27" t="s">
        <v>4923</v>
      </c>
      <c r="H4794" s="28" t="s">
        <v>4924</v>
      </c>
      <c r="I4794" s="5" t="s">
        <v>423</v>
      </c>
    </row>
    <row r="4795" spans="1:9" ht="51.75" customHeight="1">
      <c r="A4795" s="5">
        <v>1</v>
      </c>
      <c r="B4795" s="5" t="s">
        <v>36815</v>
      </c>
      <c r="C4795" s="5" t="s">
        <v>36816</v>
      </c>
      <c r="D4795" s="246">
        <v>40604</v>
      </c>
      <c r="E4795" s="5" t="s">
        <v>36817</v>
      </c>
      <c r="F4795" s="26"/>
      <c r="G4795" s="27" t="s">
        <v>4814</v>
      </c>
      <c r="H4795" s="28" t="s">
        <v>4815</v>
      </c>
      <c r="I4795" s="5" t="s">
        <v>423</v>
      </c>
    </row>
    <row r="4796" spans="1:9" ht="51.75" customHeight="1">
      <c r="A4796" s="5">
        <v>2</v>
      </c>
      <c r="B4796" s="5" t="s">
        <v>36818</v>
      </c>
      <c r="C4796" s="5" t="s">
        <v>36819</v>
      </c>
      <c r="D4796" s="246">
        <v>40604</v>
      </c>
      <c r="E4796" s="5" t="s">
        <v>36820</v>
      </c>
      <c r="F4796" s="26"/>
      <c r="G4796" s="27" t="s">
        <v>4814</v>
      </c>
      <c r="H4796" s="28" t="s">
        <v>4815</v>
      </c>
      <c r="I4796" s="5" t="s">
        <v>423</v>
      </c>
    </row>
    <row r="4797" spans="1:9" ht="51.75" customHeight="1">
      <c r="A4797" s="5">
        <v>3</v>
      </c>
      <c r="B4797" s="5" t="s">
        <v>36821</v>
      </c>
      <c r="C4797" s="5" t="s">
        <v>36822</v>
      </c>
      <c r="D4797" s="246">
        <v>40604</v>
      </c>
      <c r="E4797" s="5" t="s">
        <v>36823</v>
      </c>
      <c r="F4797" s="26"/>
      <c r="G4797" s="27" t="s">
        <v>4814</v>
      </c>
      <c r="H4797" s="28" t="s">
        <v>4815</v>
      </c>
      <c r="I4797" s="5" t="s">
        <v>423</v>
      </c>
    </row>
    <row r="4798" spans="1:9" ht="51.75" customHeight="1">
      <c r="A4798" s="5">
        <v>1</v>
      </c>
      <c r="B4798" s="5" t="s">
        <v>36824</v>
      </c>
      <c r="C4798" s="5" t="s">
        <v>36308</v>
      </c>
      <c r="D4798" s="246">
        <v>40534</v>
      </c>
      <c r="E4798" s="5" t="s">
        <v>36825</v>
      </c>
      <c r="F4798" s="26"/>
      <c r="G4798" s="27" t="s">
        <v>4662</v>
      </c>
      <c r="H4798" s="28" t="s">
        <v>4663</v>
      </c>
      <c r="I4798" s="5" t="s">
        <v>423</v>
      </c>
    </row>
    <row r="4799" spans="1:9" ht="51.75" customHeight="1">
      <c r="A4799" s="5">
        <v>2</v>
      </c>
      <c r="B4799" s="5" t="s">
        <v>36826</v>
      </c>
      <c r="C4799" s="5" t="s">
        <v>36311</v>
      </c>
      <c r="D4799" s="246">
        <v>40534</v>
      </c>
      <c r="E4799" s="5" t="s">
        <v>36827</v>
      </c>
      <c r="F4799" s="26"/>
      <c r="G4799" s="27" t="s">
        <v>4662</v>
      </c>
      <c r="H4799" s="28" t="s">
        <v>4663</v>
      </c>
      <c r="I4799" s="5" t="s">
        <v>423</v>
      </c>
    </row>
    <row r="4800" spans="1:9" ht="51.75" customHeight="1">
      <c r="A4800" s="5">
        <v>3</v>
      </c>
      <c r="B4800" s="5" t="s">
        <v>36828</v>
      </c>
      <c r="C4800" s="5" t="s">
        <v>36314</v>
      </c>
      <c r="D4800" s="246">
        <v>40534</v>
      </c>
      <c r="E4800" s="5" t="s">
        <v>36829</v>
      </c>
      <c r="F4800" s="26"/>
      <c r="G4800" s="27" t="s">
        <v>4662</v>
      </c>
      <c r="H4800" s="28" t="s">
        <v>4663</v>
      </c>
      <c r="I4800" s="5" t="s">
        <v>423</v>
      </c>
    </row>
    <row r="4801" spans="1:9" ht="51.75" customHeight="1">
      <c r="A4801" s="5">
        <v>4</v>
      </c>
      <c r="B4801" s="5" t="s">
        <v>36830</v>
      </c>
      <c r="C4801" s="5" t="s">
        <v>36317</v>
      </c>
      <c r="D4801" s="246">
        <v>40534</v>
      </c>
      <c r="E4801" s="5" t="s">
        <v>36831</v>
      </c>
      <c r="F4801" s="26"/>
      <c r="G4801" s="27" t="s">
        <v>4662</v>
      </c>
      <c r="H4801" s="28" t="s">
        <v>4663</v>
      </c>
      <c r="I4801" s="5" t="s">
        <v>423</v>
      </c>
    </row>
    <row r="4802" spans="1:9" ht="51.75" customHeight="1">
      <c r="A4802" s="5">
        <v>5</v>
      </c>
      <c r="B4802" s="5" t="s">
        <v>36832</v>
      </c>
      <c r="C4802" s="5" t="s">
        <v>36320</v>
      </c>
      <c r="D4802" s="246">
        <v>40534</v>
      </c>
      <c r="E4802" s="5" t="s">
        <v>36833</v>
      </c>
      <c r="F4802" s="26"/>
      <c r="G4802" s="27" t="s">
        <v>4662</v>
      </c>
      <c r="H4802" s="28" t="s">
        <v>4663</v>
      </c>
      <c r="I4802" s="5" t="s">
        <v>423</v>
      </c>
    </row>
    <row r="4803" spans="1:9" ht="51.75" customHeight="1">
      <c r="A4803" s="5">
        <v>6</v>
      </c>
      <c r="B4803" s="5" t="s">
        <v>36834</v>
      </c>
      <c r="C4803" s="5" t="s">
        <v>36835</v>
      </c>
      <c r="D4803" s="246">
        <v>40534</v>
      </c>
      <c r="E4803" s="5" t="s">
        <v>36836</v>
      </c>
      <c r="F4803" s="26"/>
      <c r="G4803" s="27" t="s">
        <v>4662</v>
      </c>
      <c r="H4803" s="28" t="s">
        <v>4663</v>
      </c>
      <c r="I4803" s="5" t="s">
        <v>423</v>
      </c>
    </row>
    <row r="4804" spans="1:9" ht="51.75" customHeight="1">
      <c r="A4804" s="5">
        <v>7</v>
      </c>
      <c r="B4804" s="5" t="s">
        <v>36837</v>
      </c>
      <c r="C4804" s="5" t="s">
        <v>36326</v>
      </c>
      <c r="D4804" s="246">
        <v>40534</v>
      </c>
      <c r="E4804" s="5" t="s">
        <v>36838</v>
      </c>
      <c r="F4804" s="26"/>
      <c r="G4804" s="27" t="s">
        <v>4662</v>
      </c>
      <c r="H4804" s="28" t="s">
        <v>4663</v>
      </c>
      <c r="I4804" s="5" t="s">
        <v>423</v>
      </c>
    </row>
    <row r="4805" spans="1:9" ht="51.75" customHeight="1">
      <c r="A4805" s="5">
        <v>1</v>
      </c>
      <c r="B4805" s="5" t="s">
        <v>36839</v>
      </c>
      <c r="C4805" s="5" t="s">
        <v>36840</v>
      </c>
      <c r="D4805" s="246">
        <v>40672</v>
      </c>
      <c r="E4805" s="5" t="s">
        <v>36841</v>
      </c>
      <c r="F4805" s="26"/>
      <c r="G4805" s="27" t="s">
        <v>3916</v>
      </c>
      <c r="H4805" s="28" t="s">
        <v>3917</v>
      </c>
      <c r="I4805" s="5" t="s">
        <v>423</v>
      </c>
    </row>
    <row r="4806" spans="1:9" ht="51.75" customHeight="1">
      <c r="A4806" s="5">
        <v>2</v>
      </c>
      <c r="B4806" s="5" t="s">
        <v>36842</v>
      </c>
      <c r="C4806" s="5" t="s">
        <v>36843</v>
      </c>
      <c r="D4806" s="246">
        <v>40672</v>
      </c>
      <c r="E4806" s="5" t="s">
        <v>36844</v>
      </c>
      <c r="F4806" s="26"/>
      <c r="G4806" s="27" t="s">
        <v>3916</v>
      </c>
      <c r="H4806" s="28" t="s">
        <v>3917</v>
      </c>
      <c r="I4806" s="5" t="s">
        <v>423</v>
      </c>
    </row>
    <row r="4807" spans="1:9" ht="51.75" customHeight="1">
      <c r="A4807" s="5">
        <v>1</v>
      </c>
      <c r="B4807" s="5" t="s">
        <v>36845</v>
      </c>
      <c r="C4807" s="5" t="s">
        <v>36846</v>
      </c>
      <c r="D4807" s="246">
        <v>40485</v>
      </c>
      <c r="E4807" s="5" t="s">
        <v>36847</v>
      </c>
      <c r="F4807" s="26"/>
      <c r="G4807" s="27" t="s">
        <v>3806</v>
      </c>
      <c r="H4807" s="28" t="s">
        <v>3807</v>
      </c>
      <c r="I4807" s="5" t="s">
        <v>423</v>
      </c>
    </row>
    <row r="4808" spans="1:9" ht="51.75" customHeight="1">
      <c r="A4808" s="5">
        <v>1</v>
      </c>
      <c r="B4808" s="5" t="s">
        <v>36848</v>
      </c>
      <c r="C4808" s="5" t="s">
        <v>36849</v>
      </c>
      <c r="D4808" s="246">
        <v>40532</v>
      </c>
      <c r="E4808" s="5" t="s">
        <v>36850</v>
      </c>
      <c r="F4808" s="26"/>
      <c r="G4808" s="27" t="s">
        <v>4233</v>
      </c>
      <c r="H4808" s="28" t="s">
        <v>4234</v>
      </c>
      <c r="I4808" s="5" t="s">
        <v>423</v>
      </c>
    </row>
    <row r="4809" spans="1:9" ht="51.75" customHeight="1">
      <c r="A4809" s="5">
        <v>2</v>
      </c>
      <c r="B4809" s="5" t="s">
        <v>36851</v>
      </c>
      <c r="C4809" s="5" t="s">
        <v>36852</v>
      </c>
      <c r="D4809" s="246">
        <v>40532</v>
      </c>
      <c r="E4809" s="5" t="s">
        <v>36853</v>
      </c>
      <c r="F4809" s="26"/>
      <c r="G4809" s="27" t="s">
        <v>4233</v>
      </c>
      <c r="H4809" s="28" t="s">
        <v>4234</v>
      </c>
      <c r="I4809" s="5" t="s">
        <v>423</v>
      </c>
    </row>
    <row r="4810" spans="1:9" ht="51.75" customHeight="1">
      <c r="A4810" s="5">
        <v>3</v>
      </c>
      <c r="B4810" s="5" t="s">
        <v>36854</v>
      </c>
      <c r="C4810" s="5" t="s">
        <v>36222</v>
      </c>
      <c r="D4810" s="246">
        <v>40532</v>
      </c>
      <c r="E4810" s="5" t="s">
        <v>36855</v>
      </c>
      <c r="F4810" s="26"/>
      <c r="G4810" s="27" t="s">
        <v>4233</v>
      </c>
      <c r="H4810" s="28" t="s">
        <v>4234</v>
      </c>
      <c r="I4810" s="5" t="s">
        <v>423</v>
      </c>
    </row>
    <row r="4811" spans="1:9" ht="51.75" customHeight="1">
      <c r="A4811" s="5">
        <v>4</v>
      </c>
      <c r="B4811" s="5" t="s">
        <v>36856</v>
      </c>
      <c r="C4811" s="5" t="s">
        <v>36539</v>
      </c>
      <c r="D4811" s="246">
        <v>40532</v>
      </c>
      <c r="E4811" s="5" t="s">
        <v>36539</v>
      </c>
      <c r="F4811" s="26"/>
      <c r="G4811" s="27" t="s">
        <v>4233</v>
      </c>
      <c r="H4811" s="28" t="s">
        <v>4234</v>
      </c>
      <c r="I4811" s="5" t="s">
        <v>423</v>
      </c>
    </row>
    <row r="4812" spans="1:9" ht="51.75" customHeight="1">
      <c r="A4812" s="5">
        <v>1</v>
      </c>
      <c r="B4812" s="5" t="s">
        <v>36857</v>
      </c>
      <c r="C4812" s="5" t="s">
        <v>36858</v>
      </c>
      <c r="D4812" s="246">
        <v>40315</v>
      </c>
      <c r="E4812" s="5" t="s">
        <v>36859</v>
      </c>
      <c r="F4812" s="26"/>
      <c r="G4812" s="27" t="s">
        <v>4071</v>
      </c>
      <c r="H4812" s="28" t="s">
        <v>4072</v>
      </c>
      <c r="I4812" s="5" t="s">
        <v>423</v>
      </c>
    </row>
    <row r="4813" spans="1:9" ht="51.75" customHeight="1">
      <c r="A4813" s="5">
        <v>2</v>
      </c>
      <c r="B4813" s="5" t="s">
        <v>36860</v>
      </c>
      <c r="C4813" s="5" t="s">
        <v>36861</v>
      </c>
      <c r="D4813" s="246">
        <v>40315</v>
      </c>
      <c r="E4813" s="5" t="s">
        <v>36862</v>
      </c>
      <c r="F4813" s="26"/>
      <c r="G4813" s="27" t="s">
        <v>4071</v>
      </c>
      <c r="H4813" s="28" t="s">
        <v>4072</v>
      </c>
      <c r="I4813" s="5" t="s">
        <v>423</v>
      </c>
    </row>
    <row r="4814" spans="1:9" ht="51.75" customHeight="1">
      <c r="A4814" s="5">
        <v>3</v>
      </c>
      <c r="B4814" s="5" t="s">
        <v>36863</v>
      </c>
      <c r="C4814" s="5" t="s">
        <v>36539</v>
      </c>
      <c r="D4814" s="246">
        <v>40315</v>
      </c>
      <c r="E4814" s="5" t="s">
        <v>36539</v>
      </c>
      <c r="F4814" s="26"/>
      <c r="G4814" s="27" t="s">
        <v>4071</v>
      </c>
      <c r="H4814" s="28" t="s">
        <v>4072</v>
      </c>
      <c r="I4814" s="5" t="s">
        <v>423</v>
      </c>
    </row>
    <row r="4815" spans="1:9" ht="51.75" customHeight="1">
      <c r="A4815" s="5">
        <v>1</v>
      </c>
      <c r="B4815" s="5" t="s">
        <v>36864</v>
      </c>
      <c r="C4815" s="5" t="s">
        <v>36865</v>
      </c>
      <c r="D4815" s="246">
        <v>40367</v>
      </c>
      <c r="E4815" s="5" t="s">
        <v>36866</v>
      </c>
      <c r="F4815" s="26"/>
      <c r="G4815" s="27" t="s">
        <v>4015</v>
      </c>
      <c r="H4815" s="28" t="s">
        <v>4016</v>
      </c>
      <c r="I4815" s="5" t="s">
        <v>423</v>
      </c>
    </row>
    <row r="4816" spans="1:9" ht="51.75" customHeight="1">
      <c r="A4816" s="5">
        <v>2</v>
      </c>
      <c r="B4816" s="5" t="s">
        <v>36867</v>
      </c>
      <c r="C4816" s="5" t="s">
        <v>36868</v>
      </c>
      <c r="D4816" s="246">
        <v>40367</v>
      </c>
      <c r="E4816" s="5" t="s">
        <v>36869</v>
      </c>
      <c r="F4816" s="26"/>
      <c r="G4816" s="27" t="s">
        <v>4015</v>
      </c>
      <c r="H4816" s="28" t="s">
        <v>4016</v>
      </c>
      <c r="I4816" s="5" t="s">
        <v>423</v>
      </c>
    </row>
    <row r="4817" spans="1:9" ht="51.75" customHeight="1">
      <c r="A4817" s="5">
        <v>3</v>
      </c>
      <c r="B4817" s="5" t="s">
        <v>36870</v>
      </c>
      <c r="C4817" s="5" t="s">
        <v>36871</v>
      </c>
      <c r="D4817" s="246">
        <v>40367</v>
      </c>
      <c r="E4817" s="5" t="s">
        <v>36872</v>
      </c>
      <c r="F4817" s="26"/>
      <c r="G4817" s="27" t="s">
        <v>4015</v>
      </c>
      <c r="H4817" s="28" t="s">
        <v>4016</v>
      </c>
      <c r="I4817" s="5" t="s">
        <v>423</v>
      </c>
    </row>
    <row r="4818" spans="1:9" ht="51.75" customHeight="1">
      <c r="A4818" s="5">
        <v>1</v>
      </c>
      <c r="B4818" s="5" t="s">
        <v>36873</v>
      </c>
      <c r="C4818" s="5" t="s">
        <v>36874</v>
      </c>
      <c r="D4818" s="246">
        <v>40305</v>
      </c>
      <c r="E4818" s="5" t="s">
        <v>36875</v>
      </c>
      <c r="F4818" s="26"/>
      <c r="G4818" s="27" t="s">
        <v>3878</v>
      </c>
      <c r="H4818" s="28" t="s">
        <v>3879</v>
      </c>
      <c r="I4818" s="5" t="s">
        <v>423</v>
      </c>
    </row>
    <row r="4819" spans="1:9" ht="51.75" customHeight="1">
      <c r="A4819" s="5">
        <v>2</v>
      </c>
      <c r="B4819" s="5" t="s">
        <v>36876</v>
      </c>
      <c r="C4819" s="5" t="s">
        <v>36877</v>
      </c>
      <c r="D4819" s="246">
        <v>40305</v>
      </c>
      <c r="E4819" s="5" t="s">
        <v>36877</v>
      </c>
      <c r="F4819" s="26"/>
      <c r="G4819" s="27" t="s">
        <v>3878</v>
      </c>
      <c r="H4819" s="28" t="s">
        <v>3879</v>
      </c>
      <c r="I4819" s="5" t="s">
        <v>423</v>
      </c>
    </row>
    <row r="4820" spans="1:9" ht="51.75" customHeight="1">
      <c r="A4820" s="5">
        <v>3</v>
      </c>
      <c r="B4820" s="5" t="s">
        <v>36878</v>
      </c>
      <c r="C4820" s="5" t="s">
        <v>36879</v>
      </c>
      <c r="D4820" s="246">
        <v>40305</v>
      </c>
      <c r="E4820" s="5" t="s">
        <v>36879</v>
      </c>
      <c r="F4820" s="26"/>
      <c r="G4820" s="27" t="s">
        <v>3878</v>
      </c>
      <c r="H4820" s="28" t="s">
        <v>3879</v>
      </c>
      <c r="I4820" s="5" t="s">
        <v>423</v>
      </c>
    </row>
    <row r="4821" spans="1:9" ht="51.75" customHeight="1">
      <c r="A4821" s="5">
        <v>4</v>
      </c>
      <c r="B4821" s="5" t="s">
        <v>36880</v>
      </c>
      <c r="C4821" s="5" t="s">
        <v>36881</v>
      </c>
      <c r="D4821" s="246">
        <v>40305</v>
      </c>
      <c r="E4821" s="5" t="s">
        <v>36882</v>
      </c>
      <c r="F4821" s="26"/>
      <c r="G4821" s="27" t="s">
        <v>3878</v>
      </c>
      <c r="H4821" s="28" t="s">
        <v>3879</v>
      </c>
      <c r="I4821" s="5" t="s">
        <v>423</v>
      </c>
    </row>
    <row r="4822" spans="1:9" ht="51.75" customHeight="1">
      <c r="A4822" s="5">
        <v>5</v>
      </c>
      <c r="B4822" s="5" t="s">
        <v>36883</v>
      </c>
      <c r="C4822" s="5" t="s">
        <v>36884</v>
      </c>
      <c r="D4822" s="246">
        <v>40305</v>
      </c>
      <c r="E4822" s="5" t="s">
        <v>36885</v>
      </c>
      <c r="F4822" s="26"/>
      <c r="G4822" s="27" t="s">
        <v>3878</v>
      </c>
      <c r="H4822" s="28" t="s">
        <v>3879</v>
      </c>
      <c r="I4822" s="5" t="s">
        <v>423</v>
      </c>
    </row>
    <row r="4823" spans="1:9" ht="51.75" customHeight="1">
      <c r="A4823" s="5">
        <v>1</v>
      </c>
      <c r="B4823" s="5" t="s">
        <v>36886</v>
      </c>
      <c r="C4823" s="5" t="s">
        <v>36887</v>
      </c>
      <c r="D4823" s="246">
        <v>40634</v>
      </c>
      <c r="E4823" s="5" t="s">
        <v>36888</v>
      </c>
      <c r="F4823" s="26"/>
      <c r="G4823" s="27" t="s">
        <v>3868</v>
      </c>
      <c r="H4823" s="28" t="s">
        <v>3869</v>
      </c>
      <c r="I4823" s="5" t="s">
        <v>423</v>
      </c>
    </row>
    <row r="4824" spans="1:9" ht="51.75" customHeight="1">
      <c r="A4824" s="5">
        <v>2</v>
      </c>
      <c r="B4824" s="5" t="s">
        <v>36889</v>
      </c>
      <c r="C4824" s="5" t="s">
        <v>36890</v>
      </c>
      <c r="D4824" s="246">
        <v>40634</v>
      </c>
      <c r="E4824" s="5" t="s">
        <v>36891</v>
      </c>
      <c r="F4824" s="26"/>
      <c r="G4824" s="27" t="s">
        <v>3868</v>
      </c>
      <c r="H4824" s="28" t="s">
        <v>3869</v>
      </c>
      <c r="I4824" s="5" t="s">
        <v>423</v>
      </c>
    </row>
    <row r="4825" spans="1:9" ht="51.75" customHeight="1">
      <c r="A4825" s="5">
        <v>1</v>
      </c>
      <c r="B4825" s="5" t="s">
        <v>36892</v>
      </c>
      <c r="C4825" s="5" t="s">
        <v>36893</v>
      </c>
      <c r="D4825" s="246">
        <v>40240</v>
      </c>
      <c r="E4825" s="5" t="s">
        <v>36894</v>
      </c>
      <c r="F4825" s="26"/>
      <c r="G4825" s="27" t="s">
        <v>3778</v>
      </c>
      <c r="H4825" s="28" t="s">
        <v>3779</v>
      </c>
      <c r="I4825" s="5" t="s">
        <v>423</v>
      </c>
    </row>
    <row r="4826" spans="1:9" ht="51.75" customHeight="1">
      <c r="A4826" s="5">
        <v>1</v>
      </c>
      <c r="B4826" s="5" t="s">
        <v>36895</v>
      </c>
      <c r="C4826" s="5" t="s">
        <v>36896</v>
      </c>
      <c r="D4826" s="246">
        <v>40388</v>
      </c>
      <c r="E4826" s="5" t="s">
        <v>36897</v>
      </c>
      <c r="F4826" s="26"/>
      <c r="G4826" s="27" t="s">
        <v>3722</v>
      </c>
      <c r="H4826" s="28" t="s">
        <v>3723</v>
      </c>
      <c r="I4826" s="5" t="s">
        <v>423</v>
      </c>
    </row>
    <row r="4827" spans="1:9" ht="51.75" customHeight="1">
      <c r="A4827" s="5">
        <v>1</v>
      </c>
      <c r="B4827" s="5" t="s">
        <v>36898</v>
      </c>
      <c r="C4827" s="5" t="s">
        <v>36899</v>
      </c>
      <c r="D4827" s="246">
        <v>40352</v>
      </c>
      <c r="E4827" s="5" t="s">
        <v>36900</v>
      </c>
      <c r="F4827" s="26"/>
      <c r="G4827" s="27" t="s">
        <v>3609</v>
      </c>
      <c r="H4827" s="28" t="s">
        <v>3610</v>
      </c>
      <c r="I4827" s="5" t="s">
        <v>423</v>
      </c>
    </row>
    <row r="4828" spans="1:9" ht="51.75" customHeight="1">
      <c r="A4828" s="5">
        <v>2</v>
      </c>
      <c r="B4828" s="5" t="s">
        <v>36901</v>
      </c>
      <c r="C4828" s="5" t="s">
        <v>36902</v>
      </c>
      <c r="D4828" s="246">
        <v>40352</v>
      </c>
      <c r="E4828" s="5" t="s">
        <v>36903</v>
      </c>
      <c r="F4828" s="26"/>
      <c r="G4828" s="27" t="s">
        <v>3609</v>
      </c>
      <c r="H4828" s="28" t="s">
        <v>3610</v>
      </c>
      <c r="I4828" s="5" t="s">
        <v>423</v>
      </c>
    </row>
    <row r="4829" spans="1:9" ht="51.75" customHeight="1">
      <c r="A4829" s="5">
        <v>3</v>
      </c>
      <c r="B4829" s="5" t="s">
        <v>36904</v>
      </c>
      <c r="C4829" s="5" t="s">
        <v>36905</v>
      </c>
      <c r="D4829" s="246">
        <v>40352</v>
      </c>
      <c r="E4829" s="5" t="s">
        <v>36906</v>
      </c>
      <c r="F4829" s="26"/>
      <c r="G4829" s="27" t="s">
        <v>3609</v>
      </c>
      <c r="H4829" s="28" t="s">
        <v>3610</v>
      </c>
      <c r="I4829" s="5" t="s">
        <v>423</v>
      </c>
    </row>
    <row r="4830" spans="1:9" ht="51.75" customHeight="1">
      <c r="A4830" s="5">
        <v>4</v>
      </c>
      <c r="B4830" s="5" t="s">
        <v>36907</v>
      </c>
      <c r="C4830" s="5" t="s">
        <v>36890</v>
      </c>
      <c r="D4830" s="246">
        <v>40352</v>
      </c>
      <c r="E4830" s="5" t="s">
        <v>36908</v>
      </c>
      <c r="F4830" s="26"/>
      <c r="G4830" s="27" t="s">
        <v>3609</v>
      </c>
      <c r="H4830" s="28" t="s">
        <v>3610</v>
      </c>
      <c r="I4830" s="5" t="s">
        <v>423</v>
      </c>
    </row>
    <row r="4831" spans="1:9" ht="51.75" customHeight="1">
      <c r="A4831" s="5">
        <v>1</v>
      </c>
      <c r="B4831" s="5" t="s">
        <v>36909</v>
      </c>
      <c r="C4831" s="5" t="s">
        <v>36910</v>
      </c>
      <c r="D4831" s="246">
        <v>40065</v>
      </c>
      <c r="E4831" s="5" t="s">
        <v>36911</v>
      </c>
      <c r="F4831" s="26"/>
      <c r="G4831" s="27" t="s">
        <v>3523</v>
      </c>
      <c r="H4831" s="28" t="s">
        <v>3524</v>
      </c>
      <c r="I4831" s="5" t="s">
        <v>423</v>
      </c>
    </row>
    <row r="4832" spans="1:9" ht="51.75" customHeight="1">
      <c r="A4832" s="5">
        <v>2</v>
      </c>
      <c r="B4832" s="5" t="s">
        <v>36912</v>
      </c>
      <c r="C4832" s="5" t="s">
        <v>36913</v>
      </c>
      <c r="D4832" s="246">
        <v>40065</v>
      </c>
      <c r="E4832" s="5" t="s">
        <v>36913</v>
      </c>
      <c r="F4832" s="26"/>
      <c r="G4832" s="27" t="s">
        <v>3523</v>
      </c>
      <c r="H4832" s="28" t="s">
        <v>3524</v>
      </c>
      <c r="I4832" s="5" t="s">
        <v>423</v>
      </c>
    </row>
    <row r="4833" spans="1:9" ht="51.75" customHeight="1">
      <c r="A4833" s="5">
        <v>1</v>
      </c>
      <c r="B4833" s="5" t="s">
        <v>36914</v>
      </c>
      <c r="C4833" s="5" t="s">
        <v>36915</v>
      </c>
      <c r="D4833" s="246">
        <v>39800</v>
      </c>
      <c r="E4833" s="5" t="s">
        <v>36916</v>
      </c>
      <c r="F4833" s="26"/>
      <c r="G4833" s="27" t="s">
        <v>3476</v>
      </c>
      <c r="H4833" s="28" t="s">
        <v>3477</v>
      </c>
      <c r="I4833" s="5" t="s">
        <v>423</v>
      </c>
    </row>
    <row r="4834" spans="1:9" ht="51.75" customHeight="1">
      <c r="A4834" s="5">
        <v>2</v>
      </c>
      <c r="B4834" s="5" t="s">
        <v>36917</v>
      </c>
      <c r="C4834" s="5" t="s">
        <v>36918</v>
      </c>
      <c r="D4834" s="246">
        <v>39800</v>
      </c>
      <c r="E4834" s="5" t="s">
        <v>36919</v>
      </c>
      <c r="F4834" s="26"/>
      <c r="G4834" s="27" t="s">
        <v>3476</v>
      </c>
      <c r="H4834" s="28" t="s">
        <v>3477</v>
      </c>
      <c r="I4834" s="5" t="s">
        <v>423</v>
      </c>
    </row>
    <row r="4835" spans="1:9" ht="51.75" customHeight="1">
      <c r="A4835" s="5">
        <v>3</v>
      </c>
      <c r="B4835" s="5" t="s">
        <v>36920</v>
      </c>
      <c r="C4835" s="5" t="s">
        <v>36921</v>
      </c>
      <c r="D4835" s="246">
        <v>39800</v>
      </c>
      <c r="E4835" s="5" t="s">
        <v>36922</v>
      </c>
      <c r="F4835" s="26"/>
      <c r="G4835" s="27" t="s">
        <v>3476</v>
      </c>
      <c r="H4835" s="28" t="s">
        <v>3477</v>
      </c>
      <c r="I4835" s="5" t="s">
        <v>423</v>
      </c>
    </row>
    <row r="4836" spans="1:9" ht="51.75" customHeight="1">
      <c r="A4836" s="5">
        <v>1</v>
      </c>
      <c r="B4836" s="5" t="s">
        <v>36923</v>
      </c>
      <c r="C4836" s="5" t="s">
        <v>36924</v>
      </c>
      <c r="D4836" s="246">
        <v>40169</v>
      </c>
      <c r="E4836" s="5" t="s">
        <v>36925</v>
      </c>
      <c r="F4836" s="26"/>
      <c r="G4836" s="27" t="s">
        <v>3422</v>
      </c>
      <c r="H4836" s="28" t="s">
        <v>3423</v>
      </c>
      <c r="I4836" s="5" t="s">
        <v>423</v>
      </c>
    </row>
    <row r="4837" spans="1:9" ht="51.75" customHeight="1">
      <c r="A4837" s="5">
        <v>2</v>
      </c>
      <c r="B4837" s="5" t="s">
        <v>36926</v>
      </c>
      <c r="C4837" s="5" t="s">
        <v>36927</v>
      </c>
      <c r="D4837" s="246">
        <v>40169</v>
      </c>
      <c r="E4837" s="5" t="s">
        <v>36928</v>
      </c>
      <c r="F4837" s="26"/>
      <c r="G4837" s="27" t="s">
        <v>3422</v>
      </c>
      <c r="H4837" s="28" t="s">
        <v>3423</v>
      </c>
      <c r="I4837" s="5" t="s">
        <v>423</v>
      </c>
    </row>
    <row r="4838" spans="1:9" ht="51.75" customHeight="1">
      <c r="A4838" s="5">
        <v>1</v>
      </c>
      <c r="B4838" s="5" t="s">
        <v>36929</v>
      </c>
      <c r="C4838" s="5" t="s">
        <v>36930</v>
      </c>
      <c r="D4838" s="246">
        <v>40028</v>
      </c>
      <c r="E4838" s="5" t="s">
        <v>36931</v>
      </c>
      <c r="F4838" s="26"/>
      <c r="G4838" s="27" t="s">
        <v>3369</v>
      </c>
      <c r="H4838" s="28" t="s">
        <v>3370</v>
      </c>
      <c r="I4838" s="5" t="s">
        <v>423</v>
      </c>
    </row>
    <row r="4839" spans="1:9" ht="51.75" customHeight="1">
      <c r="A4839" s="5">
        <v>1</v>
      </c>
      <c r="B4839" s="5" t="s">
        <v>36932</v>
      </c>
      <c r="C4839" s="5" t="s">
        <v>36933</v>
      </c>
      <c r="D4839" s="246">
        <v>39939</v>
      </c>
      <c r="E4839" s="5" t="s">
        <v>36934</v>
      </c>
      <c r="F4839" s="26"/>
      <c r="G4839" s="27" t="s">
        <v>3099</v>
      </c>
      <c r="H4839" s="28" t="s">
        <v>3100</v>
      </c>
      <c r="I4839" s="5" t="s">
        <v>423</v>
      </c>
    </row>
    <row r="4840" spans="1:9" ht="51.75" customHeight="1">
      <c r="A4840" s="5">
        <v>2</v>
      </c>
      <c r="B4840" s="5" t="s">
        <v>36935</v>
      </c>
      <c r="C4840" s="5" t="s">
        <v>36936</v>
      </c>
      <c r="D4840" s="246">
        <v>39939</v>
      </c>
      <c r="E4840" s="5" t="s">
        <v>36937</v>
      </c>
      <c r="F4840" s="26"/>
      <c r="G4840" s="27" t="s">
        <v>3099</v>
      </c>
      <c r="H4840" s="28" t="s">
        <v>3100</v>
      </c>
      <c r="I4840" s="5" t="s">
        <v>423</v>
      </c>
    </row>
    <row r="4841" spans="1:9" ht="51.75" customHeight="1">
      <c r="A4841" s="5">
        <v>3</v>
      </c>
      <c r="B4841" s="5" t="s">
        <v>36938</v>
      </c>
      <c r="C4841" s="5" t="s">
        <v>36939</v>
      </c>
      <c r="D4841" s="246">
        <v>39939</v>
      </c>
      <c r="E4841" s="5" t="s">
        <v>36940</v>
      </c>
      <c r="F4841" s="26"/>
      <c r="G4841" s="27" t="s">
        <v>3099</v>
      </c>
      <c r="H4841" s="28" t="s">
        <v>3100</v>
      </c>
      <c r="I4841" s="5" t="s">
        <v>423</v>
      </c>
    </row>
    <row r="4842" spans="1:9" ht="51.75" customHeight="1">
      <c r="A4842" s="5">
        <v>1</v>
      </c>
      <c r="B4842" s="5" t="s">
        <v>36941</v>
      </c>
      <c r="C4842" s="5" t="s">
        <v>36942</v>
      </c>
      <c r="D4842" s="246">
        <v>40387</v>
      </c>
      <c r="E4842" s="5" t="s">
        <v>36943</v>
      </c>
      <c r="F4842" s="26"/>
      <c r="G4842" s="27" t="s">
        <v>3123</v>
      </c>
      <c r="H4842" s="28" t="s">
        <v>3124</v>
      </c>
      <c r="I4842" s="5" t="s">
        <v>423</v>
      </c>
    </row>
    <row r="4843" spans="1:9" ht="51.75" customHeight="1">
      <c r="A4843" s="5">
        <v>2</v>
      </c>
      <c r="B4843" s="5" t="s">
        <v>36944</v>
      </c>
      <c r="C4843" s="5" t="s">
        <v>36945</v>
      </c>
      <c r="D4843" s="246">
        <v>40387</v>
      </c>
      <c r="E4843" s="5" t="s">
        <v>36946</v>
      </c>
      <c r="F4843" s="26"/>
      <c r="G4843" s="27" t="s">
        <v>3123</v>
      </c>
      <c r="H4843" s="28" t="s">
        <v>3124</v>
      </c>
      <c r="I4843" s="5" t="s">
        <v>423</v>
      </c>
    </row>
    <row r="4844" spans="1:9" ht="51.75" customHeight="1">
      <c r="A4844" s="5">
        <v>3</v>
      </c>
      <c r="B4844" s="5" t="s">
        <v>36947</v>
      </c>
      <c r="C4844" s="5" t="s">
        <v>36948</v>
      </c>
      <c r="D4844" s="246">
        <v>40387</v>
      </c>
      <c r="E4844" s="5" t="s">
        <v>36949</v>
      </c>
      <c r="F4844" s="26"/>
      <c r="G4844" s="27" t="s">
        <v>3123</v>
      </c>
      <c r="H4844" s="28" t="s">
        <v>3124</v>
      </c>
      <c r="I4844" s="5" t="s">
        <v>423</v>
      </c>
    </row>
    <row r="4845" spans="1:9" ht="51.75" customHeight="1">
      <c r="A4845" s="5">
        <v>4</v>
      </c>
      <c r="B4845" s="5" t="s">
        <v>36950</v>
      </c>
      <c r="C4845" s="5" t="s">
        <v>36951</v>
      </c>
      <c r="D4845" s="246">
        <v>40387</v>
      </c>
      <c r="E4845" s="5" t="s">
        <v>36951</v>
      </c>
      <c r="F4845" s="26"/>
      <c r="G4845" s="27" t="s">
        <v>3123</v>
      </c>
      <c r="H4845" s="28" t="s">
        <v>3124</v>
      </c>
      <c r="I4845" s="5" t="s">
        <v>423</v>
      </c>
    </row>
    <row r="4846" spans="1:9" ht="51.75" customHeight="1">
      <c r="A4846" s="5">
        <v>5</v>
      </c>
      <c r="B4846" s="5" t="s">
        <v>36952</v>
      </c>
      <c r="C4846" s="5" t="s">
        <v>36953</v>
      </c>
      <c r="D4846" s="246">
        <v>40387</v>
      </c>
      <c r="E4846" s="5" t="s">
        <v>36954</v>
      </c>
      <c r="F4846" s="26"/>
      <c r="G4846" s="27" t="s">
        <v>3123</v>
      </c>
      <c r="H4846" s="28" t="s">
        <v>3124</v>
      </c>
      <c r="I4846" s="5" t="s">
        <v>423</v>
      </c>
    </row>
    <row r="4847" spans="1:9" ht="51.75" customHeight="1">
      <c r="A4847" s="5">
        <v>1</v>
      </c>
      <c r="B4847" s="5" t="s">
        <v>36955</v>
      </c>
      <c r="C4847" s="5" t="s">
        <v>36956</v>
      </c>
      <c r="D4847" s="246">
        <v>39772</v>
      </c>
      <c r="E4847" s="5" t="s">
        <v>36957</v>
      </c>
      <c r="F4847" s="26"/>
      <c r="G4847" s="27" t="s">
        <v>2879</v>
      </c>
      <c r="H4847" s="28" t="s">
        <v>2880</v>
      </c>
      <c r="I4847" s="5" t="s">
        <v>423</v>
      </c>
    </row>
    <row r="4848" spans="1:9" ht="51.75" customHeight="1">
      <c r="A4848" s="5">
        <v>2</v>
      </c>
      <c r="B4848" s="5" t="s">
        <v>36958</v>
      </c>
      <c r="C4848" s="5" t="s">
        <v>36959</v>
      </c>
      <c r="D4848" s="246">
        <v>39772</v>
      </c>
      <c r="E4848" s="5" t="s">
        <v>36960</v>
      </c>
      <c r="F4848" s="26"/>
      <c r="G4848" s="27" t="s">
        <v>2879</v>
      </c>
      <c r="H4848" s="28" t="s">
        <v>2880</v>
      </c>
      <c r="I4848" s="5" t="s">
        <v>423</v>
      </c>
    </row>
    <row r="4849" spans="1:9" ht="51.75" customHeight="1">
      <c r="A4849" s="5">
        <v>3</v>
      </c>
      <c r="B4849" s="5" t="s">
        <v>36961</v>
      </c>
      <c r="C4849" s="5" t="s">
        <v>36962</v>
      </c>
      <c r="D4849" s="246">
        <v>39772</v>
      </c>
      <c r="E4849" s="5" t="s">
        <v>36963</v>
      </c>
      <c r="F4849" s="26"/>
      <c r="G4849" s="27" t="s">
        <v>2879</v>
      </c>
      <c r="H4849" s="28" t="s">
        <v>2880</v>
      </c>
      <c r="I4849" s="5" t="s">
        <v>423</v>
      </c>
    </row>
    <row r="4850" spans="1:9" ht="51.75" customHeight="1">
      <c r="A4850" s="5">
        <v>4</v>
      </c>
      <c r="B4850" s="5" t="s">
        <v>36964</v>
      </c>
      <c r="C4850" s="5" t="s">
        <v>36965</v>
      </c>
      <c r="D4850" s="246">
        <v>39772</v>
      </c>
      <c r="E4850" s="5" t="s">
        <v>36966</v>
      </c>
      <c r="F4850" s="26"/>
      <c r="G4850" s="27" t="s">
        <v>2879</v>
      </c>
      <c r="H4850" s="28" t="s">
        <v>2880</v>
      </c>
      <c r="I4850" s="5" t="s">
        <v>423</v>
      </c>
    </row>
    <row r="4851" spans="1:9" ht="51.75" customHeight="1">
      <c r="A4851" s="5">
        <v>5</v>
      </c>
      <c r="B4851" s="5" t="s">
        <v>36967</v>
      </c>
      <c r="C4851" s="5" t="s">
        <v>36968</v>
      </c>
      <c r="D4851" s="246">
        <v>39772</v>
      </c>
      <c r="E4851" s="5" t="s">
        <v>36969</v>
      </c>
      <c r="F4851" s="26"/>
      <c r="G4851" s="27" t="s">
        <v>2879</v>
      </c>
      <c r="H4851" s="28" t="s">
        <v>2880</v>
      </c>
      <c r="I4851" s="5" t="s">
        <v>423</v>
      </c>
    </row>
    <row r="4852" spans="1:9" ht="51.75" customHeight="1">
      <c r="A4852" s="5">
        <v>1</v>
      </c>
      <c r="B4852" s="5" t="s">
        <v>36970</v>
      </c>
      <c r="C4852" s="5" t="s">
        <v>36971</v>
      </c>
      <c r="D4852" s="246">
        <v>39723</v>
      </c>
      <c r="E4852" s="5" t="s">
        <v>36972</v>
      </c>
      <c r="F4852" s="26"/>
      <c r="G4852" s="27" t="s">
        <v>2837</v>
      </c>
      <c r="H4852" s="28" t="s">
        <v>2838</v>
      </c>
      <c r="I4852" s="5" t="s">
        <v>423</v>
      </c>
    </row>
    <row r="4853" spans="1:9" ht="51.75" customHeight="1">
      <c r="A4853" s="5">
        <v>2</v>
      </c>
      <c r="B4853" s="5" t="s">
        <v>36973</v>
      </c>
      <c r="C4853" s="5" t="s">
        <v>36974</v>
      </c>
      <c r="D4853" s="246">
        <v>39723</v>
      </c>
      <c r="E4853" s="5" t="s">
        <v>36975</v>
      </c>
      <c r="F4853" s="26"/>
      <c r="G4853" s="27" t="s">
        <v>2837</v>
      </c>
      <c r="H4853" s="28" t="s">
        <v>2838</v>
      </c>
      <c r="I4853" s="5" t="s">
        <v>423</v>
      </c>
    </row>
    <row r="4854" spans="1:9" ht="51.75" customHeight="1">
      <c r="A4854" s="5">
        <v>3</v>
      </c>
      <c r="B4854" s="5" t="s">
        <v>36976</v>
      </c>
      <c r="C4854" s="5" t="s">
        <v>36977</v>
      </c>
      <c r="D4854" s="246">
        <v>39723</v>
      </c>
      <c r="E4854" s="5" t="s">
        <v>36978</v>
      </c>
      <c r="F4854" s="26"/>
      <c r="G4854" s="27" t="s">
        <v>2837</v>
      </c>
      <c r="H4854" s="28" t="s">
        <v>2838</v>
      </c>
      <c r="I4854" s="5" t="s">
        <v>423</v>
      </c>
    </row>
    <row r="4855" spans="1:9" ht="51.75" customHeight="1">
      <c r="A4855" s="5">
        <v>4</v>
      </c>
      <c r="B4855" s="5" t="s">
        <v>36979</v>
      </c>
      <c r="C4855" s="5" t="s">
        <v>36980</v>
      </c>
      <c r="D4855" s="246">
        <v>39723</v>
      </c>
      <c r="E4855" s="5" t="s">
        <v>36981</v>
      </c>
      <c r="F4855" s="26"/>
      <c r="G4855" s="27" t="s">
        <v>2837</v>
      </c>
      <c r="H4855" s="28" t="s">
        <v>2838</v>
      </c>
      <c r="I4855" s="5" t="s">
        <v>423</v>
      </c>
    </row>
    <row r="4856" spans="1:9" ht="51.75" customHeight="1">
      <c r="A4856" s="5">
        <v>5</v>
      </c>
      <c r="B4856" s="5" t="s">
        <v>36982</v>
      </c>
      <c r="C4856" s="5" t="s">
        <v>36983</v>
      </c>
      <c r="D4856" s="246">
        <v>39723</v>
      </c>
      <c r="E4856" s="5" t="s">
        <v>36984</v>
      </c>
      <c r="F4856" s="26"/>
      <c r="G4856" s="27" t="s">
        <v>2837</v>
      </c>
      <c r="H4856" s="28" t="s">
        <v>2838</v>
      </c>
      <c r="I4856" s="5" t="s">
        <v>423</v>
      </c>
    </row>
    <row r="4857" spans="1:9" ht="51.75" customHeight="1">
      <c r="A4857" s="5">
        <v>6</v>
      </c>
      <c r="B4857" s="5" t="s">
        <v>36985</v>
      </c>
      <c r="C4857" s="5" t="s">
        <v>36986</v>
      </c>
      <c r="D4857" s="246">
        <v>39723</v>
      </c>
      <c r="E4857" s="5" t="s">
        <v>36987</v>
      </c>
      <c r="F4857" s="26"/>
      <c r="G4857" s="27" t="s">
        <v>2837</v>
      </c>
      <c r="H4857" s="28" t="s">
        <v>2838</v>
      </c>
      <c r="I4857" s="5" t="s">
        <v>423</v>
      </c>
    </row>
    <row r="4858" spans="1:9" ht="51.75" customHeight="1">
      <c r="A4858" s="5">
        <v>7</v>
      </c>
      <c r="B4858" s="5" t="s">
        <v>36988</v>
      </c>
      <c r="C4858" s="5" t="s">
        <v>36989</v>
      </c>
      <c r="D4858" s="246">
        <v>39723</v>
      </c>
      <c r="E4858" s="5" t="s">
        <v>36990</v>
      </c>
      <c r="F4858" s="26"/>
      <c r="G4858" s="27" t="s">
        <v>2837</v>
      </c>
      <c r="H4858" s="28" t="s">
        <v>2838</v>
      </c>
      <c r="I4858" s="5" t="s">
        <v>423</v>
      </c>
    </row>
    <row r="4859" spans="1:9" ht="51.75" customHeight="1">
      <c r="A4859" s="5">
        <v>1</v>
      </c>
      <c r="B4859" s="5" t="s">
        <v>36991</v>
      </c>
      <c r="C4859" s="5" t="s">
        <v>36992</v>
      </c>
      <c r="D4859" s="246">
        <v>39825</v>
      </c>
      <c r="E4859" s="5" t="s">
        <v>36993</v>
      </c>
      <c r="F4859" s="26"/>
      <c r="G4859" s="27" t="s">
        <v>2711</v>
      </c>
      <c r="H4859" s="28" t="s">
        <v>2712</v>
      </c>
      <c r="I4859" s="5" t="s">
        <v>423</v>
      </c>
    </row>
    <row r="4860" spans="1:9" ht="51.75" customHeight="1">
      <c r="A4860" s="5">
        <v>2</v>
      </c>
      <c r="B4860" s="5" t="s">
        <v>36994</v>
      </c>
      <c r="C4860" s="5" t="s">
        <v>36995</v>
      </c>
      <c r="D4860" s="246">
        <v>39825</v>
      </c>
      <c r="E4860" s="5" t="s">
        <v>36996</v>
      </c>
      <c r="F4860" s="26"/>
      <c r="G4860" s="27" t="s">
        <v>2711</v>
      </c>
      <c r="H4860" s="28" t="s">
        <v>2712</v>
      </c>
      <c r="I4860" s="5" t="s">
        <v>423</v>
      </c>
    </row>
    <row r="4861" spans="1:9" ht="51.75" customHeight="1">
      <c r="A4861" s="5">
        <v>1</v>
      </c>
      <c r="B4861" s="5" t="s">
        <v>36997</v>
      </c>
      <c r="C4861" s="5" t="s">
        <v>36998</v>
      </c>
      <c r="D4861" s="246">
        <v>39664</v>
      </c>
      <c r="E4861" s="5" t="s">
        <v>36999</v>
      </c>
      <c r="F4861" s="26"/>
      <c r="G4861" s="27" t="s">
        <v>2716</v>
      </c>
      <c r="H4861" s="28" t="s">
        <v>2717</v>
      </c>
      <c r="I4861" s="5" t="s">
        <v>423</v>
      </c>
    </row>
    <row r="4862" spans="1:9" ht="51.75" customHeight="1">
      <c r="A4862" s="5">
        <v>2</v>
      </c>
      <c r="B4862" s="5" t="s">
        <v>37000</v>
      </c>
      <c r="C4862" s="5" t="s">
        <v>37001</v>
      </c>
      <c r="D4862" s="246">
        <v>39664</v>
      </c>
      <c r="E4862" s="5" t="s">
        <v>37002</v>
      </c>
      <c r="F4862" s="26"/>
      <c r="G4862" s="27" t="s">
        <v>2716</v>
      </c>
      <c r="H4862" s="28" t="s">
        <v>2717</v>
      </c>
      <c r="I4862" s="5" t="s">
        <v>423</v>
      </c>
    </row>
    <row r="4863" spans="1:9" ht="51.75" customHeight="1">
      <c r="A4863" s="5">
        <v>3</v>
      </c>
      <c r="B4863" s="5" t="s">
        <v>37003</v>
      </c>
      <c r="C4863" s="5" t="s">
        <v>37004</v>
      </c>
      <c r="D4863" s="246">
        <v>39664</v>
      </c>
      <c r="E4863" s="5" t="s">
        <v>37005</v>
      </c>
      <c r="F4863" s="26"/>
      <c r="G4863" s="27" t="s">
        <v>2716</v>
      </c>
      <c r="H4863" s="28" t="s">
        <v>2717</v>
      </c>
      <c r="I4863" s="5" t="s">
        <v>423</v>
      </c>
    </row>
    <row r="4864" spans="1:9" ht="51.75" customHeight="1">
      <c r="A4864" s="5">
        <v>4</v>
      </c>
      <c r="B4864" s="5" t="s">
        <v>37006</v>
      </c>
      <c r="C4864" s="5" t="s">
        <v>37007</v>
      </c>
      <c r="D4864" s="246">
        <v>39664</v>
      </c>
      <c r="E4864" s="5" t="s">
        <v>37008</v>
      </c>
      <c r="F4864" s="26"/>
      <c r="G4864" s="27" t="s">
        <v>2716</v>
      </c>
      <c r="H4864" s="28" t="s">
        <v>2717</v>
      </c>
      <c r="I4864" s="5" t="s">
        <v>423</v>
      </c>
    </row>
    <row r="4865" spans="1:9" ht="51.75" customHeight="1">
      <c r="A4865" s="5">
        <v>5</v>
      </c>
      <c r="B4865" s="5" t="s">
        <v>37009</v>
      </c>
      <c r="C4865" s="5" t="s">
        <v>37010</v>
      </c>
      <c r="D4865" s="246">
        <v>39664</v>
      </c>
      <c r="E4865" s="5" t="s">
        <v>37011</v>
      </c>
      <c r="F4865" s="26"/>
      <c r="G4865" s="27" t="s">
        <v>2716</v>
      </c>
      <c r="H4865" s="28" t="s">
        <v>2717</v>
      </c>
      <c r="I4865" s="5" t="s">
        <v>423</v>
      </c>
    </row>
    <row r="4866" spans="1:9" ht="51.75" customHeight="1">
      <c r="A4866" s="5">
        <v>6</v>
      </c>
      <c r="B4866" s="5" t="s">
        <v>37012</v>
      </c>
      <c r="C4866" s="5" t="s">
        <v>37013</v>
      </c>
      <c r="D4866" s="246">
        <v>39664</v>
      </c>
      <c r="E4866" s="5" t="s">
        <v>37014</v>
      </c>
      <c r="F4866" s="26"/>
      <c r="G4866" s="27" t="s">
        <v>2716</v>
      </c>
      <c r="H4866" s="28" t="s">
        <v>2717</v>
      </c>
      <c r="I4866" s="5" t="s">
        <v>423</v>
      </c>
    </row>
    <row r="4867" spans="1:9" ht="51.75" customHeight="1">
      <c r="A4867" s="5">
        <v>1</v>
      </c>
      <c r="B4867" s="5" t="s">
        <v>37015</v>
      </c>
      <c r="C4867" s="5" t="s">
        <v>37016</v>
      </c>
      <c r="D4867" s="246">
        <v>39477</v>
      </c>
      <c r="E4867" s="5" t="s">
        <v>37017</v>
      </c>
      <c r="F4867" s="26"/>
      <c r="G4867" s="27" t="s">
        <v>2516</v>
      </c>
      <c r="H4867" s="28" t="s">
        <v>2517</v>
      </c>
      <c r="I4867" s="5" t="s">
        <v>423</v>
      </c>
    </row>
    <row r="4868" spans="1:9" ht="51.75" customHeight="1">
      <c r="A4868" s="5">
        <v>2</v>
      </c>
      <c r="B4868" s="5" t="s">
        <v>37018</v>
      </c>
      <c r="C4868" s="5" t="s">
        <v>37019</v>
      </c>
      <c r="D4868" s="246">
        <v>39477</v>
      </c>
      <c r="E4868" s="5" t="s">
        <v>37020</v>
      </c>
      <c r="F4868" s="26"/>
      <c r="G4868" s="27" t="s">
        <v>2516</v>
      </c>
      <c r="H4868" s="28" t="s">
        <v>2517</v>
      </c>
      <c r="I4868" s="5" t="s">
        <v>423</v>
      </c>
    </row>
    <row r="4869" spans="1:9" ht="51.75" customHeight="1">
      <c r="A4869" s="5">
        <v>1</v>
      </c>
      <c r="B4869" s="5" t="s">
        <v>37021</v>
      </c>
      <c r="C4869" s="5" t="s">
        <v>37022</v>
      </c>
      <c r="D4869" s="246">
        <v>39429</v>
      </c>
      <c r="E4869" s="5" t="s">
        <v>37023</v>
      </c>
      <c r="F4869" s="26"/>
      <c r="G4869" s="27" t="s">
        <v>2405</v>
      </c>
      <c r="H4869" s="28" t="s">
        <v>2406</v>
      </c>
      <c r="I4869" s="5" t="s">
        <v>423</v>
      </c>
    </row>
    <row r="4870" spans="1:9" ht="51.75" customHeight="1">
      <c r="A4870" s="5">
        <v>1</v>
      </c>
      <c r="B4870" s="5" t="s">
        <v>37024</v>
      </c>
      <c r="C4870" s="5" t="s">
        <v>37025</v>
      </c>
      <c r="D4870" s="246">
        <v>39419</v>
      </c>
      <c r="E4870" s="5" t="s">
        <v>37026</v>
      </c>
      <c r="F4870" s="26"/>
      <c r="G4870" s="27" t="s">
        <v>2391</v>
      </c>
      <c r="H4870" s="28" t="s">
        <v>2392</v>
      </c>
      <c r="I4870" s="5" t="s">
        <v>423</v>
      </c>
    </row>
    <row r="4871" spans="1:9" ht="51.75" customHeight="1">
      <c r="A4871" s="5">
        <v>2</v>
      </c>
      <c r="B4871" s="5" t="s">
        <v>37027</v>
      </c>
      <c r="C4871" s="5" t="s">
        <v>37028</v>
      </c>
      <c r="D4871" s="246">
        <v>39419</v>
      </c>
      <c r="E4871" s="5" t="s">
        <v>37029</v>
      </c>
      <c r="F4871" s="26"/>
      <c r="G4871" s="27" t="s">
        <v>2391</v>
      </c>
      <c r="H4871" s="28" t="s">
        <v>2392</v>
      </c>
      <c r="I4871" s="5" t="s">
        <v>423</v>
      </c>
    </row>
    <row r="4872" spans="1:9" ht="51.75" customHeight="1">
      <c r="A4872" s="5">
        <v>3</v>
      </c>
      <c r="B4872" s="5" t="s">
        <v>37030</v>
      </c>
      <c r="C4872" s="5" t="s">
        <v>37031</v>
      </c>
      <c r="D4872" s="246">
        <v>39419</v>
      </c>
      <c r="E4872" s="5" t="s">
        <v>37032</v>
      </c>
      <c r="F4872" s="26"/>
      <c r="G4872" s="27" t="s">
        <v>2391</v>
      </c>
      <c r="H4872" s="28" t="s">
        <v>2392</v>
      </c>
      <c r="I4872" s="5" t="s">
        <v>423</v>
      </c>
    </row>
    <row r="4873" spans="1:9" ht="51.75" customHeight="1">
      <c r="A4873" s="5">
        <v>4</v>
      </c>
      <c r="B4873" s="5" t="s">
        <v>37033</v>
      </c>
      <c r="C4873" s="5" t="s">
        <v>37034</v>
      </c>
      <c r="D4873" s="246">
        <v>39419</v>
      </c>
      <c r="E4873" s="5" t="s">
        <v>37035</v>
      </c>
      <c r="F4873" s="26"/>
      <c r="G4873" s="27" t="s">
        <v>2391</v>
      </c>
      <c r="H4873" s="28" t="s">
        <v>2392</v>
      </c>
      <c r="I4873" s="5" t="s">
        <v>423</v>
      </c>
    </row>
    <row r="4874" spans="1:9" ht="51.75" customHeight="1">
      <c r="A4874" s="5">
        <v>1</v>
      </c>
      <c r="B4874" s="5" t="s">
        <v>37036</v>
      </c>
      <c r="C4874" s="5" t="s">
        <v>37037</v>
      </c>
      <c r="D4874" s="246">
        <v>39412</v>
      </c>
      <c r="E4874" s="5" t="s">
        <v>37038</v>
      </c>
      <c r="F4874" s="26"/>
      <c r="G4874" s="27" t="s">
        <v>2376</v>
      </c>
      <c r="H4874" s="28" t="s">
        <v>2377</v>
      </c>
      <c r="I4874" s="5" t="s">
        <v>423</v>
      </c>
    </row>
    <row r="4875" spans="1:9" ht="51.75" customHeight="1">
      <c r="A4875" s="5">
        <v>2</v>
      </c>
      <c r="B4875" s="5" t="s">
        <v>37039</v>
      </c>
      <c r="C4875" s="5" t="s">
        <v>37040</v>
      </c>
      <c r="D4875" s="246">
        <v>39412</v>
      </c>
      <c r="E4875" s="5" t="s">
        <v>37041</v>
      </c>
      <c r="F4875" s="26"/>
      <c r="G4875" s="27" t="s">
        <v>2376</v>
      </c>
      <c r="H4875" s="28" t="s">
        <v>2377</v>
      </c>
      <c r="I4875" s="5" t="s">
        <v>423</v>
      </c>
    </row>
    <row r="4876" spans="1:9" ht="51.75" customHeight="1">
      <c r="A4876" s="5">
        <v>1</v>
      </c>
      <c r="B4876" s="5" t="s">
        <v>37042</v>
      </c>
      <c r="C4876" s="5" t="s">
        <v>36110</v>
      </c>
      <c r="D4876" s="246">
        <v>39694</v>
      </c>
      <c r="E4876" s="5" t="s">
        <v>37043</v>
      </c>
      <c r="F4876" s="26"/>
      <c r="G4876" s="27" t="s">
        <v>2281</v>
      </c>
      <c r="H4876" s="28" t="s">
        <v>2282</v>
      </c>
      <c r="I4876" s="5" t="s">
        <v>423</v>
      </c>
    </row>
    <row r="4877" spans="1:9" ht="51.75" customHeight="1">
      <c r="A4877" s="5">
        <v>1</v>
      </c>
      <c r="B4877" s="5" t="s">
        <v>37044</v>
      </c>
      <c r="C4877" s="5" t="s">
        <v>37045</v>
      </c>
      <c r="D4877" s="246">
        <v>39357</v>
      </c>
      <c r="E4877" s="5" t="s">
        <v>37045</v>
      </c>
      <c r="F4877" s="26"/>
      <c r="G4877" s="27" t="s">
        <v>2242</v>
      </c>
      <c r="H4877" s="28" t="s">
        <v>2243</v>
      </c>
      <c r="I4877" s="5" t="s">
        <v>423</v>
      </c>
    </row>
    <row r="4878" spans="1:9" ht="51.75" customHeight="1">
      <c r="A4878" s="5">
        <v>2</v>
      </c>
      <c r="B4878" s="5" t="s">
        <v>37046</v>
      </c>
      <c r="C4878" s="5" t="s">
        <v>37047</v>
      </c>
      <c r="D4878" s="246">
        <v>39357</v>
      </c>
      <c r="E4878" s="5" t="s">
        <v>37048</v>
      </c>
      <c r="F4878" s="26"/>
      <c r="G4878" s="27" t="s">
        <v>2242</v>
      </c>
      <c r="H4878" s="28" t="s">
        <v>2243</v>
      </c>
      <c r="I4878" s="5" t="s">
        <v>423</v>
      </c>
    </row>
    <row r="4879" spans="1:9" ht="51.75" customHeight="1">
      <c r="A4879" s="5">
        <v>1</v>
      </c>
      <c r="B4879" s="5" t="s">
        <v>37049</v>
      </c>
      <c r="C4879" s="5" t="s">
        <v>37050</v>
      </c>
      <c r="D4879" s="246">
        <v>39357</v>
      </c>
      <c r="E4879" s="5" t="s">
        <v>37051</v>
      </c>
      <c r="F4879" s="26"/>
      <c r="G4879" s="27" t="s">
        <v>2238</v>
      </c>
      <c r="H4879" s="28" t="s">
        <v>2239</v>
      </c>
      <c r="I4879" s="5" t="s">
        <v>423</v>
      </c>
    </row>
    <row r="4880" spans="1:9" ht="51.75" customHeight="1">
      <c r="A4880" s="5">
        <v>2</v>
      </c>
      <c r="B4880" s="5" t="s">
        <v>37052</v>
      </c>
      <c r="C4880" s="5" t="s">
        <v>37053</v>
      </c>
      <c r="D4880" s="246">
        <v>39357</v>
      </c>
      <c r="E4880" s="5" t="s">
        <v>37054</v>
      </c>
      <c r="F4880" s="26"/>
      <c r="G4880" s="27" t="s">
        <v>2238</v>
      </c>
      <c r="H4880" s="28" t="s">
        <v>2239</v>
      </c>
      <c r="I4880" s="5" t="s">
        <v>423</v>
      </c>
    </row>
    <row r="4881" spans="1:9" ht="51.75" customHeight="1">
      <c r="A4881" s="5">
        <v>1</v>
      </c>
      <c r="B4881" s="5" t="s">
        <v>37055</v>
      </c>
      <c r="C4881" s="5" t="s">
        <v>37056</v>
      </c>
      <c r="D4881" s="246">
        <v>39694</v>
      </c>
      <c r="E4881" s="5" t="s">
        <v>37057</v>
      </c>
      <c r="F4881" s="26"/>
      <c r="G4881" s="27" t="s">
        <v>2184</v>
      </c>
      <c r="H4881" s="28" t="s">
        <v>2185</v>
      </c>
      <c r="I4881" s="5" t="s">
        <v>423</v>
      </c>
    </row>
    <row r="4882" spans="1:9" ht="51.75" customHeight="1">
      <c r="A4882" s="5" t="s">
        <v>33985</v>
      </c>
      <c r="B4882" s="5" t="s">
        <v>37058</v>
      </c>
      <c r="C4882" s="5" t="s">
        <v>36672</v>
      </c>
      <c r="D4882" s="246">
        <v>42282</v>
      </c>
      <c r="E4882" s="5" t="s">
        <v>37059</v>
      </c>
      <c r="F4882" s="26" t="s">
        <v>23600</v>
      </c>
      <c r="G4882" s="27" t="s">
        <v>10620</v>
      </c>
      <c r="H4882" s="28" t="s">
        <v>10621</v>
      </c>
      <c r="I4882" s="5" t="s">
        <v>423</v>
      </c>
    </row>
    <row r="4883" spans="1:9" ht="51.75" customHeight="1">
      <c r="A4883" s="5" t="s">
        <v>30132</v>
      </c>
      <c r="B4883" s="5" t="s">
        <v>37060</v>
      </c>
      <c r="C4883" s="5" t="s">
        <v>36675</v>
      </c>
      <c r="D4883" s="246">
        <v>42282</v>
      </c>
      <c r="E4883" s="5" t="s">
        <v>37061</v>
      </c>
      <c r="F4883" s="26" t="s">
        <v>23600</v>
      </c>
      <c r="G4883" s="27" t="s">
        <v>10620</v>
      </c>
      <c r="H4883" s="28" t="s">
        <v>10621</v>
      </c>
      <c r="I4883" s="5" t="s">
        <v>423</v>
      </c>
    </row>
    <row r="4884" spans="1:9" ht="51.75" customHeight="1">
      <c r="A4884" s="5" t="s">
        <v>26358</v>
      </c>
      <c r="B4884" s="5" t="s">
        <v>37062</v>
      </c>
      <c r="C4884" s="5" t="s">
        <v>23621</v>
      </c>
      <c r="D4884" s="246">
        <v>42202</v>
      </c>
      <c r="E4884" s="5" t="s">
        <v>37063</v>
      </c>
      <c r="F4884" s="26" t="s">
        <v>23600</v>
      </c>
      <c r="G4884" s="27" t="s">
        <v>10632</v>
      </c>
      <c r="H4884" s="28" t="s">
        <v>10633</v>
      </c>
      <c r="I4884" s="5" t="s">
        <v>423</v>
      </c>
    </row>
    <row r="4885" spans="1:9" ht="51.75" customHeight="1">
      <c r="A4885" s="5" t="s">
        <v>26364</v>
      </c>
      <c r="B4885" s="5" t="s">
        <v>37064</v>
      </c>
      <c r="C4885" s="5" t="s">
        <v>23625</v>
      </c>
      <c r="D4885" s="246">
        <v>42202</v>
      </c>
      <c r="E4885" s="5" t="s">
        <v>37065</v>
      </c>
      <c r="F4885" s="26" t="s">
        <v>23600</v>
      </c>
      <c r="G4885" s="27" t="s">
        <v>10632</v>
      </c>
      <c r="H4885" s="28" t="s">
        <v>10633</v>
      </c>
      <c r="I4885" s="5" t="s">
        <v>423</v>
      </c>
    </row>
    <row r="4886" spans="1:9" ht="51.75" customHeight="1">
      <c r="A4886" s="5" t="s">
        <v>26370</v>
      </c>
      <c r="B4886" s="5" t="s">
        <v>37066</v>
      </c>
      <c r="C4886" s="5" t="s">
        <v>25972</v>
      </c>
      <c r="D4886" s="246">
        <v>42202</v>
      </c>
      <c r="E4886" s="5" t="s">
        <v>37067</v>
      </c>
      <c r="F4886" s="26" t="s">
        <v>23600</v>
      </c>
      <c r="G4886" s="27" t="s">
        <v>10632</v>
      </c>
      <c r="H4886" s="28" t="s">
        <v>10633</v>
      </c>
      <c r="I4886" s="5" t="s">
        <v>423</v>
      </c>
    </row>
    <row r="4887" spans="1:9" ht="51.75" customHeight="1">
      <c r="A4887" s="5" t="s">
        <v>26301</v>
      </c>
      <c r="B4887" s="5" t="s">
        <v>37068</v>
      </c>
      <c r="C4887" s="5" t="s">
        <v>36672</v>
      </c>
      <c r="D4887" s="246">
        <v>42375</v>
      </c>
      <c r="E4887" s="5" t="s">
        <v>37069</v>
      </c>
      <c r="F4887" s="26" t="s">
        <v>23600</v>
      </c>
      <c r="G4887" s="27" t="s">
        <v>10684</v>
      </c>
      <c r="H4887" s="28" t="s">
        <v>10685</v>
      </c>
      <c r="I4887" s="5" t="s">
        <v>423</v>
      </c>
    </row>
    <row r="4888" spans="1:9" ht="51.75" customHeight="1">
      <c r="A4888" s="5" t="s">
        <v>25000</v>
      </c>
      <c r="B4888" s="5" t="s">
        <v>37070</v>
      </c>
      <c r="C4888" s="5" t="s">
        <v>36675</v>
      </c>
      <c r="D4888" s="246">
        <v>42375</v>
      </c>
      <c r="E4888" s="5" t="s">
        <v>37071</v>
      </c>
      <c r="F4888" s="26" t="s">
        <v>23600</v>
      </c>
      <c r="G4888" s="27" t="s">
        <v>10684</v>
      </c>
      <c r="H4888" s="28" t="s">
        <v>10685</v>
      </c>
      <c r="I4888" s="5" t="s">
        <v>423</v>
      </c>
    </row>
    <row r="4889" spans="1:9" ht="51.75" customHeight="1">
      <c r="A4889" s="5" t="s">
        <v>24530</v>
      </c>
      <c r="B4889" s="5" t="s">
        <v>37072</v>
      </c>
      <c r="C4889" s="5" t="s">
        <v>23621</v>
      </c>
      <c r="D4889" s="246">
        <v>42541</v>
      </c>
      <c r="E4889" s="5" t="s">
        <v>37073</v>
      </c>
      <c r="F4889" s="26" t="s">
        <v>23600</v>
      </c>
      <c r="G4889" s="27" t="s">
        <v>10754</v>
      </c>
      <c r="H4889" s="28" t="s">
        <v>10755</v>
      </c>
      <c r="I4889" s="5" t="s">
        <v>423</v>
      </c>
    </row>
    <row r="4890" spans="1:9" ht="51.75" customHeight="1">
      <c r="A4890" s="5" t="s">
        <v>24534</v>
      </c>
      <c r="B4890" s="5" t="s">
        <v>37074</v>
      </c>
      <c r="C4890" s="5" t="s">
        <v>23625</v>
      </c>
      <c r="D4890" s="246">
        <v>42541</v>
      </c>
      <c r="E4890" s="5" t="s">
        <v>37075</v>
      </c>
      <c r="F4890" s="26" t="s">
        <v>23600</v>
      </c>
      <c r="G4890" s="27" t="s">
        <v>10754</v>
      </c>
      <c r="H4890" s="28" t="s">
        <v>10755</v>
      </c>
      <c r="I4890" s="5" t="s">
        <v>423</v>
      </c>
    </row>
    <row r="4891" spans="1:9" ht="51.75" customHeight="1">
      <c r="A4891" s="5" t="s">
        <v>24542</v>
      </c>
      <c r="B4891" s="5" t="s">
        <v>37076</v>
      </c>
      <c r="C4891" s="5" t="s">
        <v>25972</v>
      </c>
      <c r="D4891" s="246">
        <v>42541</v>
      </c>
      <c r="E4891" s="5" t="s">
        <v>37077</v>
      </c>
      <c r="F4891" s="26" t="s">
        <v>23600</v>
      </c>
      <c r="G4891" s="27" t="s">
        <v>10754</v>
      </c>
      <c r="H4891" s="28" t="s">
        <v>10755</v>
      </c>
      <c r="I4891" s="5" t="s">
        <v>423</v>
      </c>
    </row>
    <row r="4892" spans="1:9" ht="51.75" customHeight="1">
      <c r="A4892" s="5" t="s">
        <v>23720</v>
      </c>
      <c r="B4892" s="5" t="s">
        <v>37078</v>
      </c>
      <c r="C4892" s="5" t="s">
        <v>36672</v>
      </c>
      <c r="D4892" s="246">
        <v>42423</v>
      </c>
      <c r="E4892" s="5" t="s">
        <v>37079</v>
      </c>
      <c r="F4892" s="26" t="s">
        <v>23600</v>
      </c>
      <c r="G4892" s="27" t="s">
        <v>10784</v>
      </c>
      <c r="H4892" s="28" t="s">
        <v>10785</v>
      </c>
      <c r="I4892" s="5" t="s">
        <v>423</v>
      </c>
    </row>
    <row r="4893" spans="1:9" ht="51.75" customHeight="1">
      <c r="A4893" s="5" t="s">
        <v>23740</v>
      </c>
      <c r="B4893" s="5" t="s">
        <v>37080</v>
      </c>
      <c r="C4893" s="5" t="s">
        <v>36675</v>
      </c>
      <c r="D4893" s="246">
        <v>42423</v>
      </c>
      <c r="E4893" s="5" t="s">
        <v>37081</v>
      </c>
      <c r="F4893" s="26" t="s">
        <v>23600</v>
      </c>
      <c r="G4893" s="27" t="s">
        <v>10784</v>
      </c>
      <c r="H4893" s="28" t="s">
        <v>10785</v>
      </c>
      <c r="I4893" s="5" t="s">
        <v>423</v>
      </c>
    </row>
    <row r="4894" spans="1:9" ht="51.75" customHeight="1">
      <c r="A4894" s="5" t="s">
        <v>26503</v>
      </c>
      <c r="B4894" s="5" t="s">
        <v>37082</v>
      </c>
      <c r="C4894" s="5" t="s">
        <v>23621</v>
      </c>
      <c r="D4894" s="246">
        <v>42391</v>
      </c>
      <c r="E4894" s="5" t="s">
        <v>37083</v>
      </c>
      <c r="F4894" s="26" t="s">
        <v>23600</v>
      </c>
      <c r="G4894" s="27" t="s">
        <v>10825</v>
      </c>
      <c r="H4894" s="28" t="s">
        <v>10826</v>
      </c>
      <c r="I4894" s="5" t="s">
        <v>423</v>
      </c>
    </row>
    <row r="4895" spans="1:9" ht="51.75" customHeight="1">
      <c r="A4895" s="5" t="s">
        <v>26515</v>
      </c>
      <c r="B4895" s="5" t="s">
        <v>37084</v>
      </c>
      <c r="C4895" s="5" t="s">
        <v>23625</v>
      </c>
      <c r="D4895" s="246">
        <v>42391</v>
      </c>
      <c r="E4895" s="5" t="s">
        <v>37085</v>
      </c>
      <c r="F4895" s="26" t="s">
        <v>23600</v>
      </c>
      <c r="G4895" s="27" t="s">
        <v>10825</v>
      </c>
      <c r="H4895" s="28" t="s">
        <v>10826</v>
      </c>
      <c r="I4895" s="5" t="s">
        <v>423</v>
      </c>
    </row>
    <row r="4896" spans="1:9" ht="51.75" customHeight="1">
      <c r="A4896" s="5" t="s">
        <v>27142</v>
      </c>
      <c r="B4896" s="5" t="s">
        <v>37086</v>
      </c>
      <c r="C4896" s="5" t="s">
        <v>36672</v>
      </c>
      <c r="D4896" s="246">
        <v>42296</v>
      </c>
      <c r="E4896" s="5" t="s">
        <v>37087</v>
      </c>
      <c r="F4896" s="26" t="s">
        <v>23600</v>
      </c>
      <c r="G4896" s="27" t="s">
        <v>10934</v>
      </c>
      <c r="H4896" s="28" t="s">
        <v>10935</v>
      </c>
      <c r="I4896" s="5" t="s">
        <v>423</v>
      </c>
    </row>
    <row r="4897" spans="1:9" ht="51.75" customHeight="1">
      <c r="A4897" s="5" t="s">
        <v>23960</v>
      </c>
      <c r="B4897" s="5" t="s">
        <v>37088</v>
      </c>
      <c r="C4897" s="5" t="s">
        <v>36675</v>
      </c>
      <c r="D4897" s="246">
        <v>42296</v>
      </c>
      <c r="E4897" s="5" t="s">
        <v>37089</v>
      </c>
      <c r="F4897" s="26" t="s">
        <v>23600</v>
      </c>
      <c r="G4897" s="27" t="s">
        <v>10934</v>
      </c>
      <c r="H4897" s="28" t="s">
        <v>10935</v>
      </c>
      <c r="I4897" s="5" t="s">
        <v>423</v>
      </c>
    </row>
    <row r="4898" spans="1:9" ht="51.75" customHeight="1">
      <c r="A4898" s="5" t="s">
        <v>23938</v>
      </c>
      <c r="B4898" s="5" t="s">
        <v>37090</v>
      </c>
      <c r="C4898" s="5" t="s">
        <v>36678</v>
      </c>
      <c r="D4898" s="246">
        <v>42296</v>
      </c>
      <c r="E4898" s="5" t="s">
        <v>37091</v>
      </c>
      <c r="F4898" s="26" t="s">
        <v>23600</v>
      </c>
      <c r="G4898" s="27" t="s">
        <v>10934</v>
      </c>
      <c r="H4898" s="28" t="s">
        <v>10935</v>
      </c>
      <c r="I4898" s="5" t="s">
        <v>423</v>
      </c>
    </row>
    <row r="4899" spans="1:9" ht="51.75" customHeight="1">
      <c r="A4899" s="5" t="s">
        <v>24697</v>
      </c>
      <c r="B4899" s="5" t="s">
        <v>37092</v>
      </c>
      <c r="C4899" s="5" t="s">
        <v>36672</v>
      </c>
      <c r="D4899" s="246">
        <v>42377</v>
      </c>
      <c r="E4899" s="5" t="s">
        <v>37093</v>
      </c>
      <c r="F4899" s="26" t="s">
        <v>23600</v>
      </c>
      <c r="G4899" s="27" t="s">
        <v>10576</v>
      </c>
      <c r="H4899" s="28" t="s">
        <v>10577</v>
      </c>
      <c r="I4899" s="5" t="s">
        <v>423</v>
      </c>
    </row>
    <row r="4900" spans="1:9" ht="51.75" customHeight="1">
      <c r="A4900" s="5" t="s">
        <v>30098</v>
      </c>
      <c r="B4900" s="5" t="s">
        <v>37094</v>
      </c>
      <c r="C4900" s="5" t="s">
        <v>36675</v>
      </c>
      <c r="D4900" s="246">
        <v>42377</v>
      </c>
      <c r="E4900" s="5" t="s">
        <v>37095</v>
      </c>
      <c r="F4900" s="26" t="s">
        <v>23600</v>
      </c>
      <c r="G4900" s="27" t="s">
        <v>10576</v>
      </c>
      <c r="H4900" s="28" t="s">
        <v>10577</v>
      </c>
      <c r="I4900" s="5" t="s">
        <v>423</v>
      </c>
    </row>
    <row r="4901" spans="1:9" ht="51.75" customHeight="1">
      <c r="A4901" s="5" t="s">
        <v>24942</v>
      </c>
      <c r="B4901" s="5" t="s">
        <v>37096</v>
      </c>
      <c r="C4901" s="5" t="s">
        <v>36678</v>
      </c>
      <c r="D4901" s="246">
        <v>42377</v>
      </c>
      <c r="E4901" s="5" t="s">
        <v>37097</v>
      </c>
      <c r="F4901" s="26" t="s">
        <v>23600</v>
      </c>
      <c r="G4901" s="27" t="s">
        <v>10576</v>
      </c>
      <c r="H4901" s="28" t="s">
        <v>10577</v>
      </c>
      <c r="I4901" s="5" t="s">
        <v>423</v>
      </c>
    </row>
    <row r="4902" spans="1:9" ht="51.75" customHeight="1">
      <c r="A4902" s="5" t="s">
        <v>27424</v>
      </c>
      <c r="B4902" s="5" t="s">
        <v>37098</v>
      </c>
      <c r="C4902" s="5" t="s">
        <v>36672</v>
      </c>
      <c r="D4902" s="246">
        <v>42536</v>
      </c>
      <c r="E4902" s="5" t="s">
        <v>37099</v>
      </c>
      <c r="F4902" s="26" t="s">
        <v>23600</v>
      </c>
      <c r="G4902" s="27" t="s">
        <v>10905</v>
      </c>
      <c r="H4902" s="28" t="s">
        <v>10906</v>
      </c>
      <c r="I4902" s="5" t="s">
        <v>423</v>
      </c>
    </row>
    <row r="4903" spans="1:9" ht="51.75" customHeight="1">
      <c r="A4903" s="5" t="s">
        <v>35049</v>
      </c>
      <c r="B4903" s="5" t="s">
        <v>37100</v>
      </c>
      <c r="C4903" s="5" t="s">
        <v>36675</v>
      </c>
      <c r="D4903" s="246">
        <v>42536</v>
      </c>
      <c r="E4903" s="5" t="s">
        <v>37101</v>
      </c>
      <c r="F4903" s="26" t="s">
        <v>23600</v>
      </c>
      <c r="G4903" s="27" t="s">
        <v>10905</v>
      </c>
      <c r="H4903" s="28" t="s">
        <v>10906</v>
      </c>
      <c r="I4903" s="5" t="s">
        <v>423</v>
      </c>
    </row>
    <row r="4904" spans="1:9" ht="51.75" customHeight="1">
      <c r="A4904" s="5" t="s">
        <v>26265</v>
      </c>
      <c r="B4904" s="5" t="s">
        <v>37102</v>
      </c>
      <c r="C4904" s="5" t="s">
        <v>36672</v>
      </c>
      <c r="D4904" s="246">
        <v>42384</v>
      </c>
      <c r="E4904" s="5" t="s">
        <v>37103</v>
      </c>
      <c r="F4904" s="26" t="s">
        <v>23600</v>
      </c>
      <c r="G4904" s="27" t="s">
        <v>10946</v>
      </c>
      <c r="H4904" s="28" t="s">
        <v>10947</v>
      </c>
      <c r="I4904" s="5" t="s">
        <v>423</v>
      </c>
    </row>
    <row r="4905" spans="1:9" ht="51.75" customHeight="1">
      <c r="A4905" s="5" t="s">
        <v>26250</v>
      </c>
      <c r="B4905" s="5" t="s">
        <v>37104</v>
      </c>
      <c r="C4905" s="5" t="s">
        <v>36675</v>
      </c>
      <c r="D4905" s="246">
        <v>42384</v>
      </c>
      <c r="E4905" s="5" t="s">
        <v>37105</v>
      </c>
      <c r="F4905" s="26" t="s">
        <v>23600</v>
      </c>
      <c r="G4905" s="27" t="s">
        <v>10946</v>
      </c>
      <c r="H4905" s="28" t="s">
        <v>10947</v>
      </c>
      <c r="I4905" s="5" t="s">
        <v>423</v>
      </c>
    </row>
    <row r="4906" spans="1:9" ht="51.75" customHeight="1">
      <c r="A4906" s="5" t="s">
        <v>25113</v>
      </c>
      <c r="B4906" s="5" t="s">
        <v>37106</v>
      </c>
      <c r="C4906" s="5" t="s">
        <v>23621</v>
      </c>
      <c r="D4906" s="246">
        <v>42576</v>
      </c>
      <c r="E4906" s="5" t="s">
        <v>37107</v>
      </c>
      <c r="F4906" s="26" t="s">
        <v>23600</v>
      </c>
      <c r="G4906" s="27" t="s">
        <v>10343</v>
      </c>
      <c r="H4906" s="28" t="s">
        <v>10344</v>
      </c>
      <c r="I4906" s="5" t="s">
        <v>423</v>
      </c>
    </row>
    <row r="4907" spans="1:9" ht="51.75" customHeight="1">
      <c r="A4907" s="5" t="s">
        <v>25117</v>
      </c>
      <c r="B4907" s="5" t="s">
        <v>37108</v>
      </c>
      <c r="C4907" s="5" t="s">
        <v>23625</v>
      </c>
      <c r="D4907" s="246">
        <v>42576</v>
      </c>
      <c r="E4907" s="5" t="s">
        <v>37109</v>
      </c>
      <c r="F4907" s="26" t="s">
        <v>23600</v>
      </c>
      <c r="G4907" s="27" t="s">
        <v>10343</v>
      </c>
      <c r="H4907" s="28" t="s">
        <v>10344</v>
      </c>
      <c r="I4907" s="5" t="s">
        <v>423</v>
      </c>
    </row>
    <row r="4908" spans="1:9" ht="51.75" customHeight="1">
      <c r="A4908" s="5" t="s">
        <v>25346</v>
      </c>
      <c r="B4908" s="5" t="s">
        <v>37110</v>
      </c>
      <c r="C4908" s="5" t="s">
        <v>23621</v>
      </c>
      <c r="D4908" s="246">
        <v>42261</v>
      </c>
      <c r="E4908" s="5" t="s">
        <v>37111</v>
      </c>
      <c r="F4908" s="26" t="s">
        <v>23600</v>
      </c>
      <c r="G4908" s="27" t="s">
        <v>11038</v>
      </c>
      <c r="H4908" s="28" t="s">
        <v>11039</v>
      </c>
      <c r="I4908" s="5" t="s">
        <v>423</v>
      </c>
    </row>
    <row r="4909" spans="1:9" ht="51.75" customHeight="1">
      <c r="A4909" s="5" t="s">
        <v>29929</v>
      </c>
      <c r="B4909" s="5" t="s">
        <v>37112</v>
      </c>
      <c r="C4909" s="5" t="s">
        <v>23625</v>
      </c>
      <c r="D4909" s="246">
        <v>42261</v>
      </c>
      <c r="E4909" s="5" t="s">
        <v>36129</v>
      </c>
      <c r="F4909" s="26" t="s">
        <v>23600</v>
      </c>
      <c r="G4909" s="27" t="s">
        <v>11038</v>
      </c>
      <c r="H4909" s="28" t="s">
        <v>11039</v>
      </c>
      <c r="I4909" s="5" t="s">
        <v>423</v>
      </c>
    </row>
    <row r="4910" spans="1:9" ht="51.75" customHeight="1">
      <c r="A4910" s="5" t="s">
        <v>34838</v>
      </c>
      <c r="B4910" s="5" t="s">
        <v>37113</v>
      </c>
      <c r="C4910" s="5" t="s">
        <v>37114</v>
      </c>
      <c r="D4910" s="246">
        <v>42261</v>
      </c>
      <c r="E4910" s="5" t="s">
        <v>37115</v>
      </c>
      <c r="F4910" s="26" t="s">
        <v>23600</v>
      </c>
      <c r="G4910" s="27" t="s">
        <v>11038</v>
      </c>
      <c r="H4910" s="28" t="s">
        <v>11039</v>
      </c>
      <c r="I4910" s="5" t="s">
        <v>423</v>
      </c>
    </row>
    <row r="4911" spans="1:9" ht="51.75" customHeight="1">
      <c r="A4911" s="5" t="s">
        <v>33941</v>
      </c>
      <c r="B4911" s="5" t="s">
        <v>37116</v>
      </c>
      <c r="C4911" s="5" t="s">
        <v>23621</v>
      </c>
      <c r="D4911" s="246">
        <v>42495</v>
      </c>
      <c r="E4911" s="5" t="s">
        <v>37117</v>
      </c>
      <c r="F4911" s="26" t="s">
        <v>23600</v>
      </c>
      <c r="G4911" s="27" t="s">
        <v>11044</v>
      </c>
      <c r="H4911" s="28" t="s">
        <v>11045</v>
      </c>
      <c r="I4911" s="5" t="s">
        <v>423</v>
      </c>
    </row>
    <row r="4912" spans="1:9" ht="51.75" customHeight="1">
      <c r="A4912" s="5" t="s">
        <v>29768</v>
      </c>
      <c r="B4912" s="5" t="s">
        <v>37118</v>
      </c>
      <c r="C4912" s="5" t="s">
        <v>23625</v>
      </c>
      <c r="D4912" s="246">
        <v>42495</v>
      </c>
      <c r="E4912" s="5" t="s">
        <v>37119</v>
      </c>
      <c r="F4912" s="26" t="s">
        <v>23600</v>
      </c>
      <c r="G4912" s="27" t="s">
        <v>11044</v>
      </c>
      <c r="H4912" s="28" t="s">
        <v>11045</v>
      </c>
      <c r="I4912" s="5" t="s">
        <v>423</v>
      </c>
    </row>
    <row r="4913" spans="1:9" ht="51.75" customHeight="1">
      <c r="A4913" s="5" t="s">
        <v>29772</v>
      </c>
      <c r="B4913" s="5" t="s">
        <v>37120</v>
      </c>
      <c r="C4913" s="5" t="s">
        <v>25972</v>
      </c>
      <c r="D4913" s="246">
        <v>42495</v>
      </c>
      <c r="E4913" s="5" t="s">
        <v>37121</v>
      </c>
      <c r="F4913" s="26" t="s">
        <v>23600</v>
      </c>
      <c r="G4913" s="27" t="s">
        <v>11044</v>
      </c>
      <c r="H4913" s="28" t="s">
        <v>11045</v>
      </c>
      <c r="I4913" s="5" t="s">
        <v>423</v>
      </c>
    </row>
    <row r="4914" spans="1:9" ht="51.75" customHeight="1">
      <c r="A4914" s="5" t="s">
        <v>26767</v>
      </c>
      <c r="B4914" s="5" t="s">
        <v>37122</v>
      </c>
      <c r="C4914" s="5" t="s">
        <v>23621</v>
      </c>
      <c r="D4914" s="246">
        <v>42342</v>
      </c>
      <c r="E4914" s="5" t="s">
        <v>37123</v>
      </c>
      <c r="F4914" s="26" t="s">
        <v>23600</v>
      </c>
      <c r="G4914" s="27" t="s">
        <v>11249</v>
      </c>
      <c r="H4914" s="28" t="s">
        <v>11250</v>
      </c>
      <c r="I4914" s="5" t="s">
        <v>423</v>
      </c>
    </row>
    <row r="4915" spans="1:9" ht="51.75" customHeight="1">
      <c r="A4915" s="5" t="s">
        <v>26773</v>
      </c>
      <c r="B4915" s="5" t="s">
        <v>37124</v>
      </c>
      <c r="C4915" s="5" t="s">
        <v>23625</v>
      </c>
      <c r="D4915" s="246">
        <v>42342</v>
      </c>
      <c r="E4915" s="5" t="s">
        <v>36764</v>
      </c>
      <c r="F4915" s="26" t="s">
        <v>23600</v>
      </c>
      <c r="G4915" s="27" t="s">
        <v>11249</v>
      </c>
      <c r="H4915" s="28" t="s">
        <v>11250</v>
      </c>
      <c r="I4915" s="5" t="s">
        <v>423</v>
      </c>
    </row>
    <row r="4916" spans="1:9" ht="51.75" customHeight="1">
      <c r="A4916" s="5" t="s">
        <v>26779</v>
      </c>
      <c r="B4916" s="5" t="s">
        <v>37125</v>
      </c>
      <c r="C4916" s="5" t="s">
        <v>25972</v>
      </c>
      <c r="D4916" s="246">
        <v>42342</v>
      </c>
      <c r="E4916" s="5" t="s">
        <v>37115</v>
      </c>
      <c r="F4916" s="26" t="s">
        <v>23600</v>
      </c>
      <c r="G4916" s="27" t="s">
        <v>11249</v>
      </c>
      <c r="H4916" s="28" t="s">
        <v>11250</v>
      </c>
      <c r="I4916" s="5" t="s">
        <v>423</v>
      </c>
    </row>
    <row r="4917" spans="1:9" ht="51.75" customHeight="1">
      <c r="A4917" s="5" t="s">
        <v>26818</v>
      </c>
      <c r="B4917" s="5" t="s">
        <v>37126</v>
      </c>
      <c r="C4917" s="5" t="s">
        <v>25928</v>
      </c>
      <c r="D4917" s="246">
        <v>42342</v>
      </c>
      <c r="E4917" s="5" t="s">
        <v>37127</v>
      </c>
      <c r="F4917" s="26" t="s">
        <v>23600</v>
      </c>
      <c r="G4917" s="27" t="s">
        <v>11249</v>
      </c>
      <c r="H4917" s="28" t="s">
        <v>11250</v>
      </c>
      <c r="I4917" s="5" t="s">
        <v>423</v>
      </c>
    </row>
    <row r="4918" spans="1:9" ht="51.75" customHeight="1">
      <c r="A4918" s="5" t="s">
        <v>23744</v>
      </c>
      <c r="B4918" s="5" t="s">
        <v>37128</v>
      </c>
      <c r="C4918" s="5" t="s">
        <v>36672</v>
      </c>
      <c r="D4918" s="246">
        <v>42375</v>
      </c>
      <c r="E4918" s="5" t="s">
        <v>37129</v>
      </c>
      <c r="F4918" s="26" t="s">
        <v>23600</v>
      </c>
      <c r="G4918" s="27" t="s">
        <v>11311</v>
      </c>
      <c r="H4918" s="28" t="s">
        <v>11312</v>
      </c>
      <c r="I4918" s="5" t="s">
        <v>423</v>
      </c>
    </row>
    <row r="4919" spans="1:9" ht="51.75" customHeight="1">
      <c r="A4919" s="5" t="s">
        <v>23942</v>
      </c>
      <c r="B4919" s="5" t="s">
        <v>37130</v>
      </c>
      <c r="C4919" s="5" t="s">
        <v>36675</v>
      </c>
      <c r="D4919" s="246">
        <v>42375</v>
      </c>
      <c r="E4919" s="5" t="s">
        <v>37131</v>
      </c>
      <c r="F4919" s="26" t="s">
        <v>23600</v>
      </c>
      <c r="G4919" s="27" t="s">
        <v>11311</v>
      </c>
      <c r="H4919" s="28" t="s">
        <v>11312</v>
      </c>
      <c r="I4919" s="5" t="s">
        <v>423</v>
      </c>
    </row>
    <row r="4920" spans="1:9" ht="51.75" customHeight="1">
      <c r="A4920" s="5" t="s">
        <v>25984</v>
      </c>
      <c r="B4920" s="5" t="s">
        <v>37132</v>
      </c>
      <c r="C4920" s="5" t="s">
        <v>36678</v>
      </c>
      <c r="D4920" s="246">
        <v>42375</v>
      </c>
      <c r="E4920" s="5" t="s">
        <v>37133</v>
      </c>
      <c r="F4920" s="26" t="s">
        <v>23600</v>
      </c>
      <c r="G4920" s="27" t="s">
        <v>11311</v>
      </c>
      <c r="H4920" s="28" t="s">
        <v>11312</v>
      </c>
      <c r="I4920" s="5" t="s">
        <v>423</v>
      </c>
    </row>
    <row r="4921" spans="1:9" ht="51.75" customHeight="1">
      <c r="A4921" s="5" t="s">
        <v>25990</v>
      </c>
      <c r="B4921" s="5" t="s">
        <v>37134</v>
      </c>
      <c r="C4921" s="5" t="s">
        <v>37135</v>
      </c>
      <c r="D4921" s="246">
        <v>42375</v>
      </c>
      <c r="E4921" s="5" t="s">
        <v>37136</v>
      </c>
      <c r="F4921" s="26" t="s">
        <v>23600</v>
      </c>
      <c r="G4921" s="27" t="s">
        <v>11311</v>
      </c>
      <c r="H4921" s="28" t="s">
        <v>11312</v>
      </c>
      <c r="I4921" s="5" t="s">
        <v>423</v>
      </c>
    </row>
    <row r="4922" spans="1:9" ht="51.75" customHeight="1">
      <c r="A4922" s="5" t="s">
        <v>26259</v>
      </c>
      <c r="B4922" s="5" t="s">
        <v>37137</v>
      </c>
      <c r="C4922" s="5" t="s">
        <v>23621</v>
      </c>
      <c r="D4922" s="246">
        <v>42403</v>
      </c>
      <c r="E4922" s="5" t="s">
        <v>37138</v>
      </c>
      <c r="F4922" s="26" t="s">
        <v>23600</v>
      </c>
      <c r="G4922" s="27" t="s">
        <v>11317</v>
      </c>
      <c r="H4922" s="28" t="s">
        <v>11318</v>
      </c>
      <c r="I4922" s="5" t="s">
        <v>423</v>
      </c>
    </row>
    <row r="4923" spans="1:9" ht="51.75" customHeight="1">
      <c r="A4923" s="5" t="s">
        <v>25938</v>
      </c>
      <c r="B4923" s="5" t="s">
        <v>37139</v>
      </c>
      <c r="C4923" s="5" t="s">
        <v>23625</v>
      </c>
      <c r="D4923" s="246">
        <v>42403</v>
      </c>
      <c r="E4923" s="5" t="s">
        <v>36539</v>
      </c>
      <c r="F4923" s="26" t="s">
        <v>23600</v>
      </c>
      <c r="G4923" s="27" t="s">
        <v>11317</v>
      </c>
      <c r="H4923" s="28" t="s">
        <v>11318</v>
      </c>
      <c r="I4923" s="5" t="s">
        <v>423</v>
      </c>
    </row>
    <row r="4924" spans="1:9" ht="51.75" customHeight="1">
      <c r="A4924" s="5" t="s">
        <v>26000</v>
      </c>
      <c r="B4924" s="5" t="s">
        <v>37140</v>
      </c>
      <c r="C4924" s="5" t="s">
        <v>25972</v>
      </c>
      <c r="D4924" s="246">
        <v>42403</v>
      </c>
      <c r="E4924" s="5" t="s">
        <v>37141</v>
      </c>
      <c r="F4924" s="26" t="s">
        <v>23600</v>
      </c>
      <c r="G4924" s="27" t="s">
        <v>11317</v>
      </c>
      <c r="H4924" s="28" t="s">
        <v>11318</v>
      </c>
      <c r="I4924" s="5" t="s">
        <v>423</v>
      </c>
    </row>
    <row r="4925" spans="1:9" ht="51.75" customHeight="1">
      <c r="A4925" s="5" t="s">
        <v>24178</v>
      </c>
      <c r="B4925" s="5" t="s">
        <v>37142</v>
      </c>
      <c r="C4925" s="5" t="s">
        <v>23621</v>
      </c>
      <c r="D4925" s="246">
        <v>42466</v>
      </c>
      <c r="E4925" s="5" t="s">
        <v>37143</v>
      </c>
      <c r="F4925" s="26" t="s">
        <v>23600</v>
      </c>
      <c r="G4925" s="27" t="s">
        <v>11414</v>
      </c>
      <c r="H4925" s="28" t="s">
        <v>11415</v>
      </c>
      <c r="I4925" s="5" t="s">
        <v>423</v>
      </c>
    </row>
    <row r="4926" spans="1:9" ht="51.75" customHeight="1">
      <c r="A4926" s="5" t="s">
        <v>23788</v>
      </c>
      <c r="B4926" s="5" t="s">
        <v>37144</v>
      </c>
      <c r="C4926" s="5" t="s">
        <v>23625</v>
      </c>
      <c r="D4926" s="246">
        <v>42466</v>
      </c>
      <c r="E4926" s="5" t="s">
        <v>37145</v>
      </c>
      <c r="F4926" s="26" t="s">
        <v>23600</v>
      </c>
      <c r="G4926" s="27" t="s">
        <v>11414</v>
      </c>
      <c r="H4926" s="28" t="s">
        <v>11415</v>
      </c>
      <c r="I4926" s="5" t="s">
        <v>423</v>
      </c>
    </row>
    <row r="4927" spans="1:9" ht="51.75" customHeight="1">
      <c r="A4927" s="5" t="s">
        <v>25905</v>
      </c>
      <c r="B4927" s="5" t="s">
        <v>37146</v>
      </c>
      <c r="C4927" s="5" t="s">
        <v>23621</v>
      </c>
      <c r="D4927" s="246">
        <v>42423</v>
      </c>
      <c r="E4927" s="5" t="s">
        <v>37147</v>
      </c>
      <c r="F4927" s="26" t="s">
        <v>23600</v>
      </c>
      <c r="G4927" s="27" t="s">
        <v>11443</v>
      </c>
      <c r="H4927" s="28" t="s">
        <v>11444</v>
      </c>
      <c r="I4927" s="5" t="s">
        <v>423</v>
      </c>
    </row>
    <row r="4928" spans="1:9" ht="51.75" customHeight="1">
      <c r="A4928" s="5" t="s">
        <v>24448</v>
      </c>
      <c r="B4928" s="5" t="s">
        <v>37148</v>
      </c>
      <c r="C4928" s="5" t="s">
        <v>23625</v>
      </c>
      <c r="D4928" s="246">
        <v>42423</v>
      </c>
      <c r="E4928" s="5" t="s">
        <v>37149</v>
      </c>
      <c r="F4928" s="26" t="s">
        <v>23600</v>
      </c>
      <c r="G4928" s="27" t="s">
        <v>11443</v>
      </c>
      <c r="H4928" s="28" t="s">
        <v>11444</v>
      </c>
      <c r="I4928" s="5" t="s">
        <v>423</v>
      </c>
    </row>
    <row r="4929" spans="1:9" ht="51.75" customHeight="1">
      <c r="A4929" s="5" t="s">
        <v>24452</v>
      </c>
      <c r="B4929" s="5" t="s">
        <v>37150</v>
      </c>
      <c r="C4929" s="5" t="s">
        <v>25972</v>
      </c>
      <c r="D4929" s="246">
        <v>42423</v>
      </c>
      <c r="E4929" s="5" t="s">
        <v>37151</v>
      </c>
      <c r="F4929" s="26" t="s">
        <v>23600</v>
      </c>
      <c r="G4929" s="27" t="s">
        <v>11443</v>
      </c>
      <c r="H4929" s="28" t="s">
        <v>11444</v>
      </c>
      <c r="I4929" s="5" t="s">
        <v>423</v>
      </c>
    </row>
    <row r="4930" spans="1:9" ht="51.75" customHeight="1">
      <c r="A4930" s="5" t="s">
        <v>24456</v>
      </c>
      <c r="B4930" s="5" t="s">
        <v>37152</v>
      </c>
      <c r="C4930" s="5" t="s">
        <v>25928</v>
      </c>
      <c r="D4930" s="246">
        <v>42423</v>
      </c>
      <c r="E4930" s="5" t="s">
        <v>37153</v>
      </c>
      <c r="F4930" s="26" t="s">
        <v>23600</v>
      </c>
      <c r="G4930" s="27" t="s">
        <v>11443</v>
      </c>
      <c r="H4930" s="28" t="s">
        <v>11444</v>
      </c>
      <c r="I4930" s="5" t="s">
        <v>423</v>
      </c>
    </row>
    <row r="4931" spans="1:9" ht="51.75" customHeight="1">
      <c r="A4931" s="5" t="s">
        <v>23748</v>
      </c>
      <c r="B4931" s="5" t="s">
        <v>37154</v>
      </c>
      <c r="C4931" s="5" t="s">
        <v>23621</v>
      </c>
      <c r="D4931" s="246">
        <v>42423</v>
      </c>
      <c r="E4931" s="5" t="s">
        <v>37155</v>
      </c>
      <c r="F4931" s="26" t="s">
        <v>23600</v>
      </c>
      <c r="G4931" s="27" t="s">
        <v>11497</v>
      </c>
      <c r="H4931" s="28" t="s">
        <v>11498</v>
      </c>
      <c r="I4931" s="5" t="s">
        <v>423</v>
      </c>
    </row>
    <row r="4932" spans="1:9" ht="51.75" customHeight="1">
      <c r="A4932" s="5" t="s">
        <v>23716</v>
      </c>
      <c r="B4932" s="5" t="s">
        <v>37156</v>
      </c>
      <c r="C4932" s="5" t="s">
        <v>23625</v>
      </c>
      <c r="D4932" s="246">
        <v>42423</v>
      </c>
      <c r="E4932" s="5" t="s">
        <v>37157</v>
      </c>
      <c r="F4932" s="26" t="s">
        <v>23600</v>
      </c>
      <c r="G4932" s="27" t="s">
        <v>11497</v>
      </c>
      <c r="H4932" s="28" t="s">
        <v>11498</v>
      </c>
      <c r="I4932" s="5" t="s">
        <v>423</v>
      </c>
    </row>
    <row r="4933" spans="1:9" ht="51.75" customHeight="1">
      <c r="A4933" s="5" t="s">
        <v>25262</v>
      </c>
      <c r="B4933" s="5" t="s">
        <v>37158</v>
      </c>
      <c r="C4933" s="5" t="s">
        <v>36672</v>
      </c>
      <c r="D4933" s="246">
        <v>42503</v>
      </c>
      <c r="E4933" s="5" t="s">
        <v>37159</v>
      </c>
      <c r="F4933" s="26" t="s">
        <v>23600</v>
      </c>
      <c r="G4933" s="27" t="s">
        <v>11540</v>
      </c>
      <c r="H4933" s="28" t="s">
        <v>11541</v>
      </c>
      <c r="I4933" s="5" t="s">
        <v>423</v>
      </c>
    </row>
    <row r="4934" spans="1:9" ht="51.75" customHeight="1">
      <c r="A4934" s="5" t="s">
        <v>25265</v>
      </c>
      <c r="B4934" s="5" t="s">
        <v>37160</v>
      </c>
      <c r="C4934" s="5" t="s">
        <v>36675</v>
      </c>
      <c r="D4934" s="246">
        <v>42503</v>
      </c>
      <c r="E4934" s="5" t="s">
        <v>37161</v>
      </c>
      <c r="F4934" s="26" t="s">
        <v>23600</v>
      </c>
      <c r="G4934" s="27" t="s">
        <v>11540</v>
      </c>
      <c r="H4934" s="28" t="s">
        <v>11541</v>
      </c>
      <c r="I4934" s="5" t="s">
        <v>423</v>
      </c>
    </row>
    <row r="4935" spans="1:9" ht="51.75" customHeight="1">
      <c r="A4935" s="5" t="s">
        <v>25268</v>
      </c>
      <c r="B4935" s="5" t="s">
        <v>37162</v>
      </c>
      <c r="C4935" s="5" t="s">
        <v>36678</v>
      </c>
      <c r="D4935" s="246">
        <v>42503</v>
      </c>
      <c r="E4935" s="5" t="s">
        <v>37163</v>
      </c>
      <c r="F4935" s="26" t="s">
        <v>23600</v>
      </c>
      <c r="G4935" s="27" t="s">
        <v>11540</v>
      </c>
      <c r="H4935" s="28" t="s">
        <v>11541</v>
      </c>
      <c r="I4935" s="5" t="s">
        <v>423</v>
      </c>
    </row>
    <row r="4936" spans="1:9" ht="51.75" customHeight="1">
      <c r="A4936" s="5" t="s">
        <v>23696</v>
      </c>
      <c r="B4936" s="5" t="s">
        <v>37164</v>
      </c>
      <c r="C4936" s="5" t="s">
        <v>23621</v>
      </c>
      <c r="D4936" s="246">
        <v>42611</v>
      </c>
      <c r="E4936" s="5" t="s">
        <v>37165</v>
      </c>
      <c r="F4936" s="26" t="s">
        <v>23600</v>
      </c>
      <c r="G4936" s="27" t="s">
        <v>11604</v>
      </c>
      <c r="H4936" s="28" t="s">
        <v>11605</v>
      </c>
      <c r="I4936" s="5" t="s">
        <v>423</v>
      </c>
    </row>
    <row r="4937" spans="1:9" ht="51.75" customHeight="1">
      <c r="A4937" s="5" t="s">
        <v>27187</v>
      </c>
      <c r="B4937" s="5" t="s">
        <v>37166</v>
      </c>
      <c r="C4937" s="5" t="s">
        <v>23625</v>
      </c>
      <c r="D4937" s="246">
        <v>42611</v>
      </c>
      <c r="E4937" s="5" t="s">
        <v>37167</v>
      </c>
      <c r="F4937" s="26" t="s">
        <v>23600</v>
      </c>
      <c r="G4937" s="27" t="s">
        <v>11604</v>
      </c>
      <c r="H4937" s="28" t="s">
        <v>11605</v>
      </c>
      <c r="I4937" s="5" t="s">
        <v>423</v>
      </c>
    </row>
    <row r="4938" spans="1:9" ht="51.75" customHeight="1">
      <c r="A4938" s="5" t="s">
        <v>31046</v>
      </c>
      <c r="B4938" s="5" t="s">
        <v>37168</v>
      </c>
      <c r="C4938" s="5" t="s">
        <v>36672</v>
      </c>
      <c r="D4938" s="246">
        <v>42536</v>
      </c>
      <c r="E4938" s="5" t="s">
        <v>37169</v>
      </c>
      <c r="F4938" s="26" t="s">
        <v>23600</v>
      </c>
      <c r="G4938" s="27" t="s">
        <v>11653</v>
      </c>
      <c r="H4938" s="28" t="s">
        <v>11654</v>
      </c>
      <c r="I4938" s="5" t="s">
        <v>423</v>
      </c>
    </row>
    <row r="4939" spans="1:9" ht="51.75" customHeight="1">
      <c r="A4939" s="5" t="s">
        <v>25243</v>
      </c>
      <c r="B4939" s="5" t="s">
        <v>37170</v>
      </c>
      <c r="C4939" s="5" t="s">
        <v>36675</v>
      </c>
      <c r="D4939" s="246">
        <v>42536</v>
      </c>
      <c r="E4939" s="5" t="s">
        <v>37171</v>
      </c>
      <c r="F4939" s="26" t="s">
        <v>23600</v>
      </c>
      <c r="G4939" s="27" t="s">
        <v>11653</v>
      </c>
      <c r="H4939" s="28" t="s">
        <v>11654</v>
      </c>
      <c r="I4939" s="5" t="s">
        <v>423</v>
      </c>
    </row>
    <row r="4940" spans="1:9" ht="51.75" customHeight="1">
      <c r="A4940" s="5" t="s">
        <v>25335</v>
      </c>
      <c r="B4940" s="5" t="s">
        <v>37172</v>
      </c>
      <c r="C4940" s="5" t="s">
        <v>23621</v>
      </c>
      <c r="D4940" s="246">
        <v>42571</v>
      </c>
      <c r="E4940" s="5" t="s">
        <v>37173</v>
      </c>
      <c r="F4940" s="26" t="s">
        <v>23600</v>
      </c>
      <c r="G4940" s="27" t="s">
        <v>11592</v>
      </c>
      <c r="H4940" s="28" t="s">
        <v>11593</v>
      </c>
      <c r="I4940" s="5" t="s">
        <v>423</v>
      </c>
    </row>
    <row r="4941" spans="1:9" ht="51.75" customHeight="1">
      <c r="A4941" s="5" t="s">
        <v>25339</v>
      </c>
      <c r="B4941" s="5" t="s">
        <v>37174</v>
      </c>
      <c r="C4941" s="5" t="s">
        <v>23625</v>
      </c>
      <c r="D4941" s="246">
        <v>42571</v>
      </c>
      <c r="E4941" s="5" t="s">
        <v>37175</v>
      </c>
      <c r="F4941" s="26" t="s">
        <v>23600</v>
      </c>
      <c r="G4941" s="27" t="s">
        <v>11592</v>
      </c>
      <c r="H4941" s="28" t="s">
        <v>11593</v>
      </c>
      <c r="I4941" s="5" t="s">
        <v>423</v>
      </c>
    </row>
    <row r="4942" spans="1:9" ht="51.75" customHeight="1">
      <c r="A4942" s="5" t="s">
        <v>28417</v>
      </c>
      <c r="B4942" s="5" t="s">
        <v>37176</v>
      </c>
      <c r="C4942" s="5" t="s">
        <v>25972</v>
      </c>
      <c r="D4942" s="246">
        <v>42571</v>
      </c>
      <c r="E4942" s="5" t="s">
        <v>37177</v>
      </c>
      <c r="F4942" s="26" t="s">
        <v>23600</v>
      </c>
      <c r="G4942" s="27" t="s">
        <v>11592</v>
      </c>
      <c r="H4942" s="28" t="s">
        <v>11593</v>
      </c>
      <c r="I4942" s="5" t="s">
        <v>423</v>
      </c>
    </row>
    <row r="4943" spans="1:9" ht="51.75" customHeight="1">
      <c r="A4943" s="5" t="s">
        <v>28420</v>
      </c>
      <c r="B4943" s="5" t="s">
        <v>37178</v>
      </c>
      <c r="C4943" s="5" t="s">
        <v>25928</v>
      </c>
      <c r="D4943" s="246">
        <v>42571</v>
      </c>
      <c r="E4943" s="5" t="s">
        <v>37179</v>
      </c>
      <c r="F4943" s="26" t="s">
        <v>23600</v>
      </c>
      <c r="G4943" s="27" t="s">
        <v>11592</v>
      </c>
      <c r="H4943" s="28" t="s">
        <v>11593</v>
      </c>
      <c r="I4943" s="5" t="s">
        <v>423</v>
      </c>
    </row>
    <row r="4944" spans="1:9" ht="51.75" customHeight="1">
      <c r="A4944" s="5" t="s">
        <v>26280</v>
      </c>
      <c r="B4944" s="5" t="s">
        <v>37180</v>
      </c>
      <c r="C4944" s="5" t="s">
        <v>23621</v>
      </c>
      <c r="D4944" s="246">
        <v>42740</v>
      </c>
      <c r="E4944" s="5" t="s">
        <v>37181</v>
      </c>
      <c r="F4944" s="26" t="s">
        <v>23600</v>
      </c>
      <c r="G4944" s="27" t="s">
        <v>11789</v>
      </c>
      <c r="H4944" s="28" t="s">
        <v>11790</v>
      </c>
      <c r="I4944" s="5" t="s">
        <v>423</v>
      </c>
    </row>
    <row r="4945" spans="1:9" ht="51.75" customHeight="1">
      <c r="A4945" s="5" t="s">
        <v>26285</v>
      </c>
      <c r="B4945" s="5" t="s">
        <v>37182</v>
      </c>
      <c r="C4945" s="5" t="s">
        <v>23625</v>
      </c>
      <c r="D4945" s="246">
        <v>42740</v>
      </c>
      <c r="E4945" s="5" t="s">
        <v>37183</v>
      </c>
      <c r="F4945" s="26" t="s">
        <v>23600</v>
      </c>
      <c r="G4945" s="27" t="s">
        <v>11789</v>
      </c>
      <c r="H4945" s="28" t="s">
        <v>11790</v>
      </c>
      <c r="I4945" s="5" t="s">
        <v>423</v>
      </c>
    </row>
    <row r="4946" spans="1:9" ht="51.75" customHeight="1">
      <c r="A4946" s="5" t="s">
        <v>26296</v>
      </c>
      <c r="B4946" s="5" t="s">
        <v>37184</v>
      </c>
      <c r="C4946" s="5" t="s">
        <v>25972</v>
      </c>
      <c r="D4946" s="246">
        <v>42740</v>
      </c>
      <c r="E4946" s="5" t="s">
        <v>37185</v>
      </c>
      <c r="F4946" s="26" t="s">
        <v>23600</v>
      </c>
      <c r="G4946" s="27" t="s">
        <v>11789</v>
      </c>
      <c r="H4946" s="28" t="s">
        <v>11790</v>
      </c>
      <c r="I4946" s="5" t="s">
        <v>423</v>
      </c>
    </row>
    <row r="4947" spans="1:9" ht="51.75" customHeight="1">
      <c r="A4947" s="5" t="s">
        <v>26087</v>
      </c>
      <c r="B4947" s="5" t="s">
        <v>37186</v>
      </c>
      <c r="C4947" s="5" t="s">
        <v>23621</v>
      </c>
      <c r="D4947" s="246">
        <v>42809</v>
      </c>
      <c r="E4947" s="5" t="s">
        <v>37187</v>
      </c>
      <c r="F4947" s="26" t="s">
        <v>23600</v>
      </c>
      <c r="G4947" s="27" t="s">
        <v>11861</v>
      </c>
      <c r="H4947" s="28" t="s">
        <v>11862</v>
      </c>
      <c r="I4947" s="5" t="s">
        <v>423</v>
      </c>
    </row>
    <row r="4948" spans="1:9" ht="51.75" customHeight="1">
      <c r="A4948" s="5" t="s">
        <v>26098</v>
      </c>
      <c r="B4948" s="5" t="s">
        <v>37188</v>
      </c>
      <c r="C4948" s="5" t="s">
        <v>23625</v>
      </c>
      <c r="D4948" s="246">
        <v>42809</v>
      </c>
      <c r="E4948" s="5" t="s">
        <v>37167</v>
      </c>
      <c r="F4948" s="26" t="s">
        <v>23600</v>
      </c>
      <c r="G4948" s="27" t="s">
        <v>11861</v>
      </c>
      <c r="H4948" s="28" t="s">
        <v>11862</v>
      </c>
      <c r="I4948" s="5" t="s">
        <v>423</v>
      </c>
    </row>
    <row r="4949" spans="1:9" ht="51.75" customHeight="1">
      <c r="A4949" s="5" t="s">
        <v>27191</v>
      </c>
      <c r="B4949" s="5" t="s">
        <v>37189</v>
      </c>
      <c r="C4949" s="5" t="s">
        <v>23621</v>
      </c>
      <c r="D4949" s="246">
        <v>42611</v>
      </c>
      <c r="E4949" s="5" t="s">
        <v>37190</v>
      </c>
      <c r="F4949" s="26" t="s">
        <v>23600</v>
      </c>
      <c r="G4949" s="27" t="s">
        <v>11982</v>
      </c>
      <c r="H4949" s="28" t="s">
        <v>11983</v>
      </c>
      <c r="I4949" s="5" t="s">
        <v>423</v>
      </c>
    </row>
    <row r="4950" spans="1:9" ht="51.75" customHeight="1">
      <c r="A4950" s="5" t="s">
        <v>23828</v>
      </c>
      <c r="B4950" s="5" t="s">
        <v>37191</v>
      </c>
      <c r="C4950" s="5" t="s">
        <v>23625</v>
      </c>
      <c r="D4950" s="246">
        <v>42611</v>
      </c>
      <c r="E4950" s="5" t="s">
        <v>37192</v>
      </c>
      <c r="F4950" s="26" t="s">
        <v>23600</v>
      </c>
      <c r="G4950" s="27" t="s">
        <v>11982</v>
      </c>
      <c r="H4950" s="28" t="s">
        <v>11983</v>
      </c>
      <c r="I4950" s="5" t="s">
        <v>423</v>
      </c>
    </row>
    <row r="4951" spans="1:9" ht="51.75" customHeight="1">
      <c r="A4951" s="5" t="s">
        <v>33655</v>
      </c>
      <c r="B4951" s="5" t="s">
        <v>37193</v>
      </c>
      <c r="C4951" s="5" t="s">
        <v>25972</v>
      </c>
      <c r="D4951" s="246">
        <v>42611</v>
      </c>
      <c r="E4951" s="5" t="s">
        <v>37194</v>
      </c>
      <c r="F4951" s="26" t="s">
        <v>23600</v>
      </c>
      <c r="G4951" s="27" t="s">
        <v>11982</v>
      </c>
      <c r="H4951" s="28" t="s">
        <v>11983</v>
      </c>
      <c r="I4951" s="5" t="s">
        <v>423</v>
      </c>
    </row>
    <row r="4952" spans="1:9" ht="51.75" customHeight="1">
      <c r="A4952" s="5" t="s">
        <v>27861</v>
      </c>
      <c r="B4952" s="5" t="s">
        <v>37195</v>
      </c>
      <c r="C4952" s="5" t="s">
        <v>23621</v>
      </c>
      <c r="D4952" s="246">
        <v>42558</v>
      </c>
      <c r="E4952" s="5" t="s">
        <v>37196</v>
      </c>
      <c r="F4952" s="26" t="s">
        <v>23600</v>
      </c>
      <c r="G4952" s="27" t="s">
        <v>11988</v>
      </c>
      <c r="H4952" s="28" t="s">
        <v>11989</v>
      </c>
      <c r="I4952" s="5" t="s">
        <v>423</v>
      </c>
    </row>
    <row r="4953" spans="1:9" ht="51.75" customHeight="1">
      <c r="A4953" s="5" t="s">
        <v>25327</v>
      </c>
      <c r="B4953" s="5" t="s">
        <v>37197</v>
      </c>
      <c r="C4953" s="5" t="s">
        <v>23625</v>
      </c>
      <c r="D4953" s="246">
        <v>42558</v>
      </c>
      <c r="E4953" s="5" t="s">
        <v>37198</v>
      </c>
      <c r="F4953" s="26" t="s">
        <v>23600</v>
      </c>
      <c r="G4953" s="27" t="s">
        <v>11988</v>
      </c>
      <c r="H4953" s="28" t="s">
        <v>11989</v>
      </c>
      <c r="I4953" s="5" t="s">
        <v>423</v>
      </c>
    </row>
    <row r="4954" spans="1:9" ht="51.75" customHeight="1">
      <c r="A4954" s="5" t="s">
        <v>28257</v>
      </c>
      <c r="B4954" s="5" t="s">
        <v>37199</v>
      </c>
      <c r="C4954" s="5" t="s">
        <v>25972</v>
      </c>
      <c r="D4954" s="246">
        <v>42558</v>
      </c>
      <c r="E4954" s="5" t="s">
        <v>37200</v>
      </c>
      <c r="F4954" s="26" t="s">
        <v>23600</v>
      </c>
      <c r="G4954" s="27" t="s">
        <v>11988</v>
      </c>
      <c r="H4954" s="28" t="s">
        <v>11989</v>
      </c>
      <c r="I4954" s="5" t="s">
        <v>423</v>
      </c>
    </row>
    <row r="4955" spans="1:9" ht="51.75" customHeight="1">
      <c r="A4955" s="5" t="s">
        <v>25331</v>
      </c>
      <c r="B4955" s="5" t="s">
        <v>37201</v>
      </c>
      <c r="C4955" s="5" t="s">
        <v>25928</v>
      </c>
      <c r="D4955" s="246">
        <v>42558</v>
      </c>
      <c r="E4955" s="5" t="s">
        <v>37202</v>
      </c>
      <c r="F4955" s="26" t="s">
        <v>23600</v>
      </c>
      <c r="G4955" s="27" t="s">
        <v>11988</v>
      </c>
      <c r="H4955" s="28" t="s">
        <v>11989</v>
      </c>
      <c r="I4955" s="5" t="s">
        <v>423</v>
      </c>
    </row>
    <row r="4956" spans="1:9" ht="51.75" customHeight="1">
      <c r="A4956" s="5" t="s">
        <v>25539</v>
      </c>
      <c r="B4956" s="5" t="s">
        <v>37203</v>
      </c>
      <c r="C4956" s="5" t="s">
        <v>23621</v>
      </c>
      <c r="D4956" s="246">
        <v>42740</v>
      </c>
      <c r="E4956" s="5" t="s">
        <v>37204</v>
      </c>
      <c r="F4956" s="26" t="s">
        <v>23600</v>
      </c>
      <c r="G4956" s="27" t="s">
        <v>12256</v>
      </c>
      <c r="H4956" s="28" t="s">
        <v>12257</v>
      </c>
      <c r="I4956" s="5" t="s">
        <v>423</v>
      </c>
    </row>
    <row r="4957" spans="1:9" ht="51.75" customHeight="1">
      <c r="A4957" s="5" t="s">
        <v>25944</v>
      </c>
      <c r="B4957" s="5" t="s">
        <v>37205</v>
      </c>
      <c r="C4957" s="5" t="s">
        <v>23625</v>
      </c>
      <c r="D4957" s="246">
        <v>42740</v>
      </c>
      <c r="E4957" s="5" t="s">
        <v>37206</v>
      </c>
      <c r="F4957" s="26" t="s">
        <v>23600</v>
      </c>
      <c r="G4957" s="27" t="s">
        <v>12256</v>
      </c>
      <c r="H4957" s="28" t="s">
        <v>12257</v>
      </c>
      <c r="I4957" s="5" t="s">
        <v>423</v>
      </c>
    </row>
    <row r="4958" spans="1:9" ht="51.75" customHeight="1">
      <c r="A4958" s="5" t="s">
        <v>25000</v>
      </c>
      <c r="B4958" s="5" t="s">
        <v>37207</v>
      </c>
      <c r="C4958" s="5" t="s">
        <v>25972</v>
      </c>
      <c r="D4958" s="246">
        <v>42740</v>
      </c>
      <c r="E4958" s="5" t="s">
        <v>37208</v>
      </c>
      <c r="F4958" s="26" t="s">
        <v>23600</v>
      </c>
      <c r="G4958" s="27" t="s">
        <v>12256</v>
      </c>
      <c r="H4958" s="28" t="s">
        <v>12257</v>
      </c>
      <c r="I4958" s="5" t="s">
        <v>423</v>
      </c>
    </row>
    <row r="4959" spans="1:9" ht="51.75" customHeight="1">
      <c r="A4959" s="5" t="s">
        <v>37209</v>
      </c>
      <c r="B4959" s="5" t="s">
        <v>37210</v>
      </c>
      <c r="C4959" s="5" t="s">
        <v>23621</v>
      </c>
      <c r="D4959" s="246">
        <v>42689</v>
      </c>
      <c r="E4959" s="5" t="s">
        <v>37211</v>
      </c>
      <c r="F4959" s="26" t="s">
        <v>23600</v>
      </c>
      <c r="G4959" s="27" t="s">
        <v>12340</v>
      </c>
      <c r="H4959" s="28" t="s">
        <v>12341</v>
      </c>
      <c r="I4959" s="5" t="s">
        <v>423</v>
      </c>
    </row>
    <row r="4960" spans="1:9" ht="51.75" customHeight="1">
      <c r="A4960" s="5" t="s">
        <v>25593</v>
      </c>
      <c r="B4960" s="5" t="s">
        <v>37212</v>
      </c>
      <c r="C4960" s="5" t="s">
        <v>23625</v>
      </c>
      <c r="D4960" s="246">
        <v>42689</v>
      </c>
      <c r="E4960" s="5" t="s">
        <v>37213</v>
      </c>
      <c r="F4960" s="26" t="s">
        <v>23600</v>
      </c>
      <c r="G4960" s="27" t="s">
        <v>12340</v>
      </c>
      <c r="H4960" s="28" t="s">
        <v>12341</v>
      </c>
      <c r="I4960" s="5" t="s">
        <v>423</v>
      </c>
    </row>
    <row r="4961" spans="1:9" ht="51.75" customHeight="1">
      <c r="A4961" s="5" t="s">
        <v>28041</v>
      </c>
      <c r="B4961" s="5" t="s">
        <v>37214</v>
      </c>
      <c r="C4961" s="5" t="s">
        <v>25972</v>
      </c>
      <c r="D4961" s="246">
        <v>42689</v>
      </c>
      <c r="E4961" s="5" t="s">
        <v>37215</v>
      </c>
      <c r="F4961" s="26" t="s">
        <v>23600</v>
      </c>
      <c r="G4961" s="27" t="s">
        <v>12340</v>
      </c>
      <c r="H4961" s="28" t="s">
        <v>12341</v>
      </c>
      <c r="I4961" s="5" t="s">
        <v>423</v>
      </c>
    </row>
    <row r="4962" spans="1:9" ht="51.75" customHeight="1">
      <c r="A4962" s="5" t="s">
        <v>31128</v>
      </c>
      <c r="B4962" s="5" t="s">
        <v>37216</v>
      </c>
      <c r="C4962" s="5" t="s">
        <v>25928</v>
      </c>
      <c r="D4962" s="246">
        <v>42689</v>
      </c>
      <c r="E4962" s="5" t="s">
        <v>37217</v>
      </c>
      <c r="F4962" s="26" t="s">
        <v>23600</v>
      </c>
      <c r="G4962" s="27" t="s">
        <v>12340</v>
      </c>
      <c r="H4962" s="28" t="s">
        <v>12341</v>
      </c>
      <c r="I4962" s="5" t="s">
        <v>423</v>
      </c>
    </row>
    <row r="4963" spans="1:9" ht="51.75" customHeight="1">
      <c r="A4963" s="5" t="s">
        <v>23612</v>
      </c>
      <c r="B4963" s="5" t="s">
        <v>37218</v>
      </c>
      <c r="C4963" s="5" t="s">
        <v>23621</v>
      </c>
      <c r="D4963" s="246">
        <v>42767</v>
      </c>
      <c r="E4963" s="5" t="s">
        <v>37219</v>
      </c>
      <c r="F4963" s="26" t="s">
        <v>23600</v>
      </c>
      <c r="G4963" s="27" t="s">
        <v>12442</v>
      </c>
      <c r="H4963" s="28" t="s">
        <v>12443</v>
      </c>
      <c r="I4963" s="5" t="s">
        <v>423</v>
      </c>
    </row>
    <row r="4964" spans="1:9" ht="51.75" customHeight="1">
      <c r="A4964" s="5" t="s">
        <v>25157</v>
      </c>
      <c r="B4964" s="5" t="s">
        <v>37220</v>
      </c>
      <c r="C4964" s="5" t="s">
        <v>23621</v>
      </c>
      <c r="D4964" s="246">
        <v>42684</v>
      </c>
      <c r="E4964" s="5" t="s">
        <v>37221</v>
      </c>
      <c r="F4964" s="26" t="s">
        <v>23600</v>
      </c>
      <c r="G4964" s="27" t="s">
        <v>12579</v>
      </c>
      <c r="H4964" s="28" t="s">
        <v>12580</v>
      </c>
      <c r="I4964" s="5" t="s">
        <v>423</v>
      </c>
    </row>
    <row r="4965" spans="1:9" ht="51.75" customHeight="1">
      <c r="A4965" s="5" t="s">
        <v>27824</v>
      </c>
      <c r="B4965" s="5" t="s">
        <v>37222</v>
      </c>
      <c r="C4965" s="5" t="s">
        <v>23625</v>
      </c>
      <c r="D4965" s="246">
        <v>42684</v>
      </c>
      <c r="E4965" s="5" t="s">
        <v>37223</v>
      </c>
      <c r="F4965" s="26" t="s">
        <v>23600</v>
      </c>
      <c r="G4965" s="27" t="s">
        <v>12579</v>
      </c>
      <c r="H4965" s="28" t="s">
        <v>12580</v>
      </c>
      <c r="I4965" s="5" t="s">
        <v>423</v>
      </c>
    </row>
    <row r="4966" spans="1:9" ht="51.75" customHeight="1">
      <c r="A4966" s="5" t="s">
        <v>27830</v>
      </c>
      <c r="B4966" s="5" t="s">
        <v>37224</v>
      </c>
      <c r="C4966" s="5" t="s">
        <v>25972</v>
      </c>
      <c r="D4966" s="246">
        <v>42684</v>
      </c>
      <c r="E4966" s="5" t="s">
        <v>37225</v>
      </c>
      <c r="F4966" s="26" t="s">
        <v>23600</v>
      </c>
      <c r="G4966" s="27" t="s">
        <v>12579</v>
      </c>
      <c r="H4966" s="28" t="s">
        <v>12580</v>
      </c>
      <c r="I4966" s="5" t="s">
        <v>423</v>
      </c>
    </row>
    <row r="4967" spans="1:9" ht="51.75" customHeight="1">
      <c r="A4967" s="5" t="s">
        <v>27836</v>
      </c>
      <c r="B4967" s="5" t="s">
        <v>37226</v>
      </c>
      <c r="C4967" s="5" t="s">
        <v>25928</v>
      </c>
      <c r="D4967" s="246">
        <v>42684</v>
      </c>
      <c r="E4967" s="5" t="s">
        <v>37227</v>
      </c>
      <c r="F4967" s="26" t="s">
        <v>23600</v>
      </c>
      <c r="G4967" s="27" t="s">
        <v>12579</v>
      </c>
      <c r="H4967" s="28" t="s">
        <v>12580</v>
      </c>
      <c r="I4967" s="5" t="s">
        <v>423</v>
      </c>
    </row>
    <row r="4968" spans="1:9" ht="51.75" customHeight="1">
      <c r="A4968" s="5" t="s">
        <v>25545</v>
      </c>
      <c r="B4968" s="5" t="s">
        <v>37228</v>
      </c>
      <c r="C4968" s="5" t="s">
        <v>23621</v>
      </c>
      <c r="D4968" s="246">
        <v>43004</v>
      </c>
      <c r="E4968" s="5" t="s">
        <v>37229</v>
      </c>
      <c r="F4968" s="26" t="s">
        <v>23600</v>
      </c>
      <c r="G4968" s="27" t="s">
        <v>12448</v>
      </c>
      <c r="H4968" s="28" t="s">
        <v>12449</v>
      </c>
      <c r="I4968" s="5" t="s">
        <v>423</v>
      </c>
    </row>
    <row r="4969" spans="1:9" ht="51.75" customHeight="1">
      <c r="A4969" s="5" t="s">
        <v>24174</v>
      </c>
      <c r="B4969" s="5" t="s">
        <v>37230</v>
      </c>
      <c r="C4969" s="5" t="s">
        <v>23621</v>
      </c>
      <c r="D4969" s="246">
        <v>42803</v>
      </c>
      <c r="E4969" s="5" t="s">
        <v>37231</v>
      </c>
      <c r="F4969" s="26" t="s">
        <v>23600</v>
      </c>
      <c r="G4969" s="27" t="s">
        <v>12621</v>
      </c>
      <c r="H4969" s="28" t="s">
        <v>12622</v>
      </c>
      <c r="I4969" s="5" t="s">
        <v>423</v>
      </c>
    </row>
    <row r="4970" spans="1:9" ht="51.75" customHeight="1">
      <c r="A4970" s="5" t="s">
        <v>24178</v>
      </c>
      <c r="B4970" s="5" t="s">
        <v>37232</v>
      </c>
      <c r="C4970" s="5" t="s">
        <v>23625</v>
      </c>
      <c r="D4970" s="246">
        <v>42803</v>
      </c>
      <c r="E4970" s="5" t="s">
        <v>37233</v>
      </c>
      <c r="F4970" s="26" t="s">
        <v>23600</v>
      </c>
      <c r="G4970" s="27" t="s">
        <v>12621</v>
      </c>
      <c r="H4970" s="28" t="s">
        <v>12622</v>
      </c>
      <c r="I4970" s="5" t="s">
        <v>423</v>
      </c>
    </row>
    <row r="4971" spans="1:9" ht="51.75" customHeight="1">
      <c r="A4971" s="5" t="s">
        <v>33941</v>
      </c>
      <c r="B4971" s="5" t="s">
        <v>37234</v>
      </c>
      <c r="C4971" s="5" t="s">
        <v>23621</v>
      </c>
      <c r="D4971" s="246">
        <v>42877</v>
      </c>
      <c r="E4971" s="5" t="s">
        <v>37235</v>
      </c>
      <c r="F4971" s="26" t="s">
        <v>23600</v>
      </c>
      <c r="G4971" s="27" t="s">
        <v>12716</v>
      </c>
      <c r="H4971" s="28" t="s">
        <v>12717</v>
      </c>
      <c r="I4971" s="5" t="s">
        <v>423</v>
      </c>
    </row>
    <row r="4972" spans="1:9" ht="51.75" customHeight="1">
      <c r="A4972" s="5" t="s">
        <v>29772</v>
      </c>
      <c r="B4972" s="5" t="s">
        <v>37236</v>
      </c>
      <c r="C4972" s="5" t="s">
        <v>23621</v>
      </c>
      <c r="D4972" s="246">
        <v>42878</v>
      </c>
      <c r="E4972" s="5" t="s">
        <v>37237</v>
      </c>
      <c r="F4972" s="26" t="s">
        <v>23600</v>
      </c>
      <c r="G4972" s="27" t="s">
        <v>12709</v>
      </c>
      <c r="H4972" s="28" t="s">
        <v>12710</v>
      </c>
      <c r="I4972" s="5" t="s">
        <v>423</v>
      </c>
    </row>
    <row r="4973" spans="1:9" ht="51.75" customHeight="1">
      <c r="A4973" s="5" t="s">
        <v>27014</v>
      </c>
      <c r="B4973" s="5" t="s">
        <v>37238</v>
      </c>
      <c r="C4973" s="5" t="s">
        <v>23621</v>
      </c>
      <c r="D4973" s="246">
        <v>42825</v>
      </c>
      <c r="E4973" s="5" t="s">
        <v>37239</v>
      </c>
      <c r="F4973" s="26" t="s">
        <v>23600</v>
      </c>
      <c r="G4973" s="27" t="s">
        <v>12765</v>
      </c>
      <c r="H4973" s="28" t="s">
        <v>12766</v>
      </c>
      <c r="I4973" s="5" t="s">
        <v>423</v>
      </c>
    </row>
    <row r="4974" spans="1:9" ht="51.75" customHeight="1">
      <c r="A4974" s="5" t="s">
        <v>27020</v>
      </c>
      <c r="B4974" s="5" t="s">
        <v>37240</v>
      </c>
      <c r="C4974" s="5" t="s">
        <v>23625</v>
      </c>
      <c r="D4974" s="246">
        <v>42825</v>
      </c>
      <c r="E4974" s="5" t="s">
        <v>37115</v>
      </c>
      <c r="F4974" s="26" t="s">
        <v>23600</v>
      </c>
      <c r="G4974" s="27" t="s">
        <v>12765</v>
      </c>
      <c r="H4974" s="28" t="s">
        <v>12766</v>
      </c>
      <c r="I4974" s="5" t="s">
        <v>423</v>
      </c>
    </row>
    <row r="4975" spans="1:9" ht="51.75" customHeight="1">
      <c r="A4975" s="5" t="s">
        <v>27026</v>
      </c>
      <c r="B4975" s="5" t="s">
        <v>37241</v>
      </c>
      <c r="C4975" s="5" t="s">
        <v>25972</v>
      </c>
      <c r="D4975" s="246">
        <v>42825</v>
      </c>
      <c r="E4975" s="5" t="s">
        <v>37242</v>
      </c>
      <c r="F4975" s="26" t="s">
        <v>23600</v>
      </c>
      <c r="G4975" s="27" t="s">
        <v>12765</v>
      </c>
      <c r="H4975" s="28" t="s">
        <v>12766</v>
      </c>
      <c r="I4975" s="5" t="s">
        <v>423</v>
      </c>
    </row>
    <row r="4976" spans="1:9" ht="51.75" customHeight="1">
      <c r="A4976" s="5" t="s">
        <v>25109</v>
      </c>
      <c r="B4976" s="5" t="s">
        <v>37243</v>
      </c>
      <c r="C4976" s="5" t="s">
        <v>23621</v>
      </c>
      <c r="D4976" s="246">
        <v>42971</v>
      </c>
      <c r="E4976" s="5" t="s">
        <v>37244</v>
      </c>
      <c r="F4976" s="26" t="s">
        <v>23600</v>
      </c>
      <c r="G4976" s="27" t="s">
        <v>12321</v>
      </c>
      <c r="H4976" s="28" t="s">
        <v>12322</v>
      </c>
      <c r="I4976" s="5" t="s">
        <v>423</v>
      </c>
    </row>
    <row r="4977" spans="1:9" ht="51.75" customHeight="1">
      <c r="A4977" s="5" t="s">
        <v>25354</v>
      </c>
      <c r="B4977" s="5" t="s">
        <v>37245</v>
      </c>
      <c r="C4977" s="5" t="s">
        <v>23621</v>
      </c>
      <c r="D4977" s="246">
        <v>42989</v>
      </c>
      <c r="E4977" s="5" t="s">
        <v>37246</v>
      </c>
      <c r="F4977" s="26" t="s">
        <v>23600</v>
      </c>
      <c r="G4977" s="27" t="s">
        <v>13063</v>
      </c>
      <c r="H4977" s="28" t="s">
        <v>13064</v>
      </c>
      <c r="I4977" s="5" t="s">
        <v>423</v>
      </c>
    </row>
    <row r="4978" spans="1:9" ht="51.75" customHeight="1">
      <c r="A4978" s="5" t="s">
        <v>24299</v>
      </c>
      <c r="B4978" s="5" t="s">
        <v>37247</v>
      </c>
      <c r="C4978" s="5" t="s">
        <v>23621</v>
      </c>
      <c r="D4978" s="246">
        <v>42927</v>
      </c>
      <c r="E4978" s="5" t="s">
        <v>37248</v>
      </c>
      <c r="F4978" s="26" t="s">
        <v>23600</v>
      </c>
      <c r="G4978" s="27" t="s">
        <v>13192</v>
      </c>
      <c r="H4978" s="28" t="s">
        <v>13193</v>
      </c>
      <c r="I4978" s="5" t="s">
        <v>423</v>
      </c>
    </row>
    <row r="4979" spans="1:9" ht="51.75" customHeight="1">
      <c r="A4979" s="5" t="s">
        <v>24693</v>
      </c>
      <c r="B4979" s="5" t="s">
        <v>37249</v>
      </c>
      <c r="C4979" s="5" t="s">
        <v>23621</v>
      </c>
      <c r="D4979" s="246">
        <v>43115</v>
      </c>
      <c r="E4979" s="5" t="s">
        <v>37250</v>
      </c>
      <c r="F4979" s="26" t="s">
        <v>23600</v>
      </c>
      <c r="G4979" s="27" t="s">
        <v>13215</v>
      </c>
      <c r="H4979" s="28" t="s">
        <v>13216</v>
      </c>
      <c r="I4979" s="5" t="s">
        <v>423</v>
      </c>
    </row>
    <row r="4980" spans="1:9" ht="51.75" customHeight="1">
      <c r="A4980" s="5" t="s">
        <v>24697</v>
      </c>
      <c r="B4980" s="5" t="s">
        <v>37251</v>
      </c>
      <c r="C4980" s="5" t="s">
        <v>23625</v>
      </c>
      <c r="D4980" s="246">
        <v>43115</v>
      </c>
      <c r="E4980" s="5" t="s">
        <v>37252</v>
      </c>
      <c r="F4980" s="26" t="s">
        <v>23600</v>
      </c>
      <c r="G4980" s="27" t="s">
        <v>13215</v>
      </c>
      <c r="H4980" s="28" t="s">
        <v>13216</v>
      </c>
      <c r="I4980" s="5" t="s">
        <v>423</v>
      </c>
    </row>
    <row r="4981" spans="1:9" ht="51.75" customHeight="1">
      <c r="A4981" s="5" t="s">
        <v>30098</v>
      </c>
      <c r="B4981" s="5" t="s">
        <v>37253</v>
      </c>
      <c r="C4981" s="5" t="s">
        <v>25972</v>
      </c>
      <c r="D4981" s="246">
        <v>43115</v>
      </c>
      <c r="E4981" s="5" t="s">
        <v>37254</v>
      </c>
      <c r="F4981" s="26" t="s">
        <v>23600</v>
      </c>
      <c r="G4981" s="27" t="s">
        <v>13215</v>
      </c>
      <c r="H4981" s="28" t="s">
        <v>13216</v>
      </c>
      <c r="I4981" s="5" t="s">
        <v>423</v>
      </c>
    </row>
    <row r="4982" spans="1:9" ht="51.75" customHeight="1">
      <c r="A4982" s="5" t="s">
        <v>24515</v>
      </c>
      <c r="B4982" s="5" t="s">
        <v>37255</v>
      </c>
      <c r="C4982" s="5" t="s">
        <v>23621</v>
      </c>
      <c r="D4982" s="246">
        <v>42920</v>
      </c>
      <c r="E4982" s="5" t="s">
        <v>37256</v>
      </c>
      <c r="F4982" s="26" t="s">
        <v>23600</v>
      </c>
      <c r="G4982" s="27" t="s">
        <v>13197</v>
      </c>
      <c r="H4982" s="28" t="s">
        <v>13198</v>
      </c>
      <c r="I4982" s="5" t="s">
        <v>423</v>
      </c>
    </row>
    <row r="4983" spans="1:9" ht="51.75" customHeight="1">
      <c r="A4983" s="5" t="s">
        <v>30214</v>
      </c>
      <c r="B4983" s="5" t="s">
        <v>37257</v>
      </c>
      <c r="C4983" s="5" t="s">
        <v>23621</v>
      </c>
      <c r="D4983" s="246">
        <v>43195</v>
      </c>
      <c r="E4983" s="5" t="s">
        <v>37258</v>
      </c>
      <c r="F4983" s="26" t="s">
        <v>23600</v>
      </c>
      <c r="G4983" s="27" t="s">
        <v>13222</v>
      </c>
      <c r="H4983" s="28" t="s">
        <v>13223</v>
      </c>
      <c r="I4983" s="5" t="s">
        <v>423</v>
      </c>
    </row>
    <row r="4984" spans="1:9" ht="51.75" customHeight="1">
      <c r="A4984" s="5" t="s">
        <v>24530</v>
      </c>
      <c r="B4984" s="5" t="s">
        <v>37259</v>
      </c>
      <c r="C4984" s="5" t="s">
        <v>23621</v>
      </c>
      <c r="D4984" s="246">
        <v>43234</v>
      </c>
      <c r="E4984" s="5" t="s">
        <v>37260</v>
      </c>
      <c r="F4984" s="26" t="s">
        <v>23600</v>
      </c>
      <c r="G4984" s="27" t="s">
        <v>13481</v>
      </c>
      <c r="H4984" s="28" t="s">
        <v>13482</v>
      </c>
      <c r="I4984" s="5" t="s">
        <v>423</v>
      </c>
    </row>
    <row r="4985" spans="1:9" ht="51.75" customHeight="1">
      <c r="A4985" s="5" t="s">
        <v>24542</v>
      </c>
      <c r="B4985" s="5" t="s">
        <v>37261</v>
      </c>
      <c r="C4985" s="5" t="s">
        <v>23621</v>
      </c>
      <c r="D4985" s="246">
        <v>43235</v>
      </c>
      <c r="E4985" s="5" t="s">
        <v>37262</v>
      </c>
      <c r="F4985" s="26" t="s">
        <v>23600</v>
      </c>
      <c r="G4985" s="27" t="s">
        <v>13487</v>
      </c>
      <c r="H4985" s="28" t="s">
        <v>13488</v>
      </c>
      <c r="I4985" s="5" t="s">
        <v>423</v>
      </c>
    </row>
    <row r="4986" spans="1:9" ht="51.75" customHeight="1">
      <c r="A4986" s="5" t="s">
        <v>24507</v>
      </c>
      <c r="B4986" s="5" t="s">
        <v>37263</v>
      </c>
      <c r="C4986" s="5" t="s">
        <v>23625</v>
      </c>
      <c r="D4986" s="246">
        <v>43235</v>
      </c>
      <c r="E4986" s="5" t="s">
        <v>37264</v>
      </c>
      <c r="F4986" s="26" t="s">
        <v>23600</v>
      </c>
      <c r="G4986" s="27" t="s">
        <v>13487</v>
      </c>
      <c r="H4986" s="28" t="s">
        <v>13488</v>
      </c>
      <c r="I4986" s="5" t="s">
        <v>423</v>
      </c>
    </row>
    <row r="4987" spans="1:9" ht="51.75" customHeight="1">
      <c r="A4987" s="5" t="s">
        <v>24182</v>
      </c>
      <c r="B4987" s="5" t="s">
        <v>37265</v>
      </c>
      <c r="C4987" s="5" t="s">
        <v>23621</v>
      </c>
      <c r="D4987" s="246">
        <v>43539</v>
      </c>
      <c r="E4987" s="5" t="s">
        <v>37266</v>
      </c>
      <c r="F4987" s="26" t="s">
        <v>23600</v>
      </c>
      <c r="G4987" s="27" t="s">
        <v>13420</v>
      </c>
      <c r="H4987" s="28" t="s">
        <v>13421</v>
      </c>
      <c r="I4987" s="5" t="s">
        <v>423</v>
      </c>
    </row>
    <row r="4988" spans="1:9" ht="51.75" customHeight="1">
      <c r="A4988" s="5" t="s">
        <v>27861</v>
      </c>
      <c r="B4988" s="5" t="s">
        <v>37267</v>
      </c>
      <c r="C4988" s="5" t="s">
        <v>23621</v>
      </c>
      <c r="D4988" s="246">
        <v>42971</v>
      </c>
      <c r="E4988" s="5" t="s">
        <v>37268</v>
      </c>
      <c r="F4988" s="26" t="s">
        <v>23600</v>
      </c>
      <c r="G4988" s="27" t="s">
        <v>13525</v>
      </c>
      <c r="H4988" s="28" t="s">
        <v>13526</v>
      </c>
      <c r="I4988" s="5" t="s">
        <v>423</v>
      </c>
    </row>
    <row r="4989" spans="1:9" ht="51.75" customHeight="1">
      <c r="A4989" s="5" t="s">
        <v>25058</v>
      </c>
      <c r="B4989" s="5" t="s">
        <v>37269</v>
      </c>
      <c r="C4989" s="5" t="s">
        <v>23621</v>
      </c>
      <c r="D4989" s="246">
        <v>43164</v>
      </c>
      <c r="E4989" s="5" t="s">
        <v>37270</v>
      </c>
      <c r="F4989" s="26" t="s">
        <v>23600</v>
      </c>
      <c r="G4989" s="27" t="s">
        <v>13666</v>
      </c>
      <c r="H4989" s="28" t="s">
        <v>13667</v>
      </c>
      <c r="I4989" s="5" t="s">
        <v>423</v>
      </c>
    </row>
    <row r="4990" spans="1:9" ht="51.75" customHeight="1">
      <c r="A4990" s="5" t="s">
        <v>26885</v>
      </c>
      <c r="B4990" s="5" t="s">
        <v>37271</v>
      </c>
      <c r="C4990" s="5" t="s">
        <v>23621</v>
      </c>
      <c r="D4990" s="246">
        <v>43285</v>
      </c>
      <c r="E4990" s="5" t="s">
        <v>37272</v>
      </c>
      <c r="F4990" s="26" t="s">
        <v>23600</v>
      </c>
      <c r="G4990" s="27" t="s">
        <v>13706</v>
      </c>
      <c r="H4990" s="28" t="s">
        <v>13707</v>
      </c>
      <c r="I4990" s="5" t="s">
        <v>423</v>
      </c>
    </row>
    <row r="4991" spans="1:9" ht="51.75" customHeight="1">
      <c r="A4991" s="5" t="s">
        <v>37273</v>
      </c>
      <c r="B4991" s="5" t="s">
        <v>37274</v>
      </c>
      <c r="C4991" s="5" t="s">
        <v>23621</v>
      </c>
      <c r="D4991" s="246">
        <v>43383</v>
      </c>
      <c r="E4991" s="5" t="s">
        <v>37275</v>
      </c>
      <c r="F4991" s="26" t="s">
        <v>23600</v>
      </c>
      <c r="G4991" s="27" t="s">
        <v>13744</v>
      </c>
      <c r="H4991" s="28" t="s">
        <v>13745</v>
      </c>
      <c r="I4991" s="5" t="s">
        <v>423</v>
      </c>
    </row>
    <row r="4992" spans="1:9" ht="51.75" customHeight="1">
      <c r="A4992" s="5" t="s">
        <v>27642</v>
      </c>
      <c r="B4992" s="5" t="s">
        <v>37276</v>
      </c>
      <c r="C4992" s="5" t="s">
        <v>23621</v>
      </c>
      <c r="D4992" s="246">
        <v>43325</v>
      </c>
      <c r="E4992" s="5" t="s">
        <v>37277</v>
      </c>
      <c r="F4992" s="26" t="s">
        <v>23600</v>
      </c>
      <c r="G4992" s="27" t="s">
        <v>13826</v>
      </c>
      <c r="H4992" s="28" t="s">
        <v>13827</v>
      </c>
      <c r="I4992" s="5" t="s">
        <v>423</v>
      </c>
    </row>
    <row r="4993" spans="1:9" ht="51.75" customHeight="1">
      <c r="A4993" s="5" t="s">
        <v>28240</v>
      </c>
      <c r="B4993" s="5" t="s">
        <v>37278</v>
      </c>
      <c r="C4993" s="5" t="s">
        <v>23621</v>
      </c>
      <c r="D4993" s="246">
        <v>43049</v>
      </c>
      <c r="E4993" s="5" t="s">
        <v>37279</v>
      </c>
      <c r="F4993" s="26" t="s">
        <v>23600</v>
      </c>
      <c r="G4993" s="27" t="s">
        <v>13833</v>
      </c>
      <c r="H4993" s="28" t="s">
        <v>13834</v>
      </c>
      <c r="I4993" s="5" t="s">
        <v>423</v>
      </c>
    </row>
    <row r="4994" spans="1:9" ht="51.75" customHeight="1">
      <c r="A4994" s="5" t="s">
        <v>24942</v>
      </c>
      <c r="B4994" s="5" t="s">
        <v>37280</v>
      </c>
      <c r="C4994" s="5" t="s">
        <v>23621</v>
      </c>
      <c r="D4994" s="246">
        <v>43122</v>
      </c>
      <c r="E4994" s="5" t="s">
        <v>37281</v>
      </c>
      <c r="F4994" s="26" t="s">
        <v>23600</v>
      </c>
      <c r="G4994" s="27" t="s">
        <v>13868</v>
      </c>
      <c r="H4994" s="28" t="s">
        <v>13869</v>
      </c>
      <c r="I4994" s="5" t="s">
        <v>423</v>
      </c>
    </row>
    <row r="4995" spans="1:9" ht="51.75" customHeight="1">
      <c r="A4995" s="5" t="s">
        <v>24948</v>
      </c>
      <c r="B4995" s="5" t="s">
        <v>37282</v>
      </c>
      <c r="C4995" s="5" t="s">
        <v>23625</v>
      </c>
      <c r="D4995" s="246">
        <v>43122</v>
      </c>
      <c r="E4995" s="5" t="s">
        <v>37283</v>
      </c>
      <c r="F4995" s="26" t="s">
        <v>23600</v>
      </c>
      <c r="G4995" s="27" t="s">
        <v>13868</v>
      </c>
      <c r="H4995" s="28" t="s">
        <v>13869</v>
      </c>
      <c r="I4995" s="5" t="s">
        <v>423</v>
      </c>
    </row>
    <row r="4996" spans="1:9" ht="51.75" customHeight="1">
      <c r="A4996" s="5" t="s">
        <v>28335</v>
      </c>
      <c r="B4996" s="5" t="s">
        <v>37284</v>
      </c>
      <c r="C4996" s="5" t="s">
        <v>23621</v>
      </c>
      <c r="D4996" s="246">
        <v>43166</v>
      </c>
      <c r="E4996" s="5" t="s">
        <v>37285</v>
      </c>
      <c r="F4996" s="26" t="s">
        <v>23600</v>
      </c>
      <c r="G4996" s="27" t="s">
        <v>13874</v>
      </c>
      <c r="H4996" s="28" t="s">
        <v>13875</v>
      </c>
      <c r="I4996" s="5" t="s">
        <v>423</v>
      </c>
    </row>
    <row r="4997" spans="1:9" ht="51.75" customHeight="1">
      <c r="A4997" s="5" t="s">
        <v>34092</v>
      </c>
      <c r="B4997" s="5" t="s">
        <v>37286</v>
      </c>
      <c r="C4997" s="5" t="s">
        <v>23621</v>
      </c>
      <c r="D4997" s="246">
        <v>43103</v>
      </c>
      <c r="E4997" s="5" t="s">
        <v>37287</v>
      </c>
      <c r="F4997" s="26" t="s">
        <v>23600</v>
      </c>
      <c r="G4997" s="27" t="s">
        <v>13886</v>
      </c>
      <c r="H4997" s="28" t="s">
        <v>13887</v>
      </c>
      <c r="I4997" s="5" t="s">
        <v>423</v>
      </c>
    </row>
    <row r="4998" spans="1:9" ht="51.75" customHeight="1">
      <c r="A4998" s="5" t="s">
        <v>28640</v>
      </c>
      <c r="B4998" s="5" t="s">
        <v>37288</v>
      </c>
      <c r="C4998" s="5" t="s">
        <v>23621</v>
      </c>
      <c r="D4998" s="246">
        <v>43042</v>
      </c>
      <c r="E4998" s="5" t="s">
        <v>37289</v>
      </c>
      <c r="F4998" s="26" t="s">
        <v>23600</v>
      </c>
      <c r="G4998" s="27" t="s">
        <v>13922</v>
      </c>
      <c r="H4998" s="28" t="s">
        <v>13923</v>
      </c>
      <c r="I4998" s="5" t="s">
        <v>423</v>
      </c>
    </row>
    <row r="4999" spans="1:9" ht="51.75" customHeight="1">
      <c r="A4999" s="5" t="s">
        <v>37290</v>
      </c>
      <c r="B4999" s="5" t="s">
        <v>37291</v>
      </c>
      <c r="C4999" s="5" t="s">
        <v>23621</v>
      </c>
      <c r="D4999" s="246">
        <v>43384</v>
      </c>
      <c r="E4999" s="5" t="s">
        <v>37292</v>
      </c>
      <c r="F4999" s="26" t="s">
        <v>23600</v>
      </c>
      <c r="G4999" s="27" t="s">
        <v>13892</v>
      </c>
      <c r="H4999" s="28" t="s">
        <v>13893</v>
      </c>
      <c r="I4999" s="5" t="s">
        <v>423</v>
      </c>
    </row>
    <row r="5000" spans="1:9" ht="51.75" customHeight="1">
      <c r="A5000" s="5" t="s">
        <v>26703</v>
      </c>
      <c r="B5000" s="5" t="s">
        <v>37293</v>
      </c>
      <c r="C5000" s="5" t="s">
        <v>23621</v>
      </c>
      <c r="D5000" s="246">
        <v>43284</v>
      </c>
      <c r="E5000" s="5" t="s">
        <v>37294</v>
      </c>
      <c r="F5000" s="26" t="s">
        <v>23600</v>
      </c>
      <c r="G5000" s="27" t="s">
        <v>13945</v>
      </c>
      <c r="H5000" s="28" t="s">
        <v>13946</v>
      </c>
      <c r="I5000" s="5" t="s">
        <v>423</v>
      </c>
    </row>
    <row r="5001" spans="1:9" ht="51.75" customHeight="1">
      <c r="A5001" s="5" t="s">
        <v>37295</v>
      </c>
      <c r="B5001" s="5" t="s">
        <v>37296</v>
      </c>
      <c r="C5001" s="5" t="s">
        <v>23621</v>
      </c>
      <c r="D5001" s="246">
        <v>43423</v>
      </c>
      <c r="E5001" s="5" t="s">
        <v>37297</v>
      </c>
      <c r="F5001" s="26" t="s">
        <v>23600</v>
      </c>
      <c r="G5001" s="27" t="s">
        <v>13956</v>
      </c>
      <c r="H5001" s="28" t="s">
        <v>13957</v>
      </c>
      <c r="I5001" s="5" t="s">
        <v>423</v>
      </c>
    </row>
    <row r="5002" spans="1:9" ht="51.75" customHeight="1">
      <c r="A5002" s="5" t="s">
        <v>26531</v>
      </c>
      <c r="B5002" s="5" t="s">
        <v>37298</v>
      </c>
      <c r="C5002" s="5" t="s">
        <v>23621</v>
      </c>
      <c r="D5002" s="246">
        <v>43132</v>
      </c>
      <c r="E5002" s="5" t="s">
        <v>37299</v>
      </c>
      <c r="F5002" s="26" t="s">
        <v>23600</v>
      </c>
      <c r="G5002" s="27" t="s">
        <v>13991</v>
      </c>
      <c r="H5002" s="28" t="s">
        <v>13992</v>
      </c>
      <c r="I5002" s="5" t="s">
        <v>423</v>
      </c>
    </row>
    <row r="5003" spans="1:9" ht="51.75" customHeight="1">
      <c r="A5003" s="5" t="s">
        <v>26352</v>
      </c>
      <c r="B5003" s="5" t="s">
        <v>37300</v>
      </c>
      <c r="C5003" s="5" t="s">
        <v>23621</v>
      </c>
      <c r="D5003" s="246">
        <v>43166</v>
      </c>
      <c r="E5003" s="5" t="s">
        <v>37301</v>
      </c>
      <c r="F5003" s="26" t="s">
        <v>23600</v>
      </c>
      <c r="G5003" s="27" t="s">
        <v>13996</v>
      </c>
      <c r="H5003" s="28" t="s">
        <v>13997</v>
      </c>
      <c r="I5003" s="5" t="s">
        <v>423</v>
      </c>
    </row>
    <row r="5004" spans="1:9" ht="51.75" customHeight="1">
      <c r="A5004" s="5" t="s">
        <v>37302</v>
      </c>
      <c r="B5004" s="5" t="s">
        <v>37303</v>
      </c>
      <c r="C5004" s="5" t="s">
        <v>23621</v>
      </c>
      <c r="D5004" s="246">
        <v>43318</v>
      </c>
      <c r="E5004" s="5" t="s">
        <v>37304</v>
      </c>
      <c r="F5004" s="26" t="s">
        <v>23600</v>
      </c>
      <c r="G5004" s="27" t="s">
        <v>14036</v>
      </c>
      <c r="H5004" s="28" t="s">
        <v>14037</v>
      </c>
      <c r="I5004" s="5" t="s">
        <v>423</v>
      </c>
    </row>
    <row r="5005" spans="1:9" ht="51.75" customHeight="1">
      <c r="A5005" s="5" t="s">
        <v>27446</v>
      </c>
      <c r="B5005" s="5" t="s">
        <v>37305</v>
      </c>
      <c r="C5005" s="5" t="s">
        <v>23621</v>
      </c>
      <c r="D5005" s="246">
        <v>43181</v>
      </c>
      <c r="E5005" s="5" t="s">
        <v>37306</v>
      </c>
      <c r="F5005" s="26" t="s">
        <v>36725</v>
      </c>
      <c r="G5005" s="27" t="s">
        <v>14059</v>
      </c>
      <c r="H5005" s="28" t="s">
        <v>14060</v>
      </c>
      <c r="I5005" s="5" t="s">
        <v>423</v>
      </c>
    </row>
    <row r="5006" spans="1:9" ht="51.75" customHeight="1">
      <c r="A5006" s="5" t="s">
        <v>25194</v>
      </c>
      <c r="B5006" s="5" t="s">
        <v>37307</v>
      </c>
      <c r="C5006" s="5" t="s">
        <v>23621</v>
      </c>
      <c r="D5006" s="246">
        <v>43207</v>
      </c>
      <c r="E5006" s="5" t="s">
        <v>37308</v>
      </c>
      <c r="F5006" s="26" t="s">
        <v>23600</v>
      </c>
      <c r="G5006" s="27" t="s">
        <v>14125</v>
      </c>
      <c r="H5006" s="28" t="s">
        <v>14126</v>
      </c>
      <c r="I5006" s="5" t="s">
        <v>423</v>
      </c>
    </row>
    <row r="5007" spans="1:9" ht="51.75" customHeight="1">
      <c r="A5007" s="5" t="s">
        <v>24606</v>
      </c>
      <c r="B5007" s="5" t="s">
        <v>37309</v>
      </c>
      <c r="C5007" s="5" t="s">
        <v>23621</v>
      </c>
      <c r="D5007" s="246">
        <v>43180</v>
      </c>
      <c r="E5007" s="5" t="s">
        <v>37310</v>
      </c>
      <c r="F5007" s="26" t="s">
        <v>23600</v>
      </c>
      <c r="G5007" s="27" t="s">
        <v>14161</v>
      </c>
      <c r="H5007" s="28" t="s">
        <v>14162</v>
      </c>
      <c r="I5007" s="5" t="s">
        <v>423</v>
      </c>
    </row>
    <row r="5008" spans="1:9" ht="51.75" customHeight="1">
      <c r="A5008" s="5" t="s">
        <v>28660</v>
      </c>
      <c r="B5008" s="5" t="s">
        <v>37311</v>
      </c>
      <c r="C5008" s="5" t="s">
        <v>23621</v>
      </c>
      <c r="D5008" s="246">
        <v>43269</v>
      </c>
      <c r="E5008" s="5" t="s">
        <v>37312</v>
      </c>
      <c r="F5008" s="26" t="s">
        <v>23600</v>
      </c>
      <c r="G5008" s="27" t="s">
        <v>14336</v>
      </c>
      <c r="H5008" s="28" t="s">
        <v>14337</v>
      </c>
      <c r="I5008" s="5" t="s">
        <v>423</v>
      </c>
    </row>
    <row r="5009" spans="1:9" ht="51.75" customHeight="1">
      <c r="A5009" s="5" t="s">
        <v>33680</v>
      </c>
      <c r="B5009" s="5" t="s">
        <v>37313</v>
      </c>
      <c r="C5009" s="5" t="s">
        <v>23621</v>
      </c>
      <c r="D5009" s="246">
        <v>43236</v>
      </c>
      <c r="E5009" s="5" t="s">
        <v>37314</v>
      </c>
      <c r="F5009" s="26" t="s">
        <v>23600</v>
      </c>
      <c r="G5009" s="27" t="s">
        <v>14403</v>
      </c>
      <c r="H5009" s="28" t="s">
        <v>14404</v>
      </c>
      <c r="I5009" s="5" t="s">
        <v>423</v>
      </c>
    </row>
    <row r="5010" spans="1:9" ht="51.75" customHeight="1">
      <c r="A5010" s="5" t="s">
        <v>27078</v>
      </c>
      <c r="B5010" s="5" t="s">
        <v>37315</v>
      </c>
      <c r="C5010" s="5" t="s">
        <v>23621</v>
      </c>
      <c r="D5010" s="246">
        <v>43508</v>
      </c>
      <c r="E5010" s="5" t="s">
        <v>37316</v>
      </c>
      <c r="F5010" s="26" t="s">
        <v>23600</v>
      </c>
      <c r="G5010" s="27" t="s">
        <v>14524</v>
      </c>
      <c r="H5010" s="28" t="s">
        <v>14525</v>
      </c>
      <c r="I5010" s="5" t="s">
        <v>423</v>
      </c>
    </row>
    <row r="5011" spans="1:9" ht="51.75" customHeight="1">
      <c r="A5011" s="5" t="s">
        <v>24315</v>
      </c>
      <c r="B5011" s="5" t="s">
        <v>37317</v>
      </c>
      <c r="C5011" s="5" t="s">
        <v>23621</v>
      </c>
      <c r="D5011" s="246">
        <v>43242</v>
      </c>
      <c r="E5011" s="5" t="s">
        <v>37318</v>
      </c>
      <c r="F5011" s="26" t="s">
        <v>23600</v>
      </c>
      <c r="G5011" s="27" t="s">
        <v>14361</v>
      </c>
      <c r="H5011" s="28" t="s">
        <v>14362</v>
      </c>
      <c r="I5011" s="5" t="s">
        <v>423</v>
      </c>
    </row>
    <row r="5012" spans="1:9" ht="51.75" customHeight="1">
      <c r="A5012" s="5" t="s">
        <v>27767</v>
      </c>
      <c r="B5012" s="5" t="s">
        <v>37319</v>
      </c>
      <c r="C5012" s="5" t="s">
        <v>23625</v>
      </c>
      <c r="D5012" s="246">
        <v>43242</v>
      </c>
      <c r="E5012" s="5" t="s">
        <v>37320</v>
      </c>
      <c r="F5012" s="26" t="s">
        <v>23600</v>
      </c>
      <c r="G5012" s="27" t="s">
        <v>14361</v>
      </c>
      <c r="H5012" s="28" t="s">
        <v>14362</v>
      </c>
      <c r="I5012" s="5" t="s">
        <v>423</v>
      </c>
    </row>
    <row r="5013" spans="1:9" ht="51.75" customHeight="1">
      <c r="A5013" s="5" t="s">
        <v>28350</v>
      </c>
      <c r="B5013" s="5" t="s">
        <v>37321</v>
      </c>
      <c r="C5013" s="5" t="s">
        <v>23621</v>
      </c>
      <c r="D5013" s="246">
        <v>43195</v>
      </c>
      <c r="E5013" s="5" t="s">
        <v>37322</v>
      </c>
      <c r="F5013" s="26" t="s">
        <v>23600</v>
      </c>
      <c r="G5013" s="27" t="s">
        <v>14589</v>
      </c>
      <c r="H5013" s="28" t="s">
        <v>14590</v>
      </c>
      <c r="I5013" s="5" t="s">
        <v>423</v>
      </c>
    </row>
    <row r="5014" spans="1:9" ht="51.75" customHeight="1">
      <c r="A5014" s="5" t="s">
        <v>37323</v>
      </c>
      <c r="B5014" s="5" t="s">
        <v>37324</v>
      </c>
      <c r="C5014" s="5" t="s">
        <v>23621</v>
      </c>
      <c r="D5014" s="246">
        <v>44105</v>
      </c>
      <c r="E5014" s="5" t="s">
        <v>37325</v>
      </c>
      <c r="F5014" s="26" t="s">
        <v>23600</v>
      </c>
      <c r="G5014" s="27" t="s">
        <v>14593</v>
      </c>
      <c r="H5014" s="28" t="s">
        <v>14594</v>
      </c>
      <c r="I5014" s="5" t="s">
        <v>423</v>
      </c>
    </row>
    <row r="5015" spans="1:9" ht="51.75" customHeight="1">
      <c r="A5015" s="5" t="s">
        <v>37326</v>
      </c>
      <c r="B5015" s="5" t="s">
        <v>37327</v>
      </c>
      <c r="C5015" s="5" t="s">
        <v>23621</v>
      </c>
      <c r="D5015" s="246">
        <v>43332</v>
      </c>
      <c r="E5015" s="5" t="s">
        <v>37328</v>
      </c>
      <c r="F5015" s="26" t="s">
        <v>23600</v>
      </c>
      <c r="G5015" s="27" t="s">
        <v>14599</v>
      </c>
      <c r="H5015" s="28" t="s">
        <v>14600</v>
      </c>
      <c r="I5015" s="5" t="s">
        <v>423</v>
      </c>
    </row>
    <row r="5016" spans="1:9" ht="51.75" customHeight="1">
      <c r="A5016" s="5" t="s">
        <v>23776</v>
      </c>
      <c r="B5016" s="5" t="s">
        <v>37329</v>
      </c>
      <c r="C5016" s="5" t="s">
        <v>23621</v>
      </c>
      <c r="D5016" s="246">
        <v>43592</v>
      </c>
      <c r="E5016" s="5" t="s">
        <v>37330</v>
      </c>
      <c r="F5016" s="26" t="s">
        <v>23600</v>
      </c>
      <c r="G5016" s="27" t="s">
        <v>14654</v>
      </c>
      <c r="H5016" s="28" t="s">
        <v>14655</v>
      </c>
      <c r="I5016" s="5" t="s">
        <v>423</v>
      </c>
    </row>
    <row r="5017" spans="1:9" ht="51.75" customHeight="1">
      <c r="A5017" s="5" t="s">
        <v>37331</v>
      </c>
      <c r="B5017" s="5" t="s">
        <v>37332</v>
      </c>
      <c r="C5017" s="5" t="s">
        <v>23621</v>
      </c>
      <c r="D5017" s="246">
        <v>43452</v>
      </c>
      <c r="E5017" s="5" t="s">
        <v>37333</v>
      </c>
      <c r="F5017" s="26" t="s">
        <v>23600</v>
      </c>
      <c r="G5017" s="27" t="s">
        <v>14698</v>
      </c>
      <c r="H5017" s="28" t="s">
        <v>14699</v>
      </c>
      <c r="I5017" s="5" t="s">
        <v>423</v>
      </c>
    </row>
    <row r="5018" spans="1:9" ht="51.75" customHeight="1">
      <c r="A5018" s="5" t="s">
        <v>37334</v>
      </c>
      <c r="B5018" s="5" t="s">
        <v>37335</v>
      </c>
      <c r="C5018" s="5" t="s">
        <v>23625</v>
      </c>
      <c r="D5018" s="246">
        <v>43452</v>
      </c>
      <c r="E5018" s="5" t="s">
        <v>37336</v>
      </c>
      <c r="F5018" s="26" t="s">
        <v>23600</v>
      </c>
      <c r="G5018" s="27" t="s">
        <v>14698</v>
      </c>
      <c r="H5018" s="28" t="s">
        <v>14699</v>
      </c>
      <c r="I5018" s="5" t="s">
        <v>423</v>
      </c>
    </row>
    <row r="5019" spans="1:9" ht="51.75" customHeight="1">
      <c r="A5019" s="5" t="s">
        <v>28437</v>
      </c>
      <c r="B5019" s="5" t="s">
        <v>37337</v>
      </c>
      <c r="C5019" s="5" t="s">
        <v>23621</v>
      </c>
      <c r="D5019" s="246">
        <v>43649</v>
      </c>
      <c r="E5019" s="5" t="s">
        <v>37338</v>
      </c>
      <c r="F5019" s="26" t="s">
        <v>23600</v>
      </c>
      <c r="G5019" s="27" t="s">
        <v>14722</v>
      </c>
      <c r="H5019" s="28" t="s">
        <v>14723</v>
      </c>
      <c r="I5019" s="5" t="s">
        <v>423</v>
      </c>
    </row>
    <row r="5020" spans="1:9" ht="51.75" customHeight="1">
      <c r="A5020" s="5" t="s">
        <v>26727</v>
      </c>
      <c r="B5020" s="5" t="s">
        <v>37339</v>
      </c>
      <c r="C5020" s="5" t="s">
        <v>23621</v>
      </c>
      <c r="D5020" s="246">
        <v>43308</v>
      </c>
      <c r="E5020" s="5" t="s">
        <v>37340</v>
      </c>
      <c r="F5020" s="26" t="s">
        <v>23600</v>
      </c>
      <c r="G5020" s="27" t="s">
        <v>14791</v>
      </c>
      <c r="H5020" s="28" t="s">
        <v>14792</v>
      </c>
      <c r="I5020" s="5" t="s">
        <v>423</v>
      </c>
    </row>
    <row r="5021" spans="1:9" ht="51.75" customHeight="1">
      <c r="A5021" s="5" t="s">
        <v>37341</v>
      </c>
      <c r="B5021" s="5" t="s">
        <v>37342</v>
      </c>
      <c r="C5021" s="5" t="s">
        <v>23621</v>
      </c>
      <c r="D5021" s="246">
        <v>43444</v>
      </c>
      <c r="E5021" s="5" t="s">
        <v>37343</v>
      </c>
      <c r="F5021" s="26" t="s">
        <v>23600</v>
      </c>
      <c r="G5021" s="27" t="s">
        <v>14873</v>
      </c>
      <c r="H5021" s="28" t="s">
        <v>14874</v>
      </c>
      <c r="I5021" s="5" t="s">
        <v>423</v>
      </c>
    </row>
    <row r="5022" spans="1:9" ht="51.75" customHeight="1">
      <c r="A5022" s="5" t="s">
        <v>25262</v>
      </c>
      <c r="B5022" s="5" t="s">
        <v>37344</v>
      </c>
      <c r="C5022" s="5" t="s">
        <v>23621</v>
      </c>
      <c r="D5022" s="246">
        <v>43587</v>
      </c>
      <c r="E5022" s="5" t="s">
        <v>37345</v>
      </c>
      <c r="F5022" s="26" t="s">
        <v>23600</v>
      </c>
      <c r="G5022" s="27" t="s">
        <v>14944</v>
      </c>
      <c r="H5022" s="28" t="s">
        <v>14945</v>
      </c>
      <c r="I5022" s="5" t="s">
        <v>423</v>
      </c>
    </row>
    <row r="5023" spans="1:9" ht="51.75" customHeight="1">
      <c r="A5023" s="5" t="s">
        <v>26709</v>
      </c>
      <c r="B5023" s="5" t="s">
        <v>37346</v>
      </c>
      <c r="C5023" s="5" t="s">
        <v>23621</v>
      </c>
      <c r="D5023" s="246">
        <v>43297</v>
      </c>
      <c r="E5023" s="5" t="s">
        <v>37347</v>
      </c>
      <c r="F5023" s="26" t="s">
        <v>23600</v>
      </c>
      <c r="G5023" s="27" t="s">
        <v>15001</v>
      </c>
      <c r="H5023" s="28" t="s">
        <v>15002</v>
      </c>
      <c r="I5023" s="5" t="s">
        <v>423</v>
      </c>
    </row>
    <row r="5024" spans="1:9" ht="51.75" customHeight="1">
      <c r="A5024" s="5" t="s">
        <v>27026</v>
      </c>
      <c r="B5024" s="5" t="s">
        <v>37348</v>
      </c>
      <c r="C5024" s="5" t="s">
        <v>23621</v>
      </c>
      <c r="D5024" s="246">
        <v>43553</v>
      </c>
      <c r="E5024" s="5" t="s">
        <v>37349</v>
      </c>
      <c r="F5024" s="26" t="s">
        <v>23600</v>
      </c>
      <c r="G5024" s="27" t="s">
        <v>15051</v>
      </c>
      <c r="H5024" s="28" t="s">
        <v>15052</v>
      </c>
      <c r="I5024" s="5" t="s">
        <v>423</v>
      </c>
    </row>
    <row r="5025" spans="1:9" ht="51.75" customHeight="1">
      <c r="A5025" s="5" t="s">
        <v>25066</v>
      </c>
      <c r="B5025" s="5" t="s">
        <v>37350</v>
      </c>
      <c r="C5025" s="5" t="s">
        <v>23621</v>
      </c>
      <c r="D5025" s="246">
        <v>43630</v>
      </c>
      <c r="E5025" s="5" t="s">
        <v>37351</v>
      </c>
      <c r="F5025" s="26" t="s">
        <v>23600</v>
      </c>
      <c r="G5025" s="27" t="s">
        <v>15057</v>
      </c>
      <c r="H5025" s="28" t="s">
        <v>15058</v>
      </c>
      <c r="I5025" s="5" t="s">
        <v>423</v>
      </c>
    </row>
    <row r="5026" spans="1:9" ht="51.75" customHeight="1">
      <c r="A5026" s="5" t="s">
        <v>25652</v>
      </c>
      <c r="B5026" s="5" t="s">
        <v>37352</v>
      </c>
      <c r="C5026" s="5" t="s">
        <v>23621</v>
      </c>
      <c r="D5026" s="246">
        <v>43461</v>
      </c>
      <c r="E5026" s="5" t="s">
        <v>37353</v>
      </c>
      <c r="F5026" s="26" t="s">
        <v>23600</v>
      </c>
      <c r="G5026" s="27" t="s">
        <v>15104</v>
      </c>
      <c r="H5026" s="28" t="s">
        <v>15105</v>
      </c>
      <c r="I5026" s="5" t="s">
        <v>423</v>
      </c>
    </row>
    <row r="5027" spans="1:9" ht="51.75" customHeight="1">
      <c r="A5027" s="5" t="s">
        <v>25920</v>
      </c>
      <c r="B5027" s="5" t="s">
        <v>37354</v>
      </c>
      <c r="C5027" s="5" t="s">
        <v>23625</v>
      </c>
      <c r="D5027" s="246">
        <v>43461</v>
      </c>
      <c r="E5027" s="5" t="s">
        <v>37355</v>
      </c>
      <c r="F5027" s="26" t="s">
        <v>23600</v>
      </c>
      <c r="G5027" s="27" t="s">
        <v>15104</v>
      </c>
      <c r="H5027" s="28" t="s">
        <v>15105</v>
      </c>
      <c r="I5027" s="5" t="s">
        <v>423</v>
      </c>
    </row>
    <row r="5028" spans="1:9" ht="51.75" customHeight="1">
      <c r="A5028" s="5" t="s">
        <v>37356</v>
      </c>
      <c r="B5028" s="5" t="s">
        <v>37357</v>
      </c>
      <c r="C5028" s="5" t="s">
        <v>23621</v>
      </c>
      <c r="D5028" s="246">
        <v>43416</v>
      </c>
      <c r="E5028" s="5" t="s">
        <v>37358</v>
      </c>
      <c r="F5028" s="26" t="s">
        <v>23600</v>
      </c>
      <c r="G5028" s="27" t="s">
        <v>15110</v>
      </c>
      <c r="H5028" s="28" t="s">
        <v>15111</v>
      </c>
      <c r="I5028" s="5" t="s">
        <v>423</v>
      </c>
    </row>
    <row r="5029" spans="1:9" ht="51.75" customHeight="1">
      <c r="A5029" s="5" t="s">
        <v>26310</v>
      </c>
      <c r="B5029" s="5" t="s">
        <v>37359</v>
      </c>
      <c r="C5029" s="5" t="s">
        <v>23621</v>
      </c>
      <c r="D5029" s="246">
        <v>43486</v>
      </c>
      <c r="E5029" s="5" t="s">
        <v>37360</v>
      </c>
      <c r="F5029" s="26" t="s">
        <v>23600</v>
      </c>
      <c r="G5029" s="27" t="s">
        <v>15150</v>
      </c>
      <c r="H5029" s="28" t="s">
        <v>15151</v>
      </c>
      <c r="I5029" s="5" t="s">
        <v>423</v>
      </c>
    </row>
    <row r="5030" spans="1:9" ht="51.75" customHeight="1">
      <c r="A5030" s="5" t="s">
        <v>37361</v>
      </c>
      <c r="B5030" s="5" t="s">
        <v>37362</v>
      </c>
      <c r="C5030" s="5" t="s">
        <v>23621</v>
      </c>
      <c r="D5030" s="246">
        <v>43455</v>
      </c>
      <c r="E5030" s="5" t="s">
        <v>37363</v>
      </c>
      <c r="F5030" s="26" t="s">
        <v>23600</v>
      </c>
      <c r="G5030" s="27" t="s">
        <v>15190</v>
      </c>
      <c r="H5030" s="28" t="s">
        <v>15191</v>
      </c>
      <c r="I5030" s="5" t="s">
        <v>423</v>
      </c>
    </row>
    <row r="5031" spans="1:9" ht="51.75" customHeight="1">
      <c r="A5031" s="5" t="s">
        <v>24575</v>
      </c>
      <c r="B5031" s="5" t="s">
        <v>37364</v>
      </c>
      <c r="C5031" s="5" t="s">
        <v>23621</v>
      </c>
      <c r="D5031" s="246">
        <v>43518</v>
      </c>
      <c r="E5031" s="5" t="s">
        <v>37365</v>
      </c>
      <c r="F5031" s="26" t="s">
        <v>23600</v>
      </c>
      <c r="G5031" s="27" t="s">
        <v>15234</v>
      </c>
      <c r="H5031" s="28" t="s">
        <v>15235</v>
      </c>
      <c r="I5031" s="5" t="s">
        <v>423</v>
      </c>
    </row>
    <row r="5032" spans="1:9" ht="51.75" customHeight="1">
      <c r="A5032" s="5" t="s">
        <v>37366</v>
      </c>
      <c r="B5032" s="5" t="s">
        <v>37367</v>
      </c>
      <c r="C5032" s="5" t="s">
        <v>23621</v>
      </c>
      <c r="D5032" s="246">
        <v>43454</v>
      </c>
      <c r="E5032" s="5" t="s">
        <v>37368</v>
      </c>
      <c r="F5032" s="26" t="s">
        <v>23600</v>
      </c>
      <c r="G5032" s="27" t="s">
        <v>15339</v>
      </c>
      <c r="H5032" s="28" t="s">
        <v>15340</v>
      </c>
      <c r="I5032" s="5" t="s">
        <v>423</v>
      </c>
    </row>
    <row r="5033" spans="1:9" ht="51.75" customHeight="1">
      <c r="A5033" s="5" t="s">
        <v>25141</v>
      </c>
      <c r="B5033" s="5" t="s">
        <v>37369</v>
      </c>
      <c r="C5033" s="5" t="s">
        <v>23621</v>
      </c>
      <c r="D5033" s="246">
        <v>43501</v>
      </c>
      <c r="E5033" s="5" t="s">
        <v>37370</v>
      </c>
      <c r="F5033" s="26" t="s">
        <v>23600</v>
      </c>
      <c r="G5033" s="27" t="s">
        <v>15354</v>
      </c>
      <c r="H5033" s="28" t="s">
        <v>15355</v>
      </c>
      <c r="I5033" s="5" t="s">
        <v>423</v>
      </c>
    </row>
    <row r="5034" spans="1:9" ht="51.75" customHeight="1">
      <c r="A5034" s="5" t="s">
        <v>25265</v>
      </c>
      <c r="B5034" s="5" t="s">
        <v>37371</v>
      </c>
      <c r="C5034" s="5" t="s">
        <v>23621</v>
      </c>
      <c r="D5034" s="246">
        <v>43587</v>
      </c>
      <c r="E5034" s="5" t="s">
        <v>37372</v>
      </c>
      <c r="F5034" s="26" t="s">
        <v>23600</v>
      </c>
      <c r="G5034" s="27" t="s">
        <v>15410</v>
      </c>
      <c r="H5034" s="28" t="s">
        <v>15411</v>
      </c>
      <c r="I5034" s="5" t="s">
        <v>423</v>
      </c>
    </row>
    <row r="5035" spans="1:9" ht="51.75" customHeight="1">
      <c r="A5035" s="5" t="s">
        <v>25206</v>
      </c>
      <c r="B5035" s="5" t="s">
        <v>37373</v>
      </c>
      <c r="C5035" s="5" t="s">
        <v>23625</v>
      </c>
      <c r="D5035" s="246">
        <v>43587</v>
      </c>
      <c r="E5035" s="5" t="s">
        <v>37374</v>
      </c>
      <c r="F5035" s="26" t="s">
        <v>23600</v>
      </c>
      <c r="G5035" s="27" t="s">
        <v>15410</v>
      </c>
      <c r="H5035" s="28" t="s">
        <v>15411</v>
      </c>
      <c r="I5035" s="5" t="s">
        <v>423</v>
      </c>
    </row>
    <row r="5036" spans="1:9" ht="51.75" customHeight="1">
      <c r="A5036" s="5" t="s">
        <v>23708</v>
      </c>
      <c r="B5036" s="5" t="s">
        <v>37375</v>
      </c>
      <c r="C5036" s="5" t="s">
        <v>23621</v>
      </c>
      <c r="D5036" s="246">
        <v>43587</v>
      </c>
      <c r="E5036" s="5" t="s">
        <v>37376</v>
      </c>
      <c r="F5036" s="26" t="s">
        <v>23600</v>
      </c>
      <c r="G5036" s="27" t="s">
        <v>15474</v>
      </c>
      <c r="H5036" s="28" t="s">
        <v>15475</v>
      </c>
      <c r="I5036" s="5" t="s">
        <v>423</v>
      </c>
    </row>
    <row r="5037" spans="1:9" ht="51.75" customHeight="1">
      <c r="A5037" s="5" t="s">
        <v>25539</v>
      </c>
      <c r="B5037" s="5" t="s">
        <v>37377</v>
      </c>
      <c r="C5037" s="5" t="s">
        <v>23621</v>
      </c>
      <c r="D5037" s="246">
        <v>43830</v>
      </c>
      <c r="E5037" s="5" t="s">
        <v>37378</v>
      </c>
      <c r="F5037" s="26" t="s">
        <v>23600</v>
      </c>
      <c r="G5037" s="27" t="s">
        <v>15549</v>
      </c>
      <c r="H5037" s="28" t="s">
        <v>15550</v>
      </c>
      <c r="I5037" s="5" t="s">
        <v>423</v>
      </c>
    </row>
    <row r="5038" spans="1:9" ht="51.75" customHeight="1">
      <c r="A5038" s="5" t="s">
        <v>25387</v>
      </c>
      <c r="B5038" s="5" t="s">
        <v>37379</v>
      </c>
      <c r="C5038" s="5" t="s">
        <v>23621</v>
      </c>
      <c r="D5038" s="246">
        <v>43773</v>
      </c>
      <c r="E5038" s="5" t="s">
        <v>37380</v>
      </c>
      <c r="F5038" s="26" t="s">
        <v>23600</v>
      </c>
      <c r="G5038" s="27" t="s">
        <v>15586</v>
      </c>
      <c r="H5038" s="28" t="s">
        <v>15587</v>
      </c>
      <c r="I5038" s="5" t="s">
        <v>423</v>
      </c>
    </row>
    <row r="5039" spans="1:9" ht="51.75" customHeight="1">
      <c r="A5039" s="5" t="s">
        <v>28778</v>
      </c>
      <c r="B5039" s="5" t="s">
        <v>37381</v>
      </c>
      <c r="C5039" s="5" t="s">
        <v>23621</v>
      </c>
      <c r="D5039" s="246">
        <v>43768</v>
      </c>
      <c r="E5039" s="5" t="s">
        <v>37382</v>
      </c>
      <c r="F5039" s="26" t="s">
        <v>23600</v>
      </c>
      <c r="G5039" s="27" t="s">
        <v>15616</v>
      </c>
      <c r="H5039" s="28" t="s">
        <v>15617</v>
      </c>
      <c r="I5039" s="5" t="s">
        <v>423</v>
      </c>
    </row>
    <row r="5040" spans="1:9" ht="51.75" customHeight="1">
      <c r="A5040" s="5" t="s">
        <v>27133</v>
      </c>
      <c r="B5040" s="5" t="s">
        <v>37383</v>
      </c>
      <c r="C5040" s="5" t="s">
        <v>23621</v>
      </c>
      <c r="D5040" s="246">
        <v>43640</v>
      </c>
      <c r="E5040" s="5" t="s">
        <v>37384</v>
      </c>
      <c r="F5040" s="26" t="s">
        <v>23600</v>
      </c>
      <c r="G5040" s="27" t="s">
        <v>15711</v>
      </c>
      <c r="H5040" s="28" t="s">
        <v>15712</v>
      </c>
      <c r="I5040" s="5" t="s">
        <v>423</v>
      </c>
    </row>
    <row r="5041" spans="1:9" ht="51.75" customHeight="1">
      <c r="A5041" s="5" t="s">
        <v>24343</v>
      </c>
      <c r="B5041" s="5" t="s">
        <v>37385</v>
      </c>
      <c r="C5041" s="5" t="s">
        <v>23621</v>
      </c>
      <c r="D5041" s="246">
        <v>43626</v>
      </c>
      <c r="E5041" s="5" t="s">
        <v>37386</v>
      </c>
      <c r="F5041" s="26" t="s">
        <v>23600</v>
      </c>
      <c r="G5041" s="27" t="s">
        <v>15733</v>
      </c>
      <c r="H5041" s="28" t="s">
        <v>15734</v>
      </c>
      <c r="I5041" s="5" t="s">
        <v>423</v>
      </c>
    </row>
    <row r="5042" spans="1:9" ht="51.75" customHeight="1">
      <c r="A5042" s="5" t="s">
        <v>27272</v>
      </c>
      <c r="B5042" s="5" t="s">
        <v>37387</v>
      </c>
      <c r="C5042" s="5" t="s">
        <v>23621</v>
      </c>
      <c r="D5042" s="246">
        <v>43620</v>
      </c>
      <c r="E5042" s="5" t="s">
        <v>37388</v>
      </c>
      <c r="F5042" s="26" t="s">
        <v>23600</v>
      </c>
      <c r="G5042" s="27" t="s">
        <v>15783</v>
      </c>
      <c r="H5042" s="28" t="s">
        <v>15784</v>
      </c>
      <c r="I5042" s="5" t="s">
        <v>423</v>
      </c>
    </row>
    <row r="5043" spans="1:9" ht="51.75" customHeight="1">
      <c r="A5043" s="5" t="s">
        <v>27369</v>
      </c>
      <c r="B5043" s="5" t="s">
        <v>37389</v>
      </c>
      <c r="C5043" s="5" t="s">
        <v>23621</v>
      </c>
      <c r="D5043" s="246">
        <v>43633</v>
      </c>
      <c r="E5043" s="5" t="s">
        <v>37390</v>
      </c>
      <c r="F5043" s="26" t="s">
        <v>23600</v>
      </c>
      <c r="G5043" s="27" t="s">
        <v>15812</v>
      </c>
      <c r="H5043" s="28" t="s">
        <v>15813</v>
      </c>
      <c r="I5043" s="5" t="s">
        <v>423</v>
      </c>
    </row>
    <row r="5044" spans="1:9" ht="51.75" customHeight="1">
      <c r="A5044" s="5" t="s">
        <v>30064</v>
      </c>
      <c r="B5044" s="5" t="s">
        <v>37391</v>
      </c>
      <c r="C5044" s="5" t="s">
        <v>23621</v>
      </c>
      <c r="D5044" s="246">
        <v>43906</v>
      </c>
      <c r="E5044" s="5" t="s">
        <v>37392</v>
      </c>
      <c r="F5044" s="26" t="s">
        <v>23600</v>
      </c>
      <c r="G5044" s="27" t="s">
        <v>14769</v>
      </c>
      <c r="H5044" s="28" t="s">
        <v>14770</v>
      </c>
      <c r="I5044" s="5" t="s">
        <v>423</v>
      </c>
    </row>
    <row r="5045" spans="1:9" ht="51.75" customHeight="1">
      <c r="A5045" s="5" t="s">
        <v>26646</v>
      </c>
      <c r="B5045" s="5" t="s">
        <v>37393</v>
      </c>
      <c r="C5045" s="5" t="s">
        <v>23621</v>
      </c>
      <c r="D5045" s="246">
        <v>43956</v>
      </c>
      <c r="E5045" s="5" t="s">
        <v>37394</v>
      </c>
      <c r="F5045" s="26" t="s">
        <v>23600</v>
      </c>
      <c r="G5045" s="27" t="s">
        <v>16134</v>
      </c>
      <c r="H5045" s="28" t="s">
        <v>16135</v>
      </c>
      <c r="I5045" s="5" t="s">
        <v>423</v>
      </c>
    </row>
    <row r="5046" spans="1:9" ht="51.75" customHeight="1">
      <c r="A5046" s="5" t="s">
        <v>27139</v>
      </c>
      <c r="B5046" s="5" t="s">
        <v>37395</v>
      </c>
      <c r="C5046" s="5" t="s">
        <v>23621</v>
      </c>
      <c r="D5046" s="246">
        <v>43969</v>
      </c>
      <c r="E5046" s="5" t="s">
        <v>37396</v>
      </c>
      <c r="F5046" s="26" t="s">
        <v>23600</v>
      </c>
      <c r="G5046" s="27" t="s">
        <v>16176</v>
      </c>
      <c r="H5046" s="28" t="s">
        <v>16177</v>
      </c>
      <c r="I5046" s="5" t="s">
        <v>423</v>
      </c>
    </row>
    <row r="5047" spans="1:9" ht="51.75" customHeight="1">
      <c r="A5047" s="5" t="s">
        <v>25043</v>
      </c>
      <c r="B5047" s="5" t="s">
        <v>37397</v>
      </c>
      <c r="C5047" s="5" t="s">
        <v>23621</v>
      </c>
      <c r="D5047" s="246">
        <v>43992</v>
      </c>
      <c r="E5047" s="5" t="s">
        <v>37398</v>
      </c>
      <c r="F5047" s="26" t="s">
        <v>23600</v>
      </c>
      <c r="G5047" s="27" t="s">
        <v>16258</v>
      </c>
      <c r="H5047" s="28" t="s">
        <v>16259</v>
      </c>
      <c r="I5047" s="5" t="s">
        <v>423</v>
      </c>
    </row>
    <row r="5048" spans="1:9" ht="51.75" customHeight="1">
      <c r="A5048" s="5" t="s">
        <v>28634</v>
      </c>
      <c r="B5048" s="5" t="s">
        <v>37399</v>
      </c>
      <c r="C5048" s="5" t="s">
        <v>23621</v>
      </c>
      <c r="D5048" s="246">
        <v>43976</v>
      </c>
      <c r="E5048" s="5" t="s">
        <v>37400</v>
      </c>
      <c r="F5048" s="26" t="s">
        <v>23600</v>
      </c>
      <c r="G5048" s="27" t="s">
        <v>16264</v>
      </c>
      <c r="H5048" s="28" t="s">
        <v>16265</v>
      </c>
      <c r="I5048" s="5" t="s">
        <v>423</v>
      </c>
    </row>
    <row r="5049" spans="1:9" ht="51.75" customHeight="1">
      <c r="A5049" s="5" t="s">
        <v>26238</v>
      </c>
      <c r="B5049" s="5" t="s">
        <v>37401</v>
      </c>
      <c r="C5049" s="5" t="s">
        <v>23621</v>
      </c>
      <c r="D5049" s="246">
        <v>43864</v>
      </c>
      <c r="E5049" s="5" t="s">
        <v>37402</v>
      </c>
      <c r="F5049" s="26" t="s">
        <v>23600</v>
      </c>
      <c r="G5049" s="27" t="s">
        <v>16543</v>
      </c>
      <c r="H5049" s="28" t="s">
        <v>16544</v>
      </c>
      <c r="I5049" s="5" t="s">
        <v>423</v>
      </c>
    </row>
    <row r="5050" spans="1:9" ht="51.75" customHeight="1">
      <c r="A5050" s="5" t="s">
        <v>35962</v>
      </c>
      <c r="B5050" s="5" t="s">
        <v>37403</v>
      </c>
      <c r="C5050" s="5" t="s">
        <v>23621</v>
      </c>
      <c r="D5050" s="246">
        <v>43797</v>
      </c>
      <c r="E5050" s="5" t="s">
        <v>37404</v>
      </c>
      <c r="F5050" s="26" t="s">
        <v>23600</v>
      </c>
      <c r="G5050" s="27" t="s">
        <v>16620</v>
      </c>
      <c r="H5050" s="28" t="s">
        <v>16621</v>
      </c>
      <c r="I5050" s="5" t="s">
        <v>423</v>
      </c>
    </row>
    <row r="5051" spans="1:9" ht="51.75" customHeight="1">
      <c r="A5051" s="5" t="s">
        <v>35965</v>
      </c>
      <c r="B5051" s="5" t="s">
        <v>37405</v>
      </c>
      <c r="C5051" s="5" t="s">
        <v>23625</v>
      </c>
      <c r="D5051" s="246">
        <v>43797</v>
      </c>
      <c r="E5051" s="5" t="s">
        <v>37406</v>
      </c>
      <c r="F5051" s="26" t="s">
        <v>23600</v>
      </c>
      <c r="G5051" s="27" t="s">
        <v>16620</v>
      </c>
      <c r="H5051" s="28" t="s">
        <v>16621</v>
      </c>
      <c r="I5051" s="5" t="s">
        <v>423</v>
      </c>
    </row>
    <row r="5052" spans="1:9" ht="51.75" customHeight="1">
      <c r="A5052" s="5" t="s">
        <v>26652</v>
      </c>
      <c r="B5052" s="5" t="s">
        <v>37407</v>
      </c>
      <c r="C5052" s="5" t="s">
        <v>23621</v>
      </c>
      <c r="D5052" s="246">
        <v>43964</v>
      </c>
      <c r="E5052" s="5" t="s">
        <v>37408</v>
      </c>
      <c r="F5052" s="26" t="s">
        <v>23600</v>
      </c>
      <c r="G5052" s="27" t="s">
        <v>16642</v>
      </c>
      <c r="H5052" s="28" t="s">
        <v>16643</v>
      </c>
      <c r="I5052" s="5" t="s">
        <v>423</v>
      </c>
    </row>
    <row r="5053" spans="1:9" ht="51.75" customHeight="1">
      <c r="A5053" s="5" t="s">
        <v>25161</v>
      </c>
      <c r="B5053" s="5" t="s">
        <v>37409</v>
      </c>
      <c r="C5053" s="5" t="s">
        <v>23625</v>
      </c>
      <c r="D5053" s="246">
        <v>43964</v>
      </c>
      <c r="E5053" s="5" t="s">
        <v>37410</v>
      </c>
      <c r="F5053" s="26" t="s">
        <v>23600</v>
      </c>
      <c r="G5053" s="27" t="s">
        <v>16642</v>
      </c>
      <c r="H5053" s="28" t="s">
        <v>16643</v>
      </c>
      <c r="I5053" s="5" t="s">
        <v>423</v>
      </c>
    </row>
    <row r="5054" spans="1:9" ht="51.75" customHeight="1">
      <c r="A5054" s="5" t="s">
        <v>37411</v>
      </c>
      <c r="B5054" s="5" t="s">
        <v>37412</v>
      </c>
      <c r="C5054" s="5" t="s">
        <v>23621</v>
      </c>
      <c r="D5054" s="246">
        <v>44068</v>
      </c>
      <c r="E5054" s="5" t="s">
        <v>37413</v>
      </c>
      <c r="F5054" s="26" t="s">
        <v>23600</v>
      </c>
      <c r="G5054" s="27" t="s">
        <v>16671</v>
      </c>
      <c r="H5054" s="28" t="s">
        <v>16672</v>
      </c>
      <c r="I5054" s="5" t="s">
        <v>423</v>
      </c>
    </row>
    <row r="5055" spans="1:9" ht="51.75" customHeight="1">
      <c r="A5055" s="5" t="s">
        <v>37414</v>
      </c>
      <c r="B5055" s="5" t="s">
        <v>37415</v>
      </c>
      <c r="C5055" s="5" t="s">
        <v>23625</v>
      </c>
      <c r="D5055" s="246">
        <v>44068</v>
      </c>
      <c r="E5055" s="5" t="s">
        <v>37416</v>
      </c>
      <c r="F5055" s="26" t="s">
        <v>23600</v>
      </c>
      <c r="G5055" s="27" t="s">
        <v>16671</v>
      </c>
      <c r="H5055" s="28" t="s">
        <v>16672</v>
      </c>
      <c r="I5055" s="5" t="s">
        <v>423</v>
      </c>
    </row>
    <row r="5056" spans="1:9" ht="51.75" customHeight="1">
      <c r="A5056" s="5" t="s">
        <v>27646</v>
      </c>
      <c r="B5056" s="5" t="s">
        <v>37417</v>
      </c>
      <c r="C5056" s="5" t="s">
        <v>23621</v>
      </c>
      <c r="D5056" s="246">
        <v>44026</v>
      </c>
      <c r="E5056" s="5" t="s">
        <v>37418</v>
      </c>
      <c r="F5056" s="26" t="s">
        <v>23600</v>
      </c>
      <c r="G5056" s="27" t="s">
        <v>16707</v>
      </c>
      <c r="H5056" s="28" t="s">
        <v>16708</v>
      </c>
      <c r="I5056" s="5" t="s">
        <v>423</v>
      </c>
    </row>
    <row r="5057" spans="1:9" ht="51.75" customHeight="1">
      <c r="A5057" s="5" t="s">
        <v>25310</v>
      </c>
      <c r="B5057" s="5" t="s">
        <v>37419</v>
      </c>
      <c r="C5057" s="5" t="s">
        <v>23621</v>
      </c>
      <c r="D5057" s="246">
        <v>43888</v>
      </c>
      <c r="E5057" s="5" t="s">
        <v>37420</v>
      </c>
      <c r="F5057" s="26" t="s">
        <v>23600</v>
      </c>
      <c r="G5057" s="27" t="s">
        <v>16713</v>
      </c>
      <c r="H5057" s="28" t="s">
        <v>16714</v>
      </c>
      <c r="I5057" s="5" t="s">
        <v>423</v>
      </c>
    </row>
    <row r="5058" spans="1:9" ht="51.75" customHeight="1">
      <c r="A5058" s="5" t="s">
        <v>26465</v>
      </c>
      <c r="B5058" s="5" t="s">
        <v>37421</v>
      </c>
      <c r="C5058" s="5" t="s">
        <v>23621</v>
      </c>
      <c r="D5058" s="246">
        <v>43969</v>
      </c>
      <c r="E5058" s="5" t="s">
        <v>37422</v>
      </c>
      <c r="F5058" s="26" t="s">
        <v>23600</v>
      </c>
      <c r="G5058" s="27" t="s">
        <v>16829</v>
      </c>
      <c r="H5058" s="28" t="s">
        <v>16830</v>
      </c>
      <c r="I5058" s="5" t="s">
        <v>423</v>
      </c>
    </row>
    <row r="5059" spans="1:9" ht="51.75" customHeight="1">
      <c r="A5059" s="5" t="s">
        <v>37423</v>
      </c>
      <c r="B5059" s="5" t="s">
        <v>37424</v>
      </c>
      <c r="C5059" s="5" t="s">
        <v>23621</v>
      </c>
      <c r="D5059" s="246">
        <v>44134</v>
      </c>
      <c r="E5059" s="5" t="s">
        <v>37425</v>
      </c>
      <c r="F5059" s="26" t="s">
        <v>23600</v>
      </c>
      <c r="G5059" s="27" t="s">
        <v>16835</v>
      </c>
      <c r="H5059" s="28" t="s">
        <v>37426</v>
      </c>
      <c r="I5059" s="5" t="s">
        <v>423</v>
      </c>
    </row>
    <row r="5060" spans="1:9" ht="51.75" customHeight="1">
      <c r="A5060" s="5" t="s">
        <v>27278</v>
      </c>
      <c r="B5060" s="5" t="s">
        <v>37427</v>
      </c>
      <c r="C5060" s="5" t="s">
        <v>23621</v>
      </c>
      <c r="D5060" s="246">
        <v>43938</v>
      </c>
      <c r="E5060" s="5" t="s">
        <v>37428</v>
      </c>
      <c r="F5060" s="26" t="s">
        <v>23600</v>
      </c>
      <c r="G5060" s="27" t="s">
        <v>16855</v>
      </c>
      <c r="H5060" s="28" t="s">
        <v>16856</v>
      </c>
      <c r="I5060" s="5" t="s">
        <v>423</v>
      </c>
    </row>
    <row r="5061" spans="1:9" ht="51.75" customHeight="1">
      <c r="A5061" s="5" t="s">
        <v>28637</v>
      </c>
      <c r="B5061" s="5" t="s">
        <v>37429</v>
      </c>
      <c r="C5061" s="5" t="s">
        <v>23621</v>
      </c>
      <c r="D5061" s="246">
        <v>43977</v>
      </c>
      <c r="E5061" s="5" t="s">
        <v>37430</v>
      </c>
      <c r="F5061" s="26" t="s">
        <v>23600</v>
      </c>
      <c r="G5061" s="27" t="s">
        <v>16908</v>
      </c>
      <c r="H5061" s="28" t="s">
        <v>16909</v>
      </c>
      <c r="I5061" s="5" t="s">
        <v>423</v>
      </c>
    </row>
    <row r="5062" spans="1:9" ht="51.75" customHeight="1">
      <c r="A5062" s="5" t="s">
        <v>23832</v>
      </c>
      <c r="B5062" s="5" t="s">
        <v>37431</v>
      </c>
      <c r="C5062" s="5" t="s">
        <v>23625</v>
      </c>
      <c r="D5062" s="246">
        <v>43977</v>
      </c>
      <c r="E5062" s="5" t="s">
        <v>37432</v>
      </c>
      <c r="F5062" s="26" t="s">
        <v>23600</v>
      </c>
      <c r="G5062" s="27" t="s">
        <v>16908</v>
      </c>
      <c r="H5062" s="28" t="s">
        <v>16909</v>
      </c>
      <c r="I5062" s="5" t="s">
        <v>423</v>
      </c>
    </row>
    <row r="5063" spans="1:9" ht="51.75" customHeight="1">
      <c r="A5063" s="5" t="s">
        <v>25141</v>
      </c>
      <c r="B5063" s="5" t="s">
        <v>37433</v>
      </c>
      <c r="C5063" s="5" t="s">
        <v>23621</v>
      </c>
      <c r="D5063" s="246">
        <v>43878</v>
      </c>
      <c r="E5063" s="5" t="s">
        <v>37434</v>
      </c>
      <c r="F5063" s="26" t="s">
        <v>23600</v>
      </c>
      <c r="G5063" s="27" t="s">
        <v>16945</v>
      </c>
      <c r="H5063" s="28" t="s">
        <v>16946</v>
      </c>
      <c r="I5063" s="5" t="s">
        <v>423</v>
      </c>
    </row>
    <row r="5064" spans="1:9" ht="51.75" customHeight="1">
      <c r="A5064" s="5" t="s">
        <v>27180</v>
      </c>
      <c r="B5064" s="5" t="s">
        <v>37435</v>
      </c>
      <c r="C5064" s="5" t="s">
        <v>23621</v>
      </c>
      <c r="D5064" s="246">
        <v>43984</v>
      </c>
      <c r="E5064" s="5" t="s">
        <v>37436</v>
      </c>
      <c r="F5064" s="26" t="s">
        <v>23600</v>
      </c>
      <c r="G5064" s="27" t="s">
        <v>17020</v>
      </c>
      <c r="H5064" s="28" t="s">
        <v>17021</v>
      </c>
      <c r="I5064" s="5" t="s">
        <v>423</v>
      </c>
    </row>
    <row r="5065" spans="1:9" ht="51.75" customHeight="1">
      <c r="A5065" s="5" t="s">
        <v>37437</v>
      </c>
      <c r="B5065" s="5" t="s">
        <v>37438</v>
      </c>
      <c r="C5065" s="5" t="s">
        <v>23621</v>
      </c>
      <c r="D5065" s="246">
        <v>44139</v>
      </c>
      <c r="E5065" s="5" t="s">
        <v>37439</v>
      </c>
      <c r="F5065" s="26" t="s">
        <v>23600</v>
      </c>
      <c r="G5065" s="27" t="s">
        <v>17176</v>
      </c>
      <c r="H5065" s="28" t="s">
        <v>17177</v>
      </c>
      <c r="I5065" s="5" t="s">
        <v>423</v>
      </c>
    </row>
    <row r="5066" spans="1:9" ht="51.75" customHeight="1">
      <c r="A5066" s="5" t="s">
        <v>27171</v>
      </c>
      <c r="B5066" s="5" t="s">
        <v>37440</v>
      </c>
      <c r="C5066" s="5" t="s">
        <v>23621</v>
      </c>
      <c r="D5066" s="246">
        <v>43984</v>
      </c>
      <c r="E5066" s="5" t="s">
        <v>37441</v>
      </c>
      <c r="F5066" s="26" t="s">
        <v>23600</v>
      </c>
      <c r="G5066" s="27" t="s">
        <v>17084</v>
      </c>
      <c r="H5066" s="28" t="s">
        <v>17085</v>
      </c>
      <c r="I5066" s="5" t="s">
        <v>423</v>
      </c>
    </row>
    <row r="5067" spans="1:9" ht="51.75" customHeight="1">
      <c r="A5067" s="5" t="s">
        <v>37273</v>
      </c>
      <c r="B5067" s="5" t="s">
        <v>37442</v>
      </c>
      <c r="C5067" s="5" t="s">
        <v>23621</v>
      </c>
      <c r="D5067" s="246">
        <v>44053</v>
      </c>
      <c r="E5067" s="5" t="s">
        <v>37443</v>
      </c>
      <c r="F5067" s="26" t="s">
        <v>23600</v>
      </c>
      <c r="G5067" s="27" t="s">
        <v>16822</v>
      </c>
      <c r="H5067" s="28" t="s">
        <v>16823</v>
      </c>
      <c r="I5067" s="5" t="s">
        <v>423</v>
      </c>
    </row>
    <row r="5068" spans="1:9" ht="51.75" customHeight="1">
      <c r="A5068" s="5" t="s">
        <v>27634</v>
      </c>
      <c r="B5068" s="5" t="s">
        <v>37444</v>
      </c>
      <c r="C5068" s="5" t="s">
        <v>23621</v>
      </c>
      <c r="D5068" s="246">
        <v>44025</v>
      </c>
      <c r="E5068" s="5" t="s">
        <v>37445</v>
      </c>
      <c r="F5068" s="26" t="s">
        <v>23600</v>
      </c>
      <c r="G5068" s="27" t="s">
        <v>17265</v>
      </c>
      <c r="H5068" s="28" t="s">
        <v>17266</v>
      </c>
      <c r="I5068" s="5" t="s">
        <v>423</v>
      </c>
    </row>
    <row r="5069" spans="1:9" ht="51.75" customHeight="1">
      <c r="A5069" s="5" t="s">
        <v>35899</v>
      </c>
      <c r="B5069" s="5" t="s">
        <v>37446</v>
      </c>
      <c r="C5069" s="5" t="s">
        <v>23621</v>
      </c>
      <c r="D5069" s="246">
        <v>44085</v>
      </c>
      <c r="E5069" s="5" t="s">
        <v>37447</v>
      </c>
      <c r="F5069" s="26" t="s">
        <v>23600</v>
      </c>
      <c r="G5069" s="27" t="s">
        <v>17454</v>
      </c>
      <c r="H5069" s="28" t="s">
        <v>17455</v>
      </c>
      <c r="I5069" s="5" t="s">
        <v>423</v>
      </c>
    </row>
    <row r="5070" spans="1:9" ht="51.75" customHeight="1">
      <c r="A5070" s="5" t="s">
        <v>37448</v>
      </c>
      <c r="B5070" s="5" t="s">
        <v>37449</v>
      </c>
      <c r="C5070" s="5" t="s">
        <v>23621</v>
      </c>
      <c r="D5070" s="246">
        <v>44113</v>
      </c>
      <c r="E5070" s="5" t="s">
        <v>37450</v>
      </c>
      <c r="F5070" s="26" t="s">
        <v>23600</v>
      </c>
      <c r="G5070" s="27" t="s">
        <v>17700</v>
      </c>
      <c r="H5070" s="28" t="s">
        <v>17701</v>
      </c>
      <c r="I5070" s="5" t="s">
        <v>423</v>
      </c>
    </row>
    <row r="5071" spans="1:9" ht="51.75" customHeight="1">
      <c r="A5071" s="5" t="s">
        <v>37451</v>
      </c>
      <c r="B5071" s="5" t="s">
        <v>37452</v>
      </c>
      <c r="C5071" s="5" t="s">
        <v>23625</v>
      </c>
      <c r="D5071" s="246">
        <v>44113</v>
      </c>
      <c r="E5071" s="5" t="s">
        <v>37453</v>
      </c>
      <c r="F5071" s="26" t="s">
        <v>23600</v>
      </c>
      <c r="G5071" s="27" t="s">
        <v>17700</v>
      </c>
      <c r="H5071" s="28" t="s">
        <v>17701</v>
      </c>
      <c r="I5071" s="5" t="s">
        <v>423</v>
      </c>
    </row>
    <row r="5072" spans="1:9" ht="51.75" customHeight="1">
      <c r="A5072" s="5" t="s">
        <v>37454</v>
      </c>
      <c r="B5072" s="5" t="s">
        <v>37455</v>
      </c>
      <c r="C5072" s="5" t="s">
        <v>23621</v>
      </c>
      <c r="D5072" s="246">
        <v>44134</v>
      </c>
      <c r="E5072" s="5" t="s">
        <v>37456</v>
      </c>
      <c r="F5072" s="26" t="s">
        <v>23600</v>
      </c>
      <c r="G5072" s="27" t="s">
        <v>17780</v>
      </c>
      <c r="H5072" s="28" t="s">
        <v>37457</v>
      </c>
      <c r="I5072" s="5" t="s">
        <v>423</v>
      </c>
    </row>
    <row r="5073" spans="1:9" ht="51.75" customHeight="1">
      <c r="A5073" s="5"/>
      <c r="B5073" s="5" t="s">
        <v>37458</v>
      </c>
      <c r="C5073" s="5" t="s">
        <v>23621</v>
      </c>
      <c r="D5073" s="246">
        <v>44235</v>
      </c>
      <c r="E5073" s="5" t="s">
        <v>37459</v>
      </c>
      <c r="F5073" s="26" t="s">
        <v>23600</v>
      </c>
      <c r="G5073" s="34" t="s">
        <v>17460</v>
      </c>
      <c r="H5073" s="29" t="s">
        <v>17461</v>
      </c>
      <c r="I5073" s="5" t="s">
        <v>423</v>
      </c>
    </row>
    <row r="5074" spans="1:9" ht="51.75" customHeight="1">
      <c r="A5074" s="5"/>
      <c r="B5074" s="5" t="s">
        <v>37460</v>
      </c>
      <c r="C5074" s="5" t="s">
        <v>23625</v>
      </c>
      <c r="D5074" s="246">
        <v>44235</v>
      </c>
      <c r="E5074" s="5" t="s">
        <v>37461</v>
      </c>
      <c r="F5074" s="26" t="s">
        <v>23600</v>
      </c>
      <c r="G5074" s="34" t="s">
        <v>17460</v>
      </c>
      <c r="H5074" s="29" t="s">
        <v>17461</v>
      </c>
      <c r="I5074" s="5" t="s">
        <v>423</v>
      </c>
    </row>
    <row r="5075" spans="1:9" ht="51.75" customHeight="1">
      <c r="A5075" s="5"/>
      <c r="B5075" s="5" t="s">
        <v>37462</v>
      </c>
      <c r="C5075" s="5" t="s">
        <v>25972</v>
      </c>
      <c r="D5075" s="246">
        <v>44235</v>
      </c>
      <c r="E5075" s="5" t="s">
        <v>37463</v>
      </c>
      <c r="F5075" s="26" t="s">
        <v>23600</v>
      </c>
      <c r="G5075" s="27" t="s">
        <v>17460</v>
      </c>
      <c r="H5075" s="29" t="s">
        <v>17461</v>
      </c>
      <c r="I5075" s="5" t="s">
        <v>423</v>
      </c>
    </row>
    <row r="5076" spans="1:9" ht="51.75" customHeight="1">
      <c r="A5076" s="5"/>
      <c r="B5076" s="5" t="s">
        <v>37464</v>
      </c>
      <c r="C5076" s="5" t="s">
        <v>23621</v>
      </c>
      <c r="D5076" s="246">
        <v>44235</v>
      </c>
      <c r="E5076" s="5" t="s">
        <v>37465</v>
      </c>
      <c r="F5076" s="26" t="s">
        <v>23600</v>
      </c>
      <c r="G5076" s="27" t="s">
        <v>16684</v>
      </c>
      <c r="H5076" s="28" t="s">
        <v>16685</v>
      </c>
      <c r="I5076" s="5" t="s">
        <v>423</v>
      </c>
    </row>
    <row r="5077" spans="1:9" ht="51.75" customHeight="1">
      <c r="A5077" s="5"/>
      <c r="B5077" s="5" t="s">
        <v>37466</v>
      </c>
      <c r="C5077" s="5" t="s">
        <v>23625</v>
      </c>
      <c r="D5077" s="246">
        <v>44235</v>
      </c>
      <c r="E5077" s="5" t="s">
        <v>37467</v>
      </c>
      <c r="F5077" s="26" t="s">
        <v>23600</v>
      </c>
      <c r="G5077" s="27" t="s">
        <v>16684</v>
      </c>
      <c r="H5077" s="28" t="s">
        <v>16685</v>
      </c>
      <c r="I5077" s="5" t="s">
        <v>423</v>
      </c>
    </row>
    <row r="5078" spans="1:9" ht="51.75" customHeight="1">
      <c r="A5078" s="5"/>
      <c r="B5078" s="5" t="s">
        <v>37468</v>
      </c>
      <c r="C5078" s="5" t="s">
        <v>23621</v>
      </c>
      <c r="D5078" s="246">
        <v>44242</v>
      </c>
      <c r="E5078" s="5" t="s">
        <v>37469</v>
      </c>
      <c r="F5078" s="26" t="s">
        <v>23600</v>
      </c>
      <c r="G5078" s="27" t="s">
        <v>15984</v>
      </c>
      <c r="H5078" s="28" t="s">
        <v>15985</v>
      </c>
      <c r="I5078" s="5" t="s">
        <v>423</v>
      </c>
    </row>
    <row r="5079" spans="1:9" ht="51.75" customHeight="1">
      <c r="A5079" s="5"/>
      <c r="B5079" s="5" t="s">
        <v>37470</v>
      </c>
      <c r="C5079" s="5" t="s">
        <v>23621</v>
      </c>
      <c r="D5079" s="246">
        <v>44344</v>
      </c>
      <c r="E5079" s="30" t="s">
        <v>37471</v>
      </c>
      <c r="F5079" s="26" t="s">
        <v>23600</v>
      </c>
      <c r="G5079" s="27" t="s">
        <v>17755</v>
      </c>
      <c r="H5079" s="29" t="s">
        <v>17756</v>
      </c>
      <c r="I5079" s="30" t="s">
        <v>423</v>
      </c>
    </row>
    <row r="5080" spans="1:9" ht="51.75" customHeight="1">
      <c r="A5080" s="5"/>
      <c r="B5080" s="5" t="s">
        <v>37472</v>
      </c>
      <c r="C5080" s="5" t="s">
        <v>23621</v>
      </c>
      <c r="D5080" s="246">
        <v>44204</v>
      </c>
      <c r="E5080" s="5" t="s">
        <v>37473</v>
      </c>
      <c r="F5080" s="26" t="s">
        <v>23600</v>
      </c>
      <c r="G5080" s="27" t="s">
        <v>17109</v>
      </c>
      <c r="H5080" s="29" t="s">
        <v>17110</v>
      </c>
      <c r="I5080" s="30" t="s">
        <v>423</v>
      </c>
    </row>
    <row r="5081" spans="1:9" ht="51.75" customHeight="1">
      <c r="A5081" s="5"/>
      <c r="B5081" s="5" t="s">
        <v>37474</v>
      </c>
      <c r="C5081" s="5" t="s">
        <v>23625</v>
      </c>
      <c r="D5081" s="246">
        <v>44216</v>
      </c>
      <c r="E5081" s="5" t="s">
        <v>37475</v>
      </c>
      <c r="F5081" s="26" t="s">
        <v>23600</v>
      </c>
      <c r="G5081" s="27" t="s">
        <v>17939</v>
      </c>
      <c r="H5081" s="29" t="s">
        <v>17940</v>
      </c>
      <c r="I5081" s="30" t="s">
        <v>423</v>
      </c>
    </row>
    <row r="5082" spans="1:9" ht="51.75" customHeight="1">
      <c r="A5082" s="5"/>
      <c r="B5082" s="5" t="str">
        <f>CONCATENATE(G5082,"/",COUNTIF($G$2:G5082,G5082))</f>
        <v>CZ-6308/1</v>
      </c>
      <c r="C5082" s="5" t="s">
        <v>23621</v>
      </c>
      <c r="D5082" s="246">
        <v>44392</v>
      </c>
      <c r="E5082" s="5" t="s">
        <v>37476</v>
      </c>
      <c r="F5082" s="26" t="s">
        <v>23600</v>
      </c>
      <c r="G5082" s="27" t="s">
        <v>18016</v>
      </c>
      <c r="H5082" s="29" t="s">
        <v>18017</v>
      </c>
      <c r="I5082" s="30" t="s">
        <v>423</v>
      </c>
    </row>
    <row r="5083" spans="1:9" ht="51.75" customHeight="1">
      <c r="A5083" s="5"/>
      <c r="B5083" s="5" t="str">
        <f>CONCATENATE(G5083,"/",COUNTIF($G$2:G5083,G5083))</f>
        <v>CZ-6344/1</v>
      </c>
      <c r="C5083" s="5" t="s">
        <v>23621</v>
      </c>
      <c r="D5083" s="246">
        <v>44407</v>
      </c>
      <c r="E5083" s="5" t="s">
        <v>37477</v>
      </c>
      <c r="F5083" s="26" t="s">
        <v>23600</v>
      </c>
      <c r="G5083" s="27" t="s">
        <v>18218</v>
      </c>
      <c r="H5083" s="29" t="s">
        <v>18219</v>
      </c>
      <c r="I5083" s="30" t="s">
        <v>423</v>
      </c>
    </row>
    <row r="5084" spans="1:9" ht="51.75" customHeight="1">
      <c r="A5084" s="5"/>
      <c r="B5084" s="5" t="str">
        <f>CONCATENATE(G5084,"/",COUNTIF($G$2:G5084,G5084))</f>
        <v>CZ-5953/1</v>
      </c>
      <c r="C5084" s="5" t="s">
        <v>23621</v>
      </c>
      <c r="D5084" s="246">
        <v>44412</v>
      </c>
      <c r="E5084" s="5" t="s">
        <v>37478</v>
      </c>
      <c r="F5084" s="26" t="s">
        <v>23600</v>
      </c>
      <c r="G5084" s="27" t="s">
        <v>16276</v>
      </c>
      <c r="H5084" s="29" t="s">
        <v>16277</v>
      </c>
      <c r="I5084" s="30" t="s">
        <v>423</v>
      </c>
    </row>
    <row r="5085" spans="1:9" ht="51.75" customHeight="1">
      <c r="A5085" s="5"/>
      <c r="B5085" s="5" t="s">
        <v>37479</v>
      </c>
      <c r="C5085" s="5" t="s">
        <v>23621</v>
      </c>
      <c r="D5085" s="246">
        <v>44246</v>
      </c>
      <c r="E5085" s="5" t="s">
        <v>37480</v>
      </c>
      <c r="F5085" s="26" t="s">
        <v>23600</v>
      </c>
      <c r="G5085" s="27" t="s">
        <v>17105</v>
      </c>
      <c r="H5085" s="29" t="s">
        <v>17106</v>
      </c>
      <c r="I5085" s="5" t="s">
        <v>37481</v>
      </c>
    </row>
    <row r="5086" spans="1:9" ht="51.75" customHeight="1">
      <c r="A5086" s="5"/>
      <c r="B5086" s="5" t="s">
        <v>37482</v>
      </c>
      <c r="C5086" s="5" t="s">
        <v>23621</v>
      </c>
      <c r="D5086" s="246">
        <v>44249</v>
      </c>
      <c r="E5086" s="5" t="s">
        <v>37483</v>
      </c>
      <c r="F5086" s="26" t="s">
        <v>23600</v>
      </c>
      <c r="G5086" s="27" t="s">
        <v>17928</v>
      </c>
      <c r="H5086" s="29" t="s">
        <v>17929</v>
      </c>
      <c r="I5086" s="5" t="s">
        <v>37481</v>
      </c>
    </row>
    <row r="5087" spans="1:9" ht="51.75" customHeight="1">
      <c r="A5087" s="5"/>
      <c r="B5087" s="5" t="s">
        <v>37484</v>
      </c>
      <c r="C5087" s="5" t="s">
        <v>23621</v>
      </c>
      <c r="D5087" s="246">
        <v>44260</v>
      </c>
      <c r="E5087" s="5" t="s">
        <v>37485</v>
      </c>
      <c r="F5087" s="26" t="s">
        <v>23600</v>
      </c>
      <c r="G5087" s="34" t="s">
        <v>17851</v>
      </c>
      <c r="H5087" s="29" t="s">
        <v>17852</v>
      </c>
      <c r="I5087" s="5" t="s">
        <v>37481</v>
      </c>
    </row>
    <row r="5088" spans="1:9" ht="51.75" customHeight="1">
      <c r="A5088" s="5"/>
      <c r="B5088" s="5" t="s">
        <v>37486</v>
      </c>
      <c r="C5088" s="5" t="s">
        <v>23621</v>
      </c>
      <c r="D5088" s="246">
        <v>44270</v>
      </c>
      <c r="E5088" s="5" t="s">
        <v>37487</v>
      </c>
      <c r="F5088" s="26" t="s">
        <v>23600</v>
      </c>
      <c r="G5088" s="27" t="s">
        <v>17590</v>
      </c>
      <c r="H5088" s="29" t="s">
        <v>17591</v>
      </c>
      <c r="I5088" s="5" t="s">
        <v>37481</v>
      </c>
    </row>
    <row r="5089" spans="1:9" ht="51.75" customHeight="1">
      <c r="A5089" s="5"/>
      <c r="B5089" s="5" t="s">
        <v>37488</v>
      </c>
      <c r="C5089" s="5" t="s">
        <v>23625</v>
      </c>
      <c r="D5089" s="246">
        <v>44270</v>
      </c>
      <c r="E5089" s="5" t="s">
        <v>37489</v>
      </c>
      <c r="F5089" s="26" t="s">
        <v>23600</v>
      </c>
      <c r="G5089" s="27" t="s">
        <v>17590</v>
      </c>
      <c r="H5089" s="29" t="s">
        <v>17591</v>
      </c>
      <c r="I5089" s="5" t="s">
        <v>37481</v>
      </c>
    </row>
    <row r="5090" spans="1:9" ht="51.75" customHeight="1">
      <c r="A5090" s="5"/>
      <c r="B5090" s="5" t="s">
        <v>37490</v>
      </c>
      <c r="C5090" s="5" t="s">
        <v>23621</v>
      </c>
      <c r="D5090" s="246">
        <v>44307</v>
      </c>
      <c r="E5090" s="5" t="s">
        <v>37491</v>
      </c>
      <c r="F5090" s="26" t="s">
        <v>23600</v>
      </c>
      <c r="G5090" s="27" t="s">
        <v>17198</v>
      </c>
      <c r="H5090" s="29" t="s">
        <v>17199</v>
      </c>
      <c r="I5090" s="5" t="s">
        <v>37481</v>
      </c>
    </row>
    <row r="5091" spans="1:9" ht="51.75" customHeight="1">
      <c r="A5091" s="5"/>
      <c r="B5091" s="5" t="s">
        <v>37492</v>
      </c>
      <c r="C5091" s="5" t="s">
        <v>23621</v>
      </c>
      <c r="D5091" s="246">
        <v>44309</v>
      </c>
      <c r="E5091" s="5" t="s">
        <v>37493</v>
      </c>
      <c r="F5091" s="26" t="s">
        <v>23600</v>
      </c>
      <c r="G5091" s="27" t="s">
        <v>17996</v>
      </c>
      <c r="H5091" s="29" t="s">
        <v>17997</v>
      </c>
      <c r="I5091" s="5" t="s">
        <v>37481</v>
      </c>
    </row>
    <row r="5092" spans="1:9" ht="51.75" customHeight="1">
      <c r="A5092" s="5">
        <v>1</v>
      </c>
      <c r="B5092" s="5" t="s">
        <v>37494</v>
      </c>
      <c r="C5092" s="5" t="s">
        <v>37495</v>
      </c>
      <c r="D5092" s="246">
        <v>40821</v>
      </c>
      <c r="E5092" s="5" t="s">
        <v>37496</v>
      </c>
      <c r="F5092" s="26"/>
      <c r="G5092" s="27" t="s">
        <v>5280</v>
      </c>
      <c r="H5092" s="28" t="s">
        <v>5281</v>
      </c>
      <c r="I5092" s="5" t="s">
        <v>1938</v>
      </c>
    </row>
    <row r="5093" spans="1:9" ht="51.75" customHeight="1">
      <c r="A5093" s="5">
        <v>2</v>
      </c>
      <c r="B5093" s="5" t="s">
        <v>37497</v>
      </c>
      <c r="C5093" s="5" t="s">
        <v>37498</v>
      </c>
      <c r="D5093" s="246">
        <v>40821</v>
      </c>
      <c r="E5093" s="5" t="s">
        <v>37499</v>
      </c>
      <c r="F5093" s="26"/>
      <c r="G5093" s="27" t="s">
        <v>5280</v>
      </c>
      <c r="H5093" s="28" t="s">
        <v>5281</v>
      </c>
      <c r="I5093" s="5" t="s">
        <v>1938</v>
      </c>
    </row>
    <row r="5094" spans="1:9" ht="51.75" customHeight="1">
      <c r="A5094" s="5">
        <v>1</v>
      </c>
      <c r="B5094" s="5" t="s">
        <v>37500</v>
      </c>
      <c r="C5094" s="5" t="s">
        <v>37501</v>
      </c>
      <c r="D5094" s="246">
        <v>40746</v>
      </c>
      <c r="E5094" s="5" t="s">
        <v>37502</v>
      </c>
      <c r="F5094" s="26"/>
      <c r="G5094" s="27" t="s">
        <v>5014</v>
      </c>
      <c r="H5094" s="28" t="s">
        <v>5015</v>
      </c>
      <c r="I5094" s="5" t="s">
        <v>1938</v>
      </c>
    </row>
    <row r="5095" spans="1:9" ht="51.75" customHeight="1">
      <c r="A5095" s="5">
        <v>2</v>
      </c>
      <c r="B5095" s="5" t="s">
        <v>37503</v>
      </c>
      <c r="C5095" s="5" t="s">
        <v>37504</v>
      </c>
      <c r="D5095" s="246">
        <v>40746</v>
      </c>
      <c r="E5095" s="5" t="s">
        <v>37505</v>
      </c>
      <c r="F5095" s="26"/>
      <c r="G5095" s="27" t="s">
        <v>5014</v>
      </c>
      <c r="H5095" s="28" t="s">
        <v>5015</v>
      </c>
      <c r="I5095" s="5" t="s">
        <v>1938</v>
      </c>
    </row>
    <row r="5096" spans="1:9" ht="51.75" customHeight="1">
      <c r="A5096" s="5">
        <v>3</v>
      </c>
      <c r="B5096" s="5" t="s">
        <v>37506</v>
      </c>
      <c r="C5096" s="5" t="s">
        <v>37507</v>
      </c>
      <c r="D5096" s="246">
        <v>40746</v>
      </c>
      <c r="E5096" s="5" t="s">
        <v>37508</v>
      </c>
      <c r="F5096" s="26"/>
      <c r="G5096" s="27" t="s">
        <v>5014</v>
      </c>
      <c r="H5096" s="28" t="s">
        <v>5015</v>
      </c>
      <c r="I5096" s="5" t="s">
        <v>1938</v>
      </c>
    </row>
    <row r="5097" spans="1:9" ht="51.75" customHeight="1">
      <c r="A5097" s="5">
        <v>4</v>
      </c>
      <c r="B5097" s="5" t="s">
        <v>37509</v>
      </c>
      <c r="C5097" s="5" t="s">
        <v>37510</v>
      </c>
      <c r="D5097" s="246">
        <v>40746</v>
      </c>
      <c r="E5097" s="5" t="s">
        <v>37511</v>
      </c>
      <c r="F5097" s="26"/>
      <c r="G5097" s="27" t="s">
        <v>5014</v>
      </c>
      <c r="H5097" s="28" t="s">
        <v>5015</v>
      </c>
      <c r="I5097" s="5" t="s">
        <v>1938</v>
      </c>
    </row>
    <row r="5098" spans="1:9" ht="51.75" customHeight="1">
      <c r="A5098" s="5">
        <v>1</v>
      </c>
      <c r="B5098" s="5" t="s">
        <v>37512</v>
      </c>
      <c r="C5098" s="5" t="s">
        <v>37513</v>
      </c>
      <c r="D5098" s="246">
        <v>40725</v>
      </c>
      <c r="E5098" s="5" t="s">
        <v>37514</v>
      </c>
      <c r="F5098" s="26"/>
      <c r="G5098" s="27" t="s">
        <v>5036</v>
      </c>
      <c r="H5098" s="28" t="s">
        <v>5037</v>
      </c>
      <c r="I5098" s="5" t="s">
        <v>1938</v>
      </c>
    </row>
    <row r="5099" spans="1:9" ht="51.75" customHeight="1">
      <c r="A5099" s="5">
        <v>2</v>
      </c>
      <c r="B5099" s="5" t="s">
        <v>37515</v>
      </c>
      <c r="C5099" s="5" t="s">
        <v>37516</v>
      </c>
      <c r="D5099" s="246">
        <v>40725</v>
      </c>
      <c r="E5099" s="5" t="s">
        <v>37517</v>
      </c>
      <c r="F5099" s="26"/>
      <c r="G5099" s="27" t="s">
        <v>5036</v>
      </c>
      <c r="H5099" s="28" t="s">
        <v>5037</v>
      </c>
      <c r="I5099" s="5" t="s">
        <v>1938</v>
      </c>
    </row>
    <row r="5100" spans="1:9" ht="51.75" customHeight="1">
      <c r="A5100" s="5">
        <v>1</v>
      </c>
      <c r="B5100" s="5" t="s">
        <v>37518</v>
      </c>
      <c r="C5100" s="5" t="s">
        <v>37519</v>
      </c>
      <c r="D5100" s="246">
        <v>40680</v>
      </c>
      <c r="E5100" s="5" t="s">
        <v>37520</v>
      </c>
      <c r="F5100" s="26"/>
      <c r="G5100" s="27" t="s">
        <v>4864</v>
      </c>
      <c r="H5100" s="28" t="s">
        <v>4865</v>
      </c>
      <c r="I5100" s="5" t="s">
        <v>1938</v>
      </c>
    </row>
    <row r="5101" spans="1:9" ht="51.75" customHeight="1">
      <c r="A5101" s="5">
        <v>2</v>
      </c>
      <c r="B5101" s="5" t="s">
        <v>37521</v>
      </c>
      <c r="C5101" s="5" t="s">
        <v>37522</v>
      </c>
      <c r="D5101" s="246">
        <v>40680</v>
      </c>
      <c r="E5101" s="5" t="s">
        <v>37523</v>
      </c>
      <c r="F5101" s="26"/>
      <c r="G5101" s="27" t="s">
        <v>4864</v>
      </c>
      <c r="H5101" s="28" t="s">
        <v>4865</v>
      </c>
      <c r="I5101" s="5" t="s">
        <v>1938</v>
      </c>
    </row>
    <row r="5102" spans="1:9" ht="51.75" customHeight="1">
      <c r="A5102" s="5">
        <v>3</v>
      </c>
      <c r="B5102" s="5" t="s">
        <v>37524</v>
      </c>
      <c r="C5102" s="5" t="s">
        <v>37525</v>
      </c>
      <c r="D5102" s="246">
        <v>40680</v>
      </c>
      <c r="E5102" s="5" t="s">
        <v>37526</v>
      </c>
      <c r="F5102" s="26"/>
      <c r="G5102" s="27" t="s">
        <v>4864</v>
      </c>
      <c r="H5102" s="28" t="s">
        <v>4865</v>
      </c>
      <c r="I5102" s="5" t="s">
        <v>1938</v>
      </c>
    </row>
    <row r="5103" spans="1:9" ht="51.75" customHeight="1">
      <c r="A5103" s="5">
        <v>1</v>
      </c>
      <c r="B5103" s="5" t="s">
        <v>37527</v>
      </c>
      <c r="C5103" s="5" t="s">
        <v>37528</v>
      </c>
      <c r="D5103" s="246">
        <v>40568</v>
      </c>
      <c r="E5103" s="5" t="s">
        <v>37529</v>
      </c>
      <c r="F5103" s="26"/>
      <c r="G5103" s="27" t="s">
        <v>4489</v>
      </c>
      <c r="H5103" s="28" t="s">
        <v>4490</v>
      </c>
      <c r="I5103" s="5" t="s">
        <v>1938</v>
      </c>
    </row>
    <row r="5104" spans="1:9" ht="51.75" customHeight="1">
      <c r="A5104" s="5">
        <v>2</v>
      </c>
      <c r="B5104" s="5" t="s">
        <v>37530</v>
      </c>
      <c r="C5104" s="5" t="s">
        <v>37531</v>
      </c>
      <c r="D5104" s="246">
        <v>40568</v>
      </c>
      <c r="E5104" s="5" t="s">
        <v>37532</v>
      </c>
      <c r="F5104" s="26"/>
      <c r="G5104" s="27" t="s">
        <v>4489</v>
      </c>
      <c r="H5104" s="28" t="s">
        <v>4490</v>
      </c>
      <c r="I5104" s="5" t="s">
        <v>1938</v>
      </c>
    </row>
    <row r="5105" spans="1:9" ht="51.75" customHeight="1">
      <c r="A5105" s="5">
        <v>1</v>
      </c>
      <c r="B5105" s="5" t="s">
        <v>37533</v>
      </c>
      <c r="C5105" s="5" t="s">
        <v>37534</v>
      </c>
      <c r="D5105" s="246">
        <v>40504</v>
      </c>
      <c r="E5105" s="5" t="s">
        <v>37534</v>
      </c>
      <c r="F5105" s="26"/>
      <c r="G5105" s="27" t="s">
        <v>4296</v>
      </c>
      <c r="H5105" s="28" t="s">
        <v>4297</v>
      </c>
      <c r="I5105" s="5" t="s">
        <v>1938</v>
      </c>
    </row>
    <row r="5106" spans="1:9" ht="51.75" customHeight="1">
      <c r="A5106" s="5">
        <v>2</v>
      </c>
      <c r="B5106" s="5" t="s">
        <v>37535</v>
      </c>
      <c r="C5106" s="5" t="s">
        <v>37536</v>
      </c>
      <c r="D5106" s="246">
        <v>40504</v>
      </c>
      <c r="E5106" s="5" t="s">
        <v>37537</v>
      </c>
      <c r="F5106" s="26"/>
      <c r="G5106" s="27" t="s">
        <v>4296</v>
      </c>
      <c r="H5106" s="28" t="s">
        <v>4297</v>
      </c>
      <c r="I5106" s="5" t="s">
        <v>1938</v>
      </c>
    </row>
    <row r="5107" spans="1:9" ht="51.75" customHeight="1">
      <c r="A5107" s="5">
        <v>3</v>
      </c>
      <c r="B5107" s="5" t="s">
        <v>37538</v>
      </c>
      <c r="C5107" s="5" t="s">
        <v>37539</v>
      </c>
      <c r="D5107" s="246">
        <v>40504</v>
      </c>
      <c r="E5107" s="5" t="s">
        <v>37539</v>
      </c>
      <c r="F5107" s="26"/>
      <c r="G5107" s="27" t="s">
        <v>4296</v>
      </c>
      <c r="H5107" s="28" t="s">
        <v>4297</v>
      </c>
      <c r="I5107" s="5" t="s">
        <v>1938</v>
      </c>
    </row>
    <row r="5108" spans="1:9" ht="51.75" customHeight="1">
      <c r="A5108" s="5">
        <v>4</v>
      </c>
      <c r="B5108" s="5" t="s">
        <v>37540</v>
      </c>
      <c r="C5108" s="5" t="s">
        <v>37541</v>
      </c>
      <c r="D5108" s="246">
        <v>40504</v>
      </c>
      <c r="E5108" s="5" t="s">
        <v>37542</v>
      </c>
      <c r="F5108" s="26"/>
      <c r="G5108" s="27" t="s">
        <v>4296</v>
      </c>
      <c r="H5108" s="28" t="s">
        <v>4297</v>
      </c>
      <c r="I5108" s="5" t="s">
        <v>1938</v>
      </c>
    </row>
    <row r="5109" spans="1:9" ht="51.75" customHeight="1">
      <c r="A5109" s="5">
        <v>5</v>
      </c>
      <c r="B5109" s="5" t="s">
        <v>37543</v>
      </c>
      <c r="C5109" s="5" t="s">
        <v>37544</v>
      </c>
      <c r="D5109" s="246">
        <v>40504</v>
      </c>
      <c r="E5109" s="5" t="s">
        <v>37545</v>
      </c>
      <c r="F5109" s="26"/>
      <c r="G5109" s="27" t="s">
        <v>4296</v>
      </c>
      <c r="H5109" s="28" t="s">
        <v>4297</v>
      </c>
      <c r="I5109" s="5" t="s">
        <v>1938</v>
      </c>
    </row>
    <row r="5110" spans="1:9" ht="51.75" customHeight="1">
      <c r="A5110" s="5">
        <v>6</v>
      </c>
      <c r="B5110" s="5" t="s">
        <v>37546</v>
      </c>
      <c r="C5110" s="5" t="s">
        <v>37547</v>
      </c>
      <c r="D5110" s="246">
        <v>40504</v>
      </c>
      <c r="E5110" s="5" t="s">
        <v>37548</v>
      </c>
      <c r="F5110" s="26"/>
      <c r="G5110" s="27" t="s">
        <v>4296</v>
      </c>
      <c r="H5110" s="28" t="s">
        <v>4297</v>
      </c>
      <c r="I5110" s="5" t="s">
        <v>1938</v>
      </c>
    </row>
    <row r="5111" spans="1:9" ht="51.75" customHeight="1">
      <c r="A5111" s="5">
        <v>1</v>
      </c>
      <c r="B5111" s="5" t="s">
        <v>37549</v>
      </c>
      <c r="C5111" s="5" t="s">
        <v>37550</v>
      </c>
      <c r="D5111" s="246">
        <v>40414</v>
      </c>
      <c r="E5111" s="5" t="s">
        <v>37551</v>
      </c>
      <c r="F5111" s="26"/>
      <c r="G5111" s="27" t="s">
        <v>4080</v>
      </c>
      <c r="H5111" s="28" t="s">
        <v>4081</v>
      </c>
      <c r="I5111" s="5" t="s">
        <v>1938</v>
      </c>
    </row>
    <row r="5112" spans="1:9" ht="51.75" customHeight="1">
      <c r="A5112" s="5">
        <v>1</v>
      </c>
      <c r="B5112" s="5" t="s">
        <v>37552</v>
      </c>
      <c r="C5112" s="5" t="s">
        <v>37553</v>
      </c>
      <c r="D5112" s="246">
        <v>40413</v>
      </c>
      <c r="E5112" s="5" t="s">
        <v>37554</v>
      </c>
      <c r="F5112" s="26"/>
      <c r="G5112" s="27" t="s">
        <v>4021</v>
      </c>
      <c r="H5112" s="28" t="s">
        <v>4022</v>
      </c>
      <c r="I5112" s="5" t="s">
        <v>1938</v>
      </c>
    </row>
    <row r="5113" spans="1:9" ht="51.75" customHeight="1">
      <c r="A5113" s="5">
        <v>2</v>
      </c>
      <c r="B5113" s="5" t="s">
        <v>37555</v>
      </c>
      <c r="C5113" s="5" t="s">
        <v>37556</v>
      </c>
      <c r="D5113" s="246">
        <v>40413</v>
      </c>
      <c r="E5113" s="5" t="s">
        <v>37557</v>
      </c>
      <c r="F5113" s="26"/>
      <c r="G5113" s="27" t="s">
        <v>4021</v>
      </c>
      <c r="H5113" s="28" t="s">
        <v>4022</v>
      </c>
      <c r="I5113" s="5" t="s">
        <v>1938</v>
      </c>
    </row>
    <row r="5114" spans="1:9" ht="51.75" customHeight="1">
      <c r="A5114" s="5">
        <v>3</v>
      </c>
      <c r="B5114" s="5" t="s">
        <v>37558</v>
      </c>
      <c r="C5114" s="5" t="s">
        <v>37559</v>
      </c>
      <c r="D5114" s="246">
        <v>40413</v>
      </c>
      <c r="E5114" s="5" t="s">
        <v>37560</v>
      </c>
      <c r="F5114" s="26"/>
      <c r="G5114" s="27" t="s">
        <v>4021</v>
      </c>
      <c r="H5114" s="28" t="s">
        <v>4022</v>
      </c>
      <c r="I5114" s="5" t="s">
        <v>1938</v>
      </c>
    </row>
    <row r="5115" spans="1:9" ht="51.75" customHeight="1">
      <c r="A5115" s="5">
        <v>4</v>
      </c>
      <c r="B5115" s="5" t="s">
        <v>37561</v>
      </c>
      <c r="C5115" s="5" t="s">
        <v>37562</v>
      </c>
      <c r="D5115" s="246">
        <v>40413</v>
      </c>
      <c r="E5115" s="5" t="s">
        <v>37563</v>
      </c>
      <c r="F5115" s="26"/>
      <c r="G5115" s="27" t="s">
        <v>4021</v>
      </c>
      <c r="H5115" s="28" t="s">
        <v>4022</v>
      </c>
      <c r="I5115" s="5" t="s">
        <v>1938</v>
      </c>
    </row>
    <row r="5116" spans="1:9" ht="51.75" customHeight="1">
      <c r="A5116" s="5">
        <v>5</v>
      </c>
      <c r="B5116" s="5" t="s">
        <v>37564</v>
      </c>
      <c r="C5116" s="5" t="s">
        <v>37565</v>
      </c>
      <c r="D5116" s="246">
        <v>40413</v>
      </c>
      <c r="E5116" s="5" t="s">
        <v>37566</v>
      </c>
      <c r="F5116" s="26"/>
      <c r="G5116" s="27" t="s">
        <v>4021</v>
      </c>
      <c r="H5116" s="28" t="s">
        <v>4022</v>
      </c>
      <c r="I5116" s="5" t="s">
        <v>1938</v>
      </c>
    </row>
    <row r="5117" spans="1:9" ht="51.75" customHeight="1">
      <c r="A5117" s="5">
        <v>6</v>
      </c>
      <c r="B5117" s="5" t="s">
        <v>37567</v>
      </c>
      <c r="C5117" s="5" t="s">
        <v>37568</v>
      </c>
      <c r="D5117" s="246">
        <v>40413</v>
      </c>
      <c r="E5117" s="5" t="s">
        <v>37569</v>
      </c>
      <c r="F5117" s="26"/>
      <c r="G5117" s="27" t="s">
        <v>4021</v>
      </c>
      <c r="H5117" s="28" t="s">
        <v>4022</v>
      </c>
      <c r="I5117" s="5" t="s">
        <v>1938</v>
      </c>
    </row>
    <row r="5118" spans="1:9" ht="51.75" customHeight="1">
      <c r="A5118" s="5">
        <v>7</v>
      </c>
      <c r="B5118" s="5" t="s">
        <v>37570</v>
      </c>
      <c r="C5118" s="5" t="s">
        <v>37571</v>
      </c>
      <c r="D5118" s="246">
        <v>40413</v>
      </c>
      <c r="E5118" s="5" t="s">
        <v>37572</v>
      </c>
      <c r="F5118" s="26"/>
      <c r="G5118" s="27" t="s">
        <v>4021</v>
      </c>
      <c r="H5118" s="28" t="s">
        <v>4022</v>
      </c>
      <c r="I5118" s="5" t="s">
        <v>1938</v>
      </c>
    </row>
    <row r="5119" spans="1:9" ht="51.75" customHeight="1">
      <c r="A5119" s="5">
        <v>8</v>
      </c>
      <c r="B5119" s="5" t="s">
        <v>37573</v>
      </c>
      <c r="C5119" s="5" t="s">
        <v>37574</v>
      </c>
      <c r="D5119" s="246">
        <v>40413</v>
      </c>
      <c r="E5119" s="5" t="s">
        <v>37575</v>
      </c>
      <c r="F5119" s="26"/>
      <c r="G5119" s="27" t="s">
        <v>4021</v>
      </c>
      <c r="H5119" s="28" t="s">
        <v>4022</v>
      </c>
      <c r="I5119" s="5" t="s">
        <v>1938</v>
      </c>
    </row>
    <row r="5120" spans="1:9" ht="51.75" customHeight="1">
      <c r="A5120" s="5">
        <v>9</v>
      </c>
      <c r="B5120" s="5" t="s">
        <v>37576</v>
      </c>
      <c r="C5120" s="5" t="s">
        <v>37577</v>
      </c>
      <c r="D5120" s="246">
        <v>40413</v>
      </c>
      <c r="E5120" s="5" t="s">
        <v>37578</v>
      </c>
      <c r="F5120" s="26"/>
      <c r="G5120" s="27" t="s">
        <v>4021</v>
      </c>
      <c r="H5120" s="28" t="s">
        <v>4022</v>
      </c>
      <c r="I5120" s="5" t="s">
        <v>1938</v>
      </c>
    </row>
    <row r="5121" spans="1:9" ht="51.75" customHeight="1">
      <c r="A5121" s="5">
        <v>10</v>
      </c>
      <c r="B5121" s="5" t="s">
        <v>37579</v>
      </c>
      <c r="C5121" s="5" t="s">
        <v>37580</v>
      </c>
      <c r="D5121" s="246">
        <v>40413</v>
      </c>
      <c r="E5121" s="5" t="s">
        <v>37581</v>
      </c>
      <c r="F5121" s="26"/>
      <c r="G5121" s="27" t="s">
        <v>4021</v>
      </c>
      <c r="H5121" s="28" t="s">
        <v>4022</v>
      </c>
      <c r="I5121" s="5" t="s">
        <v>1938</v>
      </c>
    </row>
    <row r="5122" spans="1:9" ht="51.75" customHeight="1">
      <c r="A5122" s="5">
        <v>1</v>
      </c>
      <c r="B5122" s="5" t="s">
        <v>37582</v>
      </c>
      <c r="C5122" s="5" t="s">
        <v>37583</v>
      </c>
      <c r="D5122" s="246">
        <v>40353</v>
      </c>
      <c r="E5122" s="5" t="s">
        <v>37584</v>
      </c>
      <c r="F5122" s="26"/>
      <c r="G5122" s="27" t="s">
        <v>3929</v>
      </c>
      <c r="H5122" s="28" t="s">
        <v>3930</v>
      </c>
      <c r="I5122" s="5" t="s">
        <v>1938</v>
      </c>
    </row>
    <row r="5123" spans="1:9" ht="51.75" customHeight="1">
      <c r="A5123" s="5">
        <v>2</v>
      </c>
      <c r="B5123" s="5" t="s">
        <v>37585</v>
      </c>
      <c r="C5123" s="5" t="s">
        <v>37586</v>
      </c>
      <c r="D5123" s="246">
        <v>40353</v>
      </c>
      <c r="E5123" s="5" t="s">
        <v>37586</v>
      </c>
      <c r="F5123" s="26"/>
      <c r="G5123" s="27" t="s">
        <v>3929</v>
      </c>
      <c r="H5123" s="28" t="s">
        <v>3930</v>
      </c>
      <c r="I5123" s="5" t="s">
        <v>1938</v>
      </c>
    </row>
    <row r="5124" spans="1:9" ht="51.75" customHeight="1">
      <c r="A5124" s="5">
        <v>1</v>
      </c>
      <c r="B5124" s="5" t="s">
        <v>37587</v>
      </c>
      <c r="C5124" s="5" t="s">
        <v>37588</v>
      </c>
      <c r="D5124" s="246">
        <v>40248</v>
      </c>
      <c r="E5124" s="5" t="s">
        <v>37589</v>
      </c>
      <c r="F5124" s="26"/>
      <c r="G5124" s="27" t="s">
        <v>3705</v>
      </c>
      <c r="H5124" s="28" t="s">
        <v>3706</v>
      </c>
      <c r="I5124" s="5" t="s">
        <v>1938</v>
      </c>
    </row>
    <row r="5125" spans="1:9" ht="51.75" customHeight="1">
      <c r="A5125" s="5">
        <v>2</v>
      </c>
      <c r="B5125" s="5" t="s">
        <v>37590</v>
      </c>
      <c r="C5125" s="5" t="s">
        <v>37591</v>
      </c>
      <c r="D5125" s="246">
        <v>40248</v>
      </c>
      <c r="E5125" s="5" t="s">
        <v>37592</v>
      </c>
      <c r="F5125" s="26"/>
      <c r="G5125" s="27" t="s">
        <v>3705</v>
      </c>
      <c r="H5125" s="28" t="s">
        <v>3706</v>
      </c>
      <c r="I5125" s="5" t="s">
        <v>1938</v>
      </c>
    </row>
    <row r="5126" spans="1:9" ht="51.75" customHeight="1">
      <c r="A5126" s="5">
        <v>1</v>
      </c>
      <c r="B5126" s="5" t="s">
        <v>37593</v>
      </c>
      <c r="C5126" s="5" t="s">
        <v>37594</v>
      </c>
      <c r="D5126" s="246">
        <v>40148</v>
      </c>
      <c r="E5126" s="5" t="s">
        <v>37595</v>
      </c>
      <c r="F5126" s="26"/>
      <c r="G5126" s="27" t="s">
        <v>3440</v>
      </c>
      <c r="H5126" s="28" t="s">
        <v>3441</v>
      </c>
      <c r="I5126" s="5" t="s">
        <v>1938</v>
      </c>
    </row>
    <row r="5127" spans="1:9" ht="51.75" customHeight="1">
      <c r="A5127" s="5">
        <v>2</v>
      </c>
      <c r="B5127" s="5" t="s">
        <v>37596</v>
      </c>
      <c r="C5127" s="5" t="s">
        <v>37597</v>
      </c>
      <c r="D5127" s="246">
        <v>40148</v>
      </c>
      <c r="E5127" s="5" t="s">
        <v>37598</v>
      </c>
      <c r="F5127" s="26"/>
      <c r="G5127" s="27" t="s">
        <v>3440</v>
      </c>
      <c r="H5127" s="28" t="s">
        <v>3441</v>
      </c>
      <c r="I5127" s="5" t="s">
        <v>1938</v>
      </c>
    </row>
    <row r="5128" spans="1:9" ht="51.75" customHeight="1">
      <c r="A5128" s="5">
        <v>1</v>
      </c>
      <c r="B5128" s="5" t="s">
        <v>37599</v>
      </c>
      <c r="C5128" s="5" t="s">
        <v>37600</v>
      </c>
      <c r="D5128" s="246">
        <v>40023</v>
      </c>
      <c r="E5128" s="5" t="s">
        <v>37601</v>
      </c>
      <c r="F5128" s="26"/>
      <c r="G5128" s="27" t="s">
        <v>3113</v>
      </c>
      <c r="H5128" s="28" t="s">
        <v>3114</v>
      </c>
      <c r="I5128" s="5" t="s">
        <v>1938</v>
      </c>
    </row>
    <row r="5129" spans="1:9" ht="51.75" customHeight="1">
      <c r="A5129" s="5">
        <v>2</v>
      </c>
      <c r="B5129" s="5" t="s">
        <v>37602</v>
      </c>
      <c r="C5129" s="5" t="s">
        <v>37603</v>
      </c>
      <c r="D5129" s="246">
        <v>40023</v>
      </c>
      <c r="E5129" s="5" t="s">
        <v>37604</v>
      </c>
      <c r="F5129" s="26"/>
      <c r="G5129" s="27" t="s">
        <v>3113</v>
      </c>
      <c r="H5129" s="28" t="s">
        <v>3114</v>
      </c>
      <c r="I5129" s="5" t="s">
        <v>1938</v>
      </c>
    </row>
    <row r="5130" spans="1:9" ht="51.75" customHeight="1">
      <c r="A5130" s="5">
        <v>1</v>
      </c>
      <c r="B5130" s="5" t="s">
        <v>37605</v>
      </c>
      <c r="C5130" s="5" t="s">
        <v>37606</v>
      </c>
      <c r="D5130" s="246">
        <v>39948</v>
      </c>
      <c r="E5130" s="5" t="s">
        <v>37606</v>
      </c>
      <c r="F5130" s="26"/>
      <c r="G5130" s="27" t="s">
        <v>2965</v>
      </c>
      <c r="H5130" s="28" t="s">
        <v>2966</v>
      </c>
      <c r="I5130" s="5" t="s">
        <v>1938</v>
      </c>
    </row>
    <row r="5131" spans="1:9" ht="51.75" customHeight="1">
      <c r="A5131" s="5">
        <v>2</v>
      </c>
      <c r="B5131" s="5" t="s">
        <v>37607</v>
      </c>
      <c r="C5131" s="5" t="s">
        <v>37608</v>
      </c>
      <c r="D5131" s="246">
        <v>39948</v>
      </c>
      <c r="E5131" s="5" t="s">
        <v>37608</v>
      </c>
      <c r="F5131" s="26"/>
      <c r="G5131" s="27" t="s">
        <v>2965</v>
      </c>
      <c r="H5131" s="28" t="s">
        <v>2966</v>
      </c>
      <c r="I5131" s="5" t="s">
        <v>1938</v>
      </c>
    </row>
    <row r="5132" spans="1:9" ht="51.75" customHeight="1">
      <c r="A5132" s="5">
        <v>1</v>
      </c>
      <c r="B5132" s="5" t="s">
        <v>37609</v>
      </c>
      <c r="C5132" s="5" t="s">
        <v>37610</v>
      </c>
      <c r="D5132" s="246">
        <v>39919</v>
      </c>
      <c r="E5132" s="5" t="s">
        <v>37611</v>
      </c>
      <c r="F5132" s="26"/>
      <c r="G5132" s="27" t="s">
        <v>2492</v>
      </c>
      <c r="H5132" s="28" t="s">
        <v>2493</v>
      </c>
      <c r="I5132" s="5" t="s">
        <v>1938</v>
      </c>
    </row>
    <row r="5133" spans="1:9" ht="51.75" customHeight="1">
      <c r="A5133" s="5">
        <v>2</v>
      </c>
      <c r="B5133" s="5" t="s">
        <v>37612</v>
      </c>
      <c r="C5133" s="5" t="s">
        <v>37613</v>
      </c>
      <c r="D5133" s="246">
        <v>39919</v>
      </c>
      <c r="E5133" s="5" t="s">
        <v>37614</v>
      </c>
      <c r="F5133" s="26"/>
      <c r="G5133" s="27" t="s">
        <v>2492</v>
      </c>
      <c r="H5133" s="28" t="s">
        <v>2493</v>
      </c>
      <c r="I5133" s="5" t="s">
        <v>1938</v>
      </c>
    </row>
    <row r="5134" spans="1:9" ht="51.75" customHeight="1">
      <c r="A5134" s="5" t="s">
        <v>23788</v>
      </c>
      <c r="B5134" s="5" t="s">
        <v>37615</v>
      </c>
      <c r="C5134" s="5" t="s">
        <v>37616</v>
      </c>
      <c r="D5134" s="246" t="s">
        <v>68</v>
      </c>
      <c r="E5134" s="5" t="s">
        <v>37617</v>
      </c>
      <c r="F5134" s="26" t="s">
        <v>23600</v>
      </c>
      <c r="G5134" s="27" t="s">
        <v>7268</v>
      </c>
      <c r="H5134" s="28" t="s">
        <v>7269</v>
      </c>
      <c r="I5134" s="5" t="s">
        <v>1938</v>
      </c>
    </row>
    <row r="5135" spans="1:9" ht="51.75" customHeight="1">
      <c r="A5135" s="5" t="s">
        <v>23806</v>
      </c>
      <c r="B5135" s="5" t="s">
        <v>37618</v>
      </c>
      <c r="C5135" s="5" t="s">
        <v>37619</v>
      </c>
      <c r="D5135" s="246" t="s">
        <v>68</v>
      </c>
      <c r="E5135" s="5" t="s">
        <v>37620</v>
      </c>
      <c r="F5135" s="26" t="s">
        <v>23600</v>
      </c>
      <c r="G5135" s="27" t="s">
        <v>7268</v>
      </c>
      <c r="H5135" s="28" t="s">
        <v>7269</v>
      </c>
      <c r="I5135" s="5" t="s">
        <v>1938</v>
      </c>
    </row>
    <row r="5136" spans="1:9" ht="51.75" customHeight="1">
      <c r="A5136" s="5" t="s">
        <v>24192</v>
      </c>
      <c r="B5136" s="5" t="s">
        <v>37621</v>
      </c>
      <c r="C5136" s="5" t="s">
        <v>37622</v>
      </c>
      <c r="D5136" s="246" t="s">
        <v>68</v>
      </c>
      <c r="E5136" s="5" t="s">
        <v>37622</v>
      </c>
      <c r="F5136" s="26" t="s">
        <v>23600</v>
      </c>
      <c r="G5136" s="27" t="s">
        <v>7268</v>
      </c>
      <c r="H5136" s="28" t="s">
        <v>7269</v>
      </c>
      <c r="I5136" s="5" t="s">
        <v>1938</v>
      </c>
    </row>
    <row r="5137" spans="1:9" ht="51.75" customHeight="1">
      <c r="A5137" s="5" t="s">
        <v>24479</v>
      </c>
      <c r="B5137" s="5" t="s">
        <v>37623</v>
      </c>
      <c r="C5137" s="5" t="s">
        <v>37624</v>
      </c>
      <c r="D5137" s="246" t="s">
        <v>68</v>
      </c>
      <c r="E5137" s="5" t="s">
        <v>37625</v>
      </c>
      <c r="F5137" s="26" t="s">
        <v>23600</v>
      </c>
      <c r="G5137" s="27" t="s">
        <v>7263</v>
      </c>
      <c r="H5137" s="28" t="s">
        <v>7264</v>
      </c>
      <c r="I5137" s="5" t="s">
        <v>1938</v>
      </c>
    </row>
    <row r="5138" spans="1:9" ht="51.75" customHeight="1">
      <c r="A5138" s="5" t="s">
        <v>24483</v>
      </c>
      <c r="B5138" s="5" t="s">
        <v>37626</v>
      </c>
      <c r="C5138" s="5" t="s">
        <v>37627</v>
      </c>
      <c r="D5138" s="246" t="s">
        <v>68</v>
      </c>
      <c r="E5138" s="5" t="s">
        <v>37628</v>
      </c>
      <c r="F5138" s="26" t="s">
        <v>23600</v>
      </c>
      <c r="G5138" s="27" t="s">
        <v>7263</v>
      </c>
      <c r="H5138" s="28" t="s">
        <v>7264</v>
      </c>
      <c r="I5138" s="5" t="s">
        <v>1938</v>
      </c>
    </row>
    <row r="5139" spans="1:9" ht="51.75" customHeight="1">
      <c r="A5139" s="5" t="s">
        <v>23736</v>
      </c>
      <c r="B5139" s="5" t="s">
        <v>37629</v>
      </c>
      <c r="C5139" s="5" t="s">
        <v>37630</v>
      </c>
      <c r="D5139" s="246" t="s">
        <v>68</v>
      </c>
      <c r="E5139" s="5" t="s">
        <v>37631</v>
      </c>
      <c r="F5139" s="26" t="s">
        <v>23600</v>
      </c>
      <c r="G5139" s="27" t="s">
        <v>7263</v>
      </c>
      <c r="H5139" s="28" t="s">
        <v>7264</v>
      </c>
      <c r="I5139" s="5" t="s">
        <v>1938</v>
      </c>
    </row>
    <row r="5140" spans="1:9" ht="51.75" customHeight="1">
      <c r="A5140" s="5" t="s">
        <v>25533</v>
      </c>
      <c r="B5140" s="5" t="s">
        <v>37632</v>
      </c>
      <c r="C5140" s="5" t="s">
        <v>37633</v>
      </c>
      <c r="D5140" s="246" t="s">
        <v>68</v>
      </c>
      <c r="E5140" s="5" t="s">
        <v>37634</v>
      </c>
      <c r="F5140" s="26" t="s">
        <v>23600</v>
      </c>
      <c r="G5140" s="27" t="s">
        <v>7263</v>
      </c>
      <c r="H5140" s="28" t="s">
        <v>7264</v>
      </c>
      <c r="I5140" s="5" t="s">
        <v>1938</v>
      </c>
    </row>
    <row r="5141" spans="1:9" ht="51.75" customHeight="1">
      <c r="A5141" s="5" t="s">
        <v>25149</v>
      </c>
      <c r="B5141" s="5" t="s">
        <v>37635</v>
      </c>
      <c r="C5141" s="5" t="s">
        <v>37636</v>
      </c>
      <c r="D5141" s="246" t="s">
        <v>68</v>
      </c>
      <c r="E5141" s="5" t="s">
        <v>37637</v>
      </c>
      <c r="F5141" s="26" t="s">
        <v>23600</v>
      </c>
      <c r="G5141" s="27" t="s">
        <v>7263</v>
      </c>
      <c r="H5141" s="28" t="s">
        <v>7264</v>
      </c>
      <c r="I5141" s="5" t="s">
        <v>1938</v>
      </c>
    </row>
    <row r="5142" spans="1:9" ht="51.75" customHeight="1">
      <c r="A5142" s="5" t="s">
        <v>25153</v>
      </c>
      <c r="B5142" s="5" t="s">
        <v>37638</v>
      </c>
      <c r="C5142" s="5" t="s">
        <v>37639</v>
      </c>
      <c r="D5142" s="246" t="s">
        <v>68</v>
      </c>
      <c r="E5142" s="5" t="s">
        <v>37640</v>
      </c>
      <c r="F5142" s="26" t="s">
        <v>23600</v>
      </c>
      <c r="G5142" s="27" t="s">
        <v>7263</v>
      </c>
      <c r="H5142" s="28" t="s">
        <v>7264</v>
      </c>
      <c r="I5142" s="5" t="s">
        <v>1938</v>
      </c>
    </row>
    <row r="5143" spans="1:9" ht="51.75" customHeight="1">
      <c r="A5143" s="5" t="s">
        <v>30290</v>
      </c>
      <c r="B5143" s="5" t="s">
        <v>37641</v>
      </c>
      <c r="C5143" s="5" t="s">
        <v>37642</v>
      </c>
      <c r="D5143" s="246" t="s">
        <v>68</v>
      </c>
      <c r="E5143" s="5" t="s">
        <v>37642</v>
      </c>
      <c r="F5143" s="26" t="s">
        <v>23600</v>
      </c>
      <c r="G5143" s="27" t="s">
        <v>6698</v>
      </c>
      <c r="H5143" s="28" t="s">
        <v>6699</v>
      </c>
      <c r="I5143" s="5" t="s">
        <v>1938</v>
      </c>
    </row>
    <row r="5144" spans="1:9" ht="51.75" customHeight="1">
      <c r="A5144" s="5" t="s">
        <v>28999</v>
      </c>
      <c r="B5144" s="5" t="s">
        <v>37643</v>
      </c>
      <c r="C5144" s="5" t="s">
        <v>37644</v>
      </c>
      <c r="D5144" s="246" t="s">
        <v>68</v>
      </c>
      <c r="E5144" s="5" t="s">
        <v>37644</v>
      </c>
      <c r="F5144" s="26" t="s">
        <v>23600</v>
      </c>
      <c r="G5144" s="27" t="s">
        <v>6698</v>
      </c>
      <c r="H5144" s="28" t="s">
        <v>6699</v>
      </c>
      <c r="I5144" s="5" t="s">
        <v>1938</v>
      </c>
    </row>
    <row r="5145" spans="1:9" ht="51.75" customHeight="1">
      <c r="A5145" s="5" t="s">
        <v>24571</v>
      </c>
      <c r="B5145" s="5" t="s">
        <v>37645</v>
      </c>
      <c r="C5145" s="5" t="s">
        <v>37646</v>
      </c>
      <c r="D5145" s="246" t="s">
        <v>68</v>
      </c>
      <c r="E5145" s="5" t="s">
        <v>37646</v>
      </c>
      <c r="F5145" s="26" t="s">
        <v>23600</v>
      </c>
      <c r="G5145" s="27" t="s">
        <v>6698</v>
      </c>
      <c r="H5145" s="28" t="s">
        <v>6699</v>
      </c>
      <c r="I5145" s="5" t="s">
        <v>1938</v>
      </c>
    </row>
    <row r="5146" spans="1:9" ht="51.75" customHeight="1">
      <c r="A5146" s="5" t="s">
        <v>24575</v>
      </c>
      <c r="B5146" s="5" t="s">
        <v>37647</v>
      </c>
      <c r="C5146" s="5" t="s">
        <v>37648</v>
      </c>
      <c r="D5146" s="246" t="s">
        <v>68</v>
      </c>
      <c r="E5146" s="5" t="s">
        <v>37648</v>
      </c>
      <c r="F5146" s="26" t="s">
        <v>23600</v>
      </c>
      <c r="G5146" s="27" t="s">
        <v>6620</v>
      </c>
      <c r="H5146" s="28" t="s">
        <v>6621</v>
      </c>
      <c r="I5146" s="5" t="s">
        <v>1938</v>
      </c>
    </row>
    <row r="5147" spans="1:9" ht="51.75" customHeight="1">
      <c r="A5147" s="5" t="s">
        <v>24579</v>
      </c>
      <c r="B5147" s="5" t="s">
        <v>37649</v>
      </c>
      <c r="C5147" s="5" t="s">
        <v>37650</v>
      </c>
      <c r="D5147" s="246" t="s">
        <v>68</v>
      </c>
      <c r="E5147" s="5" t="s">
        <v>37650</v>
      </c>
      <c r="F5147" s="26" t="s">
        <v>23600</v>
      </c>
      <c r="G5147" s="27" t="s">
        <v>6620</v>
      </c>
      <c r="H5147" s="28" t="s">
        <v>6621</v>
      </c>
      <c r="I5147" s="5" t="s">
        <v>1938</v>
      </c>
    </row>
    <row r="5148" spans="1:9" ht="51.75" customHeight="1">
      <c r="A5148" s="5" t="s">
        <v>24583</v>
      </c>
      <c r="B5148" s="5" t="s">
        <v>37651</v>
      </c>
      <c r="C5148" s="5" t="s">
        <v>37652</v>
      </c>
      <c r="D5148" s="246" t="s">
        <v>68</v>
      </c>
      <c r="E5148" s="5" t="s">
        <v>37652</v>
      </c>
      <c r="F5148" s="26" t="s">
        <v>23600</v>
      </c>
      <c r="G5148" s="27" t="s">
        <v>6620</v>
      </c>
      <c r="H5148" s="28" t="s">
        <v>6621</v>
      </c>
      <c r="I5148" s="5" t="s">
        <v>1938</v>
      </c>
    </row>
    <row r="5149" spans="1:9" ht="51.75" customHeight="1">
      <c r="A5149" s="5" t="s">
        <v>35199</v>
      </c>
      <c r="B5149" s="5" t="s">
        <v>37653</v>
      </c>
      <c r="C5149" s="5" t="s">
        <v>37654</v>
      </c>
      <c r="D5149" s="246" t="s">
        <v>68</v>
      </c>
      <c r="E5149" s="5" t="s">
        <v>37654</v>
      </c>
      <c r="F5149" s="26" t="s">
        <v>23600</v>
      </c>
      <c r="G5149" s="27" t="s">
        <v>6620</v>
      </c>
      <c r="H5149" s="28" t="s">
        <v>6621</v>
      </c>
      <c r="I5149" s="5" t="s">
        <v>1938</v>
      </c>
    </row>
    <row r="5150" spans="1:9" ht="51.75" customHeight="1">
      <c r="A5150" s="5">
        <v>1</v>
      </c>
      <c r="B5150" s="5" t="s">
        <v>37655</v>
      </c>
      <c r="C5150" s="5" t="s">
        <v>37656</v>
      </c>
      <c r="D5150" s="246">
        <v>40952</v>
      </c>
      <c r="E5150" s="5" t="s">
        <v>37657</v>
      </c>
      <c r="F5150" s="26"/>
      <c r="G5150" s="27" t="s">
        <v>5781</v>
      </c>
      <c r="H5150" s="28" t="s">
        <v>5782</v>
      </c>
      <c r="I5150" s="5" t="s">
        <v>1938</v>
      </c>
    </row>
    <row r="5151" spans="1:9" ht="51.75" customHeight="1">
      <c r="A5151" s="5">
        <v>2</v>
      </c>
      <c r="B5151" s="5" t="s">
        <v>37658</v>
      </c>
      <c r="C5151" s="5" t="s">
        <v>37659</v>
      </c>
      <c r="D5151" s="246">
        <v>40952</v>
      </c>
      <c r="E5151" s="5" t="s">
        <v>37660</v>
      </c>
      <c r="F5151" s="26"/>
      <c r="G5151" s="27" t="s">
        <v>5781</v>
      </c>
      <c r="H5151" s="28" t="s">
        <v>5782</v>
      </c>
      <c r="I5151" s="5" t="s">
        <v>1938</v>
      </c>
    </row>
    <row r="5152" spans="1:9" ht="51.75" customHeight="1">
      <c r="A5152" s="5">
        <v>3</v>
      </c>
      <c r="B5152" s="5" t="s">
        <v>37661</v>
      </c>
      <c r="C5152" s="5" t="s">
        <v>37662</v>
      </c>
      <c r="D5152" s="246">
        <v>40952</v>
      </c>
      <c r="E5152" s="5" t="s">
        <v>37663</v>
      </c>
      <c r="F5152" s="26"/>
      <c r="G5152" s="27" t="s">
        <v>5781</v>
      </c>
      <c r="H5152" s="28" t="s">
        <v>5782</v>
      </c>
      <c r="I5152" s="5" t="s">
        <v>1938</v>
      </c>
    </row>
    <row r="5153" spans="1:9" ht="51.75" customHeight="1">
      <c r="A5153" s="5">
        <v>4</v>
      </c>
      <c r="B5153" s="5" t="s">
        <v>37664</v>
      </c>
      <c r="C5153" s="5" t="s">
        <v>37665</v>
      </c>
      <c r="D5153" s="246">
        <v>40952</v>
      </c>
      <c r="E5153" s="5" t="s">
        <v>37666</v>
      </c>
      <c r="F5153" s="26"/>
      <c r="G5153" s="27" t="s">
        <v>5781</v>
      </c>
      <c r="H5153" s="28" t="s">
        <v>5782</v>
      </c>
      <c r="I5153" s="5" t="s">
        <v>1938</v>
      </c>
    </row>
    <row r="5154" spans="1:9" ht="51.75" customHeight="1">
      <c r="A5154" s="5">
        <v>1</v>
      </c>
      <c r="B5154" s="5" t="s">
        <v>37667</v>
      </c>
      <c r="C5154" s="5" t="s">
        <v>37668</v>
      </c>
      <c r="D5154" s="246">
        <v>40836</v>
      </c>
      <c r="E5154" s="5" t="s">
        <v>37669</v>
      </c>
      <c r="F5154" s="26"/>
      <c r="G5154" s="27" t="s">
        <v>5413</v>
      </c>
      <c r="H5154" s="28" t="s">
        <v>5414</v>
      </c>
      <c r="I5154" s="5" t="s">
        <v>1938</v>
      </c>
    </row>
    <row r="5155" spans="1:9" ht="51.75" customHeight="1">
      <c r="A5155" s="5" t="s">
        <v>27187</v>
      </c>
      <c r="B5155" s="5" t="s">
        <v>37670</v>
      </c>
      <c r="C5155" s="5" t="s">
        <v>37671</v>
      </c>
      <c r="D5155" s="246" t="s">
        <v>68</v>
      </c>
      <c r="E5155" s="5" t="s">
        <v>37672</v>
      </c>
      <c r="F5155" s="26" t="s">
        <v>23600</v>
      </c>
      <c r="G5155" s="27" t="s">
        <v>7663</v>
      </c>
      <c r="H5155" s="28" t="s">
        <v>7664</v>
      </c>
      <c r="I5155" s="5" t="s">
        <v>1938</v>
      </c>
    </row>
    <row r="5156" spans="1:9" ht="51.75" customHeight="1">
      <c r="A5156" s="5" t="s">
        <v>27191</v>
      </c>
      <c r="B5156" s="5" t="s">
        <v>37673</v>
      </c>
      <c r="C5156" s="5" t="s">
        <v>37674</v>
      </c>
      <c r="D5156" s="246" t="s">
        <v>68</v>
      </c>
      <c r="E5156" s="5" t="s">
        <v>37675</v>
      </c>
      <c r="F5156" s="26" t="s">
        <v>23600</v>
      </c>
      <c r="G5156" s="27" t="s">
        <v>7663</v>
      </c>
      <c r="H5156" s="28" t="s">
        <v>7664</v>
      </c>
      <c r="I5156" s="5" t="s">
        <v>1938</v>
      </c>
    </row>
    <row r="5157" spans="1:9" ht="51.75" customHeight="1">
      <c r="A5157" s="5" t="s">
        <v>23828</v>
      </c>
      <c r="B5157" s="5" t="s">
        <v>37676</v>
      </c>
      <c r="C5157" s="5" t="s">
        <v>37677</v>
      </c>
      <c r="D5157" s="246" t="s">
        <v>68</v>
      </c>
      <c r="E5157" s="5" t="s">
        <v>37678</v>
      </c>
      <c r="F5157" s="26" t="s">
        <v>23600</v>
      </c>
      <c r="G5157" s="27" t="s">
        <v>7663</v>
      </c>
      <c r="H5157" s="28" t="s">
        <v>7664</v>
      </c>
      <c r="I5157" s="5" t="s">
        <v>1938</v>
      </c>
    </row>
    <row r="5158" spans="1:9" ht="51.75" customHeight="1">
      <c r="A5158" s="5" t="s">
        <v>26733</v>
      </c>
      <c r="B5158" s="5" t="s">
        <v>37679</v>
      </c>
      <c r="C5158" s="5" t="s">
        <v>37680</v>
      </c>
      <c r="D5158" s="246" t="s">
        <v>68</v>
      </c>
      <c r="E5158" s="5" t="s">
        <v>37681</v>
      </c>
      <c r="F5158" s="26" t="s">
        <v>23600</v>
      </c>
      <c r="G5158" s="27" t="s">
        <v>9066</v>
      </c>
      <c r="H5158" s="28" t="s">
        <v>9067</v>
      </c>
      <c r="I5158" s="5" t="s">
        <v>1938</v>
      </c>
    </row>
    <row r="5159" spans="1:9" ht="51.75" customHeight="1">
      <c r="A5159" s="5" t="s">
        <v>30930</v>
      </c>
      <c r="B5159" s="5" t="s">
        <v>37682</v>
      </c>
      <c r="C5159" s="5" t="s">
        <v>37683</v>
      </c>
      <c r="D5159" s="246" t="s">
        <v>68</v>
      </c>
      <c r="E5159" s="5" t="s">
        <v>37684</v>
      </c>
      <c r="F5159" s="26" t="s">
        <v>23600</v>
      </c>
      <c r="G5159" s="27" t="s">
        <v>9066</v>
      </c>
      <c r="H5159" s="28" t="s">
        <v>9067</v>
      </c>
      <c r="I5159" s="5" t="s">
        <v>1938</v>
      </c>
    </row>
    <row r="5160" spans="1:9" ht="51.75" customHeight="1">
      <c r="A5160" s="5" t="s">
        <v>23732</v>
      </c>
      <c r="B5160" s="5" t="s">
        <v>37685</v>
      </c>
      <c r="C5160" s="5" t="s">
        <v>37686</v>
      </c>
      <c r="D5160" s="246" t="s">
        <v>68</v>
      </c>
      <c r="E5160" s="5" t="s">
        <v>37687</v>
      </c>
      <c r="F5160" s="26" t="s">
        <v>23600</v>
      </c>
      <c r="G5160" s="27" t="s">
        <v>9066</v>
      </c>
      <c r="H5160" s="28" t="s">
        <v>9067</v>
      </c>
      <c r="I5160" s="5" t="s">
        <v>1938</v>
      </c>
    </row>
    <row r="5161" spans="1:9" ht="51.75" customHeight="1">
      <c r="A5161" s="5" t="s">
        <v>24463</v>
      </c>
      <c r="B5161" s="5" t="s">
        <v>37688</v>
      </c>
      <c r="C5161" s="5" t="s">
        <v>37689</v>
      </c>
      <c r="D5161" s="246" t="s">
        <v>68</v>
      </c>
      <c r="E5161" s="5" t="s">
        <v>37690</v>
      </c>
      <c r="F5161" s="26" t="s">
        <v>23600</v>
      </c>
      <c r="G5161" s="27" t="s">
        <v>9066</v>
      </c>
      <c r="H5161" s="28" t="s">
        <v>9067</v>
      </c>
      <c r="I5161" s="5" t="s">
        <v>1938</v>
      </c>
    </row>
    <row r="5162" spans="1:9" ht="51.75" customHeight="1">
      <c r="A5162" s="5" t="s">
        <v>24467</v>
      </c>
      <c r="B5162" s="5" t="s">
        <v>37691</v>
      </c>
      <c r="C5162" s="5" t="s">
        <v>37692</v>
      </c>
      <c r="D5162" s="246" t="s">
        <v>68</v>
      </c>
      <c r="E5162" s="5" t="s">
        <v>37693</v>
      </c>
      <c r="F5162" s="26" t="s">
        <v>23600</v>
      </c>
      <c r="G5162" s="27" t="s">
        <v>8574</v>
      </c>
      <c r="H5162" s="28" t="s">
        <v>8575</v>
      </c>
      <c r="I5162" s="5" t="s">
        <v>1938</v>
      </c>
    </row>
    <row r="5163" spans="1:9" ht="51.75" customHeight="1">
      <c r="A5163" s="5" t="s">
        <v>24471</v>
      </c>
      <c r="B5163" s="5" t="s">
        <v>37694</v>
      </c>
      <c r="C5163" s="5" t="s">
        <v>37695</v>
      </c>
      <c r="D5163" s="246" t="s">
        <v>68</v>
      </c>
      <c r="E5163" s="5" t="s">
        <v>37696</v>
      </c>
      <c r="F5163" s="26" t="s">
        <v>23600</v>
      </c>
      <c r="G5163" s="27" t="s">
        <v>8574</v>
      </c>
      <c r="H5163" s="28" t="s">
        <v>8575</v>
      </c>
      <c r="I5163" s="5" t="s">
        <v>1938</v>
      </c>
    </row>
    <row r="5164" spans="1:9" ht="51.75" customHeight="1">
      <c r="A5164" s="5" t="s">
        <v>24475</v>
      </c>
      <c r="B5164" s="5" t="s">
        <v>37697</v>
      </c>
      <c r="C5164" s="5" t="s">
        <v>37698</v>
      </c>
      <c r="D5164" s="246" t="s">
        <v>68</v>
      </c>
      <c r="E5164" s="5" t="s">
        <v>37699</v>
      </c>
      <c r="F5164" s="26" t="s">
        <v>23600</v>
      </c>
      <c r="G5164" s="27" t="s">
        <v>8574</v>
      </c>
      <c r="H5164" s="28" t="s">
        <v>8575</v>
      </c>
      <c r="I5164" s="5" t="s">
        <v>1938</v>
      </c>
    </row>
    <row r="5165" spans="1:9" ht="51.75" customHeight="1">
      <c r="A5165" s="5" t="s">
        <v>26715</v>
      </c>
      <c r="B5165" s="5" t="s">
        <v>37700</v>
      </c>
      <c r="C5165" s="5" t="s">
        <v>37701</v>
      </c>
      <c r="D5165" s="246" t="s">
        <v>68</v>
      </c>
      <c r="E5165" s="5" t="s">
        <v>37702</v>
      </c>
      <c r="F5165" s="26" t="s">
        <v>23600</v>
      </c>
      <c r="G5165" s="27" t="s">
        <v>9475</v>
      </c>
      <c r="H5165" s="28" t="s">
        <v>9476</v>
      </c>
      <c r="I5165" s="5" t="s">
        <v>1938</v>
      </c>
    </row>
    <row r="5166" spans="1:9" ht="51.75" customHeight="1">
      <c r="A5166" s="5" t="s">
        <v>26721</v>
      </c>
      <c r="B5166" s="5" t="s">
        <v>37703</v>
      </c>
      <c r="C5166" s="5" t="s">
        <v>37704</v>
      </c>
      <c r="D5166" s="246" t="s">
        <v>68</v>
      </c>
      <c r="E5166" s="5" t="s">
        <v>37705</v>
      </c>
      <c r="F5166" s="26" t="s">
        <v>23600</v>
      </c>
      <c r="G5166" s="27" t="s">
        <v>9475</v>
      </c>
      <c r="H5166" s="28" t="s">
        <v>9476</v>
      </c>
      <c r="I5166" s="5" t="s">
        <v>1938</v>
      </c>
    </row>
    <row r="5167" spans="1:9" ht="51.75" customHeight="1">
      <c r="A5167" s="5" t="s">
        <v>26727</v>
      </c>
      <c r="B5167" s="5" t="s">
        <v>37706</v>
      </c>
      <c r="C5167" s="5" t="s">
        <v>37707</v>
      </c>
      <c r="D5167" s="246" t="s">
        <v>68</v>
      </c>
      <c r="E5167" s="5" t="s">
        <v>37708</v>
      </c>
      <c r="F5167" s="26" t="s">
        <v>23600</v>
      </c>
      <c r="G5167" s="27" t="s">
        <v>9475</v>
      </c>
      <c r="H5167" s="28" t="s">
        <v>9476</v>
      </c>
      <c r="I5167" s="5" t="s">
        <v>1938</v>
      </c>
    </row>
    <row r="5168" spans="1:9" ht="51.75" customHeight="1">
      <c r="A5168" s="5" t="s">
        <v>26376</v>
      </c>
      <c r="B5168" s="5" t="s">
        <v>37709</v>
      </c>
      <c r="C5168" s="5" t="s">
        <v>37710</v>
      </c>
      <c r="D5168" s="246" t="s">
        <v>68</v>
      </c>
      <c r="E5168" s="5" t="s">
        <v>37711</v>
      </c>
      <c r="F5168" s="26" t="s">
        <v>23600</v>
      </c>
      <c r="G5168" s="27" t="s">
        <v>9516</v>
      </c>
      <c r="H5168" s="28" t="s">
        <v>9517</v>
      </c>
      <c r="I5168" s="5" t="s">
        <v>1938</v>
      </c>
    </row>
    <row r="5169" spans="1:9" ht="51.75" customHeight="1">
      <c r="A5169" s="5" t="s">
        <v>26382</v>
      </c>
      <c r="B5169" s="5" t="s">
        <v>37712</v>
      </c>
      <c r="C5169" s="5" t="s">
        <v>37713</v>
      </c>
      <c r="D5169" s="246" t="s">
        <v>68</v>
      </c>
      <c r="E5169" s="5" t="s">
        <v>37714</v>
      </c>
      <c r="F5169" s="26" t="s">
        <v>23600</v>
      </c>
      <c r="G5169" s="27" t="s">
        <v>9516</v>
      </c>
      <c r="H5169" s="28" t="s">
        <v>9517</v>
      </c>
      <c r="I5169" s="5" t="s">
        <v>1938</v>
      </c>
    </row>
    <row r="5170" spans="1:9" ht="51.75" customHeight="1">
      <c r="A5170" s="5" t="s">
        <v>26388</v>
      </c>
      <c r="B5170" s="5" t="s">
        <v>37715</v>
      </c>
      <c r="C5170" s="5" t="s">
        <v>37716</v>
      </c>
      <c r="D5170" s="246" t="s">
        <v>68</v>
      </c>
      <c r="E5170" s="5" t="s">
        <v>37717</v>
      </c>
      <c r="F5170" s="26" t="s">
        <v>23600</v>
      </c>
      <c r="G5170" s="27" t="s">
        <v>9516</v>
      </c>
      <c r="H5170" s="28" t="s">
        <v>9517</v>
      </c>
      <c r="I5170" s="5" t="s">
        <v>1938</v>
      </c>
    </row>
    <row r="5171" spans="1:9" ht="51.75" customHeight="1">
      <c r="A5171" s="5" t="s">
        <v>26394</v>
      </c>
      <c r="B5171" s="5" t="s">
        <v>37718</v>
      </c>
      <c r="C5171" s="5" t="s">
        <v>37719</v>
      </c>
      <c r="D5171" s="246" t="s">
        <v>68</v>
      </c>
      <c r="E5171" s="5" t="s">
        <v>37720</v>
      </c>
      <c r="F5171" s="26" t="s">
        <v>23600</v>
      </c>
      <c r="G5171" s="27" t="s">
        <v>9516</v>
      </c>
      <c r="H5171" s="28" t="s">
        <v>9517</v>
      </c>
      <c r="I5171" s="5" t="s">
        <v>1938</v>
      </c>
    </row>
    <row r="5172" spans="1:9" ht="51.75" customHeight="1">
      <c r="A5172" s="5" t="s">
        <v>26709</v>
      </c>
      <c r="B5172" s="5" t="s">
        <v>37721</v>
      </c>
      <c r="C5172" s="5" t="s">
        <v>37722</v>
      </c>
      <c r="D5172" s="246" t="s">
        <v>68</v>
      </c>
      <c r="E5172" s="5" t="s">
        <v>37723</v>
      </c>
      <c r="F5172" s="26" t="s">
        <v>23600</v>
      </c>
      <c r="G5172" s="27" t="s">
        <v>9516</v>
      </c>
      <c r="H5172" s="28" t="s">
        <v>9517</v>
      </c>
      <c r="I5172" s="5" t="s">
        <v>1938</v>
      </c>
    </row>
    <row r="5173" spans="1:9" ht="51.75" customHeight="1">
      <c r="A5173" s="5" t="s">
        <v>26791</v>
      </c>
      <c r="B5173" s="5" t="s">
        <v>37724</v>
      </c>
      <c r="C5173" s="5" t="s">
        <v>37725</v>
      </c>
      <c r="D5173" s="246" t="s">
        <v>68</v>
      </c>
      <c r="E5173" s="5" t="s">
        <v>37725</v>
      </c>
      <c r="F5173" s="26" t="s">
        <v>23600</v>
      </c>
      <c r="G5173" s="27" t="s">
        <v>9649</v>
      </c>
      <c r="H5173" s="28" t="s">
        <v>9650</v>
      </c>
      <c r="I5173" s="5" t="s">
        <v>1938</v>
      </c>
    </row>
    <row r="5174" spans="1:9" ht="51.75" customHeight="1">
      <c r="A5174" s="5" t="s">
        <v>26797</v>
      </c>
      <c r="B5174" s="5" t="s">
        <v>37726</v>
      </c>
      <c r="C5174" s="5" t="s">
        <v>37727</v>
      </c>
      <c r="D5174" s="246" t="s">
        <v>68</v>
      </c>
      <c r="E5174" s="5" t="s">
        <v>37728</v>
      </c>
      <c r="F5174" s="26" t="s">
        <v>23600</v>
      </c>
      <c r="G5174" s="27" t="s">
        <v>9649</v>
      </c>
      <c r="H5174" s="28" t="s">
        <v>9650</v>
      </c>
      <c r="I5174" s="5" t="s">
        <v>1938</v>
      </c>
    </row>
    <row r="5175" spans="1:9" ht="51.75" customHeight="1">
      <c r="A5175" s="5" t="s">
        <v>26803</v>
      </c>
      <c r="B5175" s="5" t="s">
        <v>37729</v>
      </c>
      <c r="C5175" s="5" t="s">
        <v>37730</v>
      </c>
      <c r="D5175" s="246" t="s">
        <v>68</v>
      </c>
      <c r="E5175" s="5" t="s">
        <v>37731</v>
      </c>
      <c r="F5175" s="26" t="s">
        <v>23600</v>
      </c>
      <c r="G5175" s="27" t="s">
        <v>9649</v>
      </c>
      <c r="H5175" s="28" t="s">
        <v>9650</v>
      </c>
      <c r="I5175" s="5" t="s">
        <v>1938</v>
      </c>
    </row>
    <row r="5176" spans="1:9" ht="51.75" customHeight="1">
      <c r="A5176" s="5" t="s">
        <v>24162</v>
      </c>
      <c r="B5176" s="5" t="s">
        <v>37732</v>
      </c>
      <c r="C5176" s="5" t="s">
        <v>37624</v>
      </c>
      <c r="D5176" s="246" t="s">
        <v>68</v>
      </c>
      <c r="E5176" s="5" t="s">
        <v>37733</v>
      </c>
      <c r="F5176" s="26" t="s">
        <v>23600</v>
      </c>
      <c r="G5176" s="27" t="s">
        <v>7167</v>
      </c>
      <c r="H5176" s="28" t="s">
        <v>7168</v>
      </c>
      <c r="I5176" s="5" t="s">
        <v>1938</v>
      </c>
    </row>
    <row r="5177" spans="1:9" ht="51.75" customHeight="1">
      <c r="A5177" s="5" t="s">
        <v>24166</v>
      </c>
      <c r="B5177" s="5" t="s">
        <v>37734</v>
      </c>
      <c r="C5177" s="5" t="s">
        <v>37627</v>
      </c>
      <c r="D5177" s="246" t="s">
        <v>68</v>
      </c>
      <c r="E5177" s="5" t="s">
        <v>37735</v>
      </c>
      <c r="F5177" s="26" t="s">
        <v>23600</v>
      </c>
      <c r="G5177" s="27" t="s">
        <v>7167</v>
      </c>
      <c r="H5177" s="28" t="s">
        <v>7168</v>
      </c>
      <c r="I5177" s="5" t="s">
        <v>1938</v>
      </c>
    </row>
    <row r="5178" spans="1:9" ht="51.75" customHeight="1">
      <c r="A5178" s="5" t="s">
        <v>24170</v>
      </c>
      <c r="B5178" s="5" t="s">
        <v>37736</v>
      </c>
      <c r="C5178" s="5" t="s">
        <v>37630</v>
      </c>
      <c r="D5178" s="246" t="s">
        <v>68</v>
      </c>
      <c r="E5178" s="5" t="s">
        <v>37737</v>
      </c>
      <c r="F5178" s="26" t="s">
        <v>23600</v>
      </c>
      <c r="G5178" s="27" t="s">
        <v>7167</v>
      </c>
      <c r="H5178" s="28" t="s">
        <v>7168</v>
      </c>
      <c r="I5178" s="5" t="s">
        <v>1938</v>
      </c>
    </row>
    <row r="5179" spans="1:9" ht="51.75" customHeight="1">
      <c r="A5179" s="5" t="s">
        <v>24174</v>
      </c>
      <c r="B5179" s="5" t="s">
        <v>37738</v>
      </c>
      <c r="C5179" s="5" t="s">
        <v>37633</v>
      </c>
      <c r="D5179" s="246" t="s">
        <v>68</v>
      </c>
      <c r="E5179" s="5" t="s">
        <v>37739</v>
      </c>
      <c r="F5179" s="26" t="s">
        <v>23600</v>
      </c>
      <c r="G5179" s="27" t="s">
        <v>7167</v>
      </c>
      <c r="H5179" s="28" t="s">
        <v>7168</v>
      </c>
      <c r="I5179" s="5" t="s">
        <v>1938</v>
      </c>
    </row>
    <row r="5180" spans="1:9" ht="51.75" customHeight="1">
      <c r="A5180" s="5" t="s">
        <v>24178</v>
      </c>
      <c r="B5180" s="5" t="s">
        <v>37740</v>
      </c>
      <c r="C5180" s="5" t="s">
        <v>37636</v>
      </c>
      <c r="D5180" s="246" t="s">
        <v>68</v>
      </c>
      <c r="E5180" s="5" t="s">
        <v>37741</v>
      </c>
      <c r="F5180" s="26" t="s">
        <v>23600</v>
      </c>
      <c r="G5180" s="27" t="s">
        <v>7167</v>
      </c>
      <c r="H5180" s="28" t="s">
        <v>7168</v>
      </c>
      <c r="I5180" s="5" t="s">
        <v>1938</v>
      </c>
    </row>
    <row r="5181" spans="1:9" ht="51.75" customHeight="1">
      <c r="A5181" s="5" t="s">
        <v>24182</v>
      </c>
      <c r="B5181" s="5" t="s">
        <v>37742</v>
      </c>
      <c r="C5181" s="5" t="s">
        <v>37639</v>
      </c>
      <c r="D5181" s="246" t="s">
        <v>68</v>
      </c>
      <c r="E5181" s="5" t="s">
        <v>37743</v>
      </c>
      <c r="F5181" s="26" t="s">
        <v>23600</v>
      </c>
      <c r="G5181" s="27" t="s">
        <v>7167</v>
      </c>
      <c r="H5181" s="28" t="s">
        <v>7168</v>
      </c>
      <c r="I5181" s="5" t="s">
        <v>1938</v>
      </c>
    </row>
    <row r="5182" spans="1:9" ht="51.75" customHeight="1">
      <c r="A5182" s="5" t="s">
        <v>37302</v>
      </c>
      <c r="B5182" s="5" t="s">
        <v>37744</v>
      </c>
      <c r="C5182" s="5" t="s">
        <v>37745</v>
      </c>
      <c r="D5182" s="246" t="s">
        <v>68</v>
      </c>
      <c r="E5182" s="5" t="s">
        <v>37746</v>
      </c>
      <c r="F5182" s="26" t="s">
        <v>23600</v>
      </c>
      <c r="G5182" s="27" t="s">
        <v>11648</v>
      </c>
      <c r="H5182" s="28" t="s">
        <v>11649</v>
      </c>
      <c r="I5182" s="5" t="s">
        <v>1938</v>
      </c>
    </row>
    <row r="5183" spans="1:9" ht="51.75" customHeight="1">
      <c r="A5183" s="5" t="s">
        <v>35697</v>
      </c>
      <c r="B5183" s="5" t="s">
        <v>37747</v>
      </c>
      <c r="C5183" s="5" t="s">
        <v>37748</v>
      </c>
      <c r="D5183" s="246" t="s">
        <v>68</v>
      </c>
      <c r="E5183" s="5" t="s">
        <v>37749</v>
      </c>
      <c r="F5183" s="26" t="s">
        <v>23600</v>
      </c>
      <c r="G5183" s="27" t="s">
        <v>11648</v>
      </c>
      <c r="H5183" s="28" t="s">
        <v>11649</v>
      </c>
      <c r="I5183" s="5" t="s">
        <v>1938</v>
      </c>
    </row>
    <row r="5184" spans="1:9" ht="51.75" customHeight="1">
      <c r="A5184" s="5" t="s">
        <v>26497</v>
      </c>
      <c r="B5184" s="5" t="s">
        <v>37750</v>
      </c>
      <c r="C5184" s="5" t="s">
        <v>37751</v>
      </c>
      <c r="D5184" s="246" t="s">
        <v>68</v>
      </c>
      <c r="E5184" s="5" t="s">
        <v>37752</v>
      </c>
      <c r="F5184" s="26" t="s">
        <v>23600</v>
      </c>
      <c r="G5184" s="27" t="s">
        <v>9526</v>
      </c>
      <c r="H5184" s="28" t="s">
        <v>9527</v>
      </c>
      <c r="I5184" s="5" t="s">
        <v>1938</v>
      </c>
    </row>
    <row r="5185" spans="1:9" ht="51.75" customHeight="1">
      <c r="A5185" s="5" t="s">
        <v>26503</v>
      </c>
      <c r="B5185" s="5" t="s">
        <v>37753</v>
      </c>
      <c r="C5185" s="5" t="s">
        <v>37754</v>
      </c>
      <c r="D5185" s="246" t="s">
        <v>68</v>
      </c>
      <c r="E5185" s="5" t="s">
        <v>37755</v>
      </c>
      <c r="F5185" s="26" t="s">
        <v>23600</v>
      </c>
      <c r="G5185" s="27" t="s">
        <v>9526</v>
      </c>
      <c r="H5185" s="28" t="s">
        <v>9527</v>
      </c>
      <c r="I5185" s="5" t="s">
        <v>1938</v>
      </c>
    </row>
    <row r="5186" spans="1:9" ht="51.75" customHeight="1">
      <c r="A5186" s="5" t="s">
        <v>26509</v>
      </c>
      <c r="B5186" s="5" t="s">
        <v>37756</v>
      </c>
      <c r="C5186" s="5" t="s">
        <v>37757</v>
      </c>
      <c r="D5186" s="246" t="s">
        <v>68</v>
      </c>
      <c r="E5186" s="5" t="s">
        <v>37758</v>
      </c>
      <c r="F5186" s="26" t="s">
        <v>23600</v>
      </c>
      <c r="G5186" s="27" t="s">
        <v>9526</v>
      </c>
      <c r="H5186" s="28" t="s">
        <v>9527</v>
      </c>
      <c r="I5186" s="5" t="s">
        <v>1938</v>
      </c>
    </row>
    <row r="5187" spans="1:9" ht="51.75" customHeight="1">
      <c r="A5187" s="5" t="s">
        <v>26515</v>
      </c>
      <c r="B5187" s="5" t="s">
        <v>37759</v>
      </c>
      <c r="C5187" s="5" t="s">
        <v>37760</v>
      </c>
      <c r="D5187" s="246" t="s">
        <v>68</v>
      </c>
      <c r="E5187" s="5" t="s">
        <v>37761</v>
      </c>
      <c r="F5187" s="26" t="s">
        <v>23600</v>
      </c>
      <c r="G5187" s="27" t="s">
        <v>9526</v>
      </c>
      <c r="H5187" s="28" t="s">
        <v>9527</v>
      </c>
      <c r="I5187" s="5" t="s">
        <v>1938</v>
      </c>
    </row>
    <row r="5188" spans="1:9" ht="51.75" customHeight="1">
      <c r="A5188" s="5" t="s">
        <v>24932</v>
      </c>
      <c r="B5188" s="5" t="s">
        <v>37762</v>
      </c>
      <c r="C5188" s="5" t="s">
        <v>37763</v>
      </c>
      <c r="D5188" s="246" t="s">
        <v>68</v>
      </c>
      <c r="E5188" s="5" t="s">
        <v>37764</v>
      </c>
      <c r="F5188" s="26" t="s">
        <v>23600</v>
      </c>
      <c r="G5188" s="27" t="s">
        <v>9526</v>
      </c>
      <c r="H5188" s="28" t="s">
        <v>9527</v>
      </c>
      <c r="I5188" s="5" t="s">
        <v>1938</v>
      </c>
    </row>
    <row r="5189" spans="1:9" ht="51.75" customHeight="1">
      <c r="A5189" s="5" t="s">
        <v>26310</v>
      </c>
      <c r="B5189" s="5" t="s">
        <v>37765</v>
      </c>
      <c r="C5189" s="5" t="s">
        <v>37766</v>
      </c>
      <c r="D5189" s="246" t="s">
        <v>68</v>
      </c>
      <c r="E5189" s="5" t="s">
        <v>37767</v>
      </c>
      <c r="F5189" s="26" t="s">
        <v>23600</v>
      </c>
      <c r="G5189" s="27" t="s">
        <v>9526</v>
      </c>
      <c r="H5189" s="28" t="s">
        <v>9527</v>
      </c>
      <c r="I5189" s="5" t="s">
        <v>1938</v>
      </c>
    </row>
    <row r="5190" spans="1:9" ht="51.75" customHeight="1">
      <c r="A5190" s="5" t="s">
        <v>26316</v>
      </c>
      <c r="B5190" s="5" t="s">
        <v>37768</v>
      </c>
      <c r="C5190" s="5" t="s">
        <v>37769</v>
      </c>
      <c r="D5190" s="246" t="s">
        <v>68</v>
      </c>
      <c r="E5190" s="5" t="s">
        <v>37770</v>
      </c>
      <c r="F5190" s="26" t="s">
        <v>23600</v>
      </c>
      <c r="G5190" s="27" t="s">
        <v>9526</v>
      </c>
      <c r="H5190" s="28" t="s">
        <v>9527</v>
      </c>
      <c r="I5190" s="5" t="s">
        <v>1938</v>
      </c>
    </row>
    <row r="5191" spans="1:9" ht="51.75" customHeight="1">
      <c r="A5191" s="5" t="s">
        <v>26993</v>
      </c>
      <c r="B5191" s="5" t="s">
        <v>37771</v>
      </c>
      <c r="C5191" s="5" t="s">
        <v>37772</v>
      </c>
      <c r="D5191" s="246" t="s">
        <v>68</v>
      </c>
      <c r="E5191" s="5" t="s">
        <v>37773</v>
      </c>
      <c r="F5191" s="26" t="s">
        <v>23600</v>
      </c>
      <c r="G5191" s="27" t="s">
        <v>9526</v>
      </c>
      <c r="H5191" s="28" t="s">
        <v>9527</v>
      </c>
      <c r="I5191" s="5" t="s">
        <v>1938</v>
      </c>
    </row>
    <row r="5192" spans="1:9" ht="51.75" customHeight="1">
      <c r="A5192" s="5" t="s">
        <v>26238</v>
      </c>
      <c r="B5192" s="5" t="s">
        <v>37774</v>
      </c>
      <c r="C5192" s="5" t="s">
        <v>37775</v>
      </c>
      <c r="D5192" s="246" t="s">
        <v>68</v>
      </c>
      <c r="E5192" s="5" t="s">
        <v>37776</v>
      </c>
      <c r="F5192" s="26" t="s">
        <v>23600</v>
      </c>
      <c r="G5192" s="27" t="s">
        <v>9526</v>
      </c>
      <c r="H5192" s="28" t="s">
        <v>9527</v>
      </c>
      <c r="I5192" s="5" t="s">
        <v>1938</v>
      </c>
    </row>
    <row r="5193" spans="1:9" ht="51.75" customHeight="1">
      <c r="A5193" s="5" t="s">
        <v>26244</v>
      </c>
      <c r="B5193" s="5" t="s">
        <v>37777</v>
      </c>
      <c r="C5193" s="5" t="s">
        <v>37778</v>
      </c>
      <c r="D5193" s="246" t="s">
        <v>68</v>
      </c>
      <c r="E5193" s="5" t="s">
        <v>37779</v>
      </c>
      <c r="F5193" s="26" t="s">
        <v>23600</v>
      </c>
      <c r="G5193" s="27" t="s">
        <v>9526</v>
      </c>
      <c r="H5193" s="28" t="s">
        <v>9527</v>
      </c>
      <c r="I5193" s="5" t="s">
        <v>1938</v>
      </c>
    </row>
    <row r="5194" spans="1:9" ht="51.75" customHeight="1">
      <c r="A5194" s="5" t="s">
        <v>26270</v>
      </c>
      <c r="B5194" s="5" t="s">
        <v>37780</v>
      </c>
      <c r="C5194" s="5" t="s">
        <v>37781</v>
      </c>
      <c r="D5194" s="246" t="s">
        <v>68</v>
      </c>
      <c r="E5194" s="5" t="s">
        <v>37782</v>
      </c>
      <c r="F5194" s="26" t="s">
        <v>23600</v>
      </c>
      <c r="G5194" s="27" t="s">
        <v>9526</v>
      </c>
      <c r="H5194" s="28" t="s">
        <v>9527</v>
      </c>
      <c r="I5194" s="5" t="s">
        <v>1938</v>
      </c>
    </row>
    <row r="5195" spans="1:9" ht="51.75" customHeight="1">
      <c r="A5195" s="5" t="s">
        <v>26265</v>
      </c>
      <c r="B5195" s="5" t="s">
        <v>37783</v>
      </c>
      <c r="C5195" s="5" t="s">
        <v>37784</v>
      </c>
      <c r="D5195" s="246" t="s">
        <v>68</v>
      </c>
      <c r="E5195" s="5" t="s">
        <v>37785</v>
      </c>
      <c r="F5195" s="26" t="s">
        <v>23600</v>
      </c>
      <c r="G5195" s="27" t="s">
        <v>9526</v>
      </c>
      <c r="H5195" s="28" t="s">
        <v>9527</v>
      </c>
      <c r="I5195" s="5" t="s">
        <v>1938</v>
      </c>
    </row>
    <row r="5196" spans="1:9" ht="51.75" customHeight="1">
      <c r="A5196" s="5" t="s">
        <v>26250</v>
      </c>
      <c r="B5196" s="5" t="s">
        <v>37786</v>
      </c>
      <c r="C5196" s="5" t="s">
        <v>37787</v>
      </c>
      <c r="D5196" s="246" t="s">
        <v>68</v>
      </c>
      <c r="E5196" s="5" t="s">
        <v>37788</v>
      </c>
      <c r="F5196" s="26" t="s">
        <v>23600</v>
      </c>
      <c r="G5196" s="27" t="s">
        <v>9526</v>
      </c>
      <c r="H5196" s="28" t="s">
        <v>9527</v>
      </c>
      <c r="I5196" s="5" t="s">
        <v>1938</v>
      </c>
    </row>
    <row r="5197" spans="1:9" ht="51.75" customHeight="1">
      <c r="A5197" s="5" t="s">
        <v>26255</v>
      </c>
      <c r="B5197" s="5" t="s">
        <v>37789</v>
      </c>
      <c r="C5197" s="5" t="s">
        <v>37790</v>
      </c>
      <c r="D5197" s="246" t="s">
        <v>68</v>
      </c>
      <c r="E5197" s="5" t="s">
        <v>37791</v>
      </c>
      <c r="F5197" s="26" t="s">
        <v>23600</v>
      </c>
      <c r="G5197" s="27" t="s">
        <v>9526</v>
      </c>
      <c r="H5197" s="28" t="s">
        <v>9527</v>
      </c>
      <c r="I5197" s="5" t="s">
        <v>1938</v>
      </c>
    </row>
    <row r="5198" spans="1:9" ht="51.75" customHeight="1">
      <c r="A5198" s="5" t="s">
        <v>25926</v>
      </c>
      <c r="B5198" s="5" t="s">
        <v>37792</v>
      </c>
      <c r="C5198" s="5" t="s">
        <v>37793</v>
      </c>
      <c r="D5198" s="246">
        <v>43089</v>
      </c>
      <c r="E5198" s="5" t="s">
        <v>37794</v>
      </c>
      <c r="F5198" s="26" t="s">
        <v>23600</v>
      </c>
      <c r="G5198" s="27" t="s">
        <v>13228</v>
      </c>
      <c r="H5198" s="28" t="s">
        <v>13229</v>
      </c>
      <c r="I5198" s="5" t="s">
        <v>1938</v>
      </c>
    </row>
    <row r="5199" spans="1:9" ht="51.75" customHeight="1">
      <c r="A5199" s="5" t="s">
        <v>24975</v>
      </c>
      <c r="B5199" s="5" t="s">
        <v>37795</v>
      </c>
      <c r="C5199" s="5" t="s">
        <v>37796</v>
      </c>
      <c r="D5199" s="246" t="s">
        <v>68</v>
      </c>
      <c r="E5199" s="5" t="s">
        <v>37797</v>
      </c>
      <c r="F5199" s="26" t="s">
        <v>23600</v>
      </c>
      <c r="G5199" s="27" t="s">
        <v>13228</v>
      </c>
      <c r="H5199" s="28" t="s">
        <v>13229</v>
      </c>
      <c r="I5199" s="5" t="s">
        <v>1938</v>
      </c>
    </row>
    <row r="5200" spans="1:9" ht="51.75" customHeight="1">
      <c r="A5200" s="5" t="s">
        <v>24981</v>
      </c>
      <c r="B5200" s="5" t="s">
        <v>37798</v>
      </c>
      <c r="C5200" s="5" t="s">
        <v>37799</v>
      </c>
      <c r="D5200" s="246" t="s">
        <v>68</v>
      </c>
      <c r="E5200" s="5" t="s">
        <v>37800</v>
      </c>
      <c r="F5200" s="26" t="s">
        <v>23600</v>
      </c>
      <c r="G5200" s="27" t="s">
        <v>13228</v>
      </c>
      <c r="H5200" s="28" t="s">
        <v>13229</v>
      </c>
      <c r="I5200" s="5" t="s">
        <v>1938</v>
      </c>
    </row>
    <row r="5201" spans="1:9" ht="51.75" customHeight="1">
      <c r="A5201" s="5" t="s">
        <v>24987</v>
      </c>
      <c r="B5201" s="5" t="s">
        <v>37801</v>
      </c>
      <c r="C5201" s="5" t="s">
        <v>37802</v>
      </c>
      <c r="D5201" s="246" t="s">
        <v>68</v>
      </c>
      <c r="E5201" s="5" t="s">
        <v>37803</v>
      </c>
      <c r="F5201" s="26" t="s">
        <v>23600</v>
      </c>
      <c r="G5201" s="27" t="s">
        <v>13228</v>
      </c>
      <c r="H5201" s="28" t="s">
        <v>13229</v>
      </c>
      <c r="I5201" s="5" t="s">
        <v>1938</v>
      </c>
    </row>
    <row r="5202" spans="1:9" ht="51.75" customHeight="1">
      <c r="A5202" s="5" t="s">
        <v>24674</v>
      </c>
      <c r="B5202" s="5" t="s">
        <v>37804</v>
      </c>
      <c r="C5202" s="5" t="s">
        <v>37805</v>
      </c>
      <c r="D5202" s="246" t="s">
        <v>68</v>
      </c>
      <c r="E5202" s="5" t="s">
        <v>37805</v>
      </c>
      <c r="F5202" s="26" t="s">
        <v>23600</v>
      </c>
      <c r="G5202" s="27" t="s">
        <v>13228</v>
      </c>
      <c r="H5202" s="28" t="s">
        <v>13229</v>
      </c>
      <c r="I5202" s="5" t="s">
        <v>1938</v>
      </c>
    </row>
    <row r="5203" spans="1:9" ht="51.75" customHeight="1">
      <c r="A5203" s="5" t="s">
        <v>27654</v>
      </c>
      <c r="B5203" s="5" t="s">
        <v>37806</v>
      </c>
      <c r="C5203" s="5" t="s">
        <v>37807</v>
      </c>
      <c r="D5203" s="246" t="s">
        <v>68</v>
      </c>
      <c r="E5203" s="5" t="s">
        <v>37808</v>
      </c>
      <c r="F5203" s="26" t="s">
        <v>23600</v>
      </c>
      <c r="G5203" s="27" t="s">
        <v>14107</v>
      </c>
      <c r="H5203" s="28" t="s">
        <v>14108</v>
      </c>
      <c r="I5203" s="5" t="s">
        <v>1938</v>
      </c>
    </row>
    <row r="5204" spans="1:9" ht="51.75" customHeight="1">
      <c r="A5204" s="5" t="s">
        <v>27658</v>
      </c>
      <c r="B5204" s="5" t="s">
        <v>37809</v>
      </c>
      <c r="C5204" s="5" t="s">
        <v>37810</v>
      </c>
      <c r="D5204" s="246" t="s">
        <v>68</v>
      </c>
      <c r="E5204" s="5" t="s">
        <v>37811</v>
      </c>
      <c r="F5204" s="26" t="s">
        <v>23600</v>
      </c>
      <c r="G5204" s="27" t="s">
        <v>14107</v>
      </c>
      <c r="H5204" s="28" t="s">
        <v>14108</v>
      </c>
      <c r="I5204" s="5" t="s">
        <v>1938</v>
      </c>
    </row>
    <row r="5205" spans="1:9" ht="51.75" customHeight="1">
      <c r="A5205" s="5" t="s">
        <v>27674</v>
      </c>
      <c r="B5205" s="5" t="s">
        <v>37812</v>
      </c>
      <c r="C5205" s="5" t="s">
        <v>37813</v>
      </c>
      <c r="D5205" s="246" t="s">
        <v>68</v>
      </c>
      <c r="E5205" s="5" t="s">
        <v>37814</v>
      </c>
      <c r="F5205" s="26" t="s">
        <v>23600</v>
      </c>
      <c r="G5205" s="27" t="s">
        <v>14107</v>
      </c>
      <c r="H5205" s="28" t="s">
        <v>14108</v>
      </c>
      <c r="I5205" s="5" t="s">
        <v>1938</v>
      </c>
    </row>
    <row r="5206" spans="1:9" ht="51.75" customHeight="1">
      <c r="A5206" s="5" t="s">
        <v>27678</v>
      </c>
      <c r="B5206" s="5" t="s">
        <v>37815</v>
      </c>
      <c r="C5206" s="5" t="s">
        <v>37816</v>
      </c>
      <c r="D5206" s="246" t="s">
        <v>68</v>
      </c>
      <c r="E5206" s="5" t="s">
        <v>37817</v>
      </c>
      <c r="F5206" s="26" t="s">
        <v>23600</v>
      </c>
      <c r="G5206" s="27" t="s">
        <v>14107</v>
      </c>
      <c r="H5206" s="28" t="s">
        <v>14108</v>
      </c>
      <c r="I5206" s="5" t="s">
        <v>1938</v>
      </c>
    </row>
    <row r="5207" spans="1:9" ht="51.75" customHeight="1">
      <c r="A5207" s="5" t="s">
        <v>37818</v>
      </c>
      <c r="B5207" s="5" t="s">
        <v>37819</v>
      </c>
      <c r="C5207" s="5" t="s">
        <v>37820</v>
      </c>
      <c r="D5207" s="246" t="s">
        <v>68</v>
      </c>
      <c r="E5207" s="5" t="s">
        <v>37821</v>
      </c>
      <c r="F5207" s="26" t="s">
        <v>23600</v>
      </c>
      <c r="G5207" s="27" t="s">
        <v>14107</v>
      </c>
      <c r="H5207" s="28" t="s">
        <v>14108</v>
      </c>
      <c r="I5207" s="5" t="s">
        <v>1938</v>
      </c>
    </row>
    <row r="5208" spans="1:9" ht="51.75" customHeight="1">
      <c r="A5208" s="5" t="s">
        <v>37822</v>
      </c>
      <c r="B5208" s="5" t="s">
        <v>37823</v>
      </c>
      <c r="C5208" s="5" t="s">
        <v>37824</v>
      </c>
      <c r="D5208" s="246" t="s">
        <v>68</v>
      </c>
      <c r="E5208" s="5" t="s">
        <v>37825</v>
      </c>
      <c r="F5208" s="26" t="s">
        <v>23600</v>
      </c>
      <c r="G5208" s="27" t="s">
        <v>14107</v>
      </c>
      <c r="H5208" s="28" t="s">
        <v>14108</v>
      </c>
      <c r="I5208" s="5" t="s">
        <v>1938</v>
      </c>
    </row>
    <row r="5209" spans="1:9" ht="51.75" customHeight="1">
      <c r="A5209" s="5" t="s">
        <v>37826</v>
      </c>
      <c r="B5209" s="5" t="s">
        <v>37827</v>
      </c>
      <c r="C5209" s="5" t="s">
        <v>37828</v>
      </c>
      <c r="D5209" s="246" t="s">
        <v>68</v>
      </c>
      <c r="E5209" s="5" t="s">
        <v>37829</v>
      </c>
      <c r="F5209" s="26" t="s">
        <v>23600</v>
      </c>
      <c r="G5209" s="27" t="s">
        <v>14107</v>
      </c>
      <c r="H5209" s="28" t="s">
        <v>14108</v>
      </c>
      <c r="I5209" s="5" t="s">
        <v>1938</v>
      </c>
    </row>
    <row r="5210" spans="1:9" ht="51.75" customHeight="1">
      <c r="A5210" s="5" t="s">
        <v>37830</v>
      </c>
      <c r="B5210" s="5" t="s">
        <v>37831</v>
      </c>
      <c r="C5210" s="5" t="s">
        <v>37832</v>
      </c>
      <c r="D5210" s="246">
        <v>43746</v>
      </c>
      <c r="E5210" s="5" t="s">
        <v>37833</v>
      </c>
      <c r="F5210" s="26" t="s">
        <v>23600</v>
      </c>
      <c r="G5210" s="27" t="s">
        <v>15006</v>
      </c>
      <c r="H5210" s="28" t="s">
        <v>15007</v>
      </c>
      <c r="I5210" s="5" t="s">
        <v>1938</v>
      </c>
    </row>
    <row r="5211" spans="1:9" ht="51.75" customHeight="1">
      <c r="A5211" s="5" t="s">
        <v>37834</v>
      </c>
      <c r="B5211" s="5" t="s">
        <v>37835</v>
      </c>
      <c r="C5211" s="5" t="s">
        <v>37836</v>
      </c>
      <c r="D5211" s="246">
        <v>43746</v>
      </c>
      <c r="E5211" s="5" t="s">
        <v>37837</v>
      </c>
      <c r="F5211" s="26" t="s">
        <v>23600</v>
      </c>
      <c r="G5211" s="27" t="s">
        <v>15006</v>
      </c>
      <c r="H5211" s="28" t="s">
        <v>15007</v>
      </c>
      <c r="I5211" s="5" t="s">
        <v>1938</v>
      </c>
    </row>
    <row r="5212" spans="1:9" ht="51.75" customHeight="1">
      <c r="A5212" s="5" t="s">
        <v>37838</v>
      </c>
      <c r="B5212" s="5" t="s">
        <v>37839</v>
      </c>
      <c r="C5212" s="5" t="s">
        <v>37840</v>
      </c>
      <c r="D5212" s="246">
        <v>43746</v>
      </c>
      <c r="E5212" s="5" t="s">
        <v>37841</v>
      </c>
      <c r="F5212" s="26" t="s">
        <v>23600</v>
      </c>
      <c r="G5212" s="27" t="s">
        <v>15006</v>
      </c>
      <c r="H5212" s="28" t="s">
        <v>15007</v>
      </c>
      <c r="I5212" s="5" t="s">
        <v>1938</v>
      </c>
    </row>
    <row r="5213" spans="1:9" ht="51.75" customHeight="1">
      <c r="A5213" s="5" t="s">
        <v>37842</v>
      </c>
      <c r="B5213" s="5" t="s">
        <v>37843</v>
      </c>
      <c r="C5213" s="5" t="s">
        <v>37844</v>
      </c>
      <c r="D5213" s="246">
        <v>43746</v>
      </c>
      <c r="E5213" s="5" t="s">
        <v>37845</v>
      </c>
      <c r="F5213" s="26" t="s">
        <v>23600</v>
      </c>
      <c r="G5213" s="27" t="s">
        <v>15006</v>
      </c>
      <c r="H5213" s="28" t="s">
        <v>15007</v>
      </c>
      <c r="I5213" s="5" t="s">
        <v>1938</v>
      </c>
    </row>
    <row r="5214" spans="1:9" ht="51.75" customHeight="1">
      <c r="A5214" s="5" t="s">
        <v>37846</v>
      </c>
      <c r="B5214" s="5" t="s">
        <v>37847</v>
      </c>
      <c r="C5214" s="5" t="s">
        <v>37848</v>
      </c>
      <c r="D5214" s="246">
        <v>43746</v>
      </c>
      <c r="E5214" s="5" t="s">
        <v>37849</v>
      </c>
      <c r="F5214" s="26" t="s">
        <v>23600</v>
      </c>
      <c r="G5214" s="27" t="s">
        <v>15006</v>
      </c>
      <c r="H5214" s="28" t="s">
        <v>15007</v>
      </c>
      <c r="I5214" s="5" t="s">
        <v>1938</v>
      </c>
    </row>
    <row r="5215" spans="1:9" ht="51.75" customHeight="1">
      <c r="A5215" s="5" t="s">
        <v>37850</v>
      </c>
      <c r="B5215" s="5" t="s">
        <v>37851</v>
      </c>
      <c r="C5215" s="5" t="s">
        <v>37852</v>
      </c>
      <c r="D5215" s="246">
        <v>43746</v>
      </c>
      <c r="E5215" s="5" t="s">
        <v>37853</v>
      </c>
      <c r="F5215" s="26" t="s">
        <v>23600</v>
      </c>
      <c r="G5215" s="27" t="s">
        <v>15006</v>
      </c>
      <c r="H5215" s="28" t="s">
        <v>15007</v>
      </c>
      <c r="I5215" s="5" t="s">
        <v>1938</v>
      </c>
    </row>
    <row r="5216" spans="1:9" ht="51.75" customHeight="1">
      <c r="A5216" s="5" t="s">
        <v>37854</v>
      </c>
      <c r="B5216" s="5" t="s">
        <v>37855</v>
      </c>
      <c r="C5216" s="5" t="s">
        <v>37856</v>
      </c>
      <c r="D5216" s="246">
        <v>43746</v>
      </c>
      <c r="E5216" s="5" t="s">
        <v>37857</v>
      </c>
      <c r="F5216" s="26" t="s">
        <v>23600</v>
      </c>
      <c r="G5216" s="27" t="s">
        <v>15006</v>
      </c>
      <c r="H5216" s="28" t="s">
        <v>15007</v>
      </c>
      <c r="I5216" s="5" t="s">
        <v>1938</v>
      </c>
    </row>
    <row r="5217" spans="1:9" ht="51.75" customHeight="1">
      <c r="A5217" s="5" t="s">
        <v>37858</v>
      </c>
      <c r="B5217" s="5" t="s">
        <v>37859</v>
      </c>
      <c r="C5217" s="5" t="s">
        <v>37860</v>
      </c>
      <c r="D5217" s="246">
        <v>43746</v>
      </c>
      <c r="E5217" s="5" t="s">
        <v>37861</v>
      </c>
      <c r="F5217" s="26" t="s">
        <v>23600</v>
      </c>
      <c r="G5217" s="27" t="s">
        <v>15006</v>
      </c>
      <c r="H5217" s="28" t="s">
        <v>15007</v>
      </c>
      <c r="I5217" s="5" t="s">
        <v>1938</v>
      </c>
    </row>
    <row r="5218" spans="1:9" ht="51.75" customHeight="1">
      <c r="A5218" s="5" t="s">
        <v>37411</v>
      </c>
      <c r="B5218" s="5" t="s">
        <v>37862</v>
      </c>
      <c r="C5218" s="5" t="s">
        <v>37863</v>
      </c>
      <c r="D5218" s="246">
        <v>43746</v>
      </c>
      <c r="E5218" s="5" t="s">
        <v>37864</v>
      </c>
      <c r="F5218" s="26" t="s">
        <v>23600</v>
      </c>
      <c r="G5218" s="27" t="s">
        <v>15006</v>
      </c>
      <c r="H5218" s="28" t="s">
        <v>15007</v>
      </c>
      <c r="I5218" s="5" t="s">
        <v>1938</v>
      </c>
    </row>
    <row r="5219" spans="1:9" ht="51.75" customHeight="1">
      <c r="A5219" s="5" t="s">
        <v>37865</v>
      </c>
      <c r="B5219" s="5" t="s">
        <v>37866</v>
      </c>
      <c r="C5219" s="5" t="s">
        <v>37867</v>
      </c>
      <c r="D5219" s="246">
        <v>43746</v>
      </c>
      <c r="E5219" s="5" t="s">
        <v>37868</v>
      </c>
      <c r="F5219" s="26" t="s">
        <v>23600</v>
      </c>
      <c r="G5219" s="27" t="s">
        <v>15006</v>
      </c>
      <c r="H5219" s="28" t="s">
        <v>15007</v>
      </c>
      <c r="I5219" s="5" t="s">
        <v>1938</v>
      </c>
    </row>
    <row r="5220" spans="1:9" ht="51.75" customHeight="1">
      <c r="A5220" s="5" t="s">
        <v>37414</v>
      </c>
      <c r="B5220" s="5" t="s">
        <v>37869</v>
      </c>
      <c r="C5220" s="5" t="s">
        <v>37870</v>
      </c>
      <c r="D5220" s="246">
        <v>43746</v>
      </c>
      <c r="E5220" s="5" t="s">
        <v>37871</v>
      </c>
      <c r="F5220" s="26" t="s">
        <v>23600</v>
      </c>
      <c r="G5220" s="27" t="s">
        <v>15006</v>
      </c>
      <c r="H5220" s="28" t="s">
        <v>15007</v>
      </c>
      <c r="I5220" s="5" t="s">
        <v>1938</v>
      </c>
    </row>
    <row r="5221" spans="1:9" ht="51.75" customHeight="1">
      <c r="A5221" s="5" t="s">
        <v>31171</v>
      </c>
      <c r="B5221" s="5" t="s">
        <v>37872</v>
      </c>
      <c r="C5221" s="5" t="s">
        <v>37873</v>
      </c>
      <c r="D5221" s="246">
        <v>43746</v>
      </c>
      <c r="E5221" s="5" t="s">
        <v>37874</v>
      </c>
      <c r="F5221" s="26" t="s">
        <v>23600</v>
      </c>
      <c r="G5221" s="27" t="s">
        <v>15006</v>
      </c>
      <c r="H5221" s="28" t="s">
        <v>15007</v>
      </c>
      <c r="I5221" s="5" t="s">
        <v>1938</v>
      </c>
    </row>
    <row r="5222" spans="1:9" ht="51.75" customHeight="1">
      <c r="A5222" s="5" t="s">
        <v>31177</v>
      </c>
      <c r="B5222" s="5" t="s">
        <v>37875</v>
      </c>
      <c r="C5222" s="5" t="s">
        <v>37876</v>
      </c>
      <c r="D5222" s="246" t="s">
        <v>68</v>
      </c>
      <c r="E5222" s="5" t="s">
        <v>37877</v>
      </c>
      <c r="F5222" s="26" t="s">
        <v>23600</v>
      </c>
      <c r="G5222" s="27" t="s">
        <v>15006</v>
      </c>
      <c r="H5222" s="28" t="s">
        <v>15007</v>
      </c>
      <c r="I5222" s="5" t="s">
        <v>1938</v>
      </c>
    </row>
    <row r="5223" spans="1:9" ht="51.75" customHeight="1">
      <c r="A5223" s="5" t="s">
        <v>37878</v>
      </c>
      <c r="B5223" s="5" t="s">
        <v>37879</v>
      </c>
      <c r="C5223" s="5" t="s">
        <v>37880</v>
      </c>
      <c r="D5223" s="246">
        <v>43746</v>
      </c>
      <c r="E5223" s="5" t="s">
        <v>37881</v>
      </c>
      <c r="F5223" s="26" t="s">
        <v>23600</v>
      </c>
      <c r="G5223" s="27" t="s">
        <v>15006</v>
      </c>
      <c r="H5223" s="28" t="s">
        <v>15007</v>
      </c>
      <c r="I5223" s="5" t="s">
        <v>1938</v>
      </c>
    </row>
    <row r="5224" spans="1:9" ht="51.75" customHeight="1">
      <c r="A5224" s="5" t="s">
        <v>37882</v>
      </c>
      <c r="B5224" s="5" t="s">
        <v>37883</v>
      </c>
      <c r="C5224" s="5" t="s">
        <v>37884</v>
      </c>
      <c r="D5224" s="246">
        <v>43746</v>
      </c>
      <c r="E5224" s="5" t="s">
        <v>37885</v>
      </c>
      <c r="F5224" s="26" t="s">
        <v>23600</v>
      </c>
      <c r="G5224" s="27" t="s">
        <v>15006</v>
      </c>
      <c r="H5224" s="28" t="s">
        <v>15007</v>
      </c>
      <c r="I5224" s="5" t="s">
        <v>1938</v>
      </c>
    </row>
    <row r="5225" spans="1:9" ht="51.75" customHeight="1">
      <c r="A5225" s="5" t="s">
        <v>37886</v>
      </c>
      <c r="B5225" s="5" t="s">
        <v>37887</v>
      </c>
      <c r="C5225" s="5" t="s">
        <v>37888</v>
      </c>
      <c r="D5225" s="246">
        <v>43746</v>
      </c>
      <c r="E5225" s="5" t="s">
        <v>37889</v>
      </c>
      <c r="F5225" s="26" t="s">
        <v>23600</v>
      </c>
      <c r="G5225" s="27" t="s">
        <v>15006</v>
      </c>
      <c r="H5225" s="28" t="s">
        <v>15007</v>
      </c>
      <c r="I5225" s="5" t="s">
        <v>1938</v>
      </c>
    </row>
    <row r="5226" spans="1:9" ht="51.75" customHeight="1">
      <c r="A5226" s="5" t="s">
        <v>37890</v>
      </c>
      <c r="B5226" s="5" t="s">
        <v>37891</v>
      </c>
      <c r="C5226" s="5" t="s">
        <v>37892</v>
      </c>
      <c r="D5226" s="246">
        <v>43746</v>
      </c>
      <c r="E5226" s="5" t="s">
        <v>37893</v>
      </c>
      <c r="F5226" s="26" t="s">
        <v>23600</v>
      </c>
      <c r="G5226" s="27" t="s">
        <v>15006</v>
      </c>
      <c r="H5226" s="28" t="s">
        <v>15007</v>
      </c>
      <c r="I5226" s="5" t="s">
        <v>1938</v>
      </c>
    </row>
    <row r="5227" spans="1:9" ht="51.75" customHeight="1">
      <c r="A5227" s="5" t="s">
        <v>37894</v>
      </c>
      <c r="B5227" s="5" t="s">
        <v>37895</v>
      </c>
      <c r="C5227" s="5" t="s">
        <v>37896</v>
      </c>
      <c r="D5227" s="246">
        <v>43746</v>
      </c>
      <c r="E5227" s="5" t="s">
        <v>37897</v>
      </c>
      <c r="F5227" s="26" t="s">
        <v>23600</v>
      </c>
      <c r="G5227" s="27" t="s">
        <v>15006</v>
      </c>
      <c r="H5227" s="28" t="s">
        <v>15007</v>
      </c>
      <c r="I5227" s="5" t="s">
        <v>1938</v>
      </c>
    </row>
    <row r="5228" spans="1:9" ht="51.75" customHeight="1">
      <c r="A5228" s="5" t="s">
        <v>37898</v>
      </c>
      <c r="B5228" s="5" t="s">
        <v>37899</v>
      </c>
      <c r="C5228" s="5" t="s">
        <v>37900</v>
      </c>
      <c r="D5228" s="246">
        <v>43746</v>
      </c>
      <c r="E5228" s="5" t="s">
        <v>37901</v>
      </c>
      <c r="F5228" s="26" t="s">
        <v>23600</v>
      </c>
      <c r="G5228" s="27" t="s">
        <v>15006</v>
      </c>
      <c r="H5228" s="28" t="s">
        <v>15007</v>
      </c>
      <c r="I5228" s="5" t="s">
        <v>1938</v>
      </c>
    </row>
    <row r="5229" spans="1:9" ht="51.75" customHeight="1">
      <c r="A5229" s="5" t="s">
        <v>37902</v>
      </c>
      <c r="B5229" s="5" t="s">
        <v>37903</v>
      </c>
      <c r="C5229" s="5" t="s">
        <v>37904</v>
      </c>
      <c r="D5229" s="246">
        <v>43746</v>
      </c>
      <c r="E5229" s="5" t="s">
        <v>37905</v>
      </c>
      <c r="F5229" s="26" t="s">
        <v>23600</v>
      </c>
      <c r="G5229" s="27" t="s">
        <v>15006</v>
      </c>
      <c r="H5229" s="28" t="s">
        <v>15007</v>
      </c>
      <c r="I5229" s="5" t="s">
        <v>1938</v>
      </c>
    </row>
    <row r="5230" spans="1:9" ht="51.75" customHeight="1">
      <c r="A5230" s="5" t="s">
        <v>26476</v>
      </c>
      <c r="B5230" s="5" t="s">
        <v>37906</v>
      </c>
      <c r="C5230" s="5" t="s">
        <v>31210</v>
      </c>
      <c r="D5230" s="246" t="s">
        <v>68</v>
      </c>
      <c r="E5230" s="5" t="s">
        <v>37907</v>
      </c>
      <c r="F5230" s="26" t="s">
        <v>23600</v>
      </c>
      <c r="G5230" s="27" t="s">
        <v>15359</v>
      </c>
      <c r="H5230" s="28" t="s">
        <v>15360</v>
      </c>
      <c r="I5230" s="5" t="s">
        <v>1938</v>
      </c>
    </row>
    <row r="5231" spans="1:9" ht="51.75" customHeight="1">
      <c r="A5231" s="5" t="s">
        <v>34530</v>
      </c>
      <c r="B5231" s="5" t="s">
        <v>37908</v>
      </c>
      <c r="C5231" s="5" t="s">
        <v>37909</v>
      </c>
      <c r="D5231" s="246" t="s">
        <v>68</v>
      </c>
      <c r="E5231" s="5" t="s">
        <v>37910</v>
      </c>
      <c r="F5231" s="26" t="s">
        <v>23600</v>
      </c>
      <c r="G5231" s="27" t="s">
        <v>15359</v>
      </c>
      <c r="H5231" s="28" t="s">
        <v>15360</v>
      </c>
      <c r="I5231" s="5" t="s">
        <v>1938</v>
      </c>
    </row>
    <row r="5232" spans="1:9" ht="51.75" customHeight="1">
      <c r="A5232" s="5" t="s">
        <v>34534</v>
      </c>
      <c r="B5232" s="5" t="s">
        <v>37911</v>
      </c>
      <c r="C5232" s="5" t="s">
        <v>37912</v>
      </c>
      <c r="D5232" s="246" t="s">
        <v>68</v>
      </c>
      <c r="E5232" s="5" t="s">
        <v>37913</v>
      </c>
      <c r="F5232" s="26" t="s">
        <v>23600</v>
      </c>
      <c r="G5232" s="27" t="s">
        <v>15359</v>
      </c>
      <c r="H5232" s="28" t="s">
        <v>15360</v>
      </c>
      <c r="I5232" s="5" t="s">
        <v>1938</v>
      </c>
    </row>
    <row r="5233" spans="1:9" ht="51.75" customHeight="1">
      <c r="A5233" s="5" t="s">
        <v>29056</v>
      </c>
      <c r="B5233" s="5" t="s">
        <v>37914</v>
      </c>
      <c r="C5233" s="5" t="s">
        <v>37915</v>
      </c>
      <c r="D5233" s="246" t="s">
        <v>68</v>
      </c>
      <c r="E5233" s="5" t="s">
        <v>37916</v>
      </c>
      <c r="F5233" s="26" t="s">
        <v>23600</v>
      </c>
      <c r="G5233" s="27" t="s">
        <v>15359</v>
      </c>
      <c r="H5233" s="28" t="s">
        <v>15360</v>
      </c>
      <c r="I5233" s="5" t="s">
        <v>1938</v>
      </c>
    </row>
    <row r="5234" spans="1:9" ht="51.75" customHeight="1">
      <c r="A5234" s="5" t="s">
        <v>28428</v>
      </c>
      <c r="B5234" s="5" t="s">
        <v>37917</v>
      </c>
      <c r="C5234" s="5" t="s">
        <v>37918</v>
      </c>
      <c r="D5234" s="246" t="s">
        <v>68</v>
      </c>
      <c r="E5234" s="5" t="s">
        <v>37918</v>
      </c>
      <c r="F5234" s="26" t="s">
        <v>23600</v>
      </c>
      <c r="G5234" s="27" t="s">
        <v>15359</v>
      </c>
      <c r="H5234" s="28" t="s">
        <v>15360</v>
      </c>
      <c r="I5234" s="5" t="s">
        <v>1938</v>
      </c>
    </row>
    <row r="5235" spans="1:9" ht="51.75" customHeight="1">
      <c r="A5235" s="5" t="s">
        <v>28431</v>
      </c>
      <c r="B5235" s="5" t="s">
        <v>37919</v>
      </c>
      <c r="C5235" s="5" t="s">
        <v>37920</v>
      </c>
      <c r="D5235" s="246" t="s">
        <v>68</v>
      </c>
      <c r="E5235" s="5" t="s">
        <v>37921</v>
      </c>
      <c r="F5235" s="26" t="s">
        <v>23600</v>
      </c>
      <c r="G5235" s="27" t="s">
        <v>15359</v>
      </c>
      <c r="H5235" s="28" t="s">
        <v>15360</v>
      </c>
      <c r="I5235" s="5" t="s">
        <v>1938</v>
      </c>
    </row>
    <row r="5236" spans="1:9" ht="51.75" customHeight="1">
      <c r="A5236" s="5" t="s">
        <v>28434</v>
      </c>
      <c r="B5236" s="5" t="s">
        <v>37922</v>
      </c>
      <c r="C5236" s="5" t="s">
        <v>37923</v>
      </c>
      <c r="D5236" s="246" t="s">
        <v>68</v>
      </c>
      <c r="E5236" s="5" t="s">
        <v>37924</v>
      </c>
      <c r="F5236" s="26" t="s">
        <v>23600</v>
      </c>
      <c r="G5236" s="27" t="s">
        <v>15359</v>
      </c>
      <c r="H5236" s="28" t="s">
        <v>15360</v>
      </c>
      <c r="I5236" s="5" t="s">
        <v>1938</v>
      </c>
    </row>
    <row r="5237" spans="1:9" ht="51.75" customHeight="1">
      <c r="A5237" s="5" t="s">
        <v>23938</v>
      </c>
      <c r="B5237" s="5" t="s">
        <v>37925</v>
      </c>
      <c r="C5237" s="5" t="s">
        <v>31210</v>
      </c>
      <c r="D5237" s="246" t="s">
        <v>68</v>
      </c>
      <c r="E5237" s="5" t="s">
        <v>37926</v>
      </c>
      <c r="F5237" s="26" t="s">
        <v>23600</v>
      </c>
      <c r="G5237" s="27" t="s">
        <v>15449</v>
      </c>
      <c r="H5237" s="28" t="s">
        <v>15450</v>
      </c>
      <c r="I5237" s="5" t="s">
        <v>1938</v>
      </c>
    </row>
    <row r="5238" spans="1:9" ht="51.75" customHeight="1">
      <c r="A5238" s="5" t="s">
        <v>24519</v>
      </c>
      <c r="B5238" s="5" t="s">
        <v>37927</v>
      </c>
      <c r="C5238" s="5" t="s">
        <v>31213</v>
      </c>
      <c r="D5238" s="246" t="s">
        <v>68</v>
      </c>
      <c r="E5238" s="5" t="s">
        <v>37928</v>
      </c>
      <c r="F5238" s="26" t="s">
        <v>23600</v>
      </c>
      <c r="G5238" s="27" t="s">
        <v>15449</v>
      </c>
      <c r="H5238" s="28" t="s">
        <v>15450</v>
      </c>
      <c r="I5238" s="5" t="s">
        <v>1938</v>
      </c>
    </row>
    <row r="5239" spans="1:9" ht="51.75" customHeight="1">
      <c r="A5239" s="5" t="s">
        <v>26465</v>
      </c>
      <c r="B5239" s="5" t="s">
        <v>37929</v>
      </c>
      <c r="C5239" s="5" t="s">
        <v>31216</v>
      </c>
      <c r="D5239" s="246" t="s">
        <v>68</v>
      </c>
      <c r="E5239" s="5" t="s">
        <v>37930</v>
      </c>
      <c r="F5239" s="26" t="s">
        <v>23600</v>
      </c>
      <c r="G5239" s="27" t="s">
        <v>15449</v>
      </c>
      <c r="H5239" s="28" t="s">
        <v>15450</v>
      </c>
      <c r="I5239" s="5" t="s">
        <v>1938</v>
      </c>
    </row>
    <row r="5240" spans="1:9" ht="51.75" customHeight="1">
      <c r="A5240" s="5" t="s">
        <v>23964</v>
      </c>
      <c r="B5240" s="5" t="s">
        <v>37931</v>
      </c>
      <c r="C5240" s="5" t="s">
        <v>31219</v>
      </c>
      <c r="D5240" s="246" t="s">
        <v>68</v>
      </c>
      <c r="E5240" s="5" t="s">
        <v>37932</v>
      </c>
      <c r="F5240" s="26"/>
      <c r="G5240" s="27" t="s">
        <v>15449</v>
      </c>
      <c r="H5240" s="28" t="s">
        <v>15450</v>
      </c>
      <c r="I5240" s="5" t="s">
        <v>1938</v>
      </c>
    </row>
    <row r="5241" spans="1:9" ht="51.75" customHeight="1">
      <c r="A5241" s="5" t="s">
        <v>37933</v>
      </c>
      <c r="B5241" s="5" t="s">
        <v>37934</v>
      </c>
      <c r="C5241" s="5" t="s">
        <v>37935</v>
      </c>
      <c r="D5241" s="246" t="s">
        <v>68</v>
      </c>
      <c r="E5241" s="5" t="s">
        <v>37936</v>
      </c>
      <c r="F5241" s="26" t="s">
        <v>23600</v>
      </c>
      <c r="G5241" s="27" t="s">
        <v>15485</v>
      </c>
      <c r="H5241" s="28" t="s">
        <v>15486</v>
      </c>
      <c r="I5241" s="5" t="s">
        <v>1938</v>
      </c>
    </row>
    <row r="5242" spans="1:9" ht="51.75" customHeight="1">
      <c r="A5242" s="5" t="s">
        <v>37937</v>
      </c>
      <c r="B5242" s="5" t="s">
        <v>37938</v>
      </c>
      <c r="C5242" s="5" t="s">
        <v>37939</v>
      </c>
      <c r="D5242" s="246" t="s">
        <v>68</v>
      </c>
      <c r="E5242" s="5" t="s">
        <v>37940</v>
      </c>
      <c r="F5242" s="26" t="s">
        <v>23600</v>
      </c>
      <c r="G5242" s="27" t="s">
        <v>15485</v>
      </c>
      <c r="H5242" s="28" t="s">
        <v>15486</v>
      </c>
      <c r="I5242" s="5" t="s">
        <v>1938</v>
      </c>
    </row>
    <row r="5243" spans="1:9" ht="51.75" customHeight="1">
      <c r="A5243" s="5" t="s">
        <v>37941</v>
      </c>
      <c r="B5243" s="5" t="s">
        <v>37942</v>
      </c>
      <c r="C5243" s="5" t="s">
        <v>37943</v>
      </c>
      <c r="D5243" s="246" t="s">
        <v>68</v>
      </c>
      <c r="E5243" s="5" t="s">
        <v>37944</v>
      </c>
      <c r="F5243" s="26" t="s">
        <v>23600</v>
      </c>
      <c r="G5243" s="27" t="s">
        <v>15485</v>
      </c>
      <c r="H5243" s="28" t="s">
        <v>15486</v>
      </c>
      <c r="I5243" s="5" t="s">
        <v>1938</v>
      </c>
    </row>
    <row r="5244" spans="1:9" ht="51.75" customHeight="1">
      <c r="A5244" s="5" t="s">
        <v>28237</v>
      </c>
      <c r="B5244" s="5" t="s">
        <v>37945</v>
      </c>
      <c r="C5244" s="5" t="s">
        <v>37946</v>
      </c>
      <c r="D5244" s="246">
        <v>43978</v>
      </c>
      <c r="E5244" s="5" t="s">
        <v>37947</v>
      </c>
      <c r="F5244" s="26" t="s">
        <v>23600</v>
      </c>
      <c r="G5244" s="27" t="s">
        <v>16526</v>
      </c>
      <c r="H5244" s="28" t="s">
        <v>16527</v>
      </c>
      <c r="I5244" s="5" t="s">
        <v>1938</v>
      </c>
    </row>
    <row r="5245" spans="1:9" ht="51.75" customHeight="1">
      <c r="A5245" s="5" t="s">
        <v>28240</v>
      </c>
      <c r="B5245" s="5" t="s">
        <v>37948</v>
      </c>
      <c r="C5245" s="5" t="s">
        <v>37949</v>
      </c>
      <c r="D5245" s="246">
        <v>43978</v>
      </c>
      <c r="E5245" s="5" t="s">
        <v>37950</v>
      </c>
      <c r="F5245" s="26" t="s">
        <v>23600</v>
      </c>
      <c r="G5245" s="27" t="s">
        <v>16526</v>
      </c>
      <c r="H5245" s="28" t="s">
        <v>16527</v>
      </c>
      <c r="I5245" s="5" t="s">
        <v>1938</v>
      </c>
    </row>
    <row r="5246" spans="1:9" ht="51.75" customHeight="1">
      <c r="A5246" s="5"/>
      <c r="B5246" s="5" t="s">
        <v>37951</v>
      </c>
      <c r="C5246" s="5" t="s">
        <v>37952</v>
      </c>
      <c r="D5246" s="246">
        <v>44181</v>
      </c>
      <c r="E5246" s="5" t="s">
        <v>37953</v>
      </c>
      <c r="F5246" s="26" t="s">
        <v>23600</v>
      </c>
      <c r="G5246" s="27" t="s">
        <v>17249</v>
      </c>
      <c r="H5246" s="28" t="s">
        <v>17250</v>
      </c>
      <c r="I5246" s="5" t="s">
        <v>1938</v>
      </c>
    </row>
    <row r="5247" spans="1:9" ht="51.75" customHeight="1">
      <c r="A5247" s="5"/>
      <c r="B5247" s="5" t="s">
        <v>37954</v>
      </c>
      <c r="C5247" s="5" t="s">
        <v>37955</v>
      </c>
      <c r="D5247" s="246">
        <v>44181</v>
      </c>
      <c r="E5247" s="5" t="s">
        <v>37956</v>
      </c>
      <c r="F5247" s="26" t="s">
        <v>23600</v>
      </c>
      <c r="G5247" s="27" t="s">
        <v>17249</v>
      </c>
      <c r="H5247" s="28" t="s">
        <v>17250</v>
      </c>
      <c r="I5247" s="5" t="s">
        <v>1938</v>
      </c>
    </row>
    <row r="5248" spans="1:9" ht="51.75" customHeight="1">
      <c r="A5248" s="5"/>
      <c r="B5248" s="5" t="s">
        <v>37957</v>
      </c>
      <c r="C5248" s="5" t="s">
        <v>37958</v>
      </c>
      <c r="D5248" s="246">
        <v>44181</v>
      </c>
      <c r="E5248" s="5" t="s">
        <v>37959</v>
      </c>
      <c r="F5248" s="26" t="s">
        <v>23600</v>
      </c>
      <c r="G5248" s="27" t="s">
        <v>17249</v>
      </c>
      <c r="H5248" s="28" t="s">
        <v>17250</v>
      </c>
      <c r="I5248" s="5" t="s">
        <v>1938</v>
      </c>
    </row>
    <row r="5249" spans="1:9" ht="51.75" customHeight="1">
      <c r="A5249" s="5"/>
      <c r="B5249" s="5" t="s">
        <v>37960</v>
      </c>
      <c r="C5249" s="5" t="s">
        <v>37961</v>
      </c>
      <c r="D5249" s="246">
        <v>44181</v>
      </c>
      <c r="E5249" s="5" t="s">
        <v>37962</v>
      </c>
      <c r="F5249" s="26" t="s">
        <v>23600</v>
      </c>
      <c r="G5249" s="27" t="s">
        <v>17249</v>
      </c>
      <c r="H5249" s="28" t="s">
        <v>17250</v>
      </c>
      <c r="I5249" s="5" t="s">
        <v>1938</v>
      </c>
    </row>
    <row r="5250" spans="1:9" ht="51.75" customHeight="1">
      <c r="A5250" s="5"/>
      <c r="B5250" s="5" t="s">
        <v>37963</v>
      </c>
      <c r="C5250" s="5" t="s">
        <v>37964</v>
      </c>
      <c r="D5250" s="246">
        <v>44245</v>
      </c>
      <c r="E5250" s="5" t="s">
        <v>37965</v>
      </c>
      <c r="F5250" s="26" t="s">
        <v>23600</v>
      </c>
      <c r="G5250" s="27" t="s">
        <v>17720</v>
      </c>
      <c r="H5250" s="28" t="s">
        <v>17721</v>
      </c>
      <c r="I5250" s="5" t="s">
        <v>1938</v>
      </c>
    </row>
    <row r="5251" spans="1:9" ht="51.75" customHeight="1">
      <c r="A5251" s="5"/>
      <c r="B5251" s="5" t="s">
        <v>37966</v>
      </c>
      <c r="C5251" s="5" t="s">
        <v>37967</v>
      </c>
      <c r="D5251" s="246">
        <v>44245</v>
      </c>
      <c r="E5251" s="5" t="s">
        <v>37968</v>
      </c>
      <c r="F5251" s="26" t="s">
        <v>23600</v>
      </c>
      <c r="G5251" s="27" t="s">
        <v>17720</v>
      </c>
      <c r="H5251" s="28" t="s">
        <v>17721</v>
      </c>
      <c r="I5251" s="5" t="s">
        <v>1938</v>
      </c>
    </row>
    <row r="5252" spans="1:9" ht="51.75" customHeight="1">
      <c r="A5252" s="5"/>
      <c r="B5252" s="5" t="s">
        <v>37969</v>
      </c>
      <c r="C5252" s="5" t="s">
        <v>37970</v>
      </c>
      <c r="D5252" s="246">
        <v>44245</v>
      </c>
      <c r="E5252" s="5" t="s">
        <v>37971</v>
      </c>
      <c r="F5252" s="26" t="s">
        <v>23600</v>
      </c>
      <c r="G5252" s="27" t="s">
        <v>17720</v>
      </c>
      <c r="H5252" s="28" t="s">
        <v>17721</v>
      </c>
      <c r="I5252" s="5" t="s">
        <v>1938</v>
      </c>
    </row>
    <row r="5253" spans="1:9" ht="51.75" customHeight="1">
      <c r="A5253" s="5"/>
      <c r="B5253" s="5" t="s">
        <v>37972</v>
      </c>
      <c r="C5253" s="5" t="s">
        <v>37973</v>
      </c>
      <c r="D5253" s="246">
        <v>44245</v>
      </c>
      <c r="E5253" s="5" t="s">
        <v>37974</v>
      </c>
      <c r="F5253" s="26" t="s">
        <v>23600</v>
      </c>
      <c r="G5253" s="27" t="s">
        <v>17720</v>
      </c>
      <c r="H5253" s="28" t="s">
        <v>17721</v>
      </c>
      <c r="I5253" s="30" t="s">
        <v>1938</v>
      </c>
    </row>
    <row r="5254" spans="1:9" ht="51.75" customHeight="1">
      <c r="A5254" s="5"/>
      <c r="B5254" s="5" t="s">
        <v>37975</v>
      </c>
      <c r="C5254" s="5" t="s">
        <v>37976</v>
      </c>
      <c r="D5254" s="246">
        <v>44245</v>
      </c>
      <c r="E5254" s="5" t="s">
        <v>37977</v>
      </c>
      <c r="F5254" s="26" t="s">
        <v>23600</v>
      </c>
      <c r="G5254" s="5" t="s">
        <v>17837</v>
      </c>
      <c r="H5254" s="28" t="s">
        <v>17838</v>
      </c>
      <c r="I5254" s="30" t="s">
        <v>1938</v>
      </c>
    </row>
    <row r="5255" spans="1:9" ht="51.75" customHeight="1">
      <c r="A5255" s="5"/>
      <c r="B5255" s="5" t="s">
        <v>37978</v>
      </c>
      <c r="C5255" s="5" t="s">
        <v>37979</v>
      </c>
      <c r="D5255" s="246">
        <v>44245</v>
      </c>
      <c r="E5255" s="5" t="s">
        <v>37980</v>
      </c>
      <c r="F5255" s="26" t="s">
        <v>23600</v>
      </c>
      <c r="G5255" s="5" t="s">
        <v>17837</v>
      </c>
      <c r="H5255" s="28" t="s">
        <v>17838</v>
      </c>
      <c r="I5255" s="30" t="s">
        <v>1938</v>
      </c>
    </row>
    <row r="5256" spans="1:9" ht="51.75" customHeight="1">
      <c r="A5256" s="5"/>
      <c r="B5256" s="5" t="s">
        <v>37981</v>
      </c>
      <c r="C5256" s="5" t="s">
        <v>37982</v>
      </c>
      <c r="D5256" s="246">
        <v>44245</v>
      </c>
      <c r="E5256" s="5" t="s">
        <v>37983</v>
      </c>
      <c r="F5256" s="26" t="s">
        <v>23600</v>
      </c>
      <c r="G5256" s="5" t="s">
        <v>17837</v>
      </c>
      <c r="H5256" s="28" t="s">
        <v>17838</v>
      </c>
      <c r="I5256" s="30" t="s">
        <v>1938</v>
      </c>
    </row>
    <row r="5257" spans="1:9" ht="51.75" customHeight="1">
      <c r="A5257" s="41"/>
      <c r="B5257" s="5" t="s">
        <v>37984</v>
      </c>
      <c r="C5257" s="5" t="s">
        <v>37985</v>
      </c>
      <c r="D5257" s="246">
        <v>44245</v>
      </c>
      <c r="E5257" s="5" t="s">
        <v>37986</v>
      </c>
      <c r="F5257" s="26" t="s">
        <v>23600</v>
      </c>
      <c r="G5257" s="5" t="s">
        <v>17837</v>
      </c>
      <c r="H5257" s="28" t="s">
        <v>17838</v>
      </c>
      <c r="I5257" s="30" t="s">
        <v>1938</v>
      </c>
    </row>
    <row r="5258" spans="1:9" ht="51.75" customHeight="1">
      <c r="A5258" s="5">
        <v>1</v>
      </c>
      <c r="B5258" s="5" t="s">
        <v>37987</v>
      </c>
      <c r="C5258" s="5" t="s">
        <v>37988</v>
      </c>
      <c r="D5258" s="246">
        <v>40828</v>
      </c>
      <c r="E5258" s="5" t="s">
        <v>37989</v>
      </c>
      <c r="F5258" s="26"/>
      <c r="G5258" s="27" t="s">
        <v>5354</v>
      </c>
      <c r="H5258" s="28" t="s">
        <v>5355</v>
      </c>
      <c r="I5258" s="5" t="s">
        <v>1572</v>
      </c>
    </row>
    <row r="5259" spans="1:9" ht="51.75" customHeight="1">
      <c r="A5259" s="5">
        <v>2</v>
      </c>
      <c r="B5259" s="5" t="s">
        <v>37990</v>
      </c>
      <c r="C5259" s="5" t="s">
        <v>37991</v>
      </c>
      <c r="D5259" s="246">
        <v>40828</v>
      </c>
      <c r="E5259" s="5" t="s">
        <v>37992</v>
      </c>
      <c r="F5259" s="26"/>
      <c r="G5259" s="27" t="s">
        <v>5354</v>
      </c>
      <c r="H5259" s="28" t="s">
        <v>5355</v>
      </c>
      <c r="I5259" s="5" t="s">
        <v>1572</v>
      </c>
    </row>
    <row r="5260" spans="1:9" ht="51.75" customHeight="1">
      <c r="A5260" s="5">
        <v>3</v>
      </c>
      <c r="B5260" s="5" t="s">
        <v>37993</v>
      </c>
      <c r="C5260" s="5" t="s">
        <v>37994</v>
      </c>
      <c r="D5260" s="246">
        <v>40828</v>
      </c>
      <c r="E5260" s="5" t="s">
        <v>37995</v>
      </c>
      <c r="F5260" s="26"/>
      <c r="G5260" s="27" t="s">
        <v>5354</v>
      </c>
      <c r="H5260" s="28" t="s">
        <v>5355</v>
      </c>
      <c r="I5260" s="5" t="s">
        <v>1572</v>
      </c>
    </row>
    <row r="5261" spans="1:9" ht="51.75" customHeight="1">
      <c r="A5261" s="5">
        <v>4</v>
      </c>
      <c r="B5261" s="5" t="s">
        <v>37996</v>
      </c>
      <c r="C5261" s="5" t="s">
        <v>37997</v>
      </c>
      <c r="D5261" s="246">
        <v>40828</v>
      </c>
      <c r="E5261" s="5" t="s">
        <v>37998</v>
      </c>
      <c r="F5261" s="26"/>
      <c r="G5261" s="27" t="s">
        <v>5354</v>
      </c>
      <c r="H5261" s="28" t="s">
        <v>5355</v>
      </c>
      <c r="I5261" s="5" t="s">
        <v>1572</v>
      </c>
    </row>
    <row r="5262" spans="1:9" ht="51.75" customHeight="1">
      <c r="A5262" s="5">
        <v>1</v>
      </c>
      <c r="B5262" s="5" t="s">
        <v>37999</v>
      </c>
      <c r="C5262" s="5" t="s">
        <v>38000</v>
      </c>
      <c r="D5262" s="246">
        <v>40828</v>
      </c>
      <c r="E5262" s="5" t="s">
        <v>38000</v>
      </c>
      <c r="F5262" s="26"/>
      <c r="G5262" s="27" t="s">
        <v>5299</v>
      </c>
      <c r="H5262" s="28" t="s">
        <v>5300</v>
      </c>
      <c r="I5262" s="5" t="s">
        <v>1572</v>
      </c>
    </row>
    <row r="5263" spans="1:9" ht="51.75" customHeight="1">
      <c r="A5263" s="5">
        <v>2</v>
      </c>
      <c r="B5263" s="5" t="s">
        <v>38001</v>
      </c>
      <c r="C5263" s="5" t="s">
        <v>38002</v>
      </c>
      <c r="D5263" s="246">
        <v>40828</v>
      </c>
      <c r="E5263" s="5" t="s">
        <v>38003</v>
      </c>
      <c r="F5263" s="26"/>
      <c r="G5263" s="27" t="s">
        <v>5299</v>
      </c>
      <c r="H5263" s="28" t="s">
        <v>5300</v>
      </c>
      <c r="I5263" s="5" t="s">
        <v>1572</v>
      </c>
    </row>
    <row r="5264" spans="1:9" ht="51.75" customHeight="1">
      <c r="A5264" s="5">
        <v>3</v>
      </c>
      <c r="B5264" s="5" t="s">
        <v>38004</v>
      </c>
      <c r="C5264" s="5" t="s">
        <v>38005</v>
      </c>
      <c r="D5264" s="246">
        <v>40828</v>
      </c>
      <c r="E5264" s="5" t="s">
        <v>38006</v>
      </c>
      <c r="F5264" s="26"/>
      <c r="G5264" s="27" t="s">
        <v>5299</v>
      </c>
      <c r="H5264" s="28" t="s">
        <v>5300</v>
      </c>
      <c r="I5264" s="5" t="s">
        <v>1572</v>
      </c>
    </row>
    <row r="5265" spans="1:9" ht="51.75" customHeight="1">
      <c r="A5265" s="5">
        <v>1</v>
      </c>
      <c r="B5265" s="5" t="s">
        <v>38007</v>
      </c>
      <c r="C5265" s="5" t="s">
        <v>38008</v>
      </c>
      <c r="D5265" s="246">
        <v>40826</v>
      </c>
      <c r="E5265" s="5" t="s">
        <v>38009</v>
      </c>
      <c r="F5265" s="26"/>
      <c r="G5265" s="27" t="s">
        <v>5256</v>
      </c>
      <c r="H5265" s="28" t="s">
        <v>5257</v>
      </c>
      <c r="I5265" s="5" t="s">
        <v>1572</v>
      </c>
    </row>
    <row r="5266" spans="1:9" ht="51.75" customHeight="1">
      <c r="A5266" s="5">
        <v>2</v>
      </c>
      <c r="B5266" s="5" t="s">
        <v>38010</v>
      </c>
      <c r="C5266" s="5" t="s">
        <v>38011</v>
      </c>
      <c r="D5266" s="246">
        <v>40826</v>
      </c>
      <c r="E5266" s="5" t="s">
        <v>38012</v>
      </c>
      <c r="F5266" s="26"/>
      <c r="G5266" s="27" t="s">
        <v>5256</v>
      </c>
      <c r="H5266" s="28" t="s">
        <v>5257</v>
      </c>
      <c r="I5266" s="5" t="s">
        <v>1572</v>
      </c>
    </row>
    <row r="5267" spans="1:9" ht="51.75" customHeight="1">
      <c r="A5267" s="5">
        <v>3</v>
      </c>
      <c r="B5267" s="5" t="s">
        <v>38013</v>
      </c>
      <c r="C5267" s="5" t="s">
        <v>38014</v>
      </c>
      <c r="D5267" s="246">
        <v>40826</v>
      </c>
      <c r="E5267" s="5" t="s">
        <v>38015</v>
      </c>
      <c r="F5267" s="26"/>
      <c r="G5267" s="27" t="s">
        <v>5256</v>
      </c>
      <c r="H5267" s="28" t="s">
        <v>5257</v>
      </c>
      <c r="I5267" s="5" t="s">
        <v>1572</v>
      </c>
    </row>
    <row r="5268" spans="1:9" ht="51.75" customHeight="1">
      <c r="A5268" s="5">
        <v>1</v>
      </c>
      <c r="B5268" s="5" t="s">
        <v>38016</v>
      </c>
      <c r="C5268" s="5" t="s">
        <v>38017</v>
      </c>
      <c r="D5268" s="246">
        <v>40534</v>
      </c>
      <c r="E5268" s="5" t="s">
        <v>38018</v>
      </c>
      <c r="F5268" s="26"/>
      <c r="G5268" s="27" t="s">
        <v>5184</v>
      </c>
      <c r="H5268" s="28" t="s">
        <v>5185</v>
      </c>
      <c r="I5268" s="5" t="s">
        <v>1572</v>
      </c>
    </row>
    <row r="5269" spans="1:9" ht="51.75" customHeight="1">
      <c r="A5269" s="5">
        <v>2</v>
      </c>
      <c r="B5269" s="5" t="s">
        <v>38019</v>
      </c>
      <c r="C5269" s="5" t="s">
        <v>38020</v>
      </c>
      <c r="D5269" s="246">
        <v>40534</v>
      </c>
      <c r="E5269" s="5" t="s">
        <v>38021</v>
      </c>
      <c r="F5269" s="26"/>
      <c r="G5269" s="27" t="s">
        <v>5184</v>
      </c>
      <c r="H5269" s="28" t="s">
        <v>5185</v>
      </c>
      <c r="I5269" s="5" t="s">
        <v>1572</v>
      </c>
    </row>
    <row r="5270" spans="1:9" ht="51.75" customHeight="1">
      <c r="A5270" s="5">
        <v>1</v>
      </c>
      <c r="B5270" s="5" t="s">
        <v>38022</v>
      </c>
      <c r="C5270" s="5" t="s">
        <v>38023</v>
      </c>
      <c r="D5270" s="246">
        <v>40704</v>
      </c>
      <c r="E5270" s="5" t="s">
        <v>38024</v>
      </c>
      <c r="F5270" s="26"/>
      <c r="G5270" s="27" t="s">
        <v>5166</v>
      </c>
      <c r="H5270" s="28" t="s">
        <v>5167</v>
      </c>
      <c r="I5270" s="5" t="s">
        <v>1572</v>
      </c>
    </row>
    <row r="5271" spans="1:9" ht="51.75" customHeight="1">
      <c r="A5271" s="5">
        <v>2</v>
      </c>
      <c r="B5271" s="5" t="s">
        <v>38025</v>
      </c>
      <c r="C5271" s="5" t="s">
        <v>38026</v>
      </c>
      <c r="D5271" s="246">
        <v>40704</v>
      </c>
      <c r="E5271" s="5" t="s">
        <v>38027</v>
      </c>
      <c r="F5271" s="26"/>
      <c r="G5271" s="27" t="s">
        <v>5166</v>
      </c>
      <c r="H5271" s="28" t="s">
        <v>5167</v>
      </c>
      <c r="I5271" s="5" t="s">
        <v>1572</v>
      </c>
    </row>
    <row r="5272" spans="1:9" ht="51.75" customHeight="1">
      <c r="A5272" s="5">
        <v>3</v>
      </c>
      <c r="B5272" s="5" t="s">
        <v>38028</v>
      </c>
      <c r="C5272" s="5" t="s">
        <v>38029</v>
      </c>
      <c r="D5272" s="246">
        <v>40704</v>
      </c>
      <c r="E5272" s="5" t="s">
        <v>38030</v>
      </c>
      <c r="F5272" s="26"/>
      <c r="G5272" s="27" t="s">
        <v>5166</v>
      </c>
      <c r="H5272" s="28" t="s">
        <v>5167</v>
      </c>
      <c r="I5272" s="5" t="s">
        <v>1572</v>
      </c>
    </row>
    <row r="5273" spans="1:9" ht="51.75" customHeight="1">
      <c r="A5273" s="5">
        <v>1</v>
      </c>
      <c r="B5273" s="5" t="s">
        <v>38031</v>
      </c>
      <c r="C5273" s="5" t="s">
        <v>38032</v>
      </c>
      <c r="D5273" s="246">
        <v>40718</v>
      </c>
      <c r="E5273" s="5" t="s">
        <v>38033</v>
      </c>
      <c r="F5273" s="26"/>
      <c r="G5273" s="27" t="s">
        <v>5160</v>
      </c>
      <c r="H5273" s="28" t="s">
        <v>5161</v>
      </c>
      <c r="I5273" s="5" t="s">
        <v>1572</v>
      </c>
    </row>
    <row r="5274" spans="1:9" ht="51.75" customHeight="1">
      <c r="A5274" s="5">
        <v>1</v>
      </c>
      <c r="B5274" s="5" t="s">
        <v>38034</v>
      </c>
      <c r="C5274" s="5" t="s">
        <v>38035</v>
      </c>
      <c r="D5274" s="246">
        <v>40688</v>
      </c>
      <c r="E5274" s="5" t="s">
        <v>38036</v>
      </c>
      <c r="F5274" s="26"/>
      <c r="G5274" s="27" t="s">
        <v>5124</v>
      </c>
      <c r="H5274" s="28" t="s">
        <v>5125</v>
      </c>
      <c r="I5274" s="5" t="s">
        <v>1572</v>
      </c>
    </row>
    <row r="5275" spans="1:9" ht="51.75" customHeight="1">
      <c r="A5275" s="5">
        <v>2</v>
      </c>
      <c r="B5275" s="5" t="s">
        <v>38037</v>
      </c>
      <c r="C5275" s="5" t="s">
        <v>38038</v>
      </c>
      <c r="D5275" s="246">
        <v>40688</v>
      </c>
      <c r="E5275" s="5" t="s">
        <v>38039</v>
      </c>
      <c r="F5275" s="26"/>
      <c r="G5275" s="27" t="s">
        <v>5124</v>
      </c>
      <c r="H5275" s="28" t="s">
        <v>5125</v>
      </c>
      <c r="I5275" s="5" t="s">
        <v>1572</v>
      </c>
    </row>
    <row r="5276" spans="1:9" ht="51.75" customHeight="1">
      <c r="A5276" s="5">
        <v>3</v>
      </c>
      <c r="B5276" s="5" t="s">
        <v>38040</v>
      </c>
      <c r="C5276" s="5" t="s">
        <v>38041</v>
      </c>
      <c r="D5276" s="246">
        <v>40688</v>
      </c>
      <c r="E5276" s="5" t="s">
        <v>38042</v>
      </c>
      <c r="F5276" s="26"/>
      <c r="G5276" s="27" t="s">
        <v>5124</v>
      </c>
      <c r="H5276" s="28" t="s">
        <v>5125</v>
      </c>
      <c r="I5276" s="5" t="s">
        <v>1572</v>
      </c>
    </row>
    <row r="5277" spans="1:9" ht="51.75" customHeight="1">
      <c r="A5277" s="5">
        <v>4</v>
      </c>
      <c r="B5277" s="5" t="s">
        <v>38043</v>
      </c>
      <c r="C5277" s="5" t="s">
        <v>38044</v>
      </c>
      <c r="D5277" s="246">
        <v>40688</v>
      </c>
      <c r="E5277" s="5" t="s">
        <v>38045</v>
      </c>
      <c r="F5277" s="26"/>
      <c r="G5277" s="27" t="s">
        <v>5124</v>
      </c>
      <c r="H5277" s="28" t="s">
        <v>5125</v>
      </c>
      <c r="I5277" s="5" t="s">
        <v>1572</v>
      </c>
    </row>
    <row r="5278" spans="1:9" ht="51.75" customHeight="1">
      <c r="A5278" s="5">
        <v>5</v>
      </c>
      <c r="B5278" s="5" t="s">
        <v>38046</v>
      </c>
      <c r="C5278" s="5" t="s">
        <v>38047</v>
      </c>
      <c r="D5278" s="246">
        <v>40688</v>
      </c>
      <c r="E5278" s="5" t="s">
        <v>38048</v>
      </c>
      <c r="F5278" s="26"/>
      <c r="G5278" s="27" t="s">
        <v>5124</v>
      </c>
      <c r="H5278" s="28" t="s">
        <v>5125</v>
      </c>
      <c r="I5278" s="5" t="s">
        <v>1572</v>
      </c>
    </row>
    <row r="5279" spans="1:9" ht="51.75" customHeight="1">
      <c r="A5279" s="5">
        <v>1</v>
      </c>
      <c r="B5279" s="5" t="s">
        <v>38049</v>
      </c>
      <c r="C5279" s="5" t="s">
        <v>38050</v>
      </c>
      <c r="D5279" s="246">
        <v>40491</v>
      </c>
      <c r="E5279" s="5" t="s">
        <v>38051</v>
      </c>
      <c r="F5279" s="26"/>
      <c r="G5279" s="27" t="s">
        <v>4937</v>
      </c>
      <c r="H5279" s="28" t="s">
        <v>4938</v>
      </c>
      <c r="I5279" s="5" t="s">
        <v>1572</v>
      </c>
    </row>
    <row r="5280" spans="1:9" ht="51.75" customHeight="1">
      <c r="A5280" s="5">
        <v>2</v>
      </c>
      <c r="B5280" s="5" t="s">
        <v>38052</v>
      </c>
      <c r="C5280" s="5" t="s">
        <v>38053</v>
      </c>
      <c r="D5280" s="246">
        <v>40491</v>
      </c>
      <c r="E5280" s="5" t="s">
        <v>38054</v>
      </c>
      <c r="F5280" s="26"/>
      <c r="G5280" s="27" t="s">
        <v>4937</v>
      </c>
      <c r="H5280" s="28" t="s">
        <v>4938</v>
      </c>
      <c r="I5280" s="5" t="s">
        <v>1572</v>
      </c>
    </row>
    <row r="5281" spans="1:9" ht="51.75" customHeight="1">
      <c r="A5281" s="5">
        <v>3</v>
      </c>
      <c r="B5281" s="5" t="s">
        <v>38055</v>
      </c>
      <c r="C5281" s="5" t="s">
        <v>38056</v>
      </c>
      <c r="D5281" s="246">
        <v>40491</v>
      </c>
      <c r="E5281" s="5" t="s">
        <v>38057</v>
      </c>
      <c r="F5281" s="26"/>
      <c r="G5281" s="27" t="s">
        <v>4937</v>
      </c>
      <c r="H5281" s="28" t="s">
        <v>4938</v>
      </c>
      <c r="I5281" s="5" t="s">
        <v>1572</v>
      </c>
    </row>
    <row r="5282" spans="1:9" ht="51.75" customHeight="1">
      <c r="A5282" s="5">
        <v>1</v>
      </c>
      <c r="B5282" s="5" t="s">
        <v>38058</v>
      </c>
      <c r="C5282" s="5" t="s">
        <v>38059</v>
      </c>
      <c r="D5282" s="246">
        <v>40553</v>
      </c>
      <c r="E5282" s="5" t="s">
        <v>38060</v>
      </c>
      <c r="F5282" s="26"/>
      <c r="G5282" s="27" t="s">
        <v>4916</v>
      </c>
      <c r="H5282" s="28" t="s">
        <v>4917</v>
      </c>
      <c r="I5282" s="5" t="s">
        <v>1572</v>
      </c>
    </row>
    <row r="5283" spans="1:9" ht="51.75" customHeight="1">
      <c r="A5283" s="5">
        <v>1</v>
      </c>
      <c r="B5283" s="5" t="s">
        <v>38061</v>
      </c>
      <c r="C5283" s="5" t="s">
        <v>38062</v>
      </c>
      <c r="D5283" s="246">
        <v>40826</v>
      </c>
      <c r="E5283" s="5" t="s">
        <v>38063</v>
      </c>
      <c r="F5283" s="26"/>
      <c r="G5283" s="27" t="s">
        <v>4889</v>
      </c>
      <c r="H5283" s="28" t="s">
        <v>4890</v>
      </c>
      <c r="I5283" s="5" t="s">
        <v>1572</v>
      </c>
    </row>
    <row r="5284" spans="1:9" ht="51.75" customHeight="1">
      <c r="A5284" s="5">
        <v>1</v>
      </c>
      <c r="B5284" s="5" t="s">
        <v>38064</v>
      </c>
      <c r="C5284" s="5" t="s">
        <v>38065</v>
      </c>
      <c r="D5284" s="246">
        <v>40700</v>
      </c>
      <c r="E5284" s="5" t="s">
        <v>38066</v>
      </c>
      <c r="F5284" s="26"/>
      <c r="G5284" s="27" t="s">
        <v>4713</v>
      </c>
      <c r="H5284" s="28" t="s">
        <v>4714</v>
      </c>
      <c r="I5284" s="5" t="s">
        <v>1572</v>
      </c>
    </row>
    <row r="5285" spans="1:9" ht="51.75" customHeight="1">
      <c r="A5285" s="5">
        <v>2</v>
      </c>
      <c r="B5285" s="5" t="s">
        <v>38067</v>
      </c>
      <c r="C5285" s="5" t="s">
        <v>38068</v>
      </c>
      <c r="D5285" s="246">
        <v>40700</v>
      </c>
      <c r="E5285" s="5" t="s">
        <v>38069</v>
      </c>
      <c r="F5285" s="26"/>
      <c r="G5285" s="27" t="s">
        <v>4713</v>
      </c>
      <c r="H5285" s="28" t="s">
        <v>4714</v>
      </c>
      <c r="I5285" s="5" t="s">
        <v>1572</v>
      </c>
    </row>
    <row r="5286" spans="1:9" ht="51.75" customHeight="1">
      <c r="A5286" s="5">
        <v>1</v>
      </c>
      <c r="B5286" s="5" t="s">
        <v>38070</v>
      </c>
      <c r="C5286" s="5" t="s">
        <v>38071</v>
      </c>
      <c r="D5286" s="246">
        <v>40570</v>
      </c>
      <c r="E5286" s="5" t="s">
        <v>38072</v>
      </c>
      <c r="F5286" s="26"/>
      <c r="G5286" s="27" t="s">
        <v>4783</v>
      </c>
      <c r="H5286" s="28" t="s">
        <v>4784</v>
      </c>
      <c r="I5286" s="5" t="s">
        <v>1572</v>
      </c>
    </row>
    <row r="5287" spans="1:9" ht="51.75" customHeight="1">
      <c r="A5287" s="5">
        <v>2</v>
      </c>
      <c r="B5287" s="5" t="s">
        <v>38073</v>
      </c>
      <c r="C5287" s="5" t="s">
        <v>38074</v>
      </c>
      <c r="D5287" s="246">
        <v>40570</v>
      </c>
      <c r="E5287" s="5" t="s">
        <v>38075</v>
      </c>
      <c r="F5287" s="26"/>
      <c r="G5287" s="27" t="s">
        <v>4783</v>
      </c>
      <c r="H5287" s="28" t="s">
        <v>4784</v>
      </c>
      <c r="I5287" s="5" t="s">
        <v>1572</v>
      </c>
    </row>
    <row r="5288" spans="1:9" ht="51.75" customHeight="1">
      <c r="A5288" s="5">
        <v>3</v>
      </c>
      <c r="B5288" s="5" t="s">
        <v>38076</v>
      </c>
      <c r="C5288" s="5" t="s">
        <v>38077</v>
      </c>
      <c r="D5288" s="246">
        <v>40570</v>
      </c>
      <c r="E5288" s="5" t="s">
        <v>38078</v>
      </c>
      <c r="F5288" s="26"/>
      <c r="G5288" s="27" t="s">
        <v>4783</v>
      </c>
      <c r="H5288" s="28" t="s">
        <v>4784</v>
      </c>
      <c r="I5288" s="5" t="s">
        <v>1572</v>
      </c>
    </row>
    <row r="5289" spans="1:9" ht="51.75" customHeight="1">
      <c r="A5289" s="5">
        <v>4</v>
      </c>
      <c r="B5289" s="5" t="s">
        <v>38079</v>
      </c>
      <c r="C5289" s="5" t="s">
        <v>38080</v>
      </c>
      <c r="D5289" s="246">
        <v>40570</v>
      </c>
      <c r="E5289" s="5" t="s">
        <v>38081</v>
      </c>
      <c r="F5289" s="26"/>
      <c r="G5289" s="27" t="s">
        <v>4783</v>
      </c>
      <c r="H5289" s="28" t="s">
        <v>4784</v>
      </c>
      <c r="I5289" s="5" t="s">
        <v>1572</v>
      </c>
    </row>
    <row r="5290" spans="1:9" ht="51.75" customHeight="1">
      <c r="A5290" s="5">
        <v>5</v>
      </c>
      <c r="B5290" s="5" t="s">
        <v>38082</v>
      </c>
      <c r="C5290" s="5" t="s">
        <v>38083</v>
      </c>
      <c r="D5290" s="246">
        <v>40570</v>
      </c>
      <c r="E5290" s="5" t="s">
        <v>38084</v>
      </c>
      <c r="F5290" s="26"/>
      <c r="G5290" s="27" t="s">
        <v>4783</v>
      </c>
      <c r="H5290" s="28" t="s">
        <v>4784</v>
      </c>
      <c r="I5290" s="5" t="s">
        <v>1572</v>
      </c>
    </row>
    <row r="5291" spans="1:9" ht="51.75" customHeight="1">
      <c r="A5291" s="5">
        <v>6</v>
      </c>
      <c r="B5291" s="5" t="s">
        <v>38085</v>
      </c>
      <c r="C5291" s="5" t="s">
        <v>38086</v>
      </c>
      <c r="D5291" s="246">
        <v>40570</v>
      </c>
      <c r="E5291" s="5" t="s">
        <v>38087</v>
      </c>
      <c r="F5291" s="26"/>
      <c r="G5291" s="27" t="s">
        <v>4783</v>
      </c>
      <c r="H5291" s="28" t="s">
        <v>4784</v>
      </c>
      <c r="I5291" s="5" t="s">
        <v>1572</v>
      </c>
    </row>
    <row r="5292" spans="1:9" ht="51.75" customHeight="1">
      <c r="A5292" s="5">
        <v>1</v>
      </c>
      <c r="B5292" s="5" t="s">
        <v>38088</v>
      </c>
      <c r="C5292" s="5" t="s">
        <v>38089</v>
      </c>
      <c r="D5292" s="246">
        <v>40312</v>
      </c>
      <c r="E5292" s="5" t="s">
        <v>38089</v>
      </c>
      <c r="F5292" s="26"/>
      <c r="G5292" s="27" t="s">
        <v>4577</v>
      </c>
      <c r="H5292" s="28" t="s">
        <v>4578</v>
      </c>
      <c r="I5292" s="5" t="s">
        <v>1572</v>
      </c>
    </row>
    <row r="5293" spans="1:9" ht="51.75" customHeight="1">
      <c r="A5293" s="5">
        <v>1</v>
      </c>
      <c r="B5293" s="5" t="s">
        <v>38090</v>
      </c>
      <c r="C5293" s="5" t="s">
        <v>38091</v>
      </c>
      <c r="D5293" s="246">
        <v>40400</v>
      </c>
      <c r="E5293" s="5" t="s">
        <v>38092</v>
      </c>
      <c r="F5293" s="26"/>
      <c r="G5293" s="27" t="s">
        <v>4520</v>
      </c>
      <c r="H5293" s="28" t="s">
        <v>4521</v>
      </c>
      <c r="I5293" s="5" t="s">
        <v>1572</v>
      </c>
    </row>
    <row r="5294" spans="1:9" ht="51.75" customHeight="1">
      <c r="A5294" s="5">
        <v>2</v>
      </c>
      <c r="B5294" s="5" t="s">
        <v>38093</v>
      </c>
      <c r="C5294" s="5" t="s">
        <v>38094</v>
      </c>
      <c r="D5294" s="246">
        <v>40400</v>
      </c>
      <c r="E5294" s="5" t="s">
        <v>38095</v>
      </c>
      <c r="F5294" s="26"/>
      <c r="G5294" s="27" t="s">
        <v>4520</v>
      </c>
      <c r="H5294" s="28" t="s">
        <v>4521</v>
      </c>
      <c r="I5294" s="5" t="s">
        <v>1572</v>
      </c>
    </row>
    <row r="5295" spans="1:9" ht="51.75" customHeight="1">
      <c r="A5295" s="5">
        <v>1</v>
      </c>
      <c r="B5295" s="5" t="s">
        <v>38096</v>
      </c>
      <c r="C5295" s="5" t="s">
        <v>38091</v>
      </c>
      <c r="D5295" s="246">
        <v>40400</v>
      </c>
      <c r="E5295" s="5" t="s">
        <v>38092</v>
      </c>
      <c r="F5295" s="26"/>
      <c r="G5295" s="27" t="s">
        <v>4515</v>
      </c>
      <c r="H5295" s="28" t="s">
        <v>4516</v>
      </c>
      <c r="I5295" s="5" t="s">
        <v>1572</v>
      </c>
    </row>
    <row r="5296" spans="1:9" ht="51.75" customHeight="1">
      <c r="A5296" s="5">
        <v>2</v>
      </c>
      <c r="B5296" s="5" t="s">
        <v>38097</v>
      </c>
      <c r="C5296" s="5" t="s">
        <v>38094</v>
      </c>
      <c r="D5296" s="246">
        <v>40400</v>
      </c>
      <c r="E5296" s="5" t="s">
        <v>38095</v>
      </c>
      <c r="F5296" s="26"/>
      <c r="G5296" s="27" t="s">
        <v>4515</v>
      </c>
      <c r="H5296" s="28" t="s">
        <v>4516</v>
      </c>
      <c r="I5296" s="5" t="s">
        <v>1572</v>
      </c>
    </row>
    <row r="5297" spans="1:9" ht="51.75" customHeight="1">
      <c r="A5297" s="5">
        <v>1</v>
      </c>
      <c r="B5297" s="5" t="s">
        <v>38098</v>
      </c>
      <c r="C5297" s="5" t="s">
        <v>38091</v>
      </c>
      <c r="D5297" s="246">
        <v>40400</v>
      </c>
      <c r="E5297" s="5" t="s">
        <v>38092</v>
      </c>
      <c r="F5297" s="26"/>
      <c r="G5297" s="27" t="s">
        <v>4505</v>
      </c>
      <c r="H5297" s="28" t="s">
        <v>4506</v>
      </c>
      <c r="I5297" s="5" t="s">
        <v>1572</v>
      </c>
    </row>
    <row r="5298" spans="1:9" ht="51.75" customHeight="1">
      <c r="A5298" s="5">
        <v>2</v>
      </c>
      <c r="B5298" s="5" t="s">
        <v>38099</v>
      </c>
      <c r="C5298" s="5" t="s">
        <v>38094</v>
      </c>
      <c r="D5298" s="246">
        <v>40400</v>
      </c>
      <c r="E5298" s="5" t="s">
        <v>38095</v>
      </c>
      <c r="F5298" s="26"/>
      <c r="G5298" s="27" t="s">
        <v>4505</v>
      </c>
      <c r="H5298" s="28" t="s">
        <v>4506</v>
      </c>
      <c r="I5298" s="5" t="s">
        <v>1572</v>
      </c>
    </row>
    <row r="5299" spans="1:9" ht="51.75" customHeight="1">
      <c r="A5299" s="5">
        <v>1</v>
      </c>
      <c r="B5299" s="5" t="s">
        <v>38100</v>
      </c>
      <c r="C5299" s="5" t="s">
        <v>38101</v>
      </c>
      <c r="D5299" s="246">
        <v>40338</v>
      </c>
      <c r="E5299" s="5" t="s">
        <v>38102</v>
      </c>
      <c r="F5299" s="26"/>
      <c r="G5299" s="27" t="s">
        <v>4355</v>
      </c>
      <c r="H5299" s="28" t="s">
        <v>4356</v>
      </c>
      <c r="I5299" s="5" t="s">
        <v>1572</v>
      </c>
    </row>
    <row r="5300" spans="1:9" ht="51.75" customHeight="1">
      <c r="A5300" s="5">
        <v>2</v>
      </c>
      <c r="B5300" s="5" t="s">
        <v>38103</v>
      </c>
      <c r="C5300" s="5" t="s">
        <v>38104</v>
      </c>
      <c r="D5300" s="246">
        <v>40338</v>
      </c>
      <c r="E5300" s="5" t="s">
        <v>38105</v>
      </c>
      <c r="F5300" s="26"/>
      <c r="G5300" s="27" t="s">
        <v>4355</v>
      </c>
      <c r="H5300" s="28" t="s">
        <v>4356</v>
      </c>
      <c r="I5300" s="5" t="s">
        <v>1572</v>
      </c>
    </row>
    <row r="5301" spans="1:9" ht="51.75" customHeight="1">
      <c r="A5301" s="5">
        <v>3</v>
      </c>
      <c r="B5301" s="5" t="s">
        <v>38106</v>
      </c>
      <c r="C5301" s="5" t="s">
        <v>38107</v>
      </c>
      <c r="D5301" s="246">
        <v>40338</v>
      </c>
      <c r="E5301" s="5" t="s">
        <v>38108</v>
      </c>
      <c r="F5301" s="26"/>
      <c r="G5301" s="27" t="s">
        <v>4355</v>
      </c>
      <c r="H5301" s="28" t="s">
        <v>4356</v>
      </c>
      <c r="I5301" s="5" t="s">
        <v>1572</v>
      </c>
    </row>
    <row r="5302" spans="1:9" ht="51.75" customHeight="1">
      <c r="A5302" s="5">
        <v>1</v>
      </c>
      <c r="B5302" s="5" t="s">
        <v>38109</v>
      </c>
      <c r="C5302" s="5" t="s">
        <v>38110</v>
      </c>
      <c r="D5302" s="246">
        <v>40235</v>
      </c>
      <c r="E5302" s="5" t="s">
        <v>38111</v>
      </c>
      <c r="F5302" s="26"/>
      <c r="G5302" s="27" t="s">
        <v>4256</v>
      </c>
      <c r="H5302" s="28" t="s">
        <v>4257</v>
      </c>
      <c r="I5302" s="5" t="s">
        <v>1572</v>
      </c>
    </row>
    <row r="5303" spans="1:9" ht="51.75" customHeight="1">
      <c r="A5303" s="5">
        <v>2</v>
      </c>
      <c r="B5303" s="5" t="s">
        <v>38112</v>
      </c>
      <c r="C5303" s="5" t="s">
        <v>38113</v>
      </c>
      <c r="D5303" s="246">
        <v>40235</v>
      </c>
      <c r="E5303" s="5" t="s">
        <v>38114</v>
      </c>
      <c r="F5303" s="26"/>
      <c r="G5303" s="27" t="s">
        <v>4256</v>
      </c>
      <c r="H5303" s="28" t="s">
        <v>4257</v>
      </c>
      <c r="I5303" s="5" t="s">
        <v>1572</v>
      </c>
    </row>
    <row r="5304" spans="1:9" ht="51.75" customHeight="1">
      <c r="A5304" s="5">
        <v>1</v>
      </c>
      <c r="B5304" s="5" t="s">
        <v>38115</v>
      </c>
      <c r="C5304" s="5" t="s">
        <v>38116</v>
      </c>
      <c r="D5304" s="246">
        <v>40269</v>
      </c>
      <c r="E5304" s="5" t="s">
        <v>38116</v>
      </c>
      <c r="F5304" s="26"/>
      <c r="G5304" s="27" t="s">
        <v>4246</v>
      </c>
      <c r="H5304" s="28" t="s">
        <v>4247</v>
      </c>
      <c r="I5304" s="5" t="s">
        <v>1572</v>
      </c>
    </row>
    <row r="5305" spans="1:9" ht="51.75" customHeight="1">
      <c r="A5305" s="5">
        <v>1</v>
      </c>
      <c r="B5305" s="5" t="s">
        <v>38117</v>
      </c>
      <c r="C5305" s="5" t="s">
        <v>38118</v>
      </c>
      <c r="D5305" s="246">
        <v>40330</v>
      </c>
      <c r="E5305" s="5" t="s">
        <v>38119</v>
      </c>
      <c r="F5305" s="26"/>
      <c r="G5305" s="27" t="s">
        <v>4151</v>
      </c>
      <c r="H5305" s="28" t="s">
        <v>4152</v>
      </c>
      <c r="I5305" s="5" t="s">
        <v>1572</v>
      </c>
    </row>
    <row r="5306" spans="1:9" ht="51.75" customHeight="1">
      <c r="A5306" s="5">
        <v>2</v>
      </c>
      <c r="B5306" s="5" t="s">
        <v>38120</v>
      </c>
      <c r="C5306" s="5" t="s">
        <v>38121</v>
      </c>
      <c r="D5306" s="246">
        <v>40330</v>
      </c>
      <c r="E5306" s="5" t="s">
        <v>38122</v>
      </c>
      <c r="F5306" s="26"/>
      <c r="G5306" s="27" t="s">
        <v>4151</v>
      </c>
      <c r="H5306" s="28" t="s">
        <v>4152</v>
      </c>
      <c r="I5306" s="5" t="s">
        <v>1572</v>
      </c>
    </row>
    <row r="5307" spans="1:9" ht="51.75" customHeight="1">
      <c r="A5307" s="5">
        <v>3</v>
      </c>
      <c r="B5307" s="5" t="s">
        <v>38123</v>
      </c>
      <c r="C5307" s="5" t="s">
        <v>38124</v>
      </c>
      <c r="D5307" s="246">
        <v>40330</v>
      </c>
      <c r="E5307" s="5" t="s">
        <v>38125</v>
      </c>
      <c r="F5307" s="26"/>
      <c r="G5307" s="27" t="s">
        <v>4151</v>
      </c>
      <c r="H5307" s="28" t="s">
        <v>4152</v>
      </c>
      <c r="I5307" s="5" t="s">
        <v>1572</v>
      </c>
    </row>
    <row r="5308" spans="1:9" ht="51.75" customHeight="1">
      <c r="A5308" s="5">
        <v>1</v>
      </c>
      <c r="B5308" s="5" t="s">
        <v>38126</v>
      </c>
      <c r="C5308" s="5" t="s">
        <v>38127</v>
      </c>
      <c r="D5308" s="246">
        <v>40400</v>
      </c>
      <c r="E5308" s="5" t="s">
        <v>38128</v>
      </c>
      <c r="F5308" s="26"/>
      <c r="G5308" s="27" t="s">
        <v>4101</v>
      </c>
      <c r="H5308" s="28" t="s">
        <v>4102</v>
      </c>
      <c r="I5308" s="5" t="s">
        <v>1572</v>
      </c>
    </row>
    <row r="5309" spans="1:9" ht="51.75" customHeight="1">
      <c r="A5309" s="5">
        <v>1</v>
      </c>
      <c r="B5309" s="5" t="s">
        <v>38129</v>
      </c>
      <c r="C5309" s="5" t="s">
        <v>38130</v>
      </c>
      <c r="D5309" s="246">
        <v>39500</v>
      </c>
      <c r="E5309" s="5" t="s">
        <v>38131</v>
      </c>
      <c r="F5309" s="26"/>
      <c r="G5309" s="27" t="s">
        <v>1580</v>
      </c>
      <c r="H5309" s="28" t="s">
        <v>1581</v>
      </c>
      <c r="I5309" s="5" t="s">
        <v>1572</v>
      </c>
    </row>
    <row r="5310" spans="1:9" ht="51.75" customHeight="1">
      <c r="A5310" s="5">
        <v>2</v>
      </c>
      <c r="B5310" s="5" t="s">
        <v>38132</v>
      </c>
      <c r="C5310" s="5" t="s">
        <v>38133</v>
      </c>
      <c r="D5310" s="246">
        <v>39500</v>
      </c>
      <c r="E5310" s="5" t="s">
        <v>38134</v>
      </c>
      <c r="F5310" s="26"/>
      <c r="G5310" s="27" t="s">
        <v>1580</v>
      </c>
      <c r="H5310" s="28" t="s">
        <v>1581</v>
      </c>
      <c r="I5310" s="5" t="s">
        <v>1572</v>
      </c>
    </row>
    <row r="5311" spans="1:9" ht="51.75" customHeight="1">
      <c r="A5311" s="5">
        <v>3</v>
      </c>
      <c r="B5311" s="5" t="s">
        <v>38135</v>
      </c>
      <c r="C5311" s="5" t="s">
        <v>38136</v>
      </c>
      <c r="D5311" s="246">
        <v>39500</v>
      </c>
      <c r="E5311" s="5" t="s">
        <v>38137</v>
      </c>
      <c r="F5311" s="26"/>
      <c r="G5311" s="27" t="s">
        <v>1580</v>
      </c>
      <c r="H5311" s="28" t="s">
        <v>1581</v>
      </c>
      <c r="I5311" s="5" t="s">
        <v>1572</v>
      </c>
    </row>
    <row r="5312" spans="1:9" ht="51.75" customHeight="1">
      <c r="A5312" s="5">
        <v>4</v>
      </c>
      <c r="B5312" s="5" t="s">
        <v>38138</v>
      </c>
      <c r="C5312" s="5" t="s">
        <v>38139</v>
      </c>
      <c r="D5312" s="246">
        <v>39500</v>
      </c>
      <c r="E5312" s="5" t="s">
        <v>38140</v>
      </c>
      <c r="F5312" s="26"/>
      <c r="G5312" s="27" t="s">
        <v>1580</v>
      </c>
      <c r="H5312" s="28" t="s">
        <v>1581</v>
      </c>
      <c r="I5312" s="5" t="s">
        <v>1572</v>
      </c>
    </row>
    <row r="5313" spans="1:9" ht="51.75" customHeight="1">
      <c r="A5313" s="5">
        <v>5</v>
      </c>
      <c r="B5313" s="5" t="s">
        <v>38141</v>
      </c>
      <c r="C5313" s="5" t="s">
        <v>38142</v>
      </c>
      <c r="D5313" s="246">
        <v>39500</v>
      </c>
      <c r="E5313" s="5" t="s">
        <v>38143</v>
      </c>
      <c r="F5313" s="26"/>
      <c r="G5313" s="27" t="s">
        <v>1580</v>
      </c>
      <c r="H5313" s="28" t="s">
        <v>1581</v>
      </c>
      <c r="I5313" s="5" t="s">
        <v>1572</v>
      </c>
    </row>
    <row r="5314" spans="1:9" ht="51.75" customHeight="1">
      <c r="A5314" s="5">
        <v>6</v>
      </c>
      <c r="B5314" s="5" t="s">
        <v>38144</v>
      </c>
      <c r="C5314" s="5" t="s">
        <v>38145</v>
      </c>
      <c r="D5314" s="246">
        <v>39500</v>
      </c>
      <c r="E5314" s="5" t="s">
        <v>38146</v>
      </c>
      <c r="F5314" s="26"/>
      <c r="G5314" s="27" t="s">
        <v>1580</v>
      </c>
      <c r="H5314" s="28" t="s">
        <v>1581</v>
      </c>
      <c r="I5314" s="5" t="s">
        <v>1572</v>
      </c>
    </row>
    <row r="5315" spans="1:9" ht="51.75" customHeight="1">
      <c r="A5315" s="5">
        <v>7</v>
      </c>
      <c r="B5315" s="5" t="s">
        <v>38147</v>
      </c>
      <c r="C5315" s="5" t="s">
        <v>38148</v>
      </c>
      <c r="D5315" s="246">
        <v>39500</v>
      </c>
      <c r="E5315" s="5" t="s">
        <v>38149</v>
      </c>
      <c r="F5315" s="26"/>
      <c r="G5315" s="27" t="s">
        <v>1580</v>
      </c>
      <c r="H5315" s="28" t="s">
        <v>1581</v>
      </c>
      <c r="I5315" s="5" t="s">
        <v>1572</v>
      </c>
    </row>
    <row r="5316" spans="1:9" ht="51.75" customHeight="1">
      <c r="A5316" s="5">
        <v>1</v>
      </c>
      <c r="B5316" s="5" t="s">
        <v>38150</v>
      </c>
      <c r="C5316" s="5" t="s">
        <v>38151</v>
      </c>
      <c r="D5316" s="246">
        <v>39500</v>
      </c>
      <c r="E5316" s="5" t="s">
        <v>38152</v>
      </c>
      <c r="F5316" s="26"/>
      <c r="G5316" s="27" t="s">
        <v>1570</v>
      </c>
      <c r="H5316" s="28" t="s">
        <v>1571</v>
      </c>
      <c r="I5316" s="5" t="s">
        <v>1572</v>
      </c>
    </row>
    <row r="5317" spans="1:9" ht="51.75" customHeight="1">
      <c r="A5317" s="5">
        <v>2</v>
      </c>
      <c r="B5317" s="5" t="s">
        <v>38153</v>
      </c>
      <c r="C5317" s="5" t="s">
        <v>38154</v>
      </c>
      <c r="D5317" s="246">
        <v>39500</v>
      </c>
      <c r="E5317" s="5" t="s">
        <v>38155</v>
      </c>
      <c r="F5317" s="26"/>
      <c r="G5317" s="27" t="s">
        <v>1570</v>
      </c>
      <c r="H5317" s="28" t="s">
        <v>1571</v>
      </c>
      <c r="I5317" s="5" t="s">
        <v>1572</v>
      </c>
    </row>
    <row r="5318" spans="1:9" ht="51.75" customHeight="1">
      <c r="A5318" s="5">
        <v>3</v>
      </c>
      <c r="B5318" s="5" t="s">
        <v>38156</v>
      </c>
      <c r="C5318" s="5" t="s">
        <v>38157</v>
      </c>
      <c r="D5318" s="246">
        <v>39500</v>
      </c>
      <c r="E5318" s="5" t="s">
        <v>38158</v>
      </c>
      <c r="F5318" s="26"/>
      <c r="G5318" s="27" t="s">
        <v>1570</v>
      </c>
      <c r="H5318" s="28" t="s">
        <v>1571</v>
      </c>
      <c r="I5318" s="5" t="s">
        <v>1572</v>
      </c>
    </row>
    <row r="5319" spans="1:9" ht="51.75" customHeight="1">
      <c r="A5319" s="5">
        <v>4</v>
      </c>
      <c r="B5319" s="5" t="s">
        <v>38159</v>
      </c>
      <c r="C5319" s="5" t="s">
        <v>38160</v>
      </c>
      <c r="D5319" s="246">
        <v>39500</v>
      </c>
      <c r="E5319" s="5" t="s">
        <v>38161</v>
      </c>
      <c r="F5319" s="26"/>
      <c r="G5319" s="27" t="s">
        <v>1570</v>
      </c>
      <c r="H5319" s="28" t="s">
        <v>1571</v>
      </c>
      <c r="I5319" s="5" t="s">
        <v>1572</v>
      </c>
    </row>
    <row r="5320" spans="1:9" ht="51.75" customHeight="1">
      <c r="A5320" s="5">
        <v>1</v>
      </c>
      <c r="B5320" s="5" t="s">
        <v>38162</v>
      </c>
      <c r="C5320" s="5" t="s">
        <v>38163</v>
      </c>
      <c r="D5320" s="246">
        <v>39904</v>
      </c>
      <c r="E5320" s="5" t="s">
        <v>38164</v>
      </c>
      <c r="F5320" s="26"/>
      <c r="G5320" s="27" t="s">
        <v>3668</v>
      </c>
      <c r="H5320" s="28" t="s">
        <v>3669</v>
      </c>
      <c r="I5320" s="5" t="s">
        <v>1572</v>
      </c>
    </row>
    <row r="5321" spans="1:9" ht="51.75" customHeight="1">
      <c r="A5321" s="5">
        <v>2</v>
      </c>
      <c r="B5321" s="5" t="s">
        <v>38165</v>
      </c>
      <c r="C5321" s="5" t="s">
        <v>38166</v>
      </c>
      <c r="D5321" s="246">
        <v>39904</v>
      </c>
      <c r="E5321" s="5" t="s">
        <v>38167</v>
      </c>
      <c r="F5321" s="26"/>
      <c r="G5321" s="27" t="s">
        <v>3668</v>
      </c>
      <c r="H5321" s="28" t="s">
        <v>3669</v>
      </c>
      <c r="I5321" s="5" t="s">
        <v>1572</v>
      </c>
    </row>
    <row r="5322" spans="1:9" ht="51.75" customHeight="1">
      <c r="A5322" s="5">
        <v>3</v>
      </c>
      <c r="B5322" s="5" t="s">
        <v>38168</v>
      </c>
      <c r="C5322" s="5" t="s">
        <v>38169</v>
      </c>
      <c r="D5322" s="246">
        <v>39904</v>
      </c>
      <c r="E5322" s="5" t="s">
        <v>38170</v>
      </c>
      <c r="F5322" s="26"/>
      <c r="G5322" s="27" t="s">
        <v>3668</v>
      </c>
      <c r="H5322" s="28" t="s">
        <v>3669</v>
      </c>
      <c r="I5322" s="5" t="s">
        <v>1572</v>
      </c>
    </row>
    <row r="5323" spans="1:9" ht="51.75" customHeight="1">
      <c r="A5323" s="5">
        <v>1</v>
      </c>
      <c r="B5323" s="5" t="s">
        <v>38171</v>
      </c>
      <c r="C5323" s="5" t="s">
        <v>38172</v>
      </c>
      <c r="D5323" s="246">
        <v>40225</v>
      </c>
      <c r="E5323" s="5" t="s">
        <v>38173</v>
      </c>
      <c r="F5323" s="26"/>
      <c r="G5323" s="27" t="s">
        <v>3470</v>
      </c>
      <c r="H5323" s="28" t="s">
        <v>3471</v>
      </c>
      <c r="I5323" s="5" t="s">
        <v>1572</v>
      </c>
    </row>
    <row r="5324" spans="1:9" ht="51.75" customHeight="1">
      <c r="A5324" s="5">
        <v>2</v>
      </c>
      <c r="B5324" s="5" t="s">
        <v>38174</v>
      </c>
      <c r="C5324" s="5" t="s">
        <v>38175</v>
      </c>
      <c r="D5324" s="246">
        <v>40225</v>
      </c>
      <c r="E5324" s="5" t="s">
        <v>38176</v>
      </c>
      <c r="F5324" s="26"/>
      <c r="G5324" s="27" t="s">
        <v>3470</v>
      </c>
      <c r="H5324" s="28" t="s">
        <v>3471</v>
      </c>
      <c r="I5324" s="5" t="s">
        <v>1572</v>
      </c>
    </row>
    <row r="5325" spans="1:9" ht="51.75" customHeight="1">
      <c r="A5325" s="5">
        <v>3</v>
      </c>
      <c r="B5325" s="5" t="s">
        <v>38177</v>
      </c>
      <c r="C5325" s="5" t="s">
        <v>38178</v>
      </c>
      <c r="D5325" s="246">
        <v>40225</v>
      </c>
      <c r="E5325" s="5" t="s">
        <v>38179</v>
      </c>
      <c r="F5325" s="26"/>
      <c r="G5325" s="27" t="s">
        <v>3470</v>
      </c>
      <c r="H5325" s="28" t="s">
        <v>3471</v>
      </c>
      <c r="I5325" s="5" t="s">
        <v>1572</v>
      </c>
    </row>
    <row r="5326" spans="1:9" ht="51.75" customHeight="1">
      <c r="A5326" s="5">
        <v>4</v>
      </c>
      <c r="B5326" s="5" t="s">
        <v>38180</v>
      </c>
      <c r="C5326" s="5" t="s">
        <v>38181</v>
      </c>
      <c r="D5326" s="246">
        <v>40225</v>
      </c>
      <c r="E5326" s="5" t="s">
        <v>38182</v>
      </c>
      <c r="F5326" s="26"/>
      <c r="G5326" s="27" t="s">
        <v>3470</v>
      </c>
      <c r="H5326" s="28" t="s">
        <v>3471</v>
      </c>
      <c r="I5326" s="5" t="s">
        <v>1572</v>
      </c>
    </row>
    <row r="5327" spans="1:9" ht="51.75" customHeight="1">
      <c r="A5327" s="5">
        <v>1</v>
      </c>
      <c r="B5327" s="5" t="s">
        <v>38183</v>
      </c>
      <c r="C5327" s="5" t="s">
        <v>38184</v>
      </c>
      <c r="D5327" s="246">
        <v>39904</v>
      </c>
      <c r="E5327" s="5" t="s">
        <v>38185</v>
      </c>
      <c r="F5327" s="26"/>
      <c r="G5327" s="27" t="s">
        <v>2862</v>
      </c>
      <c r="H5327" s="28" t="s">
        <v>2863</v>
      </c>
      <c r="I5327" s="5" t="s">
        <v>1572</v>
      </c>
    </row>
    <row r="5328" spans="1:9" ht="51.75" customHeight="1">
      <c r="A5328" s="5">
        <v>2</v>
      </c>
      <c r="B5328" s="5" t="s">
        <v>38186</v>
      </c>
      <c r="C5328" s="5" t="s">
        <v>38187</v>
      </c>
      <c r="D5328" s="246">
        <v>39904</v>
      </c>
      <c r="E5328" s="5" t="s">
        <v>38188</v>
      </c>
      <c r="F5328" s="26"/>
      <c r="G5328" s="27" t="s">
        <v>2862</v>
      </c>
      <c r="H5328" s="28" t="s">
        <v>2863</v>
      </c>
      <c r="I5328" s="5" t="s">
        <v>1572</v>
      </c>
    </row>
    <row r="5329" spans="1:9" ht="51.75" customHeight="1">
      <c r="A5329" s="5">
        <v>3</v>
      </c>
      <c r="B5329" s="5" t="s">
        <v>38189</v>
      </c>
      <c r="C5329" s="5" t="s">
        <v>38190</v>
      </c>
      <c r="D5329" s="246">
        <v>39904</v>
      </c>
      <c r="E5329" s="5" t="s">
        <v>38191</v>
      </c>
      <c r="F5329" s="26"/>
      <c r="G5329" s="27" t="s">
        <v>2862</v>
      </c>
      <c r="H5329" s="28" t="s">
        <v>2863</v>
      </c>
      <c r="I5329" s="5" t="s">
        <v>1572</v>
      </c>
    </row>
    <row r="5330" spans="1:9" ht="51.75" customHeight="1">
      <c r="A5330" s="5">
        <v>4</v>
      </c>
      <c r="B5330" s="5" t="s">
        <v>38192</v>
      </c>
      <c r="C5330" s="5" t="s">
        <v>38193</v>
      </c>
      <c r="D5330" s="246">
        <v>39904</v>
      </c>
      <c r="E5330" s="5" t="s">
        <v>38194</v>
      </c>
      <c r="F5330" s="26"/>
      <c r="G5330" s="27" t="s">
        <v>2862</v>
      </c>
      <c r="H5330" s="28" t="s">
        <v>2863</v>
      </c>
      <c r="I5330" s="5" t="s">
        <v>1572</v>
      </c>
    </row>
    <row r="5331" spans="1:9" ht="51.75" customHeight="1">
      <c r="A5331" s="5">
        <v>5</v>
      </c>
      <c r="B5331" s="5" t="s">
        <v>38195</v>
      </c>
      <c r="C5331" s="5" t="s">
        <v>38196</v>
      </c>
      <c r="D5331" s="246">
        <v>39904</v>
      </c>
      <c r="E5331" s="5" t="s">
        <v>38197</v>
      </c>
      <c r="F5331" s="26"/>
      <c r="G5331" s="27" t="s">
        <v>2862</v>
      </c>
      <c r="H5331" s="28" t="s">
        <v>2863</v>
      </c>
      <c r="I5331" s="5" t="s">
        <v>1572</v>
      </c>
    </row>
    <row r="5332" spans="1:9" ht="51.75" customHeight="1">
      <c r="A5332" s="5">
        <v>1</v>
      </c>
      <c r="B5332" s="5" t="s">
        <v>38198</v>
      </c>
      <c r="C5332" s="5" t="s">
        <v>38199</v>
      </c>
      <c r="D5332" s="246">
        <v>39581</v>
      </c>
      <c r="E5332" s="5" t="s">
        <v>38200</v>
      </c>
      <c r="F5332" s="26"/>
      <c r="G5332" s="27" t="s">
        <v>2802</v>
      </c>
      <c r="H5332" s="28" t="s">
        <v>2803</v>
      </c>
      <c r="I5332" s="5" t="s">
        <v>1572</v>
      </c>
    </row>
    <row r="5333" spans="1:9" ht="51.75" customHeight="1">
      <c r="A5333" s="5">
        <v>2</v>
      </c>
      <c r="B5333" s="5" t="s">
        <v>38201</v>
      </c>
      <c r="C5333" s="5" t="s">
        <v>38202</v>
      </c>
      <c r="D5333" s="246">
        <v>39581</v>
      </c>
      <c r="E5333" s="5" t="s">
        <v>38203</v>
      </c>
      <c r="F5333" s="26"/>
      <c r="G5333" s="27" t="s">
        <v>2802</v>
      </c>
      <c r="H5333" s="28" t="s">
        <v>2803</v>
      </c>
      <c r="I5333" s="5" t="s">
        <v>1572</v>
      </c>
    </row>
    <row r="5334" spans="1:9" ht="51.75" customHeight="1">
      <c r="A5334" s="5">
        <v>3</v>
      </c>
      <c r="B5334" s="5" t="s">
        <v>38204</v>
      </c>
      <c r="C5334" s="5" t="s">
        <v>38205</v>
      </c>
      <c r="D5334" s="246">
        <v>39581</v>
      </c>
      <c r="E5334" s="5" t="s">
        <v>38206</v>
      </c>
      <c r="F5334" s="26"/>
      <c r="G5334" s="27" t="s">
        <v>2802</v>
      </c>
      <c r="H5334" s="28" t="s">
        <v>2803</v>
      </c>
      <c r="I5334" s="5" t="s">
        <v>1572</v>
      </c>
    </row>
    <row r="5335" spans="1:9" ht="51.75" customHeight="1">
      <c r="A5335" s="5">
        <v>4</v>
      </c>
      <c r="B5335" s="5" t="s">
        <v>38207</v>
      </c>
      <c r="C5335" s="5" t="s">
        <v>38208</v>
      </c>
      <c r="D5335" s="246">
        <v>39581</v>
      </c>
      <c r="E5335" s="5" t="s">
        <v>38209</v>
      </c>
      <c r="F5335" s="26"/>
      <c r="G5335" s="27" t="s">
        <v>2802</v>
      </c>
      <c r="H5335" s="28" t="s">
        <v>2803</v>
      </c>
      <c r="I5335" s="5" t="s">
        <v>1572</v>
      </c>
    </row>
    <row r="5336" spans="1:9" ht="51.75" customHeight="1">
      <c r="A5336" s="5">
        <v>5</v>
      </c>
      <c r="B5336" s="5" t="s">
        <v>38210</v>
      </c>
      <c r="C5336" s="5" t="s">
        <v>38211</v>
      </c>
      <c r="D5336" s="246">
        <v>39581</v>
      </c>
      <c r="E5336" s="5" t="s">
        <v>38212</v>
      </c>
      <c r="F5336" s="26"/>
      <c r="G5336" s="27" t="s">
        <v>2802</v>
      </c>
      <c r="H5336" s="28" t="s">
        <v>2803</v>
      </c>
      <c r="I5336" s="5" t="s">
        <v>1572</v>
      </c>
    </row>
    <row r="5337" spans="1:9" ht="51.75" customHeight="1">
      <c r="A5337" s="5">
        <v>6</v>
      </c>
      <c r="B5337" s="5" t="s">
        <v>38213</v>
      </c>
      <c r="C5337" s="5" t="s">
        <v>38214</v>
      </c>
      <c r="D5337" s="246">
        <v>39581</v>
      </c>
      <c r="E5337" s="5" t="s">
        <v>38215</v>
      </c>
      <c r="F5337" s="26"/>
      <c r="G5337" s="27" t="s">
        <v>2802</v>
      </c>
      <c r="H5337" s="28" t="s">
        <v>2803</v>
      </c>
      <c r="I5337" s="5" t="s">
        <v>1572</v>
      </c>
    </row>
    <row r="5338" spans="1:9" ht="51.75" customHeight="1">
      <c r="A5338" s="5">
        <v>1</v>
      </c>
      <c r="B5338" s="5" t="s">
        <v>38216</v>
      </c>
      <c r="C5338" s="5" t="s">
        <v>38217</v>
      </c>
      <c r="D5338" s="246">
        <v>39524</v>
      </c>
      <c r="E5338" s="5" t="s">
        <v>38218</v>
      </c>
      <c r="F5338" s="26"/>
      <c r="G5338" s="27" t="s">
        <v>2651</v>
      </c>
      <c r="H5338" s="28" t="s">
        <v>2652</v>
      </c>
      <c r="I5338" s="5" t="s">
        <v>1572</v>
      </c>
    </row>
    <row r="5339" spans="1:9" ht="51.75" customHeight="1">
      <c r="A5339" s="5">
        <v>2</v>
      </c>
      <c r="B5339" s="5" t="s">
        <v>38219</v>
      </c>
      <c r="C5339" s="5" t="s">
        <v>38220</v>
      </c>
      <c r="D5339" s="246">
        <v>39524</v>
      </c>
      <c r="E5339" s="5" t="s">
        <v>38221</v>
      </c>
      <c r="F5339" s="26"/>
      <c r="G5339" s="27" t="s">
        <v>2651</v>
      </c>
      <c r="H5339" s="28" t="s">
        <v>2652</v>
      </c>
      <c r="I5339" s="5" t="s">
        <v>1572</v>
      </c>
    </row>
    <row r="5340" spans="1:9" ht="51.75" customHeight="1">
      <c r="A5340" s="5">
        <v>3</v>
      </c>
      <c r="B5340" s="5" t="s">
        <v>38222</v>
      </c>
      <c r="C5340" s="5" t="s">
        <v>38223</v>
      </c>
      <c r="D5340" s="246">
        <v>39524</v>
      </c>
      <c r="E5340" s="5" t="s">
        <v>38224</v>
      </c>
      <c r="F5340" s="26"/>
      <c r="G5340" s="27" t="s">
        <v>2651</v>
      </c>
      <c r="H5340" s="28" t="s">
        <v>2652</v>
      </c>
      <c r="I5340" s="5" t="s">
        <v>1572</v>
      </c>
    </row>
    <row r="5341" spans="1:9" ht="51.75" customHeight="1">
      <c r="A5341" s="5">
        <v>4</v>
      </c>
      <c r="B5341" s="5" t="s">
        <v>38225</v>
      </c>
      <c r="C5341" s="5" t="s">
        <v>38226</v>
      </c>
      <c r="D5341" s="246">
        <v>39524</v>
      </c>
      <c r="E5341" s="5" t="s">
        <v>38227</v>
      </c>
      <c r="F5341" s="26"/>
      <c r="G5341" s="27" t="s">
        <v>2651</v>
      </c>
      <c r="H5341" s="28" t="s">
        <v>2652</v>
      </c>
      <c r="I5341" s="5" t="s">
        <v>1572</v>
      </c>
    </row>
    <row r="5342" spans="1:9" ht="51.75" customHeight="1">
      <c r="A5342" s="5">
        <v>1</v>
      </c>
      <c r="B5342" s="5" t="s">
        <v>38228</v>
      </c>
      <c r="C5342" s="5" t="s">
        <v>38229</v>
      </c>
      <c r="D5342" s="246">
        <v>39489</v>
      </c>
      <c r="E5342" s="5" t="s">
        <v>38230</v>
      </c>
      <c r="F5342" s="26"/>
      <c r="G5342" s="27" t="s">
        <v>2557</v>
      </c>
      <c r="H5342" s="28" t="s">
        <v>2558</v>
      </c>
      <c r="I5342" s="5" t="s">
        <v>1572</v>
      </c>
    </row>
    <row r="5343" spans="1:9" ht="51.75" customHeight="1">
      <c r="A5343" s="5">
        <v>2</v>
      </c>
      <c r="B5343" s="5" t="s">
        <v>38231</v>
      </c>
      <c r="C5343" s="5" t="s">
        <v>38232</v>
      </c>
      <c r="D5343" s="246">
        <v>39489</v>
      </c>
      <c r="E5343" s="5" t="s">
        <v>38233</v>
      </c>
      <c r="F5343" s="26"/>
      <c r="G5343" s="27" t="s">
        <v>2557</v>
      </c>
      <c r="H5343" s="28" t="s">
        <v>2558</v>
      </c>
      <c r="I5343" s="5" t="s">
        <v>1572</v>
      </c>
    </row>
    <row r="5344" spans="1:9" ht="51.75" customHeight="1">
      <c r="A5344" s="5">
        <v>3</v>
      </c>
      <c r="B5344" s="5" t="s">
        <v>38234</v>
      </c>
      <c r="C5344" s="5" t="s">
        <v>38235</v>
      </c>
      <c r="D5344" s="246">
        <v>39489</v>
      </c>
      <c r="E5344" s="5" t="s">
        <v>38236</v>
      </c>
      <c r="F5344" s="26"/>
      <c r="G5344" s="27" t="s">
        <v>2557</v>
      </c>
      <c r="H5344" s="28" t="s">
        <v>2558</v>
      </c>
      <c r="I5344" s="5" t="s">
        <v>1572</v>
      </c>
    </row>
    <row r="5345" spans="1:9" ht="51.75" customHeight="1">
      <c r="A5345" s="5">
        <v>4</v>
      </c>
      <c r="B5345" s="5" t="s">
        <v>38237</v>
      </c>
      <c r="C5345" s="5" t="s">
        <v>38238</v>
      </c>
      <c r="D5345" s="246">
        <v>39489</v>
      </c>
      <c r="E5345" s="5" t="s">
        <v>38239</v>
      </c>
      <c r="F5345" s="26"/>
      <c r="G5345" s="27" t="s">
        <v>2557</v>
      </c>
      <c r="H5345" s="28" t="s">
        <v>2558</v>
      </c>
      <c r="I5345" s="5" t="s">
        <v>1572</v>
      </c>
    </row>
    <row r="5346" spans="1:9" ht="51.75" customHeight="1">
      <c r="A5346" s="5">
        <v>5</v>
      </c>
      <c r="B5346" s="5" t="s">
        <v>38240</v>
      </c>
      <c r="C5346" s="5" t="s">
        <v>38241</v>
      </c>
      <c r="D5346" s="246">
        <v>39489</v>
      </c>
      <c r="E5346" s="5" t="s">
        <v>38242</v>
      </c>
      <c r="F5346" s="26"/>
      <c r="G5346" s="27" t="s">
        <v>2557</v>
      </c>
      <c r="H5346" s="28" t="s">
        <v>2558</v>
      </c>
      <c r="I5346" s="5" t="s">
        <v>1572</v>
      </c>
    </row>
    <row r="5347" spans="1:9" ht="51.75" customHeight="1">
      <c r="A5347" s="5">
        <v>6</v>
      </c>
      <c r="B5347" s="5" t="s">
        <v>38243</v>
      </c>
      <c r="C5347" s="5" t="s">
        <v>38244</v>
      </c>
      <c r="D5347" s="246">
        <v>39489</v>
      </c>
      <c r="E5347" s="5" t="s">
        <v>38245</v>
      </c>
      <c r="F5347" s="26"/>
      <c r="G5347" s="27" t="s">
        <v>2557</v>
      </c>
      <c r="H5347" s="28" t="s">
        <v>2558</v>
      </c>
      <c r="I5347" s="5" t="s">
        <v>1572</v>
      </c>
    </row>
    <row r="5348" spans="1:9" ht="51.75" customHeight="1">
      <c r="A5348" s="5">
        <v>7</v>
      </c>
      <c r="B5348" s="5" t="s">
        <v>38246</v>
      </c>
      <c r="C5348" s="5" t="s">
        <v>38247</v>
      </c>
      <c r="D5348" s="246">
        <v>39489</v>
      </c>
      <c r="E5348" s="5" t="s">
        <v>38248</v>
      </c>
      <c r="F5348" s="26"/>
      <c r="G5348" s="27" t="s">
        <v>2557</v>
      </c>
      <c r="H5348" s="28" t="s">
        <v>2558</v>
      </c>
      <c r="I5348" s="5" t="s">
        <v>1572</v>
      </c>
    </row>
    <row r="5349" spans="1:9" ht="51.75" customHeight="1">
      <c r="A5349" s="5">
        <v>1</v>
      </c>
      <c r="B5349" s="5" t="s">
        <v>38249</v>
      </c>
      <c r="C5349" s="5" t="s">
        <v>38250</v>
      </c>
      <c r="D5349" s="246">
        <v>39437</v>
      </c>
      <c r="E5349" s="5" t="s">
        <v>38251</v>
      </c>
      <c r="F5349" s="26"/>
      <c r="G5349" s="27" t="s">
        <v>2409</v>
      </c>
      <c r="H5349" s="28" t="s">
        <v>2410</v>
      </c>
      <c r="I5349" s="5" t="s">
        <v>1572</v>
      </c>
    </row>
    <row r="5350" spans="1:9" ht="51.75" customHeight="1">
      <c r="A5350" s="5">
        <v>2</v>
      </c>
      <c r="B5350" s="5" t="s">
        <v>38252</v>
      </c>
      <c r="C5350" s="5" t="s">
        <v>38253</v>
      </c>
      <c r="D5350" s="246">
        <v>39437</v>
      </c>
      <c r="E5350" s="5" t="s">
        <v>38254</v>
      </c>
      <c r="F5350" s="26"/>
      <c r="G5350" s="27" t="s">
        <v>2409</v>
      </c>
      <c r="H5350" s="28" t="s">
        <v>2410</v>
      </c>
      <c r="I5350" s="5" t="s">
        <v>1572</v>
      </c>
    </row>
    <row r="5351" spans="1:9" ht="51.75" customHeight="1">
      <c r="A5351" s="5">
        <v>3</v>
      </c>
      <c r="B5351" s="5" t="s">
        <v>38255</v>
      </c>
      <c r="C5351" s="5" t="s">
        <v>38256</v>
      </c>
      <c r="D5351" s="246">
        <v>39437</v>
      </c>
      <c r="E5351" s="5" t="s">
        <v>38257</v>
      </c>
      <c r="F5351" s="26"/>
      <c r="G5351" s="27" t="s">
        <v>2409</v>
      </c>
      <c r="H5351" s="28" t="s">
        <v>2410</v>
      </c>
      <c r="I5351" s="5" t="s">
        <v>1572</v>
      </c>
    </row>
    <row r="5352" spans="1:9" ht="51.75" customHeight="1">
      <c r="A5352" s="5">
        <v>1</v>
      </c>
      <c r="B5352" s="5" t="s">
        <v>38258</v>
      </c>
      <c r="C5352" s="5" t="s">
        <v>38259</v>
      </c>
      <c r="D5352" s="246">
        <v>39709</v>
      </c>
      <c r="E5352" s="5" t="s">
        <v>38260</v>
      </c>
      <c r="F5352" s="26"/>
      <c r="G5352" s="27" t="s">
        <v>2433</v>
      </c>
      <c r="H5352" s="28" t="s">
        <v>2434</v>
      </c>
      <c r="I5352" s="5" t="s">
        <v>1572</v>
      </c>
    </row>
    <row r="5353" spans="1:9" ht="51.75" customHeight="1">
      <c r="A5353" s="5">
        <v>2</v>
      </c>
      <c r="B5353" s="5" t="s">
        <v>38261</v>
      </c>
      <c r="C5353" s="5" t="s">
        <v>38262</v>
      </c>
      <c r="D5353" s="246">
        <v>39709</v>
      </c>
      <c r="E5353" s="5" t="s">
        <v>38263</v>
      </c>
      <c r="F5353" s="26"/>
      <c r="G5353" s="27" t="s">
        <v>2433</v>
      </c>
      <c r="H5353" s="28" t="s">
        <v>2434</v>
      </c>
      <c r="I5353" s="5" t="s">
        <v>1572</v>
      </c>
    </row>
    <row r="5354" spans="1:9" ht="51.75" customHeight="1">
      <c r="A5354" s="5">
        <v>3</v>
      </c>
      <c r="B5354" s="5" t="s">
        <v>38264</v>
      </c>
      <c r="C5354" s="5" t="s">
        <v>38265</v>
      </c>
      <c r="D5354" s="246">
        <v>39709</v>
      </c>
      <c r="E5354" s="5" t="s">
        <v>38266</v>
      </c>
      <c r="F5354" s="26"/>
      <c r="G5354" s="27" t="s">
        <v>2433</v>
      </c>
      <c r="H5354" s="28" t="s">
        <v>2434</v>
      </c>
      <c r="I5354" s="5" t="s">
        <v>1572</v>
      </c>
    </row>
    <row r="5355" spans="1:9" ht="51.75" customHeight="1">
      <c r="A5355" s="5">
        <v>1</v>
      </c>
      <c r="B5355" s="5" t="s">
        <v>38267</v>
      </c>
      <c r="C5355" s="5" t="s">
        <v>38268</v>
      </c>
      <c r="D5355" s="246">
        <v>40863</v>
      </c>
      <c r="E5355" s="5" t="s">
        <v>38269</v>
      </c>
      <c r="F5355" s="26"/>
      <c r="G5355" s="27" t="s">
        <v>6089</v>
      </c>
      <c r="H5355" s="28" t="s">
        <v>6090</v>
      </c>
      <c r="I5355" s="5" t="s">
        <v>1572</v>
      </c>
    </row>
    <row r="5356" spans="1:9" ht="51.75" customHeight="1">
      <c r="A5356" s="5">
        <v>1</v>
      </c>
      <c r="B5356" s="5" t="s">
        <v>38270</v>
      </c>
      <c r="C5356" s="5" t="s">
        <v>38271</v>
      </c>
      <c r="D5356" s="246">
        <v>41008</v>
      </c>
      <c r="E5356" s="5" t="s">
        <v>38272</v>
      </c>
      <c r="F5356" s="26"/>
      <c r="G5356" s="27" t="s">
        <v>6038</v>
      </c>
      <c r="H5356" s="28" t="s">
        <v>6039</v>
      </c>
      <c r="I5356" s="5" t="s">
        <v>1572</v>
      </c>
    </row>
    <row r="5357" spans="1:9" ht="51.75" customHeight="1">
      <c r="A5357" s="5">
        <v>1</v>
      </c>
      <c r="B5357" s="5" t="s">
        <v>38273</v>
      </c>
      <c r="C5357" s="5" t="s">
        <v>38274</v>
      </c>
      <c r="D5357" s="246">
        <v>41008</v>
      </c>
      <c r="E5357" s="5" t="s">
        <v>38275</v>
      </c>
      <c r="F5357" s="26" t="s">
        <v>23600</v>
      </c>
      <c r="G5357" s="27" t="s">
        <v>6020</v>
      </c>
      <c r="H5357" s="28" t="s">
        <v>6021</v>
      </c>
      <c r="I5357" s="5" t="s">
        <v>1572</v>
      </c>
    </row>
    <row r="5358" spans="1:9" ht="51.75" customHeight="1">
      <c r="A5358" s="5">
        <v>2</v>
      </c>
      <c r="B5358" s="5" t="s">
        <v>38276</v>
      </c>
      <c r="C5358" s="5" t="s">
        <v>38277</v>
      </c>
      <c r="D5358" s="246">
        <v>41008</v>
      </c>
      <c r="E5358" s="5" t="s">
        <v>38278</v>
      </c>
      <c r="F5358" s="26" t="s">
        <v>23600</v>
      </c>
      <c r="G5358" s="27" t="s">
        <v>6020</v>
      </c>
      <c r="H5358" s="28" t="s">
        <v>6021</v>
      </c>
      <c r="I5358" s="5" t="s">
        <v>1572</v>
      </c>
    </row>
    <row r="5359" spans="1:9" ht="51.75" customHeight="1">
      <c r="A5359" s="5">
        <v>3</v>
      </c>
      <c r="B5359" s="5" t="s">
        <v>38279</v>
      </c>
      <c r="C5359" s="5" t="s">
        <v>38280</v>
      </c>
      <c r="D5359" s="246">
        <v>41008</v>
      </c>
      <c r="E5359" s="5" t="s">
        <v>38281</v>
      </c>
      <c r="F5359" s="26" t="s">
        <v>23600</v>
      </c>
      <c r="G5359" s="27" t="s">
        <v>6020</v>
      </c>
      <c r="H5359" s="28" t="s">
        <v>6021</v>
      </c>
      <c r="I5359" s="5" t="s">
        <v>1572</v>
      </c>
    </row>
    <row r="5360" spans="1:9" ht="51.75" customHeight="1">
      <c r="A5360" s="5">
        <v>1</v>
      </c>
      <c r="B5360" s="5" t="s">
        <v>38282</v>
      </c>
      <c r="C5360" s="5" t="s">
        <v>38283</v>
      </c>
      <c r="D5360" s="246">
        <v>40863</v>
      </c>
      <c r="E5360" s="5" t="s">
        <v>38284</v>
      </c>
      <c r="F5360" s="26"/>
      <c r="G5360" s="27" t="s">
        <v>5906</v>
      </c>
      <c r="H5360" s="28" t="s">
        <v>5907</v>
      </c>
      <c r="I5360" s="5" t="s">
        <v>1572</v>
      </c>
    </row>
    <row r="5361" spans="1:9" ht="51.75" customHeight="1">
      <c r="A5361" s="5">
        <v>2</v>
      </c>
      <c r="B5361" s="5" t="s">
        <v>38285</v>
      </c>
      <c r="C5361" s="5" t="s">
        <v>38286</v>
      </c>
      <c r="D5361" s="246">
        <v>40863</v>
      </c>
      <c r="E5361" s="5" t="s">
        <v>38287</v>
      </c>
      <c r="F5361" s="26"/>
      <c r="G5361" s="27" t="s">
        <v>5906</v>
      </c>
      <c r="H5361" s="28" t="s">
        <v>5907</v>
      </c>
      <c r="I5361" s="5" t="s">
        <v>1572</v>
      </c>
    </row>
    <row r="5362" spans="1:9" ht="51.75" customHeight="1">
      <c r="A5362" s="5">
        <v>3</v>
      </c>
      <c r="B5362" s="5" t="s">
        <v>38288</v>
      </c>
      <c r="C5362" s="5" t="s">
        <v>38289</v>
      </c>
      <c r="D5362" s="246">
        <v>40863</v>
      </c>
      <c r="E5362" s="5" t="s">
        <v>38290</v>
      </c>
      <c r="F5362" s="26"/>
      <c r="G5362" s="27" t="s">
        <v>5906</v>
      </c>
      <c r="H5362" s="28" t="s">
        <v>5907</v>
      </c>
      <c r="I5362" s="5" t="s">
        <v>1572</v>
      </c>
    </row>
    <row r="5363" spans="1:9" ht="51.75" customHeight="1">
      <c r="A5363" s="5">
        <v>1</v>
      </c>
      <c r="B5363" s="5" t="s">
        <v>38291</v>
      </c>
      <c r="C5363" s="5" t="s">
        <v>38292</v>
      </c>
      <c r="D5363" s="246">
        <v>41008</v>
      </c>
      <c r="E5363" s="5" t="s">
        <v>38293</v>
      </c>
      <c r="F5363" s="26"/>
      <c r="G5363" s="27" t="s">
        <v>5825</v>
      </c>
      <c r="H5363" s="28" t="s">
        <v>5826</v>
      </c>
      <c r="I5363" s="5" t="s">
        <v>1572</v>
      </c>
    </row>
    <row r="5364" spans="1:9" ht="51.75" customHeight="1">
      <c r="A5364" s="5">
        <v>2</v>
      </c>
      <c r="B5364" s="5" t="s">
        <v>38294</v>
      </c>
      <c r="C5364" s="5" t="s">
        <v>38295</v>
      </c>
      <c r="D5364" s="246">
        <v>41008</v>
      </c>
      <c r="E5364" s="5" t="s">
        <v>38296</v>
      </c>
      <c r="F5364" s="26"/>
      <c r="G5364" s="27" t="s">
        <v>5825</v>
      </c>
      <c r="H5364" s="28" t="s">
        <v>5826</v>
      </c>
      <c r="I5364" s="5" t="s">
        <v>1572</v>
      </c>
    </row>
    <row r="5365" spans="1:9" ht="51.75" customHeight="1">
      <c r="A5365" s="5">
        <v>3</v>
      </c>
      <c r="B5365" s="5" t="s">
        <v>38297</v>
      </c>
      <c r="C5365" s="5" t="s">
        <v>38298</v>
      </c>
      <c r="D5365" s="246">
        <v>41008</v>
      </c>
      <c r="E5365" s="5" t="s">
        <v>38299</v>
      </c>
      <c r="F5365" s="26"/>
      <c r="G5365" s="27" t="s">
        <v>5825</v>
      </c>
      <c r="H5365" s="28" t="s">
        <v>5826</v>
      </c>
      <c r="I5365" s="5" t="s">
        <v>1572</v>
      </c>
    </row>
    <row r="5366" spans="1:9" ht="51.75" customHeight="1">
      <c r="A5366" s="5">
        <v>4</v>
      </c>
      <c r="B5366" s="5" t="s">
        <v>38300</v>
      </c>
      <c r="C5366" s="5" t="s">
        <v>38301</v>
      </c>
      <c r="D5366" s="246">
        <v>41008</v>
      </c>
      <c r="E5366" s="5" t="s">
        <v>38302</v>
      </c>
      <c r="F5366" s="26"/>
      <c r="G5366" s="27" t="s">
        <v>5825</v>
      </c>
      <c r="H5366" s="28" t="s">
        <v>5826</v>
      </c>
      <c r="I5366" s="5" t="s">
        <v>1572</v>
      </c>
    </row>
    <row r="5367" spans="1:9" ht="51.75" customHeight="1">
      <c r="A5367" s="5">
        <v>1</v>
      </c>
      <c r="B5367" s="5" t="s">
        <v>38303</v>
      </c>
      <c r="C5367" s="5" t="s">
        <v>38304</v>
      </c>
      <c r="D5367" s="246">
        <v>40830</v>
      </c>
      <c r="E5367" s="5" t="s">
        <v>38305</v>
      </c>
      <c r="F5367" s="26"/>
      <c r="G5367" s="27" t="s">
        <v>5602</v>
      </c>
      <c r="H5367" s="28" t="s">
        <v>5603</v>
      </c>
      <c r="I5367" s="5" t="s">
        <v>1572</v>
      </c>
    </row>
    <row r="5368" spans="1:9" ht="51.75" customHeight="1">
      <c r="A5368" s="5">
        <v>1</v>
      </c>
      <c r="B5368" s="5" t="s">
        <v>38306</v>
      </c>
      <c r="C5368" s="5" t="s">
        <v>38307</v>
      </c>
      <c r="D5368" s="246">
        <v>40828</v>
      </c>
      <c r="E5368" s="5" t="s">
        <v>38308</v>
      </c>
      <c r="F5368" s="26"/>
      <c r="G5368" s="27" t="s">
        <v>5480</v>
      </c>
      <c r="H5368" s="28" t="s">
        <v>5481</v>
      </c>
      <c r="I5368" s="5" t="s">
        <v>1572</v>
      </c>
    </row>
    <row r="5369" spans="1:9" ht="51.75" customHeight="1">
      <c r="A5369" s="5">
        <v>2</v>
      </c>
      <c r="B5369" s="5" t="s">
        <v>38309</v>
      </c>
      <c r="C5369" s="5" t="s">
        <v>38310</v>
      </c>
      <c r="D5369" s="246">
        <v>40828</v>
      </c>
      <c r="E5369" s="5" t="s">
        <v>38311</v>
      </c>
      <c r="F5369" s="26"/>
      <c r="G5369" s="27" t="s">
        <v>5480</v>
      </c>
      <c r="H5369" s="28" t="s">
        <v>5481</v>
      </c>
      <c r="I5369" s="5" t="s">
        <v>1572</v>
      </c>
    </row>
    <row r="5370" spans="1:9" ht="51.75" customHeight="1">
      <c r="A5370" s="5">
        <v>3</v>
      </c>
      <c r="B5370" s="5" t="s">
        <v>38312</v>
      </c>
      <c r="C5370" s="5" t="s">
        <v>38313</v>
      </c>
      <c r="D5370" s="246">
        <v>40828</v>
      </c>
      <c r="E5370" s="5" t="s">
        <v>38314</v>
      </c>
      <c r="F5370" s="26"/>
      <c r="G5370" s="27" t="s">
        <v>5480</v>
      </c>
      <c r="H5370" s="28" t="s">
        <v>5481</v>
      </c>
      <c r="I5370" s="5" t="s">
        <v>1572</v>
      </c>
    </row>
    <row r="5371" spans="1:9" ht="51.75" customHeight="1">
      <c r="A5371" s="5">
        <v>1</v>
      </c>
      <c r="B5371" s="5" t="s">
        <v>38315</v>
      </c>
      <c r="C5371" s="5" t="s">
        <v>38316</v>
      </c>
      <c r="D5371" s="246">
        <v>40688</v>
      </c>
      <c r="E5371" s="5" t="s">
        <v>38316</v>
      </c>
      <c r="F5371" s="26"/>
      <c r="G5371" s="27" t="s">
        <v>5430</v>
      </c>
      <c r="H5371" s="28" t="s">
        <v>5431</v>
      </c>
      <c r="I5371" s="5" t="s">
        <v>1572</v>
      </c>
    </row>
    <row r="5372" spans="1:9" ht="51.75" customHeight="1">
      <c r="A5372" s="5">
        <v>2</v>
      </c>
      <c r="B5372" s="5" t="s">
        <v>38317</v>
      </c>
      <c r="C5372" s="5" t="s">
        <v>38318</v>
      </c>
      <c r="D5372" s="246">
        <v>40688</v>
      </c>
      <c r="E5372" s="5" t="s">
        <v>38319</v>
      </c>
      <c r="F5372" s="26"/>
      <c r="G5372" s="27" t="s">
        <v>5430</v>
      </c>
      <c r="H5372" s="28" t="s">
        <v>5431</v>
      </c>
      <c r="I5372" s="5" t="s">
        <v>1572</v>
      </c>
    </row>
    <row r="5373" spans="1:9" ht="51.75" customHeight="1">
      <c r="A5373" s="5">
        <v>1</v>
      </c>
      <c r="B5373" s="5" t="s">
        <v>38320</v>
      </c>
      <c r="C5373" s="5" t="s">
        <v>38321</v>
      </c>
      <c r="D5373" s="246">
        <v>40829</v>
      </c>
      <c r="E5373" s="5" t="s">
        <v>38322</v>
      </c>
      <c r="F5373" s="26"/>
      <c r="G5373" s="27" t="s">
        <v>5419</v>
      </c>
      <c r="H5373" s="28" t="s">
        <v>5420</v>
      </c>
      <c r="I5373" s="5" t="s">
        <v>1572</v>
      </c>
    </row>
    <row r="5374" spans="1:9" ht="51.75" customHeight="1">
      <c r="A5374" s="5">
        <v>2</v>
      </c>
      <c r="B5374" s="5" t="s">
        <v>38323</v>
      </c>
      <c r="C5374" s="5" t="s">
        <v>38324</v>
      </c>
      <c r="D5374" s="246">
        <v>40829</v>
      </c>
      <c r="E5374" s="5" t="s">
        <v>38325</v>
      </c>
      <c r="F5374" s="26"/>
      <c r="G5374" s="27" t="s">
        <v>5419</v>
      </c>
      <c r="H5374" s="28" t="s">
        <v>5420</v>
      </c>
      <c r="I5374" s="5" t="s">
        <v>1572</v>
      </c>
    </row>
    <row r="5375" spans="1:9" ht="51.75" customHeight="1">
      <c r="A5375" s="5" t="s">
        <v>25358</v>
      </c>
      <c r="B5375" s="5" t="s">
        <v>38326</v>
      </c>
      <c r="C5375" s="5" t="s">
        <v>38327</v>
      </c>
      <c r="D5375" s="246">
        <v>41262</v>
      </c>
      <c r="E5375" s="5" t="s">
        <v>38328</v>
      </c>
      <c r="F5375" s="26" t="s">
        <v>23600</v>
      </c>
      <c r="G5375" s="27" t="s">
        <v>7761</v>
      </c>
      <c r="H5375" s="28" t="s">
        <v>7762</v>
      </c>
      <c r="I5375" s="5" t="s">
        <v>1572</v>
      </c>
    </row>
    <row r="5376" spans="1:9" ht="51.75" customHeight="1">
      <c r="A5376" s="5" t="s">
        <v>25082</v>
      </c>
      <c r="B5376" s="5" t="s">
        <v>38329</v>
      </c>
      <c r="C5376" s="5" t="s">
        <v>38330</v>
      </c>
      <c r="D5376" s="246">
        <v>41262</v>
      </c>
      <c r="E5376" s="5" t="s">
        <v>38331</v>
      </c>
      <c r="F5376" s="26" t="s">
        <v>23600</v>
      </c>
      <c r="G5376" s="27" t="s">
        <v>7761</v>
      </c>
      <c r="H5376" s="28" t="s">
        <v>7762</v>
      </c>
      <c r="I5376" s="5" t="s">
        <v>1572</v>
      </c>
    </row>
    <row r="5377" spans="1:9" ht="51.75" customHeight="1">
      <c r="A5377" s="5" t="s">
        <v>25086</v>
      </c>
      <c r="B5377" s="5" t="s">
        <v>38332</v>
      </c>
      <c r="C5377" s="5" t="s">
        <v>38333</v>
      </c>
      <c r="D5377" s="246">
        <v>41262</v>
      </c>
      <c r="E5377" s="5" t="s">
        <v>38334</v>
      </c>
      <c r="F5377" s="26" t="s">
        <v>23600</v>
      </c>
      <c r="G5377" s="27" t="s">
        <v>7761</v>
      </c>
      <c r="H5377" s="28" t="s">
        <v>7762</v>
      </c>
      <c r="I5377" s="5" t="s">
        <v>1572</v>
      </c>
    </row>
    <row r="5378" spans="1:9" ht="51.75" customHeight="1">
      <c r="A5378" s="5" t="s">
        <v>25090</v>
      </c>
      <c r="B5378" s="5" t="s">
        <v>38335</v>
      </c>
      <c r="C5378" s="5" t="s">
        <v>38336</v>
      </c>
      <c r="D5378" s="246">
        <v>41262</v>
      </c>
      <c r="E5378" s="5" t="s">
        <v>38337</v>
      </c>
      <c r="F5378" s="26" t="s">
        <v>23600</v>
      </c>
      <c r="G5378" s="27" t="s">
        <v>7761</v>
      </c>
      <c r="H5378" s="28" t="s">
        <v>7762</v>
      </c>
      <c r="I5378" s="5" t="s">
        <v>1572</v>
      </c>
    </row>
    <row r="5379" spans="1:9" ht="51.75" customHeight="1">
      <c r="A5379" s="5" t="s">
        <v>35566</v>
      </c>
      <c r="B5379" s="5" t="s">
        <v>38338</v>
      </c>
      <c r="C5379" s="5" t="s">
        <v>38339</v>
      </c>
      <c r="D5379" s="246" t="s">
        <v>68</v>
      </c>
      <c r="E5379" s="5" t="s">
        <v>38340</v>
      </c>
      <c r="F5379" s="26" t="s">
        <v>23600</v>
      </c>
      <c r="G5379" s="27" t="s">
        <v>7761</v>
      </c>
      <c r="H5379" s="28" t="s">
        <v>7762</v>
      </c>
      <c r="I5379" s="5" t="s">
        <v>1572</v>
      </c>
    </row>
    <row r="5380" spans="1:9" ht="51.75" customHeight="1">
      <c r="A5380" s="5">
        <v>1</v>
      </c>
      <c r="B5380" s="5" t="s">
        <v>38341</v>
      </c>
      <c r="C5380" s="5" t="s">
        <v>38342</v>
      </c>
      <c r="D5380" s="246">
        <v>40661</v>
      </c>
      <c r="E5380" s="5" t="s">
        <v>38343</v>
      </c>
      <c r="F5380" s="26" t="s">
        <v>23600</v>
      </c>
      <c r="G5380" s="27" t="s">
        <v>5952</v>
      </c>
      <c r="H5380" s="28" t="s">
        <v>5953</v>
      </c>
      <c r="I5380" s="5" t="s">
        <v>1572</v>
      </c>
    </row>
    <row r="5381" spans="1:9" ht="51.75" customHeight="1">
      <c r="A5381" s="5">
        <v>1</v>
      </c>
      <c r="B5381" s="5" t="s">
        <v>38344</v>
      </c>
      <c r="C5381" s="5" t="s">
        <v>38345</v>
      </c>
      <c r="D5381" s="246">
        <v>40528</v>
      </c>
      <c r="E5381" s="5" t="s">
        <v>38346</v>
      </c>
      <c r="F5381" s="26" t="s">
        <v>38347</v>
      </c>
      <c r="G5381" s="27" t="s">
        <v>5564</v>
      </c>
      <c r="H5381" s="28" t="s">
        <v>5565</v>
      </c>
      <c r="I5381" s="5" t="s">
        <v>1572</v>
      </c>
    </row>
    <row r="5382" spans="1:9" ht="51.75" customHeight="1">
      <c r="A5382" s="5">
        <v>1</v>
      </c>
      <c r="B5382" s="5" t="s">
        <v>38348</v>
      </c>
      <c r="C5382" s="5" t="s">
        <v>38345</v>
      </c>
      <c r="D5382" s="246">
        <v>40528</v>
      </c>
      <c r="E5382" s="5" t="s">
        <v>38349</v>
      </c>
      <c r="F5382" s="26" t="s">
        <v>23600</v>
      </c>
      <c r="G5382" s="27" t="s">
        <v>5564</v>
      </c>
      <c r="H5382" s="28" t="s">
        <v>5565</v>
      </c>
      <c r="I5382" s="5" t="s">
        <v>1572</v>
      </c>
    </row>
    <row r="5383" spans="1:9" ht="51.75" customHeight="1">
      <c r="A5383" s="5">
        <v>2</v>
      </c>
      <c r="B5383" s="5" t="s">
        <v>38350</v>
      </c>
      <c r="C5383" s="5" t="s">
        <v>38351</v>
      </c>
      <c r="D5383" s="246">
        <v>40528</v>
      </c>
      <c r="E5383" s="5" t="s">
        <v>38352</v>
      </c>
      <c r="F5383" s="26" t="s">
        <v>38347</v>
      </c>
      <c r="G5383" s="27" t="s">
        <v>5564</v>
      </c>
      <c r="H5383" s="28" t="s">
        <v>5565</v>
      </c>
      <c r="I5383" s="5" t="s">
        <v>1572</v>
      </c>
    </row>
    <row r="5384" spans="1:9" ht="51.75" customHeight="1">
      <c r="A5384" s="5">
        <v>2</v>
      </c>
      <c r="B5384" s="5" t="s">
        <v>38353</v>
      </c>
      <c r="C5384" s="5" t="s">
        <v>38351</v>
      </c>
      <c r="D5384" s="246">
        <v>40528</v>
      </c>
      <c r="E5384" s="5" t="s">
        <v>38354</v>
      </c>
      <c r="F5384" s="26" t="s">
        <v>23600</v>
      </c>
      <c r="G5384" s="27" t="s">
        <v>5564</v>
      </c>
      <c r="H5384" s="28" t="s">
        <v>5565</v>
      </c>
      <c r="I5384" s="5" t="s">
        <v>1572</v>
      </c>
    </row>
    <row r="5385" spans="1:9" ht="51.75" customHeight="1">
      <c r="A5385" s="5">
        <v>3</v>
      </c>
      <c r="B5385" s="5" t="s">
        <v>38355</v>
      </c>
      <c r="C5385" s="5" t="s">
        <v>38356</v>
      </c>
      <c r="D5385" s="246">
        <v>40528</v>
      </c>
      <c r="E5385" s="5" t="s">
        <v>38357</v>
      </c>
      <c r="F5385" s="26" t="s">
        <v>38347</v>
      </c>
      <c r="G5385" s="27" t="s">
        <v>5564</v>
      </c>
      <c r="H5385" s="28" t="s">
        <v>5565</v>
      </c>
      <c r="I5385" s="5" t="s">
        <v>1572</v>
      </c>
    </row>
    <row r="5386" spans="1:9" ht="51.75" customHeight="1">
      <c r="A5386" s="5">
        <v>3</v>
      </c>
      <c r="B5386" s="5" t="s">
        <v>38358</v>
      </c>
      <c r="C5386" s="5" t="s">
        <v>38356</v>
      </c>
      <c r="D5386" s="246">
        <v>40528</v>
      </c>
      <c r="E5386" s="5" t="s">
        <v>38359</v>
      </c>
      <c r="F5386" s="26" t="s">
        <v>23600</v>
      </c>
      <c r="G5386" s="27" t="s">
        <v>5564</v>
      </c>
      <c r="H5386" s="28" t="s">
        <v>5565</v>
      </c>
      <c r="I5386" s="5" t="s">
        <v>1572</v>
      </c>
    </row>
    <row r="5387" spans="1:9" ht="51.75" customHeight="1">
      <c r="A5387" s="5">
        <v>4</v>
      </c>
      <c r="B5387" s="5" t="s">
        <v>38360</v>
      </c>
      <c r="C5387" s="5" t="s">
        <v>38361</v>
      </c>
      <c r="D5387" s="246">
        <v>40528</v>
      </c>
      <c r="E5387" s="5" t="s">
        <v>38362</v>
      </c>
      <c r="F5387" s="26" t="s">
        <v>38347</v>
      </c>
      <c r="G5387" s="27" t="s">
        <v>5564</v>
      </c>
      <c r="H5387" s="28" t="s">
        <v>5565</v>
      </c>
      <c r="I5387" s="5" t="s">
        <v>1572</v>
      </c>
    </row>
    <row r="5388" spans="1:9" ht="51.75" customHeight="1">
      <c r="A5388" s="5">
        <v>4</v>
      </c>
      <c r="B5388" s="5" t="s">
        <v>38363</v>
      </c>
      <c r="C5388" s="5" t="s">
        <v>38361</v>
      </c>
      <c r="D5388" s="246">
        <v>40528</v>
      </c>
      <c r="E5388" s="5" t="s">
        <v>38364</v>
      </c>
      <c r="F5388" s="26" t="s">
        <v>23600</v>
      </c>
      <c r="G5388" s="27" t="s">
        <v>5564</v>
      </c>
      <c r="H5388" s="28" t="s">
        <v>5565</v>
      </c>
      <c r="I5388" s="5" t="s">
        <v>1572</v>
      </c>
    </row>
    <row r="5389" spans="1:9" ht="51.75" customHeight="1">
      <c r="A5389" s="5" t="s">
        <v>26364</v>
      </c>
      <c r="B5389" s="5" t="s">
        <v>38365</v>
      </c>
      <c r="C5389" s="5" t="s">
        <v>38366</v>
      </c>
      <c r="D5389" s="246">
        <v>41220</v>
      </c>
      <c r="E5389" s="5" t="s">
        <v>38367</v>
      </c>
      <c r="F5389" s="26" t="s">
        <v>23600</v>
      </c>
      <c r="G5389" s="27" t="s">
        <v>7934</v>
      </c>
      <c r="H5389" s="28" t="s">
        <v>7935</v>
      </c>
      <c r="I5389" s="5" t="s">
        <v>1572</v>
      </c>
    </row>
    <row r="5390" spans="1:9" ht="51.75" customHeight="1">
      <c r="A5390" s="5" t="s">
        <v>25499</v>
      </c>
      <c r="B5390" s="5" t="s">
        <v>38368</v>
      </c>
      <c r="C5390" s="5" t="s">
        <v>38369</v>
      </c>
      <c r="D5390" s="246" t="s">
        <v>68</v>
      </c>
      <c r="E5390" s="5" t="s">
        <v>38370</v>
      </c>
      <c r="F5390" s="26" t="s">
        <v>23600</v>
      </c>
      <c r="G5390" s="27" t="s">
        <v>8730</v>
      </c>
      <c r="H5390" s="28" t="s">
        <v>8731</v>
      </c>
      <c r="I5390" s="5" t="s">
        <v>1572</v>
      </c>
    </row>
    <row r="5391" spans="1:9" ht="51.75" customHeight="1">
      <c r="A5391" s="5" t="s">
        <v>25499</v>
      </c>
      <c r="B5391" s="5" t="s">
        <v>38371</v>
      </c>
      <c r="C5391" s="5" t="s">
        <v>38369</v>
      </c>
      <c r="D5391" s="246" t="s">
        <v>68</v>
      </c>
      <c r="E5391" s="5" t="s">
        <v>38372</v>
      </c>
      <c r="F5391" s="26" t="s">
        <v>38347</v>
      </c>
      <c r="G5391" s="27" t="s">
        <v>8730</v>
      </c>
      <c r="H5391" s="28" t="s">
        <v>8731</v>
      </c>
      <c r="I5391" s="5" t="s">
        <v>1572</v>
      </c>
    </row>
    <row r="5392" spans="1:9" ht="51.75" customHeight="1">
      <c r="A5392" s="5" t="s">
        <v>30904</v>
      </c>
      <c r="B5392" s="5" t="s">
        <v>38373</v>
      </c>
      <c r="C5392" s="5" t="s">
        <v>38374</v>
      </c>
      <c r="D5392" s="246">
        <v>41648</v>
      </c>
      <c r="E5392" s="5" t="s">
        <v>38375</v>
      </c>
      <c r="F5392" s="26" t="s">
        <v>38347</v>
      </c>
      <c r="G5392" s="27" t="s">
        <v>9207</v>
      </c>
      <c r="H5392" s="28" t="s">
        <v>9208</v>
      </c>
      <c r="I5392" s="5" t="s">
        <v>1572</v>
      </c>
    </row>
    <row r="5393" spans="1:9" ht="51.75" customHeight="1">
      <c r="A5393" s="5" t="s">
        <v>30904</v>
      </c>
      <c r="B5393" s="5" t="s">
        <v>38376</v>
      </c>
      <c r="C5393" s="5" t="s">
        <v>38374</v>
      </c>
      <c r="D5393" s="246">
        <v>41648</v>
      </c>
      <c r="E5393" s="5" t="s">
        <v>38377</v>
      </c>
      <c r="F5393" s="26" t="s">
        <v>23600</v>
      </c>
      <c r="G5393" s="27" t="s">
        <v>9207</v>
      </c>
      <c r="H5393" s="28" t="s">
        <v>9208</v>
      </c>
      <c r="I5393" s="5" t="s">
        <v>1572</v>
      </c>
    </row>
    <row r="5394" spans="1:9" ht="51.75" customHeight="1">
      <c r="A5394" s="5" t="s">
        <v>24550</v>
      </c>
      <c r="B5394" s="5" t="s">
        <v>38378</v>
      </c>
      <c r="C5394" s="5" t="s">
        <v>38379</v>
      </c>
      <c r="D5394" s="246">
        <v>41648</v>
      </c>
      <c r="E5394" s="5" t="s">
        <v>38380</v>
      </c>
      <c r="F5394" s="26" t="s">
        <v>38347</v>
      </c>
      <c r="G5394" s="27" t="s">
        <v>9207</v>
      </c>
      <c r="H5394" s="28" t="s">
        <v>9208</v>
      </c>
      <c r="I5394" s="5" t="s">
        <v>1572</v>
      </c>
    </row>
    <row r="5395" spans="1:9" ht="51.75" customHeight="1">
      <c r="A5395" s="5" t="s">
        <v>24550</v>
      </c>
      <c r="B5395" s="5" t="s">
        <v>38381</v>
      </c>
      <c r="C5395" s="5" t="s">
        <v>38379</v>
      </c>
      <c r="D5395" s="246">
        <v>41648</v>
      </c>
      <c r="E5395" s="5" t="s">
        <v>38382</v>
      </c>
      <c r="F5395" s="26" t="s">
        <v>23600</v>
      </c>
      <c r="G5395" s="27" t="s">
        <v>9207</v>
      </c>
      <c r="H5395" s="28" t="s">
        <v>9208</v>
      </c>
      <c r="I5395" s="5" t="s">
        <v>1572</v>
      </c>
    </row>
    <row r="5396" spans="1:9" ht="51.75" customHeight="1">
      <c r="A5396" s="5" t="s">
        <v>24635</v>
      </c>
      <c r="B5396" s="5" t="s">
        <v>38383</v>
      </c>
      <c r="C5396" s="5" t="s">
        <v>38384</v>
      </c>
      <c r="D5396" s="246">
        <v>41689</v>
      </c>
      <c r="E5396" s="5" t="s">
        <v>38385</v>
      </c>
      <c r="F5396" s="26" t="s">
        <v>38347</v>
      </c>
      <c r="G5396" s="27" t="s">
        <v>9258</v>
      </c>
      <c r="H5396" s="28" t="s">
        <v>9259</v>
      </c>
      <c r="I5396" s="5" t="s">
        <v>1572</v>
      </c>
    </row>
    <row r="5397" spans="1:9" ht="51.75" customHeight="1">
      <c r="A5397" s="5" t="s">
        <v>24635</v>
      </c>
      <c r="B5397" s="5" t="s">
        <v>38386</v>
      </c>
      <c r="C5397" s="5" t="s">
        <v>38384</v>
      </c>
      <c r="D5397" s="246">
        <v>41689</v>
      </c>
      <c r="E5397" s="5" t="s">
        <v>38387</v>
      </c>
      <c r="F5397" s="26" t="s">
        <v>23600</v>
      </c>
      <c r="G5397" s="27" t="s">
        <v>9258</v>
      </c>
      <c r="H5397" s="28" t="s">
        <v>9259</v>
      </c>
      <c r="I5397" s="5" t="s">
        <v>1572</v>
      </c>
    </row>
    <row r="5398" spans="1:9" ht="51.75" customHeight="1">
      <c r="A5398" s="5" t="s">
        <v>24643</v>
      </c>
      <c r="B5398" s="5" t="s">
        <v>38388</v>
      </c>
      <c r="C5398" s="5" t="s">
        <v>38389</v>
      </c>
      <c r="D5398" s="246">
        <v>41701</v>
      </c>
      <c r="E5398" s="5" t="s">
        <v>38390</v>
      </c>
      <c r="F5398" s="26" t="s">
        <v>23600</v>
      </c>
      <c r="G5398" s="27" t="s">
        <v>9298</v>
      </c>
      <c r="H5398" s="28" t="s">
        <v>9299</v>
      </c>
      <c r="I5398" s="5" t="s">
        <v>1572</v>
      </c>
    </row>
    <row r="5399" spans="1:9" ht="51.75" customHeight="1">
      <c r="A5399" s="5" t="s">
        <v>24643</v>
      </c>
      <c r="B5399" s="5" t="s">
        <v>38391</v>
      </c>
      <c r="C5399" s="5" t="s">
        <v>38389</v>
      </c>
      <c r="D5399" s="246">
        <v>41701</v>
      </c>
      <c r="E5399" s="5" t="s">
        <v>38392</v>
      </c>
      <c r="F5399" s="26" t="s">
        <v>38347</v>
      </c>
      <c r="G5399" s="27" t="s">
        <v>9298</v>
      </c>
      <c r="H5399" s="28" t="s">
        <v>9299</v>
      </c>
      <c r="I5399" s="5" t="s">
        <v>1572</v>
      </c>
    </row>
    <row r="5400" spans="1:9" ht="51.75" customHeight="1">
      <c r="A5400" s="5" t="s">
        <v>28660</v>
      </c>
      <c r="B5400" s="5" t="s">
        <v>38393</v>
      </c>
      <c r="C5400" s="5" t="s">
        <v>38394</v>
      </c>
      <c r="D5400" s="246">
        <v>41701</v>
      </c>
      <c r="E5400" s="5" t="s">
        <v>38395</v>
      </c>
      <c r="F5400" s="26" t="s">
        <v>23600</v>
      </c>
      <c r="G5400" s="27" t="s">
        <v>9298</v>
      </c>
      <c r="H5400" s="28" t="s">
        <v>9299</v>
      </c>
      <c r="I5400" s="5" t="s">
        <v>1572</v>
      </c>
    </row>
    <row r="5401" spans="1:9" ht="51.75" customHeight="1">
      <c r="A5401" s="5" t="s">
        <v>28660</v>
      </c>
      <c r="B5401" s="5" t="s">
        <v>38396</v>
      </c>
      <c r="C5401" s="5" t="s">
        <v>38394</v>
      </c>
      <c r="D5401" s="246">
        <v>41701</v>
      </c>
      <c r="E5401" s="5" t="s">
        <v>38397</v>
      </c>
      <c r="F5401" s="26" t="s">
        <v>38347</v>
      </c>
      <c r="G5401" s="27" t="s">
        <v>9298</v>
      </c>
      <c r="H5401" s="28" t="s">
        <v>9299</v>
      </c>
      <c r="I5401" s="5" t="s">
        <v>1572</v>
      </c>
    </row>
    <row r="5402" spans="1:9" ht="51.75" customHeight="1">
      <c r="A5402" s="5" t="s">
        <v>28666</v>
      </c>
      <c r="B5402" s="5" t="s">
        <v>38398</v>
      </c>
      <c r="C5402" s="5" t="s">
        <v>38399</v>
      </c>
      <c r="D5402" s="246">
        <v>41701</v>
      </c>
      <c r="E5402" s="5" t="s">
        <v>38400</v>
      </c>
      <c r="F5402" s="26" t="s">
        <v>23600</v>
      </c>
      <c r="G5402" s="27" t="s">
        <v>9298</v>
      </c>
      <c r="H5402" s="28" t="s">
        <v>9299</v>
      </c>
      <c r="I5402" s="5" t="s">
        <v>1572</v>
      </c>
    </row>
    <row r="5403" spans="1:9" ht="51.75" customHeight="1">
      <c r="A5403" s="5" t="s">
        <v>28666</v>
      </c>
      <c r="B5403" s="5" t="s">
        <v>38401</v>
      </c>
      <c r="C5403" s="5" t="s">
        <v>38399</v>
      </c>
      <c r="D5403" s="246">
        <v>41701</v>
      </c>
      <c r="E5403" s="5" t="s">
        <v>38402</v>
      </c>
      <c r="F5403" s="26" t="s">
        <v>38347</v>
      </c>
      <c r="G5403" s="27" t="s">
        <v>9298</v>
      </c>
      <c r="H5403" s="28" t="s">
        <v>9299</v>
      </c>
      <c r="I5403" s="5" t="s">
        <v>1572</v>
      </c>
    </row>
    <row r="5404" spans="1:9" ht="51.75" customHeight="1">
      <c r="A5404" s="5" t="s">
        <v>27703</v>
      </c>
      <c r="B5404" s="5" t="s">
        <v>38403</v>
      </c>
      <c r="C5404" s="5" t="s">
        <v>38404</v>
      </c>
      <c r="D5404" s="246" t="s">
        <v>68</v>
      </c>
      <c r="E5404" s="5" t="s">
        <v>38405</v>
      </c>
      <c r="F5404" s="26" t="s">
        <v>23600</v>
      </c>
      <c r="G5404" s="27" t="s">
        <v>9447</v>
      </c>
      <c r="H5404" s="28" t="s">
        <v>9448</v>
      </c>
      <c r="I5404" s="5" t="s">
        <v>1572</v>
      </c>
    </row>
    <row r="5405" spans="1:9" ht="51.75" customHeight="1">
      <c r="A5405" s="5" t="s">
        <v>27703</v>
      </c>
      <c r="B5405" s="5" t="s">
        <v>38406</v>
      </c>
      <c r="C5405" s="5" t="s">
        <v>38404</v>
      </c>
      <c r="D5405" s="246" t="s">
        <v>68</v>
      </c>
      <c r="E5405" s="5" t="s">
        <v>38407</v>
      </c>
      <c r="F5405" s="26" t="s">
        <v>38347</v>
      </c>
      <c r="G5405" s="27" t="s">
        <v>9447</v>
      </c>
      <c r="H5405" s="28" t="s">
        <v>9448</v>
      </c>
      <c r="I5405" s="5" t="s">
        <v>1572</v>
      </c>
    </row>
    <row r="5406" spans="1:9" ht="51.75" customHeight="1">
      <c r="A5406" s="5" t="s">
        <v>27709</v>
      </c>
      <c r="B5406" s="5" t="s">
        <v>38408</v>
      </c>
      <c r="C5406" s="5" t="s">
        <v>38409</v>
      </c>
      <c r="D5406" s="246" t="s">
        <v>68</v>
      </c>
      <c r="E5406" s="5" t="s">
        <v>38410</v>
      </c>
      <c r="F5406" s="26" t="s">
        <v>23600</v>
      </c>
      <c r="G5406" s="27" t="s">
        <v>9447</v>
      </c>
      <c r="H5406" s="28" t="s">
        <v>9448</v>
      </c>
      <c r="I5406" s="5" t="s">
        <v>1572</v>
      </c>
    </row>
    <row r="5407" spans="1:9" ht="51.75" customHeight="1">
      <c r="A5407" s="5" t="s">
        <v>27709</v>
      </c>
      <c r="B5407" s="5" t="s">
        <v>38411</v>
      </c>
      <c r="C5407" s="5" t="s">
        <v>38409</v>
      </c>
      <c r="D5407" s="246" t="s">
        <v>68</v>
      </c>
      <c r="E5407" s="5" t="s">
        <v>38412</v>
      </c>
      <c r="F5407" s="26" t="s">
        <v>38347</v>
      </c>
      <c r="G5407" s="27" t="s">
        <v>9447</v>
      </c>
      <c r="H5407" s="28" t="s">
        <v>9448</v>
      </c>
      <c r="I5407" s="5" t="s">
        <v>1572</v>
      </c>
    </row>
    <row r="5408" spans="1:9" ht="51.75" customHeight="1">
      <c r="A5408" s="5" t="s">
        <v>27715</v>
      </c>
      <c r="B5408" s="5" t="s">
        <v>38413</v>
      </c>
      <c r="C5408" s="5" t="s">
        <v>38414</v>
      </c>
      <c r="D5408" s="246" t="s">
        <v>68</v>
      </c>
      <c r="E5408" s="5" t="s">
        <v>38415</v>
      </c>
      <c r="F5408" s="26" t="s">
        <v>23600</v>
      </c>
      <c r="G5408" s="27" t="s">
        <v>9447</v>
      </c>
      <c r="H5408" s="28" t="s">
        <v>9448</v>
      </c>
      <c r="I5408" s="5" t="s">
        <v>1572</v>
      </c>
    </row>
    <row r="5409" spans="1:9" ht="51.75" customHeight="1">
      <c r="A5409" s="5" t="s">
        <v>27715</v>
      </c>
      <c r="B5409" s="5" t="s">
        <v>38416</v>
      </c>
      <c r="C5409" s="5" t="s">
        <v>38414</v>
      </c>
      <c r="D5409" s="246" t="s">
        <v>68</v>
      </c>
      <c r="E5409" s="5" t="s">
        <v>38417</v>
      </c>
      <c r="F5409" s="26" t="s">
        <v>38347</v>
      </c>
      <c r="G5409" s="27" t="s">
        <v>9447</v>
      </c>
      <c r="H5409" s="28" t="s">
        <v>9448</v>
      </c>
      <c r="I5409" s="5" t="s">
        <v>1572</v>
      </c>
    </row>
    <row r="5410" spans="1:9" ht="51.75" customHeight="1">
      <c r="A5410" s="5" t="s">
        <v>26503</v>
      </c>
      <c r="B5410" s="5" t="s">
        <v>38418</v>
      </c>
      <c r="C5410" s="5" t="s">
        <v>38419</v>
      </c>
      <c r="D5410" s="246">
        <v>41885</v>
      </c>
      <c r="E5410" s="5" t="s">
        <v>38420</v>
      </c>
      <c r="F5410" s="26" t="s">
        <v>38347</v>
      </c>
      <c r="G5410" s="27" t="s">
        <v>9709</v>
      </c>
      <c r="H5410" s="28" t="s">
        <v>9710</v>
      </c>
      <c r="I5410" s="5" t="s">
        <v>1572</v>
      </c>
    </row>
    <row r="5411" spans="1:9" ht="51.75" customHeight="1">
      <c r="A5411" s="5" t="s">
        <v>26503</v>
      </c>
      <c r="B5411" s="5" t="s">
        <v>38421</v>
      </c>
      <c r="C5411" s="5" t="s">
        <v>38419</v>
      </c>
      <c r="D5411" s="246">
        <v>41885</v>
      </c>
      <c r="E5411" s="5" t="s">
        <v>38422</v>
      </c>
      <c r="F5411" s="26" t="s">
        <v>23600</v>
      </c>
      <c r="G5411" s="27" t="s">
        <v>9709</v>
      </c>
      <c r="H5411" s="28" t="s">
        <v>9710</v>
      </c>
      <c r="I5411" s="5" t="s">
        <v>1572</v>
      </c>
    </row>
    <row r="5412" spans="1:9" ht="51.75" customHeight="1">
      <c r="A5412" s="5" t="s">
        <v>26509</v>
      </c>
      <c r="B5412" s="5" t="s">
        <v>38423</v>
      </c>
      <c r="C5412" s="5" t="s">
        <v>38424</v>
      </c>
      <c r="D5412" s="246">
        <v>42024</v>
      </c>
      <c r="E5412" s="5" t="s">
        <v>38425</v>
      </c>
      <c r="F5412" s="26" t="s">
        <v>23600</v>
      </c>
      <c r="G5412" s="27" t="s">
        <v>9722</v>
      </c>
      <c r="H5412" s="28" t="s">
        <v>9723</v>
      </c>
      <c r="I5412" s="5" t="s">
        <v>1572</v>
      </c>
    </row>
    <row r="5413" spans="1:9" ht="51.75" customHeight="1">
      <c r="A5413" s="5" t="s">
        <v>26509</v>
      </c>
      <c r="B5413" s="5" t="s">
        <v>38426</v>
      </c>
      <c r="C5413" s="5" t="s">
        <v>38424</v>
      </c>
      <c r="D5413" s="246">
        <v>42024</v>
      </c>
      <c r="E5413" s="5" t="s">
        <v>38427</v>
      </c>
      <c r="F5413" s="26" t="s">
        <v>38347</v>
      </c>
      <c r="G5413" s="27" t="s">
        <v>9722</v>
      </c>
      <c r="H5413" s="28" t="s">
        <v>9723</v>
      </c>
      <c r="I5413" s="5" t="s">
        <v>1572</v>
      </c>
    </row>
    <row r="5414" spans="1:9" ht="51.75" customHeight="1">
      <c r="A5414" s="5" t="s">
        <v>26515</v>
      </c>
      <c r="B5414" s="5" t="s">
        <v>38428</v>
      </c>
      <c r="C5414" s="5" t="s">
        <v>38429</v>
      </c>
      <c r="D5414" s="246">
        <v>42024</v>
      </c>
      <c r="E5414" s="5" t="s">
        <v>38430</v>
      </c>
      <c r="F5414" s="26" t="s">
        <v>23600</v>
      </c>
      <c r="G5414" s="27" t="s">
        <v>9722</v>
      </c>
      <c r="H5414" s="28" t="s">
        <v>9723</v>
      </c>
      <c r="I5414" s="5" t="s">
        <v>1572</v>
      </c>
    </row>
    <row r="5415" spans="1:9" ht="51.75" customHeight="1">
      <c r="A5415" s="5" t="s">
        <v>26515</v>
      </c>
      <c r="B5415" s="5" t="s">
        <v>38431</v>
      </c>
      <c r="C5415" s="5" t="s">
        <v>38429</v>
      </c>
      <c r="D5415" s="246">
        <v>42024</v>
      </c>
      <c r="E5415" s="5" t="s">
        <v>38432</v>
      </c>
      <c r="F5415" s="26" t="s">
        <v>38347</v>
      </c>
      <c r="G5415" s="27" t="s">
        <v>9722</v>
      </c>
      <c r="H5415" s="28" t="s">
        <v>9723</v>
      </c>
      <c r="I5415" s="5" t="s">
        <v>1572</v>
      </c>
    </row>
    <row r="5416" spans="1:9" ht="51.75" customHeight="1">
      <c r="A5416" s="5" t="s">
        <v>24932</v>
      </c>
      <c r="B5416" s="5" t="s">
        <v>38433</v>
      </c>
      <c r="C5416" s="5" t="s">
        <v>38434</v>
      </c>
      <c r="D5416" s="246">
        <v>41976</v>
      </c>
      <c r="E5416" s="5" t="s">
        <v>38435</v>
      </c>
      <c r="F5416" s="26" t="s">
        <v>38347</v>
      </c>
      <c r="G5416" s="27" t="s">
        <v>9809</v>
      </c>
      <c r="H5416" s="28" t="s">
        <v>9810</v>
      </c>
      <c r="I5416" s="5" t="s">
        <v>1572</v>
      </c>
    </row>
    <row r="5417" spans="1:9" ht="51.75" customHeight="1">
      <c r="A5417" s="5" t="s">
        <v>24932</v>
      </c>
      <c r="B5417" s="5" t="s">
        <v>38436</v>
      </c>
      <c r="C5417" s="5" t="s">
        <v>38434</v>
      </c>
      <c r="D5417" s="246">
        <v>41976</v>
      </c>
      <c r="E5417" s="5" t="s">
        <v>38437</v>
      </c>
      <c r="F5417" s="26" t="s">
        <v>23600</v>
      </c>
      <c r="G5417" s="27" t="s">
        <v>9809</v>
      </c>
      <c r="H5417" s="28" t="s">
        <v>9810</v>
      </c>
      <c r="I5417" s="5" t="s">
        <v>1572</v>
      </c>
    </row>
    <row r="5418" spans="1:9" ht="51.75" customHeight="1">
      <c r="A5418" s="5" t="s">
        <v>26310</v>
      </c>
      <c r="B5418" s="5" t="s">
        <v>38438</v>
      </c>
      <c r="C5418" s="5" t="s">
        <v>38439</v>
      </c>
      <c r="D5418" s="246">
        <v>41976</v>
      </c>
      <c r="E5418" s="5" t="s">
        <v>38440</v>
      </c>
      <c r="F5418" s="26" t="s">
        <v>38347</v>
      </c>
      <c r="G5418" s="27" t="s">
        <v>9809</v>
      </c>
      <c r="H5418" s="28" t="s">
        <v>9810</v>
      </c>
      <c r="I5418" s="5" t="s">
        <v>1572</v>
      </c>
    </row>
    <row r="5419" spans="1:9" ht="51.75" customHeight="1">
      <c r="A5419" s="5" t="s">
        <v>26310</v>
      </c>
      <c r="B5419" s="5" t="s">
        <v>38441</v>
      </c>
      <c r="C5419" s="5" t="s">
        <v>38439</v>
      </c>
      <c r="D5419" s="246">
        <v>41976</v>
      </c>
      <c r="E5419" s="5" t="s">
        <v>38442</v>
      </c>
      <c r="F5419" s="26" t="s">
        <v>23600</v>
      </c>
      <c r="G5419" s="27" t="s">
        <v>9809</v>
      </c>
      <c r="H5419" s="28" t="s">
        <v>9810</v>
      </c>
      <c r="I5419" s="5" t="s">
        <v>1572</v>
      </c>
    </row>
    <row r="5420" spans="1:9" ht="51.75" customHeight="1">
      <c r="A5420" s="5" t="s">
        <v>25307</v>
      </c>
      <c r="B5420" s="5" t="s">
        <v>38443</v>
      </c>
      <c r="C5420" s="5" t="s">
        <v>38444</v>
      </c>
      <c r="D5420" s="246">
        <v>41911</v>
      </c>
      <c r="E5420" s="5" t="s">
        <v>38445</v>
      </c>
      <c r="F5420" s="26" t="s">
        <v>38347</v>
      </c>
      <c r="G5420" s="27" t="s">
        <v>9898</v>
      </c>
      <c r="H5420" s="28" t="s">
        <v>9899</v>
      </c>
      <c r="I5420" s="5" t="s">
        <v>1572</v>
      </c>
    </row>
    <row r="5421" spans="1:9" ht="51.75" customHeight="1">
      <c r="A5421" s="5" t="s">
        <v>25307</v>
      </c>
      <c r="B5421" s="5" t="s">
        <v>38446</v>
      </c>
      <c r="C5421" s="5" t="s">
        <v>38444</v>
      </c>
      <c r="D5421" s="246">
        <v>41911</v>
      </c>
      <c r="E5421" s="5" t="s">
        <v>38447</v>
      </c>
      <c r="F5421" s="26" t="s">
        <v>23600</v>
      </c>
      <c r="G5421" s="27" t="s">
        <v>9898</v>
      </c>
      <c r="H5421" s="28" t="s">
        <v>9899</v>
      </c>
      <c r="I5421" s="5" t="s">
        <v>1572</v>
      </c>
    </row>
    <row r="5422" spans="1:9" ht="51.75" customHeight="1">
      <c r="A5422" s="5" t="s">
        <v>24162</v>
      </c>
      <c r="B5422" s="5" t="s">
        <v>38448</v>
      </c>
      <c r="C5422" s="5" t="s">
        <v>38449</v>
      </c>
      <c r="D5422" s="246">
        <v>42094</v>
      </c>
      <c r="E5422" s="5" t="s">
        <v>38450</v>
      </c>
      <c r="F5422" s="26" t="s">
        <v>38347</v>
      </c>
      <c r="G5422" s="27" t="s">
        <v>10180</v>
      </c>
      <c r="H5422" s="28" t="s">
        <v>10181</v>
      </c>
      <c r="I5422" s="5" t="s">
        <v>1572</v>
      </c>
    </row>
    <row r="5423" spans="1:9" ht="51.75" customHeight="1">
      <c r="A5423" s="5" t="s">
        <v>24162</v>
      </c>
      <c r="B5423" s="5" t="s">
        <v>38451</v>
      </c>
      <c r="C5423" s="5" t="s">
        <v>38449</v>
      </c>
      <c r="D5423" s="246">
        <v>42094</v>
      </c>
      <c r="E5423" s="5" t="s">
        <v>38452</v>
      </c>
      <c r="F5423" s="26" t="s">
        <v>23600</v>
      </c>
      <c r="G5423" s="27" t="s">
        <v>10180</v>
      </c>
      <c r="H5423" s="28" t="s">
        <v>10181</v>
      </c>
      <c r="I5423" s="5" t="s">
        <v>1572</v>
      </c>
    </row>
    <row r="5424" spans="1:9" ht="51.75" customHeight="1">
      <c r="A5424" s="5" t="s">
        <v>24166</v>
      </c>
      <c r="B5424" s="5" t="s">
        <v>38453</v>
      </c>
      <c r="C5424" s="5" t="s">
        <v>38454</v>
      </c>
      <c r="D5424" s="246">
        <v>42094</v>
      </c>
      <c r="E5424" s="5" t="s">
        <v>38455</v>
      </c>
      <c r="F5424" s="26" t="s">
        <v>38347</v>
      </c>
      <c r="G5424" s="27" t="s">
        <v>10180</v>
      </c>
      <c r="H5424" s="28" t="s">
        <v>10181</v>
      </c>
      <c r="I5424" s="5" t="s">
        <v>1572</v>
      </c>
    </row>
    <row r="5425" spans="1:9" ht="51.75" customHeight="1">
      <c r="A5425" s="5" t="s">
        <v>24166</v>
      </c>
      <c r="B5425" s="5" t="s">
        <v>38456</v>
      </c>
      <c r="C5425" s="5" t="s">
        <v>38454</v>
      </c>
      <c r="D5425" s="246">
        <v>42094</v>
      </c>
      <c r="E5425" s="5" t="s">
        <v>38457</v>
      </c>
      <c r="F5425" s="26" t="s">
        <v>23600</v>
      </c>
      <c r="G5425" s="27" t="s">
        <v>10180</v>
      </c>
      <c r="H5425" s="28" t="s">
        <v>10181</v>
      </c>
      <c r="I5425" s="5" t="s">
        <v>1572</v>
      </c>
    </row>
    <row r="5426" spans="1:9" ht="51.75" customHeight="1">
      <c r="A5426" s="5" t="s">
        <v>24170</v>
      </c>
      <c r="B5426" s="5" t="s">
        <v>38458</v>
      </c>
      <c r="C5426" s="5" t="s">
        <v>38459</v>
      </c>
      <c r="D5426" s="246">
        <v>42094</v>
      </c>
      <c r="E5426" s="5" t="s">
        <v>38460</v>
      </c>
      <c r="F5426" s="26" t="s">
        <v>38347</v>
      </c>
      <c r="G5426" s="27" t="s">
        <v>10180</v>
      </c>
      <c r="H5426" s="28" t="s">
        <v>10181</v>
      </c>
      <c r="I5426" s="5" t="s">
        <v>1572</v>
      </c>
    </row>
    <row r="5427" spans="1:9" ht="51.75" customHeight="1">
      <c r="A5427" s="5" t="s">
        <v>24170</v>
      </c>
      <c r="B5427" s="5" t="s">
        <v>38461</v>
      </c>
      <c r="C5427" s="5" t="s">
        <v>38459</v>
      </c>
      <c r="D5427" s="246">
        <v>42094</v>
      </c>
      <c r="E5427" s="5" t="s">
        <v>38462</v>
      </c>
      <c r="F5427" s="26" t="s">
        <v>23600</v>
      </c>
      <c r="G5427" s="27" t="s">
        <v>10180</v>
      </c>
      <c r="H5427" s="28" t="s">
        <v>10181</v>
      </c>
      <c r="I5427" s="5" t="s">
        <v>1572</v>
      </c>
    </row>
    <row r="5428" spans="1:9" ht="51.75" customHeight="1">
      <c r="A5428" s="5" t="s">
        <v>25062</v>
      </c>
      <c r="B5428" s="5" t="s">
        <v>38463</v>
      </c>
      <c r="C5428" s="5" t="s">
        <v>38464</v>
      </c>
      <c r="D5428" s="246">
        <v>42072</v>
      </c>
      <c r="E5428" s="5" t="s">
        <v>38465</v>
      </c>
      <c r="F5428" s="26" t="s">
        <v>38347</v>
      </c>
      <c r="G5428" s="27" t="s">
        <v>10222</v>
      </c>
      <c r="H5428" s="28" t="s">
        <v>10223</v>
      </c>
      <c r="I5428" s="5" t="s">
        <v>1572</v>
      </c>
    </row>
    <row r="5429" spans="1:9" ht="51.75" customHeight="1">
      <c r="A5429" s="5" t="s">
        <v>25062</v>
      </c>
      <c r="B5429" s="5" t="s">
        <v>38466</v>
      </c>
      <c r="C5429" s="5" t="s">
        <v>38464</v>
      </c>
      <c r="D5429" s="246">
        <v>42072</v>
      </c>
      <c r="E5429" s="5" t="s">
        <v>38467</v>
      </c>
      <c r="F5429" s="26" t="s">
        <v>23600</v>
      </c>
      <c r="G5429" s="27" t="s">
        <v>10222</v>
      </c>
      <c r="H5429" s="28" t="s">
        <v>10223</v>
      </c>
      <c r="I5429" s="5" t="s">
        <v>1572</v>
      </c>
    </row>
    <row r="5430" spans="1:9" ht="51.75" customHeight="1">
      <c r="A5430" s="5" t="s">
        <v>26098</v>
      </c>
      <c r="B5430" s="5" t="s">
        <v>38468</v>
      </c>
      <c r="C5430" s="5" t="s">
        <v>38469</v>
      </c>
      <c r="D5430" s="246">
        <v>42051</v>
      </c>
      <c r="E5430" s="5" t="s">
        <v>38470</v>
      </c>
      <c r="F5430" s="26" t="s">
        <v>38347</v>
      </c>
      <c r="G5430" s="27" t="s">
        <v>9892</v>
      </c>
      <c r="H5430" s="28" t="s">
        <v>9893</v>
      </c>
      <c r="I5430" s="5" t="s">
        <v>1572</v>
      </c>
    </row>
    <row r="5431" spans="1:9" ht="51.75" customHeight="1">
      <c r="A5431" s="5" t="s">
        <v>26098</v>
      </c>
      <c r="B5431" s="5" t="s">
        <v>38471</v>
      </c>
      <c r="C5431" s="5" t="s">
        <v>38469</v>
      </c>
      <c r="D5431" s="246">
        <v>42051</v>
      </c>
      <c r="E5431" s="5" t="s">
        <v>38472</v>
      </c>
      <c r="F5431" s="26" t="s">
        <v>23600</v>
      </c>
      <c r="G5431" s="27" t="s">
        <v>9892</v>
      </c>
      <c r="H5431" s="28" t="s">
        <v>9893</v>
      </c>
      <c r="I5431" s="5" t="s">
        <v>1572</v>
      </c>
    </row>
    <row r="5432" spans="1:9" ht="51.75" customHeight="1">
      <c r="A5432" s="5" t="s">
        <v>25953</v>
      </c>
      <c r="B5432" s="5" t="s">
        <v>38473</v>
      </c>
      <c r="C5432" s="5" t="s">
        <v>38474</v>
      </c>
      <c r="D5432" s="246">
        <v>42051</v>
      </c>
      <c r="E5432" s="5" t="s">
        <v>38475</v>
      </c>
      <c r="F5432" s="26" t="s">
        <v>38347</v>
      </c>
      <c r="G5432" s="27" t="s">
        <v>9892</v>
      </c>
      <c r="H5432" s="28" t="s">
        <v>9893</v>
      </c>
      <c r="I5432" s="5" t="s">
        <v>1572</v>
      </c>
    </row>
    <row r="5433" spans="1:9" ht="51.75" customHeight="1">
      <c r="A5433" s="5" t="s">
        <v>25953</v>
      </c>
      <c r="B5433" s="5" t="s">
        <v>38476</v>
      </c>
      <c r="C5433" s="5" t="s">
        <v>38474</v>
      </c>
      <c r="D5433" s="246">
        <v>42051</v>
      </c>
      <c r="E5433" s="5" t="s">
        <v>38477</v>
      </c>
      <c r="F5433" s="26" t="s">
        <v>23600</v>
      </c>
      <c r="G5433" s="27" t="s">
        <v>9892</v>
      </c>
      <c r="H5433" s="28" t="s">
        <v>9893</v>
      </c>
      <c r="I5433" s="5" t="s">
        <v>1572</v>
      </c>
    </row>
    <row r="5434" spans="1:9" ht="51.75" customHeight="1">
      <c r="A5434" s="5" t="s">
        <v>28914</v>
      </c>
      <c r="B5434" s="5" t="s">
        <v>38478</v>
      </c>
      <c r="C5434" s="5" t="s">
        <v>38479</v>
      </c>
      <c r="D5434" s="246">
        <v>42051</v>
      </c>
      <c r="E5434" s="5" t="s">
        <v>38480</v>
      </c>
      <c r="F5434" s="26" t="s">
        <v>38347</v>
      </c>
      <c r="G5434" s="27" t="s">
        <v>9892</v>
      </c>
      <c r="H5434" s="28" t="s">
        <v>9893</v>
      </c>
      <c r="I5434" s="5" t="s">
        <v>1572</v>
      </c>
    </row>
    <row r="5435" spans="1:9" ht="51.75" customHeight="1">
      <c r="A5435" s="5" t="s">
        <v>28914</v>
      </c>
      <c r="B5435" s="5" t="s">
        <v>38481</v>
      </c>
      <c r="C5435" s="5" t="s">
        <v>38479</v>
      </c>
      <c r="D5435" s="246">
        <v>42051</v>
      </c>
      <c r="E5435" s="5" t="s">
        <v>38482</v>
      </c>
      <c r="F5435" s="26" t="s">
        <v>23600</v>
      </c>
      <c r="G5435" s="27" t="s">
        <v>9892</v>
      </c>
      <c r="H5435" s="28" t="s">
        <v>9893</v>
      </c>
      <c r="I5435" s="5" t="s">
        <v>1572</v>
      </c>
    </row>
    <row r="5436" spans="1:9" ht="51.75" customHeight="1">
      <c r="A5436" s="5" t="s">
        <v>25958</v>
      </c>
      <c r="B5436" s="5" t="s">
        <v>38483</v>
      </c>
      <c r="C5436" s="5" t="s">
        <v>38484</v>
      </c>
      <c r="D5436" s="246">
        <v>42051</v>
      </c>
      <c r="E5436" s="5" t="s">
        <v>38485</v>
      </c>
      <c r="F5436" s="26" t="s">
        <v>38347</v>
      </c>
      <c r="G5436" s="27" t="s">
        <v>9892</v>
      </c>
      <c r="H5436" s="28" t="s">
        <v>9893</v>
      </c>
      <c r="I5436" s="5" t="s">
        <v>1572</v>
      </c>
    </row>
    <row r="5437" spans="1:9" ht="51.75" customHeight="1">
      <c r="A5437" s="5" t="s">
        <v>25958</v>
      </c>
      <c r="B5437" s="5" t="s">
        <v>38486</v>
      </c>
      <c r="C5437" s="5" t="s">
        <v>38484</v>
      </c>
      <c r="D5437" s="246">
        <v>42051</v>
      </c>
      <c r="E5437" s="5" t="s">
        <v>38487</v>
      </c>
      <c r="F5437" s="26" t="s">
        <v>23600</v>
      </c>
      <c r="G5437" s="27" t="s">
        <v>9892</v>
      </c>
      <c r="H5437" s="28" t="s">
        <v>9893</v>
      </c>
      <c r="I5437" s="5" t="s">
        <v>1572</v>
      </c>
    </row>
    <row r="5438" spans="1:9" ht="51.75" customHeight="1">
      <c r="A5438" s="5" t="s">
        <v>25358</v>
      </c>
      <c r="B5438" s="5" t="s">
        <v>38488</v>
      </c>
      <c r="C5438" s="5" t="s">
        <v>38489</v>
      </c>
      <c r="D5438" s="246">
        <v>42179</v>
      </c>
      <c r="E5438" s="5" t="s">
        <v>38490</v>
      </c>
      <c r="F5438" s="26" t="s">
        <v>23600</v>
      </c>
      <c r="G5438" s="27" t="s">
        <v>10294</v>
      </c>
      <c r="H5438" s="28" t="s">
        <v>10295</v>
      </c>
      <c r="I5438" s="5" t="s">
        <v>1572</v>
      </c>
    </row>
    <row r="5439" spans="1:9" ht="51.75" customHeight="1">
      <c r="A5439" s="5" t="s">
        <v>25358</v>
      </c>
      <c r="B5439" s="5" t="s">
        <v>38491</v>
      </c>
      <c r="C5439" s="5" t="s">
        <v>38489</v>
      </c>
      <c r="D5439" s="246">
        <v>42179</v>
      </c>
      <c r="E5439" s="5" t="s">
        <v>38492</v>
      </c>
      <c r="F5439" s="26" t="s">
        <v>38347</v>
      </c>
      <c r="G5439" s="27" t="s">
        <v>10294</v>
      </c>
      <c r="H5439" s="28" t="s">
        <v>10295</v>
      </c>
      <c r="I5439" s="5" t="s">
        <v>1572</v>
      </c>
    </row>
    <row r="5440" spans="1:9" ht="51.75" customHeight="1">
      <c r="A5440" s="5" t="s">
        <v>23956</v>
      </c>
      <c r="B5440" s="5" t="s">
        <v>38493</v>
      </c>
      <c r="C5440" s="5" t="s">
        <v>38494</v>
      </c>
      <c r="D5440" s="246">
        <v>42131</v>
      </c>
      <c r="E5440" s="5" t="s">
        <v>38495</v>
      </c>
      <c r="F5440" s="26" t="s">
        <v>23600</v>
      </c>
      <c r="G5440" s="27" t="s">
        <v>10237</v>
      </c>
      <c r="H5440" s="28" t="s">
        <v>10238</v>
      </c>
      <c r="I5440" s="5" t="s">
        <v>1572</v>
      </c>
    </row>
    <row r="5441" spans="1:9" ht="51.75" customHeight="1">
      <c r="A5441" s="5" t="s">
        <v>23956</v>
      </c>
      <c r="B5441" s="5" t="s">
        <v>38496</v>
      </c>
      <c r="C5441" s="5" t="s">
        <v>38494</v>
      </c>
      <c r="D5441" s="246">
        <v>42131</v>
      </c>
      <c r="E5441" s="5" t="s">
        <v>38497</v>
      </c>
      <c r="F5441" s="26" t="s">
        <v>38347</v>
      </c>
      <c r="G5441" s="27" t="s">
        <v>10237</v>
      </c>
      <c r="H5441" s="28" t="s">
        <v>10238</v>
      </c>
      <c r="I5441" s="5" t="s">
        <v>1572</v>
      </c>
    </row>
    <row r="5442" spans="1:9" ht="51.75" customHeight="1">
      <c r="A5442" s="5" t="s">
        <v>25018</v>
      </c>
      <c r="B5442" s="5" t="s">
        <v>38498</v>
      </c>
      <c r="C5442" s="5" t="s">
        <v>38499</v>
      </c>
      <c r="D5442" s="246">
        <v>41995</v>
      </c>
      <c r="E5442" s="5" t="s">
        <v>38500</v>
      </c>
      <c r="F5442" s="26" t="s">
        <v>23600</v>
      </c>
      <c r="G5442" s="27" t="s">
        <v>10380</v>
      </c>
      <c r="H5442" s="28" t="s">
        <v>10381</v>
      </c>
      <c r="I5442" s="5" t="s">
        <v>1572</v>
      </c>
    </row>
    <row r="5443" spans="1:9" ht="51.75" customHeight="1">
      <c r="A5443" s="5" t="s">
        <v>33981</v>
      </c>
      <c r="B5443" s="5" t="s">
        <v>38501</v>
      </c>
      <c r="C5443" s="5" t="s">
        <v>38502</v>
      </c>
      <c r="D5443" s="246">
        <v>42240</v>
      </c>
      <c r="E5443" s="5" t="s">
        <v>38503</v>
      </c>
      <c r="F5443" s="26" t="s">
        <v>38347</v>
      </c>
      <c r="G5443" s="27" t="s">
        <v>10361</v>
      </c>
      <c r="H5443" s="28" t="s">
        <v>10362</v>
      </c>
      <c r="I5443" s="5" t="s">
        <v>1572</v>
      </c>
    </row>
    <row r="5444" spans="1:9" ht="51.75" customHeight="1">
      <c r="A5444" s="5" t="s">
        <v>33981</v>
      </c>
      <c r="B5444" s="5" t="s">
        <v>38504</v>
      </c>
      <c r="C5444" s="5" t="s">
        <v>38502</v>
      </c>
      <c r="D5444" s="246">
        <v>42240</v>
      </c>
      <c r="E5444" s="5" t="s">
        <v>38505</v>
      </c>
      <c r="F5444" s="26" t="s">
        <v>23600</v>
      </c>
      <c r="G5444" s="27" t="s">
        <v>10361</v>
      </c>
      <c r="H5444" s="28" t="s">
        <v>10362</v>
      </c>
      <c r="I5444" s="5" t="s">
        <v>1572</v>
      </c>
    </row>
    <row r="5445" spans="1:9" ht="51.75" customHeight="1">
      <c r="A5445" s="5" t="s">
        <v>24432</v>
      </c>
      <c r="B5445" s="5" t="s">
        <v>38506</v>
      </c>
      <c r="C5445" s="5" t="s">
        <v>38507</v>
      </c>
      <c r="D5445" s="246" t="s">
        <v>68</v>
      </c>
      <c r="E5445" s="5" t="s">
        <v>38508</v>
      </c>
      <c r="F5445" s="26" t="s">
        <v>23600</v>
      </c>
      <c r="G5445" s="27" t="s">
        <v>10471</v>
      </c>
      <c r="H5445" s="28" t="s">
        <v>10472</v>
      </c>
      <c r="I5445" s="5" t="s">
        <v>1572</v>
      </c>
    </row>
    <row r="5446" spans="1:9" ht="51.75" customHeight="1">
      <c r="A5446" s="5" t="s">
        <v>24432</v>
      </c>
      <c r="B5446" s="5" t="s">
        <v>38509</v>
      </c>
      <c r="C5446" s="5" t="s">
        <v>38507</v>
      </c>
      <c r="D5446" s="246" t="s">
        <v>68</v>
      </c>
      <c r="E5446" s="5" t="s">
        <v>38510</v>
      </c>
      <c r="F5446" s="26" t="s">
        <v>38347</v>
      </c>
      <c r="G5446" s="27" t="s">
        <v>10471</v>
      </c>
      <c r="H5446" s="28" t="s">
        <v>10472</v>
      </c>
      <c r="I5446" s="5" t="s">
        <v>1572</v>
      </c>
    </row>
    <row r="5447" spans="1:9" ht="51.75" customHeight="1">
      <c r="A5447" s="5" t="s">
        <v>28622</v>
      </c>
      <c r="B5447" s="5" t="s">
        <v>38511</v>
      </c>
      <c r="C5447" s="5" t="s">
        <v>38512</v>
      </c>
      <c r="D5447" s="246" t="s">
        <v>68</v>
      </c>
      <c r="E5447" s="5" t="s">
        <v>38513</v>
      </c>
      <c r="F5447" s="26" t="s">
        <v>23600</v>
      </c>
      <c r="G5447" s="27" t="s">
        <v>10500</v>
      </c>
      <c r="H5447" s="28" t="s">
        <v>10501</v>
      </c>
      <c r="I5447" s="5" t="s">
        <v>1572</v>
      </c>
    </row>
    <row r="5448" spans="1:9" ht="51.75" customHeight="1">
      <c r="A5448" s="5" t="s">
        <v>28622</v>
      </c>
      <c r="B5448" s="5" t="s">
        <v>38514</v>
      </c>
      <c r="C5448" s="5" t="s">
        <v>38512</v>
      </c>
      <c r="D5448" s="246" t="s">
        <v>68</v>
      </c>
      <c r="E5448" s="5" t="s">
        <v>38515</v>
      </c>
      <c r="F5448" s="26" t="s">
        <v>38347</v>
      </c>
      <c r="G5448" s="27" t="s">
        <v>10500</v>
      </c>
      <c r="H5448" s="28" t="s">
        <v>10501</v>
      </c>
      <c r="I5448" s="5" t="s">
        <v>1572</v>
      </c>
    </row>
    <row r="5449" spans="1:9" ht="51.75" customHeight="1">
      <c r="A5449" s="5" t="s">
        <v>28625</v>
      </c>
      <c r="B5449" s="5" t="s">
        <v>38516</v>
      </c>
      <c r="C5449" s="5" t="s">
        <v>38517</v>
      </c>
      <c r="D5449" s="246" t="s">
        <v>68</v>
      </c>
      <c r="E5449" s="5" t="s">
        <v>38518</v>
      </c>
      <c r="F5449" s="26" t="s">
        <v>23600</v>
      </c>
      <c r="G5449" s="27" t="s">
        <v>10500</v>
      </c>
      <c r="H5449" s="28" t="s">
        <v>10501</v>
      </c>
      <c r="I5449" s="5" t="s">
        <v>1572</v>
      </c>
    </row>
    <row r="5450" spans="1:9" ht="51.75" customHeight="1">
      <c r="A5450" s="5" t="s">
        <v>28625</v>
      </c>
      <c r="B5450" s="5" t="s">
        <v>38519</v>
      </c>
      <c r="C5450" s="5" t="s">
        <v>38517</v>
      </c>
      <c r="D5450" s="246" t="s">
        <v>68</v>
      </c>
      <c r="E5450" s="5" t="s">
        <v>38520</v>
      </c>
      <c r="F5450" s="26" t="s">
        <v>38347</v>
      </c>
      <c r="G5450" s="27" t="s">
        <v>10500</v>
      </c>
      <c r="H5450" s="28" t="s">
        <v>10501</v>
      </c>
      <c r="I5450" s="5" t="s">
        <v>1572</v>
      </c>
    </row>
    <row r="5451" spans="1:9" ht="51.75" customHeight="1">
      <c r="A5451" s="5" t="s">
        <v>28631</v>
      </c>
      <c r="B5451" s="5" t="s">
        <v>38521</v>
      </c>
      <c r="C5451" s="5" t="s">
        <v>38522</v>
      </c>
      <c r="D5451" s="246" t="s">
        <v>68</v>
      </c>
      <c r="E5451" s="5" t="s">
        <v>38523</v>
      </c>
      <c r="F5451" s="26" t="s">
        <v>23600</v>
      </c>
      <c r="G5451" s="27" t="s">
        <v>10500</v>
      </c>
      <c r="H5451" s="28" t="s">
        <v>10501</v>
      </c>
      <c r="I5451" s="5" t="s">
        <v>1572</v>
      </c>
    </row>
    <row r="5452" spans="1:9" ht="51.75" customHeight="1">
      <c r="A5452" s="5" t="s">
        <v>28631</v>
      </c>
      <c r="B5452" s="5" t="s">
        <v>38524</v>
      </c>
      <c r="C5452" s="5" t="s">
        <v>38522</v>
      </c>
      <c r="D5452" s="246" t="s">
        <v>68</v>
      </c>
      <c r="E5452" s="5" t="s">
        <v>38525</v>
      </c>
      <c r="F5452" s="26" t="s">
        <v>38347</v>
      </c>
      <c r="G5452" s="27" t="s">
        <v>10500</v>
      </c>
      <c r="H5452" s="28" t="s">
        <v>10501</v>
      </c>
      <c r="I5452" s="5" t="s">
        <v>1572</v>
      </c>
    </row>
    <row r="5453" spans="1:9" ht="51.75" customHeight="1">
      <c r="A5453" s="5" t="s">
        <v>28568</v>
      </c>
      <c r="B5453" s="5" t="s">
        <v>38526</v>
      </c>
      <c r="C5453" s="5" t="s">
        <v>38527</v>
      </c>
      <c r="D5453" s="246">
        <v>42328</v>
      </c>
      <c r="E5453" s="5" t="s">
        <v>38528</v>
      </c>
      <c r="F5453" s="26" t="s">
        <v>38347</v>
      </c>
      <c r="G5453" s="27" t="s">
        <v>10655</v>
      </c>
      <c r="H5453" s="28" t="s">
        <v>10656</v>
      </c>
      <c r="I5453" s="5" t="s">
        <v>1572</v>
      </c>
    </row>
    <row r="5454" spans="1:9" ht="51.75" customHeight="1">
      <c r="A5454" s="5" t="s">
        <v>28568</v>
      </c>
      <c r="B5454" s="5" t="s">
        <v>38529</v>
      </c>
      <c r="C5454" s="5" t="s">
        <v>38527</v>
      </c>
      <c r="D5454" s="246">
        <v>42328</v>
      </c>
      <c r="E5454" s="5" t="s">
        <v>38530</v>
      </c>
      <c r="F5454" s="26" t="s">
        <v>23600</v>
      </c>
      <c r="G5454" s="27" t="s">
        <v>10655</v>
      </c>
      <c r="H5454" s="28" t="s">
        <v>10656</v>
      </c>
      <c r="I5454" s="5" t="s">
        <v>1572</v>
      </c>
    </row>
    <row r="5455" spans="1:9" ht="51.75" customHeight="1">
      <c r="A5455" s="5" t="s">
        <v>24659</v>
      </c>
      <c r="B5455" s="5" t="s">
        <v>38531</v>
      </c>
      <c r="C5455" s="5" t="s">
        <v>38532</v>
      </c>
      <c r="D5455" s="246">
        <v>42328</v>
      </c>
      <c r="E5455" s="5" t="s">
        <v>38533</v>
      </c>
      <c r="F5455" s="26" t="s">
        <v>38347</v>
      </c>
      <c r="G5455" s="27" t="s">
        <v>10655</v>
      </c>
      <c r="H5455" s="28" t="s">
        <v>10656</v>
      </c>
      <c r="I5455" s="5" t="s">
        <v>1572</v>
      </c>
    </row>
    <row r="5456" spans="1:9" ht="51.75" customHeight="1">
      <c r="A5456" s="5" t="s">
        <v>24659</v>
      </c>
      <c r="B5456" s="5" t="s">
        <v>38534</v>
      </c>
      <c r="C5456" s="5" t="s">
        <v>38532</v>
      </c>
      <c r="D5456" s="246">
        <v>42328</v>
      </c>
      <c r="E5456" s="5" t="s">
        <v>38535</v>
      </c>
      <c r="F5456" s="26" t="s">
        <v>23600</v>
      </c>
      <c r="G5456" s="27" t="s">
        <v>10655</v>
      </c>
      <c r="H5456" s="28" t="s">
        <v>10656</v>
      </c>
      <c r="I5456" s="5" t="s">
        <v>1572</v>
      </c>
    </row>
    <row r="5457" spans="1:9" ht="51.75" customHeight="1">
      <c r="A5457" s="5" t="s">
        <v>23784</v>
      </c>
      <c r="B5457" s="5" t="s">
        <v>38536</v>
      </c>
      <c r="C5457" s="5" t="s">
        <v>38537</v>
      </c>
      <c r="D5457" s="246">
        <v>42345</v>
      </c>
      <c r="E5457" s="5" t="s">
        <v>38538</v>
      </c>
      <c r="F5457" s="26" t="s">
        <v>38347</v>
      </c>
      <c r="G5457" s="27" t="s">
        <v>10720</v>
      </c>
      <c r="H5457" s="28" t="s">
        <v>10721</v>
      </c>
      <c r="I5457" s="5" t="s">
        <v>1572</v>
      </c>
    </row>
    <row r="5458" spans="1:9" ht="51.75" customHeight="1">
      <c r="A5458" s="5" t="s">
        <v>23784</v>
      </c>
      <c r="B5458" s="5" t="s">
        <v>38539</v>
      </c>
      <c r="C5458" s="5" t="s">
        <v>38537</v>
      </c>
      <c r="D5458" s="246">
        <v>42345</v>
      </c>
      <c r="E5458" s="5" t="s">
        <v>38540</v>
      </c>
      <c r="F5458" s="26" t="s">
        <v>23600</v>
      </c>
      <c r="G5458" s="27" t="s">
        <v>10720</v>
      </c>
      <c r="H5458" s="28" t="s">
        <v>10721</v>
      </c>
      <c r="I5458" s="5" t="s">
        <v>1572</v>
      </c>
    </row>
    <row r="5459" spans="1:9" ht="51.75" customHeight="1">
      <c r="A5459" s="5" t="s">
        <v>27709</v>
      </c>
      <c r="B5459" s="5" t="s">
        <v>38541</v>
      </c>
      <c r="C5459" s="5" t="s">
        <v>38542</v>
      </c>
      <c r="D5459" s="246">
        <v>42333</v>
      </c>
      <c r="E5459" s="5" t="s">
        <v>38543</v>
      </c>
      <c r="F5459" s="26" t="s">
        <v>38347</v>
      </c>
      <c r="G5459" s="27" t="s">
        <v>10743</v>
      </c>
      <c r="H5459" s="28" t="s">
        <v>10744</v>
      </c>
      <c r="I5459" s="5" t="s">
        <v>1572</v>
      </c>
    </row>
    <row r="5460" spans="1:9" ht="51.75" customHeight="1">
      <c r="A5460" s="5" t="s">
        <v>27709</v>
      </c>
      <c r="B5460" s="5" t="s">
        <v>38544</v>
      </c>
      <c r="C5460" s="5" t="s">
        <v>38542</v>
      </c>
      <c r="D5460" s="246">
        <v>42333</v>
      </c>
      <c r="E5460" s="5" t="s">
        <v>38545</v>
      </c>
      <c r="F5460" s="26" t="s">
        <v>23600</v>
      </c>
      <c r="G5460" s="27" t="s">
        <v>10743</v>
      </c>
      <c r="H5460" s="28" t="s">
        <v>10744</v>
      </c>
      <c r="I5460" s="5" t="s">
        <v>1572</v>
      </c>
    </row>
    <row r="5461" spans="1:9" ht="51.75" customHeight="1">
      <c r="A5461" s="5" t="s">
        <v>24444</v>
      </c>
      <c r="B5461" s="5" t="s">
        <v>38546</v>
      </c>
      <c r="C5461" s="5" t="s">
        <v>38547</v>
      </c>
      <c r="D5461" s="246">
        <v>42228</v>
      </c>
      <c r="E5461" s="5" t="s">
        <v>38548</v>
      </c>
      <c r="F5461" s="26" t="s">
        <v>23600</v>
      </c>
      <c r="G5461" s="27" t="s">
        <v>10819</v>
      </c>
      <c r="H5461" s="28" t="s">
        <v>10820</v>
      </c>
      <c r="I5461" s="5" t="s">
        <v>1572</v>
      </c>
    </row>
    <row r="5462" spans="1:9" ht="51.75" customHeight="1">
      <c r="A5462" s="5" t="s">
        <v>24444</v>
      </c>
      <c r="B5462" s="5" t="s">
        <v>38549</v>
      </c>
      <c r="C5462" s="5" t="s">
        <v>38547</v>
      </c>
      <c r="D5462" s="246">
        <v>42228</v>
      </c>
      <c r="E5462" s="5" t="s">
        <v>38550</v>
      </c>
      <c r="F5462" s="26" t="s">
        <v>38347</v>
      </c>
      <c r="G5462" s="27" t="s">
        <v>10819</v>
      </c>
      <c r="H5462" s="28" t="s">
        <v>10820</v>
      </c>
      <c r="I5462" s="5" t="s">
        <v>1572</v>
      </c>
    </row>
    <row r="5463" spans="1:9" ht="51.75" customHeight="1">
      <c r="A5463" s="5" t="s">
        <v>25137</v>
      </c>
      <c r="B5463" s="5" t="s">
        <v>38551</v>
      </c>
      <c r="C5463" s="5" t="s">
        <v>38547</v>
      </c>
      <c r="D5463" s="246">
        <v>42228</v>
      </c>
      <c r="E5463" s="5" t="s">
        <v>38552</v>
      </c>
      <c r="F5463" s="26" t="s">
        <v>23600</v>
      </c>
      <c r="G5463" s="27" t="s">
        <v>10819</v>
      </c>
      <c r="H5463" s="28" t="s">
        <v>10820</v>
      </c>
      <c r="I5463" s="5" t="s">
        <v>1572</v>
      </c>
    </row>
    <row r="5464" spans="1:9" ht="51.75" customHeight="1">
      <c r="A5464" s="5" t="s">
        <v>25137</v>
      </c>
      <c r="B5464" s="5" t="s">
        <v>38553</v>
      </c>
      <c r="C5464" s="5" t="s">
        <v>38547</v>
      </c>
      <c r="D5464" s="246">
        <v>42228</v>
      </c>
      <c r="E5464" s="5" t="s">
        <v>38554</v>
      </c>
      <c r="F5464" s="26" t="s">
        <v>38347</v>
      </c>
      <c r="G5464" s="27" t="s">
        <v>10819</v>
      </c>
      <c r="H5464" s="28" t="s">
        <v>10820</v>
      </c>
      <c r="I5464" s="5" t="s">
        <v>1572</v>
      </c>
    </row>
    <row r="5465" spans="1:9" ht="51.75" customHeight="1">
      <c r="A5465" s="5" t="s">
        <v>27049</v>
      </c>
      <c r="B5465" s="5" t="s">
        <v>38555</v>
      </c>
      <c r="C5465" s="5" t="s">
        <v>38556</v>
      </c>
      <c r="D5465" s="246">
        <v>42380</v>
      </c>
      <c r="E5465" s="5" t="s">
        <v>38557</v>
      </c>
      <c r="F5465" s="26" t="s">
        <v>38347</v>
      </c>
      <c r="G5465" s="27" t="s">
        <v>10873</v>
      </c>
      <c r="H5465" s="28" t="s">
        <v>10874</v>
      </c>
      <c r="I5465" s="5" t="s">
        <v>1572</v>
      </c>
    </row>
    <row r="5466" spans="1:9" ht="51.75" customHeight="1">
      <c r="A5466" s="5" t="s">
        <v>27049</v>
      </c>
      <c r="B5466" s="5" t="s">
        <v>38558</v>
      </c>
      <c r="C5466" s="5" t="s">
        <v>38556</v>
      </c>
      <c r="D5466" s="246">
        <v>42380</v>
      </c>
      <c r="E5466" s="5" t="s">
        <v>38559</v>
      </c>
      <c r="F5466" s="26" t="s">
        <v>23600</v>
      </c>
      <c r="G5466" s="27" t="s">
        <v>10873</v>
      </c>
      <c r="H5466" s="28" t="s">
        <v>10874</v>
      </c>
      <c r="I5466" s="5" t="s">
        <v>1572</v>
      </c>
    </row>
    <row r="5467" spans="1:9" ht="51.75" customHeight="1">
      <c r="A5467" s="5" t="s">
        <v>27054</v>
      </c>
      <c r="B5467" s="5" t="s">
        <v>38560</v>
      </c>
      <c r="C5467" s="5" t="s">
        <v>38561</v>
      </c>
      <c r="D5467" s="246" t="s">
        <v>68</v>
      </c>
      <c r="E5467" s="5" t="s">
        <v>38562</v>
      </c>
      <c r="F5467" s="26" t="s">
        <v>38347</v>
      </c>
      <c r="G5467" s="27" t="s">
        <v>10899</v>
      </c>
      <c r="H5467" s="28" t="s">
        <v>10900</v>
      </c>
      <c r="I5467" s="5" t="s">
        <v>1572</v>
      </c>
    </row>
    <row r="5468" spans="1:9" ht="51.75" customHeight="1">
      <c r="A5468" s="5" t="s">
        <v>27054</v>
      </c>
      <c r="B5468" s="5" t="s">
        <v>38563</v>
      </c>
      <c r="C5468" s="5" t="s">
        <v>38561</v>
      </c>
      <c r="D5468" s="246" t="s">
        <v>68</v>
      </c>
      <c r="E5468" s="5" t="s">
        <v>38564</v>
      </c>
      <c r="F5468" s="26" t="s">
        <v>23600</v>
      </c>
      <c r="G5468" s="27" t="s">
        <v>10899</v>
      </c>
      <c r="H5468" s="28" t="s">
        <v>10900</v>
      </c>
      <c r="I5468" s="5" t="s">
        <v>1572</v>
      </c>
    </row>
    <row r="5469" spans="1:9" ht="51.75" customHeight="1">
      <c r="A5469" s="5" t="s">
        <v>25310</v>
      </c>
      <c r="B5469" s="5" t="s">
        <v>38565</v>
      </c>
      <c r="C5469" s="5" t="s">
        <v>38566</v>
      </c>
      <c r="D5469" s="246">
        <v>42331</v>
      </c>
      <c r="E5469" s="5" t="s">
        <v>38567</v>
      </c>
      <c r="F5469" s="26" t="s">
        <v>38347</v>
      </c>
      <c r="G5469" s="27" t="s">
        <v>10922</v>
      </c>
      <c r="H5469" s="28" t="s">
        <v>10923</v>
      </c>
      <c r="I5469" s="5" t="s">
        <v>1572</v>
      </c>
    </row>
    <row r="5470" spans="1:9" ht="51.75" customHeight="1">
      <c r="A5470" s="5" t="s">
        <v>25310</v>
      </c>
      <c r="B5470" s="5" t="s">
        <v>38568</v>
      </c>
      <c r="C5470" s="5" t="s">
        <v>38566</v>
      </c>
      <c r="D5470" s="246">
        <v>42331</v>
      </c>
      <c r="E5470" s="5" t="s">
        <v>38569</v>
      </c>
      <c r="F5470" s="26" t="s">
        <v>23600</v>
      </c>
      <c r="G5470" s="27" t="s">
        <v>10922</v>
      </c>
      <c r="H5470" s="28" t="s">
        <v>10923</v>
      </c>
      <c r="I5470" s="5" t="s">
        <v>1572</v>
      </c>
    </row>
    <row r="5471" spans="1:9" ht="51.75" customHeight="1">
      <c r="A5471" s="5" t="s">
        <v>27100</v>
      </c>
      <c r="B5471" s="5" t="s">
        <v>38570</v>
      </c>
      <c r="C5471" s="5" t="s">
        <v>38566</v>
      </c>
      <c r="D5471" s="246">
        <v>42452</v>
      </c>
      <c r="E5471" s="5" t="s">
        <v>38571</v>
      </c>
      <c r="F5471" s="26" t="s">
        <v>38347</v>
      </c>
      <c r="G5471" s="27" t="s">
        <v>10922</v>
      </c>
      <c r="H5471" s="28" t="s">
        <v>10923</v>
      </c>
      <c r="I5471" s="5" t="s">
        <v>1572</v>
      </c>
    </row>
    <row r="5472" spans="1:9" ht="51.75" customHeight="1">
      <c r="A5472" s="5" t="s">
        <v>27100</v>
      </c>
      <c r="B5472" s="5" t="s">
        <v>38572</v>
      </c>
      <c r="C5472" s="5" t="s">
        <v>38566</v>
      </c>
      <c r="D5472" s="246">
        <v>42452</v>
      </c>
      <c r="E5472" s="5" t="s">
        <v>38573</v>
      </c>
      <c r="F5472" s="26" t="s">
        <v>23600</v>
      </c>
      <c r="G5472" s="27" t="s">
        <v>10922</v>
      </c>
      <c r="H5472" s="28" t="s">
        <v>10923</v>
      </c>
      <c r="I5472" s="5" t="s">
        <v>1572</v>
      </c>
    </row>
    <row r="5473" spans="1:9" ht="51.75" customHeight="1">
      <c r="A5473" s="5" t="s">
        <v>24170</v>
      </c>
      <c r="B5473" s="5" t="s">
        <v>38574</v>
      </c>
      <c r="C5473" s="5" t="s">
        <v>38575</v>
      </c>
      <c r="D5473" s="246">
        <v>42415</v>
      </c>
      <c r="E5473" s="5" t="s">
        <v>38576</v>
      </c>
      <c r="F5473" s="26" t="s">
        <v>38347</v>
      </c>
      <c r="G5473" s="27" t="s">
        <v>11090</v>
      </c>
      <c r="H5473" s="28" t="s">
        <v>11091</v>
      </c>
      <c r="I5473" s="5" t="s">
        <v>1572</v>
      </c>
    </row>
    <row r="5474" spans="1:9" ht="51.75" customHeight="1">
      <c r="A5474" s="5" t="s">
        <v>24170</v>
      </c>
      <c r="B5474" s="5" t="s">
        <v>38577</v>
      </c>
      <c r="C5474" s="5" t="s">
        <v>38575</v>
      </c>
      <c r="D5474" s="246">
        <v>42415</v>
      </c>
      <c r="E5474" s="5" t="s">
        <v>38578</v>
      </c>
      <c r="F5474" s="26" t="s">
        <v>23600</v>
      </c>
      <c r="G5474" s="27" t="s">
        <v>11090</v>
      </c>
      <c r="H5474" s="28" t="s">
        <v>11091</v>
      </c>
      <c r="I5474" s="5" t="s">
        <v>1572</v>
      </c>
    </row>
    <row r="5475" spans="1:9" ht="51.75" customHeight="1">
      <c r="A5475" s="5" t="s">
        <v>27066</v>
      </c>
      <c r="B5475" s="5" t="s">
        <v>38579</v>
      </c>
      <c r="C5475" s="5" t="s">
        <v>38580</v>
      </c>
      <c r="D5475" s="246">
        <v>42381</v>
      </c>
      <c r="E5475" s="5" t="s">
        <v>38581</v>
      </c>
      <c r="F5475" s="26" t="s">
        <v>38347</v>
      </c>
      <c r="G5475" s="27" t="s">
        <v>11146</v>
      </c>
      <c r="H5475" s="28" t="s">
        <v>11147</v>
      </c>
      <c r="I5475" s="5" t="s">
        <v>1572</v>
      </c>
    </row>
    <row r="5476" spans="1:9" ht="51.75" customHeight="1">
      <c r="A5476" s="5" t="s">
        <v>27066</v>
      </c>
      <c r="B5476" s="5" t="s">
        <v>38582</v>
      </c>
      <c r="C5476" s="5" t="s">
        <v>38580</v>
      </c>
      <c r="D5476" s="246">
        <v>42381</v>
      </c>
      <c r="E5476" s="5" t="s">
        <v>38583</v>
      </c>
      <c r="F5476" s="26" t="s">
        <v>23600</v>
      </c>
      <c r="G5476" s="27" t="s">
        <v>11146</v>
      </c>
      <c r="H5476" s="28" t="s">
        <v>11147</v>
      </c>
      <c r="I5476" s="5" t="s">
        <v>1572</v>
      </c>
    </row>
    <row r="5477" spans="1:9" ht="51.75" customHeight="1">
      <c r="A5477" s="5" t="s">
        <v>27446</v>
      </c>
      <c r="B5477" s="5" t="s">
        <v>38584</v>
      </c>
      <c r="C5477" s="5" t="s">
        <v>38585</v>
      </c>
      <c r="D5477" s="246">
        <v>42452</v>
      </c>
      <c r="E5477" s="5" t="s">
        <v>38586</v>
      </c>
      <c r="F5477" s="26" t="s">
        <v>23600</v>
      </c>
      <c r="G5477" s="27" t="s">
        <v>11152</v>
      </c>
      <c r="H5477" s="28" t="s">
        <v>11153</v>
      </c>
      <c r="I5477" s="5" t="s">
        <v>1572</v>
      </c>
    </row>
    <row r="5478" spans="1:9" ht="51.75" customHeight="1">
      <c r="A5478" s="5" t="s">
        <v>27446</v>
      </c>
      <c r="B5478" s="5" t="s">
        <v>38587</v>
      </c>
      <c r="C5478" s="5" t="s">
        <v>38585</v>
      </c>
      <c r="D5478" s="246">
        <v>42452</v>
      </c>
      <c r="E5478" s="5" t="s">
        <v>38588</v>
      </c>
      <c r="F5478" s="26" t="s">
        <v>38347</v>
      </c>
      <c r="G5478" s="27" t="s">
        <v>11152</v>
      </c>
      <c r="H5478" s="28" t="s">
        <v>11153</v>
      </c>
      <c r="I5478" s="5" t="s">
        <v>1572</v>
      </c>
    </row>
    <row r="5479" spans="1:9" ht="51.75" customHeight="1">
      <c r="A5479" s="5" t="s">
        <v>28127</v>
      </c>
      <c r="B5479" s="5" t="s">
        <v>38589</v>
      </c>
      <c r="C5479" s="5" t="s">
        <v>38590</v>
      </c>
      <c r="D5479" s="246">
        <v>42437</v>
      </c>
      <c r="E5479" s="5" t="s">
        <v>38591</v>
      </c>
      <c r="F5479" s="26" t="s">
        <v>38347</v>
      </c>
      <c r="G5479" s="27" t="s">
        <v>11216</v>
      </c>
      <c r="H5479" s="28" t="s">
        <v>11217</v>
      </c>
      <c r="I5479" s="5" t="s">
        <v>1572</v>
      </c>
    </row>
    <row r="5480" spans="1:9" ht="51.75" customHeight="1">
      <c r="A5480" s="5" t="s">
        <v>28127</v>
      </c>
      <c r="B5480" s="5" t="s">
        <v>38592</v>
      </c>
      <c r="C5480" s="5" t="s">
        <v>38590</v>
      </c>
      <c r="D5480" s="246">
        <v>42437</v>
      </c>
      <c r="E5480" s="5" t="s">
        <v>38593</v>
      </c>
      <c r="F5480" s="26" t="s">
        <v>23600</v>
      </c>
      <c r="G5480" s="27" t="s">
        <v>11216</v>
      </c>
      <c r="H5480" s="28" t="s">
        <v>11217</v>
      </c>
      <c r="I5480" s="5" t="s">
        <v>1572</v>
      </c>
    </row>
    <row r="5481" spans="1:9" ht="51.75" customHeight="1">
      <c r="A5481" s="5" t="s">
        <v>24550</v>
      </c>
      <c r="B5481" s="5" t="s">
        <v>38594</v>
      </c>
      <c r="C5481" s="5" t="s">
        <v>38595</v>
      </c>
      <c r="D5481" s="246">
        <v>42496</v>
      </c>
      <c r="E5481" s="5" t="s">
        <v>38596</v>
      </c>
      <c r="F5481" s="26" t="s">
        <v>38347</v>
      </c>
      <c r="G5481" s="27" t="s">
        <v>11243</v>
      </c>
      <c r="H5481" s="28" t="s">
        <v>11244</v>
      </c>
      <c r="I5481" s="5" t="s">
        <v>1572</v>
      </c>
    </row>
    <row r="5482" spans="1:9" ht="51.75" customHeight="1">
      <c r="A5482" s="5" t="s">
        <v>24550</v>
      </c>
      <c r="B5482" s="5" t="s">
        <v>38597</v>
      </c>
      <c r="C5482" s="5" t="s">
        <v>38595</v>
      </c>
      <c r="D5482" s="246">
        <v>42496</v>
      </c>
      <c r="E5482" s="5" t="s">
        <v>38598</v>
      </c>
      <c r="F5482" s="26" t="s">
        <v>23600</v>
      </c>
      <c r="G5482" s="27" t="s">
        <v>11243</v>
      </c>
      <c r="H5482" s="28" t="s">
        <v>11244</v>
      </c>
      <c r="I5482" s="5" t="s">
        <v>1572</v>
      </c>
    </row>
    <row r="5483" spans="1:9" ht="51.75" customHeight="1">
      <c r="A5483" s="5" t="s">
        <v>24515</v>
      </c>
      <c r="B5483" s="5" t="s">
        <v>38599</v>
      </c>
      <c r="C5483" s="5" t="s">
        <v>38600</v>
      </c>
      <c r="D5483" s="246">
        <v>42496</v>
      </c>
      <c r="E5483" s="5" t="s">
        <v>38601</v>
      </c>
      <c r="F5483" s="26" t="s">
        <v>38347</v>
      </c>
      <c r="G5483" s="27" t="s">
        <v>11243</v>
      </c>
      <c r="H5483" s="28" t="s">
        <v>11244</v>
      </c>
      <c r="I5483" s="5" t="s">
        <v>1572</v>
      </c>
    </row>
    <row r="5484" spans="1:9" ht="51.75" customHeight="1">
      <c r="A5484" s="5" t="s">
        <v>24515</v>
      </c>
      <c r="B5484" s="5" t="s">
        <v>38602</v>
      </c>
      <c r="C5484" s="5" t="s">
        <v>38600</v>
      </c>
      <c r="D5484" s="246">
        <v>42496</v>
      </c>
      <c r="E5484" s="5" t="s">
        <v>38603</v>
      </c>
      <c r="F5484" s="26" t="s">
        <v>23600</v>
      </c>
      <c r="G5484" s="27" t="s">
        <v>11243</v>
      </c>
      <c r="H5484" s="28" t="s">
        <v>11244</v>
      </c>
      <c r="I5484" s="5" t="s">
        <v>1572</v>
      </c>
    </row>
    <row r="5485" spans="1:9" ht="51.75" customHeight="1">
      <c r="A5485" s="5" t="s">
        <v>33680</v>
      </c>
      <c r="B5485" s="5" t="s">
        <v>38604</v>
      </c>
      <c r="C5485" s="5" t="s">
        <v>38605</v>
      </c>
      <c r="D5485" s="246">
        <v>42513</v>
      </c>
      <c r="E5485" s="5" t="s">
        <v>38606</v>
      </c>
      <c r="F5485" s="26" t="s">
        <v>38347</v>
      </c>
      <c r="G5485" s="27" t="s">
        <v>11255</v>
      </c>
      <c r="H5485" s="28" t="s">
        <v>11256</v>
      </c>
      <c r="I5485" s="5" t="s">
        <v>1572</v>
      </c>
    </row>
    <row r="5486" spans="1:9" ht="51.75" customHeight="1">
      <c r="A5486" s="5" t="s">
        <v>33680</v>
      </c>
      <c r="B5486" s="5" t="s">
        <v>38607</v>
      </c>
      <c r="C5486" s="5" t="s">
        <v>38605</v>
      </c>
      <c r="D5486" s="246">
        <v>42513</v>
      </c>
      <c r="E5486" s="5" t="s">
        <v>38608</v>
      </c>
      <c r="F5486" s="26" t="s">
        <v>23600</v>
      </c>
      <c r="G5486" s="27" t="s">
        <v>11255</v>
      </c>
      <c r="H5486" s="28" t="s">
        <v>11256</v>
      </c>
      <c r="I5486" s="5" t="s">
        <v>1572</v>
      </c>
    </row>
    <row r="5487" spans="1:9" ht="51.75" customHeight="1">
      <c r="A5487" s="5" t="s">
        <v>24303</v>
      </c>
      <c r="B5487" s="5" t="s">
        <v>38609</v>
      </c>
      <c r="C5487" s="5" t="s">
        <v>38610</v>
      </c>
      <c r="D5487" s="246">
        <v>42513</v>
      </c>
      <c r="E5487" s="5" t="s">
        <v>38611</v>
      </c>
      <c r="F5487" s="26" t="s">
        <v>38347</v>
      </c>
      <c r="G5487" s="27" t="s">
        <v>11255</v>
      </c>
      <c r="H5487" s="28" t="s">
        <v>11256</v>
      </c>
      <c r="I5487" s="5" t="s">
        <v>1572</v>
      </c>
    </row>
    <row r="5488" spans="1:9" ht="51.75" customHeight="1">
      <c r="A5488" s="5" t="s">
        <v>24303</v>
      </c>
      <c r="B5488" s="5" t="s">
        <v>38612</v>
      </c>
      <c r="C5488" s="5" t="s">
        <v>38610</v>
      </c>
      <c r="D5488" s="246">
        <v>42513</v>
      </c>
      <c r="E5488" s="5" t="s">
        <v>38613</v>
      </c>
      <c r="F5488" s="26" t="s">
        <v>23600</v>
      </c>
      <c r="G5488" s="27" t="s">
        <v>11255</v>
      </c>
      <c r="H5488" s="28" t="s">
        <v>11256</v>
      </c>
      <c r="I5488" s="5" t="s">
        <v>1572</v>
      </c>
    </row>
    <row r="5489" spans="1:9" ht="51.75" customHeight="1">
      <c r="A5489" s="5" t="s">
        <v>24307</v>
      </c>
      <c r="B5489" s="5" t="s">
        <v>38614</v>
      </c>
      <c r="C5489" s="5" t="s">
        <v>38615</v>
      </c>
      <c r="D5489" s="246">
        <v>42513</v>
      </c>
      <c r="E5489" s="5" t="s">
        <v>38616</v>
      </c>
      <c r="F5489" s="26" t="s">
        <v>38347</v>
      </c>
      <c r="G5489" s="27" t="s">
        <v>11255</v>
      </c>
      <c r="H5489" s="28" t="s">
        <v>11256</v>
      </c>
      <c r="I5489" s="5" t="s">
        <v>1572</v>
      </c>
    </row>
    <row r="5490" spans="1:9" ht="51.75" customHeight="1">
      <c r="A5490" s="5" t="s">
        <v>24307</v>
      </c>
      <c r="B5490" s="5" t="s">
        <v>38617</v>
      </c>
      <c r="C5490" s="5" t="s">
        <v>38615</v>
      </c>
      <c r="D5490" s="246">
        <v>42513</v>
      </c>
      <c r="E5490" s="5" t="s">
        <v>38618</v>
      </c>
      <c r="F5490" s="26" t="s">
        <v>23600</v>
      </c>
      <c r="G5490" s="27" t="s">
        <v>11255</v>
      </c>
      <c r="H5490" s="28" t="s">
        <v>11256</v>
      </c>
      <c r="I5490" s="5" t="s">
        <v>1572</v>
      </c>
    </row>
    <row r="5491" spans="1:9" ht="51.75" customHeight="1">
      <c r="A5491" s="5" t="s">
        <v>24311</v>
      </c>
      <c r="B5491" s="5" t="s">
        <v>38619</v>
      </c>
      <c r="C5491" s="5" t="s">
        <v>38620</v>
      </c>
      <c r="D5491" s="246">
        <v>42510</v>
      </c>
      <c r="E5491" s="5" t="s">
        <v>38621</v>
      </c>
      <c r="F5491" s="26" t="s">
        <v>23600</v>
      </c>
      <c r="G5491" s="27" t="s">
        <v>11261</v>
      </c>
      <c r="H5491" s="28" t="s">
        <v>11262</v>
      </c>
      <c r="I5491" s="5" t="s">
        <v>1572</v>
      </c>
    </row>
    <row r="5492" spans="1:9" ht="51.75" customHeight="1">
      <c r="A5492" s="5" t="s">
        <v>24311</v>
      </c>
      <c r="B5492" s="5" t="s">
        <v>38622</v>
      </c>
      <c r="C5492" s="5" t="s">
        <v>38620</v>
      </c>
      <c r="D5492" s="246">
        <v>42510</v>
      </c>
      <c r="E5492" s="5" t="s">
        <v>38623</v>
      </c>
      <c r="F5492" s="26" t="s">
        <v>38347</v>
      </c>
      <c r="G5492" s="27" t="s">
        <v>11261</v>
      </c>
      <c r="H5492" s="28" t="s">
        <v>11262</v>
      </c>
      <c r="I5492" s="5" t="s">
        <v>1572</v>
      </c>
    </row>
    <row r="5493" spans="1:9" ht="51.75" customHeight="1">
      <c r="A5493" s="5" t="s">
        <v>25499</v>
      </c>
      <c r="B5493" s="5" t="s">
        <v>38624</v>
      </c>
      <c r="C5493" s="5" t="s">
        <v>38625</v>
      </c>
      <c r="D5493" s="246">
        <v>42510</v>
      </c>
      <c r="E5493" s="5" t="s">
        <v>38626</v>
      </c>
      <c r="F5493" s="26" t="s">
        <v>23600</v>
      </c>
      <c r="G5493" s="27" t="s">
        <v>11261</v>
      </c>
      <c r="H5493" s="28" t="s">
        <v>11262</v>
      </c>
      <c r="I5493" s="5" t="s">
        <v>1572</v>
      </c>
    </row>
    <row r="5494" spans="1:9" ht="51.75" customHeight="1">
      <c r="A5494" s="5" t="s">
        <v>25499</v>
      </c>
      <c r="B5494" s="5" t="s">
        <v>38627</v>
      </c>
      <c r="C5494" s="5" t="s">
        <v>38625</v>
      </c>
      <c r="D5494" s="246">
        <v>42510</v>
      </c>
      <c r="E5494" s="5" t="s">
        <v>38628</v>
      </c>
      <c r="F5494" s="26" t="s">
        <v>38347</v>
      </c>
      <c r="G5494" s="27" t="s">
        <v>11261</v>
      </c>
      <c r="H5494" s="28" t="s">
        <v>11262</v>
      </c>
      <c r="I5494" s="5" t="s">
        <v>1572</v>
      </c>
    </row>
    <row r="5495" spans="1:9" ht="51.75" customHeight="1">
      <c r="A5495" s="5" t="s">
        <v>29929</v>
      </c>
      <c r="B5495" s="5" t="s">
        <v>38629</v>
      </c>
      <c r="C5495" s="5" t="s">
        <v>38630</v>
      </c>
      <c r="D5495" s="246">
        <v>42570</v>
      </c>
      <c r="E5495" s="5" t="s">
        <v>38631</v>
      </c>
      <c r="F5495" s="26" t="s">
        <v>38347</v>
      </c>
      <c r="G5495" s="27" t="s">
        <v>11432</v>
      </c>
      <c r="H5495" s="28" t="s">
        <v>11433</v>
      </c>
      <c r="I5495" s="5" t="s">
        <v>1572</v>
      </c>
    </row>
    <row r="5496" spans="1:9" ht="51.75" customHeight="1">
      <c r="A5496" s="5" t="s">
        <v>29929</v>
      </c>
      <c r="B5496" s="5" t="s">
        <v>38632</v>
      </c>
      <c r="C5496" s="5" t="s">
        <v>38630</v>
      </c>
      <c r="D5496" s="246">
        <v>42570</v>
      </c>
      <c r="E5496" s="5" t="s">
        <v>38633</v>
      </c>
      <c r="F5496" s="26" t="s">
        <v>23600</v>
      </c>
      <c r="G5496" s="27" t="s">
        <v>11432</v>
      </c>
      <c r="H5496" s="28" t="s">
        <v>11433</v>
      </c>
      <c r="I5496" s="5" t="s">
        <v>1572</v>
      </c>
    </row>
    <row r="5497" spans="1:9" ht="51.75" customHeight="1">
      <c r="A5497" s="5" t="s">
        <v>24432</v>
      </c>
      <c r="B5497" s="5" t="s">
        <v>38634</v>
      </c>
      <c r="C5497" s="5" t="s">
        <v>38635</v>
      </c>
      <c r="D5497" s="246">
        <v>42586</v>
      </c>
      <c r="E5497" s="5" t="s">
        <v>38636</v>
      </c>
      <c r="F5497" s="26" t="s">
        <v>38347</v>
      </c>
      <c r="G5497" s="27" t="s">
        <v>11529</v>
      </c>
      <c r="H5497" s="28" t="s">
        <v>11530</v>
      </c>
      <c r="I5497" s="5" t="s">
        <v>1572</v>
      </c>
    </row>
    <row r="5498" spans="1:9" ht="51.75" customHeight="1">
      <c r="A5498" s="5" t="s">
        <v>24432</v>
      </c>
      <c r="B5498" s="5" t="s">
        <v>38637</v>
      </c>
      <c r="C5498" s="5" t="s">
        <v>38635</v>
      </c>
      <c r="D5498" s="246">
        <v>42586</v>
      </c>
      <c r="E5498" s="5" t="s">
        <v>38638</v>
      </c>
      <c r="F5498" s="26" t="s">
        <v>23600</v>
      </c>
      <c r="G5498" s="27" t="s">
        <v>11529</v>
      </c>
      <c r="H5498" s="28" t="s">
        <v>11530</v>
      </c>
      <c r="I5498" s="5" t="s">
        <v>1572</v>
      </c>
    </row>
    <row r="5499" spans="1:9" ht="51.75" customHeight="1">
      <c r="A5499" s="5" t="s">
        <v>25109</v>
      </c>
      <c r="B5499" s="5" t="s">
        <v>38639</v>
      </c>
      <c r="C5499" s="5" t="s">
        <v>38640</v>
      </c>
      <c r="D5499" s="246">
        <v>42566</v>
      </c>
      <c r="E5499" s="5" t="s">
        <v>38641</v>
      </c>
      <c r="F5499" s="26" t="s">
        <v>38347</v>
      </c>
      <c r="G5499" s="27" t="s">
        <v>11586</v>
      </c>
      <c r="H5499" s="28" t="s">
        <v>11587</v>
      </c>
      <c r="I5499" s="5" t="s">
        <v>1572</v>
      </c>
    </row>
    <row r="5500" spans="1:9" ht="51.75" customHeight="1">
      <c r="A5500" s="5" t="s">
        <v>25109</v>
      </c>
      <c r="B5500" s="5" t="s">
        <v>38642</v>
      </c>
      <c r="C5500" s="5" t="s">
        <v>38640</v>
      </c>
      <c r="D5500" s="246">
        <v>42566</v>
      </c>
      <c r="E5500" s="5" t="s">
        <v>38643</v>
      </c>
      <c r="F5500" s="26" t="s">
        <v>23600</v>
      </c>
      <c r="G5500" s="27" t="s">
        <v>11586</v>
      </c>
      <c r="H5500" s="28" t="s">
        <v>11587</v>
      </c>
      <c r="I5500" s="5" t="s">
        <v>1572</v>
      </c>
    </row>
    <row r="5501" spans="1:9" ht="51.75" customHeight="1">
      <c r="A5501" s="5" t="s">
        <v>27703</v>
      </c>
      <c r="B5501" s="5" t="s">
        <v>38644</v>
      </c>
      <c r="C5501" s="5" t="s">
        <v>38645</v>
      </c>
      <c r="D5501" s="246">
        <v>42655</v>
      </c>
      <c r="E5501" s="5" t="s">
        <v>38646</v>
      </c>
      <c r="F5501" s="26" t="s">
        <v>38347</v>
      </c>
      <c r="G5501" s="27" t="s">
        <v>11735</v>
      </c>
      <c r="H5501" s="28" t="s">
        <v>11736</v>
      </c>
      <c r="I5501" s="5" t="s">
        <v>1572</v>
      </c>
    </row>
    <row r="5502" spans="1:9" ht="51.75" customHeight="1">
      <c r="A5502" s="5" t="s">
        <v>27703</v>
      </c>
      <c r="B5502" s="5" t="s">
        <v>38647</v>
      </c>
      <c r="C5502" s="5" t="s">
        <v>38645</v>
      </c>
      <c r="D5502" s="246">
        <v>42655</v>
      </c>
      <c r="E5502" s="5" t="s">
        <v>38648</v>
      </c>
      <c r="F5502" s="26" t="s">
        <v>23600</v>
      </c>
      <c r="G5502" s="27" t="s">
        <v>11735</v>
      </c>
      <c r="H5502" s="28" t="s">
        <v>11736</v>
      </c>
      <c r="I5502" s="5" t="s">
        <v>1572</v>
      </c>
    </row>
    <row r="5503" spans="1:9" ht="51.75" customHeight="1">
      <c r="A5503" s="5" t="s">
        <v>37826</v>
      </c>
      <c r="B5503" s="5" t="s">
        <v>38649</v>
      </c>
      <c r="C5503" s="5" t="s">
        <v>38650</v>
      </c>
      <c r="D5503" s="246">
        <v>42663</v>
      </c>
      <c r="E5503" s="5" t="s">
        <v>38651</v>
      </c>
      <c r="F5503" s="26" t="s">
        <v>23600</v>
      </c>
      <c r="G5503" s="27" t="s">
        <v>11905</v>
      </c>
      <c r="H5503" s="28" t="s">
        <v>11906</v>
      </c>
      <c r="I5503" s="5" t="s">
        <v>1572</v>
      </c>
    </row>
    <row r="5504" spans="1:9" ht="51.75" customHeight="1">
      <c r="A5504" s="5" t="s">
        <v>37826</v>
      </c>
      <c r="B5504" s="5" t="s">
        <v>38652</v>
      </c>
      <c r="C5504" s="5" t="s">
        <v>38650</v>
      </c>
      <c r="D5504" s="246">
        <v>42663</v>
      </c>
      <c r="E5504" s="5" t="s">
        <v>38653</v>
      </c>
      <c r="F5504" s="26" t="s">
        <v>38347</v>
      </c>
      <c r="G5504" s="27" t="s">
        <v>11905</v>
      </c>
      <c r="H5504" s="28" t="s">
        <v>11906</v>
      </c>
      <c r="I5504" s="5" t="s">
        <v>1572</v>
      </c>
    </row>
    <row r="5505" spans="1:9" ht="51.75" customHeight="1">
      <c r="A5505" s="5" t="s">
        <v>26030</v>
      </c>
      <c r="B5505" s="5" t="s">
        <v>38654</v>
      </c>
      <c r="C5505" s="5" t="s">
        <v>38655</v>
      </c>
      <c r="D5505" s="246">
        <v>42775</v>
      </c>
      <c r="E5505" s="5" t="s">
        <v>38656</v>
      </c>
      <c r="F5505" s="26" t="s">
        <v>38347</v>
      </c>
      <c r="G5505" s="27" t="s">
        <v>12164</v>
      </c>
      <c r="H5505" s="28" t="s">
        <v>12165</v>
      </c>
      <c r="I5505" s="5" t="s">
        <v>1572</v>
      </c>
    </row>
    <row r="5506" spans="1:9" ht="51.75" customHeight="1">
      <c r="A5506" s="5" t="s">
        <v>26030</v>
      </c>
      <c r="B5506" s="5" t="s">
        <v>38657</v>
      </c>
      <c r="C5506" s="5" t="s">
        <v>38655</v>
      </c>
      <c r="D5506" s="246">
        <v>42775</v>
      </c>
      <c r="E5506" s="5" t="s">
        <v>38658</v>
      </c>
      <c r="F5506" s="26" t="s">
        <v>23600</v>
      </c>
      <c r="G5506" s="27" t="s">
        <v>12164</v>
      </c>
      <c r="H5506" s="28" t="s">
        <v>12165</v>
      </c>
      <c r="I5506" s="5" t="s">
        <v>1572</v>
      </c>
    </row>
    <row r="5507" spans="1:9" ht="51.75" customHeight="1">
      <c r="A5507" s="5" t="s">
        <v>38659</v>
      </c>
      <c r="B5507" s="5" t="s">
        <v>38660</v>
      </c>
      <c r="C5507" s="5" t="s">
        <v>38661</v>
      </c>
      <c r="D5507" s="246">
        <v>42718</v>
      </c>
      <c r="E5507" s="5" t="s">
        <v>38662</v>
      </c>
      <c r="F5507" s="26" t="s">
        <v>23600</v>
      </c>
      <c r="G5507" s="27" t="s">
        <v>12215</v>
      </c>
      <c r="H5507" s="28" t="s">
        <v>12216</v>
      </c>
      <c r="I5507" s="5" t="s">
        <v>1572</v>
      </c>
    </row>
    <row r="5508" spans="1:9" ht="51.75" customHeight="1">
      <c r="A5508" s="5" t="s">
        <v>38659</v>
      </c>
      <c r="B5508" s="5" t="s">
        <v>38663</v>
      </c>
      <c r="C5508" s="5" t="s">
        <v>38661</v>
      </c>
      <c r="D5508" s="246">
        <v>42718</v>
      </c>
      <c r="E5508" s="5" t="s">
        <v>38664</v>
      </c>
      <c r="F5508" s="26" t="s">
        <v>38347</v>
      </c>
      <c r="G5508" s="27" t="s">
        <v>12215</v>
      </c>
      <c r="H5508" s="28" t="s">
        <v>12216</v>
      </c>
      <c r="I5508" s="5" t="s">
        <v>1572</v>
      </c>
    </row>
    <row r="5509" spans="1:9" ht="51.75" customHeight="1">
      <c r="A5509" s="5" t="s">
        <v>25990</v>
      </c>
      <c r="B5509" s="5" t="s">
        <v>38665</v>
      </c>
      <c r="C5509" s="5" t="s">
        <v>38666</v>
      </c>
      <c r="D5509" s="246">
        <v>42751</v>
      </c>
      <c r="E5509" s="5" t="s">
        <v>38667</v>
      </c>
      <c r="F5509" s="26" t="s">
        <v>38347</v>
      </c>
      <c r="G5509" s="27" t="s">
        <v>12328</v>
      </c>
      <c r="H5509" s="28" t="s">
        <v>38668</v>
      </c>
      <c r="I5509" s="5" t="s">
        <v>1572</v>
      </c>
    </row>
    <row r="5510" spans="1:9" ht="51.75" customHeight="1">
      <c r="A5510" s="5" t="s">
        <v>25990</v>
      </c>
      <c r="B5510" s="5" t="s">
        <v>38669</v>
      </c>
      <c r="C5510" s="5" t="s">
        <v>38666</v>
      </c>
      <c r="D5510" s="246">
        <v>42751</v>
      </c>
      <c r="E5510" s="5" t="s">
        <v>38670</v>
      </c>
      <c r="F5510" s="26" t="s">
        <v>23600</v>
      </c>
      <c r="G5510" s="27" t="s">
        <v>12328</v>
      </c>
      <c r="H5510" s="28" t="s">
        <v>38668</v>
      </c>
      <c r="I5510" s="5" t="s">
        <v>1572</v>
      </c>
    </row>
    <row r="5511" spans="1:9" ht="51.75" customHeight="1">
      <c r="A5511" s="5" t="s">
        <v>30060</v>
      </c>
      <c r="B5511" s="5" t="s">
        <v>38671</v>
      </c>
      <c r="C5511" s="5" t="s">
        <v>38672</v>
      </c>
      <c r="D5511" s="246">
        <v>42880</v>
      </c>
      <c r="E5511" s="5" t="s">
        <v>38673</v>
      </c>
      <c r="F5511" s="26" t="s">
        <v>23600</v>
      </c>
      <c r="G5511" s="27" t="s">
        <v>12512</v>
      </c>
      <c r="H5511" s="28" t="s">
        <v>12513</v>
      </c>
      <c r="I5511" s="5" t="s">
        <v>1572</v>
      </c>
    </row>
    <row r="5512" spans="1:9" ht="51.75" customHeight="1">
      <c r="A5512" s="5" t="s">
        <v>30060</v>
      </c>
      <c r="B5512" s="5" t="s">
        <v>38674</v>
      </c>
      <c r="C5512" s="5" t="s">
        <v>38672</v>
      </c>
      <c r="D5512" s="246">
        <v>42880</v>
      </c>
      <c r="E5512" s="5" t="s">
        <v>38675</v>
      </c>
      <c r="F5512" s="26" t="s">
        <v>38347</v>
      </c>
      <c r="G5512" s="27" t="s">
        <v>12512</v>
      </c>
      <c r="H5512" s="28" t="s">
        <v>12513</v>
      </c>
      <c r="I5512" s="5" t="s">
        <v>1572</v>
      </c>
    </row>
    <row r="5513" spans="1:9" ht="51.75" customHeight="1">
      <c r="A5513" s="5" t="s">
        <v>24440</v>
      </c>
      <c r="B5513" s="5" t="s">
        <v>38676</v>
      </c>
      <c r="C5513" s="5" t="s">
        <v>38677</v>
      </c>
      <c r="D5513" s="246">
        <v>42527</v>
      </c>
      <c r="E5513" s="5" t="s">
        <v>38678</v>
      </c>
      <c r="F5513" s="26" t="s">
        <v>38347</v>
      </c>
      <c r="G5513" s="27" t="s">
        <v>11288</v>
      </c>
      <c r="H5513" s="28" t="s">
        <v>11289</v>
      </c>
      <c r="I5513" s="5" t="s">
        <v>1572</v>
      </c>
    </row>
    <row r="5514" spans="1:9" ht="51.75" customHeight="1">
      <c r="A5514" s="5" t="s">
        <v>24440</v>
      </c>
      <c r="B5514" s="5" t="s">
        <v>38679</v>
      </c>
      <c r="C5514" s="5" t="s">
        <v>38677</v>
      </c>
      <c r="D5514" s="246">
        <v>42527</v>
      </c>
      <c r="E5514" s="5" t="s">
        <v>38680</v>
      </c>
      <c r="F5514" s="26" t="s">
        <v>23600</v>
      </c>
      <c r="G5514" s="27" t="s">
        <v>11288</v>
      </c>
      <c r="H5514" s="28" t="s">
        <v>11289</v>
      </c>
      <c r="I5514" s="5" t="s">
        <v>1572</v>
      </c>
    </row>
    <row r="5515" spans="1:9" ht="51.75" customHeight="1">
      <c r="A5515" s="5" t="s">
        <v>25499</v>
      </c>
      <c r="B5515" s="5" t="s">
        <v>38681</v>
      </c>
      <c r="C5515" s="5" t="s">
        <v>38682</v>
      </c>
      <c r="D5515" s="246">
        <v>42930</v>
      </c>
      <c r="E5515" s="5" t="s">
        <v>38683</v>
      </c>
      <c r="F5515" s="26" t="s">
        <v>38347</v>
      </c>
      <c r="G5515" s="27" t="s">
        <v>12651</v>
      </c>
      <c r="H5515" s="28" t="s">
        <v>12652</v>
      </c>
      <c r="I5515" s="5" t="s">
        <v>1572</v>
      </c>
    </row>
    <row r="5516" spans="1:9" ht="51.75" customHeight="1">
      <c r="A5516" s="5" t="s">
        <v>25499</v>
      </c>
      <c r="B5516" s="5" t="s">
        <v>38684</v>
      </c>
      <c r="C5516" s="5" t="s">
        <v>38682</v>
      </c>
      <c r="D5516" s="246">
        <v>42930</v>
      </c>
      <c r="E5516" s="5" t="s">
        <v>38685</v>
      </c>
      <c r="F5516" s="26" t="s">
        <v>23600</v>
      </c>
      <c r="G5516" s="27" t="s">
        <v>12651</v>
      </c>
      <c r="H5516" s="28" t="s">
        <v>12652</v>
      </c>
      <c r="I5516" s="5" t="s">
        <v>1572</v>
      </c>
    </row>
    <row r="5517" spans="1:9" ht="51.75" customHeight="1">
      <c r="A5517" s="5" t="s">
        <v>25505</v>
      </c>
      <c r="B5517" s="5" t="s">
        <v>38686</v>
      </c>
      <c r="C5517" s="5" t="s">
        <v>38687</v>
      </c>
      <c r="D5517" s="246">
        <v>42930</v>
      </c>
      <c r="E5517" s="5" t="s">
        <v>38688</v>
      </c>
      <c r="F5517" s="26" t="s">
        <v>38347</v>
      </c>
      <c r="G5517" s="27" t="s">
        <v>12651</v>
      </c>
      <c r="H5517" s="28" t="s">
        <v>12652</v>
      </c>
      <c r="I5517" s="5" t="s">
        <v>1572</v>
      </c>
    </row>
    <row r="5518" spans="1:9" ht="51.75" customHeight="1">
      <c r="A5518" s="5" t="s">
        <v>25505</v>
      </c>
      <c r="B5518" s="5" t="s">
        <v>38689</v>
      </c>
      <c r="C5518" s="5" t="s">
        <v>38687</v>
      </c>
      <c r="D5518" s="246">
        <v>42930</v>
      </c>
      <c r="E5518" s="5" t="s">
        <v>38690</v>
      </c>
      <c r="F5518" s="26" t="s">
        <v>23600</v>
      </c>
      <c r="G5518" s="27" t="s">
        <v>12651</v>
      </c>
      <c r="H5518" s="28" t="s">
        <v>12652</v>
      </c>
      <c r="I5518" s="5" t="s">
        <v>1572</v>
      </c>
    </row>
    <row r="5519" spans="1:9" ht="51.75" customHeight="1">
      <c r="A5519" s="5" t="s">
        <v>25511</v>
      </c>
      <c r="B5519" s="5" t="s">
        <v>38691</v>
      </c>
      <c r="C5519" s="5" t="s">
        <v>38692</v>
      </c>
      <c r="D5519" s="246">
        <v>42930</v>
      </c>
      <c r="E5519" s="5" t="s">
        <v>38693</v>
      </c>
      <c r="F5519" s="26" t="s">
        <v>38347</v>
      </c>
      <c r="G5519" s="27" t="s">
        <v>12651</v>
      </c>
      <c r="H5519" s="28" t="s">
        <v>12652</v>
      </c>
      <c r="I5519" s="5" t="s">
        <v>1572</v>
      </c>
    </row>
    <row r="5520" spans="1:9" ht="51.75" customHeight="1">
      <c r="A5520" s="5" t="s">
        <v>25511</v>
      </c>
      <c r="B5520" s="5" t="s">
        <v>38694</v>
      </c>
      <c r="C5520" s="5" t="s">
        <v>38692</v>
      </c>
      <c r="D5520" s="246">
        <v>42930</v>
      </c>
      <c r="E5520" s="5" t="s">
        <v>38695</v>
      </c>
      <c r="F5520" s="26" t="s">
        <v>23600</v>
      </c>
      <c r="G5520" s="27" t="s">
        <v>12651</v>
      </c>
      <c r="H5520" s="28" t="s">
        <v>12652</v>
      </c>
      <c r="I5520" s="5" t="s">
        <v>1572</v>
      </c>
    </row>
    <row r="5521" spans="1:9" ht="51.75" customHeight="1">
      <c r="A5521" s="5" t="s">
        <v>25517</v>
      </c>
      <c r="B5521" s="5" t="s">
        <v>38696</v>
      </c>
      <c r="C5521" s="5" t="s">
        <v>38697</v>
      </c>
      <c r="D5521" s="246">
        <v>42930</v>
      </c>
      <c r="E5521" s="5" t="s">
        <v>38698</v>
      </c>
      <c r="F5521" s="26" t="s">
        <v>38347</v>
      </c>
      <c r="G5521" s="27" t="s">
        <v>12651</v>
      </c>
      <c r="H5521" s="28" t="s">
        <v>12652</v>
      </c>
      <c r="I5521" s="5" t="s">
        <v>1572</v>
      </c>
    </row>
    <row r="5522" spans="1:9" ht="51.75" customHeight="1">
      <c r="A5522" s="5" t="s">
        <v>25517</v>
      </c>
      <c r="B5522" s="5" t="s">
        <v>38699</v>
      </c>
      <c r="C5522" s="5" t="s">
        <v>38697</v>
      </c>
      <c r="D5522" s="246">
        <v>42930</v>
      </c>
      <c r="E5522" s="5" t="s">
        <v>38700</v>
      </c>
      <c r="F5522" s="26" t="s">
        <v>23600</v>
      </c>
      <c r="G5522" s="27" t="s">
        <v>12651</v>
      </c>
      <c r="H5522" s="28" t="s">
        <v>12652</v>
      </c>
      <c r="I5522" s="5" t="s">
        <v>1572</v>
      </c>
    </row>
    <row r="5523" spans="1:9" ht="51.75" customHeight="1">
      <c r="A5523" s="5" t="s">
        <v>23872</v>
      </c>
      <c r="B5523" s="5" t="s">
        <v>38701</v>
      </c>
      <c r="C5523" s="5" t="s">
        <v>38702</v>
      </c>
      <c r="D5523" s="246">
        <v>42930</v>
      </c>
      <c r="E5523" s="5" t="s">
        <v>38703</v>
      </c>
      <c r="F5523" s="26" t="s">
        <v>38347</v>
      </c>
      <c r="G5523" s="27" t="s">
        <v>12651</v>
      </c>
      <c r="H5523" s="28" t="s">
        <v>12652</v>
      </c>
      <c r="I5523" s="5" t="s">
        <v>1572</v>
      </c>
    </row>
    <row r="5524" spans="1:9" ht="51.75" customHeight="1">
      <c r="A5524" s="5" t="s">
        <v>23872</v>
      </c>
      <c r="B5524" s="5" t="s">
        <v>38704</v>
      </c>
      <c r="C5524" s="5" t="s">
        <v>38702</v>
      </c>
      <c r="D5524" s="246">
        <v>42930</v>
      </c>
      <c r="E5524" s="5" t="s">
        <v>38705</v>
      </c>
      <c r="F5524" s="26" t="s">
        <v>23600</v>
      </c>
      <c r="G5524" s="27" t="s">
        <v>12651</v>
      </c>
      <c r="H5524" s="28" t="s">
        <v>12652</v>
      </c>
      <c r="I5524" s="5" t="s">
        <v>1572</v>
      </c>
    </row>
    <row r="5525" spans="1:9" ht="51.75" customHeight="1">
      <c r="A5525" s="5" t="s">
        <v>23876</v>
      </c>
      <c r="B5525" s="5" t="s">
        <v>38706</v>
      </c>
      <c r="C5525" s="5" t="s">
        <v>38707</v>
      </c>
      <c r="D5525" s="246">
        <v>42930</v>
      </c>
      <c r="E5525" s="5" t="s">
        <v>38708</v>
      </c>
      <c r="F5525" s="26" t="s">
        <v>38347</v>
      </c>
      <c r="G5525" s="27" t="s">
        <v>12651</v>
      </c>
      <c r="H5525" s="28" t="s">
        <v>12652</v>
      </c>
      <c r="I5525" s="5" t="s">
        <v>1572</v>
      </c>
    </row>
    <row r="5526" spans="1:9" ht="51.75" customHeight="1">
      <c r="A5526" s="5" t="s">
        <v>23876</v>
      </c>
      <c r="B5526" s="5" t="s">
        <v>38709</v>
      </c>
      <c r="C5526" s="5" t="s">
        <v>38707</v>
      </c>
      <c r="D5526" s="246">
        <v>42930</v>
      </c>
      <c r="E5526" s="5" t="s">
        <v>38710</v>
      </c>
      <c r="F5526" s="26" t="s">
        <v>23600</v>
      </c>
      <c r="G5526" s="27" t="s">
        <v>12651</v>
      </c>
      <c r="H5526" s="28" t="s">
        <v>12652</v>
      </c>
      <c r="I5526" s="5" t="s">
        <v>1572</v>
      </c>
    </row>
    <row r="5527" spans="1:9" ht="51.75" customHeight="1">
      <c r="A5527" s="5" t="s">
        <v>25331</v>
      </c>
      <c r="B5527" s="5" t="s">
        <v>38711</v>
      </c>
      <c r="C5527" s="5" t="s">
        <v>38712</v>
      </c>
      <c r="D5527" s="246">
        <v>42940</v>
      </c>
      <c r="E5527" s="5" t="s">
        <v>38713</v>
      </c>
      <c r="F5527" s="26" t="s">
        <v>23600</v>
      </c>
      <c r="G5527" s="27" t="s">
        <v>12697</v>
      </c>
      <c r="H5527" s="28" t="s">
        <v>12698</v>
      </c>
      <c r="I5527" s="5" t="s">
        <v>1572</v>
      </c>
    </row>
    <row r="5528" spans="1:9" ht="51.75" customHeight="1">
      <c r="A5528" s="5" t="s">
        <v>25331</v>
      </c>
      <c r="B5528" s="5" t="s">
        <v>38714</v>
      </c>
      <c r="C5528" s="5" t="s">
        <v>38712</v>
      </c>
      <c r="D5528" s="246">
        <v>42940</v>
      </c>
      <c r="E5528" s="5" t="s">
        <v>38715</v>
      </c>
      <c r="F5528" s="26" t="s">
        <v>38347</v>
      </c>
      <c r="G5528" s="27" t="s">
        <v>12697</v>
      </c>
      <c r="H5528" s="28" t="s">
        <v>12698</v>
      </c>
      <c r="I5528" s="5" t="s">
        <v>1572</v>
      </c>
    </row>
    <row r="5529" spans="1:9" ht="51.75" customHeight="1">
      <c r="A5529" s="5" t="s">
        <v>24487</v>
      </c>
      <c r="B5529" s="5" t="s">
        <v>38716</v>
      </c>
      <c r="C5529" s="5" t="s">
        <v>38717</v>
      </c>
      <c r="D5529" s="246">
        <v>43006</v>
      </c>
      <c r="E5529" s="5" t="s">
        <v>38718</v>
      </c>
      <c r="F5529" s="26" t="s">
        <v>38347</v>
      </c>
      <c r="G5529" s="27" t="s">
        <v>12813</v>
      </c>
      <c r="H5529" s="28" t="s">
        <v>12814</v>
      </c>
      <c r="I5529" s="5" t="s">
        <v>1572</v>
      </c>
    </row>
    <row r="5530" spans="1:9" ht="51.75" customHeight="1">
      <c r="A5530" s="5" t="s">
        <v>24487</v>
      </c>
      <c r="B5530" s="5" t="s">
        <v>38719</v>
      </c>
      <c r="C5530" s="5" t="s">
        <v>38717</v>
      </c>
      <c r="D5530" s="246">
        <v>43006</v>
      </c>
      <c r="E5530" s="5" t="s">
        <v>38720</v>
      </c>
      <c r="F5530" s="26" t="s">
        <v>23600</v>
      </c>
      <c r="G5530" s="27" t="s">
        <v>12813</v>
      </c>
      <c r="H5530" s="28" t="s">
        <v>12814</v>
      </c>
      <c r="I5530" s="5" t="s">
        <v>1572</v>
      </c>
    </row>
    <row r="5531" spans="1:9" ht="51.75" customHeight="1">
      <c r="A5531" s="5" t="s">
        <v>24503</v>
      </c>
      <c r="B5531" s="5" t="s">
        <v>38721</v>
      </c>
      <c r="C5531" s="5" t="s">
        <v>38722</v>
      </c>
      <c r="D5531" s="246">
        <v>43017</v>
      </c>
      <c r="E5531" s="5" t="s">
        <v>38723</v>
      </c>
      <c r="F5531" s="26" t="s">
        <v>38347</v>
      </c>
      <c r="G5531" s="27" t="s">
        <v>12891</v>
      </c>
      <c r="H5531" s="28" t="s">
        <v>12892</v>
      </c>
      <c r="I5531" s="5" t="s">
        <v>1572</v>
      </c>
    </row>
    <row r="5532" spans="1:9" ht="51.75" customHeight="1">
      <c r="A5532" s="5" t="s">
        <v>24503</v>
      </c>
      <c r="B5532" s="5" t="s">
        <v>38724</v>
      </c>
      <c r="C5532" s="5" t="s">
        <v>38722</v>
      </c>
      <c r="D5532" s="246">
        <v>43017</v>
      </c>
      <c r="E5532" s="5" t="s">
        <v>38725</v>
      </c>
      <c r="F5532" s="26" t="s">
        <v>23600</v>
      </c>
      <c r="G5532" s="27" t="s">
        <v>12891</v>
      </c>
      <c r="H5532" s="28" t="s">
        <v>12892</v>
      </c>
      <c r="I5532" s="5" t="s">
        <v>1572</v>
      </c>
    </row>
    <row r="5533" spans="1:9" ht="51.75" customHeight="1">
      <c r="A5533" s="5" t="s">
        <v>26756</v>
      </c>
      <c r="B5533" s="5" t="s">
        <v>38726</v>
      </c>
      <c r="C5533" s="5" t="s">
        <v>38727</v>
      </c>
      <c r="D5533" s="246">
        <v>43048</v>
      </c>
      <c r="E5533" s="5" t="s">
        <v>38728</v>
      </c>
      <c r="F5533" s="26" t="s">
        <v>38347</v>
      </c>
      <c r="G5533" s="27" t="s">
        <v>12982</v>
      </c>
      <c r="H5533" s="28" t="s">
        <v>12983</v>
      </c>
      <c r="I5533" s="5" t="s">
        <v>1572</v>
      </c>
    </row>
    <row r="5534" spans="1:9" ht="51.75" customHeight="1">
      <c r="A5534" s="5" t="s">
        <v>26756</v>
      </c>
      <c r="B5534" s="5" t="s">
        <v>38729</v>
      </c>
      <c r="C5534" s="5" t="s">
        <v>38727</v>
      </c>
      <c r="D5534" s="246">
        <v>43048</v>
      </c>
      <c r="E5534" s="5" t="s">
        <v>38730</v>
      </c>
      <c r="F5534" s="26" t="s">
        <v>23600</v>
      </c>
      <c r="G5534" s="27" t="s">
        <v>12982</v>
      </c>
      <c r="H5534" s="28" t="s">
        <v>12983</v>
      </c>
      <c r="I5534" s="5" t="s">
        <v>1572</v>
      </c>
    </row>
    <row r="5535" spans="1:9" ht="51.75" customHeight="1">
      <c r="A5535" s="5" t="s">
        <v>26828</v>
      </c>
      <c r="B5535" s="5" t="s">
        <v>38731</v>
      </c>
      <c r="C5535" s="5" t="s">
        <v>38727</v>
      </c>
      <c r="D5535" s="246">
        <v>43048</v>
      </c>
      <c r="E5535" s="5" t="s">
        <v>38732</v>
      </c>
      <c r="F5535" s="26" t="s">
        <v>38347</v>
      </c>
      <c r="G5535" s="27" t="s">
        <v>12982</v>
      </c>
      <c r="H5535" s="28" t="s">
        <v>12983</v>
      </c>
      <c r="I5535" s="5" t="s">
        <v>1572</v>
      </c>
    </row>
    <row r="5536" spans="1:9" ht="51.75" customHeight="1">
      <c r="A5536" s="5" t="s">
        <v>26828</v>
      </c>
      <c r="B5536" s="5" t="s">
        <v>38733</v>
      </c>
      <c r="C5536" s="5" t="s">
        <v>38727</v>
      </c>
      <c r="D5536" s="246">
        <v>43048</v>
      </c>
      <c r="E5536" s="5" t="s">
        <v>38734</v>
      </c>
      <c r="F5536" s="26" t="s">
        <v>23600</v>
      </c>
      <c r="G5536" s="27" t="s">
        <v>12982</v>
      </c>
      <c r="H5536" s="28" t="s">
        <v>12983</v>
      </c>
      <c r="I5536" s="5" t="s">
        <v>1572</v>
      </c>
    </row>
    <row r="5537" spans="1:9" ht="51.75" customHeight="1">
      <c r="A5537" s="5" t="s">
        <v>25018</v>
      </c>
      <c r="B5537" s="5" t="s">
        <v>38735</v>
      </c>
      <c r="C5537" s="5" t="s">
        <v>38736</v>
      </c>
      <c r="D5537" s="246">
        <v>43067</v>
      </c>
      <c r="E5537" s="5" t="s">
        <v>38737</v>
      </c>
      <c r="F5537" s="26" t="s">
        <v>38347</v>
      </c>
      <c r="G5537" s="27" t="s">
        <v>13013</v>
      </c>
      <c r="H5537" s="28" t="s">
        <v>13014</v>
      </c>
      <c r="I5537" s="5" t="s">
        <v>1572</v>
      </c>
    </row>
    <row r="5538" spans="1:9" ht="51.75" customHeight="1">
      <c r="A5538" s="5" t="s">
        <v>25018</v>
      </c>
      <c r="B5538" s="5" t="s">
        <v>38738</v>
      </c>
      <c r="C5538" s="5" t="s">
        <v>38736</v>
      </c>
      <c r="D5538" s="246">
        <v>43067</v>
      </c>
      <c r="E5538" s="5" t="s">
        <v>38739</v>
      </c>
      <c r="F5538" s="26" t="s">
        <v>23600</v>
      </c>
      <c r="G5538" s="27" t="s">
        <v>13013</v>
      </c>
      <c r="H5538" s="28" t="s">
        <v>13014</v>
      </c>
      <c r="I5538" s="5" t="s">
        <v>1572</v>
      </c>
    </row>
    <row r="5539" spans="1:9" ht="51.75" customHeight="1">
      <c r="A5539" s="5" t="s">
        <v>23744</v>
      </c>
      <c r="B5539" s="5" t="s">
        <v>38740</v>
      </c>
      <c r="C5539" s="5" t="s">
        <v>38741</v>
      </c>
      <c r="D5539" s="246">
        <v>43067</v>
      </c>
      <c r="E5539" s="5" t="s">
        <v>38742</v>
      </c>
      <c r="F5539" s="26" t="s">
        <v>38347</v>
      </c>
      <c r="G5539" s="27" t="s">
        <v>13013</v>
      </c>
      <c r="H5539" s="28" t="s">
        <v>13014</v>
      </c>
      <c r="I5539" s="5" t="s">
        <v>1572</v>
      </c>
    </row>
    <row r="5540" spans="1:9" ht="51.75" customHeight="1">
      <c r="A5540" s="5" t="s">
        <v>23744</v>
      </c>
      <c r="B5540" s="5" t="s">
        <v>38743</v>
      </c>
      <c r="C5540" s="5" t="s">
        <v>38741</v>
      </c>
      <c r="D5540" s="246">
        <v>43067</v>
      </c>
      <c r="E5540" s="5" t="s">
        <v>38744</v>
      </c>
      <c r="F5540" s="26" t="s">
        <v>23600</v>
      </c>
      <c r="G5540" s="27" t="s">
        <v>13013</v>
      </c>
      <c r="H5540" s="28" t="s">
        <v>13014</v>
      </c>
      <c r="I5540" s="5" t="s">
        <v>1572</v>
      </c>
    </row>
    <row r="5541" spans="1:9" ht="51.75" customHeight="1">
      <c r="A5541" s="5" t="s">
        <v>23942</v>
      </c>
      <c r="B5541" s="5" t="s">
        <v>38745</v>
      </c>
      <c r="C5541" s="5" t="s">
        <v>38746</v>
      </c>
      <c r="D5541" s="246">
        <v>43067</v>
      </c>
      <c r="E5541" s="5" t="s">
        <v>38747</v>
      </c>
      <c r="F5541" s="26" t="s">
        <v>38347</v>
      </c>
      <c r="G5541" s="27" t="s">
        <v>13013</v>
      </c>
      <c r="H5541" s="28" t="s">
        <v>13014</v>
      </c>
      <c r="I5541" s="5" t="s">
        <v>1572</v>
      </c>
    </row>
    <row r="5542" spans="1:9" ht="51.75" customHeight="1">
      <c r="A5542" s="5" t="s">
        <v>23942</v>
      </c>
      <c r="B5542" s="5" t="s">
        <v>38748</v>
      </c>
      <c r="C5542" s="5" t="s">
        <v>38746</v>
      </c>
      <c r="D5542" s="246">
        <v>43067</v>
      </c>
      <c r="E5542" s="5" t="s">
        <v>38749</v>
      </c>
      <c r="F5542" s="26" t="s">
        <v>23600</v>
      </c>
      <c r="G5542" s="27" t="s">
        <v>13013</v>
      </c>
      <c r="H5542" s="28" t="s">
        <v>13014</v>
      </c>
      <c r="I5542" s="5" t="s">
        <v>1572</v>
      </c>
    </row>
    <row r="5543" spans="1:9" ht="51.75" customHeight="1">
      <c r="A5543" s="5" t="s">
        <v>23612</v>
      </c>
      <c r="B5543" s="5" t="s">
        <v>38750</v>
      </c>
      <c r="C5543" s="5" t="s">
        <v>38751</v>
      </c>
      <c r="D5543" s="246">
        <v>43067</v>
      </c>
      <c r="E5543" s="5" t="s">
        <v>38752</v>
      </c>
      <c r="F5543" s="26" t="s">
        <v>38347</v>
      </c>
      <c r="G5543" s="27" t="s">
        <v>13013</v>
      </c>
      <c r="H5543" s="28" t="s">
        <v>13014</v>
      </c>
      <c r="I5543" s="5" t="s">
        <v>1572</v>
      </c>
    </row>
    <row r="5544" spans="1:9" ht="51.75" customHeight="1">
      <c r="A5544" s="5" t="s">
        <v>23612</v>
      </c>
      <c r="B5544" s="5" t="s">
        <v>38753</v>
      </c>
      <c r="C5544" s="5" t="s">
        <v>38751</v>
      </c>
      <c r="D5544" s="246">
        <v>43067</v>
      </c>
      <c r="E5544" s="5" t="s">
        <v>38754</v>
      </c>
      <c r="F5544" s="26" t="s">
        <v>23600</v>
      </c>
      <c r="G5544" s="27" t="s">
        <v>13013</v>
      </c>
      <c r="H5544" s="28" t="s">
        <v>13014</v>
      </c>
      <c r="I5544" s="5" t="s">
        <v>1572</v>
      </c>
    </row>
    <row r="5545" spans="1:9" ht="51.75" customHeight="1">
      <c r="A5545" s="5" t="s">
        <v>23692</v>
      </c>
      <c r="B5545" s="5" t="s">
        <v>38755</v>
      </c>
      <c r="C5545" s="5" t="s">
        <v>38756</v>
      </c>
      <c r="D5545" s="246">
        <v>43060</v>
      </c>
      <c r="E5545" s="5" t="s">
        <v>38757</v>
      </c>
      <c r="F5545" s="26" t="s">
        <v>38347</v>
      </c>
      <c r="G5545" s="27" t="s">
        <v>13019</v>
      </c>
      <c r="H5545" s="28" t="s">
        <v>13020</v>
      </c>
      <c r="I5545" s="5" t="s">
        <v>1572</v>
      </c>
    </row>
    <row r="5546" spans="1:9" ht="51.75" customHeight="1">
      <c r="A5546" s="5" t="s">
        <v>23692</v>
      </c>
      <c r="B5546" s="5" t="s">
        <v>38758</v>
      </c>
      <c r="C5546" s="5" t="s">
        <v>38756</v>
      </c>
      <c r="D5546" s="246">
        <v>43060</v>
      </c>
      <c r="E5546" s="5" t="s">
        <v>38759</v>
      </c>
      <c r="F5546" s="26" t="s">
        <v>23600</v>
      </c>
      <c r="G5546" s="27" t="s">
        <v>13019</v>
      </c>
      <c r="H5546" s="28" t="s">
        <v>13020</v>
      </c>
      <c r="I5546" s="5" t="s">
        <v>1572</v>
      </c>
    </row>
    <row r="5547" spans="1:9" ht="51.75" customHeight="1">
      <c r="A5547" s="5" t="s">
        <v>24993</v>
      </c>
      <c r="B5547" s="5" t="s">
        <v>38760</v>
      </c>
      <c r="C5547" s="5" t="s">
        <v>38761</v>
      </c>
      <c r="D5547" s="246">
        <v>43088</v>
      </c>
      <c r="E5547" s="5" t="s">
        <v>38762</v>
      </c>
      <c r="F5547" s="26" t="s">
        <v>38347</v>
      </c>
      <c r="G5547" s="27" t="s">
        <v>13103</v>
      </c>
      <c r="H5547" s="28" t="s">
        <v>13104</v>
      </c>
      <c r="I5547" s="5" t="s">
        <v>1572</v>
      </c>
    </row>
    <row r="5548" spans="1:9" ht="51.75" customHeight="1">
      <c r="A5548" s="5" t="s">
        <v>24993</v>
      </c>
      <c r="B5548" s="5" t="s">
        <v>38763</v>
      </c>
      <c r="C5548" s="5" t="s">
        <v>38761</v>
      </c>
      <c r="D5548" s="246">
        <v>43088</v>
      </c>
      <c r="E5548" s="5" t="s">
        <v>38764</v>
      </c>
      <c r="F5548" s="26" t="s">
        <v>23600</v>
      </c>
      <c r="G5548" s="27" t="s">
        <v>13103</v>
      </c>
      <c r="H5548" s="28" t="s">
        <v>13104</v>
      </c>
      <c r="I5548" s="5" t="s">
        <v>1572</v>
      </c>
    </row>
    <row r="5549" spans="1:9" ht="51.75" customHeight="1">
      <c r="A5549" s="5" t="s">
        <v>24681</v>
      </c>
      <c r="B5549" s="5" t="s">
        <v>38765</v>
      </c>
      <c r="C5549" s="5" t="s">
        <v>38761</v>
      </c>
      <c r="D5549" s="246">
        <v>43088</v>
      </c>
      <c r="E5549" s="5" t="s">
        <v>38766</v>
      </c>
      <c r="F5549" s="26" t="s">
        <v>38347</v>
      </c>
      <c r="G5549" s="27" t="s">
        <v>13103</v>
      </c>
      <c r="H5549" s="28" t="s">
        <v>13104</v>
      </c>
      <c r="I5549" s="5" t="s">
        <v>1572</v>
      </c>
    </row>
    <row r="5550" spans="1:9" ht="51.75" customHeight="1">
      <c r="A5550" s="5" t="s">
        <v>24681</v>
      </c>
      <c r="B5550" s="5" t="s">
        <v>38767</v>
      </c>
      <c r="C5550" s="5" t="s">
        <v>38761</v>
      </c>
      <c r="D5550" s="246">
        <v>43088</v>
      </c>
      <c r="E5550" s="5" t="s">
        <v>38768</v>
      </c>
      <c r="F5550" s="26" t="s">
        <v>23600</v>
      </c>
      <c r="G5550" s="27" t="s">
        <v>13103</v>
      </c>
      <c r="H5550" s="28" t="s">
        <v>13104</v>
      </c>
      <c r="I5550" s="5" t="s">
        <v>1572</v>
      </c>
    </row>
    <row r="5551" spans="1:9" ht="51.75" customHeight="1">
      <c r="A5551" s="5" t="s">
        <v>23764</v>
      </c>
      <c r="B5551" s="5" t="s">
        <v>38769</v>
      </c>
      <c r="C5551" s="5" t="s">
        <v>38770</v>
      </c>
      <c r="D5551" s="246">
        <v>43097</v>
      </c>
      <c r="E5551" s="5" t="s">
        <v>38771</v>
      </c>
      <c r="F5551" s="26" t="s">
        <v>38347</v>
      </c>
      <c r="G5551" s="27" t="s">
        <v>13109</v>
      </c>
      <c r="H5551" s="28" t="s">
        <v>13110</v>
      </c>
      <c r="I5551" s="5" t="s">
        <v>1572</v>
      </c>
    </row>
    <row r="5552" spans="1:9" ht="51.75" customHeight="1">
      <c r="A5552" s="5" t="s">
        <v>23764</v>
      </c>
      <c r="B5552" s="5" t="s">
        <v>38772</v>
      </c>
      <c r="C5552" s="5" t="s">
        <v>38770</v>
      </c>
      <c r="D5552" s="246">
        <v>43097</v>
      </c>
      <c r="E5552" s="5" t="s">
        <v>38773</v>
      </c>
      <c r="F5552" s="26" t="s">
        <v>23600</v>
      </c>
      <c r="G5552" s="27" t="s">
        <v>13109</v>
      </c>
      <c r="H5552" s="28" t="s">
        <v>13110</v>
      </c>
      <c r="I5552" s="5" t="s">
        <v>1572</v>
      </c>
    </row>
    <row r="5553" spans="1:9" ht="51.75" customHeight="1">
      <c r="A5553" s="5" t="s">
        <v>24926</v>
      </c>
      <c r="B5553" s="5" t="s">
        <v>38774</v>
      </c>
      <c r="C5553" s="5" t="s">
        <v>38775</v>
      </c>
      <c r="D5553" s="246">
        <v>43117</v>
      </c>
      <c r="E5553" s="5" t="s">
        <v>38776</v>
      </c>
      <c r="F5553" s="26" t="s">
        <v>38347</v>
      </c>
      <c r="G5553" s="27" t="s">
        <v>13263</v>
      </c>
      <c r="H5553" s="28" t="s">
        <v>13264</v>
      </c>
      <c r="I5553" s="5" t="s">
        <v>1572</v>
      </c>
    </row>
    <row r="5554" spans="1:9" ht="51.75" customHeight="1">
      <c r="A5554" s="5" t="s">
        <v>24926</v>
      </c>
      <c r="B5554" s="5" t="s">
        <v>38777</v>
      </c>
      <c r="C5554" s="5" t="s">
        <v>38775</v>
      </c>
      <c r="D5554" s="246">
        <v>43117</v>
      </c>
      <c r="E5554" s="5" t="s">
        <v>38778</v>
      </c>
      <c r="F5554" s="26" t="s">
        <v>23600</v>
      </c>
      <c r="G5554" s="27" t="s">
        <v>13263</v>
      </c>
      <c r="H5554" s="28" t="s">
        <v>13264</v>
      </c>
      <c r="I5554" s="5" t="s">
        <v>1572</v>
      </c>
    </row>
    <row r="5555" spans="1:9" ht="51.75" customHeight="1">
      <c r="A5555" s="5" t="s">
        <v>26358</v>
      </c>
      <c r="B5555" s="5" t="s">
        <v>38779</v>
      </c>
      <c r="C5555" s="5" t="s">
        <v>38780</v>
      </c>
      <c r="D5555" s="246">
        <v>43143</v>
      </c>
      <c r="E5555" s="5" t="s">
        <v>38781</v>
      </c>
      <c r="F5555" s="26" t="s">
        <v>23600</v>
      </c>
      <c r="G5555" s="27" t="s">
        <v>13306</v>
      </c>
      <c r="H5555" s="28" t="s">
        <v>13307</v>
      </c>
      <c r="I5555" s="5" t="s">
        <v>1572</v>
      </c>
    </row>
    <row r="5556" spans="1:9" ht="51.75" customHeight="1">
      <c r="A5556" s="5" t="s">
        <v>26358</v>
      </c>
      <c r="B5556" s="5" t="s">
        <v>38782</v>
      </c>
      <c r="C5556" s="5" t="s">
        <v>38780</v>
      </c>
      <c r="D5556" s="246">
        <v>43143</v>
      </c>
      <c r="E5556" s="5" t="s">
        <v>38783</v>
      </c>
      <c r="F5556" s="26" t="s">
        <v>38347</v>
      </c>
      <c r="G5556" s="27" t="s">
        <v>13306</v>
      </c>
      <c r="H5556" s="28" t="s">
        <v>13307</v>
      </c>
      <c r="I5556" s="5" t="s">
        <v>1572</v>
      </c>
    </row>
    <row r="5557" spans="1:9" ht="51.75" customHeight="1">
      <c r="A5557" s="5" t="s">
        <v>28323</v>
      </c>
      <c r="B5557" s="5" t="s">
        <v>38784</v>
      </c>
      <c r="C5557" s="5" t="s">
        <v>38785</v>
      </c>
      <c r="D5557" s="246">
        <v>43143</v>
      </c>
      <c r="E5557" s="5" t="s">
        <v>38786</v>
      </c>
      <c r="F5557" s="26" t="s">
        <v>23600</v>
      </c>
      <c r="G5557" s="27" t="s">
        <v>13306</v>
      </c>
      <c r="H5557" s="28" t="s">
        <v>13307</v>
      </c>
      <c r="I5557" s="5" t="s">
        <v>1572</v>
      </c>
    </row>
    <row r="5558" spans="1:9" ht="51.75" customHeight="1">
      <c r="A5558" s="5" t="s">
        <v>28323</v>
      </c>
      <c r="B5558" s="5" t="s">
        <v>38787</v>
      </c>
      <c r="C5558" s="5" t="s">
        <v>38785</v>
      </c>
      <c r="D5558" s="246">
        <v>43143</v>
      </c>
      <c r="E5558" s="5" t="s">
        <v>38788</v>
      </c>
      <c r="F5558" s="26" t="s">
        <v>38347</v>
      </c>
      <c r="G5558" s="27" t="s">
        <v>13306</v>
      </c>
      <c r="H5558" s="28" t="s">
        <v>13307</v>
      </c>
      <c r="I5558" s="5" t="s">
        <v>1572</v>
      </c>
    </row>
    <row r="5559" spans="1:9" ht="51.75" customHeight="1">
      <c r="A5559" s="5" t="s">
        <v>28165</v>
      </c>
      <c r="B5559" s="5" t="s">
        <v>38789</v>
      </c>
      <c r="C5559" s="5" t="s">
        <v>38790</v>
      </c>
      <c r="D5559" s="246">
        <v>43172</v>
      </c>
      <c r="E5559" s="5" t="s">
        <v>38791</v>
      </c>
      <c r="F5559" s="26" t="s">
        <v>38347</v>
      </c>
      <c r="G5559" s="27" t="s">
        <v>13408</v>
      </c>
      <c r="H5559" s="28" t="s">
        <v>13409</v>
      </c>
      <c r="I5559" s="5" t="s">
        <v>1572</v>
      </c>
    </row>
    <row r="5560" spans="1:9" ht="51.75" customHeight="1">
      <c r="A5560" s="5" t="s">
        <v>28165</v>
      </c>
      <c r="B5560" s="5" t="s">
        <v>38792</v>
      </c>
      <c r="C5560" s="5" t="s">
        <v>38790</v>
      </c>
      <c r="D5560" s="246">
        <v>43172</v>
      </c>
      <c r="E5560" s="5" t="s">
        <v>38793</v>
      </c>
      <c r="F5560" s="26" t="s">
        <v>23600</v>
      </c>
      <c r="G5560" s="27" t="s">
        <v>13408</v>
      </c>
      <c r="H5560" s="28" t="s">
        <v>13409</v>
      </c>
      <c r="I5560" s="5" t="s">
        <v>1572</v>
      </c>
    </row>
    <row r="5561" spans="1:9" ht="51.75" customHeight="1">
      <c r="A5561" s="5" t="s">
        <v>26244</v>
      </c>
      <c r="B5561" s="5" t="s">
        <v>38794</v>
      </c>
      <c r="C5561" s="5" t="s">
        <v>38795</v>
      </c>
      <c r="D5561" s="246" t="s">
        <v>68</v>
      </c>
      <c r="E5561" s="5" t="s">
        <v>38796</v>
      </c>
      <c r="F5561" s="26" t="s">
        <v>38347</v>
      </c>
      <c r="G5561" s="27" t="s">
        <v>13475</v>
      </c>
      <c r="H5561" s="28" t="s">
        <v>13476</v>
      </c>
      <c r="I5561" s="5" t="s">
        <v>1572</v>
      </c>
    </row>
    <row r="5562" spans="1:9" ht="51.75" customHeight="1">
      <c r="A5562" s="5" t="s">
        <v>26244</v>
      </c>
      <c r="B5562" s="5" t="s">
        <v>38797</v>
      </c>
      <c r="C5562" s="5" t="s">
        <v>38795</v>
      </c>
      <c r="D5562" s="246" t="s">
        <v>68</v>
      </c>
      <c r="E5562" s="5" t="s">
        <v>38798</v>
      </c>
      <c r="F5562" s="26" t="s">
        <v>23600</v>
      </c>
      <c r="G5562" s="27" t="s">
        <v>13475</v>
      </c>
      <c r="H5562" s="28" t="s">
        <v>13476</v>
      </c>
      <c r="I5562" s="5" t="s">
        <v>1572</v>
      </c>
    </row>
    <row r="5563" spans="1:9" ht="51.75" customHeight="1">
      <c r="A5563" s="5" t="s">
        <v>26265</v>
      </c>
      <c r="B5563" s="5" t="s">
        <v>38799</v>
      </c>
      <c r="C5563" s="5" t="s">
        <v>38800</v>
      </c>
      <c r="D5563" s="246">
        <v>43082</v>
      </c>
      <c r="E5563" s="5" t="s">
        <v>38801</v>
      </c>
      <c r="F5563" s="26" t="s">
        <v>38347</v>
      </c>
      <c r="G5563" s="27" t="s">
        <v>13475</v>
      </c>
      <c r="H5563" s="28" t="s">
        <v>13476</v>
      </c>
      <c r="I5563" s="5" t="s">
        <v>1572</v>
      </c>
    </row>
    <row r="5564" spans="1:9" ht="51.75" customHeight="1">
      <c r="A5564" s="5" t="s">
        <v>26265</v>
      </c>
      <c r="B5564" s="5" t="s">
        <v>38802</v>
      </c>
      <c r="C5564" s="5" t="s">
        <v>38800</v>
      </c>
      <c r="D5564" s="246">
        <v>43082</v>
      </c>
      <c r="E5564" s="5" t="s">
        <v>38803</v>
      </c>
      <c r="F5564" s="26" t="s">
        <v>23600</v>
      </c>
      <c r="G5564" s="27" t="s">
        <v>13475</v>
      </c>
      <c r="H5564" s="28" t="s">
        <v>13476</v>
      </c>
      <c r="I5564" s="5" t="s">
        <v>1572</v>
      </c>
    </row>
    <row r="5565" spans="1:9" ht="51.75" customHeight="1">
      <c r="A5565" s="5" t="s">
        <v>29772</v>
      </c>
      <c r="B5565" s="5" t="s">
        <v>38804</v>
      </c>
      <c r="C5565" s="5" t="s">
        <v>38805</v>
      </c>
      <c r="D5565" s="246">
        <v>43193</v>
      </c>
      <c r="E5565" s="5" t="s">
        <v>38806</v>
      </c>
      <c r="F5565" s="26" t="s">
        <v>23600</v>
      </c>
      <c r="G5565" s="27" t="s">
        <v>13545</v>
      </c>
      <c r="H5565" s="28" t="s">
        <v>13546</v>
      </c>
      <c r="I5565" s="5" t="s">
        <v>1572</v>
      </c>
    </row>
    <row r="5566" spans="1:9" ht="51.75" customHeight="1">
      <c r="A5566" s="5" t="s">
        <v>29772</v>
      </c>
      <c r="B5566" s="5" t="s">
        <v>38807</v>
      </c>
      <c r="C5566" s="5" t="s">
        <v>38805</v>
      </c>
      <c r="D5566" s="246">
        <v>43193</v>
      </c>
      <c r="E5566" s="5" t="s">
        <v>38808</v>
      </c>
      <c r="F5566" s="26" t="s">
        <v>38347</v>
      </c>
      <c r="G5566" s="27" t="s">
        <v>13545</v>
      </c>
      <c r="H5566" s="28" t="s">
        <v>13546</v>
      </c>
      <c r="I5566" s="5" t="s">
        <v>1572</v>
      </c>
    </row>
    <row r="5567" spans="1:9" ht="51.75" customHeight="1">
      <c r="A5567" s="5" t="s">
        <v>26443</v>
      </c>
      <c r="B5567" s="5" t="s">
        <v>38809</v>
      </c>
      <c r="C5567" s="5" t="s">
        <v>38810</v>
      </c>
      <c r="D5567" s="246">
        <v>43202</v>
      </c>
      <c r="E5567" s="5" t="s">
        <v>38811</v>
      </c>
      <c r="F5567" s="26" t="s">
        <v>38347</v>
      </c>
      <c r="G5567" s="27" t="s">
        <v>13567</v>
      </c>
      <c r="H5567" s="28" t="s">
        <v>13568</v>
      </c>
      <c r="I5567" s="5" t="s">
        <v>1572</v>
      </c>
    </row>
    <row r="5568" spans="1:9" ht="51.75" customHeight="1">
      <c r="A5568" s="5" t="s">
        <v>26443</v>
      </c>
      <c r="B5568" s="5" t="s">
        <v>38812</v>
      </c>
      <c r="C5568" s="5" t="s">
        <v>38810</v>
      </c>
      <c r="D5568" s="246">
        <v>43202</v>
      </c>
      <c r="E5568" s="5" t="s">
        <v>38813</v>
      </c>
      <c r="F5568" s="26" t="s">
        <v>23600</v>
      </c>
      <c r="G5568" s="27" t="s">
        <v>13567</v>
      </c>
      <c r="H5568" s="28" t="s">
        <v>13568</v>
      </c>
      <c r="I5568" s="5" t="s">
        <v>1572</v>
      </c>
    </row>
    <row r="5569" spans="1:9" ht="51.75" customHeight="1">
      <c r="A5569" s="5" t="s">
        <v>25631</v>
      </c>
      <c r="B5569" s="5" t="s">
        <v>38814</v>
      </c>
      <c r="C5569" s="5" t="s">
        <v>38815</v>
      </c>
      <c r="D5569" s="246">
        <v>43202</v>
      </c>
      <c r="E5569" s="5" t="s">
        <v>38816</v>
      </c>
      <c r="F5569" s="26" t="s">
        <v>38347</v>
      </c>
      <c r="G5569" s="27" t="s">
        <v>13567</v>
      </c>
      <c r="H5569" s="28" t="s">
        <v>13568</v>
      </c>
      <c r="I5569" s="5" t="s">
        <v>1572</v>
      </c>
    </row>
    <row r="5570" spans="1:9" ht="51.75" customHeight="1">
      <c r="A5570" s="5" t="s">
        <v>25631</v>
      </c>
      <c r="B5570" s="5" t="s">
        <v>38817</v>
      </c>
      <c r="C5570" s="5" t="s">
        <v>38815</v>
      </c>
      <c r="D5570" s="246">
        <v>43202</v>
      </c>
      <c r="E5570" s="5" t="s">
        <v>38818</v>
      </c>
      <c r="F5570" s="26" t="s">
        <v>23600</v>
      </c>
      <c r="G5570" s="27" t="s">
        <v>13567</v>
      </c>
      <c r="H5570" s="28" t="s">
        <v>13568</v>
      </c>
      <c r="I5570" s="5" t="s">
        <v>1572</v>
      </c>
    </row>
    <row r="5571" spans="1:9" ht="51.75" customHeight="1">
      <c r="A5571" s="5" t="s">
        <v>38819</v>
      </c>
      <c r="B5571" s="5" t="s">
        <v>38820</v>
      </c>
      <c r="C5571" s="5" t="s">
        <v>38810</v>
      </c>
      <c r="D5571" s="246">
        <v>43202</v>
      </c>
      <c r="E5571" s="5" t="s">
        <v>38821</v>
      </c>
      <c r="F5571" s="26" t="s">
        <v>38347</v>
      </c>
      <c r="G5571" s="27" t="s">
        <v>13567</v>
      </c>
      <c r="H5571" s="28" t="s">
        <v>13568</v>
      </c>
      <c r="I5571" s="5" t="s">
        <v>1572</v>
      </c>
    </row>
    <row r="5572" spans="1:9" ht="51.75" customHeight="1">
      <c r="A5572" s="5" t="s">
        <v>38819</v>
      </c>
      <c r="B5572" s="5" t="s">
        <v>38822</v>
      </c>
      <c r="C5572" s="5" t="s">
        <v>38810</v>
      </c>
      <c r="D5572" s="246">
        <v>43202</v>
      </c>
      <c r="E5572" s="5" t="s">
        <v>38823</v>
      </c>
      <c r="F5572" s="26" t="s">
        <v>23600</v>
      </c>
      <c r="G5572" s="27" t="s">
        <v>13567</v>
      </c>
      <c r="H5572" s="28" t="s">
        <v>13568</v>
      </c>
      <c r="I5572" s="5" t="s">
        <v>1572</v>
      </c>
    </row>
    <row r="5573" spans="1:9" ht="51.75" customHeight="1">
      <c r="A5573" s="5" t="s">
        <v>25565</v>
      </c>
      <c r="B5573" s="5" t="s">
        <v>38824</v>
      </c>
      <c r="C5573" s="5" t="s">
        <v>38815</v>
      </c>
      <c r="D5573" s="246">
        <v>43202</v>
      </c>
      <c r="E5573" s="5" t="s">
        <v>38825</v>
      </c>
      <c r="F5573" s="26" t="s">
        <v>38347</v>
      </c>
      <c r="G5573" s="27" t="s">
        <v>13567</v>
      </c>
      <c r="H5573" s="28" t="s">
        <v>13568</v>
      </c>
      <c r="I5573" s="5" t="s">
        <v>1572</v>
      </c>
    </row>
    <row r="5574" spans="1:9" ht="51.75" customHeight="1">
      <c r="A5574" s="5" t="s">
        <v>25565</v>
      </c>
      <c r="B5574" s="5" t="s">
        <v>38826</v>
      </c>
      <c r="C5574" s="5" t="s">
        <v>38815</v>
      </c>
      <c r="D5574" s="246">
        <v>43202</v>
      </c>
      <c r="E5574" s="5" t="s">
        <v>38827</v>
      </c>
      <c r="F5574" s="26" t="s">
        <v>23600</v>
      </c>
      <c r="G5574" s="27" t="s">
        <v>13567</v>
      </c>
      <c r="H5574" s="28" t="s">
        <v>13568</v>
      </c>
      <c r="I5574" s="5" t="s">
        <v>1572</v>
      </c>
    </row>
    <row r="5575" spans="1:9" ht="51.75" customHeight="1">
      <c r="A5575" s="5" t="s">
        <v>27392</v>
      </c>
      <c r="B5575" s="5" t="s">
        <v>38828</v>
      </c>
      <c r="C5575" s="5" t="s">
        <v>38829</v>
      </c>
      <c r="D5575" s="246">
        <v>43236</v>
      </c>
      <c r="E5575" s="5" t="s">
        <v>38830</v>
      </c>
      <c r="F5575" s="26" t="s">
        <v>38347</v>
      </c>
      <c r="G5575" s="27" t="s">
        <v>13660</v>
      </c>
      <c r="H5575" s="28" t="s">
        <v>13661</v>
      </c>
      <c r="I5575" s="5" t="s">
        <v>1572</v>
      </c>
    </row>
    <row r="5576" spans="1:9" ht="51.75" customHeight="1">
      <c r="A5576" s="5" t="s">
        <v>27392</v>
      </c>
      <c r="B5576" s="5" t="s">
        <v>38831</v>
      </c>
      <c r="C5576" s="5" t="s">
        <v>38829</v>
      </c>
      <c r="D5576" s="246">
        <v>43236</v>
      </c>
      <c r="E5576" s="5" t="s">
        <v>38832</v>
      </c>
      <c r="F5576" s="26" t="s">
        <v>23600</v>
      </c>
      <c r="G5576" s="27" t="s">
        <v>13660</v>
      </c>
      <c r="H5576" s="28" t="s">
        <v>13661</v>
      </c>
      <c r="I5576" s="5" t="s">
        <v>1572</v>
      </c>
    </row>
    <row r="5577" spans="1:9" ht="51.75" customHeight="1">
      <c r="A5577" s="5" t="s">
        <v>26756</v>
      </c>
      <c r="B5577" s="5" t="s">
        <v>38833</v>
      </c>
      <c r="C5577" s="5" t="s">
        <v>38829</v>
      </c>
      <c r="D5577" s="246">
        <v>43236</v>
      </c>
      <c r="E5577" s="5" t="s">
        <v>38834</v>
      </c>
      <c r="F5577" s="26" t="s">
        <v>38347</v>
      </c>
      <c r="G5577" s="27" t="s">
        <v>13660</v>
      </c>
      <c r="H5577" s="28" t="s">
        <v>13661</v>
      </c>
      <c r="I5577" s="5" t="s">
        <v>1572</v>
      </c>
    </row>
    <row r="5578" spans="1:9" ht="51.75" customHeight="1">
      <c r="A5578" s="5" t="s">
        <v>26756</v>
      </c>
      <c r="B5578" s="5" t="s">
        <v>38835</v>
      </c>
      <c r="C5578" s="5" t="s">
        <v>38829</v>
      </c>
      <c r="D5578" s="246">
        <v>43236</v>
      </c>
      <c r="E5578" s="5" t="s">
        <v>38836</v>
      </c>
      <c r="F5578" s="26" t="s">
        <v>23600</v>
      </c>
      <c r="G5578" s="27" t="s">
        <v>13660</v>
      </c>
      <c r="H5578" s="28" t="s">
        <v>13661</v>
      </c>
      <c r="I5578" s="5" t="s">
        <v>1572</v>
      </c>
    </row>
    <row r="5579" spans="1:9" ht="51.75" customHeight="1">
      <c r="A5579" s="5" t="s">
        <v>24299</v>
      </c>
      <c r="B5579" s="5" t="s">
        <v>38837</v>
      </c>
      <c r="C5579" s="5" t="s">
        <v>38838</v>
      </c>
      <c r="D5579" s="246">
        <v>43235</v>
      </c>
      <c r="E5579" s="5" t="s">
        <v>38839</v>
      </c>
      <c r="F5579" s="26" t="s">
        <v>38347</v>
      </c>
      <c r="G5579" s="27" t="s">
        <v>13683</v>
      </c>
      <c r="H5579" s="28" t="s">
        <v>13684</v>
      </c>
      <c r="I5579" s="5" t="s">
        <v>1572</v>
      </c>
    </row>
    <row r="5580" spans="1:9" ht="51.75" customHeight="1">
      <c r="A5580" s="5" t="s">
        <v>24299</v>
      </c>
      <c r="B5580" s="5" t="s">
        <v>38840</v>
      </c>
      <c r="C5580" s="5" t="s">
        <v>38838</v>
      </c>
      <c r="D5580" s="246">
        <v>43235</v>
      </c>
      <c r="E5580" s="5" t="s">
        <v>38841</v>
      </c>
      <c r="F5580" s="26" t="s">
        <v>23600</v>
      </c>
      <c r="G5580" s="27" t="s">
        <v>13683</v>
      </c>
      <c r="H5580" s="28" t="s">
        <v>13684</v>
      </c>
      <c r="I5580" s="5" t="s">
        <v>1572</v>
      </c>
    </row>
    <row r="5581" spans="1:9" ht="51.75" customHeight="1">
      <c r="A5581" s="5" t="s">
        <v>24307</v>
      </c>
      <c r="B5581" s="5" t="s">
        <v>38842</v>
      </c>
      <c r="C5581" s="5" t="s">
        <v>38843</v>
      </c>
      <c r="D5581" s="246">
        <v>43235</v>
      </c>
      <c r="E5581" s="5" t="s">
        <v>38844</v>
      </c>
      <c r="F5581" s="26" t="s">
        <v>38347</v>
      </c>
      <c r="G5581" s="27" t="s">
        <v>13683</v>
      </c>
      <c r="H5581" s="28" t="s">
        <v>13684</v>
      </c>
      <c r="I5581" s="5" t="s">
        <v>1572</v>
      </c>
    </row>
    <row r="5582" spans="1:9" ht="51.75" customHeight="1">
      <c r="A5582" s="5" t="s">
        <v>24307</v>
      </c>
      <c r="B5582" s="5" t="s">
        <v>38845</v>
      </c>
      <c r="C5582" s="5" t="s">
        <v>38843</v>
      </c>
      <c r="D5582" s="246">
        <v>43235</v>
      </c>
      <c r="E5582" s="5" t="s">
        <v>38846</v>
      </c>
      <c r="F5582" s="26" t="s">
        <v>23600</v>
      </c>
      <c r="G5582" s="27" t="s">
        <v>13683</v>
      </c>
      <c r="H5582" s="28" t="s">
        <v>13684</v>
      </c>
      <c r="I5582" s="5" t="s">
        <v>1572</v>
      </c>
    </row>
    <row r="5583" spans="1:9" ht="51.75" customHeight="1">
      <c r="A5583" s="5" t="s">
        <v>27164</v>
      </c>
      <c r="B5583" s="5" t="s">
        <v>38847</v>
      </c>
      <c r="C5583" s="5" t="s">
        <v>38848</v>
      </c>
      <c r="D5583" s="246">
        <v>43257</v>
      </c>
      <c r="E5583" s="5" t="s">
        <v>38849</v>
      </c>
      <c r="F5583" s="26" t="s">
        <v>38347</v>
      </c>
      <c r="G5583" s="27" t="s">
        <v>13717</v>
      </c>
      <c r="H5583" s="28" t="s">
        <v>13718</v>
      </c>
      <c r="I5583" s="5" t="s">
        <v>1572</v>
      </c>
    </row>
    <row r="5584" spans="1:9" ht="51.75" customHeight="1">
      <c r="A5584" s="5" t="s">
        <v>27164</v>
      </c>
      <c r="B5584" s="5" t="s">
        <v>38850</v>
      </c>
      <c r="C5584" s="5" t="s">
        <v>38848</v>
      </c>
      <c r="D5584" s="246">
        <v>43257</v>
      </c>
      <c r="E5584" s="5" t="s">
        <v>38851</v>
      </c>
      <c r="F5584" s="26" t="s">
        <v>23600</v>
      </c>
      <c r="G5584" s="27" t="s">
        <v>13717</v>
      </c>
      <c r="H5584" s="28" t="s">
        <v>13718</v>
      </c>
      <c r="I5584" s="5" t="s">
        <v>1572</v>
      </c>
    </row>
    <row r="5585" spans="1:9" ht="51.75" customHeight="1">
      <c r="A5585" s="5" t="s">
        <v>27171</v>
      </c>
      <c r="B5585" s="5" t="s">
        <v>38852</v>
      </c>
      <c r="C5585" s="5" t="s">
        <v>38853</v>
      </c>
      <c r="D5585" s="246">
        <v>43257</v>
      </c>
      <c r="E5585" s="5" t="s">
        <v>38854</v>
      </c>
      <c r="F5585" s="26" t="s">
        <v>38347</v>
      </c>
      <c r="G5585" s="27" t="s">
        <v>13727</v>
      </c>
      <c r="H5585" s="28" t="s">
        <v>13728</v>
      </c>
      <c r="I5585" s="5" t="s">
        <v>1572</v>
      </c>
    </row>
    <row r="5586" spans="1:9" ht="51.75" customHeight="1">
      <c r="A5586" s="5" t="s">
        <v>27171</v>
      </c>
      <c r="B5586" s="5" t="s">
        <v>38855</v>
      </c>
      <c r="C5586" s="5" t="s">
        <v>38853</v>
      </c>
      <c r="D5586" s="246">
        <v>43257</v>
      </c>
      <c r="E5586" s="5" t="s">
        <v>38856</v>
      </c>
      <c r="F5586" s="26" t="s">
        <v>23600</v>
      </c>
      <c r="G5586" s="27" t="s">
        <v>13727</v>
      </c>
      <c r="H5586" s="28" t="s">
        <v>13728</v>
      </c>
      <c r="I5586" s="5" t="s">
        <v>1572</v>
      </c>
    </row>
    <row r="5587" spans="1:9" ht="51.75" customHeight="1">
      <c r="A5587" s="5" t="s">
        <v>26733</v>
      </c>
      <c r="B5587" s="5" t="s">
        <v>38857</v>
      </c>
      <c r="C5587" s="5" t="s">
        <v>38858</v>
      </c>
      <c r="D5587" s="246">
        <v>43292</v>
      </c>
      <c r="E5587" s="5" t="s">
        <v>38859</v>
      </c>
      <c r="F5587" s="26" t="s">
        <v>38347</v>
      </c>
      <c r="G5587" s="27" t="s">
        <v>13845</v>
      </c>
      <c r="H5587" s="28" t="s">
        <v>13846</v>
      </c>
      <c r="I5587" s="5" t="s">
        <v>1572</v>
      </c>
    </row>
    <row r="5588" spans="1:9" ht="51.75" customHeight="1">
      <c r="A5588" s="5" t="s">
        <v>26733</v>
      </c>
      <c r="B5588" s="5" t="s">
        <v>38860</v>
      </c>
      <c r="C5588" s="5" t="s">
        <v>38858</v>
      </c>
      <c r="D5588" s="246">
        <v>43292</v>
      </c>
      <c r="E5588" s="5" t="s">
        <v>38861</v>
      </c>
      <c r="F5588" s="26" t="s">
        <v>23600</v>
      </c>
      <c r="G5588" s="27" t="s">
        <v>13845</v>
      </c>
      <c r="H5588" s="28" t="s">
        <v>13846</v>
      </c>
      <c r="I5588" s="5" t="s">
        <v>1572</v>
      </c>
    </row>
    <row r="5589" spans="1:9" ht="51.75" customHeight="1">
      <c r="A5589" s="5" t="s">
        <v>38862</v>
      </c>
      <c r="B5589" s="5" t="s">
        <v>38863</v>
      </c>
      <c r="C5589" s="5" t="s">
        <v>38864</v>
      </c>
      <c r="D5589" s="246">
        <v>43335</v>
      </c>
      <c r="E5589" s="5" t="s">
        <v>38865</v>
      </c>
      <c r="F5589" s="26" t="s">
        <v>38347</v>
      </c>
      <c r="G5589" s="27" t="s">
        <v>14065</v>
      </c>
      <c r="H5589" s="28" t="s">
        <v>14066</v>
      </c>
      <c r="I5589" s="5" t="s">
        <v>1572</v>
      </c>
    </row>
    <row r="5590" spans="1:9" ht="51.75" customHeight="1">
      <c r="A5590" s="5" t="s">
        <v>38862</v>
      </c>
      <c r="B5590" s="5" t="s">
        <v>38866</v>
      </c>
      <c r="C5590" s="5" t="s">
        <v>38864</v>
      </c>
      <c r="D5590" s="246">
        <v>43335</v>
      </c>
      <c r="E5590" s="5" t="s">
        <v>38867</v>
      </c>
      <c r="F5590" s="26" t="s">
        <v>23600</v>
      </c>
      <c r="G5590" s="27" t="s">
        <v>14065</v>
      </c>
      <c r="H5590" s="28" t="s">
        <v>14066</v>
      </c>
      <c r="I5590" s="5" t="s">
        <v>1572</v>
      </c>
    </row>
    <row r="5591" spans="1:9" ht="51.75" customHeight="1">
      <c r="A5591" s="5" t="s">
        <v>37941</v>
      </c>
      <c r="B5591" s="5" t="s">
        <v>38868</v>
      </c>
      <c r="C5591" s="5" t="s">
        <v>38869</v>
      </c>
      <c r="D5591" s="246">
        <v>43355</v>
      </c>
      <c r="E5591" s="5" t="s">
        <v>38870</v>
      </c>
      <c r="F5591" s="26" t="s">
        <v>38347</v>
      </c>
      <c r="G5591" s="27" t="s">
        <v>14113</v>
      </c>
      <c r="H5591" s="28" t="s">
        <v>14114</v>
      </c>
      <c r="I5591" s="5" t="s">
        <v>1572</v>
      </c>
    </row>
    <row r="5592" spans="1:9" ht="51.75" customHeight="1">
      <c r="A5592" s="5" t="s">
        <v>37941</v>
      </c>
      <c r="B5592" s="5" t="s">
        <v>38871</v>
      </c>
      <c r="C5592" s="5" t="s">
        <v>38869</v>
      </c>
      <c r="D5592" s="246">
        <v>43355</v>
      </c>
      <c r="E5592" s="5" t="s">
        <v>38872</v>
      </c>
      <c r="F5592" s="26" t="s">
        <v>23600</v>
      </c>
      <c r="G5592" s="27" t="s">
        <v>14113</v>
      </c>
      <c r="H5592" s="28" t="s">
        <v>14114</v>
      </c>
      <c r="I5592" s="5" t="s">
        <v>1572</v>
      </c>
    </row>
    <row r="5593" spans="1:9" ht="51.75" customHeight="1">
      <c r="A5593" s="5" t="s">
        <v>24729</v>
      </c>
      <c r="B5593" s="5" t="s">
        <v>38873</v>
      </c>
      <c r="C5593" s="5" t="s">
        <v>38874</v>
      </c>
      <c r="D5593" s="246">
        <v>43357</v>
      </c>
      <c r="E5593" s="5" t="s">
        <v>38875</v>
      </c>
      <c r="F5593" s="26" t="s">
        <v>38347</v>
      </c>
      <c r="G5593" s="27" t="s">
        <v>14142</v>
      </c>
      <c r="H5593" s="28" t="s">
        <v>14143</v>
      </c>
      <c r="I5593" s="5" t="s">
        <v>1572</v>
      </c>
    </row>
    <row r="5594" spans="1:9" ht="51.75" customHeight="1">
      <c r="A5594" s="5" t="s">
        <v>24729</v>
      </c>
      <c r="B5594" s="5" t="s">
        <v>38876</v>
      </c>
      <c r="C5594" s="5" t="s">
        <v>38874</v>
      </c>
      <c r="D5594" s="246">
        <v>43357</v>
      </c>
      <c r="E5594" s="5" t="s">
        <v>38877</v>
      </c>
      <c r="F5594" s="26" t="s">
        <v>23600</v>
      </c>
      <c r="G5594" s="27" t="s">
        <v>14142</v>
      </c>
      <c r="H5594" s="28" t="s">
        <v>14143</v>
      </c>
      <c r="I5594" s="5" t="s">
        <v>1572</v>
      </c>
    </row>
    <row r="5595" spans="1:9" ht="51.75" customHeight="1">
      <c r="A5595" s="5" t="s">
        <v>24733</v>
      </c>
      <c r="B5595" s="5" t="s">
        <v>38878</v>
      </c>
      <c r="C5595" s="5" t="s">
        <v>38879</v>
      </c>
      <c r="D5595" s="246">
        <v>43357</v>
      </c>
      <c r="E5595" s="5" t="s">
        <v>38880</v>
      </c>
      <c r="F5595" s="26" t="s">
        <v>38347</v>
      </c>
      <c r="G5595" s="27" t="s">
        <v>14142</v>
      </c>
      <c r="H5595" s="28" t="s">
        <v>14143</v>
      </c>
      <c r="I5595" s="5" t="s">
        <v>1572</v>
      </c>
    </row>
    <row r="5596" spans="1:9" ht="51.75" customHeight="1">
      <c r="A5596" s="5" t="s">
        <v>24733</v>
      </c>
      <c r="B5596" s="5" t="s">
        <v>38881</v>
      </c>
      <c r="C5596" s="5" t="s">
        <v>38879</v>
      </c>
      <c r="D5596" s="246">
        <v>43357</v>
      </c>
      <c r="E5596" s="5" t="s">
        <v>38882</v>
      </c>
      <c r="F5596" s="26" t="s">
        <v>23600</v>
      </c>
      <c r="G5596" s="27" t="s">
        <v>14142</v>
      </c>
      <c r="H5596" s="28" t="s">
        <v>14143</v>
      </c>
      <c r="I5596" s="5" t="s">
        <v>1572</v>
      </c>
    </row>
    <row r="5597" spans="1:9" ht="51.75" customHeight="1">
      <c r="A5597" s="5" t="s">
        <v>24741</v>
      </c>
      <c r="B5597" s="5" t="s">
        <v>38883</v>
      </c>
      <c r="C5597" s="5" t="s">
        <v>38884</v>
      </c>
      <c r="D5597" s="246">
        <v>43357</v>
      </c>
      <c r="E5597" s="5" t="s">
        <v>38885</v>
      </c>
      <c r="F5597" s="26" t="s">
        <v>38347</v>
      </c>
      <c r="G5597" s="27" t="s">
        <v>14142</v>
      </c>
      <c r="H5597" s="28" t="s">
        <v>14143</v>
      </c>
      <c r="I5597" s="5" t="s">
        <v>1572</v>
      </c>
    </row>
    <row r="5598" spans="1:9" ht="51.75" customHeight="1">
      <c r="A5598" s="5" t="s">
        <v>24741</v>
      </c>
      <c r="B5598" s="5" t="s">
        <v>38886</v>
      </c>
      <c r="C5598" s="5" t="s">
        <v>38884</v>
      </c>
      <c r="D5598" s="246">
        <v>43357</v>
      </c>
      <c r="E5598" s="5" t="s">
        <v>38887</v>
      </c>
      <c r="F5598" s="26" t="s">
        <v>23600</v>
      </c>
      <c r="G5598" s="27" t="s">
        <v>14142</v>
      </c>
      <c r="H5598" s="28" t="s">
        <v>14143</v>
      </c>
      <c r="I5598" s="5" t="s">
        <v>1572</v>
      </c>
    </row>
    <row r="5599" spans="1:9" ht="51.75" customHeight="1">
      <c r="A5599" s="5" t="s">
        <v>37878</v>
      </c>
      <c r="B5599" s="5" t="s">
        <v>38888</v>
      </c>
      <c r="C5599" s="5" t="s">
        <v>38889</v>
      </c>
      <c r="D5599" s="246">
        <v>43428</v>
      </c>
      <c r="E5599" s="5" t="s">
        <v>38890</v>
      </c>
      <c r="F5599" s="26" t="s">
        <v>38347</v>
      </c>
      <c r="G5599" s="27" t="s">
        <v>14300</v>
      </c>
      <c r="H5599" s="28" t="s">
        <v>14301</v>
      </c>
      <c r="I5599" s="5" t="s">
        <v>1572</v>
      </c>
    </row>
    <row r="5600" spans="1:9" ht="51.75" customHeight="1">
      <c r="A5600" s="5" t="s">
        <v>37878</v>
      </c>
      <c r="B5600" s="5" t="s">
        <v>38891</v>
      </c>
      <c r="C5600" s="5" t="s">
        <v>38889</v>
      </c>
      <c r="D5600" s="246">
        <v>43428</v>
      </c>
      <c r="E5600" s="5" t="s">
        <v>38892</v>
      </c>
      <c r="F5600" s="26" t="s">
        <v>23600</v>
      </c>
      <c r="G5600" s="27" t="s">
        <v>14300</v>
      </c>
      <c r="H5600" s="28" t="s">
        <v>14301</v>
      </c>
      <c r="I5600" s="5" t="s">
        <v>1572</v>
      </c>
    </row>
    <row r="5601" spans="1:9" ht="51.75" customHeight="1">
      <c r="A5601" s="5" t="s">
        <v>37890</v>
      </c>
      <c r="B5601" s="5" t="s">
        <v>38893</v>
      </c>
      <c r="C5601" s="5" t="s">
        <v>38889</v>
      </c>
      <c r="D5601" s="246">
        <v>43428</v>
      </c>
      <c r="E5601" s="5" t="s">
        <v>38894</v>
      </c>
      <c r="F5601" s="26" t="s">
        <v>38347</v>
      </c>
      <c r="G5601" s="27" t="s">
        <v>14300</v>
      </c>
      <c r="H5601" s="28" t="s">
        <v>14301</v>
      </c>
      <c r="I5601" s="5" t="s">
        <v>1572</v>
      </c>
    </row>
    <row r="5602" spans="1:9" ht="51.75" customHeight="1">
      <c r="A5602" s="5" t="s">
        <v>37890</v>
      </c>
      <c r="B5602" s="5" t="s">
        <v>38895</v>
      </c>
      <c r="C5602" s="5" t="s">
        <v>38889</v>
      </c>
      <c r="D5602" s="246">
        <v>43428</v>
      </c>
      <c r="E5602" s="5" t="s">
        <v>38896</v>
      </c>
      <c r="F5602" s="26" t="s">
        <v>23600</v>
      </c>
      <c r="G5602" s="27" t="s">
        <v>14300</v>
      </c>
      <c r="H5602" s="28" t="s">
        <v>14301</v>
      </c>
      <c r="I5602" s="5" t="s">
        <v>1572</v>
      </c>
    </row>
    <row r="5603" spans="1:9" ht="51.75" customHeight="1">
      <c r="A5603" s="5" t="s">
        <v>37830</v>
      </c>
      <c r="B5603" s="5" t="s">
        <v>38897</v>
      </c>
      <c r="C5603" s="5" t="s">
        <v>38898</v>
      </c>
      <c r="D5603" s="246">
        <v>43391</v>
      </c>
      <c r="E5603" s="5" t="s">
        <v>38899</v>
      </c>
      <c r="F5603" s="26" t="s">
        <v>38347</v>
      </c>
      <c r="G5603" s="27" t="s">
        <v>14312</v>
      </c>
      <c r="H5603" s="28" t="s">
        <v>14313</v>
      </c>
      <c r="I5603" s="5" t="s">
        <v>1572</v>
      </c>
    </row>
    <row r="5604" spans="1:9" ht="51.75" customHeight="1">
      <c r="A5604" s="5" t="s">
        <v>37830</v>
      </c>
      <c r="B5604" s="5" t="s">
        <v>38900</v>
      </c>
      <c r="C5604" s="5" t="s">
        <v>38898</v>
      </c>
      <c r="D5604" s="246">
        <v>43391</v>
      </c>
      <c r="E5604" s="5" t="s">
        <v>38901</v>
      </c>
      <c r="F5604" s="26" t="s">
        <v>23600</v>
      </c>
      <c r="G5604" s="27" t="s">
        <v>14312</v>
      </c>
      <c r="H5604" s="28" t="s">
        <v>14313</v>
      </c>
      <c r="I5604" s="5" t="s">
        <v>1572</v>
      </c>
    </row>
    <row r="5605" spans="1:9" ht="51.75" customHeight="1">
      <c r="A5605" s="5" t="s">
        <v>37838</v>
      </c>
      <c r="B5605" s="5" t="s">
        <v>38902</v>
      </c>
      <c r="C5605" s="5" t="s">
        <v>38903</v>
      </c>
      <c r="D5605" s="246">
        <v>43391</v>
      </c>
      <c r="E5605" s="5" t="s">
        <v>38904</v>
      </c>
      <c r="F5605" s="26" t="s">
        <v>38347</v>
      </c>
      <c r="G5605" s="27" t="s">
        <v>14312</v>
      </c>
      <c r="H5605" s="28" t="s">
        <v>14313</v>
      </c>
      <c r="I5605" s="5" t="s">
        <v>1572</v>
      </c>
    </row>
    <row r="5606" spans="1:9" ht="51.75" customHeight="1">
      <c r="A5606" s="5" t="s">
        <v>37838</v>
      </c>
      <c r="B5606" s="5" t="s">
        <v>38905</v>
      </c>
      <c r="C5606" s="5" t="s">
        <v>38903</v>
      </c>
      <c r="D5606" s="246">
        <v>43391</v>
      </c>
      <c r="E5606" s="5" t="s">
        <v>38906</v>
      </c>
      <c r="F5606" s="26" t="s">
        <v>23600</v>
      </c>
      <c r="G5606" s="27" t="s">
        <v>14312</v>
      </c>
      <c r="H5606" s="28" t="s">
        <v>14313</v>
      </c>
      <c r="I5606" s="5" t="s">
        <v>1572</v>
      </c>
    </row>
    <row r="5607" spans="1:9" ht="51.75" customHeight="1">
      <c r="A5607" s="5" t="s">
        <v>23968</v>
      </c>
      <c r="B5607" s="5" t="s">
        <v>38907</v>
      </c>
      <c r="C5607" s="5" t="s">
        <v>38908</v>
      </c>
      <c r="D5607" s="246">
        <v>43284</v>
      </c>
      <c r="E5607" s="5" t="s">
        <v>38909</v>
      </c>
      <c r="F5607" s="26" t="s">
        <v>38347</v>
      </c>
      <c r="G5607" s="27" t="s">
        <v>14367</v>
      </c>
      <c r="H5607" s="28" t="s">
        <v>14368</v>
      </c>
      <c r="I5607" s="5" t="s">
        <v>1572</v>
      </c>
    </row>
    <row r="5608" spans="1:9" ht="51.75" customHeight="1">
      <c r="A5608" s="5" t="s">
        <v>23968</v>
      </c>
      <c r="B5608" s="5" t="s">
        <v>38910</v>
      </c>
      <c r="C5608" s="5" t="s">
        <v>38908</v>
      </c>
      <c r="D5608" s="246">
        <v>43284</v>
      </c>
      <c r="E5608" s="5" t="s">
        <v>38911</v>
      </c>
      <c r="F5608" s="26" t="s">
        <v>23600</v>
      </c>
      <c r="G5608" s="27" t="s">
        <v>14367</v>
      </c>
      <c r="H5608" s="28" t="s">
        <v>14368</v>
      </c>
      <c r="I5608" s="5" t="s">
        <v>1572</v>
      </c>
    </row>
    <row r="5609" spans="1:9" ht="51.75" customHeight="1">
      <c r="A5609" s="5" t="s">
        <v>38912</v>
      </c>
      <c r="B5609" s="5" t="s">
        <v>38913</v>
      </c>
      <c r="C5609" s="5" t="s">
        <v>38914</v>
      </c>
      <c r="D5609" s="246">
        <v>43420</v>
      </c>
      <c r="E5609" s="5" t="s">
        <v>38915</v>
      </c>
      <c r="F5609" s="26" t="s">
        <v>38347</v>
      </c>
      <c r="G5609" s="27" t="s">
        <v>14397</v>
      </c>
      <c r="H5609" s="28" t="s">
        <v>14398</v>
      </c>
      <c r="I5609" s="5" t="s">
        <v>1572</v>
      </c>
    </row>
    <row r="5610" spans="1:9" ht="51.75" customHeight="1">
      <c r="A5610" s="5" t="s">
        <v>38912</v>
      </c>
      <c r="B5610" s="5" t="s">
        <v>38916</v>
      </c>
      <c r="C5610" s="5" t="s">
        <v>38914</v>
      </c>
      <c r="D5610" s="246">
        <v>43420</v>
      </c>
      <c r="E5610" s="5" t="s">
        <v>38917</v>
      </c>
      <c r="F5610" s="26" t="s">
        <v>23600</v>
      </c>
      <c r="G5610" s="27" t="s">
        <v>14397</v>
      </c>
      <c r="H5610" s="28" t="s">
        <v>14398</v>
      </c>
      <c r="I5610" s="5" t="s">
        <v>1572</v>
      </c>
    </row>
    <row r="5611" spans="1:9" ht="51.75" customHeight="1">
      <c r="A5611" s="5" t="s">
        <v>38918</v>
      </c>
      <c r="B5611" s="5" t="s">
        <v>38919</v>
      </c>
      <c r="C5611" s="5" t="s">
        <v>38920</v>
      </c>
      <c r="D5611" s="246">
        <v>43437</v>
      </c>
      <c r="E5611" s="5" t="s">
        <v>38921</v>
      </c>
      <c r="F5611" s="26" t="s">
        <v>38347</v>
      </c>
      <c r="G5611" s="27" t="s">
        <v>14488</v>
      </c>
      <c r="H5611" s="28" t="s">
        <v>14489</v>
      </c>
      <c r="I5611" s="5" t="s">
        <v>1572</v>
      </c>
    </row>
    <row r="5612" spans="1:9" ht="51.75" customHeight="1">
      <c r="A5612" s="5" t="s">
        <v>38918</v>
      </c>
      <c r="B5612" s="5" t="s">
        <v>38922</v>
      </c>
      <c r="C5612" s="5" t="s">
        <v>38920</v>
      </c>
      <c r="D5612" s="246">
        <v>43437</v>
      </c>
      <c r="E5612" s="5" t="s">
        <v>38923</v>
      </c>
      <c r="F5612" s="26" t="s">
        <v>23600</v>
      </c>
      <c r="G5612" s="27" t="s">
        <v>14488</v>
      </c>
      <c r="H5612" s="28" t="s">
        <v>14489</v>
      </c>
      <c r="I5612" s="5" t="s">
        <v>1572</v>
      </c>
    </row>
    <row r="5613" spans="1:9" ht="51.75" customHeight="1">
      <c r="A5613" s="5" t="s">
        <v>38924</v>
      </c>
      <c r="B5613" s="5" t="s">
        <v>38925</v>
      </c>
      <c r="C5613" s="5" t="s">
        <v>38920</v>
      </c>
      <c r="D5613" s="246">
        <v>43437</v>
      </c>
      <c r="E5613" s="5" t="s">
        <v>38926</v>
      </c>
      <c r="F5613" s="26" t="s">
        <v>38347</v>
      </c>
      <c r="G5613" s="27" t="s">
        <v>14488</v>
      </c>
      <c r="H5613" s="28" t="s">
        <v>14489</v>
      </c>
      <c r="I5613" s="5" t="s">
        <v>1572</v>
      </c>
    </row>
    <row r="5614" spans="1:9" ht="51.75" customHeight="1">
      <c r="A5614" s="5" t="s">
        <v>38924</v>
      </c>
      <c r="B5614" s="5" t="s">
        <v>38927</v>
      </c>
      <c r="C5614" s="5" t="s">
        <v>38920</v>
      </c>
      <c r="D5614" s="246">
        <v>43437</v>
      </c>
      <c r="E5614" s="5" t="s">
        <v>38928</v>
      </c>
      <c r="F5614" s="26" t="s">
        <v>23600</v>
      </c>
      <c r="G5614" s="27" t="s">
        <v>14488</v>
      </c>
      <c r="H5614" s="28" t="s">
        <v>14489</v>
      </c>
      <c r="I5614" s="5" t="s">
        <v>1572</v>
      </c>
    </row>
    <row r="5615" spans="1:9" ht="51.75" customHeight="1">
      <c r="A5615" s="5" t="s">
        <v>38929</v>
      </c>
      <c r="B5615" s="5" t="s">
        <v>38930</v>
      </c>
      <c r="C5615" s="5" t="s">
        <v>38931</v>
      </c>
      <c r="D5615" s="246">
        <v>43417</v>
      </c>
      <c r="E5615" s="5" t="s">
        <v>38932</v>
      </c>
      <c r="F5615" s="26" t="s">
        <v>38347</v>
      </c>
      <c r="G5615" s="27" t="s">
        <v>14512</v>
      </c>
      <c r="H5615" s="28" t="s">
        <v>14513</v>
      </c>
      <c r="I5615" s="5" t="s">
        <v>1572</v>
      </c>
    </row>
    <row r="5616" spans="1:9" ht="51.75" customHeight="1">
      <c r="A5616" s="5" t="s">
        <v>38929</v>
      </c>
      <c r="B5616" s="5" t="s">
        <v>38933</v>
      </c>
      <c r="C5616" s="5" t="s">
        <v>38931</v>
      </c>
      <c r="D5616" s="246">
        <v>43417</v>
      </c>
      <c r="E5616" s="5" t="s">
        <v>38934</v>
      </c>
      <c r="F5616" s="26" t="s">
        <v>23600</v>
      </c>
      <c r="G5616" s="27" t="s">
        <v>14512</v>
      </c>
      <c r="H5616" s="28" t="s">
        <v>14513</v>
      </c>
      <c r="I5616" s="5" t="s">
        <v>1572</v>
      </c>
    </row>
    <row r="5617" spans="1:9" ht="51.75" customHeight="1">
      <c r="A5617" s="5" t="s">
        <v>38935</v>
      </c>
      <c r="B5617" s="5" t="s">
        <v>38936</v>
      </c>
      <c r="C5617" s="5" t="s">
        <v>38931</v>
      </c>
      <c r="D5617" s="246">
        <v>43417</v>
      </c>
      <c r="E5617" s="5" t="s">
        <v>38937</v>
      </c>
      <c r="F5617" s="26" t="s">
        <v>38347</v>
      </c>
      <c r="G5617" s="27" t="s">
        <v>14512</v>
      </c>
      <c r="H5617" s="28" t="s">
        <v>14513</v>
      </c>
      <c r="I5617" s="5" t="s">
        <v>1572</v>
      </c>
    </row>
    <row r="5618" spans="1:9" ht="51.75" customHeight="1">
      <c r="A5618" s="5" t="s">
        <v>38935</v>
      </c>
      <c r="B5618" s="5" t="s">
        <v>38938</v>
      </c>
      <c r="C5618" s="5" t="s">
        <v>38931</v>
      </c>
      <c r="D5618" s="246">
        <v>43417</v>
      </c>
      <c r="E5618" s="5" t="s">
        <v>38939</v>
      </c>
      <c r="F5618" s="26" t="s">
        <v>23600</v>
      </c>
      <c r="G5618" s="27" t="s">
        <v>14512</v>
      </c>
      <c r="H5618" s="28" t="s">
        <v>14513</v>
      </c>
      <c r="I5618" s="5" t="s">
        <v>1572</v>
      </c>
    </row>
    <row r="5619" spans="1:9" ht="51.75" customHeight="1">
      <c r="A5619" s="5" t="s">
        <v>26316</v>
      </c>
      <c r="B5619" s="5" t="s">
        <v>38940</v>
      </c>
      <c r="C5619" s="5" t="s">
        <v>38941</v>
      </c>
      <c r="D5619" s="246">
        <v>43453</v>
      </c>
      <c r="E5619" s="5" t="s">
        <v>38942</v>
      </c>
      <c r="F5619" s="26" t="s">
        <v>38347</v>
      </c>
      <c r="G5619" s="27" t="s">
        <v>14578</v>
      </c>
      <c r="H5619" s="28" t="s">
        <v>14579</v>
      </c>
      <c r="I5619" s="5" t="s">
        <v>1572</v>
      </c>
    </row>
    <row r="5620" spans="1:9" ht="51.75" customHeight="1">
      <c r="A5620" s="5" t="s">
        <v>26316</v>
      </c>
      <c r="B5620" s="5" t="s">
        <v>38943</v>
      </c>
      <c r="C5620" s="5" t="s">
        <v>38941</v>
      </c>
      <c r="D5620" s="246">
        <v>43453</v>
      </c>
      <c r="E5620" s="5" t="s">
        <v>38944</v>
      </c>
      <c r="F5620" s="26" t="s">
        <v>23600</v>
      </c>
      <c r="G5620" s="27" t="s">
        <v>14578</v>
      </c>
      <c r="H5620" s="28" t="s">
        <v>14579</v>
      </c>
      <c r="I5620" s="5" t="s">
        <v>1572</v>
      </c>
    </row>
    <row r="5621" spans="1:9" ht="51.75" customHeight="1">
      <c r="A5621" s="5" t="s">
        <v>26244</v>
      </c>
      <c r="B5621" s="5" t="s">
        <v>38945</v>
      </c>
      <c r="C5621" s="5" t="s">
        <v>38941</v>
      </c>
      <c r="D5621" s="246">
        <v>43453</v>
      </c>
      <c r="E5621" s="5" t="s">
        <v>38946</v>
      </c>
      <c r="F5621" s="26" t="s">
        <v>38347</v>
      </c>
      <c r="G5621" s="27" t="s">
        <v>14578</v>
      </c>
      <c r="H5621" s="28" t="s">
        <v>14579</v>
      </c>
      <c r="I5621" s="5" t="s">
        <v>1572</v>
      </c>
    </row>
    <row r="5622" spans="1:9" ht="51.75" customHeight="1">
      <c r="A5622" s="5" t="s">
        <v>26244</v>
      </c>
      <c r="B5622" s="5" t="s">
        <v>38947</v>
      </c>
      <c r="C5622" s="5" t="s">
        <v>38941</v>
      </c>
      <c r="D5622" s="246">
        <v>43453</v>
      </c>
      <c r="E5622" s="5" t="s">
        <v>38948</v>
      </c>
      <c r="F5622" s="26" t="s">
        <v>23600</v>
      </c>
      <c r="G5622" s="27" t="s">
        <v>14578</v>
      </c>
      <c r="H5622" s="28" t="s">
        <v>14579</v>
      </c>
      <c r="I5622" s="5" t="s">
        <v>1572</v>
      </c>
    </row>
    <row r="5623" spans="1:9" ht="51.75" customHeight="1">
      <c r="A5623" s="5" t="s">
        <v>26010</v>
      </c>
      <c r="B5623" s="5" t="s">
        <v>38949</v>
      </c>
      <c r="C5623" s="5" t="s">
        <v>38950</v>
      </c>
      <c r="D5623" s="246">
        <v>43479</v>
      </c>
      <c r="E5623" s="5" t="s">
        <v>38951</v>
      </c>
      <c r="F5623" s="26" t="s">
        <v>38347</v>
      </c>
      <c r="G5623" s="27" t="s">
        <v>14644</v>
      </c>
      <c r="H5623" s="28" t="s">
        <v>14645</v>
      </c>
      <c r="I5623" s="5" t="s">
        <v>1572</v>
      </c>
    </row>
    <row r="5624" spans="1:9" ht="51.75" customHeight="1">
      <c r="A5624" s="5" t="s">
        <v>26010</v>
      </c>
      <c r="B5624" s="5" t="s">
        <v>38952</v>
      </c>
      <c r="C5624" s="5" t="s">
        <v>38950</v>
      </c>
      <c r="D5624" s="246">
        <v>43479</v>
      </c>
      <c r="E5624" s="5" t="s">
        <v>38953</v>
      </c>
      <c r="F5624" s="26" t="s">
        <v>23600</v>
      </c>
      <c r="G5624" s="27" t="s">
        <v>14644</v>
      </c>
      <c r="H5624" s="28" t="s">
        <v>14645</v>
      </c>
      <c r="I5624" s="5" t="s">
        <v>1572</v>
      </c>
    </row>
    <row r="5625" spans="1:9" ht="51.75" customHeight="1">
      <c r="A5625" s="5" t="s">
        <v>23768</v>
      </c>
      <c r="B5625" s="5" t="s">
        <v>38954</v>
      </c>
      <c r="C5625" s="5" t="s">
        <v>38950</v>
      </c>
      <c r="D5625" s="246">
        <v>43479</v>
      </c>
      <c r="E5625" s="5" t="s">
        <v>38955</v>
      </c>
      <c r="F5625" s="26" t="s">
        <v>38347</v>
      </c>
      <c r="G5625" s="27" t="s">
        <v>14644</v>
      </c>
      <c r="H5625" s="28" t="s">
        <v>14645</v>
      </c>
      <c r="I5625" s="5" t="s">
        <v>1572</v>
      </c>
    </row>
    <row r="5626" spans="1:9" ht="51.75" customHeight="1">
      <c r="A5626" s="5" t="s">
        <v>23768</v>
      </c>
      <c r="B5626" s="5" t="s">
        <v>38956</v>
      </c>
      <c r="C5626" s="5" t="s">
        <v>38950</v>
      </c>
      <c r="D5626" s="246">
        <v>43479</v>
      </c>
      <c r="E5626" s="5" t="s">
        <v>38957</v>
      </c>
      <c r="F5626" s="26" t="s">
        <v>23600</v>
      </c>
      <c r="G5626" s="27" t="s">
        <v>14644</v>
      </c>
      <c r="H5626" s="28" t="s">
        <v>14645</v>
      </c>
      <c r="I5626" s="5" t="s">
        <v>1572</v>
      </c>
    </row>
    <row r="5627" spans="1:9" ht="51.75" customHeight="1">
      <c r="A5627" s="5" t="s">
        <v>24174</v>
      </c>
      <c r="B5627" s="5" t="s">
        <v>38958</v>
      </c>
      <c r="C5627" s="5" t="s">
        <v>38959</v>
      </c>
      <c r="D5627" s="246">
        <v>43495</v>
      </c>
      <c r="E5627" s="5" t="s">
        <v>38960</v>
      </c>
      <c r="F5627" s="26" t="s">
        <v>38347</v>
      </c>
      <c r="G5627" s="27" t="s">
        <v>14710</v>
      </c>
      <c r="H5627" s="28" t="s">
        <v>14711</v>
      </c>
      <c r="I5627" s="5" t="s">
        <v>1572</v>
      </c>
    </row>
    <row r="5628" spans="1:9" ht="51.75" customHeight="1">
      <c r="A5628" s="5" t="s">
        <v>24174</v>
      </c>
      <c r="B5628" s="5" t="s">
        <v>38961</v>
      </c>
      <c r="C5628" s="5" t="s">
        <v>38959</v>
      </c>
      <c r="D5628" s="246">
        <v>43495</v>
      </c>
      <c r="E5628" s="5" t="s">
        <v>38962</v>
      </c>
      <c r="F5628" s="26" t="s">
        <v>23600</v>
      </c>
      <c r="G5628" s="27" t="s">
        <v>14710</v>
      </c>
      <c r="H5628" s="28" t="s">
        <v>14711</v>
      </c>
      <c r="I5628" s="5" t="s">
        <v>1572</v>
      </c>
    </row>
    <row r="5629" spans="1:9" ht="51.75" customHeight="1">
      <c r="A5629" s="5" t="s">
        <v>26098</v>
      </c>
      <c r="B5629" s="5" t="s">
        <v>38963</v>
      </c>
      <c r="C5629" s="5" t="s">
        <v>38964</v>
      </c>
      <c r="D5629" s="246">
        <v>43508</v>
      </c>
      <c r="E5629" s="5" t="s">
        <v>38965</v>
      </c>
      <c r="F5629" s="26" t="s">
        <v>38347</v>
      </c>
      <c r="G5629" s="27" t="s">
        <v>14779</v>
      </c>
      <c r="H5629" s="28" t="s">
        <v>14780</v>
      </c>
      <c r="I5629" s="5" t="s">
        <v>1572</v>
      </c>
    </row>
    <row r="5630" spans="1:9" ht="51.75" customHeight="1">
      <c r="A5630" s="5" t="s">
        <v>26098</v>
      </c>
      <c r="B5630" s="5" t="s">
        <v>38966</v>
      </c>
      <c r="C5630" s="5" t="s">
        <v>38964</v>
      </c>
      <c r="D5630" s="246">
        <v>43508</v>
      </c>
      <c r="E5630" s="5" t="s">
        <v>38967</v>
      </c>
      <c r="F5630" s="26" t="s">
        <v>23600</v>
      </c>
      <c r="G5630" s="27" t="s">
        <v>14779</v>
      </c>
      <c r="H5630" s="28" t="s">
        <v>14780</v>
      </c>
      <c r="I5630" s="5" t="s">
        <v>1572</v>
      </c>
    </row>
    <row r="5631" spans="1:9" ht="51.75" customHeight="1">
      <c r="A5631" s="5" t="s">
        <v>38968</v>
      </c>
      <c r="B5631" s="5" t="s">
        <v>38969</v>
      </c>
      <c r="C5631" s="5" t="s">
        <v>38970</v>
      </c>
      <c r="D5631" s="246">
        <v>43438</v>
      </c>
      <c r="E5631" s="5" t="s">
        <v>38971</v>
      </c>
      <c r="F5631" s="26" t="s">
        <v>38347</v>
      </c>
      <c r="G5631" s="27" t="s">
        <v>14845</v>
      </c>
      <c r="H5631" s="28" t="s">
        <v>14846</v>
      </c>
      <c r="I5631" s="5" t="s">
        <v>1572</v>
      </c>
    </row>
    <row r="5632" spans="1:9" ht="51.75" customHeight="1">
      <c r="A5632" s="5" t="s">
        <v>38968</v>
      </c>
      <c r="B5632" s="5" t="s">
        <v>38972</v>
      </c>
      <c r="C5632" s="5" t="s">
        <v>38970</v>
      </c>
      <c r="D5632" s="246">
        <v>43438</v>
      </c>
      <c r="E5632" s="5" t="s">
        <v>38973</v>
      </c>
      <c r="F5632" s="26" t="s">
        <v>23600</v>
      </c>
      <c r="G5632" s="27" t="s">
        <v>14845</v>
      </c>
      <c r="H5632" s="28" t="s">
        <v>14846</v>
      </c>
      <c r="I5632" s="5" t="s">
        <v>1572</v>
      </c>
    </row>
    <row r="5633" spans="1:9" ht="51.75" customHeight="1">
      <c r="A5633" s="5" t="s">
        <v>28326</v>
      </c>
      <c r="B5633" s="5" t="s">
        <v>38974</v>
      </c>
      <c r="C5633" s="5" t="s">
        <v>38975</v>
      </c>
      <c r="D5633" s="246">
        <v>43536</v>
      </c>
      <c r="E5633" s="5" t="s">
        <v>38976</v>
      </c>
      <c r="F5633" s="26" t="s">
        <v>38347</v>
      </c>
      <c r="G5633" s="27" t="s">
        <v>14907</v>
      </c>
      <c r="H5633" s="28" t="s">
        <v>14908</v>
      </c>
      <c r="I5633" s="5" t="s">
        <v>1572</v>
      </c>
    </row>
    <row r="5634" spans="1:9" ht="51.75" customHeight="1">
      <c r="A5634" s="5" t="s">
        <v>28326</v>
      </c>
      <c r="B5634" s="5" t="s">
        <v>38977</v>
      </c>
      <c r="C5634" s="5" t="s">
        <v>38975</v>
      </c>
      <c r="D5634" s="246">
        <v>43536</v>
      </c>
      <c r="E5634" s="5" t="s">
        <v>38978</v>
      </c>
      <c r="F5634" s="26" t="s">
        <v>23600</v>
      </c>
      <c r="G5634" s="27" t="s">
        <v>14907</v>
      </c>
      <c r="H5634" s="28" t="s">
        <v>14908</v>
      </c>
      <c r="I5634" s="5" t="s">
        <v>1572</v>
      </c>
    </row>
    <row r="5635" spans="1:9" ht="51.75" customHeight="1">
      <c r="A5635" s="5" t="s">
        <v>23810</v>
      </c>
      <c r="B5635" s="5" t="s">
        <v>38979</v>
      </c>
      <c r="C5635" s="5" t="s">
        <v>38975</v>
      </c>
      <c r="D5635" s="246">
        <v>43536</v>
      </c>
      <c r="E5635" s="5" t="s">
        <v>38980</v>
      </c>
      <c r="F5635" s="26" t="s">
        <v>38347</v>
      </c>
      <c r="G5635" s="27" t="s">
        <v>14907</v>
      </c>
      <c r="H5635" s="28" t="s">
        <v>14908</v>
      </c>
      <c r="I5635" s="5" t="s">
        <v>1572</v>
      </c>
    </row>
    <row r="5636" spans="1:9" ht="51.75" customHeight="1">
      <c r="A5636" s="5" t="s">
        <v>23810</v>
      </c>
      <c r="B5636" s="5" t="s">
        <v>38981</v>
      </c>
      <c r="C5636" s="5" t="s">
        <v>38975</v>
      </c>
      <c r="D5636" s="246">
        <v>43536</v>
      </c>
      <c r="E5636" s="5" t="s">
        <v>38982</v>
      </c>
      <c r="F5636" s="26" t="s">
        <v>23600</v>
      </c>
      <c r="G5636" s="27" t="s">
        <v>14907</v>
      </c>
      <c r="H5636" s="28" t="s">
        <v>14908</v>
      </c>
      <c r="I5636" s="5" t="s">
        <v>1572</v>
      </c>
    </row>
    <row r="5637" spans="1:9" ht="51.75" customHeight="1">
      <c r="A5637" s="5" t="s">
        <v>23806</v>
      </c>
      <c r="B5637" s="5" t="s">
        <v>38983</v>
      </c>
      <c r="C5637" s="5" t="s">
        <v>38984</v>
      </c>
      <c r="D5637" s="246">
        <v>43535</v>
      </c>
      <c r="E5637" s="5" t="s">
        <v>38985</v>
      </c>
      <c r="F5637" s="26" t="s">
        <v>38347</v>
      </c>
      <c r="G5637" s="27" t="s">
        <v>14925</v>
      </c>
      <c r="H5637" s="28" t="s">
        <v>14926</v>
      </c>
      <c r="I5637" s="5" t="s">
        <v>1572</v>
      </c>
    </row>
    <row r="5638" spans="1:9" ht="51.75" customHeight="1">
      <c r="A5638" s="5" t="s">
        <v>23806</v>
      </c>
      <c r="B5638" s="5" t="s">
        <v>38986</v>
      </c>
      <c r="C5638" s="5" t="s">
        <v>38984</v>
      </c>
      <c r="D5638" s="246">
        <v>43535</v>
      </c>
      <c r="E5638" s="5" t="s">
        <v>38987</v>
      </c>
      <c r="F5638" s="26" t="s">
        <v>23600</v>
      </c>
      <c r="G5638" s="27" t="s">
        <v>14925</v>
      </c>
      <c r="H5638" s="28" t="s">
        <v>14926</v>
      </c>
      <c r="I5638" s="5" t="s">
        <v>1572</v>
      </c>
    </row>
    <row r="5639" spans="1:9" ht="51.75" customHeight="1">
      <c r="A5639" s="5" t="s">
        <v>24606</v>
      </c>
      <c r="B5639" s="5" t="s">
        <v>38988</v>
      </c>
      <c r="C5639" s="5" t="s">
        <v>38989</v>
      </c>
      <c r="D5639" s="246">
        <v>43556</v>
      </c>
      <c r="E5639" s="5" t="s">
        <v>38990</v>
      </c>
      <c r="F5639" s="26" t="s">
        <v>38347</v>
      </c>
      <c r="G5639" s="27" t="s">
        <v>14961</v>
      </c>
      <c r="H5639" s="28" t="s">
        <v>14962</v>
      </c>
      <c r="I5639" s="5" t="s">
        <v>1572</v>
      </c>
    </row>
    <row r="5640" spans="1:9" ht="51.75" customHeight="1">
      <c r="A5640" s="5" t="s">
        <v>24606</v>
      </c>
      <c r="B5640" s="5" t="s">
        <v>38991</v>
      </c>
      <c r="C5640" s="5" t="s">
        <v>38989</v>
      </c>
      <c r="D5640" s="246">
        <v>43556</v>
      </c>
      <c r="E5640" s="5" t="s">
        <v>38992</v>
      </c>
      <c r="F5640" s="26" t="s">
        <v>23600</v>
      </c>
      <c r="G5640" s="27" t="s">
        <v>14961</v>
      </c>
      <c r="H5640" s="28" t="s">
        <v>14962</v>
      </c>
      <c r="I5640" s="5" t="s">
        <v>1572</v>
      </c>
    </row>
    <row r="5641" spans="1:9" ht="51.75" customHeight="1">
      <c r="A5641" s="5" t="s">
        <v>24610</v>
      </c>
      <c r="B5641" s="5" t="s">
        <v>38993</v>
      </c>
      <c r="C5641" s="5" t="s">
        <v>38994</v>
      </c>
      <c r="D5641" s="246">
        <v>43556</v>
      </c>
      <c r="E5641" s="5" t="s">
        <v>38995</v>
      </c>
      <c r="F5641" s="26" t="s">
        <v>38347</v>
      </c>
      <c r="G5641" s="27" t="s">
        <v>14973</v>
      </c>
      <c r="H5641" s="28" t="s">
        <v>14974</v>
      </c>
      <c r="I5641" s="5" t="s">
        <v>1572</v>
      </c>
    </row>
    <row r="5642" spans="1:9" ht="51.75" customHeight="1">
      <c r="A5642" s="5" t="s">
        <v>24610</v>
      </c>
      <c r="B5642" s="5" t="s">
        <v>38996</v>
      </c>
      <c r="C5642" s="5" t="s">
        <v>38994</v>
      </c>
      <c r="D5642" s="246">
        <v>43556</v>
      </c>
      <c r="E5642" s="5" t="s">
        <v>38997</v>
      </c>
      <c r="F5642" s="26" t="s">
        <v>23600</v>
      </c>
      <c r="G5642" s="27" t="s">
        <v>14973</v>
      </c>
      <c r="H5642" s="28" t="s">
        <v>14974</v>
      </c>
      <c r="I5642" s="5" t="s">
        <v>1572</v>
      </c>
    </row>
    <row r="5643" spans="1:9" ht="51.75" customHeight="1">
      <c r="A5643" s="5" t="s">
        <v>26658</v>
      </c>
      <c r="B5643" s="5" t="s">
        <v>38998</v>
      </c>
      <c r="C5643" s="5" t="s">
        <v>38999</v>
      </c>
      <c r="D5643" s="246">
        <v>43560</v>
      </c>
      <c r="E5643" s="5" t="s">
        <v>39000</v>
      </c>
      <c r="F5643" s="26" t="s">
        <v>38347</v>
      </c>
      <c r="G5643" s="27" t="s">
        <v>15029</v>
      </c>
      <c r="H5643" s="28" t="s">
        <v>15030</v>
      </c>
      <c r="I5643" s="5" t="s">
        <v>1572</v>
      </c>
    </row>
    <row r="5644" spans="1:9" ht="51.75" customHeight="1">
      <c r="A5644" s="5" t="s">
        <v>26658</v>
      </c>
      <c r="B5644" s="5" t="s">
        <v>39001</v>
      </c>
      <c r="C5644" s="5" t="s">
        <v>38999</v>
      </c>
      <c r="D5644" s="246">
        <v>43560</v>
      </c>
      <c r="E5644" s="5" t="s">
        <v>39002</v>
      </c>
      <c r="F5644" s="26" t="s">
        <v>23600</v>
      </c>
      <c r="G5644" s="27" t="s">
        <v>15029</v>
      </c>
      <c r="H5644" s="28" t="s">
        <v>15030</v>
      </c>
      <c r="I5644" s="5" t="s">
        <v>1572</v>
      </c>
    </row>
    <row r="5645" spans="1:9" ht="51.75" customHeight="1">
      <c r="A5645" s="5" t="s">
        <v>25517</v>
      </c>
      <c r="B5645" s="5" t="s">
        <v>39003</v>
      </c>
      <c r="C5645" s="5" t="s">
        <v>39004</v>
      </c>
      <c r="D5645" s="246">
        <v>43600</v>
      </c>
      <c r="E5645" s="5" t="s">
        <v>39005</v>
      </c>
      <c r="F5645" s="26" t="s">
        <v>38347</v>
      </c>
      <c r="G5645" s="27" t="s">
        <v>15127</v>
      </c>
      <c r="H5645" s="28" t="s">
        <v>15128</v>
      </c>
      <c r="I5645" s="5" t="s">
        <v>1572</v>
      </c>
    </row>
    <row r="5646" spans="1:9" ht="51.75" customHeight="1">
      <c r="A5646" s="5" t="s">
        <v>25517</v>
      </c>
      <c r="B5646" s="5" t="s">
        <v>39006</v>
      </c>
      <c r="C5646" s="5" t="s">
        <v>39004</v>
      </c>
      <c r="D5646" s="246">
        <v>43600</v>
      </c>
      <c r="E5646" s="5" t="s">
        <v>39007</v>
      </c>
      <c r="F5646" s="26" t="s">
        <v>23600</v>
      </c>
      <c r="G5646" s="27" t="s">
        <v>15127</v>
      </c>
      <c r="H5646" s="28" t="s">
        <v>15128</v>
      </c>
      <c r="I5646" s="5" t="s">
        <v>1572</v>
      </c>
    </row>
    <row r="5647" spans="1:9" ht="51.75" customHeight="1">
      <c r="A5647" s="5" t="s">
        <v>27861</v>
      </c>
      <c r="B5647" s="5" t="s">
        <v>39008</v>
      </c>
      <c r="C5647" s="5" t="s">
        <v>39009</v>
      </c>
      <c r="D5647" s="246">
        <v>43605</v>
      </c>
      <c r="E5647" s="5" t="s">
        <v>39010</v>
      </c>
      <c r="F5647" s="26" t="s">
        <v>38347</v>
      </c>
      <c r="G5647" s="27" t="s">
        <v>15138</v>
      </c>
      <c r="H5647" s="28" t="s">
        <v>15139</v>
      </c>
      <c r="I5647" s="5" t="s">
        <v>1572</v>
      </c>
    </row>
    <row r="5648" spans="1:9" ht="51.75" customHeight="1">
      <c r="A5648" s="5" t="s">
        <v>27861</v>
      </c>
      <c r="B5648" s="5" t="s">
        <v>39011</v>
      </c>
      <c r="C5648" s="5" t="s">
        <v>39009</v>
      </c>
      <c r="D5648" s="246">
        <v>43605</v>
      </c>
      <c r="E5648" s="5" t="s">
        <v>39012</v>
      </c>
      <c r="F5648" s="26" t="s">
        <v>23600</v>
      </c>
      <c r="G5648" s="27" t="s">
        <v>15138</v>
      </c>
      <c r="H5648" s="28" t="s">
        <v>15139</v>
      </c>
      <c r="I5648" s="5" t="s">
        <v>1572</v>
      </c>
    </row>
    <row r="5649" spans="1:9" ht="51.75" customHeight="1">
      <c r="A5649" s="5" t="s">
        <v>27284</v>
      </c>
      <c r="B5649" s="5" t="s">
        <v>39013</v>
      </c>
      <c r="C5649" s="5" t="s">
        <v>39014</v>
      </c>
      <c r="D5649" s="246">
        <v>43615</v>
      </c>
      <c r="E5649" s="5" t="s">
        <v>39015</v>
      </c>
      <c r="F5649" s="26" t="s">
        <v>38347</v>
      </c>
      <c r="G5649" s="27" t="s">
        <v>15206</v>
      </c>
      <c r="H5649" s="28" t="s">
        <v>15207</v>
      </c>
      <c r="I5649" s="5" t="s">
        <v>1572</v>
      </c>
    </row>
    <row r="5650" spans="1:9" ht="51.75" customHeight="1">
      <c r="A5650" s="5" t="s">
        <v>27284</v>
      </c>
      <c r="B5650" s="5" t="s">
        <v>39016</v>
      </c>
      <c r="C5650" s="5" t="s">
        <v>39014</v>
      </c>
      <c r="D5650" s="246">
        <v>43615</v>
      </c>
      <c r="E5650" s="5" t="s">
        <v>39017</v>
      </c>
      <c r="F5650" s="26" t="s">
        <v>23600</v>
      </c>
      <c r="G5650" s="27" t="s">
        <v>15206</v>
      </c>
      <c r="H5650" s="28" t="s">
        <v>15207</v>
      </c>
      <c r="I5650" s="5" t="s">
        <v>1572</v>
      </c>
    </row>
    <row r="5651" spans="1:9" ht="51.75" customHeight="1">
      <c r="A5651" s="5" t="s">
        <v>33989</v>
      </c>
      <c r="B5651" s="5" t="s">
        <v>39018</v>
      </c>
      <c r="C5651" s="5" t="s">
        <v>39019</v>
      </c>
      <c r="D5651" s="246">
        <v>43615</v>
      </c>
      <c r="E5651" s="5" t="s">
        <v>39020</v>
      </c>
      <c r="F5651" s="26" t="s">
        <v>38347</v>
      </c>
      <c r="G5651" s="27" t="s">
        <v>15206</v>
      </c>
      <c r="H5651" s="28" t="s">
        <v>15207</v>
      </c>
      <c r="I5651" s="5" t="s">
        <v>1572</v>
      </c>
    </row>
    <row r="5652" spans="1:9" ht="51.75" customHeight="1">
      <c r="A5652" s="5" t="s">
        <v>33989</v>
      </c>
      <c r="B5652" s="5" t="s">
        <v>39021</v>
      </c>
      <c r="C5652" s="5" t="s">
        <v>39019</v>
      </c>
      <c r="D5652" s="246">
        <v>43615</v>
      </c>
      <c r="E5652" s="5" t="s">
        <v>39022</v>
      </c>
      <c r="F5652" s="26" t="s">
        <v>23600</v>
      </c>
      <c r="G5652" s="27" t="s">
        <v>15206</v>
      </c>
      <c r="H5652" s="28" t="s">
        <v>15207</v>
      </c>
      <c r="I5652" s="5" t="s">
        <v>1572</v>
      </c>
    </row>
    <row r="5653" spans="1:9" ht="51.75" customHeight="1">
      <c r="A5653" s="5" t="s">
        <v>24436</v>
      </c>
      <c r="B5653" s="5" t="s">
        <v>39023</v>
      </c>
      <c r="C5653" s="5" t="s">
        <v>39024</v>
      </c>
      <c r="D5653" s="246">
        <v>43620</v>
      </c>
      <c r="E5653" s="5" t="s">
        <v>39025</v>
      </c>
      <c r="F5653" s="26" t="s">
        <v>38347</v>
      </c>
      <c r="G5653" s="27" t="s">
        <v>15212</v>
      </c>
      <c r="H5653" s="28" t="s">
        <v>15213</v>
      </c>
      <c r="I5653" s="5" t="s">
        <v>1572</v>
      </c>
    </row>
    <row r="5654" spans="1:9" ht="51.75" customHeight="1">
      <c r="A5654" s="5" t="s">
        <v>24436</v>
      </c>
      <c r="B5654" s="5" t="s">
        <v>39026</v>
      </c>
      <c r="C5654" s="5" t="s">
        <v>39024</v>
      </c>
      <c r="D5654" s="246">
        <v>43620</v>
      </c>
      <c r="E5654" s="5" t="s">
        <v>39027</v>
      </c>
      <c r="F5654" s="26" t="s">
        <v>23600</v>
      </c>
      <c r="G5654" s="27" t="s">
        <v>15212</v>
      </c>
      <c r="H5654" s="28" t="s">
        <v>15213</v>
      </c>
      <c r="I5654" s="5" t="s">
        <v>1572</v>
      </c>
    </row>
    <row r="5655" spans="1:9" ht="51.75" customHeight="1">
      <c r="A5655" s="5" t="s">
        <v>24495</v>
      </c>
      <c r="B5655" s="5" t="s">
        <v>39028</v>
      </c>
      <c r="C5655" s="5" t="s">
        <v>39029</v>
      </c>
      <c r="D5655" s="246">
        <v>43623</v>
      </c>
      <c r="E5655" s="5" t="s">
        <v>39030</v>
      </c>
      <c r="F5655" s="26" t="s">
        <v>38347</v>
      </c>
      <c r="G5655" s="27" t="s">
        <v>15251</v>
      </c>
      <c r="H5655" s="28" t="s">
        <v>15252</v>
      </c>
      <c r="I5655" s="5" t="s">
        <v>1572</v>
      </c>
    </row>
    <row r="5656" spans="1:9" ht="51.75" customHeight="1">
      <c r="A5656" s="5" t="s">
        <v>24495</v>
      </c>
      <c r="B5656" s="5" t="s">
        <v>39031</v>
      </c>
      <c r="C5656" s="5" t="s">
        <v>39029</v>
      </c>
      <c r="D5656" s="246">
        <v>43623</v>
      </c>
      <c r="E5656" s="5" t="s">
        <v>39032</v>
      </c>
      <c r="F5656" s="26" t="s">
        <v>23600</v>
      </c>
      <c r="G5656" s="27" t="s">
        <v>15251</v>
      </c>
      <c r="H5656" s="28" t="s">
        <v>15252</v>
      </c>
      <c r="I5656" s="5" t="s">
        <v>1572</v>
      </c>
    </row>
    <row r="5657" spans="1:9" ht="51.75" customHeight="1">
      <c r="A5657" s="5" t="s">
        <v>27187</v>
      </c>
      <c r="B5657" s="5" t="s">
        <v>39033</v>
      </c>
      <c r="C5657" s="5" t="s">
        <v>38999</v>
      </c>
      <c r="D5657" s="246">
        <v>43621</v>
      </c>
      <c r="E5657" s="5" t="s">
        <v>39034</v>
      </c>
      <c r="F5657" s="26" t="s">
        <v>38347</v>
      </c>
      <c r="G5657" s="27" t="s">
        <v>15262</v>
      </c>
      <c r="H5657" s="28" t="s">
        <v>15263</v>
      </c>
      <c r="I5657" s="5" t="s">
        <v>1572</v>
      </c>
    </row>
    <row r="5658" spans="1:9" ht="51.75" customHeight="1">
      <c r="A5658" s="5" t="s">
        <v>27187</v>
      </c>
      <c r="B5658" s="5" t="s">
        <v>39035</v>
      </c>
      <c r="C5658" s="5" t="s">
        <v>38999</v>
      </c>
      <c r="D5658" s="246">
        <v>43621</v>
      </c>
      <c r="E5658" s="5" t="s">
        <v>39036</v>
      </c>
      <c r="F5658" s="26" t="s">
        <v>23600</v>
      </c>
      <c r="G5658" s="27" t="s">
        <v>15262</v>
      </c>
      <c r="H5658" s="28" t="s">
        <v>15263</v>
      </c>
      <c r="I5658" s="5" t="s">
        <v>1572</v>
      </c>
    </row>
    <row r="5659" spans="1:9" ht="51.75" customHeight="1">
      <c r="A5659" s="5" t="s">
        <v>33655</v>
      </c>
      <c r="B5659" s="5" t="s">
        <v>39037</v>
      </c>
      <c r="C5659" s="5" t="s">
        <v>39038</v>
      </c>
      <c r="D5659" s="246">
        <v>43621</v>
      </c>
      <c r="E5659" s="5" t="s">
        <v>39039</v>
      </c>
      <c r="F5659" s="26" t="s">
        <v>38347</v>
      </c>
      <c r="G5659" s="27" t="s">
        <v>15262</v>
      </c>
      <c r="H5659" s="28" t="s">
        <v>15263</v>
      </c>
      <c r="I5659" s="5" t="s">
        <v>1572</v>
      </c>
    </row>
    <row r="5660" spans="1:9" ht="51.75" customHeight="1">
      <c r="A5660" s="5" t="s">
        <v>33655</v>
      </c>
      <c r="B5660" s="5" t="s">
        <v>39040</v>
      </c>
      <c r="C5660" s="5" t="s">
        <v>39038</v>
      </c>
      <c r="D5660" s="246">
        <v>43621</v>
      </c>
      <c r="E5660" s="5" t="s">
        <v>39041</v>
      </c>
      <c r="F5660" s="26" t="s">
        <v>23600</v>
      </c>
      <c r="G5660" s="27" t="s">
        <v>15262</v>
      </c>
      <c r="H5660" s="28" t="s">
        <v>15263</v>
      </c>
      <c r="I5660" s="5" t="s">
        <v>1572</v>
      </c>
    </row>
    <row r="5661" spans="1:9" ht="51.75" customHeight="1">
      <c r="A5661" s="5" t="s">
        <v>25165</v>
      </c>
      <c r="B5661" s="5" t="s">
        <v>39042</v>
      </c>
      <c r="C5661" s="5" t="s">
        <v>39043</v>
      </c>
      <c r="D5661" s="246">
        <v>43628</v>
      </c>
      <c r="E5661" s="5" t="s">
        <v>39044</v>
      </c>
      <c r="F5661" s="26" t="s">
        <v>38347</v>
      </c>
      <c r="G5661" s="27" t="s">
        <v>15267</v>
      </c>
      <c r="H5661" s="28" t="s">
        <v>15268</v>
      </c>
      <c r="I5661" s="5" t="s">
        <v>1572</v>
      </c>
    </row>
    <row r="5662" spans="1:9" ht="51.75" customHeight="1">
      <c r="A5662" s="5" t="s">
        <v>25165</v>
      </c>
      <c r="B5662" s="5" t="s">
        <v>39045</v>
      </c>
      <c r="C5662" s="5" t="s">
        <v>39043</v>
      </c>
      <c r="D5662" s="246">
        <v>43628</v>
      </c>
      <c r="E5662" s="5" t="s">
        <v>39046</v>
      </c>
      <c r="F5662" s="26" t="s">
        <v>23600</v>
      </c>
      <c r="G5662" s="27" t="s">
        <v>15267</v>
      </c>
      <c r="H5662" s="28" t="s">
        <v>15268</v>
      </c>
      <c r="I5662" s="5" t="s">
        <v>1572</v>
      </c>
    </row>
    <row r="5663" spans="1:9" ht="51.75" customHeight="1">
      <c r="A5663" s="5" t="s">
        <v>23696</v>
      </c>
      <c r="B5663" s="5" t="s">
        <v>39047</v>
      </c>
      <c r="C5663" s="5" t="s">
        <v>39048</v>
      </c>
      <c r="D5663" s="246">
        <v>43629</v>
      </c>
      <c r="E5663" s="5" t="s">
        <v>39049</v>
      </c>
      <c r="F5663" s="26" t="s">
        <v>38347</v>
      </c>
      <c r="G5663" s="27" t="s">
        <v>15267</v>
      </c>
      <c r="H5663" s="28" t="s">
        <v>15268</v>
      </c>
      <c r="I5663" s="5" t="s">
        <v>1572</v>
      </c>
    </row>
    <row r="5664" spans="1:9" ht="51.75" customHeight="1">
      <c r="A5664" s="5" t="s">
        <v>23696</v>
      </c>
      <c r="B5664" s="5" t="s">
        <v>39050</v>
      </c>
      <c r="C5664" s="5" t="s">
        <v>39048</v>
      </c>
      <c r="D5664" s="246">
        <v>43629</v>
      </c>
      <c r="E5664" s="5" t="s">
        <v>39051</v>
      </c>
      <c r="F5664" s="26" t="s">
        <v>23600</v>
      </c>
      <c r="G5664" s="27" t="s">
        <v>15267</v>
      </c>
      <c r="H5664" s="28" t="s">
        <v>15268</v>
      </c>
      <c r="I5664" s="5" t="s">
        <v>1572</v>
      </c>
    </row>
    <row r="5665" spans="1:9" ht="51.75" customHeight="1">
      <c r="A5665" s="5" t="s">
        <v>27757</v>
      </c>
      <c r="B5665" s="5" t="s">
        <v>39052</v>
      </c>
      <c r="C5665" s="5" t="s">
        <v>39053</v>
      </c>
      <c r="D5665" s="246">
        <v>43634</v>
      </c>
      <c r="E5665" s="5" t="s">
        <v>39054</v>
      </c>
      <c r="F5665" s="26" t="s">
        <v>38347</v>
      </c>
      <c r="G5665" s="27" t="s">
        <v>15426</v>
      </c>
      <c r="H5665" s="28" t="s">
        <v>15427</v>
      </c>
      <c r="I5665" s="5" t="s">
        <v>1572</v>
      </c>
    </row>
    <row r="5666" spans="1:9" ht="51.75" customHeight="1">
      <c r="A5666" s="5" t="s">
        <v>27757</v>
      </c>
      <c r="B5666" s="5" t="s">
        <v>39055</v>
      </c>
      <c r="C5666" s="5" t="s">
        <v>39053</v>
      </c>
      <c r="D5666" s="246">
        <v>43634</v>
      </c>
      <c r="E5666" s="5" t="s">
        <v>39056</v>
      </c>
      <c r="F5666" s="26" t="s">
        <v>23600</v>
      </c>
      <c r="G5666" s="27" t="s">
        <v>15426</v>
      </c>
      <c r="H5666" s="28" t="s">
        <v>15427</v>
      </c>
      <c r="I5666" s="5" t="s">
        <v>1572</v>
      </c>
    </row>
    <row r="5667" spans="1:9" ht="51.75" customHeight="1">
      <c r="A5667" s="5" t="s">
        <v>37290</v>
      </c>
      <c r="B5667" s="5" t="s">
        <v>39057</v>
      </c>
      <c r="C5667" s="5" t="s">
        <v>39058</v>
      </c>
      <c r="D5667" s="246">
        <v>43685</v>
      </c>
      <c r="E5667" s="5" t="s">
        <v>39059</v>
      </c>
      <c r="F5667" s="26" t="s">
        <v>38347</v>
      </c>
      <c r="G5667" s="27" t="s">
        <v>15455</v>
      </c>
      <c r="H5667" s="28" t="s">
        <v>15456</v>
      </c>
      <c r="I5667" s="5" t="s">
        <v>1572</v>
      </c>
    </row>
    <row r="5668" spans="1:9" ht="51.75" customHeight="1">
      <c r="A5668" s="5" t="s">
        <v>37290</v>
      </c>
      <c r="B5668" s="5" t="s">
        <v>39060</v>
      </c>
      <c r="C5668" s="5" t="s">
        <v>39058</v>
      </c>
      <c r="D5668" s="246">
        <v>43685</v>
      </c>
      <c r="E5668" s="5" t="s">
        <v>39061</v>
      </c>
      <c r="F5668" s="26" t="s">
        <v>23600</v>
      </c>
      <c r="G5668" s="27" t="s">
        <v>15455</v>
      </c>
      <c r="H5668" s="28" t="s">
        <v>15456</v>
      </c>
      <c r="I5668" s="5" t="s">
        <v>1572</v>
      </c>
    </row>
    <row r="5669" spans="1:9" ht="51.75" customHeight="1">
      <c r="A5669" s="5" t="s">
        <v>30700</v>
      </c>
      <c r="B5669" s="5" t="s">
        <v>39062</v>
      </c>
      <c r="C5669" s="5" t="s">
        <v>39063</v>
      </c>
      <c r="D5669" s="246">
        <v>43685</v>
      </c>
      <c r="E5669" s="5" t="s">
        <v>39064</v>
      </c>
      <c r="F5669" s="26" t="s">
        <v>38347</v>
      </c>
      <c r="G5669" s="27" t="s">
        <v>15455</v>
      </c>
      <c r="H5669" s="28" t="s">
        <v>15456</v>
      </c>
      <c r="I5669" s="5" t="s">
        <v>1572</v>
      </c>
    </row>
    <row r="5670" spans="1:9" ht="51.75" customHeight="1">
      <c r="A5670" s="5" t="s">
        <v>30700</v>
      </c>
      <c r="B5670" s="5" t="s">
        <v>39065</v>
      </c>
      <c r="C5670" s="5" t="s">
        <v>39063</v>
      </c>
      <c r="D5670" s="246">
        <v>43685</v>
      </c>
      <c r="E5670" s="5" t="s">
        <v>39066</v>
      </c>
      <c r="F5670" s="26" t="s">
        <v>23600</v>
      </c>
      <c r="G5670" s="27" t="s">
        <v>15455</v>
      </c>
      <c r="H5670" s="28" t="s">
        <v>15456</v>
      </c>
      <c r="I5670" s="5" t="s">
        <v>1572</v>
      </c>
    </row>
    <row r="5671" spans="1:9" ht="51.75" customHeight="1">
      <c r="A5671" s="5" t="s">
        <v>27715</v>
      </c>
      <c r="B5671" s="5" t="s">
        <v>39067</v>
      </c>
      <c r="C5671" s="5" t="s">
        <v>39068</v>
      </c>
      <c r="D5671" s="246">
        <v>43682</v>
      </c>
      <c r="E5671" s="5" t="s">
        <v>39069</v>
      </c>
      <c r="F5671" s="26" t="s">
        <v>38347</v>
      </c>
      <c r="G5671" s="27" t="s">
        <v>15437</v>
      </c>
      <c r="H5671" s="28" t="s">
        <v>15438</v>
      </c>
      <c r="I5671" s="5" t="s">
        <v>1572</v>
      </c>
    </row>
    <row r="5672" spans="1:9" ht="51.75" customHeight="1">
      <c r="A5672" s="5" t="s">
        <v>27715</v>
      </c>
      <c r="B5672" s="5" t="s">
        <v>39070</v>
      </c>
      <c r="C5672" s="5" t="s">
        <v>39068</v>
      </c>
      <c r="D5672" s="246">
        <v>43682</v>
      </c>
      <c r="E5672" s="5" t="s">
        <v>39071</v>
      </c>
      <c r="F5672" s="26" t="s">
        <v>23600</v>
      </c>
      <c r="G5672" s="27" t="s">
        <v>15437</v>
      </c>
      <c r="H5672" s="28" t="s">
        <v>15438</v>
      </c>
      <c r="I5672" s="5" t="s">
        <v>1572</v>
      </c>
    </row>
    <row r="5673" spans="1:9" ht="51.75" customHeight="1">
      <c r="A5673" s="5" t="s">
        <v>24554</v>
      </c>
      <c r="B5673" s="5" t="s">
        <v>39072</v>
      </c>
      <c r="C5673" s="5" t="s">
        <v>39068</v>
      </c>
      <c r="D5673" s="246">
        <v>43682</v>
      </c>
      <c r="E5673" s="5" t="s">
        <v>39073</v>
      </c>
      <c r="F5673" s="26" t="s">
        <v>38347</v>
      </c>
      <c r="G5673" s="27" t="s">
        <v>15437</v>
      </c>
      <c r="H5673" s="28" t="s">
        <v>15438</v>
      </c>
      <c r="I5673" s="5" t="s">
        <v>1572</v>
      </c>
    </row>
    <row r="5674" spans="1:9" ht="51.75" customHeight="1">
      <c r="A5674" s="5" t="s">
        <v>24554</v>
      </c>
      <c r="B5674" s="5" t="s">
        <v>39074</v>
      </c>
      <c r="C5674" s="5" t="s">
        <v>39068</v>
      </c>
      <c r="D5674" s="246">
        <v>43682</v>
      </c>
      <c r="E5674" s="5" t="s">
        <v>39075</v>
      </c>
      <c r="F5674" s="26" t="s">
        <v>23600</v>
      </c>
      <c r="G5674" s="27" t="s">
        <v>15437</v>
      </c>
      <c r="H5674" s="28" t="s">
        <v>15438</v>
      </c>
      <c r="I5674" s="5" t="s">
        <v>1572</v>
      </c>
    </row>
    <row r="5675" spans="1:9" ht="51.75" customHeight="1">
      <c r="A5675" s="5" t="s">
        <v>26697</v>
      </c>
      <c r="B5675" s="5" t="s">
        <v>39076</v>
      </c>
      <c r="C5675" s="5" t="s">
        <v>39068</v>
      </c>
      <c r="D5675" s="246">
        <v>43682</v>
      </c>
      <c r="E5675" s="5" t="s">
        <v>39077</v>
      </c>
      <c r="F5675" s="26" t="s">
        <v>38347</v>
      </c>
      <c r="G5675" s="27" t="s">
        <v>15437</v>
      </c>
      <c r="H5675" s="28" t="s">
        <v>15438</v>
      </c>
      <c r="I5675" s="5" t="s">
        <v>1572</v>
      </c>
    </row>
    <row r="5676" spans="1:9" ht="51.75" customHeight="1">
      <c r="A5676" s="5" t="s">
        <v>26697</v>
      </c>
      <c r="B5676" s="5" t="s">
        <v>39078</v>
      </c>
      <c r="C5676" s="5" t="s">
        <v>39068</v>
      </c>
      <c r="D5676" s="246">
        <v>43682</v>
      </c>
      <c r="E5676" s="5" t="s">
        <v>39079</v>
      </c>
      <c r="F5676" s="26" t="s">
        <v>23600</v>
      </c>
      <c r="G5676" s="27" t="s">
        <v>15437</v>
      </c>
      <c r="H5676" s="28" t="s">
        <v>15438</v>
      </c>
      <c r="I5676" s="5" t="s">
        <v>1572</v>
      </c>
    </row>
    <row r="5677" spans="1:9" ht="51.75" customHeight="1">
      <c r="A5677" s="5" t="s">
        <v>39080</v>
      </c>
      <c r="B5677" s="5" t="s">
        <v>39081</v>
      </c>
      <c r="C5677" s="5" t="s">
        <v>39082</v>
      </c>
      <c r="D5677" s="246">
        <v>43697</v>
      </c>
      <c r="E5677" s="5" t="s">
        <v>39083</v>
      </c>
      <c r="F5677" s="26" t="s">
        <v>38347</v>
      </c>
      <c r="G5677" s="27" t="s">
        <v>15513</v>
      </c>
      <c r="H5677" s="28" t="s">
        <v>15514</v>
      </c>
      <c r="I5677" s="5" t="s">
        <v>1572</v>
      </c>
    </row>
    <row r="5678" spans="1:9" ht="51.75" customHeight="1">
      <c r="A5678" s="5" t="s">
        <v>39080</v>
      </c>
      <c r="B5678" s="5" t="s">
        <v>39084</v>
      </c>
      <c r="C5678" s="5" t="s">
        <v>39082</v>
      </c>
      <c r="D5678" s="246">
        <v>43697</v>
      </c>
      <c r="E5678" s="5" t="s">
        <v>39085</v>
      </c>
      <c r="F5678" s="26" t="s">
        <v>23600</v>
      </c>
      <c r="G5678" s="27" t="s">
        <v>15513</v>
      </c>
      <c r="H5678" s="28" t="s">
        <v>15514</v>
      </c>
      <c r="I5678" s="5" t="s">
        <v>1572</v>
      </c>
    </row>
    <row r="5679" spans="1:9" ht="51.75" customHeight="1">
      <c r="A5679" s="5" t="s">
        <v>30708</v>
      </c>
      <c r="B5679" s="5" t="s">
        <v>39086</v>
      </c>
      <c r="C5679" s="5" t="s">
        <v>39087</v>
      </c>
      <c r="D5679" s="246">
        <v>43712</v>
      </c>
      <c r="E5679" s="5" t="s">
        <v>39088</v>
      </c>
      <c r="F5679" s="26" t="s">
        <v>38347</v>
      </c>
      <c r="G5679" s="27" t="s">
        <v>15560</v>
      </c>
      <c r="H5679" s="28" t="s">
        <v>15561</v>
      </c>
      <c r="I5679" s="5" t="s">
        <v>1572</v>
      </c>
    </row>
    <row r="5680" spans="1:9" ht="51.75" customHeight="1">
      <c r="A5680" s="5" t="s">
        <v>30708</v>
      </c>
      <c r="B5680" s="5" t="s">
        <v>39089</v>
      </c>
      <c r="C5680" s="5" t="s">
        <v>39087</v>
      </c>
      <c r="D5680" s="246">
        <v>43712</v>
      </c>
      <c r="E5680" s="5" t="s">
        <v>39090</v>
      </c>
      <c r="F5680" s="26" t="s">
        <v>23600</v>
      </c>
      <c r="G5680" s="27" t="s">
        <v>15560</v>
      </c>
      <c r="H5680" s="28" t="s">
        <v>15561</v>
      </c>
      <c r="I5680" s="5" t="s">
        <v>1572</v>
      </c>
    </row>
    <row r="5681" spans="1:9" ht="51.75" customHeight="1">
      <c r="A5681" s="5" t="s">
        <v>25278</v>
      </c>
      <c r="B5681" s="5" t="s">
        <v>39091</v>
      </c>
      <c r="C5681" s="5" t="s">
        <v>39092</v>
      </c>
      <c r="D5681" s="246">
        <v>43691</v>
      </c>
      <c r="E5681" s="5" t="s">
        <v>39093</v>
      </c>
      <c r="F5681" s="26" t="s">
        <v>38347</v>
      </c>
      <c r="G5681" s="27" t="s">
        <v>15566</v>
      </c>
      <c r="H5681" s="28" t="s">
        <v>15567</v>
      </c>
      <c r="I5681" s="5" t="s">
        <v>1572</v>
      </c>
    </row>
    <row r="5682" spans="1:9" ht="51.75" customHeight="1">
      <c r="A5682" s="5" t="s">
        <v>25278</v>
      </c>
      <c r="B5682" s="5" t="s">
        <v>39094</v>
      </c>
      <c r="C5682" s="5" t="s">
        <v>39092</v>
      </c>
      <c r="D5682" s="246">
        <v>43691</v>
      </c>
      <c r="E5682" s="5" t="s">
        <v>39095</v>
      </c>
      <c r="F5682" s="26" t="s">
        <v>23600</v>
      </c>
      <c r="G5682" s="27" t="s">
        <v>15566</v>
      </c>
      <c r="H5682" s="28" t="s">
        <v>15567</v>
      </c>
      <c r="I5682" s="5" t="s">
        <v>1572</v>
      </c>
    </row>
    <row r="5683" spans="1:9" ht="51.75" customHeight="1">
      <c r="A5683" s="5" t="s">
        <v>35687</v>
      </c>
      <c r="B5683" s="5" t="s">
        <v>39096</v>
      </c>
      <c r="C5683" s="5" t="s">
        <v>39097</v>
      </c>
      <c r="D5683" s="246">
        <v>43720</v>
      </c>
      <c r="E5683" s="5" t="s">
        <v>39098</v>
      </c>
      <c r="F5683" s="26" t="s">
        <v>38347</v>
      </c>
      <c r="G5683" s="27" t="s">
        <v>15628</v>
      </c>
      <c r="H5683" s="28" t="s">
        <v>15629</v>
      </c>
      <c r="I5683" s="5" t="s">
        <v>1572</v>
      </c>
    </row>
    <row r="5684" spans="1:9" ht="51.75" customHeight="1">
      <c r="A5684" s="5" t="s">
        <v>35687</v>
      </c>
      <c r="B5684" s="5" t="s">
        <v>39099</v>
      </c>
      <c r="C5684" s="5" t="s">
        <v>39097</v>
      </c>
      <c r="D5684" s="246">
        <v>43720</v>
      </c>
      <c r="E5684" s="5" t="s">
        <v>39100</v>
      </c>
      <c r="F5684" s="26" t="s">
        <v>23600</v>
      </c>
      <c r="G5684" s="27" t="s">
        <v>15628</v>
      </c>
      <c r="H5684" s="28" t="s">
        <v>15629</v>
      </c>
      <c r="I5684" s="5" t="s">
        <v>1572</v>
      </c>
    </row>
    <row r="5685" spans="1:9" ht="51.75" customHeight="1">
      <c r="A5685" s="5" t="s">
        <v>39101</v>
      </c>
      <c r="B5685" s="5" t="s">
        <v>39102</v>
      </c>
      <c r="C5685" s="5" t="s">
        <v>39103</v>
      </c>
      <c r="D5685" s="246">
        <v>43733</v>
      </c>
      <c r="E5685" s="5" t="s">
        <v>39104</v>
      </c>
      <c r="F5685" s="26" t="s">
        <v>38347</v>
      </c>
      <c r="G5685" s="27" t="s">
        <v>15640</v>
      </c>
      <c r="H5685" s="28" t="s">
        <v>15641</v>
      </c>
      <c r="I5685" s="5" t="s">
        <v>1572</v>
      </c>
    </row>
    <row r="5686" spans="1:9" ht="51.75" customHeight="1">
      <c r="A5686" s="5" t="s">
        <v>39101</v>
      </c>
      <c r="B5686" s="5" t="s">
        <v>39105</v>
      </c>
      <c r="C5686" s="5" t="s">
        <v>39103</v>
      </c>
      <c r="D5686" s="246">
        <v>43733</v>
      </c>
      <c r="E5686" s="5" t="s">
        <v>39106</v>
      </c>
      <c r="F5686" s="26" t="s">
        <v>23600</v>
      </c>
      <c r="G5686" s="27" t="s">
        <v>15640</v>
      </c>
      <c r="H5686" s="28" t="s">
        <v>15641</v>
      </c>
      <c r="I5686" s="5" t="s">
        <v>1572</v>
      </c>
    </row>
    <row r="5687" spans="1:9" ht="51.75" customHeight="1">
      <c r="A5687" s="5" t="s">
        <v>39107</v>
      </c>
      <c r="B5687" s="5" t="s">
        <v>39108</v>
      </c>
      <c r="C5687" s="5" t="s">
        <v>39103</v>
      </c>
      <c r="D5687" s="246">
        <v>43733</v>
      </c>
      <c r="E5687" s="5" t="s">
        <v>39109</v>
      </c>
      <c r="F5687" s="26" t="s">
        <v>38347</v>
      </c>
      <c r="G5687" s="27" t="s">
        <v>15640</v>
      </c>
      <c r="H5687" s="28" t="s">
        <v>15641</v>
      </c>
      <c r="I5687" s="5" t="s">
        <v>1572</v>
      </c>
    </row>
    <row r="5688" spans="1:9" ht="51.75" customHeight="1">
      <c r="A5688" s="5" t="s">
        <v>39107</v>
      </c>
      <c r="B5688" s="5" t="s">
        <v>39110</v>
      </c>
      <c r="C5688" s="5" t="s">
        <v>39103</v>
      </c>
      <c r="D5688" s="246">
        <v>43733</v>
      </c>
      <c r="E5688" s="5" t="s">
        <v>39111</v>
      </c>
      <c r="F5688" s="26" t="s">
        <v>23600</v>
      </c>
      <c r="G5688" s="27" t="s">
        <v>15640</v>
      </c>
      <c r="H5688" s="28" t="s">
        <v>15641</v>
      </c>
      <c r="I5688" s="5" t="s">
        <v>1572</v>
      </c>
    </row>
    <row r="5689" spans="1:9" ht="51.75" customHeight="1">
      <c r="A5689" s="5" t="s">
        <v>39112</v>
      </c>
      <c r="B5689" s="5" t="s">
        <v>39113</v>
      </c>
      <c r="C5689" s="5" t="s">
        <v>39114</v>
      </c>
      <c r="D5689" s="246">
        <v>43691</v>
      </c>
      <c r="E5689" s="5" t="s">
        <v>39115</v>
      </c>
      <c r="F5689" s="26" t="s">
        <v>38347</v>
      </c>
      <c r="G5689" s="27" t="s">
        <v>15658</v>
      </c>
      <c r="H5689" s="28" t="s">
        <v>15659</v>
      </c>
      <c r="I5689" s="5" t="s">
        <v>1572</v>
      </c>
    </row>
    <row r="5690" spans="1:9" ht="51.75" customHeight="1">
      <c r="A5690" s="5" t="s">
        <v>39112</v>
      </c>
      <c r="B5690" s="5" t="s">
        <v>39116</v>
      </c>
      <c r="C5690" s="5" t="s">
        <v>39114</v>
      </c>
      <c r="D5690" s="246">
        <v>43691</v>
      </c>
      <c r="E5690" s="5" t="s">
        <v>39117</v>
      </c>
      <c r="F5690" s="26" t="s">
        <v>23600</v>
      </c>
      <c r="G5690" s="27" t="s">
        <v>15658</v>
      </c>
      <c r="H5690" s="28" t="s">
        <v>15659</v>
      </c>
      <c r="I5690" s="5" t="s">
        <v>1572</v>
      </c>
    </row>
    <row r="5691" spans="1:9" ht="51.75" customHeight="1">
      <c r="A5691" s="5" t="s">
        <v>35672</v>
      </c>
      <c r="B5691" s="5" t="s">
        <v>39118</v>
      </c>
      <c r="C5691" s="5" t="s">
        <v>39119</v>
      </c>
      <c r="D5691" s="246">
        <v>43691</v>
      </c>
      <c r="E5691" s="5" t="s">
        <v>39120</v>
      </c>
      <c r="F5691" s="26" t="s">
        <v>38347</v>
      </c>
      <c r="G5691" s="27" t="s">
        <v>15664</v>
      </c>
      <c r="H5691" s="28" t="s">
        <v>15665</v>
      </c>
      <c r="I5691" s="5" t="s">
        <v>1572</v>
      </c>
    </row>
    <row r="5692" spans="1:9" ht="51.75" customHeight="1">
      <c r="A5692" s="5" t="s">
        <v>35672</v>
      </c>
      <c r="B5692" s="5" t="s">
        <v>39121</v>
      </c>
      <c r="C5692" s="5" t="s">
        <v>39119</v>
      </c>
      <c r="D5692" s="246">
        <v>43691</v>
      </c>
      <c r="E5692" s="5" t="s">
        <v>39122</v>
      </c>
      <c r="F5692" s="26" t="s">
        <v>23600</v>
      </c>
      <c r="G5692" s="27" t="s">
        <v>15664</v>
      </c>
      <c r="H5692" s="28" t="s">
        <v>15665</v>
      </c>
      <c r="I5692" s="5" t="s">
        <v>1572</v>
      </c>
    </row>
    <row r="5693" spans="1:9" ht="51.75" customHeight="1">
      <c r="A5693" s="5" t="s">
        <v>25391</v>
      </c>
      <c r="B5693" s="5" t="s">
        <v>39123</v>
      </c>
      <c r="C5693" s="5" t="s">
        <v>39124</v>
      </c>
      <c r="D5693" s="246">
        <v>43773</v>
      </c>
      <c r="E5693" s="5" t="s">
        <v>39125</v>
      </c>
      <c r="F5693" s="26" t="s">
        <v>38347</v>
      </c>
      <c r="G5693" s="27" t="s">
        <v>15770</v>
      </c>
      <c r="H5693" s="28" t="s">
        <v>15771</v>
      </c>
      <c r="I5693" s="5" t="s">
        <v>1572</v>
      </c>
    </row>
    <row r="5694" spans="1:9" ht="51.75" customHeight="1">
      <c r="A5694" s="5" t="s">
        <v>25391</v>
      </c>
      <c r="B5694" s="5" t="s">
        <v>39126</v>
      </c>
      <c r="C5694" s="5" t="s">
        <v>39124</v>
      </c>
      <c r="D5694" s="246">
        <v>43773</v>
      </c>
      <c r="E5694" s="5" t="s">
        <v>39127</v>
      </c>
      <c r="F5694" s="26" t="s">
        <v>23600</v>
      </c>
      <c r="G5694" s="27" t="s">
        <v>15770</v>
      </c>
      <c r="H5694" s="28" t="s">
        <v>15771</v>
      </c>
      <c r="I5694" s="5" t="s">
        <v>1572</v>
      </c>
    </row>
    <row r="5695" spans="1:9" ht="51.75" customHeight="1">
      <c r="A5695" s="5" t="s">
        <v>39128</v>
      </c>
      <c r="B5695" s="5" t="s">
        <v>39129</v>
      </c>
      <c r="C5695" s="5" t="s">
        <v>39130</v>
      </c>
      <c r="D5695" s="246">
        <v>43780</v>
      </c>
      <c r="E5695" s="5" t="s">
        <v>39131</v>
      </c>
      <c r="F5695" s="26" t="s">
        <v>38347</v>
      </c>
      <c r="G5695" s="27" t="s">
        <v>15788</v>
      </c>
      <c r="H5695" s="28" t="s">
        <v>15789</v>
      </c>
      <c r="I5695" s="5" t="s">
        <v>1572</v>
      </c>
    </row>
    <row r="5696" spans="1:9" ht="51.75" customHeight="1">
      <c r="A5696" s="5" t="s">
        <v>39128</v>
      </c>
      <c r="B5696" s="5" t="s">
        <v>39132</v>
      </c>
      <c r="C5696" s="5" t="s">
        <v>39130</v>
      </c>
      <c r="D5696" s="246">
        <v>43780</v>
      </c>
      <c r="E5696" s="5" t="s">
        <v>39133</v>
      </c>
      <c r="F5696" s="26" t="s">
        <v>23600</v>
      </c>
      <c r="G5696" s="27" t="s">
        <v>15788</v>
      </c>
      <c r="H5696" s="28" t="s">
        <v>15789</v>
      </c>
      <c r="I5696" s="5" t="s">
        <v>1572</v>
      </c>
    </row>
    <row r="5697" spans="1:9" ht="51.75" customHeight="1">
      <c r="A5697" s="5" t="s">
        <v>39134</v>
      </c>
      <c r="B5697" s="5" t="s">
        <v>39135</v>
      </c>
      <c r="C5697" s="5" t="s">
        <v>39130</v>
      </c>
      <c r="D5697" s="246">
        <v>43780</v>
      </c>
      <c r="E5697" s="5" t="s">
        <v>39136</v>
      </c>
      <c r="F5697" s="26" t="s">
        <v>38347</v>
      </c>
      <c r="G5697" s="27" t="s">
        <v>15788</v>
      </c>
      <c r="H5697" s="28" t="s">
        <v>15789</v>
      </c>
      <c r="I5697" s="5" t="s">
        <v>1572</v>
      </c>
    </row>
    <row r="5698" spans="1:9" ht="51.75" customHeight="1">
      <c r="A5698" s="5" t="s">
        <v>39134</v>
      </c>
      <c r="B5698" s="5" t="s">
        <v>39137</v>
      </c>
      <c r="C5698" s="5" t="s">
        <v>39130</v>
      </c>
      <c r="D5698" s="246">
        <v>43780</v>
      </c>
      <c r="E5698" s="5" t="s">
        <v>39138</v>
      </c>
      <c r="F5698" s="26" t="s">
        <v>23600</v>
      </c>
      <c r="G5698" s="27" t="s">
        <v>15788</v>
      </c>
      <c r="H5698" s="28" t="s">
        <v>15789</v>
      </c>
      <c r="I5698" s="5" t="s">
        <v>1572</v>
      </c>
    </row>
    <row r="5699" spans="1:9" ht="51.75" customHeight="1">
      <c r="A5699" s="5" t="s">
        <v>39139</v>
      </c>
      <c r="B5699" s="5" t="s">
        <v>39140</v>
      </c>
      <c r="C5699" s="5" t="s">
        <v>39130</v>
      </c>
      <c r="D5699" s="246">
        <v>43780</v>
      </c>
      <c r="E5699" s="5" t="s">
        <v>39141</v>
      </c>
      <c r="F5699" s="26" t="s">
        <v>38347</v>
      </c>
      <c r="G5699" s="27" t="s">
        <v>15788</v>
      </c>
      <c r="H5699" s="28" t="s">
        <v>15789</v>
      </c>
      <c r="I5699" s="5" t="s">
        <v>1572</v>
      </c>
    </row>
    <row r="5700" spans="1:9" ht="51.75" customHeight="1">
      <c r="A5700" s="5" t="s">
        <v>39139</v>
      </c>
      <c r="B5700" s="5" t="s">
        <v>39142</v>
      </c>
      <c r="C5700" s="5" t="s">
        <v>39130</v>
      </c>
      <c r="D5700" s="246">
        <v>43780</v>
      </c>
      <c r="E5700" s="5" t="s">
        <v>39143</v>
      </c>
      <c r="F5700" s="26" t="s">
        <v>23600</v>
      </c>
      <c r="G5700" s="27" t="s">
        <v>15788</v>
      </c>
      <c r="H5700" s="28" t="s">
        <v>15789</v>
      </c>
      <c r="I5700" s="5" t="s">
        <v>1572</v>
      </c>
    </row>
    <row r="5701" spans="1:9" ht="51.75" customHeight="1">
      <c r="A5701" s="5" t="s">
        <v>39144</v>
      </c>
      <c r="B5701" s="5" t="s">
        <v>39145</v>
      </c>
      <c r="C5701" s="5" t="s">
        <v>39146</v>
      </c>
      <c r="D5701" s="246">
        <v>43790</v>
      </c>
      <c r="E5701" s="5" t="s">
        <v>39147</v>
      </c>
      <c r="F5701" s="26" t="s">
        <v>38347</v>
      </c>
      <c r="G5701" s="27" t="s">
        <v>15818</v>
      </c>
      <c r="H5701" s="28" t="s">
        <v>15819</v>
      </c>
      <c r="I5701" s="5" t="s">
        <v>1572</v>
      </c>
    </row>
    <row r="5702" spans="1:9" ht="51.75" customHeight="1">
      <c r="A5702" s="5" t="s">
        <v>39144</v>
      </c>
      <c r="B5702" s="5" t="s">
        <v>39148</v>
      </c>
      <c r="C5702" s="5" t="s">
        <v>39146</v>
      </c>
      <c r="D5702" s="246">
        <v>43790</v>
      </c>
      <c r="E5702" s="5" t="s">
        <v>39149</v>
      </c>
      <c r="F5702" s="26" t="s">
        <v>23600</v>
      </c>
      <c r="G5702" s="27" t="s">
        <v>15818</v>
      </c>
      <c r="H5702" s="28" t="s">
        <v>15819</v>
      </c>
      <c r="I5702" s="5" t="s">
        <v>1572</v>
      </c>
    </row>
    <row r="5703" spans="1:9" ht="51.75" customHeight="1">
      <c r="A5703" s="5" t="s">
        <v>23856</v>
      </c>
      <c r="B5703" s="5" t="s">
        <v>39150</v>
      </c>
      <c r="C5703" s="5" t="s">
        <v>39114</v>
      </c>
      <c r="D5703" s="246">
        <v>43650</v>
      </c>
      <c r="E5703" s="5" t="s">
        <v>39151</v>
      </c>
      <c r="F5703" s="26" t="s">
        <v>38347</v>
      </c>
      <c r="G5703" s="27" t="s">
        <v>15885</v>
      </c>
      <c r="H5703" s="28" t="s">
        <v>15886</v>
      </c>
      <c r="I5703" s="5" t="s">
        <v>1572</v>
      </c>
    </row>
    <row r="5704" spans="1:9" ht="51.75" customHeight="1">
      <c r="A5704" s="5" t="s">
        <v>23856</v>
      </c>
      <c r="B5704" s="5" t="s">
        <v>39152</v>
      </c>
      <c r="C5704" s="5" t="s">
        <v>39114</v>
      </c>
      <c r="D5704" s="246">
        <v>43650</v>
      </c>
      <c r="E5704" s="5" t="s">
        <v>39153</v>
      </c>
      <c r="F5704" s="26" t="s">
        <v>23600</v>
      </c>
      <c r="G5704" s="27" t="s">
        <v>15885</v>
      </c>
      <c r="H5704" s="28" t="s">
        <v>15886</v>
      </c>
      <c r="I5704" s="5" t="s">
        <v>1572</v>
      </c>
    </row>
    <row r="5705" spans="1:9" ht="51.75" customHeight="1">
      <c r="A5705" s="5" t="s">
        <v>39154</v>
      </c>
      <c r="B5705" s="5" t="s">
        <v>39155</v>
      </c>
      <c r="C5705" s="5" t="s">
        <v>39156</v>
      </c>
      <c r="D5705" s="246">
        <v>43782</v>
      </c>
      <c r="E5705" s="5" t="s">
        <v>39157</v>
      </c>
      <c r="F5705" s="26" t="s">
        <v>38347</v>
      </c>
      <c r="G5705" s="27" t="s">
        <v>15908</v>
      </c>
      <c r="H5705" s="28" t="s">
        <v>15909</v>
      </c>
      <c r="I5705" s="5" t="s">
        <v>1572</v>
      </c>
    </row>
    <row r="5706" spans="1:9" ht="51.75" customHeight="1">
      <c r="A5706" s="5" t="s">
        <v>39154</v>
      </c>
      <c r="B5706" s="5" t="s">
        <v>39158</v>
      </c>
      <c r="C5706" s="5" t="s">
        <v>39156</v>
      </c>
      <c r="D5706" s="246">
        <v>43782</v>
      </c>
      <c r="E5706" s="5" t="s">
        <v>39159</v>
      </c>
      <c r="F5706" s="26" t="s">
        <v>23600</v>
      </c>
      <c r="G5706" s="27" t="s">
        <v>15908</v>
      </c>
      <c r="H5706" s="28" t="s">
        <v>15909</v>
      </c>
      <c r="I5706" s="5" t="s">
        <v>1572</v>
      </c>
    </row>
    <row r="5707" spans="1:9" ht="51.75" customHeight="1">
      <c r="A5707" s="5" t="s">
        <v>39160</v>
      </c>
      <c r="B5707" s="5" t="s">
        <v>39161</v>
      </c>
      <c r="C5707" s="5" t="s">
        <v>39162</v>
      </c>
      <c r="D5707" s="246">
        <v>43804</v>
      </c>
      <c r="E5707" s="5" t="s">
        <v>39163</v>
      </c>
      <c r="F5707" s="26" t="s">
        <v>38347</v>
      </c>
      <c r="G5707" s="27" t="s">
        <v>15927</v>
      </c>
      <c r="H5707" s="28" t="s">
        <v>15928</v>
      </c>
      <c r="I5707" s="5" t="s">
        <v>1572</v>
      </c>
    </row>
    <row r="5708" spans="1:9" ht="51.75" customHeight="1">
      <c r="A5708" s="5" t="s">
        <v>39160</v>
      </c>
      <c r="B5708" s="5" t="s">
        <v>39164</v>
      </c>
      <c r="C5708" s="5" t="s">
        <v>39162</v>
      </c>
      <c r="D5708" s="246">
        <v>43804</v>
      </c>
      <c r="E5708" s="5" t="s">
        <v>39165</v>
      </c>
      <c r="F5708" s="26" t="s">
        <v>23600</v>
      </c>
      <c r="G5708" s="27" t="s">
        <v>15927</v>
      </c>
      <c r="H5708" s="28" t="s">
        <v>15928</v>
      </c>
      <c r="I5708" s="5" t="s">
        <v>1572</v>
      </c>
    </row>
    <row r="5709" spans="1:9" ht="51.75" customHeight="1">
      <c r="A5709" s="5" t="s">
        <v>39166</v>
      </c>
      <c r="B5709" s="5" t="s">
        <v>39167</v>
      </c>
      <c r="C5709" s="5" t="s">
        <v>39162</v>
      </c>
      <c r="D5709" s="246">
        <v>43804</v>
      </c>
      <c r="E5709" s="5" t="s">
        <v>39168</v>
      </c>
      <c r="F5709" s="26" t="s">
        <v>38347</v>
      </c>
      <c r="G5709" s="27" t="s">
        <v>15927</v>
      </c>
      <c r="H5709" s="28" t="s">
        <v>15928</v>
      </c>
      <c r="I5709" s="5" t="s">
        <v>1572</v>
      </c>
    </row>
    <row r="5710" spans="1:9" ht="51.75" customHeight="1">
      <c r="A5710" s="5" t="s">
        <v>39166</v>
      </c>
      <c r="B5710" s="5" t="s">
        <v>39169</v>
      </c>
      <c r="C5710" s="5" t="s">
        <v>39162</v>
      </c>
      <c r="D5710" s="246">
        <v>43804</v>
      </c>
      <c r="E5710" s="5" t="s">
        <v>39170</v>
      </c>
      <c r="F5710" s="26" t="s">
        <v>23600</v>
      </c>
      <c r="G5710" s="27" t="s">
        <v>15927</v>
      </c>
      <c r="H5710" s="28" t="s">
        <v>15928</v>
      </c>
      <c r="I5710" s="5" t="s">
        <v>1572</v>
      </c>
    </row>
    <row r="5711" spans="1:9" ht="51.75" customHeight="1">
      <c r="A5711" s="5" t="s">
        <v>39171</v>
      </c>
      <c r="B5711" s="5" t="s">
        <v>39172</v>
      </c>
      <c r="C5711" s="5" t="s">
        <v>39162</v>
      </c>
      <c r="D5711" s="246">
        <v>43804</v>
      </c>
      <c r="E5711" s="5" t="s">
        <v>39173</v>
      </c>
      <c r="F5711" s="26" t="s">
        <v>38347</v>
      </c>
      <c r="G5711" s="27" t="s">
        <v>15927</v>
      </c>
      <c r="H5711" s="28" t="s">
        <v>15928</v>
      </c>
      <c r="I5711" s="5" t="s">
        <v>1572</v>
      </c>
    </row>
    <row r="5712" spans="1:9" ht="51.75" customHeight="1">
      <c r="A5712" s="5" t="s">
        <v>39171</v>
      </c>
      <c r="B5712" s="5" t="s">
        <v>39174</v>
      </c>
      <c r="C5712" s="5" t="s">
        <v>39162</v>
      </c>
      <c r="D5712" s="246">
        <v>43804</v>
      </c>
      <c r="E5712" s="5" t="s">
        <v>39175</v>
      </c>
      <c r="F5712" s="26" t="s">
        <v>23600</v>
      </c>
      <c r="G5712" s="27" t="s">
        <v>15927</v>
      </c>
      <c r="H5712" s="28" t="s">
        <v>15928</v>
      </c>
      <c r="I5712" s="5" t="s">
        <v>1572</v>
      </c>
    </row>
    <row r="5713" spans="1:9" ht="51.75" customHeight="1">
      <c r="A5713" s="5" t="s">
        <v>25018</v>
      </c>
      <c r="B5713" s="5" t="s">
        <v>39176</v>
      </c>
      <c r="C5713" s="5" t="s">
        <v>39177</v>
      </c>
      <c r="D5713" s="246">
        <v>43812</v>
      </c>
      <c r="E5713" s="5" t="s">
        <v>39178</v>
      </c>
      <c r="F5713" s="26" t="s">
        <v>38347</v>
      </c>
      <c r="G5713" s="27" t="s">
        <v>15955</v>
      </c>
      <c r="H5713" s="28" t="s">
        <v>15956</v>
      </c>
      <c r="I5713" s="5" t="s">
        <v>1572</v>
      </c>
    </row>
    <row r="5714" spans="1:9" ht="51.75" customHeight="1">
      <c r="A5714" s="5" t="s">
        <v>25018</v>
      </c>
      <c r="B5714" s="5" t="s">
        <v>39179</v>
      </c>
      <c r="C5714" s="5" t="s">
        <v>39177</v>
      </c>
      <c r="D5714" s="246">
        <v>43812</v>
      </c>
      <c r="E5714" s="5" t="s">
        <v>39180</v>
      </c>
      <c r="F5714" s="26" t="s">
        <v>23600</v>
      </c>
      <c r="G5714" s="27" t="s">
        <v>15955</v>
      </c>
      <c r="H5714" s="28" t="s">
        <v>15956</v>
      </c>
      <c r="I5714" s="5" t="s">
        <v>1572</v>
      </c>
    </row>
    <row r="5715" spans="1:9" ht="51.75" customHeight="1">
      <c r="A5715" s="5" t="s">
        <v>39181</v>
      </c>
      <c r="B5715" s="5" t="s">
        <v>39182</v>
      </c>
      <c r="C5715" s="5" t="s">
        <v>39114</v>
      </c>
      <c r="D5715" s="246">
        <v>43804</v>
      </c>
      <c r="E5715" s="5" t="s">
        <v>39183</v>
      </c>
      <c r="F5715" s="26" t="s">
        <v>38347</v>
      </c>
      <c r="G5715" s="27" t="s">
        <v>15937</v>
      </c>
      <c r="H5715" s="28" t="s">
        <v>15938</v>
      </c>
      <c r="I5715" s="5" t="s">
        <v>1572</v>
      </c>
    </row>
    <row r="5716" spans="1:9" ht="51.75" customHeight="1">
      <c r="A5716" s="5" t="s">
        <v>39181</v>
      </c>
      <c r="B5716" s="5" t="s">
        <v>39184</v>
      </c>
      <c r="C5716" s="5" t="s">
        <v>39114</v>
      </c>
      <c r="D5716" s="246">
        <v>43804</v>
      </c>
      <c r="E5716" s="5" t="s">
        <v>39185</v>
      </c>
      <c r="F5716" s="26" t="s">
        <v>23600</v>
      </c>
      <c r="G5716" s="27" t="s">
        <v>15937</v>
      </c>
      <c r="H5716" s="28" t="s">
        <v>15938</v>
      </c>
      <c r="I5716" s="5" t="s">
        <v>1572</v>
      </c>
    </row>
    <row r="5717" spans="1:9" ht="51.75" customHeight="1">
      <c r="A5717" s="5" t="s">
        <v>39186</v>
      </c>
      <c r="B5717" s="5" t="s">
        <v>39187</v>
      </c>
      <c r="C5717" s="5" t="s">
        <v>39114</v>
      </c>
      <c r="D5717" s="246">
        <v>43804</v>
      </c>
      <c r="E5717" s="5" t="s">
        <v>39188</v>
      </c>
      <c r="F5717" s="26" t="s">
        <v>38347</v>
      </c>
      <c r="G5717" s="27" t="s">
        <v>15937</v>
      </c>
      <c r="H5717" s="28" t="s">
        <v>15938</v>
      </c>
      <c r="I5717" s="5" t="s">
        <v>1572</v>
      </c>
    </row>
    <row r="5718" spans="1:9" ht="51.75" customHeight="1">
      <c r="A5718" s="5" t="s">
        <v>39186</v>
      </c>
      <c r="B5718" s="5" t="s">
        <v>39189</v>
      </c>
      <c r="C5718" s="5" t="s">
        <v>39114</v>
      </c>
      <c r="D5718" s="246">
        <v>43804</v>
      </c>
      <c r="E5718" s="5" t="s">
        <v>39190</v>
      </c>
      <c r="F5718" s="26" t="s">
        <v>23600</v>
      </c>
      <c r="G5718" s="27" t="s">
        <v>15937</v>
      </c>
      <c r="H5718" s="28" t="s">
        <v>15938</v>
      </c>
      <c r="I5718" s="5" t="s">
        <v>1572</v>
      </c>
    </row>
    <row r="5719" spans="1:9" ht="51.75" customHeight="1">
      <c r="A5719" s="5" t="s">
        <v>24685</v>
      </c>
      <c r="B5719" s="5" t="s">
        <v>39191</v>
      </c>
      <c r="C5719" s="5" t="s">
        <v>39192</v>
      </c>
      <c r="D5719" s="246">
        <v>43846</v>
      </c>
      <c r="E5719" s="5" t="s">
        <v>39193</v>
      </c>
      <c r="F5719" s="26" t="s">
        <v>38347</v>
      </c>
      <c r="G5719" s="27" t="s">
        <v>15978</v>
      </c>
      <c r="H5719" s="28" t="s">
        <v>15979</v>
      </c>
      <c r="I5719" s="5" t="s">
        <v>1572</v>
      </c>
    </row>
    <row r="5720" spans="1:9" ht="51.75" customHeight="1">
      <c r="A5720" s="5" t="s">
        <v>24685</v>
      </c>
      <c r="B5720" s="5" t="s">
        <v>39194</v>
      </c>
      <c r="C5720" s="5" t="s">
        <v>39192</v>
      </c>
      <c r="D5720" s="246">
        <v>43846</v>
      </c>
      <c r="E5720" s="5" t="s">
        <v>39195</v>
      </c>
      <c r="F5720" s="26" t="s">
        <v>23600</v>
      </c>
      <c r="G5720" s="27" t="s">
        <v>15978</v>
      </c>
      <c r="H5720" s="28" t="s">
        <v>15979</v>
      </c>
      <c r="I5720" s="5" t="s">
        <v>1572</v>
      </c>
    </row>
    <row r="5721" spans="1:9" ht="51.75" customHeight="1">
      <c r="A5721" s="5" t="s">
        <v>24693</v>
      </c>
      <c r="B5721" s="5" t="s">
        <v>39196</v>
      </c>
      <c r="C5721" s="5" t="s">
        <v>39197</v>
      </c>
      <c r="D5721" s="246">
        <v>43846</v>
      </c>
      <c r="E5721" s="5" t="s">
        <v>39198</v>
      </c>
      <c r="F5721" s="26" t="s">
        <v>38347</v>
      </c>
      <c r="G5721" s="27" t="s">
        <v>15978</v>
      </c>
      <c r="H5721" s="28" t="s">
        <v>15979</v>
      </c>
      <c r="I5721" s="5" t="s">
        <v>1572</v>
      </c>
    </row>
    <row r="5722" spans="1:9" ht="51.75" customHeight="1">
      <c r="A5722" s="5" t="s">
        <v>24693</v>
      </c>
      <c r="B5722" s="5" t="s">
        <v>39199</v>
      </c>
      <c r="C5722" s="5" t="s">
        <v>39197</v>
      </c>
      <c r="D5722" s="246">
        <v>43846</v>
      </c>
      <c r="E5722" s="5" t="s">
        <v>39200</v>
      </c>
      <c r="F5722" s="26" t="s">
        <v>23600</v>
      </c>
      <c r="G5722" s="27" t="s">
        <v>15978</v>
      </c>
      <c r="H5722" s="28" t="s">
        <v>15979</v>
      </c>
      <c r="I5722" s="5" t="s">
        <v>1572</v>
      </c>
    </row>
    <row r="5723" spans="1:9" ht="51.75" customHeight="1">
      <c r="A5723" s="5" t="s">
        <v>24926</v>
      </c>
      <c r="B5723" s="5" t="s">
        <v>39201</v>
      </c>
      <c r="C5723" s="5" t="s">
        <v>39192</v>
      </c>
      <c r="D5723" s="246">
        <v>43846</v>
      </c>
      <c r="E5723" s="5" t="s">
        <v>39202</v>
      </c>
      <c r="F5723" s="26" t="s">
        <v>38347</v>
      </c>
      <c r="G5723" s="27" t="s">
        <v>15978</v>
      </c>
      <c r="H5723" s="28" t="s">
        <v>15979</v>
      </c>
      <c r="I5723" s="5" t="s">
        <v>1572</v>
      </c>
    </row>
    <row r="5724" spans="1:9" ht="51.75" customHeight="1">
      <c r="A5724" s="5" t="s">
        <v>24926</v>
      </c>
      <c r="B5724" s="5" t="s">
        <v>39203</v>
      </c>
      <c r="C5724" s="5" t="s">
        <v>39192</v>
      </c>
      <c r="D5724" s="246">
        <v>43846</v>
      </c>
      <c r="E5724" s="5" t="s">
        <v>39204</v>
      </c>
      <c r="F5724" s="26" t="s">
        <v>23600</v>
      </c>
      <c r="G5724" s="27" t="s">
        <v>15978</v>
      </c>
      <c r="H5724" s="28" t="s">
        <v>15979</v>
      </c>
      <c r="I5724" s="5" t="s">
        <v>1572</v>
      </c>
    </row>
    <row r="5725" spans="1:9" ht="51.75" customHeight="1">
      <c r="A5725" s="5" t="s">
        <v>25074</v>
      </c>
      <c r="B5725" s="5" t="s">
        <v>39205</v>
      </c>
      <c r="C5725" s="5" t="s">
        <v>39192</v>
      </c>
      <c r="D5725" s="246">
        <v>43846</v>
      </c>
      <c r="E5725" s="5" t="s">
        <v>39206</v>
      </c>
      <c r="F5725" s="26" t="s">
        <v>38347</v>
      </c>
      <c r="G5725" s="27" t="s">
        <v>15978</v>
      </c>
      <c r="H5725" s="28" t="s">
        <v>15979</v>
      </c>
      <c r="I5725" s="5" t="s">
        <v>1572</v>
      </c>
    </row>
    <row r="5726" spans="1:9" ht="51.75" customHeight="1">
      <c r="A5726" s="5" t="s">
        <v>25074</v>
      </c>
      <c r="B5726" s="5" t="s">
        <v>39207</v>
      </c>
      <c r="C5726" s="5" t="s">
        <v>39192</v>
      </c>
      <c r="D5726" s="246">
        <v>43846</v>
      </c>
      <c r="E5726" s="5" t="s">
        <v>39208</v>
      </c>
      <c r="F5726" s="26" t="s">
        <v>23600</v>
      </c>
      <c r="G5726" s="27" t="s">
        <v>15978</v>
      </c>
      <c r="H5726" s="28" t="s">
        <v>15979</v>
      </c>
      <c r="I5726" s="5" t="s">
        <v>1572</v>
      </c>
    </row>
    <row r="5727" spans="1:9" ht="51.75" customHeight="1">
      <c r="A5727" s="5" t="s">
        <v>26902</v>
      </c>
      <c r="B5727" s="5" t="s">
        <v>39209</v>
      </c>
      <c r="C5727" s="5" t="s">
        <v>39210</v>
      </c>
      <c r="D5727" s="246">
        <v>43853</v>
      </c>
      <c r="E5727" s="5" t="s">
        <v>39211</v>
      </c>
      <c r="F5727" s="26" t="s">
        <v>38347</v>
      </c>
      <c r="G5727" s="27" t="s">
        <v>15994</v>
      </c>
      <c r="H5727" s="28" t="s">
        <v>15995</v>
      </c>
      <c r="I5727" s="5" t="s">
        <v>1572</v>
      </c>
    </row>
    <row r="5728" spans="1:9" ht="51.75" customHeight="1">
      <c r="A5728" s="5" t="s">
        <v>26902</v>
      </c>
      <c r="B5728" s="5" t="s">
        <v>39212</v>
      </c>
      <c r="C5728" s="5" t="s">
        <v>39210</v>
      </c>
      <c r="D5728" s="246">
        <v>43853</v>
      </c>
      <c r="E5728" s="5" t="s">
        <v>39213</v>
      </c>
      <c r="F5728" s="26" t="s">
        <v>23600</v>
      </c>
      <c r="G5728" s="27" t="s">
        <v>15994</v>
      </c>
      <c r="H5728" s="28" t="s">
        <v>15995</v>
      </c>
      <c r="I5728" s="5" t="s">
        <v>1572</v>
      </c>
    </row>
    <row r="5729" spans="1:9" ht="51.75" customHeight="1">
      <c r="A5729" s="5" t="s">
        <v>26509</v>
      </c>
      <c r="B5729" s="5" t="s">
        <v>39214</v>
      </c>
      <c r="C5729" s="5" t="s">
        <v>39210</v>
      </c>
      <c r="D5729" s="246">
        <v>43853</v>
      </c>
      <c r="E5729" s="5" t="s">
        <v>39215</v>
      </c>
      <c r="F5729" s="26" t="s">
        <v>38347</v>
      </c>
      <c r="G5729" s="27" t="s">
        <v>15994</v>
      </c>
      <c r="H5729" s="28" t="s">
        <v>15995</v>
      </c>
      <c r="I5729" s="5" t="s">
        <v>1572</v>
      </c>
    </row>
    <row r="5730" spans="1:9" ht="51.75" customHeight="1">
      <c r="A5730" s="5" t="s">
        <v>26509</v>
      </c>
      <c r="B5730" s="5" t="s">
        <v>39216</v>
      </c>
      <c r="C5730" s="5" t="s">
        <v>39210</v>
      </c>
      <c r="D5730" s="246">
        <v>43853</v>
      </c>
      <c r="E5730" s="5" t="s">
        <v>39217</v>
      </c>
      <c r="F5730" s="26" t="s">
        <v>23600</v>
      </c>
      <c r="G5730" s="27" t="s">
        <v>15994</v>
      </c>
      <c r="H5730" s="28" t="s">
        <v>15995</v>
      </c>
      <c r="I5730" s="5" t="s">
        <v>1572</v>
      </c>
    </row>
    <row r="5731" spans="1:9" ht="51.75" customHeight="1">
      <c r="A5731" s="5" t="s">
        <v>26515</v>
      </c>
      <c r="B5731" s="5" t="s">
        <v>39218</v>
      </c>
      <c r="C5731" s="5" t="s">
        <v>39219</v>
      </c>
      <c r="D5731" s="246" t="s">
        <v>68</v>
      </c>
      <c r="E5731" s="5" t="s">
        <v>39220</v>
      </c>
      <c r="F5731" s="26" t="s">
        <v>38347</v>
      </c>
      <c r="G5731" s="27" t="s">
        <v>16019</v>
      </c>
      <c r="H5731" s="28" t="s">
        <v>16020</v>
      </c>
      <c r="I5731" s="5" t="s">
        <v>1572</v>
      </c>
    </row>
    <row r="5732" spans="1:9" ht="51.75" customHeight="1">
      <c r="A5732" s="5" t="s">
        <v>26515</v>
      </c>
      <c r="B5732" s="5" t="s">
        <v>39221</v>
      </c>
      <c r="C5732" s="5" t="s">
        <v>39219</v>
      </c>
      <c r="D5732" s="246" t="s">
        <v>68</v>
      </c>
      <c r="E5732" s="5" t="s">
        <v>39222</v>
      </c>
      <c r="F5732" s="26" t="s">
        <v>23600</v>
      </c>
      <c r="G5732" s="27" t="s">
        <v>16019</v>
      </c>
      <c r="H5732" s="28" t="s">
        <v>16020</v>
      </c>
      <c r="I5732" s="5" t="s">
        <v>1572</v>
      </c>
    </row>
    <row r="5733" spans="1:9" ht="51.75" customHeight="1">
      <c r="A5733" s="5" t="s">
        <v>26316</v>
      </c>
      <c r="B5733" s="5" t="s">
        <v>39223</v>
      </c>
      <c r="C5733" s="5" t="s">
        <v>39224</v>
      </c>
      <c r="D5733" s="246">
        <v>43852</v>
      </c>
      <c r="E5733" s="5" t="s">
        <v>39225</v>
      </c>
      <c r="F5733" s="26" t="s">
        <v>38347</v>
      </c>
      <c r="G5733" s="27" t="s">
        <v>16019</v>
      </c>
      <c r="H5733" s="28" t="s">
        <v>16020</v>
      </c>
      <c r="I5733" s="5" t="s">
        <v>1572</v>
      </c>
    </row>
    <row r="5734" spans="1:9" ht="51.75" customHeight="1">
      <c r="A5734" s="5" t="s">
        <v>26316</v>
      </c>
      <c r="B5734" s="5" t="s">
        <v>39226</v>
      </c>
      <c r="C5734" s="5" t="s">
        <v>39224</v>
      </c>
      <c r="D5734" s="246">
        <v>43852</v>
      </c>
      <c r="E5734" s="5" t="s">
        <v>39227</v>
      </c>
      <c r="F5734" s="26" t="s">
        <v>23600</v>
      </c>
      <c r="G5734" s="27" t="s">
        <v>16019</v>
      </c>
      <c r="H5734" s="28" t="s">
        <v>16020</v>
      </c>
      <c r="I5734" s="5" t="s">
        <v>1572</v>
      </c>
    </row>
    <row r="5735" spans="1:9" ht="51.75" customHeight="1">
      <c r="A5735" s="5" t="s">
        <v>25145</v>
      </c>
      <c r="B5735" s="5" t="s">
        <v>39228</v>
      </c>
      <c r="C5735" s="5" t="s">
        <v>39229</v>
      </c>
      <c r="D5735" s="246">
        <v>43867</v>
      </c>
      <c r="E5735" s="5" t="s">
        <v>39230</v>
      </c>
      <c r="F5735" s="26" t="s">
        <v>38347</v>
      </c>
      <c r="G5735" s="27" t="s">
        <v>16076</v>
      </c>
      <c r="H5735" s="28" t="s">
        <v>16077</v>
      </c>
      <c r="I5735" s="5" t="s">
        <v>1572</v>
      </c>
    </row>
    <row r="5736" spans="1:9" ht="51.75" customHeight="1">
      <c r="A5736" s="5" t="s">
        <v>25145</v>
      </c>
      <c r="B5736" s="5" t="s">
        <v>39231</v>
      </c>
      <c r="C5736" s="5" t="s">
        <v>39229</v>
      </c>
      <c r="D5736" s="246">
        <v>43867</v>
      </c>
      <c r="E5736" s="5" t="s">
        <v>39232</v>
      </c>
      <c r="F5736" s="26" t="s">
        <v>23600</v>
      </c>
      <c r="G5736" s="27" t="s">
        <v>16076</v>
      </c>
      <c r="H5736" s="28" t="s">
        <v>16077</v>
      </c>
      <c r="I5736" s="5" t="s">
        <v>1572</v>
      </c>
    </row>
    <row r="5737" spans="1:9" ht="51.75" customHeight="1">
      <c r="A5737" s="5" t="s">
        <v>27217</v>
      </c>
      <c r="B5737" s="5" t="s">
        <v>39233</v>
      </c>
      <c r="C5737" s="5" t="s">
        <v>39234</v>
      </c>
      <c r="D5737" s="246">
        <v>43867</v>
      </c>
      <c r="E5737" s="5" t="s">
        <v>39235</v>
      </c>
      <c r="F5737" s="26" t="s">
        <v>38347</v>
      </c>
      <c r="G5737" s="27" t="s">
        <v>16076</v>
      </c>
      <c r="H5737" s="28" t="s">
        <v>16077</v>
      </c>
      <c r="I5737" s="5" t="s">
        <v>1572</v>
      </c>
    </row>
    <row r="5738" spans="1:9" ht="51.75" customHeight="1">
      <c r="A5738" s="5" t="s">
        <v>27217</v>
      </c>
      <c r="B5738" s="5" t="s">
        <v>39236</v>
      </c>
      <c r="C5738" s="5" t="s">
        <v>39234</v>
      </c>
      <c r="D5738" s="246">
        <v>43867</v>
      </c>
      <c r="E5738" s="5" t="s">
        <v>39237</v>
      </c>
      <c r="F5738" s="26" t="s">
        <v>23600</v>
      </c>
      <c r="G5738" s="27" t="s">
        <v>16076</v>
      </c>
      <c r="H5738" s="28" t="s">
        <v>16077</v>
      </c>
      <c r="I5738" s="5" t="s">
        <v>1572</v>
      </c>
    </row>
    <row r="5739" spans="1:9" ht="51.75" customHeight="1">
      <c r="A5739" s="5" t="s">
        <v>29066</v>
      </c>
      <c r="B5739" s="5" t="s">
        <v>39238</v>
      </c>
      <c r="C5739" s="5" t="s">
        <v>39239</v>
      </c>
      <c r="D5739" s="246">
        <v>43643</v>
      </c>
      <c r="E5739" s="5" t="s">
        <v>39240</v>
      </c>
      <c r="F5739" s="26" t="s">
        <v>38347</v>
      </c>
      <c r="G5739" s="27" t="s">
        <v>15295</v>
      </c>
      <c r="H5739" s="28" t="s">
        <v>15296</v>
      </c>
      <c r="I5739" s="5" t="s">
        <v>1572</v>
      </c>
    </row>
    <row r="5740" spans="1:9" ht="51.75" customHeight="1">
      <c r="A5740" s="5" t="s">
        <v>29066</v>
      </c>
      <c r="B5740" s="5" t="s">
        <v>39241</v>
      </c>
      <c r="C5740" s="5" t="s">
        <v>39239</v>
      </c>
      <c r="D5740" s="246">
        <v>43643</v>
      </c>
      <c r="E5740" s="5" t="s">
        <v>39242</v>
      </c>
      <c r="F5740" s="26" t="s">
        <v>23600</v>
      </c>
      <c r="G5740" s="27" t="s">
        <v>15295</v>
      </c>
      <c r="H5740" s="28" t="s">
        <v>15296</v>
      </c>
      <c r="I5740" s="5" t="s">
        <v>1572</v>
      </c>
    </row>
    <row r="5741" spans="1:9" ht="51.75" customHeight="1">
      <c r="A5741" s="5" t="s">
        <v>30111</v>
      </c>
      <c r="B5741" s="5" t="s">
        <v>39243</v>
      </c>
      <c r="C5741" s="5" t="s">
        <v>39244</v>
      </c>
      <c r="D5741" s="246">
        <v>43889</v>
      </c>
      <c r="E5741" s="5" t="s">
        <v>39245</v>
      </c>
      <c r="F5741" s="26" t="s">
        <v>38347</v>
      </c>
      <c r="G5741" s="27" t="s">
        <v>16031</v>
      </c>
      <c r="H5741" s="28" t="s">
        <v>16032</v>
      </c>
      <c r="I5741" s="5" t="s">
        <v>1572</v>
      </c>
    </row>
    <row r="5742" spans="1:9" ht="51.75" customHeight="1">
      <c r="A5742" s="5" t="s">
        <v>30111</v>
      </c>
      <c r="B5742" s="5" t="s">
        <v>39246</v>
      </c>
      <c r="C5742" s="5" t="s">
        <v>39244</v>
      </c>
      <c r="D5742" s="246">
        <v>43889</v>
      </c>
      <c r="E5742" s="5" t="s">
        <v>39247</v>
      </c>
      <c r="F5742" s="26" t="s">
        <v>23600</v>
      </c>
      <c r="G5742" s="27" t="s">
        <v>16031</v>
      </c>
      <c r="H5742" s="28" t="s">
        <v>16032</v>
      </c>
      <c r="I5742" s="5" t="s">
        <v>1572</v>
      </c>
    </row>
    <row r="5743" spans="1:9" ht="51.75" customHeight="1">
      <c r="A5743" s="5" t="s">
        <v>30115</v>
      </c>
      <c r="B5743" s="5" t="s">
        <v>39248</v>
      </c>
      <c r="C5743" s="5" t="s">
        <v>39249</v>
      </c>
      <c r="D5743" s="246">
        <v>43918</v>
      </c>
      <c r="E5743" s="5" t="s">
        <v>39250</v>
      </c>
      <c r="F5743" s="26" t="s">
        <v>38347</v>
      </c>
      <c r="G5743" s="27" t="s">
        <v>16031</v>
      </c>
      <c r="H5743" s="28" t="s">
        <v>16032</v>
      </c>
      <c r="I5743" s="5" t="s">
        <v>1572</v>
      </c>
    </row>
    <row r="5744" spans="1:9" ht="51.75" customHeight="1">
      <c r="A5744" s="5" t="s">
        <v>30115</v>
      </c>
      <c r="B5744" s="5" t="s">
        <v>39251</v>
      </c>
      <c r="C5744" s="5" t="s">
        <v>39249</v>
      </c>
      <c r="D5744" s="246">
        <v>43918</v>
      </c>
      <c r="E5744" s="5" t="s">
        <v>39252</v>
      </c>
      <c r="F5744" s="26" t="s">
        <v>23600</v>
      </c>
      <c r="G5744" s="27" t="s">
        <v>16031</v>
      </c>
      <c r="H5744" s="28" t="s">
        <v>16032</v>
      </c>
      <c r="I5744" s="5" t="s">
        <v>1572</v>
      </c>
    </row>
    <row r="5745" spans="1:9" ht="51.75" customHeight="1">
      <c r="A5745" s="5" t="s">
        <v>30060</v>
      </c>
      <c r="B5745" s="5" t="s">
        <v>39253</v>
      </c>
      <c r="C5745" s="5" t="s">
        <v>39249</v>
      </c>
      <c r="D5745" s="246">
        <v>43889</v>
      </c>
      <c r="E5745" s="5" t="s">
        <v>39254</v>
      </c>
      <c r="F5745" s="26" t="s">
        <v>38347</v>
      </c>
      <c r="G5745" s="27" t="s">
        <v>16031</v>
      </c>
      <c r="H5745" s="28" t="s">
        <v>16032</v>
      </c>
      <c r="I5745" s="5" t="s">
        <v>1572</v>
      </c>
    </row>
    <row r="5746" spans="1:9" ht="51.75" customHeight="1">
      <c r="A5746" s="5" t="s">
        <v>30060</v>
      </c>
      <c r="B5746" s="5" t="s">
        <v>39255</v>
      </c>
      <c r="C5746" s="5" t="s">
        <v>39249</v>
      </c>
      <c r="D5746" s="246">
        <v>43889</v>
      </c>
      <c r="E5746" s="5" t="s">
        <v>39256</v>
      </c>
      <c r="F5746" s="26" t="s">
        <v>23600</v>
      </c>
      <c r="G5746" s="27" t="s">
        <v>16031</v>
      </c>
      <c r="H5746" s="28" t="s">
        <v>16032</v>
      </c>
      <c r="I5746" s="5" t="s">
        <v>1572</v>
      </c>
    </row>
    <row r="5747" spans="1:9" ht="51.75" customHeight="1">
      <c r="A5747" s="5" t="s">
        <v>24515</v>
      </c>
      <c r="B5747" s="5" t="s">
        <v>39257</v>
      </c>
      <c r="C5747" s="5" t="s">
        <v>39258</v>
      </c>
      <c r="D5747" s="246">
        <v>43895</v>
      </c>
      <c r="E5747" s="5" t="s">
        <v>39259</v>
      </c>
      <c r="F5747" s="26" t="s">
        <v>38347</v>
      </c>
      <c r="G5747" s="27" t="s">
        <v>16193</v>
      </c>
      <c r="H5747" s="28" t="s">
        <v>16194</v>
      </c>
      <c r="I5747" s="5" t="s">
        <v>1572</v>
      </c>
    </row>
    <row r="5748" spans="1:9" ht="51.75" customHeight="1">
      <c r="A5748" s="5" t="s">
        <v>24515</v>
      </c>
      <c r="B5748" s="5" t="s">
        <v>39260</v>
      </c>
      <c r="C5748" s="5" t="s">
        <v>39258</v>
      </c>
      <c r="D5748" s="246">
        <v>43895</v>
      </c>
      <c r="E5748" s="5" t="s">
        <v>39261</v>
      </c>
      <c r="F5748" s="26" t="s">
        <v>23600</v>
      </c>
      <c r="G5748" s="27" t="s">
        <v>16193</v>
      </c>
      <c r="H5748" s="28" t="s">
        <v>16194</v>
      </c>
      <c r="I5748" s="5" t="s">
        <v>1572</v>
      </c>
    </row>
    <row r="5749" spans="1:9" ht="51.75" customHeight="1">
      <c r="A5749" s="5" t="s">
        <v>33680</v>
      </c>
      <c r="B5749" s="5" t="s">
        <v>39262</v>
      </c>
      <c r="C5749" s="5" t="s">
        <v>39263</v>
      </c>
      <c r="D5749" s="246">
        <v>43895</v>
      </c>
      <c r="E5749" s="5" t="s">
        <v>39264</v>
      </c>
      <c r="F5749" s="26" t="s">
        <v>38347</v>
      </c>
      <c r="G5749" s="27" t="s">
        <v>16193</v>
      </c>
      <c r="H5749" s="28" t="s">
        <v>16194</v>
      </c>
      <c r="I5749" s="5" t="s">
        <v>1572</v>
      </c>
    </row>
    <row r="5750" spans="1:9" ht="51.75" customHeight="1">
      <c r="A5750" s="5" t="s">
        <v>33680</v>
      </c>
      <c r="B5750" s="5" t="s">
        <v>39265</v>
      </c>
      <c r="C5750" s="5" t="s">
        <v>39263</v>
      </c>
      <c r="D5750" s="246">
        <v>43895</v>
      </c>
      <c r="E5750" s="5" t="s">
        <v>39266</v>
      </c>
      <c r="F5750" s="26" t="s">
        <v>23600</v>
      </c>
      <c r="G5750" s="27" t="s">
        <v>16193</v>
      </c>
      <c r="H5750" s="28" t="s">
        <v>16194</v>
      </c>
      <c r="I5750" s="5" t="s">
        <v>1572</v>
      </c>
    </row>
    <row r="5751" spans="1:9" ht="51.75" customHeight="1">
      <c r="A5751" s="5" t="s">
        <v>24303</v>
      </c>
      <c r="B5751" s="5" t="s">
        <v>39267</v>
      </c>
      <c r="C5751" s="5" t="s">
        <v>39268</v>
      </c>
      <c r="D5751" s="246">
        <v>43895</v>
      </c>
      <c r="E5751" s="5" t="s">
        <v>39269</v>
      </c>
      <c r="F5751" s="26" t="s">
        <v>38347</v>
      </c>
      <c r="G5751" s="27" t="s">
        <v>16193</v>
      </c>
      <c r="H5751" s="28" t="s">
        <v>16194</v>
      </c>
      <c r="I5751" s="5" t="s">
        <v>1572</v>
      </c>
    </row>
    <row r="5752" spans="1:9" ht="51.75" customHeight="1">
      <c r="A5752" s="5" t="s">
        <v>24303</v>
      </c>
      <c r="B5752" s="5" t="s">
        <v>39270</v>
      </c>
      <c r="C5752" s="5" t="s">
        <v>39268</v>
      </c>
      <c r="D5752" s="246">
        <v>43895</v>
      </c>
      <c r="E5752" s="5" t="s">
        <v>39271</v>
      </c>
      <c r="F5752" s="26" t="s">
        <v>23600</v>
      </c>
      <c r="G5752" s="27" t="s">
        <v>16193</v>
      </c>
      <c r="H5752" s="28" t="s">
        <v>16194</v>
      </c>
      <c r="I5752" s="5" t="s">
        <v>1572</v>
      </c>
    </row>
    <row r="5753" spans="1:9" ht="51.75" customHeight="1">
      <c r="A5753" s="5" t="s">
        <v>24315</v>
      </c>
      <c r="B5753" s="5" t="s">
        <v>39272</v>
      </c>
      <c r="C5753" s="5" t="s">
        <v>39273</v>
      </c>
      <c r="D5753" s="246">
        <v>43895</v>
      </c>
      <c r="E5753" s="5" t="s">
        <v>39274</v>
      </c>
      <c r="F5753" s="26" t="s">
        <v>38347</v>
      </c>
      <c r="G5753" s="27" t="s">
        <v>16193</v>
      </c>
      <c r="H5753" s="28" t="s">
        <v>16194</v>
      </c>
      <c r="I5753" s="5" t="s">
        <v>1572</v>
      </c>
    </row>
    <row r="5754" spans="1:9" ht="51.75" customHeight="1">
      <c r="A5754" s="5" t="s">
        <v>24315</v>
      </c>
      <c r="B5754" s="5" t="s">
        <v>39275</v>
      </c>
      <c r="C5754" s="5" t="s">
        <v>39273</v>
      </c>
      <c r="D5754" s="246">
        <v>43895</v>
      </c>
      <c r="E5754" s="5" t="s">
        <v>39276</v>
      </c>
      <c r="F5754" s="26" t="s">
        <v>23600</v>
      </c>
      <c r="G5754" s="27" t="s">
        <v>16193</v>
      </c>
      <c r="H5754" s="28" t="s">
        <v>16194</v>
      </c>
      <c r="I5754" s="5" t="s">
        <v>1572</v>
      </c>
    </row>
    <row r="5755" spans="1:9" ht="51.75" customHeight="1">
      <c r="A5755" s="5" t="s">
        <v>27767</v>
      </c>
      <c r="B5755" s="5" t="s">
        <v>39277</v>
      </c>
      <c r="C5755" s="5" t="s">
        <v>39278</v>
      </c>
      <c r="D5755" s="246">
        <v>43895</v>
      </c>
      <c r="E5755" s="5" t="s">
        <v>39279</v>
      </c>
      <c r="F5755" s="26" t="s">
        <v>38347</v>
      </c>
      <c r="G5755" s="27" t="s">
        <v>16193</v>
      </c>
      <c r="H5755" s="28" t="s">
        <v>16194</v>
      </c>
      <c r="I5755" s="5" t="s">
        <v>1572</v>
      </c>
    </row>
    <row r="5756" spans="1:9" ht="51.75" customHeight="1">
      <c r="A5756" s="5" t="s">
        <v>27767</v>
      </c>
      <c r="B5756" s="5" t="s">
        <v>39280</v>
      </c>
      <c r="C5756" s="5" t="s">
        <v>39278</v>
      </c>
      <c r="D5756" s="246">
        <v>43895</v>
      </c>
      <c r="E5756" s="5" t="s">
        <v>39281</v>
      </c>
      <c r="F5756" s="26" t="s">
        <v>23600</v>
      </c>
      <c r="G5756" s="27" t="s">
        <v>16193</v>
      </c>
      <c r="H5756" s="28" t="s">
        <v>16194</v>
      </c>
      <c r="I5756" s="5" t="s">
        <v>1572</v>
      </c>
    </row>
    <row r="5757" spans="1:9" ht="51.75" customHeight="1">
      <c r="A5757" s="5" t="s">
        <v>25511</v>
      </c>
      <c r="B5757" s="5" t="s">
        <v>39282</v>
      </c>
      <c r="C5757" s="5" t="s">
        <v>39283</v>
      </c>
      <c r="D5757" s="246">
        <v>43895</v>
      </c>
      <c r="E5757" s="5" t="s">
        <v>39284</v>
      </c>
      <c r="F5757" s="26" t="s">
        <v>38347</v>
      </c>
      <c r="G5757" s="27" t="s">
        <v>16193</v>
      </c>
      <c r="H5757" s="28" t="s">
        <v>16194</v>
      </c>
      <c r="I5757" s="5" t="s">
        <v>1572</v>
      </c>
    </row>
    <row r="5758" spans="1:9" ht="51.75" customHeight="1">
      <c r="A5758" s="5" t="s">
        <v>25511</v>
      </c>
      <c r="B5758" s="5" t="s">
        <v>39285</v>
      </c>
      <c r="C5758" s="5" t="s">
        <v>39283</v>
      </c>
      <c r="D5758" s="246">
        <v>43895</v>
      </c>
      <c r="E5758" s="5" t="s">
        <v>39286</v>
      </c>
      <c r="F5758" s="26" t="s">
        <v>23600</v>
      </c>
      <c r="G5758" s="27" t="s">
        <v>16193</v>
      </c>
      <c r="H5758" s="28" t="s">
        <v>16194</v>
      </c>
      <c r="I5758" s="5" t="s">
        <v>1572</v>
      </c>
    </row>
    <row r="5759" spans="1:9" ht="51.75" customHeight="1">
      <c r="A5759" s="5" t="s">
        <v>25331</v>
      </c>
      <c r="B5759" s="5" t="s">
        <v>39287</v>
      </c>
      <c r="C5759" s="5" t="s">
        <v>39288</v>
      </c>
      <c r="D5759" s="246">
        <v>43895</v>
      </c>
      <c r="E5759" s="5" t="s">
        <v>39289</v>
      </c>
      <c r="F5759" s="26" t="s">
        <v>38347</v>
      </c>
      <c r="G5759" s="27" t="s">
        <v>16224</v>
      </c>
      <c r="H5759" s="28" t="s">
        <v>16225</v>
      </c>
      <c r="I5759" s="5" t="s">
        <v>1572</v>
      </c>
    </row>
    <row r="5760" spans="1:9" ht="51.75" customHeight="1">
      <c r="A5760" s="5" t="s">
        <v>25331</v>
      </c>
      <c r="B5760" s="5" t="s">
        <v>39290</v>
      </c>
      <c r="C5760" s="5" t="s">
        <v>39288</v>
      </c>
      <c r="D5760" s="246">
        <v>43895</v>
      </c>
      <c r="E5760" s="5" t="s">
        <v>39291</v>
      </c>
      <c r="F5760" s="26" t="s">
        <v>23600</v>
      </c>
      <c r="G5760" s="27" t="s">
        <v>16224</v>
      </c>
      <c r="H5760" s="28" t="s">
        <v>16225</v>
      </c>
      <c r="I5760" s="5" t="s">
        <v>1572</v>
      </c>
    </row>
    <row r="5761" spans="1:9" ht="51.75" customHeight="1">
      <c r="A5761" s="5" t="s">
        <v>25335</v>
      </c>
      <c r="B5761" s="5" t="s">
        <v>39292</v>
      </c>
      <c r="C5761" s="5" t="s">
        <v>39293</v>
      </c>
      <c r="D5761" s="246">
        <v>43913</v>
      </c>
      <c r="E5761" s="5" t="s">
        <v>39294</v>
      </c>
      <c r="F5761" s="26" t="s">
        <v>38347</v>
      </c>
      <c r="G5761" s="27" t="s">
        <v>16270</v>
      </c>
      <c r="H5761" s="28" t="s">
        <v>16271</v>
      </c>
      <c r="I5761" s="5" t="s">
        <v>1572</v>
      </c>
    </row>
    <row r="5762" spans="1:9" ht="51.75" customHeight="1">
      <c r="A5762" s="5" t="s">
        <v>25335</v>
      </c>
      <c r="B5762" s="5" t="s">
        <v>39295</v>
      </c>
      <c r="C5762" s="5" t="s">
        <v>39293</v>
      </c>
      <c r="D5762" s="246">
        <v>43913</v>
      </c>
      <c r="E5762" s="5" t="s">
        <v>39296</v>
      </c>
      <c r="F5762" s="26" t="s">
        <v>23600</v>
      </c>
      <c r="G5762" s="27" t="s">
        <v>16270</v>
      </c>
      <c r="H5762" s="28" t="s">
        <v>16271</v>
      </c>
      <c r="I5762" s="5" t="s">
        <v>1572</v>
      </c>
    </row>
    <row r="5763" spans="1:9" ht="51.75" customHeight="1">
      <c r="A5763" s="5" t="s">
        <v>25339</v>
      </c>
      <c r="B5763" s="5" t="s">
        <v>39297</v>
      </c>
      <c r="C5763" s="5" t="s">
        <v>39298</v>
      </c>
      <c r="D5763" s="246">
        <v>43913</v>
      </c>
      <c r="E5763" s="5" t="s">
        <v>39299</v>
      </c>
      <c r="F5763" s="26" t="s">
        <v>38347</v>
      </c>
      <c r="G5763" s="27" t="s">
        <v>16270</v>
      </c>
      <c r="H5763" s="28" t="s">
        <v>16271</v>
      </c>
      <c r="I5763" s="5" t="s">
        <v>1572</v>
      </c>
    </row>
    <row r="5764" spans="1:9" ht="51.75" customHeight="1">
      <c r="A5764" s="5" t="s">
        <v>25339</v>
      </c>
      <c r="B5764" s="5" t="s">
        <v>39300</v>
      </c>
      <c r="C5764" s="5" t="s">
        <v>39298</v>
      </c>
      <c r="D5764" s="246">
        <v>43913</v>
      </c>
      <c r="E5764" s="5" t="s">
        <v>39301</v>
      </c>
      <c r="F5764" s="26" t="s">
        <v>23600</v>
      </c>
      <c r="G5764" s="27" t="s">
        <v>16270</v>
      </c>
      <c r="H5764" s="28" t="s">
        <v>16271</v>
      </c>
      <c r="I5764" s="5" t="s">
        <v>1572</v>
      </c>
    </row>
    <row r="5765" spans="1:9" ht="51.75" customHeight="1">
      <c r="A5765" s="5" t="s">
        <v>25105</v>
      </c>
      <c r="B5765" s="5" t="s">
        <v>39302</v>
      </c>
      <c r="C5765" s="5" t="s">
        <v>39303</v>
      </c>
      <c r="D5765" s="246">
        <v>43944</v>
      </c>
      <c r="E5765" s="5" t="s">
        <v>39304</v>
      </c>
      <c r="F5765" s="26" t="s">
        <v>38347</v>
      </c>
      <c r="G5765" s="27" t="s">
        <v>16270</v>
      </c>
      <c r="H5765" s="28" t="s">
        <v>16271</v>
      </c>
      <c r="I5765" s="5" t="s">
        <v>1572</v>
      </c>
    </row>
    <row r="5766" spans="1:9" ht="51.75" customHeight="1">
      <c r="A5766" s="5" t="s">
        <v>25105</v>
      </c>
      <c r="B5766" s="5" t="s">
        <v>39305</v>
      </c>
      <c r="C5766" s="5" t="s">
        <v>39303</v>
      </c>
      <c r="D5766" s="246">
        <v>43944</v>
      </c>
      <c r="E5766" s="5" t="s">
        <v>39306</v>
      </c>
      <c r="F5766" s="26" t="s">
        <v>23600</v>
      </c>
      <c r="G5766" s="27" t="s">
        <v>16270</v>
      </c>
      <c r="H5766" s="28" t="s">
        <v>16271</v>
      </c>
      <c r="I5766" s="5" t="s">
        <v>1572</v>
      </c>
    </row>
    <row r="5767" spans="1:9" ht="51.75" customHeight="1">
      <c r="A5767" s="5" t="s">
        <v>25109</v>
      </c>
      <c r="B5767" s="5" t="s">
        <v>39307</v>
      </c>
      <c r="C5767" s="5" t="s">
        <v>39308</v>
      </c>
      <c r="D5767" s="246">
        <v>43913</v>
      </c>
      <c r="E5767" s="5" t="s">
        <v>39309</v>
      </c>
      <c r="F5767" s="26" t="s">
        <v>38347</v>
      </c>
      <c r="G5767" s="27" t="s">
        <v>16270</v>
      </c>
      <c r="H5767" s="28" t="s">
        <v>16271</v>
      </c>
      <c r="I5767" s="5" t="s">
        <v>1572</v>
      </c>
    </row>
    <row r="5768" spans="1:9" ht="51.75" customHeight="1">
      <c r="A5768" s="5" t="s">
        <v>25109</v>
      </c>
      <c r="B5768" s="5" t="s">
        <v>39310</v>
      </c>
      <c r="C5768" s="5" t="s">
        <v>39308</v>
      </c>
      <c r="D5768" s="246">
        <v>43913</v>
      </c>
      <c r="E5768" s="5" t="s">
        <v>39311</v>
      </c>
      <c r="F5768" s="26" t="s">
        <v>23600</v>
      </c>
      <c r="G5768" s="27" t="s">
        <v>16270</v>
      </c>
      <c r="H5768" s="28" t="s">
        <v>16271</v>
      </c>
      <c r="I5768" s="5" t="s">
        <v>1572</v>
      </c>
    </row>
    <row r="5769" spans="1:9" ht="51.75" customHeight="1">
      <c r="A5769" s="5" t="s">
        <v>25113</v>
      </c>
      <c r="B5769" s="5" t="s">
        <v>39312</v>
      </c>
      <c r="C5769" s="5" t="s">
        <v>39313</v>
      </c>
      <c r="D5769" s="246">
        <v>43913</v>
      </c>
      <c r="E5769" s="5" t="s">
        <v>39314</v>
      </c>
      <c r="F5769" s="26" t="s">
        <v>38347</v>
      </c>
      <c r="G5769" s="27" t="s">
        <v>16270</v>
      </c>
      <c r="H5769" s="28" t="s">
        <v>16271</v>
      </c>
      <c r="I5769" s="5" t="s">
        <v>1572</v>
      </c>
    </row>
    <row r="5770" spans="1:9" ht="51.75" customHeight="1">
      <c r="A5770" s="5" t="s">
        <v>25113</v>
      </c>
      <c r="B5770" s="5" t="s">
        <v>39315</v>
      </c>
      <c r="C5770" s="5" t="s">
        <v>39313</v>
      </c>
      <c r="D5770" s="246">
        <v>43913</v>
      </c>
      <c r="E5770" s="5" t="s">
        <v>39316</v>
      </c>
      <c r="F5770" s="26" t="s">
        <v>23600</v>
      </c>
      <c r="G5770" s="27" t="s">
        <v>16270</v>
      </c>
      <c r="H5770" s="28" t="s">
        <v>16271</v>
      </c>
      <c r="I5770" s="5" t="s">
        <v>1572</v>
      </c>
    </row>
    <row r="5771" spans="1:9" ht="51.75" customHeight="1">
      <c r="A5771" s="5" t="s">
        <v>25346</v>
      </c>
      <c r="B5771" s="5" t="s">
        <v>39317</v>
      </c>
      <c r="C5771" s="5" t="s">
        <v>39318</v>
      </c>
      <c r="D5771" s="246">
        <v>43913</v>
      </c>
      <c r="E5771" s="5" t="s">
        <v>39319</v>
      </c>
      <c r="F5771" s="26" t="s">
        <v>38347</v>
      </c>
      <c r="G5771" s="27" t="s">
        <v>16270</v>
      </c>
      <c r="H5771" s="28" t="s">
        <v>16271</v>
      </c>
      <c r="I5771" s="5" t="s">
        <v>1572</v>
      </c>
    </row>
    <row r="5772" spans="1:9" ht="51.75" customHeight="1">
      <c r="A5772" s="5" t="s">
        <v>25346</v>
      </c>
      <c r="B5772" s="5" t="s">
        <v>39320</v>
      </c>
      <c r="C5772" s="5" t="s">
        <v>39318</v>
      </c>
      <c r="D5772" s="246">
        <v>43913</v>
      </c>
      <c r="E5772" s="5" t="s">
        <v>39321</v>
      </c>
      <c r="F5772" s="26" t="s">
        <v>23600</v>
      </c>
      <c r="G5772" s="27" t="s">
        <v>16270</v>
      </c>
      <c r="H5772" s="28" t="s">
        <v>16271</v>
      </c>
      <c r="I5772" s="5" t="s">
        <v>1572</v>
      </c>
    </row>
    <row r="5773" spans="1:9" ht="51.75" customHeight="1">
      <c r="A5773" s="5" t="s">
        <v>29929</v>
      </c>
      <c r="B5773" s="5" t="s">
        <v>39322</v>
      </c>
      <c r="C5773" s="5" t="s">
        <v>39323</v>
      </c>
      <c r="D5773" s="246">
        <v>43913</v>
      </c>
      <c r="E5773" s="5" t="s">
        <v>39324</v>
      </c>
      <c r="F5773" s="26" t="s">
        <v>38347</v>
      </c>
      <c r="G5773" s="27" t="s">
        <v>16270</v>
      </c>
      <c r="H5773" s="28" t="s">
        <v>16271</v>
      </c>
      <c r="I5773" s="5" t="s">
        <v>1572</v>
      </c>
    </row>
    <row r="5774" spans="1:9" ht="51.75" customHeight="1">
      <c r="A5774" s="5" t="s">
        <v>29929</v>
      </c>
      <c r="B5774" s="5" t="s">
        <v>39325</v>
      </c>
      <c r="C5774" s="5" t="s">
        <v>39323</v>
      </c>
      <c r="D5774" s="246">
        <v>43913</v>
      </c>
      <c r="E5774" s="5" t="s">
        <v>39326</v>
      </c>
      <c r="F5774" s="26" t="s">
        <v>23600</v>
      </c>
      <c r="G5774" s="27" t="s">
        <v>16270</v>
      </c>
      <c r="H5774" s="28" t="s">
        <v>16271</v>
      </c>
      <c r="I5774" s="5" t="s">
        <v>1572</v>
      </c>
    </row>
    <row r="5775" spans="1:9" ht="51.75" customHeight="1">
      <c r="A5775" s="5" t="s">
        <v>25354</v>
      </c>
      <c r="B5775" s="5" t="s">
        <v>39327</v>
      </c>
      <c r="C5775" s="5" t="s">
        <v>39328</v>
      </c>
      <c r="D5775" s="246">
        <v>43913</v>
      </c>
      <c r="E5775" s="5" t="s">
        <v>39329</v>
      </c>
      <c r="F5775" s="26" t="s">
        <v>38347</v>
      </c>
      <c r="G5775" s="27" t="s">
        <v>16270</v>
      </c>
      <c r="H5775" s="28" t="s">
        <v>16271</v>
      </c>
      <c r="I5775" s="5" t="s">
        <v>1572</v>
      </c>
    </row>
    <row r="5776" spans="1:9" ht="51.75" customHeight="1">
      <c r="A5776" s="5" t="s">
        <v>25354</v>
      </c>
      <c r="B5776" s="5" t="s">
        <v>39330</v>
      </c>
      <c r="C5776" s="5" t="s">
        <v>39328</v>
      </c>
      <c r="D5776" s="246">
        <v>43913</v>
      </c>
      <c r="E5776" s="5" t="s">
        <v>39331</v>
      </c>
      <c r="F5776" s="26" t="s">
        <v>23600</v>
      </c>
      <c r="G5776" s="27" t="s">
        <v>16270</v>
      </c>
      <c r="H5776" s="28" t="s">
        <v>16271</v>
      </c>
      <c r="I5776" s="5" t="s">
        <v>1572</v>
      </c>
    </row>
    <row r="5777" spans="1:9" ht="51.75" customHeight="1">
      <c r="A5777" s="5" t="s">
        <v>25090</v>
      </c>
      <c r="B5777" s="5" t="s">
        <v>39332</v>
      </c>
      <c r="C5777" s="5" t="s">
        <v>39333</v>
      </c>
      <c r="D5777" s="246">
        <v>43924</v>
      </c>
      <c r="E5777" s="5" t="s">
        <v>39334</v>
      </c>
      <c r="F5777" s="26" t="s">
        <v>38347</v>
      </c>
      <c r="G5777" s="27" t="s">
        <v>16296</v>
      </c>
      <c r="H5777" s="28" t="s">
        <v>16297</v>
      </c>
      <c r="I5777" s="5" t="s">
        <v>1572</v>
      </c>
    </row>
    <row r="5778" spans="1:9" ht="51.75" customHeight="1">
      <c r="A5778" s="5" t="s">
        <v>25090</v>
      </c>
      <c r="B5778" s="5" t="s">
        <v>39335</v>
      </c>
      <c r="C5778" s="5" t="s">
        <v>39333</v>
      </c>
      <c r="D5778" s="246">
        <v>43924</v>
      </c>
      <c r="E5778" s="5" t="s">
        <v>39336</v>
      </c>
      <c r="F5778" s="26" t="s">
        <v>23600</v>
      </c>
      <c r="G5778" s="27" t="s">
        <v>16296</v>
      </c>
      <c r="H5778" s="28" t="s">
        <v>16297</v>
      </c>
      <c r="I5778" s="5" t="s">
        <v>1572</v>
      </c>
    </row>
    <row r="5779" spans="1:9" ht="51.75" customHeight="1">
      <c r="A5779" s="5" t="s">
        <v>27272</v>
      </c>
      <c r="B5779" s="5" t="s">
        <v>39337</v>
      </c>
      <c r="C5779" s="5" t="s">
        <v>39338</v>
      </c>
      <c r="D5779" s="246">
        <v>43924</v>
      </c>
      <c r="E5779" s="5" t="s">
        <v>39339</v>
      </c>
      <c r="F5779" s="26" t="s">
        <v>23600</v>
      </c>
      <c r="G5779" s="27" t="s">
        <v>16296</v>
      </c>
      <c r="H5779" s="28" t="s">
        <v>16297</v>
      </c>
      <c r="I5779" s="5" t="s">
        <v>1572</v>
      </c>
    </row>
    <row r="5780" spans="1:9" ht="51.75" customHeight="1">
      <c r="A5780" s="5" t="s">
        <v>27272</v>
      </c>
      <c r="B5780" s="5" t="s">
        <v>39340</v>
      </c>
      <c r="C5780" s="5" t="s">
        <v>39338</v>
      </c>
      <c r="D5780" s="246">
        <v>43924</v>
      </c>
      <c r="E5780" s="5" t="s">
        <v>39341</v>
      </c>
      <c r="F5780" s="26" t="s">
        <v>38347</v>
      </c>
      <c r="G5780" s="27" t="s">
        <v>16296</v>
      </c>
      <c r="H5780" s="28" t="s">
        <v>16297</v>
      </c>
      <c r="I5780" s="5" t="s">
        <v>1572</v>
      </c>
    </row>
    <row r="5781" spans="1:9" ht="51.75" customHeight="1">
      <c r="A5781" s="5" t="s">
        <v>33981</v>
      </c>
      <c r="B5781" s="5" t="s">
        <v>39342</v>
      </c>
      <c r="C5781" s="5" t="s">
        <v>39343</v>
      </c>
      <c r="D5781" s="246">
        <v>43934</v>
      </c>
      <c r="E5781" s="5" t="s">
        <v>39344</v>
      </c>
      <c r="F5781" s="26" t="s">
        <v>38347</v>
      </c>
      <c r="G5781" s="27" t="s">
        <v>16368</v>
      </c>
      <c r="H5781" s="28" t="s">
        <v>16369</v>
      </c>
      <c r="I5781" s="5" t="s">
        <v>1572</v>
      </c>
    </row>
    <row r="5782" spans="1:9" ht="51.75" customHeight="1">
      <c r="A5782" s="5" t="s">
        <v>33981</v>
      </c>
      <c r="B5782" s="5" t="s">
        <v>39345</v>
      </c>
      <c r="C5782" s="5" t="s">
        <v>39343</v>
      </c>
      <c r="D5782" s="246">
        <v>43934</v>
      </c>
      <c r="E5782" s="5" t="s">
        <v>39346</v>
      </c>
      <c r="F5782" s="26" t="s">
        <v>23600</v>
      </c>
      <c r="G5782" s="27" t="s">
        <v>16368</v>
      </c>
      <c r="H5782" s="28" t="s">
        <v>16369</v>
      </c>
      <c r="I5782" s="5" t="s">
        <v>1572</v>
      </c>
    </row>
    <row r="5783" spans="1:9" ht="51.75" customHeight="1">
      <c r="A5783" s="5" t="s">
        <v>30132</v>
      </c>
      <c r="B5783" s="5" t="s">
        <v>39347</v>
      </c>
      <c r="C5783" s="5" t="s">
        <v>39343</v>
      </c>
      <c r="D5783" s="246">
        <v>43934</v>
      </c>
      <c r="E5783" s="5" t="s">
        <v>39348</v>
      </c>
      <c r="F5783" s="26" t="s">
        <v>38347</v>
      </c>
      <c r="G5783" s="27" t="s">
        <v>16368</v>
      </c>
      <c r="H5783" s="28" t="s">
        <v>16369</v>
      </c>
      <c r="I5783" s="5" t="s">
        <v>1572</v>
      </c>
    </row>
    <row r="5784" spans="1:9" ht="51.75" customHeight="1">
      <c r="A5784" s="5" t="s">
        <v>30132</v>
      </c>
      <c r="B5784" s="5" t="s">
        <v>39349</v>
      </c>
      <c r="C5784" s="5" t="s">
        <v>39343</v>
      </c>
      <c r="D5784" s="246">
        <v>43934</v>
      </c>
      <c r="E5784" s="5" t="s">
        <v>39350</v>
      </c>
      <c r="F5784" s="26" t="s">
        <v>23600</v>
      </c>
      <c r="G5784" s="27" t="s">
        <v>16368</v>
      </c>
      <c r="H5784" s="28" t="s">
        <v>16369</v>
      </c>
      <c r="I5784" s="5" t="s">
        <v>1572</v>
      </c>
    </row>
    <row r="5785" spans="1:9" ht="51.75" customHeight="1">
      <c r="A5785" s="5" t="s">
        <v>23612</v>
      </c>
      <c r="B5785" s="5" t="s">
        <v>39351</v>
      </c>
      <c r="C5785" s="5" t="s">
        <v>39352</v>
      </c>
      <c r="D5785" s="246">
        <v>43845</v>
      </c>
      <c r="E5785" s="5" t="s">
        <v>39353</v>
      </c>
      <c r="F5785" s="26" t="s">
        <v>38347</v>
      </c>
      <c r="G5785" s="27" t="s">
        <v>16356</v>
      </c>
      <c r="H5785" s="28" t="s">
        <v>16357</v>
      </c>
      <c r="I5785" s="5" t="s">
        <v>1572</v>
      </c>
    </row>
    <row r="5786" spans="1:9" ht="51.75" customHeight="1">
      <c r="A5786" s="5" t="s">
        <v>23612</v>
      </c>
      <c r="B5786" s="5" t="s">
        <v>39354</v>
      </c>
      <c r="C5786" s="5" t="s">
        <v>39352</v>
      </c>
      <c r="D5786" s="246">
        <v>43845</v>
      </c>
      <c r="E5786" s="5" t="s">
        <v>39355</v>
      </c>
      <c r="F5786" s="26" t="s">
        <v>23600</v>
      </c>
      <c r="G5786" s="27" t="s">
        <v>16356</v>
      </c>
      <c r="H5786" s="28" t="s">
        <v>16357</v>
      </c>
      <c r="I5786" s="5" t="s">
        <v>1572</v>
      </c>
    </row>
    <row r="5787" spans="1:9" ht="51.75" customHeight="1">
      <c r="A5787" s="5" t="s">
        <v>23828</v>
      </c>
      <c r="B5787" s="5" t="s">
        <v>39356</v>
      </c>
      <c r="C5787" s="5" t="s">
        <v>39357</v>
      </c>
      <c r="D5787" s="246">
        <v>43956</v>
      </c>
      <c r="E5787" s="5" t="s">
        <v>39358</v>
      </c>
      <c r="F5787" s="26" t="s">
        <v>38347</v>
      </c>
      <c r="G5787" s="27" t="s">
        <v>16392</v>
      </c>
      <c r="H5787" s="28" t="s">
        <v>16393</v>
      </c>
      <c r="I5787" s="5" t="s">
        <v>1572</v>
      </c>
    </row>
    <row r="5788" spans="1:9" ht="51.75" customHeight="1">
      <c r="A5788" s="5" t="s">
        <v>23828</v>
      </c>
      <c r="B5788" s="5" t="s">
        <v>39359</v>
      </c>
      <c r="C5788" s="5" t="s">
        <v>39357</v>
      </c>
      <c r="D5788" s="246">
        <v>43956</v>
      </c>
      <c r="E5788" s="5" t="s">
        <v>39360</v>
      </c>
      <c r="F5788" s="26" t="s">
        <v>23600</v>
      </c>
      <c r="G5788" s="27" t="s">
        <v>16392</v>
      </c>
      <c r="H5788" s="28" t="s">
        <v>16393</v>
      </c>
      <c r="I5788" s="5" t="s">
        <v>1572</v>
      </c>
    </row>
    <row r="5789" spans="1:9" ht="51.75" customHeight="1">
      <c r="A5789" s="5" t="s">
        <v>33655</v>
      </c>
      <c r="B5789" s="5" t="s">
        <v>39361</v>
      </c>
      <c r="C5789" s="5" t="s">
        <v>39357</v>
      </c>
      <c r="D5789" s="246">
        <v>43956</v>
      </c>
      <c r="E5789" s="5" t="s">
        <v>39362</v>
      </c>
      <c r="F5789" s="26" t="s">
        <v>38347</v>
      </c>
      <c r="G5789" s="27" t="s">
        <v>16392</v>
      </c>
      <c r="H5789" s="28" t="s">
        <v>16393</v>
      </c>
      <c r="I5789" s="5" t="s">
        <v>1572</v>
      </c>
    </row>
    <row r="5790" spans="1:9" ht="51.75" customHeight="1">
      <c r="A5790" s="5" t="s">
        <v>33655</v>
      </c>
      <c r="B5790" s="5" t="s">
        <v>39363</v>
      </c>
      <c r="C5790" s="5" t="s">
        <v>39357</v>
      </c>
      <c r="D5790" s="246">
        <v>43956</v>
      </c>
      <c r="E5790" s="5" t="s">
        <v>39364</v>
      </c>
      <c r="F5790" s="26" t="s">
        <v>23600</v>
      </c>
      <c r="G5790" s="27" t="s">
        <v>16392</v>
      </c>
      <c r="H5790" s="28" t="s">
        <v>16393</v>
      </c>
      <c r="I5790" s="5" t="s">
        <v>1572</v>
      </c>
    </row>
    <row r="5791" spans="1:9" ht="51.75" customHeight="1">
      <c r="A5791" s="5" t="s">
        <v>24487</v>
      </c>
      <c r="B5791" s="5" t="s">
        <v>39365</v>
      </c>
      <c r="C5791" s="5" t="s">
        <v>39357</v>
      </c>
      <c r="D5791" s="246">
        <v>43956</v>
      </c>
      <c r="E5791" s="5" t="s">
        <v>39366</v>
      </c>
      <c r="F5791" s="26" t="s">
        <v>38347</v>
      </c>
      <c r="G5791" s="27" t="s">
        <v>16392</v>
      </c>
      <c r="H5791" s="28" t="s">
        <v>16393</v>
      </c>
      <c r="I5791" s="5" t="s">
        <v>1572</v>
      </c>
    </row>
    <row r="5792" spans="1:9" ht="51.75" customHeight="1">
      <c r="A5792" s="5" t="s">
        <v>24487</v>
      </c>
      <c r="B5792" s="5" t="s">
        <v>39367</v>
      </c>
      <c r="C5792" s="5" t="s">
        <v>39357</v>
      </c>
      <c r="D5792" s="246">
        <v>43956</v>
      </c>
      <c r="E5792" s="5" t="s">
        <v>39368</v>
      </c>
      <c r="F5792" s="26" t="s">
        <v>23600</v>
      </c>
      <c r="G5792" s="27" t="s">
        <v>16392</v>
      </c>
      <c r="H5792" s="28" t="s">
        <v>16393</v>
      </c>
      <c r="I5792" s="5" t="s">
        <v>1572</v>
      </c>
    </row>
    <row r="5793" spans="1:9" ht="51.75" customHeight="1">
      <c r="A5793" s="5" t="s">
        <v>24499</v>
      </c>
      <c r="B5793" s="5" t="s">
        <v>39369</v>
      </c>
      <c r="C5793" s="5" t="s">
        <v>39357</v>
      </c>
      <c r="D5793" s="246">
        <v>43956</v>
      </c>
      <c r="E5793" s="5" t="s">
        <v>39370</v>
      </c>
      <c r="F5793" s="26" t="s">
        <v>38347</v>
      </c>
      <c r="G5793" s="27" t="s">
        <v>16392</v>
      </c>
      <c r="H5793" s="28" t="s">
        <v>16393</v>
      </c>
      <c r="I5793" s="5" t="s">
        <v>1572</v>
      </c>
    </row>
    <row r="5794" spans="1:9" ht="51.75" customHeight="1">
      <c r="A5794" s="5" t="s">
        <v>24499</v>
      </c>
      <c r="B5794" s="5" t="s">
        <v>39371</v>
      </c>
      <c r="C5794" s="5" t="s">
        <v>39357</v>
      </c>
      <c r="D5794" s="246">
        <v>43956</v>
      </c>
      <c r="E5794" s="5" t="s">
        <v>39372</v>
      </c>
      <c r="F5794" s="26" t="s">
        <v>23600</v>
      </c>
      <c r="G5794" s="27" t="s">
        <v>16392</v>
      </c>
      <c r="H5794" s="28" t="s">
        <v>16393</v>
      </c>
      <c r="I5794" s="5" t="s">
        <v>1572</v>
      </c>
    </row>
    <row r="5795" spans="1:9" ht="51.75" customHeight="1">
      <c r="A5795" s="5" t="s">
        <v>28619</v>
      </c>
      <c r="B5795" s="5" t="s">
        <v>39373</v>
      </c>
      <c r="C5795" s="5" t="s">
        <v>39374</v>
      </c>
      <c r="D5795" s="246">
        <v>43963</v>
      </c>
      <c r="E5795" s="5" t="s">
        <v>39375</v>
      </c>
      <c r="F5795" s="26" t="s">
        <v>38347</v>
      </c>
      <c r="G5795" s="27" t="s">
        <v>16415</v>
      </c>
      <c r="H5795" s="28" t="s">
        <v>16416</v>
      </c>
      <c r="I5795" s="5" t="s">
        <v>1572</v>
      </c>
    </row>
    <row r="5796" spans="1:9" ht="51.75" customHeight="1">
      <c r="A5796" s="5" t="s">
        <v>28619</v>
      </c>
      <c r="B5796" s="5" t="s">
        <v>39376</v>
      </c>
      <c r="C5796" s="5" t="s">
        <v>39374</v>
      </c>
      <c r="D5796" s="246">
        <v>43963</v>
      </c>
      <c r="E5796" s="5" t="s">
        <v>39377</v>
      </c>
      <c r="F5796" s="26" t="s">
        <v>23600</v>
      </c>
      <c r="G5796" s="27" t="s">
        <v>16415</v>
      </c>
      <c r="H5796" s="28" t="s">
        <v>16416</v>
      </c>
      <c r="I5796" s="5" t="s">
        <v>1572</v>
      </c>
    </row>
    <row r="5797" spans="1:9" ht="51.75" customHeight="1">
      <c r="A5797" s="5" t="s">
        <v>28628</v>
      </c>
      <c r="B5797" s="5" t="s">
        <v>39378</v>
      </c>
      <c r="C5797" s="5" t="s">
        <v>39379</v>
      </c>
      <c r="D5797" s="246">
        <v>43963</v>
      </c>
      <c r="E5797" s="5" t="s">
        <v>39380</v>
      </c>
      <c r="F5797" s="26" t="s">
        <v>38347</v>
      </c>
      <c r="G5797" s="27" t="s">
        <v>16415</v>
      </c>
      <c r="H5797" s="28" t="s">
        <v>16416</v>
      </c>
      <c r="I5797" s="5" t="s">
        <v>1572</v>
      </c>
    </row>
    <row r="5798" spans="1:9" ht="51.75" customHeight="1">
      <c r="A5798" s="5" t="s">
        <v>28628</v>
      </c>
      <c r="B5798" s="5" t="s">
        <v>39381</v>
      </c>
      <c r="C5798" s="5" t="s">
        <v>39379</v>
      </c>
      <c r="D5798" s="246">
        <v>43963</v>
      </c>
      <c r="E5798" s="5" t="s">
        <v>39382</v>
      </c>
      <c r="F5798" s="26" t="s">
        <v>23600</v>
      </c>
      <c r="G5798" s="27" t="s">
        <v>16415</v>
      </c>
      <c r="H5798" s="28" t="s">
        <v>16416</v>
      </c>
      <c r="I5798" s="5" t="s">
        <v>1572</v>
      </c>
    </row>
    <row r="5799" spans="1:9" ht="51.75" customHeight="1">
      <c r="A5799" s="5" t="s">
        <v>39383</v>
      </c>
      <c r="B5799" s="5" t="s">
        <v>39384</v>
      </c>
      <c r="C5799" s="5" t="s">
        <v>39114</v>
      </c>
      <c r="D5799" s="246">
        <v>43761</v>
      </c>
      <c r="E5799" s="5" t="s">
        <v>39385</v>
      </c>
      <c r="F5799" s="26" t="s">
        <v>38347</v>
      </c>
      <c r="G5799" s="27" t="s">
        <v>16421</v>
      </c>
      <c r="H5799" s="28" t="s">
        <v>16422</v>
      </c>
      <c r="I5799" s="5" t="s">
        <v>1572</v>
      </c>
    </row>
    <row r="5800" spans="1:9" ht="51.75" customHeight="1">
      <c r="A5800" s="5" t="s">
        <v>39383</v>
      </c>
      <c r="B5800" s="5" t="s">
        <v>39386</v>
      </c>
      <c r="C5800" s="5" t="s">
        <v>39114</v>
      </c>
      <c r="D5800" s="246">
        <v>43761</v>
      </c>
      <c r="E5800" s="5" t="s">
        <v>39387</v>
      </c>
      <c r="F5800" s="26" t="s">
        <v>23600</v>
      </c>
      <c r="G5800" s="27" t="s">
        <v>16421</v>
      </c>
      <c r="H5800" s="28" t="s">
        <v>16422</v>
      </c>
      <c r="I5800" s="5" t="s">
        <v>1572</v>
      </c>
    </row>
    <row r="5801" spans="1:9" ht="51.75" customHeight="1">
      <c r="A5801" s="5" t="s">
        <v>25545</v>
      </c>
      <c r="B5801" s="5" t="s">
        <v>39388</v>
      </c>
      <c r="C5801" s="5" t="s">
        <v>39389</v>
      </c>
      <c r="D5801" s="246">
        <v>43935</v>
      </c>
      <c r="E5801" s="5" t="s">
        <v>39390</v>
      </c>
      <c r="F5801" s="26" t="s">
        <v>38347</v>
      </c>
      <c r="G5801" s="27" t="s">
        <v>16456</v>
      </c>
      <c r="H5801" s="28" t="s">
        <v>16457</v>
      </c>
      <c r="I5801" s="5" t="s">
        <v>1572</v>
      </c>
    </row>
    <row r="5802" spans="1:9" ht="51.75" customHeight="1">
      <c r="A5802" s="5" t="s">
        <v>25545</v>
      </c>
      <c r="B5802" s="5" t="s">
        <v>39391</v>
      </c>
      <c r="C5802" s="5" t="s">
        <v>39389</v>
      </c>
      <c r="D5802" s="246">
        <v>43935</v>
      </c>
      <c r="E5802" s="5" t="s">
        <v>39392</v>
      </c>
      <c r="F5802" s="26" t="s">
        <v>23600</v>
      </c>
      <c r="G5802" s="27" t="s">
        <v>16456</v>
      </c>
      <c r="H5802" s="28" t="s">
        <v>16457</v>
      </c>
      <c r="I5802" s="5" t="s">
        <v>1572</v>
      </c>
    </row>
    <row r="5803" spans="1:9" ht="51.75" customHeight="1">
      <c r="A5803" s="5" t="s">
        <v>27164</v>
      </c>
      <c r="B5803" s="5" t="s">
        <v>39393</v>
      </c>
      <c r="C5803" s="5" t="s">
        <v>39394</v>
      </c>
      <c r="D5803" s="246">
        <v>43979</v>
      </c>
      <c r="E5803" s="5" t="s">
        <v>39395</v>
      </c>
      <c r="F5803" s="26" t="s">
        <v>38347</v>
      </c>
      <c r="G5803" s="27" t="s">
        <v>16466</v>
      </c>
      <c r="H5803" s="28" t="s">
        <v>16467</v>
      </c>
      <c r="I5803" s="5" t="s">
        <v>1572</v>
      </c>
    </row>
    <row r="5804" spans="1:9" ht="51.75" customHeight="1">
      <c r="A5804" s="5" t="s">
        <v>27164</v>
      </c>
      <c r="B5804" s="5" t="s">
        <v>39396</v>
      </c>
      <c r="C5804" s="5" t="s">
        <v>39394</v>
      </c>
      <c r="D5804" s="246">
        <v>43979</v>
      </c>
      <c r="E5804" s="5" t="s">
        <v>39397</v>
      </c>
      <c r="F5804" s="26" t="s">
        <v>23600</v>
      </c>
      <c r="G5804" s="27" t="s">
        <v>16466</v>
      </c>
      <c r="H5804" s="28" t="s">
        <v>16467</v>
      </c>
      <c r="I5804" s="5" t="s">
        <v>1572</v>
      </c>
    </row>
    <row r="5805" spans="1:9" ht="51.75" customHeight="1">
      <c r="A5805" s="5" t="s">
        <v>27709</v>
      </c>
      <c r="B5805" s="5" t="s">
        <v>39398</v>
      </c>
      <c r="C5805" s="5" t="s">
        <v>39399</v>
      </c>
      <c r="D5805" s="246">
        <v>43978</v>
      </c>
      <c r="E5805" s="5" t="s">
        <v>39400</v>
      </c>
      <c r="F5805" s="26" t="s">
        <v>38347</v>
      </c>
      <c r="G5805" s="27" t="s">
        <v>16483</v>
      </c>
      <c r="H5805" s="28" t="s">
        <v>16484</v>
      </c>
      <c r="I5805" s="5" t="s">
        <v>1572</v>
      </c>
    </row>
    <row r="5806" spans="1:9" ht="51.75" customHeight="1">
      <c r="A5806" s="5" t="s">
        <v>27709</v>
      </c>
      <c r="B5806" s="5" t="s">
        <v>39401</v>
      </c>
      <c r="C5806" s="5" t="s">
        <v>39399</v>
      </c>
      <c r="D5806" s="246">
        <v>43978</v>
      </c>
      <c r="E5806" s="5" t="s">
        <v>39402</v>
      </c>
      <c r="F5806" s="26" t="s">
        <v>23600</v>
      </c>
      <c r="G5806" s="27" t="s">
        <v>16483</v>
      </c>
      <c r="H5806" s="28" t="s">
        <v>16484</v>
      </c>
      <c r="I5806" s="5" t="s">
        <v>1572</v>
      </c>
    </row>
    <row r="5807" spans="1:9" ht="51.75" customHeight="1">
      <c r="A5807" s="5" t="s">
        <v>24467</v>
      </c>
      <c r="B5807" s="5" t="s">
        <v>39403</v>
      </c>
      <c r="C5807" s="5" t="s">
        <v>39404</v>
      </c>
      <c r="D5807" s="246">
        <v>43999</v>
      </c>
      <c r="E5807" s="5" t="s">
        <v>39405</v>
      </c>
      <c r="F5807" s="26" t="s">
        <v>38347</v>
      </c>
      <c r="G5807" s="27" t="s">
        <v>16532</v>
      </c>
      <c r="H5807" s="28" t="s">
        <v>16533</v>
      </c>
      <c r="I5807" s="5" t="s">
        <v>1572</v>
      </c>
    </row>
    <row r="5808" spans="1:9" ht="51.75" customHeight="1">
      <c r="A5808" s="5" t="s">
        <v>24467</v>
      </c>
      <c r="B5808" s="5" t="s">
        <v>39406</v>
      </c>
      <c r="C5808" s="5" t="s">
        <v>39404</v>
      </c>
      <c r="D5808" s="246">
        <v>43999</v>
      </c>
      <c r="E5808" s="5" t="s">
        <v>39407</v>
      </c>
      <c r="F5808" s="26" t="s">
        <v>23600</v>
      </c>
      <c r="G5808" s="27" t="s">
        <v>16532</v>
      </c>
      <c r="H5808" s="28" t="s">
        <v>16533</v>
      </c>
      <c r="I5808" s="5" t="s">
        <v>1572</v>
      </c>
    </row>
    <row r="5809" spans="1:9" ht="51.75" customHeight="1">
      <c r="A5809" s="5" t="s">
        <v>24471</v>
      </c>
      <c r="B5809" s="5" t="s">
        <v>39408</v>
      </c>
      <c r="C5809" s="5" t="s">
        <v>39409</v>
      </c>
      <c r="D5809" s="246">
        <v>44008</v>
      </c>
      <c r="E5809" s="5" t="s">
        <v>39410</v>
      </c>
      <c r="F5809" s="26" t="s">
        <v>38347</v>
      </c>
      <c r="G5809" s="27" t="s">
        <v>16554</v>
      </c>
      <c r="H5809" s="28" t="s">
        <v>16555</v>
      </c>
      <c r="I5809" s="5" t="s">
        <v>1572</v>
      </c>
    </row>
    <row r="5810" spans="1:9" ht="51.75" customHeight="1">
      <c r="A5810" s="5" t="s">
        <v>24471</v>
      </c>
      <c r="B5810" s="5" t="s">
        <v>39411</v>
      </c>
      <c r="C5810" s="5" t="s">
        <v>39409</v>
      </c>
      <c r="D5810" s="246">
        <v>44008</v>
      </c>
      <c r="E5810" s="5" t="s">
        <v>39412</v>
      </c>
      <c r="F5810" s="26" t="s">
        <v>23600</v>
      </c>
      <c r="G5810" s="27" t="s">
        <v>16554</v>
      </c>
      <c r="H5810" s="28" t="s">
        <v>16555</v>
      </c>
      <c r="I5810" s="5" t="s">
        <v>1572</v>
      </c>
    </row>
    <row r="5811" spans="1:9" ht="51.75" customHeight="1">
      <c r="A5811" s="5" t="s">
        <v>24479</v>
      </c>
      <c r="B5811" s="5" t="s">
        <v>39413</v>
      </c>
      <c r="C5811" s="5" t="s">
        <v>39414</v>
      </c>
      <c r="D5811" s="246">
        <v>44008</v>
      </c>
      <c r="E5811" s="5" t="s">
        <v>39415</v>
      </c>
      <c r="F5811" s="26" t="s">
        <v>38347</v>
      </c>
      <c r="G5811" s="27" t="s">
        <v>16554</v>
      </c>
      <c r="H5811" s="28" t="s">
        <v>16555</v>
      </c>
      <c r="I5811" s="5" t="s">
        <v>1572</v>
      </c>
    </row>
    <row r="5812" spans="1:9" ht="51.75" customHeight="1">
      <c r="A5812" s="5" t="s">
        <v>24479</v>
      </c>
      <c r="B5812" s="5" t="s">
        <v>39416</v>
      </c>
      <c r="C5812" s="5" t="s">
        <v>39414</v>
      </c>
      <c r="D5812" s="246">
        <v>44008</v>
      </c>
      <c r="E5812" s="5" t="s">
        <v>39417</v>
      </c>
      <c r="F5812" s="26" t="s">
        <v>23600</v>
      </c>
      <c r="G5812" s="27" t="s">
        <v>16554</v>
      </c>
      <c r="H5812" s="28" t="s">
        <v>16555</v>
      </c>
      <c r="I5812" s="5" t="s">
        <v>1572</v>
      </c>
    </row>
    <row r="5813" spans="1:9" ht="51.75" customHeight="1">
      <c r="A5813" s="5" t="s">
        <v>24483</v>
      </c>
      <c r="B5813" s="5" t="s">
        <v>39418</v>
      </c>
      <c r="C5813" s="5" t="s">
        <v>39419</v>
      </c>
      <c r="D5813" s="246">
        <v>44007</v>
      </c>
      <c r="E5813" s="5" t="s">
        <v>39420</v>
      </c>
      <c r="F5813" s="26" t="s">
        <v>38347</v>
      </c>
      <c r="G5813" s="27" t="s">
        <v>16559</v>
      </c>
      <c r="H5813" s="28" t="s">
        <v>16560</v>
      </c>
      <c r="I5813" s="5" t="s">
        <v>1572</v>
      </c>
    </row>
    <row r="5814" spans="1:9" ht="51.75" customHeight="1">
      <c r="A5814" s="5" t="s">
        <v>24483</v>
      </c>
      <c r="B5814" s="5" t="s">
        <v>39421</v>
      </c>
      <c r="C5814" s="5" t="s">
        <v>39419</v>
      </c>
      <c r="D5814" s="246">
        <v>44007</v>
      </c>
      <c r="E5814" s="5" t="s">
        <v>39422</v>
      </c>
      <c r="F5814" s="26" t="s">
        <v>23600</v>
      </c>
      <c r="G5814" s="27" t="s">
        <v>16559</v>
      </c>
      <c r="H5814" s="28" t="s">
        <v>16560</v>
      </c>
      <c r="I5814" s="5" t="s">
        <v>1572</v>
      </c>
    </row>
    <row r="5815" spans="1:9" ht="51.75" customHeight="1">
      <c r="A5815" s="5" t="s">
        <v>25533</v>
      </c>
      <c r="B5815" s="5" t="s">
        <v>39423</v>
      </c>
      <c r="C5815" s="5" t="s">
        <v>39424</v>
      </c>
      <c r="D5815" s="246">
        <v>44007</v>
      </c>
      <c r="E5815" s="5" t="s">
        <v>39425</v>
      </c>
      <c r="F5815" s="26" t="s">
        <v>38347</v>
      </c>
      <c r="G5815" s="27" t="s">
        <v>16559</v>
      </c>
      <c r="H5815" s="28" t="s">
        <v>16560</v>
      </c>
      <c r="I5815" s="5" t="s">
        <v>1572</v>
      </c>
    </row>
    <row r="5816" spans="1:9" ht="51.75" customHeight="1">
      <c r="A5816" s="5" t="s">
        <v>25533</v>
      </c>
      <c r="B5816" s="5" t="s">
        <v>39426</v>
      </c>
      <c r="C5816" s="5" t="s">
        <v>39424</v>
      </c>
      <c r="D5816" s="246">
        <v>44007</v>
      </c>
      <c r="E5816" s="5" t="s">
        <v>39427</v>
      </c>
      <c r="F5816" s="26" t="s">
        <v>23600</v>
      </c>
      <c r="G5816" s="27" t="s">
        <v>16559</v>
      </c>
      <c r="H5816" s="28" t="s">
        <v>16560</v>
      </c>
      <c r="I5816" s="5" t="s">
        <v>1572</v>
      </c>
    </row>
    <row r="5817" spans="1:9" ht="51.75" customHeight="1">
      <c r="A5817" s="5" t="s">
        <v>35351</v>
      </c>
      <c r="B5817" s="5" t="s">
        <v>39428</v>
      </c>
      <c r="C5817" s="5" t="s">
        <v>39429</v>
      </c>
      <c r="D5817" s="246">
        <v>44011</v>
      </c>
      <c r="E5817" s="5" t="s">
        <v>39430</v>
      </c>
      <c r="F5817" s="26" t="s">
        <v>38347</v>
      </c>
      <c r="G5817" s="27" t="s">
        <v>16566</v>
      </c>
      <c r="H5817" s="28" t="s">
        <v>16567</v>
      </c>
      <c r="I5817" s="5" t="s">
        <v>1572</v>
      </c>
    </row>
    <row r="5818" spans="1:9" ht="51.75" customHeight="1">
      <c r="A5818" s="5" t="s">
        <v>35351</v>
      </c>
      <c r="B5818" s="5" t="s">
        <v>39431</v>
      </c>
      <c r="C5818" s="5" t="s">
        <v>39429</v>
      </c>
      <c r="D5818" s="246">
        <v>44011</v>
      </c>
      <c r="E5818" s="5" t="s">
        <v>39432</v>
      </c>
      <c r="F5818" s="26" t="s">
        <v>23600</v>
      </c>
      <c r="G5818" s="27" t="s">
        <v>16566</v>
      </c>
      <c r="H5818" s="28" t="s">
        <v>16567</v>
      </c>
      <c r="I5818" s="5" t="s">
        <v>1572</v>
      </c>
    </row>
    <row r="5819" spans="1:9" ht="51.75" customHeight="1">
      <c r="A5819" s="5" t="s">
        <v>28081</v>
      </c>
      <c r="B5819" s="5" t="s">
        <v>39433</v>
      </c>
      <c r="C5819" s="5" t="s">
        <v>39434</v>
      </c>
      <c r="D5819" s="246">
        <v>44011</v>
      </c>
      <c r="E5819" s="5" t="s">
        <v>39435</v>
      </c>
      <c r="F5819" s="26" t="s">
        <v>38347</v>
      </c>
      <c r="G5819" s="27" t="s">
        <v>16566</v>
      </c>
      <c r="H5819" s="28" t="s">
        <v>16567</v>
      </c>
      <c r="I5819" s="5" t="s">
        <v>1572</v>
      </c>
    </row>
    <row r="5820" spans="1:9" ht="51.75" customHeight="1">
      <c r="A5820" s="5" t="s">
        <v>28081</v>
      </c>
      <c r="B5820" s="5" t="s">
        <v>39436</v>
      </c>
      <c r="C5820" s="5" t="s">
        <v>39434</v>
      </c>
      <c r="D5820" s="246">
        <v>44011</v>
      </c>
      <c r="E5820" s="5" t="s">
        <v>39437</v>
      </c>
      <c r="F5820" s="26" t="s">
        <v>23600</v>
      </c>
      <c r="G5820" s="27" t="s">
        <v>16566</v>
      </c>
      <c r="H5820" s="28" t="s">
        <v>16567</v>
      </c>
      <c r="I5820" s="5" t="s">
        <v>1572</v>
      </c>
    </row>
    <row r="5821" spans="1:9" ht="51.75" customHeight="1">
      <c r="A5821" s="5" t="s">
        <v>35364</v>
      </c>
      <c r="B5821" s="5" t="s">
        <v>39438</v>
      </c>
      <c r="C5821" s="5" t="s">
        <v>39439</v>
      </c>
      <c r="D5821" s="246">
        <v>44011</v>
      </c>
      <c r="E5821" s="5" t="s">
        <v>39440</v>
      </c>
      <c r="F5821" s="26" t="s">
        <v>38347</v>
      </c>
      <c r="G5821" s="27" t="s">
        <v>16566</v>
      </c>
      <c r="H5821" s="28" t="s">
        <v>16567</v>
      </c>
      <c r="I5821" s="5" t="s">
        <v>1572</v>
      </c>
    </row>
    <row r="5822" spans="1:9" ht="51.75" customHeight="1">
      <c r="A5822" s="5" t="s">
        <v>35364</v>
      </c>
      <c r="B5822" s="5" t="s">
        <v>39441</v>
      </c>
      <c r="C5822" s="5" t="s">
        <v>39439</v>
      </c>
      <c r="D5822" s="246">
        <v>44011</v>
      </c>
      <c r="E5822" s="5" t="s">
        <v>39442</v>
      </c>
      <c r="F5822" s="26" t="s">
        <v>23600</v>
      </c>
      <c r="G5822" s="27" t="s">
        <v>16566</v>
      </c>
      <c r="H5822" s="28" t="s">
        <v>16567</v>
      </c>
      <c r="I5822" s="5" t="s">
        <v>1572</v>
      </c>
    </row>
    <row r="5823" spans="1:9" ht="51.75" customHeight="1">
      <c r="A5823" s="5" t="s">
        <v>37209</v>
      </c>
      <c r="B5823" s="5" t="s">
        <v>39443</v>
      </c>
      <c r="C5823" s="5" t="s">
        <v>39444</v>
      </c>
      <c r="D5823" s="246">
        <v>44011</v>
      </c>
      <c r="E5823" s="5" t="s">
        <v>39445</v>
      </c>
      <c r="F5823" s="26" t="s">
        <v>38347</v>
      </c>
      <c r="G5823" s="27" t="s">
        <v>16566</v>
      </c>
      <c r="H5823" s="28" t="s">
        <v>16567</v>
      </c>
      <c r="I5823" s="5" t="s">
        <v>1572</v>
      </c>
    </row>
    <row r="5824" spans="1:9" ht="51.75" customHeight="1">
      <c r="A5824" s="5" t="s">
        <v>37209</v>
      </c>
      <c r="B5824" s="5" t="s">
        <v>39446</v>
      </c>
      <c r="C5824" s="5" t="s">
        <v>39444</v>
      </c>
      <c r="D5824" s="246">
        <v>44011</v>
      </c>
      <c r="E5824" s="5" t="s">
        <v>39447</v>
      </c>
      <c r="F5824" s="26" t="s">
        <v>23600</v>
      </c>
      <c r="G5824" s="27" t="s">
        <v>16566</v>
      </c>
      <c r="H5824" s="28" t="s">
        <v>16567</v>
      </c>
      <c r="I5824" s="5" t="s">
        <v>1572</v>
      </c>
    </row>
    <row r="5825" spans="1:9" ht="51.75" customHeight="1">
      <c r="A5825" s="5" t="s">
        <v>35640</v>
      </c>
      <c r="B5825" s="5" t="s">
        <v>39448</v>
      </c>
      <c r="C5825" s="5" t="s">
        <v>39449</v>
      </c>
      <c r="D5825" s="246">
        <v>44012</v>
      </c>
      <c r="E5825" s="5" t="s">
        <v>39450</v>
      </c>
      <c r="F5825" s="26" t="s">
        <v>38347</v>
      </c>
      <c r="G5825" s="27" t="s">
        <v>16606</v>
      </c>
      <c r="H5825" s="28" t="s">
        <v>16607</v>
      </c>
      <c r="I5825" s="5" t="s">
        <v>1572</v>
      </c>
    </row>
    <row r="5826" spans="1:9" ht="51.75" customHeight="1">
      <c r="A5826" s="5" t="s">
        <v>35640</v>
      </c>
      <c r="B5826" s="5" t="s">
        <v>39451</v>
      </c>
      <c r="C5826" s="5" t="s">
        <v>39449</v>
      </c>
      <c r="D5826" s="246">
        <v>44012</v>
      </c>
      <c r="E5826" s="5" t="s">
        <v>39452</v>
      </c>
      <c r="F5826" s="26" t="s">
        <v>23600</v>
      </c>
      <c r="G5826" s="27" t="s">
        <v>16606</v>
      </c>
      <c r="H5826" s="28" t="s">
        <v>16607</v>
      </c>
      <c r="I5826" s="5" t="s">
        <v>1572</v>
      </c>
    </row>
    <row r="5827" spans="1:9" ht="51.75" customHeight="1">
      <c r="A5827" s="5" t="s">
        <v>28077</v>
      </c>
      <c r="B5827" s="5" t="s">
        <v>39453</v>
      </c>
      <c r="C5827" s="5" t="s">
        <v>39454</v>
      </c>
      <c r="D5827" s="246">
        <v>44012</v>
      </c>
      <c r="E5827" s="5" t="s">
        <v>39452</v>
      </c>
      <c r="F5827" s="26" t="s">
        <v>38347</v>
      </c>
      <c r="G5827" s="27" t="s">
        <v>16606</v>
      </c>
      <c r="H5827" s="28" t="s">
        <v>16607</v>
      </c>
      <c r="I5827" s="5" t="s">
        <v>1572</v>
      </c>
    </row>
    <row r="5828" spans="1:9" ht="51.75" customHeight="1">
      <c r="A5828" s="5" t="s">
        <v>28077</v>
      </c>
      <c r="B5828" s="5" t="s">
        <v>39455</v>
      </c>
      <c r="C5828" s="5" t="s">
        <v>39454</v>
      </c>
      <c r="D5828" s="246">
        <v>44012</v>
      </c>
      <c r="E5828" s="5" t="s">
        <v>39456</v>
      </c>
      <c r="F5828" s="26" t="s">
        <v>23600</v>
      </c>
      <c r="G5828" s="27" t="s">
        <v>16606</v>
      </c>
      <c r="H5828" s="28" t="s">
        <v>16607</v>
      </c>
      <c r="I5828" s="5" t="s">
        <v>1572</v>
      </c>
    </row>
    <row r="5829" spans="1:9" ht="51.75" customHeight="1">
      <c r="A5829" s="5" t="s">
        <v>30693</v>
      </c>
      <c r="B5829" s="5" t="s">
        <v>39457</v>
      </c>
      <c r="C5829" s="5" t="s">
        <v>39458</v>
      </c>
      <c r="D5829" s="246">
        <v>44073</v>
      </c>
      <c r="E5829" s="5" t="s">
        <v>39459</v>
      </c>
      <c r="F5829" s="26" t="s">
        <v>38347</v>
      </c>
      <c r="G5829" s="27" t="s">
        <v>16732</v>
      </c>
      <c r="H5829" s="28" t="s">
        <v>16733</v>
      </c>
      <c r="I5829" s="5" t="s">
        <v>1572</v>
      </c>
    </row>
    <row r="5830" spans="1:9" ht="51.75" customHeight="1">
      <c r="A5830" s="5" t="s">
        <v>30693</v>
      </c>
      <c r="B5830" s="5" t="s">
        <v>39460</v>
      </c>
      <c r="C5830" s="5" t="s">
        <v>39458</v>
      </c>
      <c r="D5830" s="246">
        <v>44073</v>
      </c>
      <c r="E5830" s="5" t="s">
        <v>39461</v>
      </c>
      <c r="F5830" s="26" t="s">
        <v>23600</v>
      </c>
      <c r="G5830" s="27" t="s">
        <v>16732</v>
      </c>
      <c r="H5830" s="28" t="s">
        <v>16733</v>
      </c>
      <c r="I5830" s="5" t="s">
        <v>1572</v>
      </c>
    </row>
    <row r="5831" spans="1:9" ht="51.75" customHeight="1">
      <c r="A5831" s="5" t="s">
        <v>28778</v>
      </c>
      <c r="B5831" s="5" t="s">
        <v>39462</v>
      </c>
      <c r="C5831" s="5" t="s">
        <v>39463</v>
      </c>
      <c r="D5831" s="246">
        <v>44048</v>
      </c>
      <c r="E5831" s="5" t="s">
        <v>39464</v>
      </c>
      <c r="F5831" s="26" t="s">
        <v>38347</v>
      </c>
      <c r="G5831" s="27" t="s">
        <v>16756</v>
      </c>
      <c r="H5831" s="28" t="s">
        <v>16757</v>
      </c>
      <c r="I5831" s="5" t="s">
        <v>1572</v>
      </c>
    </row>
    <row r="5832" spans="1:9" ht="51.75" customHeight="1">
      <c r="A5832" s="5" t="s">
        <v>28778</v>
      </c>
      <c r="B5832" s="5" t="s">
        <v>39465</v>
      </c>
      <c r="C5832" s="5" t="s">
        <v>39463</v>
      </c>
      <c r="D5832" s="246">
        <v>44048</v>
      </c>
      <c r="E5832" s="5" t="s">
        <v>39466</v>
      </c>
      <c r="F5832" s="26" t="s">
        <v>23600</v>
      </c>
      <c r="G5832" s="27" t="s">
        <v>16756</v>
      </c>
      <c r="H5832" s="28" t="s">
        <v>16757</v>
      </c>
      <c r="I5832" s="5" t="s">
        <v>1572</v>
      </c>
    </row>
    <row r="5833" spans="1:9" ht="51.75" customHeight="1">
      <c r="A5833" s="5" t="s">
        <v>28784</v>
      </c>
      <c r="B5833" s="5" t="s">
        <v>39467</v>
      </c>
      <c r="C5833" s="5" t="s">
        <v>39468</v>
      </c>
      <c r="D5833" s="246">
        <v>44048</v>
      </c>
      <c r="E5833" s="5" t="s">
        <v>39469</v>
      </c>
      <c r="F5833" s="26" t="s">
        <v>38347</v>
      </c>
      <c r="G5833" s="27" t="s">
        <v>16756</v>
      </c>
      <c r="H5833" s="28" t="s">
        <v>16757</v>
      </c>
      <c r="I5833" s="5" t="s">
        <v>1572</v>
      </c>
    </row>
    <row r="5834" spans="1:9" ht="51.75" customHeight="1">
      <c r="A5834" s="5" t="s">
        <v>28784</v>
      </c>
      <c r="B5834" s="5" t="s">
        <v>39470</v>
      </c>
      <c r="C5834" s="5" t="s">
        <v>39468</v>
      </c>
      <c r="D5834" s="246">
        <v>44048</v>
      </c>
      <c r="E5834" s="5" t="s">
        <v>39471</v>
      </c>
      <c r="F5834" s="26" t="s">
        <v>23600</v>
      </c>
      <c r="G5834" s="27" t="s">
        <v>16756</v>
      </c>
      <c r="H5834" s="28" t="s">
        <v>16757</v>
      </c>
      <c r="I5834" s="5" t="s">
        <v>1572</v>
      </c>
    </row>
    <row r="5835" spans="1:9" ht="51.75" customHeight="1">
      <c r="A5835" s="5" t="s">
        <v>39472</v>
      </c>
      <c r="B5835" s="5" t="s">
        <v>39473</v>
      </c>
      <c r="C5835" s="5" t="s">
        <v>39474</v>
      </c>
      <c r="D5835" s="246">
        <v>44056</v>
      </c>
      <c r="E5835" s="5" t="s">
        <v>39475</v>
      </c>
      <c r="F5835" s="26" t="s">
        <v>38347</v>
      </c>
      <c r="G5835" s="27" t="s">
        <v>16786</v>
      </c>
      <c r="H5835" s="28" t="s">
        <v>16787</v>
      </c>
      <c r="I5835" s="5" t="s">
        <v>1572</v>
      </c>
    </row>
    <row r="5836" spans="1:9" ht="51.75" customHeight="1">
      <c r="A5836" s="5" t="s">
        <v>39472</v>
      </c>
      <c r="B5836" s="5" t="s">
        <v>39476</v>
      </c>
      <c r="C5836" s="5" t="s">
        <v>39474</v>
      </c>
      <c r="D5836" s="246">
        <v>44056</v>
      </c>
      <c r="E5836" s="5" t="s">
        <v>39477</v>
      </c>
      <c r="F5836" s="26" t="s">
        <v>23600</v>
      </c>
      <c r="G5836" s="27" t="s">
        <v>16786</v>
      </c>
      <c r="H5836" s="28" t="s">
        <v>16787</v>
      </c>
      <c r="I5836" s="5" t="s">
        <v>1572</v>
      </c>
    </row>
    <row r="5837" spans="1:9" ht="51.75" customHeight="1">
      <c r="A5837" s="5" t="s">
        <v>35895</v>
      </c>
      <c r="B5837" s="5" t="s">
        <v>39478</v>
      </c>
      <c r="C5837" s="5" t="s">
        <v>39479</v>
      </c>
      <c r="D5837" s="246">
        <v>44056</v>
      </c>
      <c r="E5837" s="5" t="s">
        <v>39480</v>
      </c>
      <c r="F5837" s="26" t="s">
        <v>38347</v>
      </c>
      <c r="G5837" s="27" t="s">
        <v>16786</v>
      </c>
      <c r="H5837" s="28" t="s">
        <v>16787</v>
      </c>
      <c r="I5837" s="5" t="s">
        <v>1572</v>
      </c>
    </row>
    <row r="5838" spans="1:9" ht="51.75" customHeight="1">
      <c r="A5838" s="5" t="s">
        <v>35895</v>
      </c>
      <c r="B5838" s="5" t="s">
        <v>39481</v>
      </c>
      <c r="C5838" s="5" t="s">
        <v>39479</v>
      </c>
      <c r="D5838" s="246">
        <v>44056</v>
      </c>
      <c r="E5838" s="5" t="s">
        <v>39482</v>
      </c>
      <c r="F5838" s="26" t="s">
        <v>23600</v>
      </c>
      <c r="G5838" s="27" t="s">
        <v>16786</v>
      </c>
      <c r="H5838" s="28" t="s">
        <v>16787</v>
      </c>
      <c r="I5838" s="5" t="s">
        <v>1572</v>
      </c>
    </row>
    <row r="5839" spans="1:9" ht="51.75" customHeight="1">
      <c r="A5839" s="5" t="s">
        <v>37830</v>
      </c>
      <c r="B5839" s="5" t="s">
        <v>39483</v>
      </c>
      <c r="C5839" s="5" t="s">
        <v>39484</v>
      </c>
      <c r="D5839" s="246">
        <v>44055</v>
      </c>
      <c r="E5839" s="5" t="s">
        <v>39485</v>
      </c>
      <c r="F5839" s="26" t="s">
        <v>38347</v>
      </c>
      <c r="G5839" s="27" t="s">
        <v>16793</v>
      </c>
      <c r="H5839" s="28" t="s">
        <v>16794</v>
      </c>
      <c r="I5839" s="5" t="s">
        <v>1572</v>
      </c>
    </row>
    <row r="5840" spans="1:9" ht="51.75" customHeight="1">
      <c r="A5840" s="5" t="s">
        <v>37830</v>
      </c>
      <c r="B5840" s="5" t="s">
        <v>39486</v>
      </c>
      <c r="C5840" s="5" t="s">
        <v>39484</v>
      </c>
      <c r="D5840" s="246">
        <v>44055</v>
      </c>
      <c r="E5840" s="5" t="s">
        <v>39487</v>
      </c>
      <c r="F5840" s="26" t="s">
        <v>23600</v>
      </c>
      <c r="G5840" s="27" t="s">
        <v>16793</v>
      </c>
      <c r="H5840" s="28" t="s">
        <v>16794</v>
      </c>
      <c r="I5840" s="5" t="s">
        <v>1572</v>
      </c>
    </row>
    <row r="5841" spans="1:9" ht="51.75" customHeight="1">
      <c r="A5841" s="5" t="s">
        <v>37838</v>
      </c>
      <c r="B5841" s="5" t="s">
        <v>39488</v>
      </c>
      <c r="C5841" s="5" t="s">
        <v>39489</v>
      </c>
      <c r="D5841" s="246">
        <v>44055</v>
      </c>
      <c r="E5841" s="5" t="s">
        <v>39490</v>
      </c>
      <c r="F5841" s="26" t="s">
        <v>38347</v>
      </c>
      <c r="G5841" s="27" t="s">
        <v>16793</v>
      </c>
      <c r="H5841" s="28" t="s">
        <v>16794</v>
      </c>
      <c r="I5841" s="5" t="s">
        <v>1572</v>
      </c>
    </row>
    <row r="5842" spans="1:9" ht="51.75" customHeight="1">
      <c r="A5842" s="5" t="s">
        <v>37838</v>
      </c>
      <c r="B5842" s="5" t="s">
        <v>39491</v>
      </c>
      <c r="C5842" s="5" t="s">
        <v>39489</v>
      </c>
      <c r="D5842" s="246">
        <v>44055</v>
      </c>
      <c r="E5842" s="5" t="s">
        <v>39492</v>
      </c>
      <c r="F5842" s="26" t="s">
        <v>23600</v>
      </c>
      <c r="G5842" s="27" t="s">
        <v>16793</v>
      </c>
      <c r="H5842" s="28" t="s">
        <v>16794</v>
      </c>
      <c r="I5842" s="5" t="s">
        <v>1572</v>
      </c>
    </row>
    <row r="5843" spans="1:9" ht="51.75" customHeight="1">
      <c r="A5843" s="5" t="s">
        <v>37878</v>
      </c>
      <c r="B5843" s="5" t="s">
        <v>39493</v>
      </c>
      <c r="C5843" s="5" t="s">
        <v>39494</v>
      </c>
      <c r="D5843" s="246">
        <v>44061</v>
      </c>
      <c r="E5843" s="5" t="s">
        <v>39495</v>
      </c>
      <c r="F5843" s="26" t="s">
        <v>38347</v>
      </c>
      <c r="G5843" s="27" t="s">
        <v>16810</v>
      </c>
      <c r="H5843" s="28" t="s">
        <v>16811</v>
      </c>
      <c r="I5843" s="5" t="s">
        <v>1572</v>
      </c>
    </row>
    <row r="5844" spans="1:9" ht="51.75" customHeight="1">
      <c r="A5844" s="5" t="s">
        <v>37878</v>
      </c>
      <c r="B5844" s="5" t="s">
        <v>39496</v>
      </c>
      <c r="C5844" s="5" t="s">
        <v>39494</v>
      </c>
      <c r="D5844" s="246">
        <v>44061</v>
      </c>
      <c r="E5844" s="5" t="s">
        <v>39497</v>
      </c>
      <c r="F5844" s="26" t="s">
        <v>23600</v>
      </c>
      <c r="G5844" s="27" t="s">
        <v>16810</v>
      </c>
      <c r="H5844" s="28" t="s">
        <v>16811</v>
      </c>
      <c r="I5844" s="5" t="s">
        <v>1572</v>
      </c>
    </row>
    <row r="5845" spans="1:9" ht="51.75" customHeight="1">
      <c r="A5845" s="5" t="s">
        <v>37886</v>
      </c>
      <c r="B5845" s="5" t="s">
        <v>39498</v>
      </c>
      <c r="C5845" s="5" t="s">
        <v>39499</v>
      </c>
      <c r="D5845" s="246">
        <v>44061</v>
      </c>
      <c r="E5845" s="5" t="s">
        <v>39500</v>
      </c>
      <c r="F5845" s="26" t="s">
        <v>38347</v>
      </c>
      <c r="G5845" s="27" t="s">
        <v>16810</v>
      </c>
      <c r="H5845" s="28" t="s">
        <v>16811</v>
      </c>
      <c r="I5845" s="5" t="s">
        <v>1572</v>
      </c>
    </row>
    <row r="5846" spans="1:9" ht="51.75" customHeight="1">
      <c r="A5846" s="5" t="s">
        <v>37886</v>
      </c>
      <c r="B5846" s="5" t="s">
        <v>39501</v>
      </c>
      <c r="C5846" s="5" t="s">
        <v>39499</v>
      </c>
      <c r="D5846" s="246">
        <v>44061</v>
      </c>
      <c r="E5846" s="5" t="s">
        <v>39502</v>
      </c>
      <c r="F5846" s="26" t="s">
        <v>23600</v>
      </c>
      <c r="G5846" s="27" t="s">
        <v>16810</v>
      </c>
      <c r="H5846" s="28" t="s">
        <v>16811</v>
      </c>
      <c r="I5846" s="5" t="s">
        <v>1572</v>
      </c>
    </row>
    <row r="5847" spans="1:9" ht="51.75" customHeight="1">
      <c r="A5847" s="5" t="s">
        <v>37890</v>
      </c>
      <c r="B5847" s="5" t="s">
        <v>39503</v>
      </c>
      <c r="C5847" s="5" t="s">
        <v>39504</v>
      </c>
      <c r="D5847" s="246">
        <v>44061</v>
      </c>
      <c r="E5847" s="5" t="s">
        <v>39505</v>
      </c>
      <c r="F5847" s="26" t="s">
        <v>38347</v>
      </c>
      <c r="G5847" s="27" t="s">
        <v>16810</v>
      </c>
      <c r="H5847" s="28" t="s">
        <v>16811</v>
      </c>
      <c r="I5847" s="5" t="s">
        <v>1572</v>
      </c>
    </row>
    <row r="5848" spans="1:9" ht="51.75" customHeight="1">
      <c r="A5848" s="5" t="s">
        <v>37890</v>
      </c>
      <c r="B5848" s="5" t="s">
        <v>39506</v>
      </c>
      <c r="C5848" s="5" t="s">
        <v>39504</v>
      </c>
      <c r="D5848" s="246">
        <v>44061</v>
      </c>
      <c r="E5848" s="5" t="s">
        <v>39507</v>
      </c>
      <c r="F5848" s="26" t="s">
        <v>23600</v>
      </c>
      <c r="G5848" s="27" t="s">
        <v>16810</v>
      </c>
      <c r="H5848" s="28" t="s">
        <v>16811</v>
      </c>
      <c r="I5848" s="5" t="s">
        <v>1572</v>
      </c>
    </row>
    <row r="5849" spans="1:9" ht="51.75" customHeight="1">
      <c r="A5849" s="5" t="s">
        <v>28769</v>
      </c>
      <c r="B5849" s="5" t="s">
        <v>39508</v>
      </c>
      <c r="C5849" s="5" t="s">
        <v>39509</v>
      </c>
      <c r="D5849" s="246">
        <v>44061</v>
      </c>
      <c r="E5849" s="5" t="s">
        <v>39510</v>
      </c>
      <c r="F5849" s="26" t="s">
        <v>38347</v>
      </c>
      <c r="G5849" s="27" t="s">
        <v>16810</v>
      </c>
      <c r="H5849" s="28" t="s">
        <v>16811</v>
      </c>
      <c r="I5849" s="5" t="s">
        <v>1572</v>
      </c>
    </row>
    <row r="5850" spans="1:9" ht="51.75" customHeight="1">
      <c r="A5850" s="5" t="s">
        <v>28769</v>
      </c>
      <c r="B5850" s="5" t="s">
        <v>39511</v>
      </c>
      <c r="C5850" s="5" t="s">
        <v>39509</v>
      </c>
      <c r="D5850" s="246">
        <v>44061</v>
      </c>
      <c r="E5850" s="5" t="s">
        <v>39512</v>
      </c>
      <c r="F5850" s="26" t="s">
        <v>23600</v>
      </c>
      <c r="G5850" s="27" t="s">
        <v>16810</v>
      </c>
      <c r="H5850" s="28" t="s">
        <v>16811</v>
      </c>
      <c r="I5850" s="5" t="s">
        <v>1572</v>
      </c>
    </row>
    <row r="5851" spans="1:9" ht="51.75" customHeight="1">
      <c r="A5851" s="5" t="s">
        <v>37846</v>
      </c>
      <c r="B5851" s="5" t="s">
        <v>39513</v>
      </c>
      <c r="C5851" s="5" t="s">
        <v>39514</v>
      </c>
      <c r="D5851" s="246">
        <v>44061</v>
      </c>
      <c r="E5851" s="5" t="s">
        <v>39515</v>
      </c>
      <c r="F5851" s="26" t="s">
        <v>38347</v>
      </c>
      <c r="G5851" s="27" t="s">
        <v>16876</v>
      </c>
      <c r="H5851" s="28" t="s">
        <v>16877</v>
      </c>
      <c r="I5851" s="5" t="s">
        <v>1572</v>
      </c>
    </row>
    <row r="5852" spans="1:9" ht="51.75" customHeight="1">
      <c r="A5852" s="5" t="s">
        <v>37846</v>
      </c>
      <c r="B5852" s="5" t="s">
        <v>39516</v>
      </c>
      <c r="C5852" s="5" t="s">
        <v>39514</v>
      </c>
      <c r="D5852" s="246">
        <v>44061</v>
      </c>
      <c r="E5852" s="5" t="s">
        <v>39517</v>
      </c>
      <c r="F5852" s="26" t="s">
        <v>23600</v>
      </c>
      <c r="G5852" s="27" t="s">
        <v>16876</v>
      </c>
      <c r="H5852" s="28" t="s">
        <v>16877</v>
      </c>
      <c r="I5852" s="5" t="s">
        <v>1572</v>
      </c>
    </row>
    <row r="5853" spans="1:9" ht="51.75" customHeight="1">
      <c r="A5853" s="5" t="s">
        <v>37858</v>
      </c>
      <c r="B5853" s="5" t="s">
        <v>39518</v>
      </c>
      <c r="C5853" s="5" t="s">
        <v>39519</v>
      </c>
      <c r="D5853" s="246">
        <v>44061</v>
      </c>
      <c r="E5853" s="5" t="s">
        <v>39520</v>
      </c>
      <c r="F5853" s="26" t="s">
        <v>38347</v>
      </c>
      <c r="G5853" s="27" t="s">
        <v>16876</v>
      </c>
      <c r="H5853" s="28" t="s">
        <v>16877</v>
      </c>
      <c r="I5853" s="5" t="s">
        <v>1572</v>
      </c>
    </row>
    <row r="5854" spans="1:9" ht="51.75" customHeight="1">
      <c r="A5854" s="5" t="s">
        <v>37858</v>
      </c>
      <c r="B5854" s="5" t="s">
        <v>39521</v>
      </c>
      <c r="C5854" s="5" t="s">
        <v>39519</v>
      </c>
      <c r="D5854" s="246">
        <v>44061</v>
      </c>
      <c r="E5854" s="5" t="s">
        <v>39522</v>
      </c>
      <c r="F5854" s="26" t="s">
        <v>23600</v>
      </c>
      <c r="G5854" s="27" t="s">
        <v>16876</v>
      </c>
      <c r="H5854" s="28" t="s">
        <v>16877</v>
      </c>
      <c r="I5854" s="5" t="s">
        <v>1572</v>
      </c>
    </row>
    <row r="5855" spans="1:9" ht="51.75" customHeight="1">
      <c r="A5855" s="5" t="s">
        <v>28790</v>
      </c>
      <c r="B5855" s="5" t="s">
        <v>39523</v>
      </c>
      <c r="C5855" s="5" t="s">
        <v>39524</v>
      </c>
      <c r="D5855" s="246">
        <v>44071</v>
      </c>
      <c r="E5855" s="5" t="s">
        <v>39525</v>
      </c>
      <c r="F5855" s="26" t="s">
        <v>38347</v>
      </c>
      <c r="G5855" s="27" t="s">
        <v>16886</v>
      </c>
      <c r="H5855" s="28" t="s">
        <v>16887</v>
      </c>
      <c r="I5855" s="5" t="s">
        <v>1572</v>
      </c>
    </row>
    <row r="5856" spans="1:9" ht="51.75" customHeight="1">
      <c r="A5856" s="5" t="s">
        <v>28790</v>
      </c>
      <c r="B5856" s="5" t="s">
        <v>39526</v>
      </c>
      <c r="C5856" s="5" t="s">
        <v>39524</v>
      </c>
      <c r="D5856" s="246">
        <v>44071</v>
      </c>
      <c r="E5856" s="5" t="s">
        <v>39527</v>
      </c>
      <c r="F5856" s="26" t="s">
        <v>23600</v>
      </c>
      <c r="G5856" s="27" t="s">
        <v>16886</v>
      </c>
      <c r="H5856" s="28" t="s">
        <v>16887</v>
      </c>
      <c r="I5856" s="5" t="s">
        <v>1572</v>
      </c>
    </row>
    <row r="5857" spans="1:9" ht="51.75" customHeight="1">
      <c r="A5857" s="5" t="s">
        <v>39107</v>
      </c>
      <c r="B5857" s="5" t="s">
        <v>39528</v>
      </c>
      <c r="C5857" s="5" t="s">
        <v>39529</v>
      </c>
      <c r="D5857" s="246">
        <v>44071</v>
      </c>
      <c r="E5857" s="5" t="s">
        <v>39530</v>
      </c>
      <c r="F5857" s="26" t="s">
        <v>38347</v>
      </c>
      <c r="G5857" s="27" t="s">
        <v>16886</v>
      </c>
      <c r="H5857" s="28" t="s">
        <v>16887</v>
      </c>
      <c r="I5857" s="5" t="s">
        <v>1572</v>
      </c>
    </row>
    <row r="5858" spans="1:9" ht="51.75" customHeight="1">
      <c r="A5858" s="5" t="s">
        <v>39107</v>
      </c>
      <c r="B5858" s="5" t="s">
        <v>39531</v>
      </c>
      <c r="C5858" s="5" t="s">
        <v>39529</v>
      </c>
      <c r="D5858" s="246">
        <v>44071</v>
      </c>
      <c r="E5858" s="5" t="s">
        <v>39532</v>
      </c>
      <c r="F5858" s="26" t="s">
        <v>23600</v>
      </c>
      <c r="G5858" s="27" t="s">
        <v>16886</v>
      </c>
      <c r="H5858" s="28" t="s">
        <v>16887</v>
      </c>
      <c r="I5858" s="5" t="s">
        <v>1572</v>
      </c>
    </row>
    <row r="5859" spans="1:9" ht="51.75" customHeight="1">
      <c r="A5859" s="5" t="s">
        <v>39533</v>
      </c>
      <c r="B5859" s="5" t="s">
        <v>39534</v>
      </c>
      <c r="C5859" s="5" t="s">
        <v>39535</v>
      </c>
      <c r="D5859" s="246">
        <v>44088</v>
      </c>
      <c r="E5859" s="5" t="s">
        <v>39536</v>
      </c>
      <c r="F5859" s="26" t="s">
        <v>38347</v>
      </c>
      <c r="G5859" s="27" t="s">
        <v>16966</v>
      </c>
      <c r="H5859" s="28" t="s">
        <v>16967</v>
      </c>
      <c r="I5859" s="5" t="s">
        <v>1572</v>
      </c>
    </row>
    <row r="5860" spans="1:9" ht="51.75" customHeight="1">
      <c r="A5860" s="5" t="s">
        <v>39533</v>
      </c>
      <c r="B5860" s="5" t="s">
        <v>39537</v>
      </c>
      <c r="C5860" s="5" t="s">
        <v>39535</v>
      </c>
      <c r="D5860" s="246">
        <v>44088</v>
      </c>
      <c r="E5860" s="5" t="s">
        <v>39538</v>
      </c>
      <c r="F5860" s="26" t="s">
        <v>23600</v>
      </c>
      <c r="G5860" s="27" t="s">
        <v>16966</v>
      </c>
      <c r="H5860" s="28" t="s">
        <v>16967</v>
      </c>
      <c r="I5860" s="5" t="s">
        <v>1572</v>
      </c>
    </row>
    <row r="5861" spans="1:9" ht="51.75" customHeight="1">
      <c r="A5861" s="5" t="s">
        <v>30704</v>
      </c>
      <c r="B5861" s="5" t="s">
        <v>39539</v>
      </c>
      <c r="C5861" s="5" t="s">
        <v>39540</v>
      </c>
      <c r="D5861" s="246">
        <v>44049</v>
      </c>
      <c r="E5861" s="5" t="s">
        <v>39541</v>
      </c>
      <c r="F5861" s="26" t="s">
        <v>38347</v>
      </c>
      <c r="G5861" s="27" t="s">
        <v>16979</v>
      </c>
      <c r="H5861" s="28" t="s">
        <v>16980</v>
      </c>
      <c r="I5861" s="5" t="s">
        <v>1572</v>
      </c>
    </row>
    <row r="5862" spans="1:9" ht="51.75" customHeight="1">
      <c r="A5862" s="5" t="s">
        <v>30704</v>
      </c>
      <c r="B5862" s="5" t="s">
        <v>39542</v>
      </c>
      <c r="C5862" s="5" t="s">
        <v>39540</v>
      </c>
      <c r="D5862" s="246">
        <v>44049</v>
      </c>
      <c r="E5862" s="5" t="s">
        <v>39543</v>
      </c>
      <c r="F5862" s="26" t="s">
        <v>23600</v>
      </c>
      <c r="G5862" s="27" t="s">
        <v>16979</v>
      </c>
      <c r="H5862" s="28" t="s">
        <v>16980</v>
      </c>
      <c r="I5862" s="5" t="s">
        <v>1572</v>
      </c>
    </row>
    <row r="5863" spans="1:9" ht="51.75" customHeight="1">
      <c r="A5863" s="5" t="s">
        <v>39544</v>
      </c>
      <c r="B5863" s="5" t="s">
        <v>39545</v>
      </c>
      <c r="C5863" s="5" t="s">
        <v>39546</v>
      </c>
      <c r="D5863" s="246">
        <v>44090</v>
      </c>
      <c r="E5863" s="5" t="s">
        <v>39547</v>
      </c>
      <c r="F5863" s="26" t="s">
        <v>38347</v>
      </c>
      <c r="G5863" s="27" t="s">
        <v>16985</v>
      </c>
      <c r="H5863" s="28" t="s">
        <v>16986</v>
      </c>
      <c r="I5863" s="5" t="s">
        <v>1572</v>
      </c>
    </row>
    <row r="5864" spans="1:9" ht="51.75" customHeight="1">
      <c r="A5864" s="5" t="s">
        <v>39544</v>
      </c>
      <c r="B5864" s="5" t="s">
        <v>39548</v>
      </c>
      <c r="C5864" s="5" t="s">
        <v>39546</v>
      </c>
      <c r="D5864" s="246">
        <v>44090</v>
      </c>
      <c r="E5864" s="5" t="s">
        <v>39549</v>
      </c>
      <c r="F5864" s="26" t="s">
        <v>23600</v>
      </c>
      <c r="G5864" s="27" t="s">
        <v>16985</v>
      </c>
      <c r="H5864" s="28" t="s">
        <v>16986</v>
      </c>
      <c r="I5864" s="5" t="s">
        <v>1572</v>
      </c>
    </row>
    <row r="5865" spans="1:9" ht="51.75" customHeight="1">
      <c r="A5865" s="5" t="s">
        <v>39550</v>
      </c>
      <c r="B5865" s="5" t="s">
        <v>39551</v>
      </c>
      <c r="C5865" s="5" t="s">
        <v>39552</v>
      </c>
      <c r="D5865" s="246">
        <v>44090</v>
      </c>
      <c r="E5865" s="5" t="s">
        <v>39553</v>
      </c>
      <c r="F5865" s="26" t="s">
        <v>38347</v>
      </c>
      <c r="G5865" s="27" t="s">
        <v>16985</v>
      </c>
      <c r="H5865" s="28" t="s">
        <v>16986</v>
      </c>
      <c r="I5865" s="5" t="s">
        <v>1572</v>
      </c>
    </row>
    <row r="5866" spans="1:9" ht="51.75" customHeight="1">
      <c r="A5866" s="5" t="s">
        <v>39550</v>
      </c>
      <c r="B5866" s="5" t="s">
        <v>39554</v>
      </c>
      <c r="C5866" s="5" t="s">
        <v>39552</v>
      </c>
      <c r="D5866" s="246">
        <v>44090</v>
      </c>
      <c r="E5866" s="5" t="s">
        <v>39555</v>
      </c>
      <c r="F5866" s="26" t="s">
        <v>23600</v>
      </c>
      <c r="G5866" s="27" t="s">
        <v>16985</v>
      </c>
      <c r="H5866" s="28" t="s">
        <v>16986</v>
      </c>
      <c r="I5866" s="5" t="s">
        <v>1572</v>
      </c>
    </row>
    <row r="5867" spans="1:9" ht="51.75" customHeight="1">
      <c r="A5867" s="5" t="s">
        <v>39556</v>
      </c>
      <c r="B5867" s="5" t="s">
        <v>39557</v>
      </c>
      <c r="C5867" s="5" t="s">
        <v>39558</v>
      </c>
      <c r="D5867" s="246">
        <v>44090</v>
      </c>
      <c r="E5867" s="5" t="s">
        <v>39559</v>
      </c>
      <c r="F5867" s="26" t="s">
        <v>38347</v>
      </c>
      <c r="G5867" s="27" t="s">
        <v>16985</v>
      </c>
      <c r="H5867" s="28" t="s">
        <v>16986</v>
      </c>
      <c r="I5867" s="5" t="s">
        <v>1572</v>
      </c>
    </row>
    <row r="5868" spans="1:9" ht="51.75" customHeight="1">
      <c r="A5868" s="5" t="s">
        <v>39556</v>
      </c>
      <c r="B5868" s="5" t="s">
        <v>39560</v>
      </c>
      <c r="C5868" s="5" t="s">
        <v>39558</v>
      </c>
      <c r="D5868" s="246">
        <v>44090</v>
      </c>
      <c r="E5868" s="5" t="s">
        <v>39561</v>
      </c>
      <c r="F5868" s="26" t="s">
        <v>23600</v>
      </c>
      <c r="G5868" s="27" t="s">
        <v>16985</v>
      </c>
      <c r="H5868" s="28" t="s">
        <v>16986</v>
      </c>
      <c r="I5868" s="5" t="s">
        <v>1572</v>
      </c>
    </row>
    <row r="5869" spans="1:9" ht="51.75" customHeight="1">
      <c r="A5869" s="5" t="s">
        <v>39562</v>
      </c>
      <c r="B5869" s="5" t="s">
        <v>39563</v>
      </c>
      <c r="C5869" s="5" t="s">
        <v>39564</v>
      </c>
      <c r="D5869" s="246">
        <v>44103</v>
      </c>
      <c r="E5869" s="5" t="s">
        <v>39565</v>
      </c>
      <c r="F5869" s="26" t="s">
        <v>38347</v>
      </c>
      <c r="G5869" s="27" t="s">
        <v>17014</v>
      </c>
      <c r="H5869" s="28" t="s">
        <v>17015</v>
      </c>
      <c r="I5869" s="5" t="s">
        <v>1572</v>
      </c>
    </row>
    <row r="5870" spans="1:9" ht="51.75" customHeight="1">
      <c r="A5870" s="5" t="s">
        <v>39562</v>
      </c>
      <c r="B5870" s="5" t="s">
        <v>39566</v>
      </c>
      <c r="C5870" s="5" t="s">
        <v>39564</v>
      </c>
      <c r="D5870" s="246">
        <v>44103</v>
      </c>
      <c r="E5870" s="5" t="s">
        <v>39567</v>
      </c>
      <c r="F5870" s="26" t="s">
        <v>23600</v>
      </c>
      <c r="G5870" s="27" t="s">
        <v>17014</v>
      </c>
      <c r="H5870" s="28" t="s">
        <v>17015</v>
      </c>
      <c r="I5870" s="5" t="s">
        <v>1572</v>
      </c>
    </row>
    <row r="5871" spans="1:9" ht="51.75" customHeight="1">
      <c r="A5871" s="5" t="s">
        <v>39568</v>
      </c>
      <c r="B5871" s="5" t="s">
        <v>39569</v>
      </c>
      <c r="C5871" s="5" t="s">
        <v>39333</v>
      </c>
      <c r="D5871" s="246">
        <v>44110</v>
      </c>
      <c r="E5871" s="5" t="s">
        <v>39570</v>
      </c>
      <c r="F5871" s="26" t="s">
        <v>38347</v>
      </c>
      <c r="G5871" s="27" t="s">
        <v>17030</v>
      </c>
      <c r="H5871" s="28" t="s">
        <v>17031</v>
      </c>
      <c r="I5871" s="5" t="s">
        <v>1572</v>
      </c>
    </row>
    <row r="5872" spans="1:9" ht="51.75" customHeight="1">
      <c r="A5872" s="5" t="s">
        <v>39568</v>
      </c>
      <c r="B5872" s="5" t="s">
        <v>39571</v>
      </c>
      <c r="C5872" s="5" t="s">
        <v>39333</v>
      </c>
      <c r="D5872" s="246">
        <v>44110</v>
      </c>
      <c r="E5872" s="5" t="s">
        <v>39572</v>
      </c>
      <c r="F5872" s="26" t="s">
        <v>23600</v>
      </c>
      <c r="G5872" s="27" t="s">
        <v>17030</v>
      </c>
      <c r="H5872" s="28" t="s">
        <v>17031</v>
      </c>
      <c r="I5872" s="5" t="s">
        <v>1572</v>
      </c>
    </row>
    <row r="5873" spans="1:9" ht="51.75" customHeight="1">
      <c r="A5873" s="5" t="s">
        <v>39573</v>
      </c>
      <c r="B5873" s="5" t="s">
        <v>39574</v>
      </c>
      <c r="C5873" s="5" t="s">
        <v>39575</v>
      </c>
      <c r="D5873" s="246">
        <v>44110</v>
      </c>
      <c r="E5873" s="5" t="s">
        <v>39576</v>
      </c>
      <c r="F5873" s="26" t="s">
        <v>38347</v>
      </c>
      <c r="G5873" s="27" t="s">
        <v>17030</v>
      </c>
      <c r="H5873" s="28" t="s">
        <v>17031</v>
      </c>
      <c r="I5873" s="5" t="s">
        <v>1572</v>
      </c>
    </row>
    <row r="5874" spans="1:9" ht="51.75" customHeight="1">
      <c r="A5874" s="5" t="s">
        <v>39573</v>
      </c>
      <c r="B5874" s="5" t="s">
        <v>39577</v>
      </c>
      <c r="C5874" s="5" t="s">
        <v>39575</v>
      </c>
      <c r="D5874" s="246">
        <v>44110</v>
      </c>
      <c r="E5874" s="5" t="s">
        <v>39578</v>
      </c>
      <c r="F5874" s="26" t="s">
        <v>23600</v>
      </c>
      <c r="G5874" s="27" t="s">
        <v>17030</v>
      </c>
      <c r="H5874" s="28" t="s">
        <v>17031</v>
      </c>
      <c r="I5874" s="5" t="s">
        <v>1572</v>
      </c>
    </row>
    <row r="5875" spans="1:9" ht="51.75" customHeight="1">
      <c r="A5875" s="5" t="s">
        <v>39579</v>
      </c>
      <c r="B5875" s="5" t="s">
        <v>39580</v>
      </c>
      <c r="C5875" s="5" t="s">
        <v>39581</v>
      </c>
      <c r="D5875" s="246">
        <v>44110</v>
      </c>
      <c r="E5875" s="5" t="s">
        <v>39582</v>
      </c>
      <c r="F5875" s="26" t="s">
        <v>38347</v>
      </c>
      <c r="G5875" s="27" t="s">
        <v>17030</v>
      </c>
      <c r="H5875" s="28" t="s">
        <v>17031</v>
      </c>
      <c r="I5875" s="5" t="s">
        <v>1572</v>
      </c>
    </row>
    <row r="5876" spans="1:9" ht="51.75" customHeight="1">
      <c r="A5876" s="5" t="s">
        <v>39579</v>
      </c>
      <c r="B5876" s="5" t="s">
        <v>39583</v>
      </c>
      <c r="C5876" s="5" t="s">
        <v>39581</v>
      </c>
      <c r="D5876" s="246">
        <v>44110</v>
      </c>
      <c r="E5876" s="5" t="s">
        <v>39584</v>
      </c>
      <c r="F5876" s="26" t="s">
        <v>23600</v>
      </c>
      <c r="G5876" s="27" t="s">
        <v>17030</v>
      </c>
      <c r="H5876" s="28" t="s">
        <v>17031</v>
      </c>
      <c r="I5876" s="5" t="s">
        <v>1572</v>
      </c>
    </row>
    <row r="5877" spans="1:9" ht="51.75" customHeight="1">
      <c r="A5877" s="5" t="s">
        <v>39585</v>
      </c>
      <c r="B5877" s="5" t="s">
        <v>39586</v>
      </c>
      <c r="C5877" s="5" t="s">
        <v>39587</v>
      </c>
      <c r="D5877" s="246">
        <v>44109</v>
      </c>
      <c r="E5877" s="5" t="s">
        <v>39588</v>
      </c>
      <c r="F5877" s="26" t="s">
        <v>38347</v>
      </c>
      <c r="G5877" s="27" t="s">
        <v>17042</v>
      </c>
      <c r="H5877" s="28" t="s">
        <v>17043</v>
      </c>
      <c r="I5877" s="5" t="s">
        <v>1572</v>
      </c>
    </row>
    <row r="5878" spans="1:9" ht="51.75" customHeight="1">
      <c r="A5878" s="5" t="s">
        <v>39585</v>
      </c>
      <c r="B5878" s="5" t="s">
        <v>39589</v>
      </c>
      <c r="C5878" s="5" t="s">
        <v>39587</v>
      </c>
      <c r="D5878" s="246">
        <v>44109</v>
      </c>
      <c r="E5878" s="5" t="s">
        <v>39590</v>
      </c>
      <c r="F5878" s="26" t="s">
        <v>23600</v>
      </c>
      <c r="G5878" s="27" t="s">
        <v>17042</v>
      </c>
      <c r="H5878" s="28" t="s">
        <v>17043</v>
      </c>
      <c r="I5878" s="5" t="s">
        <v>1572</v>
      </c>
    </row>
    <row r="5879" spans="1:9" ht="51.75" customHeight="1">
      <c r="A5879" s="5" t="s">
        <v>39591</v>
      </c>
      <c r="B5879" s="5" t="s">
        <v>39592</v>
      </c>
      <c r="C5879" s="5" t="s">
        <v>39593</v>
      </c>
      <c r="D5879" s="246">
        <v>44124</v>
      </c>
      <c r="E5879" s="5" t="s">
        <v>39594</v>
      </c>
      <c r="F5879" s="26" t="s">
        <v>38347</v>
      </c>
      <c r="G5879" s="27" t="s">
        <v>17095</v>
      </c>
      <c r="H5879" s="28" t="s">
        <v>17096</v>
      </c>
      <c r="I5879" s="5" t="s">
        <v>1572</v>
      </c>
    </row>
    <row r="5880" spans="1:9" ht="51.75" customHeight="1">
      <c r="A5880" s="5" t="s">
        <v>39591</v>
      </c>
      <c r="B5880" s="5" t="s">
        <v>39595</v>
      </c>
      <c r="C5880" s="5" t="s">
        <v>39593</v>
      </c>
      <c r="D5880" s="246">
        <v>44124</v>
      </c>
      <c r="E5880" s="5" t="s">
        <v>39596</v>
      </c>
      <c r="F5880" s="26" t="s">
        <v>23600</v>
      </c>
      <c r="G5880" s="27" t="s">
        <v>17095</v>
      </c>
      <c r="H5880" s="28" t="s">
        <v>17096</v>
      </c>
      <c r="I5880" s="5" t="s">
        <v>1572</v>
      </c>
    </row>
    <row r="5881" spans="1:9" ht="51.75" customHeight="1">
      <c r="A5881" s="5" t="s">
        <v>39597</v>
      </c>
      <c r="B5881" s="5" t="s">
        <v>39598</v>
      </c>
      <c r="C5881" s="5" t="s">
        <v>39599</v>
      </c>
      <c r="D5881" s="246">
        <v>44139</v>
      </c>
      <c r="E5881" s="5" t="s">
        <v>39600</v>
      </c>
      <c r="F5881" s="26" t="s">
        <v>38347</v>
      </c>
      <c r="G5881" s="27" t="s">
        <v>17113</v>
      </c>
      <c r="H5881" s="28" t="s">
        <v>17114</v>
      </c>
      <c r="I5881" s="5" t="s">
        <v>1572</v>
      </c>
    </row>
    <row r="5882" spans="1:9" ht="51.75" customHeight="1">
      <c r="A5882" s="5" t="s">
        <v>39597</v>
      </c>
      <c r="B5882" s="5" t="s">
        <v>39601</v>
      </c>
      <c r="C5882" s="5" t="s">
        <v>39599</v>
      </c>
      <c r="D5882" s="246">
        <v>44139</v>
      </c>
      <c r="E5882" s="5" t="s">
        <v>39602</v>
      </c>
      <c r="F5882" s="26" t="s">
        <v>23600</v>
      </c>
      <c r="G5882" s="27" t="s">
        <v>17113</v>
      </c>
      <c r="H5882" s="28" t="s">
        <v>17114</v>
      </c>
      <c r="I5882" s="5" t="s">
        <v>1572</v>
      </c>
    </row>
    <row r="5883" spans="1:9" ht="51.75" customHeight="1">
      <c r="A5883" s="5" t="s">
        <v>39603</v>
      </c>
      <c r="B5883" s="5" t="s">
        <v>39604</v>
      </c>
      <c r="C5883" s="5" t="s">
        <v>39424</v>
      </c>
      <c r="D5883" s="246">
        <v>44139</v>
      </c>
      <c r="E5883" s="5" t="s">
        <v>39605</v>
      </c>
      <c r="F5883" s="26" t="s">
        <v>38347</v>
      </c>
      <c r="G5883" s="27" t="s">
        <v>17113</v>
      </c>
      <c r="H5883" s="28" t="s">
        <v>17114</v>
      </c>
      <c r="I5883" s="5" t="s">
        <v>1572</v>
      </c>
    </row>
    <row r="5884" spans="1:9" ht="51.75" customHeight="1">
      <c r="A5884" s="5" t="s">
        <v>39603</v>
      </c>
      <c r="B5884" s="5" t="s">
        <v>39606</v>
      </c>
      <c r="C5884" s="5" t="s">
        <v>39424</v>
      </c>
      <c r="D5884" s="246">
        <v>44139</v>
      </c>
      <c r="E5884" s="5" t="s">
        <v>39607</v>
      </c>
      <c r="F5884" s="26" t="s">
        <v>23600</v>
      </c>
      <c r="G5884" s="27" t="s">
        <v>17113</v>
      </c>
      <c r="H5884" s="28" t="s">
        <v>17114</v>
      </c>
      <c r="I5884" s="5" t="s">
        <v>1572</v>
      </c>
    </row>
    <row r="5885" spans="1:9" ht="51.75" customHeight="1">
      <c r="A5885" s="5" t="s">
        <v>39608</v>
      </c>
      <c r="B5885" s="5" t="s">
        <v>39609</v>
      </c>
      <c r="C5885" s="5" t="s">
        <v>39610</v>
      </c>
      <c r="D5885" s="246">
        <v>44152</v>
      </c>
      <c r="E5885" s="5" t="s">
        <v>39611</v>
      </c>
      <c r="F5885" s="26" t="s">
        <v>38347</v>
      </c>
      <c r="G5885" s="27" t="s">
        <v>17153</v>
      </c>
      <c r="H5885" s="28" t="s">
        <v>17154</v>
      </c>
      <c r="I5885" s="5" t="s">
        <v>1572</v>
      </c>
    </row>
    <row r="5886" spans="1:9" ht="51.75" customHeight="1">
      <c r="A5886" s="5" t="s">
        <v>39608</v>
      </c>
      <c r="B5886" s="5" t="s">
        <v>39612</v>
      </c>
      <c r="C5886" s="5" t="s">
        <v>39610</v>
      </c>
      <c r="D5886" s="246">
        <v>44152</v>
      </c>
      <c r="E5886" s="5" t="s">
        <v>39613</v>
      </c>
      <c r="F5886" s="26" t="s">
        <v>23600</v>
      </c>
      <c r="G5886" s="27" t="s">
        <v>17153</v>
      </c>
      <c r="H5886" s="28" t="s">
        <v>17154</v>
      </c>
      <c r="I5886" s="5" t="s">
        <v>1572</v>
      </c>
    </row>
    <row r="5887" spans="1:9" ht="51.75" customHeight="1">
      <c r="A5887" s="5" t="s">
        <v>39614</v>
      </c>
      <c r="B5887" s="5" t="s">
        <v>39615</v>
      </c>
      <c r="C5887" s="5" t="s">
        <v>39424</v>
      </c>
      <c r="D5887" s="246">
        <v>44152</v>
      </c>
      <c r="E5887" s="5" t="s">
        <v>39616</v>
      </c>
      <c r="F5887" s="26" t="s">
        <v>38347</v>
      </c>
      <c r="G5887" s="27" t="s">
        <v>17153</v>
      </c>
      <c r="H5887" s="28" t="s">
        <v>17154</v>
      </c>
      <c r="I5887" s="5" t="s">
        <v>1572</v>
      </c>
    </row>
    <row r="5888" spans="1:9" ht="51.75" customHeight="1">
      <c r="A5888" s="5" t="s">
        <v>39614</v>
      </c>
      <c r="B5888" s="5" t="s">
        <v>39617</v>
      </c>
      <c r="C5888" s="5" t="s">
        <v>39424</v>
      </c>
      <c r="D5888" s="246">
        <v>44152</v>
      </c>
      <c r="E5888" s="5" t="s">
        <v>39618</v>
      </c>
      <c r="F5888" s="26" t="s">
        <v>23600</v>
      </c>
      <c r="G5888" s="27" t="s">
        <v>17153</v>
      </c>
      <c r="H5888" s="28" t="s">
        <v>17154</v>
      </c>
      <c r="I5888" s="5" t="s">
        <v>1572</v>
      </c>
    </row>
    <row r="5889" spans="1:9" ht="51.75" customHeight="1">
      <c r="A5889" s="5" t="s">
        <v>39619</v>
      </c>
      <c r="B5889" s="5" t="s">
        <v>39620</v>
      </c>
      <c r="C5889" s="5" t="s">
        <v>39621</v>
      </c>
      <c r="D5889" s="246">
        <v>44167</v>
      </c>
      <c r="E5889" s="5" t="s">
        <v>39622</v>
      </c>
      <c r="F5889" s="26" t="s">
        <v>38347</v>
      </c>
      <c r="G5889" s="27" t="s">
        <v>17554</v>
      </c>
      <c r="H5889" s="28" t="s">
        <v>17555</v>
      </c>
      <c r="I5889" s="5" t="s">
        <v>1572</v>
      </c>
    </row>
    <row r="5890" spans="1:9" ht="51.75" customHeight="1">
      <c r="A5890" s="5" t="s">
        <v>39619</v>
      </c>
      <c r="B5890" s="5" t="s">
        <v>39623</v>
      </c>
      <c r="C5890" s="5" t="s">
        <v>39621</v>
      </c>
      <c r="D5890" s="246">
        <v>44167</v>
      </c>
      <c r="E5890" s="5" t="s">
        <v>39624</v>
      </c>
      <c r="F5890" s="26" t="s">
        <v>23600</v>
      </c>
      <c r="G5890" s="27" t="s">
        <v>17554</v>
      </c>
      <c r="H5890" s="28" t="s">
        <v>17555</v>
      </c>
      <c r="I5890" s="5" t="s">
        <v>1572</v>
      </c>
    </row>
    <row r="5891" spans="1:9" ht="51.75" customHeight="1">
      <c r="A5891" s="5" t="s">
        <v>39625</v>
      </c>
      <c r="B5891" s="5" t="s">
        <v>39626</v>
      </c>
      <c r="C5891" s="5" t="s">
        <v>39627</v>
      </c>
      <c r="D5891" s="246">
        <v>43991</v>
      </c>
      <c r="E5891" s="5" t="s">
        <v>39628</v>
      </c>
      <c r="F5891" s="26" t="s">
        <v>38347</v>
      </c>
      <c r="G5891" s="27" t="s">
        <v>17524</v>
      </c>
      <c r="H5891" s="28" t="s">
        <v>17525</v>
      </c>
      <c r="I5891" s="5" t="s">
        <v>1572</v>
      </c>
    </row>
    <row r="5892" spans="1:9" ht="51.75" customHeight="1">
      <c r="A5892" s="5" t="s">
        <v>39625</v>
      </c>
      <c r="B5892" s="5" t="s">
        <v>39629</v>
      </c>
      <c r="C5892" s="5" t="s">
        <v>39627</v>
      </c>
      <c r="D5892" s="246">
        <v>43991</v>
      </c>
      <c r="E5892" s="5" t="s">
        <v>39630</v>
      </c>
      <c r="F5892" s="26" t="s">
        <v>23600</v>
      </c>
      <c r="G5892" s="27" t="s">
        <v>17524</v>
      </c>
      <c r="H5892" s="28" t="s">
        <v>17525</v>
      </c>
      <c r="I5892" s="5" t="s">
        <v>1572</v>
      </c>
    </row>
    <row r="5893" spans="1:9" ht="51.75" customHeight="1">
      <c r="A5893" s="5" t="s">
        <v>39631</v>
      </c>
      <c r="B5893" s="5" t="s">
        <v>39632</v>
      </c>
      <c r="C5893" s="5" t="s">
        <v>39633</v>
      </c>
      <c r="D5893" s="246">
        <v>43991</v>
      </c>
      <c r="E5893" s="5" t="s">
        <v>39634</v>
      </c>
      <c r="F5893" s="26" t="s">
        <v>38347</v>
      </c>
      <c r="G5893" s="27" t="s">
        <v>17524</v>
      </c>
      <c r="H5893" s="28" t="s">
        <v>17525</v>
      </c>
      <c r="I5893" s="5" t="s">
        <v>1572</v>
      </c>
    </row>
    <row r="5894" spans="1:9" ht="51.75" customHeight="1">
      <c r="A5894" s="5" t="s">
        <v>39631</v>
      </c>
      <c r="B5894" s="5" t="s">
        <v>39635</v>
      </c>
      <c r="C5894" s="5" t="s">
        <v>39633</v>
      </c>
      <c r="D5894" s="246">
        <v>43991</v>
      </c>
      <c r="E5894" s="5" t="s">
        <v>39636</v>
      </c>
      <c r="F5894" s="26" t="s">
        <v>23600</v>
      </c>
      <c r="G5894" s="27" t="s">
        <v>17524</v>
      </c>
      <c r="H5894" s="28" t="s">
        <v>17525</v>
      </c>
      <c r="I5894" s="5" t="s">
        <v>1572</v>
      </c>
    </row>
    <row r="5895" spans="1:9" ht="51.75" customHeight="1">
      <c r="A5895" s="5" t="s">
        <v>39637</v>
      </c>
      <c r="B5895" s="5" t="s">
        <v>39638</v>
      </c>
      <c r="C5895" s="5" t="s">
        <v>39639</v>
      </c>
      <c r="D5895" s="246">
        <v>43988</v>
      </c>
      <c r="E5895" s="5" t="s">
        <v>39640</v>
      </c>
      <c r="F5895" s="26" t="s">
        <v>38347</v>
      </c>
      <c r="G5895" s="27" t="s">
        <v>17524</v>
      </c>
      <c r="H5895" s="28" t="s">
        <v>17525</v>
      </c>
      <c r="I5895" s="5" t="s">
        <v>1572</v>
      </c>
    </row>
    <row r="5896" spans="1:9" ht="51.75" customHeight="1">
      <c r="A5896" s="5" t="s">
        <v>39637</v>
      </c>
      <c r="B5896" s="5" t="s">
        <v>39641</v>
      </c>
      <c r="C5896" s="5" t="s">
        <v>39639</v>
      </c>
      <c r="D5896" s="246">
        <v>43988</v>
      </c>
      <c r="E5896" s="5" t="s">
        <v>39642</v>
      </c>
      <c r="F5896" s="26" t="s">
        <v>23600</v>
      </c>
      <c r="G5896" s="27" t="s">
        <v>17524</v>
      </c>
      <c r="H5896" s="28" t="s">
        <v>17525</v>
      </c>
      <c r="I5896" s="5" t="s">
        <v>1572</v>
      </c>
    </row>
    <row r="5897" spans="1:9" ht="51.75" customHeight="1">
      <c r="A5897" s="5" t="s">
        <v>39643</v>
      </c>
      <c r="B5897" s="5" t="s">
        <v>39644</v>
      </c>
      <c r="C5897" s="5" t="s">
        <v>39627</v>
      </c>
      <c r="D5897" s="246">
        <v>43991</v>
      </c>
      <c r="E5897" s="5" t="s">
        <v>39645</v>
      </c>
      <c r="F5897" s="26" t="s">
        <v>38347</v>
      </c>
      <c r="G5897" s="27" t="s">
        <v>17524</v>
      </c>
      <c r="H5897" s="28" t="s">
        <v>17525</v>
      </c>
      <c r="I5897" s="5" t="s">
        <v>1572</v>
      </c>
    </row>
    <row r="5898" spans="1:9" ht="51.75" customHeight="1">
      <c r="A5898" s="5" t="s">
        <v>39643</v>
      </c>
      <c r="B5898" s="5" t="s">
        <v>39646</v>
      </c>
      <c r="C5898" s="5" t="s">
        <v>39627</v>
      </c>
      <c r="D5898" s="246">
        <v>43991</v>
      </c>
      <c r="E5898" s="5" t="s">
        <v>39647</v>
      </c>
      <c r="F5898" s="26" t="s">
        <v>23600</v>
      </c>
      <c r="G5898" s="27" t="s">
        <v>17524</v>
      </c>
      <c r="H5898" s="28" t="s">
        <v>17525</v>
      </c>
      <c r="I5898" s="5" t="s">
        <v>1572</v>
      </c>
    </row>
    <row r="5899" spans="1:9" ht="51.75" customHeight="1">
      <c r="A5899" s="5"/>
      <c r="B5899" s="5" t="s">
        <v>39648</v>
      </c>
      <c r="C5899" s="5">
        <v>1</v>
      </c>
      <c r="D5899" s="246">
        <v>44168</v>
      </c>
      <c r="E5899" s="5" t="s">
        <v>39649</v>
      </c>
      <c r="F5899" s="26" t="s">
        <v>23600</v>
      </c>
      <c r="G5899" s="27" t="s">
        <v>17244</v>
      </c>
      <c r="H5899" s="28" t="s">
        <v>17245</v>
      </c>
      <c r="I5899" s="30" t="s">
        <v>1572</v>
      </c>
    </row>
    <row r="5900" spans="1:9" ht="51.75" customHeight="1">
      <c r="A5900" s="5"/>
      <c r="B5900" s="5" t="s">
        <v>39650</v>
      </c>
      <c r="C5900" s="5">
        <v>1</v>
      </c>
      <c r="D5900" s="246">
        <v>44207</v>
      </c>
      <c r="E5900" s="5" t="s">
        <v>39651</v>
      </c>
      <c r="F5900" s="26" t="s">
        <v>23600</v>
      </c>
      <c r="G5900" s="27" t="s">
        <v>17338</v>
      </c>
      <c r="H5900" s="28" t="s">
        <v>17339</v>
      </c>
      <c r="I5900" s="30" t="s">
        <v>1572</v>
      </c>
    </row>
    <row r="5901" spans="1:9" ht="51.75" customHeight="1">
      <c r="A5901" s="5"/>
      <c r="B5901" s="5" t="s">
        <v>39652</v>
      </c>
      <c r="C5901" s="5">
        <v>2</v>
      </c>
      <c r="D5901" s="246">
        <v>44207</v>
      </c>
      <c r="E5901" s="5" t="s">
        <v>39653</v>
      </c>
      <c r="F5901" s="26" t="s">
        <v>23600</v>
      </c>
      <c r="G5901" s="27" t="s">
        <v>17338</v>
      </c>
      <c r="H5901" s="28" t="s">
        <v>17339</v>
      </c>
      <c r="I5901" s="30" t="s">
        <v>1572</v>
      </c>
    </row>
    <row r="5902" spans="1:9" ht="51.75" customHeight="1">
      <c r="A5902" s="5"/>
      <c r="B5902" s="5" t="s">
        <v>39654</v>
      </c>
      <c r="C5902" s="5">
        <v>1</v>
      </c>
      <c r="D5902" s="246">
        <v>44218</v>
      </c>
      <c r="E5902" s="5" t="s">
        <v>39655</v>
      </c>
      <c r="F5902" s="26" t="s">
        <v>23600</v>
      </c>
      <c r="G5902" s="27" t="s">
        <v>17309</v>
      </c>
      <c r="H5902" s="28" t="s">
        <v>17310</v>
      </c>
      <c r="I5902" s="30" t="s">
        <v>1572</v>
      </c>
    </row>
    <row r="5903" spans="1:9" ht="51.75" customHeight="1">
      <c r="A5903" s="5"/>
      <c r="B5903" s="5" t="s">
        <v>39656</v>
      </c>
      <c r="C5903" s="5">
        <v>2</v>
      </c>
      <c r="D5903" s="246">
        <v>44218</v>
      </c>
      <c r="E5903" s="5" t="s">
        <v>39657</v>
      </c>
      <c r="F5903" s="26" t="s">
        <v>23600</v>
      </c>
      <c r="G5903" s="27" t="s">
        <v>17309</v>
      </c>
      <c r="H5903" s="28" t="s">
        <v>17310</v>
      </c>
      <c r="I5903" s="30" t="s">
        <v>1572</v>
      </c>
    </row>
    <row r="5904" spans="1:9" ht="51.75" customHeight="1">
      <c r="A5904" s="5"/>
      <c r="B5904" s="5" t="s">
        <v>39658</v>
      </c>
      <c r="C5904" s="5">
        <v>3</v>
      </c>
      <c r="D5904" s="246">
        <v>44218</v>
      </c>
      <c r="E5904" s="5" t="s">
        <v>39659</v>
      </c>
      <c r="F5904" s="26" t="s">
        <v>23600</v>
      </c>
      <c r="G5904" s="27" t="s">
        <v>17309</v>
      </c>
      <c r="H5904" s="28" t="s">
        <v>17310</v>
      </c>
      <c r="I5904" s="30" t="s">
        <v>1572</v>
      </c>
    </row>
    <row r="5905" spans="1:9" ht="51.75" customHeight="1">
      <c r="A5905" s="5"/>
      <c r="B5905" s="5" t="s">
        <v>39660</v>
      </c>
      <c r="C5905" s="5">
        <v>4</v>
      </c>
      <c r="D5905" s="246">
        <v>44218</v>
      </c>
      <c r="E5905" s="5" t="s">
        <v>39661</v>
      </c>
      <c r="F5905" s="26" t="s">
        <v>23600</v>
      </c>
      <c r="G5905" s="27" t="s">
        <v>17309</v>
      </c>
      <c r="H5905" s="28" t="s">
        <v>17310</v>
      </c>
      <c r="I5905" s="30" t="s">
        <v>1572</v>
      </c>
    </row>
    <row r="5906" spans="1:9" ht="51.75" customHeight="1">
      <c r="A5906" s="5"/>
      <c r="B5906" s="5" t="s">
        <v>39662</v>
      </c>
      <c r="C5906" s="5">
        <v>5</v>
      </c>
      <c r="D5906" s="246">
        <v>44218</v>
      </c>
      <c r="E5906" s="5" t="s">
        <v>39663</v>
      </c>
      <c r="F5906" s="26" t="s">
        <v>23600</v>
      </c>
      <c r="G5906" s="27" t="s">
        <v>17309</v>
      </c>
      <c r="H5906" s="28" t="s">
        <v>17310</v>
      </c>
      <c r="I5906" s="30" t="s">
        <v>1572</v>
      </c>
    </row>
    <row r="5907" spans="1:9" ht="51.75" customHeight="1">
      <c r="A5907" s="5"/>
      <c r="B5907" s="5" t="s">
        <v>39664</v>
      </c>
      <c r="C5907" s="5">
        <v>1</v>
      </c>
      <c r="D5907" s="246">
        <v>44224</v>
      </c>
      <c r="E5907" s="5" t="s">
        <v>39665</v>
      </c>
      <c r="F5907" s="26" t="s">
        <v>23600</v>
      </c>
      <c r="G5907" s="27" t="s">
        <v>17335</v>
      </c>
      <c r="H5907" s="29" t="s">
        <v>17336</v>
      </c>
      <c r="I5907" s="30" t="s">
        <v>1572</v>
      </c>
    </row>
    <row r="5908" spans="1:9" ht="51.75" customHeight="1">
      <c r="A5908" s="5"/>
      <c r="B5908" s="5" t="s">
        <v>39666</v>
      </c>
      <c r="C5908" s="5">
        <v>1</v>
      </c>
      <c r="D5908" s="246">
        <v>44230</v>
      </c>
      <c r="E5908" s="5" t="s">
        <v>39667</v>
      </c>
      <c r="F5908" s="26" t="s">
        <v>23600</v>
      </c>
      <c r="G5908" s="27" t="s">
        <v>17404</v>
      </c>
      <c r="H5908" s="29" t="s">
        <v>17405</v>
      </c>
      <c r="I5908" s="30" t="s">
        <v>1572</v>
      </c>
    </row>
    <row r="5909" spans="1:9" ht="51.75" customHeight="1">
      <c r="A5909" s="5"/>
      <c r="B5909" s="5" t="s">
        <v>39668</v>
      </c>
      <c r="C5909" s="5">
        <v>2</v>
      </c>
      <c r="D5909" s="246">
        <v>44230</v>
      </c>
      <c r="E5909" s="5" t="s">
        <v>39669</v>
      </c>
      <c r="F5909" s="26" t="s">
        <v>23600</v>
      </c>
      <c r="G5909" s="27" t="s">
        <v>17404</v>
      </c>
      <c r="H5909" s="29" t="s">
        <v>17405</v>
      </c>
      <c r="I5909" s="30" t="s">
        <v>1572</v>
      </c>
    </row>
    <row r="5910" spans="1:9" ht="51.75" customHeight="1">
      <c r="A5910" s="5"/>
      <c r="B5910" s="5" t="s">
        <v>39670</v>
      </c>
      <c r="C5910" s="5">
        <v>3</v>
      </c>
      <c r="D5910" s="246">
        <v>44230</v>
      </c>
      <c r="E5910" s="5" t="s">
        <v>39671</v>
      </c>
      <c r="F5910" s="26" t="s">
        <v>23600</v>
      </c>
      <c r="G5910" s="27" t="s">
        <v>17404</v>
      </c>
      <c r="H5910" s="29" t="s">
        <v>17405</v>
      </c>
      <c r="I5910" s="30" t="s">
        <v>1572</v>
      </c>
    </row>
    <row r="5911" spans="1:9" ht="51.75" customHeight="1">
      <c r="A5911" s="5"/>
      <c r="B5911" s="5" t="s">
        <v>39672</v>
      </c>
      <c r="C5911" s="5">
        <v>1</v>
      </c>
      <c r="D5911" s="246">
        <v>44223</v>
      </c>
      <c r="E5911" s="5" t="s">
        <v>39673</v>
      </c>
      <c r="F5911" s="26" t="s">
        <v>23600</v>
      </c>
      <c r="G5911" s="27" t="s">
        <v>17353</v>
      </c>
      <c r="H5911" s="29" t="s">
        <v>17354</v>
      </c>
      <c r="I5911" s="30" t="s">
        <v>1572</v>
      </c>
    </row>
    <row r="5912" spans="1:9" ht="51.75" customHeight="1">
      <c r="A5912" s="5"/>
      <c r="B5912" s="5" t="s">
        <v>39674</v>
      </c>
      <c r="C5912" s="5">
        <v>2</v>
      </c>
      <c r="D5912" s="246">
        <v>44223</v>
      </c>
      <c r="E5912" s="5" t="s">
        <v>39675</v>
      </c>
      <c r="F5912" s="26" t="s">
        <v>23600</v>
      </c>
      <c r="G5912" s="27" t="s">
        <v>17353</v>
      </c>
      <c r="H5912" s="29" t="s">
        <v>17354</v>
      </c>
      <c r="I5912" s="30" t="s">
        <v>1572</v>
      </c>
    </row>
    <row r="5913" spans="1:9" ht="51.75" customHeight="1">
      <c r="A5913" s="5"/>
      <c r="B5913" s="5" t="s">
        <v>39676</v>
      </c>
      <c r="C5913" s="5">
        <v>1</v>
      </c>
      <c r="D5913" s="246">
        <v>44242</v>
      </c>
      <c r="E5913" s="5" t="s">
        <v>39677</v>
      </c>
      <c r="F5913" s="26" t="s">
        <v>23600</v>
      </c>
      <c r="G5913" s="27" t="s">
        <v>17441</v>
      </c>
      <c r="H5913" s="29" t="s">
        <v>17442</v>
      </c>
      <c r="I5913" s="30" t="s">
        <v>1572</v>
      </c>
    </row>
    <row r="5914" spans="1:9" ht="51.75" customHeight="1">
      <c r="A5914" s="5"/>
      <c r="B5914" s="5" t="s">
        <v>39678</v>
      </c>
      <c r="C5914" s="5">
        <v>2</v>
      </c>
      <c r="D5914" s="246">
        <v>44242</v>
      </c>
      <c r="E5914" s="5" t="s">
        <v>39679</v>
      </c>
      <c r="F5914" s="26" t="s">
        <v>23600</v>
      </c>
      <c r="G5914" s="27" t="s">
        <v>17441</v>
      </c>
      <c r="H5914" s="29" t="s">
        <v>17442</v>
      </c>
      <c r="I5914" s="30" t="s">
        <v>1572</v>
      </c>
    </row>
    <row r="5915" spans="1:9" ht="51.75" customHeight="1">
      <c r="A5915" s="5"/>
      <c r="B5915" s="5" t="s">
        <v>39680</v>
      </c>
      <c r="C5915" s="5">
        <v>3</v>
      </c>
      <c r="D5915" s="246">
        <v>44242</v>
      </c>
      <c r="E5915" s="5" t="s">
        <v>39681</v>
      </c>
      <c r="F5915" s="26" t="s">
        <v>23600</v>
      </c>
      <c r="G5915" s="27" t="s">
        <v>17441</v>
      </c>
      <c r="H5915" s="29" t="s">
        <v>17442</v>
      </c>
      <c r="I5915" s="30" t="s">
        <v>1572</v>
      </c>
    </row>
    <row r="5916" spans="1:9" ht="51.75" customHeight="1">
      <c r="A5916" s="5"/>
      <c r="B5916" s="5" t="s">
        <v>39682</v>
      </c>
      <c r="C5916" s="5">
        <v>4</v>
      </c>
      <c r="D5916" s="246">
        <v>44242</v>
      </c>
      <c r="E5916" s="5" t="s">
        <v>39683</v>
      </c>
      <c r="F5916" s="26" t="s">
        <v>23600</v>
      </c>
      <c r="G5916" s="27" t="s">
        <v>17441</v>
      </c>
      <c r="H5916" s="29" t="s">
        <v>17442</v>
      </c>
      <c r="I5916" s="30" t="s">
        <v>1572</v>
      </c>
    </row>
    <row r="5917" spans="1:9" ht="51.75" customHeight="1">
      <c r="A5917" s="5"/>
      <c r="B5917" s="5" t="s">
        <v>39684</v>
      </c>
      <c r="C5917" s="5">
        <v>1</v>
      </c>
      <c r="D5917" s="246">
        <v>44235</v>
      </c>
      <c r="E5917" s="5" t="s">
        <v>39685</v>
      </c>
      <c r="F5917" s="26" t="s">
        <v>23600</v>
      </c>
      <c r="G5917" s="27" t="s">
        <v>17446</v>
      </c>
      <c r="H5917" s="29" t="s">
        <v>17447</v>
      </c>
      <c r="I5917" s="30" t="s">
        <v>1572</v>
      </c>
    </row>
    <row r="5918" spans="1:9" ht="51.75" customHeight="1">
      <c r="A5918" s="5"/>
      <c r="B5918" s="5" t="s">
        <v>39686</v>
      </c>
      <c r="C5918" s="5">
        <v>1</v>
      </c>
      <c r="D5918" s="246">
        <v>44242</v>
      </c>
      <c r="E5918" s="5" t="s">
        <v>39687</v>
      </c>
      <c r="F5918" s="26" t="s">
        <v>23600</v>
      </c>
      <c r="G5918" s="27" t="s">
        <v>17493</v>
      </c>
      <c r="H5918" s="29" t="s">
        <v>17494</v>
      </c>
      <c r="I5918" s="30" t="s">
        <v>1572</v>
      </c>
    </row>
    <row r="5919" spans="1:9" ht="51.75" customHeight="1">
      <c r="A5919" s="5"/>
      <c r="B5919" s="5" t="s">
        <v>39688</v>
      </c>
      <c r="C5919" s="5">
        <v>1</v>
      </c>
      <c r="D5919" s="246">
        <v>44250</v>
      </c>
      <c r="E5919" s="5" t="s">
        <v>39689</v>
      </c>
      <c r="F5919" s="26" t="s">
        <v>23600</v>
      </c>
      <c r="G5919" s="27" t="s">
        <v>17482</v>
      </c>
      <c r="H5919" s="29" t="s">
        <v>17483</v>
      </c>
      <c r="I5919" s="30" t="s">
        <v>1572</v>
      </c>
    </row>
    <row r="5920" spans="1:9" ht="51.75" customHeight="1">
      <c r="A5920" s="5"/>
      <c r="B5920" s="5" t="s">
        <v>39690</v>
      </c>
      <c r="C5920" s="5">
        <v>2</v>
      </c>
      <c r="D5920" s="246">
        <v>44250</v>
      </c>
      <c r="E5920" s="5" t="s">
        <v>39691</v>
      </c>
      <c r="F5920" s="26" t="s">
        <v>23600</v>
      </c>
      <c r="G5920" s="27" t="s">
        <v>17482</v>
      </c>
      <c r="H5920" s="29" t="s">
        <v>17483</v>
      </c>
      <c r="I5920" s="30" t="s">
        <v>1572</v>
      </c>
    </row>
    <row r="5921" spans="1:9" ht="51.75" customHeight="1">
      <c r="A5921" s="5"/>
      <c r="B5921" s="5" t="s">
        <v>39692</v>
      </c>
      <c r="C5921" s="5">
        <v>1</v>
      </c>
      <c r="D5921" s="246">
        <v>44277</v>
      </c>
      <c r="E5921" s="5" t="s">
        <v>39693</v>
      </c>
      <c r="F5921" s="26" t="s">
        <v>23600</v>
      </c>
      <c r="G5921" s="34" t="s">
        <v>17616</v>
      </c>
      <c r="H5921" s="29" t="s">
        <v>17617</v>
      </c>
      <c r="I5921" s="30" t="s">
        <v>1572</v>
      </c>
    </row>
    <row r="5922" spans="1:9" ht="51.75" customHeight="1">
      <c r="A5922" s="5"/>
      <c r="B5922" s="5" t="s">
        <v>39694</v>
      </c>
      <c r="C5922" s="5">
        <v>2</v>
      </c>
      <c r="D5922" s="246">
        <v>44277</v>
      </c>
      <c r="E5922" s="5" t="s">
        <v>39695</v>
      </c>
      <c r="F5922" s="26" t="s">
        <v>23600</v>
      </c>
      <c r="G5922" s="34" t="s">
        <v>17616</v>
      </c>
      <c r="H5922" s="29" t="s">
        <v>17617</v>
      </c>
      <c r="I5922" s="30" t="s">
        <v>1572</v>
      </c>
    </row>
    <row r="5923" spans="1:9" ht="51.75" customHeight="1">
      <c r="A5923" s="5"/>
      <c r="B5923" s="5" t="s">
        <v>39696</v>
      </c>
      <c r="C5923" s="5">
        <v>1</v>
      </c>
      <c r="D5923" s="246">
        <v>44287</v>
      </c>
      <c r="E5923" s="5" t="s">
        <v>39697</v>
      </c>
      <c r="F5923" s="26" t="s">
        <v>23600</v>
      </c>
      <c r="G5923" s="27" t="s">
        <v>17651</v>
      </c>
      <c r="H5923" s="29" t="s">
        <v>17652</v>
      </c>
      <c r="I5923" s="30" t="s">
        <v>1572</v>
      </c>
    </row>
    <row r="5924" spans="1:9" ht="51.75" customHeight="1">
      <c r="A5924" s="5"/>
      <c r="B5924" s="5" t="s">
        <v>39698</v>
      </c>
      <c r="C5924" s="5">
        <v>2</v>
      </c>
      <c r="D5924" s="246">
        <v>44287</v>
      </c>
      <c r="E5924" s="5" t="s">
        <v>39699</v>
      </c>
      <c r="F5924" s="26" t="s">
        <v>23600</v>
      </c>
      <c r="G5924" s="27" t="s">
        <v>17651</v>
      </c>
      <c r="H5924" s="29" t="s">
        <v>17652</v>
      </c>
      <c r="I5924" s="30" t="s">
        <v>1572</v>
      </c>
    </row>
    <row r="5925" spans="1:9" ht="51.75" customHeight="1">
      <c r="A5925" s="5"/>
      <c r="B5925" s="5" t="s">
        <v>39700</v>
      </c>
      <c r="C5925" s="5">
        <v>3</v>
      </c>
      <c r="D5925" s="246">
        <v>44287</v>
      </c>
      <c r="E5925" s="5" t="s">
        <v>39701</v>
      </c>
      <c r="F5925" s="26" t="s">
        <v>23600</v>
      </c>
      <c r="G5925" s="27" t="s">
        <v>17651</v>
      </c>
      <c r="H5925" s="29" t="s">
        <v>17652</v>
      </c>
      <c r="I5925" s="30" t="s">
        <v>1572</v>
      </c>
    </row>
    <row r="5926" spans="1:9" ht="51.75" customHeight="1">
      <c r="A5926" s="5"/>
      <c r="B5926" s="5" t="s">
        <v>39702</v>
      </c>
      <c r="C5926" s="5">
        <v>1</v>
      </c>
      <c r="D5926" s="246">
        <v>44333</v>
      </c>
      <c r="E5926" s="5" t="s">
        <v>39703</v>
      </c>
      <c r="F5926" s="26" t="s">
        <v>23600</v>
      </c>
      <c r="G5926" s="27" t="s">
        <v>17834</v>
      </c>
      <c r="H5926" s="29" t="s">
        <v>17835</v>
      </c>
      <c r="I5926" s="30" t="s">
        <v>1572</v>
      </c>
    </row>
    <row r="5927" spans="1:9" ht="51.75" customHeight="1">
      <c r="A5927" s="5"/>
      <c r="B5927" s="5" t="s">
        <v>39704</v>
      </c>
      <c r="C5927" s="5">
        <v>2</v>
      </c>
      <c r="D5927" s="246">
        <v>44333</v>
      </c>
      <c r="E5927" s="5" t="s">
        <v>39705</v>
      </c>
      <c r="F5927" s="26" t="s">
        <v>23600</v>
      </c>
      <c r="G5927" s="27" t="s">
        <v>17834</v>
      </c>
      <c r="H5927" s="29" t="s">
        <v>17835</v>
      </c>
      <c r="I5927" s="30" t="s">
        <v>1572</v>
      </c>
    </row>
    <row r="5928" spans="1:9" ht="51.75" customHeight="1">
      <c r="A5928" s="5"/>
      <c r="B5928" s="5" t="s">
        <v>39706</v>
      </c>
      <c r="C5928" s="5">
        <v>3</v>
      </c>
      <c r="D5928" s="246">
        <v>44333</v>
      </c>
      <c r="E5928" s="5" t="s">
        <v>39707</v>
      </c>
      <c r="F5928" s="26" t="s">
        <v>23600</v>
      </c>
      <c r="G5928" s="27" t="s">
        <v>17834</v>
      </c>
      <c r="H5928" s="29" t="s">
        <v>17835</v>
      </c>
      <c r="I5928" s="30" t="s">
        <v>1572</v>
      </c>
    </row>
    <row r="5929" spans="1:9" ht="51.75" customHeight="1">
      <c r="A5929" s="5"/>
      <c r="B5929" s="5" t="s">
        <v>39708</v>
      </c>
      <c r="C5929" s="5">
        <v>1</v>
      </c>
      <c r="D5929" s="246">
        <v>44203</v>
      </c>
      <c r="E5929" s="5" t="s">
        <v>39709</v>
      </c>
      <c r="F5929" s="26" t="s">
        <v>23600</v>
      </c>
      <c r="G5929" s="27" t="s">
        <v>17306</v>
      </c>
      <c r="H5929" s="29" t="s">
        <v>17307</v>
      </c>
      <c r="I5929" s="30" t="s">
        <v>1572</v>
      </c>
    </row>
    <row r="5930" spans="1:9" ht="51.75" customHeight="1">
      <c r="A5930" s="5"/>
      <c r="B5930" s="5" t="s">
        <v>39710</v>
      </c>
      <c r="C5930" s="5" t="s">
        <v>39711</v>
      </c>
      <c r="D5930" s="246">
        <v>44172</v>
      </c>
      <c r="E5930" s="5" t="s">
        <v>39712</v>
      </c>
      <c r="F5930" s="26" t="s">
        <v>23600</v>
      </c>
      <c r="G5930" s="27" t="s">
        <v>17226</v>
      </c>
      <c r="H5930" s="29" t="s">
        <v>17227</v>
      </c>
      <c r="I5930" s="30" t="s">
        <v>1572</v>
      </c>
    </row>
    <row r="5931" spans="1:9" ht="51.75" customHeight="1">
      <c r="A5931" s="5"/>
      <c r="B5931" s="5" t="s">
        <v>39713</v>
      </c>
      <c r="C5931" s="5" t="s">
        <v>39714</v>
      </c>
      <c r="D5931" s="246">
        <v>44172</v>
      </c>
      <c r="E5931" s="5" t="s">
        <v>39715</v>
      </c>
      <c r="F5931" s="26" t="s">
        <v>23600</v>
      </c>
      <c r="G5931" s="27" t="s">
        <v>17226</v>
      </c>
      <c r="H5931" s="29" t="s">
        <v>17227</v>
      </c>
      <c r="I5931" s="30" t="s">
        <v>1572</v>
      </c>
    </row>
    <row r="5932" spans="1:9" ht="51.75" customHeight="1">
      <c r="A5932" s="5"/>
      <c r="B5932" s="5" t="s">
        <v>39716</v>
      </c>
      <c r="C5932" s="5" t="s">
        <v>39717</v>
      </c>
      <c r="D5932" s="246">
        <v>44172</v>
      </c>
      <c r="E5932" s="5" t="s">
        <v>39718</v>
      </c>
      <c r="F5932" s="26" t="s">
        <v>23600</v>
      </c>
      <c r="G5932" s="27" t="s">
        <v>17226</v>
      </c>
      <c r="H5932" s="29" t="s">
        <v>17227</v>
      </c>
      <c r="I5932" s="30" t="s">
        <v>1572</v>
      </c>
    </row>
    <row r="5933" spans="1:9" ht="51.75" customHeight="1">
      <c r="A5933" s="5"/>
      <c r="B5933" s="5" t="s">
        <v>39719</v>
      </c>
      <c r="C5933" s="5" t="s">
        <v>39720</v>
      </c>
      <c r="D5933" s="246">
        <v>44172</v>
      </c>
      <c r="E5933" s="5" t="s">
        <v>39721</v>
      </c>
      <c r="F5933" s="26" t="s">
        <v>23600</v>
      </c>
      <c r="G5933" s="27" t="s">
        <v>17226</v>
      </c>
      <c r="H5933" s="29" t="s">
        <v>17227</v>
      </c>
      <c r="I5933" s="30" t="s">
        <v>1572</v>
      </c>
    </row>
    <row r="5934" spans="1:9" ht="51.75" customHeight="1">
      <c r="A5934" s="5"/>
      <c r="B5934" s="5" t="s">
        <v>39722</v>
      </c>
      <c r="C5934" s="5" t="s">
        <v>39723</v>
      </c>
      <c r="D5934" s="246">
        <v>44172</v>
      </c>
      <c r="E5934" s="5" t="s">
        <v>39724</v>
      </c>
      <c r="F5934" s="26" t="s">
        <v>23600</v>
      </c>
      <c r="G5934" s="27" t="s">
        <v>17226</v>
      </c>
      <c r="H5934" s="29" t="s">
        <v>17227</v>
      </c>
      <c r="I5934" s="30" t="s">
        <v>1572</v>
      </c>
    </row>
    <row r="5935" spans="1:9" ht="51.75" customHeight="1">
      <c r="A5935" s="5"/>
      <c r="B5935" s="5" t="s">
        <v>39725</v>
      </c>
      <c r="C5935" s="5" t="s">
        <v>39726</v>
      </c>
      <c r="D5935" s="246">
        <v>44172</v>
      </c>
      <c r="E5935" s="5" t="s">
        <v>39727</v>
      </c>
      <c r="F5935" s="26" t="s">
        <v>23600</v>
      </c>
      <c r="G5935" s="27" t="s">
        <v>17226</v>
      </c>
      <c r="H5935" s="29" t="s">
        <v>17227</v>
      </c>
      <c r="I5935" s="30" t="s">
        <v>1572</v>
      </c>
    </row>
    <row r="5936" spans="1:9" ht="51.75" customHeight="1">
      <c r="A5936" s="5"/>
      <c r="B5936" s="5" t="s">
        <v>39728</v>
      </c>
      <c r="C5936" s="5" t="s">
        <v>39729</v>
      </c>
      <c r="D5936" s="246">
        <v>44172</v>
      </c>
      <c r="E5936" s="5" t="s">
        <v>39730</v>
      </c>
      <c r="F5936" s="26" t="s">
        <v>23600</v>
      </c>
      <c r="G5936" s="27" t="s">
        <v>17226</v>
      </c>
      <c r="H5936" s="29" t="s">
        <v>17227</v>
      </c>
      <c r="I5936" s="30" t="s">
        <v>1572</v>
      </c>
    </row>
    <row r="5937" spans="1:9" ht="51.75" customHeight="1">
      <c r="A5937" s="5"/>
      <c r="B5937" s="5" t="s">
        <v>39731</v>
      </c>
      <c r="C5937" s="5" t="s">
        <v>39732</v>
      </c>
      <c r="D5937" s="246">
        <v>44172</v>
      </c>
      <c r="E5937" s="5" t="s">
        <v>39733</v>
      </c>
      <c r="F5937" s="26" t="s">
        <v>23600</v>
      </c>
      <c r="G5937" s="27" t="s">
        <v>17226</v>
      </c>
      <c r="H5937" s="29" t="s">
        <v>17227</v>
      </c>
      <c r="I5937" s="30" t="s">
        <v>1572</v>
      </c>
    </row>
    <row r="5938" spans="1:9" ht="51.75" customHeight="1">
      <c r="A5938" s="5"/>
      <c r="B5938" s="5" t="s">
        <v>39734</v>
      </c>
      <c r="C5938" s="5" t="s">
        <v>39735</v>
      </c>
      <c r="D5938" s="246">
        <v>44172</v>
      </c>
      <c r="E5938" s="5" t="s">
        <v>39736</v>
      </c>
      <c r="F5938" s="26" t="s">
        <v>23600</v>
      </c>
      <c r="G5938" s="27" t="s">
        <v>17226</v>
      </c>
      <c r="H5938" s="29" t="s">
        <v>17227</v>
      </c>
      <c r="I5938" s="30" t="s">
        <v>1572</v>
      </c>
    </row>
    <row r="5939" spans="1:9" ht="51.75" customHeight="1">
      <c r="A5939" s="5"/>
      <c r="B5939" s="5" t="s">
        <v>39737</v>
      </c>
      <c r="C5939" s="5">
        <v>1</v>
      </c>
      <c r="D5939" s="246">
        <v>44175</v>
      </c>
      <c r="E5939" s="5" t="s">
        <v>39738</v>
      </c>
      <c r="F5939" s="26" t="s">
        <v>23600</v>
      </c>
      <c r="G5939" s="27" t="s">
        <v>17234</v>
      </c>
      <c r="H5939" s="29" t="s">
        <v>17235</v>
      </c>
      <c r="I5939" s="30" t="s">
        <v>1572</v>
      </c>
    </row>
    <row r="5940" spans="1:9" ht="51.75" customHeight="1">
      <c r="A5940" s="5"/>
      <c r="B5940" s="5" t="s">
        <v>39739</v>
      </c>
      <c r="C5940" s="5">
        <v>2</v>
      </c>
      <c r="D5940" s="246">
        <v>44175</v>
      </c>
      <c r="E5940" s="5" t="s">
        <v>39740</v>
      </c>
      <c r="F5940" s="26" t="s">
        <v>23600</v>
      </c>
      <c r="G5940" s="27" t="s">
        <v>17234</v>
      </c>
      <c r="H5940" s="29" t="s">
        <v>17235</v>
      </c>
      <c r="I5940" s="30" t="s">
        <v>1572</v>
      </c>
    </row>
    <row r="5941" spans="1:9" ht="51.75" customHeight="1">
      <c r="A5941" s="5"/>
      <c r="B5941" s="5" t="s">
        <v>39741</v>
      </c>
      <c r="C5941" s="5">
        <v>1</v>
      </c>
      <c r="D5941" s="246">
        <v>44169</v>
      </c>
      <c r="E5941" s="5" t="s">
        <v>39742</v>
      </c>
      <c r="F5941" s="26" t="s">
        <v>23600</v>
      </c>
      <c r="G5941" s="27" t="s">
        <v>17564</v>
      </c>
      <c r="H5941" s="29" t="s">
        <v>17565</v>
      </c>
      <c r="I5941" s="30" t="s">
        <v>1572</v>
      </c>
    </row>
    <row r="5942" spans="1:9" ht="51.75" customHeight="1">
      <c r="A5942" s="5"/>
      <c r="B5942" s="5" t="s">
        <v>39743</v>
      </c>
      <c r="C5942" s="5">
        <v>2</v>
      </c>
      <c r="D5942" s="246">
        <v>44169</v>
      </c>
      <c r="E5942" s="5" t="s">
        <v>39744</v>
      </c>
      <c r="F5942" s="26" t="s">
        <v>23600</v>
      </c>
      <c r="G5942" s="27" t="s">
        <v>17564</v>
      </c>
      <c r="H5942" s="29" t="s">
        <v>17565</v>
      </c>
      <c r="I5942" s="30" t="s">
        <v>1572</v>
      </c>
    </row>
    <row r="5943" spans="1:9" ht="51.75" customHeight="1">
      <c r="A5943" s="5"/>
      <c r="B5943" s="5" t="s">
        <v>39745</v>
      </c>
      <c r="C5943" s="5">
        <v>1</v>
      </c>
      <c r="D5943" s="246">
        <v>44183</v>
      </c>
      <c r="E5943" s="5" t="s">
        <v>39746</v>
      </c>
      <c r="F5943" s="26" t="s">
        <v>23600</v>
      </c>
      <c r="G5943" s="27" t="s">
        <v>17231</v>
      </c>
      <c r="H5943" s="29" t="s">
        <v>17232</v>
      </c>
      <c r="I5943" s="30" t="s">
        <v>1572</v>
      </c>
    </row>
    <row r="5944" spans="1:9" ht="51.75" customHeight="1">
      <c r="A5944" s="5"/>
      <c r="B5944" s="5" t="s">
        <v>39747</v>
      </c>
      <c r="C5944" s="5">
        <v>2</v>
      </c>
      <c r="D5944" s="246">
        <v>44183</v>
      </c>
      <c r="E5944" s="5" t="s">
        <v>39748</v>
      </c>
      <c r="F5944" s="26" t="s">
        <v>23600</v>
      </c>
      <c r="G5944" s="27" t="s">
        <v>17231</v>
      </c>
      <c r="H5944" s="29" t="s">
        <v>17232</v>
      </c>
      <c r="I5944" s="30" t="s">
        <v>1572</v>
      </c>
    </row>
    <row r="5945" spans="1:9" ht="51.75" customHeight="1">
      <c r="A5945" s="5"/>
      <c r="B5945" s="5" t="s">
        <v>39749</v>
      </c>
      <c r="C5945" s="5">
        <v>3</v>
      </c>
      <c r="D5945" s="246">
        <v>44183</v>
      </c>
      <c r="E5945" s="5" t="s">
        <v>39750</v>
      </c>
      <c r="F5945" s="26" t="s">
        <v>23600</v>
      </c>
      <c r="G5945" s="27" t="s">
        <v>17231</v>
      </c>
      <c r="H5945" s="29" t="s">
        <v>17232</v>
      </c>
      <c r="I5945" s="30" t="s">
        <v>1572</v>
      </c>
    </row>
    <row r="5946" spans="1:9" ht="51.75" customHeight="1">
      <c r="A5946" s="5"/>
      <c r="B5946" s="5" t="s">
        <v>39751</v>
      </c>
      <c r="C5946" s="5">
        <v>4</v>
      </c>
      <c r="D5946" s="246">
        <v>44183</v>
      </c>
      <c r="E5946" s="5" t="s">
        <v>39752</v>
      </c>
      <c r="F5946" s="26" t="s">
        <v>23600</v>
      </c>
      <c r="G5946" s="27" t="s">
        <v>17231</v>
      </c>
      <c r="H5946" s="29" t="s">
        <v>17232</v>
      </c>
      <c r="I5946" s="30" t="s">
        <v>1572</v>
      </c>
    </row>
    <row r="5947" spans="1:9" ht="51.75" customHeight="1">
      <c r="A5947" s="5"/>
      <c r="B5947" s="5" t="s">
        <v>39753</v>
      </c>
      <c r="C5947" s="5" t="s">
        <v>31316</v>
      </c>
      <c r="D5947" s="246">
        <v>44384</v>
      </c>
      <c r="E5947" s="5" t="s">
        <v>39754</v>
      </c>
      <c r="F5947" s="26" t="s">
        <v>23600</v>
      </c>
      <c r="G5947" s="27" t="s">
        <v>17967</v>
      </c>
      <c r="H5947" s="29" t="s">
        <v>17968</v>
      </c>
      <c r="I5947" s="30" t="s">
        <v>1572</v>
      </c>
    </row>
    <row r="5948" spans="1:9" ht="51.75" customHeight="1">
      <c r="A5948" s="5"/>
      <c r="B5948" s="5" t="str">
        <f>CONCATENATE(G5948,"/",COUNTIF($G$2:G5948,G5948))</f>
        <v>RO-6297/2</v>
      </c>
      <c r="C5948" s="5" t="s">
        <v>31319</v>
      </c>
      <c r="D5948" s="246">
        <v>44385</v>
      </c>
      <c r="E5948" s="5" t="s">
        <v>39755</v>
      </c>
      <c r="F5948" s="26" t="s">
        <v>23600</v>
      </c>
      <c r="G5948" s="27" t="s">
        <v>17967</v>
      </c>
      <c r="H5948" s="29" t="s">
        <v>17968</v>
      </c>
      <c r="I5948" s="30" t="s">
        <v>1572</v>
      </c>
    </row>
    <row r="5949" spans="1:9" ht="51.75" customHeight="1">
      <c r="A5949" s="5"/>
      <c r="B5949" s="5" t="str">
        <f>CONCATENATE(G5949,"/",COUNTIF($G$2:G5949,G5949))</f>
        <v>RO-6314/1</v>
      </c>
      <c r="C5949" s="5" t="s">
        <v>31316</v>
      </c>
      <c r="D5949" s="246">
        <v>44412</v>
      </c>
      <c r="E5949" s="5" t="s">
        <v>39756</v>
      </c>
      <c r="F5949" s="26" t="s">
        <v>23600</v>
      </c>
      <c r="G5949" s="27" t="s">
        <v>18059</v>
      </c>
      <c r="H5949" s="29" t="s">
        <v>18060</v>
      </c>
      <c r="I5949" s="30" t="s">
        <v>1572</v>
      </c>
    </row>
    <row r="5950" spans="1:9" ht="51.75" customHeight="1">
      <c r="A5950" s="5"/>
      <c r="B5950" s="5" t="str">
        <f>CONCATENATE(G5950,"/",COUNTIF($G$2:G5950,G5950))</f>
        <v>RO-6326/1</v>
      </c>
      <c r="C5950" s="5" t="s">
        <v>31316</v>
      </c>
      <c r="D5950" s="246">
        <v>44427</v>
      </c>
      <c r="E5950" s="5" t="s">
        <v>39757</v>
      </c>
      <c r="F5950" s="26" t="s">
        <v>23600</v>
      </c>
      <c r="G5950" s="27" t="s">
        <v>18138</v>
      </c>
      <c r="H5950" s="29" t="s">
        <v>18139</v>
      </c>
      <c r="I5950" s="30" t="s">
        <v>1572</v>
      </c>
    </row>
    <row r="5951" spans="1:9" ht="51.75" customHeight="1">
      <c r="A5951" s="5"/>
      <c r="B5951" s="5" t="str">
        <f>CONCATENATE(G5951,"/",COUNTIF($G$2:G5951,G5951))</f>
        <v>RO-6345/1</v>
      </c>
      <c r="C5951" s="5" t="s">
        <v>31316</v>
      </c>
      <c r="D5951" s="246">
        <v>44440</v>
      </c>
      <c r="E5951" s="5" t="s">
        <v>39758</v>
      </c>
      <c r="F5951" s="26" t="s">
        <v>23600</v>
      </c>
      <c r="G5951" s="27" t="s">
        <v>18224</v>
      </c>
      <c r="H5951" s="29" t="s">
        <v>18225</v>
      </c>
      <c r="I5951" s="30" t="s">
        <v>1572</v>
      </c>
    </row>
    <row r="5952" spans="1:9" ht="51.75" customHeight="1">
      <c r="A5952" s="5"/>
      <c r="B5952" s="5" t="str">
        <f>CONCATENATE(G5952,"/",COUNTIF($G$2:G5952,G5952))</f>
        <v>RO-6345/2</v>
      </c>
      <c r="C5952" s="5" t="s">
        <v>31319</v>
      </c>
      <c r="D5952" s="246">
        <v>44440</v>
      </c>
      <c r="E5952" s="5" t="s">
        <v>39759</v>
      </c>
      <c r="F5952" s="26" t="s">
        <v>23600</v>
      </c>
      <c r="G5952" s="27" t="s">
        <v>18224</v>
      </c>
      <c r="H5952" s="29" t="s">
        <v>18225</v>
      </c>
      <c r="I5952" s="30" t="s">
        <v>1572</v>
      </c>
    </row>
    <row r="5953" spans="1:9" ht="51.75" customHeight="1">
      <c r="A5953" s="5"/>
      <c r="B5953" s="5" t="str">
        <f>CONCATENATE(G5953,"/",COUNTIF($G$2:G5953,G5953))</f>
        <v>RO-6342/1</v>
      </c>
      <c r="C5953" s="5" t="s">
        <v>31316</v>
      </c>
      <c r="D5953" s="246">
        <v>44446</v>
      </c>
      <c r="E5953" s="5" t="s">
        <v>39760</v>
      </c>
      <c r="F5953" s="26" t="s">
        <v>23600</v>
      </c>
      <c r="G5953" s="27" t="s">
        <v>18201</v>
      </c>
      <c r="H5953" s="29" t="s">
        <v>18202</v>
      </c>
      <c r="I5953" s="30" t="s">
        <v>1572</v>
      </c>
    </row>
    <row r="5954" spans="1:9" ht="51.75" customHeight="1">
      <c r="A5954" s="5"/>
      <c r="B5954" s="5" t="str">
        <f>CONCATENATE(G5954,"/",COUNTIF($G$2:G5954,G5954))</f>
        <v>RO-6342/2</v>
      </c>
      <c r="C5954" s="5" t="s">
        <v>31319</v>
      </c>
      <c r="D5954" s="246">
        <v>44446</v>
      </c>
      <c r="E5954" s="5" t="s">
        <v>39761</v>
      </c>
      <c r="F5954" s="26" t="s">
        <v>23600</v>
      </c>
      <c r="G5954" s="27" t="s">
        <v>18201</v>
      </c>
      <c r="H5954" s="29" t="s">
        <v>18202</v>
      </c>
      <c r="I5954" s="30" t="s">
        <v>1572</v>
      </c>
    </row>
    <row r="5955" spans="1:9" ht="51.75" customHeight="1">
      <c r="A5955" s="5"/>
      <c r="B5955" s="5" t="str">
        <f>CONCATENATE(G5955,"/",COUNTIF($G$2:G5955,G5955))</f>
        <v>RO-6342/3</v>
      </c>
      <c r="C5955" s="5" t="s">
        <v>39762</v>
      </c>
      <c r="D5955" s="246">
        <v>44446</v>
      </c>
      <c r="E5955" s="5" t="s">
        <v>39763</v>
      </c>
      <c r="F5955" s="26" t="s">
        <v>23600</v>
      </c>
      <c r="G5955" s="27" t="s">
        <v>18201</v>
      </c>
      <c r="H5955" s="29" t="s">
        <v>18202</v>
      </c>
      <c r="I5955" s="30" t="s">
        <v>1572</v>
      </c>
    </row>
    <row r="5956" spans="1:9" ht="51.75" customHeight="1">
      <c r="A5956" s="5"/>
      <c r="B5956" s="5" t="str">
        <f>CONCATENATE(G5956,"/",COUNTIF($G$2:G5956,G5956))</f>
        <v>RO-6342/4</v>
      </c>
      <c r="C5956" s="5" t="s">
        <v>39764</v>
      </c>
      <c r="D5956" s="246">
        <v>44446</v>
      </c>
      <c r="E5956" s="5" t="s">
        <v>39765</v>
      </c>
      <c r="F5956" s="26" t="s">
        <v>23600</v>
      </c>
      <c r="G5956" s="27" t="s">
        <v>18201</v>
      </c>
      <c r="H5956" s="29" t="s">
        <v>18202</v>
      </c>
      <c r="I5956" s="30" t="s">
        <v>1572</v>
      </c>
    </row>
    <row r="5957" spans="1:9" ht="51.75" customHeight="1">
      <c r="A5957" s="5"/>
      <c r="B5957" s="5" t="str">
        <f>CONCATENATE(G5957,"/",COUNTIF($G$2:G5957,G5957))</f>
        <v>RO-6339/1</v>
      </c>
      <c r="C5957" s="5" t="s">
        <v>31316</v>
      </c>
      <c r="D5957" s="246">
        <v>44446</v>
      </c>
      <c r="E5957" s="5" t="s">
        <v>39766</v>
      </c>
      <c r="F5957" s="26" t="s">
        <v>23600</v>
      </c>
      <c r="G5957" s="39" t="s">
        <v>18193</v>
      </c>
      <c r="H5957" s="29" t="s">
        <v>18194</v>
      </c>
      <c r="I5957" s="30" t="s">
        <v>1572</v>
      </c>
    </row>
    <row r="5958" spans="1:9" ht="51.75" customHeight="1">
      <c r="A5958" s="5"/>
      <c r="B5958" s="5" t="str">
        <f>CONCATENATE(G5958,"/",COUNTIF($G$2:G5958,G5958))</f>
        <v>RO-6339/2</v>
      </c>
      <c r="C5958" s="5" t="s">
        <v>31319</v>
      </c>
      <c r="D5958" s="246">
        <v>44446</v>
      </c>
      <c r="E5958" s="5" t="s">
        <v>39767</v>
      </c>
      <c r="F5958" s="26" t="s">
        <v>23600</v>
      </c>
      <c r="G5958" s="39" t="s">
        <v>18193</v>
      </c>
      <c r="H5958" s="29" t="s">
        <v>18194</v>
      </c>
      <c r="I5958" s="30" t="s">
        <v>1572</v>
      </c>
    </row>
    <row r="5959" spans="1:9" ht="51.75" customHeight="1">
      <c r="A5959" s="5"/>
      <c r="B5959" s="5" t="str">
        <f>CONCATENATE(G5959,"/",COUNTIF($G$2:G5959,G5959))</f>
        <v>RO-6353/1</v>
      </c>
      <c r="C5959" s="5" t="s">
        <v>31316</v>
      </c>
      <c r="D5959" s="246">
        <v>44476</v>
      </c>
      <c r="E5959" s="5" t="s">
        <v>39768</v>
      </c>
      <c r="F5959" s="26" t="s">
        <v>23600</v>
      </c>
      <c r="G5959" s="27" t="s">
        <v>18281</v>
      </c>
      <c r="H5959" s="29" t="s">
        <v>18282</v>
      </c>
      <c r="I5959" s="30" t="s">
        <v>1572</v>
      </c>
    </row>
    <row r="5960" spans="1:9" ht="51.75" customHeight="1">
      <c r="A5960" s="5"/>
      <c r="B5960" s="5" t="str">
        <f>CONCATENATE(G5960,"/",COUNTIF($G$2:G5960,G5960))</f>
        <v>RO-6353/2</v>
      </c>
      <c r="C5960" s="5" t="s">
        <v>31319</v>
      </c>
      <c r="D5960" s="246">
        <v>44476</v>
      </c>
      <c r="E5960" s="5" t="s">
        <v>39769</v>
      </c>
      <c r="F5960" s="26" t="s">
        <v>23600</v>
      </c>
      <c r="G5960" s="27" t="s">
        <v>18281</v>
      </c>
      <c r="H5960" s="29" t="s">
        <v>18282</v>
      </c>
      <c r="I5960" s="30" t="s">
        <v>1572</v>
      </c>
    </row>
    <row r="5961" spans="1:9" ht="51.75" customHeight="1">
      <c r="A5961" s="5" t="s">
        <v>24456</v>
      </c>
      <c r="B5961" s="5" t="s">
        <v>39770</v>
      </c>
      <c r="C5961" s="5" t="s">
        <v>39771</v>
      </c>
      <c r="D5961" s="246">
        <v>41319</v>
      </c>
      <c r="E5961" s="5" t="s">
        <v>39772</v>
      </c>
      <c r="F5961" s="26" t="s">
        <v>24939</v>
      </c>
      <c r="G5961" s="27" t="s">
        <v>3818</v>
      </c>
      <c r="H5961" s="28" t="s">
        <v>3819</v>
      </c>
      <c r="I5961" s="5" t="s">
        <v>1770</v>
      </c>
    </row>
    <row r="5962" spans="1:9" ht="51.75" customHeight="1">
      <c r="A5962" s="5" t="s">
        <v>24456</v>
      </c>
      <c r="B5962" s="5" t="s">
        <v>39773</v>
      </c>
      <c r="C5962" s="5" t="s">
        <v>39771</v>
      </c>
      <c r="D5962" s="246">
        <v>41319</v>
      </c>
      <c r="E5962" s="5" t="s">
        <v>39774</v>
      </c>
      <c r="F5962" s="26" t="s">
        <v>23600</v>
      </c>
      <c r="G5962" s="27" t="s">
        <v>3818</v>
      </c>
      <c r="H5962" s="28" t="s">
        <v>3819</v>
      </c>
      <c r="I5962" s="5" t="s">
        <v>1770</v>
      </c>
    </row>
    <row r="5963" spans="1:9" ht="51.75" customHeight="1">
      <c r="A5963" s="5" t="s">
        <v>23619</v>
      </c>
      <c r="B5963" s="5" t="s">
        <v>39775</v>
      </c>
      <c r="C5963" s="5" t="s">
        <v>39776</v>
      </c>
      <c r="D5963" s="246">
        <v>41319</v>
      </c>
      <c r="E5963" s="5" t="s">
        <v>39777</v>
      </c>
      <c r="F5963" s="26" t="s">
        <v>24939</v>
      </c>
      <c r="G5963" s="27" t="s">
        <v>3818</v>
      </c>
      <c r="H5963" s="28" t="s">
        <v>3819</v>
      </c>
      <c r="I5963" s="5" t="s">
        <v>1770</v>
      </c>
    </row>
    <row r="5964" spans="1:9" ht="51.75" customHeight="1">
      <c r="A5964" s="5" t="s">
        <v>23619</v>
      </c>
      <c r="B5964" s="5" t="s">
        <v>39778</v>
      </c>
      <c r="C5964" s="5" t="s">
        <v>39776</v>
      </c>
      <c r="D5964" s="246">
        <v>41319</v>
      </c>
      <c r="E5964" s="5" t="s">
        <v>39779</v>
      </c>
      <c r="F5964" s="26" t="s">
        <v>23600</v>
      </c>
      <c r="G5964" s="27" t="s">
        <v>3818</v>
      </c>
      <c r="H5964" s="28" t="s">
        <v>3819</v>
      </c>
      <c r="I5964" s="5" t="s">
        <v>1770</v>
      </c>
    </row>
    <row r="5965" spans="1:9" ht="51.75" customHeight="1">
      <c r="A5965" s="5" t="s">
        <v>23623</v>
      </c>
      <c r="B5965" s="5" t="s">
        <v>39780</v>
      </c>
      <c r="C5965" s="5" t="s">
        <v>39781</v>
      </c>
      <c r="D5965" s="246">
        <v>41319</v>
      </c>
      <c r="E5965" s="5" t="s">
        <v>39782</v>
      </c>
      <c r="F5965" s="26" t="s">
        <v>24939</v>
      </c>
      <c r="G5965" s="27" t="s">
        <v>3818</v>
      </c>
      <c r="H5965" s="28" t="s">
        <v>3819</v>
      </c>
      <c r="I5965" s="5" t="s">
        <v>1770</v>
      </c>
    </row>
    <row r="5966" spans="1:9" ht="51.75" customHeight="1">
      <c r="A5966" s="5" t="s">
        <v>23623</v>
      </c>
      <c r="B5966" s="5" t="s">
        <v>39783</v>
      </c>
      <c r="C5966" s="5" t="s">
        <v>39781</v>
      </c>
      <c r="D5966" s="246">
        <v>41319</v>
      </c>
      <c r="E5966" s="5" t="s">
        <v>39784</v>
      </c>
      <c r="F5966" s="26" t="s">
        <v>23600</v>
      </c>
      <c r="G5966" s="27" t="s">
        <v>3818</v>
      </c>
      <c r="H5966" s="28" t="s">
        <v>3819</v>
      </c>
      <c r="I5966" s="5" t="s">
        <v>1770</v>
      </c>
    </row>
    <row r="5967" spans="1:9" ht="51.75" customHeight="1">
      <c r="A5967" s="5" t="s">
        <v>27043</v>
      </c>
      <c r="B5967" s="5" t="s">
        <v>39785</v>
      </c>
      <c r="C5967" s="5" t="s">
        <v>39786</v>
      </c>
      <c r="D5967" s="246">
        <v>41319</v>
      </c>
      <c r="E5967" s="5" t="s">
        <v>39787</v>
      </c>
      <c r="F5967" s="26" t="s">
        <v>24939</v>
      </c>
      <c r="G5967" s="27" t="s">
        <v>3818</v>
      </c>
      <c r="H5967" s="28" t="s">
        <v>3819</v>
      </c>
      <c r="I5967" s="5" t="s">
        <v>1770</v>
      </c>
    </row>
    <row r="5968" spans="1:9" ht="51.75" customHeight="1">
      <c r="A5968" s="5" t="s">
        <v>27043</v>
      </c>
      <c r="B5968" s="5" t="s">
        <v>39788</v>
      </c>
      <c r="C5968" s="5" t="s">
        <v>39786</v>
      </c>
      <c r="D5968" s="246">
        <v>41319</v>
      </c>
      <c r="E5968" s="5" t="s">
        <v>39789</v>
      </c>
      <c r="F5968" s="26" t="s">
        <v>23600</v>
      </c>
      <c r="G5968" s="27" t="s">
        <v>3818</v>
      </c>
      <c r="H5968" s="28" t="s">
        <v>3819</v>
      </c>
      <c r="I5968" s="5" t="s">
        <v>1770</v>
      </c>
    </row>
    <row r="5969" spans="1:9" ht="51.75" customHeight="1">
      <c r="A5969" s="5" t="s">
        <v>27049</v>
      </c>
      <c r="B5969" s="5" t="s">
        <v>39790</v>
      </c>
      <c r="C5969" s="5" t="s">
        <v>39791</v>
      </c>
      <c r="D5969" s="246">
        <v>41319</v>
      </c>
      <c r="E5969" s="5" t="s">
        <v>39792</v>
      </c>
      <c r="F5969" s="26" t="s">
        <v>24939</v>
      </c>
      <c r="G5969" s="27" t="s">
        <v>3818</v>
      </c>
      <c r="H5969" s="28" t="s">
        <v>3819</v>
      </c>
      <c r="I5969" s="5" t="s">
        <v>1770</v>
      </c>
    </row>
    <row r="5970" spans="1:9" ht="51.75" customHeight="1">
      <c r="A5970" s="5" t="s">
        <v>27049</v>
      </c>
      <c r="B5970" s="5" t="s">
        <v>39793</v>
      </c>
      <c r="C5970" s="5" t="s">
        <v>39791</v>
      </c>
      <c r="D5970" s="246">
        <v>41319</v>
      </c>
      <c r="E5970" s="5" t="s">
        <v>39794</v>
      </c>
      <c r="F5970" s="26" t="s">
        <v>23600</v>
      </c>
      <c r="G5970" s="27" t="s">
        <v>3818</v>
      </c>
      <c r="H5970" s="28" t="s">
        <v>3819</v>
      </c>
      <c r="I5970" s="5" t="s">
        <v>1770</v>
      </c>
    </row>
    <row r="5971" spans="1:9" ht="51.75" customHeight="1">
      <c r="A5971" s="5" t="s">
        <v>27054</v>
      </c>
      <c r="B5971" s="5" t="s">
        <v>39795</v>
      </c>
      <c r="C5971" s="5" t="s">
        <v>39796</v>
      </c>
      <c r="D5971" s="246">
        <v>41319</v>
      </c>
      <c r="E5971" s="5" t="s">
        <v>39797</v>
      </c>
      <c r="F5971" s="26" t="s">
        <v>24939</v>
      </c>
      <c r="G5971" s="27" t="s">
        <v>3818</v>
      </c>
      <c r="H5971" s="28" t="s">
        <v>3819</v>
      </c>
      <c r="I5971" s="5" t="s">
        <v>1770</v>
      </c>
    </row>
    <row r="5972" spans="1:9" ht="51.75" customHeight="1">
      <c r="A5972" s="5" t="s">
        <v>27054</v>
      </c>
      <c r="B5972" s="5" t="s">
        <v>39798</v>
      </c>
      <c r="C5972" s="5" t="s">
        <v>39796</v>
      </c>
      <c r="D5972" s="246">
        <v>41319</v>
      </c>
      <c r="E5972" s="5" t="s">
        <v>39799</v>
      </c>
      <c r="F5972" s="26" t="s">
        <v>23600</v>
      </c>
      <c r="G5972" s="27" t="s">
        <v>3818</v>
      </c>
      <c r="H5972" s="28" t="s">
        <v>3819</v>
      </c>
      <c r="I5972" s="5" t="s">
        <v>1770</v>
      </c>
    </row>
    <row r="5973" spans="1:9" ht="51.75" customHeight="1">
      <c r="A5973" s="5">
        <v>1</v>
      </c>
      <c r="B5973" s="5" t="s">
        <v>39800</v>
      </c>
      <c r="C5973" s="5" t="s">
        <v>39801</v>
      </c>
      <c r="D5973" s="246">
        <v>40254</v>
      </c>
      <c r="E5973" s="5" t="s">
        <v>39801</v>
      </c>
      <c r="F5973" s="26" t="s">
        <v>23600</v>
      </c>
      <c r="G5973" s="27" t="s">
        <v>3330</v>
      </c>
      <c r="H5973" s="28" t="s">
        <v>3331</v>
      </c>
      <c r="I5973" s="5" t="s">
        <v>1770</v>
      </c>
    </row>
    <row r="5974" spans="1:9" ht="51.75" customHeight="1">
      <c r="A5974" s="5">
        <v>2</v>
      </c>
      <c r="B5974" s="5" t="s">
        <v>39802</v>
      </c>
      <c r="C5974" s="5" t="s">
        <v>39803</v>
      </c>
      <c r="D5974" s="246">
        <v>40254</v>
      </c>
      <c r="E5974" s="5" t="s">
        <v>39803</v>
      </c>
      <c r="F5974" s="26" t="s">
        <v>23600</v>
      </c>
      <c r="G5974" s="27" t="s">
        <v>3330</v>
      </c>
      <c r="H5974" s="28" t="s">
        <v>3331</v>
      </c>
      <c r="I5974" s="5" t="s">
        <v>1770</v>
      </c>
    </row>
    <row r="5975" spans="1:9" ht="51.75" customHeight="1">
      <c r="A5975" s="5">
        <v>3</v>
      </c>
      <c r="B5975" s="5" t="s">
        <v>39804</v>
      </c>
      <c r="C5975" s="5" t="s">
        <v>39805</v>
      </c>
      <c r="D5975" s="246">
        <v>40254</v>
      </c>
      <c r="E5975" s="5" t="s">
        <v>39805</v>
      </c>
      <c r="F5975" s="26" t="s">
        <v>23600</v>
      </c>
      <c r="G5975" s="27" t="s">
        <v>3330</v>
      </c>
      <c r="H5975" s="28" t="s">
        <v>3331</v>
      </c>
      <c r="I5975" s="5" t="s">
        <v>1770</v>
      </c>
    </row>
    <row r="5976" spans="1:9" ht="51.75" customHeight="1">
      <c r="A5976" s="5">
        <v>4</v>
      </c>
      <c r="B5976" s="5" t="s">
        <v>39806</v>
      </c>
      <c r="C5976" s="5" t="s">
        <v>39807</v>
      </c>
      <c r="D5976" s="246">
        <v>40254</v>
      </c>
      <c r="E5976" s="5" t="s">
        <v>39807</v>
      </c>
      <c r="F5976" s="26" t="s">
        <v>23600</v>
      </c>
      <c r="G5976" s="27" t="s">
        <v>3330</v>
      </c>
      <c r="H5976" s="28" t="s">
        <v>3331</v>
      </c>
      <c r="I5976" s="5" t="s">
        <v>1770</v>
      </c>
    </row>
    <row r="5977" spans="1:9" ht="51.75" customHeight="1">
      <c r="A5977" s="5">
        <v>1</v>
      </c>
      <c r="B5977" s="5" t="s">
        <v>39808</v>
      </c>
      <c r="C5977" s="5" t="s">
        <v>39809</v>
      </c>
      <c r="D5977" s="246">
        <v>40255</v>
      </c>
      <c r="E5977" s="5" t="s">
        <v>39810</v>
      </c>
      <c r="F5977" s="26" t="s">
        <v>23600</v>
      </c>
      <c r="G5977" s="27" t="s">
        <v>3023</v>
      </c>
      <c r="H5977" s="28" t="s">
        <v>3024</v>
      </c>
      <c r="I5977" s="5" t="s">
        <v>1770</v>
      </c>
    </row>
    <row r="5978" spans="1:9" ht="51.75" customHeight="1">
      <c r="A5978" s="5">
        <v>2</v>
      </c>
      <c r="B5978" s="5" t="s">
        <v>39811</v>
      </c>
      <c r="C5978" s="5" t="s">
        <v>39812</v>
      </c>
      <c r="D5978" s="246">
        <v>40255</v>
      </c>
      <c r="E5978" s="5" t="s">
        <v>39812</v>
      </c>
      <c r="F5978" s="26" t="s">
        <v>23600</v>
      </c>
      <c r="G5978" s="27" t="s">
        <v>3023</v>
      </c>
      <c r="H5978" s="28" t="s">
        <v>3024</v>
      </c>
      <c r="I5978" s="5" t="s">
        <v>1770</v>
      </c>
    </row>
    <row r="5979" spans="1:9" ht="51.75" customHeight="1">
      <c r="A5979" s="5">
        <v>3</v>
      </c>
      <c r="B5979" s="5" t="s">
        <v>39813</v>
      </c>
      <c r="C5979" s="5" t="s">
        <v>39814</v>
      </c>
      <c r="D5979" s="246">
        <v>40255</v>
      </c>
      <c r="E5979" s="5" t="s">
        <v>39815</v>
      </c>
      <c r="F5979" s="26" t="s">
        <v>23600</v>
      </c>
      <c r="G5979" s="27" t="s">
        <v>3023</v>
      </c>
      <c r="H5979" s="28" t="s">
        <v>3024</v>
      </c>
      <c r="I5979" s="5" t="s">
        <v>1770</v>
      </c>
    </row>
    <row r="5980" spans="1:9" ht="51.75" customHeight="1">
      <c r="A5980" s="5">
        <v>4</v>
      </c>
      <c r="B5980" s="5" t="s">
        <v>39816</v>
      </c>
      <c r="C5980" s="5" t="s">
        <v>39817</v>
      </c>
      <c r="D5980" s="246">
        <v>40255</v>
      </c>
      <c r="E5980" s="5" t="s">
        <v>39817</v>
      </c>
      <c r="F5980" s="26" t="s">
        <v>23600</v>
      </c>
      <c r="G5980" s="27" t="s">
        <v>3023</v>
      </c>
      <c r="H5980" s="28" t="s">
        <v>3024</v>
      </c>
      <c r="I5980" s="5" t="s">
        <v>1770</v>
      </c>
    </row>
    <row r="5981" spans="1:9" ht="51.75" customHeight="1">
      <c r="A5981" s="5">
        <v>1</v>
      </c>
      <c r="B5981" s="5" t="s">
        <v>39818</v>
      </c>
      <c r="C5981" s="5" t="s">
        <v>39819</v>
      </c>
      <c r="D5981" s="246">
        <v>40252</v>
      </c>
      <c r="E5981" s="5" t="s">
        <v>39819</v>
      </c>
      <c r="F5981" s="26" t="s">
        <v>23600</v>
      </c>
      <c r="G5981" s="27" t="s">
        <v>2626</v>
      </c>
      <c r="H5981" s="28" t="s">
        <v>2627</v>
      </c>
      <c r="I5981" s="5" t="s">
        <v>1770</v>
      </c>
    </row>
    <row r="5982" spans="1:9" ht="51.75" customHeight="1">
      <c r="A5982" s="5">
        <v>2</v>
      </c>
      <c r="B5982" s="5" t="s">
        <v>39820</v>
      </c>
      <c r="C5982" s="5" t="s">
        <v>39821</v>
      </c>
      <c r="D5982" s="246">
        <v>40252</v>
      </c>
      <c r="E5982" s="5" t="s">
        <v>39821</v>
      </c>
      <c r="F5982" s="26" t="s">
        <v>23600</v>
      </c>
      <c r="G5982" s="27" t="s">
        <v>2626</v>
      </c>
      <c r="H5982" s="28" t="s">
        <v>2627</v>
      </c>
      <c r="I5982" s="5" t="s">
        <v>1770</v>
      </c>
    </row>
    <row r="5983" spans="1:9" ht="51.75" customHeight="1">
      <c r="A5983" s="5">
        <v>3</v>
      </c>
      <c r="B5983" s="5" t="s">
        <v>39822</v>
      </c>
      <c r="C5983" s="5" t="s">
        <v>39823</v>
      </c>
      <c r="D5983" s="246">
        <v>40252</v>
      </c>
      <c r="E5983" s="5" t="s">
        <v>39823</v>
      </c>
      <c r="F5983" s="26" t="s">
        <v>23600</v>
      </c>
      <c r="G5983" s="27" t="s">
        <v>2626</v>
      </c>
      <c r="H5983" s="28" t="s">
        <v>2627</v>
      </c>
      <c r="I5983" s="5" t="s">
        <v>1770</v>
      </c>
    </row>
    <row r="5984" spans="1:9" ht="51.75" customHeight="1">
      <c r="A5984" s="5">
        <v>1</v>
      </c>
      <c r="B5984" s="5" t="s">
        <v>39824</v>
      </c>
      <c r="C5984" s="5" t="s">
        <v>39825</v>
      </c>
      <c r="D5984" s="246">
        <v>39477</v>
      </c>
      <c r="E5984" s="5" t="s">
        <v>39825</v>
      </c>
      <c r="F5984" s="26" t="s">
        <v>23600</v>
      </c>
      <c r="G5984" s="27" t="s">
        <v>2440</v>
      </c>
      <c r="H5984" s="28" t="s">
        <v>2441</v>
      </c>
      <c r="I5984" s="5" t="s">
        <v>1770</v>
      </c>
    </row>
    <row r="5985" spans="1:9" ht="51.75" customHeight="1">
      <c r="A5985" s="5">
        <v>2</v>
      </c>
      <c r="B5985" s="5" t="s">
        <v>39826</v>
      </c>
      <c r="C5985" s="5" t="s">
        <v>39827</v>
      </c>
      <c r="D5985" s="246">
        <v>39477</v>
      </c>
      <c r="E5985" s="5" t="s">
        <v>39827</v>
      </c>
      <c r="F5985" s="26" t="s">
        <v>23600</v>
      </c>
      <c r="G5985" s="27" t="s">
        <v>2440</v>
      </c>
      <c r="H5985" s="28" t="s">
        <v>2441</v>
      </c>
      <c r="I5985" s="5" t="s">
        <v>1770</v>
      </c>
    </row>
    <row r="5986" spans="1:9" ht="51.75" customHeight="1">
      <c r="A5986" s="5">
        <v>1</v>
      </c>
      <c r="B5986" s="5" t="s">
        <v>39828</v>
      </c>
      <c r="C5986" s="5" t="s">
        <v>39829</v>
      </c>
      <c r="D5986" s="246">
        <v>39477</v>
      </c>
      <c r="E5986" s="5" t="s">
        <v>39829</v>
      </c>
      <c r="F5986" s="26" t="s">
        <v>23600</v>
      </c>
      <c r="G5986" s="27" t="s">
        <v>2424</v>
      </c>
      <c r="H5986" s="28" t="s">
        <v>2425</v>
      </c>
      <c r="I5986" s="5" t="s">
        <v>1770</v>
      </c>
    </row>
    <row r="5987" spans="1:9" ht="51.75" customHeight="1">
      <c r="A5987" s="5">
        <v>2</v>
      </c>
      <c r="B5987" s="5" t="s">
        <v>39830</v>
      </c>
      <c r="C5987" s="5" t="s">
        <v>39831</v>
      </c>
      <c r="D5987" s="246">
        <v>39477</v>
      </c>
      <c r="E5987" s="5" t="s">
        <v>39831</v>
      </c>
      <c r="F5987" s="26" t="s">
        <v>23600</v>
      </c>
      <c r="G5987" s="27" t="s">
        <v>2424</v>
      </c>
      <c r="H5987" s="28" t="s">
        <v>2425</v>
      </c>
      <c r="I5987" s="5" t="s">
        <v>1770</v>
      </c>
    </row>
    <row r="5988" spans="1:9" ht="51.75" customHeight="1">
      <c r="A5988" s="5">
        <v>3</v>
      </c>
      <c r="B5988" s="5" t="s">
        <v>39832</v>
      </c>
      <c r="C5988" s="5" t="s">
        <v>39833</v>
      </c>
      <c r="D5988" s="246">
        <v>39477</v>
      </c>
      <c r="E5988" s="5" t="s">
        <v>39833</v>
      </c>
      <c r="F5988" s="26" t="s">
        <v>23600</v>
      </c>
      <c r="G5988" s="27" t="s">
        <v>2424</v>
      </c>
      <c r="H5988" s="28" t="s">
        <v>2425</v>
      </c>
      <c r="I5988" s="5" t="s">
        <v>1770</v>
      </c>
    </row>
    <row r="5989" spans="1:9" ht="51.75" customHeight="1">
      <c r="A5989" s="5">
        <v>4</v>
      </c>
      <c r="B5989" s="5" t="s">
        <v>39834</v>
      </c>
      <c r="C5989" s="5" t="s">
        <v>39835</v>
      </c>
      <c r="D5989" s="246">
        <v>39477</v>
      </c>
      <c r="E5989" s="5" t="s">
        <v>39835</v>
      </c>
      <c r="F5989" s="26" t="s">
        <v>23600</v>
      </c>
      <c r="G5989" s="27" t="s">
        <v>2424</v>
      </c>
      <c r="H5989" s="28" t="s">
        <v>2425</v>
      </c>
      <c r="I5989" s="5" t="s">
        <v>1770</v>
      </c>
    </row>
    <row r="5990" spans="1:9" ht="51.75" customHeight="1">
      <c r="A5990" s="5">
        <v>1</v>
      </c>
      <c r="B5990" s="5" t="s">
        <v>39836</v>
      </c>
      <c r="C5990" s="5" t="s">
        <v>39837</v>
      </c>
      <c r="D5990" s="246">
        <v>39594</v>
      </c>
      <c r="E5990" s="5" t="s">
        <v>39838</v>
      </c>
      <c r="F5990" s="26" t="s">
        <v>23600</v>
      </c>
      <c r="G5990" s="27" t="s">
        <v>2380</v>
      </c>
      <c r="H5990" s="28" t="s">
        <v>2381</v>
      </c>
      <c r="I5990" s="5" t="s">
        <v>1770</v>
      </c>
    </row>
    <row r="5991" spans="1:9" ht="51.75" customHeight="1">
      <c r="A5991" s="5">
        <v>2</v>
      </c>
      <c r="B5991" s="5" t="s">
        <v>39839</v>
      </c>
      <c r="C5991" s="5" t="s">
        <v>39840</v>
      </c>
      <c r="D5991" s="246">
        <v>39594</v>
      </c>
      <c r="E5991" s="5" t="s">
        <v>39841</v>
      </c>
      <c r="F5991" s="26" t="s">
        <v>23600</v>
      </c>
      <c r="G5991" s="27" t="s">
        <v>2380</v>
      </c>
      <c r="H5991" s="28" t="s">
        <v>2381</v>
      </c>
      <c r="I5991" s="5" t="s">
        <v>1770</v>
      </c>
    </row>
    <row r="5992" spans="1:9" ht="51.75" customHeight="1">
      <c r="A5992" s="5">
        <v>3</v>
      </c>
      <c r="B5992" s="5" t="s">
        <v>39842</v>
      </c>
      <c r="C5992" s="5" t="s">
        <v>39843</v>
      </c>
      <c r="D5992" s="246">
        <v>39594</v>
      </c>
      <c r="E5992" s="5" t="s">
        <v>39844</v>
      </c>
      <c r="F5992" s="26" t="s">
        <v>23600</v>
      </c>
      <c r="G5992" s="27" t="s">
        <v>2380</v>
      </c>
      <c r="H5992" s="28" t="s">
        <v>2381</v>
      </c>
      <c r="I5992" s="5" t="s">
        <v>1770</v>
      </c>
    </row>
    <row r="5993" spans="1:9" ht="51.75" customHeight="1">
      <c r="A5993" s="5">
        <v>4</v>
      </c>
      <c r="B5993" s="5" t="s">
        <v>39845</v>
      </c>
      <c r="C5993" s="5" t="s">
        <v>39846</v>
      </c>
      <c r="D5993" s="246">
        <v>39594</v>
      </c>
      <c r="E5993" s="5" t="s">
        <v>39847</v>
      </c>
      <c r="F5993" s="26" t="s">
        <v>23600</v>
      </c>
      <c r="G5993" s="27" t="s">
        <v>2380</v>
      </c>
      <c r="H5993" s="28" t="s">
        <v>2381</v>
      </c>
      <c r="I5993" s="5" t="s">
        <v>1770</v>
      </c>
    </row>
    <row r="5994" spans="1:9" ht="51.75" customHeight="1">
      <c r="A5994" s="5">
        <v>1</v>
      </c>
      <c r="B5994" s="5" t="s">
        <v>39848</v>
      </c>
      <c r="C5994" s="5" t="s">
        <v>39849</v>
      </c>
      <c r="D5994" s="246">
        <v>39787</v>
      </c>
      <c r="E5994" s="5" t="s">
        <v>39850</v>
      </c>
      <c r="F5994" s="26" t="s">
        <v>23600</v>
      </c>
      <c r="G5994" s="27" t="s">
        <v>2194</v>
      </c>
      <c r="H5994" s="28" t="s">
        <v>2195</v>
      </c>
      <c r="I5994" s="5" t="s">
        <v>1770</v>
      </c>
    </row>
    <row r="5995" spans="1:9" ht="51.75" customHeight="1">
      <c r="A5995" s="5">
        <v>2</v>
      </c>
      <c r="B5995" s="5" t="s">
        <v>39851</v>
      </c>
      <c r="C5995" s="5" t="s">
        <v>39852</v>
      </c>
      <c r="D5995" s="246">
        <v>39787</v>
      </c>
      <c r="E5995" s="5" t="s">
        <v>39852</v>
      </c>
      <c r="F5995" s="26" t="s">
        <v>23600</v>
      </c>
      <c r="G5995" s="27" t="s">
        <v>2194</v>
      </c>
      <c r="H5995" s="28" t="s">
        <v>2195</v>
      </c>
      <c r="I5995" s="5" t="s">
        <v>1770</v>
      </c>
    </row>
    <row r="5996" spans="1:9" ht="51.75" customHeight="1">
      <c r="A5996" s="5">
        <v>3</v>
      </c>
      <c r="B5996" s="5" t="s">
        <v>39853</v>
      </c>
      <c r="C5996" s="5" t="s">
        <v>39854</v>
      </c>
      <c r="D5996" s="246">
        <v>39787</v>
      </c>
      <c r="E5996" s="5" t="s">
        <v>39854</v>
      </c>
      <c r="F5996" s="26" t="s">
        <v>23600</v>
      </c>
      <c r="G5996" s="27" t="s">
        <v>2194</v>
      </c>
      <c r="H5996" s="28" t="s">
        <v>2195</v>
      </c>
      <c r="I5996" s="5" t="s">
        <v>1770</v>
      </c>
    </row>
    <row r="5997" spans="1:9" ht="51.75" customHeight="1">
      <c r="A5997" s="5">
        <v>4</v>
      </c>
      <c r="B5997" s="5" t="s">
        <v>39855</v>
      </c>
      <c r="C5997" s="5" t="s">
        <v>39856</v>
      </c>
      <c r="D5997" s="246">
        <v>39787</v>
      </c>
      <c r="E5997" s="5" t="s">
        <v>39857</v>
      </c>
      <c r="F5997" s="26" t="s">
        <v>23600</v>
      </c>
      <c r="G5997" s="27" t="s">
        <v>2194</v>
      </c>
      <c r="H5997" s="28" t="s">
        <v>2195</v>
      </c>
      <c r="I5997" s="5" t="s">
        <v>1770</v>
      </c>
    </row>
    <row r="5998" spans="1:9" ht="51.75" customHeight="1">
      <c r="A5998" s="5">
        <v>1</v>
      </c>
      <c r="B5998" s="5" t="s">
        <v>39858</v>
      </c>
      <c r="C5998" s="5" t="s">
        <v>39859</v>
      </c>
      <c r="D5998" s="246">
        <v>39363</v>
      </c>
      <c r="E5998" s="5" t="s">
        <v>39860</v>
      </c>
      <c r="F5998" s="26"/>
      <c r="G5998" s="27" t="s">
        <v>1902</v>
      </c>
      <c r="H5998" s="28" t="s">
        <v>1903</v>
      </c>
      <c r="I5998" s="5" t="s">
        <v>1770</v>
      </c>
    </row>
    <row r="5999" spans="1:9" ht="51.75" customHeight="1">
      <c r="A5999" s="5">
        <v>2</v>
      </c>
      <c r="B5999" s="5" t="s">
        <v>39861</v>
      </c>
      <c r="C5999" s="5" t="s">
        <v>39862</v>
      </c>
      <c r="D5999" s="246">
        <v>39363</v>
      </c>
      <c r="E5999" s="5" t="s">
        <v>39863</v>
      </c>
      <c r="F5999" s="26"/>
      <c r="G5999" s="27" t="s">
        <v>1902</v>
      </c>
      <c r="H5999" s="28" t="s">
        <v>1903</v>
      </c>
      <c r="I5999" s="5" t="s">
        <v>1770</v>
      </c>
    </row>
    <row r="6000" spans="1:9" ht="51.75" customHeight="1">
      <c r="A6000" s="5">
        <v>3</v>
      </c>
      <c r="B6000" s="5" t="s">
        <v>39864</v>
      </c>
      <c r="C6000" s="5" t="s">
        <v>39865</v>
      </c>
      <c r="D6000" s="246">
        <v>39363</v>
      </c>
      <c r="E6000" s="5" t="s">
        <v>39866</v>
      </c>
      <c r="F6000" s="26"/>
      <c r="G6000" s="27" t="s">
        <v>1902</v>
      </c>
      <c r="H6000" s="28" t="s">
        <v>1903</v>
      </c>
      <c r="I6000" s="5" t="s">
        <v>1770</v>
      </c>
    </row>
    <row r="6001" spans="1:9" ht="51.75" customHeight="1">
      <c r="A6001" s="5">
        <v>4</v>
      </c>
      <c r="B6001" s="5" t="s">
        <v>39867</v>
      </c>
      <c r="C6001" s="5" t="s">
        <v>39868</v>
      </c>
      <c r="D6001" s="246">
        <v>39363</v>
      </c>
      <c r="E6001" s="5" t="s">
        <v>39869</v>
      </c>
      <c r="F6001" s="26"/>
      <c r="G6001" s="27" t="s">
        <v>1902</v>
      </c>
      <c r="H6001" s="28" t="s">
        <v>1903</v>
      </c>
      <c r="I6001" s="5" t="s">
        <v>1770</v>
      </c>
    </row>
    <row r="6002" spans="1:9" ht="51.75" customHeight="1">
      <c r="A6002" s="5" t="s">
        <v>30826</v>
      </c>
      <c r="B6002" s="5" t="s">
        <v>39870</v>
      </c>
      <c r="C6002" s="5" t="s">
        <v>39871</v>
      </c>
      <c r="D6002" s="246">
        <v>41451</v>
      </c>
      <c r="E6002" s="5" t="s">
        <v>39872</v>
      </c>
      <c r="F6002" s="26" t="s">
        <v>24939</v>
      </c>
      <c r="G6002" s="27" t="s">
        <v>7518</v>
      </c>
      <c r="H6002" s="28" t="s">
        <v>7519</v>
      </c>
      <c r="I6002" s="5" t="s">
        <v>1770</v>
      </c>
    </row>
    <row r="6003" spans="1:9" ht="51.75" customHeight="1">
      <c r="A6003" s="5" t="s">
        <v>30826</v>
      </c>
      <c r="B6003" s="5" t="s">
        <v>39873</v>
      </c>
      <c r="C6003" s="5" t="s">
        <v>39871</v>
      </c>
      <c r="D6003" s="246">
        <v>41451</v>
      </c>
      <c r="E6003" s="5" t="s">
        <v>39874</v>
      </c>
      <c r="F6003" s="26" t="s">
        <v>23600</v>
      </c>
      <c r="G6003" s="27" t="s">
        <v>7518</v>
      </c>
      <c r="H6003" s="28" t="s">
        <v>7519</v>
      </c>
      <c r="I6003" s="5" t="s">
        <v>1770</v>
      </c>
    </row>
    <row r="6004" spans="1:9" ht="51.75" customHeight="1">
      <c r="A6004" s="5" t="s">
        <v>25565</v>
      </c>
      <c r="B6004" s="5" t="s">
        <v>39875</v>
      </c>
      <c r="C6004" s="5" t="s">
        <v>39876</v>
      </c>
      <c r="D6004" s="246">
        <v>41451</v>
      </c>
      <c r="E6004" s="5" t="s">
        <v>39877</v>
      </c>
      <c r="F6004" s="26" t="s">
        <v>24939</v>
      </c>
      <c r="G6004" s="27" t="s">
        <v>7518</v>
      </c>
      <c r="H6004" s="28" t="s">
        <v>7519</v>
      </c>
      <c r="I6004" s="5" t="s">
        <v>1770</v>
      </c>
    </row>
    <row r="6005" spans="1:9" ht="51.75" customHeight="1">
      <c r="A6005" s="5" t="s">
        <v>25565</v>
      </c>
      <c r="B6005" s="5" t="s">
        <v>39878</v>
      </c>
      <c r="C6005" s="5" t="s">
        <v>39876</v>
      </c>
      <c r="D6005" s="246">
        <v>41451</v>
      </c>
      <c r="E6005" s="5" t="s">
        <v>39879</v>
      </c>
      <c r="F6005" s="26" t="s">
        <v>23600</v>
      </c>
      <c r="G6005" s="27" t="s">
        <v>7518</v>
      </c>
      <c r="H6005" s="28" t="s">
        <v>7519</v>
      </c>
      <c r="I6005" s="5" t="s">
        <v>1770</v>
      </c>
    </row>
    <row r="6006" spans="1:9" ht="51.75" customHeight="1">
      <c r="A6006" s="5" t="s">
        <v>30268</v>
      </c>
      <c r="B6006" s="5" t="s">
        <v>39880</v>
      </c>
      <c r="C6006" s="5" t="s">
        <v>39881</v>
      </c>
      <c r="D6006" s="246">
        <v>41451</v>
      </c>
      <c r="E6006" s="5" t="s">
        <v>39882</v>
      </c>
      <c r="F6006" s="26" t="s">
        <v>24939</v>
      </c>
      <c r="G6006" s="27" t="s">
        <v>7518</v>
      </c>
      <c r="H6006" s="28" t="s">
        <v>7519</v>
      </c>
      <c r="I6006" s="5" t="s">
        <v>1770</v>
      </c>
    </row>
    <row r="6007" spans="1:9" ht="51.75" customHeight="1">
      <c r="A6007" s="5" t="s">
        <v>30268</v>
      </c>
      <c r="B6007" s="5" t="s">
        <v>39883</v>
      </c>
      <c r="C6007" s="5" t="s">
        <v>39881</v>
      </c>
      <c r="D6007" s="246">
        <v>41451</v>
      </c>
      <c r="E6007" s="5" t="s">
        <v>39884</v>
      </c>
      <c r="F6007" s="26" t="s">
        <v>23600</v>
      </c>
      <c r="G6007" s="27" t="s">
        <v>7518</v>
      </c>
      <c r="H6007" s="28" t="s">
        <v>7519</v>
      </c>
      <c r="I6007" s="5" t="s">
        <v>1770</v>
      </c>
    </row>
    <row r="6008" spans="1:9" ht="51.75" customHeight="1">
      <c r="A6008" s="5" t="s">
        <v>30060</v>
      </c>
      <c r="B6008" s="5" t="s">
        <v>39885</v>
      </c>
      <c r="C6008" s="5" t="s">
        <v>39886</v>
      </c>
      <c r="D6008" s="246">
        <v>41451</v>
      </c>
      <c r="E6008" s="5" t="s">
        <v>39887</v>
      </c>
      <c r="F6008" s="26" t="s">
        <v>24939</v>
      </c>
      <c r="G6008" s="27" t="s">
        <v>7518</v>
      </c>
      <c r="H6008" s="28" t="s">
        <v>7519</v>
      </c>
      <c r="I6008" s="5" t="s">
        <v>1770</v>
      </c>
    </row>
    <row r="6009" spans="1:9" ht="51.75" customHeight="1">
      <c r="A6009" s="5" t="s">
        <v>30060</v>
      </c>
      <c r="B6009" s="5" t="s">
        <v>39888</v>
      </c>
      <c r="C6009" s="5" t="s">
        <v>39886</v>
      </c>
      <c r="D6009" s="246">
        <v>41451</v>
      </c>
      <c r="E6009" s="5" t="s">
        <v>39889</v>
      </c>
      <c r="F6009" s="26" t="s">
        <v>23600</v>
      </c>
      <c r="G6009" s="27" t="s">
        <v>7518</v>
      </c>
      <c r="H6009" s="28" t="s">
        <v>7519</v>
      </c>
      <c r="I6009" s="5" t="s">
        <v>1770</v>
      </c>
    </row>
    <row r="6010" spans="1:9" ht="51.75" customHeight="1">
      <c r="A6010" s="5" t="s">
        <v>30064</v>
      </c>
      <c r="B6010" s="5" t="s">
        <v>39890</v>
      </c>
      <c r="C6010" s="5" t="s">
        <v>39891</v>
      </c>
      <c r="D6010" s="246">
        <v>41451</v>
      </c>
      <c r="E6010" s="5" t="s">
        <v>39892</v>
      </c>
      <c r="F6010" s="26" t="s">
        <v>24939</v>
      </c>
      <c r="G6010" s="27" t="s">
        <v>7518</v>
      </c>
      <c r="H6010" s="28" t="s">
        <v>7519</v>
      </c>
      <c r="I6010" s="5" t="s">
        <v>1770</v>
      </c>
    </row>
    <row r="6011" spans="1:9" ht="51.75" customHeight="1">
      <c r="A6011" s="5" t="s">
        <v>30064</v>
      </c>
      <c r="B6011" s="5" t="s">
        <v>39893</v>
      </c>
      <c r="C6011" s="5" t="s">
        <v>39891</v>
      </c>
      <c r="D6011" s="246">
        <v>41451</v>
      </c>
      <c r="E6011" s="5" t="s">
        <v>39894</v>
      </c>
      <c r="F6011" s="26" t="s">
        <v>23600</v>
      </c>
      <c r="G6011" s="27" t="s">
        <v>7518</v>
      </c>
      <c r="H6011" s="28" t="s">
        <v>7519</v>
      </c>
      <c r="I6011" s="5" t="s">
        <v>1770</v>
      </c>
    </row>
    <row r="6012" spans="1:9" ht="51.75" customHeight="1">
      <c r="A6012" s="5" t="s">
        <v>25488</v>
      </c>
      <c r="B6012" s="5" t="s">
        <v>39895</v>
      </c>
      <c r="C6012" s="5" t="s">
        <v>39896</v>
      </c>
      <c r="D6012" s="246">
        <v>41451</v>
      </c>
      <c r="E6012" s="5" t="s">
        <v>39897</v>
      </c>
      <c r="F6012" s="26" t="s">
        <v>24939</v>
      </c>
      <c r="G6012" s="27" t="s">
        <v>7518</v>
      </c>
      <c r="H6012" s="28" t="s">
        <v>7519</v>
      </c>
      <c r="I6012" s="5" t="s">
        <v>1770</v>
      </c>
    </row>
    <row r="6013" spans="1:9" ht="51.75" customHeight="1">
      <c r="A6013" s="5" t="s">
        <v>25488</v>
      </c>
      <c r="B6013" s="5" t="s">
        <v>39898</v>
      </c>
      <c r="C6013" s="5" t="s">
        <v>39896</v>
      </c>
      <c r="D6013" s="246">
        <v>41451</v>
      </c>
      <c r="E6013" s="5" t="s">
        <v>39899</v>
      </c>
      <c r="F6013" s="26" t="s">
        <v>23600</v>
      </c>
      <c r="G6013" s="27" t="s">
        <v>7518</v>
      </c>
      <c r="H6013" s="28" t="s">
        <v>7519</v>
      </c>
      <c r="I6013" s="5" t="s">
        <v>1770</v>
      </c>
    </row>
    <row r="6014" spans="1:9" ht="51.75" customHeight="1">
      <c r="A6014" s="5" t="s">
        <v>24954</v>
      </c>
      <c r="B6014" s="5" t="s">
        <v>39900</v>
      </c>
      <c r="C6014" s="5" t="s">
        <v>39901</v>
      </c>
      <c r="D6014" s="246">
        <v>41451</v>
      </c>
      <c r="E6014" s="5" t="s">
        <v>39902</v>
      </c>
      <c r="F6014" s="26" t="s">
        <v>24939</v>
      </c>
      <c r="G6014" s="27" t="s">
        <v>7518</v>
      </c>
      <c r="H6014" s="28" t="s">
        <v>7519</v>
      </c>
      <c r="I6014" s="5" t="s">
        <v>1770</v>
      </c>
    </row>
    <row r="6015" spans="1:9" ht="51.75" customHeight="1">
      <c r="A6015" s="5" t="s">
        <v>24954</v>
      </c>
      <c r="B6015" s="5" t="s">
        <v>39903</v>
      </c>
      <c r="C6015" s="5" t="s">
        <v>39901</v>
      </c>
      <c r="D6015" s="246">
        <v>41451</v>
      </c>
      <c r="E6015" s="5" t="s">
        <v>39904</v>
      </c>
      <c r="F6015" s="26" t="s">
        <v>23600</v>
      </c>
      <c r="G6015" s="27" t="s">
        <v>7518</v>
      </c>
      <c r="H6015" s="28" t="s">
        <v>7519</v>
      </c>
      <c r="I6015" s="5" t="s">
        <v>1770</v>
      </c>
    </row>
    <row r="6016" spans="1:9" ht="51.75" customHeight="1">
      <c r="A6016" s="5" t="s">
        <v>23814</v>
      </c>
      <c r="B6016" s="5" t="s">
        <v>39905</v>
      </c>
      <c r="C6016" s="5" t="s">
        <v>39906</v>
      </c>
      <c r="D6016" s="246">
        <v>41451</v>
      </c>
      <c r="E6016" s="5" t="s">
        <v>39907</v>
      </c>
      <c r="F6016" s="26" t="s">
        <v>24939</v>
      </c>
      <c r="G6016" s="27" t="s">
        <v>7518</v>
      </c>
      <c r="H6016" s="28" t="s">
        <v>7519</v>
      </c>
      <c r="I6016" s="5" t="s">
        <v>1770</v>
      </c>
    </row>
    <row r="6017" spans="1:9" ht="51.75" customHeight="1">
      <c r="A6017" s="5" t="s">
        <v>23814</v>
      </c>
      <c r="B6017" s="5" t="s">
        <v>39908</v>
      </c>
      <c r="C6017" s="5" t="s">
        <v>39906</v>
      </c>
      <c r="D6017" s="246">
        <v>41451</v>
      </c>
      <c r="E6017" s="5" t="s">
        <v>39909</v>
      </c>
      <c r="F6017" s="26" t="s">
        <v>23600</v>
      </c>
      <c r="G6017" s="27" t="s">
        <v>7518</v>
      </c>
      <c r="H6017" s="28" t="s">
        <v>7519</v>
      </c>
      <c r="I6017" s="5" t="s">
        <v>1770</v>
      </c>
    </row>
    <row r="6018" spans="1:9" ht="51.75" customHeight="1">
      <c r="A6018" s="5" t="s">
        <v>35103</v>
      </c>
      <c r="B6018" s="5" t="s">
        <v>39910</v>
      </c>
      <c r="C6018" s="5" t="s">
        <v>39911</v>
      </c>
      <c r="D6018" s="246">
        <v>41551</v>
      </c>
      <c r="E6018" s="5" t="s">
        <v>39912</v>
      </c>
      <c r="F6018" s="26" t="s">
        <v>39913</v>
      </c>
      <c r="G6018" s="27" t="s">
        <v>7642</v>
      </c>
      <c r="H6018" s="28" t="s">
        <v>7643</v>
      </c>
      <c r="I6018" s="5" t="s">
        <v>1770</v>
      </c>
    </row>
    <row r="6019" spans="1:9" ht="51.75" customHeight="1">
      <c r="A6019" s="5" t="s">
        <v>35103</v>
      </c>
      <c r="B6019" s="5" t="s">
        <v>39914</v>
      </c>
      <c r="C6019" s="5" t="s">
        <v>39911</v>
      </c>
      <c r="D6019" s="246">
        <v>41551</v>
      </c>
      <c r="E6019" s="5" t="s">
        <v>39915</v>
      </c>
      <c r="F6019" s="26" t="s">
        <v>23600</v>
      </c>
      <c r="G6019" s="27" t="s">
        <v>7642</v>
      </c>
      <c r="H6019" s="28" t="s">
        <v>7643</v>
      </c>
      <c r="I6019" s="5" t="s">
        <v>1770</v>
      </c>
    </row>
    <row r="6020" spans="1:9" ht="51.75" customHeight="1">
      <c r="A6020" s="5" t="s">
        <v>35107</v>
      </c>
      <c r="B6020" s="5" t="s">
        <v>39916</v>
      </c>
      <c r="C6020" s="5" t="s">
        <v>39917</v>
      </c>
      <c r="D6020" s="246">
        <v>41551</v>
      </c>
      <c r="E6020" s="5" t="s">
        <v>39918</v>
      </c>
      <c r="F6020" s="26" t="s">
        <v>39913</v>
      </c>
      <c r="G6020" s="27" t="s">
        <v>7642</v>
      </c>
      <c r="H6020" s="28" t="s">
        <v>7643</v>
      </c>
      <c r="I6020" s="5" t="s">
        <v>1770</v>
      </c>
    </row>
    <row r="6021" spans="1:9" ht="51.75" customHeight="1">
      <c r="A6021" s="5" t="s">
        <v>35107</v>
      </c>
      <c r="B6021" s="5" t="s">
        <v>39919</v>
      </c>
      <c r="C6021" s="5" t="s">
        <v>39917</v>
      </c>
      <c r="D6021" s="246">
        <v>41551</v>
      </c>
      <c r="E6021" s="5" t="s">
        <v>39920</v>
      </c>
      <c r="F6021" s="26" t="s">
        <v>23600</v>
      </c>
      <c r="G6021" s="27" t="s">
        <v>7642</v>
      </c>
      <c r="H6021" s="28" t="s">
        <v>7643</v>
      </c>
      <c r="I6021" s="5" t="s">
        <v>1770</v>
      </c>
    </row>
    <row r="6022" spans="1:9" ht="51.75" customHeight="1">
      <c r="A6022" s="5" t="s">
        <v>28237</v>
      </c>
      <c r="B6022" s="5" t="s">
        <v>39921</v>
      </c>
      <c r="C6022" s="5" t="s">
        <v>39922</v>
      </c>
      <c r="D6022" s="246">
        <v>41551</v>
      </c>
      <c r="E6022" s="5" t="s">
        <v>39923</v>
      </c>
      <c r="F6022" s="26" t="s">
        <v>39913</v>
      </c>
      <c r="G6022" s="27" t="s">
        <v>7642</v>
      </c>
      <c r="H6022" s="28" t="s">
        <v>7643</v>
      </c>
      <c r="I6022" s="5" t="s">
        <v>1770</v>
      </c>
    </row>
    <row r="6023" spans="1:9" ht="51.75" customHeight="1">
      <c r="A6023" s="5" t="s">
        <v>28237</v>
      </c>
      <c r="B6023" s="5" t="s">
        <v>39924</v>
      </c>
      <c r="C6023" s="5" t="s">
        <v>39922</v>
      </c>
      <c r="D6023" s="246">
        <v>41551</v>
      </c>
      <c r="E6023" s="5" t="s">
        <v>39925</v>
      </c>
      <c r="F6023" s="26" t="s">
        <v>23600</v>
      </c>
      <c r="G6023" s="27" t="s">
        <v>7642</v>
      </c>
      <c r="H6023" s="28" t="s">
        <v>7643</v>
      </c>
      <c r="I6023" s="5" t="s">
        <v>1770</v>
      </c>
    </row>
    <row r="6024" spans="1:9" ht="51.75" customHeight="1">
      <c r="A6024" s="5" t="s">
        <v>28240</v>
      </c>
      <c r="B6024" s="5" t="s">
        <v>39926</v>
      </c>
      <c r="C6024" s="5" t="s">
        <v>39927</v>
      </c>
      <c r="D6024" s="246">
        <v>41551</v>
      </c>
      <c r="E6024" s="5" t="s">
        <v>39928</v>
      </c>
      <c r="F6024" s="26" t="s">
        <v>39913</v>
      </c>
      <c r="G6024" s="27" t="s">
        <v>7642</v>
      </c>
      <c r="H6024" s="28" t="s">
        <v>7643</v>
      </c>
      <c r="I6024" s="5" t="s">
        <v>1770</v>
      </c>
    </row>
    <row r="6025" spans="1:9" ht="51.75" customHeight="1">
      <c r="A6025" s="5" t="s">
        <v>28240</v>
      </c>
      <c r="B6025" s="5" t="s">
        <v>39929</v>
      </c>
      <c r="C6025" s="5" t="s">
        <v>39927</v>
      </c>
      <c r="D6025" s="246">
        <v>41551</v>
      </c>
      <c r="E6025" s="5" t="s">
        <v>39930</v>
      </c>
      <c r="F6025" s="26" t="s">
        <v>23600</v>
      </c>
      <c r="G6025" s="27" t="s">
        <v>7642</v>
      </c>
      <c r="H6025" s="28" t="s">
        <v>7643</v>
      </c>
      <c r="I6025" s="5" t="s">
        <v>1770</v>
      </c>
    </row>
    <row r="6026" spans="1:9" ht="51.75" customHeight="1">
      <c r="A6026" s="5" t="s">
        <v>28243</v>
      </c>
      <c r="B6026" s="5" t="s">
        <v>39931</v>
      </c>
      <c r="C6026" s="5" t="s">
        <v>39932</v>
      </c>
      <c r="D6026" s="246">
        <v>41551</v>
      </c>
      <c r="E6026" s="5" t="s">
        <v>39933</v>
      </c>
      <c r="F6026" s="26" t="s">
        <v>39913</v>
      </c>
      <c r="G6026" s="27" t="s">
        <v>7642</v>
      </c>
      <c r="H6026" s="28" t="s">
        <v>7643</v>
      </c>
      <c r="I6026" s="5" t="s">
        <v>1770</v>
      </c>
    </row>
    <row r="6027" spans="1:9" ht="51.75" customHeight="1">
      <c r="A6027" s="5" t="s">
        <v>28243</v>
      </c>
      <c r="B6027" s="5" t="s">
        <v>39934</v>
      </c>
      <c r="C6027" s="5" t="s">
        <v>39932</v>
      </c>
      <c r="D6027" s="246">
        <v>41551</v>
      </c>
      <c r="E6027" s="5" t="s">
        <v>39935</v>
      </c>
      <c r="F6027" s="26" t="s">
        <v>23600</v>
      </c>
      <c r="G6027" s="27" t="s">
        <v>7642</v>
      </c>
      <c r="H6027" s="28" t="s">
        <v>7643</v>
      </c>
      <c r="I6027" s="5" t="s">
        <v>1770</v>
      </c>
    </row>
    <row r="6028" spans="1:9" ht="51.75" customHeight="1">
      <c r="A6028" s="5">
        <v>1</v>
      </c>
      <c r="B6028" s="5" t="s">
        <v>39936</v>
      </c>
      <c r="C6028" s="5" t="s">
        <v>39937</v>
      </c>
      <c r="D6028" s="246">
        <v>41051</v>
      </c>
      <c r="E6028" s="5" t="s">
        <v>39938</v>
      </c>
      <c r="F6028" s="26" t="s">
        <v>23600</v>
      </c>
      <c r="G6028" s="27" t="s">
        <v>4606</v>
      </c>
      <c r="H6028" s="28" t="s">
        <v>4607</v>
      </c>
      <c r="I6028" s="5" t="s">
        <v>1770</v>
      </c>
    </row>
    <row r="6029" spans="1:9" ht="51.75" customHeight="1">
      <c r="A6029" s="5">
        <v>2</v>
      </c>
      <c r="B6029" s="5" t="s">
        <v>39939</v>
      </c>
      <c r="C6029" s="5" t="s">
        <v>39940</v>
      </c>
      <c r="D6029" s="246">
        <v>41051</v>
      </c>
      <c r="E6029" s="5" t="s">
        <v>39941</v>
      </c>
      <c r="F6029" s="26" t="s">
        <v>23600</v>
      </c>
      <c r="G6029" s="27" t="s">
        <v>4606</v>
      </c>
      <c r="H6029" s="28" t="s">
        <v>4607</v>
      </c>
      <c r="I6029" s="5" t="s">
        <v>1770</v>
      </c>
    </row>
    <row r="6030" spans="1:9" ht="51.75" customHeight="1">
      <c r="A6030" s="5">
        <v>3</v>
      </c>
      <c r="B6030" s="5" t="s">
        <v>39942</v>
      </c>
      <c r="C6030" s="5" t="s">
        <v>39943</v>
      </c>
      <c r="D6030" s="246">
        <v>41051</v>
      </c>
      <c r="E6030" s="5" t="s">
        <v>39944</v>
      </c>
      <c r="F6030" s="26" t="s">
        <v>23600</v>
      </c>
      <c r="G6030" s="27" t="s">
        <v>4606</v>
      </c>
      <c r="H6030" s="28" t="s">
        <v>4607</v>
      </c>
      <c r="I6030" s="5" t="s">
        <v>1770</v>
      </c>
    </row>
    <row r="6031" spans="1:9" ht="51.75" customHeight="1">
      <c r="A6031" s="5">
        <v>4</v>
      </c>
      <c r="B6031" s="5" t="s">
        <v>39945</v>
      </c>
      <c r="C6031" s="5" t="s">
        <v>39946</v>
      </c>
      <c r="D6031" s="246">
        <v>41051</v>
      </c>
      <c r="E6031" s="5" t="s">
        <v>39947</v>
      </c>
      <c r="F6031" s="26" t="s">
        <v>23600</v>
      </c>
      <c r="G6031" s="27" t="s">
        <v>4606</v>
      </c>
      <c r="H6031" s="28" t="s">
        <v>4607</v>
      </c>
      <c r="I6031" s="5" t="s">
        <v>1770</v>
      </c>
    </row>
    <row r="6032" spans="1:9" ht="51.75" customHeight="1">
      <c r="A6032" s="5">
        <v>5</v>
      </c>
      <c r="B6032" s="5" t="s">
        <v>39948</v>
      </c>
      <c r="C6032" s="5" t="s">
        <v>39949</v>
      </c>
      <c r="D6032" s="246">
        <v>41051</v>
      </c>
      <c r="E6032" s="5" t="s">
        <v>39950</v>
      </c>
      <c r="F6032" s="26" t="s">
        <v>23600</v>
      </c>
      <c r="G6032" s="27" t="s">
        <v>4606</v>
      </c>
      <c r="H6032" s="28" t="s">
        <v>4607</v>
      </c>
      <c r="I6032" s="5" t="s">
        <v>1770</v>
      </c>
    </row>
    <row r="6033" spans="1:9" ht="51.75" customHeight="1">
      <c r="A6033" s="5">
        <v>6</v>
      </c>
      <c r="B6033" s="5" t="s">
        <v>39951</v>
      </c>
      <c r="C6033" s="5" t="s">
        <v>39952</v>
      </c>
      <c r="D6033" s="246">
        <v>41051</v>
      </c>
      <c r="E6033" s="5" t="s">
        <v>39953</v>
      </c>
      <c r="F6033" s="26" t="s">
        <v>23600</v>
      </c>
      <c r="G6033" s="27" t="s">
        <v>4606</v>
      </c>
      <c r="H6033" s="28" t="s">
        <v>4607</v>
      </c>
      <c r="I6033" s="5" t="s">
        <v>1770</v>
      </c>
    </row>
    <row r="6034" spans="1:9" ht="51.75" customHeight="1">
      <c r="A6034" s="5">
        <v>7</v>
      </c>
      <c r="B6034" s="5" t="s">
        <v>39954</v>
      </c>
      <c r="C6034" s="5" t="s">
        <v>39955</v>
      </c>
      <c r="D6034" s="246">
        <v>41051</v>
      </c>
      <c r="E6034" s="5" t="s">
        <v>39956</v>
      </c>
      <c r="F6034" s="26" t="s">
        <v>23600</v>
      </c>
      <c r="G6034" s="27" t="s">
        <v>4606</v>
      </c>
      <c r="H6034" s="28" t="s">
        <v>4607</v>
      </c>
      <c r="I6034" s="5" t="s">
        <v>1770</v>
      </c>
    </row>
    <row r="6035" spans="1:9" ht="51.75" customHeight="1">
      <c r="A6035" s="5">
        <v>8</v>
      </c>
      <c r="B6035" s="5" t="s">
        <v>39957</v>
      </c>
      <c r="C6035" s="5" t="s">
        <v>39958</v>
      </c>
      <c r="D6035" s="246">
        <v>41051</v>
      </c>
      <c r="E6035" s="5" t="s">
        <v>39959</v>
      </c>
      <c r="F6035" s="26" t="s">
        <v>23600</v>
      </c>
      <c r="G6035" s="27" t="s">
        <v>4606</v>
      </c>
      <c r="H6035" s="28" t="s">
        <v>4607</v>
      </c>
      <c r="I6035" s="5" t="s">
        <v>1770</v>
      </c>
    </row>
    <row r="6036" spans="1:9" ht="51.75" customHeight="1">
      <c r="A6036" s="5">
        <v>9</v>
      </c>
      <c r="B6036" s="5" t="s">
        <v>39960</v>
      </c>
      <c r="C6036" s="5" t="s">
        <v>39961</v>
      </c>
      <c r="D6036" s="246">
        <v>41051</v>
      </c>
      <c r="E6036" s="5" t="s">
        <v>39962</v>
      </c>
      <c r="F6036" s="26" t="s">
        <v>23600</v>
      </c>
      <c r="G6036" s="27" t="s">
        <v>4606</v>
      </c>
      <c r="H6036" s="28" t="s">
        <v>4607</v>
      </c>
      <c r="I6036" s="5" t="s">
        <v>1770</v>
      </c>
    </row>
    <row r="6037" spans="1:9" ht="51.75" customHeight="1">
      <c r="A6037" s="5" t="s">
        <v>24708</v>
      </c>
      <c r="B6037" s="5" t="s">
        <v>39963</v>
      </c>
      <c r="C6037" s="5" t="s">
        <v>39964</v>
      </c>
      <c r="D6037" s="246">
        <v>41789</v>
      </c>
      <c r="E6037" s="5" t="s">
        <v>39965</v>
      </c>
      <c r="F6037" s="26" t="s">
        <v>23600</v>
      </c>
      <c r="G6037" s="27" t="s">
        <v>8479</v>
      </c>
      <c r="H6037" s="28" t="s">
        <v>8480</v>
      </c>
      <c r="I6037" s="5" t="s">
        <v>1770</v>
      </c>
    </row>
    <row r="6038" spans="1:9" ht="51.75" customHeight="1">
      <c r="A6038" s="5" t="s">
        <v>27392</v>
      </c>
      <c r="B6038" s="5" t="s">
        <v>39966</v>
      </c>
      <c r="C6038" s="5" t="s">
        <v>39967</v>
      </c>
      <c r="D6038" s="246">
        <v>41789</v>
      </c>
      <c r="E6038" s="5" t="s">
        <v>39968</v>
      </c>
      <c r="F6038" s="26" t="s">
        <v>23600</v>
      </c>
      <c r="G6038" s="27" t="s">
        <v>8479</v>
      </c>
      <c r="H6038" s="28" t="s">
        <v>8480</v>
      </c>
      <c r="I6038" s="5" t="s">
        <v>1770</v>
      </c>
    </row>
    <row r="6039" spans="1:9" ht="51.75" customHeight="1">
      <c r="A6039" s="5" t="s">
        <v>24712</v>
      </c>
      <c r="B6039" s="5" t="s">
        <v>39969</v>
      </c>
      <c r="C6039" s="5" t="s">
        <v>39970</v>
      </c>
      <c r="D6039" s="246">
        <v>41789</v>
      </c>
      <c r="E6039" s="5" t="s">
        <v>39971</v>
      </c>
      <c r="F6039" s="26" t="s">
        <v>23600</v>
      </c>
      <c r="G6039" s="27" t="s">
        <v>8479</v>
      </c>
      <c r="H6039" s="28" t="s">
        <v>8480</v>
      </c>
      <c r="I6039" s="5" t="s">
        <v>1770</v>
      </c>
    </row>
    <row r="6040" spans="1:9" ht="51.75" customHeight="1">
      <c r="A6040" s="5" t="s">
        <v>24689</v>
      </c>
      <c r="B6040" s="5" t="s">
        <v>39972</v>
      </c>
      <c r="C6040" s="5" t="s">
        <v>39973</v>
      </c>
      <c r="D6040" s="246">
        <v>41577</v>
      </c>
      <c r="E6040" s="5" t="s">
        <v>39974</v>
      </c>
      <c r="F6040" s="26" t="s">
        <v>24939</v>
      </c>
      <c r="G6040" s="27" t="s">
        <v>7491</v>
      </c>
      <c r="H6040" s="28" t="s">
        <v>7492</v>
      </c>
      <c r="I6040" s="5" t="s">
        <v>1770</v>
      </c>
    </row>
    <row r="6041" spans="1:9" ht="51.75" customHeight="1">
      <c r="A6041" s="5" t="s">
        <v>24689</v>
      </c>
      <c r="B6041" s="5" t="s">
        <v>39975</v>
      </c>
      <c r="C6041" s="5" t="s">
        <v>39973</v>
      </c>
      <c r="D6041" s="246">
        <v>41577</v>
      </c>
      <c r="E6041" s="5" t="s">
        <v>39976</v>
      </c>
      <c r="F6041" s="26" t="s">
        <v>23600</v>
      </c>
      <c r="G6041" s="27" t="s">
        <v>7491</v>
      </c>
      <c r="H6041" s="28" t="s">
        <v>7492</v>
      </c>
      <c r="I6041" s="5" t="s">
        <v>1770</v>
      </c>
    </row>
    <row r="6042" spans="1:9" ht="51.75" customHeight="1">
      <c r="A6042" s="5" t="s">
        <v>24693</v>
      </c>
      <c r="B6042" s="5" t="s">
        <v>39977</v>
      </c>
      <c r="C6042" s="5" t="s">
        <v>39978</v>
      </c>
      <c r="D6042" s="246">
        <v>41577</v>
      </c>
      <c r="E6042" s="5" t="s">
        <v>39979</v>
      </c>
      <c r="F6042" s="26" t="s">
        <v>24939</v>
      </c>
      <c r="G6042" s="27" t="s">
        <v>7491</v>
      </c>
      <c r="H6042" s="28" t="s">
        <v>7492</v>
      </c>
      <c r="I6042" s="5" t="s">
        <v>1770</v>
      </c>
    </row>
    <row r="6043" spans="1:9" ht="51.75" customHeight="1">
      <c r="A6043" s="5" t="s">
        <v>24693</v>
      </c>
      <c r="B6043" s="5" t="s">
        <v>39980</v>
      </c>
      <c r="C6043" s="5" t="s">
        <v>39978</v>
      </c>
      <c r="D6043" s="246">
        <v>41577</v>
      </c>
      <c r="E6043" s="5" t="s">
        <v>39981</v>
      </c>
      <c r="F6043" s="26" t="s">
        <v>23600</v>
      </c>
      <c r="G6043" s="27" t="s">
        <v>7491</v>
      </c>
      <c r="H6043" s="28" t="s">
        <v>7492</v>
      </c>
      <c r="I6043" s="5" t="s">
        <v>1770</v>
      </c>
    </row>
    <row r="6044" spans="1:9" ht="51.75" customHeight="1">
      <c r="A6044" s="5" t="s">
        <v>24587</v>
      </c>
      <c r="B6044" s="5" t="s">
        <v>39982</v>
      </c>
      <c r="C6044" s="5" t="s">
        <v>39983</v>
      </c>
      <c r="D6044" s="246" t="s">
        <v>68</v>
      </c>
      <c r="E6044" s="5" t="s">
        <v>39984</v>
      </c>
      <c r="F6044" s="26" t="s">
        <v>24939</v>
      </c>
      <c r="G6044" s="27" t="s">
        <v>6497</v>
      </c>
      <c r="H6044" s="28" t="s">
        <v>6498</v>
      </c>
      <c r="I6044" s="5" t="s">
        <v>1770</v>
      </c>
    </row>
    <row r="6045" spans="1:9" ht="51.75" customHeight="1">
      <c r="A6045" s="5" t="s">
        <v>24587</v>
      </c>
      <c r="B6045" s="5" t="s">
        <v>39985</v>
      </c>
      <c r="C6045" s="5" t="s">
        <v>39983</v>
      </c>
      <c r="D6045" s="246" t="s">
        <v>68</v>
      </c>
      <c r="E6045" s="5" t="s">
        <v>39986</v>
      </c>
      <c r="F6045" s="26" t="s">
        <v>23600</v>
      </c>
      <c r="G6045" s="27" t="s">
        <v>6497</v>
      </c>
      <c r="H6045" s="28" t="s">
        <v>6498</v>
      </c>
      <c r="I6045" s="5" t="s">
        <v>1770</v>
      </c>
    </row>
    <row r="6046" spans="1:9" ht="51.75" customHeight="1">
      <c r="A6046" s="5" t="s">
        <v>24591</v>
      </c>
      <c r="B6046" s="5" t="s">
        <v>39987</v>
      </c>
      <c r="C6046" s="5" t="s">
        <v>39988</v>
      </c>
      <c r="D6046" s="246" t="s">
        <v>68</v>
      </c>
      <c r="E6046" s="5" t="s">
        <v>39989</v>
      </c>
      <c r="F6046" s="26" t="s">
        <v>24939</v>
      </c>
      <c r="G6046" s="27" t="s">
        <v>6497</v>
      </c>
      <c r="H6046" s="28" t="s">
        <v>6498</v>
      </c>
      <c r="I6046" s="5" t="s">
        <v>1770</v>
      </c>
    </row>
    <row r="6047" spans="1:9" ht="51.75" customHeight="1">
      <c r="A6047" s="5" t="s">
        <v>24591</v>
      </c>
      <c r="B6047" s="5" t="s">
        <v>39990</v>
      </c>
      <c r="C6047" s="5" t="s">
        <v>39988</v>
      </c>
      <c r="D6047" s="246" t="s">
        <v>68</v>
      </c>
      <c r="E6047" s="5" t="s">
        <v>39991</v>
      </c>
      <c r="F6047" s="26" t="s">
        <v>23600</v>
      </c>
      <c r="G6047" s="27" t="s">
        <v>6497</v>
      </c>
      <c r="H6047" s="28" t="s">
        <v>6498</v>
      </c>
      <c r="I6047" s="5" t="s">
        <v>1770</v>
      </c>
    </row>
    <row r="6048" spans="1:9" ht="51.75" customHeight="1">
      <c r="A6048" s="5" t="s">
        <v>38819</v>
      </c>
      <c r="B6048" s="5" t="s">
        <v>39992</v>
      </c>
      <c r="C6048" s="5" t="s">
        <v>39993</v>
      </c>
      <c r="D6048" s="246">
        <v>41355</v>
      </c>
      <c r="E6048" s="5" t="s">
        <v>39994</v>
      </c>
      <c r="F6048" s="26" t="s">
        <v>24939</v>
      </c>
      <c r="G6048" s="27" t="s">
        <v>6254</v>
      </c>
      <c r="H6048" s="28" t="s">
        <v>6255</v>
      </c>
      <c r="I6048" s="5" t="s">
        <v>1770</v>
      </c>
    </row>
    <row r="6049" spans="1:9" ht="51.75" customHeight="1">
      <c r="A6049" s="5" t="s">
        <v>38819</v>
      </c>
      <c r="B6049" s="5" t="s">
        <v>39995</v>
      </c>
      <c r="C6049" s="5" t="s">
        <v>39993</v>
      </c>
      <c r="D6049" s="246">
        <v>41355</v>
      </c>
      <c r="E6049" s="5" t="s">
        <v>39996</v>
      </c>
      <c r="F6049" s="26" t="s">
        <v>23600</v>
      </c>
      <c r="G6049" s="27" t="s">
        <v>6254</v>
      </c>
      <c r="H6049" s="28" t="s">
        <v>6255</v>
      </c>
      <c r="I6049" s="5" t="s">
        <v>1770</v>
      </c>
    </row>
    <row r="6050" spans="1:9" ht="51.75" customHeight="1">
      <c r="A6050" s="5" t="s">
        <v>30111</v>
      </c>
      <c r="B6050" s="5" t="s">
        <v>39997</v>
      </c>
      <c r="C6050" s="5" t="s">
        <v>39998</v>
      </c>
      <c r="D6050" s="246">
        <v>41355</v>
      </c>
      <c r="E6050" s="5" t="s">
        <v>39999</v>
      </c>
      <c r="F6050" s="26" t="s">
        <v>24939</v>
      </c>
      <c r="G6050" s="27" t="s">
        <v>6254</v>
      </c>
      <c r="H6050" s="28" t="s">
        <v>6255</v>
      </c>
      <c r="I6050" s="5" t="s">
        <v>1770</v>
      </c>
    </row>
    <row r="6051" spans="1:9" ht="51.75" customHeight="1">
      <c r="A6051" s="5" t="s">
        <v>30111</v>
      </c>
      <c r="B6051" s="5" t="s">
        <v>40000</v>
      </c>
      <c r="C6051" s="5" t="s">
        <v>39998</v>
      </c>
      <c r="D6051" s="246">
        <v>41355</v>
      </c>
      <c r="E6051" s="5" t="s">
        <v>40001</v>
      </c>
      <c r="F6051" s="26" t="s">
        <v>23600</v>
      </c>
      <c r="G6051" s="27" t="s">
        <v>6254</v>
      </c>
      <c r="H6051" s="28" t="s">
        <v>6255</v>
      </c>
      <c r="I6051" s="5" t="s">
        <v>1770</v>
      </c>
    </row>
    <row r="6052" spans="1:9" ht="51.75" customHeight="1">
      <c r="A6052" s="5" t="s">
        <v>30115</v>
      </c>
      <c r="B6052" s="5" t="s">
        <v>40002</v>
      </c>
      <c r="C6052" s="5" t="s">
        <v>40003</v>
      </c>
      <c r="D6052" s="246">
        <v>41355</v>
      </c>
      <c r="E6052" s="5" t="s">
        <v>40004</v>
      </c>
      <c r="F6052" s="26" t="s">
        <v>24939</v>
      </c>
      <c r="G6052" s="27" t="s">
        <v>6254</v>
      </c>
      <c r="H6052" s="28" t="s">
        <v>6255</v>
      </c>
      <c r="I6052" s="5" t="s">
        <v>1770</v>
      </c>
    </row>
    <row r="6053" spans="1:9" ht="51.75" customHeight="1">
      <c r="A6053" s="5" t="s">
        <v>30115</v>
      </c>
      <c r="B6053" s="5" t="s">
        <v>40005</v>
      </c>
      <c r="C6053" s="5" t="s">
        <v>40003</v>
      </c>
      <c r="D6053" s="246">
        <v>41355</v>
      </c>
      <c r="E6053" s="5" t="s">
        <v>40006</v>
      </c>
      <c r="F6053" s="26" t="s">
        <v>23600</v>
      </c>
      <c r="G6053" s="27" t="s">
        <v>6254</v>
      </c>
      <c r="H6053" s="28" t="s">
        <v>6255</v>
      </c>
      <c r="I6053" s="5" t="s">
        <v>1770</v>
      </c>
    </row>
    <row r="6054" spans="1:9" ht="51.75" customHeight="1">
      <c r="A6054" s="5" t="s">
        <v>25652</v>
      </c>
      <c r="B6054" s="5" t="s">
        <v>40007</v>
      </c>
      <c r="C6054" s="5" t="s">
        <v>40008</v>
      </c>
      <c r="D6054" s="246">
        <v>41977</v>
      </c>
      <c r="E6054" s="5" t="s">
        <v>40009</v>
      </c>
      <c r="F6054" s="26" t="s">
        <v>23600</v>
      </c>
      <c r="G6054" s="27" t="s">
        <v>8714</v>
      </c>
      <c r="H6054" s="28" t="s">
        <v>8715</v>
      </c>
      <c r="I6054" s="5" t="s">
        <v>1770</v>
      </c>
    </row>
    <row r="6055" spans="1:9" ht="51.75" customHeight="1">
      <c r="A6055" s="5" t="s">
        <v>25915</v>
      </c>
      <c r="B6055" s="5" t="s">
        <v>40010</v>
      </c>
      <c r="C6055" s="5" t="s">
        <v>40011</v>
      </c>
      <c r="D6055" s="246">
        <v>41977</v>
      </c>
      <c r="E6055" s="5" t="s">
        <v>40012</v>
      </c>
      <c r="F6055" s="26" t="s">
        <v>23600</v>
      </c>
      <c r="G6055" s="27" t="s">
        <v>8714</v>
      </c>
      <c r="H6055" s="28" t="s">
        <v>8715</v>
      </c>
      <c r="I6055" s="5" t="s">
        <v>1770</v>
      </c>
    </row>
    <row r="6056" spans="1:9" ht="51.75" customHeight="1">
      <c r="A6056" s="5" t="s">
        <v>25920</v>
      </c>
      <c r="B6056" s="5" t="s">
        <v>40013</v>
      </c>
      <c r="C6056" s="5" t="s">
        <v>40014</v>
      </c>
      <c r="D6056" s="246">
        <v>41977</v>
      </c>
      <c r="E6056" s="5" t="s">
        <v>40015</v>
      </c>
      <c r="F6056" s="26" t="s">
        <v>23600</v>
      </c>
      <c r="G6056" s="27" t="s">
        <v>8714</v>
      </c>
      <c r="H6056" s="28" t="s">
        <v>8715</v>
      </c>
      <c r="I6056" s="5" t="s">
        <v>1770</v>
      </c>
    </row>
    <row r="6057" spans="1:9" ht="51.75" customHeight="1">
      <c r="A6057" s="5" t="s">
        <v>25926</v>
      </c>
      <c r="B6057" s="5" t="s">
        <v>40016</v>
      </c>
      <c r="C6057" s="5" t="s">
        <v>40017</v>
      </c>
      <c r="D6057" s="246">
        <v>41977</v>
      </c>
      <c r="E6057" s="5" t="s">
        <v>40018</v>
      </c>
      <c r="F6057" s="26" t="s">
        <v>23600</v>
      </c>
      <c r="G6057" s="27" t="s">
        <v>8714</v>
      </c>
      <c r="H6057" s="28" t="s">
        <v>8715</v>
      </c>
      <c r="I6057" s="5" t="s">
        <v>1770</v>
      </c>
    </row>
    <row r="6058" spans="1:9" ht="51.75" customHeight="1">
      <c r="A6058" s="5" t="s">
        <v>25932</v>
      </c>
      <c r="B6058" s="5" t="s">
        <v>40019</v>
      </c>
      <c r="C6058" s="5" t="s">
        <v>40020</v>
      </c>
      <c r="D6058" s="246">
        <v>41977</v>
      </c>
      <c r="E6058" s="5" t="s">
        <v>40021</v>
      </c>
      <c r="F6058" s="26" t="s">
        <v>23600</v>
      </c>
      <c r="G6058" s="27" t="s">
        <v>8714</v>
      </c>
      <c r="H6058" s="28" t="s">
        <v>8715</v>
      </c>
      <c r="I6058" s="5" t="s">
        <v>1770</v>
      </c>
    </row>
    <row r="6059" spans="1:9" ht="51.75" customHeight="1">
      <c r="A6059" s="5" t="s">
        <v>26275</v>
      </c>
      <c r="B6059" s="5" t="s">
        <v>40022</v>
      </c>
      <c r="C6059" s="5" t="s">
        <v>40023</v>
      </c>
      <c r="D6059" s="246">
        <v>41977</v>
      </c>
      <c r="E6059" s="5" t="s">
        <v>40024</v>
      </c>
      <c r="F6059" s="26" t="s">
        <v>23600</v>
      </c>
      <c r="G6059" s="27" t="s">
        <v>8714</v>
      </c>
      <c r="H6059" s="28" t="s">
        <v>8715</v>
      </c>
      <c r="I6059" s="5" t="s">
        <v>1770</v>
      </c>
    </row>
    <row r="6060" spans="1:9" ht="51.75" customHeight="1">
      <c r="A6060" s="5" t="s">
        <v>26280</v>
      </c>
      <c r="B6060" s="5" t="s">
        <v>40025</v>
      </c>
      <c r="C6060" s="5" t="s">
        <v>40026</v>
      </c>
      <c r="D6060" s="246">
        <v>41977</v>
      </c>
      <c r="E6060" s="5" t="s">
        <v>40027</v>
      </c>
      <c r="F6060" s="26" t="s">
        <v>23600</v>
      </c>
      <c r="G6060" s="27" t="s">
        <v>8714</v>
      </c>
      <c r="H6060" s="28" t="s">
        <v>8715</v>
      </c>
      <c r="I6060" s="5" t="s">
        <v>1770</v>
      </c>
    </row>
    <row r="6061" spans="1:9" ht="51.75" customHeight="1">
      <c r="A6061" s="5" t="s">
        <v>26285</v>
      </c>
      <c r="B6061" s="5" t="s">
        <v>40028</v>
      </c>
      <c r="C6061" s="5" t="s">
        <v>40029</v>
      </c>
      <c r="D6061" s="246">
        <v>41977</v>
      </c>
      <c r="E6061" s="5" t="s">
        <v>40030</v>
      </c>
      <c r="F6061" s="26" t="s">
        <v>23600</v>
      </c>
      <c r="G6061" s="27" t="s">
        <v>8714</v>
      </c>
      <c r="H6061" s="28" t="s">
        <v>8715</v>
      </c>
      <c r="I6061" s="5" t="s">
        <v>1770</v>
      </c>
    </row>
    <row r="6062" spans="1:9" ht="51.75" customHeight="1">
      <c r="A6062" s="5" t="s">
        <v>26296</v>
      </c>
      <c r="B6062" s="5" t="s">
        <v>40031</v>
      </c>
      <c r="C6062" s="5" t="s">
        <v>40032</v>
      </c>
      <c r="D6062" s="246">
        <v>41977</v>
      </c>
      <c r="E6062" s="5" t="s">
        <v>40033</v>
      </c>
      <c r="F6062" s="26" t="s">
        <v>23600</v>
      </c>
      <c r="G6062" s="27" t="s">
        <v>8714</v>
      </c>
      <c r="H6062" s="28" t="s">
        <v>8715</v>
      </c>
      <c r="I6062" s="5" t="s">
        <v>1770</v>
      </c>
    </row>
    <row r="6063" spans="1:9" ht="51.75" customHeight="1">
      <c r="A6063" s="5" t="s">
        <v>26301</v>
      </c>
      <c r="B6063" s="5" t="s">
        <v>40034</v>
      </c>
      <c r="C6063" s="5" t="s">
        <v>40035</v>
      </c>
      <c r="D6063" s="246">
        <v>41977</v>
      </c>
      <c r="E6063" s="5" t="s">
        <v>40036</v>
      </c>
      <c r="F6063" s="26" t="s">
        <v>23600</v>
      </c>
      <c r="G6063" s="27" t="s">
        <v>8714</v>
      </c>
      <c r="H6063" s="28" t="s">
        <v>8715</v>
      </c>
      <c r="I6063" s="5" t="s">
        <v>1770</v>
      </c>
    </row>
    <row r="6064" spans="1:9" ht="51.75" customHeight="1">
      <c r="A6064" s="5" t="s">
        <v>24697</v>
      </c>
      <c r="B6064" s="5" t="s">
        <v>40037</v>
      </c>
      <c r="C6064" s="5" t="s">
        <v>40038</v>
      </c>
      <c r="D6064" s="246">
        <v>41997</v>
      </c>
      <c r="E6064" s="5" t="s">
        <v>40039</v>
      </c>
      <c r="F6064" s="26" t="s">
        <v>23600</v>
      </c>
      <c r="G6064" s="27" t="s">
        <v>9240</v>
      </c>
      <c r="H6064" s="28" t="s">
        <v>9241</v>
      </c>
      <c r="I6064" s="5" t="s">
        <v>1770</v>
      </c>
    </row>
    <row r="6065" spans="1:9" ht="51.75" customHeight="1">
      <c r="A6065" s="5" t="s">
        <v>30098</v>
      </c>
      <c r="B6065" s="5" t="s">
        <v>40040</v>
      </c>
      <c r="C6065" s="5" t="s">
        <v>40041</v>
      </c>
      <c r="D6065" s="246">
        <v>41997</v>
      </c>
      <c r="E6065" s="5" t="s">
        <v>40042</v>
      </c>
      <c r="F6065" s="26" t="s">
        <v>23600</v>
      </c>
      <c r="G6065" s="27" t="s">
        <v>9240</v>
      </c>
      <c r="H6065" s="28" t="s">
        <v>9241</v>
      </c>
      <c r="I6065" s="5" t="s">
        <v>1770</v>
      </c>
    </row>
    <row r="6066" spans="1:9" ht="51.75" customHeight="1">
      <c r="A6066" s="5" t="s">
        <v>24942</v>
      </c>
      <c r="B6066" s="5" t="s">
        <v>40043</v>
      </c>
      <c r="C6066" s="5" t="s">
        <v>40044</v>
      </c>
      <c r="D6066" s="246">
        <v>41997</v>
      </c>
      <c r="E6066" s="5" t="s">
        <v>40045</v>
      </c>
      <c r="F6066" s="26" t="s">
        <v>23600</v>
      </c>
      <c r="G6066" s="27" t="s">
        <v>9240</v>
      </c>
      <c r="H6066" s="28" t="s">
        <v>9241</v>
      </c>
      <c r="I6066" s="5" t="s">
        <v>1770</v>
      </c>
    </row>
    <row r="6067" spans="1:9" ht="51.75" customHeight="1">
      <c r="A6067" s="5" t="s">
        <v>27109</v>
      </c>
      <c r="B6067" s="5" t="s">
        <v>40046</v>
      </c>
      <c r="C6067" s="5" t="s">
        <v>40047</v>
      </c>
      <c r="D6067" s="246">
        <v>42724</v>
      </c>
      <c r="E6067" s="5" t="s">
        <v>40048</v>
      </c>
      <c r="F6067" s="26" t="s">
        <v>24939</v>
      </c>
      <c r="G6067" s="27" t="s">
        <v>10422</v>
      </c>
      <c r="H6067" s="28" t="s">
        <v>10423</v>
      </c>
      <c r="I6067" s="5" t="s">
        <v>1770</v>
      </c>
    </row>
    <row r="6068" spans="1:9" ht="51.75" customHeight="1">
      <c r="A6068" s="5" t="s">
        <v>27109</v>
      </c>
      <c r="B6068" s="5" t="s">
        <v>40049</v>
      </c>
      <c r="C6068" s="5" t="s">
        <v>40047</v>
      </c>
      <c r="D6068" s="246">
        <v>42724</v>
      </c>
      <c r="E6068" s="5" t="s">
        <v>40050</v>
      </c>
      <c r="F6068" s="26" t="s">
        <v>23600</v>
      </c>
      <c r="G6068" s="27" t="s">
        <v>10422</v>
      </c>
      <c r="H6068" s="28" t="s">
        <v>10423</v>
      </c>
      <c r="I6068" s="5" t="s">
        <v>1770</v>
      </c>
    </row>
    <row r="6069" spans="1:9" ht="51.75" customHeight="1">
      <c r="A6069" s="5" t="s">
        <v>26052</v>
      </c>
      <c r="B6069" s="5" t="s">
        <v>40051</v>
      </c>
      <c r="C6069" s="5" t="s">
        <v>40052</v>
      </c>
      <c r="D6069" s="246">
        <v>42724</v>
      </c>
      <c r="E6069" s="5" t="s">
        <v>40053</v>
      </c>
      <c r="F6069" s="26" t="s">
        <v>24939</v>
      </c>
      <c r="G6069" s="27" t="s">
        <v>10422</v>
      </c>
      <c r="H6069" s="28" t="s">
        <v>10423</v>
      </c>
      <c r="I6069" s="5" t="s">
        <v>1770</v>
      </c>
    </row>
    <row r="6070" spans="1:9" ht="51.75" customHeight="1">
      <c r="A6070" s="5" t="s">
        <v>26052</v>
      </c>
      <c r="B6070" s="5" t="s">
        <v>40054</v>
      </c>
      <c r="C6070" s="5" t="s">
        <v>40052</v>
      </c>
      <c r="D6070" s="246">
        <v>42724</v>
      </c>
      <c r="E6070" s="5" t="s">
        <v>40055</v>
      </c>
      <c r="F6070" s="26" t="s">
        <v>23600</v>
      </c>
      <c r="G6070" s="27" t="s">
        <v>10422</v>
      </c>
      <c r="H6070" s="28" t="s">
        <v>10423</v>
      </c>
      <c r="I6070" s="5" t="s">
        <v>1770</v>
      </c>
    </row>
    <row r="6071" spans="1:9" ht="51.75" customHeight="1">
      <c r="A6071" s="5" t="s">
        <v>26058</v>
      </c>
      <c r="B6071" s="5" t="s">
        <v>40056</v>
      </c>
      <c r="C6071" s="5" t="s">
        <v>40057</v>
      </c>
      <c r="D6071" s="246">
        <v>42724</v>
      </c>
      <c r="E6071" s="5" t="s">
        <v>40058</v>
      </c>
      <c r="F6071" s="26" t="s">
        <v>24939</v>
      </c>
      <c r="G6071" s="27" t="s">
        <v>10422</v>
      </c>
      <c r="H6071" s="28" t="s">
        <v>10423</v>
      </c>
      <c r="I6071" s="5" t="s">
        <v>1770</v>
      </c>
    </row>
    <row r="6072" spans="1:9" ht="51.75" customHeight="1">
      <c r="A6072" s="5" t="s">
        <v>26058</v>
      </c>
      <c r="B6072" s="5" t="s">
        <v>40059</v>
      </c>
      <c r="C6072" s="5" t="s">
        <v>40057</v>
      </c>
      <c r="D6072" s="246">
        <v>42724</v>
      </c>
      <c r="E6072" s="5" t="s">
        <v>40060</v>
      </c>
      <c r="F6072" s="26" t="s">
        <v>23600</v>
      </c>
      <c r="G6072" s="27" t="s">
        <v>10422</v>
      </c>
      <c r="H6072" s="28" t="s">
        <v>10423</v>
      </c>
      <c r="I6072" s="5" t="s">
        <v>1770</v>
      </c>
    </row>
    <row r="6073" spans="1:9" ht="51.75" customHeight="1">
      <c r="A6073" s="5" t="s">
        <v>25926</v>
      </c>
      <c r="B6073" s="5" t="s">
        <v>40061</v>
      </c>
      <c r="C6073" s="5" t="s">
        <v>40062</v>
      </c>
      <c r="D6073" s="246">
        <v>42362</v>
      </c>
      <c r="E6073" s="5" t="s">
        <v>40063</v>
      </c>
      <c r="F6073" s="26" t="s">
        <v>24939</v>
      </c>
      <c r="G6073" s="27" t="s">
        <v>10483</v>
      </c>
      <c r="H6073" s="28" t="s">
        <v>10484</v>
      </c>
      <c r="I6073" s="5" t="s">
        <v>1770</v>
      </c>
    </row>
    <row r="6074" spans="1:9" ht="51.75" customHeight="1">
      <c r="A6074" s="5" t="s">
        <v>25926</v>
      </c>
      <c r="B6074" s="5" t="s">
        <v>40064</v>
      </c>
      <c r="C6074" s="5" t="s">
        <v>40062</v>
      </c>
      <c r="D6074" s="246">
        <v>42362</v>
      </c>
      <c r="E6074" s="5" t="s">
        <v>40065</v>
      </c>
      <c r="F6074" s="26" t="s">
        <v>39913</v>
      </c>
      <c r="G6074" s="27" t="s">
        <v>10483</v>
      </c>
      <c r="H6074" s="28" t="s">
        <v>10484</v>
      </c>
      <c r="I6074" s="5" t="s">
        <v>1770</v>
      </c>
    </row>
    <row r="6075" spans="1:9" ht="51.75" customHeight="1">
      <c r="A6075" s="5" t="s">
        <v>25926</v>
      </c>
      <c r="B6075" s="5" t="s">
        <v>40066</v>
      </c>
      <c r="C6075" s="5" t="s">
        <v>40062</v>
      </c>
      <c r="D6075" s="246">
        <v>42362</v>
      </c>
      <c r="E6075" s="5" t="s">
        <v>40067</v>
      </c>
      <c r="F6075" s="26" t="s">
        <v>23600</v>
      </c>
      <c r="G6075" s="27" t="s">
        <v>10483</v>
      </c>
      <c r="H6075" s="28" t="s">
        <v>10484</v>
      </c>
      <c r="I6075" s="5" t="s">
        <v>1770</v>
      </c>
    </row>
    <row r="6076" spans="1:9" ht="51.75" customHeight="1">
      <c r="A6076" s="5" t="s">
        <v>25932</v>
      </c>
      <c r="B6076" s="5" t="s">
        <v>40068</v>
      </c>
      <c r="C6076" s="5" t="s">
        <v>40069</v>
      </c>
      <c r="D6076" s="246">
        <v>42362</v>
      </c>
      <c r="E6076" s="5" t="s">
        <v>40070</v>
      </c>
      <c r="F6076" s="26" t="s">
        <v>24939</v>
      </c>
      <c r="G6076" s="27" t="s">
        <v>10483</v>
      </c>
      <c r="H6076" s="28" t="s">
        <v>10484</v>
      </c>
      <c r="I6076" s="5" t="s">
        <v>1770</v>
      </c>
    </row>
    <row r="6077" spans="1:9" ht="51.75" customHeight="1">
      <c r="A6077" s="5" t="s">
        <v>25932</v>
      </c>
      <c r="B6077" s="5" t="s">
        <v>40071</v>
      </c>
      <c r="C6077" s="5" t="s">
        <v>40069</v>
      </c>
      <c r="D6077" s="246">
        <v>42362</v>
      </c>
      <c r="E6077" s="5" t="s">
        <v>40072</v>
      </c>
      <c r="F6077" s="26" t="s">
        <v>39913</v>
      </c>
      <c r="G6077" s="27" t="s">
        <v>10483</v>
      </c>
      <c r="H6077" s="28" t="s">
        <v>10484</v>
      </c>
      <c r="I6077" s="5" t="s">
        <v>1770</v>
      </c>
    </row>
    <row r="6078" spans="1:9" ht="51.75" customHeight="1">
      <c r="A6078" s="5" t="s">
        <v>25932</v>
      </c>
      <c r="B6078" s="5" t="s">
        <v>40073</v>
      </c>
      <c r="C6078" s="5" t="s">
        <v>40069</v>
      </c>
      <c r="D6078" s="246">
        <v>42362</v>
      </c>
      <c r="E6078" s="5" t="s">
        <v>40074</v>
      </c>
      <c r="F6078" s="26" t="s">
        <v>23600</v>
      </c>
      <c r="G6078" s="27" t="s">
        <v>10483</v>
      </c>
      <c r="H6078" s="28" t="s">
        <v>10484</v>
      </c>
      <c r="I6078" s="5" t="s">
        <v>1770</v>
      </c>
    </row>
    <row r="6079" spans="1:9" ht="51.75" customHeight="1">
      <c r="A6079" s="5" t="s">
        <v>26275</v>
      </c>
      <c r="B6079" s="5" t="s">
        <v>40075</v>
      </c>
      <c r="C6079" s="5" t="s">
        <v>40076</v>
      </c>
      <c r="D6079" s="246">
        <v>42362</v>
      </c>
      <c r="E6079" s="5" t="s">
        <v>40077</v>
      </c>
      <c r="F6079" s="26" t="s">
        <v>24939</v>
      </c>
      <c r="G6079" s="27" t="s">
        <v>10483</v>
      </c>
      <c r="H6079" s="28" t="s">
        <v>10484</v>
      </c>
      <c r="I6079" s="5" t="s">
        <v>1770</v>
      </c>
    </row>
    <row r="6080" spans="1:9" ht="51.75" customHeight="1">
      <c r="A6080" s="5" t="s">
        <v>26275</v>
      </c>
      <c r="B6080" s="5" t="s">
        <v>40078</v>
      </c>
      <c r="C6080" s="5" t="s">
        <v>40076</v>
      </c>
      <c r="D6080" s="246">
        <v>42362</v>
      </c>
      <c r="E6080" s="5" t="s">
        <v>40079</v>
      </c>
      <c r="F6080" s="26" t="s">
        <v>39913</v>
      </c>
      <c r="G6080" s="27" t="s">
        <v>10483</v>
      </c>
      <c r="H6080" s="28" t="s">
        <v>10484</v>
      </c>
      <c r="I6080" s="5" t="s">
        <v>1770</v>
      </c>
    </row>
    <row r="6081" spans="1:9" ht="51.75" customHeight="1">
      <c r="A6081" s="5" t="s">
        <v>26275</v>
      </c>
      <c r="B6081" s="5" t="s">
        <v>40080</v>
      </c>
      <c r="C6081" s="5" t="s">
        <v>40076</v>
      </c>
      <c r="D6081" s="246">
        <v>42362</v>
      </c>
      <c r="E6081" s="5" t="s">
        <v>40081</v>
      </c>
      <c r="F6081" s="26" t="s">
        <v>23600</v>
      </c>
      <c r="G6081" s="27" t="s">
        <v>10483</v>
      </c>
      <c r="H6081" s="28" t="s">
        <v>10484</v>
      </c>
      <c r="I6081" s="5" t="s">
        <v>1770</v>
      </c>
    </row>
    <row r="6082" spans="1:9" ht="51.75" customHeight="1">
      <c r="A6082" s="5" t="s">
        <v>25539</v>
      </c>
      <c r="B6082" s="5" t="s">
        <v>40082</v>
      </c>
      <c r="C6082" s="5" t="s">
        <v>40083</v>
      </c>
      <c r="D6082" s="246">
        <v>42362</v>
      </c>
      <c r="E6082" s="5" t="s">
        <v>40084</v>
      </c>
      <c r="F6082" s="26" t="s">
        <v>24939</v>
      </c>
      <c r="G6082" s="27" t="s">
        <v>10483</v>
      </c>
      <c r="H6082" s="28" t="s">
        <v>10484</v>
      </c>
      <c r="I6082" s="5" t="s">
        <v>1770</v>
      </c>
    </row>
    <row r="6083" spans="1:9" ht="51.75" customHeight="1">
      <c r="A6083" s="5" t="s">
        <v>25539</v>
      </c>
      <c r="B6083" s="5" t="s">
        <v>40085</v>
      </c>
      <c r="C6083" s="5" t="s">
        <v>40083</v>
      </c>
      <c r="D6083" s="246">
        <v>42362</v>
      </c>
      <c r="E6083" s="5" t="s">
        <v>40086</v>
      </c>
      <c r="F6083" s="26" t="s">
        <v>39913</v>
      </c>
      <c r="G6083" s="27" t="s">
        <v>10483</v>
      </c>
      <c r="H6083" s="28" t="s">
        <v>10484</v>
      </c>
      <c r="I6083" s="5" t="s">
        <v>1770</v>
      </c>
    </row>
    <row r="6084" spans="1:9" ht="51.75" customHeight="1">
      <c r="A6084" s="5" t="s">
        <v>25539</v>
      </c>
      <c r="B6084" s="5" t="s">
        <v>40087</v>
      </c>
      <c r="C6084" s="5" t="s">
        <v>40083</v>
      </c>
      <c r="D6084" s="246">
        <v>42362</v>
      </c>
      <c r="E6084" s="5" t="s">
        <v>40088</v>
      </c>
      <c r="F6084" s="26" t="s">
        <v>23600</v>
      </c>
      <c r="G6084" s="27" t="s">
        <v>10483</v>
      </c>
      <c r="H6084" s="28" t="s">
        <v>10484</v>
      </c>
      <c r="I6084" s="5" t="s">
        <v>1770</v>
      </c>
    </row>
    <row r="6085" spans="1:9" ht="51.75" customHeight="1">
      <c r="A6085" s="5" t="s">
        <v>25006</v>
      </c>
      <c r="B6085" s="5" t="s">
        <v>40089</v>
      </c>
      <c r="C6085" s="5" t="s">
        <v>40090</v>
      </c>
      <c r="D6085" s="246">
        <v>42362</v>
      </c>
      <c r="E6085" s="5" t="s">
        <v>40091</v>
      </c>
      <c r="F6085" s="26" t="s">
        <v>24939</v>
      </c>
      <c r="G6085" s="27" t="s">
        <v>10483</v>
      </c>
      <c r="H6085" s="28" t="s">
        <v>10484</v>
      </c>
      <c r="I6085" s="5" t="s">
        <v>1770</v>
      </c>
    </row>
    <row r="6086" spans="1:9" ht="51.75" customHeight="1">
      <c r="A6086" s="5" t="s">
        <v>25006</v>
      </c>
      <c r="B6086" s="5" t="s">
        <v>40092</v>
      </c>
      <c r="C6086" s="5" t="s">
        <v>40090</v>
      </c>
      <c r="D6086" s="246">
        <v>42362</v>
      </c>
      <c r="E6086" s="5" t="s">
        <v>40093</v>
      </c>
      <c r="F6086" s="26" t="s">
        <v>39913</v>
      </c>
      <c r="G6086" s="27" t="s">
        <v>10483</v>
      </c>
      <c r="H6086" s="28" t="s">
        <v>10484</v>
      </c>
      <c r="I6086" s="5" t="s">
        <v>1770</v>
      </c>
    </row>
    <row r="6087" spans="1:9" ht="51.75" customHeight="1">
      <c r="A6087" s="5" t="s">
        <v>25006</v>
      </c>
      <c r="B6087" s="5" t="s">
        <v>40094</v>
      </c>
      <c r="C6087" s="5" t="s">
        <v>40090</v>
      </c>
      <c r="D6087" s="246">
        <v>42362</v>
      </c>
      <c r="E6087" s="5" t="s">
        <v>40095</v>
      </c>
      <c r="F6087" s="26" t="s">
        <v>23600</v>
      </c>
      <c r="G6087" s="27" t="s">
        <v>10483</v>
      </c>
      <c r="H6087" s="28" t="s">
        <v>10484</v>
      </c>
      <c r="I6087" s="5" t="s">
        <v>1770</v>
      </c>
    </row>
    <row r="6088" spans="1:9" ht="51.75" customHeight="1">
      <c r="A6088" s="5" t="s">
        <v>25012</v>
      </c>
      <c r="B6088" s="5" t="s">
        <v>40096</v>
      </c>
      <c r="C6088" s="5" t="s">
        <v>40097</v>
      </c>
      <c r="D6088" s="246">
        <v>42362</v>
      </c>
      <c r="E6088" s="5" t="s">
        <v>40098</v>
      </c>
      <c r="F6088" s="26" t="s">
        <v>24939</v>
      </c>
      <c r="G6088" s="27" t="s">
        <v>10483</v>
      </c>
      <c r="H6088" s="28" t="s">
        <v>10484</v>
      </c>
      <c r="I6088" s="5" t="s">
        <v>1770</v>
      </c>
    </row>
    <row r="6089" spans="1:9" ht="51.75" customHeight="1">
      <c r="A6089" s="5" t="s">
        <v>25012</v>
      </c>
      <c r="B6089" s="5" t="s">
        <v>40099</v>
      </c>
      <c r="C6089" s="5" t="s">
        <v>40097</v>
      </c>
      <c r="D6089" s="246">
        <v>42362</v>
      </c>
      <c r="E6089" s="5" t="s">
        <v>40100</v>
      </c>
      <c r="F6089" s="26" t="s">
        <v>39913</v>
      </c>
      <c r="G6089" s="27" t="s">
        <v>10483</v>
      </c>
      <c r="H6089" s="28" t="s">
        <v>10484</v>
      </c>
      <c r="I6089" s="5" t="s">
        <v>1770</v>
      </c>
    </row>
    <row r="6090" spans="1:9" ht="51.75" customHeight="1">
      <c r="A6090" s="5" t="s">
        <v>25012</v>
      </c>
      <c r="B6090" s="5" t="s">
        <v>40101</v>
      </c>
      <c r="C6090" s="5" t="s">
        <v>40097</v>
      </c>
      <c r="D6090" s="246">
        <v>42362</v>
      </c>
      <c r="E6090" s="5" t="s">
        <v>40102</v>
      </c>
      <c r="F6090" s="26" t="s">
        <v>23600</v>
      </c>
      <c r="G6090" s="27" t="s">
        <v>10483</v>
      </c>
      <c r="H6090" s="28" t="s">
        <v>10484</v>
      </c>
      <c r="I6090" s="5" t="s">
        <v>1770</v>
      </c>
    </row>
    <row r="6091" spans="1:9" ht="51.75" customHeight="1">
      <c r="A6091" s="5" t="s">
        <v>24969</v>
      </c>
      <c r="B6091" s="5" t="s">
        <v>40103</v>
      </c>
      <c r="C6091" s="5" t="s">
        <v>40104</v>
      </c>
      <c r="D6091" s="246">
        <v>42362</v>
      </c>
      <c r="E6091" s="5" t="s">
        <v>40105</v>
      </c>
      <c r="F6091" s="26" t="s">
        <v>24939</v>
      </c>
      <c r="G6091" s="27" t="s">
        <v>10483</v>
      </c>
      <c r="H6091" s="28" t="s">
        <v>10484</v>
      </c>
      <c r="I6091" s="5" t="s">
        <v>1770</v>
      </c>
    </row>
    <row r="6092" spans="1:9" ht="51.75" customHeight="1">
      <c r="A6092" s="5" t="s">
        <v>24969</v>
      </c>
      <c r="B6092" s="5" t="s">
        <v>40106</v>
      </c>
      <c r="C6092" s="5" t="s">
        <v>40104</v>
      </c>
      <c r="D6092" s="246">
        <v>42362</v>
      </c>
      <c r="E6092" s="5" t="s">
        <v>40107</v>
      </c>
      <c r="F6092" s="26" t="s">
        <v>39913</v>
      </c>
      <c r="G6092" s="27" t="s">
        <v>10483</v>
      </c>
      <c r="H6092" s="28" t="s">
        <v>10484</v>
      </c>
      <c r="I6092" s="5" t="s">
        <v>1770</v>
      </c>
    </row>
    <row r="6093" spans="1:9" ht="51.75" customHeight="1">
      <c r="A6093" s="5" t="s">
        <v>24969</v>
      </c>
      <c r="B6093" s="5" t="s">
        <v>40108</v>
      </c>
      <c r="C6093" s="5" t="s">
        <v>40104</v>
      </c>
      <c r="D6093" s="246">
        <v>42362</v>
      </c>
      <c r="E6093" s="5" t="s">
        <v>40109</v>
      </c>
      <c r="F6093" s="26" t="s">
        <v>23600</v>
      </c>
      <c r="G6093" s="27" t="s">
        <v>10483</v>
      </c>
      <c r="H6093" s="28" t="s">
        <v>10484</v>
      </c>
      <c r="I6093" s="5" t="s">
        <v>1770</v>
      </c>
    </row>
    <row r="6094" spans="1:9" ht="51.75" customHeight="1">
      <c r="A6094" s="5" t="s">
        <v>24975</v>
      </c>
      <c r="B6094" s="5" t="s">
        <v>40110</v>
      </c>
      <c r="C6094" s="5" t="s">
        <v>40111</v>
      </c>
      <c r="D6094" s="246">
        <v>42362</v>
      </c>
      <c r="E6094" s="5" t="s">
        <v>40112</v>
      </c>
      <c r="F6094" s="26" t="s">
        <v>24939</v>
      </c>
      <c r="G6094" s="27" t="s">
        <v>10483</v>
      </c>
      <c r="H6094" s="28" t="s">
        <v>10484</v>
      </c>
      <c r="I6094" s="5" t="s">
        <v>1770</v>
      </c>
    </row>
    <row r="6095" spans="1:9" ht="51.75" customHeight="1">
      <c r="A6095" s="5" t="s">
        <v>24975</v>
      </c>
      <c r="B6095" s="5" t="s">
        <v>40113</v>
      </c>
      <c r="C6095" s="5" t="s">
        <v>40111</v>
      </c>
      <c r="D6095" s="246">
        <v>42362</v>
      </c>
      <c r="E6095" s="5" t="s">
        <v>40114</v>
      </c>
      <c r="F6095" s="26" t="s">
        <v>39913</v>
      </c>
      <c r="G6095" s="27" t="s">
        <v>10483</v>
      </c>
      <c r="H6095" s="28" t="s">
        <v>10484</v>
      </c>
      <c r="I6095" s="5" t="s">
        <v>1770</v>
      </c>
    </row>
    <row r="6096" spans="1:9" ht="51.75" customHeight="1">
      <c r="A6096" s="5" t="s">
        <v>24975</v>
      </c>
      <c r="B6096" s="5" t="s">
        <v>40115</v>
      </c>
      <c r="C6096" s="5" t="s">
        <v>40111</v>
      </c>
      <c r="D6096" s="246">
        <v>42362</v>
      </c>
      <c r="E6096" s="5" t="s">
        <v>40116</v>
      </c>
      <c r="F6096" s="26" t="s">
        <v>23600</v>
      </c>
      <c r="G6096" s="27" t="s">
        <v>10483</v>
      </c>
      <c r="H6096" s="28" t="s">
        <v>10484</v>
      </c>
      <c r="I6096" s="5" t="s">
        <v>1770</v>
      </c>
    </row>
    <row r="6097" spans="1:9" ht="51.75" customHeight="1">
      <c r="A6097" s="5" t="s">
        <v>24981</v>
      </c>
      <c r="B6097" s="5" t="s">
        <v>40117</v>
      </c>
      <c r="C6097" s="5" t="s">
        <v>40111</v>
      </c>
      <c r="D6097" s="246">
        <v>42362</v>
      </c>
      <c r="E6097" s="5" t="s">
        <v>40118</v>
      </c>
      <c r="F6097" s="26" t="s">
        <v>24939</v>
      </c>
      <c r="G6097" s="27" t="s">
        <v>10483</v>
      </c>
      <c r="H6097" s="28" t="s">
        <v>10484</v>
      </c>
      <c r="I6097" s="5" t="s">
        <v>1770</v>
      </c>
    </row>
    <row r="6098" spans="1:9" ht="51.75" customHeight="1">
      <c r="A6098" s="5" t="s">
        <v>24981</v>
      </c>
      <c r="B6098" s="5" t="s">
        <v>40119</v>
      </c>
      <c r="C6098" s="5" t="s">
        <v>40111</v>
      </c>
      <c r="D6098" s="246">
        <v>42362</v>
      </c>
      <c r="E6098" s="5" t="s">
        <v>40120</v>
      </c>
      <c r="F6098" s="26" t="s">
        <v>39913</v>
      </c>
      <c r="G6098" s="27" t="s">
        <v>10483</v>
      </c>
      <c r="H6098" s="28" t="s">
        <v>10484</v>
      </c>
      <c r="I6098" s="5" t="s">
        <v>1770</v>
      </c>
    </row>
    <row r="6099" spans="1:9" ht="51.75" customHeight="1">
      <c r="A6099" s="5" t="s">
        <v>24981</v>
      </c>
      <c r="B6099" s="5" t="s">
        <v>40121</v>
      </c>
      <c r="C6099" s="5" t="s">
        <v>40111</v>
      </c>
      <c r="D6099" s="246">
        <v>42362</v>
      </c>
      <c r="E6099" s="5" t="s">
        <v>40122</v>
      </c>
      <c r="F6099" s="26" t="s">
        <v>23600</v>
      </c>
      <c r="G6099" s="27" t="s">
        <v>10483</v>
      </c>
      <c r="H6099" s="28" t="s">
        <v>10484</v>
      </c>
      <c r="I6099" s="5" t="s">
        <v>1770</v>
      </c>
    </row>
    <row r="6100" spans="1:9" ht="51.75" customHeight="1">
      <c r="A6100" s="5" t="s">
        <v>24987</v>
      </c>
      <c r="B6100" s="5" t="s">
        <v>40123</v>
      </c>
      <c r="C6100" s="5" t="s">
        <v>40124</v>
      </c>
      <c r="D6100" s="246">
        <v>42362</v>
      </c>
      <c r="E6100" s="5" t="s">
        <v>40125</v>
      </c>
      <c r="F6100" s="26" t="s">
        <v>24939</v>
      </c>
      <c r="G6100" s="27" t="s">
        <v>10483</v>
      </c>
      <c r="H6100" s="28" t="s">
        <v>10484</v>
      </c>
      <c r="I6100" s="5" t="s">
        <v>1770</v>
      </c>
    </row>
    <row r="6101" spans="1:9" ht="51.75" customHeight="1">
      <c r="A6101" s="5" t="s">
        <v>24987</v>
      </c>
      <c r="B6101" s="5" t="s">
        <v>40126</v>
      </c>
      <c r="C6101" s="5" t="s">
        <v>40124</v>
      </c>
      <c r="D6101" s="246">
        <v>42362</v>
      </c>
      <c r="E6101" s="5" t="s">
        <v>40127</v>
      </c>
      <c r="F6101" s="26" t="s">
        <v>39913</v>
      </c>
      <c r="G6101" s="27" t="s">
        <v>10483</v>
      </c>
      <c r="H6101" s="28" t="s">
        <v>10484</v>
      </c>
      <c r="I6101" s="5" t="s">
        <v>1770</v>
      </c>
    </row>
    <row r="6102" spans="1:9" ht="51.75" customHeight="1">
      <c r="A6102" s="5" t="s">
        <v>24987</v>
      </c>
      <c r="B6102" s="5" t="s">
        <v>40128</v>
      </c>
      <c r="C6102" s="5" t="s">
        <v>40124</v>
      </c>
      <c r="D6102" s="246">
        <v>42362</v>
      </c>
      <c r="E6102" s="5" t="s">
        <v>40129</v>
      </c>
      <c r="F6102" s="26" t="s">
        <v>23600</v>
      </c>
      <c r="G6102" s="27" t="s">
        <v>10483</v>
      </c>
      <c r="H6102" s="28" t="s">
        <v>10484</v>
      </c>
      <c r="I6102" s="5" t="s">
        <v>1770</v>
      </c>
    </row>
    <row r="6103" spans="1:9" ht="51.75" customHeight="1">
      <c r="A6103" s="5" t="s">
        <v>24963</v>
      </c>
      <c r="B6103" s="5" t="s">
        <v>40130</v>
      </c>
      <c r="C6103" s="5" t="s">
        <v>40111</v>
      </c>
      <c r="D6103" s="246">
        <v>42362</v>
      </c>
      <c r="E6103" s="5" t="s">
        <v>40131</v>
      </c>
      <c r="F6103" s="26" t="s">
        <v>24939</v>
      </c>
      <c r="G6103" s="27" t="s">
        <v>10483</v>
      </c>
      <c r="H6103" s="28" t="s">
        <v>10484</v>
      </c>
      <c r="I6103" s="5" t="s">
        <v>1770</v>
      </c>
    </row>
    <row r="6104" spans="1:9" ht="51.75" customHeight="1">
      <c r="A6104" s="5" t="s">
        <v>24963</v>
      </c>
      <c r="B6104" s="5" t="s">
        <v>40132</v>
      </c>
      <c r="C6104" s="5" t="s">
        <v>40111</v>
      </c>
      <c r="D6104" s="246">
        <v>42362</v>
      </c>
      <c r="E6104" s="5" t="s">
        <v>40133</v>
      </c>
      <c r="F6104" s="26" t="s">
        <v>39913</v>
      </c>
      <c r="G6104" s="27" t="s">
        <v>10483</v>
      </c>
      <c r="H6104" s="28" t="s">
        <v>10484</v>
      </c>
      <c r="I6104" s="5" t="s">
        <v>1770</v>
      </c>
    </row>
    <row r="6105" spans="1:9" ht="51.75" customHeight="1">
      <c r="A6105" s="5" t="s">
        <v>24963</v>
      </c>
      <c r="B6105" s="5" t="s">
        <v>40134</v>
      </c>
      <c r="C6105" s="5" t="s">
        <v>40111</v>
      </c>
      <c r="D6105" s="246">
        <v>42362</v>
      </c>
      <c r="E6105" s="5" t="s">
        <v>40135</v>
      </c>
      <c r="F6105" s="26" t="s">
        <v>23600</v>
      </c>
      <c r="G6105" s="27" t="s">
        <v>10483</v>
      </c>
      <c r="H6105" s="28" t="s">
        <v>10484</v>
      </c>
      <c r="I6105" s="5" t="s">
        <v>1770</v>
      </c>
    </row>
    <row r="6106" spans="1:9" ht="51.75" customHeight="1">
      <c r="A6106" s="5" t="s">
        <v>27043</v>
      </c>
      <c r="B6106" s="5" t="s">
        <v>40136</v>
      </c>
      <c r="C6106" s="5" t="s">
        <v>40137</v>
      </c>
      <c r="D6106" s="246">
        <v>42782</v>
      </c>
      <c r="E6106" s="5" t="s">
        <v>40138</v>
      </c>
      <c r="F6106" s="26" t="s">
        <v>23600</v>
      </c>
      <c r="G6106" s="27" t="s">
        <v>11610</v>
      </c>
      <c r="H6106" s="28" t="s">
        <v>11611</v>
      </c>
      <c r="I6106" s="5" t="s">
        <v>1770</v>
      </c>
    </row>
    <row r="6107" spans="1:9" ht="51.75" customHeight="1">
      <c r="A6107" s="5" t="s">
        <v>27054</v>
      </c>
      <c r="B6107" s="5" t="s">
        <v>40139</v>
      </c>
      <c r="C6107" s="5" t="s">
        <v>40140</v>
      </c>
      <c r="D6107" s="246">
        <v>42782</v>
      </c>
      <c r="E6107" s="5" t="s">
        <v>40141</v>
      </c>
      <c r="F6107" s="26" t="s">
        <v>23600</v>
      </c>
      <c r="G6107" s="27" t="s">
        <v>11610</v>
      </c>
      <c r="H6107" s="28" t="s">
        <v>11611</v>
      </c>
      <c r="I6107" s="5" t="s">
        <v>1770</v>
      </c>
    </row>
    <row r="6108" spans="1:9" ht="51.75" customHeight="1">
      <c r="A6108" s="5" t="s">
        <v>27060</v>
      </c>
      <c r="B6108" s="5" t="s">
        <v>40142</v>
      </c>
      <c r="C6108" s="5" t="s">
        <v>40143</v>
      </c>
      <c r="D6108" s="246">
        <v>42782</v>
      </c>
      <c r="E6108" s="5" t="s">
        <v>40144</v>
      </c>
      <c r="F6108" s="26" t="s">
        <v>23600</v>
      </c>
      <c r="G6108" s="27" t="s">
        <v>11610</v>
      </c>
      <c r="H6108" s="28" t="s">
        <v>11611</v>
      </c>
      <c r="I6108" s="5" t="s">
        <v>1770</v>
      </c>
    </row>
    <row r="6109" spans="1:9" ht="51.75" customHeight="1">
      <c r="A6109" s="5" t="s">
        <v>27072</v>
      </c>
      <c r="B6109" s="5" t="s">
        <v>40145</v>
      </c>
      <c r="C6109" s="5" t="s">
        <v>40146</v>
      </c>
      <c r="D6109" s="246">
        <v>42782</v>
      </c>
      <c r="E6109" s="5" t="s">
        <v>40147</v>
      </c>
      <c r="F6109" s="26" t="s">
        <v>23600</v>
      </c>
      <c r="G6109" s="27" t="s">
        <v>11610</v>
      </c>
      <c r="H6109" s="28" t="s">
        <v>11611</v>
      </c>
      <c r="I6109" s="5" t="s">
        <v>1770</v>
      </c>
    </row>
    <row r="6110" spans="1:9" ht="51.75" customHeight="1">
      <c r="A6110" s="5" t="s">
        <v>37842</v>
      </c>
      <c r="B6110" s="5" t="s">
        <v>40148</v>
      </c>
      <c r="C6110" s="5" t="s">
        <v>40149</v>
      </c>
      <c r="D6110" s="246">
        <v>43089</v>
      </c>
      <c r="E6110" s="5" t="s">
        <v>40150</v>
      </c>
      <c r="F6110" s="26" t="s">
        <v>23600</v>
      </c>
      <c r="G6110" s="27" t="s">
        <v>12487</v>
      </c>
      <c r="H6110" s="28" t="s">
        <v>12488</v>
      </c>
      <c r="I6110" s="5" t="s">
        <v>1770</v>
      </c>
    </row>
    <row r="6111" spans="1:9" ht="51.75" customHeight="1">
      <c r="A6111" s="5" t="s">
        <v>37850</v>
      </c>
      <c r="B6111" s="5" t="s">
        <v>40151</v>
      </c>
      <c r="C6111" s="5" t="s">
        <v>40152</v>
      </c>
      <c r="D6111" s="246">
        <v>43089</v>
      </c>
      <c r="E6111" s="5" t="s">
        <v>40153</v>
      </c>
      <c r="F6111" s="26" t="s">
        <v>23600</v>
      </c>
      <c r="G6111" s="27" t="s">
        <v>12487</v>
      </c>
      <c r="H6111" s="28" t="s">
        <v>12488</v>
      </c>
      <c r="I6111" s="5" t="s">
        <v>1770</v>
      </c>
    </row>
    <row r="6112" spans="1:9" ht="51.75" customHeight="1">
      <c r="A6112" s="5" t="s">
        <v>29066</v>
      </c>
      <c r="B6112" s="5" t="s">
        <v>40154</v>
      </c>
      <c r="C6112" s="5" t="s">
        <v>40155</v>
      </c>
      <c r="D6112" s="246">
        <v>41660</v>
      </c>
      <c r="E6112" s="5" t="s">
        <v>40156</v>
      </c>
      <c r="F6112" s="26" t="s">
        <v>24939</v>
      </c>
      <c r="G6112" s="27" t="s">
        <v>5712</v>
      </c>
      <c r="H6112" s="28" t="s">
        <v>5713</v>
      </c>
      <c r="I6112" s="5" t="s">
        <v>1770</v>
      </c>
    </row>
    <row r="6113" spans="1:9" ht="51.75" customHeight="1">
      <c r="A6113" s="5" t="s">
        <v>29066</v>
      </c>
      <c r="B6113" s="5" t="s">
        <v>40157</v>
      </c>
      <c r="C6113" s="5" t="s">
        <v>40155</v>
      </c>
      <c r="D6113" s="246">
        <v>41660</v>
      </c>
      <c r="E6113" s="5" t="s">
        <v>40158</v>
      </c>
      <c r="F6113" s="26" t="s">
        <v>23600</v>
      </c>
      <c r="G6113" s="27" t="s">
        <v>5712</v>
      </c>
      <c r="H6113" s="28" t="s">
        <v>5713</v>
      </c>
      <c r="I6113" s="5" t="s">
        <v>1770</v>
      </c>
    </row>
    <row r="6114" spans="1:9" ht="51.75" customHeight="1">
      <c r="A6114" s="5" t="s">
        <v>24526</v>
      </c>
      <c r="B6114" s="5" t="s">
        <v>40159</v>
      </c>
      <c r="C6114" s="5" t="s">
        <v>40160</v>
      </c>
      <c r="D6114" s="246">
        <v>41660</v>
      </c>
      <c r="E6114" s="5" t="s">
        <v>40161</v>
      </c>
      <c r="F6114" s="26" t="s">
        <v>24939</v>
      </c>
      <c r="G6114" s="27" t="s">
        <v>5712</v>
      </c>
      <c r="H6114" s="28" t="s">
        <v>5713</v>
      </c>
      <c r="I6114" s="5" t="s">
        <v>1770</v>
      </c>
    </row>
    <row r="6115" spans="1:9" ht="51.75" customHeight="1">
      <c r="A6115" s="5" t="s">
        <v>24526</v>
      </c>
      <c r="B6115" s="5" t="s">
        <v>40162</v>
      </c>
      <c r="C6115" s="5" t="s">
        <v>40160</v>
      </c>
      <c r="D6115" s="246">
        <v>41660</v>
      </c>
      <c r="E6115" s="5" t="s">
        <v>40163</v>
      </c>
      <c r="F6115" s="26" t="s">
        <v>23600</v>
      </c>
      <c r="G6115" s="27" t="s">
        <v>5712</v>
      </c>
      <c r="H6115" s="28" t="s">
        <v>5713</v>
      </c>
      <c r="I6115" s="5" t="s">
        <v>1770</v>
      </c>
    </row>
    <row r="6116" spans="1:9" ht="51.75" customHeight="1">
      <c r="A6116" s="5" t="s">
        <v>27757</v>
      </c>
      <c r="B6116" s="5" t="s">
        <v>40164</v>
      </c>
      <c r="C6116" s="5" t="s">
        <v>40165</v>
      </c>
      <c r="D6116" s="246">
        <v>41660</v>
      </c>
      <c r="E6116" s="5" t="s">
        <v>40166</v>
      </c>
      <c r="F6116" s="26" t="s">
        <v>24939</v>
      </c>
      <c r="G6116" s="27" t="s">
        <v>5712</v>
      </c>
      <c r="H6116" s="28" t="s">
        <v>5713</v>
      </c>
      <c r="I6116" s="5" t="s">
        <v>1770</v>
      </c>
    </row>
    <row r="6117" spans="1:9" ht="51.75" customHeight="1">
      <c r="A6117" s="5" t="s">
        <v>27757</v>
      </c>
      <c r="B6117" s="5" t="s">
        <v>40167</v>
      </c>
      <c r="C6117" s="5" t="s">
        <v>40165</v>
      </c>
      <c r="D6117" s="246">
        <v>41660</v>
      </c>
      <c r="E6117" s="5" t="s">
        <v>40168</v>
      </c>
      <c r="F6117" s="26" t="s">
        <v>23600</v>
      </c>
      <c r="G6117" s="27" t="s">
        <v>5712</v>
      </c>
      <c r="H6117" s="28" t="s">
        <v>5713</v>
      </c>
      <c r="I6117" s="5" t="s">
        <v>1770</v>
      </c>
    </row>
    <row r="6118" spans="1:9" ht="51.75" customHeight="1">
      <c r="A6118" s="5" t="s">
        <v>27100</v>
      </c>
      <c r="B6118" s="5" t="s">
        <v>40169</v>
      </c>
      <c r="C6118" s="5" t="s">
        <v>40170</v>
      </c>
      <c r="D6118" s="246">
        <v>42586</v>
      </c>
      <c r="E6118" s="5" t="s">
        <v>40171</v>
      </c>
      <c r="F6118" s="26" t="s">
        <v>23600</v>
      </c>
      <c r="G6118" s="27" t="s">
        <v>12046</v>
      </c>
      <c r="H6118" s="28" t="s">
        <v>12047</v>
      </c>
      <c r="I6118" s="5" t="s">
        <v>1770</v>
      </c>
    </row>
    <row r="6119" spans="1:9" ht="51.75" customHeight="1">
      <c r="A6119" s="5" t="s">
        <v>25316</v>
      </c>
      <c r="B6119" s="5" t="s">
        <v>40172</v>
      </c>
      <c r="C6119" s="5" t="s">
        <v>40173</v>
      </c>
      <c r="D6119" s="246">
        <v>42586</v>
      </c>
      <c r="E6119" s="5" t="s">
        <v>40174</v>
      </c>
      <c r="F6119" s="26" t="s">
        <v>23600</v>
      </c>
      <c r="G6119" s="27" t="s">
        <v>12046</v>
      </c>
      <c r="H6119" s="28" t="s">
        <v>12047</v>
      </c>
      <c r="I6119" s="5" t="s">
        <v>1770</v>
      </c>
    </row>
    <row r="6120" spans="1:9" ht="51.75" customHeight="1">
      <c r="A6120" s="5" t="s">
        <v>27078</v>
      </c>
      <c r="B6120" s="5" t="s">
        <v>40175</v>
      </c>
      <c r="C6120" s="5" t="s">
        <v>40176</v>
      </c>
      <c r="D6120" s="246">
        <v>42660</v>
      </c>
      <c r="E6120" s="5" t="s">
        <v>40177</v>
      </c>
      <c r="F6120" s="26" t="s">
        <v>24939</v>
      </c>
      <c r="G6120" s="27" t="s">
        <v>12158</v>
      </c>
      <c r="H6120" s="28" t="s">
        <v>12159</v>
      </c>
      <c r="I6120" s="5" t="s">
        <v>1770</v>
      </c>
    </row>
    <row r="6121" spans="1:9" ht="51.75" customHeight="1">
      <c r="A6121" s="5" t="s">
        <v>27078</v>
      </c>
      <c r="B6121" s="5" t="s">
        <v>40178</v>
      </c>
      <c r="C6121" s="5" t="s">
        <v>40176</v>
      </c>
      <c r="D6121" s="246">
        <v>42660</v>
      </c>
      <c r="E6121" s="5" t="s">
        <v>40179</v>
      </c>
      <c r="F6121" s="26" t="s">
        <v>23600</v>
      </c>
      <c r="G6121" s="27" t="s">
        <v>12158</v>
      </c>
      <c r="H6121" s="28" t="s">
        <v>12159</v>
      </c>
      <c r="I6121" s="5" t="s">
        <v>1770</v>
      </c>
    </row>
    <row r="6122" spans="1:9" ht="51.75" customHeight="1">
      <c r="A6122" s="5" t="s">
        <v>40180</v>
      </c>
      <c r="B6122" s="5" t="s">
        <v>40181</v>
      </c>
      <c r="C6122" s="5" t="s">
        <v>40182</v>
      </c>
      <c r="D6122" s="246">
        <v>43370</v>
      </c>
      <c r="E6122" s="5" t="s">
        <v>40183</v>
      </c>
      <c r="F6122" s="26" t="s">
        <v>39913</v>
      </c>
      <c r="G6122" s="27" t="s">
        <v>13318</v>
      </c>
      <c r="H6122" s="28" t="s">
        <v>13319</v>
      </c>
      <c r="I6122" s="5" t="s">
        <v>1770</v>
      </c>
    </row>
    <row r="6123" spans="1:9" ht="51.75" customHeight="1">
      <c r="A6123" s="5" t="s">
        <v>40180</v>
      </c>
      <c r="B6123" s="5" t="s">
        <v>40184</v>
      </c>
      <c r="C6123" s="5" t="s">
        <v>40182</v>
      </c>
      <c r="D6123" s="246">
        <v>43370</v>
      </c>
      <c r="E6123" s="5" t="s">
        <v>40185</v>
      </c>
      <c r="F6123" s="26" t="s">
        <v>23600</v>
      </c>
      <c r="G6123" s="27" t="s">
        <v>13318</v>
      </c>
      <c r="H6123" s="28" t="s">
        <v>13319</v>
      </c>
      <c r="I6123" s="5" t="s">
        <v>1770</v>
      </c>
    </row>
    <row r="6124" spans="1:9" ht="51.75" customHeight="1">
      <c r="A6124" s="5" t="s">
        <v>40186</v>
      </c>
      <c r="B6124" s="5" t="s">
        <v>40187</v>
      </c>
      <c r="C6124" s="5" t="s">
        <v>40188</v>
      </c>
      <c r="D6124" s="246">
        <v>43370</v>
      </c>
      <c r="E6124" s="5" t="s">
        <v>40189</v>
      </c>
      <c r="F6124" s="26" t="s">
        <v>39913</v>
      </c>
      <c r="G6124" s="27" t="s">
        <v>13318</v>
      </c>
      <c r="H6124" s="28" t="s">
        <v>13319</v>
      </c>
      <c r="I6124" s="5" t="s">
        <v>1770</v>
      </c>
    </row>
    <row r="6125" spans="1:9" ht="51.75" customHeight="1">
      <c r="A6125" s="5" t="s">
        <v>40186</v>
      </c>
      <c r="B6125" s="5" t="s">
        <v>40190</v>
      </c>
      <c r="C6125" s="5" t="s">
        <v>40188</v>
      </c>
      <c r="D6125" s="246">
        <v>43370</v>
      </c>
      <c r="E6125" s="5" t="s">
        <v>40191</v>
      </c>
      <c r="F6125" s="26" t="s">
        <v>23600</v>
      </c>
      <c r="G6125" s="27" t="s">
        <v>13318</v>
      </c>
      <c r="H6125" s="28" t="s">
        <v>13319</v>
      </c>
      <c r="I6125" s="5" t="s">
        <v>1770</v>
      </c>
    </row>
    <row r="6126" spans="1:9" ht="51.75" customHeight="1">
      <c r="A6126" s="5" t="s">
        <v>37854</v>
      </c>
      <c r="B6126" s="5" t="s">
        <v>40192</v>
      </c>
      <c r="C6126" s="5" t="s">
        <v>40193</v>
      </c>
      <c r="D6126" s="246">
        <v>42679</v>
      </c>
      <c r="E6126" s="5" t="s">
        <v>40194</v>
      </c>
      <c r="F6126" s="26" t="s">
        <v>23600</v>
      </c>
      <c r="G6126" s="27" t="s">
        <v>11796</v>
      </c>
      <c r="H6126" s="28" t="s">
        <v>11797</v>
      </c>
      <c r="I6126" s="5" t="s">
        <v>1770</v>
      </c>
    </row>
    <row r="6127" spans="1:9" ht="51.75" customHeight="1">
      <c r="A6127" s="5" t="s">
        <v>37858</v>
      </c>
      <c r="B6127" s="5" t="s">
        <v>40195</v>
      </c>
      <c r="C6127" s="5" t="s">
        <v>40196</v>
      </c>
      <c r="D6127" s="246">
        <v>42679</v>
      </c>
      <c r="E6127" s="5" t="s">
        <v>40197</v>
      </c>
      <c r="F6127" s="26" t="s">
        <v>23600</v>
      </c>
      <c r="G6127" s="27" t="s">
        <v>11796</v>
      </c>
      <c r="H6127" s="28" t="s">
        <v>11797</v>
      </c>
      <c r="I6127" s="5" t="s">
        <v>1770</v>
      </c>
    </row>
    <row r="6128" spans="1:9" ht="51.75" customHeight="1">
      <c r="A6128" s="5" t="s">
        <v>31171</v>
      </c>
      <c r="B6128" s="5" t="s">
        <v>40198</v>
      </c>
      <c r="C6128" s="5" t="s">
        <v>40199</v>
      </c>
      <c r="D6128" s="246">
        <v>42679</v>
      </c>
      <c r="E6128" s="5" t="s">
        <v>40200</v>
      </c>
      <c r="F6128" s="26" t="s">
        <v>23600</v>
      </c>
      <c r="G6128" s="27" t="s">
        <v>11796</v>
      </c>
      <c r="H6128" s="28" t="s">
        <v>11797</v>
      </c>
      <c r="I6128" s="5" t="s">
        <v>1770</v>
      </c>
    </row>
    <row r="6129" spans="1:9" ht="51.75" customHeight="1">
      <c r="A6129" s="5" t="s">
        <v>31177</v>
      </c>
      <c r="B6129" s="5" t="s">
        <v>40201</v>
      </c>
      <c r="C6129" s="5" t="s">
        <v>40202</v>
      </c>
      <c r="D6129" s="246">
        <v>42679</v>
      </c>
      <c r="E6129" s="5" t="s">
        <v>40203</v>
      </c>
      <c r="F6129" s="26" t="s">
        <v>23600</v>
      </c>
      <c r="G6129" s="27" t="s">
        <v>11796</v>
      </c>
      <c r="H6129" s="28" t="s">
        <v>11797</v>
      </c>
      <c r="I6129" s="5" t="s">
        <v>1770</v>
      </c>
    </row>
    <row r="6130" spans="1:9" ht="51.75" customHeight="1">
      <c r="A6130" s="5" t="s">
        <v>25153</v>
      </c>
      <c r="B6130" s="5" t="s">
        <v>40204</v>
      </c>
      <c r="C6130" s="5" t="s">
        <v>40205</v>
      </c>
      <c r="D6130" s="246">
        <v>43938</v>
      </c>
      <c r="E6130" s="5" t="s">
        <v>40206</v>
      </c>
      <c r="F6130" s="26" t="s">
        <v>23600</v>
      </c>
      <c r="G6130" s="27" t="s">
        <v>12866</v>
      </c>
      <c r="H6130" s="28" t="s">
        <v>12867</v>
      </c>
      <c r="I6130" s="5" t="s">
        <v>1770</v>
      </c>
    </row>
    <row r="6131" spans="1:9" ht="51.75" customHeight="1">
      <c r="A6131" s="5" t="s">
        <v>27824</v>
      </c>
      <c r="B6131" s="5" t="s">
        <v>40207</v>
      </c>
      <c r="C6131" s="5" t="s">
        <v>40208</v>
      </c>
      <c r="D6131" s="246">
        <v>43938</v>
      </c>
      <c r="E6131" s="5" t="s">
        <v>40209</v>
      </c>
      <c r="F6131" s="26" t="s">
        <v>23600</v>
      </c>
      <c r="G6131" s="27" t="s">
        <v>12866</v>
      </c>
      <c r="H6131" s="28" t="s">
        <v>12867</v>
      </c>
      <c r="I6131" s="5" t="s">
        <v>1770</v>
      </c>
    </row>
    <row r="6132" spans="1:9" ht="51.75" customHeight="1">
      <c r="A6132" s="5" t="s">
        <v>27830</v>
      </c>
      <c r="B6132" s="5" t="s">
        <v>40210</v>
      </c>
      <c r="C6132" s="5" t="s">
        <v>40211</v>
      </c>
      <c r="D6132" s="246">
        <v>43938</v>
      </c>
      <c r="E6132" s="5" t="s">
        <v>40212</v>
      </c>
      <c r="F6132" s="26" t="s">
        <v>23600</v>
      </c>
      <c r="G6132" s="27" t="s">
        <v>12866</v>
      </c>
      <c r="H6132" s="28" t="s">
        <v>12867</v>
      </c>
      <c r="I6132" s="5" t="s">
        <v>1770</v>
      </c>
    </row>
    <row r="6133" spans="1:9" ht="51.75" customHeight="1">
      <c r="A6133" s="5" t="s">
        <v>27836</v>
      </c>
      <c r="B6133" s="5" t="s">
        <v>40213</v>
      </c>
      <c r="C6133" s="5" t="s">
        <v>40214</v>
      </c>
      <c r="D6133" s="246">
        <v>43938</v>
      </c>
      <c r="E6133" s="5" t="s">
        <v>40215</v>
      </c>
      <c r="F6133" s="26" t="s">
        <v>23600</v>
      </c>
      <c r="G6133" s="27" t="s">
        <v>12866</v>
      </c>
      <c r="H6133" s="28" t="s">
        <v>12867</v>
      </c>
      <c r="I6133" s="5" t="s">
        <v>1770</v>
      </c>
    </row>
    <row r="6134" spans="1:9" ht="51.75" customHeight="1">
      <c r="A6134" s="5" t="s">
        <v>37302</v>
      </c>
      <c r="B6134" s="5" t="s">
        <v>40216</v>
      </c>
      <c r="C6134" s="5" t="s">
        <v>40217</v>
      </c>
      <c r="D6134" s="246">
        <v>43938</v>
      </c>
      <c r="E6134" s="5" t="s">
        <v>40218</v>
      </c>
      <c r="F6134" s="26" t="s">
        <v>23600</v>
      </c>
      <c r="G6134" s="27" t="s">
        <v>12866</v>
      </c>
      <c r="H6134" s="28" t="s">
        <v>12867</v>
      </c>
      <c r="I6134" s="5" t="s">
        <v>1770</v>
      </c>
    </row>
    <row r="6135" spans="1:9" ht="51.75" customHeight="1">
      <c r="A6135" s="5" t="s">
        <v>35697</v>
      </c>
      <c r="B6135" s="5" t="s">
        <v>40219</v>
      </c>
      <c r="C6135" s="5" t="s">
        <v>40220</v>
      </c>
      <c r="D6135" s="246">
        <v>43938</v>
      </c>
      <c r="E6135" s="5" t="s">
        <v>40221</v>
      </c>
      <c r="F6135" s="26" t="s">
        <v>23600</v>
      </c>
      <c r="G6135" s="27" t="s">
        <v>12866</v>
      </c>
      <c r="H6135" s="28" t="s">
        <v>12867</v>
      </c>
      <c r="I6135" s="5" t="s">
        <v>1770</v>
      </c>
    </row>
    <row r="6136" spans="1:9" ht="51.75" customHeight="1">
      <c r="A6136" s="5" t="s">
        <v>35636</v>
      </c>
      <c r="B6136" s="5" t="s">
        <v>40222</v>
      </c>
      <c r="C6136" s="5" t="s">
        <v>40223</v>
      </c>
      <c r="D6136" s="246">
        <v>43938</v>
      </c>
      <c r="E6136" s="5" t="s">
        <v>40224</v>
      </c>
      <c r="F6136" s="26" t="s">
        <v>23600</v>
      </c>
      <c r="G6136" s="27" t="s">
        <v>12866</v>
      </c>
      <c r="H6136" s="28" t="s">
        <v>12867</v>
      </c>
      <c r="I6136" s="5" t="s">
        <v>1770</v>
      </c>
    </row>
    <row r="6137" spans="1:9" ht="51.75" customHeight="1">
      <c r="A6137" s="5" t="s">
        <v>40225</v>
      </c>
      <c r="B6137" s="5" t="s">
        <v>40226</v>
      </c>
      <c r="C6137" s="5" t="s">
        <v>40227</v>
      </c>
      <c r="D6137" s="246">
        <v>43427</v>
      </c>
      <c r="E6137" s="5" t="s">
        <v>40228</v>
      </c>
      <c r="F6137" s="26"/>
      <c r="G6137" s="27" t="s">
        <v>14430</v>
      </c>
      <c r="H6137" s="28" t="s">
        <v>14431</v>
      </c>
      <c r="I6137" s="5" t="s">
        <v>1770</v>
      </c>
    </row>
    <row r="6138" spans="1:9" ht="51.75" customHeight="1">
      <c r="A6138" s="5" t="s">
        <v>40229</v>
      </c>
      <c r="B6138" s="5" t="s">
        <v>40230</v>
      </c>
      <c r="C6138" s="5" t="s">
        <v>40231</v>
      </c>
      <c r="D6138" s="246">
        <v>43427</v>
      </c>
      <c r="E6138" s="5" t="s">
        <v>40232</v>
      </c>
      <c r="F6138" s="26"/>
      <c r="G6138" s="27" t="s">
        <v>14430</v>
      </c>
      <c r="H6138" s="28" t="s">
        <v>14431</v>
      </c>
      <c r="I6138" s="5" t="s">
        <v>1770</v>
      </c>
    </row>
    <row r="6139" spans="1:9" ht="51.75" customHeight="1">
      <c r="A6139" s="5" t="s">
        <v>27715</v>
      </c>
      <c r="B6139" s="5" t="s">
        <v>40233</v>
      </c>
      <c r="C6139" s="5" t="s">
        <v>40234</v>
      </c>
      <c r="D6139" s="246">
        <v>43922</v>
      </c>
      <c r="E6139" s="5" t="s">
        <v>40235</v>
      </c>
      <c r="F6139" s="26" t="s">
        <v>23600</v>
      </c>
      <c r="G6139" s="27" t="s">
        <v>15543</v>
      </c>
      <c r="H6139" s="28" t="s">
        <v>15544</v>
      </c>
      <c r="I6139" s="5" t="s">
        <v>1770</v>
      </c>
    </row>
    <row r="6140" spans="1:9" ht="51.75" customHeight="1">
      <c r="A6140" s="5" t="s">
        <v>27721</v>
      </c>
      <c r="B6140" s="5" t="s">
        <v>40236</v>
      </c>
      <c r="C6140" s="5" t="s">
        <v>40237</v>
      </c>
      <c r="D6140" s="246">
        <v>43922</v>
      </c>
      <c r="E6140" s="5" t="s">
        <v>40238</v>
      </c>
      <c r="F6140" s="26" t="s">
        <v>23600</v>
      </c>
      <c r="G6140" s="27" t="s">
        <v>15543</v>
      </c>
      <c r="H6140" s="28" t="s">
        <v>15544</v>
      </c>
      <c r="I6140" s="5" t="s">
        <v>1770</v>
      </c>
    </row>
    <row r="6141" spans="1:9" ht="51.75" customHeight="1">
      <c r="A6141" s="5" t="s">
        <v>24554</v>
      </c>
      <c r="B6141" s="5" t="s">
        <v>40239</v>
      </c>
      <c r="C6141" s="5" t="s">
        <v>40240</v>
      </c>
      <c r="D6141" s="246">
        <v>43922</v>
      </c>
      <c r="E6141" s="5" t="s">
        <v>40241</v>
      </c>
      <c r="F6141" s="26" t="s">
        <v>23600</v>
      </c>
      <c r="G6141" s="27" t="s">
        <v>15543</v>
      </c>
      <c r="H6141" s="28" t="s">
        <v>15544</v>
      </c>
      <c r="I6141" s="5" t="s">
        <v>1770</v>
      </c>
    </row>
    <row r="6142" spans="1:9" ht="51.75" customHeight="1">
      <c r="A6142" s="5" t="s">
        <v>25284</v>
      </c>
      <c r="B6142" s="5" t="s">
        <v>40242</v>
      </c>
      <c r="C6142" s="5" t="s">
        <v>40243</v>
      </c>
      <c r="D6142" s="246">
        <v>43922</v>
      </c>
      <c r="E6142" s="5" t="s">
        <v>40244</v>
      </c>
      <c r="F6142" s="26" t="s">
        <v>23600</v>
      </c>
      <c r="G6142" s="27" t="s">
        <v>15543</v>
      </c>
      <c r="H6142" s="28" t="s">
        <v>15544</v>
      </c>
      <c r="I6142" s="5" t="s">
        <v>1770</v>
      </c>
    </row>
    <row r="6143" spans="1:9" ht="51.75" customHeight="1">
      <c r="A6143" s="5">
        <v>1</v>
      </c>
      <c r="B6143" s="5" t="s">
        <v>40245</v>
      </c>
      <c r="C6143" s="5" t="s">
        <v>40246</v>
      </c>
      <c r="D6143" s="246">
        <v>40519</v>
      </c>
      <c r="E6143" s="5" t="s">
        <v>40247</v>
      </c>
      <c r="F6143" s="26"/>
      <c r="G6143" s="27" t="s">
        <v>5369</v>
      </c>
      <c r="H6143" s="28" t="s">
        <v>5370</v>
      </c>
      <c r="I6143" s="5" t="s">
        <v>2601</v>
      </c>
    </row>
    <row r="6144" spans="1:9" ht="51.75" customHeight="1">
      <c r="A6144" s="5">
        <v>2</v>
      </c>
      <c r="B6144" s="5" t="s">
        <v>40248</v>
      </c>
      <c r="C6144" s="5" t="s">
        <v>40249</v>
      </c>
      <c r="D6144" s="246">
        <v>40519</v>
      </c>
      <c r="E6144" s="5" t="s">
        <v>40250</v>
      </c>
      <c r="F6144" s="26"/>
      <c r="G6144" s="27" t="s">
        <v>5369</v>
      </c>
      <c r="H6144" s="28" t="s">
        <v>5370</v>
      </c>
      <c r="I6144" s="5" t="s">
        <v>2601</v>
      </c>
    </row>
    <row r="6145" spans="1:9" ht="51.75" customHeight="1">
      <c r="A6145" s="5">
        <v>3</v>
      </c>
      <c r="B6145" s="5" t="s">
        <v>40251</v>
      </c>
      <c r="C6145" s="5" t="s">
        <v>40252</v>
      </c>
      <c r="D6145" s="246">
        <v>40519</v>
      </c>
      <c r="E6145" s="5" t="s">
        <v>40253</v>
      </c>
      <c r="F6145" s="26"/>
      <c r="G6145" s="27" t="s">
        <v>5369</v>
      </c>
      <c r="H6145" s="28" t="s">
        <v>5370</v>
      </c>
      <c r="I6145" s="5" t="s">
        <v>2601</v>
      </c>
    </row>
    <row r="6146" spans="1:9" ht="51.75" customHeight="1">
      <c r="A6146" s="5">
        <v>4</v>
      </c>
      <c r="B6146" s="5" t="s">
        <v>40254</v>
      </c>
      <c r="C6146" s="5" t="s">
        <v>40255</v>
      </c>
      <c r="D6146" s="246">
        <v>40519</v>
      </c>
      <c r="E6146" s="5" t="s">
        <v>40256</v>
      </c>
      <c r="F6146" s="26"/>
      <c r="G6146" s="27" t="s">
        <v>5369</v>
      </c>
      <c r="H6146" s="28" t="s">
        <v>5370</v>
      </c>
      <c r="I6146" s="5" t="s">
        <v>2601</v>
      </c>
    </row>
    <row r="6147" spans="1:9" ht="51.75" customHeight="1">
      <c r="A6147" s="5">
        <v>5</v>
      </c>
      <c r="B6147" s="5" t="s">
        <v>40257</v>
      </c>
      <c r="C6147" s="5" t="s">
        <v>40258</v>
      </c>
      <c r="D6147" s="246">
        <v>40519</v>
      </c>
      <c r="E6147" s="5" t="s">
        <v>40259</v>
      </c>
      <c r="F6147" s="26"/>
      <c r="G6147" s="27" t="s">
        <v>5369</v>
      </c>
      <c r="H6147" s="28" t="s">
        <v>5370</v>
      </c>
      <c r="I6147" s="5" t="s">
        <v>2601</v>
      </c>
    </row>
    <row r="6148" spans="1:9" ht="51.75" customHeight="1">
      <c r="A6148" s="5">
        <v>6</v>
      </c>
      <c r="B6148" s="5" t="s">
        <v>40260</v>
      </c>
      <c r="C6148" s="5" t="s">
        <v>40261</v>
      </c>
      <c r="D6148" s="246">
        <v>40519</v>
      </c>
      <c r="E6148" s="5" t="s">
        <v>40262</v>
      </c>
      <c r="F6148" s="26"/>
      <c r="G6148" s="27" t="s">
        <v>5369</v>
      </c>
      <c r="H6148" s="28" t="s">
        <v>5370</v>
      </c>
      <c r="I6148" s="5" t="s">
        <v>2601</v>
      </c>
    </row>
    <row r="6149" spans="1:9" ht="51.75" customHeight="1">
      <c r="A6149" s="5">
        <v>7</v>
      </c>
      <c r="B6149" s="5" t="s">
        <v>40263</v>
      </c>
      <c r="C6149" s="5" t="s">
        <v>40264</v>
      </c>
      <c r="D6149" s="246">
        <v>40519</v>
      </c>
      <c r="E6149" s="5" t="s">
        <v>40265</v>
      </c>
      <c r="F6149" s="26"/>
      <c r="G6149" s="27" t="s">
        <v>5369</v>
      </c>
      <c r="H6149" s="28" t="s">
        <v>5370</v>
      </c>
      <c r="I6149" s="5" t="s">
        <v>2601</v>
      </c>
    </row>
    <row r="6150" spans="1:9" ht="51.75" customHeight="1">
      <c r="A6150" s="5" t="s">
        <v>29896</v>
      </c>
      <c r="B6150" s="5" t="s">
        <v>40266</v>
      </c>
      <c r="C6150" s="5" t="s">
        <v>40267</v>
      </c>
      <c r="D6150" s="246">
        <v>40462</v>
      </c>
      <c r="E6150" s="5" t="s">
        <v>40268</v>
      </c>
      <c r="F6150" s="26" t="s">
        <v>23600</v>
      </c>
      <c r="G6150" s="27" t="s">
        <v>5042</v>
      </c>
      <c r="H6150" s="28" t="s">
        <v>5043</v>
      </c>
      <c r="I6150" s="5" t="s">
        <v>2601</v>
      </c>
    </row>
    <row r="6151" spans="1:9" ht="51.75" customHeight="1">
      <c r="A6151" s="5" t="s">
        <v>27440</v>
      </c>
      <c r="B6151" s="5" t="s">
        <v>40269</v>
      </c>
      <c r="C6151" s="5" t="s">
        <v>40270</v>
      </c>
      <c r="D6151" s="246">
        <v>40462</v>
      </c>
      <c r="E6151" s="5" t="s">
        <v>40271</v>
      </c>
      <c r="F6151" s="26" t="s">
        <v>23600</v>
      </c>
      <c r="G6151" s="27" t="s">
        <v>5042</v>
      </c>
      <c r="H6151" s="28" t="s">
        <v>5043</v>
      </c>
      <c r="I6151" s="5" t="s">
        <v>2601</v>
      </c>
    </row>
    <row r="6152" spans="1:9" ht="51.75" customHeight="1">
      <c r="A6152" s="5" t="s">
        <v>24704</v>
      </c>
      <c r="B6152" s="5" t="s">
        <v>40272</v>
      </c>
      <c r="C6152" s="5" t="s">
        <v>40273</v>
      </c>
      <c r="D6152" s="246">
        <v>40462</v>
      </c>
      <c r="E6152" s="5" t="s">
        <v>40274</v>
      </c>
      <c r="F6152" s="26" t="s">
        <v>23600</v>
      </c>
      <c r="G6152" s="27" t="s">
        <v>5042</v>
      </c>
      <c r="H6152" s="28" t="s">
        <v>5043</v>
      </c>
      <c r="I6152" s="5" t="s">
        <v>2601</v>
      </c>
    </row>
    <row r="6153" spans="1:9" ht="51.75" customHeight="1">
      <c r="A6153" s="5" t="s">
        <v>30014</v>
      </c>
      <c r="B6153" s="5" t="s">
        <v>40275</v>
      </c>
      <c r="C6153" s="5" t="s">
        <v>40276</v>
      </c>
      <c r="D6153" s="246">
        <v>40462</v>
      </c>
      <c r="E6153" s="5" t="s">
        <v>40277</v>
      </c>
      <c r="F6153" s="26" t="s">
        <v>23600</v>
      </c>
      <c r="G6153" s="27" t="s">
        <v>5042</v>
      </c>
      <c r="H6153" s="28" t="s">
        <v>5043</v>
      </c>
      <c r="I6153" s="5" t="s">
        <v>2601</v>
      </c>
    </row>
    <row r="6154" spans="1:9" ht="51.75" customHeight="1">
      <c r="A6154" s="5" t="s">
        <v>26756</v>
      </c>
      <c r="B6154" s="5" t="s">
        <v>40278</v>
      </c>
      <c r="C6154" s="5" t="s">
        <v>40279</v>
      </c>
      <c r="D6154" s="246">
        <v>40462</v>
      </c>
      <c r="E6154" s="5" t="s">
        <v>40280</v>
      </c>
      <c r="F6154" s="26" t="s">
        <v>23600</v>
      </c>
      <c r="G6154" s="27" t="s">
        <v>5042</v>
      </c>
      <c r="H6154" s="28" t="s">
        <v>5043</v>
      </c>
      <c r="I6154" s="5" t="s">
        <v>2601</v>
      </c>
    </row>
    <row r="6155" spans="1:9" ht="51.75" customHeight="1">
      <c r="A6155" s="5" t="s">
        <v>24614</v>
      </c>
      <c r="B6155" s="5" t="s">
        <v>40281</v>
      </c>
      <c r="C6155" s="5" t="s">
        <v>40282</v>
      </c>
      <c r="D6155" s="246">
        <v>40462</v>
      </c>
      <c r="E6155" s="5" t="s">
        <v>40283</v>
      </c>
      <c r="F6155" s="26" t="s">
        <v>23600</v>
      </c>
      <c r="G6155" s="27" t="s">
        <v>5042</v>
      </c>
      <c r="H6155" s="28" t="s">
        <v>5043</v>
      </c>
      <c r="I6155" s="5" t="s">
        <v>2601</v>
      </c>
    </row>
    <row r="6156" spans="1:9" ht="51.75" customHeight="1">
      <c r="A6156" s="5" t="s">
        <v>26828</v>
      </c>
      <c r="B6156" s="5" t="s">
        <v>40284</v>
      </c>
      <c r="C6156" s="5" t="s">
        <v>40285</v>
      </c>
      <c r="D6156" s="246">
        <v>40462</v>
      </c>
      <c r="E6156" s="5" t="s">
        <v>40286</v>
      </c>
      <c r="F6156" s="26" t="s">
        <v>23600</v>
      </c>
      <c r="G6156" s="27" t="s">
        <v>5042</v>
      </c>
      <c r="H6156" s="28" t="s">
        <v>5043</v>
      </c>
      <c r="I6156" s="5" t="s">
        <v>2601</v>
      </c>
    </row>
    <row r="6157" spans="1:9" ht="51.75" customHeight="1">
      <c r="A6157" s="5" t="s">
        <v>28551</v>
      </c>
      <c r="B6157" s="5" t="s">
        <v>40287</v>
      </c>
      <c r="C6157" s="5" t="s">
        <v>40288</v>
      </c>
      <c r="D6157" s="246">
        <v>40394</v>
      </c>
      <c r="E6157" s="5" t="s">
        <v>40289</v>
      </c>
      <c r="F6157" s="26" t="s">
        <v>23600</v>
      </c>
      <c r="G6157" s="27" t="s">
        <v>4986</v>
      </c>
      <c r="H6157" s="28" t="s">
        <v>4987</v>
      </c>
      <c r="I6157" s="5" t="s">
        <v>2601</v>
      </c>
    </row>
    <row r="6158" spans="1:9" ht="51.75" customHeight="1">
      <c r="A6158" s="5" t="s">
        <v>28557</v>
      </c>
      <c r="B6158" s="5" t="s">
        <v>40290</v>
      </c>
      <c r="C6158" s="5" t="s">
        <v>40291</v>
      </c>
      <c r="D6158" s="246">
        <v>40029</v>
      </c>
      <c r="E6158" s="5" t="s">
        <v>40292</v>
      </c>
      <c r="F6158" s="26" t="s">
        <v>23600</v>
      </c>
      <c r="G6158" s="27" t="s">
        <v>4986</v>
      </c>
      <c r="H6158" s="28" t="s">
        <v>4987</v>
      </c>
      <c r="I6158" s="5" t="s">
        <v>2601</v>
      </c>
    </row>
    <row r="6159" spans="1:9" ht="51.75" customHeight="1">
      <c r="A6159" s="5" t="s">
        <v>24651</v>
      </c>
      <c r="B6159" s="5" t="s">
        <v>40293</v>
      </c>
      <c r="C6159" s="5" t="s">
        <v>40294</v>
      </c>
      <c r="D6159" s="246">
        <v>40394</v>
      </c>
      <c r="E6159" s="5" t="s">
        <v>40295</v>
      </c>
      <c r="F6159" s="26" t="s">
        <v>23600</v>
      </c>
      <c r="G6159" s="27" t="s">
        <v>4986</v>
      </c>
      <c r="H6159" s="28" t="s">
        <v>4987</v>
      </c>
      <c r="I6159" s="5" t="s">
        <v>2601</v>
      </c>
    </row>
    <row r="6160" spans="1:9" ht="51.75" customHeight="1">
      <c r="A6160" s="5" t="s">
        <v>28568</v>
      </c>
      <c r="B6160" s="5" t="s">
        <v>40296</v>
      </c>
      <c r="C6160" s="5" t="s">
        <v>40297</v>
      </c>
      <c r="D6160" s="246">
        <v>40394</v>
      </c>
      <c r="E6160" s="5" t="s">
        <v>40298</v>
      </c>
      <c r="F6160" s="26" t="s">
        <v>23600</v>
      </c>
      <c r="G6160" s="27" t="s">
        <v>4986</v>
      </c>
      <c r="H6160" s="28" t="s">
        <v>4987</v>
      </c>
      <c r="I6160" s="5" t="s">
        <v>2601</v>
      </c>
    </row>
    <row r="6161" spans="1:9" ht="51.75" customHeight="1">
      <c r="A6161" s="5" t="s">
        <v>24666</v>
      </c>
      <c r="B6161" s="5" t="s">
        <v>40299</v>
      </c>
      <c r="C6161" s="5" t="s">
        <v>40300</v>
      </c>
      <c r="D6161" s="246">
        <v>40368</v>
      </c>
      <c r="E6161" s="5" t="s">
        <v>40301</v>
      </c>
      <c r="F6161" s="26" t="s">
        <v>23600</v>
      </c>
      <c r="G6161" s="27" t="s">
        <v>4949</v>
      </c>
      <c r="H6161" s="28" t="s">
        <v>4950</v>
      </c>
      <c r="I6161" s="5" t="s">
        <v>2601</v>
      </c>
    </row>
    <row r="6162" spans="1:9" ht="51.75" customHeight="1">
      <c r="A6162" s="5" t="s">
        <v>24670</v>
      </c>
      <c r="B6162" s="5" t="s">
        <v>40302</v>
      </c>
      <c r="C6162" s="5" t="s">
        <v>40303</v>
      </c>
      <c r="D6162" s="246">
        <v>40368</v>
      </c>
      <c r="E6162" s="5" t="s">
        <v>40304</v>
      </c>
      <c r="F6162" s="26" t="s">
        <v>23600</v>
      </c>
      <c r="G6162" s="27" t="s">
        <v>4949</v>
      </c>
      <c r="H6162" s="28" t="s">
        <v>4950</v>
      </c>
      <c r="I6162" s="5" t="s">
        <v>2601</v>
      </c>
    </row>
    <row r="6163" spans="1:9" ht="51.75" customHeight="1">
      <c r="A6163" s="5" t="s">
        <v>24631</v>
      </c>
      <c r="B6163" s="5" t="s">
        <v>40305</v>
      </c>
      <c r="C6163" s="5" t="s">
        <v>40306</v>
      </c>
      <c r="D6163" s="246">
        <v>40368</v>
      </c>
      <c r="E6163" s="5" t="s">
        <v>40307</v>
      </c>
      <c r="F6163" s="26" t="s">
        <v>23600</v>
      </c>
      <c r="G6163" s="27" t="s">
        <v>4949</v>
      </c>
      <c r="H6163" s="28" t="s">
        <v>4950</v>
      </c>
      <c r="I6163" s="5" t="s">
        <v>2601</v>
      </c>
    </row>
    <row r="6164" spans="1:9" ht="51.75" customHeight="1">
      <c r="A6164" s="5">
        <v>1</v>
      </c>
      <c r="B6164" s="5" t="s">
        <v>40308</v>
      </c>
      <c r="C6164" s="5" t="s">
        <v>40309</v>
      </c>
      <c r="D6164" s="246">
        <v>40368</v>
      </c>
      <c r="E6164" s="5" t="s">
        <v>40310</v>
      </c>
      <c r="F6164" s="26"/>
      <c r="G6164" s="27" t="s">
        <v>4809</v>
      </c>
      <c r="H6164" s="28" t="s">
        <v>4810</v>
      </c>
      <c r="I6164" s="5" t="s">
        <v>2601</v>
      </c>
    </row>
    <row r="6165" spans="1:9" ht="51.75" customHeight="1">
      <c r="A6165" s="5">
        <v>2</v>
      </c>
      <c r="B6165" s="5" t="s">
        <v>40311</v>
      </c>
      <c r="C6165" s="5" t="s">
        <v>40312</v>
      </c>
      <c r="D6165" s="246">
        <v>40368</v>
      </c>
      <c r="E6165" s="5" t="s">
        <v>40313</v>
      </c>
      <c r="F6165" s="26"/>
      <c r="G6165" s="27" t="s">
        <v>4809</v>
      </c>
      <c r="H6165" s="28" t="s">
        <v>4810</v>
      </c>
      <c r="I6165" s="5" t="s">
        <v>2601</v>
      </c>
    </row>
    <row r="6166" spans="1:9" ht="51.75" customHeight="1">
      <c r="A6166" s="5">
        <v>3</v>
      </c>
      <c r="B6166" s="5" t="s">
        <v>40314</v>
      </c>
      <c r="C6166" s="5" t="s">
        <v>40315</v>
      </c>
      <c r="D6166" s="246">
        <v>40368</v>
      </c>
      <c r="E6166" s="5" t="s">
        <v>40316</v>
      </c>
      <c r="F6166" s="26"/>
      <c r="G6166" s="27" t="s">
        <v>4809</v>
      </c>
      <c r="H6166" s="28" t="s">
        <v>4810</v>
      </c>
      <c r="I6166" s="5" t="s">
        <v>2601</v>
      </c>
    </row>
    <row r="6167" spans="1:9" ht="51.75" customHeight="1">
      <c r="A6167" s="5">
        <v>1</v>
      </c>
      <c r="B6167" s="5" t="s">
        <v>40317</v>
      </c>
      <c r="C6167" s="5" t="s">
        <v>40318</v>
      </c>
      <c r="D6167" s="246">
        <v>40280</v>
      </c>
      <c r="E6167" s="5" t="s">
        <v>40319</v>
      </c>
      <c r="F6167" s="26"/>
      <c r="G6167" s="27" t="s">
        <v>4582</v>
      </c>
      <c r="H6167" s="28" t="s">
        <v>4583</v>
      </c>
      <c r="I6167" s="5" t="s">
        <v>2601</v>
      </c>
    </row>
    <row r="6168" spans="1:9" ht="51.75" customHeight="1">
      <c r="A6168" s="5">
        <v>2</v>
      </c>
      <c r="B6168" s="5" t="s">
        <v>40320</v>
      </c>
      <c r="C6168" s="5" t="s">
        <v>40321</v>
      </c>
      <c r="D6168" s="246">
        <v>40280</v>
      </c>
      <c r="E6168" s="5" t="s">
        <v>40322</v>
      </c>
      <c r="F6168" s="26"/>
      <c r="G6168" s="27" t="s">
        <v>4582</v>
      </c>
      <c r="H6168" s="28" t="s">
        <v>4583</v>
      </c>
      <c r="I6168" s="5" t="s">
        <v>2601</v>
      </c>
    </row>
    <row r="6169" spans="1:9" ht="51.75" customHeight="1">
      <c r="A6169" s="5">
        <v>3</v>
      </c>
      <c r="B6169" s="5" t="s">
        <v>40323</v>
      </c>
      <c r="C6169" s="5" t="s">
        <v>40324</v>
      </c>
      <c r="D6169" s="246">
        <v>40280</v>
      </c>
      <c r="E6169" s="5" t="s">
        <v>40325</v>
      </c>
      <c r="F6169" s="26"/>
      <c r="G6169" s="27" t="s">
        <v>4582</v>
      </c>
      <c r="H6169" s="28" t="s">
        <v>4583</v>
      </c>
      <c r="I6169" s="5" t="s">
        <v>2601</v>
      </c>
    </row>
    <row r="6170" spans="1:9" ht="51.75" customHeight="1">
      <c r="A6170" s="5">
        <v>4</v>
      </c>
      <c r="B6170" s="5" t="s">
        <v>40326</v>
      </c>
      <c r="C6170" s="5" t="s">
        <v>40327</v>
      </c>
      <c r="D6170" s="246">
        <v>40280</v>
      </c>
      <c r="E6170" s="5" t="s">
        <v>40328</v>
      </c>
      <c r="F6170" s="26"/>
      <c r="G6170" s="27" t="s">
        <v>4582</v>
      </c>
      <c r="H6170" s="28" t="s">
        <v>4583</v>
      </c>
      <c r="I6170" s="5" t="s">
        <v>2601</v>
      </c>
    </row>
    <row r="6171" spans="1:9" ht="51.75" customHeight="1">
      <c r="A6171" s="5">
        <v>5</v>
      </c>
      <c r="B6171" s="5" t="s">
        <v>40329</v>
      </c>
      <c r="C6171" s="5" t="s">
        <v>40330</v>
      </c>
      <c r="D6171" s="246">
        <v>40280</v>
      </c>
      <c r="E6171" s="5" t="s">
        <v>40331</v>
      </c>
      <c r="F6171" s="26"/>
      <c r="G6171" s="27" t="s">
        <v>4582</v>
      </c>
      <c r="H6171" s="28" t="s">
        <v>4583</v>
      </c>
      <c r="I6171" s="5" t="s">
        <v>2601</v>
      </c>
    </row>
    <row r="6172" spans="1:9" ht="51.75" customHeight="1">
      <c r="A6172" s="5">
        <v>6</v>
      </c>
      <c r="B6172" s="5" t="s">
        <v>40332</v>
      </c>
      <c r="C6172" s="5" t="s">
        <v>40333</v>
      </c>
      <c r="D6172" s="246">
        <v>40280</v>
      </c>
      <c r="E6172" s="5" t="s">
        <v>40334</v>
      </c>
      <c r="F6172" s="26"/>
      <c r="G6172" s="27" t="s">
        <v>4582</v>
      </c>
      <c r="H6172" s="28" t="s">
        <v>4583</v>
      </c>
      <c r="I6172" s="5" t="s">
        <v>2601</v>
      </c>
    </row>
    <row r="6173" spans="1:9" ht="51.75" customHeight="1">
      <c r="A6173" s="5">
        <v>1</v>
      </c>
      <c r="B6173" s="5" t="s">
        <v>40335</v>
      </c>
      <c r="C6173" s="5" t="s">
        <v>40336</v>
      </c>
      <c r="D6173" s="246">
        <v>40249</v>
      </c>
      <c r="E6173" s="5" t="s">
        <v>40337</v>
      </c>
      <c r="F6173" s="26"/>
      <c r="G6173" s="27" t="s">
        <v>4334</v>
      </c>
      <c r="H6173" s="28" t="s">
        <v>4335</v>
      </c>
      <c r="I6173" s="5" t="s">
        <v>2601</v>
      </c>
    </row>
    <row r="6174" spans="1:9" ht="51.75" customHeight="1">
      <c r="A6174" s="5">
        <v>2</v>
      </c>
      <c r="B6174" s="5" t="s">
        <v>40338</v>
      </c>
      <c r="C6174" s="5" t="s">
        <v>40339</v>
      </c>
      <c r="D6174" s="246">
        <v>40249</v>
      </c>
      <c r="E6174" s="5" t="s">
        <v>40340</v>
      </c>
      <c r="F6174" s="26"/>
      <c r="G6174" s="27" t="s">
        <v>4334</v>
      </c>
      <c r="H6174" s="28" t="s">
        <v>4335</v>
      </c>
      <c r="I6174" s="5" t="s">
        <v>2601</v>
      </c>
    </row>
    <row r="6175" spans="1:9" ht="51.75" customHeight="1">
      <c r="A6175" s="5">
        <v>3</v>
      </c>
      <c r="B6175" s="5" t="s">
        <v>40341</v>
      </c>
      <c r="C6175" s="5" t="s">
        <v>40342</v>
      </c>
      <c r="D6175" s="246">
        <v>40249</v>
      </c>
      <c r="E6175" s="5" t="s">
        <v>40343</v>
      </c>
      <c r="F6175" s="26"/>
      <c r="G6175" s="27" t="s">
        <v>4334</v>
      </c>
      <c r="H6175" s="28" t="s">
        <v>4335</v>
      </c>
      <c r="I6175" s="5" t="s">
        <v>2601</v>
      </c>
    </row>
    <row r="6176" spans="1:9" ht="51.75" customHeight="1">
      <c r="A6176" s="5">
        <v>4</v>
      </c>
      <c r="B6176" s="5" t="s">
        <v>40344</v>
      </c>
      <c r="C6176" s="5" t="s">
        <v>40345</v>
      </c>
      <c r="D6176" s="246">
        <v>40249</v>
      </c>
      <c r="E6176" s="5" t="s">
        <v>40346</v>
      </c>
      <c r="F6176" s="26"/>
      <c r="G6176" s="27" t="s">
        <v>4334</v>
      </c>
      <c r="H6176" s="28" t="s">
        <v>4335</v>
      </c>
      <c r="I6176" s="5" t="s">
        <v>2601</v>
      </c>
    </row>
    <row r="6177" spans="1:9" ht="51.75" customHeight="1">
      <c r="A6177" s="5">
        <v>5</v>
      </c>
      <c r="B6177" s="5" t="s">
        <v>40347</v>
      </c>
      <c r="C6177" s="5" t="s">
        <v>40348</v>
      </c>
      <c r="D6177" s="246">
        <v>40249</v>
      </c>
      <c r="E6177" s="5" t="s">
        <v>40349</v>
      </c>
      <c r="F6177" s="26"/>
      <c r="G6177" s="27" t="s">
        <v>4334</v>
      </c>
      <c r="H6177" s="28" t="s">
        <v>4335</v>
      </c>
      <c r="I6177" s="5" t="s">
        <v>2601</v>
      </c>
    </row>
    <row r="6178" spans="1:9" ht="51.75" customHeight="1">
      <c r="A6178" s="5">
        <v>1</v>
      </c>
      <c r="B6178" s="5" t="s">
        <v>40350</v>
      </c>
      <c r="C6178" s="5" t="s">
        <v>40351</v>
      </c>
      <c r="D6178" s="246">
        <v>40105</v>
      </c>
      <c r="E6178" s="5" t="s">
        <v>40352</v>
      </c>
      <c r="F6178" s="26"/>
      <c r="G6178" s="27" t="s">
        <v>2599</v>
      </c>
      <c r="H6178" s="28" t="s">
        <v>2600</v>
      </c>
      <c r="I6178" s="5" t="s">
        <v>2601</v>
      </c>
    </row>
    <row r="6179" spans="1:9" ht="51.75" customHeight="1">
      <c r="A6179" s="5">
        <v>2</v>
      </c>
      <c r="B6179" s="5" t="s">
        <v>40353</v>
      </c>
      <c r="C6179" s="5" t="s">
        <v>40354</v>
      </c>
      <c r="D6179" s="246">
        <v>40105</v>
      </c>
      <c r="E6179" s="5" t="s">
        <v>40355</v>
      </c>
      <c r="F6179" s="26"/>
      <c r="G6179" s="27" t="s">
        <v>2599</v>
      </c>
      <c r="H6179" s="28" t="s">
        <v>2600</v>
      </c>
      <c r="I6179" s="5" t="s">
        <v>2601</v>
      </c>
    </row>
    <row r="6180" spans="1:9" ht="51.75" customHeight="1">
      <c r="A6180" s="5">
        <v>3</v>
      </c>
      <c r="B6180" s="5" t="s">
        <v>40356</v>
      </c>
      <c r="C6180" s="5" t="s">
        <v>40357</v>
      </c>
      <c r="D6180" s="246">
        <v>40105</v>
      </c>
      <c r="E6180" s="5" t="s">
        <v>40358</v>
      </c>
      <c r="F6180" s="26"/>
      <c r="G6180" s="27" t="s">
        <v>2599</v>
      </c>
      <c r="H6180" s="28" t="s">
        <v>2600</v>
      </c>
      <c r="I6180" s="5" t="s">
        <v>2601</v>
      </c>
    </row>
    <row r="6181" spans="1:9" ht="51.75" customHeight="1">
      <c r="A6181" s="5">
        <v>4</v>
      </c>
      <c r="B6181" s="5" t="s">
        <v>40359</v>
      </c>
      <c r="C6181" s="5" t="s">
        <v>40360</v>
      </c>
      <c r="D6181" s="246">
        <v>40105</v>
      </c>
      <c r="E6181" s="5" t="s">
        <v>40361</v>
      </c>
      <c r="F6181" s="26"/>
      <c r="G6181" s="27" t="s">
        <v>2599</v>
      </c>
      <c r="H6181" s="28" t="s">
        <v>2600</v>
      </c>
      <c r="I6181" s="5" t="s">
        <v>2601</v>
      </c>
    </row>
    <row r="6182" spans="1:9" ht="51.75" customHeight="1">
      <c r="A6182" s="5">
        <v>1</v>
      </c>
      <c r="B6182" s="5" t="s">
        <v>40362</v>
      </c>
      <c r="C6182" s="5" t="s">
        <v>40363</v>
      </c>
      <c r="D6182" s="246">
        <v>40970</v>
      </c>
      <c r="E6182" s="5" t="s">
        <v>40364</v>
      </c>
      <c r="F6182" s="26"/>
      <c r="G6182" s="27" t="s">
        <v>6338</v>
      </c>
      <c r="H6182" s="28" t="s">
        <v>6339</v>
      </c>
      <c r="I6182" s="5" t="s">
        <v>2601</v>
      </c>
    </row>
    <row r="6183" spans="1:9" ht="51.75" customHeight="1">
      <c r="A6183" s="5">
        <v>2</v>
      </c>
      <c r="B6183" s="5" t="s">
        <v>40365</v>
      </c>
      <c r="C6183" s="5" t="s">
        <v>40366</v>
      </c>
      <c r="D6183" s="246">
        <v>40970</v>
      </c>
      <c r="E6183" s="5" t="s">
        <v>40367</v>
      </c>
      <c r="F6183" s="26"/>
      <c r="G6183" s="27" t="s">
        <v>6338</v>
      </c>
      <c r="H6183" s="28" t="s">
        <v>6339</v>
      </c>
      <c r="I6183" s="5" t="s">
        <v>2601</v>
      </c>
    </row>
    <row r="6184" spans="1:9" ht="51.75" customHeight="1">
      <c r="A6184" s="5" t="s">
        <v>27026</v>
      </c>
      <c r="B6184" s="5" t="s">
        <v>40368</v>
      </c>
      <c r="C6184" s="5" t="s">
        <v>40369</v>
      </c>
      <c r="D6184" s="246">
        <v>41607</v>
      </c>
      <c r="E6184" s="5" t="s">
        <v>40370</v>
      </c>
      <c r="F6184" s="26" t="s">
        <v>23600</v>
      </c>
      <c r="G6184" s="27" t="s">
        <v>8899</v>
      </c>
      <c r="H6184" s="28" t="s">
        <v>8900</v>
      </c>
      <c r="I6184" s="5" t="s">
        <v>2601</v>
      </c>
    </row>
    <row r="6185" spans="1:9" ht="51.75" customHeight="1">
      <c r="A6185" s="5" t="s">
        <v>27032</v>
      </c>
      <c r="B6185" s="5" t="s">
        <v>40371</v>
      </c>
      <c r="C6185" s="5" t="s">
        <v>40372</v>
      </c>
      <c r="D6185" s="246">
        <v>41607</v>
      </c>
      <c r="E6185" s="5" t="s">
        <v>40373</v>
      </c>
      <c r="F6185" s="26" t="s">
        <v>23600</v>
      </c>
      <c r="G6185" s="27" t="s">
        <v>8899</v>
      </c>
      <c r="H6185" s="28" t="s">
        <v>8900</v>
      </c>
      <c r="I6185" s="5" t="s">
        <v>2601</v>
      </c>
    </row>
    <row r="6186" spans="1:9" ht="51.75" customHeight="1">
      <c r="A6186" s="5" t="s">
        <v>28119</v>
      </c>
      <c r="B6186" s="5" t="s">
        <v>40374</v>
      </c>
      <c r="C6186" s="5" t="s">
        <v>40375</v>
      </c>
      <c r="D6186" s="246">
        <v>41607</v>
      </c>
      <c r="E6186" s="5" t="s">
        <v>40376</v>
      </c>
      <c r="F6186" s="26" t="s">
        <v>23600</v>
      </c>
      <c r="G6186" s="27" t="s">
        <v>8899</v>
      </c>
      <c r="H6186" s="28" t="s">
        <v>8900</v>
      </c>
      <c r="I6186" s="5" t="s">
        <v>2601</v>
      </c>
    </row>
    <row r="6187" spans="1:9" ht="51.75" customHeight="1">
      <c r="A6187" s="5" t="s">
        <v>28123</v>
      </c>
      <c r="B6187" s="5" t="s">
        <v>40377</v>
      </c>
      <c r="C6187" s="5" t="s">
        <v>40378</v>
      </c>
      <c r="D6187" s="246">
        <v>41607</v>
      </c>
      <c r="E6187" s="5" t="s">
        <v>40379</v>
      </c>
      <c r="F6187" s="26" t="s">
        <v>23600</v>
      </c>
      <c r="G6187" s="27" t="s">
        <v>8899</v>
      </c>
      <c r="H6187" s="28" t="s">
        <v>8900</v>
      </c>
      <c r="I6187" s="5" t="s">
        <v>2601</v>
      </c>
    </row>
    <row r="6188" spans="1:9" ht="51.75" customHeight="1">
      <c r="A6188" s="5" t="s">
        <v>34205</v>
      </c>
      <c r="B6188" s="5" t="s">
        <v>40380</v>
      </c>
      <c r="C6188" s="5" t="s">
        <v>40381</v>
      </c>
      <c r="D6188" s="246">
        <v>41607</v>
      </c>
      <c r="E6188" s="5" t="s">
        <v>40382</v>
      </c>
      <c r="F6188" s="26" t="s">
        <v>23600</v>
      </c>
      <c r="G6188" s="27" t="s">
        <v>8899</v>
      </c>
      <c r="H6188" s="28" t="s">
        <v>8900</v>
      </c>
      <c r="I6188" s="5" t="s">
        <v>2601</v>
      </c>
    </row>
    <row r="6189" spans="1:9" ht="51.75" customHeight="1">
      <c r="A6189" s="5" t="s">
        <v>28127</v>
      </c>
      <c r="B6189" s="5" t="s">
        <v>40383</v>
      </c>
      <c r="C6189" s="5" t="s">
        <v>40384</v>
      </c>
      <c r="D6189" s="246">
        <v>41607</v>
      </c>
      <c r="E6189" s="5" t="s">
        <v>40385</v>
      </c>
      <c r="F6189" s="26" t="s">
        <v>23600</v>
      </c>
      <c r="G6189" s="27" t="s">
        <v>8899</v>
      </c>
      <c r="H6189" s="28" t="s">
        <v>8900</v>
      </c>
      <c r="I6189" s="5" t="s">
        <v>2601</v>
      </c>
    </row>
    <row r="6190" spans="1:9" ht="51.75" customHeight="1">
      <c r="A6190" s="5" t="s">
        <v>28625</v>
      </c>
      <c r="B6190" s="5" t="s">
        <v>40386</v>
      </c>
      <c r="C6190" s="5" t="s">
        <v>40387</v>
      </c>
      <c r="D6190" s="246">
        <v>41411</v>
      </c>
      <c r="E6190" s="5" t="s">
        <v>40388</v>
      </c>
      <c r="F6190" s="26" t="s">
        <v>23600</v>
      </c>
      <c r="G6190" s="27" t="s">
        <v>8243</v>
      </c>
      <c r="H6190" s="28" t="s">
        <v>8244</v>
      </c>
      <c r="I6190" s="5" t="s">
        <v>2601</v>
      </c>
    </row>
    <row r="6191" spans="1:9" ht="51.75" customHeight="1">
      <c r="A6191" s="5" t="s">
        <v>27380</v>
      </c>
      <c r="B6191" s="5" t="s">
        <v>40389</v>
      </c>
      <c r="C6191" s="5" t="s">
        <v>40390</v>
      </c>
      <c r="D6191" s="246">
        <v>41411</v>
      </c>
      <c r="E6191" s="5" t="s">
        <v>40391</v>
      </c>
      <c r="F6191" s="26" t="s">
        <v>23600</v>
      </c>
      <c r="G6191" s="27" t="s">
        <v>8243</v>
      </c>
      <c r="H6191" s="28" t="s">
        <v>8244</v>
      </c>
      <c r="I6191" s="5" t="s">
        <v>2601</v>
      </c>
    </row>
    <row r="6192" spans="1:9" ht="51.75" customHeight="1">
      <c r="A6192" s="5" t="s">
        <v>27261</v>
      </c>
      <c r="B6192" s="5" t="s">
        <v>40392</v>
      </c>
      <c r="C6192" s="5" t="s">
        <v>40393</v>
      </c>
      <c r="D6192" s="246">
        <v>41411</v>
      </c>
      <c r="E6192" s="5" t="s">
        <v>40394</v>
      </c>
      <c r="F6192" s="26" t="s">
        <v>23600</v>
      </c>
      <c r="G6192" s="27" t="s">
        <v>8243</v>
      </c>
      <c r="H6192" s="28" t="s">
        <v>8244</v>
      </c>
      <c r="I6192" s="5" t="s">
        <v>2601</v>
      </c>
    </row>
    <row r="6193" spans="1:9" ht="51.75" customHeight="1">
      <c r="A6193" s="5" t="s">
        <v>27386</v>
      </c>
      <c r="B6193" s="5" t="s">
        <v>40395</v>
      </c>
      <c r="C6193" s="5" t="s">
        <v>40396</v>
      </c>
      <c r="D6193" s="246">
        <v>41411</v>
      </c>
      <c r="E6193" s="5" t="s">
        <v>40397</v>
      </c>
      <c r="F6193" s="26" t="s">
        <v>23600</v>
      </c>
      <c r="G6193" s="27" t="s">
        <v>8243</v>
      </c>
      <c r="H6193" s="28" t="s">
        <v>8244</v>
      </c>
      <c r="I6193" s="5" t="s">
        <v>2601</v>
      </c>
    </row>
    <row r="6194" spans="1:9" ht="51.75" customHeight="1">
      <c r="A6194" s="5" t="s">
        <v>35103</v>
      </c>
      <c r="B6194" s="5" t="s">
        <v>40398</v>
      </c>
      <c r="C6194" s="5" t="s">
        <v>40399</v>
      </c>
      <c r="D6194" s="246">
        <v>41411</v>
      </c>
      <c r="E6194" s="5" t="s">
        <v>40400</v>
      </c>
      <c r="F6194" s="26" t="s">
        <v>23600</v>
      </c>
      <c r="G6194" s="27" t="s">
        <v>8243</v>
      </c>
      <c r="H6194" s="28" t="s">
        <v>8244</v>
      </c>
      <c r="I6194" s="5" t="s">
        <v>2601</v>
      </c>
    </row>
    <row r="6195" spans="1:9" ht="51.75" customHeight="1">
      <c r="A6195" s="5" t="s">
        <v>35107</v>
      </c>
      <c r="B6195" s="5" t="s">
        <v>40401</v>
      </c>
      <c r="C6195" s="5" t="s">
        <v>40402</v>
      </c>
      <c r="D6195" s="246">
        <v>41411</v>
      </c>
      <c r="E6195" s="5" t="s">
        <v>40403</v>
      </c>
      <c r="F6195" s="26" t="s">
        <v>23600</v>
      </c>
      <c r="G6195" s="27" t="s">
        <v>8243</v>
      </c>
      <c r="H6195" s="28" t="s">
        <v>8244</v>
      </c>
      <c r="I6195" s="5" t="s">
        <v>2601</v>
      </c>
    </row>
    <row r="6196" spans="1:9" ht="51.75" customHeight="1">
      <c r="A6196" s="5" t="s">
        <v>27452</v>
      </c>
      <c r="B6196" s="5" t="s">
        <v>40404</v>
      </c>
      <c r="C6196" s="5" t="s">
        <v>40405</v>
      </c>
      <c r="D6196" s="246">
        <v>41626</v>
      </c>
      <c r="E6196" s="5" t="s">
        <v>40406</v>
      </c>
      <c r="F6196" s="26" t="s">
        <v>23600</v>
      </c>
      <c r="G6196" s="27" t="s">
        <v>9157</v>
      </c>
      <c r="H6196" s="28" t="s">
        <v>9158</v>
      </c>
      <c r="I6196" s="5" t="s">
        <v>2601</v>
      </c>
    </row>
    <row r="6197" spans="1:9" ht="51.75" customHeight="1">
      <c r="A6197" s="5" t="s">
        <v>28350</v>
      </c>
      <c r="B6197" s="5" t="s">
        <v>40407</v>
      </c>
      <c r="C6197" s="5" t="s">
        <v>40408</v>
      </c>
      <c r="D6197" s="246">
        <v>41626</v>
      </c>
      <c r="E6197" s="5" t="s">
        <v>40409</v>
      </c>
      <c r="F6197" s="26" t="s">
        <v>23600</v>
      </c>
      <c r="G6197" s="27" t="s">
        <v>9157</v>
      </c>
      <c r="H6197" s="28" t="s">
        <v>9158</v>
      </c>
      <c r="I6197" s="5" t="s">
        <v>2601</v>
      </c>
    </row>
    <row r="6198" spans="1:9" ht="51.75" customHeight="1">
      <c r="A6198" s="5" t="s">
        <v>23596</v>
      </c>
      <c r="B6198" s="5" t="s">
        <v>40410</v>
      </c>
      <c r="C6198" s="5" t="s">
        <v>40411</v>
      </c>
      <c r="D6198" s="246">
        <v>41626</v>
      </c>
      <c r="E6198" s="5" t="s">
        <v>40412</v>
      </c>
      <c r="F6198" s="26" t="s">
        <v>23600</v>
      </c>
      <c r="G6198" s="27" t="s">
        <v>9157</v>
      </c>
      <c r="H6198" s="28" t="s">
        <v>9158</v>
      </c>
      <c r="I6198" s="5" t="s">
        <v>2601</v>
      </c>
    </row>
    <row r="6199" spans="1:9" ht="51.75" customHeight="1">
      <c r="A6199" s="5" t="s">
        <v>34530</v>
      </c>
      <c r="B6199" s="5" t="s">
        <v>40413</v>
      </c>
      <c r="C6199" s="5" t="s">
        <v>40414</v>
      </c>
      <c r="D6199" s="246">
        <v>41800</v>
      </c>
      <c r="E6199" s="5" t="s">
        <v>40415</v>
      </c>
      <c r="F6199" s="26" t="s">
        <v>23600</v>
      </c>
      <c r="G6199" s="27" t="s">
        <v>9599</v>
      </c>
      <c r="H6199" s="28" t="s">
        <v>9600</v>
      </c>
      <c r="I6199" s="5" t="s">
        <v>2601</v>
      </c>
    </row>
    <row r="6200" spans="1:9" ht="51.75" customHeight="1">
      <c r="A6200" s="5" t="s">
        <v>34534</v>
      </c>
      <c r="B6200" s="5" t="s">
        <v>40416</v>
      </c>
      <c r="C6200" s="5" t="s">
        <v>40417</v>
      </c>
      <c r="D6200" s="246">
        <v>41806</v>
      </c>
      <c r="E6200" s="5" t="s">
        <v>40418</v>
      </c>
      <c r="F6200" s="26" t="s">
        <v>23600</v>
      </c>
      <c r="G6200" s="27" t="s">
        <v>9599</v>
      </c>
      <c r="H6200" s="28" t="s">
        <v>9600</v>
      </c>
      <c r="I6200" s="5" t="s">
        <v>2601</v>
      </c>
    </row>
    <row r="6201" spans="1:9" ht="51.75" customHeight="1">
      <c r="A6201" s="5" t="s">
        <v>29056</v>
      </c>
      <c r="B6201" s="5" t="s">
        <v>40419</v>
      </c>
      <c r="C6201" s="5" t="s">
        <v>40420</v>
      </c>
      <c r="D6201" s="246">
        <v>41806</v>
      </c>
      <c r="E6201" s="5" t="s">
        <v>40421</v>
      </c>
      <c r="F6201" s="26" t="s">
        <v>23600</v>
      </c>
      <c r="G6201" s="27" t="s">
        <v>9599</v>
      </c>
      <c r="H6201" s="28" t="s">
        <v>9600</v>
      </c>
      <c r="I6201" s="5" t="s">
        <v>2601</v>
      </c>
    </row>
    <row r="6202" spans="1:9" ht="51.75" customHeight="1">
      <c r="A6202" s="5" t="s">
        <v>28428</v>
      </c>
      <c r="B6202" s="5" t="s">
        <v>40422</v>
      </c>
      <c r="C6202" s="5" t="s">
        <v>40423</v>
      </c>
      <c r="D6202" s="246">
        <v>41806</v>
      </c>
      <c r="E6202" s="5" t="s">
        <v>40424</v>
      </c>
      <c r="F6202" s="26" t="s">
        <v>23600</v>
      </c>
      <c r="G6202" s="27" t="s">
        <v>9599</v>
      </c>
      <c r="H6202" s="28" t="s">
        <v>9600</v>
      </c>
      <c r="I6202" s="5" t="s">
        <v>2601</v>
      </c>
    </row>
    <row r="6203" spans="1:9" ht="51.75" customHeight="1">
      <c r="A6203" s="5" t="s">
        <v>26715</v>
      </c>
      <c r="B6203" s="5" t="s">
        <v>40425</v>
      </c>
      <c r="C6203" s="5" t="s">
        <v>40426</v>
      </c>
      <c r="D6203" s="246">
        <v>41914</v>
      </c>
      <c r="E6203" s="5" t="s">
        <v>40427</v>
      </c>
      <c r="F6203" s="26" t="s">
        <v>23600</v>
      </c>
      <c r="G6203" s="27" t="s">
        <v>9758</v>
      </c>
      <c r="H6203" s="28" t="s">
        <v>9759</v>
      </c>
      <c r="I6203" s="5" t="s">
        <v>2601</v>
      </c>
    </row>
    <row r="6204" spans="1:9" ht="51.75" customHeight="1">
      <c r="A6204" s="5" t="s">
        <v>26721</v>
      </c>
      <c r="B6204" s="5" t="s">
        <v>40428</v>
      </c>
      <c r="C6204" s="5" t="s">
        <v>40429</v>
      </c>
      <c r="D6204" s="246">
        <v>41914</v>
      </c>
      <c r="E6204" s="5" t="s">
        <v>40430</v>
      </c>
      <c r="F6204" s="26" t="s">
        <v>23600</v>
      </c>
      <c r="G6204" s="27" t="s">
        <v>9758</v>
      </c>
      <c r="H6204" s="28" t="s">
        <v>9759</v>
      </c>
      <c r="I6204" s="5" t="s">
        <v>2601</v>
      </c>
    </row>
    <row r="6205" spans="1:9" ht="51.75" customHeight="1">
      <c r="A6205" s="5" t="s">
        <v>26727</v>
      </c>
      <c r="B6205" s="5" t="s">
        <v>40431</v>
      </c>
      <c r="C6205" s="5" t="s">
        <v>40432</v>
      </c>
      <c r="D6205" s="246">
        <v>41914</v>
      </c>
      <c r="E6205" s="5" t="s">
        <v>40433</v>
      </c>
      <c r="F6205" s="26" t="s">
        <v>23600</v>
      </c>
      <c r="G6205" s="27" t="s">
        <v>9758</v>
      </c>
      <c r="H6205" s="28" t="s">
        <v>9759</v>
      </c>
      <c r="I6205" s="5" t="s">
        <v>2601</v>
      </c>
    </row>
    <row r="6206" spans="1:9" ht="51.75" customHeight="1">
      <c r="A6206" s="5" t="s">
        <v>28431</v>
      </c>
      <c r="B6206" s="5" t="s">
        <v>40434</v>
      </c>
      <c r="C6206" s="5" t="s">
        <v>40435</v>
      </c>
      <c r="D6206" s="246">
        <v>41814</v>
      </c>
      <c r="E6206" s="5" t="s">
        <v>40436</v>
      </c>
      <c r="F6206" s="26" t="s">
        <v>23600</v>
      </c>
      <c r="G6206" s="27" t="s">
        <v>9876</v>
      </c>
      <c r="H6206" s="28" t="s">
        <v>9877</v>
      </c>
      <c r="I6206" s="5" t="s">
        <v>2601</v>
      </c>
    </row>
    <row r="6207" spans="1:9" ht="51.75" customHeight="1">
      <c r="A6207" s="5" t="s">
        <v>28999</v>
      </c>
      <c r="B6207" s="5" t="s">
        <v>40437</v>
      </c>
      <c r="C6207" s="5" t="s">
        <v>40438</v>
      </c>
      <c r="D6207" s="246">
        <v>41990</v>
      </c>
      <c r="E6207" s="5" t="s">
        <v>40439</v>
      </c>
      <c r="F6207" s="26" t="s">
        <v>23600</v>
      </c>
      <c r="G6207" s="27" t="s">
        <v>10096</v>
      </c>
      <c r="H6207" s="28" t="s">
        <v>10097</v>
      </c>
      <c r="I6207" s="5" t="s">
        <v>2601</v>
      </c>
    </row>
    <row r="6208" spans="1:9" ht="51.75" customHeight="1">
      <c r="A6208" s="5" t="s">
        <v>24571</v>
      </c>
      <c r="B6208" s="5" t="s">
        <v>40440</v>
      </c>
      <c r="C6208" s="5" t="s">
        <v>40441</v>
      </c>
      <c r="D6208" s="246">
        <v>41990</v>
      </c>
      <c r="E6208" s="5" t="s">
        <v>40442</v>
      </c>
      <c r="F6208" s="26" t="s">
        <v>23600</v>
      </c>
      <c r="G6208" s="27" t="s">
        <v>10096</v>
      </c>
      <c r="H6208" s="28" t="s">
        <v>10097</v>
      </c>
      <c r="I6208" s="5" t="s">
        <v>2601</v>
      </c>
    </row>
    <row r="6209" spans="1:9" ht="51.75" customHeight="1">
      <c r="A6209" s="5" t="s">
        <v>24575</v>
      </c>
      <c r="B6209" s="5" t="s">
        <v>40443</v>
      </c>
      <c r="C6209" s="5" t="s">
        <v>40444</v>
      </c>
      <c r="D6209" s="246">
        <v>41991</v>
      </c>
      <c r="E6209" s="5" t="s">
        <v>40445</v>
      </c>
      <c r="F6209" s="26" t="s">
        <v>23600</v>
      </c>
      <c r="G6209" s="27" t="s">
        <v>10096</v>
      </c>
      <c r="H6209" s="28" t="s">
        <v>10097</v>
      </c>
      <c r="I6209" s="5" t="s">
        <v>2601</v>
      </c>
    </row>
    <row r="6210" spans="1:9" ht="51.75" customHeight="1">
      <c r="A6210" s="5" t="s">
        <v>24579</v>
      </c>
      <c r="B6210" s="5" t="s">
        <v>40446</v>
      </c>
      <c r="C6210" s="5" t="s">
        <v>40447</v>
      </c>
      <c r="D6210" s="246">
        <v>41991</v>
      </c>
      <c r="E6210" s="5" t="s">
        <v>40448</v>
      </c>
      <c r="F6210" s="26" t="s">
        <v>23600</v>
      </c>
      <c r="G6210" s="27" t="s">
        <v>10096</v>
      </c>
      <c r="H6210" s="28" t="s">
        <v>10097</v>
      </c>
      <c r="I6210" s="5" t="s">
        <v>2601</v>
      </c>
    </row>
    <row r="6211" spans="1:9" ht="51.75" customHeight="1">
      <c r="A6211" s="5" t="s">
        <v>24674</v>
      </c>
      <c r="B6211" s="5" t="s">
        <v>40449</v>
      </c>
      <c r="C6211" s="5" t="s">
        <v>40450</v>
      </c>
      <c r="D6211" s="246">
        <v>41969</v>
      </c>
      <c r="E6211" s="5" t="s">
        <v>40451</v>
      </c>
      <c r="F6211" s="26" t="s">
        <v>23600</v>
      </c>
      <c r="G6211" s="27" t="s">
        <v>10196</v>
      </c>
      <c r="H6211" s="28" t="s">
        <v>10197</v>
      </c>
      <c r="I6211" s="5" t="s">
        <v>2601</v>
      </c>
    </row>
    <row r="6212" spans="1:9" ht="51.75" customHeight="1">
      <c r="A6212" s="5" t="s">
        <v>24963</v>
      </c>
      <c r="B6212" s="5" t="s">
        <v>40452</v>
      </c>
      <c r="C6212" s="5" t="s">
        <v>40453</v>
      </c>
      <c r="D6212" s="246">
        <v>41969</v>
      </c>
      <c r="E6212" s="5" t="s">
        <v>40454</v>
      </c>
      <c r="F6212" s="26" t="s">
        <v>23600</v>
      </c>
      <c r="G6212" s="27" t="s">
        <v>10196</v>
      </c>
      <c r="H6212" s="28" t="s">
        <v>10197</v>
      </c>
      <c r="I6212" s="5" t="s">
        <v>2601</v>
      </c>
    </row>
    <row r="6213" spans="1:9" ht="51.75" customHeight="1">
      <c r="A6213" s="5" t="s">
        <v>25018</v>
      </c>
      <c r="B6213" s="5" t="s">
        <v>40455</v>
      </c>
      <c r="C6213" s="5" t="s">
        <v>40456</v>
      </c>
      <c r="D6213" s="246">
        <v>41969</v>
      </c>
      <c r="E6213" s="5" t="s">
        <v>40457</v>
      </c>
      <c r="F6213" s="26" t="s">
        <v>23600</v>
      </c>
      <c r="G6213" s="27" t="s">
        <v>10196</v>
      </c>
      <c r="H6213" s="28" t="s">
        <v>10197</v>
      </c>
      <c r="I6213" s="5" t="s">
        <v>2601</v>
      </c>
    </row>
    <row r="6214" spans="1:9" ht="51.75" customHeight="1">
      <c r="A6214" s="5" t="s">
        <v>23942</v>
      </c>
      <c r="B6214" s="5" t="s">
        <v>40458</v>
      </c>
      <c r="C6214" s="5" t="s">
        <v>40459</v>
      </c>
      <c r="D6214" s="246">
        <v>41961</v>
      </c>
      <c r="E6214" s="5" t="s">
        <v>40460</v>
      </c>
      <c r="F6214" s="26" t="s">
        <v>23600</v>
      </c>
      <c r="G6214" s="27" t="s">
        <v>10416</v>
      </c>
      <c r="H6214" s="28" t="s">
        <v>10417</v>
      </c>
      <c r="I6214" s="5" t="s">
        <v>2601</v>
      </c>
    </row>
    <row r="6215" spans="1:9" ht="51.75" customHeight="1">
      <c r="A6215" s="5" t="s">
        <v>24583</v>
      </c>
      <c r="B6215" s="5" t="s">
        <v>40461</v>
      </c>
      <c r="C6215" s="5" t="s">
        <v>40462</v>
      </c>
      <c r="D6215" s="246">
        <v>42122</v>
      </c>
      <c r="E6215" s="5" t="s">
        <v>40463</v>
      </c>
      <c r="F6215" s="26" t="s">
        <v>23600</v>
      </c>
      <c r="G6215" s="27" t="s">
        <v>10736</v>
      </c>
      <c r="H6215" s="28" t="s">
        <v>10737</v>
      </c>
      <c r="I6215" s="5" t="s">
        <v>2601</v>
      </c>
    </row>
    <row r="6216" spans="1:9" ht="51.75" customHeight="1">
      <c r="A6216" s="5" t="s">
        <v>35199</v>
      </c>
      <c r="B6216" s="5" t="s">
        <v>40464</v>
      </c>
      <c r="C6216" s="5" t="s">
        <v>40465</v>
      </c>
      <c r="D6216" s="246">
        <v>42122</v>
      </c>
      <c r="E6216" s="5" t="s">
        <v>40466</v>
      </c>
      <c r="F6216" s="26" t="s">
        <v>23600</v>
      </c>
      <c r="G6216" s="27" t="s">
        <v>10736</v>
      </c>
      <c r="H6216" s="28" t="s">
        <v>10737</v>
      </c>
      <c r="I6216" s="5" t="s">
        <v>2601</v>
      </c>
    </row>
    <row r="6217" spans="1:9" ht="51.75" customHeight="1">
      <c r="A6217" s="5" t="s">
        <v>26104</v>
      </c>
      <c r="B6217" s="5" t="s">
        <v>40467</v>
      </c>
      <c r="C6217" s="5" t="s">
        <v>40468</v>
      </c>
      <c r="D6217" s="246">
        <v>42111</v>
      </c>
      <c r="E6217" s="5" t="s">
        <v>40469</v>
      </c>
      <c r="F6217" s="26" t="s">
        <v>23600</v>
      </c>
      <c r="G6217" s="27" t="s">
        <v>10860</v>
      </c>
      <c r="H6217" s="28" t="s">
        <v>10861</v>
      </c>
      <c r="I6217" s="5" t="s">
        <v>2601</v>
      </c>
    </row>
    <row r="6218" spans="1:9" ht="51.75" customHeight="1">
      <c r="A6218" s="5" t="s">
        <v>26109</v>
      </c>
      <c r="B6218" s="5" t="s">
        <v>40470</v>
      </c>
      <c r="C6218" s="5" t="s">
        <v>40471</v>
      </c>
      <c r="D6218" s="246">
        <v>42111</v>
      </c>
      <c r="E6218" s="5" t="s">
        <v>40472</v>
      </c>
      <c r="F6218" s="26" t="s">
        <v>23600</v>
      </c>
      <c r="G6218" s="27" t="s">
        <v>10860</v>
      </c>
      <c r="H6218" s="28" t="s">
        <v>10861</v>
      </c>
      <c r="I6218" s="5" t="s">
        <v>2601</v>
      </c>
    </row>
    <row r="6219" spans="1:9" ht="51.75" customHeight="1">
      <c r="A6219" s="5" t="s">
        <v>24712</v>
      </c>
      <c r="B6219" s="5" t="s">
        <v>40473</v>
      </c>
      <c r="C6219" s="5" t="s">
        <v>27616</v>
      </c>
      <c r="D6219" s="246">
        <v>42307</v>
      </c>
      <c r="E6219" s="5" t="s">
        <v>40474</v>
      </c>
      <c r="F6219" s="26" t="s">
        <v>23600</v>
      </c>
      <c r="G6219" s="27" t="s">
        <v>11510</v>
      </c>
      <c r="H6219" s="28" t="s">
        <v>11511</v>
      </c>
      <c r="I6219" s="5" t="s">
        <v>2601</v>
      </c>
    </row>
    <row r="6220" spans="1:9" ht="51.75" customHeight="1">
      <c r="A6220" s="5" t="s">
        <v>26756</v>
      </c>
      <c r="B6220" s="5" t="s">
        <v>40475</v>
      </c>
      <c r="C6220" s="5" t="s">
        <v>40476</v>
      </c>
      <c r="D6220" s="246">
        <v>42307</v>
      </c>
      <c r="E6220" s="5" t="s">
        <v>40477</v>
      </c>
      <c r="F6220" s="26" t="s">
        <v>23600</v>
      </c>
      <c r="G6220" s="27" t="s">
        <v>11510</v>
      </c>
      <c r="H6220" s="28" t="s">
        <v>11511</v>
      </c>
      <c r="I6220" s="5" t="s">
        <v>2601</v>
      </c>
    </row>
    <row r="6221" spans="1:9" ht="51.75" customHeight="1">
      <c r="A6221" s="5" t="s">
        <v>24614</v>
      </c>
      <c r="B6221" s="5" t="s">
        <v>40478</v>
      </c>
      <c r="C6221" s="5" t="s">
        <v>40479</v>
      </c>
      <c r="D6221" s="246">
        <v>42307</v>
      </c>
      <c r="E6221" s="5" t="s">
        <v>40480</v>
      </c>
      <c r="F6221" s="26" t="s">
        <v>23600</v>
      </c>
      <c r="G6221" s="27" t="s">
        <v>11510</v>
      </c>
      <c r="H6221" s="28" t="s">
        <v>11511</v>
      </c>
      <c r="I6221" s="5" t="s">
        <v>2601</v>
      </c>
    </row>
    <row r="6222" spans="1:9" ht="51.75" customHeight="1">
      <c r="A6222" s="5" t="s">
        <v>25652</v>
      </c>
      <c r="B6222" s="5" t="s">
        <v>40481</v>
      </c>
      <c r="C6222" s="5" t="s">
        <v>40482</v>
      </c>
      <c r="D6222" s="246">
        <v>42355</v>
      </c>
      <c r="E6222" s="5" t="s">
        <v>40483</v>
      </c>
      <c r="F6222" s="26" t="s">
        <v>23600</v>
      </c>
      <c r="G6222" s="27" t="s">
        <v>11725</v>
      </c>
      <c r="H6222" s="28" t="s">
        <v>11726</v>
      </c>
      <c r="I6222" s="5" t="s">
        <v>2601</v>
      </c>
    </row>
    <row r="6223" spans="1:9" ht="51.75" customHeight="1">
      <c r="A6223" s="5" t="s">
        <v>25915</v>
      </c>
      <c r="B6223" s="5" t="s">
        <v>40484</v>
      </c>
      <c r="C6223" s="5" t="s">
        <v>40485</v>
      </c>
      <c r="D6223" s="246">
        <v>42386</v>
      </c>
      <c r="E6223" s="5" t="s">
        <v>40486</v>
      </c>
      <c r="F6223" s="26" t="s">
        <v>23600</v>
      </c>
      <c r="G6223" s="27" t="s">
        <v>11725</v>
      </c>
      <c r="H6223" s="28" t="s">
        <v>11726</v>
      </c>
      <c r="I6223" s="5" t="s">
        <v>2601</v>
      </c>
    </row>
    <row r="6224" spans="1:9" ht="51.75" customHeight="1">
      <c r="A6224" s="5" t="s">
        <v>25920</v>
      </c>
      <c r="B6224" s="5" t="s">
        <v>40487</v>
      </c>
      <c r="C6224" s="5" t="s">
        <v>40488</v>
      </c>
      <c r="D6224" s="246">
        <v>42355</v>
      </c>
      <c r="E6224" s="5" t="s">
        <v>40489</v>
      </c>
      <c r="F6224" s="26" t="s">
        <v>23600</v>
      </c>
      <c r="G6224" s="27" t="s">
        <v>11725</v>
      </c>
      <c r="H6224" s="28" t="s">
        <v>11726</v>
      </c>
      <c r="I6224" s="5" t="s">
        <v>2601</v>
      </c>
    </row>
    <row r="6225" spans="1:9" ht="51.75" customHeight="1">
      <c r="A6225" s="5" t="s">
        <v>26432</v>
      </c>
      <c r="B6225" s="5" t="s">
        <v>40490</v>
      </c>
      <c r="C6225" s="5" t="s">
        <v>27616</v>
      </c>
      <c r="D6225" s="246">
        <v>42488</v>
      </c>
      <c r="E6225" s="5" t="s">
        <v>40491</v>
      </c>
      <c r="F6225" s="26" t="s">
        <v>23600</v>
      </c>
      <c r="G6225" s="27" t="s">
        <v>12077</v>
      </c>
      <c r="H6225" s="28" t="s">
        <v>12078</v>
      </c>
      <c r="I6225" s="5" t="s">
        <v>2601</v>
      </c>
    </row>
    <row r="6226" spans="1:9" ht="51.75" customHeight="1">
      <c r="A6226" s="5" t="s">
        <v>26443</v>
      </c>
      <c r="B6226" s="5" t="s">
        <v>40492</v>
      </c>
      <c r="C6226" s="5" t="s">
        <v>40493</v>
      </c>
      <c r="D6226" s="246">
        <v>42488</v>
      </c>
      <c r="E6226" s="5" t="s">
        <v>40494</v>
      </c>
      <c r="F6226" s="26" t="s">
        <v>23600</v>
      </c>
      <c r="G6226" s="27" t="s">
        <v>12077</v>
      </c>
      <c r="H6226" s="28" t="s">
        <v>12078</v>
      </c>
      <c r="I6226" s="5" t="s">
        <v>2601</v>
      </c>
    </row>
    <row r="6227" spans="1:9" ht="51.75" customHeight="1">
      <c r="A6227" s="5" t="s">
        <v>26449</v>
      </c>
      <c r="B6227" s="5" t="s">
        <v>40495</v>
      </c>
      <c r="C6227" s="5" t="s">
        <v>40496</v>
      </c>
      <c r="D6227" s="246">
        <v>42488</v>
      </c>
      <c r="E6227" s="5" t="s">
        <v>40497</v>
      </c>
      <c r="F6227" s="26" t="s">
        <v>23600</v>
      </c>
      <c r="G6227" s="27" t="s">
        <v>12077</v>
      </c>
      <c r="H6227" s="28" t="s">
        <v>12078</v>
      </c>
      <c r="I6227" s="5" t="s">
        <v>2601</v>
      </c>
    </row>
    <row r="6228" spans="1:9" ht="51.75" customHeight="1">
      <c r="A6228" s="5" t="s">
        <v>25631</v>
      </c>
      <c r="B6228" s="5" t="s">
        <v>40498</v>
      </c>
      <c r="C6228" s="5" t="s">
        <v>40499</v>
      </c>
      <c r="D6228" s="246">
        <v>42488</v>
      </c>
      <c r="E6228" s="5" t="s">
        <v>40500</v>
      </c>
      <c r="F6228" s="26" t="s">
        <v>23600</v>
      </c>
      <c r="G6228" s="27" t="s">
        <v>12077</v>
      </c>
      <c r="H6228" s="28" t="s">
        <v>12078</v>
      </c>
      <c r="I6228" s="5" t="s">
        <v>2601</v>
      </c>
    </row>
    <row r="6229" spans="1:9" ht="51.75" customHeight="1">
      <c r="A6229" s="5" t="s">
        <v>29027</v>
      </c>
      <c r="B6229" s="5" t="s">
        <v>40501</v>
      </c>
      <c r="C6229" s="5" t="s">
        <v>40502</v>
      </c>
      <c r="D6229" s="246">
        <v>42488</v>
      </c>
      <c r="E6229" s="5" t="s">
        <v>40502</v>
      </c>
      <c r="F6229" s="26" t="s">
        <v>23600</v>
      </c>
      <c r="G6229" s="27" t="s">
        <v>12077</v>
      </c>
      <c r="H6229" s="28" t="s">
        <v>12078</v>
      </c>
      <c r="I6229" s="5" t="s">
        <v>2601</v>
      </c>
    </row>
    <row r="6230" spans="1:9" ht="51.75" customHeight="1">
      <c r="A6230" s="5" t="s">
        <v>25622</v>
      </c>
      <c r="B6230" s="5" t="s">
        <v>40503</v>
      </c>
      <c r="C6230" s="5" t="s">
        <v>40504</v>
      </c>
      <c r="D6230" s="246">
        <v>42488</v>
      </c>
      <c r="E6230" s="5" t="s">
        <v>40505</v>
      </c>
      <c r="F6230" s="26" t="s">
        <v>23600</v>
      </c>
      <c r="G6230" s="27" t="s">
        <v>12077</v>
      </c>
      <c r="H6230" s="28" t="s">
        <v>12078</v>
      </c>
      <c r="I6230" s="5" t="s">
        <v>2601</v>
      </c>
    </row>
    <row r="6231" spans="1:9" ht="51.75" customHeight="1">
      <c r="A6231" s="5" t="s">
        <v>38819</v>
      </c>
      <c r="B6231" s="5" t="s">
        <v>40506</v>
      </c>
      <c r="C6231" s="5" t="s">
        <v>40507</v>
      </c>
      <c r="D6231" s="246">
        <v>42488</v>
      </c>
      <c r="E6231" s="5" t="s">
        <v>40508</v>
      </c>
      <c r="F6231" s="26" t="s">
        <v>23600</v>
      </c>
      <c r="G6231" s="27" t="s">
        <v>12077</v>
      </c>
      <c r="H6231" s="28" t="s">
        <v>12078</v>
      </c>
      <c r="I6231" s="5" t="s">
        <v>2601</v>
      </c>
    </row>
    <row r="6232" spans="1:9" ht="51.75" customHeight="1">
      <c r="A6232" s="5" t="s">
        <v>25350</v>
      </c>
      <c r="B6232" s="5" t="s">
        <v>40509</v>
      </c>
      <c r="C6232" s="5" t="s">
        <v>40510</v>
      </c>
      <c r="D6232" s="246">
        <v>42563</v>
      </c>
      <c r="E6232" s="5" t="s">
        <v>40511</v>
      </c>
      <c r="F6232" s="26" t="s">
        <v>23600</v>
      </c>
      <c r="G6232" s="27" t="s">
        <v>12314</v>
      </c>
      <c r="H6232" s="28" t="s">
        <v>12315</v>
      </c>
      <c r="I6232" s="5" t="s">
        <v>2601</v>
      </c>
    </row>
    <row r="6233" spans="1:9" ht="51.75" customHeight="1">
      <c r="A6233" s="5" t="s">
        <v>34838</v>
      </c>
      <c r="B6233" s="5" t="s">
        <v>40512</v>
      </c>
      <c r="C6233" s="5" t="s">
        <v>40513</v>
      </c>
      <c r="D6233" s="246">
        <v>42563</v>
      </c>
      <c r="E6233" s="5" t="s">
        <v>40514</v>
      </c>
      <c r="F6233" s="26" t="s">
        <v>23600</v>
      </c>
      <c r="G6233" s="27" t="s">
        <v>12314</v>
      </c>
      <c r="H6233" s="28" t="s">
        <v>12315</v>
      </c>
      <c r="I6233" s="5" t="s">
        <v>2601</v>
      </c>
    </row>
    <row r="6234" spans="1:9" ht="51.75" customHeight="1">
      <c r="A6234" s="5" t="s">
        <v>25354</v>
      </c>
      <c r="B6234" s="5" t="s">
        <v>40515</v>
      </c>
      <c r="C6234" s="5" t="s">
        <v>40516</v>
      </c>
      <c r="D6234" s="246">
        <v>42563</v>
      </c>
      <c r="E6234" s="5" t="s">
        <v>40517</v>
      </c>
      <c r="F6234" s="26" t="s">
        <v>23600</v>
      </c>
      <c r="G6234" s="27" t="s">
        <v>12314</v>
      </c>
      <c r="H6234" s="28" t="s">
        <v>12315</v>
      </c>
      <c r="I6234" s="5" t="s">
        <v>2601</v>
      </c>
    </row>
    <row r="6235" spans="1:9" ht="51.75" customHeight="1">
      <c r="A6235" s="5" t="s">
        <v>23956</v>
      </c>
      <c r="B6235" s="5" t="s">
        <v>40518</v>
      </c>
      <c r="C6235" s="5" t="s">
        <v>40519</v>
      </c>
      <c r="D6235" s="246">
        <v>42563</v>
      </c>
      <c r="E6235" s="5" t="s">
        <v>40520</v>
      </c>
      <c r="F6235" s="26" t="s">
        <v>23600</v>
      </c>
      <c r="G6235" s="27" t="s">
        <v>12314</v>
      </c>
      <c r="H6235" s="28" t="s">
        <v>12315</v>
      </c>
      <c r="I6235" s="5" t="s">
        <v>2601</v>
      </c>
    </row>
    <row r="6236" spans="1:9" ht="51.75" customHeight="1">
      <c r="A6236" s="5" t="s">
        <v>25666</v>
      </c>
      <c r="B6236" s="5" t="s">
        <v>40521</v>
      </c>
      <c r="C6236" s="5" t="s">
        <v>40522</v>
      </c>
      <c r="D6236" s="246">
        <v>42563</v>
      </c>
      <c r="E6236" s="5" t="s">
        <v>40523</v>
      </c>
      <c r="F6236" s="26" t="s">
        <v>23600</v>
      </c>
      <c r="G6236" s="27" t="s">
        <v>12314</v>
      </c>
      <c r="H6236" s="28" t="s">
        <v>12315</v>
      </c>
      <c r="I6236" s="5" t="s">
        <v>2601</v>
      </c>
    </row>
    <row r="6237" spans="1:9" ht="51.75" customHeight="1">
      <c r="A6237" s="5" t="s">
        <v>25358</v>
      </c>
      <c r="B6237" s="5" t="s">
        <v>40524</v>
      </c>
      <c r="C6237" s="5" t="s">
        <v>40525</v>
      </c>
      <c r="D6237" s="246">
        <v>42563</v>
      </c>
      <c r="E6237" s="5" t="s">
        <v>40526</v>
      </c>
      <c r="F6237" s="26" t="s">
        <v>23600</v>
      </c>
      <c r="G6237" s="27" t="s">
        <v>12314</v>
      </c>
      <c r="H6237" s="28" t="s">
        <v>12315</v>
      </c>
      <c r="I6237" s="5" t="s">
        <v>2601</v>
      </c>
    </row>
    <row r="6238" spans="1:9" ht="51.75" customHeight="1">
      <c r="A6238" s="5" t="s">
        <v>25082</v>
      </c>
      <c r="B6238" s="5" t="s">
        <v>40527</v>
      </c>
      <c r="C6238" s="5" t="s">
        <v>27616</v>
      </c>
      <c r="D6238" s="246">
        <v>42563</v>
      </c>
      <c r="E6238" s="5" t="s">
        <v>40528</v>
      </c>
      <c r="F6238" s="26" t="s">
        <v>23600</v>
      </c>
      <c r="G6238" s="27" t="s">
        <v>12314</v>
      </c>
      <c r="H6238" s="28" t="s">
        <v>12315</v>
      </c>
      <c r="I6238" s="5" t="s">
        <v>2601</v>
      </c>
    </row>
    <row r="6239" spans="1:9" ht="51.75" customHeight="1">
      <c r="A6239" s="5" t="s">
        <v>25086</v>
      </c>
      <c r="B6239" s="5" t="s">
        <v>40529</v>
      </c>
      <c r="C6239" s="5" t="s">
        <v>40530</v>
      </c>
      <c r="D6239" s="246">
        <v>42563</v>
      </c>
      <c r="E6239" s="5" t="s">
        <v>40531</v>
      </c>
      <c r="F6239" s="26" t="s">
        <v>23600</v>
      </c>
      <c r="G6239" s="27" t="s">
        <v>12314</v>
      </c>
      <c r="H6239" s="28" t="s">
        <v>12315</v>
      </c>
      <c r="I6239" s="5" t="s">
        <v>2601</v>
      </c>
    </row>
    <row r="6240" spans="1:9" ht="51.75" customHeight="1">
      <c r="A6240" s="5" t="s">
        <v>24639</v>
      </c>
      <c r="B6240" s="5" t="s">
        <v>40532</v>
      </c>
      <c r="C6240" s="5" t="s">
        <v>40533</v>
      </c>
      <c r="D6240" s="246">
        <v>42615</v>
      </c>
      <c r="E6240" s="5" t="s">
        <v>40534</v>
      </c>
      <c r="F6240" s="26" t="s">
        <v>23600</v>
      </c>
      <c r="G6240" s="27" t="s">
        <v>12524</v>
      </c>
      <c r="H6240" s="28" t="s">
        <v>12525</v>
      </c>
      <c r="I6240" s="5" t="s">
        <v>2601</v>
      </c>
    </row>
    <row r="6241" spans="1:9" ht="51.75" customHeight="1">
      <c r="A6241" s="5" t="s">
        <v>24643</v>
      </c>
      <c r="B6241" s="5" t="s">
        <v>40535</v>
      </c>
      <c r="C6241" s="5" t="s">
        <v>40536</v>
      </c>
      <c r="D6241" s="246">
        <v>42615</v>
      </c>
      <c r="E6241" s="5" t="s">
        <v>40537</v>
      </c>
      <c r="F6241" s="26" t="s">
        <v>23600</v>
      </c>
      <c r="G6241" s="27" t="s">
        <v>12524</v>
      </c>
      <c r="H6241" s="28" t="s">
        <v>12525</v>
      </c>
      <c r="I6241" s="5" t="s">
        <v>2601</v>
      </c>
    </row>
    <row r="6242" spans="1:9" ht="51.75" customHeight="1">
      <c r="A6242" s="5" t="s">
        <v>28660</v>
      </c>
      <c r="B6242" s="5" t="s">
        <v>40538</v>
      </c>
      <c r="C6242" s="5" t="s">
        <v>40300</v>
      </c>
      <c r="D6242" s="246">
        <v>42615</v>
      </c>
      <c r="E6242" s="5" t="s">
        <v>40539</v>
      </c>
      <c r="F6242" s="26" t="s">
        <v>23600</v>
      </c>
      <c r="G6242" s="27" t="s">
        <v>12524</v>
      </c>
      <c r="H6242" s="28" t="s">
        <v>12525</v>
      </c>
      <c r="I6242" s="5" t="s">
        <v>2601</v>
      </c>
    </row>
    <row r="6243" spans="1:9" ht="51.75" customHeight="1">
      <c r="A6243" s="5" t="s">
        <v>28666</v>
      </c>
      <c r="B6243" s="5" t="s">
        <v>40540</v>
      </c>
      <c r="C6243" s="5" t="s">
        <v>40541</v>
      </c>
      <c r="D6243" s="246">
        <v>42615</v>
      </c>
      <c r="E6243" s="5" t="s">
        <v>40542</v>
      </c>
      <c r="F6243" s="26" t="s">
        <v>23600</v>
      </c>
      <c r="G6243" s="27" t="s">
        <v>12524</v>
      </c>
      <c r="H6243" s="28" t="s">
        <v>12525</v>
      </c>
      <c r="I6243" s="5" t="s">
        <v>2601</v>
      </c>
    </row>
    <row r="6244" spans="1:9" ht="51.75" customHeight="1">
      <c r="A6244" s="5" t="s">
        <v>27164</v>
      </c>
      <c r="B6244" s="5" t="s">
        <v>40543</v>
      </c>
      <c r="C6244" s="5" t="s">
        <v>40544</v>
      </c>
      <c r="D6244" s="246">
        <v>42615</v>
      </c>
      <c r="E6244" s="5" t="s">
        <v>40545</v>
      </c>
      <c r="F6244" s="26" t="s">
        <v>23600</v>
      </c>
      <c r="G6244" s="27" t="s">
        <v>12524</v>
      </c>
      <c r="H6244" s="28" t="s">
        <v>12525</v>
      </c>
      <c r="I6244" s="5" t="s">
        <v>2601</v>
      </c>
    </row>
    <row r="6245" spans="1:9" ht="51.75" customHeight="1">
      <c r="A6245" s="5" t="s">
        <v>35636</v>
      </c>
      <c r="B6245" s="5" t="s">
        <v>40546</v>
      </c>
      <c r="C6245" s="5" t="s">
        <v>40547</v>
      </c>
      <c r="D6245" s="246">
        <v>42681</v>
      </c>
      <c r="E6245" s="5" t="s">
        <v>40548</v>
      </c>
      <c r="F6245" s="26" t="s">
        <v>23600</v>
      </c>
      <c r="G6245" s="27" t="s">
        <v>12567</v>
      </c>
      <c r="H6245" s="28" t="s">
        <v>12568</v>
      </c>
      <c r="I6245" s="5" t="s">
        <v>2601</v>
      </c>
    </row>
    <row r="6246" spans="1:9" ht="51.75" customHeight="1">
      <c r="A6246" s="5" t="s">
        <v>35640</v>
      </c>
      <c r="B6246" s="5" t="s">
        <v>40549</v>
      </c>
      <c r="C6246" s="5" t="s">
        <v>40550</v>
      </c>
      <c r="D6246" s="246">
        <v>42681</v>
      </c>
      <c r="E6246" s="5" t="s">
        <v>40551</v>
      </c>
      <c r="F6246" s="26" t="s">
        <v>23600</v>
      </c>
      <c r="G6246" s="27" t="s">
        <v>12567</v>
      </c>
      <c r="H6246" s="28" t="s">
        <v>12568</v>
      </c>
      <c r="I6246" s="5" t="s">
        <v>2601</v>
      </c>
    </row>
    <row r="6247" spans="1:9" ht="51.75" customHeight="1">
      <c r="A6247" s="5" t="s">
        <v>35644</v>
      </c>
      <c r="B6247" s="5" t="s">
        <v>40552</v>
      </c>
      <c r="C6247" s="5" t="s">
        <v>40553</v>
      </c>
      <c r="D6247" s="246">
        <v>42681</v>
      </c>
      <c r="E6247" s="5" t="s">
        <v>40554</v>
      </c>
      <c r="F6247" s="26" t="s">
        <v>23600</v>
      </c>
      <c r="G6247" s="27" t="s">
        <v>12567</v>
      </c>
      <c r="H6247" s="28" t="s">
        <v>12568</v>
      </c>
      <c r="I6247" s="5" t="s">
        <v>2601</v>
      </c>
    </row>
    <row r="6248" spans="1:9" ht="51.75" customHeight="1">
      <c r="A6248" s="5" t="s">
        <v>40555</v>
      </c>
      <c r="B6248" s="5" t="s">
        <v>40556</v>
      </c>
      <c r="C6248" s="5" t="s">
        <v>40557</v>
      </c>
      <c r="D6248" s="246">
        <v>42681</v>
      </c>
      <c r="E6248" s="5" t="s">
        <v>40558</v>
      </c>
      <c r="F6248" s="26" t="s">
        <v>23600</v>
      </c>
      <c r="G6248" s="27" t="s">
        <v>12567</v>
      </c>
      <c r="H6248" s="28" t="s">
        <v>12568</v>
      </c>
      <c r="I6248" s="5" t="s">
        <v>2601</v>
      </c>
    </row>
    <row r="6249" spans="1:9" ht="51.75" customHeight="1">
      <c r="A6249" s="5" t="s">
        <v>28077</v>
      </c>
      <c r="B6249" s="5" t="s">
        <v>40559</v>
      </c>
      <c r="C6249" s="5" t="s">
        <v>40560</v>
      </c>
      <c r="D6249" s="246">
        <v>42681</v>
      </c>
      <c r="E6249" s="5" t="s">
        <v>40561</v>
      </c>
      <c r="F6249" s="26" t="s">
        <v>23600</v>
      </c>
      <c r="G6249" s="27" t="s">
        <v>12567</v>
      </c>
      <c r="H6249" s="28" t="s">
        <v>12568</v>
      </c>
      <c r="I6249" s="5" t="s">
        <v>2601</v>
      </c>
    </row>
    <row r="6250" spans="1:9" ht="51.75" customHeight="1">
      <c r="A6250" s="5" t="s">
        <v>23768</v>
      </c>
      <c r="B6250" s="5" t="s">
        <v>40562</v>
      </c>
      <c r="C6250" s="5" t="s">
        <v>40476</v>
      </c>
      <c r="D6250" s="246">
        <v>42768</v>
      </c>
      <c r="E6250" s="5" t="s">
        <v>40563</v>
      </c>
      <c r="F6250" s="26" t="s">
        <v>23600</v>
      </c>
      <c r="G6250" s="27" t="s">
        <v>12703</v>
      </c>
      <c r="H6250" s="28" t="s">
        <v>12704</v>
      </c>
      <c r="I6250" s="5" t="s">
        <v>2601</v>
      </c>
    </row>
    <row r="6251" spans="1:9" ht="51.75" customHeight="1">
      <c r="A6251" s="5" t="s">
        <v>25141</v>
      </c>
      <c r="B6251" s="5" t="s">
        <v>40564</v>
      </c>
      <c r="C6251" s="5" t="s">
        <v>40565</v>
      </c>
      <c r="D6251" s="246">
        <v>42768</v>
      </c>
      <c r="E6251" s="5" t="s">
        <v>40566</v>
      </c>
      <c r="F6251" s="26" t="s">
        <v>23600</v>
      </c>
      <c r="G6251" s="27" t="s">
        <v>12703</v>
      </c>
      <c r="H6251" s="28" t="s">
        <v>12704</v>
      </c>
      <c r="I6251" s="5" t="s">
        <v>2601</v>
      </c>
    </row>
    <row r="6252" spans="1:9" ht="51.75" customHeight="1">
      <c r="A6252" s="5" t="s">
        <v>27032</v>
      </c>
      <c r="B6252" s="5" t="s">
        <v>40567</v>
      </c>
      <c r="C6252" s="5" t="s">
        <v>40568</v>
      </c>
      <c r="D6252" s="246">
        <v>42774</v>
      </c>
      <c r="E6252" s="5" t="s">
        <v>40569</v>
      </c>
      <c r="F6252" s="26" t="s">
        <v>23600</v>
      </c>
      <c r="G6252" s="27" t="s">
        <v>12738</v>
      </c>
      <c r="H6252" s="28" t="s">
        <v>12739</v>
      </c>
      <c r="I6252" s="5" t="s">
        <v>2601</v>
      </c>
    </row>
    <row r="6253" spans="1:9" ht="51.75" customHeight="1">
      <c r="A6253" s="5" t="s">
        <v>28119</v>
      </c>
      <c r="B6253" s="5" t="s">
        <v>40570</v>
      </c>
      <c r="C6253" s="5" t="s">
        <v>40571</v>
      </c>
      <c r="D6253" s="246">
        <v>42774</v>
      </c>
      <c r="E6253" s="5" t="s">
        <v>40572</v>
      </c>
      <c r="F6253" s="26" t="s">
        <v>23600</v>
      </c>
      <c r="G6253" s="27" t="s">
        <v>12738</v>
      </c>
      <c r="H6253" s="28" t="s">
        <v>12739</v>
      </c>
      <c r="I6253" s="5" t="s">
        <v>2601</v>
      </c>
    </row>
    <row r="6254" spans="1:9" ht="51.75" customHeight="1">
      <c r="A6254" s="5" t="s">
        <v>28123</v>
      </c>
      <c r="B6254" s="5" t="s">
        <v>40573</v>
      </c>
      <c r="C6254" s="5" t="s">
        <v>40574</v>
      </c>
      <c r="D6254" s="246">
        <v>42774</v>
      </c>
      <c r="E6254" s="5" t="s">
        <v>40575</v>
      </c>
      <c r="F6254" s="26" t="s">
        <v>23600</v>
      </c>
      <c r="G6254" s="27" t="s">
        <v>12738</v>
      </c>
      <c r="H6254" s="28" t="s">
        <v>12739</v>
      </c>
      <c r="I6254" s="5" t="s">
        <v>2601</v>
      </c>
    </row>
    <row r="6255" spans="1:9" ht="51.75" customHeight="1">
      <c r="A6255" s="5" t="s">
        <v>34205</v>
      </c>
      <c r="B6255" s="5" t="s">
        <v>40576</v>
      </c>
      <c r="C6255" s="5" t="s">
        <v>40577</v>
      </c>
      <c r="D6255" s="246">
        <v>42774</v>
      </c>
      <c r="E6255" s="5" t="s">
        <v>40578</v>
      </c>
      <c r="F6255" s="26" t="s">
        <v>23600</v>
      </c>
      <c r="G6255" s="27" t="s">
        <v>12738</v>
      </c>
      <c r="H6255" s="28" t="s">
        <v>12739</v>
      </c>
      <c r="I6255" s="5" t="s">
        <v>2601</v>
      </c>
    </row>
    <row r="6256" spans="1:9" ht="51.75" customHeight="1">
      <c r="A6256" s="5" t="s">
        <v>37326</v>
      </c>
      <c r="B6256" s="5" t="s">
        <v>40579</v>
      </c>
      <c r="C6256" s="5" t="s">
        <v>40580</v>
      </c>
      <c r="D6256" s="246">
        <v>42697</v>
      </c>
      <c r="E6256" s="5" t="s">
        <v>40581</v>
      </c>
      <c r="F6256" s="26" t="s">
        <v>23600</v>
      </c>
      <c r="G6256" s="27" t="s">
        <v>12771</v>
      </c>
      <c r="H6256" s="28" t="s">
        <v>12772</v>
      </c>
      <c r="I6256" s="5" t="s">
        <v>2601</v>
      </c>
    </row>
    <row r="6257" spans="1:9" ht="51.75" customHeight="1">
      <c r="A6257" s="5" t="s">
        <v>35654</v>
      </c>
      <c r="B6257" s="5" t="s">
        <v>40582</v>
      </c>
      <c r="C6257" s="5" t="s">
        <v>40583</v>
      </c>
      <c r="D6257" s="246">
        <v>42697</v>
      </c>
      <c r="E6257" s="5" t="s">
        <v>40584</v>
      </c>
      <c r="F6257" s="26" t="s">
        <v>23600</v>
      </c>
      <c r="G6257" s="27" t="s">
        <v>12771</v>
      </c>
      <c r="H6257" s="28" t="s">
        <v>12772</v>
      </c>
      <c r="I6257" s="5" t="s">
        <v>2601</v>
      </c>
    </row>
    <row r="6258" spans="1:9" ht="51.75" customHeight="1">
      <c r="A6258" s="5" t="s">
        <v>24519</v>
      </c>
      <c r="B6258" s="5" t="s">
        <v>40585</v>
      </c>
      <c r="C6258" s="5" t="s">
        <v>40586</v>
      </c>
      <c r="D6258" s="246">
        <v>43007</v>
      </c>
      <c r="E6258" s="5" t="s">
        <v>40587</v>
      </c>
      <c r="F6258" s="26" t="s">
        <v>23600</v>
      </c>
      <c r="G6258" s="27" t="s">
        <v>13045</v>
      </c>
      <c r="H6258" s="28" t="s">
        <v>13046</v>
      </c>
      <c r="I6258" s="5" t="s">
        <v>2601</v>
      </c>
    </row>
    <row r="6259" spans="1:9" ht="51.75" customHeight="1">
      <c r="A6259" s="5" t="s">
        <v>26465</v>
      </c>
      <c r="B6259" s="5" t="s">
        <v>40588</v>
      </c>
      <c r="C6259" s="5" t="s">
        <v>40589</v>
      </c>
      <c r="D6259" s="246">
        <v>43007</v>
      </c>
      <c r="E6259" s="5" t="s">
        <v>40590</v>
      </c>
      <c r="F6259" s="26" t="s">
        <v>23600</v>
      </c>
      <c r="G6259" s="27" t="s">
        <v>13045</v>
      </c>
      <c r="H6259" s="28" t="s">
        <v>13046</v>
      </c>
      <c r="I6259" s="5" t="s">
        <v>2601</v>
      </c>
    </row>
    <row r="6260" spans="1:9" ht="51.75" customHeight="1">
      <c r="A6260" s="5" t="s">
        <v>23964</v>
      </c>
      <c r="B6260" s="5" t="s">
        <v>40591</v>
      </c>
      <c r="C6260" s="5" t="s">
        <v>40592</v>
      </c>
      <c r="D6260" s="246">
        <v>43007</v>
      </c>
      <c r="E6260" s="5" t="s">
        <v>40593</v>
      </c>
      <c r="F6260" s="26" t="s">
        <v>23600</v>
      </c>
      <c r="G6260" s="27" t="s">
        <v>13045</v>
      </c>
      <c r="H6260" s="28" t="s">
        <v>13046</v>
      </c>
      <c r="I6260" s="5" t="s">
        <v>2601</v>
      </c>
    </row>
    <row r="6261" spans="1:9" ht="51.75" customHeight="1">
      <c r="A6261" s="5" t="s">
        <v>26476</v>
      </c>
      <c r="B6261" s="5" t="s">
        <v>40594</v>
      </c>
      <c r="C6261" s="5" t="s">
        <v>40595</v>
      </c>
      <c r="D6261" s="246">
        <v>43007</v>
      </c>
      <c r="E6261" s="5" t="s">
        <v>40596</v>
      </c>
      <c r="F6261" s="26" t="s">
        <v>23600</v>
      </c>
      <c r="G6261" s="27" t="s">
        <v>13045</v>
      </c>
      <c r="H6261" s="28" t="s">
        <v>13046</v>
      </c>
      <c r="I6261" s="5" t="s">
        <v>2601</v>
      </c>
    </row>
    <row r="6262" spans="1:9" ht="51.75" customHeight="1">
      <c r="A6262" s="5" t="s">
        <v>34530</v>
      </c>
      <c r="B6262" s="5" t="s">
        <v>40597</v>
      </c>
      <c r="C6262" s="5" t="s">
        <v>40598</v>
      </c>
      <c r="D6262" s="246">
        <v>43007</v>
      </c>
      <c r="E6262" s="5" t="s">
        <v>40599</v>
      </c>
      <c r="F6262" s="26" t="s">
        <v>23600</v>
      </c>
      <c r="G6262" s="27" t="s">
        <v>13045</v>
      </c>
      <c r="H6262" s="28" t="s">
        <v>13046</v>
      </c>
      <c r="I6262" s="5" t="s">
        <v>2601</v>
      </c>
    </row>
    <row r="6263" spans="1:9" ht="51.75" customHeight="1">
      <c r="A6263" s="5" t="s">
        <v>34534</v>
      </c>
      <c r="B6263" s="5" t="s">
        <v>40600</v>
      </c>
      <c r="C6263" s="5" t="s">
        <v>40601</v>
      </c>
      <c r="D6263" s="246">
        <v>43007</v>
      </c>
      <c r="E6263" s="5" t="s">
        <v>40602</v>
      </c>
      <c r="F6263" s="26" t="s">
        <v>23600</v>
      </c>
      <c r="G6263" s="27" t="s">
        <v>13045</v>
      </c>
      <c r="H6263" s="28" t="s">
        <v>13046</v>
      </c>
      <c r="I6263" s="5" t="s">
        <v>2601</v>
      </c>
    </row>
    <row r="6264" spans="1:9" ht="51.75" customHeight="1">
      <c r="A6264" s="5" t="s">
        <v>29056</v>
      </c>
      <c r="B6264" s="5" t="s">
        <v>40603</v>
      </c>
      <c r="C6264" s="5" t="s">
        <v>40604</v>
      </c>
      <c r="D6264" s="246">
        <v>43007</v>
      </c>
      <c r="E6264" s="5" t="s">
        <v>40605</v>
      </c>
      <c r="F6264" s="26" t="s">
        <v>23600</v>
      </c>
      <c r="G6264" s="27" t="s">
        <v>13045</v>
      </c>
      <c r="H6264" s="28" t="s">
        <v>13046</v>
      </c>
      <c r="I6264" s="5" t="s">
        <v>2601</v>
      </c>
    </row>
    <row r="6265" spans="1:9" ht="51.75" customHeight="1">
      <c r="A6265" s="5" t="s">
        <v>28428</v>
      </c>
      <c r="B6265" s="5" t="s">
        <v>40606</v>
      </c>
      <c r="C6265" s="5" t="s">
        <v>40607</v>
      </c>
      <c r="D6265" s="246">
        <v>43007</v>
      </c>
      <c r="E6265" s="5" t="s">
        <v>40608</v>
      </c>
      <c r="F6265" s="26" t="s">
        <v>23600</v>
      </c>
      <c r="G6265" s="27" t="s">
        <v>13045</v>
      </c>
      <c r="H6265" s="28" t="s">
        <v>13046</v>
      </c>
      <c r="I6265" s="5" t="s">
        <v>2601</v>
      </c>
    </row>
    <row r="6266" spans="1:9" ht="51.75" customHeight="1">
      <c r="A6266" s="5" t="s">
        <v>28431</v>
      </c>
      <c r="B6266" s="5" t="s">
        <v>40609</v>
      </c>
      <c r="C6266" s="5" t="s">
        <v>40610</v>
      </c>
      <c r="D6266" s="246">
        <v>42979</v>
      </c>
      <c r="E6266" s="5" t="s">
        <v>40611</v>
      </c>
      <c r="F6266" s="26" t="s">
        <v>23600</v>
      </c>
      <c r="G6266" s="27" t="s">
        <v>13045</v>
      </c>
      <c r="H6266" s="28" t="s">
        <v>13046</v>
      </c>
      <c r="I6266" s="5" t="s">
        <v>2601</v>
      </c>
    </row>
    <row r="6267" spans="1:9" ht="51.75" customHeight="1">
      <c r="A6267" s="5" t="s">
        <v>28434</v>
      </c>
      <c r="B6267" s="5" t="s">
        <v>40612</v>
      </c>
      <c r="C6267" s="5" t="s">
        <v>40613</v>
      </c>
      <c r="D6267" s="246">
        <v>43007</v>
      </c>
      <c r="E6267" s="5" t="s">
        <v>40614</v>
      </c>
      <c r="F6267" s="26" t="s">
        <v>23600</v>
      </c>
      <c r="G6267" s="27" t="s">
        <v>13045</v>
      </c>
      <c r="H6267" s="28" t="s">
        <v>13046</v>
      </c>
      <c r="I6267" s="5" t="s">
        <v>2601</v>
      </c>
    </row>
    <row r="6268" spans="1:9" ht="51.75" customHeight="1">
      <c r="A6268" s="5" t="s">
        <v>28437</v>
      </c>
      <c r="B6268" s="5" t="s">
        <v>40615</v>
      </c>
      <c r="C6268" s="5" t="s">
        <v>40616</v>
      </c>
      <c r="D6268" s="246">
        <v>43007</v>
      </c>
      <c r="E6268" s="5" t="s">
        <v>40617</v>
      </c>
      <c r="F6268" s="26" t="s">
        <v>23600</v>
      </c>
      <c r="G6268" s="27" t="s">
        <v>13045</v>
      </c>
      <c r="H6268" s="28" t="s">
        <v>13046</v>
      </c>
      <c r="I6268" s="5" t="s">
        <v>2601</v>
      </c>
    </row>
    <row r="6269" spans="1:9" ht="51.75" customHeight="1">
      <c r="A6269" s="5" t="s">
        <v>28440</v>
      </c>
      <c r="B6269" s="5" t="s">
        <v>40618</v>
      </c>
      <c r="C6269" s="5" t="s">
        <v>40619</v>
      </c>
      <c r="D6269" s="246">
        <v>42979</v>
      </c>
      <c r="E6269" s="5" t="s">
        <v>40620</v>
      </c>
      <c r="F6269" s="26" t="s">
        <v>23600</v>
      </c>
      <c r="G6269" s="27" t="s">
        <v>13045</v>
      </c>
      <c r="H6269" s="28" t="s">
        <v>13046</v>
      </c>
      <c r="I6269" s="5" t="s">
        <v>2601</v>
      </c>
    </row>
    <row r="6270" spans="1:9" ht="51.75" customHeight="1">
      <c r="A6270" s="5" t="s">
        <v>29066</v>
      </c>
      <c r="B6270" s="5" t="s">
        <v>40621</v>
      </c>
      <c r="C6270" s="5" t="s">
        <v>40622</v>
      </c>
      <c r="D6270" s="246">
        <v>43007</v>
      </c>
      <c r="E6270" s="5" t="s">
        <v>40623</v>
      </c>
      <c r="F6270" s="26" t="s">
        <v>23600</v>
      </c>
      <c r="G6270" s="27" t="s">
        <v>13045</v>
      </c>
      <c r="H6270" s="28" t="s">
        <v>13046</v>
      </c>
      <c r="I6270" s="5" t="s">
        <v>2601</v>
      </c>
    </row>
    <row r="6271" spans="1:9" ht="51.75" customHeight="1">
      <c r="A6271" s="5" t="s">
        <v>24526</v>
      </c>
      <c r="B6271" s="5" t="s">
        <v>40624</v>
      </c>
      <c r="C6271" s="5" t="s">
        <v>40625</v>
      </c>
      <c r="D6271" s="246">
        <v>42979</v>
      </c>
      <c r="E6271" s="5" t="s">
        <v>40626</v>
      </c>
      <c r="F6271" s="26" t="s">
        <v>23600</v>
      </c>
      <c r="G6271" s="27" t="s">
        <v>13045</v>
      </c>
      <c r="H6271" s="28" t="s">
        <v>13046</v>
      </c>
      <c r="I6271" s="5" t="s">
        <v>2601</v>
      </c>
    </row>
    <row r="6272" spans="1:9" ht="51.75" customHeight="1">
      <c r="A6272" s="5" t="s">
        <v>28614</v>
      </c>
      <c r="B6272" s="5" t="s">
        <v>40627</v>
      </c>
      <c r="C6272" s="5" t="s">
        <v>40628</v>
      </c>
      <c r="D6272" s="246">
        <v>43007</v>
      </c>
      <c r="E6272" s="5" t="s">
        <v>40629</v>
      </c>
      <c r="F6272" s="26" t="s">
        <v>23600</v>
      </c>
      <c r="G6272" s="27" t="s">
        <v>13045</v>
      </c>
      <c r="H6272" s="28" t="s">
        <v>13046</v>
      </c>
      <c r="I6272" s="5" t="s">
        <v>2601</v>
      </c>
    </row>
    <row r="6273" spans="1:9" ht="51.75" customHeight="1">
      <c r="A6273" s="5" t="s">
        <v>26686</v>
      </c>
      <c r="B6273" s="5" t="s">
        <v>40630</v>
      </c>
      <c r="C6273" s="5" t="s">
        <v>40631</v>
      </c>
      <c r="D6273" s="246">
        <v>43007</v>
      </c>
      <c r="E6273" s="5" t="s">
        <v>40632</v>
      </c>
      <c r="F6273" s="26" t="s">
        <v>23600</v>
      </c>
      <c r="G6273" s="27" t="s">
        <v>13045</v>
      </c>
      <c r="H6273" s="28" t="s">
        <v>13046</v>
      </c>
      <c r="I6273" s="5" t="s">
        <v>2601</v>
      </c>
    </row>
    <row r="6274" spans="1:9" ht="51.75" customHeight="1">
      <c r="A6274" s="5" t="s">
        <v>23839</v>
      </c>
      <c r="B6274" s="5" t="s">
        <v>40633</v>
      </c>
      <c r="C6274" s="5" t="s">
        <v>40634</v>
      </c>
      <c r="D6274" s="246">
        <v>42956</v>
      </c>
      <c r="E6274" s="5" t="s">
        <v>40635</v>
      </c>
      <c r="F6274" s="26" t="s">
        <v>23600</v>
      </c>
      <c r="G6274" s="27" t="s">
        <v>13269</v>
      </c>
      <c r="H6274" s="28" t="s">
        <v>13270</v>
      </c>
      <c r="I6274" s="5" t="s">
        <v>2601</v>
      </c>
    </row>
    <row r="6275" spans="1:9" ht="51.75" customHeight="1">
      <c r="A6275" s="5" t="s">
        <v>23843</v>
      </c>
      <c r="B6275" s="5" t="s">
        <v>40636</v>
      </c>
      <c r="C6275" s="5" t="s">
        <v>40637</v>
      </c>
      <c r="D6275" s="246">
        <v>42956</v>
      </c>
      <c r="E6275" s="5" t="s">
        <v>40638</v>
      </c>
      <c r="F6275" s="26" t="s">
        <v>23600</v>
      </c>
      <c r="G6275" s="27" t="s">
        <v>13269</v>
      </c>
      <c r="H6275" s="28" t="s">
        <v>13270</v>
      </c>
      <c r="I6275" s="5" t="s">
        <v>2601</v>
      </c>
    </row>
    <row r="6276" spans="1:9" ht="51.75" customHeight="1">
      <c r="A6276" s="5" t="s">
        <v>23915</v>
      </c>
      <c r="B6276" s="5" t="s">
        <v>40639</v>
      </c>
      <c r="C6276" s="5" t="s">
        <v>40640</v>
      </c>
      <c r="D6276" s="246">
        <v>42956</v>
      </c>
      <c r="E6276" s="5" t="s">
        <v>40641</v>
      </c>
      <c r="F6276" s="26" t="s">
        <v>23600</v>
      </c>
      <c r="G6276" s="27" t="s">
        <v>13269</v>
      </c>
      <c r="H6276" s="28" t="s">
        <v>13270</v>
      </c>
      <c r="I6276" s="5" t="s">
        <v>2601</v>
      </c>
    </row>
    <row r="6277" spans="1:9" ht="51.75" customHeight="1">
      <c r="A6277" s="5" t="s">
        <v>23956</v>
      </c>
      <c r="B6277" s="5" t="s">
        <v>40642</v>
      </c>
      <c r="C6277" s="5" t="s">
        <v>40643</v>
      </c>
      <c r="D6277" s="246">
        <v>42977</v>
      </c>
      <c r="E6277" s="5" t="s">
        <v>40644</v>
      </c>
      <c r="F6277" s="26" t="s">
        <v>23600</v>
      </c>
      <c r="G6277" s="27" t="s">
        <v>13607</v>
      </c>
      <c r="H6277" s="28" t="s">
        <v>13608</v>
      </c>
      <c r="I6277" s="5" t="s">
        <v>2601</v>
      </c>
    </row>
    <row r="6278" spans="1:9" ht="51.75" customHeight="1">
      <c r="A6278" s="5" t="s">
        <v>25666</v>
      </c>
      <c r="B6278" s="5" t="s">
        <v>40645</v>
      </c>
      <c r="C6278" s="5" t="s">
        <v>40646</v>
      </c>
      <c r="D6278" s="246">
        <v>42977</v>
      </c>
      <c r="E6278" s="5" t="s">
        <v>40647</v>
      </c>
      <c r="F6278" s="26" t="s">
        <v>23600</v>
      </c>
      <c r="G6278" s="27" t="s">
        <v>13607</v>
      </c>
      <c r="H6278" s="28" t="s">
        <v>13608</v>
      </c>
      <c r="I6278" s="5" t="s">
        <v>2601</v>
      </c>
    </row>
    <row r="6279" spans="1:9" ht="51.75" customHeight="1">
      <c r="A6279" s="5" t="s">
        <v>25358</v>
      </c>
      <c r="B6279" s="5" t="s">
        <v>40648</v>
      </c>
      <c r="C6279" s="5" t="s">
        <v>40649</v>
      </c>
      <c r="D6279" s="246">
        <v>42977</v>
      </c>
      <c r="E6279" s="5" t="s">
        <v>40650</v>
      </c>
      <c r="F6279" s="26" t="s">
        <v>23600</v>
      </c>
      <c r="G6279" s="27" t="s">
        <v>13607</v>
      </c>
      <c r="H6279" s="28" t="s">
        <v>13608</v>
      </c>
      <c r="I6279" s="5" t="s">
        <v>2601</v>
      </c>
    </row>
    <row r="6280" spans="1:9" ht="51.75" customHeight="1">
      <c r="A6280" s="5" t="s">
        <v>24932</v>
      </c>
      <c r="B6280" s="5" t="s">
        <v>40651</v>
      </c>
      <c r="C6280" s="5" t="s">
        <v>40652</v>
      </c>
      <c r="D6280" s="246">
        <v>43089</v>
      </c>
      <c r="E6280" s="5" t="s">
        <v>40653</v>
      </c>
      <c r="F6280" s="26" t="s">
        <v>23600</v>
      </c>
      <c r="G6280" s="27" t="s">
        <v>14198</v>
      </c>
      <c r="H6280" s="28" t="s">
        <v>14199</v>
      </c>
      <c r="I6280" s="5" t="s">
        <v>2601</v>
      </c>
    </row>
    <row r="6281" spans="1:9" ht="51.75" customHeight="1">
      <c r="A6281" s="5" t="s">
        <v>26310</v>
      </c>
      <c r="B6281" s="5" t="s">
        <v>40654</v>
      </c>
      <c r="C6281" s="5" t="s">
        <v>40655</v>
      </c>
      <c r="D6281" s="246">
        <v>43089</v>
      </c>
      <c r="E6281" s="5" t="s">
        <v>40656</v>
      </c>
      <c r="F6281" s="26" t="s">
        <v>23600</v>
      </c>
      <c r="G6281" s="27" t="s">
        <v>14198</v>
      </c>
      <c r="H6281" s="28" t="s">
        <v>14199</v>
      </c>
      <c r="I6281" s="5" t="s">
        <v>2601</v>
      </c>
    </row>
    <row r="6282" spans="1:9" ht="51.75" customHeight="1">
      <c r="A6282" s="5" t="s">
        <v>26316</v>
      </c>
      <c r="B6282" s="5" t="s">
        <v>40657</v>
      </c>
      <c r="C6282" s="5" t="s">
        <v>40658</v>
      </c>
      <c r="D6282" s="246">
        <v>43089</v>
      </c>
      <c r="E6282" s="5" t="s">
        <v>40659</v>
      </c>
      <c r="F6282" s="26" t="s">
        <v>23600</v>
      </c>
      <c r="G6282" s="27" t="s">
        <v>14198</v>
      </c>
      <c r="H6282" s="28" t="s">
        <v>14199</v>
      </c>
      <c r="I6282" s="5" t="s">
        <v>2601</v>
      </c>
    </row>
    <row r="6283" spans="1:9" ht="51.75" customHeight="1">
      <c r="A6283" s="5" t="s">
        <v>26993</v>
      </c>
      <c r="B6283" s="5" t="s">
        <v>40660</v>
      </c>
      <c r="C6283" s="5" t="s">
        <v>40661</v>
      </c>
      <c r="D6283" s="246">
        <v>43089</v>
      </c>
      <c r="E6283" s="5" t="s">
        <v>40662</v>
      </c>
      <c r="F6283" s="26" t="s">
        <v>23600</v>
      </c>
      <c r="G6283" s="27" t="s">
        <v>14198</v>
      </c>
      <c r="H6283" s="28" t="s">
        <v>14199</v>
      </c>
      <c r="I6283" s="5" t="s">
        <v>2601</v>
      </c>
    </row>
    <row r="6284" spans="1:9" ht="51.75" customHeight="1">
      <c r="A6284" s="5" t="s">
        <v>26952</v>
      </c>
      <c r="B6284" s="5" t="s">
        <v>40663</v>
      </c>
      <c r="C6284" s="5" t="s">
        <v>40664</v>
      </c>
      <c r="D6284" s="246">
        <v>43455</v>
      </c>
      <c r="E6284" s="5" t="s">
        <v>40665</v>
      </c>
      <c r="F6284" s="26" t="s">
        <v>23600</v>
      </c>
      <c r="G6284" s="27" t="s">
        <v>14949</v>
      </c>
      <c r="H6284" s="28" t="s">
        <v>14950</v>
      </c>
      <c r="I6284" s="5" t="s">
        <v>2601</v>
      </c>
    </row>
    <row r="6285" spans="1:9" ht="51.75" customHeight="1">
      <c r="A6285" s="5" t="s">
        <v>26958</v>
      </c>
      <c r="B6285" s="5" t="s">
        <v>40666</v>
      </c>
      <c r="C6285" s="5" t="s">
        <v>40667</v>
      </c>
      <c r="D6285" s="246">
        <v>43455</v>
      </c>
      <c r="E6285" s="5" t="s">
        <v>40668</v>
      </c>
      <c r="F6285" s="26" t="s">
        <v>23600</v>
      </c>
      <c r="G6285" s="27" t="s">
        <v>14949</v>
      </c>
      <c r="H6285" s="28" t="s">
        <v>14950</v>
      </c>
      <c r="I6285" s="5" t="s">
        <v>2601</v>
      </c>
    </row>
    <row r="6286" spans="1:9" ht="51.75" customHeight="1">
      <c r="A6286" s="5" t="s">
        <v>23608</v>
      </c>
      <c r="B6286" s="5" t="s">
        <v>40669</v>
      </c>
      <c r="C6286" s="5" t="s">
        <v>40670</v>
      </c>
      <c r="D6286" s="246">
        <v>43455</v>
      </c>
      <c r="E6286" s="5" t="s">
        <v>40671</v>
      </c>
      <c r="F6286" s="26" t="s">
        <v>23600</v>
      </c>
      <c r="G6286" s="27" t="s">
        <v>14949</v>
      </c>
      <c r="H6286" s="28" t="s">
        <v>14950</v>
      </c>
      <c r="I6286" s="5" t="s">
        <v>2601</v>
      </c>
    </row>
    <row r="6287" spans="1:9" ht="51.75" customHeight="1">
      <c r="A6287" s="5" t="s">
        <v>27211</v>
      </c>
      <c r="B6287" s="5" t="s">
        <v>40672</v>
      </c>
      <c r="C6287" s="5" t="s">
        <v>40673</v>
      </c>
      <c r="D6287" s="246">
        <v>43455</v>
      </c>
      <c r="E6287" s="5" t="s">
        <v>40674</v>
      </c>
      <c r="F6287" s="26" t="s">
        <v>23600</v>
      </c>
      <c r="G6287" s="27" t="s">
        <v>14949</v>
      </c>
      <c r="H6287" s="28" t="s">
        <v>14950</v>
      </c>
      <c r="I6287" s="5" t="s">
        <v>2601</v>
      </c>
    </row>
    <row r="6288" spans="1:9" ht="51.75" customHeight="1">
      <c r="A6288" s="5" t="s">
        <v>27217</v>
      </c>
      <c r="B6288" s="5" t="s">
        <v>40675</v>
      </c>
      <c r="C6288" s="5" t="s">
        <v>40676</v>
      </c>
      <c r="D6288" s="246">
        <v>43455</v>
      </c>
      <c r="E6288" s="5" t="s">
        <v>40677</v>
      </c>
      <c r="F6288" s="26" t="s">
        <v>23600</v>
      </c>
      <c r="G6288" s="27" t="s">
        <v>14949</v>
      </c>
      <c r="H6288" s="28" t="s">
        <v>14950</v>
      </c>
      <c r="I6288" s="5" t="s">
        <v>2601</v>
      </c>
    </row>
    <row r="6289" spans="1:9" ht="51.75" customHeight="1">
      <c r="A6289" s="5" t="s">
        <v>23748</v>
      </c>
      <c r="B6289" s="5" t="s">
        <v>40678</v>
      </c>
      <c r="C6289" s="5" t="s">
        <v>40679</v>
      </c>
      <c r="D6289" s="246">
        <v>43455</v>
      </c>
      <c r="E6289" s="5" t="s">
        <v>40680</v>
      </c>
      <c r="F6289" s="26" t="s">
        <v>23600</v>
      </c>
      <c r="G6289" s="27" t="s">
        <v>14949</v>
      </c>
      <c r="H6289" s="28" t="s">
        <v>14950</v>
      </c>
      <c r="I6289" s="5" t="s">
        <v>2601</v>
      </c>
    </row>
    <row r="6290" spans="1:9" ht="51.75" customHeight="1">
      <c r="A6290" s="5" t="s">
        <v>23716</v>
      </c>
      <c r="B6290" s="5" t="s">
        <v>40681</v>
      </c>
      <c r="C6290" s="5" t="s">
        <v>40682</v>
      </c>
      <c r="D6290" s="246">
        <v>43455</v>
      </c>
      <c r="E6290" s="5" t="s">
        <v>40683</v>
      </c>
      <c r="F6290" s="26" t="s">
        <v>23600</v>
      </c>
      <c r="G6290" s="27" t="s">
        <v>14949</v>
      </c>
      <c r="H6290" s="28" t="s">
        <v>14950</v>
      </c>
      <c r="I6290" s="5" t="s">
        <v>2601</v>
      </c>
    </row>
    <row r="6291" spans="1:9" ht="51.75" customHeight="1">
      <c r="A6291" s="5" t="s">
        <v>23720</v>
      </c>
      <c r="B6291" s="5" t="s">
        <v>40684</v>
      </c>
      <c r="C6291" s="5" t="s">
        <v>40685</v>
      </c>
      <c r="D6291" s="246">
        <v>43455</v>
      </c>
      <c r="E6291" s="5" t="s">
        <v>40686</v>
      </c>
      <c r="F6291" s="26" t="s">
        <v>23600</v>
      </c>
      <c r="G6291" s="27" t="s">
        <v>14949</v>
      </c>
      <c r="H6291" s="28" t="s">
        <v>14950</v>
      </c>
      <c r="I6291" s="5" t="s">
        <v>2601</v>
      </c>
    </row>
    <row r="6292" spans="1:9" ht="51.75" customHeight="1">
      <c r="A6292" s="5" t="s">
        <v>24192</v>
      </c>
      <c r="B6292" s="5" t="s">
        <v>40687</v>
      </c>
      <c r="C6292" s="5" t="s">
        <v>40688</v>
      </c>
      <c r="D6292" s="246">
        <v>43495</v>
      </c>
      <c r="E6292" s="5" t="s">
        <v>40689</v>
      </c>
      <c r="F6292" s="26" t="s">
        <v>23600</v>
      </c>
      <c r="G6292" s="27" t="s">
        <v>15063</v>
      </c>
      <c r="H6292" s="28" t="s">
        <v>15064</v>
      </c>
      <c r="I6292" s="5" t="s">
        <v>2601</v>
      </c>
    </row>
    <row r="6293" spans="1:9" ht="51.75" customHeight="1">
      <c r="A6293" s="5" t="s">
        <v>24196</v>
      </c>
      <c r="B6293" s="5" t="s">
        <v>40690</v>
      </c>
      <c r="C6293" s="5" t="s">
        <v>40691</v>
      </c>
      <c r="D6293" s="246">
        <v>43495</v>
      </c>
      <c r="E6293" s="5" t="s">
        <v>40692</v>
      </c>
      <c r="F6293" s="26" t="s">
        <v>23600</v>
      </c>
      <c r="G6293" s="27" t="s">
        <v>15063</v>
      </c>
      <c r="H6293" s="28" t="s">
        <v>15064</v>
      </c>
      <c r="I6293" s="5" t="s">
        <v>2601</v>
      </c>
    </row>
    <row r="6294" spans="1:9" ht="51.75" customHeight="1">
      <c r="A6294" s="5" t="s">
        <v>26115</v>
      </c>
      <c r="B6294" s="5" t="s">
        <v>40693</v>
      </c>
      <c r="C6294" s="5" t="s">
        <v>40694</v>
      </c>
      <c r="D6294" s="246">
        <v>43495</v>
      </c>
      <c r="E6294" s="5" t="s">
        <v>40695</v>
      </c>
      <c r="F6294" s="26" t="s">
        <v>23600</v>
      </c>
      <c r="G6294" s="27" t="s">
        <v>15063</v>
      </c>
      <c r="H6294" s="28" t="s">
        <v>15064</v>
      </c>
      <c r="I6294" s="5" t="s">
        <v>2601</v>
      </c>
    </row>
    <row r="6295" spans="1:9" ht="51.75" customHeight="1">
      <c r="A6295" s="5" t="s">
        <v>24624</v>
      </c>
      <c r="B6295" s="5" t="s">
        <v>40696</v>
      </c>
      <c r="C6295" s="5" t="s">
        <v>40697</v>
      </c>
      <c r="D6295" s="246">
        <v>43605</v>
      </c>
      <c r="E6295" s="5" t="s">
        <v>40698</v>
      </c>
      <c r="F6295" s="26" t="s">
        <v>23600</v>
      </c>
      <c r="G6295" s="27" t="s">
        <v>15988</v>
      </c>
      <c r="H6295" s="28" t="s">
        <v>15989</v>
      </c>
      <c r="I6295" s="5" t="s">
        <v>2601</v>
      </c>
    </row>
    <row r="6296" spans="1:9" ht="51.75" customHeight="1">
      <c r="A6296" s="5" t="s">
        <v>26767</v>
      </c>
      <c r="B6296" s="5" t="s">
        <v>40699</v>
      </c>
      <c r="C6296" s="5" t="s">
        <v>40700</v>
      </c>
      <c r="D6296" s="246">
        <v>43605</v>
      </c>
      <c r="E6296" s="5" t="s">
        <v>40701</v>
      </c>
      <c r="F6296" s="26" t="s">
        <v>23600</v>
      </c>
      <c r="G6296" s="27" t="s">
        <v>15988</v>
      </c>
      <c r="H6296" s="28" t="s">
        <v>15989</v>
      </c>
      <c r="I6296" s="5" t="s">
        <v>2601</v>
      </c>
    </row>
    <row r="6297" spans="1:9" ht="51.75" customHeight="1">
      <c r="A6297" s="5" t="s">
        <v>26773</v>
      </c>
      <c r="B6297" s="5" t="s">
        <v>40702</v>
      </c>
      <c r="C6297" s="5" t="s">
        <v>40703</v>
      </c>
      <c r="D6297" s="246">
        <v>43605</v>
      </c>
      <c r="E6297" s="5" t="s">
        <v>40704</v>
      </c>
      <c r="F6297" s="26" t="s">
        <v>23600</v>
      </c>
      <c r="G6297" s="27" t="s">
        <v>15988</v>
      </c>
      <c r="H6297" s="28" t="s">
        <v>15989</v>
      </c>
      <c r="I6297" s="5" t="s">
        <v>2601</v>
      </c>
    </row>
    <row r="6298" spans="1:9" ht="51.75" customHeight="1">
      <c r="A6298" s="5" t="s">
        <v>40180</v>
      </c>
      <c r="B6298" s="5" t="s">
        <v>40705</v>
      </c>
      <c r="C6298" s="5" t="s">
        <v>40706</v>
      </c>
      <c r="D6298" s="246">
        <v>43677</v>
      </c>
      <c r="E6298" s="5" t="s">
        <v>40707</v>
      </c>
      <c r="F6298" s="26" t="s">
        <v>23600</v>
      </c>
      <c r="G6298" s="27" t="s">
        <v>16103</v>
      </c>
      <c r="H6298" s="28" t="s">
        <v>16104</v>
      </c>
      <c r="I6298" s="5" t="s">
        <v>2601</v>
      </c>
    </row>
    <row r="6299" spans="1:9" ht="51.75" customHeight="1">
      <c r="A6299" s="5" t="s">
        <v>40186</v>
      </c>
      <c r="B6299" s="5" t="s">
        <v>40708</v>
      </c>
      <c r="C6299" s="5" t="s">
        <v>40709</v>
      </c>
      <c r="D6299" s="246">
        <v>43677</v>
      </c>
      <c r="E6299" s="5" t="s">
        <v>40710</v>
      </c>
      <c r="F6299" s="26" t="s">
        <v>23600</v>
      </c>
      <c r="G6299" s="27" t="s">
        <v>16103</v>
      </c>
      <c r="H6299" s="28" t="s">
        <v>16104</v>
      </c>
      <c r="I6299" s="5" t="s">
        <v>2601</v>
      </c>
    </row>
    <row r="6300" spans="1:9" ht="51.75" customHeight="1">
      <c r="A6300" s="5" t="s">
        <v>40711</v>
      </c>
      <c r="B6300" s="5" t="s">
        <v>40712</v>
      </c>
      <c r="C6300" s="5" t="s">
        <v>40713</v>
      </c>
      <c r="D6300" s="246">
        <v>43677</v>
      </c>
      <c r="E6300" s="5" t="s">
        <v>40714</v>
      </c>
      <c r="F6300" s="26" t="s">
        <v>23600</v>
      </c>
      <c r="G6300" s="27" t="s">
        <v>16103</v>
      </c>
      <c r="H6300" s="28" t="s">
        <v>16104</v>
      </c>
      <c r="I6300" s="5" t="s">
        <v>2601</v>
      </c>
    </row>
    <row r="6301" spans="1:9" ht="51.75" customHeight="1">
      <c r="A6301" s="5" t="s">
        <v>40715</v>
      </c>
      <c r="B6301" s="5" t="s">
        <v>40716</v>
      </c>
      <c r="C6301" s="5" t="s">
        <v>40717</v>
      </c>
      <c r="D6301" s="246">
        <v>43677</v>
      </c>
      <c r="E6301" s="5" t="s">
        <v>40718</v>
      </c>
      <c r="F6301" s="26" t="s">
        <v>23600</v>
      </c>
      <c r="G6301" s="27" t="s">
        <v>16103</v>
      </c>
      <c r="H6301" s="28" t="s">
        <v>16104</v>
      </c>
      <c r="I6301" s="5" t="s">
        <v>2601</v>
      </c>
    </row>
    <row r="6302" spans="1:9" ht="51.75" customHeight="1">
      <c r="A6302" s="5" t="s">
        <v>26779</v>
      </c>
      <c r="B6302" s="5" t="s">
        <v>40719</v>
      </c>
      <c r="C6302" s="5" t="s">
        <v>40720</v>
      </c>
      <c r="D6302" s="246">
        <v>43651</v>
      </c>
      <c r="E6302" s="5" t="s">
        <v>40721</v>
      </c>
      <c r="F6302" s="26" t="s">
        <v>23600</v>
      </c>
      <c r="G6302" s="27" t="s">
        <v>16302</v>
      </c>
      <c r="H6302" s="28" t="s">
        <v>16303</v>
      </c>
      <c r="I6302" s="5" t="s">
        <v>2601</v>
      </c>
    </row>
    <row r="6303" spans="1:9" ht="51.75" customHeight="1">
      <c r="A6303" s="5" t="s">
        <v>26818</v>
      </c>
      <c r="B6303" s="5" t="s">
        <v>40722</v>
      </c>
      <c r="C6303" s="5" t="s">
        <v>40723</v>
      </c>
      <c r="D6303" s="246">
        <v>43651</v>
      </c>
      <c r="E6303" s="5" t="s">
        <v>40724</v>
      </c>
      <c r="F6303" s="26" t="s">
        <v>23600</v>
      </c>
      <c r="G6303" s="27" t="s">
        <v>16302</v>
      </c>
      <c r="H6303" s="28" t="s">
        <v>16303</v>
      </c>
      <c r="I6303" s="5" t="s">
        <v>2601</v>
      </c>
    </row>
    <row r="6304" spans="1:9" ht="51.75" customHeight="1">
      <c r="A6304" s="5" t="s">
        <v>24628</v>
      </c>
      <c r="B6304" s="5" t="s">
        <v>40725</v>
      </c>
      <c r="C6304" s="5" t="s">
        <v>40726</v>
      </c>
      <c r="D6304" s="246">
        <v>43651</v>
      </c>
      <c r="E6304" s="5" t="s">
        <v>40727</v>
      </c>
      <c r="F6304" s="26" t="s">
        <v>23600</v>
      </c>
      <c r="G6304" s="27" t="s">
        <v>16302</v>
      </c>
      <c r="H6304" s="28" t="s">
        <v>16303</v>
      </c>
      <c r="I6304" s="5" t="s">
        <v>2601</v>
      </c>
    </row>
    <row r="6305" spans="1:9" ht="51.75" customHeight="1">
      <c r="A6305" s="5" t="s">
        <v>24647</v>
      </c>
      <c r="B6305" s="5" t="s">
        <v>40728</v>
      </c>
      <c r="C6305" s="5" t="s">
        <v>40729</v>
      </c>
      <c r="D6305" s="246">
        <v>43651</v>
      </c>
      <c r="E6305" s="5" t="s">
        <v>40730</v>
      </c>
      <c r="F6305" s="26" t="s">
        <v>23600</v>
      </c>
      <c r="G6305" s="27" t="s">
        <v>16302</v>
      </c>
      <c r="H6305" s="28" t="s">
        <v>16303</v>
      </c>
      <c r="I6305" s="5" t="s">
        <v>2601</v>
      </c>
    </row>
    <row r="6306" spans="1:9" ht="51.75" customHeight="1">
      <c r="A6306" s="5" t="s">
        <v>40731</v>
      </c>
      <c r="B6306" s="5" t="s">
        <v>40732</v>
      </c>
      <c r="C6306" s="5" t="s">
        <v>40733</v>
      </c>
      <c r="D6306" s="246">
        <v>43789</v>
      </c>
      <c r="E6306" s="5" t="s">
        <v>40734</v>
      </c>
      <c r="F6306" s="26" t="s">
        <v>23600</v>
      </c>
      <c r="G6306" s="27" t="s">
        <v>16775</v>
      </c>
      <c r="H6306" s="28" t="s">
        <v>16776</v>
      </c>
      <c r="I6306" s="5" t="s">
        <v>2601</v>
      </c>
    </row>
    <row r="6307" spans="1:9" ht="51.75" customHeight="1">
      <c r="A6307" s="5" t="s">
        <v>40735</v>
      </c>
      <c r="B6307" s="5" t="s">
        <v>40736</v>
      </c>
      <c r="C6307" s="5" t="s">
        <v>40737</v>
      </c>
      <c r="D6307" s="246">
        <v>43789</v>
      </c>
      <c r="E6307" s="5" t="s">
        <v>40738</v>
      </c>
      <c r="F6307" s="26" t="s">
        <v>23600</v>
      </c>
      <c r="G6307" s="27" t="s">
        <v>16775</v>
      </c>
      <c r="H6307" s="28" t="s">
        <v>16776</v>
      </c>
      <c r="I6307" s="5" t="s">
        <v>2601</v>
      </c>
    </row>
    <row r="6308" spans="1:9" ht="51.75" customHeight="1">
      <c r="A6308" s="5" t="s">
        <v>25399</v>
      </c>
      <c r="B6308" s="5" t="s">
        <v>40739</v>
      </c>
      <c r="C6308" s="5" t="s">
        <v>40740</v>
      </c>
      <c r="D6308" s="246">
        <v>43789</v>
      </c>
      <c r="E6308" s="5" t="s">
        <v>40741</v>
      </c>
      <c r="F6308" s="26" t="s">
        <v>23600</v>
      </c>
      <c r="G6308" s="27" t="s">
        <v>16775</v>
      </c>
      <c r="H6308" s="28" t="s">
        <v>16776</v>
      </c>
      <c r="I6308" s="5" t="s">
        <v>2601</v>
      </c>
    </row>
    <row r="6309" spans="1:9" ht="51.75" customHeight="1">
      <c r="A6309" s="5" t="s">
        <v>25006</v>
      </c>
      <c r="B6309" s="5" t="s">
        <v>40742</v>
      </c>
      <c r="C6309" s="5" t="s">
        <v>40743</v>
      </c>
      <c r="D6309" s="246">
        <v>43789</v>
      </c>
      <c r="E6309" s="5" t="s">
        <v>40744</v>
      </c>
      <c r="F6309" s="26" t="s">
        <v>23600</v>
      </c>
      <c r="G6309" s="27" t="s">
        <v>16775</v>
      </c>
      <c r="H6309" s="28" t="s">
        <v>16776</v>
      </c>
      <c r="I6309" s="5" t="s">
        <v>2601</v>
      </c>
    </row>
    <row r="6310" spans="1:9" ht="51.75" customHeight="1">
      <c r="A6310" s="5" t="s">
        <v>27094</v>
      </c>
      <c r="B6310" s="5" t="s">
        <v>40745</v>
      </c>
      <c r="C6310" s="5" t="s">
        <v>40746</v>
      </c>
      <c r="D6310" s="246">
        <v>43861</v>
      </c>
      <c r="E6310" s="5" t="s">
        <v>40747</v>
      </c>
      <c r="F6310" s="26" t="s">
        <v>23600</v>
      </c>
      <c r="G6310" s="27" t="s">
        <v>17036</v>
      </c>
      <c r="H6310" s="28" t="s">
        <v>17037</v>
      </c>
      <c r="I6310" s="5" t="s">
        <v>2601</v>
      </c>
    </row>
    <row r="6311" spans="1:9" ht="51.75" customHeight="1">
      <c r="A6311" s="5" t="s">
        <v>27100</v>
      </c>
      <c r="B6311" s="5" t="s">
        <v>40748</v>
      </c>
      <c r="C6311" s="5" t="s">
        <v>40749</v>
      </c>
      <c r="D6311" s="246">
        <v>43861</v>
      </c>
      <c r="E6311" s="5" t="s">
        <v>40750</v>
      </c>
      <c r="F6311" s="26" t="s">
        <v>23600</v>
      </c>
      <c r="G6311" s="27" t="s">
        <v>17036</v>
      </c>
      <c r="H6311" s="28" t="s">
        <v>17037</v>
      </c>
      <c r="I6311" s="5" t="s">
        <v>2601</v>
      </c>
    </row>
    <row r="6312" spans="1:9" ht="51.75" customHeight="1">
      <c r="A6312" s="5" t="s">
        <v>25316</v>
      </c>
      <c r="B6312" s="5" t="s">
        <v>40751</v>
      </c>
      <c r="C6312" s="5" t="s">
        <v>40752</v>
      </c>
      <c r="D6312" s="246">
        <v>43861</v>
      </c>
      <c r="E6312" s="5" t="s">
        <v>40753</v>
      </c>
      <c r="F6312" s="26" t="s">
        <v>23600</v>
      </c>
      <c r="G6312" s="27" t="s">
        <v>17036</v>
      </c>
      <c r="H6312" s="28" t="s">
        <v>17037</v>
      </c>
      <c r="I6312" s="5" t="s">
        <v>2601</v>
      </c>
    </row>
    <row r="6313" spans="1:9" ht="51.75" customHeight="1">
      <c r="A6313" s="5" t="s">
        <v>27119</v>
      </c>
      <c r="B6313" s="5" t="s">
        <v>40754</v>
      </c>
      <c r="C6313" s="5" t="s">
        <v>40755</v>
      </c>
      <c r="D6313" s="246">
        <v>43861</v>
      </c>
      <c r="E6313" s="5" t="s">
        <v>40756</v>
      </c>
      <c r="F6313" s="26" t="s">
        <v>23600</v>
      </c>
      <c r="G6313" s="27" t="s">
        <v>17036</v>
      </c>
      <c r="H6313" s="28" t="s">
        <v>17037</v>
      </c>
      <c r="I6313" s="5" t="s">
        <v>2601</v>
      </c>
    </row>
    <row r="6314" spans="1:9" ht="51.75" customHeight="1">
      <c r="A6314" s="5"/>
      <c r="B6314" s="5" t="s">
        <v>40757</v>
      </c>
      <c r="C6314" s="5" t="s">
        <v>40758</v>
      </c>
      <c r="D6314" s="246">
        <v>43931</v>
      </c>
      <c r="E6314" s="5" t="s">
        <v>40759</v>
      </c>
      <c r="F6314" s="26" t="s">
        <v>23600</v>
      </c>
      <c r="G6314" s="27" t="s">
        <v>17130</v>
      </c>
      <c r="H6314" s="29" t="s">
        <v>17131</v>
      </c>
      <c r="I6314" s="30" t="s">
        <v>2601</v>
      </c>
    </row>
    <row r="6315" spans="1:9" ht="51.75" customHeight="1">
      <c r="A6315" s="5"/>
      <c r="B6315" s="5" t="s">
        <v>40760</v>
      </c>
      <c r="C6315" s="5" t="s">
        <v>40761</v>
      </c>
      <c r="D6315" s="246">
        <v>43931</v>
      </c>
      <c r="E6315" s="5" t="s">
        <v>40762</v>
      </c>
      <c r="F6315" s="26" t="s">
        <v>23600</v>
      </c>
      <c r="G6315" s="27" t="s">
        <v>17130</v>
      </c>
      <c r="H6315" s="29" t="s">
        <v>17131</v>
      </c>
      <c r="I6315" s="30" t="s">
        <v>2601</v>
      </c>
    </row>
    <row r="6316" spans="1:9" ht="51.75" customHeight="1">
      <c r="A6316" s="5"/>
      <c r="B6316" s="5" t="s">
        <v>40763</v>
      </c>
      <c r="C6316" s="5" t="s">
        <v>40764</v>
      </c>
      <c r="D6316" s="246">
        <v>43931</v>
      </c>
      <c r="E6316" s="5" t="s">
        <v>40765</v>
      </c>
      <c r="F6316" s="26" t="s">
        <v>23600</v>
      </c>
      <c r="G6316" s="27" t="s">
        <v>17130</v>
      </c>
      <c r="H6316" s="29" t="s">
        <v>17131</v>
      </c>
      <c r="I6316" s="30" t="s">
        <v>2601</v>
      </c>
    </row>
    <row r="6317" spans="1:9" ht="51.75" customHeight="1">
      <c r="A6317" s="5"/>
      <c r="B6317" s="5" t="s">
        <v>40766</v>
      </c>
      <c r="C6317" s="5" t="s">
        <v>40767</v>
      </c>
      <c r="D6317" s="246">
        <v>43931</v>
      </c>
      <c r="E6317" s="5" t="s">
        <v>40768</v>
      </c>
      <c r="F6317" s="26" t="s">
        <v>23600</v>
      </c>
      <c r="G6317" s="27" t="s">
        <v>17130</v>
      </c>
      <c r="H6317" s="29" t="s">
        <v>17131</v>
      </c>
      <c r="I6317" s="30" t="s">
        <v>2601</v>
      </c>
    </row>
    <row r="6318" spans="1:9" ht="51.75" customHeight="1">
      <c r="A6318" s="5">
        <v>1</v>
      </c>
      <c r="B6318" s="5" t="s">
        <v>40769</v>
      </c>
      <c r="C6318" s="5" t="s">
        <v>40770</v>
      </c>
      <c r="D6318" s="246">
        <v>40529</v>
      </c>
      <c r="E6318" s="5" t="s">
        <v>40770</v>
      </c>
      <c r="F6318" s="26"/>
      <c r="G6318" s="27" t="s">
        <v>5238</v>
      </c>
      <c r="H6318" s="28" t="s">
        <v>5239</v>
      </c>
      <c r="I6318" s="5" t="s">
        <v>2336</v>
      </c>
    </row>
    <row r="6319" spans="1:9" ht="51.75" customHeight="1">
      <c r="A6319" s="5">
        <v>2</v>
      </c>
      <c r="B6319" s="5" t="s">
        <v>40771</v>
      </c>
      <c r="C6319" s="5" t="s">
        <v>40772</v>
      </c>
      <c r="D6319" s="246">
        <v>40529</v>
      </c>
      <c r="E6319" s="5" t="s">
        <v>40773</v>
      </c>
      <c r="F6319" s="26"/>
      <c r="G6319" s="27" t="s">
        <v>5238</v>
      </c>
      <c r="H6319" s="28" t="s">
        <v>5239</v>
      </c>
      <c r="I6319" s="5" t="s">
        <v>2336</v>
      </c>
    </row>
    <row r="6320" spans="1:9" ht="51.75" customHeight="1">
      <c r="A6320" s="5">
        <v>3</v>
      </c>
      <c r="B6320" s="5" t="s">
        <v>40774</v>
      </c>
      <c r="C6320" s="5" t="s">
        <v>40775</v>
      </c>
      <c r="D6320" s="246">
        <v>40529</v>
      </c>
      <c r="E6320" s="5" t="s">
        <v>40776</v>
      </c>
      <c r="F6320" s="26"/>
      <c r="G6320" s="27" t="s">
        <v>5238</v>
      </c>
      <c r="H6320" s="28" t="s">
        <v>5239</v>
      </c>
      <c r="I6320" s="5" t="s">
        <v>2336</v>
      </c>
    </row>
    <row r="6321" spans="1:9" ht="51.75" customHeight="1">
      <c r="A6321" s="5">
        <v>4</v>
      </c>
      <c r="B6321" s="5" t="s">
        <v>40777</v>
      </c>
      <c r="C6321" s="5" t="s">
        <v>40778</v>
      </c>
      <c r="D6321" s="246">
        <v>40529</v>
      </c>
      <c r="E6321" s="5" t="s">
        <v>40779</v>
      </c>
      <c r="F6321" s="26"/>
      <c r="G6321" s="27" t="s">
        <v>5238</v>
      </c>
      <c r="H6321" s="28" t="s">
        <v>5239</v>
      </c>
      <c r="I6321" s="5" t="s">
        <v>2336</v>
      </c>
    </row>
    <row r="6322" spans="1:9" ht="51.75" customHeight="1">
      <c r="A6322" s="5">
        <v>5</v>
      </c>
      <c r="B6322" s="5" t="s">
        <v>40780</v>
      </c>
      <c r="C6322" s="5" t="s">
        <v>40781</v>
      </c>
      <c r="D6322" s="246">
        <v>40529</v>
      </c>
      <c r="E6322" s="5" t="s">
        <v>40782</v>
      </c>
      <c r="F6322" s="26"/>
      <c r="G6322" s="27" t="s">
        <v>5238</v>
      </c>
      <c r="H6322" s="28" t="s">
        <v>5239</v>
      </c>
      <c r="I6322" s="5" t="s">
        <v>2336</v>
      </c>
    </row>
    <row r="6323" spans="1:9" ht="51.75" customHeight="1">
      <c r="A6323" s="5">
        <v>6</v>
      </c>
      <c r="B6323" s="5" t="s">
        <v>40783</v>
      </c>
      <c r="C6323" s="5" t="s">
        <v>40784</v>
      </c>
      <c r="D6323" s="246">
        <v>40529</v>
      </c>
      <c r="E6323" s="5" t="s">
        <v>40785</v>
      </c>
      <c r="F6323" s="26"/>
      <c r="G6323" s="27" t="s">
        <v>5238</v>
      </c>
      <c r="H6323" s="28" t="s">
        <v>5239</v>
      </c>
      <c r="I6323" s="5" t="s">
        <v>2336</v>
      </c>
    </row>
    <row r="6324" spans="1:9" ht="51.75" customHeight="1">
      <c r="A6324" s="5">
        <v>7</v>
      </c>
      <c r="B6324" s="5" t="s">
        <v>40786</v>
      </c>
      <c r="C6324" s="5" t="s">
        <v>40787</v>
      </c>
      <c r="D6324" s="246">
        <v>40529</v>
      </c>
      <c r="E6324" s="5" t="s">
        <v>40788</v>
      </c>
      <c r="F6324" s="26"/>
      <c r="G6324" s="27" t="s">
        <v>5238</v>
      </c>
      <c r="H6324" s="28" t="s">
        <v>5239</v>
      </c>
      <c r="I6324" s="5" t="s">
        <v>2336</v>
      </c>
    </row>
    <row r="6325" spans="1:9" ht="51.75" customHeight="1">
      <c r="A6325" s="5">
        <v>8</v>
      </c>
      <c r="B6325" s="5" t="s">
        <v>40789</v>
      </c>
      <c r="C6325" s="5" t="s">
        <v>40790</v>
      </c>
      <c r="D6325" s="246">
        <v>40529</v>
      </c>
      <c r="E6325" s="5" t="s">
        <v>40790</v>
      </c>
      <c r="F6325" s="26"/>
      <c r="G6325" s="27" t="s">
        <v>5238</v>
      </c>
      <c r="H6325" s="28" t="s">
        <v>5239</v>
      </c>
      <c r="I6325" s="5" t="s">
        <v>2336</v>
      </c>
    </row>
    <row r="6326" spans="1:9" ht="51.75" customHeight="1">
      <c r="A6326" s="5">
        <v>9</v>
      </c>
      <c r="B6326" s="5" t="s">
        <v>40791</v>
      </c>
      <c r="C6326" s="5" t="s">
        <v>40792</v>
      </c>
      <c r="D6326" s="246">
        <v>40529</v>
      </c>
      <c r="E6326" s="5" t="s">
        <v>40793</v>
      </c>
      <c r="F6326" s="26"/>
      <c r="G6326" s="27" t="s">
        <v>5238</v>
      </c>
      <c r="H6326" s="28" t="s">
        <v>5239</v>
      </c>
      <c r="I6326" s="5" t="s">
        <v>2336</v>
      </c>
    </row>
    <row r="6327" spans="1:9" ht="51.75" customHeight="1">
      <c r="A6327" s="5">
        <v>1</v>
      </c>
      <c r="B6327" s="5" t="s">
        <v>40794</v>
      </c>
      <c r="C6327" s="5" t="s">
        <v>40795</v>
      </c>
      <c r="D6327" s="246">
        <v>40731</v>
      </c>
      <c r="E6327" s="5" t="s">
        <v>40795</v>
      </c>
      <c r="F6327" s="26"/>
      <c r="G6327" s="27" t="s">
        <v>5085</v>
      </c>
      <c r="H6327" s="28" t="s">
        <v>5086</v>
      </c>
      <c r="I6327" s="5" t="s">
        <v>2336</v>
      </c>
    </row>
    <row r="6328" spans="1:9" ht="51.75" customHeight="1">
      <c r="A6328" s="5">
        <v>1</v>
      </c>
      <c r="B6328" s="5" t="s">
        <v>40796</v>
      </c>
      <c r="C6328" s="5" t="s">
        <v>40797</v>
      </c>
      <c r="D6328" s="246">
        <v>40473</v>
      </c>
      <c r="E6328" s="5" t="s">
        <v>40798</v>
      </c>
      <c r="F6328" s="26"/>
      <c r="G6328" s="27" t="s">
        <v>4882</v>
      </c>
      <c r="H6328" s="28" t="s">
        <v>4883</v>
      </c>
      <c r="I6328" s="5" t="s">
        <v>2336</v>
      </c>
    </row>
    <row r="6329" spans="1:9" ht="51.75" customHeight="1">
      <c r="A6329" s="5">
        <v>2</v>
      </c>
      <c r="B6329" s="5" t="s">
        <v>40799</v>
      </c>
      <c r="C6329" s="5" t="s">
        <v>40800</v>
      </c>
      <c r="D6329" s="246">
        <v>40473</v>
      </c>
      <c r="E6329" s="5" t="s">
        <v>40800</v>
      </c>
      <c r="F6329" s="26"/>
      <c r="G6329" s="27" t="s">
        <v>4882</v>
      </c>
      <c r="H6329" s="28" t="s">
        <v>4883</v>
      </c>
      <c r="I6329" s="5" t="s">
        <v>2336</v>
      </c>
    </row>
    <row r="6330" spans="1:9" ht="51.75" customHeight="1">
      <c r="A6330" s="5">
        <v>3</v>
      </c>
      <c r="B6330" s="5" t="s">
        <v>40801</v>
      </c>
      <c r="C6330" s="5" t="s">
        <v>40802</v>
      </c>
      <c r="D6330" s="246">
        <v>40473</v>
      </c>
      <c r="E6330" s="5" t="s">
        <v>40803</v>
      </c>
      <c r="F6330" s="26"/>
      <c r="G6330" s="27" t="s">
        <v>4882</v>
      </c>
      <c r="H6330" s="28" t="s">
        <v>4883</v>
      </c>
      <c r="I6330" s="5" t="s">
        <v>2336</v>
      </c>
    </row>
    <row r="6331" spans="1:9" ht="51.75" customHeight="1">
      <c r="A6331" s="5">
        <v>4</v>
      </c>
      <c r="B6331" s="5" t="s">
        <v>40804</v>
      </c>
      <c r="C6331" s="5" t="s">
        <v>40805</v>
      </c>
      <c r="D6331" s="246">
        <v>40473</v>
      </c>
      <c r="E6331" s="5" t="s">
        <v>40806</v>
      </c>
      <c r="F6331" s="26"/>
      <c r="G6331" s="27" t="s">
        <v>4882</v>
      </c>
      <c r="H6331" s="28" t="s">
        <v>4883</v>
      </c>
      <c r="I6331" s="5" t="s">
        <v>2336</v>
      </c>
    </row>
    <row r="6332" spans="1:9" ht="51.75" customHeight="1">
      <c r="A6332" s="5">
        <v>5</v>
      </c>
      <c r="B6332" s="5" t="s">
        <v>40807</v>
      </c>
      <c r="C6332" s="5" t="s">
        <v>40808</v>
      </c>
      <c r="D6332" s="246">
        <v>40473</v>
      </c>
      <c r="E6332" s="5" t="s">
        <v>40809</v>
      </c>
      <c r="F6332" s="26"/>
      <c r="G6332" s="27" t="s">
        <v>4882</v>
      </c>
      <c r="H6332" s="28" t="s">
        <v>4883</v>
      </c>
      <c r="I6332" s="5" t="s">
        <v>2336</v>
      </c>
    </row>
    <row r="6333" spans="1:9" ht="51.75" customHeight="1">
      <c r="A6333" s="5">
        <v>6</v>
      </c>
      <c r="B6333" s="5" t="s">
        <v>40810</v>
      </c>
      <c r="C6333" s="5" t="s">
        <v>40811</v>
      </c>
      <c r="D6333" s="246">
        <v>40473</v>
      </c>
      <c r="E6333" s="5" t="s">
        <v>40812</v>
      </c>
      <c r="F6333" s="26"/>
      <c r="G6333" s="27" t="s">
        <v>4882</v>
      </c>
      <c r="H6333" s="28" t="s">
        <v>4883</v>
      </c>
      <c r="I6333" s="5" t="s">
        <v>2336</v>
      </c>
    </row>
    <row r="6334" spans="1:9" ht="51.75" customHeight="1">
      <c r="A6334" s="5">
        <v>7</v>
      </c>
      <c r="B6334" s="5" t="s">
        <v>40813</v>
      </c>
      <c r="C6334" s="5" t="s">
        <v>40814</v>
      </c>
      <c r="D6334" s="246">
        <v>40473</v>
      </c>
      <c r="E6334" s="5" t="s">
        <v>40814</v>
      </c>
      <c r="F6334" s="26"/>
      <c r="G6334" s="27" t="s">
        <v>4882</v>
      </c>
      <c r="H6334" s="28" t="s">
        <v>4883</v>
      </c>
      <c r="I6334" s="5" t="s">
        <v>2336</v>
      </c>
    </row>
    <row r="6335" spans="1:9" ht="51.75" customHeight="1">
      <c r="A6335" s="5">
        <v>8</v>
      </c>
      <c r="B6335" s="5" t="s">
        <v>40815</v>
      </c>
      <c r="C6335" s="5" t="s">
        <v>40816</v>
      </c>
      <c r="D6335" s="246">
        <v>40473</v>
      </c>
      <c r="E6335" s="5" t="s">
        <v>40817</v>
      </c>
      <c r="F6335" s="26"/>
      <c r="G6335" s="27" t="s">
        <v>4882</v>
      </c>
      <c r="H6335" s="28" t="s">
        <v>4883</v>
      </c>
      <c r="I6335" s="5" t="s">
        <v>2336</v>
      </c>
    </row>
    <row r="6336" spans="1:9" ht="51.75" customHeight="1">
      <c r="A6336" s="5">
        <v>1</v>
      </c>
      <c r="B6336" s="5" t="s">
        <v>40818</v>
      </c>
      <c r="C6336" s="5" t="s">
        <v>40819</v>
      </c>
      <c r="D6336" s="246">
        <v>40351</v>
      </c>
      <c r="E6336" s="5" t="s">
        <v>40820</v>
      </c>
      <c r="F6336" s="26"/>
      <c r="G6336" s="27" t="s">
        <v>4553</v>
      </c>
      <c r="H6336" s="28" t="s">
        <v>4554</v>
      </c>
      <c r="I6336" s="5" t="s">
        <v>2336</v>
      </c>
    </row>
    <row r="6337" spans="1:9" ht="51.75" customHeight="1">
      <c r="A6337" s="5">
        <v>2</v>
      </c>
      <c r="B6337" s="5" t="s">
        <v>40821</v>
      </c>
      <c r="C6337" s="5" t="s">
        <v>40822</v>
      </c>
      <c r="D6337" s="246">
        <v>40351</v>
      </c>
      <c r="E6337" s="5" t="s">
        <v>40822</v>
      </c>
      <c r="F6337" s="26"/>
      <c r="G6337" s="27" t="s">
        <v>4553</v>
      </c>
      <c r="H6337" s="28" t="s">
        <v>4554</v>
      </c>
      <c r="I6337" s="5" t="s">
        <v>2336</v>
      </c>
    </row>
    <row r="6338" spans="1:9" ht="51.75" customHeight="1">
      <c r="A6338" s="5">
        <v>3</v>
      </c>
      <c r="B6338" s="5" t="s">
        <v>40823</v>
      </c>
      <c r="C6338" s="5" t="s">
        <v>40824</v>
      </c>
      <c r="D6338" s="246">
        <v>40351</v>
      </c>
      <c r="E6338" s="5" t="s">
        <v>40825</v>
      </c>
      <c r="F6338" s="26"/>
      <c r="G6338" s="27" t="s">
        <v>4553</v>
      </c>
      <c r="H6338" s="28" t="s">
        <v>4554</v>
      </c>
      <c r="I6338" s="5" t="s">
        <v>2336</v>
      </c>
    </row>
    <row r="6339" spans="1:9" ht="51.75" customHeight="1">
      <c r="A6339" s="5">
        <v>4</v>
      </c>
      <c r="B6339" s="5" t="s">
        <v>40826</v>
      </c>
      <c r="C6339" s="5" t="s">
        <v>40827</v>
      </c>
      <c r="D6339" s="246">
        <v>40351</v>
      </c>
      <c r="E6339" s="5" t="s">
        <v>40828</v>
      </c>
      <c r="F6339" s="26"/>
      <c r="G6339" s="27" t="s">
        <v>4553</v>
      </c>
      <c r="H6339" s="28" t="s">
        <v>4554</v>
      </c>
      <c r="I6339" s="5" t="s">
        <v>2336</v>
      </c>
    </row>
    <row r="6340" spans="1:9" ht="51.75" customHeight="1">
      <c r="A6340" s="5">
        <v>5</v>
      </c>
      <c r="B6340" s="5" t="s">
        <v>40829</v>
      </c>
      <c r="C6340" s="5" t="s">
        <v>40830</v>
      </c>
      <c r="D6340" s="246">
        <v>40351</v>
      </c>
      <c r="E6340" s="5" t="s">
        <v>40831</v>
      </c>
      <c r="F6340" s="26"/>
      <c r="G6340" s="27" t="s">
        <v>4553</v>
      </c>
      <c r="H6340" s="28" t="s">
        <v>4554</v>
      </c>
      <c r="I6340" s="5" t="s">
        <v>2336</v>
      </c>
    </row>
    <row r="6341" spans="1:9" ht="51.75" customHeight="1">
      <c r="A6341" s="5">
        <v>6</v>
      </c>
      <c r="B6341" s="5" t="s">
        <v>40832</v>
      </c>
      <c r="C6341" s="5" t="s">
        <v>40833</v>
      </c>
      <c r="D6341" s="246">
        <v>40351</v>
      </c>
      <c r="E6341" s="5" t="s">
        <v>40834</v>
      </c>
      <c r="F6341" s="26"/>
      <c r="G6341" s="27" t="s">
        <v>4553</v>
      </c>
      <c r="H6341" s="28" t="s">
        <v>4554</v>
      </c>
      <c r="I6341" s="5" t="s">
        <v>2336</v>
      </c>
    </row>
    <row r="6342" spans="1:9" ht="51.75" customHeight="1">
      <c r="A6342" s="5">
        <v>7</v>
      </c>
      <c r="B6342" s="5" t="s">
        <v>40835</v>
      </c>
      <c r="C6342" s="5" t="s">
        <v>40836</v>
      </c>
      <c r="D6342" s="246">
        <v>40351</v>
      </c>
      <c r="E6342" s="5" t="s">
        <v>40836</v>
      </c>
      <c r="F6342" s="26"/>
      <c r="G6342" s="27" t="s">
        <v>4553</v>
      </c>
      <c r="H6342" s="28" t="s">
        <v>4554</v>
      </c>
      <c r="I6342" s="5" t="s">
        <v>2336</v>
      </c>
    </row>
    <row r="6343" spans="1:9" ht="51.75" customHeight="1">
      <c r="A6343" s="5">
        <v>8</v>
      </c>
      <c r="B6343" s="5" t="s">
        <v>40837</v>
      </c>
      <c r="C6343" s="5" t="s">
        <v>40838</v>
      </c>
      <c r="D6343" s="246">
        <v>40351</v>
      </c>
      <c r="E6343" s="5" t="s">
        <v>40839</v>
      </c>
      <c r="F6343" s="26"/>
      <c r="G6343" s="27" t="s">
        <v>4553</v>
      </c>
      <c r="H6343" s="28" t="s">
        <v>4554</v>
      </c>
      <c r="I6343" s="5" t="s">
        <v>2336</v>
      </c>
    </row>
    <row r="6344" spans="1:9" ht="51.75" customHeight="1">
      <c r="A6344" s="5">
        <v>9</v>
      </c>
      <c r="B6344" s="5" t="s">
        <v>40840</v>
      </c>
      <c r="C6344" s="5" t="s">
        <v>40841</v>
      </c>
      <c r="D6344" s="246">
        <v>40351</v>
      </c>
      <c r="E6344" s="5" t="s">
        <v>40842</v>
      </c>
      <c r="F6344" s="26"/>
      <c r="G6344" s="27" t="s">
        <v>4553</v>
      </c>
      <c r="H6344" s="28" t="s">
        <v>4554</v>
      </c>
      <c r="I6344" s="5" t="s">
        <v>2336</v>
      </c>
    </row>
    <row r="6345" spans="1:9" ht="51.75" customHeight="1">
      <c r="A6345" s="5">
        <v>1</v>
      </c>
      <c r="B6345" s="5" t="s">
        <v>40843</v>
      </c>
      <c r="C6345" s="5" t="s">
        <v>40844</v>
      </c>
      <c r="D6345" s="246">
        <v>40242</v>
      </c>
      <c r="E6345" s="5" t="s">
        <v>40845</v>
      </c>
      <c r="F6345" s="26"/>
      <c r="G6345" s="27" t="s">
        <v>4054</v>
      </c>
      <c r="H6345" s="28" t="s">
        <v>4055</v>
      </c>
      <c r="I6345" s="5" t="s">
        <v>2336</v>
      </c>
    </row>
    <row r="6346" spans="1:9" ht="51.75" customHeight="1">
      <c r="A6346" s="5">
        <v>2</v>
      </c>
      <c r="B6346" s="5" t="s">
        <v>40846</v>
      </c>
      <c r="C6346" s="5" t="s">
        <v>40847</v>
      </c>
      <c r="D6346" s="246">
        <v>40242</v>
      </c>
      <c r="E6346" s="5" t="s">
        <v>40848</v>
      </c>
      <c r="F6346" s="26"/>
      <c r="G6346" s="27" t="s">
        <v>4054</v>
      </c>
      <c r="H6346" s="28" t="s">
        <v>4055</v>
      </c>
      <c r="I6346" s="5" t="s">
        <v>2336</v>
      </c>
    </row>
    <row r="6347" spans="1:9" ht="51.75" customHeight="1">
      <c r="A6347" s="5">
        <v>3</v>
      </c>
      <c r="B6347" s="5" t="s">
        <v>40849</v>
      </c>
      <c r="C6347" s="5" t="s">
        <v>40850</v>
      </c>
      <c r="D6347" s="246">
        <v>40242</v>
      </c>
      <c r="E6347" s="5" t="s">
        <v>40851</v>
      </c>
      <c r="F6347" s="26"/>
      <c r="G6347" s="27" t="s">
        <v>4054</v>
      </c>
      <c r="H6347" s="28" t="s">
        <v>4055</v>
      </c>
      <c r="I6347" s="5" t="s">
        <v>2336</v>
      </c>
    </row>
    <row r="6348" spans="1:9" ht="51.75" customHeight="1">
      <c r="A6348" s="5">
        <v>4</v>
      </c>
      <c r="B6348" s="5" t="s">
        <v>40852</v>
      </c>
      <c r="C6348" s="5" t="s">
        <v>40853</v>
      </c>
      <c r="D6348" s="246">
        <v>40242</v>
      </c>
      <c r="E6348" s="5" t="s">
        <v>40854</v>
      </c>
      <c r="F6348" s="26"/>
      <c r="G6348" s="27" t="s">
        <v>4054</v>
      </c>
      <c r="H6348" s="28" t="s">
        <v>4055</v>
      </c>
      <c r="I6348" s="5" t="s">
        <v>2336</v>
      </c>
    </row>
    <row r="6349" spans="1:9" ht="51.75" customHeight="1">
      <c r="A6349" s="5">
        <v>1</v>
      </c>
      <c r="B6349" s="5" t="s">
        <v>40855</v>
      </c>
      <c r="C6349" s="5" t="s">
        <v>40856</v>
      </c>
      <c r="D6349" s="246">
        <v>40367</v>
      </c>
      <c r="E6349" s="5" t="s">
        <v>40857</v>
      </c>
      <c r="F6349" s="26"/>
      <c r="G6349" s="27" t="s">
        <v>3991</v>
      </c>
      <c r="H6349" s="28" t="s">
        <v>3992</v>
      </c>
      <c r="I6349" s="5" t="s">
        <v>2336</v>
      </c>
    </row>
    <row r="6350" spans="1:9" ht="51.75" customHeight="1">
      <c r="A6350" s="5">
        <v>2</v>
      </c>
      <c r="B6350" s="5" t="s">
        <v>40858</v>
      </c>
      <c r="C6350" s="5" t="s">
        <v>40859</v>
      </c>
      <c r="D6350" s="246">
        <v>40367</v>
      </c>
      <c r="E6350" s="5" t="s">
        <v>40860</v>
      </c>
      <c r="F6350" s="26"/>
      <c r="G6350" s="27" t="s">
        <v>3991</v>
      </c>
      <c r="H6350" s="28" t="s">
        <v>3992</v>
      </c>
      <c r="I6350" s="5" t="s">
        <v>2336</v>
      </c>
    </row>
    <row r="6351" spans="1:9" ht="51.75" customHeight="1">
      <c r="A6351" s="5">
        <v>3</v>
      </c>
      <c r="B6351" s="5" t="s">
        <v>40861</v>
      </c>
      <c r="C6351" s="5" t="s">
        <v>40862</v>
      </c>
      <c r="D6351" s="246">
        <v>40367</v>
      </c>
      <c r="E6351" s="5" t="s">
        <v>40863</v>
      </c>
      <c r="F6351" s="26"/>
      <c r="G6351" s="27" t="s">
        <v>3991</v>
      </c>
      <c r="H6351" s="28" t="s">
        <v>3992</v>
      </c>
      <c r="I6351" s="5" t="s">
        <v>2336</v>
      </c>
    </row>
    <row r="6352" spans="1:9" ht="51.75" customHeight="1">
      <c r="A6352" s="5">
        <v>4</v>
      </c>
      <c r="B6352" s="5" t="s">
        <v>40864</v>
      </c>
      <c r="C6352" s="5" t="s">
        <v>40865</v>
      </c>
      <c r="D6352" s="246">
        <v>40367</v>
      </c>
      <c r="E6352" s="5" t="s">
        <v>40866</v>
      </c>
      <c r="F6352" s="26"/>
      <c r="G6352" s="27" t="s">
        <v>3991</v>
      </c>
      <c r="H6352" s="28" t="s">
        <v>3992</v>
      </c>
      <c r="I6352" s="5" t="s">
        <v>2336</v>
      </c>
    </row>
    <row r="6353" spans="1:9" ht="51.75" customHeight="1">
      <c r="A6353" s="5">
        <v>5</v>
      </c>
      <c r="B6353" s="5" t="s">
        <v>40867</v>
      </c>
      <c r="C6353" s="5" t="s">
        <v>40868</v>
      </c>
      <c r="D6353" s="246">
        <v>40367</v>
      </c>
      <c r="E6353" s="5" t="s">
        <v>40869</v>
      </c>
      <c r="F6353" s="26"/>
      <c r="G6353" s="27" t="s">
        <v>3991</v>
      </c>
      <c r="H6353" s="28" t="s">
        <v>3992</v>
      </c>
      <c r="I6353" s="5" t="s">
        <v>2336</v>
      </c>
    </row>
    <row r="6354" spans="1:9" ht="51.75" customHeight="1">
      <c r="A6354" s="5">
        <v>6</v>
      </c>
      <c r="B6354" s="5" t="s">
        <v>40870</v>
      </c>
      <c r="C6354" s="5" t="s">
        <v>40871</v>
      </c>
      <c r="D6354" s="246">
        <v>40367</v>
      </c>
      <c r="E6354" s="5" t="s">
        <v>40872</v>
      </c>
      <c r="F6354" s="26"/>
      <c r="G6354" s="27" t="s">
        <v>3991</v>
      </c>
      <c r="H6354" s="28" t="s">
        <v>3992</v>
      </c>
      <c r="I6354" s="5" t="s">
        <v>2336</v>
      </c>
    </row>
    <row r="6355" spans="1:9" ht="51.75" customHeight="1">
      <c r="A6355" s="5">
        <v>7</v>
      </c>
      <c r="B6355" s="5" t="s">
        <v>40873</v>
      </c>
      <c r="C6355" s="5" t="s">
        <v>40874</v>
      </c>
      <c r="D6355" s="246">
        <v>40367</v>
      </c>
      <c r="E6355" s="5" t="s">
        <v>40875</v>
      </c>
      <c r="F6355" s="26"/>
      <c r="G6355" s="27" t="s">
        <v>3991</v>
      </c>
      <c r="H6355" s="28" t="s">
        <v>3992</v>
      </c>
      <c r="I6355" s="5" t="s">
        <v>2336</v>
      </c>
    </row>
    <row r="6356" spans="1:9" ht="51.75" customHeight="1">
      <c r="A6356" s="5">
        <v>8</v>
      </c>
      <c r="B6356" s="5" t="s">
        <v>40876</v>
      </c>
      <c r="C6356" s="5" t="s">
        <v>40877</v>
      </c>
      <c r="D6356" s="246">
        <v>40367</v>
      </c>
      <c r="E6356" s="5" t="s">
        <v>40878</v>
      </c>
      <c r="F6356" s="26"/>
      <c r="G6356" s="27" t="s">
        <v>3991</v>
      </c>
      <c r="H6356" s="28" t="s">
        <v>3992</v>
      </c>
      <c r="I6356" s="5" t="s">
        <v>2336</v>
      </c>
    </row>
    <row r="6357" spans="1:9" ht="51.75" customHeight="1">
      <c r="A6357" s="5">
        <v>9</v>
      </c>
      <c r="B6357" s="5" t="s">
        <v>40879</v>
      </c>
      <c r="C6357" s="5" t="s">
        <v>40880</v>
      </c>
      <c r="D6357" s="246">
        <v>40367</v>
      </c>
      <c r="E6357" s="5" t="s">
        <v>40881</v>
      </c>
      <c r="F6357" s="26"/>
      <c r="G6357" s="27" t="s">
        <v>3991</v>
      </c>
      <c r="H6357" s="28" t="s">
        <v>3992</v>
      </c>
      <c r="I6357" s="5" t="s">
        <v>2336</v>
      </c>
    </row>
    <row r="6358" spans="1:9" ht="51.75" customHeight="1">
      <c r="A6358" s="5">
        <v>10</v>
      </c>
      <c r="B6358" s="5" t="s">
        <v>40882</v>
      </c>
      <c r="C6358" s="5" t="s">
        <v>40883</v>
      </c>
      <c r="D6358" s="246">
        <v>40367</v>
      </c>
      <c r="E6358" s="5" t="s">
        <v>40884</v>
      </c>
      <c r="F6358" s="26"/>
      <c r="G6358" s="27" t="s">
        <v>3991</v>
      </c>
      <c r="H6358" s="28" t="s">
        <v>3992</v>
      </c>
      <c r="I6358" s="5" t="s">
        <v>2336</v>
      </c>
    </row>
    <row r="6359" spans="1:9" ht="51.75" customHeight="1">
      <c r="A6359" s="5">
        <v>1</v>
      </c>
      <c r="B6359" s="5" t="s">
        <v>40885</v>
      </c>
      <c r="C6359" s="5" t="s">
        <v>40886</v>
      </c>
      <c r="D6359" s="246">
        <v>40234</v>
      </c>
      <c r="E6359" s="5" t="s">
        <v>40887</v>
      </c>
      <c r="F6359" s="26"/>
      <c r="G6359" s="27" t="s">
        <v>3728</v>
      </c>
      <c r="H6359" s="28" t="s">
        <v>3729</v>
      </c>
      <c r="I6359" s="5" t="s">
        <v>2336</v>
      </c>
    </row>
    <row r="6360" spans="1:9" ht="51.75" customHeight="1">
      <c r="A6360" s="5">
        <v>2</v>
      </c>
      <c r="B6360" s="5" t="s">
        <v>40888</v>
      </c>
      <c r="C6360" s="5" t="s">
        <v>40889</v>
      </c>
      <c r="D6360" s="246">
        <v>40234</v>
      </c>
      <c r="E6360" s="5" t="s">
        <v>40890</v>
      </c>
      <c r="F6360" s="26"/>
      <c r="G6360" s="27" t="s">
        <v>3728</v>
      </c>
      <c r="H6360" s="28" t="s">
        <v>3729</v>
      </c>
      <c r="I6360" s="5" t="s">
        <v>2336</v>
      </c>
    </row>
    <row r="6361" spans="1:9" ht="51.75" customHeight="1">
      <c r="A6361" s="5">
        <v>3</v>
      </c>
      <c r="B6361" s="5" t="s">
        <v>40891</v>
      </c>
      <c r="C6361" s="5" t="s">
        <v>40892</v>
      </c>
      <c r="D6361" s="246">
        <v>40234</v>
      </c>
      <c r="E6361" s="5" t="s">
        <v>40893</v>
      </c>
      <c r="F6361" s="26"/>
      <c r="G6361" s="27" t="s">
        <v>3728</v>
      </c>
      <c r="H6361" s="28" t="s">
        <v>3729</v>
      </c>
      <c r="I6361" s="5" t="s">
        <v>2336</v>
      </c>
    </row>
    <row r="6362" spans="1:9" ht="51.75" customHeight="1">
      <c r="A6362" s="5">
        <v>4</v>
      </c>
      <c r="B6362" s="5" t="s">
        <v>40894</v>
      </c>
      <c r="C6362" s="5" t="s">
        <v>40895</v>
      </c>
      <c r="D6362" s="246">
        <v>40234</v>
      </c>
      <c r="E6362" s="5" t="s">
        <v>40895</v>
      </c>
      <c r="F6362" s="26"/>
      <c r="G6362" s="27" t="s">
        <v>3728</v>
      </c>
      <c r="H6362" s="28" t="s">
        <v>3729</v>
      </c>
      <c r="I6362" s="5" t="s">
        <v>2336</v>
      </c>
    </row>
    <row r="6363" spans="1:9" ht="51.75" customHeight="1">
      <c r="A6363" s="5">
        <v>5</v>
      </c>
      <c r="B6363" s="5" t="s">
        <v>40896</v>
      </c>
      <c r="C6363" s="5" t="s">
        <v>40897</v>
      </c>
      <c r="D6363" s="246">
        <v>40234</v>
      </c>
      <c r="E6363" s="5" t="s">
        <v>40898</v>
      </c>
      <c r="F6363" s="26"/>
      <c r="G6363" s="27" t="s">
        <v>3728</v>
      </c>
      <c r="H6363" s="28" t="s">
        <v>3729</v>
      </c>
      <c r="I6363" s="5" t="s">
        <v>2336</v>
      </c>
    </row>
    <row r="6364" spans="1:9" ht="51.75" customHeight="1">
      <c r="A6364" s="5">
        <v>1</v>
      </c>
      <c r="B6364" s="5" t="s">
        <v>40899</v>
      </c>
      <c r="C6364" s="5" t="s">
        <v>40900</v>
      </c>
      <c r="D6364" s="246">
        <v>39948</v>
      </c>
      <c r="E6364" s="5" t="s">
        <v>40901</v>
      </c>
      <c r="F6364" s="26"/>
      <c r="G6364" s="27" t="s">
        <v>2971</v>
      </c>
      <c r="H6364" s="28" t="s">
        <v>2972</v>
      </c>
      <c r="I6364" s="5" t="s">
        <v>2336</v>
      </c>
    </row>
    <row r="6365" spans="1:9" ht="51.75" customHeight="1">
      <c r="A6365" s="5">
        <v>2</v>
      </c>
      <c r="B6365" s="5" t="s">
        <v>40902</v>
      </c>
      <c r="C6365" s="5" t="s">
        <v>40903</v>
      </c>
      <c r="D6365" s="246">
        <v>39948</v>
      </c>
      <c r="E6365" s="5" t="s">
        <v>40904</v>
      </c>
      <c r="F6365" s="26"/>
      <c r="G6365" s="27" t="s">
        <v>2971</v>
      </c>
      <c r="H6365" s="28" t="s">
        <v>2972</v>
      </c>
      <c r="I6365" s="5" t="s">
        <v>2336</v>
      </c>
    </row>
    <row r="6366" spans="1:9" ht="51.75" customHeight="1">
      <c r="A6366" s="5">
        <v>3</v>
      </c>
      <c r="B6366" s="5" t="s">
        <v>40905</v>
      </c>
      <c r="C6366" s="5" t="s">
        <v>40906</v>
      </c>
      <c r="D6366" s="246">
        <v>39948</v>
      </c>
      <c r="E6366" s="5" t="s">
        <v>40907</v>
      </c>
      <c r="F6366" s="26"/>
      <c r="G6366" s="27" t="s">
        <v>2971</v>
      </c>
      <c r="H6366" s="28" t="s">
        <v>2972</v>
      </c>
      <c r="I6366" s="5" t="s">
        <v>2336</v>
      </c>
    </row>
    <row r="6367" spans="1:9" ht="51.75" customHeight="1">
      <c r="A6367" s="5">
        <v>4</v>
      </c>
      <c r="B6367" s="5" t="s">
        <v>40908</v>
      </c>
      <c r="C6367" s="5" t="s">
        <v>40909</v>
      </c>
      <c r="D6367" s="246">
        <v>39948</v>
      </c>
      <c r="E6367" s="5" t="s">
        <v>40910</v>
      </c>
      <c r="F6367" s="26"/>
      <c r="G6367" s="27" t="s">
        <v>2971</v>
      </c>
      <c r="H6367" s="28" t="s">
        <v>2972</v>
      </c>
      <c r="I6367" s="5" t="s">
        <v>2336</v>
      </c>
    </row>
    <row r="6368" spans="1:9" ht="51.75" customHeight="1">
      <c r="A6368" s="5">
        <v>5</v>
      </c>
      <c r="B6368" s="5" t="s">
        <v>40911</v>
      </c>
      <c r="C6368" s="5" t="s">
        <v>40912</v>
      </c>
      <c r="D6368" s="246">
        <v>39948</v>
      </c>
      <c r="E6368" s="5" t="s">
        <v>40913</v>
      </c>
      <c r="F6368" s="26"/>
      <c r="G6368" s="27" t="s">
        <v>2971</v>
      </c>
      <c r="H6368" s="28" t="s">
        <v>2972</v>
      </c>
      <c r="I6368" s="5" t="s">
        <v>2336</v>
      </c>
    </row>
    <row r="6369" spans="1:9" ht="51.75" customHeight="1">
      <c r="A6369" s="5">
        <v>1</v>
      </c>
      <c r="B6369" s="5" t="s">
        <v>40914</v>
      </c>
      <c r="C6369" s="5" t="s">
        <v>40915</v>
      </c>
      <c r="D6369" s="246">
        <v>39751</v>
      </c>
      <c r="E6369" s="5" t="s">
        <v>40916</v>
      </c>
      <c r="F6369" s="26"/>
      <c r="G6369" s="27" t="s">
        <v>2941</v>
      </c>
      <c r="H6369" s="28" t="s">
        <v>2942</v>
      </c>
      <c r="I6369" s="5" t="s">
        <v>2336</v>
      </c>
    </row>
    <row r="6370" spans="1:9" ht="51.75" customHeight="1">
      <c r="A6370" s="5">
        <v>2</v>
      </c>
      <c r="B6370" s="5" t="s">
        <v>40917</v>
      </c>
      <c r="C6370" s="5" t="s">
        <v>40918</v>
      </c>
      <c r="D6370" s="246">
        <v>39751</v>
      </c>
      <c r="E6370" s="5" t="s">
        <v>40919</v>
      </c>
      <c r="F6370" s="26"/>
      <c r="G6370" s="27" t="s">
        <v>2941</v>
      </c>
      <c r="H6370" s="28" t="s">
        <v>2942</v>
      </c>
      <c r="I6370" s="5" t="s">
        <v>2336</v>
      </c>
    </row>
    <row r="6371" spans="1:9" ht="51.75" customHeight="1">
      <c r="A6371" s="5">
        <v>3</v>
      </c>
      <c r="B6371" s="5" t="s">
        <v>40920</v>
      </c>
      <c r="C6371" s="5" t="s">
        <v>40921</v>
      </c>
      <c r="D6371" s="246">
        <v>39751</v>
      </c>
      <c r="E6371" s="5" t="s">
        <v>40922</v>
      </c>
      <c r="F6371" s="26"/>
      <c r="G6371" s="27" t="s">
        <v>2941</v>
      </c>
      <c r="H6371" s="28" t="s">
        <v>2942</v>
      </c>
      <c r="I6371" s="5" t="s">
        <v>2336</v>
      </c>
    </row>
    <row r="6372" spans="1:9" ht="51.75" customHeight="1">
      <c r="A6372" s="5">
        <v>4</v>
      </c>
      <c r="B6372" s="5" t="s">
        <v>40923</v>
      </c>
      <c r="C6372" s="5" t="s">
        <v>40924</v>
      </c>
      <c r="D6372" s="246">
        <v>39751</v>
      </c>
      <c r="E6372" s="5" t="s">
        <v>40925</v>
      </c>
      <c r="F6372" s="26"/>
      <c r="G6372" s="27" t="s">
        <v>2941</v>
      </c>
      <c r="H6372" s="28" t="s">
        <v>2942</v>
      </c>
      <c r="I6372" s="5" t="s">
        <v>2336</v>
      </c>
    </row>
    <row r="6373" spans="1:9" ht="51.75" customHeight="1">
      <c r="A6373" s="5">
        <v>5</v>
      </c>
      <c r="B6373" s="5" t="s">
        <v>40926</v>
      </c>
      <c r="C6373" s="5" t="s">
        <v>40927</v>
      </c>
      <c r="D6373" s="246">
        <v>39751</v>
      </c>
      <c r="E6373" s="5" t="s">
        <v>40928</v>
      </c>
      <c r="F6373" s="26"/>
      <c r="G6373" s="27" t="s">
        <v>2941</v>
      </c>
      <c r="H6373" s="28" t="s">
        <v>2942</v>
      </c>
      <c r="I6373" s="5" t="s">
        <v>2336</v>
      </c>
    </row>
    <row r="6374" spans="1:9" ht="51.75" customHeight="1">
      <c r="A6374" s="5">
        <v>1</v>
      </c>
      <c r="B6374" s="5" t="s">
        <v>40929</v>
      </c>
      <c r="C6374" s="5" t="s">
        <v>40930</v>
      </c>
      <c r="D6374" s="246">
        <v>39751</v>
      </c>
      <c r="E6374" s="5" t="s">
        <v>40930</v>
      </c>
      <c r="F6374" s="26"/>
      <c r="G6374" s="27" t="s">
        <v>3302</v>
      </c>
      <c r="H6374" s="28" t="s">
        <v>3303</v>
      </c>
      <c r="I6374" s="5" t="s">
        <v>2336</v>
      </c>
    </row>
    <row r="6375" spans="1:9" ht="51.75" customHeight="1">
      <c r="A6375" s="5">
        <v>2</v>
      </c>
      <c r="B6375" s="5" t="s">
        <v>40931</v>
      </c>
      <c r="C6375" s="5" t="s">
        <v>40932</v>
      </c>
      <c r="D6375" s="246">
        <v>39751</v>
      </c>
      <c r="E6375" s="5" t="s">
        <v>40933</v>
      </c>
      <c r="F6375" s="26"/>
      <c r="G6375" s="27" t="s">
        <v>3302</v>
      </c>
      <c r="H6375" s="28" t="s">
        <v>3303</v>
      </c>
      <c r="I6375" s="5" t="s">
        <v>2336</v>
      </c>
    </row>
    <row r="6376" spans="1:9" ht="51.75" customHeight="1">
      <c r="A6376" s="5">
        <v>3</v>
      </c>
      <c r="B6376" s="5" t="s">
        <v>40934</v>
      </c>
      <c r="C6376" s="5" t="s">
        <v>40935</v>
      </c>
      <c r="D6376" s="246">
        <v>39751</v>
      </c>
      <c r="E6376" s="5" t="s">
        <v>40936</v>
      </c>
      <c r="F6376" s="26"/>
      <c r="G6376" s="27" t="s">
        <v>3302</v>
      </c>
      <c r="H6376" s="28" t="s">
        <v>3303</v>
      </c>
      <c r="I6376" s="5" t="s">
        <v>2336</v>
      </c>
    </row>
    <row r="6377" spans="1:9" ht="51.75" customHeight="1">
      <c r="A6377" s="5">
        <v>1</v>
      </c>
      <c r="B6377" s="5" t="s">
        <v>40937</v>
      </c>
      <c r="C6377" s="5" t="s">
        <v>40938</v>
      </c>
      <c r="D6377" s="246">
        <v>39588</v>
      </c>
      <c r="E6377" s="5" t="s">
        <v>40939</v>
      </c>
      <c r="F6377" s="26"/>
      <c r="G6377" s="27" t="s">
        <v>2334</v>
      </c>
      <c r="H6377" s="28" t="s">
        <v>2335</v>
      </c>
      <c r="I6377" s="5" t="s">
        <v>2336</v>
      </c>
    </row>
    <row r="6378" spans="1:9" ht="51.75" customHeight="1">
      <c r="A6378" s="5">
        <v>2</v>
      </c>
      <c r="B6378" s="5" t="s">
        <v>40940</v>
      </c>
      <c r="C6378" s="5" t="s">
        <v>40941</v>
      </c>
      <c r="D6378" s="246">
        <v>39588</v>
      </c>
      <c r="E6378" s="5" t="s">
        <v>40942</v>
      </c>
      <c r="F6378" s="26"/>
      <c r="G6378" s="27" t="s">
        <v>2334</v>
      </c>
      <c r="H6378" s="28" t="s">
        <v>2335</v>
      </c>
      <c r="I6378" s="5" t="s">
        <v>2336</v>
      </c>
    </row>
    <row r="6379" spans="1:9" ht="51.75" customHeight="1">
      <c r="A6379" s="5">
        <v>3</v>
      </c>
      <c r="B6379" s="5" t="s">
        <v>40943</v>
      </c>
      <c r="C6379" s="5" t="s">
        <v>40944</v>
      </c>
      <c r="D6379" s="246">
        <v>39588</v>
      </c>
      <c r="E6379" s="5" t="s">
        <v>40945</v>
      </c>
      <c r="F6379" s="26"/>
      <c r="G6379" s="27" t="s">
        <v>2334</v>
      </c>
      <c r="H6379" s="28" t="s">
        <v>2335</v>
      </c>
      <c r="I6379" s="5" t="s">
        <v>2336</v>
      </c>
    </row>
    <row r="6380" spans="1:9" ht="51.75" customHeight="1">
      <c r="A6380" s="5" t="s">
        <v>34092</v>
      </c>
      <c r="B6380" s="5" t="s">
        <v>40946</v>
      </c>
      <c r="C6380" s="5" t="s">
        <v>40947</v>
      </c>
      <c r="D6380" s="246">
        <v>41320</v>
      </c>
      <c r="E6380" s="5" t="s">
        <v>40948</v>
      </c>
      <c r="F6380" s="26" t="s">
        <v>40949</v>
      </c>
      <c r="G6380" s="27" t="s">
        <v>7242</v>
      </c>
      <c r="H6380" s="28" t="s">
        <v>7243</v>
      </c>
      <c r="I6380" s="5" t="s">
        <v>2336</v>
      </c>
    </row>
    <row r="6381" spans="1:9" ht="51.75" customHeight="1">
      <c r="A6381" s="5" t="s">
        <v>34092</v>
      </c>
      <c r="B6381" s="5" t="s">
        <v>40950</v>
      </c>
      <c r="C6381" s="5" t="s">
        <v>40947</v>
      </c>
      <c r="D6381" s="246">
        <v>41320</v>
      </c>
      <c r="E6381" s="5" t="s">
        <v>40951</v>
      </c>
      <c r="F6381" s="26" t="s">
        <v>23600</v>
      </c>
      <c r="G6381" s="27" t="s">
        <v>7242</v>
      </c>
      <c r="H6381" s="28" t="s">
        <v>7243</v>
      </c>
      <c r="I6381" s="5" t="s">
        <v>2336</v>
      </c>
    </row>
    <row r="6382" spans="1:9" ht="51.75" customHeight="1">
      <c r="A6382" s="5" t="s">
        <v>26606</v>
      </c>
      <c r="B6382" s="5" t="s">
        <v>40952</v>
      </c>
      <c r="C6382" s="5" t="s">
        <v>40953</v>
      </c>
      <c r="D6382" s="246">
        <v>41320</v>
      </c>
      <c r="E6382" s="5" t="s">
        <v>40954</v>
      </c>
      <c r="F6382" s="26" t="s">
        <v>40949</v>
      </c>
      <c r="G6382" s="27" t="s">
        <v>7242</v>
      </c>
      <c r="H6382" s="28" t="s">
        <v>7243</v>
      </c>
      <c r="I6382" s="5" t="s">
        <v>2336</v>
      </c>
    </row>
    <row r="6383" spans="1:9" ht="51.75" customHeight="1">
      <c r="A6383" s="5" t="s">
        <v>26606</v>
      </c>
      <c r="B6383" s="5" t="s">
        <v>40955</v>
      </c>
      <c r="C6383" s="5" t="s">
        <v>40953</v>
      </c>
      <c r="D6383" s="246">
        <v>41320</v>
      </c>
      <c r="E6383" s="5" t="s">
        <v>40956</v>
      </c>
      <c r="F6383" s="26" t="s">
        <v>23600</v>
      </c>
      <c r="G6383" s="27" t="s">
        <v>7242</v>
      </c>
      <c r="H6383" s="28" t="s">
        <v>7243</v>
      </c>
      <c r="I6383" s="5" t="s">
        <v>2336</v>
      </c>
    </row>
    <row r="6384" spans="1:9" ht="51.75" customHeight="1">
      <c r="A6384" s="5" t="s">
        <v>23764</v>
      </c>
      <c r="B6384" s="5" t="s">
        <v>40957</v>
      </c>
      <c r="C6384" s="5" t="s">
        <v>40958</v>
      </c>
      <c r="D6384" s="246">
        <v>41320</v>
      </c>
      <c r="E6384" s="5" t="s">
        <v>40959</v>
      </c>
      <c r="F6384" s="26" t="s">
        <v>40949</v>
      </c>
      <c r="G6384" s="27" t="s">
        <v>7242</v>
      </c>
      <c r="H6384" s="28" t="s">
        <v>7243</v>
      </c>
      <c r="I6384" s="5" t="s">
        <v>2336</v>
      </c>
    </row>
    <row r="6385" spans="1:9" ht="51.75" customHeight="1">
      <c r="A6385" s="5" t="s">
        <v>23764</v>
      </c>
      <c r="B6385" s="5" t="s">
        <v>40960</v>
      </c>
      <c r="C6385" s="5" t="s">
        <v>40958</v>
      </c>
      <c r="D6385" s="246">
        <v>41320</v>
      </c>
      <c r="E6385" s="5" t="s">
        <v>40961</v>
      </c>
      <c r="F6385" s="26" t="s">
        <v>23600</v>
      </c>
      <c r="G6385" s="27" t="s">
        <v>7242</v>
      </c>
      <c r="H6385" s="28" t="s">
        <v>7243</v>
      </c>
      <c r="I6385" s="5" t="s">
        <v>2336</v>
      </c>
    </row>
    <row r="6386" spans="1:9" ht="51.75" customHeight="1">
      <c r="A6386" s="5" t="s">
        <v>24993</v>
      </c>
      <c r="B6386" s="5" t="s">
        <v>40962</v>
      </c>
      <c r="C6386" s="5" t="s">
        <v>40963</v>
      </c>
      <c r="D6386" s="246">
        <v>41320</v>
      </c>
      <c r="E6386" s="5" t="s">
        <v>40964</v>
      </c>
      <c r="F6386" s="26" t="s">
        <v>40949</v>
      </c>
      <c r="G6386" s="27" t="s">
        <v>7242</v>
      </c>
      <c r="H6386" s="28" t="s">
        <v>7243</v>
      </c>
      <c r="I6386" s="5" t="s">
        <v>2336</v>
      </c>
    </row>
    <row r="6387" spans="1:9" ht="51.75" customHeight="1">
      <c r="A6387" s="5" t="s">
        <v>24993</v>
      </c>
      <c r="B6387" s="5" t="s">
        <v>40965</v>
      </c>
      <c r="C6387" s="5" t="s">
        <v>40963</v>
      </c>
      <c r="D6387" s="246">
        <v>41320</v>
      </c>
      <c r="E6387" s="5" t="s">
        <v>40966</v>
      </c>
      <c r="F6387" s="26" t="s">
        <v>23600</v>
      </c>
      <c r="G6387" s="27" t="s">
        <v>7242</v>
      </c>
      <c r="H6387" s="28" t="s">
        <v>7243</v>
      </c>
      <c r="I6387" s="5" t="s">
        <v>2336</v>
      </c>
    </row>
    <row r="6388" spans="1:9" ht="51.75" customHeight="1">
      <c r="A6388" s="5" t="s">
        <v>23952</v>
      </c>
      <c r="B6388" s="5" t="s">
        <v>40967</v>
      </c>
      <c r="C6388" s="5" t="s">
        <v>40968</v>
      </c>
      <c r="D6388" s="246">
        <v>41320</v>
      </c>
      <c r="E6388" s="5" t="s">
        <v>40969</v>
      </c>
      <c r="F6388" s="26" t="s">
        <v>40949</v>
      </c>
      <c r="G6388" s="27" t="s">
        <v>7242</v>
      </c>
      <c r="H6388" s="28" t="s">
        <v>7243</v>
      </c>
      <c r="I6388" s="5" t="s">
        <v>2336</v>
      </c>
    </row>
    <row r="6389" spans="1:9" ht="51.75" customHeight="1">
      <c r="A6389" s="5" t="s">
        <v>23952</v>
      </c>
      <c r="B6389" s="5" t="s">
        <v>40970</v>
      </c>
      <c r="C6389" s="5" t="s">
        <v>40968</v>
      </c>
      <c r="D6389" s="246">
        <v>41320</v>
      </c>
      <c r="E6389" s="5" t="s">
        <v>40971</v>
      </c>
      <c r="F6389" s="26" t="s">
        <v>23600</v>
      </c>
      <c r="G6389" s="27" t="s">
        <v>7242</v>
      </c>
      <c r="H6389" s="28" t="s">
        <v>7243</v>
      </c>
      <c r="I6389" s="5" t="s">
        <v>2336</v>
      </c>
    </row>
    <row r="6390" spans="1:9" ht="51.75" customHeight="1">
      <c r="A6390" s="5" t="s">
        <v>24681</v>
      </c>
      <c r="B6390" s="5" t="s">
        <v>40972</v>
      </c>
      <c r="C6390" s="5" t="s">
        <v>40973</v>
      </c>
      <c r="D6390" s="246">
        <v>41320</v>
      </c>
      <c r="E6390" s="5" t="s">
        <v>40974</v>
      </c>
      <c r="F6390" s="26" t="s">
        <v>40949</v>
      </c>
      <c r="G6390" s="27" t="s">
        <v>7242</v>
      </c>
      <c r="H6390" s="28" t="s">
        <v>7243</v>
      </c>
      <c r="I6390" s="5" t="s">
        <v>2336</v>
      </c>
    </row>
    <row r="6391" spans="1:9" ht="51.75" customHeight="1">
      <c r="A6391" s="5" t="s">
        <v>24681</v>
      </c>
      <c r="B6391" s="5" t="s">
        <v>40975</v>
      </c>
      <c r="C6391" s="5" t="s">
        <v>40973</v>
      </c>
      <c r="D6391" s="246">
        <v>41320</v>
      </c>
      <c r="E6391" s="5" t="s">
        <v>40976</v>
      </c>
      <c r="F6391" s="26" t="s">
        <v>23600</v>
      </c>
      <c r="G6391" s="27" t="s">
        <v>7242</v>
      </c>
      <c r="H6391" s="28" t="s">
        <v>7243</v>
      </c>
      <c r="I6391" s="5" t="s">
        <v>2336</v>
      </c>
    </row>
    <row r="6392" spans="1:9" ht="51.75" customHeight="1">
      <c r="A6392" s="5" t="s">
        <v>24685</v>
      </c>
      <c r="B6392" s="5" t="s">
        <v>40977</v>
      </c>
      <c r="C6392" s="5" t="s">
        <v>40978</v>
      </c>
      <c r="D6392" s="246">
        <v>41320</v>
      </c>
      <c r="E6392" s="5" t="s">
        <v>40979</v>
      </c>
      <c r="F6392" s="26" t="s">
        <v>40949</v>
      </c>
      <c r="G6392" s="27" t="s">
        <v>7242</v>
      </c>
      <c r="H6392" s="28" t="s">
        <v>7243</v>
      </c>
      <c r="I6392" s="5" t="s">
        <v>2336</v>
      </c>
    </row>
    <row r="6393" spans="1:9" ht="51.75" customHeight="1">
      <c r="A6393" s="5" t="s">
        <v>24685</v>
      </c>
      <c r="B6393" s="5" t="s">
        <v>40980</v>
      </c>
      <c r="C6393" s="5" t="s">
        <v>40978</v>
      </c>
      <c r="D6393" s="246">
        <v>41320</v>
      </c>
      <c r="E6393" s="5" t="s">
        <v>40981</v>
      </c>
      <c r="F6393" s="26" t="s">
        <v>23600</v>
      </c>
      <c r="G6393" s="27" t="s">
        <v>7242</v>
      </c>
      <c r="H6393" s="28" t="s">
        <v>7243</v>
      </c>
      <c r="I6393" s="5" t="s">
        <v>2336</v>
      </c>
    </row>
    <row r="6394" spans="1:9" ht="51.75" customHeight="1">
      <c r="A6394" s="5" t="s">
        <v>24689</v>
      </c>
      <c r="B6394" s="5" t="s">
        <v>40982</v>
      </c>
      <c r="C6394" s="5" t="s">
        <v>40983</v>
      </c>
      <c r="D6394" s="246">
        <v>41320</v>
      </c>
      <c r="E6394" s="5" t="s">
        <v>40984</v>
      </c>
      <c r="F6394" s="26" t="s">
        <v>40949</v>
      </c>
      <c r="G6394" s="27" t="s">
        <v>7242</v>
      </c>
      <c r="H6394" s="28" t="s">
        <v>7243</v>
      </c>
      <c r="I6394" s="5" t="s">
        <v>2336</v>
      </c>
    </row>
    <row r="6395" spans="1:9" ht="51.75" customHeight="1">
      <c r="A6395" s="5" t="s">
        <v>24689</v>
      </c>
      <c r="B6395" s="5" t="s">
        <v>40985</v>
      </c>
      <c r="C6395" s="5" t="s">
        <v>40983</v>
      </c>
      <c r="D6395" s="246">
        <v>41320</v>
      </c>
      <c r="E6395" s="5" t="s">
        <v>40986</v>
      </c>
      <c r="F6395" s="26" t="s">
        <v>23600</v>
      </c>
      <c r="G6395" s="27" t="s">
        <v>7242</v>
      </c>
      <c r="H6395" s="28" t="s">
        <v>7243</v>
      </c>
      <c r="I6395" s="5" t="s">
        <v>2336</v>
      </c>
    </row>
    <row r="6396" spans="1:9" ht="51.75" customHeight="1">
      <c r="A6396" s="5" t="s">
        <v>24693</v>
      </c>
      <c r="B6396" s="5" t="s">
        <v>40987</v>
      </c>
      <c r="C6396" s="5" t="s">
        <v>40988</v>
      </c>
      <c r="D6396" s="246">
        <v>41320</v>
      </c>
      <c r="E6396" s="5" t="s">
        <v>40989</v>
      </c>
      <c r="F6396" s="26" t="s">
        <v>40949</v>
      </c>
      <c r="G6396" s="27" t="s">
        <v>7242</v>
      </c>
      <c r="H6396" s="28" t="s">
        <v>7243</v>
      </c>
      <c r="I6396" s="5" t="s">
        <v>2336</v>
      </c>
    </row>
    <row r="6397" spans="1:9" ht="51.75" customHeight="1">
      <c r="A6397" s="5" t="s">
        <v>24693</v>
      </c>
      <c r="B6397" s="5" t="s">
        <v>40990</v>
      </c>
      <c r="C6397" s="5" t="s">
        <v>40988</v>
      </c>
      <c r="D6397" s="246">
        <v>41320</v>
      </c>
      <c r="E6397" s="5" t="s">
        <v>40991</v>
      </c>
      <c r="F6397" s="26" t="s">
        <v>23600</v>
      </c>
      <c r="G6397" s="27" t="s">
        <v>7242</v>
      </c>
      <c r="H6397" s="28" t="s">
        <v>7243</v>
      </c>
      <c r="I6397" s="5" t="s">
        <v>2336</v>
      </c>
    </row>
    <row r="6398" spans="1:9" ht="51.75" customHeight="1">
      <c r="A6398" s="5" t="s">
        <v>24697</v>
      </c>
      <c r="B6398" s="5" t="s">
        <v>40992</v>
      </c>
      <c r="C6398" s="5" t="s">
        <v>40993</v>
      </c>
      <c r="D6398" s="246">
        <v>41320</v>
      </c>
      <c r="E6398" s="5" t="s">
        <v>40994</v>
      </c>
      <c r="F6398" s="26" t="s">
        <v>40949</v>
      </c>
      <c r="G6398" s="27" t="s">
        <v>7242</v>
      </c>
      <c r="H6398" s="28" t="s">
        <v>7243</v>
      </c>
      <c r="I6398" s="5" t="s">
        <v>2336</v>
      </c>
    </row>
    <row r="6399" spans="1:9" ht="51.75" customHeight="1">
      <c r="A6399" s="5" t="s">
        <v>24697</v>
      </c>
      <c r="B6399" s="5" t="s">
        <v>40995</v>
      </c>
      <c r="C6399" s="5" t="s">
        <v>40993</v>
      </c>
      <c r="D6399" s="246">
        <v>41320</v>
      </c>
      <c r="E6399" s="5" t="s">
        <v>40996</v>
      </c>
      <c r="F6399" s="26" t="s">
        <v>23600</v>
      </c>
      <c r="G6399" s="27" t="s">
        <v>7242</v>
      </c>
      <c r="H6399" s="28" t="s">
        <v>7243</v>
      </c>
      <c r="I6399" s="5" t="s">
        <v>2336</v>
      </c>
    </row>
    <row r="6400" spans="1:9" ht="51.75" customHeight="1">
      <c r="A6400" s="5" t="s">
        <v>30098</v>
      </c>
      <c r="B6400" s="5" t="s">
        <v>40997</v>
      </c>
      <c r="C6400" s="5" t="s">
        <v>40998</v>
      </c>
      <c r="D6400" s="246">
        <v>41320</v>
      </c>
      <c r="E6400" s="5" t="s">
        <v>40999</v>
      </c>
      <c r="F6400" s="26" t="s">
        <v>40949</v>
      </c>
      <c r="G6400" s="27" t="s">
        <v>7242</v>
      </c>
      <c r="H6400" s="28" t="s">
        <v>7243</v>
      </c>
      <c r="I6400" s="5" t="s">
        <v>2336</v>
      </c>
    </row>
    <row r="6401" spans="1:9" ht="51.75" customHeight="1">
      <c r="A6401" s="5" t="s">
        <v>30098</v>
      </c>
      <c r="B6401" s="5" t="s">
        <v>41000</v>
      </c>
      <c r="C6401" s="5" t="s">
        <v>40998</v>
      </c>
      <c r="D6401" s="246">
        <v>41320</v>
      </c>
      <c r="E6401" s="5" t="s">
        <v>41001</v>
      </c>
      <c r="F6401" s="26" t="s">
        <v>23600</v>
      </c>
      <c r="G6401" s="27" t="s">
        <v>7242</v>
      </c>
      <c r="H6401" s="28" t="s">
        <v>7243</v>
      </c>
      <c r="I6401" s="5" t="s">
        <v>2336</v>
      </c>
    </row>
    <row r="6402" spans="1:9" ht="51.75" customHeight="1">
      <c r="A6402" s="5" t="s">
        <v>24942</v>
      </c>
      <c r="B6402" s="5" t="s">
        <v>41002</v>
      </c>
      <c r="C6402" s="5" t="s">
        <v>41003</v>
      </c>
      <c r="D6402" s="246">
        <v>41320</v>
      </c>
      <c r="E6402" s="5" t="s">
        <v>41004</v>
      </c>
      <c r="F6402" s="26" t="s">
        <v>40949</v>
      </c>
      <c r="G6402" s="27" t="s">
        <v>7242</v>
      </c>
      <c r="H6402" s="28" t="s">
        <v>7243</v>
      </c>
      <c r="I6402" s="5" t="s">
        <v>2336</v>
      </c>
    </row>
    <row r="6403" spans="1:9" ht="51.75" customHeight="1">
      <c r="A6403" s="5" t="s">
        <v>24942</v>
      </c>
      <c r="B6403" s="5" t="s">
        <v>41005</v>
      </c>
      <c r="C6403" s="5" t="s">
        <v>41003</v>
      </c>
      <c r="D6403" s="246">
        <v>41320</v>
      </c>
      <c r="E6403" s="5" t="s">
        <v>41006</v>
      </c>
      <c r="F6403" s="26" t="s">
        <v>23600</v>
      </c>
      <c r="G6403" s="27" t="s">
        <v>7242</v>
      </c>
      <c r="H6403" s="28" t="s">
        <v>7243</v>
      </c>
      <c r="I6403" s="5" t="s">
        <v>2336</v>
      </c>
    </row>
    <row r="6404" spans="1:9" ht="51.75" customHeight="1">
      <c r="A6404" s="5" t="s">
        <v>24948</v>
      </c>
      <c r="B6404" s="5" t="s">
        <v>41007</v>
      </c>
      <c r="C6404" s="5" t="s">
        <v>41008</v>
      </c>
      <c r="D6404" s="246">
        <v>41320</v>
      </c>
      <c r="E6404" s="5" t="s">
        <v>41009</v>
      </c>
      <c r="F6404" s="26" t="s">
        <v>40949</v>
      </c>
      <c r="G6404" s="27" t="s">
        <v>7242</v>
      </c>
      <c r="H6404" s="28" t="s">
        <v>7243</v>
      </c>
      <c r="I6404" s="5" t="s">
        <v>2336</v>
      </c>
    </row>
    <row r="6405" spans="1:9" ht="51.75" customHeight="1">
      <c r="A6405" s="5" t="s">
        <v>24948</v>
      </c>
      <c r="B6405" s="5" t="s">
        <v>41010</v>
      </c>
      <c r="C6405" s="5" t="s">
        <v>41008</v>
      </c>
      <c r="D6405" s="246">
        <v>41320</v>
      </c>
      <c r="E6405" s="5" t="s">
        <v>41011</v>
      </c>
      <c r="F6405" s="26" t="s">
        <v>23600</v>
      </c>
      <c r="G6405" s="27" t="s">
        <v>7242</v>
      </c>
      <c r="H6405" s="28" t="s">
        <v>7243</v>
      </c>
      <c r="I6405" s="5" t="s">
        <v>2336</v>
      </c>
    </row>
    <row r="6406" spans="1:9" ht="51.75" customHeight="1">
      <c r="A6406" s="5" t="s">
        <v>24926</v>
      </c>
      <c r="B6406" s="5" t="s">
        <v>41012</v>
      </c>
      <c r="C6406" s="5" t="s">
        <v>41013</v>
      </c>
      <c r="D6406" s="246">
        <v>41320</v>
      </c>
      <c r="E6406" s="5" t="s">
        <v>41014</v>
      </c>
      <c r="F6406" s="26" t="s">
        <v>40949</v>
      </c>
      <c r="G6406" s="27" t="s">
        <v>7242</v>
      </c>
      <c r="H6406" s="28" t="s">
        <v>7243</v>
      </c>
      <c r="I6406" s="5" t="s">
        <v>2336</v>
      </c>
    </row>
    <row r="6407" spans="1:9" ht="51.75" customHeight="1">
      <c r="A6407" s="5" t="s">
        <v>24926</v>
      </c>
      <c r="B6407" s="5" t="s">
        <v>41015</v>
      </c>
      <c r="C6407" s="5" t="s">
        <v>41013</v>
      </c>
      <c r="D6407" s="246">
        <v>41320</v>
      </c>
      <c r="E6407" s="5" t="s">
        <v>41016</v>
      </c>
      <c r="F6407" s="26" t="s">
        <v>23600</v>
      </c>
      <c r="G6407" s="27" t="s">
        <v>7242</v>
      </c>
      <c r="H6407" s="28" t="s">
        <v>7243</v>
      </c>
      <c r="I6407" s="5" t="s">
        <v>2336</v>
      </c>
    </row>
    <row r="6408" spans="1:9" ht="51.75" customHeight="1">
      <c r="A6408" s="5" t="s">
        <v>24929</v>
      </c>
      <c r="B6408" s="5" t="s">
        <v>41017</v>
      </c>
      <c r="C6408" s="5" t="s">
        <v>41018</v>
      </c>
      <c r="D6408" s="246">
        <v>41320</v>
      </c>
      <c r="E6408" s="5" t="s">
        <v>41019</v>
      </c>
      <c r="F6408" s="26" t="s">
        <v>40949</v>
      </c>
      <c r="G6408" s="27" t="s">
        <v>7242</v>
      </c>
      <c r="H6408" s="28" t="s">
        <v>7243</v>
      </c>
      <c r="I6408" s="5" t="s">
        <v>2336</v>
      </c>
    </row>
    <row r="6409" spans="1:9" ht="51.75" customHeight="1">
      <c r="A6409" s="5" t="s">
        <v>24929</v>
      </c>
      <c r="B6409" s="5" t="s">
        <v>41020</v>
      </c>
      <c r="C6409" s="5" t="s">
        <v>41018</v>
      </c>
      <c r="D6409" s="246">
        <v>41320</v>
      </c>
      <c r="E6409" s="5" t="s">
        <v>41021</v>
      </c>
      <c r="F6409" s="26" t="s">
        <v>23600</v>
      </c>
      <c r="G6409" s="27" t="s">
        <v>7242</v>
      </c>
      <c r="H6409" s="28" t="s">
        <v>7243</v>
      </c>
      <c r="I6409" s="5" t="s">
        <v>2336</v>
      </c>
    </row>
    <row r="6410" spans="1:9" ht="51.75" customHeight="1">
      <c r="A6410" s="5" t="s">
        <v>25070</v>
      </c>
      <c r="B6410" s="5" t="s">
        <v>41022</v>
      </c>
      <c r="C6410" s="5" t="s">
        <v>40998</v>
      </c>
      <c r="D6410" s="246">
        <v>41320</v>
      </c>
      <c r="E6410" s="5" t="s">
        <v>41023</v>
      </c>
      <c r="F6410" s="26" t="s">
        <v>40949</v>
      </c>
      <c r="G6410" s="27" t="s">
        <v>7242</v>
      </c>
      <c r="H6410" s="28" t="s">
        <v>7243</v>
      </c>
      <c r="I6410" s="5" t="s">
        <v>2336</v>
      </c>
    </row>
    <row r="6411" spans="1:9" ht="51.75" customHeight="1">
      <c r="A6411" s="5" t="s">
        <v>25070</v>
      </c>
      <c r="B6411" s="5" t="s">
        <v>41024</v>
      </c>
      <c r="C6411" s="5" t="s">
        <v>40998</v>
      </c>
      <c r="D6411" s="246">
        <v>41320</v>
      </c>
      <c r="E6411" s="5" t="s">
        <v>41025</v>
      </c>
      <c r="F6411" s="26" t="s">
        <v>23600</v>
      </c>
      <c r="G6411" s="27" t="s">
        <v>7242</v>
      </c>
      <c r="H6411" s="28" t="s">
        <v>7243</v>
      </c>
      <c r="I6411" s="5" t="s">
        <v>2336</v>
      </c>
    </row>
    <row r="6412" spans="1:9" ht="51.75" customHeight="1">
      <c r="A6412" s="5" t="s">
        <v>25074</v>
      </c>
      <c r="B6412" s="5" t="s">
        <v>41026</v>
      </c>
      <c r="C6412" s="5" t="s">
        <v>40998</v>
      </c>
      <c r="D6412" s="246">
        <v>41320</v>
      </c>
      <c r="E6412" s="5" t="s">
        <v>41027</v>
      </c>
      <c r="F6412" s="26" t="s">
        <v>40949</v>
      </c>
      <c r="G6412" s="27" t="s">
        <v>7242</v>
      </c>
      <c r="H6412" s="28" t="s">
        <v>7243</v>
      </c>
      <c r="I6412" s="5" t="s">
        <v>2336</v>
      </c>
    </row>
    <row r="6413" spans="1:9" ht="51.75" customHeight="1">
      <c r="A6413" s="5" t="s">
        <v>25074</v>
      </c>
      <c r="B6413" s="5" t="s">
        <v>41028</v>
      </c>
      <c r="C6413" s="5" t="s">
        <v>40998</v>
      </c>
      <c r="D6413" s="246">
        <v>41320</v>
      </c>
      <c r="E6413" s="5" t="s">
        <v>41029</v>
      </c>
      <c r="F6413" s="26" t="s">
        <v>23600</v>
      </c>
      <c r="G6413" s="27" t="s">
        <v>7242</v>
      </c>
      <c r="H6413" s="28" t="s">
        <v>7243</v>
      </c>
      <c r="I6413" s="5" t="s">
        <v>2336</v>
      </c>
    </row>
    <row r="6414" spans="1:9" ht="51.75" customHeight="1">
      <c r="A6414" s="5" t="s">
        <v>25078</v>
      </c>
      <c r="B6414" s="5" t="s">
        <v>41030</v>
      </c>
      <c r="C6414" s="5" t="s">
        <v>41031</v>
      </c>
      <c r="D6414" s="246">
        <v>41320</v>
      </c>
      <c r="E6414" s="5" t="s">
        <v>41032</v>
      </c>
      <c r="F6414" s="26" t="s">
        <v>40949</v>
      </c>
      <c r="G6414" s="27" t="s">
        <v>7242</v>
      </c>
      <c r="H6414" s="28" t="s">
        <v>7243</v>
      </c>
      <c r="I6414" s="5" t="s">
        <v>2336</v>
      </c>
    </row>
    <row r="6415" spans="1:9" ht="51.75" customHeight="1">
      <c r="A6415" s="5" t="s">
        <v>25078</v>
      </c>
      <c r="B6415" s="5" t="s">
        <v>41033</v>
      </c>
      <c r="C6415" s="5" t="s">
        <v>41031</v>
      </c>
      <c r="D6415" s="246">
        <v>41320</v>
      </c>
      <c r="E6415" s="5" t="s">
        <v>41034</v>
      </c>
      <c r="F6415" s="26" t="s">
        <v>23600</v>
      </c>
      <c r="G6415" s="27" t="s">
        <v>7242</v>
      </c>
      <c r="H6415" s="28" t="s">
        <v>7243</v>
      </c>
      <c r="I6415" s="5" t="s">
        <v>2336</v>
      </c>
    </row>
    <row r="6416" spans="1:9" ht="51.75" customHeight="1">
      <c r="A6416" s="5" t="s">
        <v>26232</v>
      </c>
      <c r="B6416" s="5" t="s">
        <v>41035</v>
      </c>
      <c r="C6416" s="5" t="s">
        <v>41036</v>
      </c>
      <c r="D6416" s="246">
        <v>41320</v>
      </c>
      <c r="E6416" s="5" t="s">
        <v>41037</v>
      </c>
      <c r="F6416" s="26" t="s">
        <v>40949</v>
      </c>
      <c r="G6416" s="27" t="s">
        <v>7242</v>
      </c>
      <c r="H6416" s="28" t="s">
        <v>7243</v>
      </c>
      <c r="I6416" s="5" t="s">
        <v>2336</v>
      </c>
    </row>
    <row r="6417" spans="1:9" ht="51.75" customHeight="1">
      <c r="A6417" s="5" t="s">
        <v>26232</v>
      </c>
      <c r="B6417" s="5" t="s">
        <v>41038</v>
      </c>
      <c r="C6417" s="5" t="s">
        <v>41036</v>
      </c>
      <c r="D6417" s="246">
        <v>41320</v>
      </c>
      <c r="E6417" s="5" t="s">
        <v>41039</v>
      </c>
      <c r="F6417" s="26" t="s">
        <v>23600</v>
      </c>
      <c r="G6417" s="27" t="s">
        <v>7242</v>
      </c>
      <c r="H6417" s="28" t="s">
        <v>7243</v>
      </c>
      <c r="I6417" s="5" t="s">
        <v>2336</v>
      </c>
    </row>
    <row r="6418" spans="1:9" ht="51.75" customHeight="1">
      <c r="A6418" s="5" t="s">
        <v>25313</v>
      </c>
      <c r="B6418" s="5" t="s">
        <v>41040</v>
      </c>
      <c r="C6418" s="5" t="s">
        <v>41041</v>
      </c>
      <c r="D6418" s="246" t="s">
        <v>68</v>
      </c>
      <c r="E6418" s="5" t="s">
        <v>41042</v>
      </c>
      <c r="F6418" s="26" t="s">
        <v>23600</v>
      </c>
      <c r="G6418" s="27" t="s">
        <v>6424</v>
      </c>
      <c r="H6418" s="28" t="s">
        <v>6425</v>
      </c>
      <c r="I6418" s="5" t="s">
        <v>2336</v>
      </c>
    </row>
    <row r="6419" spans="1:9" ht="51.75" customHeight="1">
      <c r="A6419" s="5" t="s">
        <v>25622</v>
      </c>
      <c r="B6419" s="5" t="s">
        <v>41043</v>
      </c>
      <c r="C6419" s="5" t="s">
        <v>41044</v>
      </c>
      <c r="D6419" s="246" t="s">
        <v>68</v>
      </c>
      <c r="E6419" s="5" t="s">
        <v>41045</v>
      </c>
      <c r="F6419" s="26" t="s">
        <v>23600</v>
      </c>
      <c r="G6419" s="27" t="s">
        <v>6424</v>
      </c>
      <c r="H6419" s="28" t="s">
        <v>6425</v>
      </c>
      <c r="I6419" s="5" t="s">
        <v>2336</v>
      </c>
    </row>
    <row r="6420" spans="1:9" ht="51.75" customHeight="1">
      <c r="A6420" s="5" t="s">
        <v>38819</v>
      </c>
      <c r="B6420" s="5" t="s">
        <v>41046</v>
      </c>
      <c r="C6420" s="5" t="s">
        <v>41047</v>
      </c>
      <c r="D6420" s="246" t="s">
        <v>68</v>
      </c>
      <c r="E6420" s="5" t="s">
        <v>41048</v>
      </c>
      <c r="F6420" s="26" t="s">
        <v>23600</v>
      </c>
      <c r="G6420" s="27" t="s">
        <v>6424</v>
      </c>
      <c r="H6420" s="28" t="s">
        <v>6425</v>
      </c>
      <c r="I6420" s="5" t="s">
        <v>2336</v>
      </c>
    </row>
    <row r="6421" spans="1:9" ht="51.75" customHeight="1">
      <c r="A6421" s="5" t="s">
        <v>30111</v>
      </c>
      <c r="B6421" s="5" t="s">
        <v>41049</v>
      </c>
      <c r="C6421" s="5" t="s">
        <v>41050</v>
      </c>
      <c r="D6421" s="246" t="s">
        <v>68</v>
      </c>
      <c r="E6421" s="5" t="s">
        <v>41051</v>
      </c>
      <c r="F6421" s="26" t="s">
        <v>23600</v>
      </c>
      <c r="G6421" s="27" t="s">
        <v>6424</v>
      </c>
      <c r="H6421" s="28" t="s">
        <v>6425</v>
      </c>
      <c r="I6421" s="5" t="s">
        <v>2336</v>
      </c>
    </row>
    <row r="6422" spans="1:9" ht="51.75" customHeight="1">
      <c r="A6422" s="5" t="s">
        <v>30115</v>
      </c>
      <c r="B6422" s="5" t="s">
        <v>41052</v>
      </c>
      <c r="C6422" s="5" t="s">
        <v>41053</v>
      </c>
      <c r="D6422" s="246" t="s">
        <v>68</v>
      </c>
      <c r="E6422" s="5" t="s">
        <v>41054</v>
      </c>
      <c r="F6422" s="26" t="s">
        <v>23600</v>
      </c>
      <c r="G6422" s="27" t="s">
        <v>6424</v>
      </c>
      <c r="H6422" s="28" t="s">
        <v>6425</v>
      </c>
      <c r="I6422" s="5" t="s">
        <v>2336</v>
      </c>
    </row>
    <row r="6423" spans="1:9" ht="51.75" customHeight="1">
      <c r="A6423" s="5" t="s">
        <v>30826</v>
      </c>
      <c r="B6423" s="5" t="s">
        <v>41055</v>
      </c>
      <c r="C6423" s="5" t="s">
        <v>41056</v>
      </c>
      <c r="D6423" s="246" t="s">
        <v>68</v>
      </c>
      <c r="E6423" s="5" t="s">
        <v>41057</v>
      </c>
      <c r="F6423" s="26" t="s">
        <v>23600</v>
      </c>
      <c r="G6423" s="27" t="s">
        <v>6424</v>
      </c>
      <c r="H6423" s="28" t="s">
        <v>6425</v>
      </c>
      <c r="I6423" s="5" t="s">
        <v>2336</v>
      </c>
    </row>
    <row r="6424" spans="1:9" ht="51.75" customHeight="1">
      <c r="A6424" s="5" t="s">
        <v>25565</v>
      </c>
      <c r="B6424" s="5" t="s">
        <v>41058</v>
      </c>
      <c r="C6424" s="5" t="s">
        <v>41059</v>
      </c>
      <c r="D6424" s="246" t="s">
        <v>68</v>
      </c>
      <c r="E6424" s="5" t="s">
        <v>41060</v>
      </c>
      <c r="F6424" s="26" t="s">
        <v>23600</v>
      </c>
      <c r="G6424" s="27" t="s">
        <v>6424</v>
      </c>
      <c r="H6424" s="28" t="s">
        <v>6425</v>
      </c>
      <c r="I6424" s="5" t="s">
        <v>2336</v>
      </c>
    </row>
    <row r="6425" spans="1:9" ht="51.75" customHeight="1">
      <c r="A6425" s="5" t="s">
        <v>30268</v>
      </c>
      <c r="B6425" s="5" t="s">
        <v>41061</v>
      </c>
      <c r="C6425" s="5" t="s">
        <v>41062</v>
      </c>
      <c r="D6425" s="246" t="s">
        <v>68</v>
      </c>
      <c r="E6425" s="5" t="s">
        <v>41063</v>
      </c>
      <c r="F6425" s="26" t="s">
        <v>23600</v>
      </c>
      <c r="G6425" s="27" t="s">
        <v>6424</v>
      </c>
      <c r="H6425" s="28" t="s">
        <v>6425</v>
      </c>
      <c r="I6425" s="5" t="s">
        <v>2336</v>
      </c>
    </row>
    <row r="6426" spans="1:9" ht="51.75" customHeight="1">
      <c r="A6426" s="5" t="s">
        <v>30060</v>
      </c>
      <c r="B6426" s="5" t="s">
        <v>41064</v>
      </c>
      <c r="C6426" s="5" t="s">
        <v>41065</v>
      </c>
      <c r="D6426" s="246" t="s">
        <v>68</v>
      </c>
      <c r="E6426" s="5" t="s">
        <v>41066</v>
      </c>
      <c r="F6426" s="26" t="s">
        <v>23600</v>
      </c>
      <c r="G6426" s="27" t="s">
        <v>6424</v>
      </c>
      <c r="H6426" s="28" t="s">
        <v>6425</v>
      </c>
      <c r="I6426" s="5" t="s">
        <v>2336</v>
      </c>
    </row>
    <row r="6427" spans="1:9" ht="51.75" customHeight="1">
      <c r="A6427" s="5" t="s">
        <v>30064</v>
      </c>
      <c r="B6427" s="5" t="s">
        <v>41067</v>
      </c>
      <c r="C6427" s="5" t="s">
        <v>41068</v>
      </c>
      <c r="D6427" s="246" t="s">
        <v>68</v>
      </c>
      <c r="E6427" s="5" t="s">
        <v>41069</v>
      </c>
      <c r="F6427" s="26" t="s">
        <v>23600</v>
      </c>
      <c r="G6427" s="27" t="s">
        <v>6424</v>
      </c>
      <c r="H6427" s="28" t="s">
        <v>6425</v>
      </c>
      <c r="I6427" s="5" t="s">
        <v>2336</v>
      </c>
    </row>
    <row r="6428" spans="1:9" ht="51.75" customHeight="1">
      <c r="A6428" s="5" t="s">
        <v>25488</v>
      </c>
      <c r="B6428" s="5" t="s">
        <v>41070</v>
      </c>
      <c r="C6428" s="5" t="s">
        <v>41071</v>
      </c>
      <c r="D6428" s="246" t="s">
        <v>68</v>
      </c>
      <c r="E6428" s="5" t="s">
        <v>41072</v>
      </c>
      <c r="F6428" s="26" t="s">
        <v>23600</v>
      </c>
      <c r="G6428" s="27" t="s">
        <v>6424</v>
      </c>
      <c r="H6428" s="28" t="s">
        <v>6425</v>
      </c>
      <c r="I6428" s="5" t="s">
        <v>2336</v>
      </c>
    </row>
    <row r="6429" spans="1:9" ht="51.75" customHeight="1">
      <c r="A6429" s="5">
        <v>1</v>
      </c>
      <c r="B6429" s="5" t="s">
        <v>41073</v>
      </c>
      <c r="C6429" s="5" t="s">
        <v>41074</v>
      </c>
      <c r="D6429" s="246">
        <v>40956</v>
      </c>
      <c r="E6429" s="5" t="s">
        <v>41075</v>
      </c>
      <c r="F6429" s="26"/>
      <c r="G6429" s="27" t="s">
        <v>6375</v>
      </c>
      <c r="H6429" s="28" t="s">
        <v>6376</v>
      </c>
      <c r="I6429" s="5" t="s">
        <v>2336</v>
      </c>
    </row>
    <row r="6430" spans="1:9" ht="51.75" customHeight="1">
      <c r="A6430" s="5">
        <v>2</v>
      </c>
      <c r="B6430" s="5" t="s">
        <v>41076</v>
      </c>
      <c r="C6430" s="5" t="s">
        <v>41077</v>
      </c>
      <c r="D6430" s="246">
        <v>40956</v>
      </c>
      <c r="E6430" s="5" t="s">
        <v>41077</v>
      </c>
      <c r="F6430" s="26"/>
      <c r="G6430" s="27" t="s">
        <v>6375</v>
      </c>
      <c r="H6430" s="28" t="s">
        <v>6376</v>
      </c>
      <c r="I6430" s="5" t="s">
        <v>2336</v>
      </c>
    </row>
    <row r="6431" spans="1:9" ht="51.75" customHeight="1">
      <c r="A6431" s="5">
        <v>1</v>
      </c>
      <c r="B6431" s="5" t="s">
        <v>41078</v>
      </c>
      <c r="C6431" s="5" t="s">
        <v>41079</v>
      </c>
      <c r="D6431" s="246">
        <v>40871</v>
      </c>
      <c r="E6431" s="5" t="s">
        <v>41080</v>
      </c>
      <c r="F6431" s="26"/>
      <c r="G6431" s="27" t="s">
        <v>5991</v>
      </c>
      <c r="H6431" s="28" t="s">
        <v>5992</v>
      </c>
      <c r="I6431" s="5" t="s">
        <v>2336</v>
      </c>
    </row>
    <row r="6432" spans="1:9" ht="51.75" customHeight="1">
      <c r="A6432" s="5">
        <v>2</v>
      </c>
      <c r="B6432" s="5" t="s">
        <v>41081</v>
      </c>
      <c r="C6432" s="5" t="s">
        <v>41082</v>
      </c>
      <c r="D6432" s="246">
        <v>40871</v>
      </c>
      <c r="E6432" s="5" t="s">
        <v>41082</v>
      </c>
      <c r="F6432" s="26"/>
      <c r="G6432" s="27" t="s">
        <v>5991</v>
      </c>
      <c r="H6432" s="28" t="s">
        <v>5992</v>
      </c>
      <c r="I6432" s="5" t="s">
        <v>2336</v>
      </c>
    </row>
    <row r="6433" spans="1:9" ht="51.75" customHeight="1">
      <c r="A6433" s="5">
        <v>1</v>
      </c>
      <c r="B6433" s="5" t="s">
        <v>41083</v>
      </c>
      <c r="C6433" s="5" t="s">
        <v>41084</v>
      </c>
      <c r="D6433" s="246">
        <v>40890</v>
      </c>
      <c r="E6433" s="5" t="s">
        <v>41085</v>
      </c>
      <c r="F6433" s="26"/>
      <c r="G6433" s="27" t="s">
        <v>5453</v>
      </c>
      <c r="H6433" s="28" t="s">
        <v>5454</v>
      </c>
      <c r="I6433" s="5" t="s">
        <v>2336</v>
      </c>
    </row>
    <row r="6434" spans="1:9" ht="51.75" customHeight="1">
      <c r="A6434" s="5">
        <v>2</v>
      </c>
      <c r="B6434" s="5" t="s">
        <v>41086</v>
      </c>
      <c r="C6434" s="5" t="s">
        <v>41087</v>
      </c>
      <c r="D6434" s="246">
        <v>40890</v>
      </c>
      <c r="E6434" s="5" t="s">
        <v>41088</v>
      </c>
      <c r="F6434" s="26"/>
      <c r="G6434" s="27" t="s">
        <v>5453</v>
      </c>
      <c r="H6434" s="28" t="s">
        <v>5454</v>
      </c>
      <c r="I6434" s="5" t="s">
        <v>2336</v>
      </c>
    </row>
    <row r="6435" spans="1:9" ht="51.75" customHeight="1">
      <c r="A6435" s="5">
        <v>3</v>
      </c>
      <c r="B6435" s="5" t="s">
        <v>41089</v>
      </c>
      <c r="C6435" s="5" t="s">
        <v>41090</v>
      </c>
      <c r="D6435" s="246">
        <v>40890</v>
      </c>
      <c r="E6435" s="5" t="s">
        <v>41091</v>
      </c>
      <c r="F6435" s="26"/>
      <c r="G6435" s="27" t="s">
        <v>5453</v>
      </c>
      <c r="H6435" s="28" t="s">
        <v>5454</v>
      </c>
      <c r="I6435" s="5" t="s">
        <v>2336</v>
      </c>
    </row>
    <row r="6436" spans="1:9" ht="51.75" customHeight="1">
      <c r="A6436" s="5">
        <v>4</v>
      </c>
      <c r="B6436" s="5" t="s">
        <v>41092</v>
      </c>
      <c r="C6436" s="5" t="s">
        <v>41093</v>
      </c>
      <c r="D6436" s="246">
        <v>40890</v>
      </c>
      <c r="E6436" s="5" t="s">
        <v>41094</v>
      </c>
      <c r="F6436" s="26"/>
      <c r="G6436" s="27" t="s">
        <v>5453</v>
      </c>
      <c r="H6436" s="28" t="s">
        <v>5454</v>
      </c>
      <c r="I6436" s="5" t="s">
        <v>2336</v>
      </c>
    </row>
    <row r="6437" spans="1:9" ht="51.75" customHeight="1">
      <c r="A6437" s="5">
        <v>5</v>
      </c>
      <c r="B6437" s="5" t="s">
        <v>41095</v>
      </c>
      <c r="C6437" s="5" t="s">
        <v>41096</v>
      </c>
      <c r="D6437" s="246">
        <v>40890</v>
      </c>
      <c r="E6437" s="5" t="s">
        <v>41097</v>
      </c>
      <c r="F6437" s="26"/>
      <c r="G6437" s="27" t="s">
        <v>5453</v>
      </c>
      <c r="H6437" s="28" t="s">
        <v>5454</v>
      </c>
      <c r="I6437" s="5" t="s">
        <v>2336</v>
      </c>
    </row>
    <row r="6438" spans="1:9" ht="51.75" customHeight="1">
      <c r="A6438" s="5">
        <v>6</v>
      </c>
      <c r="B6438" s="5" t="s">
        <v>41098</v>
      </c>
      <c r="C6438" s="5" t="s">
        <v>41099</v>
      </c>
      <c r="D6438" s="246">
        <v>40890</v>
      </c>
      <c r="E6438" s="5" t="s">
        <v>41100</v>
      </c>
      <c r="F6438" s="26"/>
      <c r="G6438" s="27" t="s">
        <v>5453</v>
      </c>
      <c r="H6438" s="28" t="s">
        <v>5454</v>
      </c>
      <c r="I6438" s="5" t="s">
        <v>2336</v>
      </c>
    </row>
    <row r="6439" spans="1:9" ht="51.75" customHeight="1">
      <c r="A6439" s="5">
        <v>7</v>
      </c>
      <c r="B6439" s="5" t="s">
        <v>41101</v>
      </c>
      <c r="C6439" s="5" t="s">
        <v>41102</v>
      </c>
      <c r="D6439" s="246">
        <v>40890</v>
      </c>
      <c r="E6439" s="5" t="s">
        <v>41103</v>
      </c>
      <c r="F6439" s="26"/>
      <c r="G6439" s="27" t="s">
        <v>5453</v>
      </c>
      <c r="H6439" s="28" t="s">
        <v>5454</v>
      </c>
      <c r="I6439" s="5" t="s">
        <v>2336</v>
      </c>
    </row>
    <row r="6440" spans="1:9" ht="51.75" customHeight="1">
      <c r="A6440" s="5">
        <v>8</v>
      </c>
      <c r="B6440" s="5" t="s">
        <v>41104</v>
      </c>
      <c r="C6440" s="5" t="s">
        <v>41105</v>
      </c>
      <c r="D6440" s="246">
        <v>40890</v>
      </c>
      <c r="E6440" s="5" t="s">
        <v>41106</v>
      </c>
      <c r="F6440" s="26"/>
      <c r="G6440" s="27" t="s">
        <v>5453</v>
      </c>
      <c r="H6440" s="28" t="s">
        <v>5454</v>
      </c>
      <c r="I6440" s="5" t="s">
        <v>2336</v>
      </c>
    </row>
    <row r="6441" spans="1:9" ht="51.75" customHeight="1">
      <c r="A6441" s="5">
        <v>9</v>
      </c>
      <c r="B6441" s="5" t="s">
        <v>41107</v>
      </c>
      <c r="C6441" s="5" t="s">
        <v>41108</v>
      </c>
      <c r="D6441" s="246">
        <v>40890</v>
      </c>
      <c r="E6441" s="5" t="s">
        <v>41109</v>
      </c>
      <c r="F6441" s="26"/>
      <c r="G6441" s="27" t="s">
        <v>5453</v>
      </c>
      <c r="H6441" s="28" t="s">
        <v>5454</v>
      </c>
      <c r="I6441" s="5" t="s">
        <v>2336</v>
      </c>
    </row>
    <row r="6442" spans="1:9" ht="51.75" customHeight="1">
      <c r="A6442" s="5">
        <v>10</v>
      </c>
      <c r="B6442" s="5" t="s">
        <v>41110</v>
      </c>
      <c r="C6442" s="5" t="s">
        <v>41111</v>
      </c>
      <c r="D6442" s="246">
        <v>40890</v>
      </c>
      <c r="E6442" s="5" t="s">
        <v>41112</v>
      </c>
      <c r="F6442" s="26"/>
      <c r="G6442" s="27" t="s">
        <v>5453</v>
      </c>
      <c r="H6442" s="28" t="s">
        <v>5454</v>
      </c>
      <c r="I6442" s="5" t="s">
        <v>2336</v>
      </c>
    </row>
    <row r="6443" spans="1:9" ht="51.75" customHeight="1">
      <c r="A6443" s="5" t="s">
        <v>35347</v>
      </c>
      <c r="B6443" s="5" t="s">
        <v>41113</v>
      </c>
      <c r="C6443" s="5" t="s">
        <v>28079</v>
      </c>
      <c r="D6443" s="246">
        <v>41583</v>
      </c>
      <c r="E6443" s="5" t="s">
        <v>41114</v>
      </c>
      <c r="F6443" s="26" t="s">
        <v>23600</v>
      </c>
      <c r="G6443" s="27" t="s">
        <v>9088</v>
      </c>
      <c r="H6443" s="28" t="s">
        <v>9089</v>
      </c>
      <c r="I6443" s="5" t="s">
        <v>2336</v>
      </c>
    </row>
    <row r="6444" spans="1:9" ht="51.75" customHeight="1">
      <c r="A6444" s="5" t="s">
        <v>35351</v>
      </c>
      <c r="B6444" s="5" t="s">
        <v>41115</v>
      </c>
      <c r="C6444" s="5" t="s">
        <v>41116</v>
      </c>
      <c r="D6444" s="246">
        <v>41583</v>
      </c>
      <c r="E6444" s="5" t="s">
        <v>41117</v>
      </c>
      <c r="F6444" s="26" t="s">
        <v>23600</v>
      </c>
      <c r="G6444" s="27" t="s">
        <v>9088</v>
      </c>
      <c r="H6444" s="28" t="s">
        <v>9089</v>
      </c>
      <c r="I6444" s="5" t="s">
        <v>2336</v>
      </c>
    </row>
    <row r="6445" spans="1:9" ht="51.75" customHeight="1">
      <c r="A6445" s="5" t="s">
        <v>28081</v>
      </c>
      <c r="B6445" s="5" t="s">
        <v>41118</v>
      </c>
      <c r="C6445" s="5" t="s">
        <v>41119</v>
      </c>
      <c r="D6445" s="246">
        <v>41583</v>
      </c>
      <c r="E6445" s="5" t="s">
        <v>41120</v>
      </c>
      <c r="F6445" s="26" t="s">
        <v>23600</v>
      </c>
      <c r="G6445" s="27" t="s">
        <v>9088</v>
      </c>
      <c r="H6445" s="28" t="s">
        <v>9089</v>
      </c>
      <c r="I6445" s="5" t="s">
        <v>2336</v>
      </c>
    </row>
    <row r="6446" spans="1:9" ht="51.75" customHeight="1">
      <c r="A6446" s="5" t="s">
        <v>26275</v>
      </c>
      <c r="B6446" s="5" t="s">
        <v>41121</v>
      </c>
      <c r="C6446" s="5" t="s">
        <v>41122</v>
      </c>
      <c r="D6446" s="246">
        <v>41597</v>
      </c>
      <c r="E6446" s="5" t="s">
        <v>41123</v>
      </c>
      <c r="F6446" s="26" t="s">
        <v>23600</v>
      </c>
      <c r="G6446" s="27" t="s">
        <v>9030</v>
      </c>
      <c r="H6446" s="28" t="s">
        <v>9031</v>
      </c>
      <c r="I6446" s="5" t="s">
        <v>2336</v>
      </c>
    </row>
    <row r="6447" spans="1:9" ht="51.75" customHeight="1">
      <c r="A6447" s="5" t="s">
        <v>26280</v>
      </c>
      <c r="B6447" s="5" t="s">
        <v>41124</v>
      </c>
      <c r="C6447" s="5" t="s">
        <v>41125</v>
      </c>
      <c r="D6447" s="246">
        <v>41597</v>
      </c>
      <c r="E6447" s="5" t="s">
        <v>41126</v>
      </c>
      <c r="F6447" s="26" t="s">
        <v>23600</v>
      </c>
      <c r="G6447" s="27" t="s">
        <v>9030</v>
      </c>
      <c r="H6447" s="28" t="s">
        <v>9031</v>
      </c>
      <c r="I6447" s="5" t="s">
        <v>2336</v>
      </c>
    </row>
    <row r="6448" spans="1:9" ht="51.75" customHeight="1">
      <c r="A6448" s="5" t="s">
        <v>26285</v>
      </c>
      <c r="B6448" s="5" t="s">
        <v>41127</v>
      </c>
      <c r="C6448" s="5" t="s">
        <v>41128</v>
      </c>
      <c r="D6448" s="246">
        <v>41597</v>
      </c>
      <c r="E6448" s="5" t="s">
        <v>41129</v>
      </c>
      <c r="F6448" s="26" t="s">
        <v>23600</v>
      </c>
      <c r="G6448" s="27" t="s">
        <v>9030</v>
      </c>
      <c r="H6448" s="28" t="s">
        <v>9031</v>
      </c>
      <c r="I6448" s="5" t="s">
        <v>2336</v>
      </c>
    </row>
    <row r="6449" spans="1:9" ht="51.75" customHeight="1">
      <c r="A6449" s="5" t="s">
        <v>26296</v>
      </c>
      <c r="B6449" s="5" t="s">
        <v>41130</v>
      </c>
      <c r="C6449" s="5" t="s">
        <v>41125</v>
      </c>
      <c r="D6449" s="246">
        <v>41597</v>
      </c>
      <c r="E6449" s="5" t="s">
        <v>41131</v>
      </c>
      <c r="F6449" s="26" t="s">
        <v>23600</v>
      </c>
      <c r="G6449" s="27" t="s">
        <v>9030</v>
      </c>
      <c r="H6449" s="28" t="s">
        <v>9031</v>
      </c>
      <c r="I6449" s="5" t="s">
        <v>2336</v>
      </c>
    </row>
    <row r="6450" spans="1:9" ht="51.75" customHeight="1">
      <c r="A6450" s="5" t="s">
        <v>26301</v>
      </c>
      <c r="B6450" s="5" t="s">
        <v>41132</v>
      </c>
      <c r="C6450" s="5" t="s">
        <v>41133</v>
      </c>
      <c r="D6450" s="246">
        <v>41597</v>
      </c>
      <c r="E6450" s="5" t="s">
        <v>41134</v>
      </c>
      <c r="F6450" s="26" t="s">
        <v>23600</v>
      </c>
      <c r="G6450" s="27" t="s">
        <v>9030</v>
      </c>
      <c r="H6450" s="28" t="s">
        <v>9031</v>
      </c>
      <c r="I6450" s="5" t="s">
        <v>2336</v>
      </c>
    </row>
    <row r="6451" spans="1:9" ht="51.75" customHeight="1">
      <c r="A6451" s="5" t="s">
        <v>25539</v>
      </c>
      <c r="B6451" s="5" t="s">
        <v>41135</v>
      </c>
      <c r="C6451" s="5" t="s">
        <v>41136</v>
      </c>
      <c r="D6451" s="246">
        <v>41597</v>
      </c>
      <c r="E6451" s="5" t="s">
        <v>41137</v>
      </c>
      <c r="F6451" s="26" t="s">
        <v>23600</v>
      </c>
      <c r="G6451" s="27" t="s">
        <v>9030</v>
      </c>
      <c r="H6451" s="28" t="s">
        <v>9031</v>
      </c>
      <c r="I6451" s="5" t="s">
        <v>2336</v>
      </c>
    </row>
    <row r="6452" spans="1:9" ht="51.75" customHeight="1">
      <c r="A6452" s="5" t="s">
        <v>35566</v>
      </c>
      <c r="B6452" s="5" t="s">
        <v>41138</v>
      </c>
      <c r="C6452" s="5" t="s">
        <v>41139</v>
      </c>
      <c r="D6452" s="246">
        <v>41814</v>
      </c>
      <c r="E6452" s="5" t="s">
        <v>41140</v>
      </c>
      <c r="F6452" s="26" t="s">
        <v>23600</v>
      </c>
      <c r="G6452" s="27" t="s">
        <v>9233</v>
      </c>
      <c r="H6452" s="28" t="s">
        <v>9234</v>
      </c>
      <c r="I6452" s="5" t="s">
        <v>2336</v>
      </c>
    </row>
    <row r="6453" spans="1:9" ht="51.75" customHeight="1">
      <c r="A6453" s="5" t="s">
        <v>35074</v>
      </c>
      <c r="B6453" s="5" t="s">
        <v>41141</v>
      </c>
      <c r="C6453" s="5" t="s">
        <v>41142</v>
      </c>
      <c r="D6453" s="246">
        <v>41814</v>
      </c>
      <c r="E6453" s="5" t="s">
        <v>41143</v>
      </c>
      <c r="F6453" s="26" t="s">
        <v>23600</v>
      </c>
      <c r="G6453" s="27" t="s">
        <v>9233</v>
      </c>
      <c r="H6453" s="28" t="s">
        <v>9234</v>
      </c>
      <c r="I6453" s="5" t="s">
        <v>2336</v>
      </c>
    </row>
    <row r="6454" spans="1:9" ht="51.75" customHeight="1">
      <c r="A6454" s="5" t="s">
        <v>35078</v>
      </c>
      <c r="B6454" s="5" t="s">
        <v>41144</v>
      </c>
      <c r="C6454" s="5" t="s">
        <v>41145</v>
      </c>
      <c r="D6454" s="246">
        <v>41814</v>
      </c>
      <c r="E6454" s="5" t="s">
        <v>41146</v>
      </c>
      <c r="F6454" s="26" t="s">
        <v>23600</v>
      </c>
      <c r="G6454" s="27" t="s">
        <v>9233</v>
      </c>
      <c r="H6454" s="28" t="s">
        <v>9234</v>
      </c>
      <c r="I6454" s="5" t="s">
        <v>2336</v>
      </c>
    </row>
    <row r="6455" spans="1:9" ht="51.75" customHeight="1">
      <c r="A6455" s="5" t="s">
        <v>25365</v>
      </c>
      <c r="B6455" s="5" t="s">
        <v>41147</v>
      </c>
      <c r="C6455" s="5" t="s">
        <v>41148</v>
      </c>
      <c r="D6455" s="246">
        <v>41814</v>
      </c>
      <c r="E6455" s="5" t="s">
        <v>41149</v>
      </c>
      <c r="F6455" s="26" t="s">
        <v>23600</v>
      </c>
      <c r="G6455" s="27" t="s">
        <v>9233</v>
      </c>
      <c r="H6455" s="28" t="s">
        <v>9234</v>
      </c>
      <c r="I6455" s="5" t="s">
        <v>2336</v>
      </c>
    </row>
    <row r="6456" spans="1:9" ht="51.75" customHeight="1">
      <c r="A6456" s="5" t="s">
        <v>27272</v>
      </c>
      <c r="B6456" s="5" t="s">
        <v>41150</v>
      </c>
      <c r="C6456" s="5" t="s">
        <v>41151</v>
      </c>
      <c r="D6456" s="246">
        <v>41814</v>
      </c>
      <c r="E6456" s="5" t="s">
        <v>41152</v>
      </c>
      <c r="F6456" s="26" t="s">
        <v>23600</v>
      </c>
      <c r="G6456" s="27" t="s">
        <v>9233</v>
      </c>
      <c r="H6456" s="28" t="s">
        <v>9234</v>
      </c>
      <c r="I6456" s="5" t="s">
        <v>2336</v>
      </c>
    </row>
    <row r="6457" spans="1:9" ht="51.75" customHeight="1">
      <c r="A6457" s="5" t="s">
        <v>27278</v>
      </c>
      <c r="B6457" s="5" t="s">
        <v>41153</v>
      </c>
      <c r="C6457" s="5" t="s">
        <v>41154</v>
      </c>
      <c r="D6457" s="246">
        <v>41814</v>
      </c>
      <c r="E6457" s="5" t="s">
        <v>41155</v>
      </c>
      <c r="F6457" s="26" t="s">
        <v>23600</v>
      </c>
      <c r="G6457" s="27" t="s">
        <v>9233</v>
      </c>
      <c r="H6457" s="28" t="s">
        <v>9234</v>
      </c>
      <c r="I6457" s="5" t="s">
        <v>2336</v>
      </c>
    </row>
    <row r="6458" spans="1:9" ht="51.75" customHeight="1">
      <c r="A6458" s="5" t="s">
        <v>27284</v>
      </c>
      <c r="B6458" s="5" t="s">
        <v>41156</v>
      </c>
      <c r="C6458" s="5" t="s">
        <v>41157</v>
      </c>
      <c r="D6458" s="246">
        <v>41814</v>
      </c>
      <c r="E6458" s="5" t="s">
        <v>41158</v>
      </c>
      <c r="F6458" s="26" t="s">
        <v>23600</v>
      </c>
      <c r="G6458" s="27" t="s">
        <v>9233</v>
      </c>
      <c r="H6458" s="28" t="s">
        <v>9234</v>
      </c>
      <c r="I6458" s="5" t="s">
        <v>2336</v>
      </c>
    </row>
    <row r="6459" spans="1:9" ht="51.75" customHeight="1">
      <c r="A6459" s="5" t="s">
        <v>25545</v>
      </c>
      <c r="B6459" s="5" t="s">
        <v>41159</v>
      </c>
      <c r="C6459" s="5" t="s">
        <v>41160</v>
      </c>
      <c r="D6459" s="246">
        <v>41814</v>
      </c>
      <c r="E6459" s="5" t="s">
        <v>41161</v>
      </c>
      <c r="F6459" s="26" t="s">
        <v>23600</v>
      </c>
      <c r="G6459" s="27" t="s">
        <v>9233</v>
      </c>
      <c r="H6459" s="28" t="s">
        <v>9234</v>
      </c>
      <c r="I6459" s="5" t="s">
        <v>2336</v>
      </c>
    </row>
    <row r="6460" spans="1:9" ht="51.75" customHeight="1">
      <c r="A6460" s="5" t="s">
        <v>30128</v>
      </c>
      <c r="B6460" s="5" t="s">
        <v>41162</v>
      </c>
      <c r="C6460" s="5" t="s">
        <v>41163</v>
      </c>
      <c r="D6460" s="246">
        <v>41814</v>
      </c>
      <c r="E6460" s="5" t="s">
        <v>41164</v>
      </c>
      <c r="F6460" s="26" t="s">
        <v>23600</v>
      </c>
      <c r="G6460" s="27" t="s">
        <v>9233</v>
      </c>
      <c r="H6460" s="28" t="s">
        <v>9234</v>
      </c>
      <c r="I6460" s="5" t="s">
        <v>2336</v>
      </c>
    </row>
    <row r="6461" spans="1:9" ht="51.75" customHeight="1">
      <c r="A6461" s="5" t="s">
        <v>33981</v>
      </c>
      <c r="B6461" s="5" t="s">
        <v>41165</v>
      </c>
      <c r="C6461" s="5" t="s">
        <v>41166</v>
      </c>
      <c r="D6461" s="246">
        <v>41814</v>
      </c>
      <c r="E6461" s="5" t="s">
        <v>41167</v>
      </c>
      <c r="F6461" s="26" t="s">
        <v>23600</v>
      </c>
      <c r="G6461" s="27" t="s">
        <v>9233</v>
      </c>
      <c r="H6461" s="28" t="s">
        <v>9234</v>
      </c>
      <c r="I6461" s="5" t="s">
        <v>2336</v>
      </c>
    </row>
    <row r="6462" spans="1:9" ht="51.75" customHeight="1">
      <c r="A6462" s="5" t="s">
        <v>33985</v>
      </c>
      <c r="B6462" s="5" t="s">
        <v>41168</v>
      </c>
      <c r="C6462" s="5" t="s">
        <v>41169</v>
      </c>
      <c r="D6462" s="246">
        <v>41814</v>
      </c>
      <c r="E6462" s="5" t="s">
        <v>41170</v>
      </c>
      <c r="F6462" s="26" t="s">
        <v>23600</v>
      </c>
      <c r="G6462" s="27" t="s">
        <v>9233</v>
      </c>
      <c r="H6462" s="28" t="s">
        <v>9234</v>
      </c>
      <c r="I6462" s="5" t="s">
        <v>2336</v>
      </c>
    </row>
    <row r="6463" spans="1:9" ht="51.75" customHeight="1">
      <c r="A6463" s="5" t="s">
        <v>33989</v>
      </c>
      <c r="B6463" s="5" t="s">
        <v>41171</v>
      </c>
      <c r="C6463" s="5" t="s">
        <v>41172</v>
      </c>
      <c r="D6463" s="246">
        <v>41814</v>
      </c>
      <c r="E6463" s="5" t="s">
        <v>41173</v>
      </c>
      <c r="F6463" s="26" t="s">
        <v>23600</v>
      </c>
      <c r="G6463" s="27" t="s">
        <v>9233</v>
      </c>
      <c r="H6463" s="28" t="s">
        <v>9234</v>
      </c>
      <c r="I6463" s="5" t="s">
        <v>2336</v>
      </c>
    </row>
    <row r="6464" spans="1:9" ht="51.75" customHeight="1">
      <c r="A6464" s="5" t="s">
        <v>30132</v>
      </c>
      <c r="B6464" s="5" t="s">
        <v>41174</v>
      </c>
      <c r="C6464" s="5" t="s">
        <v>41175</v>
      </c>
      <c r="D6464" s="246">
        <v>41814</v>
      </c>
      <c r="E6464" s="5" t="s">
        <v>41176</v>
      </c>
      <c r="F6464" s="26" t="s">
        <v>23600</v>
      </c>
      <c r="G6464" s="27" t="s">
        <v>9233</v>
      </c>
      <c r="H6464" s="28" t="s">
        <v>9234</v>
      </c>
      <c r="I6464" s="5" t="s">
        <v>2336</v>
      </c>
    </row>
    <row r="6465" spans="1:9" ht="51.75" customHeight="1">
      <c r="A6465" s="5" t="s">
        <v>24343</v>
      </c>
      <c r="B6465" s="5" t="s">
        <v>41177</v>
      </c>
      <c r="C6465" s="5" t="s">
        <v>41178</v>
      </c>
      <c r="D6465" s="246">
        <v>41814</v>
      </c>
      <c r="E6465" s="5" t="s">
        <v>41179</v>
      </c>
      <c r="F6465" s="26" t="s">
        <v>23600</v>
      </c>
      <c r="G6465" s="27" t="s">
        <v>9233</v>
      </c>
      <c r="H6465" s="28" t="s">
        <v>9234</v>
      </c>
      <c r="I6465" s="5" t="s">
        <v>2336</v>
      </c>
    </row>
    <row r="6466" spans="1:9" ht="51.75" customHeight="1">
      <c r="A6466" s="5" t="s">
        <v>24432</v>
      </c>
      <c r="B6466" s="5" t="s">
        <v>41180</v>
      </c>
      <c r="C6466" s="5" t="s">
        <v>41181</v>
      </c>
      <c r="D6466" s="246">
        <v>41814</v>
      </c>
      <c r="E6466" s="5" t="s">
        <v>41182</v>
      </c>
      <c r="F6466" s="26" t="s">
        <v>23600</v>
      </c>
      <c r="G6466" s="27" t="s">
        <v>9233</v>
      </c>
      <c r="H6466" s="28" t="s">
        <v>9234</v>
      </c>
      <c r="I6466" s="5" t="s">
        <v>2336</v>
      </c>
    </row>
    <row r="6467" spans="1:9" ht="51.75" customHeight="1">
      <c r="A6467" s="5" t="s">
        <v>24436</v>
      </c>
      <c r="B6467" s="5" t="s">
        <v>41183</v>
      </c>
      <c r="C6467" s="5" t="s">
        <v>41184</v>
      </c>
      <c r="D6467" s="246">
        <v>41814</v>
      </c>
      <c r="E6467" s="5" t="s">
        <v>41185</v>
      </c>
      <c r="F6467" s="26" t="s">
        <v>23600</v>
      </c>
      <c r="G6467" s="27" t="s">
        <v>9233</v>
      </c>
      <c r="H6467" s="28" t="s">
        <v>9234</v>
      </c>
      <c r="I6467" s="5" t="s">
        <v>2336</v>
      </c>
    </row>
    <row r="6468" spans="1:9" ht="51.75" customHeight="1">
      <c r="A6468" s="5" t="s">
        <v>24307</v>
      </c>
      <c r="B6468" s="5" t="s">
        <v>41186</v>
      </c>
      <c r="C6468" s="5" t="s">
        <v>41187</v>
      </c>
      <c r="D6468" s="246">
        <v>42212</v>
      </c>
      <c r="E6468" s="5" t="s">
        <v>41188</v>
      </c>
      <c r="F6468" s="26" t="s">
        <v>23600</v>
      </c>
      <c r="G6468" s="27" t="s">
        <v>10260</v>
      </c>
      <c r="H6468" s="28" t="s">
        <v>10261</v>
      </c>
      <c r="I6468" s="5" t="s">
        <v>2336</v>
      </c>
    </row>
    <row r="6469" spans="1:9" ht="51.75" customHeight="1">
      <c r="A6469" s="5" t="s">
        <v>24315</v>
      </c>
      <c r="B6469" s="5" t="s">
        <v>41189</v>
      </c>
      <c r="C6469" s="5" t="s">
        <v>41190</v>
      </c>
      <c r="D6469" s="246">
        <v>42212</v>
      </c>
      <c r="E6469" s="5" t="s">
        <v>41191</v>
      </c>
      <c r="F6469" s="26" t="s">
        <v>23600</v>
      </c>
      <c r="G6469" s="27" t="s">
        <v>10260</v>
      </c>
      <c r="H6469" s="28" t="s">
        <v>10261</v>
      </c>
      <c r="I6469" s="5" t="s">
        <v>2336</v>
      </c>
    </row>
    <row r="6470" spans="1:9" ht="51.75" customHeight="1">
      <c r="A6470" s="5" t="s">
        <v>27767</v>
      </c>
      <c r="B6470" s="5" t="s">
        <v>41192</v>
      </c>
      <c r="C6470" s="5" t="s">
        <v>41193</v>
      </c>
      <c r="D6470" s="246">
        <v>42212</v>
      </c>
      <c r="E6470" s="5" t="s">
        <v>41194</v>
      </c>
      <c r="F6470" s="26" t="s">
        <v>23600</v>
      </c>
      <c r="G6470" s="27" t="s">
        <v>10260</v>
      </c>
      <c r="H6470" s="28" t="s">
        <v>10261</v>
      </c>
      <c r="I6470" s="5" t="s">
        <v>2336</v>
      </c>
    </row>
    <row r="6471" spans="1:9" ht="51.75" customHeight="1">
      <c r="A6471" s="5" t="s">
        <v>27771</v>
      </c>
      <c r="B6471" s="5" t="s">
        <v>41195</v>
      </c>
      <c r="C6471" s="5" t="s">
        <v>41196</v>
      </c>
      <c r="D6471" s="246">
        <v>42212</v>
      </c>
      <c r="E6471" s="5" t="s">
        <v>41197</v>
      </c>
      <c r="F6471" s="26" t="s">
        <v>23600</v>
      </c>
      <c r="G6471" s="27" t="s">
        <v>10260</v>
      </c>
      <c r="H6471" s="28" t="s">
        <v>10261</v>
      </c>
      <c r="I6471" s="5" t="s">
        <v>2336</v>
      </c>
    </row>
    <row r="6472" spans="1:9" ht="51.75" customHeight="1">
      <c r="A6472" s="5" t="s">
        <v>24123</v>
      </c>
      <c r="B6472" s="5" t="s">
        <v>41198</v>
      </c>
      <c r="C6472" s="5" t="s">
        <v>41199</v>
      </c>
      <c r="D6472" s="246">
        <v>42212</v>
      </c>
      <c r="E6472" s="5" t="s">
        <v>41200</v>
      </c>
      <c r="F6472" s="26" t="s">
        <v>23600</v>
      </c>
      <c r="G6472" s="27" t="s">
        <v>10260</v>
      </c>
      <c r="H6472" s="28" t="s">
        <v>10261</v>
      </c>
      <c r="I6472" s="5" t="s">
        <v>2336</v>
      </c>
    </row>
    <row r="6473" spans="1:9" ht="51.75" customHeight="1">
      <c r="A6473" s="5" t="s">
        <v>25499</v>
      </c>
      <c r="B6473" s="5" t="s">
        <v>41201</v>
      </c>
      <c r="C6473" s="5" t="s">
        <v>41202</v>
      </c>
      <c r="D6473" s="246">
        <v>42212</v>
      </c>
      <c r="E6473" s="5" t="s">
        <v>41203</v>
      </c>
      <c r="F6473" s="26" t="s">
        <v>23600</v>
      </c>
      <c r="G6473" s="27" t="s">
        <v>10260</v>
      </c>
      <c r="H6473" s="28" t="s">
        <v>10261</v>
      </c>
      <c r="I6473" s="5" t="s">
        <v>2336</v>
      </c>
    </row>
    <row r="6474" spans="1:9" ht="51.75" customHeight="1">
      <c r="A6474" s="5" t="s">
        <v>23872</v>
      </c>
      <c r="B6474" s="5" t="s">
        <v>41204</v>
      </c>
      <c r="C6474" s="5" t="s">
        <v>41205</v>
      </c>
      <c r="D6474" s="246">
        <v>42212</v>
      </c>
      <c r="E6474" s="5" t="s">
        <v>41206</v>
      </c>
      <c r="F6474" s="26" t="s">
        <v>23600</v>
      </c>
      <c r="G6474" s="27" t="s">
        <v>10260</v>
      </c>
      <c r="H6474" s="28" t="s">
        <v>10261</v>
      </c>
      <c r="I6474" s="5" t="s">
        <v>2336</v>
      </c>
    </row>
    <row r="6475" spans="1:9" ht="51.75" customHeight="1">
      <c r="A6475" s="5" t="s">
        <v>26549</v>
      </c>
      <c r="B6475" s="5" t="s">
        <v>41207</v>
      </c>
      <c r="C6475" s="5" t="s">
        <v>41208</v>
      </c>
      <c r="D6475" s="246">
        <v>42360</v>
      </c>
      <c r="E6475" s="5" t="s">
        <v>41209</v>
      </c>
      <c r="F6475" s="26" t="s">
        <v>23600</v>
      </c>
      <c r="G6475" s="27" t="s">
        <v>11408</v>
      </c>
      <c r="H6475" s="28" t="s">
        <v>11409</v>
      </c>
      <c r="I6475" s="5" t="s">
        <v>2336</v>
      </c>
    </row>
    <row r="6476" spans="1:9" ht="51.75" customHeight="1">
      <c r="A6476" s="5" t="s">
        <v>26555</v>
      </c>
      <c r="B6476" s="5" t="s">
        <v>41210</v>
      </c>
      <c r="C6476" s="5" t="s">
        <v>41211</v>
      </c>
      <c r="D6476" s="246">
        <v>42360</v>
      </c>
      <c r="E6476" s="5" t="s">
        <v>41212</v>
      </c>
      <c r="F6476" s="26" t="s">
        <v>23600</v>
      </c>
      <c r="G6476" s="27" t="s">
        <v>11408</v>
      </c>
      <c r="H6476" s="28" t="s">
        <v>11409</v>
      </c>
      <c r="I6476" s="5" t="s">
        <v>2336</v>
      </c>
    </row>
    <row r="6477" spans="1:9" ht="51.75" customHeight="1">
      <c r="A6477" s="5" t="s">
        <v>27014</v>
      </c>
      <c r="B6477" s="5" t="s">
        <v>41213</v>
      </c>
      <c r="C6477" s="5" t="s">
        <v>41214</v>
      </c>
      <c r="D6477" s="246">
        <v>42360</v>
      </c>
      <c r="E6477" s="5" t="s">
        <v>41215</v>
      </c>
      <c r="F6477" s="26" t="s">
        <v>23600</v>
      </c>
      <c r="G6477" s="27" t="s">
        <v>11408</v>
      </c>
      <c r="H6477" s="28" t="s">
        <v>11409</v>
      </c>
      <c r="I6477" s="5" t="s">
        <v>2336</v>
      </c>
    </row>
    <row r="6478" spans="1:9" ht="51.75" customHeight="1">
      <c r="A6478" s="5" t="s">
        <v>27020</v>
      </c>
      <c r="B6478" s="5" t="s">
        <v>41216</v>
      </c>
      <c r="C6478" s="5" t="s">
        <v>41217</v>
      </c>
      <c r="D6478" s="246">
        <v>42360</v>
      </c>
      <c r="E6478" s="5" t="s">
        <v>41218</v>
      </c>
      <c r="F6478" s="26" t="s">
        <v>23600</v>
      </c>
      <c r="G6478" s="27" t="s">
        <v>11408</v>
      </c>
      <c r="H6478" s="28" t="s">
        <v>11409</v>
      </c>
      <c r="I6478" s="5" t="s">
        <v>2336</v>
      </c>
    </row>
    <row r="6479" spans="1:9" ht="51.75" customHeight="1">
      <c r="A6479" s="5" t="s">
        <v>27026</v>
      </c>
      <c r="B6479" s="5" t="s">
        <v>41219</v>
      </c>
      <c r="C6479" s="5" t="s">
        <v>41220</v>
      </c>
      <c r="D6479" s="246">
        <v>42360</v>
      </c>
      <c r="E6479" s="5" t="s">
        <v>41221</v>
      </c>
      <c r="F6479" s="26" t="s">
        <v>23600</v>
      </c>
      <c r="G6479" s="27" t="s">
        <v>11408</v>
      </c>
      <c r="H6479" s="28" t="s">
        <v>11409</v>
      </c>
      <c r="I6479" s="5" t="s">
        <v>2336</v>
      </c>
    </row>
    <row r="6480" spans="1:9" ht="51.75" customHeight="1">
      <c r="A6480" s="5" t="s">
        <v>27032</v>
      </c>
      <c r="B6480" s="5" t="s">
        <v>41222</v>
      </c>
      <c r="C6480" s="5"/>
      <c r="D6480" s="246">
        <v>42360</v>
      </c>
      <c r="E6480" s="5" t="s">
        <v>41223</v>
      </c>
      <c r="F6480" s="26" t="s">
        <v>23600</v>
      </c>
      <c r="G6480" s="27" t="s">
        <v>11408</v>
      </c>
      <c r="H6480" s="28" t="s">
        <v>11409</v>
      </c>
      <c r="I6480" s="5" t="s">
        <v>2336</v>
      </c>
    </row>
    <row r="6481" spans="1:9" ht="51.75" customHeight="1">
      <c r="A6481" s="5" t="s">
        <v>28119</v>
      </c>
      <c r="B6481" s="5" t="s">
        <v>41224</v>
      </c>
      <c r="C6481" s="5" t="s">
        <v>41225</v>
      </c>
      <c r="D6481" s="246">
        <v>42360</v>
      </c>
      <c r="E6481" s="5" t="s">
        <v>41226</v>
      </c>
      <c r="F6481" s="26" t="s">
        <v>23600</v>
      </c>
      <c r="G6481" s="27" t="s">
        <v>11408</v>
      </c>
      <c r="H6481" s="28" t="s">
        <v>11409</v>
      </c>
      <c r="I6481" s="5" t="s">
        <v>2336</v>
      </c>
    </row>
    <row r="6482" spans="1:9" ht="51.75" customHeight="1">
      <c r="A6482" s="5" t="s">
        <v>28123</v>
      </c>
      <c r="B6482" s="5" t="s">
        <v>41227</v>
      </c>
      <c r="C6482" s="5" t="s">
        <v>41228</v>
      </c>
      <c r="D6482" s="246">
        <v>42360</v>
      </c>
      <c r="E6482" s="5" t="s">
        <v>41229</v>
      </c>
      <c r="F6482" s="26" t="s">
        <v>23600</v>
      </c>
      <c r="G6482" s="27" t="s">
        <v>11408</v>
      </c>
      <c r="H6482" s="28" t="s">
        <v>11409</v>
      </c>
      <c r="I6482" s="5" t="s">
        <v>2336</v>
      </c>
    </row>
    <row r="6483" spans="1:9" ht="51.75" customHeight="1">
      <c r="A6483" s="5" t="s">
        <v>25054</v>
      </c>
      <c r="B6483" s="5" t="s">
        <v>41230</v>
      </c>
      <c r="C6483" s="5" t="s">
        <v>41231</v>
      </c>
      <c r="D6483" s="246">
        <v>42360</v>
      </c>
      <c r="E6483" s="5" t="s">
        <v>41232</v>
      </c>
      <c r="F6483" s="26" t="s">
        <v>23600</v>
      </c>
      <c r="G6483" s="27" t="s">
        <v>11408</v>
      </c>
      <c r="H6483" s="28" t="s">
        <v>11409</v>
      </c>
      <c r="I6483" s="5" t="s">
        <v>2336</v>
      </c>
    </row>
    <row r="6484" spans="1:9" ht="51.75" customHeight="1">
      <c r="A6484" s="5" t="s">
        <v>25058</v>
      </c>
      <c r="B6484" s="5" t="s">
        <v>41233</v>
      </c>
      <c r="C6484" s="5" t="s">
        <v>41234</v>
      </c>
      <c r="D6484" s="246">
        <v>42360</v>
      </c>
      <c r="E6484" s="5" t="s">
        <v>41235</v>
      </c>
      <c r="F6484" s="26" t="s">
        <v>23600</v>
      </c>
      <c r="G6484" s="27" t="s">
        <v>11408</v>
      </c>
      <c r="H6484" s="28" t="s">
        <v>11409</v>
      </c>
      <c r="I6484" s="5" t="s">
        <v>2336</v>
      </c>
    </row>
    <row r="6485" spans="1:9" ht="51.75" customHeight="1">
      <c r="A6485" s="5" t="s">
        <v>26352</v>
      </c>
      <c r="B6485" s="5" t="s">
        <v>41236</v>
      </c>
      <c r="C6485" s="5" t="s">
        <v>41237</v>
      </c>
      <c r="D6485" s="246">
        <v>42360</v>
      </c>
      <c r="E6485" s="5" t="s">
        <v>41238</v>
      </c>
      <c r="F6485" s="26" t="s">
        <v>23600</v>
      </c>
      <c r="G6485" s="27" t="s">
        <v>11408</v>
      </c>
      <c r="H6485" s="28" t="s">
        <v>11409</v>
      </c>
      <c r="I6485" s="5" t="s">
        <v>2336</v>
      </c>
    </row>
    <row r="6486" spans="1:9" ht="51.75" customHeight="1">
      <c r="A6486" s="5" t="s">
        <v>26358</v>
      </c>
      <c r="B6486" s="5" t="s">
        <v>41239</v>
      </c>
      <c r="C6486" s="5" t="s">
        <v>41240</v>
      </c>
      <c r="D6486" s="246">
        <v>42360</v>
      </c>
      <c r="E6486" s="5" t="s">
        <v>41241</v>
      </c>
      <c r="F6486" s="26" t="s">
        <v>23600</v>
      </c>
      <c r="G6486" s="27" t="s">
        <v>11408</v>
      </c>
      <c r="H6486" s="28" t="s">
        <v>11409</v>
      </c>
      <c r="I6486" s="5" t="s">
        <v>2336</v>
      </c>
    </row>
    <row r="6487" spans="1:9" ht="51.75" customHeight="1">
      <c r="A6487" s="5" t="s">
        <v>25301</v>
      </c>
      <c r="B6487" s="5" t="s">
        <v>41242</v>
      </c>
      <c r="C6487" s="5" t="s">
        <v>41243</v>
      </c>
      <c r="D6487" s="246">
        <v>42797</v>
      </c>
      <c r="E6487" s="5" t="s">
        <v>41244</v>
      </c>
      <c r="F6487" s="26" t="s">
        <v>23600</v>
      </c>
      <c r="G6487" s="27" t="s">
        <v>12275</v>
      </c>
      <c r="H6487" s="28" t="s">
        <v>12276</v>
      </c>
      <c r="I6487" s="5" t="s">
        <v>2336</v>
      </c>
    </row>
    <row r="6488" spans="1:9" ht="51.75" customHeight="1">
      <c r="A6488" s="5" t="s">
        <v>25304</v>
      </c>
      <c r="B6488" s="5" t="s">
        <v>41245</v>
      </c>
      <c r="C6488" s="5" t="s">
        <v>41246</v>
      </c>
      <c r="D6488" s="246">
        <v>42797</v>
      </c>
      <c r="E6488" s="5" t="s">
        <v>41247</v>
      </c>
      <c r="F6488" s="26" t="s">
        <v>23600</v>
      </c>
      <c r="G6488" s="27" t="s">
        <v>12275</v>
      </c>
      <c r="H6488" s="28" t="s">
        <v>12276</v>
      </c>
      <c r="I6488" s="5" t="s">
        <v>2336</v>
      </c>
    </row>
    <row r="6489" spans="1:9" ht="51.75" customHeight="1">
      <c r="A6489" s="5" t="s">
        <v>24351</v>
      </c>
      <c r="B6489" s="5" t="s">
        <v>41248</v>
      </c>
      <c r="C6489" s="5" t="s">
        <v>41249</v>
      </c>
      <c r="D6489" s="246">
        <v>42797</v>
      </c>
      <c r="E6489" s="5" t="s">
        <v>41250</v>
      </c>
      <c r="F6489" s="26" t="s">
        <v>23600</v>
      </c>
      <c r="G6489" s="27" t="s">
        <v>12275</v>
      </c>
      <c r="H6489" s="28" t="s">
        <v>12276</v>
      </c>
      <c r="I6489" s="5" t="s">
        <v>2336</v>
      </c>
    </row>
    <row r="6490" spans="1:9" ht="51.75" customHeight="1">
      <c r="A6490" s="5" t="s">
        <v>26364</v>
      </c>
      <c r="B6490" s="5" t="s">
        <v>41251</v>
      </c>
      <c r="C6490" s="5" t="s">
        <v>41252</v>
      </c>
      <c r="D6490" s="246">
        <v>42353</v>
      </c>
      <c r="E6490" s="5" t="s">
        <v>41253</v>
      </c>
      <c r="F6490" s="26" t="s">
        <v>23600</v>
      </c>
      <c r="G6490" s="27" t="s">
        <v>11276</v>
      </c>
      <c r="H6490" s="28" t="s">
        <v>11277</v>
      </c>
      <c r="I6490" s="5" t="s">
        <v>2336</v>
      </c>
    </row>
    <row r="6491" spans="1:9" ht="51.75" customHeight="1">
      <c r="A6491" s="5" t="s">
        <v>28320</v>
      </c>
      <c r="B6491" s="5" t="s">
        <v>41254</v>
      </c>
      <c r="C6491" s="5" t="s">
        <v>41255</v>
      </c>
      <c r="D6491" s="246">
        <v>42353</v>
      </c>
      <c r="E6491" s="5" t="s">
        <v>41256</v>
      </c>
      <c r="F6491" s="26" t="s">
        <v>23600</v>
      </c>
      <c r="G6491" s="27" t="s">
        <v>11276</v>
      </c>
      <c r="H6491" s="28" t="s">
        <v>11277</v>
      </c>
      <c r="I6491" s="5" t="s">
        <v>2336</v>
      </c>
    </row>
    <row r="6492" spans="1:9" ht="51.75" customHeight="1">
      <c r="A6492" s="5" t="s">
        <v>28326</v>
      </c>
      <c r="B6492" s="5" t="s">
        <v>41257</v>
      </c>
      <c r="C6492" s="5" t="s">
        <v>41258</v>
      </c>
      <c r="D6492" s="246">
        <v>42353</v>
      </c>
      <c r="E6492" s="5" t="s">
        <v>41259</v>
      </c>
      <c r="F6492" s="26" t="s">
        <v>23600</v>
      </c>
      <c r="G6492" s="27" t="s">
        <v>11276</v>
      </c>
      <c r="H6492" s="28" t="s">
        <v>11277</v>
      </c>
      <c r="I6492" s="5" t="s">
        <v>2336</v>
      </c>
    </row>
    <row r="6493" spans="1:9" ht="51.75" customHeight="1">
      <c r="A6493" s="5" t="s">
        <v>28329</v>
      </c>
      <c r="B6493" s="5" t="s">
        <v>41260</v>
      </c>
      <c r="C6493" s="5" t="s">
        <v>41261</v>
      </c>
      <c r="D6493" s="246">
        <v>42353</v>
      </c>
      <c r="E6493" s="5" t="s">
        <v>41262</v>
      </c>
      <c r="F6493" s="26" t="s">
        <v>23600</v>
      </c>
      <c r="G6493" s="27" t="s">
        <v>11276</v>
      </c>
      <c r="H6493" s="28" t="s">
        <v>11277</v>
      </c>
      <c r="I6493" s="5" t="s">
        <v>2336</v>
      </c>
    </row>
    <row r="6494" spans="1:9" ht="51.75" customHeight="1">
      <c r="A6494" s="5" t="s">
        <v>28332</v>
      </c>
      <c r="B6494" s="5" t="s">
        <v>41263</v>
      </c>
      <c r="C6494" s="5" t="s">
        <v>41264</v>
      </c>
      <c r="D6494" s="246">
        <v>42353</v>
      </c>
      <c r="E6494" s="5" t="s">
        <v>41265</v>
      </c>
      <c r="F6494" s="26" t="s">
        <v>23600</v>
      </c>
      <c r="G6494" s="27" t="s">
        <v>11276</v>
      </c>
      <c r="H6494" s="28" t="s">
        <v>11277</v>
      </c>
      <c r="I6494" s="5" t="s">
        <v>2336</v>
      </c>
    </row>
    <row r="6495" spans="1:9" ht="51.75" customHeight="1">
      <c r="A6495" s="5" t="s">
        <v>28335</v>
      </c>
      <c r="B6495" s="5" t="s">
        <v>41266</v>
      </c>
      <c r="C6495" s="5" t="s">
        <v>41267</v>
      </c>
      <c r="D6495" s="246">
        <v>42353</v>
      </c>
      <c r="E6495" s="5" t="s">
        <v>41268</v>
      </c>
      <c r="F6495" s="26" t="s">
        <v>23600</v>
      </c>
      <c r="G6495" s="27" t="s">
        <v>11276</v>
      </c>
      <c r="H6495" s="28" t="s">
        <v>11277</v>
      </c>
      <c r="I6495" s="5" t="s">
        <v>2336</v>
      </c>
    </row>
    <row r="6496" spans="1:9" ht="51.75" customHeight="1">
      <c r="A6496" s="5" t="s">
        <v>23810</v>
      </c>
      <c r="B6496" s="5" t="s">
        <v>41269</v>
      </c>
      <c r="C6496" s="5" t="s">
        <v>41270</v>
      </c>
      <c r="D6496" s="246">
        <v>42353</v>
      </c>
      <c r="E6496" s="5" t="s">
        <v>41271</v>
      </c>
      <c r="F6496" s="26" t="s">
        <v>23600</v>
      </c>
      <c r="G6496" s="27" t="s">
        <v>11276</v>
      </c>
      <c r="H6496" s="28" t="s">
        <v>11277</v>
      </c>
      <c r="I6496" s="5" t="s">
        <v>2336</v>
      </c>
    </row>
    <row r="6497" spans="1:9" ht="51.75" customHeight="1">
      <c r="A6497" s="5" t="s">
        <v>28127</v>
      </c>
      <c r="B6497" s="5" t="s">
        <v>41272</v>
      </c>
      <c r="C6497" s="5" t="s">
        <v>41273</v>
      </c>
      <c r="D6497" s="246">
        <v>42790</v>
      </c>
      <c r="E6497" s="5" t="s">
        <v>41274</v>
      </c>
      <c r="F6497" s="26" t="s">
        <v>23600</v>
      </c>
      <c r="G6497" s="27" t="s">
        <v>12949</v>
      </c>
      <c r="H6497" s="28" t="s">
        <v>12950</v>
      </c>
      <c r="I6497" s="5" t="s">
        <v>2336</v>
      </c>
    </row>
    <row r="6498" spans="1:9" ht="51.75" customHeight="1">
      <c r="A6498" s="5" t="s">
        <v>33738</v>
      </c>
      <c r="B6498" s="5" t="s">
        <v>41275</v>
      </c>
      <c r="C6498" s="5" t="s">
        <v>41276</v>
      </c>
      <c r="D6498" s="246">
        <v>42790</v>
      </c>
      <c r="E6498" s="5" t="s">
        <v>41277</v>
      </c>
      <c r="F6498" s="26" t="s">
        <v>23600</v>
      </c>
      <c r="G6498" s="27" t="s">
        <v>12949</v>
      </c>
      <c r="H6498" s="28" t="s">
        <v>12950</v>
      </c>
      <c r="I6498" s="5" t="s">
        <v>2336</v>
      </c>
    </row>
    <row r="6499" spans="1:9" ht="51.75" customHeight="1">
      <c r="A6499" s="5" t="s">
        <v>25054</v>
      </c>
      <c r="B6499" s="5" t="s">
        <v>41278</v>
      </c>
      <c r="C6499" s="5" t="s">
        <v>41279</v>
      </c>
      <c r="D6499" s="246">
        <v>42790</v>
      </c>
      <c r="E6499" s="5" t="s">
        <v>41280</v>
      </c>
      <c r="F6499" s="26" t="s">
        <v>23600</v>
      </c>
      <c r="G6499" s="27" t="s">
        <v>12949</v>
      </c>
      <c r="H6499" s="28" t="s">
        <v>12950</v>
      </c>
      <c r="I6499" s="5" t="s">
        <v>2336</v>
      </c>
    </row>
    <row r="6500" spans="1:9" ht="51.75" customHeight="1">
      <c r="A6500" s="5" t="s">
        <v>25058</v>
      </c>
      <c r="B6500" s="5" t="s">
        <v>41281</v>
      </c>
      <c r="C6500" s="5" t="s">
        <v>41282</v>
      </c>
      <c r="D6500" s="246">
        <v>42790</v>
      </c>
      <c r="E6500" s="5" t="s">
        <v>41283</v>
      </c>
      <c r="F6500" s="26" t="s">
        <v>23600</v>
      </c>
      <c r="G6500" s="27" t="s">
        <v>12949</v>
      </c>
      <c r="H6500" s="28" t="s">
        <v>12950</v>
      </c>
      <c r="I6500" s="5" t="s">
        <v>2336</v>
      </c>
    </row>
    <row r="6501" spans="1:9" ht="51.75" customHeight="1">
      <c r="A6501" s="5" t="s">
        <v>25062</v>
      </c>
      <c r="B6501" s="5" t="s">
        <v>41284</v>
      </c>
      <c r="C6501" s="5" t="s">
        <v>41285</v>
      </c>
      <c r="D6501" s="246">
        <v>42790</v>
      </c>
      <c r="E6501" s="5" t="s">
        <v>41286</v>
      </c>
      <c r="F6501" s="26" t="s">
        <v>23600</v>
      </c>
      <c r="G6501" s="27" t="s">
        <v>12949</v>
      </c>
      <c r="H6501" s="28" t="s">
        <v>12950</v>
      </c>
      <c r="I6501" s="5" t="s">
        <v>2336</v>
      </c>
    </row>
    <row r="6502" spans="1:9" ht="51.75" customHeight="1">
      <c r="A6502" s="5" t="s">
        <v>26352</v>
      </c>
      <c r="B6502" s="5" t="s">
        <v>41287</v>
      </c>
      <c r="C6502" s="5" t="s">
        <v>41288</v>
      </c>
      <c r="D6502" s="246">
        <v>42790</v>
      </c>
      <c r="E6502" s="5" t="s">
        <v>41289</v>
      </c>
      <c r="F6502" s="26" t="s">
        <v>23600</v>
      </c>
      <c r="G6502" s="27" t="s">
        <v>12949</v>
      </c>
      <c r="H6502" s="28" t="s">
        <v>12950</v>
      </c>
      <c r="I6502" s="5" t="s">
        <v>2336</v>
      </c>
    </row>
    <row r="6503" spans="1:9" ht="51.75" customHeight="1">
      <c r="A6503" s="5" t="s">
        <v>26358</v>
      </c>
      <c r="B6503" s="5" t="s">
        <v>41290</v>
      </c>
      <c r="C6503" s="5" t="s">
        <v>41291</v>
      </c>
      <c r="D6503" s="246">
        <v>42790</v>
      </c>
      <c r="E6503" s="5" t="s">
        <v>41292</v>
      </c>
      <c r="F6503" s="26" t="s">
        <v>23600</v>
      </c>
      <c r="G6503" s="27" t="s">
        <v>12949</v>
      </c>
      <c r="H6503" s="28" t="s">
        <v>12950</v>
      </c>
      <c r="I6503" s="5" t="s">
        <v>2336</v>
      </c>
    </row>
    <row r="6504" spans="1:9" ht="51.75" customHeight="1">
      <c r="A6504" s="5" t="s">
        <v>26364</v>
      </c>
      <c r="B6504" s="5" t="s">
        <v>41293</v>
      </c>
      <c r="C6504" s="5" t="s">
        <v>41294</v>
      </c>
      <c r="D6504" s="246">
        <v>42790</v>
      </c>
      <c r="E6504" s="5" t="s">
        <v>41295</v>
      </c>
      <c r="F6504" s="26" t="s">
        <v>23600</v>
      </c>
      <c r="G6504" s="27" t="s">
        <v>12949</v>
      </c>
      <c r="H6504" s="28" t="s">
        <v>12950</v>
      </c>
      <c r="I6504" s="5" t="s">
        <v>2336</v>
      </c>
    </row>
    <row r="6505" spans="1:9" ht="51.75" customHeight="1">
      <c r="A6505" s="5" t="s">
        <v>26370</v>
      </c>
      <c r="B6505" s="5" t="s">
        <v>41296</v>
      </c>
      <c r="C6505" s="5" t="s">
        <v>41297</v>
      </c>
      <c r="D6505" s="246">
        <v>42790</v>
      </c>
      <c r="E6505" s="5" t="s">
        <v>41298</v>
      </c>
      <c r="F6505" s="26" t="s">
        <v>23600</v>
      </c>
      <c r="G6505" s="27" t="s">
        <v>12949</v>
      </c>
      <c r="H6505" s="28" t="s">
        <v>12950</v>
      </c>
      <c r="I6505" s="5" t="s">
        <v>2336</v>
      </c>
    </row>
    <row r="6506" spans="1:9" ht="51.75" customHeight="1">
      <c r="A6506" s="5" t="s">
        <v>28323</v>
      </c>
      <c r="B6506" s="5" t="s">
        <v>41299</v>
      </c>
      <c r="C6506" s="5" t="s">
        <v>41300</v>
      </c>
      <c r="D6506" s="246">
        <v>42790</v>
      </c>
      <c r="E6506" s="5" t="s">
        <v>41301</v>
      </c>
      <c r="F6506" s="26" t="s">
        <v>23600</v>
      </c>
      <c r="G6506" s="27" t="s">
        <v>12949</v>
      </c>
      <c r="H6506" s="28" t="s">
        <v>12950</v>
      </c>
      <c r="I6506" s="5" t="s">
        <v>2336</v>
      </c>
    </row>
    <row r="6507" spans="1:9" ht="51.75" customHeight="1">
      <c r="A6507" s="5" t="s">
        <v>28335</v>
      </c>
      <c r="B6507" s="5" t="s">
        <v>41302</v>
      </c>
      <c r="C6507" s="5" t="s">
        <v>41303</v>
      </c>
      <c r="D6507" s="246">
        <v>42790</v>
      </c>
      <c r="E6507" s="5" t="s">
        <v>41304</v>
      </c>
      <c r="F6507" s="26" t="s">
        <v>23600</v>
      </c>
      <c r="G6507" s="27" t="s">
        <v>12949</v>
      </c>
      <c r="H6507" s="28" t="s">
        <v>12950</v>
      </c>
      <c r="I6507" s="5" t="s">
        <v>2336</v>
      </c>
    </row>
    <row r="6508" spans="1:9" ht="51.75" customHeight="1">
      <c r="A6508" s="5" t="s">
        <v>25499</v>
      </c>
      <c r="B6508" s="5" t="s">
        <v>41305</v>
      </c>
      <c r="C6508" s="5" t="s">
        <v>41306</v>
      </c>
      <c r="D6508" s="246">
        <v>43157</v>
      </c>
      <c r="E6508" s="5" t="s">
        <v>41307</v>
      </c>
      <c r="F6508" s="26" t="s">
        <v>23600</v>
      </c>
      <c r="G6508" s="27" t="s">
        <v>13513</v>
      </c>
      <c r="H6508" s="28" t="s">
        <v>13514</v>
      </c>
      <c r="I6508" s="5" t="s">
        <v>2336</v>
      </c>
    </row>
    <row r="6509" spans="1:9" ht="51.75" customHeight="1">
      <c r="A6509" s="5" t="s">
        <v>25505</v>
      </c>
      <c r="B6509" s="5" t="s">
        <v>41308</v>
      </c>
      <c r="C6509" s="5" t="s">
        <v>41309</v>
      </c>
      <c r="D6509" s="246">
        <v>43157</v>
      </c>
      <c r="E6509" s="5" t="s">
        <v>41310</v>
      </c>
      <c r="F6509" s="26" t="s">
        <v>23600</v>
      </c>
      <c r="G6509" s="27" t="s">
        <v>13513</v>
      </c>
      <c r="H6509" s="28" t="s">
        <v>13514</v>
      </c>
      <c r="I6509" s="5" t="s">
        <v>2336</v>
      </c>
    </row>
    <row r="6510" spans="1:9" ht="51.75" customHeight="1">
      <c r="A6510" s="5" t="s">
        <v>25511</v>
      </c>
      <c r="B6510" s="5" t="s">
        <v>41311</v>
      </c>
      <c r="C6510" s="5" t="s">
        <v>41312</v>
      </c>
      <c r="D6510" s="246">
        <v>43157</v>
      </c>
      <c r="E6510" s="5" t="s">
        <v>41312</v>
      </c>
      <c r="F6510" s="26" t="s">
        <v>23600</v>
      </c>
      <c r="G6510" s="27" t="s">
        <v>13513</v>
      </c>
      <c r="H6510" s="28" t="s">
        <v>13514</v>
      </c>
      <c r="I6510" s="5" t="s">
        <v>2336</v>
      </c>
    </row>
    <row r="6511" spans="1:9" ht="51.75" customHeight="1">
      <c r="A6511" s="5" t="s">
        <v>23772</v>
      </c>
      <c r="B6511" s="5" t="s">
        <v>41313</v>
      </c>
      <c r="C6511" s="5" t="s">
        <v>41314</v>
      </c>
      <c r="D6511" s="246">
        <v>43157</v>
      </c>
      <c r="E6511" s="5" t="s">
        <v>41315</v>
      </c>
      <c r="F6511" s="26" t="s">
        <v>23600</v>
      </c>
      <c r="G6511" s="27" t="s">
        <v>13513</v>
      </c>
      <c r="H6511" s="28" t="s">
        <v>13514</v>
      </c>
      <c r="I6511" s="5" t="s">
        <v>2336</v>
      </c>
    </row>
    <row r="6512" spans="1:9" ht="51.75" customHeight="1">
      <c r="A6512" s="5" t="s">
        <v>23843</v>
      </c>
      <c r="B6512" s="5" t="s">
        <v>41316</v>
      </c>
      <c r="C6512" s="5" t="s">
        <v>41317</v>
      </c>
      <c r="D6512" s="246">
        <v>43157</v>
      </c>
      <c r="E6512" s="5" t="s">
        <v>41318</v>
      </c>
      <c r="F6512" s="26" t="s">
        <v>23600</v>
      </c>
      <c r="G6512" s="27" t="s">
        <v>13513</v>
      </c>
      <c r="H6512" s="28" t="s">
        <v>13514</v>
      </c>
      <c r="I6512" s="5" t="s">
        <v>2336</v>
      </c>
    </row>
    <row r="6513" spans="1:9" ht="51.75" customHeight="1">
      <c r="A6513" s="5" t="s">
        <v>27861</v>
      </c>
      <c r="B6513" s="5" t="s">
        <v>41319</v>
      </c>
      <c r="C6513" s="5" t="s">
        <v>41320</v>
      </c>
      <c r="D6513" s="246">
        <v>43157</v>
      </c>
      <c r="E6513" s="5" t="s">
        <v>41321</v>
      </c>
      <c r="F6513" s="26" t="s">
        <v>23600</v>
      </c>
      <c r="G6513" s="27" t="s">
        <v>13513</v>
      </c>
      <c r="H6513" s="28" t="s">
        <v>13514</v>
      </c>
      <c r="I6513" s="5" t="s">
        <v>2336</v>
      </c>
    </row>
    <row r="6514" spans="1:9" ht="51.75" customHeight="1">
      <c r="A6514" s="5" t="s">
        <v>25327</v>
      </c>
      <c r="B6514" s="5" t="s">
        <v>41322</v>
      </c>
      <c r="C6514" s="5" t="s">
        <v>41323</v>
      </c>
      <c r="D6514" s="246">
        <v>43196</v>
      </c>
      <c r="E6514" s="5" t="s">
        <v>41324</v>
      </c>
      <c r="F6514" s="26" t="s">
        <v>23600</v>
      </c>
      <c r="G6514" s="27" t="s">
        <v>13539</v>
      </c>
      <c r="H6514" s="28" t="s">
        <v>13540</v>
      </c>
      <c r="I6514" s="5" t="s">
        <v>2336</v>
      </c>
    </row>
    <row r="6515" spans="1:9" ht="51.75" customHeight="1">
      <c r="A6515" s="5" t="s">
        <v>25331</v>
      </c>
      <c r="B6515" s="5" t="s">
        <v>41325</v>
      </c>
      <c r="C6515" s="5" t="s">
        <v>41326</v>
      </c>
      <c r="D6515" s="246">
        <v>43196</v>
      </c>
      <c r="E6515" s="5" t="s">
        <v>41327</v>
      </c>
      <c r="F6515" s="26" t="s">
        <v>23600</v>
      </c>
      <c r="G6515" s="27" t="s">
        <v>13539</v>
      </c>
      <c r="H6515" s="28" t="s">
        <v>13540</v>
      </c>
      <c r="I6515" s="5" t="s">
        <v>2336</v>
      </c>
    </row>
    <row r="6516" spans="1:9" ht="51.75" customHeight="1">
      <c r="A6516" s="5" t="s">
        <v>28417</v>
      </c>
      <c r="B6516" s="5" t="s">
        <v>41328</v>
      </c>
      <c r="C6516" s="5" t="s">
        <v>41329</v>
      </c>
      <c r="D6516" s="246">
        <v>43196</v>
      </c>
      <c r="E6516" s="5" t="s">
        <v>41330</v>
      </c>
      <c r="F6516" s="26" t="s">
        <v>23600</v>
      </c>
      <c r="G6516" s="27" t="s">
        <v>13539</v>
      </c>
      <c r="H6516" s="28" t="s">
        <v>13540</v>
      </c>
      <c r="I6516" s="5" t="s">
        <v>2336</v>
      </c>
    </row>
    <row r="6517" spans="1:9" ht="51.75" customHeight="1">
      <c r="A6517" s="5" t="s">
        <v>28420</v>
      </c>
      <c r="B6517" s="5" t="s">
        <v>41331</v>
      </c>
      <c r="C6517" s="5" t="s">
        <v>41332</v>
      </c>
      <c r="D6517" s="246">
        <v>43196</v>
      </c>
      <c r="E6517" s="5" t="s">
        <v>41333</v>
      </c>
      <c r="F6517" s="26" t="s">
        <v>23600</v>
      </c>
      <c r="G6517" s="27" t="s">
        <v>13539</v>
      </c>
      <c r="H6517" s="28" t="s">
        <v>13540</v>
      </c>
      <c r="I6517" s="5" t="s">
        <v>2336</v>
      </c>
    </row>
    <row r="6518" spans="1:9" ht="51.75" customHeight="1">
      <c r="A6518" s="5" t="s">
        <v>25105</v>
      </c>
      <c r="B6518" s="5" t="s">
        <v>41334</v>
      </c>
      <c r="C6518" s="5" t="s">
        <v>41335</v>
      </c>
      <c r="D6518" s="246">
        <v>43196</v>
      </c>
      <c r="E6518" s="5" t="s">
        <v>41336</v>
      </c>
      <c r="F6518" s="26" t="s">
        <v>23600</v>
      </c>
      <c r="G6518" s="27" t="s">
        <v>13539</v>
      </c>
      <c r="H6518" s="28" t="s">
        <v>13540</v>
      </c>
      <c r="I6518" s="5" t="s">
        <v>2336</v>
      </c>
    </row>
    <row r="6519" spans="1:9" ht="51.75" customHeight="1">
      <c r="A6519" s="5" t="s">
        <v>25109</v>
      </c>
      <c r="B6519" s="5" t="s">
        <v>41337</v>
      </c>
      <c r="C6519" s="5" t="s">
        <v>41338</v>
      </c>
      <c r="D6519" s="246">
        <v>43196</v>
      </c>
      <c r="E6519" s="5" t="s">
        <v>41339</v>
      </c>
      <c r="F6519" s="26" t="s">
        <v>23600</v>
      </c>
      <c r="G6519" s="27" t="s">
        <v>13539</v>
      </c>
      <c r="H6519" s="28" t="s">
        <v>13540</v>
      </c>
      <c r="I6519" s="5" t="s">
        <v>2336</v>
      </c>
    </row>
    <row r="6520" spans="1:9" ht="51.75" customHeight="1">
      <c r="A6520" s="5" t="s">
        <v>25113</v>
      </c>
      <c r="B6520" s="5" t="s">
        <v>41340</v>
      </c>
      <c r="C6520" s="5" t="s">
        <v>41341</v>
      </c>
      <c r="D6520" s="246">
        <v>43196</v>
      </c>
      <c r="E6520" s="5" t="s">
        <v>41342</v>
      </c>
      <c r="F6520" s="26" t="s">
        <v>23600</v>
      </c>
      <c r="G6520" s="27" t="s">
        <v>13539</v>
      </c>
      <c r="H6520" s="28" t="s">
        <v>13540</v>
      </c>
      <c r="I6520" s="5" t="s">
        <v>2336</v>
      </c>
    </row>
    <row r="6521" spans="1:9" ht="51.75" customHeight="1">
      <c r="A6521" s="5" t="s">
        <v>25117</v>
      </c>
      <c r="B6521" s="5" t="s">
        <v>41343</v>
      </c>
      <c r="C6521" s="5" t="s">
        <v>41344</v>
      </c>
      <c r="D6521" s="246">
        <v>43196</v>
      </c>
      <c r="E6521" s="5" t="s">
        <v>41345</v>
      </c>
      <c r="F6521" s="26" t="s">
        <v>23600</v>
      </c>
      <c r="G6521" s="27" t="s">
        <v>13539</v>
      </c>
      <c r="H6521" s="28" t="s">
        <v>13540</v>
      </c>
      <c r="I6521" s="5" t="s">
        <v>2336</v>
      </c>
    </row>
    <row r="6522" spans="1:9" ht="51.75" customHeight="1">
      <c r="A6522" s="5" t="s">
        <v>25346</v>
      </c>
      <c r="B6522" s="5" t="s">
        <v>41346</v>
      </c>
      <c r="C6522" s="5" t="s">
        <v>41347</v>
      </c>
      <c r="D6522" s="246">
        <v>43196</v>
      </c>
      <c r="E6522" s="5" t="s">
        <v>41348</v>
      </c>
      <c r="F6522" s="26" t="s">
        <v>23600</v>
      </c>
      <c r="G6522" s="27" t="s">
        <v>13539</v>
      </c>
      <c r="H6522" s="28" t="s">
        <v>13540</v>
      </c>
      <c r="I6522" s="5" t="s">
        <v>2336</v>
      </c>
    </row>
    <row r="6523" spans="1:9" ht="51.75" customHeight="1">
      <c r="A6523" s="5" t="s">
        <v>28440</v>
      </c>
      <c r="B6523" s="5" t="s">
        <v>41349</v>
      </c>
      <c r="C6523" s="5" t="s">
        <v>41350</v>
      </c>
      <c r="D6523" s="246">
        <v>43196</v>
      </c>
      <c r="E6523" s="5" t="s">
        <v>41351</v>
      </c>
      <c r="F6523" s="26" t="s">
        <v>23600</v>
      </c>
      <c r="G6523" s="27" t="s">
        <v>13539</v>
      </c>
      <c r="H6523" s="28" t="s">
        <v>13540</v>
      </c>
      <c r="I6523" s="5" t="s">
        <v>2336</v>
      </c>
    </row>
    <row r="6524" spans="1:9" ht="51.75" customHeight="1">
      <c r="A6524" s="5" t="s">
        <v>29066</v>
      </c>
      <c r="B6524" s="5" t="s">
        <v>41352</v>
      </c>
      <c r="C6524" s="5" t="s">
        <v>41353</v>
      </c>
      <c r="D6524" s="246">
        <v>43196</v>
      </c>
      <c r="E6524" s="5" t="s">
        <v>41354</v>
      </c>
      <c r="F6524" s="26" t="s">
        <v>23600</v>
      </c>
      <c r="G6524" s="27" t="s">
        <v>13539</v>
      </c>
      <c r="H6524" s="28" t="s">
        <v>13540</v>
      </c>
      <c r="I6524" s="5" t="s">
        <v>2336</v>
      </c>
    </row>
    <row r="6525" spans="1:9" ht="51.75" customHeight="1">
      <c r="A6525" s="5" t="s">
        <v>24526</v>
      </c>
      <c r="B6525" s="5" t="s">
        <v>41355</v>
      </c>
      <c r="C6525" s="5" t="s">
        <v>41356</v>
      </c>
      <c r="D6525" s="246">
        <v>43196</v>
      </c>
      <c r="E6525" s="5" t="s">
        <v>41357</v>
      </c>
      <c r="F6525" s="26" t="s">
        <v>23600</v>
      </c>
      <c r="G6525" s="27" t="s">
        <v>13539</v>
      </c>
      <c r="H6525" s="28" t="s">
        <v>13540</v>
      </c>
      <c r="I6525" s="5" t="s">
        <v>2336</v>
      </c>
    </row>
    <row r="6526" spans="1:9" ht="51.75" customHeight="1">
      <c r="A6526" s="5" t="s">
        <v>27757</v>
      </c>
      <c r="B6526" s="5" t="s">
        <v>41358</v>
      </c>
      <c r="C6526" s="5" t="s">
        <v>41359</v>
      </c>
      <c r="D6526" s="246">
        <v>43196</v>
      </c>
      <c r="E6526" s="5" t="s">
        <v>41360</v>
      </c>
      <c r="F6526" s="26" t="s">
        <v>23600</v>
      </c>
      <c r="G6526" s="27" t="s">
        <v>13539</v>
      </c>
      <c r="H6526" s="28" t="s">
        <v>13540</v>
      </c>
      <c r="I6526" s="5" t="s">
        <v>2336</v>
      </c>
    </row>
    <row r="6527" spans="1:9" ht="51.75" customHeight="1">
      <c r="A6527" s="5" t="s">
        <v>28614</v>
      </c>
      <c r="B6527" s="5" t="s">
        <v>41361</v>
      </c>
      <c r="C6527" s="5" t="s">
        <v>41362</v>
      </c>
      <c r="D6527" s="246">
        <v>43196</v>
      </c>
      <c r="E6527" s="5" t="s">
        <v>41363</v>
      </c>
      <c r="F6527" s="26" t="s">
        <v>23600</v>
      </c>
      <c r="G6527" s="27" t="s">
        <v>13539</v>
      </c>
      <c r="H6527" s="28" t="s">
        <v>13540</v>
      </c>
      <c r="I6527" s="5" t="s">
        <v>2336</v>
      </c>
    </row>
    <row r="6528" spans="1:9" ht="51.75" customHeight="1">
      <c r="A6528" s="5" t="s">
        <v>26686</v>
      </c>
      <c r="B6528" s="5" t="s">
        <v>41364</v>
      </c>
      <c r="C6528" s="5" t="s">
        <v>41365</v>
      </c>
      <c r="D6528" s="246">
        <v>43196</v>
      </c>
      <c r="E6528" s="5" t="s">
        <v>41366</v>
      </c>
      <c r="F6528" s="26" t="s">
        <v>23600</v>
      </c>
      <c r="G6528" s="27" t="s">
        <v>13539</v>
      </c>
      <c r="H6528" s="28" t="s">
        <v>13540</v>
      </c>
      <c r="I6528" s="5" t="s">
        <v>2336</v>
      </c>
    </row>
    <row r="6529" spans="1:9" ht="51.75" customHeight="1">
      <c r="A6529" s="5" t="s">
        <v>27380</v>
      </c>
      <c r="B6529" s="5" t="s">
        <v>41367</v>
      </c>
      <c r="C6529" s="5" t="s">
        <v>41368</v>
      </c>
      <c r="D6529" s="246">
        <v>43196</v>
      </c>
      <c r="E6529" s="5" t="s">
        <v>41369</v>
      </c>
      <c r="F6529" s="26" t="s">
        <v>23600</v>
      </c>
      <c r="G6529" s="27" t="s">
        <v>13539</v>
      </c>
      <c r="H6529" s="28" t="s">
        <v>13540</v>
      </c>
      <c r="I6529" s="5" t="s">
        <v>2336</v>
      </c>
    </row>
    <row r="6530" spans="1:9" ht="51.75" customHeight="1">
      <c r="A6530" s="5" t="s">
        <v>27261</v>
      </c>
      <c r="B6530" s="5" t="s">
        <v>41370</v>
      </c>
      <c r="C6530" s="5" t="s">
        <v>41371</v>
      </c>
      <c r="D6530" s="246">
        <v>43196</v>
      </c>
      <c r="E6530" s="5" t="s">
        <v>41372</v>
      </c>
      <c r="F6530" s="26" t="s">
        <v>23600</v>
      </c>
      <c r="G6530" s="27" t="s">
        <v>13539</v>
      </c>
      <c r="H6530" s="28" t="s">
        <v>13540</v>
      </c>
      <c r="I6530" s="5" t="s">
        <v>2336</v>
      </c>
    </row>
    <row r="6531" spans="1:9" ht="51.75" customHeight="1">
      <c r="A6531" s="5" t="s">
        <v>27386</v>
      </c>
      <c r="B6531" s="5" t="s">
        <v>41373</v>
      </c>
      <c r="C6531" s="5" t="s">
        <v>41374</v>
      </c>
      <c r="D6531" s="246">
        <v>43196</v>
      </c>
      <c r="E6531" s="5" t="s">
        <v>41375</v>
      </c>
      <c r="F6531" s="26" t="s">
        <v>23600</v>
      </c>
      <c r="G6531" s="27" t="s">
        <v>13539</v>
      </c>
      <c r="H6531" s="28" t="s">
        <v>13540</v>
      </c>
      <c r="I6531" s="5" t="s">
        <v>2336</v>
      </c>
    </row>
    <row r="6532" spans="1:9" ht="51.75" customHeight="1">
      <c r="A6532" s="5" t="s">
        <v>28237</v>
      </c>
      <c r="B6532" s="5" t="s">
        <v>41376</v>
      </c>
      <c r="C6532" s="5" t="s">
        <v>41377</v>
      </c>
      <c r="D6532" s="246">
        <v>43196</v>
      </c>
      <c r="E6532" s="5" t="s">
        <v>41378</v>
      </c>
      <c r="F6532" s="26" t="s">
        <v>23600</v>
      </c>
      <c r="G6532" s="27" t="s">
        <v>13539</v>
      </c>
      <c r="H6532" s="28" t="s">
        <v>13540</v>
      </c>
      <c r="I6532" s="5" t="s">
        <v>2336</v>
      </c>
    </row>
    <row r="6533" spans="1:9" ht="51.75" customHeight="1">
      <c r="A6533" s="5" t="s">
        <v>23748</v>
      </c>
      <c r="B6533" s="5" t="s">
        <v>41379</v>
      </c>
      <c r="C6533" s="5" t="s">
        <v>41380</v>
      </c>
      <c r="D6533" s="246">
        <v>43089</v>
      </c>
      <c r="E6533" s="5" t="s">
        <v>41381</v>
      </c>
      <c r="F6533" s="26" t="s">
        <v>23600</v>
      </c>
      <c r="G6533" s="27" t="s">
        <v>13642</v>
      </c>
      <c r="H6533" s="28" t="s">
        <v>13643</v>
      </c>
      <c r="I6533" s="5" t="s">
        <v>2336</v>
      </c>
    </row>
    <row r="6534" spans="1:9" ht="51.75" customHeight="1">
      <c r="A6534" s="5" t="s">
        <v>23740</v>
      </c>
      <c r="B6534" s="5" t="s">
        <v>41382</v>
      </c>
      <c r="C6534" s="5" t="s">
        <v>41383</v>
      </c>
      <c r="D6534" s="246">
        <v>43089</v>
      </c>
      <c r="E6534" s="5" t="s">
        <v>41384</v>
      </c>
      <c r="F6534" s="26" t="s">
        <v>23600</v>
      </c>
      <c r="G6534" s="27" t="s">
        <v>13642</v>
      </c>
      <c r="H6534" s="28" t="s">
        <v>13643</v>
      </c>
      <c r="I6534" s="5" t="s">
        <v>2336</v>
      </c>
    </row>
    <row r="6535" spans="1:9" ht="51.75" customHeight="1">
      <c r="A6535" s="5" t="s">
        <v>24452</v>
      </c>
      <c r="B6535" s="5" t="s">
        <v>41385</v>
      </c>
      <c r="C6535" s="5" t="s">
        <v>41386</v>
      </c>
      <c r="D6535" s="246">
        <v>43089</v>
      </c>
      <c r="E6535" s="5" t="s">
        <v>41387</v>
      </c>
      <c r="F6535" s="26" t="s">
        <v>23600</v>
      </c>
      <c r="G6535" s="27" t="s">
        <v>13642</v>
      </c>
      <c r="H6535" s="28" t="s">
        <v>13643</v>
      </c>
      <c r="I6535" s="5" t="s">
        <v>2336</v>
      </c>
    </row>
    <row r="6536" spans="1:9" ht="51.75" customHeight="1">
      <c r="A6536" s="5" t="s">
        <v>24456</v>
      </c>
      <c r="B6536" s="5" t="s">
        <v>41388</v>
      </c>
      <c r="C6536" s="5" t="s">
        <v>41389</v>
      </c>
      <c r="D6536" s="246">
        <v>43089</v>
      </c>
      <c r="E6536" s="5" t="s">
        <v>41390</v>
      </c>
      <c r="F6536" s="26" t="s">
        <v>23600</v>
      </c>
      <c r="G6536" s="27" t="s">
        <v>13642</v>
      </c>
      <c r="H6536" s="28" t="s">
        <v>13643</v>
      </c>
      <c r="I6536" s="5" t="s">
        <v>2336</v>
      </c>
    </row>
    <row r="6537" spans="1:9" ht="51.75" customHeight="1">
      <c r="A6537" s="5" t="s">
        <v>30290</v>
      </c>
      <c r="B6537" s="5" t="s">
        <v>41391</v>
      </c>
      <c r="C6537" s="5" t="s">
        <v>41392</v>
      </c>
      <c r="D6537" s="246">
        <v>43089</v>
      </c>
      <c r="E6537" s="5" t="s">
        <v>41393</v>
      </c>
      <c r="F6537" s="26" t="s">
        <v>23600</v>
      </c>
      <c r="G6537" s="27" t="s">
        <v>13642</v>
      </c>
      <c r="H6537" s="28" t="s">
        <v>13643</v>
      </c>
      <c r="I6537" s="5" t="s">
        <v>2336</v>
      </c>
    </row>
    <row r="6538" spans="1:9" ht="51.75" customHeight="1">
      <c r="A6538" s="5" t="s">
        <v>28999</v>
      </c>
      <c r="B6538" s="5" t="s">
        <v>41394</v>
      </c>
      <c r="C6538" s="5" t="s">
        <v>41395</v>
      </c>
      <c r="D6538" s="246">
        <v>43089</v>
      </c>
      <c r="E6538" s="5" t="s">
        <v>41396</v>
      </c>
      <c r="F6538" s="26" t="s">
        <v>23600</v>
      </c>
      <c r="G6538" s="27" t="s">
        <v>13642</v>
      </c>
      <c r="H6538" s="28" t="s">
        <v>13643</v>
      </c>
      <c r="I6538" s="5" t="s">
        <v>2336</v>
      </c>
    </row>
    <row r="6539" spans="1:9" ht="51.75" customHeight="1">
      <c r="A6539" s="5" t="s">
        <v>24571</v>
      </c>
      <c r="B6539" s="5" t="s">
        <v>41397</v>
      </c>
      <c r="C6539" s="5" t="s">
        <v>41398</v>
      </c>
      <c r="D6539" s="246">
        <v>43089</v>
      </c>
      <c r="E6539" s="5" t="s">
        <v>41399</v>
      </c>
      <c r="F6539" s="26" t="s">
        <v>23600</v>
      </c>
      <c r="G6539" s="27" t="s">
        <v>13642</v>
      </c>
      <c r="H6539" s="28" t="s">
        <v>13643</v>
      </c>
      <c r="I6539" s="5" t="s">
        <v>2336</v>
      </c>
    </row>
    <row r="6540" spans="1:9" ht="51.75" customHeight="1">
      <c r="A6540" s="5" t="s">
        <v>23806</v>
      </c>
      <c r="B6540" s="5" t="s">
        <v>41400</v>
      </c>
      <c r="C6540" s="5" t="s">
        <v>41401</v>
      </c>
      <c r="D6540" s="246">
        <v>43089</v>
      </c>
      <c r="E6540" s="5" t="s">
        <v>41402</v>
      </c>
      <c r="F6540" s="26" t="s">
        <v>23600</v>
      </c>
      <c r="G6540" s="27" t="s">
        <v>13642</v>
      </c>
      <c r="H6540" s="28" t="s">
        <v>13643</v>
      </c>
      <c r="I6540" s="5" t="s">
        <v>2336</v>
      </c>
    </row>
    <row r="6541" spans="1:9" ht="51.75" customHeight="1">
      <c r="A6541" s="5" t="s">
        <v>24192</v>
      </c>
      <c r="B6541" s="5" t="s">
        <v>41403</v>
      </c>
      <c r="C6541" s="5" t="s">
        <v>41404</v>
      </c>
      <c r="D6541" s="246">
        <v>43089</v>
      </c>
      <c r="E6541" s="5" t="s">
        <v>41405</v>
      </c>
      <c r="F6541" s="26" t="s">
        <v>23600</v>
      </c>
      <c r="G6541" s="27" t="s">
        <v>13642</v>
      </c>
      <c r="H6541" s="28" t="s">
        <v>13643</v>
      </c>
      <c r="I6541" s="5" t="s">
        <v>2336</v>
      </c>
    </row>
    <row r="6542" spans="1:9" ht="51.75" customHeight="1">
      <c r="A6542" s="5" t="s">
        <v>26259</v>
      </c>
      <c r="B6542" s="5" t="s">
        <v>41406</v>
      </c>
      <c r="C6542" s="5" t="s">
        <v>41407</v>
      </c>
      <c r="D6542" s="246">
        <v>43088</v>
      </c>
      <c r="E6542" s="5" t="s">
        <v>41408</v>
      </c>
      <c r="F6542" s="26" t="s">
        <v>23600</v>
      </c>
      <c r="G6542" s="27" t="s">
        <v>13025</v>
      </c>
      <c r="H6542" s="28" t="s">
        <v>13026</v>
      </c>
      <c r="I6542" s="5" t="s">
        <v>2336</v>
      </c>
    </row>
    <row r="6543" spans="1:9" ht="51.75" customHeight="1">
      <c r="A6543" s="5" t="s">
        <v>25938</v>
      </c>
      <c r="B6543" s="5" t="s">
        <v>41409</v>
      </c>
      <c r="C6543" s="5" t="s">
        <v>41410</v>
      </c>
      <c r="D6543" s="246">
        <v>43088</v>
      </c>
      <c r="E6543" s="5" t="s">
        <v>41411</v>
      </c>
      <c r="F6543" s="26" t="s">
        <v>23600</v>
      </c>
      <c r="G6543" s="27" t="s">
        <v>13025</v>
      </c>
      <c r="H6543" s="28" t="s">
        <v>13026</v>
      </c>
      <c r="I6543" s="5" t="s">
        <v>2336</v>
      </c>
    </row>
    <row r="6544" spans="1:9" ht="51.75" customHeight="1">
      <c r="A6544" s="5" t="s">
        <v>26005</v>
      </c>
      <c r="B6544" s="5" t="s">
        <v>41412</v>
      </c>
      <c r="C6544" s="5" t="s">
        <v>41413</v>
      </c>
      <c r="D6544" s="246">
        <v>43088</v>
      </c>
      <c r="E6544" s="5" t="s">
        <v>41414</v>
      </c>
      <c r="F6544" s="26" t="s">
        <v>23600</v>
      </c>
      <c r="G6544" s="27" t="s">
        <v>13025</v>
      </c>
      <c r="H6544" s="28" t="s">
        <v>13026</v>
      </c>
      <c r="I6544" s="5" t="s">
        <v>2336</v>
      </c>
    </row>
    <row r="6545" spans="1:9" ht="51.75" customHeight="1">
      <c r="A6545" s="5" t="s">
        <v>26010</v>
      </c>
      <c r="B6545" s="5" t="s">
        <v>41415</v>
      </c>
      <c r="C6545" s="5" t="s">
        <v>41416</v>
      </c>
      <c r="D6545" s="246">
        <v>43088</v>
      </c>
      <c r="E6545" s="5" t="s">
        <v>41417</v>
      </c>
      <c r="F6545" s="26" t="s">
        <v>23600</v>
      </c>
      <c r="G6545" s="27" t="s">
        <v>13025</v>
      </c>
      <c r="H6545" s="28" t="s">
        <v>13026</v>
      </c>
      <c r="I6545" s="5" t="s">
        <v>2336</v>
      </c>
    </row>
    <row r="6546" spans="1:9" ht="51.75" customHeight="1">
      <c r="A6546" s="5" t="s">
        <v>27211</v>
      </c>
      <c r="B6546" s="5" t="s">
        <v>41418</v>
      </c>
      <c r="C6546" s="5" t="s">
        <v>41419</v>
      </c>
      <c r="D6546" s="246">
        <v>43088</v>
      </c>
      <c r="E6546" s="5" t="s">
        <v>41420</v>
      </c>
      <c r="F6546" s="26" t="s">
        <v>23600</v>
      </c>
      <c r="G6546" s="27" t="s">
        <v>13025</v>
      </c>
      <c r="H6546" s="28" t="s">
        <v>13026</v>
      </c>
      <c r="I6546" s="5" t="s">
        <v>2336</v>
      </c>
    </row>
    <row r="6547" spans="1:9" ht="51.75" customHeight="1">
      <c r="A6547" s="5" t="s">
        <v>30350</v>
      </c>
      <c r="B6547" s="5" t="s">
        <v>41421</v>
      </c>
      <c r="C6547" s="5" t="s">
        <v>41422</v>
      </c>
      <c r="D6547" s="246">
        <v>43311</v>
      </c>
      <c r="E6547" s="5" t="s">
        <v>41423</v>
      </c>
      <c r="F6547" s="26" t="s">
        <v>23600</v>
      </c>
      <c r="G6547" s="27" t="s">
        <v>14052</v>
      </c>
      <c r="H6547" s="28" t="s">
        <v>14053</v>
      </c>
      <c r="I6547" s="5" t="s">
        <v>2336</v>
      </c>
    </row>
    <row r="6548" spans="1:9" ht="51.75" customHeight="1">
      <c r="A6548" s="5" t="s">
        <v>30354</v>
      </c>
      <c r="B6548" s="5" t="s">
        <v>41424</v>
      </c>
      <c r="C6548" s="5" t="s">
        <v>41425</v>
      </c>
      <c r="D6548" s="246">
        <v>43311</v>
      </c>
      <c r="E6548" s="5" t="s">
        <v>41426</v>
      </c>
      <c r="F6548" s="26" t="s">
        <v>23600</v>
      </c>
      <c r="G6548" s="27" t="s">
        <v>14052</v>
      </c>
      <c r="H6548" s="28" t="s">
        <v>14053</v>
      </c>
      <c r="I6548" s="5" t="s">
        <v>2336</v>
      </c>
    </row>
    <row r="6549" spans="1:9" ht="51.75" customHeight="1">
      <c r="A6549" s="5" t="s">
        <v>30358</v>
      </c>
      <c r="B6549" s="5" t="s">
        <v>41427</v>
      </c>
      <c r="C6549" s="5" t="s">
        <v>41428</v>
      </c>
      <c r="D6549" s="246">
        <v>43311</v>
      </c>
      <c r="E6549" s="5" t="s">
        <v>41429</v>
      </c>
      <c r="F6549" s="26" t="s">
        <v>23600</v>
      </c>
      <c r="G6549" s="27" t="s">
        <v>14052</v>
      </c>
      <c r="H6549" s="28" t="s">
        <v>14053</v>
      </c>
      <c r="I6549" s="5" t="s">
        <v>2336</v>
      </c>
    </row>
    <row r="6550" spans="1:9" ht="51.75" customHeight="1">
      <c r="A6550" s="5" t="s">
        <v>30362</v>
      </c>
      <c r="B6550" s="5" t="s">
        <v>41430</v>
      </c>
      <c r="C6550" s="5" t="s">
        <v>41431</v>
      </c>
      <c r="D6550" s="246">
        <v>43311</v>
      </c>
      <c r="E6550" s="5" t="s">
        <v>41432</v>
      </c>
      <c r="F6550" s="26" t="s">
        <v>23600</v>
      </c>
      <c r="G6550" s="27" t="s">
        <v>14052</v>
      </c>
      <c r="H6550" s="28" t="s">
        <v>14053</v>
      </c>
      <c r="I6550" s="5" t="s">
        <v>2336</v>
      </c>
    </row>
    <row r="6551" spans="1:9" ht="51.75" customHeight="1">
      <c r="A6551" s="5" t="s">
        <v>25319</v>
      </c>
      <c r="B6551" s="5" t="s">
        <v>41433</v>
      </c>
      <c r="C6551" s="5" t="s">
        <v>41434</v>
      </c>
      <c r="D6551" s="246">
        <v>43311</v>
      </c>
      <c r="E6551" s="5" t="s">
        <v>41435</v>
      </c>
      <c r="F6551" s="26" t="s">
        <v>23600</v>
      </c>
      <c r="G6551" s="27" t="s">
        <v>14052</v>
      </c>
      <c r="H6551" s="28" t="s">
        <v>14053</v>
      </c>
      <c r="I6551" s="5" t="s">
        <v>2336</v>
      </c>
    </row>
    <row r="6552" spans="1:9" ht="51.75" customHeight="1">
      <c r="A6552" s="5" t="s">
        <v>41436</v>
      </c>
      <c r="B6552" s="5" t="s">
        <v>41437</v>
      </c>
      <c r="C6552" s="5" t="s">
        <v>41438</v>
      </c>
      <c r="D6552" s="246">
        <v>43311</v>
      </c>
      <c r="E6552" s="5" t="s">
        <v>41439</v>
      </c>
      <c r="F6552" s="26" t="s">
        <v>23600</v>
      </c>
      <c r="G6552" s="27" t="s">
        <v>14052</v>
      </c>
      <c r="H6552" s="28" t="s">
        <v>14053</v>
      </c>
      <c r="I6552" s="5" t="s">
        <v>2336</v>
      </c>
    </row>
    <row r="6553" spans="1:9" ht="51.75" customHeight="1">
      <c r="A6553" s="5" t="s">
        <v>41440</v>
      </c>
      <c r="B6553" s="5" t="s">
        <v>41441</v>
      </c>
      <c r="C6553" s="5" t="s">
        <v>41442</v>
      </c>
      <c r="D6553" s="246">
        <v>43311</v>
      </c>
      <c r="E6553" s="5" t="s">
        <v>41443</v>
      </c>
      <c r="F6553" s="26" t="s">
        <v>23600</v>
      </c>
      <c r="G6553" s="27" t="s">
        <v>14052</v>
      </c>
      <c r="H6553" s="28" t="s">
        <v>14053</v>
      </c>
      <c r="I6553" s="5" t="s">
        <v>2336</v>
      </c>
    </row>
    <row r="6554" spans="1:9" ht="51.75" customHeight="1">
      <c r="A6554" s="5" t="s">
        <v>25323</v>
      </c>
      <c r="B6554" s="5" t="s">
        <v>41444</v>
      </c>
      <c r="C6554" s="5" t="s">
        <v>41445</v>
      </c>
      <c r="D6554" s="246">
        <v>43311</v>
      </c>
      <c r="E6554" s="5" t="s">
        <v>41446</v>
      </c>
      <c r="F6554" s="26" t="s">
        <v>23600</v>
      </c>
      <c r="G6554" s="27" t="s">
        <v>14052</v>
      </c>
      <c r="H6554" s="28" t="s">
        <v>14053</v>
      </c>
      <c r="I6554" s="5" t="s">
        <v>2336</v>
      </c>
    </row>
    <row r="6555" spans="1:9" ht="51.75" customHeight="1">
      <c r="A6555" s="5" t="s">
        <v>41447</v>
      </c>
      <c r="B6555" s="5" t="s">
        <v>41448</v>
      </c>
      <c r="C6555" s="5" t="s">
        <v>41449</v>
      </c>
      <c r="D6555" s="246">
        <v>43311</v>
      </c>
      <c r="E6555" s="5" t="s">
        <v>41450</v>
      </c>
      <c r="F6555" s="26" t="s">
        <v>23600</v>
      </c>
      <c r="G6555" s="27" t="s">
        <v>14052</v>
      </c>
      <c r="H6555" s="28" t="s">
        <v>14053</v>
      </c>
      <c r="I6555" s="5" t="s">
        <v>2336</v>
      </c>
    </row>
    <row r="6556" spans="1:9" ht="51.75" customHeight="1">
      <c r="A6556" s="5" t="s">
        <v>41451</v>
      </c>
      <c r="B6556" s="5" t="s">
        <v>41452</v>
      </c>
      <c r="C6556" s="5" t="s">
        <v>41453</v>
      </c>
      <c r="D6556" s="246">
        <v>43311</v>
      </c>
      <c r="E6556" s="5" t="s">
        <v>41454</v>
      </c>
      <c r="F6556" s="26" t="s">
        <v>23600</v>
      </c>
      <c r="G6556" s="27" t="s">
        <v>14052</v>
      </c>
      <c r="H6556" s="28" t="s">
        <v>14053</v>
      </c>
      <c r="I6556" s="5" t="s">
        <v>2336</v>
      </c>
    </row>
    <row r="6557" spans="1:9" ht="51.75" customHeight="1">
      <c r="A6557" s="5" t="s">
        <v>25391</v>
      </c>
      <c r="B6557" s="5" t="s">
        <v>41455</v>
      </c>
      <c r="C6557" s="5" t="s">
        <v>41456</v>
      </c>
      <c r="D6557" s="246">
        <v>43369</v>
      </c>
      <c r="E6557" s="5" t="s">
        <v>41457</v>
      </c>
      <c r="F6557" s="26" t="s">
        <v>23600</v>
      </c>
      <c r="G6557" s="27" t="s">
        <v>14330</v>
      </c>
      <c r="H6557" s="28" t="s">
        <v>14331</v>
      </c>
      <c r="I6557" s="5" t="s">
        <v>2336</v>
      </c>
    </row>
    <row r="6558" spans="1:9" ht="51.75" customHeight="1">
      <c r="A6558" s="5" t="s">
        <v>25395</v>
      </c>
      <c r="B6558" s="5" t="s">
        <v>41458</v>
      </c>
      <c r="C6558" s="5" t="s">
        <v>41459</v>
      </c>
      <c r="D6558" s="246">
        <v>43369</v>
      </c>
      <c r="E6558" s="5" t="s">
        <v>41460</v>
      </c>
      <c r="F6558" s="26" t="s">
        <v>23600</v>
      </c>
      <c r="G6558" s="27" t="s">
        <v>14330</v>
      </c>
      <c r="H6558" s="28" t="s">
        <v>14331</v>
      </c>
      <c r="I6558" s="5" t="s">
        <v>2336</v>
      </c>
    </row>
    <row r="6559" spans="1:9" ht="51.75" customHeight="1">
      <c r="A6559" s="5" t="s">
        <v>39472</v>
      </c>
      <c r="B6559" s="5" t="s">
        <v>41461</v>
      </c>
      <c r="C6559" s="5" t="s">
        <v>41462</v>
      </c>
      <c r="D6559" s="246">
        <v>43369</v>
      </c>
      <c r="E6559" s="5" t="s">
        <v>41463</v>
      </c>
      <c r="F6559" s="26" t="s">
        <v>23600</v>
      </c>
      <c r="G6559" s="27" t="s">
        <v>14330</v>
      </c>
      <c r="H6559" s="28" t="s">
        <v>14331</v>
      </c>
      <c r="I6559" s="5" t="s">
        <v>2336</v>
      </c>
    </row>
    <row r="6560" spans="1:9" ht="51.75" customHeight="1">
      <c r="A6560" s="5" t="s">
        <v>30303</v>
      </c>
      <c r="B6560" s="5" t="s">
        <v>41464</v>
      </c>
      <c r="C6560" s="5" t="s">
        <v>41465</v>
      </c>
      <c r="D6560" s="246">
        <v>43369</v>
      </c>
      <c r="E6560" s="5" t="s">
        <v>41466</v>
      </c>
      <c r="F6560" s="26" t="s">
        <v>23600</v>
      </c>
      <c r="G6560" s="27" t="s">
        <v>14330</v>
      </c>
      <c r="H6560" s="28" t="s">
        <v>14331</v>
      </c>
      <c r="I6560" s="5" t="s">
        <v>2336</v>
      </c>
    </row>
    <row r="6561" spans="1:9" ht="51.75" customHeight="1">
      <c r="A6561" s="5" t="s">
        <v>35895</v>
      </c>
      <c r="B6561" s="5" t="s">
        <v>41467</v>
      </c>
      <c r="C6561" s="5" t="s">
        <v>41468</v>
      </c>
      <c r="D6561" s="246">
        <v>43369</v>
      </c>
      <c r="E6561" s="5" t="s">
        <v>41469</v>
      </c>
      <c r="F6561" s="26" t="s">
        <v>23600</v>
      </c>
      <c r="G6561" s="27" t="s">
        <v>14330</v>
      </c>
      <c r="H6561" s="28" t="s">
        <v>14331</v>
      </c>
      <c r="I6561" s="5" t="s">
        <v>2336</v>
      </c>
    </row>
    <row r="6562" spans="1:9" ht="51.75" customHeight="1">
      <c r="A6562" s="5" t="s">
        <v>24745</v>
      </c>
      <c r="B6562" s="5" t="s">
        <v>41470</v>
      </c>
      <c r="C6562" s="5" t="s">
        <v>41249</v>
      </c>
      <c r="D6562" s="246">
        <v>43369</v>
      </c>
      <c r="E6562" s="5" t="s">
        <v>41471</v>
      </c>
      <c r="F6562" s="26" t="s">
        <v>23600</v>
      </c>
      <c r="G6562" s="27" t="s">
        <v>14330</v>
      </c>
      <c r="H6562" s="28" t="s">
        <v>14331</v>
      </c>
      <c r="I6562" s="5" t="s">
        <v>2336</v>
      </c>
    </row>
    <row r="6563" spans="1:9" ht="51.75" customHeight="1">
      <c r="A6563" s="5" t="s">
        <v>41472</v>
      </c>
      <c r="B6563" s="5" t="s">
        <v>41473</v>
      </c>
      <c r="C6563" s="5" t="s">
        <v>41474</v>
      </c>
      <c r="D6563" s="246">
        <v>43403</v>
      </c>
      <c r="E6563" s="5" t="s">
        <v>41475</v>
      </c>
      <c r="F6563" s="26" t="s">
        <v>23600</v>
      </c>
      <c r="G6563" s="27" t="s">
        <v>14354</v>
      </c>
      <c r="H6563" s="28" t="s">
        <v>14355</v>
      </c>
      <c r="I6563" s="5" t="s">
        <v>2336</v>
      </c>
    </row>
    <row r="6564" spans="1:9" ht="51.75" customHeight="1">
      <c r="A6564" s="5" t="s">
        <v>41476</v>
      </c>
      <c r="B6564" s="5" t="s">
        <v>41477</v>
      </c>
      <c r="C6564" s="5" t="s">
        <v>41478</v>
      </c>
      <c r="D6564" s="246">
        <v>43403</v>
      </c>
      <c r="E6564" s="5" t="s">
        <v>41479</v>
      </c>
      <c r="F6564" s="26" t="s">
        <v>23600</v>
      </c>
      <c r="G6564" s="27" t="s">
        <v>14354</v>
      </c>
      <c r="H6564" s="28" t="s">
        <v>14355</v>
      </c>
      <c r="I6564" s="5" t="s">
        <v>2336</v>
      </c>
    </row>
    <row r="6565" spans="1:9" ht="51.75" customHeight="1">
      <c r="A6565" s="5" t="s">
        <v>41480</v>
      </c>
      <c r="B6565" s="5" t="s">
        <v>41481</v>
      </c>
      <c r="C6565" s="5" t="s">
        <v>41482</v>
      </c>
      <c r="D6565" s="246">
        <v>43403</v>
      </c>
      <c r="E6565" s="5" t="s">
        <v>41483</v>
      </c>
      <c r="F6565" s="26" t="s">
        <v>23600</v>
      </c>
      <c r="G6565" s="27" t="s">
        <v>14354</v>
      </c>
      <c r="H6565" s="28" t="s">
        <v>14355</v>
      </c>
      <c r="I6565" s="5" t="s">
        <v>2336</v>
      </c>
    </row>
    <row r="6566" spans="1:9" ht="51.75" customHeight="1">
      <c r="A6566" s="5" t="s">
        <v>41484</v>
      </c>
      <c r="B6566" s="5" t="s">
        <v>41485</v>
      </c>
      <c r="C6566" s="5" t="s">
        <v>41486</v>
      </c>
      <c r="D6566" s="246">
        <v>43403</v>
      </c>
      <c r="E6566" s="5" t="s">
        <v>41487</v>
      </c>
      <c r="F6566" s="26" t="s">
        <v>23600</v>
      </c>
      <c r="G6566" s="27" t="s">
        <v>14354</v>
      </c>
      <c r="H6566" s="28" t="s">
        <v>14355</v>
      </c>
      <c r="I6566" s="5" t="s">
        <v>2336</v>
      </c>
    </row>
    <row r="6567" spans="1:9" ht="51.75" customHeight="1">
      <c r="A6567" s="5" t="s">
        <v>41488</v>
      </c>
      <c r="B6567" s="5" t="s">
        <v>41489</v>
      </c>
      <c r="C6567" s="5" t="s">
        <v>41490</v>
      </c>
      <c r="D6567" s="246">
        <v>43403</v>
      </c>
      <c r="E6567" s="5" t="s">
        <v>41491</v>
      </c>
      <c r="F6567" s="26" t="s">
        <v>23600</v>
      </c>
      <c r="G6567" s="27" t="s">
        <v>14354</v>
      </c>
      <c r="H6567" s="28" t="s">
        <v>14355</v>
      </c>
      <c r="I6567" s="5" t="s">
        <v>2336</v>
      </c>
    </row>
    <row r="6568" spans="1:9" ht="51.75" customHeight="1">
      <c r="A6568" s="5" t="s">
        <v>41492</v>
      </c>
      <c r="B6568" s="5" t="s">
        <v>41493</v>
      </c>
      <c r="C6568" s="5" t="s">
        <v>41494</v>
      </c>
      <c r="D6568" s="246">
        <v>43403</v>
      </c>
      <c r="E6568" s="5" t="s">
        <v>41495</v>
      </c>
      <c r="F6568" s="26" t="s">
        <v>23600</v>
      </c>
      <c r="G6568" s="27" t="s">
        <v>14354</v>
      </c>
      <c r="H6568" s="28" t="s">
        <v>14355</v>
      </c>
      <c r="I6568" s="5" t="s">
        <v>2336</v>
      </c>
    </row>
    <row r="6569" spans="1:9" ht="51.75" customHeight="1">
      <c r="A6569" s="5" t="s">
        <v>41496</v>
      </c>
      <c r="B6569" s="5" t="s">
        <v>41497</v>
      </c>
      <c r="C6569" s="5" t="s">
        <v>41498</v>
      </c>
      <c r="D6569" s="246">
        <v>43403</v>
      </c>
      <c r="E6569" s="5" t="s">
        <v>41499</v>
      </c>
      <c r="F6569" s="26" t="s">
        <v>23600</v>
      </c>
      <c r="G6569" s="27" t="s">
        <v>14354</v>
      </c>
      <c r="H6569" s="28" t="s">
        <v>14355</v>
      </c>
      <c r="I6569" s="5" t="s">
        <v>2336</v>
      </c>
    </row>
    <row r="6570" spans="1:9" ht="51.75" customHeight="1">
      <c r="A6570" s="5" t="s">
        <v>41500</v>
      </c>
      <c r="B6570" s="5" t="s">
        <v>41501</v>
      </c>
      <c r="C6570" s="5" t="s">
        <v>41502</v>
      </c>
      <c r="D6570" s="246">
        <v>43403</v>
      </c>
      <c r="E6570" s="5" t="s">
        <v>41503</v>
      </c>
      <c r="F6570" s="26" t="s">
        <v>23600</v>
      </c>
      <c r="G6570" s="27" t="s">
        <v>14354</v>
      </c>
      <c r="H6570" s="28" t="s">
        <v>14355</v>
      </c>
      <c r="I6570" s="5" t="s">
        <v>2336</v>
      </c>
    </row>
    <row r="6571" spans="1:9" ht="51.75" customHeight="1">
      <c r="A6571" s="5" t="s">
        <v>41504</v>
      </c>
      <c r="B6571" s="5" t="s">
        <v>41505</v>
      </c>
      <c r="C6571" s="5" t="s">
        <v>41506</v>
      </c>
      <c r="D6571" s="246">
        <v>43403</v>
      </c>
      <c r="E6571" s="5" t="s">
        <v>41507</v>
      </c>
      <c r="F6571" s="26" t="s">
        <v>23600</v>
      </c>
      <c r="G6571" s="27" t="s">
        <v>14354</v>
      </c>
      <c r="H6571" s="28" t="s">
        <v>14355</v>
      </c>
      <c r="I6571" s="5" t="s">
        <v>2336</v>
      </c>
    </row>
    <row r="6572" spans="1:9" ht="51.75" customHeight="1">
      <c r="A6572" s="5" t="s">
        <v>41508</v>
      </c>
      <c r="B6572" s="5" t="s">
        <v>41509</v>
      </c>
      <c r="C6572" s="5" t="s">
        <v>41510</v>
      </c>
      <c r="D6572" s="246">
        <v>43402</v>
      </c>
      <c r="E6572" s="5" t="s">
        <v>41511</v>
      </c>
      <c r="F6572" s="26" t="s">
        <v>23600</v>
      </c>
      <c r="G6572" s="27" t="s">
        <v>14413</v>
      </c>
      <c r="H6572" s="28" t="s">
        <v>14414</v>
      </c>
      <c r="I6572" s="5" t="s">
        <v>2336</v>
      </c>
    </row>
    <row r="6573" spans="1:9" ht="51.75" customHeight="1">
      <c r="A6573" s="5" t="s">
        <v>41512</v>
      </c>
      <c r="B6573" s="5" t="s">
        <v>41513</v>
      </c>
      <c r="C6573" s="5" t="s">
        <v>41514</v>
      </c>
      <c r="D6573" s="246">
        <v>43433</v>
      </c>
      <c r="E6573" s="5" t="s">
        <v>41515</v>
      </c>
      <c r="F6573" s="26" t="s">
        <v>23600</v>
      </c>
      <c r="G6573" s="27" t="s">
        <v>14413</v>
      </c>
      <c r="H6573" s="28" t="s">
        <v>14414</v>
      </c>
      <c r="I6573" s="5" t="s">
        <v>2336</v>
      </c>
    </row>
    <row r="6574" spans="1:9" ht="51.75" customHeight="1">
      <c r="A6574" s="5" t="s">
        <v>41516</v>
      </c>
      <c r="B6574" s="5" t="s">
        <v>41517</v>
      </c>
      <c r="C6574" s="5" t="s">
        <v>41518</v>
      </c>
      <c r="D6574" s="246">
        <v>43402</v>
      </c>
      <c r="E6574" s="5" t="s">
        <v>41519</v>
      </c>
      <c r="F6574" s="26" t="s">
        <v>23600</v>
      </c>
      <c r="G6574" s="27" t="s">
        <v>14413</v>
      </c>
      <c r="H6574" s="28" t="s">
        <v>14414</v>
      </c>
      <c r="I6574" s="5" t="s">
        <v>2336</v>
      </c>
    </row>
    <row r="6575" spans="1:9" ht="51.75" customHeight="1">
      <c r="A6575" s="5" t="s">
        <v>41520</v>
      </c>
      <c r="B6575" s="5" t="s">
        <v>41521</v>
      </c>
      <c r="C6575" s="5" t="s">
        <v>41522</v>
      </c>
      <c r="D6575" s="246">
        <v>43402</v>
      </c>
      <c r="E6575" s="5" t="s">
        <v>41523</v>
      </c>
      <c r="F6575" s="26" t="s">
        <v>23600</v>
      </c>
      <c r="G6575" s="27" t="s">
        <v>14413</v>
      </c>
      <c r="H6575" s="28" t="s">
        <v>14414</v>
      </c>
      <c r="I6575" s="5" t="s">
        <v>2336</v>
      </c>
    </row>
    <row r="6576" spans="1:9" ht="51.75" customHeight="1">
      <c r="A6576" s="5" t="s">
        <v>41524</v>
      </c>
      <c r="B6576" s="5" t="s">
        <v>41525</v>
      </c>
      <c r="C6576" s="5" t="s">
        <v>41526</v>
      </c>
      <c r="D6576" s="246">
        <v>43402</v>
      </c>
      <c r="E6576" s="5" t="s">
        <v>41527</v>
      </c>
      <c r="F6576" s="26" t="s">
        <v>23600</v>
      </c>
      <c r="G6576" s="27" t="s">
        <v>14413</v>
      </c>
      <c r="H6576" s="28" t="s">
        <v>14414</v>
      </c>
      <c r="I6576" s="5" t="s">
        <v>2336</v>
      </c>
    </row>
    <row r="6577" spans="1:9" ht="51.75" customHeight="1">
      <c r="A6577" s="5" t="s">
        <v>41528</v>
      </c>
      <c r="B6577" s="5" t="s">
        <v>41529</v>
      </c>
      <c r="C6577" s="5" t="s">
        <v>41530</v>
      </c>
      <c r="D6577" s="246">
        <v>43402</v>
      </c>
      <c r="E6577" s="5" t="s">
        <v>41531</v>
      </c>
      <c r="F6577" s="26" t="s">
        <v>23600</v>
      </c>
      <c r="G6577" s="27" t="s">
        <v>14413</v>
      </c>
      <c r="H6577" s="28" t="s">
        <v>14414</v>
      </c>
      <c r="I6577" s="5" t="s">
        <v>2336</v>
      </c>
    </row>
    <row r="6578" spans="1:9" ht="51.75" customHeight="1">
      <c r="A6578" s="5" t="s">
        <v>41532</v>
      </c>
      <c r="B6578" s="5" t="s">
        <v>41533</v>
      </c>
      <c r="C6578" s="5" t="s">
        <v>41534</v>
      </c>
      <c r="D6578" s="246">
        <v>43402</v>
      </c>
      <c r="E6578" s="5" t="s">
        <v>41535</v>
      </c>
      <c r="F6578" s="26" t="s">
        <v>23600</v>
      </c>
      <c r="G6578" s="27" t="s">
        <v>14413</v>
      </c>
      <c r="H6578" s="28" t="s">
        <v>14414</v>
      </c>
      <c r="I6578" s="5" t="s">
        <v>2336</v>
      </c>
    </row>
    <row r="6579" spans="1:9" ht="51.75" customHeight="1">
      <c r="A6579" s="5" t="s">
        <v>41536</v>
      </c>
      <c r="B6579" s="5" t="s">
        <v>41537</v>
      </c>
      <c r="C6579" s="5" t="s">
        <v>41538</v>
      </c>
      <c r="D6579" s="246">
        <v>43369</v>
      </c>
      <c r="E6579" s="5" t="s">
        <v>41539</v>
      </c>
      <c r="F6579" s="26" t="s">
        <v>23600</v>
      </c>
      <c r="G6579" s="27" t="s">
        <v>14850</v>
      </c>
      <c r="H6579" s="28" t="s">
        <v>14851</v>
      </c>
      <c r="I6579" s="5" t="s">
        <v>2336</v>
      </c>
    </row>
    <row r="6580" spans="1:9" ht="51.75" customHeight="1">
      <c r="A6580" s="5" t="s">
        <v>39128</v>
      </c>
      <c r="B6580" s="5" t="s">
        <v>41540</v>
      </c>
      <c r="C6580" s="5" t="s">
        <v>41541</v>
      </c>
      <c r="D6580" s="246">
        <v>43369</v>
      </c>
      <c r="E6580" s="5" t="s">
        <v>41542</v>
      </c>
      <c r="F6580" s="26" t="s">
        <v>23600</v>
      </c>
      <c r="G6580" s="27" t="s">
        <v>14850</v>
      </c>
      <c r="H6580" s="28" t="s">
        <v>14851</v>
      </c>
      <c r="I6580" s="5" t="s">
        <v>2336</v>
      </c>
    </row>
    <row r="6581" spans="1:9" ht="51.75" customHeight="1">
      <c r="A6581" s="5" t="s">
        <v>41543</v>
      </c>
      <c r="B6581" s="5" t="s">
        <v>41544</v>
      </c>
      <c r="C6581" s="5" t="s">
        <v>41545</v>
      </c>
      <c r="D6581" s="246">
        <v>43369</v>
      </c>
      <c r="E6581" s="5" t="s">
        <v>41546</v>
      </c>
      <c r="F6581" s="26" t="s">
        <v>23600</v>
      </c>
      <c r="G6581" s="27" t="s">
        <v>14850</v>
      </c>
      <c r="H6581" s="28" t="s">
        <v>14851</v>
      </c>
      <c r="I6581" s="5" t="s">
        <v>2336</v>
      </c>
    </row>
    <row r="6582" spans="1:9" ht="51.75" customHeight="1">
      <c r="A6582" s="5" t="s">
        <v>41547</v>
      </c>
      <c r="B6582" s="5" t="s">
        <v>41548</v>
      </c>
      <c r="C6582" s="5" t="s">
        <v>41549</v>
      </c>
      <c r="D6582" s="246">
        <v>43369</v>
      </c>
      <c r="E6582" s="5" t="s">
        <v>41550</v>
      </c>
      <c r="F6582" s="26" t="s">
        <v>23600</v>
      </c>
      <c r="G6582" s="27" t="s">
        <v>14850</v>
      </c>
      <c r="H6582" s="28" t="s">
        <v>14851</v>
      </c>
      <c r="I6582" s="5" t="s">
        <v>2336</v>
      </c>
    </row>
    <row r="6583" spans="1:9" ht="51.75" customHeight="1">
      <c r="A6583" s="5" t="s">
        <v>41551</v>
      </c>
      <c r="B6583" s="5" t="s">
        <v>41552</v>
      </c>
      <c r="C6583" s="5" t="s">
        <v>41553</v>
      </c>
      <c r="D6583" s="246">
        <v>43369</v>
      </c>
      <c r="E6583" s="5" t="s">
        <v>41554</v>
      </c>
      <c r="F6583" s="26" t="s">
        <v>23600</v>
      </c>
      <c r="G6583" s="27" t="s">
        <v>14850</v>
      </c>
      <c r="H6583" s="28" t="s">
        <v>14851</v>
      </c>
      <c r="I6583" s="5" t="s">
        <v>2336</v>
      </c>
    </row>
    <row r="6584" spans="1:9" ht="51.75" customHeight="1">
      <c r="A6584" s="5" t="s">
        <v>41555</v>
      </c>
      <c r="B6584" s="5" t="s">
        <v>41556</v>
      </c>
      <c r="C6584" s="5" t="s">
        <v>41557</v>
      </c>
      <c r="D6584" s="246">
        <v>43369</v>
      </c>
      <c r="E6584" s="5" t="s">
        <v>41558</v>
      </c>
      <c r="F6584" s="26" t="s">
        <v>23600</v>
      </c>
      <c r="G6584" s="27" t="s">
        <v>14850</v>
      </c>
      <c r="H6584" s="28" t="s">
        <v>14851</v>
      </c>
      <c r="I6584" s="5" t="s">
        <v>2336</v>
      </c>
    </row>
    <row r="6585" spans="1:9" ht="51.75" customHeight="1">
      <c r="A6585" s="5" t="s">
        <v>41559</v>
      </c>
      <c r="B6585" s="5" t="s">
        <v>41560</v>
      </c>
      <c r="C6585" s="5" t="s">
        <v>41561</v>
      </c>
      <c r="D6585" s="246">
        <v>43369</v>
      </c>
      <c r="E6585" s="5" t="s">
        <v>41562</v>
      </c>
      <c r="F6585" s="26" t="s">
        <v>23600</v>
      </c>
      <c r="G6585" s="27" t="s">
        <v>14850</v>
      </c>
      <c r="H6585" s="28" t="s">
        <v>14851</v>
      </c>
      <c r="I6585" s="5" t="s">
        <v>2336</v>
      </c>
    </row>
    <row r="6586" spans="1:9" ht="51.75" customHeight="1">
      <c r="A6586" s="5" t="s">
        <v>41563</v>
      </c>
      <c r="B6586" s="5" t="s">
        <v>41564</v>
      </c>
      <c r="C6586" s="5" t="s">
        <v>41565</v>
      </c>
      <c r="D6586" s="246">
        <v>43369</v>
      </c>
      <c r="E6586" s="5" t="s">
        <v>41566</v>
      </c>
      <c r="F6586" s="26" t="s">
        <v>23600</v>
      </c>
      <c r="G6586" s="27" t="s">
        <v>14850</v>
      </c>
      <c r="H6586" s="28" t="s">
        <v>14851</v>
      </c>
      <c r="I6586" s="5" t="s">
        <v>2336</v>
      </c>
    </row>
    <row r="6587" spans="1:9" ht="51.75" customHeight="1">
      <c r="A6587" s="5" t="s">
        <v>41567</v>
      </c>
      <c r="B6587" s="5" t="s">
        <v>41568</v>
      </c>
      <c r="C6587" s="5" t="s">
        <v>41569</v>
      </c>
      <c r="D6587" s="246">
        <v>43369</v>
      </c>
      <c r="E6587" s="5" t="s">
        <v>41570</v>
      </c>
      <c r="F6587" s="26" t="s">
        <v>23600</v>
      </c>
      <c r="G6587" s="27" t="s">
        <v>14850</v>
      </c>
      <c r="H6587" s="28" t="s">
        <v>14851</v>
      </c>
      <c r="I6587" s="5" t="s">
        <v>2336</v>
      </c>
    </row>
    <row r="6588" spans="1:9" ht="51.75" customHeight="1">
      <c r="A6588" s="5" t="s">
        <v>41571</v>
      </c>
      <c r="B6588" s="5" t="s">
        <v>41572</v>
      </c>
      <c r="C6588" s="5" t="s">
        <v>41573</v>
      </c>
      <c r="D6588" s="246">
        <v>43369</v>
      </c>
      <c r="E6588" s="5" t="s">
        <v>41574</v>
      </c>
      <c r="F6588" s="26" t="s">
        <v>23600</v>
      </c>
      <c r="G6588" s="27" t="s">
        <v>14850</v>
      </c>
      <c r="H6588" s="28" t="s">
        <v>14851</v>
      </c>
      <c r="I6588" s="5" t="s">
        <v>2336</v>
      </c>
    </row>
    <row r="6589" spans="1:9" ht="51.75" customHeight="1">
      <c r="A6589" s="5" t="s">
        <v>39597</v>
      </c>
      <c r="B6589" s="5" t="s">
        <v>41575</v>
      </c>
      <c r="C6589" s="5" t="s">
        <v>41576</v>
      </c>
      <c r="D6589" s="246">
        <v>43369</v>
      </c>
      <c r="E6589" s="5" t="s">
        <v>41577</v>
      </c>
      <c r="F6589" s="26" t="s">
        <v>23600</v>
      </c>
      <c r="G6589" s="27" t="s">
        <v>14850</v>
      </c>
      <c r="H6589" s="28" t="s">
        <v>14851</v>
      </c>
      <c r="I6589" s="5" t="s">
        <v>2336</v>
      </c>
    </row>
    <row r="6590" spans="1:9" ht="51.75" customHeight="1">
      <c r="A6590" s="5" t="s">
        <v>39603</v>
      </c>
      <c r="B6590" s="5" t="s">
        <v>41578</v>
      </c>
      <c r="C6590" s="5" t="s">
        <v>41579</v>
      </c>
      <c r="D6590" s="246">
        <v>43369</v>
      </c>
      <c r="E6590" s="5" t="s">
        <v>41580</v>
      </c>
      <c r="F6590" s="26" t="s">
        <v>23600</v>
      </c>
      <c r="G6590" s="27" t="s">
        <v>14850</v>
      </c>
      <c r="H6590" s="28" t="s">
        <v>14851</v>
      </c>
      <c r="I6590" s="5" t="s">
        <v>2336</v>
      </c>
    </row>
    <row r="6591" spans="1:9" ht="51.75" customHeight="1">
      <c r="A6591" s="5" t="s">
        <v>39608</v>
      </c>
      <c r="B6591" s="5" t="s">
        <v>41581</v>
      </c>
      <c r="C6591" s="5" t="s">
        <v>41582</v>
      </c>
      <c r="D6591" s="246">
        <v>43369</v>
      </c>
      <c r="E6591" s="5" t="s">
        <v>41583</v>
      </c>
      <c r="F6591" s="26" t="s">
        <v>23600</v>
      </c>
      <c r="G6591" s="27" t="s">
        <v>14850</v>
      </c>
      <c r="H6591" s="28" t="s">
        <v>14851</v>
      </c>
      <c r="I6591" s="5" t="s">
        <v>2336</v>
      </c>
    </row>
    <row r="6592" spans="1:9" ht="51.75" customHeight="1">
      <c r="A6592" s="5" t="s">
        <v>41584</v>
      </c>
      <c r="B6592" s="5" t="s">
        <v>41585</v>
      </c>
      <c r="C6592" s="5" t="s">
        <v>41586</v>
      </c>
      <c r="D6592" s="246">
        <v>43369</v>
      </c>
      <c r="E6592" s="5" t="s">
        <v>41587</v>
      </c>
      <c r="F6592" s="26" t="s">
        <v>23600</v>
      </c>
      <c r="G6592" s="27" t="s">
        <v>14850</v>
      </c>
      <c r="H6592" s="28" t="s">
        <v>14851</v>
      </c>
      <c r="I6592" s="5" t="s">
        <v>2336</v>
      </c>
    </row>
    <row r="6593" spans="1:9" ht="51.75" customHeight="1">
      <c r="A6593" s="5" t="s">
        <v>39614</v>
      </c>
      <c r="B6593" s="5" t="s">
        <v>41588</v>
      </c>
      <c r="C6593" s="5" t="s">
        <v>41589</v>
      </c>
      <c r="D6593" s="246">
        <v>43369</v>
      </c>
      <c r="E6593" s="5" t="s">
        <v>41590</v>
      </c>
      <c r="F6593" s="26" t="s">
        <v>23600</v>
      </c>
      <c r="G6593" s="27" t="s">
        <v>14850</v>
      </c>
      <c r="H6593" s="28" t="s">
        <v>14851</v>
      </c>
      <c r="I6593" s="5" t="s">
        <v>2336</v>
      </c>
    </row>
    <row r="6594" spans="1:9" ht="51.75" customHeight="1">
      <c r="A6594" s="5" t="s">
        <v>41591</v>
      </c>
      <c r="B6594" s="5" t="s">
        <v>41592</v>
      </c>
      <c r="C6594" s="5" t="s">
        <v>41593</v>
      </c>
      <c r="D6594" s="246">
        <v>43369</v>
      </c>
      <c r="E6594" s="5" t="s">
        <v>41594</v>
      </c>
      <c r="F6594" s="26" t="s">
        <v>23600</v>
      </c>
      <c r="G6594" s="27" t="s">
        <v>14850</v>
      </c>
      <c r="H6594" s="28" t="s">
        <v>14851</v>
      </c>
      <c r="I6594" s="5" t="s">
        <v>2336</v>
      </c>
    </row>
    <row r="6595" spans="1:9" ht="51.75" customHeight="1">
      <c r="A6595" s="5" t="s">
        <v>39619</v>
      </c>
      <c r="B6595" s="5" t="s">
        <v>41595</v>
      </c>
      <c r="C6595" s="5" t="s">
        <v>41596</v>
      </c>
      <c r="D6595" s="246">
        <v>43369</v>
      </c>
      <c r="E6595" s="5" t="s">
        <v>41597</v>
      </c>
      <c r="F6595" s="26" t="s">
        <v>23600</v>
      </c>
      <c r="G6595" s="27" t="s">
        <v>14850</v>
      </c>
      <c r="H6595" s="28" t="s">
        <v>14851</v>
      </c>
      <c r="I6595" s="5" t="s">
        <v>2336</v>
      </c>
    </row>
    <row r="6596" spans="1:9" ht="51.75" customHeight="1">
      <c r="A6596" s="5" t="s">
        <v>41598</v>
      </c>
      <c r="B6596" s="5" t="s">
        <v>41599</v>
      </c>
      <c r="C6596" s="5" t="s">
        <v>41600</v>
      </c>
      <c r="D6596" s="246">
        <v>43369</v>
      </c>
      <c r="E6596" s="5" t="s">
        <v>41601</v>
      </c>
      <c r="F6596" s="26" t="s">
        <v>23600</v>
      </c>
      <c r="G6596" s="27" t="s">
        <v>14850</v>
      </c>
      <c r="H6596" s="28" t="s">
        <v>14851</v>
      </c>
      <c r="I6596" s="5" t="s">
        <v>2336</v>
      </c>
    </row>
    <row r="6597" spans="1:9" ht="51.75" customHeight="1">
      <c r="A6597" s="5" t="s">
        <v>41602</v>
      </c>
      <c r="B6597" s="5" t="s">
        <v>41603</v>
      </c>
      <c r="C6597" s="5" t="s">
        <v>41604</v>
      </c>
      <c r="D6597" s="246">
        <v>43369</v>
      </c>
      <c r="E6597" s="5" t="s">
        <v>41605</v>
      </c>
      <c r="F6597" s="26" t="s">
        <v>23600</v>
      </c>
      <c r="G6597" s="27" t="s">
        <v>14850</v>
      </c>
      <c r="H6597" s="28" t="s">
        <v>14851</v>
      </c>
      <c r="I6597" s="5" t="s">
        <v>2336</v>
      </c>
    </row>
    <row r="6598" spans="1:9" ht="51.75" customHeight="1">
      <c r="A6598" s="5" t="s">
        <v>41606</v>
      </c>
      <c r="B6598" s="5" t="s">
        <v>41607</v>
      </c>
      <c r="C6598" s="5" t="s">
        <v>41608</v>
      </c>
      <c r="D6598" s="246">
        <v>43369</v>
      </c>
      <c r="E6598" s="5" t="s">
        <v>41609</v>
      </c>
      <c r="F6598" s="26" t="s">
        <v>23600</v>
      </c>
      <c r="G6598" s="27" t="s">
        <v>14850</v>
      </c>
      <c r="H6598" s="28" t="s">
        <v>14851</v>
      </c>
      <c r="I6598" s="5" t="s">
        <v>2336</v>
      </c>
    </row>
    <row r="6599" spans="1:9" ht="51.75" customHeight="1">
      <c r="A6599" s="5" t="s">
        <v>29027</v>
      </c>
      <c r="B6599" s="5" t="s">
        <v>41610</v>
      </c>
      <c r="C6599" s="5" t="s">
        <v>41611</v>
      </c>
      <c r="D6599" s="246">
        <v>43571</v>
      </c>
      <c r="E6599" s="5" t="s">
        <v>41612</v>
      </c>
      <c r="F6599" s="26" t="s">
        <v>23600</v>
      </c>
      <c r="G6599" s="27" t="s">
        <v>15097</v>
      </c>
      <c r="H6599" s="28" t="s">
        <v>15098</v>
      </c>
      <c r="I6599" s="5" t="s">
        <v>2336</v>
      </c>
    </row>
    <row r="6600" spans="1:9" ht="51.75" customHeight="1">
      <c r="A6600" s="5" t="s">
        <v>25622</v>
      </c>
      <c r="B6600" s="5" t="s">
        <v>41613</v>
      </c>
      <c r="C6600" s="5" t="s">
        <v>41614</v>
      </c>
      <c r="D6600" s="246">
        <v>43571</v>
      </c>
      <c r="E6600" s="5" t="s">
        <v>41615</v>
      </c>
      <c r="F6600" s="26" t="s">
        <v>23600</v>
      </c>
      <c r="G6600" s="27" t="s">
        <v>15097</v>
      </c>
      <c r="H6600" s="28" t="s">
        <v>15098</v>
      </c>
      <c r="I6600" s="5" t="s">
        <v>2336</v>
      </c>
    </row>
    <row r="6601" spans="1:9" ht="51.75" customHeight="1">
      <c r="A6601" s="5" t="s">
        <v>24538</v>
      </c>
      <c r="B6601" s="5" t="s">
        <v>41616</v>
      </c>
      <c r="C6601" s="5" t="s">
        <v>41617</v>
      </c>
      <c r="D6601" s="246">
        <v>43571</v>
      </c>
      <c r="E6601" s="5" t="s">
        <v>41618</v>
      </c>
      <c r="F6601" s="26" t="s">
        <v>23600</v>
      </c>
      <c r="G6601" s="27" t="s">
        <v>15097</v>
      </c>
      <c r="H6601" s="28" t="s">
        <v>15098</v>
      </c>
      <c r="I6601" s="5" t="s">
        <v>2336</v>
      </c>
    </row>
    <row r="6602" spans="1:9" ht="51.75" customHeight="1">
      <c r="A6602" s="5" t="s">
        <v>24542</v>
      </c>
      <c r="B6602" s="5" t="s">
        <v>41619</v>
      </c>
      <c r="C6602" s="5" t="s">
        <v>41620</v>
      </c>
      <c r="D6602" s="246">
        <v>43571</v>
      </c>
      <c r="E6602" s="5" t="s">
        <v>41621</v>
      </c>
      <c r="F6602" s="26" t="s">
        <v>23600</v>
      </c>
      <c r="G6602" s="27" t="s">
        <v>15097</v>
      </c>
      <c r="H6602" s="28" t="s">
        <v>15098</v>
      </c>
      <c r="I6602" s="5" t="s">
        <v>2336</v>
      </c>
    </row>
    <row r="6603" spans="1:9" ht="51.75" customHeight="1">
      <c r="A6603" s="5" t="s">
        <v>24546</v>
      </c>
      <c r="B6603" s="5" t="s">
        <v>41622</v>
      </c>
      <c r="C6603" s="5" t="s">
        <v>41623</v>
      </c>
      <c r="D6603" s="246">
        <v>43571</v>
      </c>
      <c r="E6603" s="5" t="s">
        <v>41624</v>
      </c>
      <c r="F6603" s="26" t="s">
        <v>23600</v>
      </c>
      <c r="G6603" s="27" t="s">
        <v>15097</v>
      </c>
      <c r="H6603" s="28" t="s">
        <v>15098</v>
      </c>
      <c r="I6603" s="5" t="s">
        <v>2336</v>
      </c>
    </row>
    <row r="6604" spans="1:9" ht="51.75" customHeight="1">
      <c r="A6604" s="5" t="s">
        <v>30904</v>
      </c>
      <c r="B6604" s="5" t="s">
        <v>41625</v>
      </c>
      <c r="C6604" s="5" t="s">
        <v>41626</v>
      </c>
      <c r="D6604" s="246">
        <v>43571</v>
      </c>
      <c r="E6604" s="5" t="s">
        <v>41627</v>
      </c>
      <c r="F6604" s="26" t="s">
        <v>23600</v>
      </c>
      <c r="G6604" s="27" t="s">
        <v>15097</v>
      </c>
      <c r="H6604" s="28" t="s">
        <v>15098</v>
      </c>
      <c r="I6604" s="5" t="s">
        <v>2336</v>
      </c>
    </row>
    <row r="6605" spans="1:9" ht="51.75" customHeight="1">
      <c r="A6605" s="5" t="s">
        <v>24507</v>
      </c>
      <c r="B6605" s="5" t="s">
        <v>41628</v>
      </c>
      <c r="C6605" s="5" t="s">
        <v>41629</v>
      </c>
      <c r="D6605" s="246">
        <v>43571</v>
      </c>
      <c r="E6605" s="5" t="s">
        <v>41630</v>
      </c>
      <c r="F6605" s="26" t="s">
        <v>23600</v>
      </c>
      <c r="G6605" s="27" t="s">
        <v>15097</v>
      </c>
      <c r="H6605" s="28" t="s">
        <v>15098</v>
      </c>
      <c r="I6605" s="5" t="s">
        <v>2336</v>
      </c>
    </row>
    <row r="6606" spans="1:9" ht="51.75" customHeight="1">
      <c r="A6606" s="5" t="s">
        <v>33680</v>
      </c>
      <c r="B6606" s="5" t="s">
        <v>41631</v>
      </c>
      <c r="C6606" s="5" t="s">
        <v>41632</v>
      </c>
      <c r="D6606" s="246">
        <v>43571</v>
      </c>
      <c r="E6606" s="5" t="s">
        <v>41633</v>
      </c>
      <c r="F6606" s="26" t="s">
        <v>23600</v>
      </c>
      <c r="G6606" s="27" t="s">
        <v>15097</v>
      </c>
      <c r="H6606" s="28" t="s">
        <v>15098</v>
      </c>
      <c r="I6606" s="5" t="s">
        <v>2336</v>
      </c>
    </row>
    <row r="6607" spans="1:9" ht="51.75" customHeight="1">
      <c r="A6607" s="5" t="s">
        <v>26415</v>
      </c>
      <c r="B6607" s="5" t="s">
        <v>41634</v>
      </c>
      <c r="C6607" s="5" t="s">
        <v>41635</v>
      </c>
      <c r="D6607" s="246">
        <v>43550</v>
      </c>
      <c r="E6607" s="5" t="s">
        <v>41636</v>
      </c>
      <c r="F6607" s="26" t="s">
        <v>23600</v>
      </c>
      <c r="G6607" s="27" t="s">
        <v>15245</v>
      </c>
      <c r="H6607" s="28" t="s">
        <v>15246</v>
      </c>
      <c r="I6607" s="5" t="s">
        <v>2336</v>
      </c>
    </row>
    <row r="6608" spans="1:9" ht="51.75" customHeight="1">
      <c r="A6608" s="5" t="s">
        <v>23780</v>
      </c>
      <c r="B6608" s="5" t="s">
        <v>41637</v>
      </c>
      <c r="C6608" s="5" t="s">
        <v>40170</v>
      </c>
      <c r="D6608" s="246">
        <v>43550</v>
      </c>
      <c r="E6608" s="5" t="s">
        <v>41638</v>
      </c>
      <c r="F6608" s="26" t="s">
        <v>23600</v>
      </c>
      <c r="G6608" s="27" t="s">
        <v>15245</v>
      </c>
      <c r="H6608" s="28" t="s">
        <v>15246</v>
      </c>
      <c r="I6608" s="5" t="s">
        <v>2336</v>
      </c>
    </row>
    <row r="6609" spans="1:9" ht="51.75" customHeight="1">
      <c r="A6609" s="5" t="s">
        <v>26432</v>
      </c>
      <c r="B6609" s="5" t="s">
        <v>41639</v>
      </c>
      <c r="C6609" s="5" t="s">
        <v>41640</v>
      </c>
      <c r="D6609" s="246">
        <v>43550</v>
      </c>
      <c r="E6609" s="5" t="s">
        <v>41641</v>
      </c>
      <c r="F6609" s="26" t="s">
        <v>23600</v>
      </c>
      <c r="G6609" s="27" t="s">
        <v>15245</v>
      </c>
      <c r="H6609" s="28" t="s">
        <v>15246</v>
      </c>
      <c r="I6609" s="5" t="s">
        <v>2336</v>
      </c>
    </row>
    <row r="6610" spans="1:9" ht="51.75" customHeight="1">
      <c r="A6610" s="5" t="s">
        <v>25177</v>
      </c>
      <c r="B6610" s="5" t="s">
        <v>41642</v>
      </c>
      <c r="C6610" s="5" t="s">
        <v>41643</v>
      </c>
      <c r="D6610" s="246">
        <v>43550</v>
      </c>
      <c r="E6610" s="5" t="s">
        <v>41644</v>
      </c>
      <c r="F6610" s="26" t="s">
        <v>23600</v>
      </c>
      <c r="G6610" s="27" t="s">
        <v>15245</v>
      </c>
      <c r="H6610" s="28" t="s">
        <v>15246</v>
      </c>
      <c r="I6610" s="5" t="s">
        <v>2336</v>
      </c>
    </row>
    <row r="6611" spans="1:9" ht="51.75" customHeight="1">
      <c r="A6611" s="5" t="s">
        <v>25631</v>
      </c>
      <c r="B6611" s="5" t="s">
        <v>41645</v>
      </c>
      <c r="C6611" s="5" t="s">
        <v>41646</v>
      </c>
      <c r="D6611" s="246">
        <v>43550</v>
      </c>
      <c r="E6611" s="5" t="s">
        <v>41647</v>
      </c>
      <c r="F6611" s="26" t="s">
        <v>23600</v>
      </c>
      <c r="G6611" s="27" t="s">
        <v>15245</v>
      </c>
      <c r="H6611" s="28" t="s">
        <v>15246</v>
      </c>
      <c r="I6611" s="5" t="s">
        <v>2336</v>
      </c>
    </row>
    <row r="6612" spans="1:9" ht="51.75" customHeight="1">
      <c r="A6612" s="5" t="s">
        <v>26879</v>
      </c>
      <c r="B6612" s="5" t="s">
        <v>41648</v>
      </c>
      <c r="C6612" s="5" t="s">
        <v>41649</v>
      </c>
      <c r="D6612" s="246">
        <v>43655</v>
      </c>
      <c r="E6612" s="5" t="s">
        <v>41650</v>
      </c>
      <c r="F6612" s="26" t="s">
        <v>23600</v>
      </c>
      <c r="G6612" s="27" t="s">
        <v>15420</v>
      </c>
      <c r="H6612" s="28" t="s">
        <v>15421</v>
      </c>
      <c r="I6612" s="5" t="s">
        <v>2336</v>
      </c>
    </row>
    <row r="6613" spans="1:9" ht="51.75" customHeight="1">
      <c r="A6613" s="5" t="s">
        <v>26885</v>
      </c>
      <c r="B6613" s="5" t="s">
        <v>41651</v>
      </c>
      <c r="C6613" s="5" t="s">
        <v>41652</v>
      </c>
      <c r="D6613" s="246">
        <v>43655</v>
      </c>
      <c r="E6613" s="5" t="s">
        <v>41653</v>
      </c>
      <c r="F6613" s="26" t="s">
        <v>23600</v>
      </c>
      <c r="G6613" s="27" t="s">
        <v>15420</v>
      </c>
      <c r="H6613" s="28" t="s">
        <v>15421</v>
      </c>
      <c r="I6613" s="5" t="s">
        <v>2336</v>
      </c>
    </row>
    <row r="6614" spans="1:9" ht="51.75" customHeight="1">
      <c r="A6614" s="5" t="s">
        <v>26744</v>
      </c>
      <c r="B6614" s="5" t="s">
        <v>41654</v>
      </c>
      <c r="C6614" s="5" t="s">
        <v>41655</v>
      </c>
      <c r="D6614" s="246">
        <v>43655</v>
      </c>
      <c r="E6614" s="5" t="s">
        <v>41656</v>
      </c>
      <c r="F6614" s="26" t="s">
        <v>23600</v>
      </c>
      <c r="G6614" s="27" t="s">
        <v>15420</v>
      </c>
      <c r="H6614" s="28" t="s">
        <v>15421</v>
      </c>
      <c r="I6614" s="5" t="s">
        <v>2336</v>
      </c>
    </row>
    <row r="6615" spans="1:9" ht="51.75" customHeight="1">
      <c r="A6615" s="5" t="s">
        <v>26803</v>
      </c>
      <c r="B6615" s="5" t="s">
        <v>41657</v>
      </c>
      <c r="C6615" s="5" t="s">
        <v>41658</v>
      </c>
      <c r="D6615" s="246">
        <v>43655</v>
      </c>
      <c r="E6615" s="5" t="s">
        <v>41659</v>
      </c>
      <c r="F6615" s="26" t="s">
        <v>23600</v>
      </c>
      <c r="G6615" s="27" t="s">
        <v>15420</v>
      </c>
      <c r="H6615" s="28" t="s">
        <v>15421</v>
      </c>
      <c r="I6615" s="5" t="s">
        <v>2336</v>
      </c>
    </row>
    <row r="6616" spans="1:9" ht="51.75" customHeight="1">
      <c r="A6616" s="5" t="s">
        <v>26382</v>
      </c>
      <c r="B6616" s="5" t="s">
        <v>41660</v>
      </c>
      <c r="C6616" s="5" t="s">
        <v>41661</v>
      </c>
      <c r="D6616" s="246">
        <v>43655</v>
      </c>
      <c r="E6616" s="5" t="s">
        <v>41662</v>
      </c>
      <c r="F6616" s="26" t="s">
        <v>23600</v>
      </c>
      <c r="G6616" s="27" t="s">
        <v>15420</v>
      </c>
      <c r="H6616" s="28" t="s">
        <v>15421</v>
      </c>
      <c r="I6616" s="5" t="s">
        <v>2336</v>
      </c>
    </row>
    <row r="6617" spans="1:9" ht="51.75" customHeight="1">
      <c r="A6617" s="5" t="s">
        <v>26715</v>
      </c>
      <c r="B6617" s="5" t="s">
        <v>41663</v>
      </c>
      <c r="C6617" s="5" t="s">
        <v>41664</v>
      </c>
      <c r="D6617" s="246">
        <v>43655</v>
      </c>
      <c r="E6617" s="5" t="s">
        <v>41665</v>
      </c>
      <c r="F6617" s="26" t="s">
        <v>23600</v>
      </c>
      <c r="G6617" s="27" t="s">
        <v>15420</v>
      </c>
      <c r="H6617" s="28" t="s">
        <v>15421</v>
      </c>
      <c r="I6617" s="5" t="s">
        <v>2336</v>
      </c>
    </row>
    <row r="6618" spans="1:9" ht="51.75" customHeight="1">
      <c r="A6618" s="5" t="s">
        <v>23794</v>
      </c>
      <c r="B6618" s="5" t="s">
        <v>41666</v>
      </c>
      <c r="C6618" s="5" t="s">
        <v>41667</v>
      </c>
      <c r="D6618" s="246">
        <v>43655</v>
      </c>
      <c r="E6618" s="5" t="s">
        <v>41668</v>
      </c>
      <c r="F6618" s="26" t="s">
        <v>23600</v>
      </c>
      <c r="G6618" s="27" t="s">
        <v>15497</v>
      </c>
      <c r="H6618" s="28" t="s">
        <v>15498</v>
      </c>
      <c r="I6618" s="5" t="s">
        <v>2336</v>
      </c>
    </row>
    <row r="6619" spans="1:9" ht="51.75" customHeight="1">
      <c r="A6619" s="5" t="s">
        <v>23800</v>
      </c>
      <c r="B6619" s="5" t="s">
        <v>41669</v>
      </c>
      <c r="C6619" s="5" t="s">
        <v>41670</v>
      </c>
      <c r="D6619" s="246">
        <v>43655</v>
      </c>
      <c r="E6619" s="5" t="s">
        <v>41671</v>
      </c>
      <c r="F6619" s="26" t="s">
        <v>23600</v>
      </c>
      <c r="G6619" s="27" t="s">
        <v>15497</v>
      </c>
      <c r="H6619" s="28" t="s">
        <v>15498</v>
      </c>
      <c r="I6619" s="5" t="s">
        <v>2336</v>
      </c>
    </row>
    <row r="6620" spans="1:9" ht="51.75" customHeight="1">
      <c r="A6620" s="5" t="s">
        <v>30254</v>
      </c>
      <c r="B6620" s="5" t="s">
        <v>41672</v>
      </c>
      <c r="C6620" s="5" t="s">
        <v>41673</v>
      </c>
      <c r="D6620" s="246">
        <v>43655</v>
      </c>
      <c r="E6620" s="5" t="s">
        <v>41674</v>
      </c>
      <c r="F6620" s="26" t="s">
        <v>23600</v>
      </c>
      <c r="G6620" s="27" t="s">
        <v>15497</v>
      </c>
      <c r="H6620" s="28" t="s">
        <v>15498</v>
      </c>
      <c r="I6620" s="5" t="s">
        <v>2336</v>
      </c>
    </row>
    <row r="6621" spans="1:9" ht="51.75" customHeight="1">
      <c r="A6621" s="5" t="s">
        <v>38659</v>
      </c>
      <c r="B6621" s="5" t="s">
        <v>41675</v>
      </c>
      <c r="C6621" s="5" t="s">
        <v>41676</v>
      </c>
      <c r="D6621" s="246">
        <v>43655</v>
      </c>
      <c r="E6621" s="5" t="s">
        <v>41677</v>
      </c>
      <c r="F6621" s="26" t="s">
        <v>23600</v>
      </c>
      <c r="G6621" s="27" t="s">
        <v>15497</v>
      </c>
      <c r="H6621" s="28" t="s">
        <v>15498</v>
      </c>
      <c r="I6621" s="5" t="s">
        <v>2336</v>
      </c>
    </row>
    <row r="6622" spans="1:9" ht="51.75" customHeight="1">
      <c r="A6622" s="5" t="s">
        <v>30258</v>
      </c>
      <c r="B6622" s="5" t="s">
        <v>41678</v>
      </c>
      <c r="C6622" s="5" t="s">
        <v>41679</v>
      </c>
      <c r="D6622" s="246">
        <v>43655</v>
      </c>
      <c r="E6622" s="5" t="s">
        <v>41680</v>
      </c>
      <c r="F6622" s="26" t="s">
        <v>23600</v>
      </c>
      <c r="G6622" s="27" t="s">
        <v>15497</v>
      </c>
      <c r="H6622" s="28" t="s">
        <v>15498</v>
      </c>
      <c r="I6622" s="5" t="s">
        <v>2336</v>
      </c>
    </row>
    <row r="6623" spans="1:9" ht="51.75" customHeight="1">
      <c r="A6623" s="5" t="s">
        <v>41681</v>
      </c>
      <c r="B6623" s="5" t="s">
        <v>41682</v>
      </c>
      <c r="C6623" s="5" t="s">
        <v>41683</v>
      </c>
      <c r="D6623" s="246">
        <v>43655</v>
      </c>
      <c r="E6623" s="5" t="s">
        <v>41684</v>
      </c>
      <c r="F6623" s="26" t="s">
        <v>23600</v>
      </c>
      <c r="G6623" s="27" t="s">
        <v>15497</v>
      </c>
      <c r="H6623" s="28" t="s">
        <v>15498</v>
      </c>
      <c r="I6623" s="5" t="s">
        <v>2336</v>
      </c>
    </row>
    <row r="6624" spans="1:9" ht="51.75" customHeight="1">
      <c r="A6624" s="5" t="s">
        <v>25254</v>
      </c>
      <c r="B6624" s="5" t="s">
        <v>41685</v>
      </c>
      <c r="C6624" s="5" t="s">
        <v>41686</v>
      </c>
      <c r="D6624" s="246">
        <v>43655</v>
      </c>
      <c r="E6624" s="5" t="s">
        <v>41687</v>
      </c>
      <c r="F6624" s="26" t="s">
        <v>23600</v>
      </c>
      <c r="G6624" s="27" t="s">
        <v>15497</v>
      </c>
      <c r="H6624" s="28" t="s">
        <v>15498</v>
      </c>
      <c r="I6624" s="5" t="s">
        <v>2336</v>
      </c>
    </row>
    <row r="6625" spans="1:9" ht="51.75" customHeight="1">
      <c r="A6625" s="5" t="s">
        <v>25258</v>
      </c>
      <c r="B6625" s="5" t="s">
        <v>41688</v>
      </c>
      <c r="C6625" s="5" t="s">
        <v>41689</v>
      </c>
      <c r="D6625" s="246">
        <v>43655</v>
      </c>
      <c r="E6625" s="5" t="s">
        <v>41690</v>
      </c>
      <c r="F6625" s="26" t="s">
        <v>23600</v>
      </c>
      <c r="G6625" s="27" t="s">
        <v>15497</v>
      </c>
      <c r="H6625" s="28" t="s">
        <v>15498</v>
      </c>
      <c r="I6625" s="5" t="s">
        <v>2336</v>
      </c>
    </row>
    <row r="6626" spans="1:9" ht="51.75" customHeight="1">
      <c r="A6626" s="5" t="s">
        <v>25228</v>
      </c>
      <c r="B6626" s="5" t="s">
        <v>41691</v>
      </c>
      <c r="C6626" s="5" t="s">
        <v>41692</v>
      </c>
      <c r="D6626" s="246">
        <v>43655</v>
      </c>
      <c r="E6626" s="5" t="s">
        <v>41693</v>
      </c>
      <c r="F6626" s="26" t="s">
        <v>23600</v>
      </c>
      <c r="G6626" s="27" t="s">
        <v>15497</v>
      </c>
      <c r="H6626" s="28" t="s">
        <v>15498</v>
      </c>
      <c r="I6626" s="5" t="s">
        <v>2336</v>
      </c>
    </row>
    <row r="6627" spans="1:9" ht="51.75" customHeight="1">
      <c r="A6627" s="5" t="s">
        <v>25232</v>
      </c>
      <c r="B6627" s="5" t="s">
        <v>41694</v>
      </c>
      <c r="C6627" s="5" t="s">
        <v>41695</v>
      </c>
      <c r="D6627" s="246">
        <v>43655</v>
      </c>
      <c r="E6627" s="5" t="s">
        <v>41696</v>
      </c>
      <c r="F6627" s="26" t="s">
        <v>23600</v>
      </c>
      <c r="G6627" s="27" t="s">
        <v>15497</v>
      </c>
      <c r="H6627" s="28" t="s">
        <v>15498</v>
      </c>
      <c r="I6627" s="5" t="s">
        <v>2336</v>
      </c>
    </row>
    <row r="6628" spans="1:9" ht="51.75" customHeight="1">
      <c r="A6628" s="5" t="s">
        <v>25236</v>
      </c>
      <c r="B6628" s="5" t="s">
        <v>41697</v>
      </c>
      <c r="C6628" s="5" t="s">
        <v>41686</v>
      </c>
      <c r="D6628" s="246">
        <v>43655</v>
      </c>
      <c r="E6628" s="5" t="s">
        <v>41698</v>
      </c>
      <c r="F6628" s="26" t="s">
        <v>23600</v>
      </c>
      <c r="G6628" s="27" t="s">
        <v>15497</v>
      </c>
      <c r="H6628" s="28" t="s">
        <v>15498</v>
      </c>
      <c r="I6628" s="5" t="s">
        <v>2336</v>
      </c>
    </row>
    <row r="6629" spans="1:9" ht="51.75" customHeight="1">
      <c r="A6629" s="5" t="s">
        <v>41699</v>
      </c>
      <c r="B6629" s="5" t="s">
        <v>41700</v>
      </c>
      <c r="C6629" s="5" t="s">
        <v>41701</v>
      </c>
      <c r="D6629" s="246">
        <v>43655</v>
      </c>
      <c r="E6629" s="5" t="s">
        <v>41702</v>
      </c>
      <c r="F6629" s="26" t="s">
        <v>23600</v>
      </c>
      <c r="G6629" s="27" t="s">
        <v>15497</v>
      </c>
      <c r="H6629" s="28" t="s">
        <v>15498</v>
      </c>
      <c r="I6629" s="5" t="s">
        <v>2336</v>
      </c>
    </row>
    <row r="6630" spans="1:9" ht="51.75" customHeight="1">
      <c r="A6630" s="5" t="s">
        <v>24761</v>
      </c>
      <c r="B6630" s="5" t="s">
        <v>41703</v>
      </c>
      <c r="C6630" s="5" t="s">
        <v>41704</v>
      </c>
      <c r="D6630" s="246">
        <v>43725</v>
      </c>
      <c r="E6630" s="5" t="s">
        <v>41705</v>
      </c>
      <c r="F6630" s="26" t="s">
        <v>23600</v>
      </c>
      <c r="G6630" s="27" t="s">
        <v>15776</v>
      </c>
      <c r="H6630" s="28" t="s">
        <v>15777</v>
      </c>
      <c r="I6630" s="5" t="s">
        <v>2336</v>
      </c>
    </row>
    <row r="6631" spans="1:9" ht="51.75" customHeight="1">
      <c r="A6631" s="5" t="s">
        <v>24765</v>
      </c>
      <c r="B6631" s="5" t="s">
        <v>41706</v>
      </c>
      <c r="C6631" s="5" t="s">
        <v>41707</v>
      </c>
      <c r="D6631" s="246">
        <v>43725</v>
      </c>
      <c r="E6631" s="5" t="s">
        <v>41708</v>
      </c>
      <c r="F6631" s="26" t="s">
        <v>23600</v>
      </c>
      <c r="G6631" s="27" t="s">
        <v>15776</v>
      </c>
      <c r="H6631" s="28" t="s">
        <v>15777</v>
      </c>
      <c r="I6631" s="5" t="s">
        <v>2336</v>
      </c>
    </row>
    <row r="6632" spans="1:9" ht="51.75" customHeight="1">
      <c r="A6632" s="5" t="s">
        <v>24769</v>
      </c>
      <c r="B6632" s="5" t="s">
        <v>41709</v>
      </c>
      <c r="C6632" s="5" t="s">
        <v>41710</v>
      </c>
      <c r="D6632" s="246">
        <v>43725</v>
      </c>
      <c r="E6632" s="5" t="s">
        <v>41711</v>
      </c>
      <c r="F6632" s="26" t="s">
        <v>23600</v>
      </c>
      <c r="G6632" s="27" t="s">
        <v>15776</v>
      </c>
      <c r="H6632" s="28" t="s">
        <v>15777</v>
      </c>
      <c r="I6632" s="5" t="s">
        <v>2336</v>
      </c>
    </row>
    <row r="6633" spans="1:9" ht="51.75" customHeight="1">
      <c r="A6633" s="5" t="s">
        <v>24777</v>
      </c>
      <c r="B6633" s="5" t="s">
        <v>41712</v>
      </c>
      <c r="C6633" s="5" t="s">
        <v>41713</v>
      </c>
      <c r="D6633" s="246">
        <v>43725</v>
      </c>
      <c r="E6633" s="5" t="s">
        <v>41714</v>
      </c>
      <c r="F6633" s="26" t="s">
        <v>23600</v>
      </c>
      <c r="G6633" s="27" t="s">
        <v>15776</v>
      </c>
      <c r="H6633" s="28" t="s">
        <v>15777</v>
      </c>
      <c r="I6633" s="5" t="s">
        <v>2336</v>
      </c>
    </row>
    <row r="6634" spans="1:9" ht="51.75" customHeight="1">
      <c r="A6634" s="5" t="s">
        <v>36063</v>
      </c>
      <c r="B6634" s="5" t="s">
        <v>41715</v>
      </c>
      <c r="C6634" s="5" t="s">
        <v>41716</v>
      </c>
      <c r="D6634" s="246">
        <v>43725</v>
      </c>
      <c r="E6634" s="5" t="s">
        <v>41717</v>
      </c>
      <c r="F6634" s="26" t="s">
        <v>23600</v>
      </c>
      <c r="G6634" s="27" t="s">
        <v>15776</v>
      </c>
      <c r="H6634" s="28" t="s">
        <v>15777</v>
      </c>
      <c r="I6634" s="5" t="s">
        <v>2336</v>
      </c>
    </row>
    <row r="6635" spans="1:9" ht="51.75" customHeight="1">
      <c r="A6635" s="5" t="s">
        <v>36067</v>
      </c>
      <c r="B6635" s="5" t="s">
        <v>41718</v>
      </c>
      <c r="C6635" s="5" t="s">
        <v>41719</v>
      </c>
      <c r="D6635" s="246">
        <v>43725</v>
      </c>
      <c r="E6635" s="5" t="s">
        <v>41720</v>
      </c>
      <c r="F6635" s="26" t="s">
        <v>23600</v>
      </c>
      <c r="G6635" s="27" t="s">
        <v>15776</v>
      </c>
      <c r="H6635" s="28" t="s">
        <v>15777</v>
      </c>
      <c r="I6635" s="5" t="s">
        <v>2336</v>
      </c>
    </row>
    <row r="6636" spans="1:9" ht="51.75" customHeight="1">
      <c r="A6636" s="5" t="s">
        <v>41721</v>
      </c>
      <c r="B6636" s="5" t="s">
        <v>41722</v>
      </c>
      <c r="C6636" s="5" t="s">
        <v>41723</v>
      </c>
      <c r="D6636" s="246">
        <v>43790</v>
      </c>
      <c r="E6636" s="5" t="s">
        <v>41724</v>
      </c>
      <c r="F6636" s="26" t="s">
        <v>23600</v>
      </c>
      <c r="G6636" s="27" t="s">
        <v>15891</v>
      </c>
      <c r="H6636" s="28" t="s">
        <v>15892</v>
      </c>
      <c r="I6636" s="5" t="s">
        <v>2336</v>
      </c>
    </row>
    <row r="6637" spans="1:9" ht="51.75" customHeight="1">
      <c r="A6637" s="5" t="s">
        <v>41725</v>
      </c>
      <c r="B6637" s="5" t="s">
        <v>41726</v>
      </c>
      <c r="C6637" s="5" t="s">
        <v>41727</v>
      </c>
      <c r="D6637" s="246">
        <v>43790</v>
      </c>
      <c r="E6637" s="5" t="s">
        <v>41728</v>
      </c>
      <c r="F6637" s="26" t="s">
        <v>23600</v>
      </c>
      <c r="G6637" s="27" t="s">
        <v>15891</v>
      </c>
      <c r="H6637" s="28" t="s">
        <v>15892</v>
      </c>
      <c r="I6637" s="5" t="s">
        <v>2336</v>
      </c>
    </row>
    <row r="6638" spans="1:9" ht="51.75" customHeight="1">
      <c r="A6638" s="5" t="s">
        <v>41729</v>
      </c>
      <c r="B6638" s="5" t="s">
        <v>41730</v>
      </c>
      <c r="C6638" s="5" t="s">
        <v>41731</v>
      </c>
      <c r="D6638" s="246">
        <v>43790</v>
      </c>
      <c r="E6638" s="5" t="s">
        <v>41732</v>
      </c>
      <c r="F6638" s="26" t="s">
        <v>23600</v>
      </c>
      <c r="G6638" s="27" t="s">
        <v>15891</v>
      </c>
      <c r="H6638" s="28" t="s">
        <v>15892</v>
      </c>
      <c r="I6638" s="5" t="s">
        <v>2336</v>
      </c>
    </row>
    <row r="6639" spans="1:9" ht="51.75" customHeight="1">
      <c r="A6639" s="5" t="s">
        <v>41733</v>
      </c>
      <c r="B6639" s="5" t="s">
        <v>41734</v>
      </c>
      <c r="C6639" s="5" t="s">
        <v>41735</v>
      </c>
      <c r="D6639" s="246">
        <v>43790</v>
      </c>
      <c r="E6639" s="5" t="s">
        <v>41736</v>
      </c>
      <c r="F6639" s="26" t="s">
        <v>23600</v>
      </c>
      <c r="G6639" s="27" t="s">
        <v>15891</v>
      </c>
      <c r="H6639" s="28" t="s">
        <v>15892</v>
      </c>
      <c r="I6639" s="5" t="s">
        <v>2336</v>
      </c>
    </row>
    <row r="6640" spans="1:9" ht="51.75" customHeight="1">
      <c r="A6640" s="5" t="s">
        <v>41737</v>
      </c>
      <c r="B6640" s="5" t="s">
        <v>41738</v>
      </c>
      <c r="C6640" s="5" t="s">
        <v>41739</v>
      </c>
      <c r="D6640" s="246">
        <v>43790</v>
      </c>
      <c r="E6640" s="5" t="s">
        <v>41740</v>
      </c>
      <c r="F6640" s="26" t="s">
        <v>23600</v>
      </c>
      <c r="G6640" s="27" t="s">
        <v>15891</v>
      </c>
      <c r="H6640" s="28" t="s">
        <v>15892</v>
      </c>
      <c r="I6640" s="5" t="s">
        <v>2336</v>
      </c>
    </row>
    <row r="6641" spans="1:9" ht="51.75" customHeight="1">
      <c r="A6641" s="5" t="s">
        <v>41741</v>
      </c>
      <c r="B6641" s="5" t="s">
        <v>41742</v>
      </c>
      <c r="C6641" s="5" t="s">
        <v>41743</v>
      </c>
      <c r="D6641" s="246">
        <v>43790</v>
      </c>
      <c r="E6641" s="5" t="s">
        <v>41744</v>
      </c>
      <c r="F6641" s="26" t="s">
        <v>23600</v>
      </c>
      <c r="G6641" s="27" t="s">
        <v>15891</v>
      </c>
      <c r="H6641" s="28" t="s">
        <v>15892</v>
      </c>
      <c r="I6641" s="5" t="s">
        <v>2336</v>
      </c>
    </row>
    <row r="6642" spans="1:9" ht="51.75" customHeight="1">
      <c r="A6642" s="5" t="s">
        <v>41745</v>
      </c>
      <c r="B6642" s="5" t="s">
        <v>41746</v>
      </c>
      <c r="C6642" s="5" t="s">
        <v>41747</v>
      </c>
      <c r="D6642" s="246">
        <v>43790</v>
      </c>
      <c r="E6642" s="5" t="s">
        <v>41748</v>
      </c>
      <c r="F6642" s="26" t="s">
        <v>23600</v>
      </c>
      <c r="G6642" s="27" t="s">
        <v>15891</v>
      </c>
      <c r="H6642" s="28" t="s">
        <v>15892</v>
      </c>
      <c r="I6642" s="5" t="s">
        <v>2336</v>
      </c>
    </row>
    <row r="6643" spans="1:9" ht="51.75" customHeight="1">
      <c r="A6643" s="5" t="s">
        <v>41749</v>
      </c>
      <c r="B6643" s="5" t="s">
        <v>41750</v>
      </c>
      <c r="C6643" s="5" t="s">
        <v>41751</v>
      </c>
      <c r="D6643" s="246">
        <v>43789</v>
      </c>
      <c r="E6643" s="5" t="s">
        <v>41752</v>
      </c>
      <c r="F6643" s="26" t="s">
        <v>23600</v>
      </c>
      <c r="G6643" s="27" t="s">
        <v>16230</v>
      </c>
      <c r="H6643" s="28" t="s">
        <v>16231</v>
      </c>
      <c r="I6643" s="5" t="s">
        <v>2336</v>
      </c>
    </row>
    <row r="6644" spans="1:9" ht="51.75" customHeight="1">
      <c r="A6644" s="5" t="s">
        <v>41753</v>
      </c>
      <c r="B6644" s="5" t="s">
        <v>41754</v>
      </c>
      <c r="C6644" s="5" t="s">
        <v>41755</v>
      </c>
      <c r="D6644" s="246">
        <v>43789</v>
      </c>
      <c r="E6644" s="5" t="s">
        <v>41756</v>
      </c>
      <c r="F6644" s="26" t="s">
        <v>23600</v>
      </c>
      <c r="G6644" s="27" t="s">
        <v>16230</v>
      </c>
      <c r="H6644" s="28" t="s">
        <v>16231</v>
      </c>
      <c r="I6644" s="5" t="s">
        <v>2336</v>
      </c>
    </row>
    <row r="6645" spans="1:9" ht="51.75" customHeight="1">
      <c r="A6645" s="5" t="s">
        <v>41757</v>
      </c>
      <c r="B6645" s="5" t="s">
        <v>41758</v>
      </c>
      <c r="C6645" s="5" t="s">
        <v>41759</v>
      </c>
      <c r="D6645" s="246">
        <v>43789</v>
      </c>
      <c r="E6645" s="5" t="s">
        <v>41760</v>
      </c>
      <c r="F6645" s="26" t="s">
        <v>23600</v>
      </c>
      <c r="G6645" s="27" t="s">
        <v>16230</v>
      </c>
      <c r="H6645" s="28" t="s">
        <v>16231</v>
      </c>
      <c r="I6645" s="5" t="s">
        <v>2336</v>
      </c>
    </row>
    <row r="6646" spans="1:9" ht="51.75" customHeight="1">
      <c r="A6646" s="5" t="s">
        <v>41761</v>
      </c>
      <c r="B6646" s="5" t="s">
        <v>41762</v>
      </c>
      <c r="C6646" s="5" t="s">
        <v>41763</v>
      </c>
      <c r="D6646" s="246">
        <v>43789</v>
      </c>
      <c r="E6646" s="5" t="s">
        <v>41764</v>
      </c>
      <c r="F6646" s="26" t="s">
        <v>23600</v>
      </c>
      <c r="G6646" s="27" t="s">
        <v>16230</v>
      </c>
      <c r="H6646" s="28" t="s">
        <v>16231</v>
      </c>
      <c r="I6646" s="5" t="s">
        <v>2336</v>
      </c>
    </row>
    <row r="6647" spans="1:9" ht="51.75" customHeight="1">
      <c r="A6647" s="5" t="s">
        <v>41765</v>
      </c>
      <c r="B6647" s="5" t="s">
        <v>41766</v>
      </c>
      <c r="C6647" s="5" t="s">
        <v>41767</v>
      </c>
      <c r="D6647" s="246">
        <v>43789</v>
      </c>
      <c r="E6647" s="5" t="s">
        <v>41768</v>
      </c>
      <c r="F6647" s="26" t="s">
        <v>23600</v>
      </c>
      <c r="G6647" s="27" t="s">
        <v>16230</v>
      </c>
      <c r="H6647" s="28" t="s">
        <v>16231</v>
      </c>
      <c r="I6647" s="5" t="s">
        <v>2336</v>
      </c>
    </row>
    <row r="6648" spans="1:9" ht="51.75" customHeight="1">
      <c r="A6648" s="5" t="s">
        <v>41769</v>
      </c>
      <c r="B6648" s="5" t="s">
        <v>41770</v>
      </c>
      <c r="C6648" s="5" t="s">
        <v>41771</v>
      </c>
      <c r="D6648" s="246">
        <v>43789</v>
      </c>
      <c r="E6648" s="5" t="s">
        <v>41772</v>
      </c>
      <c r="F6648" s="26" t="s">
        <v>23600</v>
      </c>
      <c r="G6648" s="27" t="s">
        <v>16230</v>
      </c>
      <c r="H6648" s="28" t="s">
        <v>16231</v>
      </c>
      <c r="I6648" s="5" t="s">
        <v>2336</v>
      </c>
    </row>
    <row r="6649" spans="1:9" ht="51.75" customHeight="1">
      <c r="A6649" s="5" t="s">
        <v>37423</v>
      </c>
      <c r="B6649" s="5" t="s">
        <v>41773</v>
      </c>
      <c r="C6649" s="5" t="s">
        <v>41774</v>
      </c>
      <c r="D6649" s="246">
        <v>43789</v>
      </c>
      <c r="E6649" s="5" t="s">
        <v>41775</v>
      </c>
      <c r="F6649" s="26" t="s">
        <v>23600</v>
      </c>
      <c r="G6649" s="27" t="s">
        <v>16230</v>
      </c>
      <c r="H6649" s="28" t="s">
        <v>16231</v>
      </c>
      <c r="I6649" s="5" t="s">
        <v>2336</v>
      </c>
    </row>
    <row r="6650" spans="1:9" ht="51.75" customHeight="1">
      <c r="A6650" s="5" t="s">
        <v>25377</v>
      </c>
      <c r="B6650" s="5" t="s">
        <v>41776</v>
      </c>
      <c r="C6650" s="5" t="s">
        <v>41777</v>
      </c>
      <c r="D6650" s="246">
        <v>43789</v>
      </c>
      <c r="E6650" s="5" t="s">
        <v>41778</v>
      </c>
      <c r="F6650" s="26" t="s">
        <v>23600</v>
      </c>
      <c r="G6650" s="27" t="s">
        <v>16230</v>
      </c>
      <c r="H6650" s="28" t="s">
        <v>16231</v>
      </c>
      <c r="I6650" s="5" t="s">
        <v>2336</v>
      </c>
    </row>
    <row r="6651" spans="1:9" ht="51.75" customHeight="1">
      <c r="A6651" s="5" t="s">
        <v>41779</v>
      </c>
      <c r="B6651" s="5" t="s">
        <v>41780</v>
      </c>
      <c r="C6651" s="5" t="s">
        <v>41781</v>
      </c>
      <c r="D6651" s="246">
        <v>43789</v>
      </c>
      <c r="E6651" s="5" t="s">
        <v>41782</v>
      </c>
      <c r="F6651" s="26" t="s">
        <v>23600</v>
      </c>
      <c r="G6651" s="27" t="s">
        <v>16230</v>
      </c>
      <c r="H6651" s="28" t="s">
        <v>16231</v>
      </c>
      <c r="I6651" s="5" t="s">
        <v>2336</v>
      </c>
    </row>
    <row r="6652" spans="1:9" ht="51.75" customHeight="1">
      <c r="A6652" s="5" t="s">
        <v>41783</v>
      </c>
      <c r="B6652" s="5" t="s">
        <v>41784</v>
      </c>
      <c r="C6652" s="5" t="s">
        <v>41785</v>
      </c>
      <c r="D6652" s="246">
        <v>43789</v>
      </c>
      <c r="E6652" s="5" t="s">
        <v>41786</v>
      </c>
      <c r="F6652" s="26" t="s">
        <v>23600</v>
      </c>
      <c r="G6652" s="27" t="s">
        <v>16230</v>
      </c>
      <c r="H6652" s="28" t="s">
        <v>16231</v>
      </c>
      <c r="I6652" s="5" t="s">
        <v>2336</v>
      </c>
    </row>
    <row r="6653" spans="1:9" ht="51.75" customHeight="1">
      <c r="A6653" s="5" t="s">
        <v>41787</v>
      </c>
      <c r="B6653" s="5" t="s">
        <v>41788</v>
      </c>
      <c r="C6653" s="5" t="s">
        <v>41789</v>
      </c>
      <c r="D6653" s="246">
        <v>43789</v>
      </c>
      <c r="E6653" s="5" t="s">
        <v>41790</v>
      </c>
      <c r="F6653" s="26" t="s">
        <v>23600</v>
      </c>
      <c r="G6653" s="27" t="s">
        <v>16230</v>
      </c>
      <c r="H6653" s="28" t="s">
        <v>16231</v>
      </c>
      <c r="I6653" s="5" t="s">
        <v>2336</v>
      </c>
    </row>
    <row r="6654" spans="1:9" ht="51.75" customHeight="1">
      <c r="A6654" s="5" t="s">
        <v>41791</v>
      </c>
      <c r="B6654" s="5" t="s">
        <v>41792</v>
      </c>
      <c r="C6654" s="5" t="s">
        <v>41793</v>
      </c>
      <c r="D6654" s="246">
        <v>43789</v>
      </c>
      <c r="E6654" s="5" t="s">
        <v>41794</v>
      </c>
      <c r="F6654" s="26" t="s">
        <v>23600</v>
      </c>
      <c r="G6654" s="27" t="s">
        <v>16230</v>
      </c>
      <c r="H6654" s="28" t="s">
        <v>16231</v>
      </c>
      <c r="I6654" s="5" t="s">
        <v>2336</v>
      </c>
    </row>
    <row r="6655" spans="1:9" ht="51.75" customHeight="1">
      <c r="A6655" s="5" t="s">
        <v>41795</v>
      </c>
      <c r="B6655" s="5" t="s">
        <v>41796</v>
      </c>
      <c r="C6655" s="5" t="s">
        <v>41797</v>
      </c>
      <c r="D6655" s="246">
        <v>43789</v>
      </c>
      <c r="E6655" s="5" t="s">
        <v>41798</v>
      </c>
      <c r="F6655" s="26" t="s">
        <v>23600</v>
      </c>
      <c r="G6655" s="27" t="s">
        <v>16230</v>
      </c>
      <c r="H6655" s="28" t="s">
        <v>16231</v>
      </c>
      <c r="I6655" s="5" t="s">
        <v>2336</v>
      </c>
    </row>
    <row r="6656" spans="1:9" ht="51.75" customHeight="1">
      <c r="A6656" s="5" t="s">
        <v>29896</v>
      </c>
      <c r="B6656" s="5" t="s">
        <v>41799</v>
      </c>
      <c r="C6656" s="5" t="s">
        <v>41800</v>
      </c>
      <c r="D6656" s="246">
        <v>43956</v>
      </c>
      <c r="E6656" s="5" t="s">
        <v>41801</v>
      </c>
      <c r="F6656" s="26" t="s">
        <v>23600</v>
      </c>
      <c r="G6656" s="27" t="s">
        <v>16444</v>
      </c>
      <c r="H6656" s="28" t="s">
        <v>16445</v>
      </c>
      <c r="I6656" s="5" t="s">
        <v>2336</v>
      </c>
    </row>
    <row r="6657" spans="1:9" ht="51.75" customHeight="1">
      <c r="A6657" s="5" t="s">
        <v>27440</v>
      </c>
      <c r="B6657" s="5" t="s">
        <v>41802</v>
      </c>
      <c r="C6657" s="5" t="s">
        <v>41803</v>
      </c>
      <c r="D6657" s="246">
        <v>43956</v>
      </c>
      <c r="E6657" s="5" t="s">
        <v>41804</v>
      </c>
      <c r="F6657" s="26" t="s">
        <v>23600</v>
      </c>
      <c r="G6657" s="27" t="s">
        <v>16444</v>
      </c>
      <c r="H6657" s="28" t="s">
        <v>16445</v>
      </c>
      <c r="I6657" s="5" t="s">
        <v>2336</v>
      </c>
    </row>
    <row r="6658" spans="1:9" ht="51.75" customHeight="1">
      <c r="A6658" s="5" t="s">
        <v>24704</v>
      </c>
      <c r="B6658" s="5" t="s">
        <v>41805</v>
      </c>
      <c r="C6658" s="5" t="s">
        <v>41806</v>
      </c>
      <c r="D6658" s="246">
        <v>43956</v>
      </c>
      <c r="E6658" s="5" t="s">
        <v>41807</v>
      </c>
      <c r="F6658" s="26" t="s">
        <v>23600</v>
      </c>
      <c r="G6658" s="27" t="s">
        <v>16444</v>
      </c>
      <c r="H6658" s="28" t="s">
        <v>16445</v>
      </c>
      <c r="I6658" s="5" t="s">
        <v>2336</v>
      </c>
    </row>
    <row r="6659" spans="1:9" ht="51.75" customHeight="1">
      <c r="A6659" s="5" t="s">
        <v>30014</v>
      </c>
      <c r="B6659" s="5" t="s">
        <v>41808</v>
      </c>
      <c r="C6659" s="5" t="s">
        <v>41809</v>
      </c>
      <c r="D6659" s="246">
        <v>43956</v>
      </c>
      <c r="E6659" s="5" t="s">
        <v>41810</v>
      </c>
      <c r="F6659" s="26" t="s">
        <v>23600</v>
      </c>
      <c r="G6659" s="27" t="s">
        <v>16444</v>
      </c>
      <c r="H6659" s="28" t="s">
        <v>16445</v>
      </c>
      <c r="I6659" s="5" t="s">
        <v>2336</v>
      </c>
    </row>
    <row r="6660" spans="1:9" ht="51.75" customHeight="1">
      <c r="A6660" s="5" t="s">
        <v>24708</v>
      </c>
      <c r="B6660" s="5" t="s">
        <v>41811</v>
      </c>
      <c r="C6660" s="5" t="s">
        <v>41812</v>
      </c>
      <c r="D6660" s="246">
        <v>43956</v>
      </c>
      <c r="E6660" s="5" t="s">
        <v>41813</v>
      </c>
      <c r="F6660" s="26" t="s">
        <v>23600</v>
      </c>
      <c r="G6660" s="27" t="s">
        <v>16444</v>
      </c>
      <c r="H6660" s="28" t="s">
        <v>16445</v>
      </c>
      <c r="I6660" s="5" t="s">
        <v>2336</v>
      </c>
    </row>
    <row r="6661" spans="1:9" ht="51.75" customHeight="1">
      <c r="A6661" s="5" t="s">
        <v>24712</v>
      </c>
      <c r="B6661" s="5" t="s">
        <v>41814</v>
      </c>
      <c r="C6661" s="5" t="s">
        <v>41815</v>
      </c>
      <c r="D6661" s="246">
        <v>43956</v>
      </c>
      <c r="E6661" s="5" t="s">
        <v>41816</v>
      </c>
      <c r="F6661" s="26" t="s">
        <v>23600</v>
      </c>
      <c r="G6661" s="27" t="s">
        <v>16444</v>
      </c>
      <c r="H6661" s="28" t="s">
        <v>16445</v>
      </c>
      <c r="I6661" s="5" t="s">
        <v>2336</v>
      </c>
    </row>
    <row r="6662" spans="1:9" ht="51.75" customHeight="1">
      <c r="A6662" s="5" t="s">
        <v>26767</v>
      </c>
      <c r="B6662" s="5" t="s">
        <v>41817</v>
      </c>
      <c r="C6662" s="5" t="s">
        <v>41818</v>
      </c>
      <c r="D6662" s="246">
        <v>43956</v>
      </c>
      <c r="E6662" s="5" t="s">
        <v>41819</v>
      </c>
      <c r="F6662" s="26" t="s">
        <v>23600</v>
      </c>
      <c r="G6662" s="27" t="s">
        <v>16494</v>
      </c>
      <c r="H6662" s="28" t="s">
        <v>16495</v>
      </c>
      <c r="I6662" s="5" t="s">
        <v>2336</v>
      </c>
    </row>
    <row r="6663" spans="1:9" ht="51.75" customHeight="1">
      <c r="A6663" s="5" t="s">
        <v>26773</v>
      </c>
      <c r="B6663" s="5" t="s">
        <v>41820</v>
      </c>
      <c r="C6663" s="5" t="s">
        <v>41821</v>
      </c>
      <c r="D6663" s="246">
        <v>43956</v>
      </c>
      <c r="E6663" s="5" t="s">
        <v>41822</v>
      </c>
      <c r="F6663" s="26" t="s">
        <v>23600</v>
      </c>
      <c r="G6663" s="27" t="s">
        <v>16494</v>
      </c>
      <c r="H6663" s="28" t="s">
        <v>16495</v>
      </c>
      <c r="I6663" s="5" t="s">
        <v>2336</v>
      </c>
    </row>
    <row r="6664" spans="1:9" ht="51.75" customHeight="1">
      <c r="A6664" s="5" t="s">
        <v>26779</v>
      </c>
      <c r="B6664" s="5" t="s">
        <v>41823</v>
      </c>
      <c r="C6664" s="5" t="s">
        <v>41815</v>
      </c>
      <c r="D6664" s="246">
        <v>43956</v>
      </c>
      <c r="E6664" s="5" t="s">
        <v>41824</v>
      </c>
      <c r="F6664" s="26" t="s">
        <v>23600</v>
      </c>
      <c r="G6664" s="27" t="s">
        <v>16494</v>
      </c>
      <c r="H6664" s="28" t="s">
        <v>16495</v>
      </c>
      <c r="I6664" s="5" t="s">
        <v>2336</v>
      </c>
    </row>
    <row r="6665" spans="1:9" ht="51.75" customHeight="1">
      <c r="A6665" s="5" t="s">
        <v>28574</v>
      </c>
      <c r="B6665" s="5" t="s">
        <v>41825</v>
      </c>
      <c r="C6665" s="5" t="s">
        <v>41826</v>
      </c>
      <c r="D6665" s="246">
        <v>43956</v>
      </c>
      <c r="E6665" s="5" t="s">
        <v>41827</v>
      </c>
      <c r="F6665" s="26" t="s">
        <v>23600</v>
      </c>
      <c r="G6665" s="27" t="s">
        <v>16494</v>
      </c>
      <c r="H6665" s="28" t="s">
        <v>16495</v>
      </c>
      <c r="I6665" s="5" t="s">
        <v>2336</v>
      </c>
    </row>
    <row r="6666" spans="1:9" ht="51.75" customHeight="1">
      <c r="A6666" s="5" t="s">
        <v>23784</v>
      </c>
      <c r="B6666" s="5" t="s">
        <v>41828</v>
      </c>
      <c r="C6666" s="5" t="s">
        <v>41829</v>
      </c>
      <c r="D6666" s="246">
        <v>43956</v>
      </c>
      <c r="E6666" s="5" t="s">
        <v>41830</v>
      </c>
      <c r="F6666" s="26" t="s">
        <v>23600</v>
      </c>
      <c r="G6666" s="27" t="s">
        <v>16494</v>
      </c>
      <c r="H6666" s="28" t="s">
        <v>16495</v>
      </c>
      <c r="I6666" s="5" t="s">
        <v>2336</v>
      </c>
    </row>
    <row r="6667" spans="1:9" ht="51.75" customHeight="1">
      <c r="A6667" s="5" t="s">
        <v>24666</v>
      </c>
      <c r="B6667" s="5" t="s">
        <v>41831</v>
      </c>
      <c r="C6667" s="5" t="s">
        <v>41832</v>
      </c>
      <c r="D6667" s="246">
        <v>43956</v>
      </c>
      <c r="E6667" s="5" t="s">
        <v>41833</v>
      </c>
      <c r="F6667" s="26" t="s">
        <v>23600</v>
      </c>
      <c r="G6667" s="27" t="s">
        <v>16494</v>
      </c>
      <c r="H6667" s="28" t="s">
        <v>16495</v>
      </c>
      <c r="I6667" s="5" t="s">
        <v>2336</v>
      </c>
    </row>
    <row r="6668" spans="1:9" ht="51.75" customHeight="1">
      <c r="A6668" s="5" t="s">
        <v>24639</v>
      </c>
      <c r="B6668" s="5" t="s">
        <v>41834</v>
      </c>
      <c r="C6668" s="5" t="s">
        <v>41835</v>
      </c>
      <c r="D6668" s="246">
        <v>43956</v>
      </c>
      <c r="E6668" s="5" t="s">
        <v>41836</v>
      </c>
      <c r="F6668" s="26" t="s">
        <v>23600</v>
      </c>
      <c r="G6668" s="27" t="s">
        <v>16494</v>
      </c>
      <c r="H6668" s="28" t="s">
        <v>16495</v>
      </c>
      <c r="I6668" s="5" t="s">
        <v>2336</v>
      </c>
    </row>
    <row r="6669" spans="1:9" ht="51.75" customHeight="1">
      <c r="A6669" s="5" t="s">
        <v>28660</v>
      </c>
      <c r="B6669" s="5" t="s">
        <v>41837</v>
      </c>
      <c r="C6669" s="5" t="s">
        <v>41838</v>
      </c>
      <c r="D6669" s="246">
        <v>43956</v>
      </c>
      <c r="E6669" s="5" t="s">
        <v>41839</v>
      </c>
      <c r="F6669" s="26" t="s">
        <v>23600</v>
      </c>
      <c r="G6669" s="27" t="s">
        <v>16494</v>
      </c>
      <c r="H6669" s="28" t="s">
        <v>16495</v>
      </c>
      <c r="I6669" s="5" t="s">
        <v>2336</v>
      </c>
    </row>
    <row r="6670" spans="1:9" ht="51.75" customHeight="1">
      <c r="A6670" s="5" t="s">
        <v>27662</v>
      </c>
      <c r="B6670" s="5" t="s">
        <v>41840</v>
      </c>
      <c r="C6670" s="5" t="s">
        <v>41841</v>
      </c>
      <c r="D6670" s="246">
        <v>44001</v>
      </c>
      <c r="E6670" s="5" t="s">
        <v>41842</v>
      </c>
      <c r="F6670" s="26" t="s">
        <v>23600</v>
      </c>
      <c r="G6670" s="27" t="s">
        <v>16187</v>
      </c>
      <c r="H6670" s="28" t="s">
        <v>16188</v>
      </c>
      <c r="I6670" s="5" t="s">
        <v>2336</v>
      </c>
    </row>
    <row r="6671" spans="1:9" ht="51.75" customHeight="1">
      <c r="A6671" s="5" t="s">
        <v>41843</v>
      </c>
      <c r="B6671" s="5" t="s">
        <v>41844</v>
      </c>
      <c r="C6671" s="5" t="s">
        <v>41845</v>
      </c>
      <c r="D6671" s="246">
        <v>44001</v>
      </c>
      <c r="E6671" s="5" t="s">
        <v>41846</v>
      </c>
      <c r="F6671" s="26" t="s">
        <v>23600</v>
      </c>
      <c r="G6671" s="27" t="s">
        <v>16187</v>
      </c>
      <c r="H6671" s="28" t="s">
        <v>16188</v>
      </c>
      <c r="I6671" s="5" t="s">
        <v>2336</v>
      </c>
    </row>
    <row r="6672" spans="1:9" ht="51.75" customHeight="1">
      <c r="A6672" s="5" t="s">
        <v>41847</v>
      </c>
      <c r="B6672" s="5" t="s">
        <v>41848</v>
      </c>
      <c r="C6672" s="5" t="s">
        <v>41849</v>
      </c>
      <c r="D6672" s="246">
        <v>44001</v>
      </c>
      <c r="E6672" s="5" t="s">
        <v>41850</v>
      </c>
      <c r="F6672" s="26" t="s">
        <v>23600</v>
      </c>
      <c r="G6672" s="27" t="s">
        <v>16187</v>
      </c>
      <c r="H6672" s="28" t="s">
        <v>16188</v>
      </c>
      <c r="I6672" s="5" t="s">
        <v>2336</v>
      </c>
    </row>
    <row r="6673" spans="1:9" ht="51.75" customHeight="1">
      <c r="A6673" s="5" t="s">
        <v>27670</v>
      </c>
      <c r="B6673" s="5" t="s">
        <v>41851</v>
      </c>
      <c r="C6673" s="5" t="s">
        <v>41852</v>
      </c>
      <c r="D6673" s="246">
        <v>44001</v>
      </c>
      <c r="E6673" s="5" t="s">
        <v>41853</v>
      </c>
      <c r="F6673" s="26" t="s">
        <v>23600</v>
      </c>
      <c r="G6673" s="27" t="s">
        <v>16187</v>
      </c>
      <c r="H6673" s="28" t="s">
        <v>16188</v>
      </c>
      <c r="I6673" s="5" t="s">
        <v>2336</v>
      </c>
    </row>
    <row r="6674" spans="1:9" ht="51.75" customHeight="1">
      <c r="A6674" s="5" t="s">
        <v>27674</v>
      </c>
      <c r="B6674" s="5" t="s">
        <v>41854</v>
      </c>
      <c r="C6674" s="5" t="s">
        <v>41855</v>
      </c>
      <c r="D6674" s="246">
        <v>44001</v>
      </c>
      <c r="E6674" s="5" t="s">
        <v>41856</v>
      </c>
      <c r="F6674" s="26" t="s">
        <v>23600</v>
      </c>
      <c r="G6674" s="27" t="s">
        <v>16187</v>
      </c>
      <c r="H6674" s="28" t="s">
        <v>16188</v>
      </c>
      <c r="I6674" s="5" t="s">
        <v>2336</v>
      </c>
    </row>
    <row r="6675" spans="1:9" ht="51.75" customHeight="1">
      <c r="A6675" s="5" t="s">
        <v>37818</v>
      </c>
      <c r="B6675" s="5" t="s">
        <v>41857</v>
      </c>
      <c r="C6675" s="5" t="s">
        <v>41858</v>
      </c>
      <c r="D6675" s="246">
        <v>44001</v>
      </c>
      <c r="E6675" s="5" t="s">
        <v>41859</v>
      </c>
      <c r="F6675" s="26" t="s">
        <v>23600</v>
      </c>
      <c r="G6675" s="27" t="s">
        <v>16187</v>
      </c>
      <c r="H6675" s="28" t="s">
        <v>16188</v>
      </c>
      <c r="I6675" s="5" t="s">
        <v>2336</v>
      </c>
    </row>
    <row r="6676" spans="1:9" ht="51.75" customHeight="1">
      <c r="A6676" s="5" t="s">
        <v>27319</v>
      </c>
      <c r="B6676" s="5" t="s">
        <v>41860</v>
      </c>
      <c r="C6676" s="5" t="s">
        <v>41861</v>
      </c>
      <c r="D6676" s="246">
        <v>44028</v>
      </c>
      <c r="E6676" s="5" t="s">
        <v>41862</v>
      </c>
      <c r="F6676" s="26" t="s">
        <v>23600</v>
      </c>
      <c r="G6676" s="27" t="s">
        <v>16719</v>
      </c>
      <c r="H6676" s="28" t="s">
        <v>16720</v>
      </c>
      <c r="I6676" s="5" t="s">
        <v>2336</v>
      </c>
    </row>
    <row r="6677" spans="1:9" ht="51.75" customHeight="1">
      <c r="A6677" s="5" t="s">
        <v>41863</v>
      </c>
      <c r="B6677" s="5" t="s">
        <v>41864</v>
      </c>
      <c r="C6677" s="5" t="s">
        <v>41865</v>
      </c>
      <c r="D6677" s="246">
        <v>44028</v>
      </c>
      <c r="E6677" s="5" t="s">
        <v>41866</v>
      </c>
      <c r="F6677" s="26" t="s">
        <v>23600</v>
      </c>
      <c r="G6677" s="27" t="s">
        <v>16719</v>
      </c>
      <c r="H6677" s="28" t="s">
        <v>16720</v>
      </c>
      <c r="I6677" s="5" t="s">
        <v>2336</v>
      </c>
    </row>
    <row r="6678" spans="1:9" ht="51.75" customHeight="1">
      <c r="A6678" s="5" t="s">
        <v>41447</v>
      </c>
      <c r="B6678" s="5" t="s">
        <v>41867</v>
      </c>
      <c r="C6678" s="5" t="s">
        <v>41868</v>
      </c>
      <c r="D6678" s="246">
        <v>44028</v>
      </c>
      <c r="E6678" s="5" t="s">
        <v>41869</v>
      </c>
      <c r="F6678" s="26" t="s">
        <v>23600</v>
      </c>
      <c r="G6678" s="27" t="s">
        <v>16719</v>
      </c>
      <c r="H6678" s="28" t="s">
        <v>16720</v>
      </c>
      <c r="I6678" s="5" t="s">
        <v>2336</v>
      </c>
    </row>
    <row r="6679" spans="1:9" ht="51.75" customHeight="1">
      <c r="A6679" s="5" t="s">
        <v>41870</v>
      </c>
      <c r="B6679" s="5" t="s">
        <v>41871</v>
      </c>
      <c r="C6679" s="5" t="s">
        <v>41872</v>
      </c>
      <c r="D6679" s="246">
        <v>44028</v>
      </c>
      <c r="E6679" s="5" t="s">
        <v>41873</v>
      </c>
      <c r="F6679" s="26" t="s">
        <v>23600</v>
      </c>
      <c r="G6679" s="27" t="s">
        <v>16719</v>
      </c>
      <c r="H6679" s="28" t="s">
        <v>16720</v>
      </c>
      <c r="I6679" s="5" t="s">
        <v>2336</v>
      </c>
    </row>
    <row r="6680" spans="1:9" ht="51.75" customHeight="1">
      <c r="A6680" s="5" t="s">
        <v>23927</v>
      </c>
      <c r="B6680" s="5" t="s">
        <v>41874</v>
      </c>
      <c r="C6680" s="5" t="s">
        <v>41875</v>
      </c>
      <c r="D6680" s="246">
        <v>44028</v>
      </c>
      <c r="E6680" s="5" t="s">
        <v>41876</v>
      </c>
      <c r="F6680" s="26" t="s">
        <v>23600</v>
      </c>
      <c r="G6680" s="27" t="s">
        <v>16719</v>
      </c>
      <c r="H6680" s="28" t="s">
        <v>16720</v>
      </c>
      <c r="I6680" s="5" t="s">
        <v>2336</v>
      </c>
    </row>
    <row r="6681" spans="1:9" ht="51.75" customHeight="1">
      <c r="A6681" s="5" t="s">
        <v>35825</v>
      </c>
      <c r="B6681" s="5" t="s">
        <v>41877</v>
      </c>
      <c r="C6681" s="5" t="s">
        <v>41878</v>
      </c>
      <c r="D6681" s="246">
        <v>44028</v>
      </c>
      <c r="E6681" s="5" t="s">
        <v>41879</v>
      </c>
      <c r="F6681" s="26" t="s">
        <v>23600</v>
      </c>
      <c r="G6681" s="27" t="s">
        <v>16719</v>
      </c>
      <c r="H6681" s="28" t="s">
        <v>16720</v>
      </c>
      <c r="I6681" s="5" t="s">
        <v>2336</v>
      </c>
    </row>
    <row r="6682" spans="1:9" ht="51.75" customHeight="1">
      <c r="A6682" s="5" t="s">
        <v>40180</v>
      </c>
      <c r="B6682" s="5" t="s">
        <v>41880</v>
      </c>
      <c r="C6682" s="5" t="s">
        <v>41881</v>
      </c>
      <c r="D6682" s="246">
        <v>44028</v>
      </c>
      <c r="E6682" s="5" t="s">
        <v>41882</v>
      </c>
      <c r="F6682" s="26" t="s">
        <v>23600</v>
      </c>
      <c r="G6682" s="27" t="s">
        <v>16719</v>
      </c>
      <c r="H6682" s="28" t="s">
        <v>16720</v>
      </c>
      <c r="I6682" s="5" t="s">
        <v>2336</v>
      </c>
    </row>
    <row r="6683" spans="1:9" ht="51.75" customHeight="1">
      <c r="A6683" s="5" t="s">
        <v>40186</v>
      </c>
      <c r="B6683" s="5" t="s">
        <v>41883</v>
      </c>
      <c r="C6683" s="5" t="s">
        <v>41884</v>
      </c>
      <c r="D6683" s="246">
        <v>44028</v>
      </c>
      <c r="E6683" s="5" t="s">
        <v>41885</v>
      </c>
      <c r="F6683" s="26" t="s">
        <v>23600</v>
      </c>
      <c r="G6683" s="27" t="s">
        <v>16719</v>
      </c>
      <c r="H6683" s="28" t="s">
        <v>16720</v>
      </c>
      <c r="I6683" s="5" t="s">
        <v>2336</v>
      </c>
    </row>
    <row r="6684" spans="1:9" ht="51.75" customHeight="1">
      <c r="A6684" s="5" t="s">
        <v>35665</v>
      </c>
      <c r="B6684" s="5" t="s">
        <v>41886</v>
      </c>
      <c r="C6684" s="5" t="s">
        <v>41887</v>
      </c>
      <c r="D6684" s="246">
        <v>44001</v>
      </c>
      <c r="E6684" s="5" t="s">
        <v>41888</v>
      </c>
      <c r="F6684" s="26" t="s">
        <v>23600</v>
      </c>
      <c r="G6684" s="27" t="s">
        <v>16744</v>
      </c>
      <c r="H6684" s="28" t="s">
        <v>16745</v>
      </c>
      <c r="I6684" s="5" t="s">
        <v>2336</v>
      </c>
    </row>
    <row r="6685" spans="1:9" ht="51.75" customHeight="1">
      <c r="A6685" s="5" t="s">
        <v>27348</v>
      </c>
      <c r="B6685" s="5" t="s">
        <v>41889</v>
      </c>
      <c r="C6685" s="5" t="s">
        <v>41890</v>
      </c>
      <c r="D6685" s="246">
        <v>44001</v>
      </c>
      <c r="E6685" s="5" t="s">
        <v>41891</v>
      </c>
      <c r="F6685" s="26" t="s">
        <v>23600</v>
      </c>
      <c r="G6685" s="27" t="s">
        <v>16744</v>
      </c>
      <c r="H6685" s="28" t="s">
        <v>16745</v>
      </c>
      <c r="I6685" s="5" t="s">
        <v>2336</v>
      </c>
    </row>
    <row r="6686" spans="1:9" ht="51.75" customHeight="1">
      <c r="A6686" s="5" t="s">
        <v>35750</v>
      </c>
      <c r="B6686" s="5" t="s">
        <v>41892</v>
      </c>
      <c r="C6686" s="5" t="s">
        <v>41893</v>
      </c>
      <c r="D6686" s="246">
        <v>44001</v>
      </c>
      <c r="E6686" s="5" t="s">
        <v>41894</v>
      </c>
      <c r="F6686" s="26" t="s">
        <v>23600</v>
      </c>
      <c r="G6686" s="27" t="s">
        <v>16744</v>
      </c>
      <c r="H6686" s="28" t="s">
        <v>16745</v>
      </c>
      <c r="I6686" s="5" t="s">
        <v>2336</v>
      </c>
    </row>
    <row r="6687" spans="1:9" ht="51.75" customHeight="1">
      <c r="A6687" s="5" t="s">
        <v>35754</v>
      </c>
      <c r="B6687" s="5" t="s">
        <v>41895</v>
      </c>
      <c r="C6687" s="5" t="s">
        <v>41896</v>
      </c>
      <c r="D6687" s="246">
        <v>44001</v>
      </c>
      <c r="E6687" s="5" t="s">
        <v>41897</v>
      </c>
      <c r="F6687" s="26" t="s">
        <v>23600</v>
      </c>
      <c r="G6687" s="27" t="s">
        <v>16744</v>
      </c>
      <c r="H6687" s="28" t="s">
        <v>16745</v>
      </c>
      <c r="I6687" s="5" t="s">
        <v>2336</v>
      </c>
    </row>
    <row r="6688" spans="1:9" ht="51.75" customHeight="1">
      <c r="A6688" s="5" t="s">
        <v>35758</v>
      </c>
      <c r="B6688" s="5" t="s">
        <v>41898</v>
      </c>
      <c r="C6688" s="5" t="s">
        <v>41899</v>
      </c>
      <c r="D6688" s="246">
        <v>44001</v>
      </c>
      <c r="E6688" s="5" t="s">
        <v>41900</v>
      </c>
      <c r="F6688" s="26" t="s">
        <v>23600</v>
      </c>
      <c r="G6688" s="27" t="s">
        <v>16744</v>
      </c>
      <c r="H6688" s="28" t="s">
        <v>16745</v>
      </c>
      <c r="I6688" s="5" t="s">
        <v>2336</v>
      </c>
    </row>
    <row r="6689" spans="1:9" ht="51.75" customHeight="1">
      <c r="A6689" s="5" t="s">
        <v>41901</v>
      </c>
      <c r="B6689" s="5" t="s">
        <v>41902</v>
      </c>
      <c r="C6689" s="5" t="s">
        <v>41903</v>
      </c>
      <c r="D6689" s="246">
        <v>44062</v>
      </c>
      <c r="E6689" s="5" t="s">
        <v>41904</v>
      </c>
      <c r="F6689" s="26" t="s">
        <v>23600</v>
      </c>
      <c r="G6689" s="27" t="s">
        <v>16762</v>
      </c>
      <c r="H6689" s="28" t="s">
        <v>16763</v>
      </c>
      <c r="I6689" s="5" t="s">
        <v>2336</v>
      </c>
    </row>
    <row r="6690" spans="1:9" ht="51.75" customHeight="1">
      <c r="A6690" s="5" t="s">
        <v>41753</v>
      </c>
      <c r="B6690" s="5" t="s">
        <v>41905</v>
      </c>
      <c r="C6690" s="5" t="s">
        <v>41906</v>
      </c>
      <c r="D6690" s="246">
        <v>44062</v>
      </c>
      <c r="E6690" s="5" t="s">
        <v>41907</v>
      </c>
      <c r="F6690" s="26" t="s">
        <v>23600</v>
      </c>
      <c r="G6690" s="27" t="s">
        <v>16762</v>
      </c>
      <c r="H6690" s="28" t="s">
        <v>16763</v>
      </c>
      <c r="I6690" s="5" t="s">
        <v>2336</v>
      </c>
    </row>
    <row r="6691" spans="1:9" ht="51.75" customHeight="1">
      <c r="A6691" s="5" t="s">
        <v>41757</v>
      </c>
      <c r="B6691" s="5" t="s">
        <v>41908</v>
      </c>
      <c r="C6691" s="5" t="s">
        <v>41909</v>
      </c>
      <c r="D6691" s="246">
        <v>44062</v>
      </c>
      <c r="E6691" s="5" t="s">
        <v>41910</v>
      </c>
      <c r="F6691" s="26" t="s">
        <v>23600</v>
      </c>
      <c r="G6691" s="27" t="s">
        <v>16762</v>
      </c>
      <c r="H6691" s="28" t="s">
        <v>16763</v>
      </c>
      <c r="I6691" s="5" t="s">
        <v>2336</v>
      </c>
    </row>
    <row r="6692" spans="1:9" ht="51.75" customHeight="1">
      <c r="A6692" s="5" t="s">
        <v>41761</v>
      </c>
      <c r="B6692" s="5" t="s">
        <v>41911</v>
      </c>
      <c r="C6692" s="5" t="s">
        <v>41912</v>
      </c>
      <c r="D6692" s="246">
        <v>44062</v>
      </c>
      <c r="E6692" s="5" t="s">
        <v>41913</v>
      </c>
      <c r="F6692" s="26" t="s">
        <v>23600</v>
      </c>
      <c r="G6692" s="27" t="s">
        <v>16762</v>
      </c>
      <c r="H6692" s="28" t="s">
        <v>16763</v>
      </c>
      <c r="I6692" s="5" t="s">
        <v>2336</v>
      </c>
    </row>
    <row r="6693" spans="1:9" ht="51.75" customHeight="1">
      <c r="A6693" s="5" t="s">
        <v>41765</v>
      </c>
      <c r="B6693" s="5" t="s">
        <v>41914</v>
      </c>
      <c r="C6693" s="5" t="s">
        <v>41915</v>
      </c>
      <c r="D6693" s="246">
        <v>44062</v>
      </c>
      <c r="E6693" s="5" t="s">
        <v>41916</v>
      </c>
      <c r="F6693" s="26" t="s">
        <v>23600</v>
      </c>
      <c r="G6693" s="27" t="s">
        <v>16762</v>
      </c>
      <c r="H6693" s="28" t="s">
        <v>16763</v>
      </c>
      <c r="I6693" s="5" t="s">
        <v>2336</v>
      </c>
    </row>
    <row r="6694" spans="1:9" ht="51.75" customHeight="1">
      <c r="A6694" s="5" t="s">
        <v>41917</v>
      </c>
      <c r="B6694" s="5" t="s">
        <v>41918</v>
      </c>
      <c r="C6694" s="5" t="s">
        <v>41919</v>
      </c>
      <c r="D6694" s="246">
        <v>44062</v>
      </c>
      <c r="E6694" s="5" t="s">
        <v>41920</v>
      </c>
      <c r="F6694" s="26" t="s">
        <v>23600</v>
      </c>
      <c r="G6694" s="27" t="s">
        <v>16762</v>
      </c>
      <c r="H6694" s="28" t="s">
        <v>16763</v>
      </c>
      <c r="I6694" s="5" t="s">
        <v>2336</v>
      </c>
    </row>
    <row r="6695" spans="1:9" ht="51.75" customHeight="1">
      <c r="A6695" s="5" t="s">
        <v>41769</v>
      </c>
      <c r="B6695" s="5" t="s">
        <v>41921</v>
      </c>
      <c r="C6695" s="5" t="s">
        <v>41922</v>
      </c>
      <c r="D6695" s="246">
        <v>44062</v>
      </c>
      <c r="E6695" s="5" t="s">
        <v>41923</v>
      </c>
      <c r="F6695" s="26" t="s">
        <v>23600</v>
      </c>
      <c r="G6695" s="27" t="s">
        <v>16762</v>
      </c>
      <c r="H6695" s="28" t="s">
        <v>16763</v>
      </c>
      <c r="I6695" s="5" t="s">
        <v>2336</v>
      </c>
    </row>
    <row r="6696" spans="1:9" ht="51.75" customHeight="1">
      <c r="A6696" s="5" t="s">
        <v>41924</v>
      </c>
      <c r="B6696" s="5" t="s">
        <v>41925</v>
      </c>
      <c r="C6696" s="5" t="s">
        <v>41926</v>
      </c>
      <c r="D6696" s="246">
        <v>44062</v>
      </c>
      <c r="E6696" s="5" t="s">
        <v>41927</v>
      </c>
      <c r="F6696" s="26" t="s">
        <v>23600</v>
      </c>
      <c r="G6696" s="27" t="s">
        <v>17434</v>
      </c>
      <c r="H6696" s="28" t="s">
        <v>17435</v>
      </c>
      <c r="I6696" s="5" t="s">
        <v>2336</v>
      </c>
    </row>
    <row r="6697" spans="1:9" ht="51.75" customHeight="1">
      <c r="A6697" s="5" t="s">
        <v>39154</v>
      </c>
      <c r="B6697" s="5" t="s">
        <v>41928</v>
      </c>
      <c r="C6697" s="5" t="s">
        <v>41929</v>
      </c>
      <c r="D6697" s="246">
        <v>44062</v>
      </c>
      <c r="E6697" s="5" t="s">
        <v>41930</v>
      </c>
      <c r="F6697" s="26" t="s">
        <v>23600</v>
      </c>
      <c r="G6697" s="27" t="s">
        <v>17434</v>
      </c>
      <c r="H6697" s="28" t="s">
        <v>17435</v>
      </c>
      <c r="I6697" s="5" t="s">
        <v>2336</v>
      </c>
    </row>
    <row r="6698" spans="1:9" ht="51.75" customHeight="1">
      <c r="A6698" s="5" t="s">
        <v>39160</v>
      </c>
      <c r="B6698" s="5" t="s">
        <v>41931</v>
      </c>
      <c r="C6698" s="5" t="s">
        <v>41932</v>
      </c>
      <c r="D6698" s="246">
        <v>44062</v>
      </c>
      <c r="E6698" s="5" t="s">
        <v>41933</v>
      </c>
      <c r="F6698" s="26" t="s">
        <v>23600</v>
      </c>
      <c r="G6698" s="27" t="s">
        <v>17434</v>
      </c>
      <c r="H6698" s="28" t="s">
        <v>17435</v>
      </c>
      <c r="I6698" s="5" t="s">
        <v>2336</v>
      </c>
    </row>
    <row r="6699" spans="1:9" ht="51.75" customHeight="1">
      <c r="A6699" s="5" t="s">
        <v>41934</v>
      </c>
      <c r="B6699" s="5" t="s">
        <v>41935</v>
      </c>
      <c r="C6699" s="5" t="s">
        <v>41936</v>
      </c>
      <c r="D6699" s="246">
        <v>44062</v>
      </c>
      <c r="E6699" s="5" t="s">
        <v>41937</v>
      </c>
      <c r="F6699" s="26" t="s">
        <v>23600</v>
      </c>
      <c r="G6699" s="27" t="s">
        <v>17434</v>
      </c>
      <c r="H6699" s="28" t="s">
        <v>17435</v>
      </c>
      <c r="I6699" s="5" t="s">
        <v>2336</v>
      </c>
    </row>
    <row r="6700" spans="1:9" ht="51.75" customHeight="1">
      <c r="A6700" s="5" t="s">
        <v>41938</v>
      </c>
      <c r="B6700" s="5" t="s">
        <v>41939</v>
      </c>
      <c r="C6700" s="5" t="s">
        <v>41777</v>
      </c>
      <c r="D6700" s="246">
        <v>44062</v>
      </c>
      <c r="E6700" s="5" t="s">
        <v>41940</v>
      </c>
      <c r="F6700" s="26" t="s">
        <v>23600</v>
      </c>
      <c r="G6700" s="27" t="s">
        <v>17434</v>
      </c>
      <c r="H6700" s="28" t="s">
        <v>17435</v>
      </c>
      <c r="I6700" s="5" t="s">
        <v>2336</v>
      </c>
    </row>
    <row r="6701" spans="1:9" ht="51.75" customHeight="1">
      <c r="A6701" s="5" t="s">
        <v>39171</v>
      </c>
      <c r="B6701" s="5" t="s">
        <v>41941</v>
      </c>
      <c r="C6701" s="5" t="s">
        <v>41942</v>
      </c>
      <c r="D6701" s="246">
        <v>44062</v>
      </c>
      <c r="E6701" s="5" t="s">
        <v>41943</v>
      </c>
      <c r="F6701" s="26" t="s">
        <v>23600</v>
      </c>
      <c r="G6701" s="27" t="s">
        <v>17434</v>
      </c>
      <c r="H6701" s="28" t="s">
        <v>17435</v>
      </c>
      <c r="I6701" s="5" t="s">
        <v>2336</v>
      </c>
    </row>
    <row r="6702" spans="1:9" ht="51.75" customHeight="1">
      <c r="A6702" s="5" t="s">
        <v>39181</v>
      </c>
      <c r="B6702" s="5" t="s">
        <v>41944</v>
      </c>
      <c r="C6702" s="5" t="s">
        <v>41945</v>
      </c>
      <c r="D6702" s="246">
        <v>44062</v>
      </c>
      <c r="E6702" s="5" t="s">
        <v>41946</v>
      </c>
      <c r="F6702" s="26" t="s">
        <v>23600</v>
      </c>
      <c r="G6702" s="27" t="s">
        <v>17434</v>
      </c>
      <c r="H6702" s="28" t="s">
        <v>17435</v>
      </c>
      <c r="I6702" s="5" t="s">
        <v>2336</v>
      </c>
    </row>
    <row r="6703" spans="1:9" ht="51.75" customHeight="1">
      <c r="A6703" s="5" t="s">
        <v>41947</v>
      </c>
      <c r="B6703" s="5" t="s">
        <v>41948</v>
      </c>
      <c r="C6703" s="5" t="s">
        <v>41949</v>
      </c>
      <c r="D6703" s="246">
        <v>44062</v>
      </c>
      <c r="E6703" s="5" t="s">
        <v>41950</v>
      </c>
      <c r="F6703" s="26" t="s">
        <v>23600</v>
      </c>
      <c r="G6703" s="27" t="s">
        <v>17434</v>
      </c>
      <c r="H6703" s="28" t="s">
        <v>17435</v>
      </c>
      <c r="I6703" s="5" t="s">
        <v>2336</v>
      </c>
    </row>
    <row r="6704" spans="1:9" ht="51.75" customHeight="1">
      <c r="A6704" s="5"/>
      <c r="B6704" s="5" t="s">
        <v>41951</v>
      </c>
      <c r="C6704" s="5" t="s">
        <v>41952</v>
      </c>
      <c r="D6704" s="246">
        <v>44278</v>
      </c>
      <c r="E6704" s="5" t="s">
        <v>41953</v>
      </c>
      <c r="F6704" s="26" t="s">
        <v>23600</v>
      </c>
      <c r="G6704" s="27" t="s">
        <v>18334</v>
      </c>
      <c r="H6704" s="28" t="s">
        <v>18335</v>
      </c>
      <c r="I6704" s="5" t="s">
        <v>2336</v>
      </c>
    </row>
    <row r="6705" spans="1:9" ht="51.75" customHeight="1">
      <c r="A6705" s="5"/>
      <c r="B6705" s="5" t="s">
        <v>41954</v>
      </c>
      <c r="C6705" s="5" t="s">
        <v>41800</v>
      </c>
      <c r="D6705" s="246">
        <v>44278</v>
      </c>
      <c r="E6705" s="5" t="s">
        <v>41955</v>
      </c>
      <c r="F6705" s="26" t="s">
        <v>23600</v>
      </c>
      <c r="G6705" s="27" t="s">
        <v>18334</v>
      </c>
      <c r="H6705" s="28" t="s">
        <v>18335</v>
      </c>
      <c r="I6705" s="5" t="s">
        <v>2336</v>
      </c>
    </row>
    <row r="6706" spans="1:9" ht="51.75" customHeight="1">
      <c r="A6706" s="5"/>
      <c r="B6706" s="5" t="s">
        <v>41956</v>
      </c>
      <c r="C6706" s="5" t="s">
        <v>41957</v>
      </c>
      <c r="D6706" s="246">
        <v>44278</v>
      </c>
      <c r="E6706" s="5" t="s">
        <v>41958</v>
      </c>
      <c r="F6706" s="26" t="s">
        <v>23600</v>
      </c>
      <c r="G6706" s="27" t="s">
        <v>18334</v>
      </c>
      <c r="H6706" s="28" t="s">
        <v>18335</v>
      </c>
      <c r="I6706" s="5" t="s">
        <v>2336</v>
      </c>
    </row>
    <row r="6707" spans="1:9" ht="51.75" customHeight="1">
      <c r="A6707" s="5"/>
      <c r="B6707" s="5" t="s">
        <v>41959</v>
      </c>
      <c r="C6707" s="5" t="s">
        <v>41960</v>
      </c>
      <c r="D6707" s="246">
        <v>44278</v>
      </c>
      <c r="E6707" s="5" t="s">
        <v>41961</v>
      </c>
      <c r="F6707" s="26" t="s">
        <v>23600</v>
      </c>
      <c r="G6707" s="27" t="s">
        <v>18334</v>
      </c>
      <c r="H6707" s="28" t="s">
        <v>18335</v>
      </c>
      <c r="I6707" s="5" t="s">
        <v>2336</v>
      </c>
    </row>
    <row r="6708" spans="1:9" ht="51.75" customHeight="1">
      <c r="A6708" s="5"/>
      <c r="B6708" s="5" t="s">
        <v>41962</v>
      </c>
      <c r="C6708" s="5" t="s">
        <v>41963</v>
      </c>
      <c r="D6708" s="246">
        <v>44278</v>
      </c>
      <c r="E6708" s="5" t="s">
        <v>41964</v>
      </c>
      <c r="F6708" s="26" t="s">
        <v>23600</v>
      </c>
      <c r="G6708" s="27" t="s">
        <v>18334</v>
      </c>
      <c r="H6708" s="28" t="s">
        <v>18335</v>
      </c>
      <c r="I6708" s="5" t="s">
        <v>2336</v>
      </c>
    </row>
    <row r="6709" spans="1:9" ht="51.75" customHeight="1">
      <c r="A6709" s="5"/>
      <c r="B6709" s="5" t="s">
        <v>41965</v>
      </c>
      <c r="C6709" s="5" t="s">
        <v>41966</v>
      </c>
      <c r="D6709" s="246">
        <v>44278</v>
      </c>
      <c r="E6709" s="5" t="s">
        <v>41967</v>
      </c>
      <c r="F6709" s="26" t="s">
        <v>23600</v>
      </c>
      <c r="G6709" s="27" t="s">
        <v>18334</v>
      </c>
      <c r="H6709" s="28" t="s">
        <v>18335</v>
      </c>
      <c r="I6709" s="5" t="s">
        <v>2336</v>
      </c>
    </row>
    <row r="6710" spans="1:9" ht="51.75" customHeight="1">
      <c r="A6710" s="5"/>
      <c r="B6710" s="5" t="s">
        <v>41968</v>
      </c>
      <c r="C6710" s="5" t="s">
        <v>41969</v>
      </c>
      <c r="D6710" s="246">
        <v>44278</v>
      </c>
      <c r="E6710" s="5" t="s">
        <v>41970</v>
      </c>
      <c r="F6710" s="26" t="s">
        <v>23600</v>
      </c>
      <c r="G6710" s="27" t="s">
        <v>18334</v>
      </c>
      <c r="H6710" s="28" t="s">
        <v>18335</v>
      </c>
      <c r="I6710" s="5" t="s">
        <v>2336</v>
      </c>
    </row>
    <row r="6711" spans="1:9" ht="51.75" customHeight="1">
      <c r="A6711" s="5"/>
      <c r="B6711" s="5" t="s">
        <v>41971</v>
      </c>
      <c r="C6711" s="5" t="s">
        <v>41972</v>
      </c>
      <c r="D6711" s="246">
        <v>44278</v>
      </c>
      <c r="E6711" s="5" t="s">
        <v>41973</v>
      </c>
      <c r="F6711" s="26" t="s">
        <v>23600</v>
      </c>
      <c r="G6711" s="27" t="s">
        <v>18334</v>
      </c>
      <c r="H6711" s="28" t="s">
        <v>18335</v>
      </c>
      <c r="I6711" s="5" t="s">
        <v>2336</v>
      </c>
    </row>
    <row r="6712" spans="1:9" ht="51.75" customHeight="1">
      <c r="A6712" s="5"/>
      <c r="B6712" s="5" t="s">
        <v>41974</v>
      </c>
      <c r="C6712" s="5" t="s">
        <v>41975</v>
      </c>
      <c r="D6712" s="246">
        <v>44278</v>
      </c>
      <c r="E6712" s="5" t="s">
        <v>41976</v>
      </c>
      <c r="F6712" s="26" t="s">
        <v>23600</v>
      </c>
      <c r="G6712" s="27" t="s">
        <v>18334</v>
      </c>
      <c r="H6712" s="28" t="s">
        <v>18335</v>
      </c>
      <c r="I6712" s="5" t="s">
        <v>2336</v>
      </c>
    </row>
    <row r="6713" spans="1:9" ht="51.75" customHeight="1">
      <c r="A6713" s="5"/>
      <c r="B6713" s="5" t="s">
        <v>41977</v>
      </c>
      <c r="C6713" s="5" t="s">
        <v>41978</v>
      </c>
      <c r="D6713" s="246">
        <v>44278</v>
      </c>
      <c r="E6713" s="5" t="s">
        <v>41979</v>
      </c>
      <c r="F6713" s="26" t="s">
        <v>23600</v>
      </c>
      <c r="G6713" s="27" t="s">
        <v>18334</v>
      </c>
      <c r="H6713" s="28" t="s">
        <v>18335</v>
      </c>
      <c r="I6713" s="5" t="s">
        <v>2336</v>
      </c>
    </row>
    <row r="6714" spans="1:9" ht="51.75" customHeight="1">
      <c r="A6714" s="5"/>
      <c r="B6714" s="5" t="s">
        <v>41980</v>
      </c>
      <c r="C6714" s="5" t="s">
        <v>41981</v>
      </c>
      <c r="D6714" s="246">
        <v>44278</v>
      </c>
      <c r="E6714" s="5" t="s">
        <v>41982</v>
      </c>
      <c r="F6714" s="26" t="s">
        <v>23600</v>
      </c>
      <c r="G6714" s="27" t="s">
        <v>18334</v>
      </c>
      <c r="H6714" s="28" t="s">
        <v>18335</v>
      </c>
      <c r="I6714" s="5" t="s">
        <v>2336</v>
      </c>
    </row>
    <row r="6715" spans="1:9" ht="51.75" customHeight="1">
      <c r="A6715" s="5"/>
      <c r="B6715" s="5" t="s">
        <v>41983</v>
      </c>
      <c r="C6715" s="5" t="s">
        <v>41984</v>
      </c>
      <c r="D6715" s="246">
        <v>44253</v>
      </c>
      <c r="E6715" s="5" t="s">
        <v>41985</v>
      </c>
      <c r="F6715" s="26" t="s">
        <v>23600</v>
      </c>
      <c r="G6715" s="27" t="s">
        <v>17567</v>
      </c>
      <c r="H6715" s="29" t="s">
        <v>17568</v>
      </c>
      <c r="I6715" s="5" t="s">
        <v>2336</v>
      </c>
    </row>
    <row r="6716" spans="1:9" ht="51.75" customHeight="1">
      <c r="A6716" s="5"/>
      <c r="B6716" s="5" t="s">
        <v>41986</v>
      </c>
      <c r="C6716" s="5" t="s">
        <v>41987</v>
      </c>
      <c r="D6716" s="246">
        <v>44253</v>
      </c>
      <c r="E6716" s="5" t="s">
        <v>41988</v>
      </c>
      <c r="F6716" s="26" t="s">
        <v>23600</v>
      </c>
      <c r="G6716" s="27" t="s">
        <v>17567</v>
      </c>
      <c r="H6716" s="29" t="s">
        <v>17568</v>
      </c>
      <c r="I6716" s="5" t="s">
        <v>2336</v>
      </c>
    </row>
    <row r="6717" spans="1:9" ht="51.75" customHeight="1">
      <c r="A6717" s="5"/>
      <c r="B6717" s="5" t="s">
        <v>41989</v>
      </c>
      <c r="C6717" s="5" t="s">
        <v>41990</v>
      </c>
      <c r="D6717" s="246">
        <v>44253</v>
      </c>
      <c r="E6717" s="5" t="s">
        <v>41991</v>
      </c>
      <c r="F6717" s="26" t="s">
        <v>23600</v>
      </c>
      <c r="G6717" s="27" t="s">
        <v>17567</v>
      </c>
      <c r="H6717" s="29" t="s">
        <v>17568</v>
      </c>
      <c r="I6717" s="5" t="s">
        <v>2336</v>
      </c>
    </row>
    <row r="6718" spans="1:9" ht="51.75" customHeight="1">
      <c r="A6718" s="5"/>
      <c r="B6718" s="5" t="s">
        <v>41992</v>
      </c>
      <c r="C6718" s="5" t="s">
        <v>41993</v>
      </c>
      <c r="D6718" s="246">
        <v>44253</v>
      </c>
      <c r="E6718" s="5" t="s">
        <v>41994</v>
      </c>
      <c r="F6718" s="26" t="s">
        <v>23600</v>
      </c>
      <c r="G6718" s="27" t="s">
        <v>17567</v>
      </c>
      <c r="H6718" s="29" t="s">
        <v>17568</v>
      </c>
      <c r="I6718" s="5" t="s">
        <v>2336</v>
      </c>
    </row>
    <row r="6719" spans="1:9" ht="51.75" customHeight="1">
      <c r="A6719" s="5"/>
      <c r="B6719" s="5" t="s">
        <v>41995</v>
      </c>
      <c r="C6719" s="5" t="s">
        <v>41996</v>
      </c>
      <c r="D6719" s="246">
        <v>44253</v>
      </c>
      <c r="E6719" s="5" t="s">
        <v>41997</v>
      </c>
      <c r="F6719" s="26" t="s">
        <v>23600</v>
      </c>
      <c r="G6719" s="27" t="s">
        <v>17567</v>
      </c>
      <c r="H6719" s="29" t="s">
        <v>17568</v>
      </c>
      <c r="I6719" s="5" t="s">
        <v>2336</v>
      </c>
    </row>
    <row r="6720" spans="1:9" ht="51.75" customHeight="1">
      <c r="A6720" s="5"/>
      <c r="B6720" s="5" t="s">
        <v>41998</v>
      </c>
      <c r="C6720" s="5" t="s">
        <v>41999</v>
      </c>
      <c r="D6720" s="246">
        <v>44253</v>
      </c>
      <c r="E6720" s="5" t="s">
        <v>42000</v>
      </c>
      <c r="F6720" s="26" t="s">
        <v>23600</v>
      </c>
      <c r="G6720" s="27" t="s">
        <v>17567</v>
      </c>
      <c r="H6720" s="29" t="s">
        <v>17568</v>
      </c>
      <c r="I6720" s="5" t="s">
        <v>2336</v>
      </c>
    </row>
    <row r="6721" spans="1:9" ht="51.75" customHeight="1">
      <c r="A6721" s="5"/>
      <c r="B6721" s="5" t="s">
        <v>42001</v>
      </c>
      <c r="C6721" s="5" t="s">
        <v>42002</v>
      </c>
      <c r="D6721" s="246">
        <v>44253</v>
      </c>
      <c r="E6721" s="5" t="s">
        <v>42003</v>
      </c>
      <c r="F6721" s="26" t="s">
        <v>23600</v>
      </c>
      <c r="G6721" s="27" t="s">
        <v>17567</v>
      </c>
      <c r="H6721" s="29" t="s">
        <v>17568</v>
      </c>
      <c r="I6721" s="5" t="s">
        <v>2336</v>
      </c>
    </row>
    <row r="6722" spans="1:9" ht="51.75" customHeight="1">
      <c r="A6722" s="5"/>
      <c r="B6722" s="5" t="s">
        <v>42004</v>
      </c>
      <c r="C6722" s="5" t="s">
        <v>42005</v>
      </c>
      <c r="D6722" s="246">
        <v>44103</v>
      </c>
      <c r="E6722" s="5" t="s">
        <v>42006</v>
      </c>
      <c r="F6722" s="26" t="s">
        <v>23600</v>
      </c>
      <c r="G6722" s="27" t="s">
        <v>17101</v>
      </c>
      <c r="H6722" s="29" t="s">
        <v>17102</v>
      </c>
      <c r="I6722" s="30" t="s">
        <v>2336</v>
      </c>
    </row>
    <row r="6723" spans="1:9" ht="51.75" customHeight="1">
      <c r="A6723" s="5"/>
      <c r="B6723" s="5" t="s">
        <v>42007</v>
      </c>
      <c r="C6723" s="5" t="s">
        <v>42008</v>
      </c>
      <c r="D6723" s="246">
        <v>44103</v>
      </c>
      <c r="E6723" s="5" t="s">
        <v>42009</v>
      </c>
      <c r="F6723" s="26" t="s">
        <v>23600</v>
      </c>
      <c r="G6723" s="27" t="s">
        <v>17101</v>
      </c>
      <c r="H6723" s="29" t="s">
        <v>17102</v>
      </c>
      <c r="I6723" s="30" t="s">
        <v>2336</v>
      </c>
    </row>
    <row r="6724" spans="1:9" ht="51.75" customHeight="1">
      <c r="A6724" s="5"/>
      <c r="B6724" s="5" t="s">
        <v>42010</v>
      </c>
      <c r="C6724" s="5" t="s">
        <v>42011</v>
      </c>
      <c r="D6724" s="246">
        <v>44103</v>
      </c>
      <c r="E6724" s="5" t="s">
        <v>42012</v>
      </c>
      <c r="F6724" s="26" t="s">
        <v>23600</v>
      </c>
      <c r="G6724" s="27" t="s">
        <v>17101</v>
      </c>
      <c r="H6724" s="29" t="s">
        <v>17102</v>
      </c>
      <c r="I6724" s="30" t="s">
        <v>2336</v>
      </c>
    </row>
    <row r="6725" spans="1:9" ht="51.75" customHeight="1">
      <c r="A6725" s="5"/>
      <c r="B6725" s="5" t="s">
        <v>42013</v>
      </c>
      <c r="C6725" s="5" t="s">
        <v>42014</v>
      </c>
      <c r="D6725" s="246">
        <v>44103</v>
      </c>
      <c r="E6725" s="5" t="s">
        <v>42015</v>
      </c>
      <c r="F6725" s="26" t="s">
        <v>23600</v>
      </c>
      <c r="G6725" s="27" t="s">
        <v>17101</v>
      </c>
      <c r="H6725" s="29" t="s">
        <v>17102</v>
      </c>
      <c r="I6725" s="30" t="s">
        <v>2336</v>
      </c>
    </row>
    <row r="6726" spans="1:9" ht="51.75" customHeight="1">
      <c r="A6726" s="5"/>
      <c r="B6726" s="5" t="s">
        <v>42016</v>
      </c>
      <c r="C6726" s="5" t="s">
        <v>42017</v>
      </c>
      <c r="D6726" s="246">
        <v>44103</v>
      </c>
      <c r="E6726" s="5" t="s">
        <v>42018</v>
      </c>
      <c r="F6726" s="26" t="s">
        <v>23600</v>
      </c>
      <c r="G6726" s="27" t="s">
        <v>17101</v>
      </c>
      <c r="H6726" s="29" t="s">
        <v>17102</v>
      </c>
      <c r="I6726" s="30" t="s">
        <v>2336</v>
      </c>
    </row>
    <row r="6727" spans="1:9" ht="51.75" customHeight="1">
      <c r="A6727" s="5"/>
      <c r="B6727" s="5" t="s">
        <v>42019</v>
      </c>
      <c r="C6727" s="5" t="s">
        <v>42020</v>
      </c>
      <c r="D6727" s="246">
        <v>44103</v>
      </c>
      <c r="E6727" s="5" t="s">
        <v>42021</v>
      </c>
      <c r="F6727" s="26" t="s">
        <v>23600</v>
      </c>
      <c r="G6727" s="27" t="s">
        <v>17101</v>
      </c>
      <c r="H6727" s="29" t="s">
        <v>17102</v>
      </c>
      <c r="I6727" s="30" t="s">
        <v>2336</v>
      </c>
    </row>
    <row r="6728" spans="1:9" ht="51.75" customHeight="1">
      <c r="A6728" s="5"/>
      <c r="B6728" s="5" t="s">
        <v>42022</v>
      </c>
      <c r="C6728" s="5" t="s">
        <v>42023</v>
      </c>
      <c r="D6728" s="246">
        <v>44103</v>
      </c>
      <c r="E6728" s="5" t="s">
        <v>42024</v>
      </c>
      <c r="F6728" s="26" t="s">
        <v>23600</v>
      </c>
      <c r="G6728" s="27" t="s">
        <v>17101</v>
      </c>
      <c r="H6728" s="29" t="s">
        <v>17102</v>
      </c>
      <c r="I6728" s="30" t="s">
        <v>2336</v>
      </c>
    </row>
    <row r="6729" spans="1:9" ht="51.75" customHeight="1">
      <c r="A6729" s="5"/>
      <c r="B6729" s="5" t="s">
        <v>42025</v>
      </c>
      <c r="C6729" s="5" t="s">
        <v>42026</v>
      </c>
      <c r="D6729" s="246">
        <v>44174</v>
      </c>
      <c r="E6729" s="5" t="s">
        <v>42027</v>
      </c>
      <c r="F6729" s="26" t="s">
        <v>23600</v>
      </c>
      <c r="G6729" s="27" t="s">
        <v>17253</v>
      </c>
      <c r="H6729" s="29" t="s">
        <v>17254</v>
      </c>
      <c r="I6729" s="30" t="s">
        <v>2336</v>
      </c>
    </row>
    <row r="6730" spans="1:9" ht="51.75" customHeight="1">
      <c r="A6730" s="5"/>
      <c r="B6730" s="5" t="s">
        <v>42028</v>
      </c>
      <c r="C6730" s="5" t="s">
        <v>42029</v>
      </c>
      <c r="D6730" s="246">
        <v>44174</v>
      </c>
      <c r="E6730" s="5" t="s">
        <v>42030</v>
      </c>
      <c r="F6730" s="26" t="s">
        <v>23600</v>
      </c>
      <c r="G6730" s="27" t="s">
        <v>17253</v>
      </c>
      <c r="H6730" s="29" t="s">
        <v>17254</v>
      </c>
      <c r="I6730" s="30" t="s">
        <v>2336</v>
      </c>
    </row>
    <row r="6731" spans="1:9" ht="51.75" customHeight="1">
      <c r="A6731" s="5"/>
      <c r="B6731" s="5" t="s">
        <v>42031</v>
      </c>
      <c r="C6731" s="5" t="s">
        <v>42032</v>
      </c>
      <c r="D6731" s="246">
        <v>44174</v>
      </c>
      <c r="E6731" s="5" t="s">
        <v>42033</v>
      </c>
      <c r="F6731" s="26" t="s">
        <v>23600</v>
      </c>
      <c r="G6731" s="27" t="s">
        <v>17253</v>
      </c>
      <c r="H6731" s="29" t="s">
        <v>17254</v>
      </c>
      <c r="I6731" s="30" t="s">
        <v>2336</v>
      </c>
    </row>
    <row r="6732" spans="1:9" ht="51.75" customHeight="1">
      <c r="A6732" s="5"/>
      <c r="B6732" s="5" t="s">
        <v>42034</v>
      </c>
      <c r="C6732" s="5" t="s">
        <v>42035</v>
      </c>
      <c r="D6732" s="246">
        <v>44174</v>
      </c>
      <c r="E6732" s="5" t="s">
        <v>42036</v>
      </c>
      <c r="F6732" s="26" t="s">
        <v>23600</v>
      </c>
      <c r="G6732" s="27" t="s">
        <v>17253</v>
      </c>
      <c r="H6732" s="29" t="s">
        <v>17254</v>
      </c>
      <c r="I6732" s="30" t="s">
        <v>2336</v>
      </c>
    </row>
    <row r="6733" spans="1:9" ht="51.75" customHeight="1">
      <c r="A6733" s="5"/>
      <c r="B6733" s="5" t="s">
        <v>42037</v>
      </c>
      <c r="C6733" s="5" t="s">
        <v>42038</v>
      </c>
      <c r="D6733" s="246">
        <v>44174</v>
      </c>
      <c r="E6733" s="5" t="s">
        <v>42039</v>
      </c>
      <c r="F6733" s="26" t="s">
        <v>23600</v>
      </c>
      <c r="G6733" s="27" t="s">
        <v>17253</v>
      </c>
      <c r="H6733" s="29" t="s">
        <v>17254</v>
      </c>
      <c r="I6733" s="30" t="s">
        <v>2336</v>
      </c>
    </row>
    <row r="6734" spans="1:9" ht="51.75" customHeight="1">
      <c r="A6734" s="5"/>
      <c r="B6734" s="5" t="s">
        <v>42040</v>
      </c>
      <c r="C6734" s="5" t="s">
        <v>42041</v>
      </c>
      <c r="D6734" s="246">
        <v>44174</v>
      </c>
      <c r="E6734" s="5" t="s">
        <v>42042</v>
      </c>
      <c r="F6734" s="26" t="s">
        <v>23600</v>
      </c>
      <c r="G6734" s="27" t="s">
        <v>17253</v>
      </c>
      <c r="H6734" s="29" t="s">
        <v>17254</v>
      </c>
      <c r="I6734" s="30" t="s">
        <v>2336</v>
      </c>
    </row>
    <row r="6735" spans="1:9" ht="51.75" customHeight="1">
      <c r="A6735" s="5"/>
      <c r="B6735" s="5" t="s">
        <v>42043</v>
      </c>
      <c r="C6735" s="5" t="s">
        <v>42044</v>
      </c>
      <c r="D6735" s="246">
        <v>44174</v>
      </c>
      <c r="E6735" s="5" t="s">
        <v>42045</v>
      </c>
      <c r="F6735" s="26" t="s">
        <v>23600</v>
      </c>
      <c r="G6735" s="27" t="s">
        <v>17253</v>
      </c>
      <c r="H6735" s="29" t="s">
        <v>17254</v>
      </c>
      <c r="I6735" s="30" t="s">
        <v>2336</v>
      </c>
    </row>
    <row r="6736" spans="1:9" ht="51.75" customHeight="1">
      <c r="A6736" s="5"/>
      <c r="B6736" s="5" t="s">
        <v>42046</v>
      </c>
      <c r="C6736" s="5" t="s">
        <v>42047</v>
      </c>
      <c r="D6736" s="246">
        <v>44174</v>
      </c>
      <c r="E6736" s="5" t="s">
        <v>42048</v>
      </c>
      <c r="F6736" s="26" t="s">
        <v>23600</v>
      </c>
      <c r="G6736" s="27" t="s">
        <v>17253</v>
      </c>
      <c r="H6736" s="29" t="s">
        <v>17254</v>
      </c>
      <c r="I6736" s="30" t="s">
        <v>2336</v>
      </c>
    </row>
    <row r="6737" spans="1:9" ht="51.75" customHeight="1">
      <c r="A6737" s="5"/>
      <c r="B6737" s="5" t="s">
        <v>42049</v>
      </c>
      <c r="C6737" s="5" t="s">
        <v>42050</v>
      </c>
      <c r="D6737" s="246">
        <v>44174</v>
      </c>
      <c r="E6737" s="5" t="s">
        <v>42051</v>
      </c>
      <c r="F6737" s="26" t="s">
        <v>23600</v>
      </c>
      <c r="G6737" s="27" t="s">
        <v>17253</v>
      </c>
      <c r="H6737" s="29" t="s">
        <v>17254</v>
      </c>
      <c r="I6737" s="30" t="s">
        <v>2336</v>
      </c>
    </row>
    <row r="6738" spans="1:9" ht="51.75" customHeight="1">
      <c r="A6738" s="5"/>
      <c r="B6738" s="5" t="s">
        <v>42052</v>
      </c>
      <c r="C6738" s="5" t="s">
        <v>42053</v>
      </c>
      <c r="D6738" s="246">
        <v>44174</v>
      </c>
      <c r="E6738" s="5" t="s">
        <v>42054</v>
      </c>
      <c r="F6738" s="26" t="s">
        <v>23600</v>
      </c>
      <c r="G6738" s="27" t="s">
        <v>17253</v>
      </c>
      <c r="H6738" s="29" t="s">
        <v>17254</v>
      </c>
      <c r="I6738" s="30" t="s">
        <v>2336</v>
      </c>
    </row>
    <row r="6739" spans="1:9" ht="51.75" customHeight="1">
      <c r="A6739" s="5"/>
      <c r="B6739" s="5" t="s">
        <v>42055</v>
      </c>
      <c r="C6739" s="5" t="s">
        <v>42056</v>
      </c>
      <c r="D6739" s="246">
        <v>44175</v>
      </c>
      <c r="E6739" s="5" t="s">
        <v>42057</v>
      </c>
      <c r="F6739" s="26" t="s">
        <v>23600</v>
      </c>
      <c r="G6739" s="27" t="s">
        <v>17734</v>
      </c>
      <c r="H6739" s="29" t="s">
        <v>17735</v>
      </c>
      <c r="I6739" s="30" t="s">
        <v>2336</v>
      </c>
    </row>
    <row r="6740" spans="1:9" ht="51.75" customHeight="1">
      <c r="A6740" s="5"/>
      <c r="B6740" s="5" t="s">
        <v>42058</v>
      </c>
      <c r="C6740" s="5" t="s">
        <v>42059</v>
      </c>
      <c r="D6740" s="246">
        <v>44175</v>
      </c>
      <c r="E6740" s="5" t="s">
        <v>42060</v>
      </c>
      <c r="F6740" s="26" t="s">
        <v>23600</v>
      </c>
      <c r="G6740" s="27" t="s">
        <v>17734</v>
      </c>
      <c r="H6740" s="29" t="s">
        <v>17735</v>
      </c>
      <c r="I6740" s="30" t="s">
        <v>2336</v>
      </c>
    </row>
    <row r="6741" spans="1:9" ht="51.75" customHeight="1">
      <c r="A6741" s="5"/>
      <c r="B6741" s="5" t="s">
        <v>42061</v>
      </c>
      <c r="C6741" s="5" t="s">
        <v>42062</v>
      </c>
      <c r="D6741" s="246">
        <v>44175</v>
      </c>
      <c r="E6741" s="5" t="s">
        <v>42063</v>
      </c>
      <c r="F6741" s="26" t="s">
        <v>23600</v>
      </c>
      <c r="G6741" s="27" t="s">
        <v>17734</v>
      </c>
      <c r="H6741" s="29" t="s">
        <v>17735</v>
      </c>
      <c r="I6741" s="30" t="s">
        <v>2336</v>
      </c>
    </row>
    <row r="6742" spans="1:9" ht="51.75" customHeight="1">
      <c r="A6742" s="5"/>
      <c r="B6742" s="5" t="s">
        <v>42064</v>
      </c>
      <c r="C6742" s="5" t="s">
        <v>42065</v>
      </c>
      <c r="D6742" s="246">
        <v>44175</v>
      </c>
      <c r="E6742" s="5" t="s">
        <v>42066</v>
      </c>
      <c r="F6742" s="26" t="s">
        <v>23600</v>
      </c>
      <c r="G6742" s="27" t="s">
        <v>17734</v>
      </c>
      <c r="H6742" s="29" t="s">
        <v>17735</v>
      </c>
      <c r="I6742" s="30" t="s">
        <v>2336</v>
      </c>
    </row>
    <row r="6743" spans="1:9" ht="51.75" customHeight="1">
      <c r="A6743" s="5"/>
      <c r="B6743" s="5" t="s">
        <v>42067</v>
      </c>
      <c r="C6743" s="5" t="s">
        <v>42068</v>
      </c>
      <c r="D6743" s="246">
        <v>44175</v>
      </c>
      <c r="E6743" s="5" t="s">
        <v>42069</v>
      </c>
      <c r="F6743" s="26" t="s">
        <v>23600</v>
      </c>
      <c r="G6743" s="27" t="s">
        <v>17734</v>
      </c>
      <c r="H6743" s="29" t="s">
        <v>17735</v>
      </c>
      <c r="I6743" s="30" t="s">
        <v>2336</v>
      </c>
    </row>
    <row r="6744" spans="1:9" ht="51.75" customHeight="1">
      <c r="A6744" s="5"/>
      <c r="B6744" s="5" t="s">
        <v>42070</v>
      </c>
      <c r="C6744" s="5" t="s">
        <v>42071</v>
      </c>
      <c r="D6744" s="246">
        <v>44175</v>
      </c>
      <c r="E6744" s="5" t="s">
        <v>42072</v>
      </c>
      <c r="F6744" s="26" t="s">
        <v>23600</v>
      </c>
      <c r="G6744" s="27" t="s">
        <v>17734</v>
      </c>
      <c r="H6744" s="29" t="s">
        <v>17735</v>
      </c>
      <c r="I6744" s="30" t="s">
        <v>2336</v>
      </c>
    </row>
    <row r="6745" spans="1:9" ht="51.75" customHeight="1">
      <c r="A6745" s="5"/>
      <c r="B6745" s="5" t="s">
        <v>42073</v>
      </c>
      <c r="C6745" s="5" t="s">
        <v>42074</v>
      </c>
      <c r="D6745" s="246">
        <v>44315</v>
      </c>
      <c r="E6745" s="5" t="s">
        <v>42075</v>
      </c>
      <c r="F6745" s="26" t="s">
        <v>23600</v>
      </c>
      <c r="G6745" s="27" t="s">
        <v>18168</v>
      </c>
      <c r="H6745" s="29" t="s">
        <v>18169</v>
      </c>
      <c r="I6745" s="30" t="s">
        <v>2336</v>
      </c>
    </row>
    <row r="6746" spans="1:9" ht="51.75" customHeight="1">
      <c r="A6746" s="5"/>
      <c r="B6746" s="5" t="s">
        <v>42076</v>
      </c>
      <c r="C6746" s="5" t="s">
        <v>42077</v>
      </c>
      <c r="D6746" s="246">
        <v>44315</v>
      </c>
      <c r="E6746" s="5" t="s">
        <v>42078</v>
      </c>
      <c r="F6746" s="26" t="s">
        <v>23600</v>
      </c>
      <c r="G6746" s="27" t="s">
        <v>18168</v>
      </c>
      <c r="H6746" s="29" t="s">
        <v>18169</v>
      </c>
      <c r="I6746" s="30" t="s">
        <v>2336</v>
      </c>
    </row>
    <row r="6747" spans="1:9" ht="51.75" customHeight="1">
      <c r="A6747" s="5"/>
      <c r="B6747" s="5" t="s">
        <v>42079</v>
      </c>
      <c r="C6747" s="5" t="s">
        <v>42080</v>
      </c>
      <c r="D6747" s="246">
        <v>44315</v>
      </c>
      <c r="E6747" s="5" t="s">
        <v>42081</v>
      </c>
      <c r="F6747" s="26" t="s">
        <v>23600</v>
      </c>
      <c r="G6747" s="27" t="s">
        <v>18168</v>
      </c>
      <c r="H6747" s="29" t="s">
        <v>18169</v>
      </c>
      <c r="I6747" s="30" t="s">
        <v>2336</v>
      </c>
    </row>
    <row r="6748" spans="1:9" ht="51.75" customHeight="1">
      <c r="A6748" s="5"/>
      <c r="B6748" s="5" t="s">
        <v>42082</v>
      </c>
      <c r="C6748" s="5" t="s">
        <v>42083</v>
      </c>
      <c r="D6748" s="246">
        <v>44315</v>
      </c>
      <c r="E6748" s="5" t="s">
        <v>42084</v>
      </c>
      <c r="F6748" s="26" t="s">
        <v>23600</v>
      </c>
      <c r="G6748" s="27" t="s">
        <v>18168</v>
      </c>
      <c r="H6748" s="29" t="s">
        <v>18169</v>
      </c>
      <c r="I6748" s="30" t="s">
        <v>2336</v>
      </c>
    </row>
    <row r="6749" spans="1:9" ht="51.75" customHeight="1">
      <c r="A6749" s="5"/>
      <c r="B6749" s="5" t="s">
        <v>42085</v>
      </c>
      <c r="C6749" s="5" t="s">
        <v>42086</v>
      </c>
      <c r="D6749" s="246">
        <v>44315</v>
      </c>
      <c r="E6749" s="5" t="s">
        <v>42087</v>
      </c>
      <c r="F6749" s="26" t="s">
        <v>23600</v>
      </c>
      <c r="G6749" s="27" t="s">
        <v>18168</v>
      </c>
      <c r="H6749" s="29" t="s">
        <v>18169</v>
      </c>
      <c r="I6749" s="30" t="s">
        <v>2336</v>
      </c>
    </row>
    <row r="6750" spans="1:9" ht="51.75" customHeight="1">
      <c r="A6750" s="5"/>
      <c r="B6750" s="5" t="str">
        <f>CONCATENATE(G6750,"/",COUNTIF($G$2:G6750,G6750))</f>
        <v>PL-6323/1</v>
      </c>
      <c r="C6750" s="5" t="s">
        <v>42088</v>
      </c>
      <c r="D6750" s="246">
        <v>44420</v>
      </c>
      <c r="E6750" s="5" t="s">
        <v>42089</v>
      </c>
      <c r="F6750" s="26" t="s">
        <v>23600</v>
      </c>
      <c r="G6750" s="27" t="s">
        <v>18118</v>
      </c>
      <c r="H6750" s="29" t="s">
        <v>18119</v>
      </c>
      <c r="I6750" s="30" t="s">
        <v>2336</v>
      </c>
    </row>
    <row r="6751" spans="1:9" ht="51.75" customHeight="1">
      <c r="A6751" s="5"/>
      <c r="B6751" s="5" t="str">
        <f>CONCATENATE(G6751,"/",COUNTIF($G$2:G6751,G6751))</f>
        <v>PL-6323/2</v>
      </c>
      <c r="C6751" s="5" t="s">
        <v>42090</v>
      </c>
      <c r="D6751" s="246">
        <v>44421</v>
      </c>
      <c r="E6751" s="5" t="s">
        <v>42091</v>
      </c>
      <c r="F6751" s="26" t="s">
        <v>23600</v>
      </c>
      <c r="G6751" s="27" t="s">
        <v>18118</v>
      </c>
      <c r="H6751" s="29" t="s">
        <v>18119</v>
      </c>
      <c r="I6751" s="30" t="s">
        <v>2336</v>
      </c>
    </row>
    <row r="6752" spans="1:9" ht="51.75" customHeight="1">
      <c r="A6752" s="5"/>
      <c r="B6752" s="5" t="str">
        <f>CONCATENATE(G6752,"/",COUNTIF($G$2:G6752,G6752))</f>
        <v>PL-6323/3</v>
      </c>
      <c r="C6752" s="5" t="s">
        <v>42092</v>
      </c>
      <c r="D6752" s="246">
        <v>44422</v>
      </c>
      <c r="E6752" s="5" t="s">
        <v>42093</v>
      </c>
      <c r="F6752" s="26" t="s">
        <v>23600</v>
      </c>
      <c r="G6752" s="27" t="s">
        <v>18118</v>
      </c>
      <c r="H6752" s="29" t="s">
        <v>18119</v>
      </c>
      <c r="I6752" s="30" t="s">
        <v>2336</v>
      </c>
    </row>
    <row r="6753" spans="1:9" ht="51.75" customHeight="1">
      <c r="A6753" s="5" t="s">
        <v>26902</v>
      </c>
      <c r="B6753" s="5" t="s">
        <v>42094</v>
      </c>
      <c r="C6753" s="5" t="s">
        <v>42095</v>
      </c>
      <c r="D6753" s="246">
        <v>41192</v>
      </c>
      <c r="E6753" s="5" t="s">
        <v>42096</v>
      </c>
      <c r="F6753" s="26" t="s">
        <v>42097</v>
      </c>
      <c r="G6753" s="27" t="s">
        <v>5314</v>
      </c>
      <c r="H6753" s="28" t="s">
        <v>5315</v>
      </c>
      <c r="I6753" s="5" t="s">
        <v>138</v>
      </c>
    </row>
    <row r="6754" spans="1:9" ht="51.75" customHeight="1">
      <c r="A6754" s="5" t="s">
        <v>26902</v>
      </c>
      <c r="B6754" s="5" t="s">
        <v>42098</v>
      </c>
      <c r="C6754" s="5" t="s">
        <v>42095</v>
      </c>
      <c r="D6754" s="246">
        <v>41192</v>
      </c>
      <c r="E6754" s="5" t="s">
        <v>42099</v>
      </c>
      <c r="F6754" s="26" t="s">
        <v>23600</v>
      </c>
      <c r="G6754" s="27" t="s">
        <v>5314</v>
      </c>
      <c r="H6754" s="28" t="s">
        <v>5315</v>
      </c>
      <c r="I6754" s="5" t="s">
        <v>138</v>
      </c>
    </row>
    <row r="6755" spans="1:9" ht="51.75" customHeight="1">
      <c r="A6755" s="5" t="s">
        <v>28025</v>
      </c>
      <c r="B6755" s="5" t="s">
        <v>42100</v>
      </c>
      <c r="C6755" s="5" t="s">
        <v>42101</v>
      </c>
      <c r="D6755" s="246">
        <v>41122</v>
      </c>
      <c r="E6755" s="5" t="s">
        <v>42102</v>
      </c>
      <c r="F6755" s="26" t="s">
        <v>23600</v>
      </c>
      <c r="G6755" s="27" t="s">
        <v>4929</v>
      </c>
      <c r="H6755" s="28" t="s">
        <v>4930</v>
      </c>
      <c r="I6755" s="5" t="s">
        <v>138</v>
      </c>
    </row>
    <row r="6756" spans="1:9" ht="51.75" customHeight="1">
      <c r="A6756" s="5" t="s">
        <v>28025</v>
      </c>
      <c r="B6756" s="5" t="s">
        <v>42103</v>
      </c>
      <c r="C6756" s="5" t="s">
        <v>42101</v>
      </c>
      <c r="D6756" s="246">
        <v>41122</v>
      </c>
      <c r="E6756" s="5" t="s">
        <v>42104</v>
      </c>
      <c r="F6756" s="26" t="s">
        <v>42097</v>
      </c>
      <c r="G6756" s="27" t="s">
        <v>4929</v>
      </c>
      <c r="H6756" s="28" t="s">
        <v>4930</v>
      </c>
      <c r="I6756" s="5" t="s">
        <v>138</v>
      </c>
    </row>
    <row r="6757" spans="1:9" ht="51.75" customHeight="1">
      <c r="A6757" s="5">
        <v>1</v>
      </c>
      <c r="B6757" s="5" t="s">
        <v>42105</v>
      </c>
      <c r="C6757" s="5" t="s">
        <v>42106</v>
      </c>
      <c r="D6757" s="246">
        <v>40634</v>
      </c>
      <c r="E6757" s="5" t="s">
        <v>42107</v>
      </c>
      <c r="F6757" s="26" t="s">
        <v>23600</v>
      </c>
      <c r="G6757" s="27" t="s">
        <v>4693</v>
      </c>
      <c r="H6757" s="28" t="s">
        <v>4694</v>
      </c>
      <c r="I6757" s="5" t="s">
        <v>138</v>
      </c>
    </row>
    <row r="6758" spans="1:9" ht="51.75" customHeight="1">
      <c r="A6758" s="5">
        <v>1</v>
      </c>
      <c r="B6758" s="5" t="s">
        <v>42108</v>
      </c>
      <c r="C6758" s="5" t="s">
        <v>42106</v>
      </c>
      <c r="D6758" s="246">
        <v>40634</v>
      </c>
      <c r="E6758" s="5" t="s">
        <v>42109</v>
      </c>
      <c r="F6758" s="26" t="s">
        <v>42097</v>
      </c>
      <c r="G6758" s="27" t="s">
        <v>4693</v>
      </c>
      <c r="H6758" s="28" t="s">
        <v>4694</v>
      </c>
      <c r="I6758" s="5" t="s">
        <v>138</v>
      </c>
    </row>
    <row r="6759" spans="1:9" ht="51.75" customHeight="1">
      <c r="A6759" s="5">
        <v>2</v>
      </c>
      <c r="B6759" s="5" t="s">
        <v>42110</v>
      </c>
      <c r="C6759" s="5" t="s">
        <v>42111</v>
      </c>
      <c r="D6759" s="246">
        <v>40634</v>
      </c>
      <c r="E6759" s="5" t="s">
        <v>42112</v>
      </c>
      <c r="F6759" s="26" t="s">
        <v>23600</v>
      </c>
      <c r="G6759" s="27" t="s">
        <v>4693</v>
      </c>
      <c r="H6759" s="28" t="s">
        <v>4694</v>
      </c>
      <c r="I6759" s="5" t="s">
        <v>138</v>
      </c>
    </row>
    <row r="6760" spans="1:9" ht="51.75" customHeight="1">
      <c r="A6760" s="5">
        <v>2</v>
      </c>
      <c r="B6760" s="5" t="s">
        <v>42113</v>
      </c>
      <c r="C6760" s="5" t="s">
        <v>42111</v>
      </c>
      <c r="D6760" s="246">
        <v>40634</v>
      </c>
      <c r="E6760" s="5" t="s">
        <v>42114</v>
      </c>
      <c r="F6760" s="26" t="s">
        <v>42097</v>
      </c>
      <c r="G6760" s="27" t="s">
        <v>4693</v>
      </c>
      <c r="H6760" s="28" t="s">
        <v>4694</v>
      </c>
      <c r="I6760" s="5" t="s">
        <v>138</v>
      </c>
    </row>
    <row r="6761" spans="1:9" ht="51.75" customHeight="1">
      <c r="A6761" s="5">
        <v>3</v>
      </c>
      <c r="B6761" s="5" t="s">
        <v>42115</v>
      </c>
      <c r="C6761" s="5" t="s">
        <v>42116</v>
      </c>
      <c r="D6761" s="246">
        <v>40634</v>
      </c>
      <c r="E6761" s="5" t="s">
        <v>42117</v>
      </c>
      <c r="F6761" s="26" t="s">
        <v>23600</v>
      </c>
      <c r="G6761" s="27" t="s">
        <v>4693</v>
      </c>
      <c r="H6761" s="28" t="s">
        <v>4694</v>
      </c>
      <c r="I6761" s="5" t="s">
        <v>138</v>
      </c>
    </row>
    <row r="6762" spans="1:9" ht="51.75" customHeight="1">
      <c r="A6762" s="5">
        <v>3</v>
      </c>
      <c r="B6762" s="5" t="s">
        <v>42118</v>
      </c>
      <c r="C6762" s="5" t="s">
        <v>42116</v>
      </c>
      <c r="D6762" s="246">
        <v>40634</v>
      </c>
      <c r="E6762" s="5" t="s">
        <v>42119</v>
      </c>
      <c r="F6762" s="26" t="s">
        <v>42097</v>
      </c>
      <c r="G6762" s="27" t="s">
        <v>4693</v>
      </c>
      <c r="H6762" s="28" t="s">
        <v>4694</v>
      </c>
      <c r="I6762" s="5" t="s">
        <v>138</v>
      </c>
    </row>
    <row r="6763" spans="1:9" ht="51.75" customHeight="1">
      <c r="A6763" s="5">
        <v>4</v>
      </c>
      <c r="B6763" s="5" t="s">
        <v>42120</v>
      </c>
      <c r="C6763" s="5" t="s">
        <v>42121</v>
      </c>
      <c r="D6763" s="246">
        <v>40634</v>
      </c>
      <c r="E6763" s="5" t="s">
        <v>42122</v>
      </c>
      <c r="F6763" s="26" t="s">
        <v>23600</v>
      </c>
      <c r="G6763" s="27" t="s">
        <v>4693</v>
      </c>
      <c r="H6763" s="28" t="s">
        <v>4694</v>
      </c>
      <c r="I6763" s="5" t="s">
        <v>138</v>
      </c>
    </row>
    <row r="6764" spans="1:9" ht="51.75" customHeight="1">
      <c r="A6764" s="5">
        <v>4</v>
      </c>
      <c r="B6764" s="5" t="s">
        <v>42123</v>
      </c>
      <c r="C6764" s="5" t="s">
        <v>42121</v>
      </c>
      <c r="D6764" s="246">
        <v>40634</v>
      </c>
      <c r="E6764" s="5" t="s">
        <v>42124</v>
      </c>
      <c r="F6764" s="26" t="s">
        <v>42097</v>
      </c>
      <c r="G6764" s="27" t="s">
        <v>4693</v>
      </c>
      <c r="H6764" s="28" t="s">
        <v>4694</v>
      </c>
      <c r="I6764" s="5" t="s">
        <v>138</v>
      </c>
    </row>
    <row r="6765" spans="1:9" ht="51.75" customHeight="1">
      <c r="A6765" s="5">
        <v>5</v>
      </c>
      <c r="B6765" s="5" t="s">
        <v>42125</v>
      </c>
      <c r="C6765" s="5" t="s">
        <v>42126</v>
      </c>
      <c r="D6765" s="246">
        <v>40634</v>
      </c>
      <c r="E6765" s="5" t="s">
        <v>42127</v>
      </c>
      <c r="F6765" s="26" t="s">
        <v>23600</v>
      </c>
      <c r="G6765" s="27" t="s">
        <v>4693</v>
      </c>
      <c r="H6765" s="28" t="s">
        <v>4694</v>
      </c>
      <c r="I6765" s="5" t="s">
        <v>138</v>
      </c>
    </row>
    <row r="6766" spans="1:9" ht="51.75" customHeight="1">
      <c r="A6766" s="5">
        <v>5</v>
      </c>
      <c r="B6766" s="5" t="s">
        <v>42128</v>
      </c>
      <c r="C6766" s="5" t="s">
        <v>42126</v>
      </c>
      <c r="D6766" s="246">
        <v>40634</v>
      </c>
      <c r="E6766" s="5" t="s">
        <v>42129</v>
      </c>
      <c r="F6766" s="26" t="s">
        <v>42097</v>
      </c>
      <c r="G6766" s="27" t="s">
        <v>4693</v>
      </c>
      <c r="H6766" s="28" t="s">
        <v>4694</v>
      </c>
      <c r="I6766" s="5" t="s">
        <v>138</v>
      </c>
    </row>
    <row r="6767" spans="1:9" ht="51.75" customHeight="1">
      <c r="A6767" s="5">
        <v>1</v>
      </c>
      <c r="B6767" s="5" t="s">
        <v>42130</v>
      </c>
      <c r="C6767" s="5" t="s">
        <v>42131</v>
      </c>
      <c r="D6767" s="246">
        <v>40717</v>
      </c>
      <c r="E6767" s="5" t="s">
        <v>42132</v>
      </c>
      <c r="F6767" s="26" t="s">
        <v>23600</v>
      </c>
      <c r="G6767" s="27" t="s">
        <v>4564</v>
      </c>
      <c r="H6767" s="28" t="s">
        <v>4565</v>
      </c>
      <c r="I6767" s="5" t="s">
        <v>138</v>
      </c>
    </row>
    <row r="6768" spans="1:9" ht="51.75" customHeight="1">
      <c r="A6768" s="5">
        <v>1</v>
      </c>
      <c r="B6768" s="5" t="s">
        <v>42133</v>
      </c>
      <c r="C6768" s="5" t="s">
        <v>42131</v>
      </c>
      <c r="D6768" s="246">
        <v>40717</v>
      </c>
      <c r="E6768" s="5" t="s">
        <v>42134</v>
      </c>
      <c r="F6768" s="26" t="s">
        <v>42097</v>
      </c>
      <c r="G6768" s="27" t="s">
        <v>4564</v>
      </c>
      <c r="H6768" s="28" t="s">
        <v>4565</v>
      </c>
      <c r="I6768" s="5" t="s">
        <v>138</v>
      </c>
    </row>
    <row r="6769" spans="1:9" ht="51.75" customHeight="1">
      <c r="A6769" s="5">
        <v>2</v>
      </c>
      <c r="B6769" s="5" t="s">
        <v>42135</v>
      </c>
      <c r="C6769" s="5" t="s">
        <v>42136</v>
      </c>
      <c r="D6769" s="246">
        <v>40717</v>
      </c>
      <c r="E6769" s="5" t="s">
        <v>42137</v>
      </c>
      <c r="F6769" s="26" t="s">
        <v>23600</v>
      </c>
      <c r="G6769" s="27" t="s">
        <v>4564</v>
      </c>
      <c r="H6769" s="28" t="s">
        <v>4565</v>
      </c>
      <c r="I6769" s="5" t="s">
        <v>138</v>
      </c>
    </row>
    <row r="6770" spans="1:9" ht="51.75" customHeight="1">
      <c r="A6770" s="5">
        <v>2</v>
      </c>
      <c r="B6770" s="5" t="s">
        <v>42138</v>
      </c>
      <c r="C6770" s="5" t="s">
        <v>42136</v>
      </c>
      <c r="D6770" s="246">
        <v>40717</v>
      </c>
      <c r="E6770" s="5" t="s">
        <v>42139</v>
      </c>
      <c r="F6770" s="26" t="s">
        <v>42097</v>
      </c>
      <c r="G6770" s="27" t="s">
        <v>4564</v>
      </c>
      <c r="H6770" s="28" t="s">
        <v>4565</v>
      </c>
      <c r="I6770" s="5" t="s">
        <v>138</v>
      </c>
    </row>
    <row r="6771" spans="1:9" ht="51.75" customHeight="1">
      <c r="A6771" s="5">
        <v>3</v>
      </c>
      <c r="B6771" s="5" t="s">
        <v>42140</v>
      </c>
      <c r="C6771" s="5" t="s">
        <v>42141</v>
      </c>
      <c r="D6771" s="246">
        <v>40717</v>
      </c>
      <c r="E6771" s="5" t="s">
        <v>42142</v>
      </c>
      <c r="F6771" s="26" t="s">
        <v>23600</v>
      </c>
      <c r="G6771" s="27" t="s">
        <v>4564</v>
      </c>
      <c r="H6771" s="28" t="s">
        <v>4565</v>
      </c>
      <c r="I6771" s="5" t="s">
        <v>138</v>
      </c>
    </row>
    <row r="6772" spans="1:9" ht="51.75" customHeight="1">
      <c r="A6772" s="5">
        <v>3</v>
      </c>
      <c r="B6772" s="5" t="s">
        <v>42143</v>
      </c>
      <c r="C6772" s="5" t="s">
        <v>42141</v>
      </c>
      <c r="D6772" s="246">
        <v>40717</v>
      </c>
      <c r="E6772" s="5" t="s">
        <v>42144</v>
      </c>
      <c r="F6772" s="26" t="s">
        <v>42097</v>
      </c>
      <c r="G6772" s="27" t="s">
        <v>4564</v>
      </c>
      <c r="H6772" s="28" t="s">
        <v>4565</v>
      </c>
      <c r="I6772" s="5" t="s">
        <v>138</v>
      </c>
    </row>
    <row r="6773" spans="1:9" ht="51.75" customHeight="1">
      <c r="A6773" s="5">
        <v>4</v>
      </c>
      <c r="B6773" s="5" t="s">
        <v>42145</v>
      </c>
      <c r="C6773" s="5" t="s">
        <v>42146</v>
      </c>
      <c r="D6773" s="246">
        <v>40717</v>
      </c>
      <c r="E6773" s="5" t="s">
        <v>42147</v>
      </c>
      <c r="F6773" s="26" t="s">
        <v>23600</v>
      </c>
      <c r="G6773" s="27" t="s">
        <v>4564</v>
      </c>
      <c r="H6773" s="28" t="s">
        <v>4565</v>
      </c>
      <c r="I6773" s="5" t="s">
        <v>138</v>
      </c>
    </row>
    <row r="6774" spans="1:9" ht="51.75" customHeight="1">
      <c r="A6774" s="5">
        <v>4</v>
      </c>
      <c r="B6774" s="5" t="s">
        <v>42148</v>
      </c>
      <c r="C6774" s="5" t="s">
        <v>42146</v>
      </c>
      <c r="D6774" s="246">
        <v>40717</v>
      </c>
      <c r="E6774" s="5" t="s">
        <v>42149</v>
      </c>
      <c r="F6774" s="26" t="s">
        <v>42097</v>
      </c>
      <c r="G6774" s="27" t="s">
        <v>4564</v>
      </c>
      <c r="H6774" s="28" t="s">
        <v>4565</v>
      </c>
      <c r="I6774" s="5" t="s">
        <v>138</v>
      </c>
    </row>
    <row r="6775" spans="1:9" ht="51.75" customHeight="1">
      <c r="A6775" s="5">
        <v>5</v>
      </c>
      <c r="B6775" s="5" t="s">
        <v>42150</v>
      </c>
      <c r="C6775" s="5" t="s">
        <v>42151</v>
      </c>
      <c r="D6775" s="246">
        <v>40717</v>
      </c>
      <c r="E6775" s="5" t="s">
        <v>42152</v>
      </c>
      <c r="F6775" s="26" t="s">
        <v>23600</v>
      </c>
      <c r="G6775" s="27" t="s">
        <v>4564</v>
      </c>
      <c r="H6775" s="28" t="s">
        <v>4565</v>
      </c>
      <c r="I6775" s="5" t="s">
        <v>138</v>
      </c>
    </row>
    <row r="6776" spans="1:9" ht="51.75" customHeight="1">
      <c r="A6776" s="5">
        <v>5</v>
      </c>
      <c r="B6776" s="5" t="s">
        <v>42153</v>
      </c>
      <c r="C6776" s="5" t="s">
        <v>42151</v>
      </c>
      <c r="D6776" s="246">
        <v>40717</v>
      </c>
      <c r="E6776" s="5" t="s">
        <v>42154</v>
      </c>
      <c r="F6776" s="26" t="s">
        <v>42097</v>
      </c>
      <c r="G6776" s="27" t="s">
        <v>4564</v>
      </c>
      <c r="H6776" s="28" t="s">
        <v>4565</v>
      </c>
      <c r="I6776" s="5" t="s">
        <v>138</v>
      </c>
    </row>
    <row r="6777" spans="1:9" ht="51.75" customHeight="1">
      <c r="A6777" s="5">
        <v>6</v>
      </c>
      <c r="B6777" s="5" t="s">
        <v>42155</v>
      </c>
      <c r="C6777" s="5" t="s">
        <v>42156</v>
      </c>
      <c r="D6777" s="246">
        <v>40717</v>
      </c>
      <c r="E6777" s="5" t="s">
        <v>42157</v>
      </c>
      <c r="F6777" s="26" t="s">
        <v>23600</v>
      </c>
      <c r="G6777" s="27" t="s">
        <v>4564</v>
      </c>
      <c r="H6777" s="28" t="s">
        <v>4565</v>
      </c>
      <c r="I6777" s="5" t="s">
        <v>138</v>
      </c>
    </row>
    <row r="6778" spans="1:9" ht="51.75" customHeight="1">
      <c r="A6778" s="5">
        <v>6</v>
      </c>
      <c r="B6778" s="5" t="s">
        <v>42158</v>
      </c>
      <c r="C6778" s="5" t="s">
        <v>42156</v>
      </c>
      <c r="D6778" s="246">
        <v>40717</v>
      </c>
      <c r="E6778" s="5" t="s">
        <v>42154</v>
      </c>
      <c r="F6778" s="26" t="s">
        <v>42097</v>
      </c>
      <c r="G6778" s="27" t="s">
        <v>4564</v>
      </c>
      <c r="H6778" s="28" t="s">
        <v>4565</v>
      </c>
      <c r="I6778" s="5" t="s">
        <v>138</v>
      </c>
    </row>
    <row r="6779" spans="1:9" ht="51.75" customHeight="1">
      <c r="A6779" s="5">
        <v>1</v>
      </c>
      <c r="B6779" s="5" t="s">
        <v>42159</v>
      </c>
      <c r="C6779" s="5" t="s">
        <v>42160</v>
      </c>
      <c r="D6779" s="246">
        <v>40309</v>
      </c>
      <c r="E6779" s="5" t="s">
        <v>42161</v>
      </c>
      <c r="F6779" s="26" t="s">
        <v>23600</v>
      </c>
      <c r="G6779" s="27" t="s">
        <v>180</v>
      </c>
      <c r="H6779" s="28" t="s">
        <v>181</v>
      </c>
      <c r="I6779" s="5" t="s">
        <v>138</v>
      </c>
    </row>
    <row r="6780" spans="1:9" ht="51.75" customHeight="1">
      <c r="A6780" s="5">
        <v>1</v>
      </c>
      <c r="B6780" s="5" t="s">
        <v>42162</v>
      </c>
      <c r="C6780" s="5" t="s">
        <v>42160</v>
      </c>
      <c r="D6780" s="246">
        <v>40309</v>
      </c>
      <c r="E6780" s="5" t="s">
        <v>42163</v>
      </c>
      <c r="F6780" s="26" t="s">
        <v>42097</v>
      </c>
      <c r="G6780" s="27" t="s">
        <v>180</v>
      </c>
      <c r="H6780" s="28" t="s">
        <v>181</v>
      </c>
      <c r="I6780" s="5" t="s">
        <v>138</v>
      </c>
    </row>
    <row r="6781" spans="1:9" ht="51.75" customHeight="1">
      <c r="A6781" s="5">
        <v>2</v>
      </c>
      <c r="B6781" s="5" t="s">
        <v>42164</v>
      </c>
      <c r="C6781" s="5" t="s">
        <v>42165</v>
      </c>
      <c r="D6781" s="246">
        <v>40309</v>
      </c>
      <c r="E6781" s="5" t="s">
        <v>42166</v>
      </c>
      <c r="F6781" s="26" t="s">
        <v>23600</v>
      </c>
      <c r="G6781" s="27" t="s">
        <v>180</v>
      </c>
      <c r="H6781" s="28" t="s">
        <v>181</v>
      </c>
      <c r="I6781" s="5" t="s">
        <v>138</v>
      </c>
    </row>
    <row r="6782" spans="1:9" ht="51.75" customHeight="1">
      <c r="A6782" s="5">
        <v>2</v>
      </c>
      <c r="B6782" s="5" t="s">
        <v>42167</v>
      </c>
      <c r="C6782" s="5" t="s">
        <v>42165</v>
      </c>
      <c r="D6782" s="246">
        <v>40309</v>
      </c>
      <c r="E6782" s="5" t="s">
        <v>42168</v>
      </c>
      <c r="F6782" s="26" t="s">
        <v>42097</v>
      </c>
      <c r="G6782" s="27" t="s">
        <v>180</v>
      </c>
      <c r="H6782" s="28" t="s">
        <v>181</v>
      </c>
      <c r="I6782" s="5" t="s">
        <v>138</v>
      </c>
    </row>
    <row r="6783" spans="1:9" ht="51.75" customHeight="1">
      <c r="A6783" s="5">
        <v>3</v>
      </c>
      <c r="B6783" s="5" t="s">
        <v>42169</v>
      </c>
      <c r="C6783" s="5" t="s">
        <v>42170</v>
      </c>
      <c r="D6783" s="246">
        <v>40309</v>
      </c>
      <c r="E6783" s="5" t="s">
        <v>42171</v>
      </c>
      <c r="F6783" s="26" t="s">
        <v>23600</v>
      </c>
      <c r="G6783" s="27" t="s">
        <v>180</v>
      </c>
      <c r="H6783" s="28" t="s">
        <v>181</v>
      </c>
      <c r="I6783" s="5" t="s">
        <v>138</v>
      </c>
    </row>
    <row r="6784" spans="1:9" ht="51.75" customHeight="1">
      <c r="A6784" s="5">
        <v>3</v>
      </c>
      <c r="B6784" s="5" t="s">
        <v>42172</v>
      </c>
      <c r="C6784" s="5" t="s">
        <v>42170</v>
      </c>
      <c r="D6784" s="246">
        <v>40309</v>
      </c>
      <c r="E6784" s="5" t="s">
        <v>42173</v>
      </c>
      <c r="F6784" s="26" t="s">
        <v>42097</v>
      </c>
      <c r="G6784" s="27" t="s">
        <v>180</v>
      </c>
      <c r="H6784" s="28" t="s">
        <v>181</v>
      </c>
      <c r="I6784" s="5" t="s">
        <v>138</v>
      </c>
    </row>
    <row r="6785" spans="1:9" ht="51.75" customHeight="1">
      <c r="A6785" s="5">
        <v>4</v>
      </c>
      <c r="B6785" s="5" t="s">
        <v>42174</v>
      </c>
      <c r="C6785" s="5" t="s">
        <v>42175</v>
      </c>
      <c r="D6785" s="246">
        <v>40309</v>
      </c>
      <c r="E6785" s="5" t="s">
        <v>42176</v>
      </c>
      <c r="F6785" s="26" t="s">
        <v>23600</v>
      </c>
      <c r="G6785" s="27" t="s">
        <v>180</v>
      </c>
      <c r="H6785" s="28" t="s">
        <v>181</v>
      </c>
      <c r="I6785" s="5" t="s">
        <v>138</v>
      </c>
    </row>
    <row r="6786" spans="1:9" ht="51.75" customHeight="1">
      <c r="A6786" s="5">
        <v>4</v>
      </c>
      <c r="B6786" s="5" t="s">
        <v>42177</v>
      </c>
      <c r="C6786" s="5" t="s">
        <v>42175</v>
      </c>
      <c r="D6786" s="246">
        <v>40309</v>
      </c>
      <c r="E6786" s="5" t="s">
        <v>42178</v>
      </c>
      <c r="F6786" s="26" t="s">
        <v>42097</v>
      </c>
      <c r="G6786" s="27" t="s">
        <v>180</v>
      </c>
      <c r="H6786" s="28" t="s">
        <v>181</v>
      </c>
      <c r="I6786" s="5" t="s">
        <v>138</v>
      </c>
    </row>
    <row r="6787" spans="1:9" ht="51.75" customHeight="1">
      <c r="A6787" s="5">
        <v>5</v>
      </c>
      <c r="B6787" s="5" t="s">
        <v>42179</v>
      </c>
      <c r="C6787" s="5" t="s">
        <v>42180</v>
      </c>
      <c r="D6787" s="246">
        <v>40309</v>
      </c>
      <c r="E6787" s="5" t="s">
        <v>42181</v>
      </c>
      <c r="F6787" s="26" t="s">
        <v>23600</v>
      </c>
      <c r="G6787" s="27" t="s">
        <v>180</v>
      </c>
      <c r="H6787" s="28" t="s">
        <v>181</v>
      </c>
      <c r="I6787" s="5" t="s">
        <v>138</v>
      </c>
    </row>
    <row r="6788" spans="1:9" ht="51.75" customHeight="1">
      <c r="A6788" s="5">
        <v>5</v>
      </c>
      <c r="B6788" s="5" t="s">
        <v>42182</v>
      </c>
      <c r="C6788" s="5" t="s">
        <v>42180</v>
      </c>
      <c r="D6788" s="246">
        <v>40309</v>
      </c>
      <c r="E6788" s="5" t="s">
        <v>42183</v>
      </c>
      <c r="F6788" s="26" t="s">
        <v>42097</v>
      </c>
      <c r="G6788" s="27" t="s">
        <v>180</v>
      </c>
      <c r="H6788" s="28" t="s">
        <v>181</v>
      </c>
      <c r="I6788" s="5" t="s">
        <v>138</v>
      </c>
    </row>
    <row r="6789" spans="1:9" ht="51.75" customHeight="1">
      <c r="A6789" s="5">
        <v>1</v>
      </c>
      <c r="B6789" s="5" t="s">
        <v>42184</v>
      </c>
      <c r="C6789" s="5" t="s">
        <v>42185</v>
      </c>
      <c r="D6789" s="246">
        <v>40634</v>
      </c>
      <c r="E6789" s="5" t="s">
        <v>42186</v>
      </c>
      <c r="F6789" s="26" t="s">
        <v>23600</v>
      </c>
      <c r="G6789" s="27" t="s">
        <v>3789</v>
      </c>
      <c r="H6789" s="28" t="s">
        <v>3790</v>
      </c>
      <c r="I6789" s="5" t="s">
        <v>138</v>
      </c>
    </row>
    <row r="6790" spans="1:9" ht="51.75" customHeight="1">
      <c r="A6790" s="5">
        <v>1</v>
      </c>
      <c r="B6790" s="5" t="s">
        <v>42187</v>
      </c>
      <c r="C6790" s="5" t="s">
        <v>42185</v>
      </c>
      <c r="D6790" s="246">
        <v>40634</v>
      </c>
      <c r="E6790" s="5" t="s">
        <v>42188</v>
      </c>
      <c r="F6790" s="26" t="s">
        <v>42097</v>
      </c>
      <c r="G6790" s="27" t="s">
        <v>3789</v>
      </c>
      <c r="H6790" s="28" t="s">
        <v>3790</v>
      </c>
      <c r="I6790" s="5" t="s">
        <v>138</v>
      </c>
    </row>
    <row r="6791" spans="1:9" ht="51.75" customHeight="1">
      <c r="A6791" s="5">
        <v>2</v>
      </c>
      <c r="B6791" s="5" t="s">
        <v>42189</v>
      </c>
      <c r="C6791" s="5" t="s">
        <v>42190</v>
      </c>
      <c r="D6791" s="246">
        <v>40634</v>
      </c>
      <c r="E6791" s="5" t="s">
        <v>42191</v>
      </c>
      <c r="F6791" s="26" t="s">
        <v>23600</v>
      </c>
      <c r="G6791" s="27" t="s">
        <v>3789</v>
      </c>
      <c r="H6791" s="28" t="s">
        <v>3790</v>
      </c>
      <c r="I6791" s="5" t="s">
        <v>138</v>
      </c>
    </row>
    <row r="6792" spans="1:9" ht="51.75" customHeight="1">
      <c r="A6792" s="5">
        <v>2</v>
      </c>
      <c r="B6792" s="5" t="s">
        <v>42192</v>
      </c>
      <c r="C6792" s="5" t="s">
        <v>42190</v>
      </c>
      <c r="D6792" s="246">
        <v>40634</v>
      </c>
      <c r="E6792" s="5" t="s">
        <v>42193</v>
      </c>
      <c r="F6792" s="26" t="s">
        <v>42097</v>
      </c>
      <c r="G6792" s="27" t="s">
        <v>3789</v>
      </c>
      <c r="H6792" s="28" t="s">
        <v>3790</v>
      </c>
      <c r="I6792" s="5" t="s">
        <v>138</v>
      </c>
    </row>
    <row r="6793" spans="1:9" ht="51.75" customHeight="1">
      <c r="A6793" s="5">
        <v>1</v>
      </c>
      <c r="B6793" s="5" t="s">
        <v>42194</v>
      </c>
      <c r="C6793" s="5" t="s">
        <v>42195</v>
      </c>
      <c r="D6793" s="246">
        <v>40185</v>
      </c>
      <c r="E6793" s="5" t="s">
        <v>42196</v>
      </c>
      <c r="F6793" s="26" t="s">
        <v>23600</v>
      </c>
      <c r="G6793" s="27" t="s">
        <v>3506</v>
      </c>
      <c r="H6793" s="28" t="s">
        <v>3507</v>
      </c>
      <c r="I6793" s="5" t="s">
        <v>138</v>
      </c>
    </row>
    <row r="6794" spans="1:9" ht="51.75" customHeight="1">
      <c r="A6794" s="5">
        <v>1</v>
      </c>
      <c r="B6794" s="5" t="s">
        <v>42197</v>
      </c>
      <c r="C6794" s="5" t="s">
        <v>42195</v>
      </c>
      <c r="D6794" s="246">
        <v>40185</v>
      </c>
      <c r="E6794" s="5" t="s">
        <v>42198</v>
      </c>
      <c r="F6794" s="26" t="s">
        <v>42097</v>
      </c>
      <c r="G6794" s="27" t="s">
        <v>3506</v>
      </c>
      <c r="H6794" s="28" t="s">
        <v>3507</v>
      </c>
      <c r="I6794" s="5" t="s">
        <v>138</v>
      </c>
    </row>
    <row r="6795" spans="1:9" ht="51.75" customHeight="1">
      <c r="A6795" s="5">
        <v>2</v>
      </c>
      <c r="B6795" s="5" t="s">
        <v>42199</v>
      </c>
      <c r="C6795" s="5" t="s">
        <v>42200</v>
      </c>
      <c r="D6795" s="246">
        <v>40185</v>
      </c>
      <c r="E6795" s="5" t="s">
        <v>42201</v>
      </c>
      <c r="F6795" s="26" t="s">
        <v>23600</v>
      </c>
      <c r="G6795" s="27" t="s">
        <v>3506</v>
      </c>
      <c r="H6795" s="28" t="s">
        <v>3507</v>
      </c>
      <c r="I6795" s="5" t="s">
        <v>138</v>
      </c>
    </row>
    <row r="6796" spans="1:9" ht="51.75" customHeight="1">
      <c r="A6796" s="5">
        <v>2</v>
      </c>
      <c r="B6796" s="5" t="s">
        <v>42202</v>
      </c>
      <c r="C6796" s="5" t="s">
        <v>42200</v>
      </c>
      <c r="D6796" s="246">
        <v>40185</v>
      </c>
      <c r="E6796" s="5" t="s">
        <v>42203</v>
      </c>
      <c r="F6796" s="26" t="s">
        <v>42097</v>
      </c>
      <c r="G6796" s="27" t="s">
        <v>3506</v>
      </c>
      <c r="H6796" s="28" t="s">
        <v>3507</v>
      </c>
      <c r="I6796" s="5" t="s">
        <v>138</v>
      </c>
    </row>
    <row r="6797" spans="1:9" ht="51.75" customHeight="1">
      <c r="A6797" s="5">
        <v>3</v>
      </c>
      <c r="B6797" s="5" t="s">
        <v>42204</v>
      </c>
      <c r="C6797" s="5" t="s">
        <v>42205</v>
      </c>
      <c r="D6797" s="246">
        <v>40185</v>
      </c>
      <c r="E6797" s="5" t="s">
        <v>42206</v>
      </c>
      <c r="F6797" s="26" t="s">
        <v>23600</v>
      </c>
      <c r="G6797" s="27" t="s">
        <v>3506</v>
      </c>
      <c r="H6797" s="28" t="s">
        <v>3507</v>
      </c>
      <c r="I6797" s="5" t="s">
        <v>138</v>
      </c>
    </row>
    <row r="6798" spans="1:9" ht="51.75" customHeight="1">
      <c r="A6798" s="5">
        <v>3</v>
      </c>
      <c r="B6798" s="5" t="s">
        <v>42207</v>
      </c>
      <c r="C6798" s="5" t="s">
        <v>42205</v>
      </c>
      <c r="D6798" s="246">
        <v>40185</v>
      </c>
      <c r="E6798" s="5" t="s">
        <v>42208</v>
      </c>
      <c r="F6798" s="26" t="s">
        <v>42097</v>
      </c>
      <c r="G6798" s="27" t="s">
        <v>3506</v>
      </c>
      <c r="H6798" s="28" t="s">
        <v>3507</v>
      </c>
      <c r="I6798" s="5" t="s">
        <v>138</v>
      </c>
    </row>
    <row r="6799" spans="1:9" ht="51.75" customHeight="1">
      <c r="A6799" s="5">
        <v>4</v>
      </c>
      <c r="B6799" s="5" t="s">
        <v>42209</v>
      </c>
      <c r="C6799" s="5" t="s">
        <v>42210</v>
      </c>
      <c r="D6799" s="246">
        <v>40185</v>
      </c>
      <c r="E6799" s="5" t="s">
        <v>42211</v>
      </c>
      <c r="F6799" s="26" t="s">
        <v>23600</v>
      </c>
      <c r="G6799" s="27" t="s">
        <v>3506</v>
      </c>
      <c r="H6799" s="28" t="s">
        <v>3507</v>
      </c>
      <c r="I6799" s="5" t="s">
        <v>138</v>
      </c>
    </row>
    <row r="6800" spans="1:9" ht="51.75" customHeight="1">
      <c r="A6800" s="5">
        <v>4</v>
      </c>
      <c r="B6800" s="5" t="s">
        <v>42212</v>
      </c>
      <c r="C6800" s="5" t="s">
        <v>42210</v>
      </c>
      <c r="D6800" s="246">
        <v>40185</v>
      </c>
      <c r="E6800" s="5" t="s">
        <v>42213</v>
      </c>
      <c r="F6800" s="26" t="s">
        <v>42097</v>
      </c>
      <c r="G6800" s="27" t="s">
        <v>3506</v>
      </c>
      <c r="H6800" s="28" t="s">
        <v>3507</v>
      </c>
      <c r="I6800" s="5" t="s">
        <v>138</v>
      </c>
    </row>
    <row r="6801" spans="1:9" ht="51.75" customHeight="1">
      <c r="A6801" s="5">
        <v>5</v>
      </c>
      <c r="B6801" s="5" t="s">
        <v>42214</v>
      </c>
      <c r="C6801" s="5" t="s">
        <v>42215</v>
      </c>
      <c r="D6801" s="246">
        <v>40185</v>
      </c>
      <c r="E6801" s="5" t="s">
        <v>42216</v>
      </c>
      <c r="F6801" s="26" t="s">
        <v>23600</v>
      </c>
      <c r="G6801" s="27" t="s">
        <v>3506</v>
      </c>
      <c r="H6801" s="28" t="s">
        <v>3507</v>
      </c>
      <c r="I6801" s="5" t="s">
        <v>138</v>
      </c>
    </row>
    <row r="6802" spans="1:9" ht="51.75" customHeight="1">
      <c r="A6802" s="5">
        <v>5</v>
      </c>
      <c r="B6802" s="5" t="s">
        <v>42217</v>
      </c>
      <c r="C6802" s="5" t="s">
        <v>42215</v>
      </c>
      <c r="D6802" s="246">
        <v>40185</v>
      </c>
      <c r="E6802" s="5" t="s">
        <v>42218</v>
      </c>
      <c r="F6802" s="26" t="s">
        <v>42097</v>
      </c>
      <c r="G6802" s="27" t="s">
        <v>3506</v>
      </c>
      <c r="H6802" s="28" t="s">
        <v>3507</v>
      </c>
      <c r="I6802" s="5" t="s">
        <v>138</v>
      </c>
    </row>
    <row r="6803" spans="1:9" ht="51.75" customHeight="1">
      <c r="A6803" s="5">
        <v>1</v>
      </c>
      <c r="B6803" s="5" t="s">
        <v>42219</v>
      </c>
      <c r="C6803" s="5" t="s">
        <v>42220</v>
      </c>
      <c r="D6803" s="246">
        <v>39722</v>
      </c>
      <c r="E6803" s="5" t="s">
        <v>42221</v>
      </c>
      <c r="F6803" s="26" t="s">
        <v>23600</v>
      </c>
      <c r="G6803" s="27" t="s">
        <v>614</v>
      </c>
      <c r="H6803" s="28" t="s">
        <v>615</v>
      </c>
      <c r="I6803" s="5" t="s">
        <v>138</v>
      </c>
    </row>
    <row r="6804" spans="1:9" ht="51.75" customHeight="1">
      <c r="A6804" s="5">
        <v>1</v>
      </c>
      <c r="B6804" s="5" t="s">
        <v>42222</v>
      </c>
      <c r="C6804" s="5" t="s">
        <v>42220</v>
      </c>
      <c r="D6804" s="246">
        <v>39722</v>
      </c>
      <c r="E6804" s="5" t="s">
        <v>42223</v>
      </c>
      <c r="F6804" s="26" t="s">
        <v>42097</v>
      </c>
      <c r="G6804" s="27" t="s">
        <v>614</v>
      </c>
      <c r="H6804" s="28" t="s">
        <v>615</v>
      </c>
      <c r="I6804" s="5" t="s">
        <v>138</v>
      </c>
    </row>
    <row r="6805" spans="1:9" ht="51.75" customHeight="1">
      <c r="A6805" s="5">
        <v>1</v>
      </c>
      <c r="B6805" s="5" t="s">
        <v>42224</v>
      </c>
      <c r="C6805" s="5" t="s">
        <v>42225</v>
      </c>
      <c r="D6805" s="246">
        <v>39722</v>
      </c>
      <c r="E6805" s="5" t="s">
        <v>42226</v>
      </c>
      <c r="F6805" s="26" t="s">
        <v>23600</v>
      </c>
      <c r="G6805" s="27" t="s">
        <v>3092</v>
      </c>
      <c r="H6805" s="28" t="s">
        <v>3093</v>
      </c>
      <c r="I6805" s="5" t="s">
        <v>138</v>
      </c>
    </row>
    <row r="6806" spans="1:9" ht="51.75" customHeight="1">
      <c r="A6806" s="5">
        <v>1</v>
      </c>
      <c r="B6806" s="5" t="s">
        <v>42227</v>
      </c>
      <c r="C6806" s="5" t="s">
        <v>42225</v>
      </c>
      <c r="D6806" s="246">
        <v>39722</v>
      </c>
      <c r="E6806" s="5" t="s">
        <v>42228</v>
      </c>
      <c r="F6806" s="26" t="s">
        <v>42097</v>
      </c>
      <c r="G6806" s="27" t="s">
        <v>3092</v>
      </c>
      <c r="H6806" s="28" t="s">
        <v>3093</v>
      </c>
      <c r="I6806" s="5" t="s">
        <v>138</v>
      </c>
    </row>
    <row r="6807" spans="1:9" ht="51.75" customHeight="1">
      <c r="A6807" s="5">
        <v>2</v>
      </c>
      <c r="B6807" s="5" t="s">
        <v>42229</v>
      </c>
      <c r="C6807" s="5" t="s">
        <v>42230</v>
      </c>
      <c r="D6807" s="246">
        <v>39722</v>
      </c>
      <c r="E6807" s="5" t="s">
        <v>42231</v>
      </c>
      <c r="F6807" s="26" t="s">
        <v>23600</v>
      </c>
      <c r="G6807" s="27" t="s">
        <v>3092</v>
      </c>
      <c r="H6807" s="28" t="s">
        <v>3093</v>
      </c>
      <c r="I6807" s="5" t="s">
        <v>138</v>
      </c>
    </row>
    <row r="6808" spans="1:9" ht="51.75" customHeight="1">
      <c r="A6808" s="5">
        <v>2</v>
      </c>
      <c r="B6808" s="5" t="s">
        <v>42232</v>
      </c>
      <c r="C6808" s="5" t="s">
        <v>42230</v>
      </c>
      <c r="D6808" s="246">
        <v>39722</v>
      </c>
      <c r="E6808" s="5" t="s">
        <v>42233</v>
      </c>
      <c r="F6808" s="26" t="s">
        <v>42097</v>
      </c>
      <c r="G6808" s="27" t="s">
        <v>3092</v>
      </c>
      <c r="H6808" s="28" t="s">
        <v>3093</v>
      </c>
      <c r="I6808" s="5" t="s">
        <v>138</v>
      </c>
    </row>
    <row r="6809" spans="1:9" ht="51.75" customHeight="1">
      <c r="A6809" s="5">
        <v>3</v>
      </c>
      <c r="B6809" s="5" t="s">
        <v>42234</v>
      </c>
      <c r="C6809" s="5" t="s">
        <v>42235</v>
      </c>
      <c r="D6809" s="246">
        <v>39722</v>
      </c>
      <c r="E6809" s="5" t="s">
        <v>42236</v>
      </c>
      <c r="F6809" s="26" t="s">
        <v>23600</v>
      </c>
      <c r="G6809" s="27" t="s">
        <v>3092</v>
      </c>
      <c r="H6809" s="28" t="s">
        <v>3093</v>
      </c>
      <c r="I6809" s="5" t="s">
        <v>138</v>
      </c>
    </row>
    <row r="6810" spans="1:9" ht="51.75" customHeight="1">
      <c r="A6810" s="5">
        <v>3</v>
      </c>
      <c r="B6810" s="5" t="s">
        <v>42237</v>
      </c>
      <c r="C6810" s="5" t="s">
        <v>42235</v>
      </c>
      <c r="D6810" s="246">
        <v>39722</v>
      </c>
      <c r="E6810" s="5" t="s">
        <v>42238</v>
      </c>
      <c r="F6810" s="26" t="s">
        <v>42097</v>
      </c>
      <c r="G6810" s="27" t="s">
        <v>3092</v>
      </c>
      <c r="H6810" s="28" t="s">
        <v>3093</v>
      </c>
      <c r="I6810" s="5" t="s">
        <v>138</v>
      </c>
    </row>
    <row r="6811" spans="1:9" ht="51.75" customHeight="1">
      <c r="A6811" s="5">
        <v>1</v>
      </c>
      <c r="B6811" s="5" t="s">
        <v>42239</v>
      </c>
      <c r="C6811" s="5" t="s">
        <v>42240</v>
      </c>
      <c r="D6811" s="246">
        <v>39986</v>
      </c>
      <c r="E6811" s="5" t="s">
        <v>42241</v>
      </c>
      <c r="F6811" s="26" t="s">
        <v>23600</v>
      </c>
      <c r="G6811" s="27" t="s">
        <v>2935</v>
      </c>
      <c r="H6811" s="28" t="s">
        <v>2936</v>
      </c>
      <c r="I6811" s="5" t="s">
        <v>138</v>
      </c>
    </row>
    <row r="6812" spans="1:9" ht="51.75" customHeight="1">
      <c r="A6812" s="5">
        <v>1</v>
      </c>
      <c r="B6812" s="5" t="s">
        <v>42242</v>
      </c>
      <c r="C6812" s="5" t="s">
        <v>42240</v>
      </c>
      <c r="D6812" s="246">
        <v>39986</v>
      </c>
      <c r="E6812" s="5" t="s">
        <v>42243</v>
      </c>
      <c r="F6812" s="26" t="s">
        <v>42097</v>
      </c>
      <c r="G6812" s="27" t="s">
        <v>2935</v>
      </c>
      <c r="H6812" s="28" t="s">
        <v>2936</v>
      </c>
      <c r="I6812" s="5" t="s">
        <v>138</v>
      </c>
    </row>
    <row r="6813" spans="1:9" ht="51.75" customHeight="1">
      <c r="A6813" s="5">
        <v>2</v>
      </c>
      <c r="B6813" s="5" t="s">
        <v>42244</v>
      </c>
      <c r="C6813" s="5" t="s">
        <v>42245</v>
      </c>
      <c r="D6813" s="246">
        <v>39986</v>
      </c>
      <c r="E6813" s="5" t="s">
        <v>42246</v>
      </c>
      <c r="F6813" s="26" t="s">
        <v>23600</v>
      </c>
      <c r="G6813" s="27" t="s">
        <v>2935</v>
      </c>
      <c r="H6813" s="28" t="s">
        <v>2936</v>
      </c>
      <c r="I6813" s="5" t="s">
        <v>138</v>
      </c>
    </row>
    <row r="6814" spans="1:9" ht="51.75" customHeight="1">
      <c r="A6814" s="5">
        <v>2</v>
      </c>
      <c r="B6814" s="5" t="s">
        <v>42247</v>
      </c>
      <c r="C6814" s="5" t="s">
        <v>42245</v>
      </c>
      <c r="D6814" s="246">
        <v>39986</v>
      </c>
      <c r="E6814" s="5" t="s">
        <v>42248</v>
      </c>
      <c r="F6814" s="26" t="s">
        <v>42097</v>
      </c>
      <c r="G6814" s="27" t="s">
        <v>2935</v>
      </c>
      <c r="H6814" s="28" t="s">
        <v>2936</v>
      </c>
      <c r="I6814" s="5" t="s">
        <v>138</v>
      </c>
    </row>
    <row r="6815" spans="1:9" ht="51.75" customHeight="1">
      <c r="A6815" s="5">
        <v>3</v>
      </c>
      <c r="B6815" s="5" t="s">
        <v>42249</v>
      </c>
      <c r="C6815" s="5" t="s">
        <v>42250</v>
      </c>
      <c r="D6815" s="246">
        <v>39986</v>
      </c>
      <c r="E6815" s="5" t="s">
        <v>42251</v>
      </c>
      <c r="F6815" s="26" t="s">
        <v>23600</v>
      </c>
      <c r="G6815" s="27" t="s">
        <v>2935</v>
      </c>
      <c r="H6815" s="28" t="s">
        <v>2936</v>
      </c>
      <c r="I6815" s="5" t="s">
        <v>138</v>
      </c>
    </row>
    <row r="6816" spans="1:9" ht="51.75" customHeight="1">
      <c r="A6816" s="5">
        <v>3</v>
      </c>
      <c r="B6816" s="5" t="s">
        <v>42252</v>
      </c>
      <c r="C6816" s="5" t="s">
        <v>42250</v>
      </c>
      <c r="D6816" s="246">
        <v>39986</v>
      </c>
      <c r="E6816" s="5" t="s">
        <v>42253</v>
      </c>
      <c r="F6816" s="26" t="s">
        <v>42097</v>
      </c>
      <c r="G6816" s="27" t="s">
        <v>2935</v>
      </c>
      <c r="H6816" s="28" t="s">
        <v>2936</v>
      </c>
      <c r="I6816" s="5" t="s">
        <v>138</v>
      </c>
    </row>
    <row r="6817" spans="1:9" ht="51.75" customHeight="1">
      <c r="A6817" s="5">
        <v>4</v>
      </c>
      <c r="B6817" s="5" t="s">
        <v>42254</v>
      </c>
      <c r="C6817" s="5" t="s">
        <v>42255</v>
      </c>
      <c r="D6817" s="246">
        <v>39986</v>
      </c>
      <c r="E6817" s="5" t="s">
        <v>42256</v>
      </c>
      <c r="F6817" s="26" t="s">
        <v>23600</v>
      </c>
      <c r="G6817" s="27" t="s">
        <v>2935</v>
      </c>
      <c r="H6817" s="28" t="s">
        <v>2936</v>
      </c>
      <c r="I6817" s="5" t="s">
        <v>138</v>
      </c>
    </row>
    <row r="6818" spans="1:9" ht="51.75" customHeight="1">
      <c r="A6818" s="5">
        <v>4</v>
      </c>
      <c r="B6818" s="5" t="s">
        <v>42257</v>
      </c>
      <c r="C6818" s="5" t="s">
        <v>42255</v>
      </c>
      <c r="D6818" s="246">
        <v>39986</v>
      </c>
      <c r="E6818" s="5" t="s">
        <v>42258</v>
      </c>
      <c r="F6818" s="26" t="s">
        <v>42097</v>
      </c>
      <c r="G6818" s="27" t="s">
        <v>2935</v>
      </c>
      <c r="H6818" s="28" t="s">
        <v>2936</v>
      </c>
      <c r="I6818" s="5" t="s">
        <v>138</v>
      </c>
    </row>
    <row r="6819" spans="1:9" ht="51.75" customHeight="1">
      <c r="A6819" s="5">
        <v>5</v>
      </c>
      <c r="B6819" s="5" t="s">
        <v>42259</v>
      </c>
      <c r="C6819" s="5" t="s">
        <v>42260</v>
      </c>
      <c r="D6819" s="246">
        <v>39986</v>
      </c>
      <c r="E6819" s="5" t="s">
        <v>42261</v>
      </c>
      <c r="F6819" s="26" t="s">
        <v>23600</v>
      </c>
      <c r="G6819" s="27" t="s">
        <v>2935</v>
      </c>
      <c r="H6819" s="28" t="s">
        <v>2936</v>
      </c>
      <c r="I6819" s="5" t="s">
        <v>138</v>
      </c>
    </row>
    <row r="6820" spans="1:9" ht="51.75" customHeight="1">
      <c r="A6820" s="5">
        <v>5</v>
      </c>
      <c r="B6820" s="5" t="s">
        <v>42262</v>
      </c>
      <c r="C6820" s="5" t="s">
        <v>42260</v>
      </c>
      <c r="D6820" s="246">
        <v>39986</v>
      </c>
      <c r="E6820" s="5" t="s">
        <v>42263</v>
      </c>
      <c r="F6820" s="26" t="s">
        <v>42097</v>
      </c>
      <c r="G6820" s="27" t="s">
        <v>2935</v>
      </c>
      <c r="H6820" s="28" t="s">
        <v>2936</v>
      </c>
      <c r="I6820" s="5" t="s">
        <v>138</v>
      </c>
    </row>
    <row r="6821" spans="1:9" ht="51.75" customHeight="1">
      <c r="A6821" s="5">
        <v>6</v>
      </c>
      <c r="B6821" s="5" t="s">
        <v>42264</v>
      </c>
      <c r="C6821" s="5" t="s">
        <v>42265</v>
      </c>
      <c r="D6821" s="246">
        <v>39986</v>
      </c>
      <c r="E6821" s="5" t="s">
        <v>42266</v>
      </c>
      <c r="F6821" s="26" t="s">
        <v>23600</v>
      </c>
      <c r="G6821" s="27" t="s">
        <v>2935</v>
      </c>
      <c r="H6821" s="28" t="s">
        <v>2936</v>
      </c>
      <c r="I6821" s="5" t="s">
        <v>138</v>
      </c>
    </row>
    <row r="6822" spans="1:9" ht="51.75" customHeight="1">
      <c r="A6822" s="5">
        <v>6</v>
      </c>
      <c r="B6822" s="5" t="s">
        <v>42267</v>
      </c>
      <c r="C6822" s="5" t="s">
        <v>42265</v>
      </c>
      <c r="D6822" s="246">
        <v>39986</v>
      </c>
      <c r="E6822" s="5" t="s">
        <v>42268</v>
      </c>
      <c r="F6822" s="26" t="s">
        <v>42097</v>
      </c>
      <c r="G6822" s="27" t="s">
        <v>2935</v>
      </c>
      <c r="H6822" s="28" t="s">
        <v>2936</v>
      </c>
      <c r="I6822" s="5" t="s">
        <v>138</v>
      </c>
    </row>
    <row r="6823" spans="1:9" ht="51.75" customHeight="1">
      <c r="A6823" s="5">
        <v>7</v>
      </c>
      <c r="B6823" s="5" t="s">
        <v>42269</v>
      </c>
      <c r="C6823" s="5" t="s">
        <v>42270</v>
      </c>
      <c r="D6823" s="246">
        <v>39986</v>
      </c>
      <c r="E6823" s="5" t="s">
        <v>42271</v>
      </c>
      <c r="F6823" s="26" t="s">
        <v>23600</v>
      </c>
      <c r="G6823" s="27" t="s">
        <v>2935</v>
      </c>
      <c r="H6823" s="28" t="s">
        <v>2936</v>
      </c>
      <c r="I6823" s="5" t="s">
        <v>138</v>
      </c>
    </row>
    <row r="6824" spans="1:9" ht="51.75" customHeight="1">
      <c r="A6824" s="5">
        <v>7</v>
      </c>
      <c r="B6824" s="5" t="s">
        <v>42272</v>
      </c>
      <c r="C6824" s="5" t="s">
        <v>42270</v>
      </c>
      <c r="D6824" s="246">
        <v>39986</v>
      </c>
      <c r="E6824" s="5" t="s">
        <v>42273</v>
      </c>
      <c r="F6824" s="26" t="s">
        <v>42097</v>
      </c>
      <c r="G6824" s="27" t="s">
        <v>2935</v>
      </c>
      <c r="H6824" s="28" t="s">
        <v>2936</v>
      </c>
      <c r="I6824" s="5" t="s">
        <v>138</v>
      </c>
    </row>
    <row r="6825" spans="1:9" ht="51.75" customHeight="1">
      <c r="A6825" s="5">
        <v>1</v>
      </c>
      <c r="B6825" s="5" t="s">
        <v>42274</v>
      </c>
      <c r="C6825" s="5" t="s">
        <v>42275</v>
      </c>
      <c r="D6825" s="246">
        <v>39986</v>
      </c>
      <c r="E6825" s="5" t="s">
        <v>42276</v>
      </c>
      <c r="F6825" s="26" t="s">
        <v>23600</v>
      </c>
      <c r="G6825" s="27" t="s">
        <v>2927</v>
      </c>
      <c r="H6825" s="28" t="s">
        <v>2928</v>
      </c>
      <c r="I6825" s="5" t="s">
        <v>138</v>
      </c>
    </row>
    <row r="6826" spans="1:9" ht="51.75" customHeight="1">
      <c r="A6826" s="5">
        <v>1</v>
      </c>
      <c r="B6826" s="5" t="s">
        <v>42277</v>
      </c>
      <c r="C6826" s="5" t="s">
        <v>42275</v>
      </c>
      <c r="D6826" s="246">
        <v>39986</v>
      </c>
      <c r="E6826" s="5" t="s">
        <v>42278</v>
      </c>
      <c r="F6826" s="26" t="s">
        <v>42097</v>
      </c>
      <c r="G6826" s="27" t="s">
        <v>2927</v>
      </c>
      <c r="H6826" s="28" t="s">
        <v>2928</v>
      </c>
      <c r="I6826" s="5" t="s">
        <v>138</v>
      </c>
    </row>
    <row r="6827" spans="1:9" ht="51.75" customHeight="1">
      <c r="A6827" s="5">
        <v>2</v>
      </c>
      <c r="B6827" s="5" t="s">
        <v>42279</v>
      </c>
      <c r="C6827" s="5" t="s">
        <v>42280</v>
      </c>
      <c r="D6827" s="246">
        <v>39986</v>
      </c>
      <c r="E6827" s="5" t="s">
        <v>42281</v>
      </c>
      <c r="F6827" s="26" t="s">
        <v>23600</v>
      </c>
      <c r="G6827" s="27" t="s">
        <v>2927</v>
      </c>
      <c r="H6827" s="28" t="s">
        <v>2928</v>
      </c>
      <c r="I6827" s="5" t="s">
        <v>138</v>
      </c>
    </row>
    <row r="6828" spans="1:9" ht="51.75" customHeight="1">
      <c r="A6828" s="5">
        <v>2</v>
      </c>
      <c r="B6828" s="5" t="s">
        <v>42282</v>
      </c>
      <c r="C6828" s="5" t="s">
        <v>42280</v>
      </c>
      <c r="D6828" s="246">
        <v>39986</v>
      </c>
      <c r="E6828" s="5" t="s">
        <v>42283</v>
      </c>
      <c r="F6828" s="26" t="s">
        <v>42097</v>
      </c>
      <c r="G6828" s="27" t="s">
        <v>2927</v>
      </c>
      <c r="H6828" s="28" t="s">
        <v>2928</v>
      </c>
      <c r="I6828" s="5" t="s">
        <v>138</v>
      </c>
    </row>
    <row r="6829" spans="1:9" ht="51.75" customHeight="1">
      <c r="A6829" s="5">
        <v>1</v>
      </c>
      <c r="B6829" s="5" t="s">
        <v>42284</v>
      </c>
      <c r="C6829" s="5" t="s">
        <v>42285</v>
      </c>
      <c r="D6829" s="246">
        <v>40095</v>
      </c>
      <c r="E6829" s="5" t="s">
        <v>42286</v>
      </c>
      <c r="F6829" s="26" t="s">
        <v>42097</v>
      </c>
      <c r="G6829" s="27" t="s">
        <v>2976</v>
      </c>
      <c r="H6829" s="28" t="s">
        <v>2977</v>
      </c>
      <c r="I6829" s="5" t="s">
        <v>138</v>
      </c>
    </row>
    <row r="6830" spans="1:9" ht="51.75" customHeight="1">
      <c r="A6830" s="5">
        <v>1</v>
      </c>
      <c r="B6830" s="5" t="s">
        <v>42287</v>
      </c>
      <c r="C6830" s="5" t="s">
        <v>42285</v>
      </c>
      <c r="D6830" s="246">
        <v>40095</v>
      </c>
      <c r="E6830" s="5" t="s">
        <v>42288</v>
      </c>
      <c r="F6830" s="26" t="s">
        <v>23600</v>
      </c>
      <c r="G6830" s="27" t="s">
        <v>2976</v>
      </c>
      <c r="H6830" s="28" t="s">
        <v>2977</v>
      </c>
      <c r="I6830" s="5" t="s">
        <v>138</v>
      </c>
    </row>
    <row r="6831" spans="1:9" ht="51.75" customHeight="1">
      <c r="A6831" s="5">
        <v>2</v>
      </c>
      <c r="B6831" s="5" t="s">
        <v>42289</v>
      </c>
      <c r="C6831" s="5" t="s">
        <v>42290</v>
      </c>
      <c r="D6831" s="246">
        <v>40095</v>
      </c>
      <c r="E6831" s="5" t="s">
        <v>42291</v>
      </c>
      <c r="F6831" s="26" t="s">
        <v>42097</v>
      </c>
      <c r="G6831" s="27" t="s">
        <v>2976</v>
      </c>
      <c r="H6831" s="28" t="s">
        <v>2977</v>
      </c>
      <c r="I6831" s="5" t="s">
        <v>138</v>
      </c>
    </row>
    <row r="6832" spans="1:9" ht="51.75" customHeight="1">
      <c r="A6832" s="5">
        <v>2</v>
      </c>
      <c r="B6832" s="5" t="s">
        <v>42292</v>
      </c>
      <c r="C6832" s="5" t="s">
        <v>42290</v>
      </c>
      <c r="D6832" s="246">
        <v>40095</v>
      </c>
      <c r="E6832" s="5" t="s">
        <v>42293</v>
      </c>
      <c r="F6832" s="26" t="s">
        <v>23600</v>
      </c>
      <c r="G6832" s="27" t="s">
        <v>2976</v>
      </c>
      <c r="H6832" s="28" t="s">
        <v>2977</v>
      </c>
      <c r="I6832" s="5" t="s">
        <v>138</v>
      </c>
    </row>
    <row r="6833" spans="1:9" ht="51.75" customHeight="1">
      <c r="A6833" s="5">
        <v>3</v>
      </c>
      <c r="B6833" s="5" t="s">
        <v>42294</v>
      </c>
      <c r="C6833" s="5" t="s">
        <v>42295</v>
      </c>
      <c r="D6833" s="246">
        <v>40095</v>
      </c>
      <c r="E6833" s="5" t="s">
        <v>42296</v>
      </c>
      <c r="F6833" s="26" t="s">
        <v>42097</v>
      </c>
      <c r="G6833" s="27" t="s">
        <v>2976</v>
      </c>
      <c r="H6833" s="28" t="s">
        <v>2977</v>
      </c>
      <c r="I6833" s="5" t="s">
        <v>138</v>
      </c>
    </row>
    <row r="6834" spans="1:9" ht="51.75" customHeight="1">
      <c r="A6834" s="5">
        <v>3</v>
      </c>
      <c r="B6834" s="5" t="s">
        <v>42297</v>
      </c>
      <c r="C6834" s="5" t="s">
        <v>42295</v>
      </c>
      <c r="D6834" s="246">
        <v>40095</v>
      </c>
      <c r="E6834" s="5" t="s">
        <v>42298</v>
      </c>
      <c r="F6834" s="26" t="s">
        <v>23600</v>
      </c>
      <c r="G6834" s="27" t="s">
        <v>2976</v>
      </c>
      <c r="H6834" s="28" t="s">
        <v>2977</v>
      </c>
      <c r="I6834" s="5" t="s">
        <v>138</v>
      </c>
    </row>
    <row r="6835" spans="1:9" ht="51.75" customHeight="1">
      <c r="A6835" s="5">
        <v>4</v>
      </c>
      <c r="B6835" s="5" t="s">
        <v>42299</v>
      </c>
      <c r="C6835" s="5" t="s">
        <v>42300</v>
      </c>
      <c r="D6835" s="246">
        <v>40095</v>
      </c>
      <c r="E6835" s="5" t="s">
        <v>42301</v>
      </c>
      <c r="F6835" s="26" t="s">
        <v>42097</v>
      </c>
      <c r="G6835" s="27" t="s">
        <v>2976</v>
      </c>
      <c r="H6835" s="28" t="s">
        <v>2977</v>
      </c>
      <c r="I6835" s="5" t="s">
        <v>138</v>
      </c>
    </row>
    <row r="6836" spans="1:9" ht="51.75" customHeight="1">
      <c r="A6836" s="5">
        <v>4</v>
      </c>
      <c r="B6836" s="5" t="s">
        <v>42302</v>
      </c>
      <c r="C6836" s="5" t="s">
        <v>42300</v>
      </c>
      <c r="D6836" s="246">
        <v>40095</v>
      </c>
      <c r="E6836" s="5" t="s">
        <v>42303</v>
      </c>
      <c r="F6836" s="26" t="s">
        <v>23600</v>
      </c>
      <c r="G6836" s="27" t="s">
        <v>2976</v>
      </c>
      <c r="H6836" s="28" t="s">
        <v>2977</v>
      </c>
      <c r="I6836" s="5" t="s">
        <v>138</v>
      </c>
    </row>
    <row r="6837" spans="1:9" ht="51.75" customHeight="1">
      <c r="A6837" s="5">
        <v>5</v>
      </c>
      <c r="B6837" s="5" t="s">
        <v>42304</v>
      </c>
      <c r="C6837" s="5" t="s">
        <v>42305</v>
      </c>
      <c r="D6837" s="246">
        <v>40095</v>
      </c>
      <c r="E6837" s="5" t="s">
        <v>42306</v>
      </c>
      <c r="F6837" s="26" t="s">
        <v>42097</v>
      </c>
      <c r="G6837" s="27" t="s">
        <v>2976</v>
      </c>
      <c r="H6837" s="28" t="s">
        <v>2977</v>
      </c>
      <c r="I6837" s="5" t="s">
        <v>138</v>
      </c>
    </row>
    <row r="6838" spans="1:9" ht="51.75" customHeight="1">
      <c r="A6838" s="5">
        <v>5</v>
      </c>
      <c r="B6838" s="5" t="s">
        <v>42307</v>
      </c>
      <c r="C6838" s="5" t="s">
        <v>42305</v>
      </c>
      <c r="D6838" s="246">
        <v>40095</v>
      </c>
      <c r="E6838" s="5" t="s">
        <v>42308</v>
      </c>
      <c r="F6838" s="26" t="s">
        <v>23600</v>
      </c>
      <c r="G6838" s="27" t="s">
        <v>2976</v>
      </c>
      <c r="H6838" s="28" t="s">
        <v>2977</v>
      </c>
      <c r="I6838" s="5" t="s">
        <v>138</v>
      </c>
    </row>
    <row r="6839" spans="1:9" ht="51.75" customHeight="1">
      <c r="A6839" s="5">
        <v>1</v>
      </c>
      <c r="B6839" s="5" t="s">
        <v>42309</v>
      </c>
      <c r="C6839" s="5" t="s">
        <v>42310</v>
      </c>
      <c r="D6839" s="246">
        <v>40564</v>
      </c>
      <c r="E6839" s="5" t="s">
        <v>42311</v>
      </c>
      <c r="F6839" s="26" t="s">
        <v>23600</v>
      </c>
      <c r="G6839" s="27" t="s">
        <v>2907</v>
      </c>
      <c r="H6839" s="28" t="s">
        <v>2908</v>
      </c>
      <c r="I6839" s="5" t="s">
        <v>138</v>
      </c>
    </row>
    <row r="6840" spans="1:9" ht="51.75" customHeight="1">
      <c r="A6840" s="5">
        <v>1</v>
      </c>
      <c r="B6840" s="5" t="s">
        <v>42312</v>
      </c>
      <c r="C6840" s="5" t="s">
        <v>42310</v>
      </c>
      <c r="D6840" s="246">
        <v>40564</v>
      </c>
      <c r="E6840" s="5" t="s">
        <v>42313</v>
      </c>
      <c r="F6840" s="26" t="s">
        <v>42097</v>
      </c>
      <c r="G6840" s="27" t="s">
        <v>2907</v>
      </c>
      <c r="H6840" s="28" t="s">
        <v>2908</v>
      </c>
      <c r="I6840" s="5" t="s">
        <v>138</v>
      </c>
    </row>
    <row r="6841" spans="1:9" ht="51.75" customHeight="1">
      <c r="A6841" s="5">
        <v>2</v>
      </c>
      <c r="B6841" s="5" t="s">
        <v>42314</v>
      </c>
      <c r="C6841" s="5" t="s">
        <v>42315</v>
      </c>
      <c r="D6841" s="246">
        <v>40564</v>
      </c>
      <c r="E6841" s="5" t="s">
        <v>42316</v>
      </c>
      <c r="F6841" s="26" t="s">
        <v>23600</v>
      </c>
      <c r="G6841" s="27" t="s">
        <v>2907</v>
      </c>
      <c r="H6841" s="28" t="s">
        <v>2908</v>
      </c>
      <c r="I6841" s="5" t="s">
        <v>138</v>
      </c>
    </row>
    <row r="6842" spans="1:9" ht="51.75" customHeight="1">
      <c r="A6842" s="5">
        <v>2</v>
      </c>
      <c r="B6842" s="5" t="s">
        <v>42317</v>
      </c>
      <c r="C6842" s="5" t="s">
        <v>42315</v>
      </c>
      <c r="D6842" s="246">
        <v>40564</v>
      </c>
      <c r="E6842" s="5" t="s">
        <v>42318</v>
      </c>
      <c r="F6842" s="26" t="s">
        <v>42097</v>
      </c>
      <c r="G6842" s="27" t="s">
        <v>2907</v>
      </c>
      <c r="H6842" s="28" t="s">
        <v>2908</v>
      </c>
      <c r="I6842" s="5" t="s">
        <v>138</v>
      </c>
    </row>
    <row r="6843" spans="1:9" ht="51.75" customHeight="1">
      <c r="A6843" s="5">
        <v>3</v>
      </c>
      <c r="B6843" s="5" t="s">
        <v>42319</v>
      </c>
      <c r="C6843" s="5" t="s">
        <v>42320</v>
      </c>
      <c r="D6843" s="246">
        <v>40564</v>
      </c>
      <c r="E6843" s="5" t="s">
        <v>42321</v>
      </c>
      <c r="F6843" s="26" t="s">
        <v>23600</v>
      </c>
      <c r="G6843" s="27" t="s">
        <v>2907</v>
      </c>
      <c r="H6843" s="28" t="s">
        <v>2908</v>
      </c>
      <c r="I6843" s="5" t="s">
        <v>138</v>
      </c>
    </row>
    <row r="6844" spans="1:9" ht="51.75" customHeight="1">
      <c r="A6844" s="5">
        <v>3</v>
      </c>
      <c r="B6844" s="5" t="s">
        <v>42322</v>
      </c>
      <c r="C6844" s="5" t="s">
        <v>42320</v>
      </c>
      <c r="D6844" s="246">
        <v>40564</v>
      </c>
      <c r="E6844" s="5" t="s">
        <v>42323</v>
      </c>
      <c r="F6844" s="26" t="s">
        <v>42097</v>
      </c>
      <c r="G6844" s="27" t="s">
        <v>2907</v>
      </c>
      <c r="H6844" s="28" t="s">
        <v>2908</v>
      </c>
      <c r="I6844" s="5" t="s">
        <v>138</v>
      </c>
    </row>
    <row r="6845" spans="1:9" ht="51.75" customHeight="1">
      <c r="A6845" s="5">
        <v>1</v>
      </c>
      <c r="B6845" s="5" t="s">
        <v>42324</v>
      </c>
      <c r="C6845" s="5" t="s">
        <v>42325</v>
      </c>
      <c r="D6845" s="246">
        <v>39587</v>
      </c>
      <c r="E6845" s="5" t="s">
        <v>42326</v>
      </c>
      <c r="F6845" s="26" t="s">
        <v>23600</v>
      </c>
      <c r="G6845" s="27" t="s">
        <v>2720</v>
      </c>
      <c r="H6845" s="28" t="s">
        <v>2721</v>
      </c>
      <c r="I6845" s="5" t="s">
        <v>138</v>
      </c>
    </row>
    <row r="6846" spans="1:9" ht="51.75" customHeight="1">
      <c r="A6846" s="5">
        <v>1</v>
      </c>
      <c r="B6846" s="5" t="s">
        <v>42327</v>
      </c>
      <c r="C6846" s="5" t="s">
        <v>42325</v>
      </c>
      <c r="D6846" s="246">
        <v>39587</v>
      </c>
      <c r="E6846" s="5" t="s">
        <v>42328</v>
      </c>
      <c r="F6846" s="26" t="s">
        <v>42097</v>
      </c>
      <c r="G6846" s="27" t="s">
        <v>2720</v>
      </c>
      <c r="H6846" s="28" t="s">
        <v>2721</v>
      </c>
      <c r="I6846" s="5" t="s">
        <v>138</v>
      </c>
    </row>
    <row r="6847" spans="1:9" ht="51.75" customHeight="1">
      <c r="A6847" s="5">
        <v>2</v>
      </c>
      <c r="B6847" s="5" t="s">
        <v>42329</v>
      </c>
      <c r="C6847" s="5" t="s">
        <v>42330</v>
      </c>
      <c r="D6847" s="246">
        <v>39587</v>
      </c>
      <c r="E6847" s="5" t="s">
        <v>42331</v>
      </c>
      <c r="F6847" s="26" t="s">
        <v>23600</v>
      </c>
      <c r="G6847" s="27" t="s">
        <v>2720</v>
      </c>
      <c r="H6847" s="28" t="s">
        <v>2721</v>
      </c>
      <c r="I6847" s="5" t="s">
        <v>138</v>
      </c>
    </row>
    <row r="6848" spans="1:9" ht="51.75" customHeight="1">
      <c r="A6848" s="5">
        <v>2</v>
      </c>
      <c r="B6848" s="5" t="s">
        <v>42332</v>
      </c>
      <c r="C6848" s="5" t="s">
        <v>42330</v>
      </c>
      <c r="D6848" s="246">
        <v>39587</v>
      </c>
      <c r="E6848" s="5" t="s">
        <v>42333</v>
      </c>
      <c r="F6848" s="26" t="s">
        <v>42097</v>
      </c>
      <c r="G6848" s="27" t="s">
        <v>2720</v>
      </c>
      <c r="H6848" s="28" t="s">
        <v>2721</v>
      </c>
      <c r="I6848" s="5" t="s">
        <v>138</v>
      </c>
    </row>
    <row r="6849" spans="1:9" ht="51.75" customHeight="1">
      <c r="A6849" s="5">
        <v>3</v>
      </c>
      <c r="B6849" s="5" t="s">
        <v>42334</v>
      </c>
      <c r="C6849" s="5" t="s">
        <v>42335</v>
      </c>
      <c r="D6849" s="246">
        <v>39587</v>
      </c>
      <c r="E6849" s="5" t="s">
        <v>42336</v>
      </c>
      <c r="F6849" s="26" t="s">
        <v>23600</v>
      </c>
      <c r="G6849" s="27" t="s">
        <v>2720</v>
      </c>
      <c r="H6849" s="28" t="s">
        <v>2721</v>
      </c>
      <c r="I6849" s="5" t="s">
        <v>138</v>
      </c>
    </row>
    <row r="6850" spans="1:9" ht="51.75" customHeight="1">
      <c r="A6850" s="5">
        <v>3</v>
      </c>
      <c r="B6850" s="5" t="s">
        <v>42337</v>
      </c>
      <c r="C6850" s="5" t="s">
        <v>42335</v>
      </c>
      <c r="D6850" s="246">
        <v>39587</v>
      </c>
      <c r="E6850" s="5" t="s">
        <v>42338</v>
      </c>
      <c r="F6850" s="26" t="s">
        <v>42097</v>
      </c>
      <c r="G6850" s="27" t="s">
        <v>2720</v>
      </c>
      <c r="H6850" s="28" t="s">
        <v>2721</v>
      </c>
      <c r="I6850" s="5" t="s">
        <v>138</v>
      </c>
    </row>
    <row r="6851" spans="1:9" ht="51.75" customHeight="1">
      <c r="A6851" s="5">
        <v>1</v>
      </c>
      <c r="B6851" s="5" t="s">
        <v>42339</v>
      </c>
      <c r="C6851" s="5" t="s">
        <v>42340</v>
      </c>
      <c r="D6851" s="246">
        <v>39829</v>
      </c>
      <c r="E6851" s="5" t="s">
        <v>42341</v>
      </c>
      <c r="F6851" s="26" t="s">
        <v>23600</v>
      </c>
      <c r="G6851" s="27" t="s">
        <v>2498</v>
      </c>
      <c r="H6851" s="28" t="s">
        <v>2499</v>
      </c>
      <c r="I6851" s="5" t="s">
        <v>138</v>
      </c>
    </row>
    <row r="6852" spans="1:9" ht="51.75" customHeight="1">
      <c r="A6852" s="5">
        <v>1</v>
      </c>
      <c r="B6852" s="5" t="s">
        <v>42342</v>
      </c>
      <c r="C6852" s="5" t="s">
        <v>42340</v>
      </c>
      <c r="D6852" s="246">
        <v>39829</v>
      </c>
      <c r="E6852" s="5" t="s">
        <v>42343</v>
      </c>
      <c r="F6852" s="26" t="s">
        <v>42097</v>
      </c>
      <c r="G6852" s="27" t="s">
        <v>2498</v>
      </c>
      <c r="H6852" s="28" t="s">
        <v>2499</v>
      </c>
      <c r="I6852" s="5" t="s">
        <v>138</v>
      </c>
    </row>
    <row r="6853" spans="1:9" ht="51.75" customHeight="1">
      <c r="A6853" s="5">
        <v>2</v>
      </c>
      <c r="B6853" s="5" t="s">
        <v>42344</v>
      </c>
      <c r="C6853" s="5" t="s">
        <v>42345</v>
      </c>
      <c r="D6853" s="246">
        <v>39829</v>
      </c>
      <c r="E6853" s="5" t="s">
        <v>42346</v>
      </c>
      <c r="F6853" s="26" t="s">
        <v>23600</v>
      </c>
      <c r="G6853" s="27" t="s">
        <v>2498</v>
      </c>
      <c r="H6853" s="28" t="s">
        <v>2499</v>
      </c>
      <c r="I6853" s="5" t="s">
        <v>138</v>
      </c>
    </row>
    <row r="6854" spans="1:9" ht="51.75" customHeight="1">
      <c r="A6854" s="5">
        <v>2</v>
      </c>
      <c r="B6854" s="5" t="s">
        <v>42347</v>
      </c>
      <c r="C6854" s="5" t="s">
        <v>42345</v>
      </c>
      <c r="D6854" s="246">
        <v>39829</v>
      </c>
      <c r="E6854" s="5" t="s">
        <v>42348</v>
      </c>
      <c r="F6854" s="26" t="s">
        <v>42097</v>
      </c>
      <c r="G6854" s="27" t="s">
        <v>2498</v>
      </c>
      <c r="H6854" s="28" t="s">
        <v>2499</v>
      </c>
      <c r="I6854" s="5" t="s">
        <v>138</v>
      </c>
    </row>
    <row r="6855" spans="1:9" ht="51.75" customHeight="1">
      <c r="A6855" s="5">
        <v>3</v>
      </c>
      <c r="B6855" s="5" t="s">
        <v>42349</v>
      </c>
      <c r="C6855" s="5" t="s">
        <v>42350</v>
      </c>
      <c r="D6855" s="246">
        <v>39829</v>
      </c>
      <c r="E6855" s="5" t="s">
        <v>42351</v>
      </c>
      <c r="F6855" s="26" t="s">
        <v>23600</v>
      </c>
      <c r="G6855" s="27" t="s">
        <v>2498</v>
      </c>
      <c r="H6855" s="28" t="s">
        <v>2499</v>
      </c>
      <c r="I6855" s="5" t="s">
        <v>138</v>
      </c>
    </row>
    <row r="6856" spans="1:9" ht="51.75" customHeight="1">
      <c r="A6856" s="5">
        <v>3</v>
      </c>
      <c r="B6856" s="5" t="s">
        <v>42352</v>
      </c>
      <c r="C6856" s="5" t="s">
        <v>42350</v>
      </c>
      <c r="D6856" s="246">
        <v>39829</v>
      </c>
      <c r="E6856" s="5" t="s">
        <v>42353</v>
      </c>
      <c r="F6856" s="26" t="s">
        <v>42097</v>
      </c>
      <c r="G6856" s="27" t="s">
        <v>2498</v>
      </c>
      <c r="H6856" s="28" t="s">
        <v>2499</v>
      </c>
      <c r="I6856" s="5" t="s">
        <v>138</v>
      </c>
    </row>
    <row r="6857" spans="1:9" ht="51.75" customHeight="1">
      <c r="A6857" s="5">
        <v>1</v>
      </c>
      <c r="B6857" s="5" t="s">
        <v>42354</v>
      </c>
      <c r="C6857" s="5" t="s">
        <v>42355</v>
      </c>
      <c r="D6857" s="246">
        <v>39829</v>
      </c>
      <c r="E6857" s="5" t="s">
        <v>42356</v>
      </c>
      <c r="F6857" s="26" t="s">
        <v>23600</v>
      </c>
      <c r="G6857" s="27" t="s">
        <v>2416</v>
      </c>
      <c r="H6857" s="28" t="s">
        <v>2417</v>
      </c>
      <c r="I6857" s="5" t="s">
        <v>138</v>
      </c>
    </row>
    <row r="6858" spans="1:9" ht="51.75" customHeight="1">
      <c r="A6858" s="5">
        <v>1</v>
      </c>
      <c r="B6858" s="5" t="s">
        <v>42357</v>
      </c>
      <c r="C6858" s="5" t="s">
        <v>42355</v>
      </c>
      <c r="D6858" s="246">
        <v>39829</v>
      </c>
      <c r="E6858" s="5" t="s">
        <v>42358</v>
      </c>
      <c r="F6858" s="26" t="s">
        <v>42097</v>
      </c>
      <c r="G6858" s="27" t="s">
        <v>2416</v>
      </c>
      <c r="H6858" s="28" t="s">
        <v>2417</v>
      </c>
      <c r="I6858" s="5" t="s">
        <v>138</v>
      </c>
    </row>
    <row r="6859" spans="1:9" ht="51.75" customHeight="1">
      <c r="A6859" s="5">
        <v>2</v>
      </c>
      <c r="B6859" s="5" t="s">
        <v>42359</v>
      </c>
      <c r="C6859" s="5" t="s">
        <v>42360</v>
      </c>
      <c r="D6859" s="246">
        <v>39829</v>
      </c>
      <c r="E6859" s="5" t="s">
        <v>42361</v>
      </c>
      <c r="F6859" s="26" t="s">
        <v>23600</v>
      </c>
      <c r="G6859" s="27" t="s">
        <v>2416</v>
      </c>
      <c r="H6859" s="28" t="s">
        <v>2417</v>
      </c>
      <c r="I6859" s="5" t="s">
        <v>138</v>
      </c>
    </row>
    <row r="6860" spans="1:9" ht="51.75" customHeight="1">
      <c r="A6860" s="5">
        <v>2</v>
      </c>
      <c r="B6860" s="5" t="s">
        <v>42362</v>
      </c>
      <c r="C6860" s="5" t="s">
        <v>42360</v>
      </c>
      <c r="D6860" s="246">
        <v>39829</v>
      </c>
      <c r="E6860" s="5" t="s">
        <v>42363</v>
      </c>
      <c r="F6860" s="26" t="s">
        <v>42097</v>
      </c>
      <c r="G6860" s="27" t="s">
        <v>2416</v>
      </c>
      <c r="H6860" s="28" t="s">
        <v>2417</v>
      </c>
      <c r="I6860" s="5" t="s">
        <v>138</v>
      </c>
    </row>
    <row r="6861" spans="1:9" ht="51.75" customHeight="1">
      <c r="A6861" s="5">
        <v>3</v>
      </c>
      <c r="B6861" s="5" t="s">
        <v>42364</v>
      </c>
      <c r="C6861" s="5" t="s">
        <v>42365</v>
      </c>
      <c r="D6861" s="246">
        <v>39829</v>
      </c>
      <c r="E6861" s="5" t="s">
        <v>42366</v>
      </c>
      <c r="F6861" s="26" t="s">
        <v>23600</v>
      </c>
      <c r="G6861" s="27" t="s">
        <v>2416</v>
      </c>
      <c r="H6861" s="28" t="s">
        <v>2417</v>
      </c>
      <c r="I6861" s="5" t="s">
        <v>138</v>
      </c>
    </row>
    <row r="6862" spans="1:9" ht="51.75" customHeight="1">
      <c r="A6862" s="5">
        <v>3</v>
      </c>
      <c r="B6862" s="5" t="s">
        <v>42367</v>
      </c>
      <c r="C6862" s="5" t="s">
        <v>42365</v>
      </c>
      <c r="D6862" s="246">
        <v>39829</v>
      </c>
      <c r="E6862" s="5" t="s">
        <v>42368</v>
      </c>
      <c r="F6862" s="26" t="s">
        <v>42097</v>
      </c>
      <c r="G6862" s="27" t="s">
        <v>2416</v>
      </c>
      <c r="H6862" s="28" t="s">
        <v>2417</v>
      </c>
      <c r="I6862" s="5" t="s">
        <v>138</v>
      </c>
    </row>
    <row r="6863" spans="1:9" ht="51.75" customHeight="1">
      <c r="A6863" s="5">
        <v>1</v>
      </c>
      <c r="B6863" s="5" t="s">
        <v>42369</v>
      </c>
      <c r="C6863" s="5" t="s">
        <v>42370</v>
      </c>
      <c r="D6863" s="246">
        <v>39378</v>
      </c>
      <c r="E6863" s="5" t="s">
        <v>42371</v>
      </c>
      <c r="F6863" s="26" t="s">
        <v>23600</v>
      </c>
      <c r="G6863" s="27" t="s">
        <v>2262</v>
      </c>
      <c r="H6863" s="28" t="s">
        <v>2263</v>
      </c>
      <c r="I6863" s="5" t="s">
        <v>138</v>
      </c>
    </row>
    <row r="6864" spans="1:9" ht="51.75" customHeight="1">
      <c r="A6864" s="5">
        <v>1</v>
      </c>
      <c r="B6864" s="5" t="s">
        <v>42372</v>
      </c>
      <c r="C6864" s="5" t="s">
        <v>42370</v>
      </c>
      <c r="D6864" s="246">
        <v>39378</v>
      </c>
      <c r="E6864" s="5" t="s">
        <v>42373</v>
      </c>
      <c r="F6864" s="26" t="s">
        <v>42097</v>
      </c>
      <c r="G6864" s="27" t="s">
        <v>2262</v>
      </c>
      <c r="H6864" s="28" t="s">
        <v>2263</v>
      </c>
      <c r="I6864" s="5" t="s">
        <v>138</v>
      </c>
    </row>
    <row r="6865" spans="1:9" ht="51.75" customHeight="1">
      <c r="A6865" s="5">
        <v>2</v>
      </c>
      <c r="B6865" s="5" t="s">
        <v>42374</v>
      </c>
      <c r="C6865" s="5" t="s">
        <v>42375</v>
      </c>
      <c r="D6865" s="246">
        <v>39378</v>
      </c>
      <c r="E6865" s="5" t="s">
        <v>42376</v>
      </c>
      <c r="F6865" s="26" t="s">
        <v>23600</v>
      </c>
      <c r="G6865" s="27" t="s">
        <v>2262</v>
      </c>
      <c r="H6865" s="28" t="s">
        <v>2263</v>
      </c>
      <c r="I6865" s="5" t="s">
        <v>138</v>
      </c>
    </row>
    <row r="6866" spans="1:9" ht="51.75" customHeight="1">
      <c r="A6866" s="5">
        <v>2</v>
      </c>
      <c r="B6866" s="5" t="s">
        <v>42377</v>
      </c>
      <c r="C6866" s="5" t="s">
        <v>42375</v>
      </c>
      <c r="D6866" s="246">
        <v>39378</v>
      </c>
      <c r="E6866" s="5" t="s">
        <v>42378</v>
      </c>
      <c r="F6866" s="26" t="s">
        <v>42097</v>
      </c>
      <c r="G6866" s="27" t="s">
        <v>2262</v>
      </c>
      <c r="H6866" s="28" t="s">
        <v>2263</v>
      </c>
      <c r="I6866" s="5" t="s">
        <v>138</v>
      </c>
    </row>
    <row r="6867" spans="1:9" ht="51.75" customHeight="1">
      <c r="A6867" s="5">
        <v>3</v>
      </c>
      <c r="B6867" s="5" t="s">
        <v>42379</v>
      </c>
      <c r="C6867" s="5" t="s">
        <v>42380</v>
      </c>
      <c r="D6867" s="246">
        <v>39378</v>
      </c>
      <c r="E6867" s="5" t="s">
        <v>42381</v>
      </c>
      <c r="F6867" s="26" t="s">
        <v>23600</v>
      </c>
      <c r="G6867" s="27" t="s">
        <v>2262</v>
      </c>
      <c r="H6867" s="28" t="s">
        <v>2263</v>
      </c>
      <c r="I6867" s="5" t="s">
        <v>138</v>
      </c>
    </row>
    <row r="6868" spans="1:9" ht="51.75" customHeight="1">
      <c r="A6868" s="5">
        <v>3</v>
      </c>
      <c r="B6868" s="5" t="s">
        <v>42382</v>
      </c>
      <c r="C6868" s="5" t="s">
        <v>42380</v>
      </c>
      <c r="D6868" s="246">
        <v>39378</v>
      </c>
      <c r="E6868" s="5" t="s">
        <v>42383</v>
      </c>
      <c r="F6868" s="26" t="s">
        <v>42097</v>
      </c>
      <c r="G6868" s="27" t="s">
        <v>2262</v>
      </c>
      <c r="H6868" s="28" t="s">
        <v>2263</v>
      </c>
      <c r="I6868" s="5" t="s">
        <v>138</v>
      </c>
    </row>
    <row r="6869" spans="1:9" ht="51.75" customHeight="1">
      <c r="A6869" s="5">
        <v>4</v>
      </c>
      <c r="B6869" s="5" t="s">
        <v>42384</v>
      </c>
      <c r="C6869" s="5" t="s">
        <v>42385</v>
      </c>
      <c r="D6869" s="246">
        <v>39378</v>
      </c>
      <c r="E6869" s="5" t="s">
        <v>42386</v>
      </c>
      <c r="F6869" s="26" t="s">
        <v>23600</v>
      </c>
      <c r="G6869" s="27" t="s">
        <v>2262</v>
      </c>
      <c r="H6869" s="28" t="s">
        <v>2263</v>
      </c>
      <c r="I6869" s="5" t="s">
        <v>138</v>
      </c>
    </row>
    <row r="6870" spans="1:9" ht="51.75" customHeight="1">
      <c r="A6870" s="5">
        <v>4</v>
      </c>
      <c r="B6870" s="5" t="s">
        <v>42387</v>
      </c>
      <c r="C6870" s="5" t="s">
        <v>42385</v>
      </c>
      <c r="D6870" s="246">
        <v>39378</v>
      </c>
      <c r="E6870" s="5" t="s">
        <v>42388</v>
      </c>
      <c r="F6870" s="26"/>
      <c r="G6870" s="27" t="s">
        <v>2262</v>
      </c>
      <c r="H6870" s="28" t="s">
        <v>2263</v>
      </c>
      <c r="I6870" s="5" t="s">
        <v>138</v>
      </c>
    </row>
    <row r="6871" spans="1:9" ht="51.75" customHeight="1">
      <c r="A6871" s="5">
        <v>5</v>
      </c>
      <c r="B6871" s="5" t="s">
        <v>42389</v>
      </c>
      <c r="C6871" s="5" t="s">
        <v>42390</v>
      </c>
      <c r="D6871" s="246">
        <v>39378</v>
      </c>
      <c r="E6871" s="5" t="s">
        <v>42391</v>
      </c>
      <c r="F6871" s="26" t="s">
        <v>23600</v>
      </c>
      <c r="G6871" s="27" t="s">
        <v>2262</v>
      </c>
      <c r="H6871" s="28" t="s">
        <v>2263</v>
      </c>
      <c r="I6871" s="5" t="s">
        <v>138</v>
      </c>
    </row>
    <row r="6872" spans="1:9" ht="51.75" customHeight="1">
      <c r="A6872" s="5">
        <v>5</v>
      </c>
      <c r="B6872" s="5" t="s">
        <v>42392</v>
      </c>
      <c r="C6872" s="5" t="s">
        <v>42390</v>
      </c>
      <c r="D6872" s="246">
        <v>39378</v>
      </c>
      <c r="E6872" s="5" t="s">
        <v>42393</v>
      </c>
      <c r="F6872" s="26" t="s">
        <v>42097</v>
      </c>
      <c r="G6872" s="27" t="s">
        <v>2262</v>
      </c>
      <c r="H6872" s="28" t="s">
        <v>2263</v>
      </c>
      <c r="I6872" s="5" t="s">
        <v>138</v>
      </c>
    </row>
    <row r="6873" spans="1:9" ht="51.75" customHeight="1">
      <c r="A6873" s="5">
        <v>1</v>
      </c>
      <c r="B6873" s="5" t="s">
        <v>42394</v>
      </c>
      <c r="C6873" s="5" t="s">
        <v>42395</v>
      </c>
      <c r="D6873" s="246">
        <v>39990</v>
      </c>
      <c r="E6873" s="5" t="s">
        <v>42396</v>
      </c>
      <c r="F6873" s="26" t="s">
        <v>23600</v>
      </c>
      <c r="G6873" s="27" t="s">
        <v>485</v>
      </c>
      <c r="H6873" s="28" t="s">
        <v>486</v>
      </c>
      <c r="I6873" s="5" t="s">
        <v>138</v>
      </c>
    </row>
    <row r="6874" spans="1:9" ht="51.75" customHeight="1">
      <c r="A6874" s="5">
        <v>1</v>
      </c>
      <c r="B6874" s="5" t="s">
        <v>42397</v>
      </c>
      <c r="C6874" s="5" t="s">
        <v>42395</v>
      </c>
      <c r="D6874" s="246">
        <v>39990</v>
      </c>
      <c r="E6874" s="5" t="s">
        <v>42398</v>
      </c>
      <c r="F6874" s="26" t="s">
        <v>42097</v>
      </c>
      <c r="G6874" s="27" t="s">
        <v>485</v>
      </c>
      <c r="H6874" s="28" t="s">
        <v>486</v>
      </c>
      <c r="I6874" s="5" t="s">
        <v>138</v>
      </c>
    </row>
    <row r="6875" spans="1:9" ht="51.75" customHeight="1">
      <c r="A6875" s="5">
        <v>2</v>
      </c>
      <c r="B6875" s="5" t="s">
        <v>42399</v>
      </c>
      <c r="C6875" s="5" t="s">
        <v>42400</v>
      </c>
      <c r="D6875" s="246">
        <v>39990</v>
      </c>
      <c r="E6875" s="5" t="s">
        <v>42401</v>
      </c>
      <c r="F6875" s="26" t="s">
        <v>23600</v>
      </c>
      <c r="G6875" s="27" t="s">
        <v>485</v>
      </c>
      <c r="H6875" s="28" t="s">
        <v>486</v>
      </c>
      <c r="I6875" s="5" t="s">
        <v>138</v>
      </c>
    </row>
    <row r="6876" spans="1:9" ht="51.75" customHeight="1">
      <c r="A6876" s="5">
        <v>2</v>
      </c>
      <c r="B6876" s="5" t="s">
        <v>42402</v>
      </c>
      <c r="C6876" s="5" t="s">
        <v>42400</v>
      </c>
      <c r="D6876" s="246">
        <v>39990</v>
      </c>
      <c r="E6876" s="5" t="s">
        <v>42403</v>
      </c>
      <c r="F6876" s="26" t="s">
        <v>42097</v>
      </c>
      <c r="G6876" s="27" t="s">
        <v>485</v>
      </c>
      <c r="H6876" s="28" t="s">
        <v>486</v>
      </c>
      <c r="I6876" s="5" t="s">
        <v>138</v>
      </c>
    </row>
    <row r="6877" spans="1:9" ht="51.75" customHeight="1">
      <c r="A6877" s="5">
        <v>1</v>
      </c>
      <c r="B6877" s="5" t="s">
        <v>42404</v>
      </c>
      <c r="C6877" s="5" t="s">
        <v>42405</v>
      </c>
      <c r="D6877" s="246">
        <v>40634</v>
      </c>
      <c r="E6877" s="5" t="s">
        <v>42406</v>
      </c>
      <c r="F6877" s="26" t="s">
        <v>23600</v>
      </c>
      <c r="G6877" s="27" t="s">
        <v>2076</v>
      </c>
      <c r="H6877" s="28" t="s">
        <v>2077</v>
      </c>
      <c r="I6877" s="5" t="s">
        <v>138</v>
      </c>
    </row>
    <row r="6878" spans="1:9" ht="51.75" customHeight="1">
      <c r="A6878" s="5">
        <v>1</v>
      </c>
      <c r="B6878" s="5" t="s">
        <v>42407</v>
      </c>
      <c r="C6878" s="5" t="s">
        <v>42405</v>
      </c>
      <c r="D6878" s="246">
        <v>40634</v>
      </c>
      <c r="E6878" s="5" t="s">
        <v>42408</v>
      </c>
      <c r="F6878" s="26" t="s">
        <v>42097</v>
      </c>
      <c r="G6878" s="27" t="s">
        <v>2076</v>
      </c>
      <c r="H6878" s="28" t="s">
        <v>2077</v>
      </c>
      <c r="I6878" s="5" t="s">
        <v>138</v>
      </c>
    </row>
    <row r="6879" spans="1:9" ht="51.75" customHeight="1">
      <c r="A6879" s="5">
        <v>2</v>
      </c>
      <c r="B6879" s="5" t="s">
        <v>42409</v>
      </c>
      <c r="C6879" s="5" t="s">
        <v>42410</v>
      </c>
      <c r="D6879" s="246">
        <v>40634</v>
      </c>
      <c r="E6879" s="5" t="s">
        <v>42411</v>
      </c>
      <c r="F6879" s="26" t="s">
        <v>23600</v>
      </c>
      <c r="G6879" s="27" t="s">
        <v>2076</v>
      </c>
      <c r="H6879" s="28" t="s">
        <v>2077</v>
      </c>
      <c r="I6879" s="5" t="s">
        <v>138</v>
      </c>
    </row>
    <row r="6880" spans="1:9" ht="51.75" customHeight="1">
      <c r="A6880" s="5">
        <v>2</v>
      </c>
      <c r="B6880" s="5" t="s">
        <v>42412</v>
      </c>
      <c r="C6880" s="5" t="s">
        <v>42410</v>
      </c>
      <c r="D6880" s="246">
        <v>40634</v>
      </c>
      <c r="E6880" s="5" t="s">
        <v>42413</v>
      </c>
      <c r="F6880" s="26" t="s">
        <v>42097</v>
      </c>
      <c r="G6880" s="27" t="s">
        <v>2076</v>
      </c>
      <c r="H6880" s="28" t="s">
        <v>2077</v>
      </c>
      <c r="I6880" s="5" t="s">
        <v>138</v>
      </c>
    </row>
    <row r="6881" spans="1:9" ht="51.75" customHeight="1">
      <c r="A6881" s="5">
        <v>3</v>
      </c>
      <c r="B6881" s="5" t="s">
        <v>42414</v>
      </c>
      <c r="C6881" s="5" t="s">
        <v>42415</v>
      </c>
      <c r="D6881" s="246">
        <v>40634</v>
      </c>
      <c r="E6881" s="5" t="s">
        <v>42416</v>
      </c>
      <c r="F6881" s="26" t="s">
        <v>23600</v>
      </c>
      <c r="G6881" s="27" t="s">
        <v>2076</v>
      </c>
      <c r="H6881" s="28" t="s">
        <v>2077</v>
      </c>
      <c r="I6881" s="5" t="s">
        <v>138</v>
      </c>
    </row>
    <row r="6882" spans="1:9" ht="51.75" customHeight="1">
      <c r="A6882" s="5">
        <v>3</v>
      </c>
      <c r="B6882" s="5" t="s">
        <v>42417</v>
      </c>
      <c r="C6882" s="5" t="s">
        <v>42415</v>
      </c>
      <c r="D6882" s="246">
        <v>40634</v>
      </c>
      <c r="E6882" s="5" t="s">
        <v>42418</v>
      </c>
      <c r="F6882" s="26" t="s">
        <v>42097</v>
      </c>
      <c r="G6882" s="27" t="s">
        <v>2076</v>
      </c>
      <c r="H6882" s="28" t="s">
        <v>2077</v>
      </c>
      <c r="I6882" s="5" t="s">
        <v>138</v>
      </c>
    </row>
    <row r="6883" spans="1:9" ht="51.75" customHeight="1">
      <c r="A6883" s="5">
        <v>4</v>
      </c>
      <c r="B6883" s="5" t="s">
        <v>42419</v>
      </c>
      <c r="C6883" s="5" t="s">
        <v>42420</v>
      </c>
      <c r="D6883" s="246">
        <v>40634</v>
      </c>
      <c r="E6883" s="5" t="s">
        <v>42421</v>
      </c>
      <c r="F6883" s="26" t="s">
        <v>23600</v>
      </c>
      <c r="G6883" s="27" t="s">
        <v>2076</v>
      </c>
      <c r="H6883" s="28" t="s">
        <v>2077</v>
      </c>
      <c r="I6883" s="5" t="s">
        <v>138</v>
      </c>
    </row>
    <row r="6884" spans="1:9" ht="51.75" customHeight="1">
      <c r="A6884" s="5">
        <v>4</v>
      </c>
      <c r="B6884" s="5" t="s">
        <v>42422</v>
      </c>
      <c r="C6884" s="5" t="s">
        <v>42420</v>
      </c>
      <c r="D6884" s="246">
        <v>40634</v>
      </c>
      <c r="E6884" s="5" t="s">
        <v>42423</v>
      </c>
      <c r="F6884" s="26" t="s">
        <v>42097</v>
      </c>
      <c r="G6884" s="27" t="s">
        <v>2076</v>
      </c>
      <c r="H6884" s="28" t="s">
        <v>2077</v>
      </c>
      <c r="I6884" s="5" t="s">
        <v>138</v>
      </c>
    </row>
    <row r="6885" spans="1:9" ht="51.75" customHeight="1">
      <c r="A6885" s="5">
        <v>1</v>
      </c>
      <c r="B6885" s="5" t="s">
        <v>42424</v>
      </c>
      <c r="C6885" s="5" t="s">
        <v>42425</v>
      </c>
      <c r="D6885" s="246">
        <v>39352</v>
      </c>
      <c r="E6885" s="5" t="s">
        <v>42426</v>
      </c>
      <c r="F6885" s="26" t="s">
        <v>23600</v>
      </c>
      <c r="G6885" s="27" t="s">
        <v>2086</v>
      </c>
      <c r="H6885" s="28" t="s">
        <v>2087</v>
      </c>
      <c r="I6885" s="5" t="s">
        <v>138</v>
      </c>
    </row>
    <row r="6886" spans="1:9" ht="51.75" customHeight="1">
      <c r="A6886" s="5">
        <v>1</v>
      </c>
      <c r="B6886" s="5" t="s">
        <v>42427</v>
      </c>
      <c r="C6886" s="5" t="s">
        <v>42425</v>
      </c>
      <c r="D6886" s="246">
        <v>39352</v>
      </c>
      <c r="E6886" s="5" t="s">
        <v>42428</v>
      </c>
      <c r="F6886" s="26" t="s">
        <v>42097</v>
      </c>
      <c r="G6886" s="27" t="s">
        <v>2086</v>
      </c>
      <c r="H6886" s="28" t="s">
        <v>2087</v>
      </c>
      <c r="I6886" s="5" t="s">
        <v>138</v>
      </c>
    </row>
    <row r="6887" spans="1:9" ht="51.75" customHeight="1">
      <c r="A6887" s="5">
        <v>2</v>
      </c>
      <c r="B6887" s="5" t="s">
        <v>42429</v>
      </c>
      <c r="C6887" s="5" t="s">
        <v>42430</v>
      </c>
      <c r="D6887" s="246">
        <v>39352</v>
      </c>
      <c r="E6887" s="5" t="s">
        <v>42431</v>
      </c>
      <c r="F6887" s="26" t="s">
        <v>23600</v>
      </c>
      <c r="G6887" s="27" t="s">
        <v>2086</v>
      </c>
      <c r="H6887" s="28" t="s">
        <v>2087</v>
      </c>
      <c r="I6887" s="5" t="s">
        <v>138</v>
      </c>
    </row>
    <row r="6888" spans="1:9" ht="51.75" customHeight="1">
      <c r="A6888" s="5">
        <v>2</v>
      </c>
      <c r="B6888" s="5" t="s">
        <v>42432</v>
      </c>
      <c r="C6888" s="5" t="s">
        <v>42430</v>
      </c>
      <c r="D6888" s="246">
        <v>39352</v>
      </c>
      <c r="E6888" s="5" t="s">
        <v>42433</v>
      </c>
      <c r="F6888" s="26" t="s">
        <v>42097</v>
      </c>
      <c r="G6888" s="27" t="s">
        <v>2086</v>
      </c>
      <c r="H6888" s="28" t="s">
        <v>2087</v>
      </c>
      <c r="I6888" s="5" t="s">
        <v>138</v>
      </c>
    </row>
    <row r="6889" spans="1:9" ht="51.75" customHeight="1">
      <c r="A6889" s="5">
        <v>3</v>
      </c>
      <c r="B6889" s="5" t="s">
        <v>42434</v>
      </c>
      <c r="C6889" s="5" t="s">
        <v>42435</v>
      </c>
      <c r="D6889" s="246">
        <v>39352</v>
      </c>
      <c r="E6889" s="5" t="s">
        <v>42436</v>
      </c>
      <c r="F6889" s="26" t="s">
        <v>23600</v>
      </c>
      <c r="G6889" s="27" t="s">
        <v>2086</v>
      </c>
      <c r="H6889" s="28" t="s">
        <v>2087</v>
      </c>
      <c r="I6889" s="5" t="s">
        <v>138</v>
      </c>
    </row>
    <row r="6890" spans="1:9" ht="51.75" customHeight="1">
      <c r="A6890" s="5">
        <v>3</v>
      </c>
      <c r="B6890" s="5" t="s">
        <v>42437</v>
      </c>
      <c r="C6890" s="5" t="s">
        <v>42435</v>
      </c>
      <c r="D6890" s="246">
        <v>39352</v>
      </c>
      <c r="E6890" s="5" t="s">
        <v>42438</v>
      </c>
      <c r="F6890" s="26" t="s">
        <v>42097</v>
      </c>
      <c r="G6890" s="27" t="s">
        <v>2086</v>
      </c>
      <c r="H6890" s="28" t="s">
        <v>2087</v>
      </c>
      <c r="I6890" s="5" t="s">
        <v>138</v>
      </c>
    </row>
    <row r="6891" spans="1:9" ht="51.75" customHeight="1">
      <c r="A6891" s="5">
        <v>4</v>
      </c>
      <c r="B6891" s="5" t="s">
        <v>42439</v>
      </c>
      <c r="C6891" s="5" t="s">
        <v>42440</v>
      </c>
      <c r="D6891" s="246">
        <v>39352</v>
      </c>
      <c r="E6891" s="5" t="s">
        <v>42441</v>
      </c>
      <c r="F6891" s="26" t="s">
        <v>23600</v>
      </c>
      <c r="G6891" s="27" t="s">
        <v>2086</v>
      </c>
      <c r="H6891" s="28" t="s">
        <v>2087</v>
      </c>
      <c r="I6891" s="5" t="s">
        <v>138</v>
      </c>
    </row>
    <row r="6892" spans="1:9" ht="51.75" customHeight="1">
      <c r="A6892" s="5">
        <v>4</v>
      </c>
      <c r="B6892" s="5" t="s">
        <v>42442</v>
      </c>
      <c r="C6892" s="5" t="s">
        <v>42440</v>
      </c>
      <c r="D6892" s="246">
        <v>39352</v>
      </c>
      <c r="E6892" s="5" t="s">
        <v>42443</v>
      </c>
      <c r="F6892" s="26" t="s">
        <v>42097</v>
      </c>
      <c r="G6892" s="27" t="s">
        <v>2086</v>
      </c>
      <c r="H6892" s="28" t="s">
        <v>2087</v>
      </c>
      <c r="I6892" s="5" t="s">
        <v>138</v>
      </c>
    </row>
    <row r="6893" spans="1:9" ht="51.75" customHeight="1">
      <c r="A6893" s="5">
        <v>5</v>
      </c>
      <c r="B6893" s="5" t="s">
        <v>42444</v>
      </c>
      <c r="C6893" s="5" t="s">
        <v>42445</v>
      </c>
      <c r="D6893" s="246">
        <v>39352</v>
      </c>
      <c r="E6893" s="5" t="s">
        <v>42446</v>
      </c>
      <c r="F6893" s="26" t="s">
        <v>23600</v>
      </c>
      <c r="G6893" s="27" t="s">
        <v>2086</v>
      </c>
      <c r="H6893" s="28" t="s">
        <v>2087</v>
      </c>
      <c r="I6893" s="5" t="s">
        <v>138</v>
      </c>
    </row>
    <row r="6894" spans="1:9" ht="51.75" customHeight="1">
      <c r="A6894" s="5">
        <v>5</v>
      </c>
      <c r="B6894" s="5" t="s">
        <v>42447</v>
      </c>
      <c r="C6894" s="5" t="s">
        <v>42445</v>
      </c>
      <c r="D6894" s="246">
        <v>39352</v>
      </c>
      <c r="E6894" s="5" t="s">
        <v>42448</v>
      </c>
      <c r="F6894" s="26" t="s">
        <v>42097</v>
      </c>
      <c r="G6894" s="27" t="s">
        <v>2086</v>
      </c>
      <c r="H6894" s="28" t="s">
        <v>2087</v>
      </c>
      <c r="I6894" s="5" t="s">
        <v>138</v>
      </c>
    </row>
    <row r="6895" spans="1:9" ht="51.75" customHeight="1">
      <c r="A6895" s="5">
        <v>1</v>
      </c>
      <c r="B6895" s="5" t="s">
        <v>42449</v>
      </c>
      <c r="C6895" s="5" t="s">
        <v>42450</v>
      </c>
      <c r="D6895" s="246">
        <v>40169</v>
      </c>
      <c r="E6895" s="5" t="s">
        <v>42451</v>
      </c>
      <c r="F6895" s="26" t="s">
        <v>23600</v>
      </c>
      <c r="G6895" s="27" t="s">
        <v>2030</v>
      </c>
      <c r="H6895" s="28" t="s">
        <v>2031</v>
      </c>
      <c r="I6895" s="5" t="s">
        <v>138</v>
      </c>
    </row>
    <row r="6896" spans="1:9" ht="51.75" customHeight="1">
      <c r="A6896" s="5">
        <v>1</v>
      </c>
      <c r="B6896" s="5" t="s">
        <v>42452</v>
      </c>
      <c r="C6896" s="5" t="s">
        <v>42450</v>
      </c>
      <c r="D6896" s="246">
        <v>40169</v>
      </c>
      <c r="E6896" s="5" t="s">
        <v>42453</v>
      </c>
      <c r="F6896" s="26" t="s">
        <v>42097</v>
      </c>
      <c r="G6896" s="27" t="s">
        <v>2030</v>
      </c>
      <c r="H6896" s="28" t="s">
        <v>2031</v>
      </c>
      <c r="I6896" s="5" t="s">
        <v>138</v>
      </c>
    </row>
    <row r="6897" spans="1:9" ht="51.75" customHeight="1">
      <c r="A6897" s="5">
        <v>2</v>
      </c>
      <c r="B6897" s="5" t="s">
        <v>42454</v>
      </c>
      <c r="C6897" s="5" t="s">
        <v>42455</v>
      </c>
      <c r="D6897" s="246">
        <v>40169</v>
      </c>
      <c r="E6897" s="5" t="s">
        <v>42456</v>
      </c>
      <c r="F6897" s="26" t="s">
        <v>23600</v>
      </c>
      <c r="G6897" s="27" t="s">
        <v>2030</v>
      </c>
      <c r="H6897" s="28" t="s">
        <v>2031</v>
      </c>
      <c r="I6897" s="5" t="s">
        <v>138</v>
      </c>
    </row>
    <row r="6898" spans="1:9" ht="51.75" customHeight="1">
      <c r="A6898" s="5">
        <v>2</v>
      </c>
      <c r="B6898" s="5" t="s">
        <v>42457</v>
      </c>
      <c r="C6898" s="5" t="s">
        <v>42455</v>
      </c>
      <c r="D6898" s="246">
        <v>40169</v>
      </c>
      <c r="E6898" s="5" t="s">
        <v>42458</v>
      </c>
      <c r="F6898" s="26" t="s">
        <v>42097</v>
      </c>
      <c r="G6898" s="27" t="s">
        <v>2030</v>
      </c>
      <c r="H6898" s="28" t="s">
        <v>2031</v>
      </c>
      <c r="I6898" s="5" t="s">
        <v>138</v>
      </c>
    </row>
    <row r="6899" spans="1:9" ht="51.75" customHeight="1">
      <c r="A6899" s="5">
        <v>1</v>
      </c>
      <c r="B6899" s="5" t="s">
        <v>42459</v>
      </c>
      <c r="C6899" s="5" t="s">
        <v>42460</v>
      </c>
      <c r="D6899" s="246">
        <v>40213</v>
      </c>
      <c r="E6899" s="5" t="s">
        <v>42461</v>
      </c>
      <c r="F6899" s="26" t="s">
        <v>23600</v>
      </c>
      <c r="G6899" s="27" t="s">
        <v>2003</v>
      </c>
      <c r="H6899" s="28" t="s">
        <v>2004</v>
      </c>
      <c r="I6899" s="5" t="s">
        <v>138</v>
      </c>
    </row>
    <row r="6900" spans="1:9" ht="51.75" customHeight="1">
      <c r="A6900" s="5">
        <v>1</v>
      </c>
      <c r="B6900" s="5" t="s">
        <v>42462</v>
      </c>
      <c r="C6900" s="5" t="s">
        <v>42460</v>
      </c>
      <c r="D6900" s="246">
        <v>40213</v>
      </c>
      <c r="E6900" s="5" t="s">
        <v>42463</v>
      </c>
      <c r="F6900" s="26" t="s">
        <v>42097</v>
      </c>
      <c r="G6900" s="27" t="s">
        <v>2003</v>
      </c>
      <c r="H6900" s="28" t="s">
        <v>2004</v>
      </c>
      <c r="I6900" s="5" t="s">
        <v>138</v>
      </c>
    </row>
    <row r="6901" spans="1:9" ht="51.75" customHeight="1">
      <c r="A6901" s="5">
        <v>2</v>
      </c>
      <c r="B6901" s="5" t="s">
        <v>42464</v>
      </c>
      <c r="C6901" s="5" t="s">
        <v>42465</v>
      </c>
      <c r="D6901" s="246">
        <v>40213</v>
      </c>
      <c r="E6901" s="5" t="s">
        <v>42466</v>
      </c>
      <c r="F6901" s="26" t="s">
        <v>23600</v>
      </c>
      <c r="G6901" s="27" t="s">
        <v>2003</v>
      </c>
      <c r="H6901" s="28" t="s">
        <v>2004</v>
      </c>
      <c r="I6901" s="5" t="s">
        <v>138</v>
      </c>
    </row>
    <row r="6902" spans="1:9" ht="51.75" customHeight="1">
      <c r="A6902" s="5">
        <v>2</v>
      </c>
      <c r="B6902" s="5" t="s">
        <v>42467</v>
      </c>
      <c r="C6902" s="5" t="s">
        <v>42465</v>
      </c>
      <c r="D6902" s="246">
        <v>40213</v>
      </c>
      <c r="E6902" s="5" t="s">
        <v>42468</v>
      </c>
      <c r="F6902" s="26" t="s">
        <v>42097</v>
      </c>
      <c r="G6902" s="27" t="s">
        <v>2003</v>
      </c>
      <c r="H6902" s="28" t="s">
        <v>2004</v>
      </c>
      <c r="I6902" s="5" t="s">
        <v>138</v>
      </c>
    </row>
    <row r="6903" spans="1:9" ht="51.75" customHeight="1">
      <c r="A6903" s="5">
        <v>3</v>
      </c>
      <c r="B6903" s="5" t="s">
        <v>42469</v>
      </c>
      <c r="C6903" s="5" t="s">
        <v>42470</v>
      </c>
      <c r="D6903" s="246">
        <v>40213</v>
      </c>
      <c r="E6903" s="5" t="s">
        <v>42471</v>
      </c>
      <c r="F6903" s="26" t="s">
        <v>23600</v>
      </c>
      <c r="G6903" s="27" t="s">
        <v>2003</v>
      </c>
      <c r="H6903" s="28" t="s">
        <v>2004</v>
      </c>
      <c r="I6903" s="5" t="s">
        <v>138</v>
      </c>
    </row>
    <row r="6904" spans="1:9" ht="51.75" customHeight="1">
      <c r="A6904" s="5">
        <v>3</v>
      </c>
      <c r="B6904" s="5" t="s">
        <v>42472</v>
      </c>
      <c r="C6904" s="5" t="s">
        <v>42470</v>
      </c>
      <c r="D6904" s="246">
        <v>40213</v>
      </c>
      <c r="E6904" s="5" t="s">
        <v>42473</v>
      </c>
      <c r="F6904" s="26" t="s">
        <v>42097</v>
      </c>
      <c r="G6904" s="27" t="s">
        <v>2003</v>
      </c>
      <c r="H6904" s="28" t="s">
        <v>2004</v>
      </c>
      <c r="I6904" s="5" t="s">
        <v>138</v>
      </c>
    </row>
    <row r="6905" spans="1:9" ht="51.75" customHeight="1">
      <c r="A6905" s="5">
        <v>4</v>
      </c>
      <c r="B6905" s="5" t="s">
        <v>42474</v>
      </c>
      <c r="C6905" s="5" t="s">
        <v>42475</v>
      </c>
      <c r="D6905" s="246">
        <v>40213</v>
      </c>
      <c r="E6905" s="5" t="s">
        <v>42476</v>
      </c>
      <c r="F6905" s="26" t="s">
        <v>23600</v>
      </c>
      <c r="G6905" s="27" t="s">
        <v>2003</v>
      </c>
      <c r="H6905" s="28" t="s">
        <v>2004</v>
      </c>
      <c r="I6905" s="5" t="s">
        <v>138</v>
      </c>
    </row>
    <row r="6906" spans="1:9" ht="51.75" customHeight="1">
      <c r="A6906" s="5">
        <v>4</v>
      </c>
      <c r="B6906" s="5" t="s">
        <v>42477</v>
      </c>
      <c r="C6906" s="5" t="s">
        <v>42475</v>
      </c>
      <c r="D6906" s="246">
        <v>40213</v>
      </c>
      <c r="E6906" s="5" t="s">
        <v>42478</v>
      </c>
      <c r="F6906" s="26" t="s">
        <v>42097</v>
      </c>
      <c r="G6906" s="27" t="s">
        <v>2003</v>
      </c>
      <c r="H6906" s="28" t="s">
        <v>2004</v>
      </c>
      <c r="I6906" s="5" t="s">
        <v>138</v>
      </c>
    </row>
    <row r="6907" spans="1:9" ht="51.75" customHeight="1">
      <c r="A6907" s="5">
        <v>5</v>
      </c>
      <c r="B6907" s="5" t="s">
        <v>42479</v>
      </c>
      <c r="C6907" s="5" t="s">
        <v>42480</v>
      </c>
      <c r="D6907" s="246">
        <v>40213</v>
      </c>
      <c r="E6907" s="5" t="s">
        <v>42481</v>
      </c>
      <c r="F6907" s="26" t="s">
        <v>23600</v>
      </c>
      <c r="G6907" s="27" t="s">
        <v>2003</v>
      </c>
      <c r="H6907" s="28" t="s">
        <v>2004</v>
      </c>
      <c r="I6907" s="5" t="s">
        <v>138</v>
      </c>
    </row>
    <row r="6908" spans="1:9" ht="51.75" customHeight="1">
      <c r="A6908" s="5">
        <v>5</v>
      </c>
      <c r="B6908" s="5" t="s">
        <v>42482</v>
      </c>
      <c r="C6908" s="5" t="s">
        <v>42480</v>
      </c>
      <c r="D6908" s="246">
        <v>40213</v>
      </c>
      <c r="E6908" s="5" t="s">
        <v>42483</v>
      </c>
      <c r="F6908" s="26" t="s">
        <v>42097</v>
      </c>
      <c r="G6908" s="27" t="s">
        <v>2003</v>
      </c>
      <c r="H6908" s="28" t="s">
        <v>2004</v>
      </c>
      <c r="I6908" s="5" t="s">
        <v>138</v>
      </c>
    </row>
    <row r="6909" spans="1:9" ht="51.75" customHeight="1">
      <c r="A6909" s="5">
        <v>1</v>
      </c>
      <c r="B6909" s="5" t="s">
        <v>42484</v>
      </c>
      <c r="C6909" s="5" t="s">
        <v>42485</v>
      </c>
      <c r="D6909" s="246">
        <v>39722</v>
      </c>
      <c r="E6909" s="5" t="s">
        <v>42486</v>
      </c>
      <c r="F6909" s="26" t="s">
        <v>23600</v>
      </c>
      <c r="G6909" s="27" t="s">
        <v>136</v>
      </c>
      <c r="H6909" s="28" t="s">
        <v>137</v>
      </c>
      <c r="I6909" s="5" t="s">
        <v>138</v>
      </c>
    </row>
    <row r="6910" spans="1:9" ht="51.75" customHeight="1">
      <c r="A6910" s="5">
        <v>1</v>
      </c>
      <c r="B6910" s="5" t="s">
        <v>42487</v>
      </c>
      <c r="C6910" s="5" t="s">
        <v>42485</v>
      </c>
      <c r="D6910" s="246">
        <v>39722</v>
      </c>
      <c r="E6910" s="5" t="s">
        <v>42109</v>
      </c>
      <c r="F6910" s="26" t="s">
        <v>42097</v>
      </c>
      <c r="G6910" s="27" t="s">
        <v>136</v>
      </c>
      <c r="H6910" s="28" t="s">
        <v>137</v>
      </c>
      <c r="I6910" s="5" t="s">
        <v>138</v>
      </c>
    </row>
    <row r="6911" spans="1:9" ht="51.75" customHeight="1">
      <c r="A6911" s="5">
        <v>2</v>
      </c>
      <c r="B6911" s="5" t="s">
        <v>42488</v>
      </c>
      <c r="C6911" s="5" t="s">
        <v>42489</v>
      </c>
      <c r="D6911" s="246">
        <v>39722</v>
      </c>
      <c r="E6911" s="5" t="s">
        <v>42490</v>
      </c>
      <c r="F6911" s="26" t="s">
        <v>23600</v>
      </c>
      <c r="G6911" s="27" t="s">
        <v>136</v>
      </c>
      <c r="H6911" s="28" t="s">
        <v>137</v>
      </c>
      <c r="I6911" s="5" t="s">
        <v>138</v>
      </c>
    </row>
    <row r="6912" spans="1:9" ht="51.75" customHeight="1">
      <c r="A6912" s="5">
        <v>2</v>
      </c>
      <c r="B6912" s="5" t="s">
        <v>42491</v>
      </c>
      <c r="C6912" s="5" t="s">
        <v>42489</v>
      </c>
      <c r="D6912" s="246">
        <v>39722</v>
      </c>
      <c r="E6912" s="5" t="s">
        <v>42492</v>
      </c>
      <c r="F6912" s="26" t="s">
        <v>42097</v>
      </c>
      <c r="G6912" s="27" t="s">
        <v>136</v>
      </c>
      <c r="H6912" s="28" t="s">
        <v>137</v>
      </c>
      <c r="I6912" s="5" t="s">
        <v>138</v>
      </c>
    </row>
    <row r="6913" spans="1:9" ht="51.75" customHeight="1">
      <c r="A6913" s="5">
        <v>3</v>
      </c>
      <c r="B6913" s="5" t="s">
        <v>42493</v>
      </c>
      <c r="C6913" s="5" t="s">
        <v>42494</v>
      </c>
      <c r="D6913" s="246">
        <v>39722</v>
      </c>
      <c r="E6913" s="5" t="s">
        <v>42495</v>
      </c>
      <c r="F6913" s="26" t="s">
        <v>23600</v>
      </c>
      <c r="G6913" s="27" t="s">
        <v>136</v>
      </c>
      <c r="H6913" s="28" t="s">
        <v>137</v>
      </c>
      <c r="I6913" s="5" t="s">
        <v>138</v>
      </c>
    </row>
    <row r="6914" spans="1:9" ht="51.75" customHeight="1">
      <c r="A6914" s="5">
        <v>3</v>
      </c>
      <c r="B6914" s="5" t="s">
        <v>42496</v>
      </c>
      <c r="C6914" s="5" t="s">
        <v>42494</v>
      </c>
      <c r="D6914" s="246">
        <v>39722</v>
      </c>
      <c r="E6914" s="5" t="s">
        <v>42497</v>
      </c>
      <c r="F6914" s="26" t="s">
        <v>42097</v>
      </c>
      <c r="G6914" s="27" t="s">
        <v>136</v>
      </c>
      <c r="H6914" s="28" t="s">
        <v>137</v>
      </c>
      <c r="I6914" s="5" t="s">
        <v>138</v>
      </c>
    </row>
    <row r="6915" spans="1:9" ht="51.75" customHeight="1">
      <c r="A6915" s="5">
        <v>4</v>
      </c>
      <c r="B6915" s="5" t="s">
        <v>42498</v>
      </c>
      <c r="C6915" s="5" t="s">
        <v>42499</v>
      </c>
      <c r="D6915" s="246">
        <v>39722</v>
      </c>
      <c r="E6915" s="5" t="s">
        <v>42500</v>
      </c>
      <c r="F6915" s="26" t="s">
        <v>23600</v>
      </c>
      <c r="G6915" s="27" t="s">
        <v>136</v>
      </c>
      <c r="H6915" s="28" t="s">
        <v>137</v>
      </c>
      <c r="I6915" s="5" t="s">
        <v>138</v>
      </c>
    </row>
    <row r="6916" spans="1:9" ht="51.75" customHeight="1">
      <c r="A6916" s="5">
        <v>4</v>
      </c>
      <c r="B6916" s="5" t="s">
        <v>42501</v>
      </c>
      <c r="C6916" s="5" t="s">
        <v>42499</v>
      </c>
      <c r="D6916" s="246">
        <v>39722</v>
      </c>
      <c r="E6916" s="5" t="s">
        <v>42502</v>
      </c>
      <c r="F6916" s="26" t="s">
        <v>42097</v>
      </c>
      <c r="G6916" s="27" t="s">
        <v>136</v>
      </c>
      <c r="H6916" s="28" t="s">
        <v>137</v>
      </c>
      <c r="I6916" s="5" t="s">
        <v>138</v>
      </c>
    </row>
    <row r="6917" spans="1:9" ht="51.75" customHeight="1">
      <c r="A6917" s="5">
        <v>5</v>
      </c>
      <c r="B6917" s="5" t="s">
        <v>42503</v>
      </c>
      <c r="C6917" s="5" t="s">
        <v>42504</v>
      </c>
      <c r="D6917" s="246">
        <v>39722</v>
      </c>
      <c r="E6917" s="5" t="s">
        <v>42505</v>
      </c>
      <c r="F6917" s="26" t="s">
        <v>23600</v>
      </c>
      <c r="G6917" s="27" t="s">
        <v>136</v>
      </c>
      <c r="H6917" s="28" t="s">
        <v>137</v>
      </c>
      <c r="I6917" s="5" t="s">
        <v>138</v>
      </c>
    </row>
    <row r="6918" spans="1:9" ht="51.75" customHeight="1">
      <c r="A6918" s="5">
        <v>5</v>
      </c>
      <c r="B6918" s="5" t="s">
        <v>42506</v>
      </c>
      <c r="C6918" s="5" t="s">
        <v>42504</v>
      </c>
      <c r="D6918" s="246">
        <v>39722</v>
      </c>
      <c r="E6918" s="5" t="s">
        <v>42507</v>
      </c>
      <c r="F6918" s="26" t="s">
        <v>42097</v>
      </c>
      <c r="G6918" s="27" t="s">
        <v>136</v>
      </c>
      <c r="H6918" s="28" t="s">
        <v>137</v>
      </c>
      <c r="I6918" s="5" t="s">
        <v>138</v>
      </c>
    </row>
    <row r="6919" spans="1:9" ht="51.75" customHeight="1">
      <c r="A6919" s="5">
        <v>6</v>
      </c>
      <c r="B6919" s="5" t="s">
        <v>42508</v>
      </c>
      <c r="C6919" s="5" t="s">
        <v>42509</v>
      </c>
      <c r="D6919" s="246">
        <v>39722</v>
      </c>
      <c r="E6919" s="5" t="s">
        <v>42510</v>
      </c>
      <c r="F6919" s="26" t="s">
        <v>23600</v>
      </c>
      <c r="G6919" s="27" t="s">
        <v>136</v>
      </c>
      <c r="H6919" s="28" t="s">
        <v>137</v>
      </c>
      <c r="I6919" s="5" t="s">
        <v>138</v>
      </c>
    </row>
    <row r="6920" spans="1:9" ht="51.75" customHeight="1">
      <c r="A6920" s="5">
        <v>6</v>
      </c>
      <c r="B6920" s="5" t="s">
        <v>42511</v>
      </c>
      <c r="C6920" s="5" t="s">
        <v>42509</v>
      </c>
      <c r="D6920" s="246">
        <v>39722</v>
      </c>
      <c r="E6920" s="5" t="s">
        <v>42512</v>
      </c>
      <c r="F6920" s="26" t="s">
        <v>42097</v>
      </c>
      <c r="G6920" s="27" t="s">
        <v>136</v>
      </c>
      <c r="H6920" s="28" t="s">
        <v>137</v>
      </c>
      <c r="I6920" s="5" t="s">
        <v>138</v>
      </c>
    </row>
    <row r="6921" spans="1:9" ht="51.75" customHeight="1">
      <c r="A6921" s="5">
        <v>7</v>
      </c>
      <c r="B6921" s="5" t="s">
        <v>42513</v>
      </c>
      <c r="C6921" s="5" t="s">
        <v>42514</v>
      </c>
      <c r="D6921" s="246">
        <v>39722</v>
      </c>
      <c r="E6921" s="5" t="s">
        <v>42515</v>
      </c>
      <c r="F6921" s="26" t="s">
        <v>23600</v>
      </c>
      <c r="G6921" s="27" t="s">
        <v>136</v>
      </c>
      <c r="H6921" s="28" t="s">
        <v>137</v>
      </c>
      <c r="I6921" s="5" t="s">
        <v>138</v>
      </c>
    </row>
    <row r="6922" spans="1:9" ht="51.75" customHeight="1">
      <c r="A6922" s="5">
        <v>7</v>
      </c>
      <c r="B6922" s="5" t="s">
        <v>42516</v>
      </c>
      <c r="C6922" s="5" t="s">
        <v>42514</v>
      </c>
      <c r="D6922" s="246">
        <v>39722</v>
      </c>
      <c r="E6922" s="5" t="s">
        <v>42517</v>
      </c>
      <c r="F6922" s="26" t="s">
        <v>42097</v>
      </c>
      <c r="G6922" s="27" t="s">
        <v>136</v>
      </c>
      <c r="H6922" s="28" t="s">
        <v>137</v>
      </c>
      <c r="I6922" s="5" t="s">
        <v>138</v>
      </c>
    </row>
    <row r="6923" spans="1:9" ht="51.75" customHeight="1">
      <c r="A6923" s="5" t="s">
        <v>23700</v>
      </c>
      <c r="B6923" s="5" t="s">
        <v>42518</v>
      </c>
      <c r="C6923" s="5" t="s">
        <v>24995</v>
      </c>
      <c r="D6923" s="246">
        <v>41824</v>
      </c>
      <c r="E6923" s="5" t="s">
        <v>42519</v>
      </c>
      <c r="F6923" s="26" t="s">
        <v>23600</v>
      </c>
      <c r="G6923" s="27" t="s">
        <v>7132</v>
      </c>
      <c r="H6923" s="28" t="s">
        <v>7133</v>
      </c>
      <c r="I6923" s="5" t="s">
        <v>138</v>
      </c>
    </row>
    <row r="6924" spans="1:9" ht="51.75" customHeight="1">
      <c r="A6924" s="5" t="s">
        <v>23704</v>
      </c>
      <c r="B6924" s="5" t="s">
        <v>42520</v>
      </c>
      <c r="C6924" s="5" t="s">
        <v>24998</v>
      </c>
      <c r="D6924" s="246" t="s">
        <v>68</v>
      </c>
      <c r="E6924" s="5" t="s">
        <v>42521</v>
      </c>
      <c r="F6924" s="26" t="s">
        <v>23600</v>
      </c>
      <c r="G6924" s="27" t="s">
        <v>7132</v>
      </c>
      <c r="H6924" s="28" t="s">
        <v>7133</v>
      </c>
      <c r="I6924" s="5" t="s">
        <v>138</v>
      </c>
    </row>
    <row r="6925" spans="1:9" ht="51.75" customHeight="1">
      <c r="A6925" s="5" t="s">
        <v>33655</v>
      </c>
      <c r="B6925" s="5" t="s">
        <v>42522</v>
      </c>
      <c r="C6925" s="5" t="s">
        <v>42523</v>
      </c>
      <c r="D6925" s="246">
        <v>41437</v>
      </c>
      <c r="E6925" s="5" t="s">
        <v>42524</v>
      </c>
      <c r="F6925" s="26" t="s">
        <v>23600</v>
      </c>
      <c r="G6925" s="27" t="s">
        <v>7069</v>
      </c>
      <c r="H6925" s="28" t="s">
        <v>7070</v>
      </c>
      <c r="I6925" s="5" t="s">
        <v>138</v>
      </c>
    </row>
    <row r="6926" spans="1:9" ht="51.75" customHeight="1">
      <c r="A6926" s="5" t="s">
        <v>24487</v>
      </c>
      <c r="B6926" s="5" t="s">
        <v>42525</v>
      </c>
      <c r="C6926" s="5" t="s">
        <v>42526</v>
      </c>
      <c r="D6926" s="246">
        <v>41437</v>
      </c>
      <c r="E6926" s="5" t="s">
        <v>42527</v>
      </c>
      <c r="F6926" s="26" t="s">
        <v>23600</v>
      </c>
      <c r="G6926" s="27" t="s">
        <v>7069</v>
      </c>
      <c r="H6926" s="28" t="s">
        <v>7070</v>
      </c>
      <c r="I6926" s="5" t="s">
        <v>138</v>
      </c>
    </row>
    <row r="6927" spans="1:9" ht="51.75" customHeight="1">
      <c r="A6927" s="5" t="s">
        <v>24491</v>
      </c>
      <c r="B6927" s="5" t="s">
        <v>42528</v>
      </c>
      <c r="C6927" s="5" t="s">
        <v>42529</v>
      </c>
      <c r="D6927" s="246">
        <v>41437</v>
      </c>
      <c r="E6927" s="5" t="s">
        <v>42530</v>
      </c>
      <c r="F6927" s="26" t="s">
        <v>23600</v>
      </c>
      <c r="G6927" s="27" t="s">
        <v>7069</v>
      </c>
      <c r="H6927" s="28" t="s">
        <v>7070</v>
      </c>
      <c r="I6927" s="5" t="s">
        <v>138</v>
      </c>
    </row>
    <row r="6928" spans="1:9" ht="51.75" customHeight="1">
      <c r="A6928" s="5" t="s">
        <v>24495</v>
      </c>
      <c r="B6928" s="5" t="s">
        <v>42531</v>
      </c>
      <c r="C6928" s="5" t="s">
        <v>42532</v>
      </c>
      <c r="D6928" s="246">
        <v>41437</v>
      </c>
      <c r="E6928" s="5" t="s">
        <v>42533</v>
      </c>
      <c r="F6928" s="26" t="s">
        <v>23600</v>
      </c>
      <c r="G6928" s="27" t="s">
        <v>7069</v>
      </c>
      <c r="H6928" s="28" t="s">
        <v>7070</v>
      </c>
      <c r="I6928" s="5" t="s">
        <v>138</v>
      </c>
    </row>
    <row r="6929" spans="1:9" ht="51.75" customHeight="1">
      <c r="A6929" s="5" t="s">
        <v>28158</v>
      </c>
      <c r="B6929" s="5" t="s">
        <v>42534</v>
      </c>
      <c r="C6929" s="5" t="s">
        <v>42535</v>
      </c>
      <c r="D6929" s="246">
        <v>41599</v>
      </c>
      <c r="E6929" s="5" t="s">
        <v>42536</v>
      </c>
      <c r="F6929" s="26" t="s">
        <v>42097</v>
      </c>
      <c r="G6929" s="27" t="s">
        <v>6179</v>
      </c>
      <c r="H6929" s="28" t="s">
        <v>6180</v>
      </c>
      <c r="I6929" s="5" t="s">
        <v>138</v>
      </c>
    </row>
    <row r="6930" spans="1:9" ht="51.75" customHeight="1">
      <c r="A6930" s="5" t="s">
        <v>28158</v>
      </c>
      <c r="B6930" s="5" t="s">
        <v>42537</v>
      </c>
      <c r="C6930" s="5" t="s">
        <v>42535</v>
      </c>
      <c r="D6930" s="246">
        <v>41599</v>
      </c>
      <c r="E6930" s="5" t="s">
        <v>42538</v>
      </c>
      <c r="F6930" s="26" t="s">
        <v>23600</v>
      </c>
      <c r="G6930" s="27" t="s">
        <v>6179</v>
      </c>
      <c r="H6930" s="28" t="s">
        <v>6180</v>
      </c>
      <c r="I6930" s="5" t="s">
        <v>138</v>
      </c>
    </row>
    <row r="6931" spans="1:9" ht="51.75" customHeight="1">
      <c r="A6931" s="5">
        <v>1</v>
      </c>
      <c r="B6931" s="5" t="s">
        <v>42539</v>
      </c>
      <c r="C6931" s="5" t="s">
        <v>42540</v>
      </c>
      <c r="D6931" s="246">
        <v>41081</v>
      </c>
      <c r="E6931" s="5" t="s">
        <v>42541</v>
      </c>
      <c r="F6931" s="26" t="s">
        <v>42097</v>
      </c>
      <c r="G6931" s="27" t="s">
        <v>6171</v>
      </c>
      <c r="H6931" s="28" t="s">
        <v>6172</v>
      </c>
      <c r="I6931" s="5" t="s">
        <v>138</v>
      </c>
    </row>
    <row r="6932" spans="1:9" ht="51.75" customHeight="1">
      <c r="A6932" s="5">
        <v>1</v>
      </c>
      <c r="B6932" s="5" t="s">
        <v>42542</v>
      </c>
      <c r="C6932" s="5" t="s">
        <v>42540</v>
      </c>
      <c r="D6932" s="246">
        <v>41081</v>
      </c>
      <c r="E6932" s="5" t="s">
        <v>42543</v>
      </c>
      <c r="F6932" s="26" t="s">
        <v>23600</v>
      </c>
      <c r="G6932" s="27" t="s">
        <v>6171</v>
      </c>
      <c r="H6932" s="28" t="s">
        <v>6172</v>
      </c>
      <c r="I6932" s="5" t="s">
        <v>138</v>
      </c>
    </row>
    <row r="6933" spans="1:9" ht="51.75" customHeight="1">
      <c r="A6933" s="5">
        <v>2</v>
      </c>
      <c r="B6933" s="5" t="s">
        <v>42544</v>
      </c>
      <c r="C6933" s="5" t="s">
        <v>42545</v>
      </c>
      <c r="D6933" s="246">
        <v>41081</v>
      </c>
      <c r="E6933" s="5" t="s">
        <v>42546</v>
      </c>
      <c r="F6933" s="26" t="s">
        <v>42097</v>
      </c>
      <c r="G6933" s="27" t="s">
        <v>6171</v>
      </c>
      <c r="H6933" s="28" t="s">
        <v>6172</v>
      </c>
      <c r="I6933" s="5" t="s">
        <v>138</v>
      </c>
    </row>
    <row r="6934" spans="1:9" ht="51.75" customHeight="1">
      <c r="A6934" s="5">
        <v>2</v>
      </c>
      <c r="B6934" s="5" t="s">
        <v>42547</v>
      </c>
      <c r="C6934" s="5" t="s">
        <v>42545</v>
      </c>
      <c r="D6934" s="246">
        <v>41081</v>
      </c>
      <c r="E6934" s="5" t="s">
        <v>42548</v>
      </c>
      <c r="F6934" s="26" t="s">
        <v>23600</v>
      </c>
      <c r="G6934" s="27" t="s">
        <v>6171</v>
      </c>
      <c r="H6934" s="28" t="s">
        <v>6172</v>
      </c>
      <c r="I6934" s="5" t="s">
        <v>138</v>
      </c>
    </row>
    <row r="6935" spans="1:9" ht="51.75" customHeight="1">
      <c r="A6935" s="5" t="s">
        <v>25141</v>
      </c>
      <c r="B6935" s="5" t="s">
        <v>42549</v>
      </c>
      <c r="C6935" s="5" t="s">
        <v>42550</v>
      </c>
      <c r="D6935" s="246">
        <v>41214</v>
      </c>
      <c r="E6935" s="5" t="s">
        <v>42551</v>
      </c>
      <c r="F6935" s="26" t="s">
        <v>23600</v>
      </c>
      <c r="G6935" s="27" t="s">
        <v>5705</v>
      </c>
      <c r="H6935" s="28" t="s">
        <v>5706</v>
      </c>
      <c r="I6935" s="5" t="s">
        <v>138</v>
      </c>
    </row>
    <row r="6936" spans="1:9" ht="51.75" customHeight="1">
      <c r="A6936" s="5" t="s">
        <v>25141</v>
      </c>
      <c r="B6936" s="5" t="s">
        <v>42552</v>
      </c>
      <c r="C6936" s="5" t="s">
        <v>42550</v>
      </c>
      <c r="D6936" s="246">
        <v>41214</v>
      </c>
      <c r="E6936" s="5" t="s">
        <v>42553</v>
      </c>
      <c r="F6936" s="26" t="s">
        <v>42097</v>
      </c>
      <c r="G6936" s="27" t="s">
        <v>5705</v>
      </c>
      <c r="H6936" s="28" t="s">
        <v>5706</v>
      </c>
      <c r="I6936" s="5" t="s">
        <v>138</v>
      </c>
    </row>
    <row r="6937" spans="1:9" ht="51.75" customHeight="1">
      <c r="A6937" s="5" t="s">
        <v>25145</v>
      </c>
      <c r="B6937" s="5" t="s">
        <v>42554</v>
      </c>
      <c r="C6937" s="5" t="s">
        <v>42555</v>
      </c>
      <c r="D6937" s="246">
        <v>41214</v>
      </c>
      <c r="E6937" s="5" t="s">
        <v>42556</v>
      </c>
      <c r="F6937" s="26" t="s">
        <v>23600</v>
      </c>
      <c r="G6937" s="27" t="s">
        <v>5705</v>
      </c>
      <c r="H6937" s="28" t="s">
        <v>5706</v>
      </c>
      <c r="I6937" s="5" t="s">
        <v>138</v>
      </c>
    </row>
    <row r="6938" spans="1:9" ht="51.75" customHeight="1">
      <c r="A6938" s="5" t="s">
        <v>25145</v>
      </c>
      <c r="B6938" s="5" t="s">
        <v>42557</v>
      </c>
      <c r="C6938" s="5" t="s">
        <v>42555</v>
      </c>
      <c r="D6938" s="246">
        <v>41214</v>
      </c>
      <c r="E6938" s="5" t="s">
        <v>42558</v>
      </c>
      <c r="F6938" s="26" t="s">
        <v>42097</v>
      </c>
      <c r="G6938" s="27" t="s">
        <v>5705</v>
      </c>
      <c r="H6938" s="28" t="s">
        <v>5706</v>
      </c>
      <c r="I6938" s="5" t="s">
        <v>138</v>
      </c>
    </row>
    <row r="6939" spans="1:9" ht="51.75" customHeight="1">
      <c r="A6939" s="5" t="s">
        <v>26952</v>
      </c>
      <c r="B6939" s="5" t="s">
        <v>42559</v>
      </c>
      <c r="C6939" s="5" t="s">
        <v>42560</v>
      </c>
      <c r="D6939" s="246">
        <v>41214</v>
      </c>
      <c r="E6939" s="5" t="s">
        <v>42561</v>
      </c>
      <c r="F6939" s="26" t="s">
        <v>23600</v>
      </c>
      <c r="G6939" s="27" t="s">
        <v>5705</v>
      </c>
      <c r="H6939" s="28" t="s">
        <v>5706</v>
      </c>
      <c r="I6939" s="5" t="s">
        <v>138</v>
      </c>
    </row>
    <row r="6940" spans="1:9" ht="51.75" customHeight="1">
      <c r="A6940" s="5" t="s">
        <v>26958</v>
      </c>
      <c r="B6940" s="5" t="s">
        <v>42562</v>
      </c>
      <c r="C6940" s="5" t="s">
        <v>42563</v>
      </c>
      <c r="D6940" s="246">
        <v>41214</v>
      </c>
      <c r="E6940" s="5" t="s">
        <v>42564</v>
      </c>
      <c r="F6940" s="26" t="s">
        <v>23600</v>
      </c>
      <c r="G6940" s="27" t="s">
        <v>5705</v>
      </c>
      <c r="H6940" s="28" t="s">
        <v>5706</v>
      </c>
      <c r="I6940" s="5" t="s">
        <v>138</v>
      </c>
    </row>
    <row r="6941" spans="1:9" ht="51.75" customHeight="1">
      <c r="A6941" s="5" t="s">
        <v>26958</v>
      </c>
      <c r="B6941" s="5" t="s">
        <v>42565</v>
      </c>
      <c r="C6941" s="5" t="s">
        <v>42563</v>
      </c>
      <c r="D6941" s="246">
        <v>41214</v>
      </c>
      <c r="E6941" s="5" t="s">
        <v>42566</v>
      </c>
      <c r="F6941" s="26" t="s">
        <v>42097</v>
      </c>
      <c r="G6941" s="27" t="s">
        <v>5705</v>
      </c>
      <c r="H6941" s="28" t="s">
        <v>5706</v>
      </c>
      <c r="I6941" s="5" t="s">
        <v>138</v>
      </c>
    </row>
    <row r="6942" spans="1:9" ht="51.75" customHeight="1">
      <c r="A6942" s="5" t="s">
        <v>23946</v>
      </c>
      <c r="B6942" s="5" t="s">
        <v>42567</v>
      </c>
      <c r="C6942" s="5" t="s">
        <v>42568</v>
      </c>
      <c r="D6942" s="246">
        <v>41207</v>
      </c>
      <c r="E6942" s="5" t="s">
        <v>42569</v>
      </c>
      <c r="F6942" s="26" t="s">
        <v>42097</v>
      </c>
      <c r="G6942" s="27" t="s">
        <v>5492</v>
      </c>
      <c r="H6942" s="28" t="s">
        <v>5493</v>
      </c>
      <c r="I6942" s="5" t="s">
        <v>138</v>
      </c>
    </row>
    <row r="6943" spans="1:9" ht="51.75" customHeight="1">
      <c r="A6943" s="5" t="s">
        <v>23946</v>
      </c>
      <c r="B6943" s="5" t="s">
        <v>42570</v>
      </c>
      <c r="C6943" s="5" t="s">
        <v>42568</v>
      </c>
      <c r="D6943" s="246">
        <v>41207</v>
      </c>
      <c r="E6943" s="5" t="s">
        <v>42571</v>
      </c>
      <c r="F6943" s="26" t="s">
        <v>23600</v>
      </c>
      <c r="G6943" s="27" t="s">
        <v>5492</v>
      </c>
      <c r="H6943" s="28" t="s">
        <v>5493</v>
      </c>
      <c r="I6943" s="5" t="s">
        <v>138</v>
      </c>
    </row>
    <row r="6944" spans="1:9" ht="51.75" customHeight="1">
      <c r="A6944" s="5" t="s">
        <v>24932</v>
      </c>
      <c r="B6944" s="5" t="s">
        <v>42572</v>
      </c>
      <c r="C6944" s="5" t="s">
        <v>42573</v>
      </c>
      <c r="D6944" s="246">
        <v>41302</v>
      </c>
      <c r="E6944" s="5" t="s">
        <v>42574</v>
      </c>
      <c r="F6944" s="26" t="s">
        <v>23600</v>
      </c>
      <c r="G6944" s="27" t="s">
        <v>6766</v>
      </c>
      <c r="H6944" s="28" t="s">
        <v>6767</v>
      </c>
      <c r="I6944" s="5" t="s">
        <v>138</v>
      </c>
    </row>
    <row r="6945" spans="1:9" ht="51.75" customHeight="1">
      <c r="A6945" s="5" t="s">
        <v>24932</v>
      </c>
      <c r="B6945" s="5" t="s">
        <v>42575</v>
      </c>
      <c r="C6945" s="5" t="s">
        <v>42573</v>
      </c>
      <c r="D6945" s="246">
        <v>41302</v>
      </c>
      <c r="E6945" s="5" t="s">
        <v>42576</v>
      </c>
      <c r="F6945" s="26" t="s">
        <v>42097</v>
      </c>
      <c r="G6945" s="27" t="s">
        <v>6766</v>
      </c>
      <c r="H6945" s="28" t="s">
        <v>6767</v>
      </c>
      <c r="I6945" s="5" t="s">
        <v>138</v>
      </c>
    </row>
    <row r="6946" spans="1:9" ht="51.75" customHeight="1">
      <c r="A6946" s="5" t="s">
        <v>26993</v>
      </c>
      <c r="B6946" s="5" t="s">
        <v>42577</v>
      </c>
      <c r="C6946" s="5" t="s">
        <v>42578</v>
      </c>
      <c r="D6946" s="246">
        <v>41302</v>
      </c>
      <c r="E6946" s="5" t="s">
        <v>42579</v>
      </c>
      <c r="F6946" s="26" t="s">
        <v>23600</v>
      </c>
      <c r="G6946" s="27" t="s">
        <v>6766</v>
      </c>
      <c r="H6946" s="28" t="s">
        <v>6767</v>
      </c>
      <c r="I6946" s="5" t="s">
        <v>138</v>
      </c>
    </row>
    <row r="6947" spans="1:9" ht="51.75" customHeight="1">
      <c r="A6947" s="5" t="s">
        <v>26993</v>
      </c>
      <c r="B6947" s="5" t="s">
        <v>42580</v>
      </c>
      <c r="C6947" s="5" t="s">
        <v>42578</v>
      </c>
      <c r="D6947" s="246">
        <v>41302</v>
      </c>
      <c r="E6947" s="5" t="s">
        <v>42581</v>
      </c>
      <c r="F6947" s="26" t="s">
        <v>42097</v>
      </c>
      <c r="G6947" s="27" t="s">
        <v>6766</v>
      </c>
      <c r="H6947" s="28" t="s">
        <v>6767</v>
      </c>
      <c r="I6947" s="5" t="s">
        <v>138</v>
      </c>
    </row>
    <row r="6948" spans="1:9" ht="51.75" customHeight="1">
      <c r="A6948" s="5" t="s">
        <v>26238</v>
      </c>
      <c r="B6948" s="5" t="s">
        <v>42582</v>
      </c>
      <c r="C6948" s="5" t="s">
        <v>42583</v>
      </c>
      <c r="D6948" s="246">
        <v>41302</v>
      </c>
      <c r="E6948" s="5" t="s">
        <v>42584</v>
      </c>
      <c r="F6948" s="26" t="s">
        <v>23600</v>
      </c>
      <c r="G6948" s="27" t="s">
        <v>6766</v>
      </c>
      <c r="H6948" s="28" t="s">
        <v>6767</v>
      </c>
      <c r="I6948" s="5" t="s">
        <v>138</v>
      </c>
    </row>
    <row r="6949" spans="1:9" ht="51.75" customHeight="1">
      <c r="A6949" s="5" t="s">
        <v>26238</v>
      </c>
      <c r="B6949" s="5" t="s">
        <v>42585</v>
      </c>
      <c r="C6949" s="5" t="s">
        <v>42583</v>
      </c>
      <c r="D6949" s="246">
        <v>41302</v>
      </c>
      <c r="E6949" s="5" t="s">
        <v>42586</v>
      </c>
      <c r="F6949" s="26" t="s">
        <v>42097</v>
      </c>
      <c r="G6949" s="27" t="s">
        <v>6766</v>
      </c>
      <c r="H6949" s="28" t="s">
        <v>6767</v>
      </c>
      <c r="I6949" s="5" t="s">
        <v>138</v>
      </c>
    </row>
    <row r="6950" spans="1:9" ht="51.75" customHeight="1">
      <c r="A6950" s="5" t="s">
        <v>25137</v>
      </c>
      <c r="B6950" s="5" t="s">
        <v>42587</v>
      </c>
      <c r="C6950" s="5" t="s">
        <v>42588</v>
      </c>
      <c r="D6950" s="246">
        <v>41439</v>
      </c>
      <c r="E6950" s="5" t="s">
        <v>42589</v>
      </c>
      <c r="F6950" s="26" t="s">
        <v>42097</v>
      </c>
      <c r="G6950" s="27" t="s">
        <v>6773</v>
      </c>
      <c r="H6950" s="28" t="s">
        <v>6774</v>
      </c>
      <c r="I6950" s="5" t="s">
        <v>138</v>
      </c>
    </row>
    <row r="6951" spans="1:9" ht="51.75" customHeight="1">
      <c r="A6951" s="5" t="s">
        <v>25137</v>
      </c>
      <c r="B6951" s="5" t="s">
        <v>42590</v>
      </c>
      <c r="C6951" s="5" t="s">
        <v>42588</v>
      </c>
      <c r="D6951" s="246">
        <v>41439</v>
      </c>
      <c r="E6951" s="5" t="s">
        <v>42591</v>
      </c>
      <c r="F6951" s="26" t="s">
        <v>23600</v>
      </c>
      <c r="G6951" s="27" t="s">
        <v>6773</v>
      </c>
      <c r="H6951" s="28" t="s">
        <v>6774</v>
      </c>
      <c r="I6951" s="5" t="s">
        <v>138</v>
      </c>
    </row>
    <row r="6952" spans="1:9" ht="51.75" customHeight="1">
      <c r="A6952" s="5" t="s">
        <v>25066</v>
      </c>
      <c r="B6952" s="5" t="s">
        <v>42592</v>
      </c>
      <c r="C6952" s="5" t="s">
        <v>42593</v>
      </c>
      <c r="D6952" s="246">
        <v>41439</v>
      </c>
      <c r="E6952" s="5" t="s">
        <v>42594</v>
      </c>
      <c r="F6952" s="26" t="s">
        <v>42097</v>
      </c>
      <c r="G6952" s="27" t="s">
        <v>6773</v>
      </c>
      <c r="H6952" s="28" t="s">
        <v>6774</v>
      </c>
      <c r="I6952" s="5" t="s">
        <v>138</v>
      </c>
    </row>
    <row r="6953" spans="1:9" ht="51.75" customHeight="1">
      <c r="A6953" s="5" t="s">
        <v>25066</v>
      </c>
      <c r="B6953" s="5" t="s">
        <v>42595</v>
      </c>
      <c r="C6953" s="5" t="s">
        <v>42593</v>
      </c>
      <c r="D6953" s="246">
        <v>41439</v>
      </c>
      <c r="E6953" s="5" t="s">
        <v>42596</v>
      </c>
      <c r="F6953" s="26" t="s">
        <v>23600</v>
      </c>
      <c r="G6953" s="27" t="s">
        <v>6773</v>
      </c>
      <c r="H6953" s="28" t="s">
        <v>6774</v>
      </c>
      <c r="I6953" s="5" t="s">
        <v>138</v>
      </c>
    </row>
    <row r="6954" spans="1:9" ht="51.75" customHeight="1">
      <c r="A6954" s="5" t="s">
        <v>25190</v>
      </c>
      <c r="B6954" s="5" t="s">
        <v>42597</v>
      </c>
      <c r="C6954" s="5" t="s">
        <v>42598</v>
      </c>
      <c r="D6954" s="246">
        <v>41690</v>
      </c>
      <c r="E6954" s="5" t="s">
        <v>42599</v>
      </c>
      <c r="F6954" s="26" t="s">
        <v>23600</v>
      </c>
      <c r="G6954" s="27" t="s">
        <v>7635</v>
      </c>
      <c r="H6954" s="28" t="s">
        <v>7636</v>
      </c>
      <c r="I6954" s="5" t="s">
        <v>138</v>
      </c>
    </row>
    <row r="6955" spans="1:9" ht="51.75" customHeight="1">
      <c r="A6955" s="5" t="s">
        <v>25194</v>
      </c>
      <c r="B6955" s="5" t="s">
        <v>42600</v>
      </c>
      <c r="C6955" s="5" t="s">
        <v>42601</v>
      </c>
      <c r="D6955" s="246">
        <v>41690</v>
      </c>
      <c r="E6955" s="5" t="s">
        <v>42602</v>
      </c>
      <c r="F6955" s="26" t="s">
        <v>23600</v>
      </c>
      <c r="G6955" s="27" t="s">
        <v>7635</v>
      </c>
      <c r="H6955" s="28" t="s">
        <v>7636</v>
      </c>
      <c r="I6955" s="5" t="s">
        <v>138</v>
      </c>
    </row>
    <row r="6956" spans="1:9" ht="51.75" customHeight="1">
      <c r="A6956" s="5" t="s">
        <v>25198</v>
      </c>
      <c r="B6956" s="5" t="s">
        <v>42603</v>
      </c>
      <c r="C6956" s="5" t="s">
        <v>25050</v>
      </c>
      <c r="D6956" s="246">
        <v>41690</v>
      </c>
      <c r="E6956" s="5" t="s">
        <v>42604</v>
      </c>
      <c r="F6956" s="26" t="s">
        <v>23600</v>
      </c>
      <c r="G6956" s="27" t="s">
        <v>7635</v>
      </c>
      <c r="H6956" s="28" t="s">
        <v>7636</v>
      </c>
      <c r="I6956" s="5" t="s">
        <v>138</v>
      </c>
    </row>
    <row r="6957" spans="1:9" ht="51.75" customHeight="1">
      <c r="A6957" s="5" t="s">
        <v>28158</v>
      </c>
      <c r="B6957" s="5" t="s">
        <v>42605</v>
      </c>
      <c r="C6957" s="5" t="s">
        <v>25249</v>
      </c>
      <c r="D6957" s="246">
        <v>41690</v>
      </c>
      <c r="E6957" s="5" t="s">
        <v>42606</v>
      </c>
      <c r="F6957" s="26" t="s">
        <v>23600</v>
      </c>
      <c r="G6957" s="27" t="s">
        <v>7635</v>
      </c>
      <c r="H6957" s="28" t="s">
        <v>7636</v>
      </c>
      <c r="I6957" s="5" t="s">
        <v>138</v>
      </c>
    </row>
    <row r="6958" spans="1:9" ht="51.75" customHeight="1">
      <c r="A6958" s="5" t="s">
        <v>28165</v>
      </c>
      <c r="B6958" s="5" t="s">
        <v>42607</v>
      </c>
      <c r="C6958" s="5" t="s">
        <v>25252</v>
      </c>
      <c r="D6958" s="246">
        <v>41690</v>
      </c>
      <c r="E6958" s="5" t="s">
        <v>42608</v>
      </c>
      <c r="F6958" s="26" t="s">
        <v>23600</v>
      </c>
      <c r="G6958" s="27" t="s">
        <v>7635</v>
      </c>
      <c r="H6958" s="28" t="s">
        <v>7636</v>
      </c>
      <c r="I6958" s="5" t="s">
        <v>138</v>
      </c>
    </row>
    <row r="6959" spans="1:9" ht="51.75" customHeight="1">
      <c r="A6959" s="5">
        <v>1</v>
      </c>
      <c r="B6959" s="5" t="s">
        <v>42609</v>
      </c>
      <c r="C6959" s="5" t="s">
        <v>42610</v>
      </c>
      <c r="D6959" s="246">
        <v>40443</v>
      </c>
      <c r="E6959" s="5" t="s">
        <v>42611</v>
      </c>
      <c r="F6959" s="26" t="s">
        <v>42097</v>
      </c>
      <c r="G6959" s="27" t="s">
        <v>5308</v>
      </c>
      <c r="H6959" s="28" t="s">
        <v>5309</v>
      </c>
      <c r="I6959" s="5" t="s">
        <v>138</v>
      </c>
    </row>
    <row r="6960" spans="1:9" ht="51.75" customHeight="1">
      <c r="A6960" s="5">
        <v>1</v>
      </c>
      <c r="B6960" s="5" t="s">
        <v>42612</v>
      </c>
      <c r="C6960" s="5" t="s">
        <v>42610</v>
      </c>
      <c r="D6960" s="246">
        <v>40443</v>
      </c>
      <c r="E6960" s="5" t="s">
        <v>42613</v>
      </c>
      <c r="F6960" s="26" t="s">
        <v>23600</v>
      </c>
      <c r="G6960" s="27" t="s">
        <v>5308</v>
      </c>
      <c r="H6960" s="28" t="s">
        <v>5309</v>
      </c>
      <c r="I6960" s="5" t="s">
        <v>138</v>
      </c>
    </row>
    <row r="6961" spans="1:9" ht="51.75" customHeight="1">
      <c r="A6961" s="5">
        <v>2</v>
      </c>
      <c r="B6961" s="5" t="s">
        <v>42614</v>
      </c>
      <c r="C6961" s="5" t="s">
        <v>42615</v>
      </c>
      <c r="D6961" s="246">
        <v>40443</v>
      </c>
      <c r="E6961" s="5" t="s">
        <v>42616</v>
      </c>
      <c r="F6961" s="26" t="s">
        <v>42097</v>
      </c>
      <c r="G6961" s="27" t="s">
        <v>5308</v>
      </c>
      <c r="H6961" s="28" t="s">
        <v>5309</v>
      </c>
      <c r="I6961" s="5" t="s">
        <v>138</v>
      </c>
    </row>
    <row r="6962" spans="1:9" ht="51.75" customHeight="1">
      <c r="A6962" s="5">
        <v>2</v>
      </c>
      <c r="B6962" s="5" t="s">
        <v>42617</v>
      </c>
      <c r="C6962" s="5" t="s">
        <v>42615</v>
      </c>
      <c r="D6962" s="246">
        <v>40443</v>
      </c>
      <c r="E6962" s="5" t="s">
        <v>42618</v>
      </c>
      <c r="F6962" s="26" t="s">
        <v>23600</v>
      </c>
      <c r="G6962" s="27" t="s">
        <v>5308</v>
      </c>
      <c r="H6962" s="28" t="s">
        <v>5309</v>
      </c>
      <c r="I6962" s="5" t="s">
        <v>138</v>
      </c>
    </row>
    <row r="6963" spans="1:9" ht="51.75" customHeight="1">
      <c r="A6963" s="5">
        <v>3</v>
      </c>
      <c r="B6963" s="5" t="s">
        <v>42619</v>
      </c>
      <c r="C6963" s="5" t="s">
        <v>42620</v>
      </c>
      <c r="D6963" s="246">
        <v>40443</v>
      </c>
      <c r="E6963" s="5" t="s">
        <v>42621</v>
      </c>
      <c r="F6963" s="26" t="s">
        <v>42097</v>
      </c>
      <c r="G6963" s="27" t="s">
        <v>5308</v>
      </c>
      <c r="H6963" s="28" t="s">
        <v>5309</v>
      </c>
      <c r="I6963" s="5" t="s">
        <v>138</v>
      </c>
    </row>
    <row r="6964" spans="1:9" ht="51.75" customHeight="1">
      <c r="A6964" s="5">
        <v>3</v>
      </c>
      <c r="B6964" s="5" t="s">
        <v>42622</v>
      </c>
      <c r="C6964" s="5" t="s">
        <v>42620</v>
      </c>
      <c r="D6964" s="246">
        <v>40443</v>
      </c>
      <c r="E6964" s="5" t="s">
        <v>42623</v>
      </c>
      <c r="F6964" s="26" t="s">
        <v>23600</v>
      </c>
      <c r="G6964" s="27" t="s">
        <v>5308</v>
      </c>
      <c r="H6964" s="28" t="s">
        <v>5309</v>
      </c>
      <c r="I6964" s="5" t="s">
        <v>138</v>
      </c>
    </row>
    <row r="6965" spans="1:9" ht="51.75" customHeight="1">
      <c r="A6965" s="5" t="s">
        <v>29772</v>
      </c>
      <c r="B6965" s="5" t="s">
        <v>42624</v>
      </c>
      <c r="C6965" s="5" t="s">
        <v>42625</v>
      </c>
      <c r="D6965" s="246">
        <v>41746</v>
      </c>
      <c r="E6965" s="5" t="s">
        <v>42626</v>
      </c>
      <c r="F6965" s="26" t="s">
        <v>23600</v>
      </c>
      <c r="G6965" s="27" t="s">
        <v>7995</v>
      </c>
      <c r="H6965" s="28" t="s">
        <v>7996</v>
      </c>
      <c r="I6965" s="5" t="s">
        <v>138</v>
      </c>
    </row>
    <row r="6966" spans="1:9" ht="51.75" customHeight="1">
      <c r="A6966" s="5" t="s">
        <v>24587</v>
      </c>
      <c r="B6966" s="5" t="s">
        <v>42627</v>
      </c>
      <c r="C6966" s="5" t="s">
        <v>42628</v>
      </c>
      <c r="D6966" s="246">
        <v>41746</v>
      </c>
      <c r="E6966" s="5" t="s">
        <v>42629</v>
      </c>
      <c r="F6966" s="26" t="s">
        <v>23600</v>
      </c>
      <c r="G6966" s="27" t="s">
        <v>7995</v>
      </c>
      <c r="H6966" s="28" t="s">
        <v>7996</v>
      </c>
      <c r="I6966" s="5" t="s">
        <v>138</v>
      </c>
    </row>
    <row r="6967" spans="1:9" ht="51.75" customHeight="1">
      <c r="A6967" s="5" t="s">
        <v>29022</v>
      </c>
      <c r="B6967" s="5" t="s">
        <v>42630</v>
      </c>
      <c r="C6967" s="5" t="s">
        <v>24995</v>
      </c>
      <c r="D6967" s="246">
        <v>41963</v>
      </c>
      <c r="E6967" s="5" t="s">
        <v>42631</v>
      </c>
      <c r="F6967" s="26" t="s">
        <v>23600</v>
      </c>
      <c r="G6967" s="27" t="s">
        <v>7279</v>
      </c>
      <c r="H6967" s="28" t="s">
        <v>42632</v>
      </c>
      <c r="I6967" s="5" t="s">
        <v>138</v>
      </c>
    </row>
    <row r="6968" spans="1:9" ht="51.75" customHeight="1">
      <c r="A6968" s="5" t="s">
        <v>29027</v>
      </c>
      <c r="B6968" s="5" t="s">
        <v>42633</v>
      </c>
      <c r="C6968" s="5" t="s">
        <v>24998</v>
      </c>
      <c r="D6968" s="246" t="s">
        <v>68</v>
      </c>
      <c r="E6968" s="5" t="s">
        <v>42634</v>
      </c>
      <c r="F6968" s="26" t="s">
        <v>23600</v>
      </c>
      <c r="G6968" s="27" t="s">
        <v>7279</v>
      </c>
      <c r="H6968" s="28" t="s">
        <v>42632</v>
      </c>
      <c r="I6968" s="5" t="s">
        <v>138</v>
      </c>
    </row>
    <row r="6969" spans="1:9" ht="51.75" customHeight="1">
      <c r="A6969" s="5" t="s">
        <v>25622</v>
      </c>
      <c r="B6969" s="5" t="s">
        <v>42635</v>
      </c>
      <c r="C6969" s="5" t="s">
        <v>25050</v>
      </c>
      <c r="D6969" s="246">
        <v>41963</v>
      </c>
      <c r="E6969" s="5" t="s">
        <v>42636</v>
      </c>
      <c r="F6969" s="26" t="s">
        <v>23600</v>
      </c>
      <c r="G6969" s="27" t="s">
        <v>7279</v>
      </c>
      <c r="H6969" s="28" t="s">
        <v>42632</v>
      </c>
      <c r="I6969" s="5" t="s">
        <v>138</v>
      </c>
    </row>
    <row r="6970" spans="1:9" ht="51.75" customHeight="1">
      <c r="A6970" s="5" t="s">
        <v>38819</v>
      </c>
      <c r="B6970" s="5" t="s">
        <v>42637</v>
      </c>
      <c r="C6970" s="5" t="s">
        <v>25249</v>
      </c>
      <c r="D6970" s="246">
        <v>41963</v>
      </c>
      <c r="E6970" s="5" t="s">
        <v>42638</v>
      </c>
      <c r="F6970" s="26" t="s">
        <v>23600</v>
      </c>
      <c r="G6970" s="27" t="s">
        <v>7279</v>
      </c>
      <c r="H6970" s="28" t="s">
        <v>42632</v>
      </c>
      <c r="I6970" s="5" t="s">
        <v>138</v>
      </c>
    </row>
    <row r="6971" spans="1:9" ht="51.75" customHeight="1">
      <c r="A6971" s="5" t="s">
        <v>30111</v>
      </c>
      <c r="B6971" s="5" t="s">
        <v>42639</v>
      </c>
      <c r="C6971" s="5" t="s">
        <v>25252</v>
      </c>
      <c r="D6971" s="246">
        <v>41963</v>
      </c>
      <c r="E6971" s="5" t="s">
        <v>42640</v>
      </c>
      <c r="F6971" s="26" t="s">
        <v>23600</v>
      </c>
      <c r="G6971" s="27" t="s">
        <v>7279</v>
      </c>
      <c r="H6971" s="28" t="s">
        <v>42632</v>
      </c>
      <c r="I6971" s="5" t="s">
        <v>138</v>
      </c>
    </row>
    <row r="6972" spans="1:9" ht="51.75" customHeight="1">
      <c r="A6972" s="5" t="s">
        <v>23814</v>
      </c>
      <c r="B6972" s="5" t="s">
        <v>42641</v>
      </c>
      <c r="C6972" s="5" t="s">
        <v>25276</v>
      </c>
      <c r="D6972" s="246">
        <v>41963</v>
      </c>
      <c r="E6972" s="5" t="s">
        <v>42642</v>
      </c>
      <c r="F6972" s="26" t="s">
        <v>23600</v>
      </c>
      <c r="G6972" s="27" t="s">
        <v>7279</v>
      </c>
      <c r="H6972" s="28" t="s">
        <v>42632</v>
      </c>
      <c r="I6972" s="5" t="s">
        <v>138</v>
      </c>
    </row>
    <row r="6973" spans="1:9" ht="51.75" customHeight="1">
      <c r="A6973" s="5">
        <v>1</v>
      </c>
      <c r="B6973" s="5" t="s">
        <v>42643</v>
      </c>
      <c r="C6973" s="5" t="s">
        <v>42644</v>
      </c>
      <c r="D6973" s="246">
        <v>40309</v>
      </c>
      <c r="E6973" s="5" t="s">
        <v>42645</v>
      </c>
      <c r="F6973" s="26" t="s">
        <v>23600</v>
      </c>
      <c r="G6973" s="27" t="s">
        <v>2365</v>
      </c>
      <c r="H6973" s="28" t="s">
        <v>2366</v>
      </c>
      <c r="I6973" s="5" t="s">
        <v>138</v>
      </c>
    </row>
    <row r="6974" spans="1:9" ht="51.75" customHeight="1">
      <c r="A6974" s="5">
        <v>1</v>
      </c>
      <c r="B6974" s="5" t="s">
        <v>42646</v>
      </c>
      <c r="C6974" s="5" t="s">
        <v>42644</v>
      </c>
      <c r="D6974" s="246">
        <v>40309</v>
      </c>
      <c r="E6974" s="5" t="s">
        <v>42647</v>
      </c>
      <c r="F6974" s="26" t="s">
        <v>42097</v>
      </c>
      <c r="G6974" s="27" t="s">
        <v>2365</v>
      </c>
      <c r="H6974" s="28" t="s">
        <v>2366</v>
      </c>
      <c r="I6974" s="5" t="s">
        <v>138</v>
      </c>
    </row>
    <row r="6975" spans="1:9" ht="51.75" customHeight="1">
      <c r="A6975" s="5">
        <v>2</v>
      </c>
      <c r="B6975" s="5" t="s">
        <v>42648</v>
      </c>
      <c r="C6975" s="5" t="s">
        <v>42649</v>
      </c>
      <c r="D6975" s="246">
        <v>40309</v>
      </c>
      <c r="E6975" s="5" t="s">
        <v>42650</v>
      </c>
      <c r="F6975" s="26" t="s">
        <v>23600</v>
      </c>
      <c r="G6975" s="27" t="s">
        <v>2365</v>
      </c>
      <c r="H6975" s="28" t="s">
        <v>2366</v>
      </c>
      <c r="I6975" s="5" t="s">
        <v>138</v>
      </c>
    </row>
    <row r="6976" spans="1:9" ht="51.75" customHeight="1">
      <c r="A6976" s="5">
        <v>2</v>
      </c>
      <c r="B6976" s="5" t="s">
        <v>42651</v>
      </c>
      <c r="C6976" s="5" t="s">
        <v>42649</v>
      </c>
      <c r="D6976" s="246">
        <v>40309</v>
      </c>
      <c r="E6976" s="5" t="s">
        <v>42652</v>
      </c>
      <c r="F6976" s="26" t="s">
        <v>42097</v>
      </c>
      <c r="G6976" s="27" t="s">
        <v>2365</v>
      </c>
      <c r="H6976" s="28" t="s">
        <v>2366</v>
      </c>
      <c r="I6976" s="5" t="s">
        <v>138</v>
      </c>
    </row>
    <row r="6977" spans="1:9" ht="51.75" customHeight="1">
      <c r="A6977" s="5">
        <v>3</v>
      </c>
      <c r="B6977" s="5" t="s">
        <v>42653</v>
      </c>
      <c r="C6977" s="5" t="s">
        <v>42654</v>
      </c>
      <c r="D6977" s="246">
        <v>40309</v>
      </c>
      <c r="E6977" s="5" t="s">
        <v>42655</v>
      </c>
      <c r="F6977" s="26" t="s">
        <v>23600</v>
      </c>
      <c r="G6977" s="27" t="s">
        <v>2365</v>
      </c>
      <c r="H6977" s="28" t="s">
        <v>2366</v>
      </c>
      <c r="I6977" s="5" t="s">
        <v>138</v>
      </c>
    </row>
    <row r="6978" spans="1:9" ht="51.75" customHeight="1">
      <c r="A6978" s="5">
        <v>3</v>
      </c>
      <c r="B6978" s="5" t="s">
        <v>42656</v>
      </c>
      <c r="C6978" s="5" t="s">
        <v>42654</v>
      </c>
      <c r="D6978" s="246">
        <v>40309</v>
      </c>
      <c r="E6978" s="5" t="s">
        <v>42657</v>
      </c>
      <c r="F6978" s="26" t="s">
        <v>42097</v>
      </c>
      <c r="G6978" s="27" t="s">
        <v>2365</v>
      </c>
      <c r="H6978" s="28" t="s">
        <v>2366</v>
      </c>
      <c r="I6978" s="5" t="s">
        <v>138</v>
      </c>
    </row>
    <row r="6979" spans="1:9" ht="51.75" customHeight="1">
      <c r="A6979" s="5">
        <v>4</v>
      </c>
      <c r="B6979" s="5" t="s">
        <v>42658</v>
      </c>
      <c r="C6979" s="5" t="s">
        <v>42659</v>
      </c>
      <c r="D6979" s="246">
        <v>40309</v>
      </c>
      <c r="E6979" s="5" t="s">
        <v>42660</v>
      </c>
      <c r="F6979" s="26" t="s">
        <v>23600</v>
      </c>
      <c r="G6979" s="27" t="s">
        <v>2365</v>
      </c>
      <c r="H6979" s="28" t="s">
        <v>2366</v>
      </c>
      <c r="I6979" s="5" t="s">
        <v>138</v>
      </c>
    </row>
    <row r="6980" spans="1:9" ht="51.75" customHeight="1">
      <c r="A6980" s="5">
        <v>4</v>
      </c>
      <c r="B6980" s="5" t="s">
        <v>42661</v>
      </c>
      <c r="C6980" s="5" t="s">
        <v>42659</v>
      </c>
      <c r="D6980" s="246">
        <v>40309</v>
      </c>
      <c r="E6980" s="5" t="s">
        <v>42662</v>
      </c>
      <c r="F6980" s="26" t="s">
        <v>42097</v>
      </c>
      <c r="G6980" s="27" t="s">
        <v>2365</v>
      </c>
      <c r="H6980" s="28" t="s">
        <v>2366</v>
      </c>
      <c r="I6980" s="5" t="s">
        <v>138</v>
      </c>
    </row>
    <row r="6981" spans="1:9" ht="51.75" customHeight="1">
      <c r="A6981" s="5">
        <v>5</v>
      </c>
      <c r="B6981" s="5" t="s">
        <v>42663</v>
      </c>
      <c r="C6981" s="5" t="s">
        <v>42664</v>
      </c>
      <c r="D6981" s="246">
        <v>40309</v>
      </c>
      <c r="E6981" s="5" t="s">
        <v>42665</v>
      </c>
      <c r="F6981" s="26" t="s">
        <v>23600</v>
      </c>
      <c r="G6981" s="27" t="s">
        <v>2365</v>
      </c>
      <c r="H6981" s="28" t="s">
        <v>2366</v>
      </c>
      <c r="I6981" s="5" t="s">
        <v>138</v>
      </c>
    </row>
    <row r="6982" spans="1:9" ht="51.75" customHeight="1">
      <c r="A6982" s="5">
        <v>5</v>
      </c>
      <c r="B6982" s="5" t="s">
        <v>42666</v>
      </c>
      <c r="C6982" s="5" t="s">
        <v>42664</v>
      </c>
      <c r="D6982" s="246">
        <v>40309</v>
      </c>
      <c r="E6982" s="5" t="s">
        <v>42667</v>
      </c>
      <c r="F6982" s="26" t="s">
        <v>42097</v>
      </c>
      <c r="G6982" s="27" t="s">
        <v>2365</v>
      </c>
      <c r="H6982" s="28" t="s">
        <v>2366</v>
      </c>
      <c r="I6982" s="5" t="s">
        <v>138</v>
      </c>
    </row>
    <row r="6983" spans="1:9" ht="51.75" customHeight="1">
      <c r="A6983" s="5" t="s">
        <v>23708</v>
      </c>
      <c r="B6983" s="5" t="s">
        <v>42668</v>
      </c>
      <c r="C6983" s="5" t="s">
        <v>24995</v>
      </c>
      <c r="D6983" s="246">
        <v>42135</v>
      </c>
      <c r="E6983" s="5" t="s">
        <v>42669</v>
      </c>
      <c r="F6983" s="26" t="s">
        <v>23600</v>
      </c>
      <c r="G6983" s="27" t="s">
        <v>9927</v>
      </c>
      <c r="H6983" s="28" t="s">
        <v>9928</v>
      </c>
      <c r="I6983" s="5" t="s">
        <v>138</v>
      </c>
    </row>
    <row r="6984" spans="1:9" ht="51.75" customHeight="1">
      <c r="A6984" s="5" t="s">
        <v>28178</v>
      </c>
      <c r="B6984" s="5" t="s">
        <v>42670</v>
      </c>
      <c r="C6984" s="5" t="s">
        <v>42671</v>
      </c>
      <c r="D6984" s="246">
        <v>42188</v>
      </c>
      <c r="E6984" s="5" t="s">
        <v>42672</v>
      </c>
      <c r="F6984" s="26" t="s">
        <v>23600</v>
      </c>
      <c r="G6984" s="27" t="s">
        <v>10064</v>
      </c>
      <c r="H6984" s="28" t="s">
        <v>10065</v>
      </c>
      <c r="I6984" s="5" t="s">
        <v>138</v>
      </c>
    </row>
    <row r="6985" spans="1:9" ht="51.75" customHeight="1">
      <c r="A6985" s="5" t="s">
        <v>28182</v>
      </c>
      <c r="B6985" s="5" t="s">
        <v>42673</v>
      </c>
      <c r="C6985" s="5" t="s">
        <v>42674</v>
      </c>
      <c r="D6985" s="246">
        <v>42188</v>
      </c>
      <c r="E6985" s="5" t="s">
        <v>42675</v>
      </c>
      <c r="F6985" s="26" t="s">
        <v>23600</v>
      </c>
      <c r="G6985" s="27" t="s">
        <v>10064</v>
      </c>
      <c r="H6985" s="28" t="s">
        <v>10065</v>
      </c>
      <c r="I6985" s="5" t="s">
        <v>138</v>
      </c>
    </row>
    <row r="6986" spans="1:9" ht="51.75" customHeight="1">
      <c r="A6986" s="5" t="s">
        <v>27488</v>
      </c>
      <c r="B6986" s="5" t="s">
        <v>42676</v>
      </c>
      <c r="C6986" s="5" t="s">
        <v>24995</v>
      </c>
      <c r="D6986" s="246">
        <v>42185</v>
      </c>
      <c r="E6986" s="5" t="s">
        <v>42677</v>
      </c>
      <c r="F6986" s="26" t="s">
        <v>23600</v>
      </c>
      <c r="G6986" s="27" t="s">
        <v>10150</v>
      </c>
      <c r="H6986" s="28" t="s">
        <v>10151</v>
      </c>
      <c r="I6986" s="5" t="s">
        <v>138</v>
      </c>
    </row>
    <row r="6987" spans="1:9" ht="51.75" customHeight="1">
      <c r="A6987" s="5" t="s">
        <v>25048</v>
      </c>
      <c r="B6987" s="5" t="s">
        <v>42678</v>
      </c>
      <c r="C6987" s="5" t="s">
        <v>42679</v>
      </c>
      <c r="D6987" s="246">
        <v>42521</v>
      </c>
      <c r="E6987" s="5" t="s">
        <v>42680</v>
      </c>
      <c r="F6987" s="26" t="s">
        <v>23600</v>
      </c>
      <c r="G6987" s="27" t="s">
        <v>11574</v>
      </c>
      <c r="H6987" s="28" t="s">
        <v>11575</v>
      </c>
      <c r="I6987" s="5" t="s">
        <v>138</v>
      </c>
    </row>
    <row r="6988" spans="1:9" ht="51.75" customHeight="1">
      <c r="A6988" s="5" t="s">
        <v>23728</v>
      </c>
      <c r="B6988" s="5" t="s">
        <v>42681</v>
      </c>
      <c r="C6988" s="5" t="s">
        <v>42682</v>
      </c>
      <c r="D6988" s="246">
        <v>42984</v>
      </c>
      <c r="E6988" s="5" t="s">
        <v>42683</v>
      </c>
      <c r="F6988" s="26" t="s">
        <v>23600</v>
      </c>
      <c r="G6988" s="27" t="s">
        <v>12789</v>
      </c>
      <c r="H6988" s="28" t="s">
        <v>12790</v>
      </c>
      <c r="I6988" s="5" t="s">
        <v>138</v>
      </c>
    </row>
    <row r="6989" spans="1:9" ht="51.75" customHeight="1">
      <c r="A6989" s="5" t="s">
        <v>25905</v>
      </c>
      <c r="B6989" s="5" t="s">
        <v>42684</v>
      </c>
      <c r="C6989" s="5" t="s">
        <v>42685</v>
      </c>
      <c r="D6989" s="246">
        <v>42984</v>
      </c>
      <c r="E6989" s="5" t="s">
        <v>42686</v>
      </c>
      <c r="F6989" s="26" t="s">
        <v>23600</v>
      </c>
      <c r="G6989" s="27" t="s">
        <v>12789</v>
      </c>
      <c r="H6989" s="28" t="s">
        <v>12790</v>
      </c>
      <c r="I6989" s="5" t="s">
        <v>138</v>
      </c>
    </row>
    <row r="6990" spans="1:9" ht="51.75" customHeight="1">
      <c r="A6990" s="5" t="s">
        <v>24448</v>
      </c>
      <c r="B6990" s="5" t="s">
        <v>42687</v>
      </c>
      <c r="C6990" s="5" t="s">
        <v>42685</v>
      </c>
      <c r="D6990" s="246">
        <v>42984</v>
      </c>
      <c r="E6990" s="5" t="s">
        <v>42688</v>
      </c>
      <c r="F6990" s="26" t="s">
        <v>23600</v>
      </c>
      <c r="G6990" s="27" t="s">
        <v>12789</v>
      </c>
      <c r="H6990" s="28" t="s">
        <v>12790</v>
      </c>
      <c r="I6990" s="5" t="s">
        <v>138</v>
      </c>
    </row>
    <row r="6991" spans="1:9" ht="51.75" customHeight="1">
      <c r="A6991" s="5" t="s">
        <v>27043</v>
      </c>
      <c r="B6991" s="5" t="s">
        <v>42689</v>
      </c>
      <c r="C6991" s="5" t="s">
        <v>42690</v>
      </c>
      <c r="D6991" s="246">
        <v>42996</v>
      </c>
      <c r="E6991" s="5" t="s">
        <v>42691</v>
      </c>
      <c r="F6991" s="26" t="s">
        <v>23600</v>
      </c>
      <c r="G6991" s="27" t="s">
        <v>12806</v>
      </c>
      <c r="H6991" s="28" t="s">
        <v>12807</v>
      </c>
      <c r="I6991" s="5" t="s">
        <v>138</v>
      </c>
    </row>
    <row r="6992" spans="1:9" ht="51.75" customHeight="1">
      <c r="A6992" s="5" t="s">
        <v>24456</v>
      </c>
      <c r="B6992" s="5" t="s">
        <v>42692</v>
      </c>
      <c r="C6992" s="5" t="s">
        <v>42693</v>
      </c>
      <c r="D6992" s="246">
        <v>43088</v>
      </c>
      <c r="E6992" s="5" t="s">
        <v>42694</v>
      </c>
      <c r="F6992" s="26" t="s">
        <v>23600</v>
      </c>
      <c r="G6992" s="27" t="s">
        <v>12860</v>
      </c>
      <c r="H6992" s="28" t="s">
        <v>12861</v>
      </c>
      <c r="I6992" s="5" t="s">
        <v>138</v>
      </c>
    </row>
    <row r="6993" spans="1:9" ht="51.75" customHeight="1">
      <c r="A6993" s="5" t="s">
        <v>23623</v>
      </c>
      <c r="B6993" s="5" t="s">
        <v>42695</v>
      </c>
      <c r="C6993" s="5" t="s">
        <v>42696</v>
      </c>
      <c r="D6993" s="246">
        <v>43088</v>
      </c>
      <c r="E6993" s="5" t="s">
        <v>42697</v>
      </c>
      <c r="F6993" s="26" t="s">
        <v>23600</v>
      </c>
      <c r="G6993" s="27" t="s">
        <v>12860</v>
      </c>
      <c r="H6993" s="28" t="s">
        <v>12861</v>
      </c>
      <c r="I6993" s="5" t="s">
        <v>138</v>
      </c>
    </row>
    <row r="6994" spans="1:9" ht="51.75" customHeight="1">
      <c r="A6994" s="5" t="s">
        <v>29768</v>
      </c>
      <c r="B6994" s="5" t="s">
        <v>42698</v>
      </c>
      <c r="C6994" s="5" t="s">
        <v>42699</v>
      </c>
      <c r="D6994" s="246">
        <v>43551</v>
      </c>
      <c r="E6994" s="5" t="s">
        <v>42700</v>
      </c>
      <c r="F6994" s="26" t="s">
        <v>23600</v>
      </c>
      <c r="G6994" s="27" t="s">
        <v>14210</v>
      </c>
      <c r="H6994" s="28" t="s">
        <v>14211</v>
      </c>
      <c r="I6994" s="5" t="s">
        <v>138</v>
      </c>
    </row>
    <row r="6995" spans="1:9" ht="51.75" customHeight="1">
      <c r="A6995" s="5" t="s">
        <v>29772</v>
      </c>
      <c r="B6995" s="5" t="s">
        <v>42701</v>
      </c>
      <c r="C6995" s="5" t="s">
        <v>42702</v>
      </c>
      <c r="D6995" s="246">
        <v>43551</v>
      </c>
      <c r="E6995" s="5" t="s">
        <v>42703</v>
      </c>
      <c r="F6995" s="26" t="s">
        <v>23600</v>
      </c>
      <c r="G6995" s="27" t="s">
        <v>14210</v>
      </c>
      <c r="H6995" s="28" t="s">
        <v>14211</v>
      </c>
      <c r="I6995" s="5" t="s">
        <v>138</v>
      </c>
    </row>
    <row r="6996" spans="1:9" ht="51.75" customHeight="1">
      <c r="A6996" s="5" t="s">
        <v>24591</v>
      </c>
      <c r="B6996" s="5" t="s">
        <v>42704</v>
      </c>
      <c r="C6996" s="5" t="s">
        <v>42705</v>
      </c>
      <c r="D6996" s="246">
        <v>43551</v>
      </c>
      <c r="E6996" s="5" t="s">
        <v>42706</v>
      </c>
      <c r="F6996" s="26" t="s">
        <v>23600</v>
      </c>
      <c r="G6996" s="27" t="s">
        <v>14210</v>
      </c>
      <c r="H6996" s="28" t="s">
        <v>14211</v>
      </c>
      <c r="I6996" s="5" t="s">
        <v>138</v>
      </c>
    </row>
    <row r="6997" spans="1:9" ht="51.75" customHeight="1">
      <c r="A6997" s="5" t="s">
        <v>24595</v>
      </c>
      <c r="B6997" s="5" t="s">
        <v>42707</v>
      </c>
      <c r="C6997" s="5" t="s">
        <v>42708</v>
      </c>
      <c r="D6997" s="246">
        <v>43551</v>
      </c>
      <c r="E6997" s="5" t="s">
        <v>42709</v>
      </c>
      <c r="F6997" s="26" t="s">
        <v>23600</v>
      </c>
      <c r="G6997" s="27" t="s">
        <v>14210</v>
      </c>
      <c r="H6997" s="28" t="s">
        <v>14211</v>
      </c>
      <c r="I6997" s="5" t="s">
        <v>138</v>
      </c>
    </row>
    <row r="6998" spans="1:9" ht="51.75" customHeight="1">
      <c r="A6998" s="5" t="s">
        <v>25194</v>
      </c>
      <c r="B6998" s="5" t="s">
        <v>42710</v>
      </c>
      <c r="C6998" s="5" t="s">
        <v>42711</v>
      </c>
      <c r="D6998" s="246">
        <v>43551</v>
      </c>
      <c r="E6998" s="5" t="s">
        <v>42712</v>
      </c>
      <c r="F6998" s="26" t="s">
        <v>23600</v>
      </c>
      <c r="G6998" s="27" t="s">
        <v>14210</v>
      </c>
      <c r="H6998" s="28" t="s">
        <v>14211</v>
      </c>
      <c r="I6998" s="5" t="s">
        <v>138</v>
      </c>
    </row>
    <row r="6999" spans="1:9" ht="51.75" customHeight="1">
      <c r="A6999" s="5" t="s">
        <v>28158</v>
      </c>
      <c r="B6999" s="5" t="s">
        <v>42713</v>
      </c>
      <c r="C6999" s="5" t="s">
        <v>42714</v>
      </c>
      <c r="D6999" s="246">
        <v>43551</v>
      </c>
      <c r="E6999" s="5" t="s">
        <v>42715</v>
      </c>
      <c r="F6999" s="26" t="s">
        <v>23600</v>
      </c>
      <c r="G6999" s="27" t="s">
        <v>14210</v>
      </c>
      <c r="H6999" s="28" t="s">
        <v>14211</v>
      </c>
      <c r="I6999" s="5" t="s">
        <v>138</v>
      </c>
    </row>
    <row r="7000" spans="1:9" ht="51.75" customHeight="1">
      <c r="A7000" s="5" t="s">
        <v>23712</v>
      </c>
      <c r="B7000" s="5" t="s">
        <v>42716</v>
      </c>
      <c r="C7000" s="5" t="s">
        <v>42717</v>
      </c>
      <c r="D7000" s="246">
        <v>43551</v>
      </c>
      <c r="E7000" s="5" t="s">
        <v>42718</v>
      </c>
      <c r="F7000" s="26" t="s">
        <v>23600</v>
      </c>
      <c r="G7000" s="27" t="s">
        <v>14210</v>
      </c>
      <c r="H7000" s="28" t="s">
        <v>14211</v>
      </c>
      <c r="I7000" s="5" t="s">
        <v>138</v>
      </c>
    </row>
    <row r="7001" spans="1:9" ht="51.75" customHeight="1">
      <c r="A7001" s="5" t="s">
        <v>28165</v>
      </c>
      <c r="B7001" s="5" t="s">
        <v>42719</v>
      </c>
      <c r="C7001" s="5" t="s">
        <v>42720</v>
      </c>
      <c r="D7001" s="246">
        <v>43551</v>
      </c>
      <c r="E7001" s="5" t="s">
        <v>42721</v>
      </c>
      <c r="F7001" s="26" t="s">
        <v>23600</v>
      </c>
      <c r="G7001" s="27" t="s">
        <v>14210</v>
      </c>
      <c r="H7001" s="28" t="s">
        <v>14211</v>
      </c>
      <c r="I7001" s="5" t="s">
        <v>138</v>
      </c>
    </row>
    <row r="7002" spans="1:9" ht="51.75" customHeight="1">
      <c r="A7002" s="5" t="s">
        <v>23700</v>
      </c>
      <c r="B7002" s="5" t="s">
        <v>42722</v>
      </c>
      <c r="C7002" s="5" t="s">
        <v>42723</v>
      </c>
      <c r="D7002" s="246">
        <v>43551</v>
      </c>
      <c r="E7002" s="5" t="s">
        <v>42724</v>
      </c>
      <c r="F7002" s="26" t="s">
        <v>23600</v>
      </c>
      <c r="G7002" s="27" t="s">
        <v>14210</v>
      </c>
      <c r="H7002" s="28" t="s">
        <v>14211</v>
      </c>
      <c r="I7002" s="5" t="s">
        <v>138</v>
      </c>
    </row>
    <row r="7003" spans="1:9" ht="51.75" customHeight="1">
      <c r="A7003" s="5" t="s">
        <v>28178</v>
      </c>
      <c r="B7003" s="5" t="s">
        <v>42725</v>
      </c>
      <c r="C7003" s="5" t="s">
        <v>42726</v>
      </c>
      <c r="D7003" s="246">
        <v>43551</v>
      </c>
      <c r="E7003" s="5" t="s">
        <v>42727</v>
      </c>
      <c r="F7003" s="26" t="s">
        <v>23600</v>
      </c>
      <c r="G7003" s="27" t="s">
        <v>14210</v>
      </c>
      <c r="H7003" s="28" t="s">
        <v>14211</v>
      </c>
      <c r="I7003" s="5" t="s">
        <v>138</v>
      </c>
    </row>
    <row r="7004" spans="1:9" ht="51.75" customHeight="1">
      <c r="A7004" s="5" t="s">
        <v>25062</v>
      </c>
      <c r="B7004" s="5" t="s">
        <v>42728</v>
      </c>
      <c r="C7004" s="5" t="s">
        <v>42729</v>
      </c>
      <c r="D7004" s="246">
        <v>43448</v>
      </c>
      <c r="E7004" s="5" t="s">
        <v>42730</v>
      </c>
      <c r="F7004" s="26" t="s">
        <v>23600</v>
      </c>
      <c r="G7004" s="27" t="s">
        <v>14716</v>
      </c>
      <c r="H7004" s="28" t="s">
        <v>14717</v>
      </c>
      <c r="I7004" s="5" t="s">
        <v>138</v>
      </c>
    </row>
    <row r="7005" spans="1:9" ht="51.75" customHeight="1">
      <c r="A7005" s="5" t="s">
        <v>26352</v>
      </c>
      <c r="B7005" s="5" t="s">
        <v>42731</v>
      </c>
      <c r="C7005" s="5" t="s">
        <v>42732</v>
      </c>
      <c r="D7005" s="246">
        <v>43448</v>
      </c>
      <c r="E7005" s="5" t="s">
        <v>42733</v>
      </c>
      <c r="F7005" s="26" t="s">
        <v>23600</v>
      </c>
      <c r="G7005" s="27" t="s">
        <v>14716</v>
      </c>
      <c r="H7005" s="28" t="s">
        <v>14717</v>
      </c>
      <c r="I7005" s="5" t="s">
        <v>138</v>
      </c>
    </row>
    <row r="7006" spans="1:9" ht="51.75" customHeight="1">
      <c r="A7006" s="5" t="s">
        <v>26358</v>
      </c>
      <c r="B7006" s="5" t="s">
        <v>42734</v>
      </c>
      <c r="C7006" s="5" t="s">
        <v>42735</v>
      </c>
      <c r="D7006" s="246">
        <v>43448</v>
      </c>
      <c r="E7006" s="5" t="s">
        <v>42736</v>
      </c>
      <c r="F7006" s="26" t="s">
        <v>23600</v>
      </c>
      <c r="G7006" s="27" t="s">
        <v>14716</v>
      </c>
      <c r="H7006" s="28" t="s">
        <v>14717</v>
      </c>
      <c r="I7006" s="5" t="s">
        <v>138</v>
      </c>
    </row>
    <row r="7007" spans="1:9" ht="51.75" customHeight="1">
      <c r="A7007" s="5" t="s">
        <v>26364</v>
      </c>
      <c r="B7007" s="5" t="s">
        <v>42737</v>
      </c>
      <c r="C7007" s="5" t="s">
        <v>42738</v>
      </c>
      <c r="D7007" s="246">
        <v>43448</v>
      </c>
      <c r="E7007" s="5" t="s">
        <v>42739</v>
      </c>
      <c r="F7007" s="26" t="s">
        <v>23600</v>
      </c>
      <c r="G7007" s="27" t="s">
        <v>14716</v>
      </c>
      <c r="H7007" s="28" t="s">
        <v>14717</v>
      </c>
      <c r="I7007" s="5" t="s">
        <v>138</v>
      </c>
    </row>
    <row r="7008" spans="1:9" ht="51.75" customHeight="1">
      <c r="A7008" s="5" t="s">
        <v>28320</v>
      </c>
      <c r="B7008" s="5" t="s">
        <v>42740</v>
      </c>
      <c r="C7008" s="5" t="s">
        <v>42741</v>
      </c>
      <c r="D7008" s="246">
        <v>43448</v>
      </c>
      <c r="E7008" s="5" t="s">
        <v>42742</v>
      </c>
      <c r="F7008" s="26" t="s">
        <v>23600</v>
      </c>
      <c r="G7008" s="27" t="s">
        <v>14716</v>
      </c>
      <c r="H7008" s="28" t="s">
        <v>14717</v>
      </c>
      <c r="I7008" s="5" t="s">
        <v>138</v>
      </c>
    </row>
    <row r="7009" spans="1:9" ht="51.75" customHeight="1">
      <c r="A7009" s="5" t="s">
        <v>27049</v>
      </c>
      <c r="B7009" s="5" t="s">
        <v>42743</v>
      </c>
      <c r="C7009" s="5" t="s">
        <v>42744</v>
      </c>
      <c r="D7009" s="246">
        <v>43468</v>
      </c>
      <c r="E7009" s="5" t="s">
        <v>42745</v>
      </c>
      <c r="F7009" s="26" t="s">
        <v>23600</v>
      </c>
      <c r="G7009" s="27" t="s">
        <v>14583</v>
      </c>
      <c r="H7009" s="28" t="s">
        <v>14584</v>
      </c>
      <c r="I7009" s="5" t="s">
        <v>138</v>
      </c>
    </row>
    <row r="7010" spans="1:9" ht="51.75" customHeight="1">
      <c r="A7010" s="5" t="s">
        <v>27054</v>
      </c>
      <c r="B7010" s="5" t="s">
        <v>42746</v>
      </c>
      <c r="C7010" s="5" t="s">
        <v>42747</v>
      </c>
      <c r="D7010" s="246">
        <v>43468</v>
      </c>
      <c r="E7010" s="5" t="s">
        <v>42748</v>
      </c>
      <c r="F7010" s="26" t="s">
        <v>23600</v>
      </c>
      <c r="G7010" s="27" t="s">
        <v>14583</v>
      </c>
      <c r="H7010" s="28" t="s">
        <v>14584</v>
      </c>
      <c r="I7010" s="5" t="s">
        <v>138</v>
      </c>
    </row>
    <row r="7011" spans="1:9" ht="51.75" customHeight="1">
      <c r="A7011" s="5" t="s">
        <v>27060</v>
      </c>
      <c r="B7011" s="5" t="s">
        <v>42749</v>
      </c>
      <c r="C7011" s="5" t="s">
        <v>42750</v>
      </c>
      <c r="D7011" s="246">
        <v>43468</v>
      </c>
      <c r="E7011" s="5" t="s">
        <v>42751</v>
      </c>
      <c r="F7011" s="26" t="s">
        <v>23600</v>
      </c>
      <c r="G7011" s="27" t="s">
        <v>14583</v>
      </c>
      <c r="H7011" s="28" t="s">
        <v>14584</v>
      </c>
      <c r="I7011" s="5" t="s">
        <v>138</v>
      </c>
    </row>
    <row r="7012" spans="1:9" ht="51.75" customHeight="1">
      <c r="A7012" s="5" t="s">
        <v>41606</v>
      </c>
      <c r="B7012" s="5" t="s">
        <v>42752</v>
      </c>
      <c r="C7012" s="5" t="s">
        <v>42753</v>
      </c>
      <c r="D7012" s="246">
        <v>44061</v>
      </c>
      <c r="E7012" s="5" t="s">
        <v>42754</v>
      </c>
      <c r="F7012" s="26" t="s">
        <v>23600</v>
      </c>
      <c r="G7012" s="27" t="s">
        <v>16816</v>
      </c>
      <c r="H7012" s="28" t="s">
        <v>16817</v>
      </c>
      <c r="I7012" s="5" t="s">
        <v>138</v>
      </c>
    </row>
    <row r="7013" spans="1:9" ht="51.75" customHeight="1">
      <c r="A7013" s="5" t="s">
        <v>41606</v>
      </c>
      <c r="B7013" s="5" t="s">
        <v>42755</v>
      </c>
      <c r="C7013" s="5" t="s">
        <v>42753</v>
      </c>
      <c r="D7013" s="246">
        <v>44061</v>
      </c>
      <c r="E7013" s="5" t="s">
        <v>42756</v>
      </c>
      <c r="F7013" s="26" t="s">
        <v>42097</v>
      </c>
      <c r="G7013" s="27" t="s">
        <v>16816</v>
      </c>
      <c r="H7013" s="28" t="s">
        <v>16817</v>
      </c>
      <c r="I7013" s="5" t="s">
        <v>138</v>
      </c>
    </row>
    <row r="7014" spans="1:9" ht="51.75" customHeight="1">
      <c r="A7014" s="5" t="s">
        <v>42757</v>
      </c>
      <c r="B7014" s="5" t="s">
        <v>42758</v>
      </c>
      <c r="C7014" s="5" t="s">
        <v>42759</v>
      </c>
      <c r="D7014" s="246">
        <v>44061</v>
      </c>
      <c r="E7014" s="5" t="s">
        <v>42760</v>
      </c>
      <c r="F7014" s="26" t="s">
        <v>23600</v>
      </c>
      <c r="G7014" s="27" t="s">
        <v>16816</v>
      </c>
      <c r="H7014" s="28" t="s">
        <v>16817</v>
      </c>
      <c r="I7014" s="5" t="s">
        <v>138</v>
      </c>
    </row>
    <row r="7015" spans="1:9" ht="51.75" customHeight="1">
      <c r="A7015" s="5" t="s">
        <v>42757</v>
      </c>
      <c r="B7015" s="5" t="s">
        <v>42761</v>
      </c>
      <c r="C7015" s="5" t="s">
        <v>42759</v>
      </c>
      <c r="D7015" s="246">
        <v>44061</v>
      </c>
      <c r="E7015" s="5" t="s">
        <v>42762</v>
      </c>
      <c r="F7015" s="26" t="s">
        <v>42097</v>
      </c>
      <c r="G7015" s="27" t="s">
        <v>16816</v>
      </c>
      <c r="H7015" s="28" t="s">
        <v>16817</v>
      </c>
      <c r="I7015" s="5" t="s">
        <v>138</v>
      </c>
    </row>
    <row r="7016" spans="1:9" ht="51.75" customHeight="1">
      <c r="A7016" s="5" t="s">
        <v>42763</v>
      </c>
      <c r="B7016" s="5" t="s">
        <v>42764</v>
      </c>
      <c r="C7016" s="5" t="s">
        <v>42765</v>
      </c>
      <c r="D7016" s="246">
        <v>44061</v>
      </c>
      <c r="E7016" s="5" t="s">
        <v>42766</v>
      </c>
      <c r="F7016" s="26" t="s">
        <v>23600</v>
      </c>
      <c r="G7016" s="27" t="s">
        <v>16816</v>
      </c>
      <c r="H7016" s="28" t="s">
        <v>16817</v>
      </c>
      <c r="I7016" s="5" t="s">
        <v>138</v>
      </c>
    </row>
    <row r="7017" spans="1:9" ht="51.75" customHeight="1">
      <c r="A7017" s="5" t="s">
        <v>42763</v>
      </c>
      <c r="B7017" s="5" t="s">
        <v>42767</v>
      </c>
      <c r="C7017" s="5" t="s">
        <v>42765</v>
      </c>
      <c r="D7017" s="246">
        <v>44061</v>
      </c>
      <c r="E7017" s="5" t="s">
        <v>42768</v>
      </c>
      <c r="F7017" s="26" t="s">
        <v>42097</v>
      </c>
      <c r="G7017" s="27" t="s">
        <v>16816</v>
      </c>
      <c r="H7017" s="28" t="s">
        <v>16817</v>
      </c>
      <c r="I7017" s="5" t="s">
        <v>138</v>
      </c>
    </row>
    <row r="7018" spans="1:9" ht="51.75" customHeight="1">
      <c r="A7018" s="5" t="s">
        <v>25165</v>
      </c>
      <c r="B7018" s="5" t="s">
        <v>42769</v>
      </c>
      <c r="C7018" s="5" t="s">
        <v>42770</v>
      </c>
      <c r="D7018" s="246">
        <v>43850</v>
      </c>
      <c r="E7018" s="5" t="s">
        <v>42771</v>
      </c>
      <c r="F7018" s="26" t="s">
        <v>23600</v>
      </c>
      <c r="G7018" s="27" t="s">
        <v>16055</v>
      </c>
      <c r="H7018" s="28" t="s">
        <v>16056</v>
      </c>
      <c r="I7018" s="5" t="s">
        <v>138</v>
      </c>
    </row>
    <row r="7019" spans="1:9" ht="51.75" customHeight="1">
      <c r="A7019" s="5" t="s">
        <v>25173</v>
      </c>
      <c r="B7019" s="5" t="s">
        <v>42772</v>
      </c>
      <c r="C7019" s="5" t="s">
        <v>42773</v>
      </c>
      <c r="D7019" s="246">
        <v>43850</v>
      </c>
      <c r="E7019" s="5" t="s">
        <v>42774</v>
      </c>
      <c r="F7019" s="26" t="s">
        <v>23600</v>
      </c>
      <c r="G7019" s="27" t="s">
        <v>16055</v>
      </c>
      <c r="H7019" s="28" t="s">
        <v>16056</v>
      </c>
      <c r="I7019" s="5" t="s">
        <v>138</v>
      </c>
    </row>
    <row r="7020" spans="1:9" ht="51.75" customHeight="1">
      <c r="A7020" s="5" t="s">
        <v>23641</v>
      </c>
      <c r="B7020" s="5" t="s">
        <v>42775</v>
      </c>
      <c r="C7020" s="5" t="s">
        <v>42776</v>
      </c>
      <c r="D7020" s="246">
        <v>43850</v>
      </c>
      <c r="E7020" s="5" t="s">
        <v>42777</v>
      </c>
      <c r="F7020" s="26" t="s">
        <v>23600</v>
      </c>
      <c r="G7020" s="27" t="s">
        <v>16055</v>
      </c>
      <c r="H7020" s="28" t="s">
        <v>16056</v>
      </c>
      <c r="I7020" s="5" t="s">
        <v>138</v>
      </c>
    </row>
    <row r="7021" spans="1:9" ht="51.75" customHeight="1">
      <c r="A7021" s="5" t="s">
        <v>23696</v>
      </c>
      <c r="B7021" s="5" t="s">
        <v>42778</v>
      </c>
      <c r="C7021" s="5" t="s">
        <v>42779</v>
      </c>
      <c r="D7021" s="246">
        <v>43850</v>
      </c>
      <c r="E7021" s="5" t="s">
        <v>42780</v>
      </c>
      <c r="F7021" s="26" t="s">
        <v>23600</v>
      </c>
      <c r="G7021" s="27" t="s">
        <v>16055</v>
      </c>
      <c r="H7021" s="28" t="s">
        <v>16056</v>
      </c>
      <c r="I7021" s="5" t="s">
        <v>138</v>
      </c>
    </row>
    <row r="7022" spans="1:9" ht="51.75" customHeight="1">
      <c r="A7022" s="5" t="s">
        <v>27191</v>
      </c>
      <c r="B7022" s="5" t="s">
        <v>42781</v>
      </c>
      <c r="C7022" s="5" t="s">
        <v>42782</v>
      </c>
      <c r="D7022" s="246">
        <v>43850</v>
      </c>
      <c r="E7022" s="5" t="s">
        <v>42783</v>
      </c>
      <c r="F7022" s="26" t="s">
        <v>23600</v>
      </c>
      <c r="G7022" s="27" t="s">
        <v>16055</v>
      </c>
      <c r="H7022" s="28" t="s">
        <v>16056</v>
      </c>
      <c r="I7022" s="5" t="s">
        <v>138</v>
      </c>
    </row>
    <row r="7023" spans="1:9" ht="51.75" customHeight="1">
      <c r="A7023" s="5"/>
      <c r="B7023" s="5" t="s">
        <v>42784</v>
      </c>
      <c r="C7023" s="5" t="s">
        <v>42785</v>
      </c>
      <c r="D7023" s="246">
        <v>44348</v>
      </c>
      <c r="E7023" s="5" t="s">
        <v>42786</v>
      </c>
      <c r="F7023" s="26" t="s">
        <v>23600</v>
      </c>
      <c r="G7023" s="27" t="s">
        <v>17560</v>
      </c>
      <c r="H7023" s="29" t="s">
        <v>17561</v>
      </c>
      <c r="I7023" s="30" t="s">
        <v>138</v>
      </c>
    </row>
    <row r="7024" spans="1:9" ht="51.75" customHeight="1">
      <c r="A7024" s="5"/>
      <c r="B7024" s="5" t="s">
        <v>42787</v>
      </c>
      <c r="C7024" s="5" t="s">
        <v>42788</v>
      </c>
      <c r="D7024" s="246">
        <v>44348</v>
      </c>
      <c r="E7024" s="5" t="s">
        <v>42789</v>
      </c>
      <c r="F7024" s="26" t="s">
        <v>23600</v>
      </c>
      <c r="G7024" s="27" t="s">
        <v>17560</v>
      </c>
      <c r="H7024" s="29" t="s">
        <v>17561</v>
      </c>
      <c r="I7024" s="30" t="s">
        <v>138</v>
      </c>
    </row>
    <row r="7025" spans="1:9" ht="51.75" customHeight="1">
      <c r="A7025" s="5"/>
      <c r="B7025" s="5" t="s">
        <v>42790</v>
      </c>
      <c r="C7025" s="5" t="s">
        <v>42791</v>
      </c>
      <c r="D7025" s="246">
        <v>44348</v>
      </c>
      <c r="E7025" s="5" t="s">
        <v>42792</v>
      </c>
      <c r="F7025" s="26" t="s">
        <v>23600</v>
      </c>
      <c r="G7025" s="27" t="s">
        <v>17560</v>
      </c>
      <c r="H7025" s="29" t="s">
        <v>17561</v>
      </c>
      <c r="I7025" s="30" t="s">
        <v>138</v>
      </c>
    </row>
    <row r="7026" spans="1:9" ht="51.75" customHeight="1">
      <c r="A7026" s="5"/>
      <c r="B7026" s="5" t="s">
        <v>42793</v>
      </c>
      <c r="C7026" s="5" t="s">
        <v>42794</v>
      </c>
      <c r="D7026" s="246">
        <v>44348</v>
      </c>
      <c r="E7026" s="5" t="s">
        <v>42795</v>
      </c>
      <c r="F7026" s="26" t="s">
        <v>23600</v>
      </c>
      <c r="G7026" s="27" t="s">
        <v>17560</v>
      </c>
      <c r="H7026" s="29" t="s">
        <v>17561</v>
      </c>
      <c r="I7026" s="30" t="s">
        <v>138</v>
      </c>
    </row>
    <row r="7027" spans="1:9" ht="51.75" customHeight="1">
      <c r="A7027" s="5"/>
      <c r="B7027" s="5" t="s">
        <v>42796</v>
      </c>
      <c r="C7027" s="5" t="s">
        <v>42797</v>
      </c>
      <c r="D7027" s="246">
        <v>44348</v>
      </c>
      <c r="E7027" s="5" t="s">
        <v>42798</v>
      </c>
      <c r="F7027" s="26" t="s">
        <v>23600</v>
      </c>
      <c r="G7027" s="27" t="s">
        <v>17560</v>
      </c>
      <c r="H7027" s="29" t="s">
        <v>17561</v>
      </c>
      <c r="I7027" s="30" t="s">
        <v>138</v>
      </c>
    </row>
    <row r="7028" spans="1:9" ht="51.75" customHeight="1">
      <c r="A7028" s="5"/>
      <c r="B7028" s="5" t="s">
        <v>42799</v>
      </c>
      <c r="C7028" s="5" t="s">
        <v>42800</v>
      </c>
      <c r="D7028" s="246">
        <v>44348</v>
      </c>
      <c r="E7028" s="5" t="s">
        <v>42801</v>
      </c>
      <c r="F7028" s="26" t="s">
        <v>23600</v>
      </c>
      <c r="G7028" s="27" t="s">
        <v>17560</v>
      </c>
      <c r="H7028" s="29" t="s">
        <v>17561</v>
      </c>
      <c r="I7028" s="30" t="s">
        <v>138</v>
      </c>
    </row>
    <row r="7029" spans="1:9" ht="51.75" customHeight="1">
      <c r="A7029" s="5">
        <v>1</v>
      </c>
      <c r="B7029" s="5" t="s">
        <v>42802</v>
      </c>
      <c r="C7029" s="5" t="s">
        <v>42803</v>
      </c>
      <c r="D7029" s="246">
        <v>40469</v>
      </c>
      <c r="E7029" s="5" t="s">
        <v>42804</v>
      </c>
      <c r="F7029" s="26"/>
      <c r="G7029" s="27" t="s">
        <v>3411</v>
      </c>
      <c r="H7029" s="28" t="s">
        <v>3412</v>
      </c>
      <c r="I7029" s="5" t="s">
        <v>72</v>
      </c>
    </row>
    <row r="7030" spans="1:9" ht="51.75" customHeight="1">
      <c r="A7030" s="5">
        <v>2</v>
      </c>
      <c r="B7030" s="5" t="s">
        <v>42805</v>
      </c>
      <c r="C7030" s="5" t="s">
        <v>42806</v>
      </c>
      <c r="D7030" s="246">
        <v>40469</v>
      </c>
      <c r="E7030" s="5" t="s">
        <v>42807</v>
      </c>
      <c r="F7030" s="26"/>
      <c r="G7030" s="27" t="s">
        <v>3411</v>
      </c>
      <c r="H7030" s="28" t="s">
        <v>3412</v>
      </c>
      <c r="I7030" s="5" t="s">
        <v>72</v>
      </c>
    </row>
    <row r="7031" spans="1:9" ht="51.75" customHeight="1">
      <c r="A7031" s="5">
        <v>3</v>
      </c>
      <c r="B7031" s="5" t="s">
        <v>42808</v>
      </c>
      <c r="C7031" s="5" t="s">
        <v>42809</v>
      </c>
      <c r="D7031" s="246">
        <v>40469</v>
      </c>
      <c r="E7031" s="5" t="s">
        <v>42810</v>
      </c>
      <c r="F7031" s="26"/>
      <c r="G7031" s="27" t="s">
        <v>3411</v>
      </c>
      <c r="H7031" s="28" t="s">
        <v>3412</v>
      </c>
      <c r="I7031" s="5" t="s">
        <v>72</v>
      </c>
    </row>
    <row r="7032" spans="1:9" ht="51.75" customHeight="1">
      <c r="A7032" s="5">
        <v>4</v>
      </c>
      <c r="B7032" s="5" t="s">
        <v>42811</v>
      </c>
      <c r="C7032" s="5" t="s">
        <v>42812</v>
      </c>
      <c r="D7032" s="246">
        <v>40469</v>
      </c>
      <c r="E7032" s="5" t="s">
        <v>42813</v>
      </c>
      <c r="F7032" s="26"/>
      <c r="G7032" s="27" t="s">
        <v>3411</v>
      </c>
      <c r="H7032" s="28" t="s">
        <v>3412</v>
      </c>
      <c r="I7032" s="5" t="s">
        <v>72</v>
      </c>
    </row>
    <row r="7033" spans="1:9" ht="51.75" customHeight="1">
      <c r="A7033" s="5">
        <v>1</v>
      </c>
      <c r="B7033" s="5" t="s">
        <v>42814</v>
      </c>
      <c r="C7033" s="5" t="s">
        <v>42815</v>
      </c>
      <c r="D7033" s="246">
        <v>40148</v>
      </c>
      <c r="E7033" s="5" t="s">
        <v>42816</v>
      </c>
      <c r="F7033" s="26"/>
      <c r="G7033" s="27" t="s">
        <v>1311</v>
      </c>
      <c r="H7033" s="28" t="s">
        <v>1312</v>
      </c>
      <c r="I7033" s="5" t="s">
        <v>72</v>
      </c>
    </row>
    <row r="7034" spans="1:9" ht="51.75" customHeight="1">
      <c r="A7034" s="5">
        <v>2</v>
      </c>
      <c r="B7034" s="5" t="s">
        <v>42817</v>
      </c>
      <c r="C7034" s="5" t="s">
        <v>42818</v>
      </c>
      <c r="D7034" s="246">
        <v>40148</v>
      </c>
      <c r="E7034" s="5" t="s">
        <v>42819</v>
      </c>
      <c r="F7034" s="26"/>
      <c r="G7034" s="27" t="s">
        <v>1311</v>
      </c>
      <c r="H7034" s="28" t="s">
        <v>1312</v>
      </c>
      <c r="I7034" s="5" t="s">
        <v>72</v>
      </c>
    </row>
    <row r="7035" spans="1:9" ht="51.75" customHeight="1">
      <c r="A7035" s="5">
        <v>1</v>
      </c>
      <c r="B7035" s="5" t="s">
        <v>42820</v>
      </c>
      <c r="C7035" s="5" t="s">
        <v>42821</v>
      </c>
      <c r="D7035" s="246">
        <v>39688</v>
      </c>
      <c r="E7035" s="5" t="s">
        <v>42822</v>
      </c>
      <c r="F7035" s="26"/>
      <c r="G7035" s="27" t="s">
        <v>102</v>
      </c>
      <c r="H7035" s="28" t="s">
        <v>103</v>
      </c>
      <c r="I7035" s="5" t="s">
        <v>72</v>
      </c>
    </row>
    <row r="7036" spans="1:9" ht="51.75" customHeight="1">
      <c r="A7036" s="5">
        <v>2</v>
      </c>
      <c r="B7036" s="5" t="s">
        <v>42823</v>
      </c>
      <c r="C7036" s="5" t="s">
        <v>42824</v>
      </c>
      <c r="D7036" s="246">
        <v>39688</v>
      </c>
      <c r="E7036" s="5" t="s">
        <v>42825</v>
      </c>
      <c r="F7036" s="26"/>
      <c r="G7036" s="27" t="s">
        <v>102</v>
      </c>
      <c r="H7036" s="28" t="s">
        <v>103</v>
      </c>
      <c r="I7036" s="5" t="s">
        <v>72</v>
      </c>
    </row>
    <row r="7037" spans="1:9" ht="51.75" customHeight="1">
      <c r="A7037" s="5">
        <v>3</v>
      </c>
      <c r="B7037" s="5" t="s">
        <v>42826</v>
      </c>
      <c r="C7037" s="5" t="s">
        <v>42827</v>
      </c>
      <c r="D7037" s="246">
        <v>39688</v>
      </c>
      <c r="E7037" s="5" t="s">
        <v>42828</v>
      </c>
      <c r="F7037" s="26"/>
      <c r="G7037" s="27" t="s">
        <v>102</v>
      </c>
      <c r="H7037" s="28" t="s">
        <v>103</v>
      </c>
      <c r="I7037" s="5" t="s">
        <v>72</v>
      </c>
    </row>
    <row r="7038" spans="1:9" ht="51.75" customHeight="1">
      <c r="A7038" s="5">
        <v>4</v>
      </c>
      <c r="B7038" s="5" t="s">
        <v>42829</v>
      </c>
      <c r="C7038" s="5" t="s">
        <v>42830</v>
      </c>
      <c r="D7038" s="246">
        <v>39688</v>
      </c>
      <c r="E7038" s="5" t="s">
        <v>42831</v>
      </c>
      <c r="F7038" s="26"/>
      <c r="G7038" s="27" t="s">
        <v>102</v>
      </c>
      <c r="H7038" s="28" t="s">
        <v>103</v>
      </c>
      <c r="I7038" s="5" t="s">
        <v>72</v>
      </c>
    </row>
    <row r="7039" spans="1:9" ht="51.75" customHeight="1">
      <c r="A7039" s="5">
        <v>1</v>
      </c>
      <c r="B7039" s="5" t="s">
        <v>42832</v>
      </c>
      <c r="C7039" s="5" t="s">
        <v>42833</v>
      </c>
      <c r="D7039" s="246">
        <v>39688</v>
      </c>
      <c r="E7039" s="5" t="s">
        <v>42834</v>
      </c>
      <c r="F7039" s="26"/>
      <c r="G7039" s="27" t="s">
        <v>189</v>
      </c>
      <c r="H7039" s="28" t="s">
        <v>190</v>
      </c>
      <c r="I7039" s="5" t="s">
        <v>72</v>
      </c>
    </row>
    <row r="7040" spans="1:9" ht="51.75" customHeight="1">
      <c r="A7040" s="5">
        <v>2</v>
      </c>
      <c r="B7040" s="5" t="s">
        <v>42835</v>
      </c>
      <c r="C7040" s="5" t="s">
        <v>42836</v>
      </c>
      <c r="D7040" s="246">
        <v>39688</v>
      </c>
      <c r="E7040" s="5" t="s">
        <v>42837</v>
      </c>
      <c r="F7040" s="26"/>
      <c r="G7040" s="27" t="s">
        <v>189</v>
      </c>
      <c r="H7040" s="28" t="s">
        <v>190</v>
      </c>
      <c r="I7040" s="5" t="s">
        <v>72</v>
      </c>
    </row>
    <row r="7041" spans="1:9" ht="51.75" customHeight="1">
      <c r="A7041" s="5">
        <v>3</v>
      </c>
      <c r="B7041" s="5" t="s">
        <v>42838</v>
      </c>
      <c r="C7041" s="5" t="s">
        <v>42839</v>
      </c>
      <c r="D7041" s="246">
        <v>39688</v>
      </c>
      <c r="E7041" s="5" t="s">
        <v>42840</v>
      </c>
      <c r="F7041" s="26"/>
      <c r="G7041" s="27" t="s">
        <v>189</v>
      </c>
      <c r="H7041" s="28" t="s">
        <v>190</v>
      </c>
      <c r="I7041" s="5" t="s">
        <v>72</v>
      </c>
    </row>
    <row r="7042" spans="1:9" ht="51.75" customHeight="1">
      <c r="A7042" s="5">
        <v>4</v>
      </c>
      <c r="B7042" s="5" t="s">
        <v>42841</v>
      </c>
      <c r="C7042" s="5" t="s">
        <v>42842</v>
      </c>
      <c r="D7042" s="246">
        <v>39688</v>
      </c>
      <c r="E7042" s="5" t="s">
        <v>42843</v>
      </c>
      <c r="F7042" s="26"/>
      <c r="G7042" s="27" t="s">
        <v>189</v>
      </c>
      <c r="H7042" s="28" t="s">
        <v>190</v>
      </c>
      <c r="I7042" s="5" t="s">
        <v>72</v>
      </c>
    </row>
    <row r="7043" spans="1:9" ht="51.75" customHeight="1">
      <c r="A7043" s="5">
        <v>5</v>
      </c>
      <c r="B7043" s="5" t="s">
        <v>42844</v>
      </c>
      <c r="C7043" s="5" t="s">
        <v>42845</v>
      </c>
      <c r="D7043" s="246">
        <v>39688</v>
      </c>
      <c r="E7043" s="5" t="s">
        <v>42846</v>
      </c>
      <c r="F7043" s="26"/>
      <c r="G7043" s="27" t="s">
        <v>189</v>
      </c>
      <c r="H7043" s="28" t="s">
        <v>190</v>
      </c>
      <c r="I7043" s="5" t="s">
        <v>72</v>
      </c>
    </row>
    <row r="7044" spans="1:9" ht="51.75" customHeight="1">
      <c r="A7044" s="5">
        <v>6</v>
      </c>
      <c r="B7044" s="5" t="s">
        <v>42847</v>
      </c>
      <c r="C7044" s="5" t="s">
        <v>42848</v>
      </c>
      <c r="D7044" s="246">
        <v>39688</v>
      </c>
      <c r="E7044" s="5" t="s">
        <v>42849</v>
      </c>
      <c r="F7044" s="26"/>
      <c r="G7044" s="27" t="s">
        <v>189</v>
      </c>
      <c r="H7044" s="28" t="s">
        <v>190</v>
      </c>
      <c r="I7044" s="5" t="s">
        <v>72</v>
      </c>
    </row>
    <row r="7045" spans="1:9" ht="51.75" customHeight="1">
      <c r="A7045" s="5">
        <v>7</v>
      </c>
      <c r="B7045" s="5" t="s">
        <v>42850</v>
      </c>
      <c r="C7045" s="5" t="s">
        <v>42851</v>
      </c>
      <c r="D7045" s="246">
        <v>39688</v>
      </c>
      <c r="E7045" s="5" t="s">
        <v>42852</v>
      </c>
      <c r="F7045" s="26"/>
      <c r="G7045" s="27" t="s">
        <v>189</v>
      </c>
      <c r="H7045" s="28" t="s">
        <v>190</v>
      </c>
      <c r="I7045" s="5" t="s">
        <v>72</v>
      </c>
    </row>
    <row r="7046" spans="1:9" ht="51.75" customHeight="1">
      <c r="A7046" s="5" t="s">
        <v>23888</v>
      </c>
      <c r="B7046" s="5" t="s">
        <v>42853</v>
      </c>
      <c r="C7046" s="5" t="s">
        <v>42854</v>
      </c>
      <c r="D7046" s="246">
        <v>40658</v>
      </c>
      <c r="E7046" s="5" t="s">
        <v>42855</v>
      </c>
      <c r="F7046" s="26" t="s">
        <v>39913</v>
      </c>
      <c r="G7046" s="27" t="s">
        <v>4622</v>
      </c>
      <c r="H7046" s="28" t="s">
        <v>4623</v>
      </c>
      <c r="I7046" s="5" t="s">
        <v>72</v>
      </c>
    </row>
    <row r="7047" spans="1:9" ht="51.75" customHeight="1">
      <c r="A7047" s="5" t="s">
        <v>23888</v>
      </c>
      <c r="B7047" s="5" t="s">
        <v>42856</v>
      </c>
      <c r="C7047" s="5" t="s">
        <v>42854</v>
      </c>
      <c r="D7047" s="246">
        <v>40658</v>
      </c>
      <c r="E7047" s="5" t="s">
        <v>42857</v>
      </c>
      <c r="F7047" s="26" t="s">
        <v>23600</v>
      </c>
      <c r="G7047" s="27" t="s">
        <v>4622</v>
      </c>
      <c r="H7047" s="28" t="s">
        <v>4623</v>
      </c>
      <c r="I7047" s="5" t="s">
        <v>72</v>
      </c>
    </row>
    <row r="7048" spans="1:9" ht="51.75" customHeight="1">
      <c r="A7048" s="5" t="s">
        <v>24385</v>
      </c>
      <c r="B7048" s="5" t="s">
        <v>42858</v>
      </c>
      <c r="C7048" s="5" t="s">
        <v>42859</v>
      </c>
      <c r="D7048" s="246">
        <v>40658</v>
      </c>
      <c r="E7048" s="5" t="s">
        <v>42860</v>
      </c>
      <c r="F7048" s="26" t="s">
        <v>39913</v>
      </c>
      <c r="G7048" s="27" t="s">
        <v>4622</v>
      </c>
      <c r="H7048" s="28" t="s">
        <v>4623</v>
      </c>
      <c r="I7048" s="5" t="s">
        <v>72</v>
      </c>
    </row>
    <row r="7049" spans="1:9" ht="51.75" customHeight="1">
      <c r="A7049" s="5" t="s">
        <v>24385</v>
      </c>
      <c r="B7049" s="5" t="s">
        <v>42861</v>
      </c>
      <c r="C7049" s="5" t="s">
        <v>42859</v>
      </c>
      <c r="D7049" s="246">
        <v>40658</v>
      </c>
      <c r="E7049" s="5" t="s">
        <v>42862</v>
      </c>
      <c r="F7049" s="26" t="s">
        <v>23600</v>
      </c>
      <c r="G7049" s="27" t="s">
        <v>4622</v>
      </c>
      <c r="H7049" s="28" t="s">
        <v>4623</v>
      </c>
      <c r="I7049" s="5" t="s">
        <v>72</v>
      </c>
    </row>
    <row r="7050" spans="1:9" ht="51.75" customHeight="1">
      <c r="A7050" s="5" t="s">
        <v>24389</v>
      </c>
      <c r="B7050" s="5" t="s">
        <v>42863</v>
      </c>
      <c r="C7050" s="5" t="s">
        <v>42864</v>
      </c>
      <c r="D7050" s="246">
        <v>40658</v>
      </c>
      <c r="E7050" s="5" t="s">
        <v>42865</v>
      </c>
      <c r="F7050" s="26" t="s">
        <v>39913</v>
      </c>
      <c r="G7050" s="27" t="s">
        <v>4622</v>
      </c>
      <c r="H7050" s="28" t="s">
        <v>4623</v>
      </c>
      <c r="I7050" s="5" t="s">
        <v>72</v>
      </c>
    </row>
    <row r="7051" spans="1:9" ht="51.75" customHeight="1">
      <c r="A7051" s="5" t="s">
        <v>24389</v>
      </c>
      <c r="B7051" s="5" t="s">
        <v>42866</v>
      </c>
      <c r="C7051" s="5" t="s">
        <v>42864</v>
      </c>
      <c r="D7051" s="246">
        <v>40658</v>
      </c>
      <c r="E7051" s="5" t="s">
        <v>42867</v>
      </c>
      <c r="F7051" s="26" t="s">
        <v>23600</v>
      </c>
      <c r="G7051" s="27" t="s">
        <v>4622</v>
      </c>
      <c r="H7051" s="28" t="s">
        <v>4623</v>
      </c>
      <c r="I7051" s="5" t="s">
        <v>72</v>
      </c>
    </row>
    <row r="7052" spans="1:9" ht="51.75" customHeight="1">
      <c r="A7052" s="5">
        <v>1</v>
      </c>
      <c r="B7052" s="5" t="s">
        <v>42868</v>
      </c>
      <c r="C7052" s="5" t="s">
        <v>42869</v>
      </c>
      <c r="D7052" s="246">
        <v>40855</v>
      </c>
      <c r="E7052" s="5" t="s">
        <v>42870</v>
      </c>
      <c r="F7052" s="26"/>
      <c r="G7052" s="27" t="s">
        <v>5143</v>
      </c>
      <c r="H7052" s="28" t="s">
        <v>5144</v>
      </c>
      <c r="I7052" s="5" t="s">
        <v>72</v>
      </c>
    </row>
    <row r="7053" spans="1:9" ht="51.75" customHeight="1">
      <c r="A7053" s="5">
        <v>2</v>
      </c>
      <c r="B7053" s="5" t="s">
        <v>42871</v>
      </c>
      <c r="C7053" s="5" t="s">
        <v>42872</v>
      </c>
      <c r="D7053" s="246">
        <v>40855</v>
      </c>
      <c r="E7053" s="5" t="s">
        <v>42873</v>
      </c>
      <c r="F7053" s="26"/>
      <c r="G7053" s="27" t="s">
        <v>5143</v>
      </c>
      <c r="H7053" s="28" t="s">
        <v>5144</v>
      </c>
      <c r="I7053" s="5" t="s">
        <v>72</v>
      </c>
    </row>
    <row r="7054" spans="1:9" ht="51.75" customHeight="1">
      <c r="A7054" s="5">
        <v>3</v>
      </c>
      <c r="B7054" s="5" t="s">
        <v>42874</v>
      </c>
      <c r="C7054" s="5" t="s">
        <v>42875</v>
      </c>
      <c r="D7054" s="246">
        <v>40855</v>
      </c>
      <c r="E7054" s="5" t="s">
        <v>42876</v>
      </c>
      <c r="F7054" s="26"/>
      <c r="G7054" s="27" t="s">
        <v>5143</v>
      </c>
      <c r="H7054" s="28" t="s">
        <v>5144</v>
      </c>
      <c r="I7054" s="5" t="s">
        <v>72</v>
      </c>
    </row>
    <row r="7055" spans="1:9" ht="51.75" customHeight="1">
      <c r="A7055" s="5">
        <v>4</v>
      </c>
      <c r="B7055" s="5" t="s">
        <v>42877</v>
      </c>
      <c r="C7055" s="5" t="s">
        <v>42878</v>
      </c>
      <c r="D7055" s="246">
        <v>40855</v>
      </c>
      <c r="E7055" s="5" t="s">
        <v>42879</v>
      </c>
      <c r="F7055" s="26"/>
      <c r="G7055" s="27" t="s">
        <v>5143</v>
      </c>
      <c r="H7055" s="28" t="s">
        <v>5144</v>
      </c>
      <c r="I7055" s="5" t="s">
        <v>72</v>
      </c>
    </row>
    <row r="7056" spans="1:9" ht="51.75" customHeight="1">
      <c r="A7056" s="5" t="s">
        <v>28999</v>
      </c>
      <c r="B7056" s="5" t="s">
        <v>42880</v>
      </c>
      <c r="C7056" s="5" t="s">
        <v>42881</v>
      </c>
      <c r="D7056" s="246">
        <v>41254</v>
      </c>
      <c r="E7056" s="5" t="s">
        <v>42882</v>
      </c>
      <c r="F7056" s="26" t="s">
        <v>23600</v>
      </c>
      <c r="G7056" s="27" t="s">
        <v>7441</v>
      </c>
      <c r="H7056" s="28" t="s">
        <v>7442</v>
      </c>
      <c r="I7056" s="5" t="s">
        <v>72</v>
      </c>
    </row>
    <row r="7057" spans="1:9" ht="51.75" customHeight="1">
      <c r="A7057" s="5" t="s">
        <v>24571</v>
      </c>
      <c r="B7057" s="5" t="s">
        <v>42883</v>
      </c>
      <c r="C7057" s="5" t="s">
        <v>42884</v>
      </c>
      <c r="D7057" s="246">
        <v>41254</v>
      </c>
      <c r="E7057" s="5" t="s">
        <v>42885</v>
      </c>
      <c r="F7057" s="26" t="s">
        <v>23600</v>
      </c>
      <c r="G7057" s="27" t="s">
        <v>7441</v>
      </c>
      <c r="H7057" s="28" t="s">
        <v>7442</v>
      </c>
      <c r="I7057" s="5" t="s">
        <v>72</v>
      </c>
    </row>
    <row r="7058" spans="1:9" ht="51.75" customHeight="1">
      <c r="A7058" s="5" t="s">
        <v>24575</v>
      </c>
      <c r="B7058" s="5" t="s">
        <v>42886</v>
      </c>
      <c r="C7058" s="5" t="s">
        <v>42887</v>
      </c>
      <c r="D7058" s="246">
        <v>41254</v>
      </c>
      <c r="E7058" s="5" t="s">
        <v>42888</v>
      </c>
      <c r="F7058" s="26" t="s">
        <v>23600</v>
      </c>
      <c r="G7058" s="27" t="s">
        <v>7441</v>
      </c>
      <c r="H7058" s="28" t="s">
        <v>7442</v>
      </c>
      <c r="I7058" s="5" t="s">
        <v>72</v>
      </c>
    </row>
    <row r="7059" spans="1:9" ht="51.75" customHeight="1">
      <c r="A7059" s="5" t="s">
        <v>24579</v>
      </c>
      <c r="B7059" s="5" t="s">
        <v>42889</v>
      </c>
      <c r="C7059" s="5" t="s">
        <v>42890</v>
      </c>
      <c r="D7059" s="246">
        <v>41254</v>
      </c>
      <c r="E7059" s="5" t="s">
        <v>42891</v>
      </c>
      <c r="F7059" s="26" t="s">
        <v>23600</v>
      </c>
      <c r="G7059" s="27" t="s">
        <v>7441</v>
      </c>
      <c r="H7059" s="28" t="s">
        <v>7442</v>
      </c>
      <c r="I7059" s="5" t="s">
        <v>72</v>
      </c>
    </row>
    <row r="7060" spans="1:9" ht="51.75" customHeight="1">
      <c r="A7060" s="5" t="s">
        <v>24583</v>
      </c>
      <c r="B7060" s="5" t="s">
        <v>42892</v>
      </c>
      <c r="C7060" s="5" t="s">
        <v>42893</v>
      </c>
      <c r="D7060" s="246">
        <v>41254</v>
      </c>
      <c r="E7060" s="5" t="s">
        <v>42894</v>
      </c>
      <c r="F7060" s="26" t="s">
        <v>23600</v>
      </c>
      <c r="G7060" s="27" t="s">
        <v>7441</v>
      </c>
      <c r="H7060" s="28" t="s">
        <v>7442</v>
      </c>
      <c r="I7060" s="5" t="s">
        <v>72</v>
      </c>
    </row>
    <row r="7061" spans="1:9" ht="51.75" customHeight="1">
      <c r="A7061" s="5" t="s">
        <v>35199</v>
      </c>
      <c r="B7061" s="5" t="s">
        <v>42895</v>
      </c>
      <c r="C7061" s="5" t="s">
        <v>42896</v>
      </c>
      <c r="D7061" s="246">
        <v>41254</v>
      </c>
      <c r="E7061" s="5" t="s">
        <v>42897</v>
      </c>
      <c r="F7061" s="26" t="s">
        <v>23600</v>
      </c>
      <c r="G7061" s="27" t="s">
        <v>7441</v>
      </c>
      <c r="H7061" s="28" t="s">
        <v>7442</v>
      </c>
      <c r="I7061" s="5" t="s">
        <v>72</v>
      </c>
    </row>
    <row r="7062" spans="1:9" ht="51.75" customHeight="1">
      <c r="A7062" s="5" t="s">
        <v>25301</v>
      </c>
      <c r="B7062" s="5" t="s">
        <v>42898</v>
      </c>
      <c r="C7062" s="5" t="s">
        <v>42899</v>
      </c>
      <c r="D7062" s="246">
        <v>41254</v>
      </c>
      <c r="E7062" s="5" t="s">
        <v>42900</v>
      </c>
      <c r="F7062" s="26" t="s">
        <v>23600</v>
      </c>
      <c r="G7062" s="27" t="s">
        <v>7441</v>
      </c>
      <c r="H7062" s="28" t="s">
        <v>7442</v>
      </c>
      <c r="I7062" s="5" t="s">
        <v>72</v>
      </c>
    </row>
    <row r="7063" spans="1:9" ht="51.75" customHeight="1">
      <c r="A7063" s="5" t="s">
        <v>25304</v>
      </c>
      <c r="B7063" s="5" t="s">
        <v>42901</v>
      </c>
      <c r="C7063" s="5" t="s">
        <v>42902</v>
      </c>
      <c r="D7063" s="246">
        <v>41254</v>
      </c>
      <c r="E7063" s="5" t="s">
        <v>42903</v>
      </c>
      <c r="F7063" s="26" t="s">
        <v>23600</v>
      </c>
      <c r="G7063" s="27" t="s">
        <v>7441</v>
      </c>
      <c r="H7063" s="28" t="s">
        <v>7442</v>
      </c>
      <c r="I7063" s="5" t="s">
        <v>72</v>
      </c>
    </row>
    <row r="7064" spans="1:9" ht="51.75" customHeight="1">
      <c r="A7064" s="5" t="s">
        <v>25307</v>
      </c>
      <c r="B7064" s="5" t="s">
        <v>42904</v>
      </c>
      <c r="C7064" s="5" t="s">
        <v>42905</v>
      </c>
      <c r="D7064" s="246">
        <v>40561</v>
      </c>
      <c r="E7064" s="5" t="s">
        <v>42906</v>
      </c>
      <c r="F7064" s="26" t="s">
        <v>23600</v>
      </c>
      <c r="G7064" s="27" t="s">
        <v>4169</v>
      </c>
      <c r="H7064" s="28" t="s">
        <v>4170</v>
      </c>
      <c r="I7064" s="5" t="s">
        <v>72</v>
      </c>
    </row>
    <row r="7065" spans="1:9" ht="51.75" customHeight="1">
      <c r="A7065" s="5" t="s">
        <v>24347</v>
      </c>
      <c r="B7065" s="5" t="s">
        <v>42907</v>
      </c>
      <c r="C7065" s="5" t="s">
        <v>42908</v>
      </c>
      <c r="D7065" s="246">
        <v>40561</v>
      </c>
      <c r="E7065" s="5" t="s">
        <v>42908</v>
      </c>
      <c r="F7065" s="26" t="s">
        <v>23600</v>
      </c>
      <c r="G7065" s="27" t="s">
        <v>4169</v>
      </c>
      <c r="H7065" s="28" t="s">
        <v>4170</v>
      </c>
      <c r="I7065" s="5" t="s">
        <v>72</v>
      </c>
    </row>
    <row r="7066" spans="1:9" ht="51.75" customHeight="1">
      <c r="A7066" s="5" t="s">
        <v>24351</v>
      </c>
      <c r="B7066" s="5" t="s">
        <v>42909</v>
      </c>
      <c r="C7066" s="5" t="s">
        <v>42910</v>
      </c>
      <c r="D7066" s="246">
        <v>40561</v>
      </c>
      <c r="E7066" s="5" t="s">
        <v>42910</v>
      </c>
      <c r="F7066" s="26" t="s">
        <v>23600</v>
      </c>
      <c r="G7066" s="27" t="s">
        <v>4169</v>
      </c>
      <c r="H7066" s="28" t="s">
        <v>4170</v>
      </c>
      <c r="I7066" s="5" t="s">
        <v>72</v>
      </c>
    </row>
    <row r="7067" spans="1:9" ht="51.75" customHeight="1">
      <c r="A7067" s="5" t="s">
        <v>24162</v>
      </c>
      <c r="B7067" s="5" t="s">
        <v>42911</v>
      </c>
      <c r="C7067" s="5" t="s">
        <v>42912</v>
      </c>
      <c r="D7067" s="246">
        <v>40561</v>
      </c>
      <c r="E7067" s="5" t="s">
        <v>42912</v>
      </c>
      <c r="F7067" s="26" t="s">
        <v>23600</v>
      </c>
      <c r="G7067" s="27" t="s">
        <v>4169</v>
      </c>
      <c r="H7067" s="28" t="s">
        <v>4170</v>
      </c>
      <c r="I7067" s="5" t="s">
        <v>72</v>
      </c>
    </row>
    <row r="7068" spans="1:9" ht="51.75" customHeight="1">
      <c r="A7068" s="5" t="s">
        <v>25984</v>
      </c>
      <c r="B7068" s="5" t="s">
        <v>42913</v>
      </c>
      <c r="C7068" s="5" t="s">
        <v>42914</v>
      </c>
      <c r="D7068" s="246">
        <v>41991</v>
      </c>
      <c r="E7068" s="5" t="s">
        <v>42915</v>
      </c>
      <c r="F7068" s="26" t="s">
        <v>23600</v>
      </c>
      <c r="G7068" s="27" t="s">
        <v>9549</v>
      </c>
      <c r="H7068" s="28" t="s">
        <v>9550</v>
      </c>
      <c r="I7068" s="5" t="s">
        <v>72</v>
      </c>
    </row>
    <row r="7069" spans="1:9" ht="51.75" customHeight="1">
      <c r="A7069" s="5" t="s">
        <v>25990</v>
      </c>
      <c r="B7069" s="5" t="s">
        <v>42916</v>
      </c>
      <c r="C7069" s="5" t="s">
        <v>42917</v>
      </c>
      <c r="D7069" s="246">
        <v>41991</v>
      </c>
      <c r="E7069" s="5" t="s">
        <v>42918</v>
      </c>
      <c r="F7069" s="26" t="s">
        <v>23600</v>
      </c>
      <c r="G7069" s="27" t="s">
        <v>9549</v>
      </c>
      <c r="H7069" s="28" t="s">
        <v>9550</v>
      </c>
      <c r="I7069" s="5" t="s">
        <v>72</v>
      </c>
    </row>
    <row r="7070" spans="1:9" ht="51.75" customHeight="1">
      <c r="A7070" s="5" t="s">
        <v>23612</v>
      </c>
      <c r="B7070" s="5" t="s">
        <v>42919</v>
      </c>
      <c r="C7070" s="5" t="s">
        <v>42920</v>
      </c>
      <c r="D7070" s="246">
        <v>41991</v>
      </c>
      <c r="E7070" s="5" t="s">
        <v>42921</v>
      </c>
      <c r="F7070" s="26" t="s">
        <v>23600</v>
      </c>
      <c r="G7070" s="27" t="s">
        <v>9549</v>
      </c>
      <c r="H7070" s="28" t="s">
        <v>9550</v>
      </c>
      <c r="I7070" s="5" t="s">
        <v>72</v>
      </c>
    </row>
    <row r="7071" spans="1:9" ht="51.75" customHeight="1">
      <c r="A7071" s="5" t="s">
        <v>23946</v>
      </c>
      <c r="B7071" s="5" t="s">
        <v>42922</v>
      </c>
      <c r="C7071" s="5" t="s">
        <v>42923</v>
      </c>
      <c r="D7071" s="246">
        <v>41991</v>
      </c>
      <c r="E7071" s="5" t="s">
        <v>42924</v>
      </c>
      <c r="F7071" s="26" t="s">
        <v>23600</v>
      </c>
      <c r="G7071" s="27" t="s">
        <v>9549</v>
      </c>
      <c r="H7071" s="28" t="s">
        <v>9550</v>
      </c>
      <c r="I7071" s="5" t="s">
        <v>72</v>
      </c>
    </row>
    <row r="7072" spans="1:9" ht="51.75" customHeight="1">
      <c r="A7072" s="5" t="s">
        <v>34092</v>
      </c>
      <c r="B7072" s="5" t="s">
        <v>42925</v>
      </c>
      <c r="C7072" s="5" t="s">
        <v>42926</v>
      </c>
      <c r="D7072" s="246">
        <v>41991</v>
      </c>
      <c r="E7072" s="5" t="s">
        <v>42927</v>
      </c>
      <c r="F7072" s="26" t="s">
        <v>23600</v>
      </c>
      <c r="G7072" s="27" t="s">
        <v>9549</v>
      </c>
      <c r="H7072" s="28" t="s">
        <v>9550</v>
      </c>
      <c r="I7072" s="5" t="s">
        <v>72</v>
      </c>
    </row>
    <row r="7073" spans="1:9" ht="51.75" customHeight="1">
      <c r="A7073" s="5" t="s">
        <v>26606</v>
      </c>
      <c r="B7073" s="5" t="s">
        <v>42928</v>
      </c>
      <c r="C7073" s="5" t="s">
        <v>42929</v>
      </c>
      <c r="D7073" s="246">
        <v>41991</v>
      </c>
      <c r="E7073" s="5" t="s">
        <v>42930</v>
      </c>
      <c r="F7073" s="26" t="s">
        <v>23600</v>
      </c>
      <c r="G7073" s="27" t="s">
        <v>9549</v>
      </c>
      <c r="H7073" s="28" t="s">
        <v>9550</v>
      </c>
      <c r="I7073" s="5" t="s">
        <v>72</v>
      </c>
    </row>
    <row r="7074" spans="1:9" ht="51.75" customHeight="1">
      <c r="A7074" s="5" t="s">
        <v>23764</v>
      </c>
      <c r="B7074" s="5" t="s">
        <v>42931</v>
      </c>
      <c r="C7074" s="5" t="s">
        <v>42932</v>
      </c>
      <c r="D7074" s="246">
        <v>41991</v>
      </c>
      <c r="E7074" s="5" t="s">
        <v>42933</v>
      </c>
      <c r="F7074" s="26" t="s">
        <v>23600</v>
      </c>
      <c r="G7074" s="27" t="s">
        <v>9549</v>
      </c>
      <c r="H7074" s="28" t="s">
        <v>9550</v>
      </c>
      <c r="I7074" s="5" t="s">
        <v>72</v>
      </c>
    </row>
    <row r="7075" spans="1:9" ht="51.75" customHeight="1">
      <c r="A7075" s="5" t="s">
        <v>26098</v>
      </c>
      <c r="B7075" s="5" t="s">
        <v>42934</v>
      </c>
      <c r="C7075" s="5" t="s">
        <v>42935</v>
      </c>
      <c r="D7075" s="246">
        <v>42439</v>
      </c>
      <c r="E7075" s="5" t="s">
        <v>42936</v>
      </c>
      <c r="F7075" s="26" t="s">
        <v>23600</v>
      </c>
      <c r="G7075" s="27" t="s">
        <v>10971</v>
      </c>
      <c r="H7075" s="28" t="s">
        <v>10972</v>
      </c>
      <c r="I7075" s="5" t="s">
        <v>72</v>
      </c>
    </row>
    <row r="7076" spans="1:9" ht="51.75" customHeight="1">
      <c r="A7076" s="5" t="s">
        <v>30290</v>
      </c>
      <c r="B7076" s="5" t="s">
        <v>42937</v>
      </c>
      <c r="C7076" s="5" t="s">
        <v>42938</v>
      </c>
      <c r="D7076" s="246">
        <v>42439</v>
      </c>
      <c r="E7076" s="5" t="s">
        <v>42939</v>
      </c>
      <c r="F7076" s="26" t="s">
        <v>23600</v>
      </c>
      <c r="G7076" s="27" t="s">
        <v>10971</v>
      </c>
      <c r="H7076" s="28" t="s">
        <v>10972</v>
      </c>
      <c r="I7076" s="5" t="s">
        <v>72</v>
      </c>
    </row>
    <row r="7077" spans="1:9" ht="51.75" customHeight="1">
      <c r="A7077" s="5" t="s">
        <v>28999</v>
      </c>
      <c r="B7077" s="5" t="s">
        <v>42940</v>
      </c>
      <c r="C7077" s="5" t="s">
        <v>42938</v>
      </c>
      <c r="D7077" s="246">
        <v>42439</v>
      </c>
      <c r="E7077" s="5" t="s">
        <v>42941</v>
      </c>
      <c r="F7077" s="26" t="s">
        <v>23600</v>
      </c>
      <c r="G7077" s="27" t="s">
        <v>10971</v>
      </c>
      <c r="H7077" s="28" t="s">
        <v>10972</v>
      </c>
      <c r="I7077" s="5" t="s">
        <v>72</v>
      </c>
    </row>
    <row r="7078" spans="1:9" ht="51.75" customHeight="1">
      <c r="A7078" s="5" t="s">
        <v>24571</v>
      </c>
      <c r="B7078" s="5" t="s">
        <v>42942</v>
      </c>
      <c r="C7078" s="5" t="s">
        <v>42943</v>
      </c>
      <c r="D7078" s="246">
        <v>42439</v>
      </c>
      <c r="E7078" s="5" t="s">
        <v>42944</v>
      </c>
      <c r="F7078" s="26" t="s">
        <v>23600</v>
      </c>
      <c r="G7078" s="27" t="s">
        <v>10971</v>
      </c>
      <c r="H7078" s="28" t="s">
        <v>10972</v>
      </c>
      <c r="I7078" s="5" t="s">
        <v>72</v>
      </c>
    </row>
    <row r="7079" spans="1:9" ht="51.75" customHeight="1">
      <c r="A7079" s="5" t="s">
        <v>24575</v>
      </c>
      <c r="B7079" s="5" t="s">
        <v>42945</v>
      </c>
      <c r="C7079" s="5" t="s">
        <v>42943</v>
      </c>
      <c r="D7079" s="246">
        <v>42439</v>
      </c>
      <c r="E7079" s="5" t="s">
        <v>42946</v>
      </c>
      <c r="F7079" s="26" t="s">
        <v>23600</v>
      </c>
      <c r="G7079" s="27" t="s">
        <v>10971</v>
      </c>
      <c r="H7079" s="28" t="s">
        <v>10972</v>
      </c>
      <c r="I7079" s="5" t="s">
        <v>72</v>
      </c>
    </row>
    <row r="7080" spans="1:9" ht="51.75" customHeight="1">
      <c r="A7080" s="5" t="s">
        <v>24579</v>
      </c>
      <c r="B7080" s="5" t="s">
        <v>42947</v>
      </c>
      <c r="C7080" s="5" t="s">
        <v>42948</v>
      </c>
      <c r="D7080" s="246">
        <v>42439</v>
      </c>
      <c r="E7080" s="5" t="s">
        <v>42949</v>
      </c>
      <c r="F7080" s="26" t="s">
        <v>23600</v>
      </c>
      <c r="G7080" s="27" t="s">
        <v>10971</v>
      </c>
      <c r="H7080" s="28" t="s">
        <v>10972</v>
      </c>
      <c r="I7080" s="5" t="s">
        <v>72</v>
      </c>
    </row>
    <row r="7081" spans="1:9" ht="51.75" customHeight="1">
      <c r="A7081" s="5" t="s">
        <v>35750</v>
      </c>
      <c r="B7081" s="5" t="s">
        <v>42950</v>
      </c>
      <c r="C7081" s="5" t="s">
        <v>42951</v>
      </c>
      <c r="D7081" s="246">
        <v>42717</v>
      </c>
      <c r="E7081" s="5" t="s">
        <v>42952</v>
      </c>
      <c r="F7081" s="26" t="s">
        <v>23600</v>
      </c>
      <c r="G7081" s="27" t="s">
        <v>12180</v>
      </c>
      <c r="H7081" s="28" t="s">
        <v>12181</v>
      </c>
      <c r="I7081" s="5" t="s">
        <v>72</v>
      </c>
    </row>
    <row r="7082" spans="1:9" ht="51.75" customHeight="1">
      <c r="A7082" s="5" t="s">
        <v>35754</v>
      </c>
      <c r="B7082" s="5" t="s">
        <v>42953</v>
      </c>
      <c r="C7082" s="5" t="s">
        <v>42954</v>
      </c>
      <c r="D7082" s="246">
        <v>42717</v>
      </c>
      <c r="E7082" s="5" t="s">
        <v>42955</v>
      </c>
      <c r="F7082" s="26" t="s">
        <v>23600</v>
      </c>
      <c r="G7082" s="27" t="s">
        <v>12180</v>
      </c>
      <c r="H7082" s="28" t="s">
        <v>12181</v>
      </c>
      <c r="I7082" s="5" t="s">
        <v>72</v>
      </c>
    </row>
    <row r="7083" spans="1:9" ht="51.75" customHeight="1">
      <c r="A7083" s="5" t="s">
        <v>35758</v>
      </c>
      <c r="B7083" s="5" t="s">
        <v>42956</v>
      </c>
      <c r="C7083" s="5" t="s">
        <v>42957</v>
      </c>
      <c r="D7083" s="246">
        <v>42717</v>
      </c>
      <c r="E7083" s="5" t="s">
        <v>42958</v>
      </c>
      <c r="F7083" s="26" t="s">
        <v>23600</v>
      </c>
      <c r="G7083" s="27" t="s">
        <v>12180</v>
      </c>
      <c r="H7083" s="28" t="s">
        <v>12181</v>
      </c>
      <c r="I7083" s="5" t="s">
        <v>72</v>
      </c>
    </row>
    <row r="7084" spans="1:9" ht="51.75" customHeight="1">
      <c r="A7084" s="5" t="s">
        <v>38862</v>
      </c>
      <c r="B7084" s="5" t="s">
        <v>42959</v>
      </c>
      <c r="C7084" s="5" t="s">
        <v>42960</v>
      </c>
      <c r="D7084" s="246">
        <v>42717</v>
      </c>
      <c r="E7084" s="5" t="s">
        <v>42961</v>
      </c>
      <c r="F7084" s="26" t="s">
        <v>23600</v>
      </c>
      <c r="G7084" s="27" t="s">
        <v>12180</v>
      </c>
      <c r="H7084" s="28" t="s">
        <v>12181</v>
      </c>
      <c r="I7084" s="5" t="s">
        <v>72</v>
      </c>
    </row>
    <row r="7085" spans="1:9" ht="51.75" customHeight="1">
      <c r="A7085" s="5" t="s">
        <v>30405</v>
      </c>
      <c r="B7085" s="5" t="s">
        <v>42962</v>
      </c>
      <c r="C7085" s="5" t="s">
        <v>42963</v>
      </c>
      <c r="D7085" s="246">
        <v>42717</v>
      </c>
      <c r="E7085" s="5" t="s">
        <v>42964</v>
      </c>
      <c r="F7085" s="26" t="s">
        <v>23600</v>
      </c>
      <c r="G7085" s="27" t="s">
        <v>12180</v>
      </c>
      <c r="H7085" s="28" t="s">
        <v>12181</v>
      </c>
      <c r="I7085" s="5" t="s">
        <v>72</v>
      </c>
    </row>
    <row r="7086" spans="1:9" ht="51.75" customHeight="1">
      <c r="A7086" s="5" t="s">
        <v>35722</v>
      </c>
      <c r="B7086" s="5" t="s">
        <v>42965</v>
      </c>
      <c r="C7086" s="5" t="s">
        <v>42963</v>
      </c>
      <c r="D7086" s="246">
        <v>42717</v>
      </c>
      <c r="E7086" s="5" t="s">
        <v>42966</v>
      </c>
      <c r="F7086" s="26" t="s">
        <v>23600</v>
      </c>
      <c r="G7086" s="27" t="s">
        <v>12180</v>
      </c>
      <c r="H7086" s="28" t="s">
        <v>12181</v>
      </c>
      <c r="I7086" s="5" t="s">
        <v>72</v>
      </c>
    </row>
    <row r="7087" spans="1:9" ht="51.75" customHeight="1">
      <c r="A7087" s="5"/>
      <c r="B7087" s="5" t="s">
        <v>42967</v>
      </c>
      <c r="C7087" s="5">
        <v>1</v>
      </c>
      <c r="D7087" s="246">
        <v>44371</v>
      </c>
      <c r="E7087" s="5" t="s">
        <v>42968</v>
      </c>
      <c r="F7087" s="26" t="s">
        <v>23600</v>
      </c>
      <c r="G7087" s="42" t="s">
        <v>18443</v>
      </c>
      <c r="H7087" s="28" t="s">
        <v>18444</v>
      </c>
      <c r="I7087" s="5" t="s">
        <v>18398</v>
      </c>
    </row>
    <row r="7088" spans="1:9" ht="51.75" customHeight="1">
      <c r="A7088" s="5"/>
      <c r="B7088" s="5" t="str">
        <f>CONCATENATE(G7088,"/",COUNTIF($G$2:G7088,G7088))</f>
        <v>CZ-10003/1</v>
      </c>
      <c r="C7088" s="5" t="s">
        <v>23621</v>
      </c>
      <c r="D7088" s="246">
        <v>44490</v>
      </c>
      <c r="E7088" s="5" t="s">
        <v>42969</v>
      </c>
      <c r="F7088" s="26" t="s">
        <v>23600</v>
      </c>
      <c r="G7088" s="33" t="s">
        <v>18396</v>
      </c>
      <c r="H7088" s="28" t="s">
        <v>18397</v>
      </c>
      <c r="I7088" s="5" t="s">
        <v>18398</v>
      </c>
    </row>
    <row r="7089" spans="1:9" ht="51.75" customHeight="1">
      <c r="A7089" s="5">
        <v>1</v>
      </c>
      <c r="B7089" s="5" t="s">
        <v>42970</v>
      </c>
      <c r="C7089" s="5" t="s">
        <v>42971</v>
      </c>
      <c r="D7089" s="246">
        <v>40403</v>
      </c>
      <c r="E7089" s="5" t="s">
        <v>42971</v>
      </c>
      <c r="F7089" s="26"/>
      <c r="G7089" s="27" t="s">
        <v>4387</v>
      </c>
      <c r="H7089" s="28" t="s">
        <v>4388</v>
      </c>
      <c r="I7089" s="5" t="s">
        <v>2547</v>
      </c>
    </row>
    <row r="7090" spans="1:9" ht="51.75" customHeight="1">
      <c r="A7090" s="5">
        <v>2</v>
      </c>
      <c r="B7090" s="5" t="s">
        <v>42972</v>
      </c>
      <c r="C7090" s="5" t="s">
        <v>42973</v>
      </c>
      <c r="D7090" s="246">
        <v>40403</v>
      </c>
      <c r="E7090" s="5" t="s">
        <v>42973</v>
      </c>
      <c r="F7090" s="26"/>
      <c r="G7090" s="27" t="s">
        <v>4387</v>
      </c>
      <c r="H7090" s="28" t="s">
        <v>4388</v>
      </c>
      <c r="I7090" s="5" t="s">
        <v>2547</v>
      </c>
    </row>
    <row r="7091" spans="1:9" ht="51.75" customHeight="1">
      <c r="A7091" s="5">
        <v>3</v>
      </c>
      <c r="B7091" s="5" t="s">
        <v>42974</v>
      </c>
      <c r="C7091" s="5" t="s">
        <v>42975</v>
      </c>
      <c r="D7091" s="246">
        <v>40403</v>
      </c>
      <c r="E7091" s="5" t="s">
        <v>42976</v>
      </c>
      <c r="F7091" s="26"/>
      <c r="G7091" s="27" t="s">
        <v>4387</v>
      </c>
      <c r="H7091" s="28" t="s">
        <v>4388</v>
      </c>
      <c r="I7091" s="5" t="s">
        <v>2547</v>
      </c>
    </row>
    <row r="7092" spans="1:9" ht="51.75" customHeight="1">
      <c r="A7092" s="5">
        <v>4</v>
      </c>
      <c r="B7092" s="5" t="s">
        <v>42977</v>
      </c>
      <c r="C7092" s="5" t="s">
        <v>42978</v>
      </c>
      <c r="D7092" s="246">
        <v>40403</v>
      </c>
      <c r="E7092" s="5" t="s">
        <v>42978</v>
      </c>
      <c r="F7092" s="26"/>
      <c r="G7092" s="27" t="s">
        <v>4387</v>
      </c>
      <c r="H7092" s="28" t="s">
        <v>4388</v>
      </c>
      <c r="I7092" s="5" t="s">
        <v>2547</v>
      </c>
    </row>
    <row r="7093" spans="1:9" ht="51.75" customHeight="1">
      <c r="A7093" s="5">
        <v>1</v>
      </c>
      <c r="B7093" s="5" t="s">
        <v>42979</v>
      </c>
      <c r="C7093" s="5" t="s">
        <v>42980</v>
      </c>
      <c r="D7093" s="246">
        <v>39803</v>
      </c>
      <c r="E7093" s="5" t="s">
        <v>42981</v>
      </c>
      <c r="F7093" s="26"/>
      <c r="G7093" s="27" t="s">
        <v>3500</v>
      </c>
      <c r="H7093" s="28" t="s">
        <v>3501</v>
      </c>
      <c r="I7093" s="5" t="s">
        <v>2547</v>
      </c>
    </row>
    <row r="7094" spans="1:9" ht="51.75" customHeight="1">
      <c r="A7094" s="5">
        <v>2</v>
      </c>
      <c r="B7094" s="5" t="s">
        <v>42982</v>
      </c>
      <c r="C7094" s="5" t="s">
        <v>42983</v>
      </c>
      <c r="D7094" s="246">
        <v>39803</v>
      </c>
      <c r="E7094" s="5" t="s">
        <v>42984</v>
      </c>
      <c r="F7094" s="26"/>
      <c r="G7094" s="27" t="s">
        <v>3500</v>
      </c>
      <c r="H7094" s="28" t="s">
        <v>3501</v>
      </c>
      <c r="I7094" s="5" t="s">
        <v>2547</v>
      </c>
    </row>
    <row r="7095" spans="1:9" ht="51.75" customHeight="1">
      <c r="A7095" s="5">
        <v>3</v>
      </c>
      <c r="B7095" s="5" t="s">
        <v>42985</v>
      </c>
      <c r="C7095" s="5" t="s">
        <v>42986</v>
      </c>
      <c r="D7095" s="246">
        <v>39803</v>
      </c>
      <c r="E7095" s="5" t="s">
        <v>42987</v>
      </c>
      <c r="F7095" s="26"/>
      <c r="G7095" s="27" t="s">
        <v>3500</v>
      </c>
      <c r="H7095" s="28" t="s">
        <v>3501</v>
      </c>
      <c r="I7095" s="5" t="s">
        <v>2547</v>
      </c>
    </row>
    <row r="7096" spans="1:9" ht="51.75" customHeight="1">
      <c r="A7096" s="5">
        <v>4</v>
      </c>
      <c r="B7096" s="5" t="s">
        <v>42988</v>
      </c>
      <c r="C7096" s="5" t="s">
        <v>42989</v>
      </c>
      <c r="D7096" s="246">
        <v>39803</v>
      </c>
      <c r="E7096" s="5" t="s">
        <v>42990</v>
      </c>
      <c r="F7096" s="26"/>
      <c r="G7096" s="27" t="s">
        <v>3500</v>
      </c>
      <c r="H7096" s="28" t="s">
        <v>3501</v>
      </c>
      <c r="I7096" s="5" t="s">
        <v>2547</v>
      </c>
    </row>
    <row r="7097" spans="1:9" ht="51.75" customHeight="1">
      <c r="A7097" s="5">
        <v>1</v>
      </c>
      <c r="B7097" s="5" t="s">
        <v>42991</v>
      </c>
      <c r="C7097" s="5" t="s">
        <v>42992</v>
      </c>
      <c r="D7097" s="246">
        <v>39588</v>
      </c>
      <c r="E7097" s="5" t="s">
        <v>42993</v>
      </c>
      <c r="F7097" s="26"/>
      <c r="G7097" s="27" t="s">
        <v>2545</v>
      </c>
      <c r="H7097" s="28" t="s">
        <v>2546</v>
      </c>
      <c r="I7097" s="5" t="s">
        <v>2547</v>
      </c>
    </row>
    <row r="7098" spans="1:9" ht="51.75" customHeight="1">
      <c r="A7098" s="5">
        <v>2</v>
      </c>
      <c r="B7098" s="5" t="s">
        <v>42994</v>
      </c>
      <c r="C7098" s="5" t="s">
        <v>42995</v>
      </c>
      <c r="D7098" s="246">
        <v>39588</v>
      </c>
      <c r="E7098" s="5" t="s">
        <v>42996</v>
      </c>
      <c r="F7098" s="26"/>
      <c r="G7098" s="27" t="s">
        <v>2545</v>
      </c>
      <c r="H7098" s="28" t="s">
        <v>2546</v>
      </c>
      <c r="I7098" s="5" t="s">
        <v>2547</v>
      </c>
    </row>
    <row r="7099" spans="1:9" ht="51.75" customHeight="1">
      <c r="A7099" s="5">
        <v>3</v>
      </c>
      <c r="B7099" s="5" t="s">
        <v>42997</v>
      </c>
      <c r="C7099" s="5" t="s">
        <v>42998</v>
      </c>
      <c r="D7099" s="246">
        <v>39588</v>
      </c>
      <c r="E7099" s="5" t="s">
        <v>42999</v>
      </c>
      <c r="F7099" s="26"/>
      <c r="G7099" s="27" t="s">
        <v>2545</v>
      </c>
      <c r="H7099" s="28" t="s">
        <v>2546</v>
      </c>
      <c r="I7099" s="5" t="s">
        <v>2547</v>
      </c>
    </row>
    <row r="7100" spans="1:9" ht="51.75" customHeight="1">
      <c r="A7100" s="5">
        <v>4</v>
      </c>
      <c r="B7100" s="5" t="s">
        <v>43000</v>
      </c>
      <c r="C7100" s="5" t="s">
        <v>43001</v>
      </c>
      <c r="D7100" s="246">
        <v>39588</v>
      </c>
      <c r="E7100" s="5" t="s">
        <v>43002</v>
      </c>
      <c r="F7100" s="26"/>
      <c r="G7100" s="27" t="s">
        <v>2545</v>
      </c>
      <c r="H7100" s="28" t="s">
        <v>2546</v>
      </c>
      <c r="I7100" s="5" t="s">
        <v>2547</v>
      </c>
    </row>
    <row r="7101" spans="1:9" ht="51.75" customHeight="1">
      <c r="A7101" s="5" t="s">
        <v>25652</v>
      </c>
      <c r="B7101" s="5" t="s">
        <v>43003</v>
      </c>
      <c r="C7101" s="5" t="s">
        <v>43004</v>
      </c>
      <c r="D7101" s="246">
        <v>41263</v>
      </c>
      <c r="E7101" s="5" t="s">
        <v>43005</v>
      </c>
      <c r="F7101" s="26" t="s">
        <v>23600</v>
      </c>
      <c r="G7101" s="27" t="s">
        <v>6954</v>
      </c>
      <c r="H7101" s="28" t="s">
        <v>6955</v>
      </c>
      <c r="I7101" s="5" t="s">
        <v>2547</v>
      </c>
    </row>
    <row r="7102" spans="1:9" ht="51.75" customHeight="1">
      <c r="A7102" s="5" t="s">
        <v>25915</v>
      </c>
      <c r="B7102" s="5" t="s">
        <v>43006</v>
      </c>
      <c r="C7102" s="5" t="s">
        <v>43007</v>
      </c>
      <c r="D7102" s="246">
        <v>41263</v>
      </c>
      <c r="E7102" s="5" t="s">
        <v>43008</v>
      </c>
      <c r="F7102" s="26" t="s">
        <v>23600</v>
      </c>
      <c r="G7102" s="27" t="s">
        <v>6954</v>
      </c>
      <c r="H7102" s="28" t="s">
        <v>6955</v>
      </c>
      <c r="I7102" s="5" t="s">
        <v>2547</v>
      </c>
    </row>
    <row r="7103" spans="1:9" ht="51.75" customHeight="1">
      <c r="A7103" s="5" t="s">
        <v>25920</v>
      </c>
      <c r="B7103" s="5" t="s">
        <v>43009</v>
      </c>
      <c r="C7103" s="5" t="s">
        <v>43010</v>
      </c>
      <c r="D7103" s="246">
        <v>41263</v>
      </c>
      <c r="E7103" s="5" t="s">
        <v>43011</v>
      </c>
      <c r="F7103" s="26" t="s">
        <v>23600</v>
      </c>
      <c r="G7103" s="27" t="s">
        <v>6954</v>
      </c>
      <c r="H7103" s="28" t="s">
        <v>6955</v>
      </c>
      <c r="I7103" s="5" t="s">
        <v>2547</v>
      </c>
    </row>
    <row r="7104" spans="1:9" ht="51.75" customHeight="1">
      <c r="A7104" s="5" t="s">
        <v>25054</v>
      </c>
      <c r="B7104" s="5" t="s">
        <v>43012</v>
      </c>
      <c r="C7104" s="5" t="s">
        <v>43013</v>
      </c>
      <c r="D7104" s="246">
        <v>42180</v>
      </c>
      <c r="E7104" s="5" t="s">
        <v>43014</v>
      </c>
      <c r="F7104" s="26" t="s">
        <v>23600</v>
      </c>
      <c r="G7104" s="27" t="s">
        <v>10002</v>
      </c>
      <c r="H7104" s="28" t="s">
        <v>10003</v>
      </c>
      <c r="I7104" s="5" t="s">
        <v>2547</v>
      </c>
    </row>
    <row r="7105" spans="1:9" ht="51.75" customHeight="1">
      <c r="A7105" s="5" t="s">
        <v>25058</v>
      </c>
      <c r="B7105" s="5" t="s">
        <v>43015</v>
      </c>
      <c r="C7105" s="5" t="s">
        <v>43016</v>
      </c>
      <c r="D7105" s="246">
        <v>42180</v>
      </c>
      <c r="E7105" s="5" t="s">
        <v>43017</v>
      </c>
      <c r="F7105" s="26" t="s">
        <v>23600</v>
      </c>
      <c r="G7105" s="27" t="s">
        <v>10002</v>
      </c>
      <c r="H7105" s="28" t="s">
        <v>10003</v>
      </c>
      <c r="I7105" s="5" t="s">
        <v>2547</v>
      </c>
    </row>
    <row r="7106" spans="1:9" ht="51.75" customHeight="1">
      <c r="A7106" s="5" t="s">
        <v>24303</v>
      </c>
      <c r="B7106" s="5" t="s">
        <v>43018</v>
      </c>
      <c r="C7106" s="5" t="s">
        <v>43019</v>
      </c>
      <c r="D7106" s="246">
        <v>42200</v>
      </c>
      <c r="E7106" s="5" t="s">
        <v>43020</v>
      </c>
      <c r="F7106" s="26" t="s">
        <v>23600</v>
      </c>
      <c r="G7106" s="27" t="s">
        <v>10300</v>
      </c>
      <c r="H7106" s="28" t="s">
        <v>10301</v>
      </c>
      <c r="I7106" s="5" t="s">
        <v>2547</v>
      </c>
    </row>
    <row r="7107" spans="1:9" ht="51.75" customHeight="1">
      <c r="A7107" s="5" t="s">
        <v>27424</v>
      </c>
      <c r="B7107" s="5" t="s">
        <v>43021</v>
      </c>
      <c r="C7107" s="5" t="s">
        <v>43022</v>
      </c>
      <c r="D7107" s="246">
        <v>43227</v>
      </c>
      <c r="E7107" s="5" t="s">
        <v>43023</v>
      </c>
      <c r="F7107" s="26" t="s">
        <v>23600</v>
      </c>
      <c r="G7107" s="27" t="s">
        <v>13276</v>
      </c>
      <c r="H7107" s="28" t="s">
        <v>13277</v>
      </c>
      <c r="I7107" s="5" t="s">
        <v>2547</v>
      </c>
    </row>
    <row r="7108" spans="1:9" ht="51.75" customHeight="1">
      <c r="A7108" s="5" t="s">
        <v>35049</v>
      </c>
      <c r="B7108" s="5" t="s">
        <v>43024</v>
      </c>
      <c r="C7108" s="5" t="s">
        <v>43025</v>
      </c>
      <c r="D7108" s="246">
        <v>43227</v>
      </c>
      <c r="E7108" s="5" t="s">
        <v>43026</v>
      </c>
      <c r="F7108" s="26" t="s">
        <v>23600</v>
      </c>
      <c r="G7108" s="27" t="s">
        <v>13276</v>
      </c>
      <c r="H7108" s="28" t="s">
        <v>13277</v>
      </c>
      <c r="I7108" s="5" t="s">
        <v>2547</v>
      </c>
    </row>
    <row r="7109" spans="1:9" ht="51.75" customHeight="1">
      <c r="A7109" s="5" t="s">
        <v>31046</v>
      </c>
      <c r="B7109" s="5" t="s">
        <v>43027</v>
      </c>
      <c r="C7109" s="5" t="s">
        <v>43028</v>
      </c>
      <c r="D7109" s="246">
        <v>43227</v>
      </c>
      <c r="E7109" s="5" t="s">
        <v>43029</v>
      </c>
      <c r="F7109" s="26" t="s">
        <v>23600</v>
      </c>
      <c r="G7109" s="27" t="s">
        <v>13276</v>
      </c>
      <c r="H7109" s="28" t="s">
        <v>13277</v>
      </c>
      <c r="I7109" s="5" t="s">
        <v>2547</v>
      </c>
    </row>
    <row r="7110" spans="1:9" ht="51.75" customHeight="1">
      <c r="A7110" s="5" t="s">
        <v>26244</v>
      </c>
      <c r="B7110" s="5" t="s">
        <v>43030</v>
      </c>
      <c r="C7110" s="5" t="s">
        <v>43031</v>
      </c>
      <c r="D7110" s="246">
        <v>43868</v>
      </c>
      <c r="E7110" s="5" t="s">
        <v>43032</v>
      </c>
      <c r="F7110" s="26" t="s">
        <v>23600</v>
      </c>
      <c r="G7110" s="27" t="s">
        <v>16069</v>
      </c>
      <c r="H7110" s="28" t="s">
        <v>16070</v>
      </c>
      <c r="I7110" s="5" t="s">
        <v>2547</v>
      </c>
    </row>
    <row r="7111" spans="1:9" ht="51.75" customHeight="1">
      <c r="A7111" s="5" t="s">
        <v>26270</v>
      </c>
      <c r="B7111" s="5" t="s">
        <v>43033</v>
      </c>
      <c r="C7111" s="5" t="s">
        <v>43034</v>
      </c>
      <c r="D7111" s="246">
        <v>43868</v>
      </c>
      <c r="E7111" s="5" t="s">
        <v>43035</v>
      </c>
      <c r="F7111" s="26" t="s">
        <v>23600</v>
      </c>
      <c r="G7111" s="27" t="s">
        <v>16069</v>
      </c>
      <c r="H7111" s="28" t="s">
        <v>16070</v>
      </c>
      <c r="I7111" s="5" t="s">
        <v>2547</v>
      </c>
    </row>
    <row r="7112" spans="1:9" ht="51.75" customHeight="1">
      <c r="A7112" s="5" t="s">
        <v>26265</v>
      </c>
      <c r="B7112" s="5" t="s">
        <v>43036</v>
      </c>
      <c r="C7112" s="5" t="s">
        <v>43037</v>
      </c>
      <c r="D7112" s="246">
        <v>43868</v>
      </c>
      <c r="E7112" s="5" t="s">
        <v>43038</v>
      </c>
      <c r="F7112" s="26" t="s">
        <v>23600</v>
      </c>
      <c r="G7112" s="27" t="s">
        <v>16069</v>
      </c>
      <c r="H7112" s="28" t="s">
        <v>16070</v>
      </c>
      <c r="I7112" s="5" t="s">
        <v>2547</v>
      </c>
    </row>
    <row r="7113" spans="1:9" ht="51.75" customHeight="1">
      <c r="A7113" s="5"/>
      <c r="B7113" s="5" t="s">
        <v>43039</v>
      </c>
      <c r="C7113" s="5" t="s">
        <v>43040</v>
      </c>
      <c r="D7113" s="246">
        <v>44252</v>
      </c>
      <c r="E7113" s="5" t="s">
        <v>43041</v>
      </c>
      <c r="F7113" s="26" t="s">
        <v>23600</v>
      </c>
      <c r="G7113" s="27" t="s">
        <v>17647</v>
      </c>
      <c r="H7113" s="29" t="s">
        <v>43042</v>
      </c>
      <c r="I7113" s="5" t="s">
        <v>2547</v>
      </c>
    </row>
    <row r="7114" spans="1:9" ht="51.75" customHeight="1">
      <c r="A7114" s="5"/>
      <c r="B7114" s="5" t="s">
        <v>43043</v>
      </c>
      <c r="C7114" s="5" t="s">
        <v>43044</v>
      </c>
      <c r="D7114" s="246">
        <v>44252</v>
      </c>
      <c r="E7114" s="5" t="s">
        <v>43045</v>
      </c>
      <c r="F7114" s="26" t="s">
        <v>23600</v>
      </c>
      <c r="G7114" s="27" t="s">
        <v>17647</v>
      </c>
      <c r="H7114" s="29" t="s">
        <v>43042</v>
      </c>
      <c r="I7114" s="5" t="s">
        <v>2547</v>
      </c>
    </row>
    <row r="7115" spans="1:9" ht="51.75" customHeight="1">
      <c r="A7115" s="5"/>
      <c r="B7115" s="5" t="s">
        <v>43046</v>
      </c>
      <c r="C7115" s="5" t="s">
        <v>43047</v>
      </c>
      <c r="D7115" s="246">
        <v>44252</v>
      </c>
      <c r="E7115" s="5" t="s">
        <v>43048</v>
      </c>
      <c r="F7115" s="26" t="s">
        <v>23600</v>
      </c>
      <c r="G7115" s="27" t="s">
        <v>17647</v>
      </c>
      <c r="H7115" s="29" t="s">
        <v>43042</v>
      </c>
      <c r="I7115" s="5" t="s">
        <v>2547</v>
      </c>
    </row>
    <row r="7116" spans="1:9" ht="51.75" customHeight="1">
      <c r="A7116" s="5"/>
      <c r="B7116" s="5" t="s">
        <v>43049</v>
      </c>
      <c r="C7116" s="5" t="s">
        <v>43050</v>
      </c>
      <c r="D7116" s="246">
        <v>44287</v>
      </c>
      <c r="E7116" s="5" t="s">
        <v>43051</v>
      </c>
      <c r="F7116" s="26" t="s">
        <v>23600</v>
      </c>
      <c r="G7116" s="27" t="s">
        <v>17644</v>
      </c>
      <c r="H7116" s="29" t="s">
        <v>17645</v>
      </c>
      <c r="I7116" s="5" t="s">
        <v>2547</v>
      </c>
    </row>
    <row r="7117" spans="1:9" ht="51.75" customHeight="1">
      <c r="A7117" s="5"/>
      <c r="B7117" s="5" t="s">
        <v>43052</v>
      </c>
      <c r="C7117" s="5" t="s">
        <v>43053</v>
      </c>
      <c r="D7117" s="246">
        <v>44287</v>
      </c>
      <c r="E7117" s="5" t="s">
        <v>43054</v>
      </c>
      <c r="F7117" s="26" t="s">
        <v>23600</v>
      </c>
      <c r="G7117" s="27" t="s">
        <v>17644</v>
      </c>
      <c r="H7117" s="29" t="s">
        <v>17645</v>
      </c>
      <c r="I7117" s="5" t="s">
        <v>2547</v>
      </c>
    </row>
    <row r="7118" spans="1:9" ht="51.75" customHeight="1">
      <c r="A7118" s="5"/>
      <c r="B7118" s="5" t="s">
        <v>43055</v>
      </c>
      <c r="C7118" s="5" t="s">
        <v>43056</v>
      </c>
      <c r="D7118" s="246">
        <v>44287</v>
      </c>
      <c r="E7118" s="5" t="s">
        <v>43057</v>
      </c>
      <c r="F7118" s="26" t="s">
        <v>23600</v>
      </c>
      <c r="G7118" s="27" t="s">
        <v>17644</v>
      </c>
      <c r="H7118" s="29" t="s">
        <v>17645</v>
      </c>
      <c r="I7118" s="5" t="s">
        <v>2547</v>
      </c>
    </row>
    <row r="7119" spans="1:9" ht="51.75" customHeight="1">
      <c r="A7119" s="5">
        <v>1</v>
      </c>
      <c r="B7119" s="5" t="s">
        <v>43058</v>
      </c>
      <c r="C7119" s="5" t="s">
        <v>43059</v>
      </c>
      <c r="D7119" s="246">
        <v>40994</v>
      </c>
      <c r="E7119" s="5" t="s">
        <v>43060</v>
      </c>
      <c r="F7119" s="26" t="s">
        <v>23600</v>
      </c>
      <c r="G7119" s="27" t="s">
        <v>4709</v>
      </c>
      <c r="H7119" s="28" t="s">
        <v>4710</v>
      </c>
      <c r="I7119" s="5" t="s">
        <v>835</v>
      </c>
    </row>
    <row r="7120" spans="1:9" ht="51.75" customHeight="1">
      <c r="A7120" s="5">
        <v>2</v>
      </c>
      <c r="B7120" s="5" t="s">
        <v>43061</v>
      </c>
      <c r="C7120" s="5" t="s">
        <v>43062</v>
      </c>
      <c r="D7120" s="246">
        <v>40994</v>
      </c>
      <c r="E7120" s="5" t="s">
        <v>43063</v>
      </c>
      <c r="F7120" s="26" t="s">
        <v>23600</v>
      </c>
      <c r="G7120" s="27" t="s">
        <v>4709</v>
      </c>
      <c r="H7120" s="28" t="s">
        <v>4710</v>
      </c>
      <c r="I7120" s="5" t="s">
        <v>835</v>
      </c>
    </row>
    <row r="7121" spans="1:9" ht="51.75" customHeight="1">
      <c r="A7121" s="5">
        <v>3</v>
      </c>
      <c r="B7121" s="5" t="s">
        <v>43064</v>
      </c>
      <c r="C7121" s="5" t="s">
        <v>43065</v>
      </c>
      <c r="D7121" s="246">
        <v>40994</v>
      </c>
      <c r="E7121" s="5" t="s">
        <v>43066</v>
      </c>
      <c r="F7121" s="26" t="s">
        <v>23600</v>
      </c>
      <c r="G7121" s="27" t="s">
        <v>4709</v>
      </c>
      <c r="H7121" s="28" t="s">
        <v>4710</v>
      </c>
      <c r="I7121" s="5" t="s">
        <v>835</v>
      </c>
    </row>
    <row r="7122" spans="1:9" ht="51.75" customHeight="1">
      <c r="A7122" s="5">
        <v>4</v>
      </c>
      <c r="B7122" s="5" t="s">
        <v>43067</v>
      </c>
      <c r="C7122" s="5" t="s">
        <v>43068</v>
      </c>
      <c r="D7122" s="246">
        <v>40994</v>
      </c>
      <c r="E7122" s="5" t="s">
        <v>43069</v>
      </c>
      <c r="F7122" s="26" t="s">
        <v>23600</v>
      </c>
      <c r="G7122" s="27" t="s">
        <v>4709</v>
      </c>
      <c r="H7122" s="28" t="s">
        <v>4710</v>
      </c>
      <c r="I7122" s="5" t="s">
        <v>835</v>
      </c>
    </row>
    <row r="7123" spans="1:9" ht="51.75" customHeight="1">
      <c r="A7123" s="5">
        <v>5</v>
      </c>
      <c r="B7123" s="5" t="s">
        <v>43070</v>
      </c>
      <c r="C7123" s="5" t="s">
        <v>43071</v>
      </c>
      <c r="D7123" s="246">
        <v>40994</v>
      </c>
      <c r="E7123" s="5" t="s">
        <v>43072</v>
      </c>
      <c r="F7123" s="26" t="s">
        <v>23600</v>
      </c>
      <c r="G7123" s="27" t="s">
        <v>4709</v>
      </c>
      <c r="H7123" s="28" t="s">
        <v>4710</v>
      </c>
      <c r="I7123" s="5" t="s">
        <v>835</v>
      </c>
    </row>
    <row r="7124" spans="1:9" ht="51.75" customHeight="1">
      <c r="A7124" s="5">
        <v>6</v>
      </c>
      <c r="B7124" s="5" t="s">
        <v>43073</v>
      </c>
      <c r="C7124" s="5" t="s">
        <v>43074</v>
      </c>
      <c r="D7124" s="246">
        <v>40994</v>
      </c>
      <c r="E7124" s="5" t="s">
        <v>43075</v>
      </c>
      <c r="F7124" s="26" t="s">
        <v>23600</v>
      </c>
      <c r="G7124" s="27" t="s">
        <v>4709</v>
      </c>
      <c r="H7124" s="28" t="s">
        <v>4710</v>
      </c>
      <c r="I7124" s="5" t="s">
        <v>835</v>
      </c>
    </row>
    <row r="7125" spans="1:9" ht="51.75" customHeight="1">
      <c r="A7125" s="5">
        <v>7</v>
      </c>
      <c r="B7125" s="5" t="s">
        <v>43076</v>
      </c>
      <c r="C7125" s="5" t="s">
        <v>43077</v>
      </c>
      <c r="D7125" s="246">
        <v>40994</v>
      </c>
      <c r="E7125" s="5" t="s">
        <v>43078</v>
      </c>
      <c r="F7125" s="26" t="s">
        <v>23600</v>
      </c>
      <c r="G7125" s="27" t="s">
        <v>4709</v>
      </c>
      <c r="H7125" s="28" t="s">
        <v>4710</v>
      </c>
      <c r="I7125" s="5" t="s">
        <v>835</v>
      </c>
    </row>
    <row r="7126" spans="1:9" ht="51.75" customHeight="1">
      <c r="A7126" s="5">
        <v>1</v>
      </c>
      <c r="B7126" s="5" t="s">
        <v>43079</v>
      </c>
      <c r="C7126" s="5" t="s">
        <v>43080</v>
      </c>
      <c r="D7126" s="246">
        <v>40661</v>
      </c>
      <c r="E7126" s="5" t="s">
        <v>43081</v>
      </c>
      <c r="F7126" s="26" t="s">
        <v>23600</v>
      </c>
      <c r="G7126" s="27" t="s">
        <v>4679</v>
      </c>
      <c r="H7126" s="28" t="s">
        <v>4680</v>
      </c>
      <c r="I7126" s="5" t="s">
        <v>835</v>
      </c>
    </row>
    <row r="7127" spans="1:9" ht="51.75" customHeight="1">
      <c r="A7127" s="5">
        <v>1</v>
      </c>
      <c r="B7127" s="5" t="s">
        <v>43082</v>
      </c>
      <c r="C7127" s="5" t="s">
        <v>43083</v>
      </c>
      <c r="D7127" s="246">
        <v>40994</v>
      </c>
      <c r="E7127" s="5" t="s">
        <v>43084</v>
      </c>
      <c r="F7127" s="26" t="s">
        <v>23600</v>
      </c>
      <c r="G7127" s="27" t="s">
        <v>4596</v>
      </c>
      <c r="H7127" s="28" t="s">
        <v>4597</v>
      </c>
      <c r="I7127" s="5" t="s">
        <v>835</v>
      </c>
    </row>
    <row r="7128" spans="1:9" ht="51.75" customHeight="1">
      <c r="A7128" s="5">
        <v>2</v>
      </c>
      <c r="B7128" s="5" t="s">
        <v>43085</v>
      </c>
      <c r="C7128" s="5" t="s">
        <v>43086</v>
      </c>
      <c r="D7128" s="246">
        <v>40994</v>
      </c>
      <c r="E7128" s="5" t="s">
        <v>43087</v>
      </c>
      <c r="F7128" s="26" t="s">
        <v>23600</v>
      </c>
      <c r="G7128" s="27" t="s">
        <v>4596</v>
      </c>
      <c r="H7128" s="28" t="s">
        <v>4597</v>
      </c>
      <c r="I7128" s="5" t="s">
        <v>835</v>
      </c>
    </row>
    <row r="7129" spans="1:9" ht="51.75" customHeight="1">
      <c r="A7129" s="5">
        <v>3</v>
      </c>
      <c r="B7129" s="5" t="s">
        <v>43088</v>
      </c>
      <c r="C7129" s="5" t="s">
        <v>43089</v>
      </c>
      <c r="D7129" s="246">
        <v>40994</v>
      </c>
      <c r="E7129" s="5" t="s">
        <v>43090</v>
      </c>
      <c r="F7129" s="26" t="s">
        <v>23600</v>
      </c>
      <c r="G7129" s="27" t="s">
        <v>4596</v>
      </c>
      <c r="H7129" s="28" t="s">
        <v>4597</v>
      </c>
      <c r="I7129" s="5" t="s">
        <v>835</v>
      </c>
    </row>
    <row r="7130" spans="1:9" ht="51.75" customHeight="1">
      <c r="A7130" s="5">
        <v>4</v>
      </c>
      <c r="B7130" s="5" t="s">
        <v>43091</v>
      </c>
      <c r="C7130" s="5" t="s">
        <v>43092</v>
      </c>
      <c r="D7130" s="246">
        <v>40994</v>
      </c>
      <c r="E7130" s="5" t="s">
        <v>43093</v>
      </c>
      <c r="F7130" s="26" t="s">
        <v>23600</v>
      </c>
      <c r="G7130" s="27" t="s">
        <v>4596</v>
      </c>
      <c r="H7130" s="28" t="s">
        <v>4597</v>
      </c>
      <c r="I7130" s="5" t="s">
        <v>835</v>
      </c>
    </row>
    <row r="7131" spans="1:9" ht="51.75" customHeight="1">
      <c r="A7131" s="5">
        <v>1</v>
      </c>
      <c r="B7131" s="5" t="s">
        <v>43094</v>
      </c>
      <c r="C7131" s="5" t="s">
        <v>43095</v>
      </c>
      <c r="D7131" s="246">
        <v>40660</v>
      </c>
      <c r="E7131" s="5" t="s">
        <v>43096</v>
      </c>
      <c r="F7131" s="26" t="s">
        <v>23600</v>
      </c>
      <c r="G7131" s="27" t="s">
        <v>4242</v>
      </c>
      <c r="H7131" s="28" t="s">
        <v>4243</v>
      </c>
      <c r="I7131" s="5" t="s">
        <v>835</v>
      </c>
    </row>
    <row r="7132" spans="1:9" ht="51.75" customHeight="1">
      <c r="A7132" s="5">
        <v>1</v>
      </c>
      <c r="B7132" s="5" t="s">
        <v>43097</v>
      </c>
      <c r="C7132" s="5" t="s">
        <v>43098</v>
      </c>
      <c r="D7132" s="246">
        <v>40660</v>
      </c>
      <c r="E7132" s="5" t="s">
        <v>43098</v>
      </c>
      <c r="F7132" s="26" t="s">
        <v>23600</v>
      </c>
      <c r="G7132" s="27" t="s">
        <v>4206</v>
      </c>
      <c r="H7132" s="28" t="s">
        <v>4207</v>
      </c>
      <c r="I7132" s="5" t="s">
        <v>835</v>
      </c>
    </row>
    <row r="7133" spans="1:9" ht="51.75" customHeight="1">
      <c r="A7133" s="5">
        <v>1</v>
      </c>
      <c r="B7133" s="5" t="s">
        <v>43099</v>
      </c>
      <c r="C7133" s="5" t="s">
        <v>43100</v>
      </c>
      <c r="D7133" s="246">
        <v>40597</v>
      </c>
      <c r="E7133" s="5" t="s">
        <v>43101</v>
      </c>
      <c r="F7133" s="26" t="s">
        <v>23600</v>
      </c>
      <c r="G7133" s="27" t="s">
        <v>4093</v>
      </c>
      <c r="H7133" s="28" t="s">
        <v>4094</v>
      </c>
      <c r="I7133" s="5" t="s">
        <v>835</v>
      </c>
    </row>
    <row r="7134" spans="1:9" ht="51.75" customHeight="1">
      <c r="A7134" s="5">
        <v>2</v>
      </c>
      <c r="B7134" s="5" t="s">
        <v>43102</v>
      </c>
      <c r="C7134" s="5" t="s">
        <v>43103</v>
      </c>
      <c r="D7134" s="246">
        <v>40597</v>
      </c>
      <c r="E7134" s="5" t="s">
        <v>43104</v>
      </c>
      <c r="F7134" s="26" t="s">
        <v>23600</v>
      </c>
      <c r="G7134" s="27" t="s">
        <v>4093</v>
      </c>
      <c r="H7134" s="28" t="s">
        <v>4094</v>
      </c>
      <c r="I7134" s="5" t="s">
        <v>835</v>
      </c>
    </row>
    <row r="7135" spans="1:9" ht="51.75" customHeight="1">
      <c r="A7135" s="5">
        <v>3</v>
      </c>
      <c r="B7135" s="5" t="s">
        <v>43105</v>
      </c>
      <c r="C7135" s="5" t="s">
        <v>43106</v>
      </c>
      <c r="D7135" s="246">
        <v>40597</v>
      </c>
      <c r="E7135" s="5" t="s">
        <v>43107</v>
      </c>
      <c r="F7135" s="26" t="s">
        <v>23600</v>
      </c>
      <c r="G7135" s="27" t="s">
        <v>4093</v>
      </c>
      <c r="H7135" s="28" t="s">
        <v>4094</v>
      </c>
      <c r="I7135" s="5" t="s">
        <v>835</v>
      </c>
    </row>
    <row r="7136" spans="1:9" ht="51.75" customHeight="1">
      <c r="A7136" s="5">
        <v>4</v>
      </c>
      <c r="B7136" s="5" t="s">
        <v>43108</v>
      </c>
      <c r="C7136" s="5" t="s">
        <v>43109</v>
      </c>
      <c r="D7136" s="246">
        <v>40597</v>
      </c>
      <c r="E7136" s="5" t="s">
        <v>43110</v>
      </c>
      <c r="F7136" s="26" t="s">
        <v>23600</v>
      </c>
      <c r="G7136" s="27" t="s">
        <v>4093</v>
      </c>
      <c r="H7136" s="28" t="s">
        <v>4094</v>
      </c>
      <c r="I7136" s="5" t="s">
        <v>835</v>
      </c>
    </row>
    <row r="7137" spans="1:9" ht="51.75" customHeight="1">
      <c r="A7137" s="5">
        <v>5</v>
      </c>
      <c r="B7137" s="5" t="s">
        <v>43111</v>
      </c>
      <c r="C7137" s="5" t="s">
        <v>43112</v>
      </c>
      <c r="D7137" s="246">
        <v>40597</v>
      </c>
      <c r="E7137" s="5" t="s">
        <v>43113</v>
      </c>
      <c r="F7137" s="26" t="s">
        <v>23600</v>
      </c>
      <c r="G7137" s="27" t="s">
        <v>4093</v>
      </c>
      <c r="H7137" s="28" t="s">
        <v>4094</v>
      </c>
      <c r="I7137" s="5" t="s">
        <v>835</v>
      </c>
    </row>
    <row r="7138" spans="1:9" ht="51.75" customHeight="1">
      <c r="A7138" s="5">
        <v>1</v>
      </c>
      <c r="B7138" s="5" t="s">
        <v>43114</v>
      </c>
      <c r="C7138" s="5" t="s">
        <v>43115</v>
      </c>
      <c r="D7138" s="246">
        <v>40597</v>
      </c>
      <c r="E7138" s="5" t="s">
        <v>43116</v>
      </c>
      <c r="F7138" s="26" t="s">
        <v>23600</v>
      </c>
      <c r="G7138" s="27" t="s">
        <v>4027</v>
      </c>
      <c r="H7138" s="28" t="s">
        <v>4028</v>
      </c>
      <c r="I7138" s="5" t="s">
        <v>835</v>
      </c>
    </row>
    <row r="7139" spans="1:9" ht="51.75" customHeight="1">
      <c r="A7139" s="5">
        <v>1</v>
      </c>
      <c r="B7139" s="5" t="s">
        <v>43117</v>
      </c>
      <c r="C7139" s="5" t="s">
        <v>43118</v>
      </c>
      <c r="D7139" s="246">
        <v>40994</v>
      </c>
      <c r="E7139" s="5" t="s">
        <v>43119</v>
      </c>
      <c r="F7139" s="26" t="s">
        <v>23600</v>
      </c>
      <c r="G7139" s="27" t="s">
        <v>4011</v>
      </c>
      <c r="H7139" s="28" t="s">
        <v>4012</v>
      </c>
      <c r="I7139" s="5" t="s">
        <v>835</v>
      </c>
    </row>
    <row r="7140" spans="1:9" ht="51.75" customHeight="1">
      <c r="A7140" s="5">
        <v>1</v>
      </c>
      <c r="B7140" s="5" t="s">
        <v>43120</v>
      </c>
      <c r="C7140" s="5" t="s">
        <v>43121</v>
      </c>
      <c r="D7140" s="246">
        <v>40589</v>
      </c>
      <c r="E7140" s="5" t="s">
        <v>43122</v>
      </c>
      <c r="F7140" s="26" t="s">
        <v>23600</v>
      </c>
      <c r="G7140" s="27" t="s">
        <v>3773</v>
      </c>
      <c r="H7140" s="28" t="s">
        <v>3774</v>
      </c>
      <c r="I7140" s="5" t="s">
        <v>835</v>
      </c>
    </row>
    <row r="7141" spans="1:9" ht="51.75" customHeight="1">
      <c r="A7141" s="5">
        <v>1</v>
      </c>
      <c r="B7141" s="5" t="s">
        <v>43123</v>
      </c>
      <c r="C7141" s="5" t="s">
        <v>43124</v>
      </c>
      <c r="D7141" s="246">
        <v>40589</v>
      </c>
      <c r="E7141" s="5" t="s">
        <v>43125</v>
      </c>
      <c r="F7141" s="26" t="s">
        <v>23600</v>
      </c>
      <c r="G7141" s="27" t="s">
        <v>3755</v>
      </c>
      <c r="H7141" s="28" t="s">
        <v>3756</v>
      </c>
      <c r="I7141" s="5" t="s">
        <v>835</v>
      </c>
    </row>
    <row r="7142" spans="1:9" ht="51.75" customHeight="1">
      <c r="A7142" s="5">
        <v>2</v>
      </c>
      <c r="B7142" s="5" t="s">
        <v>43126</v>
      </c>
      <c r="C7142" s="5" t="s">
        <v>43127</v>
      </c>
      <c r="D7142" s="246">
        <v>40589</v>
      </c>
      <c r="E7142" s="5" t="s">
        <v>43128</v>
      </c>
      <c r="F7142" s="26" t="s">
        <v>23600</v>
      </c>
      <c r="G7142" s="27" t="s">
        <v>3755</v>
      </c>
      <c r="H7142" s="28" t="s">
        <v>3756</v>
      </c>
      <c r="I7142" s="5" t="s">
        <v>835</v>
      </c>
    </row>
    <row r="7143" spans="1:9" ht="51.75" customHeight="1">
      <c r="A7143" s="5">
        <v>3</v>
      </c>
      <c r="B7143" s="5" t="s">
        <v>43129</v>
      </c>
      <c r="C7143" s="5" t="s">
        <v>43130</v>
      </c>
      <c r="D7143" s="246">
        <v>40589</v>
      </c>
      <c r="E7143" s="5" t="s">
        <v>43131</v>
      </c>
      <c r="F7143" s="26" t="s">
        <v>23600</v>
      </c>
      <c r="G7143" s="27" t="s">
        <v>3755</v>
      </c>
      <c r="H7143" s="28" t="s">
        <v>3756</v>
      </c>
      <c r="I7143" s="5" t="s">
        <v>835</v>
      </c>
    </row>
    <row r="7144" spans="1:9" ht="51.75" customHeight="1">
      <c r="A7144" s="5">
        <v>4</v>
      </c>
      <c r="B7144" s="5" t="s">
        <v>43132</v>
      </c>
      <c r="C7144" s="5" t="s">
        <v>43133</v>
      </c>
      <c r="D7144" s="246">
        <v>40589</v>
      </c>
      <c r="E7144" s="5" t="s">
        <v>43134</v>
      </c>
      <c r="F7144" s="26" t="s">
        <v>23600</v>
      </c>
      <c r="G7144" s="27" t="s">
        <v>3755</v>
      </c>
      <c r="H7144" s="28" t="s">
        <v>3756</v>
      </c>
      <c r="I7144" s="5" t="s">
        <v>835</v>
      </c>
    </row>
    <row r="7145" spans="1:9" ht="51.75" customHeight="1">
      <c r="A7145" s="5">
        <v>1</v>
      </c>
      <c r="B7145" s="5" t="s">
        <v>43135</v>
      </c>
      <c r="C7145" s="5" t="s">
        <v>43136</v>
      </c>
      <c r="D7145" s="246">
        <v>40597</v>
      </c>
      <c r="E7145" s="5" t="s">
        <v>43137</v>
      </c>
      <c r="F7145" s="26" t="s">
        <v>23600</v>
      </c>
      <c r="G7145" s="27" t="s">
        <v>3136</v>
      </c>
      <c r="H7145" s="28" t="s">
        <v>3137</v>
      </c>
      <c r="I7145" s="5" t="s">
        <v>835</v>
      </c>
    </row>
    <row r="7146" spans="1:9" ht="51.75" customHeight="1">
      <c r="A7146" s="5">
        <v>1</v>
      </c>
      <c r="B7146" s="5" t="s">
        <v>43138</v>
      </c>
      <c r="C7146" s="5" t="s">
        <v>43139</v>
      </c>
      <c r="D7146" s="246">
        <v>40589</v>
      </c>
      <c r="E7146" s="5" t="s">
        <v>43140</v>
      </c>
      <c r="F7146" s="26" t="s">
        <v>23600</v>
      </c>
      <c r="G7146" s="27" t="s">
        <v>3066</v>
      </c>
      <c r="H7146" s="28" t="s">
        <v>3067</v>
      </c>
      <c r="I7146" s="5" t="s">
        <v>835</v>
      </c>
    </row>
    <row r="7147" spans="1:9" ht="51.75" customHeight="1">
      <c r="A7147" s="5">
        <v>2</v>
      </c>
      <c r="B7147" s="5" t="s">
        <v>43141</v>
      </c>
      <c r="C7147" s="5" t="s">
        <v>43142</v>
      </c>
      <c r="D7147" s="246">
        <v>40589</v>
      </c>
      <c r="E7147" s="5" t="s">
        <v>43143</v>
      </c>
      <c r="F7147" s="26" t="s">
        <v>23600</v>
      </c>
      <c r="G7147" s="27" t="s">
        <v>3066</v>
      </c>
      <c r="H7147" s="28" t="s">
        <v>3067</v>
      </c>
      <c r="I7147" s="5" t="s">
        <v>835</v>
      </c>
    </row>
    <row r="7148" spans="1:9" ht="51.75" customHeight="1">
      <c r="A7148" s="5">
        <v>3</v>
      </c>
      <c r="B7148" s="5" t="s">
        <v>43144</v>
      </c>
      <c r="C7148" s="5" t="s">
        <v>43145</v>
      </c>
      <c r="D7148" s="246">
        <v>40589</v>
      </c>
      <c r="E7148" s="5" t="s">
        <v>43146</v>
      </c>
      <c r="F7148" s="26" t="s">
        <v>23600</v>
      </c>
      <c r="G7148" s="27" t="s">
        <v>3066</v>
      </c>
      <c r="H7148" s="28" t="s">
        <v>3067</v>
      </c>
      <c r="I7148" s="5" t="s">
        <v>835</v>
      </c>
    </row>
    <row r="7149" spans="1:9" ht="51.75" customHeight="1">
      <c r="A7149" s="5">
        <v>1</v>
      </c>
      <c r="B7149" s="5" t="s">
        <v>43147</v>
      </c>
      <c r="C7149" s="5" t="s">
        <v>43148</v>
      </c>
      <c r="D7149" s="246">
        <v>40596</v>
      </c>
      <c r="E7149" s="5" t="s">
        <v>43149</v>
      </c>
      <c r="F7149" s="26" t="s">
        <v>23600</v>
      </c>
      <c r="G7149" s="27" t="s">
        <v>3057</v>
      </c>
      <c r="H7149" s="28" t="s">
        <v>3058</v>
      </c>
      <c r="I7149" s="5" t="s">
        <v>835</v>
      </c>
    </row>
    <row r="7150" spans="1:9" ht="51.75" customHeight="1">
      <c r="A7150" s="5">
        <v>2</v>
      </c>
      <c r="B7150" s="5" t="s">
        <v>43150</v>
      </c>
      <c r="C7150" s="5" t="s">
        <v>43151</v>
      </c>
      <c r="D7150" s="246">
        <v>40596</v>
      </c>
      <c r="E7150" s="5" t="s">
        <v>43152</v>
      </c>
      <c r="F7150" s="26" t="s">
        <v>23600</v>
      </c>
      <c r="G7150" s="27" t="s">
        <v>3057</v>
      </c>
      <c r="H7150" s="28" t="s">
        <v>3058</v>
      </c>
      <c r="I7150" s="5" t="s">
        <v>835</v>
      </c>
    </row>
    <row r="7151" spans="1:9" ht="51.75" customHeight="1">
      <c r="A7151" s="5">
        <v>3</v>
      </c>
      <c r="B7151" s="5" t="s">
        <v>43153</v>
      </c>
      <c r="C7151" s="5" t="s">
        <v>43154</v>
      </c>
      <c r="D7151" s="246">
        <v>40596</v>
      </c>
      <c r="E7151" s="5" t="s">
        <v>43155</v>
      </c>
      <c r="F7151" s="26" t="s">
        <v>23600</v>
      </c>
      <c r="G7151" s="27" t="s">
        <v>3057</v>
      </c>
      <c r="H7151" s="28" t="s">
        <v>3058</v>
      </c>
      <c r="I7151" s="5" t="s">
        <v>835</v>
      </c>
    </row>
    <row r="7152" spans="1:9" ht="51.75" customHeight="1">
      <c r="A7152" s="5">
        <v>1</v>
      </c>
      <c r="B7152" s="5" t="s">
        <v>43156</v>
      </c>
      <c r="C7152" s="5" t="s">
        <v>43157</v>
      </c>
      <c r="D7152" s="246">
        <v>40596</v>
      </c>
      <c r="E7152" s="5" t="s">
        <v>43158</v>
      </c>
      <c r="F7152" s="26" t="s">
        <v>23600</v>
      </c>
      <c r="G7152" s="27" t="s">
        <v>2833</v>
      </c>
      <c r="H7152" s="28" t="s">
        <v>2834</v>
      </c>
      <c r="I7152" s="5" t="s">
        <v>835</v>
      </c>
    </row>
    <row r="7153" spans="1:9" ht="51.75" customHeight="1">
      <c r="A7153" s="5">
        <v>1</v>
      </c>
      <c r="B7153" s="5" t="s">
        <v>43159</v>
      </c>
      <c r="C7153" s="5" t="s">
        <v>43160</v>
      </c>
      <c r="D7153" s="246">
        <v>40589</v>
      </c>
      <c r="E7153" s="5" t="s">
        <v>43161</v>
      </c>
      <c r="F7153" s="26" t="s">
        <v>23600</v>
      </c>
      <c r="G7153" s="27" t="s">
        <v>3261</v>
      </c>
      <c r="H7153" s="28" t="s">
        <v>3262</v>
      </c>
      <c r="I7153" s="5" t="s">
        <v>835</v>
      </c>
    </row>
    <row r="7154" spans="1:9" ht="51.75" customHeight="1">
      <c r="A7154" s="5">
        <v>2</v>
      </c>
      <c r="B7154" s="5" t="s">
        <v>43162</v>
      </c>
      <c r="C7154" s="5" t="s">
        <v>43163</v>
      </c>
      <c r="D7154" s="246">
        <v>40589</v>
      </c>
      <c r="E7154" s="5" t="s">
        <v>43164</v>
      </c>
      <c r="F7154" s="26" t="s">
        <v>23600</v>
      </c>
      <c r="G7154" s="27" t="s">
        <v>3261</v>
      </c>
      <c r="H7154" s="28" t="s">
        <v>3262</v>
      </c>
      <c r="I7154" s="5" t="s">
        <v>835</v>
      </c>
    </row>
    <row r="7155" spans="1:9" ht="51.75" customHeight="1">
      <c r="A7155" s="5">
        <v>3</v>
      </c>
      <c r="B7155" s="5" t="s">
        <v>43165</v>
      </c>
      <c r="C7155" s="5" t="s">
        <v>43166</v>
      </c>
      <c r="D7155" s="246">
        <v>40589</v>
      </c>
      <c r="E7155" s="5" t="s">
        <v>43167</v>
      </c>
      <c r="F7155" s="26" t="s">
        <v>23600</v>
      </c>
      <c r="G7155" s="27" t="s">
        <v>3261</v>
      </c>
      <c r="H7155" s="28" t="s">
        <v>3262</v>
      </c>
      <c r="I7155" s="5" t="s">
        <v>835</v>
      </c>
    </row>
    <row r="7156" spans="1:9" ht="51.75" customHeight="1">
      <c r="A7156" s="5">
        <v>4</v>
      </c>
      <c r="B7156" s="5" t="s">
        <v>43168</v>
      </c>
      <c r="C7156" s="5" t="s">
        <v>43169</v>
      </c>
      <c r="D7156" s="246">
        <v>40589</v>
      </c>
      <c r="E7156" s="5" t="s">
        <v>43170</v>
      </c>
      <c r="F7156" s="26" t="s">
        <v>23600</v>
      </c>
      <c r="G7156" s="27" t="s">
        <v>3261</v>
      </c>
      <c r="H7156" s="28" t="s">
        <v>3262</v>
      </c>
      <c r="I7156" s="5" t="s">
        <v>835</v>
      </c>
    </row>
    <row r="7157" spans="1:9" ht="51.75" customHeight="1">
      <c r="A7157" s="5">
        <v>5</v>
      </c>
      <c r="B7157" s="5" t="s">
        <v>43171</v>
      </c>
      <c r="C7157" s="5" t="s">
        <v>43172</v>
      </c>
      <c r="D7157" s="246">
        <v>40589</v>
      </c>
      <c r="E7157" s="5" t="s">
        <v>43173</v>
      </c>
      <c r="F7157" s="26" t="s">
        <v>23600</v>
      </c>
      <c r="G7157" s="27" t="s">
        <v>3261</v>
      </c>
      <c r="H7157" s="28" t="s">
        <v>3262</v>
      </c>
      <c r="I7157" s="5" t="s">
        <v>835</v>
      </c>
    </row>
    <row r="7158" spans="1:9" ht="51.75" customHeight="1">
      <c r="A7158" s="5">
        <v>1</v>
      </c>
      <c r="B7158" s="5" t="s">
        <v>43174</v>
      </c>
      <c r="C7158" s="43" t="s">
        <v>43175</v>
      </c>
      <c r="D7158" s="246">
        <v>40596</v>
      </c>
      <c r="E7158" s="5" t="s">
        <v>43176</v>
      </c>
      <c r="F7158" s="26" t="s">
        <v>23600</v>
      </c>
      <c r="G7158" s="27" t="s">
        <v>2792</v>
      </c>
      <c r="H7158" s="28" t="s">
        <v>2793</v>
      </c>
      <c r="I7158" s="5" t="s">
        <v>835</v>
      </c>
    </row>
    <row r="7159" spans="1:9" ht="51.75" customHeight="1">
      <c r="A7159" s="5">
        <v>1</v>
      </c>
      <c r="B7159" s="5" t="s">
        <v>43177</v>
      </c>
      <c r="C7159" s="5" t="s">
        <v>43157</v>
      </c>
      <c r="D7159" s="246">
        <v>40596</v>
      </c>
      <c r="E7159" s="5" t="s">
        <v>43158</v>
      </c>
      <c r="F7159" s="26" t="s">
        <v>23600</v>
      </c>
      <c r="G7159" s="27" t="s">
        <v>2762</v>
      </c>
      <c r="H7159" s="28" t="s">
        <v>2763</v>
      </c>
      <c r="I7159" s="5" t="s">
        <v>835</v>
      </c>
    </row>
    <row r="7160" spans="1:9" ht="51.75" customHeight="1">
      <c r="A7160" s="5">
        <v>1</v>
      </c>
      <c r="B7160" s="5" t="s">
        <v>43178</v>
      </c>
      <c r="C7160" s="5" t="s">
        <v>43157</v>
      </c>
      <c r="D7160" s="246">
        <v>40596</v>
      </c>
      <c r="E7160" s="5" t="s">
        <v>43158</v>
      </c>
      <c r="F7160" s="26" t="s">
        <v>23600</v>
      </c>
      <c r="G7160" s="27" t="s">
        <v>2632</v>
      </c>
      <c r="H7160" s="28" t="s">
        <v>2633</v>
      </c>
      <c r="I7160" s="5" t="s">
        <v>835</v>
      </c>
    </row>
    <row r="7161" spans="1:9" ht="51.75" customHeight="1">
      <c r="A7161" s="5">
        <v>1</v>
      </c>
      <c r="B7161" s="5" t="s">
        <v>43179</v>
      </c>
      <c r="C7161" s="5" t="s">
        <v>43180</v>
      </c>
      <c r="D7161" s="246">
        <v>40596</v>
      </c>
      <c r="E7161" s="5" t="s">
        <v>43181</v>
      </c>
      <c r="F7161" s="26" t="s">
        <v>23600</v>
      </c>
      <c r="G7161" s="27" t="s">
        <v>2488</v>
      </c>
      <c r="H7161" s="28" t="s">
        <v>2489</v>
      </c>
      <c r="I7161" s="5" t="s">
        <v>835</v>
      </c>
    </row>
    <row r="7162" spans="1:9" ht="51.75" customHeight="1">
      <c r="A7162" s="5">
        <v>1</v>
      </c>
      <c r="B7162" s="5" t="s">
        <v>43182</v>
      </c>
      <c r="C7162" s="5" t="s">
        <v>43183</v>
      </c>
      <c r="D7162" s="246">
        <v>40596</v>
      </c>
      <c r="E7162" s="5" t="s">
        <v>43184</v>
      </c>
      <c r="F7162" s="26" t="s">
        <v>23600</v>
      </c>
      <c r="G7162" s="27" t="s">
        <v>2429</v>
      </c>
      <c r="H7162" s="28" t="s">
        <v>2430</v>
      </c>
      <c r="I7162" s="5" t="s">
        <v>835</v>
      </c>
    </row>
    <row r="7163" spans="1:9" ht="51.75" customHeight="1">
      <c r="A7163" s="5">
        <v>2</v>
      </c>
      <c r="B7163" s="5" t="s">
        <v>43185</v>
      </c>
      <c r="C7163" s="5" t="s">
        <v>43183</v>
      </c>
      <c r="D7163" s="246">
        <v>40596</v>
      </c>
      <c r="E7163" s="5" t="s">
        <v>43186</v>
      </c>
      <c r="F7163" s="26" t="s">
        <v>23600</v>
      </c>
      <c r="G7163" s="27" t="s">
        <v>2429</v>
      </c>
      <c r="H7163" s="28" t="s">
        <v>2430</v>
      </c>
      <c r="I7163" s="5" t="s">
        <v>835</v>
      </c>
    </row>
    <row r="7164" spans="1:9" ht="51.75" customHeight="1">
      <c r="A7164" s="5">
        <v>1</v>
      </c>
      <c r="B7164" s="5" t="s">
        <v>43187</v>
      </c>
      <c r="C7164" s="5" t="s">
        <v>43188</v>
      </c>
      <c r="D7164" s="246">
        <v>40589</v>
      </c>
      <c r="E7164" s="5" t="s">
        <v>43189</v>
      </c>
      <c r="F7164" s="26" t="s">
        <v>23600</v>
      </c>
      <c r="G7164" s="27" t="s">
        <v>2301</v>
      </c>
      <c r="H7164" s="28" t="s">
        <v>2298</v>
      </c>
      <c r="I7164" s="5" t="s">
        <v>835</v>
      </c>
    </row>
    <row r="7165" spans="1:9" ht="51.75" customHeight="1">
      <c r="A7165" s="5">
        <v>1</v>
      </c>
      <c r="B7165" s="5" t="s">
        <v>43190</v>
      </c>
      <c r="C7165" s="5" t="s">
        <v>43188</v>
      </c>
      <c r="D7165" s="246">
        <v>40589</v>
      </c>
      <c r="E7165" s="5" t="s">
        <v>43189</v>
      </c>
      <c r="F7165" s="26" t="s">
        <v>23600</v>
      </c>
      <c r="G7165" s="27" t="s">
        <v>2297</v>
      </c>
      <c r="H7165" s="28" t="s">
        <v>2298</v>
      </c>
      <c r="I7165" s="5" t="s">
        <v>835</v>
      </c>
    </row>
    <row r="7166" spans="1:9" ht="51.75" customHeight="1">
      <c r="A7166" s="5">
        <v>1</v>
      </c>
      <c r="B7166" s="5" t="s">
        <v>43191</v>
      </c>
      <c r="C7166" s="5" t="s">
        <v>43192</v>
      </c>
      <c r="D7166" s="246">
        <v>40589</v>
      </c>
      <c r="E7166" s="5" t="s">
        <v>43193</v>
      </c>
      <c r="F7166" s="26" t="s">
        <v>23600</v>
      </c>
      <c r="G7166" s="27" t="s">
        <v>2216</v>
      </c>
      <c r="H7166" s="28" t="s">
        <v>2217</v>
      </c>
      <c r="I7166" s="5" t="s">
        <v>835</v>
      </c>
    </row>
    <row r="7167" spans="1:9" ht="51.75" customHeight="1">
      <c r="A7167" s="5">
        <v>1</v>
      </c>
      <c r="B7167" s="5" t="s">
        <v>43194</v>
      </c>
      <c r="C7167" s="5" t="s">
        <v>43195</v>
      </c>
      <c r="D7167" s="246">
        <v>40578</v>
      </c>
      <c r="E7167" s="5" t="s">
        <v>43196</v>
      </c>
      <c r="F7167" s="26" t="s">
        <v>23600</v>
      </c>
      <c r="G7167" s="27" t="s">
        <v>1481</v>
      </c>
      <c r="H7167" s="28" t="s">
        <v>1482</v>
      </c>
      <c r="I7167" s="5" t="s">
        <v>835</v>
      </c>
    </row>
    <row r="7168" spans="1:9" ht="51.75" customHeight="1">
      <c r="A7168" s="5">
        <v>2</v>
      </c>
      <c r="B7168" s="5" t="s">
        <v>43197</v>
      </c>
      <c r="C7168" s="5" t="s">
        <v>43198</v>
      </c>
      <c r="D7168" s="246">
        <v>40578</v>
      </c>
      <c r="E7168" s="5" t="s">
        <v>43199</v>
      </c>
      <c r="F7168" s="26" t="s">
        <v>23600</v>
      </c>
      <c r="G7168" s="27" t="s">
        <v>1481</v>
      </c>
      <c r="H7168" s="28" t="s">
        <v>1482</v>
      </c>
      <c r="I7168" s="5" t="s">
        <v>835</v>
      </c>
    </row>
    <row r="7169" spans="1:9" ht="51.75" customHeight="1">
      <c r="A7169" s="5">
        <v>3</v>
      </c>
      <c r="B7169" s="5" t="s">
        <v>43200</v>
      </c>
      <c r="C7169" s="5" t="s">
        <v>43201</v>
      </c>
      <c r="D7169" s="246">
        <v>40578</v>
      </c>
      <c r="E7169" s="5" t="s">
        <v>43202</v>
      </c>
      <c r="F7169" s="26" t="s">
        <v>23600</v>
      </c>
      <c r="G7169" s="27" t="s">
        <v>1481</v>
      </c>
      <c r="H7169" s="28" t="s">
        <v>1482</v>
      </c>
      <c r="I7169" s="5" t="s">
        <v>835</v>
      </c>
    </row>
    <row r="7170" spans="1:9" ht="51.75" customHeight="1">
      <c r="A7170" s="5">
        <v>1</v>
      </c>
      <c r="B7170" s="5" t="s">
        <v>43203</v>
      </c>
      <c r="C7170" s="5" t="s">
        <v>43157</v>
      </c>
      <c r="D7170" s="246">
        <v>40589</v>
      </c>
      <c r="E7170" s="5" t="s">
        <v>43158</v>
      </c>
      <c r="F7170" s="26" t="s">
        <v>23600</v>
      </c>
      <c r="G7170" s="27" t="s">
        <v>2158</v>
      </c>
      <c r="H7170" s="28" t="s">
        <v>2159</v>
      </c>
      <c r="I7170" s="5" t="s">
        <v>835</v>
      </c>
    </row>
    <row r="7171" spans="1:9" ht="51.75" customHeight="1">
      <c r="A7171" s="5">
        <v>1</v>
      </c>
      <c r="B7171" s="5" t="s">
        <v>43204</v>
      </c>
      <c r="C7171" s="5" t="s">
        <v>43205</v>
      </c>
      <c r="D7171" s="246">
        <v>40570</v>
      </c>
      <c r="E7171" s="5" t="s">
        <v>43206</v>
      </c>
      <c r="F7171" s="26" t="s">
        <v>23600</v>
      </c>
      <c r="G7171" s="27" t="s">
        <v>1441</v>
      </c>
      <c r="H7171" s="28" t="s">
        <v>1442</v>
      </c>
      <c r="I7171" s="5" t="s">
        <v>835</v>
      </c>
    </row>
    <row r="7172" spans="1:9" ht="51.75" customHeight="1">
      <c r="A7172" s="5">
        <v>1</v>
      </c>
      <c r="B7172" s="5" t="s">
        <v>43207</v>
      </c>
      <c r="C7172" s="5" t="s">
        <v>43208</v>
      </c>
      <c r="D7172" s="246">
        <v>40561</v>
      </c>
      <c r="E7172" s="5" t="s">
        <v>43209</v>
      </c>
      <c r="F7172" s="26" t="s">
        <v>23600</v>
      </c>
      <c r="G7172" s="27" t="s">
        <v>1393</v>
      </c>
      <c r="H7172" s="28" t="s">
        <v>1394</v>
      </c>
      <c r="I7172" s="5" t="s">
        <v>835</v>
      </c>
    </row>
    <row r="7173" spans="1:9" ht="51.75" customHeight="1">
      <c r="A7173" s="5">
        <v>1</v>
      </c>
      <c r="B7173" s="5" t="s">
        <v>43210</v>
      </c>
      <c r="C7173" s="5" t="s">
        <v>43211</v>
      </c>
      <c r="D7173" s="246">
        <v>39387</v>
      </c>
      <c r="E7173" s="5" t="s">
        <v>43212</v>
      </c>
      <c r="F7173" s="26" t="s">
        <v>23600</v>
      </c>
      <c r="G7173" s="27" t="s">
        <v>1345</v>
      </c>
      <c r="H7173" s="28" t="s">
        <v>1346</v>
      </c>
      <c r="I7173" s="5" t="s">
        <v>835</v>
      </c>
    </row>
    <row r="7174" spans="1:9" ht="51.75" customHeight="1">
      <c r="A7174" s="5">
        <v>2</v>
      </c>
      <c r="B7174" s="5" t="s">
        <v>43213</v>
      </c>
      <c r="C7174" s="5" t="s">
        <v>43214</v>
      </c>
      <c r="D7174" s="246">
        <v>39387</v>
      </c>
      <c r="E7174" s="5" t="s">
        <v>43215</v>
      </c>
      <c r="F7174" s="26" t="s">
        <v>23600</v>
      </c>
      <c r="G7174" s="27" t="s">
        <v>1345</v>
      </c>
      <c r="H7174" s="28" t="s">
        <v>1346</v>
      </c>
      <c r="I7174" s="5" t="s">
        <v>835</v>
      </c>
    </row>
    <row r="7175" spans="1:9" ht="51.75" customHeight="1">
      <c r="A7175" s="5">
        <v>3</v>
      </c>
      <c r="B7175" s="5" t="s">
        <v>43216</v>
      </c>
      <c r="C7175" s="5" t="s">
        <v>43217</v>
      </c>
      <c r="D7175" s="246">
        <v>39387</v>
      </c>
      <c r="E7175" s="5" t="s">
        <v>43218</v>
      </c>
      <c r="F7175" s="26" t="s">
        <v>23600</v>
      </c>
      <c r="G7175" s="27" t="s">
        <v>1345</v>
      </c>
      <c r="H7175" s="28" t="s">
        <v>1346</v>
      </c>
      <c r="I7175" s="5" t="s">
        <v>835</v>
      </c>
    </row>
    <row r="7176" spans="1:9" ht="51.75" customHeight="1">
      <c r="A7176" s="5">
        <v>1</v>
      </c>
      <c r="B7176" s="5" t="s">
        <v>43219</v>
      </c>
      <c r="C7176" s="5" t="s">
        <v>43220</v>
      </c>
      <c r="D7176" s="246">
        <v>40596</v>
      </c>
      <c r="E7176" s="5" t="s">
        <v>43221</v>
      </c>
      <c r="F7176" s="26" t="s">
        <v>23600</v>
      </c>
      <c r="G7176" s="27" t="s">
        <v>1059</v>
      </c>
      <c r="H7176" s="28" t="s">
        <v>1060</v>
      </c>
      <c r="I7176" s="5" t="s">
        <v>835</v>
      </c>
    </row>
    <row r="7177" spans="1:9" ht="51.75" customHeight="1">
      <c r="A7177" s="5">
        <v>1</v>
      </c>
      <c r="B7177" s="5" t="s">
        <v>43222</v>
      </c>
      <c r="C7177" s="5" t="s">
        <v>43223</v>
      </c>
      <c r="D7177" s="246">
        <v>40596</v>
      </c>
      <c r="E7177" s="5" t="s">
        <v>43224</v>
      </c>
      <c r="F7177" s="26" t="s">
        <v>23600</v>
      </c>
      <c r="G7177" s="27" t="s">
        <v>1897</v>
      </c>
      <c r="H7177" s="28" t="s">
        <v>1898</v>
      </c>
      <c r="I7177" s="5" t="s">
        <v>835</v>
      </c>
    </row>
    <row r="7178" spans="1:9" ht="51.75" customHeight="1">
      <c r="A7178" s="5">
        <v>2</v>
      </c>
      <c r="B7178" s="5" t="s">
        <v>43225</v>
      </c>
      <c r="C7178" s="5" t="s">
        <v>43226</v>
      </c>
      <c r="D7178" s="246">
        <v>40596</v>
      </c>
      <c r="E7178" s="5" t="s">
        <v>43227</v>
      </c>
      <c r="F7178" s="26" t="s">
        <v>23600</v>
      </c>
      <c r="G7178" s="27" t="s">
        <v>1897</v>
      </c>
      <c r="H7178" s="28" t="s">
        <v>1898</v>
      </c>
      <c r="I7178" s="5" t="s">
        <v>835</v>
      </c>
    </row>
    <row r="7179" spans="1:9" ht="51.75" customHeight="1">
      <c r="A7179" s="5">
        <v>1</v>
      </c>
      <c r="B7179" s="5" t="s">
        <v>43228</v>
      </c>
      <c r="C7179" s="5" t="s">
        <v>43229</v>
      </c>
      <c r="D7179" s="246">
        <v>40546</v>
      </c>
      <c r="E7179" s="5" t="s">
        <v>43230</v>
      </c>
      <c r="F7179" s="26" t="s">
        <v>23600</v>
      </c>
      <c r="G7179" s="27" t="s">
        <v>1530</v>
      </c>
      <c r="H7179" s="28" t="s">
        <v>1531</v>
      </c>
      <c r="I7179" s="5" t="s">
        <v>835</v>
      </c>
    </row>
    <row r="7180" spans="1:9" ht="51.75" customHeight="1">
      <c r="A7180" s="5">
        <v>2</v>
      </c>
      <c r="B7180" s="5" t="s">
        <v>43231</v>
      </c>
      <c r="C7180" s="5" t="s">
        <v>43232</v>
      </c>
      <c r="D7180" s="246">
        <v>40546</v>
      </c>
      <c r="E7180" s="5" t="s">
        <v>43233</v>
      </c>
      <c r="F7180" s="26" t="s">
        <v>23600</v>
      </c>
      <c r="G7180" s="27" t="s">
        <v>1530</v>
      </c>
      <c r="H7180" s="28" t="s">
        <v>1531</v>
      </c>
      <c r="I7180" s="5" t="s">
        <v>835</v>
      </c>
    </row>
    <row r="7181" spans="1:9" ht="51.75" customHeight="1">
      <c r="A7181" s="5">
        <v>3</v>
      </c>
      <c r="B7181" s="5" t="s">
        <v>43234</v>
      </c>
      <c r="C7181" s="5" t="s">
        <v>43235</v>
      </c>
      <c r="D7181" s="246">
        <v>40546</v>
      </c>
      <c r="E7181" s="5" t="s">
        <v>43236</v>
      </c>
      <c r="F7181" s="26" t="s">
        <v>23600</v>
      </c>
      <c r="G7181" s="27" t="s">
        <v>1530</v>
      </c>
      <c r="H7181" s="28" t="s">
        <v>1531</v>
      </c>
      <c r="I7181" s="5" t="s">
        <v>835</v>
      </c>
    </row>
    <row r="7182" spans="1:9" ht="51.75" customHeight="1">
      <c r="A7182" s="5">
        <v>4</v>
      </c>
      <c r="B7182" s="5" t="s">
        <v>43237</v>
      </c>
      <c r="C7182" s="5" t="s">
        <v>43238</v>
      </c>
      <c r="D7182" s="246">
        <v>40546</v>
      </c>
      <c r="E7182" s="5" t="s">
        <v>43239</v>
      </c>
      <c r="F7182" s="26" t="s">
        <v>23600</v>
      </c>
      <c r="G7182" s="27" t="s">
        <v>1530</v>
      </c>
      <c r="H7182" s="28" t="s">
        <v>1531</v>
      </c>
      <c r="I7182" s="5" t="s">
        <v>835</v>
      </c>
    </row>
    <row r="7183" spans="1:9" ht="51.75" customHeight="1">
      <c r="A7183" s="5">
        <v>1</v>
      </c>
      <c r="B7183" s="5" t="s">
        <v>43240</v>
      </c>
      <c r="C7183" s="5" t="s">
        <v>43241</v>
      </c>
      <c r="D7183" s="246">
        <v>39115</v>
      </c>
      <c r="E7183" s="5" t="s">
        <v>43241</v>
      </c>
      <c r="F7183" s="26" t="s">
        <v>23600</v>
      </c>
      <c r="G7183" s="27" t="s">
        <v>968</v>
      </c>
      <c r="H7183" s="28" t="s">
        <v>969</v>
      </c>
      <c r="I7183" s="5" t="s">
        <v>835</v>
      </c>
    </row>
    <row r="7184" spans="1:9" ht="51.75" customHeight="1">
      <c r="A7184" s="5">
        <v>1</v>
      </c>
      <c r="B7184" s="5" t="s">
        <v>43242</v>
      </c>
      <c r="C7184" s="5" t="s">
        <v>43243</v>
      </c>
      <c r="D7184" s="246">
        <v>40546</v>
      </c>
      <c r="E7184" s="5" t="s">
        <v>43244</v>
      </c>
      <c r="F7184" s="26" t="s">
        <v>23600</v>
      </c>
      <c r="G7184" s="27" t="s">
        <v>864</v>
      </c>
      <c r="H7184" s="28" t="s">
        <v>865</v>
      </c>
      <c r="I7184" s="5" t="s">
        <v>835</v>
      </c>
    </row>
    <row r="7185" spans="1:9" ht="51.75" customHeight="1">
      <c r="A7185" s="5">
        <v>1</v>
      </c>
      <c r="B7185" s="5" t="s">
        <v>43245</v>
      </c>
      <c r="C7185" s="5" t="s">
        <v>43246</v>
      </c>
      <c r="D7185" s="246">
        <v>39115</v>
      </c>
      <c r="E7185" s="5" t="s">
        <v>43247</v>
      </c>
      <c r="F7185" s="26" t="s">
        <v>23600</v>
      </c>
      <c r="G7185" s="27" t="s">
        <v>901</v>
      </c>
      <c r="H7185" s="28" t="s">
        <v>902</v>
      </c>
      <c r="I7185" s="5" t="s">
        <v>835</v>
      </c>
    </row>
    <row r="7186" spans="1:9" ht="51.75" customHeight="1">
      <c r="A7186" s="5">
        <v>1</v>
      </c>
      <c r="B7186" s="5" t="s">
        <v>43248</v>
      </c>
      <c r="C7186" s="5" t="s">
        <v>43249</v>
      </c>
      <c r="D7186" s="246">
        <v>38945</v>
      </c>
      <c r="E7186" s="5" t="s">
        <v>43250</v>
      </c>
      <c r="F7186" s="26" t="s">
        <v>23600</v>
      </c>
      <c r="G7186" s="27" t="s">
        <v>924</v>
      </c>
      <c r="H7186" s="28" t="s">
        <v>925</v>
      </c>
      <c r="I7186" s="5" t="s">
        <v>835</v>
      </c>
    </row>
    <row r="7187" spans="1:9" ht="51.75" customHeight="1">
      <c r="A7187" s="5">
        <v>2</v>
      </c>
      <c r="B7187" s="5" t="s">
        <v>43251</v>
      </c>
      <c r="C7187" s="5" t="s">
        <v>43252</v>
      </c>
      <c r="D7187" s="246">
        <v>38945</v>
      </c>
      <c r="E7187" s="5" t="s">
        <v>43253</v>
      </c>
      <c r="F7187" s="26" t="s">
        <v>23600</v>
      </c>
      <c r="G7187" s="27" t="s">
        <v>924</v>
      </c>
      <c r="H7187" s="28" t="s">
        <v>925</v>
      </c>
      <c r="I7187" s="5" t="s">
        <v>835</v>
      </c>
    </row>
    <row r="7188" spans="1:9" ht="51.75" customHeight="1">
      <c r="A7188" s="5">
        <v>3</v>
      </c>
      <c r="B7188" s="5" t="s">
        <v>43254</v>
      </c>
      <c r="C7188" s="5" t="s">
        <v>43255</v>
      </c>
      <c r="D7188" s="246">
        <v>38945</v>
      </c>
      <c r="E7188" s="5" t="s">
        <v>43256</v>
      </c>
      <c r="F7188" s="26" t="s">
        <v>23600</v>
      </c>
      <c r="G7188" s="27" t="s">
        <v>924</v>
      </c>
      <c r="H7188" s="28" t="s">
        <v>925</v>
      </c>
      <c r="I7188" s="5" t="s">
        <v>835</v>
      </c>
    </row>
    <row r="7189" spans="1:9" ht="51.75" customHeight="1">
      <c r="A7189" s="5">
        <v>4</v>
      </c>
      <c r="B7189" s="5" t="s">
        <v>43257</v>
      </c>
      <c r="C7189" s="5" t="s">
        <v>43258</v>
      </c>
      <c r="D7189" s="246">
        <v>38945</v>
      </c>
      <c r="E7189" s="5" t="s">
        <v>43259</v>
      </c>
      <c r="F7189" s="26" t="s">
        <v>23600</v>
      </c>
      <c r="G7189" s="27" t="s">
        <v>924</v>
      </c>
      <c r="H7189" s="28" t="s">
        <v>925</v>
      </c>
      <c r="I7189" s="5" t="s">
        <v>835</v>
      </c>
    </row>
    <row r="7190" spans="1:9" ht="51.75" customHeight="1">
      <c r="A7190" s="5">
        <v>1</v>
      </c>
      <c r="B7190" s="5" t="s">
        <v>43260</v>
      </c>
      <c r="C7190" s="5" t="s">
        <v>43261</v>
      </c>
      <c r="D7190" s="246">
        <v>38936</v>
      </c>
      <c r="E7190" s="5" t="s">
        <v>43262</v>
      </c>
      <c r="F7190" s="26" t="s">
        <v>23600</v>
      </c>
      <c r="G7190" s="27" t="s">
        <v>852</v>
      </c>
      <c r="H7190" s="28" t="s">
        <v>853</v>
      </c>
      <c r="I7190" s="5" t="s">
        <v>835</v>
      </c>
    </row>
    <row r="7191" spans="1:9" ht="51.75" customHeight="1">
      <c r="A7191" s="5">
        <v>2</v>
      </c>
      <c r="B7191" s="5" t="s">
        <v>43263</v>
      </c>
      <c r="C7191" s="5" t="s">
        <v>43264</v>
      </c>
      <c r="D7191" s="246">
        <v>38936</v>
      </c>
      <c r="E7191" s="5" t="s">
        <v>43264</v>
      </c>
      <c r="F7191" s="26" t="s">
        <v>23600</v>
      </c>
      <c r="G7191" s="27" t="s">
        <v>852</v>
      </c>
      <c r="H7191" s="28" t="s">
        <v>853</v>
      </c>
      <c r="I7191" s="5" t="s">
        <v>835</v>
      </c>
    </row>
    <row r="7192" spans="1:9" ht="53.9" customHeight="1">
      <c r="A7192" s="5">
        <v>3</v>
      </c>
      <c r="B7192" s="5" t="s">
        <v>43265</v>
      </c>
      <c r="C7192" s="5" t="s">
        <v>43266</v>
      </c>
      <c r="D7192" s="246">
        <v>38936</v>
      </c>
      <c r="E7192" s="5" t="s">
        <v>43267</v>
      </c>
      <c r="F7192" s="26" t="s">
        <v>23600</v>
      </c>
      <c r="G7192" s="27" t="s">
        <v>852</v>
      </c>
      <c r="H7192" s="28" t="s">
        <v>853</v>
      </c>
      <c r="I7192" s="5" t="s">
        <v>835</v>
      </c>
    </row>
    <row r="7193" spans="1:9" ht="55.5" customHeight="1">
      <c r="A7193" s="5">
        <v>4</v>
      </c>
      <c r="B7193" s="5" t="s">
        <v>43268</v>
      </c>
      <c r="C7193" s="5" t="s">
        <v>43269</v>
      </c>
      <c r="D7193" s="246">
        <v>38936</v>
      </c>
      <c r="E7193" s="5" t="s">
        <v>43270</v>
      </c>
      <c r="F7193" s="26" t="s">
        <v>23600</v>
      </c>
      <c r="G7193" s="27" t="s">
        <v>852</v>
      </c>
      <c r="H7193" s="28" t="s">
        <v>853</v>
      </c>
      <c r="I7193" s="5" t="s">
        <v>835</v>
      </c>
    </row>
    <row r="7194" spans="1:9" ht="54" customHeight="1">
      <c r="A7194" s="5">
        <v>5</v>
      </c>
      <c r="B7194" s="5" t="s">
        <v>43271</v>
      </c>
      <c r="C7194" s="5" t="s">
        <v>43272</v>
      </c>
      <c r="D7194" s="246">
        <v>38936</v>
      </c>
      <c r="E7194" s="5" t="s">
        <v>43272</v>
      </c>
      <c r="F7194" s="26" t="s">
        <v>23600</v>
      </c>
      <c r="G7194" s="27" t="s">
        <v>852</v>
      </c>
      <c r="H7194" s="28" t="s">
        <v>853</v>
      </c>
      <c r="I7194" s="5" t="s">
        <v>835</v>
      </c>
    </row>
    <row r="7195" spans="1:9" ht="49.4" customHeight="1">
      <c r="A7195" s="5">
        <v>6</v>
      </c>
      <c r="B7195" s="5" t="s">
        <v>43273</v>
      </c>
      <c r="C7195" s="5" t="s">
        <v>43274</v>
      </c>
      <c r="D7195" s="246">
        <v>38936</v>
      </c>
      <c r="E7195" s="5" t="s">
        <v>43275</v>
      </c>
      <c r="F7195" s="26" t="s">
        <v>23600</v>
      </c>
      <c r="G7195" s="27" t="s">
        <v>852</v>
      </c>
      <c r="H7195" s="28" t="s">
        <v>853</v>
      </c>
      <c r="I7195" s="5" t="s">
        <v>835</v>
      </c>
    </row>
    <row r="7196" spans="1:9" ht="49.4" customHeight="1">
      <c r="A7196" s="5" t="s">
        <v>24685</v>
      </c>
      <c r="B7196" s="5" t="s">
        <v>43276</v>
      </c>
      <c r="C7196" s="5" t="s">
        <v>43277</v>
      </c>
      <c r="D7196" s="246">
        <v>41093</v>
      </c>
      <c r="E7196" s="5" t="s">
        <v>43278</v>
      </c>
      <c r="F7196" s="26" t="s">
        <v>23600</v>
      </c>
      <c r="G7196" s="27" t="s">
        <v>7596</v>
      </c>
      <c r="H7196" s="28" t="s">
        <v>7597</v>
      </c>
      <c r="I7196" s="5" t="s">
        <v>835</v>
      </c>
    </row>
    <row r="7197" spans="1:9" ht="49.4" customHeight="1">
      <c r="A7197" s="5" t="s">
        <v>24610</v>
      </c>
      <c r="B7197" s="5" t="s">
        <v>43279</v>
      </c>
      <c r="C7197" s="5" t="s">
        <v>43280</v>
      </c>
      <c r="D7197" s="246">
        <v>42185</v>
      </c>
      <c r="E7197" s="5" t="s">
        <v>43281</v>
      </c>
      <c r="F7197" s="26" t="s">
        <v>43282</v>
      </c>
      <c r="G7197" s="27" t="s">
        <v>7528</v>
      </c>
      <c r="H7197" s="28" t="s">
        <v>7529</v>
      </c>
      <c r="I7197" s="5" t="s">
        <v>835</v>
      </c>
    </row>
    <row r="7198" spans="1:9" ht="49.4" customHeight="1">
      <c r="A7198" s="5" t="s">
        <v>24610</v>
      </c>
      <c r="B7198" s="5" t="s">
        <v>43283</v>
      </c>
      <c r="C7198" s="5" t="s">
        <v>43280</v>
      </c>
      <c r="D7198" s="246">
        <v>42185</v>
      </c>
      <c r="E7198" s="5" t="s">
        <v>43284</v>
      </c>
      <c r="F7198" s="26" t="s">
        <v>23600</v>
      </c>
      <c r="G7198" s="27" t="s">
        <v>7528</v>
      </c>
      <c r="H7198" s="28" t="s">
        <v>7529</v>
      </c>
      <c r="I7198" s="5" t="s">
        <v>835</v>
      </c>
    </row>
    <row r="7199" spans="1:9" ht="49.4" customHeight="1">
      <c r="A7199" s="5" t="s">
        <v>35636</v>
      </c>
      <c r="B7199" s="5" t="s">
        <v>43285</v>
      </c>
      <c r="C7199" s="5" t="s">
        <v>43286</v>
      </c>
      <c r="D7199" s="246">
        <v>41345</v>
      </c>
      <c r="E7199" s="5" t="s">
        <v>43287</v>
      </c>
      <c r="F7199" s="26" t="s">
        <v>23600</v>
      </c>
      <c r="G7199" s="27" t="s">
        <v>7288</v>
      </c>
      <c r="H7199" s="28" t="s">
        <v>7289</v>
      </c>
      <c r="I7199" s="5" t="s">
        <v>835</v>
      </c>
    </row>
    <row r="7200" spans="1:9" ht="49.4" customHeight="1">
      <c r="A7200" s="5" t="s">
        <v>35640</v>
      </c>
      <c r="B7200" s="5" t="s">
        <v>43288</v>
      </c>
      <c r="C7200" s="5" t="s">
        <v>43289</v>
      </c>
      <c r="D7200" s="246">
        <v>41345</v>
      </c>
      <c r="E7200" s="5" t="s">
        <v>43290</v>
      </c>
      <c r="F7200" s="26" t="s">
        <v>23600</v>
      </c>
      <c r="G7200" s="27" t="s">
        <v>7288</v>
      </c>
      <c r="H7200" s="28" t="s">
        <v>7289</v>
      </c>
      <c r="I7200" s="5" t="s">
        <v>835</v>
      </c>
    </row>
    <row r="7201" spans="1:9" ht="49.4" customHeight="1">
      <c r="A7201" s="5" t="s">
        <v>35644</v>
      </c>
      <c r="B7201" s="5" t="s">
        <v>43291</v>
      </c>
      <c r="C7201" s="5" t="s">
        <v>43292</v>
      </c>
      <c r="D7201" s="246">
        <v>41345</v>
      </c>
      <c r="E7201" s="5" t="s">
        <v>43293</v>
      </c>
      <c r="F7201" s="26" t="s">
        <v>23600</v>
      </c>
      <c r="G7201" s="27" t="s">
        <v>7288</v>
      </c>
      <c r="H7201" s="28" t="s">
        <v>7289</v>
      </c>
      <c r="I7201" s="5" t="s">
        <v>835</v>
      </c>
    </row>
    <row r="7202" spans="1:9" ht="49.4" customHeight="1">
      <c r="A7202" s="5" t="s">
        <v>40555</v>
      </c>
      <c r="B7202" s="5" t="s">
        <v>43294</v>
      </c>
      <c r="C7202" s="5" t="s">
        <v>43295</v>
      </c>
      <c r="D7202" s="246">
        <v>41345</v>
      </c>
      <c r="E7202" s="5" t="s">
        <v>43296</v>
      </c>
      <c r="F7202" s="26" t="s">
        <v>23600</v>
      </c>
      <c r="G7202" s="27" t="s">
        <v>7288</v>
      </c>
      <c r="H7202" s="28" t="s">
        <v>7289</v>
      </c>
      <c r="I7202" s="5" t="s">
        <v>835</v>
      </c>
    </row>
    <row r="7203" spans="1:9" ht="49.4" customHeight="1">
      <c r="A7203" s="5" t="s">
        <v>28077</v>
      </c>
      <c r="B7203" s="5" t="s">
        <v>43297</v>
      </c>
      <c r="C7203" s="5" t="s">
        <v>43298</v>
      </c>
      <c r="D7203" s="246">
        <v>41345</v>
      </c>
      <c r="E7203" s="5" t="s">
        <v>43299</v>
      </c>
      <c r="F7203" s="26" t="s">
        <v>23600</v>
      </c>
      <c r="G7203" s="27" t="s">
        <v>7288</v>
      </c>
      <c r="H7203" s="28" t="s">
        <v>7289</v>
      </c>
      <c r="I7203" s="5" t="s">
        <v>835</v>
      </c>
    </row>
    <row r="7204" spans="1:9" ht="49.4" customHeight="1">
      <c r="A7204" s="5" t="s">
        <v>37302</v>
      </c>
      <c r="B7204" s="5" t="s">
        <v>43300</v>
      </c>
      <c r="C7204" s="5" t="s">
        <v>43301</v>
      </c>
      <c r="D7204" s="246">
        <v>41387</v>
      </c>
      <c r="E7204" s="5" t="s">
        <v>43302</v>
      </c>
      <c r="F7204" s="26" t="s">
        <v>23600</v>
      </c>
      <c r="G7204" s="27" t="s">
        <v>7173</v>
      </c>
      <c r="H7204" s="28" t="s">
        <v>7174</v>
      </c>
      <c r="I7204" s="5" t="s">
        <v>835</v>
      </c>
    </row>
    <row r="7205" spans="1:9" ht="49.4" customHeight="1">
      <c r="A7205" s="5" t="s">
        <v>23952</v>
      </c>
      <c r="B7205" s="5" t="s">
        <v>43303</v>
      </c>
      <c r="C7205" s="5" t="s">
        <v>43304</v>
      </c>
      <c r="D7205" s="246">
        <v>41047</v>
      </c>
      <c r="E7205" s="5" t="s">
        <v>43305</v>
      </c>
      <c r="F7205" s="26" t="s">
        <v>23600</v>
      </c>
      <c r="G7205" s="27" t="s">
        <v>7199</v>
      </c>
      <c r="H7205" s="28" t="s">
        <v>7200</v>
      </c>
      <c r="I7205" s="5" t="s">
        <v>835</v>
      </c>
    </row>
    <row r="7206" spans="1:9" ht="49.4" customHeight="1">
      <c r="A7206" s="5" t="s">
        <v>24681</v>
      </c>
      <c r="B7206" s="5" t="s">
        <v>43306</v>
      </c>
      <c r="C7206" s="5" t="s">
        <v>43307</v>
      </c>
      <c r="D7206" s="246">
        <v>41047</v>
      </c>
      <c r="E7206" s="5" t="s">
        <v>43308</v>
      </c>
      <c r="F7206" s="26" t="s">
        <v>23600</v>
      </c>
      <c r="G7206" s="27" t="s">
        <v>7199</v>
      </c>
      <c r="H7206" s="28" t="s">
        <v>7200</v>
      </c>
      <c r="I7206" s="5" t="s">
        <v>835</v>
      </c>
    </row>
    <row r="7207" spans="1:9" ht="49.4" customHeight="1">
      <c r="A7207" s="5" t="s">
        <v>24530</v>
      </c>
      <c r="B7207" s="5" t="s">
        <v>43309</v>
      </c>
      <c r="C7207" s="5" t="s">
        <v>43310</v>
      </c>
      <c r="D7207" s="246">
        <v>41638</v>
      </c>
      <c r="E7207" s="5" t="s">
        <v>43311</v>
      </c>
      <c r="F7207" s="26" t="s">
        <v>23600</v>
      </c>
      <c r="G7207" s="27" t="s">
        <v>7125</v>
      </c>
      <c r="H7207" s="28" t="s">
        <v>7126</v>
      </c>
      <c r="I7207" s="5" t="s">
        <v>835</v>
      </c>
    </row>
    <row r="7208" spans="1:9" ht="49.4" customHeight="1">
      <c r="A7208" s="5" t="s">
        <v>27836</v>
      </c>
      <c r="B7208" s="5" t="s">
        <v>43312</v>
      </c>
      <c r="C7208" s="5" t="s">
        <v>43313</v>
      </c>
      <c r="D7208" s="246">
        <v>41386</v>
      </c>
      <c r="E7208" s="5" t="s">
        <v>43314</v>
      </c>
      <c r="F7208" s="26" t="s">
        <v>23600</v>
      </c>
      <c r="G7208" s="27" t="s">
        <v>6853</v>
      </c>
      <c r="H7208" s="28" t="s">
        <v>6854</v>
      </c>
      <c r="I7208" s="5" t="s">
        <v>835</v>
      </c>
    </row>
    <row r="7209" spans="1:9" ht="37.4" customHeight="1">
      <c r="A7209" s="5" t="s">
        <v>24697</v>
      </c>
      <c r="B7209" s="5" t="s">
        <v>43315</v>
      </c>
      <c r="C7209" s="5" t="s">
        <v>43316</v>
      </c>
      <c r="D7209" s="246">
        <v>41180</v>
      </c>
      <c r="E7209" s="5" t="s">
        <v>43317</v>
      </c>
      <c r="F7209" s="26" t="s">
        <v>23600</v>
      </c>
      <c r="G7209" s="27" t="s">
        <v>6543</v>
      </c>
      <c r="H7209" s="28" t="s">
        <v>6544</v>
      </c>
      <c r="I7209" s="5" t="s">
        <v>835</v>
      </c>
    </row>
    <row r="7210" spans="1:9" ht="32.9" customHeight="1">
      <c r="A7210" s="5" t="s">
        <v>30098</v>
      </c>
      <c r="B7210" s="5" t="s">
        <v>43318</v>
      </c>
      <c r="C7210" s="5" t="s">
        <v>43319</v>
      </c>
      <c r="D7210" s="246">
        <v>41180</v>
      </c>
      <c r="E7210" s="5" t="s">
        <v>43320</v>
      </c>
      <c r="F7210" s="26" t="s">
        <v>23600</v>
      </c>
      <c r="G7210" s="27" t="s">
        <v>6543</v>
      </c>
      <c r="H7210" s="28" t="s">
        <v>6544</v>
      </c>
      <c r="I7210" s="5" t="s">
        <v>835</v>
      </c>
    </row>
    <row r="7211" spans="1:9" ht="43.5" customHeight="1">
      <c r="A7211" s="5">
        <v>1</v>
      </c>
      <c r="B7211" s="5" t="s">
        <v>43321</v>
      </c>
      <c r="C7211" s="5" t="s">
        <v>43322</v>
      </c>
      <c r="D7211" s="246">
        <v>41012</v>
      </c>
      <c r="E7211" s="5" t="s">
        <v>43323</v>
      </c>
      <c r="F7211" s="26" t="s">
        <v>23600</v>
      </c>
      <c r="G7211" s="27" t="s">
        <v>5911</v>
      </c>
      <c r="H7211" s="28" t="s">
        <v>5912</v>
      </c>
      <c r="I7211" s="5" t="s">
        <v>835</v>
      </c>
    </row>
    <row r="7212" spans="1:9" ht="60.75" customHeight="1">
      <c r="A7212" s="5" t="s">
        <v>24693</v>
      </c>
      <c r="B7212" s="5" t="s">
        <v>43324</v>
      </c>
      <c r="C7212" s="5" t="s">
        <v>43325</v>
      </c>
      <c r="D7212" s="246">
        <v>41261</v>
      </c>
      <c r="E7212" s="5" t="s">
        <v>43326</v>
      </c>
      <c r="F7212" s="26" t="s">
        <v>23600</v>
      </c>
      <c r="G7212" s="27" t="s">
        <v>6488</v>
      </c>
      <c r="H7212" s="28" t="s">
        <v>6489</v>
      </c>
      <c r="I7212" s="5" t="s">
        <v>835</v>
      </c>
    </row>
    <row r="7213" spans="1:9" ht="60.75" customHeight="1">
      <c r="A7213" s="5" t="s">
        <v>24993</v>
      </c>
      <c r="B7213" s="5" t="s">
        <v>43327</v>
      </c>
      <c r="C7213" s="5" t="s">
        <v>43328</v>
      </c>
      <c r="D7213" s="246">
        <v>41180</v>
      </c>
      <c r="E7213" s="5" t="s">
        <v>43329</v>
      </c>
      <c r="F7213" s="26" t="s">
        <v>23600</v>
      </c>
      <c r="G7213" s="27" t="s">
        <v>6413</v>
      </c>
      <c r="H7213" s="28" t="s">
        <v>6414</v>
      </c>
      <c r="I7213" s="5" t="s">
        <v>835</v>
      </c>
    </row>
    <row r="7214" spans="1:9" ht="46.4" customHeight="1">
      <c r="A7214" s="5">
        <v>1</v>
      </c>
      <c r="B7214" s="5" t="s">
        <v>43330</v>
      </c>
      <c r="C7214" s="5" t="s">
        <v>43331</v>
      </c>
      <c r="D7214" s="246">
        <v>41012</v>
      </c>
      <c r="E7214" s="5" t="s">
        <v>43332</v>
      </c>
      <c r="F7214" s="26" t="s">
        <v>23600</v>
      </c>
      <c r="G7214" s="27" t="s">
        <v>6234</v>
      </c>
      <c r="H7214" s="28" t="s">
        <v>6235</v>
      </c>
      <c r="I7214" s="5" t="s">
        <v>835</v>
      </c>
    </row>
    <row r="7215" spans="1:9" ht="64.5" customHeight="1">
      <c r="A7215" s="5">
        <v>1</v>
      </c>
      <c r="B7215" s="5" t="s">
        <v>43333</v>
      </c>
      <c r="C7215" s="5" t="s">
        <v>43334</v>
      </c>
      <c r="D7215" s="246">
        <v>40994</v>
      </c>
      <c r="E7215" s="5" t="s">
        <v>43335</v>
      </c>
      <c r="F7215" s="26" t="s">
        <v>23600</v>
      </c>
      <c r="G7215" s="27" t="s">
        <v>6059</v>
      </c>
      <c r="H7215" s="28" t="s">
        <v>6060</v>
      </c>
      <c r="I7215" s="5" t="s">
        <v>835</v>
      </c>
    </row>
    <row r="7216" spans="1:9" ht="64.5" customHeight="1">
      <c r="A7216" s="5" t="s">
        <v>30930</v>
      </c>
      <c r="B7216" s="5" t="s">
        <v>43336</v>
      </c>
      <c r="C7216" s="5" t="s">
        <v>43337</v>
      </c>
      <c r="D7216" s="246">
        <v>41065</v>
      </c>
      <c r="E7216" s="5" t="s">
        <v>43338</v>
      </c>
      <c r="F7216" s="26" t="s">
        <v>23600</v>
      </c>
      <c r="G7216" s="27" t="s">
        <v>6043</v>
      </c>
      <c r="H7216" s="28" t="s">
        <v>6044</v>
      </c>
      <c r="I7216" s="5" t="s">
        <v>835</v>
      </c>
    </row>
    <row r="7217" spans="1:9" ht="55.4" customHeight="1">
      <c r="A7217" s="5" t="s">
        <v>25990</v>
      </c>
      <c r="B7217" s="5" t="s">
        <v>43339</v>
      </c>
      <c r="C7217" s="5" t="s">
        <v>43340</v>
      </c>
      <c r="D7217" s="246">
        <v>40697</v>
      </c>
      <c r="E7217" s="5" t="s">
        <v>43341</v>
      </c>
      <c r="F7217" s="26" t="s">
        <v>23600</v>
      </c>
      <c r="G7217" s="27" t="s">
        <v>6032</v>
      </c>
      <c r="H7217" s="28" t="s">
        <v>6033</v>
      </c>
      <c r="I7217" s="5" t="s">
        <v>835</v>
      </c>
    </row>
    <row r="7218" spans="1:9" ht="48" customHeight="1">
      <c r="A7218" s="5" t="s">
        <v>23612</v>
      </c>
      <c r="B7218" s="5" t="s">
        <v>43342</v>
      </c>
      <c r="C7218" s="5" t="s">
        <v>43343</v>
      </c>
      <c r="D7218" s="246">
        <v>40697</v>
      </c>
      <c r="E7218" s="5" t="s">
        <v>43344</v>
      </c>
      <c r="F7218" s="26" t="s">
        <v>23600</v>
      </c>
      <c r="G7218" s="27" t="s">
        <v>6032</v>
      </c>
      <c r="H7218" s="28" t="s">
        <v>6033</v>
      </c>
      <c r="I7218" s="5" t="s">
        <v>835</v>
      </c>
    </row>
    <row r="7219" spans="1:9" ht="48" customHeight="1">
      <c r="A7219" s="5" t="s">
        <v>23946</v>
      </c>
      <c r="B7219" s="5" t="s">
        <v>43345</v>
      </c>
      <c r="C7219" s="5" t="s">
        <v>43346</v>
      </c>
      <c r="D7219" s="246">
        <v>40697</v>
      </c>
      <c r="E7219" s="5" t="s">
        <v>43347</v>
      </c>
      <c r="F7219" s="26" t="s">
        <v>23600</v>
      </c>
      <c r="G7219" s="27" t="s">
        <v>6032</v>
      </c>
      <c r="H7219" s="28" t="s">
        <v>6033</v>
      </c>
      <c r="I7219" s="5" t="s">
        <v>835</v>
      </c>
    </row>
    <row r="7220" spans="1:9" ht="40.4" customHeight="1">
      <c r="A7220" s="5" t="s">
        <v>34092</v>
      </c>
      <c r="B7220" s="5" t="s">
        <v>43348</v>
      </c>
      <c r="C7220" s="5" t="s">
        <v>43349</v>
      </c>
      <c r="D7220" s="246">
        <v>40697</v>
      </c>
      <c r="E7220" s="5" t="s">
        <v>43350</v>
      </c>
      <c r="F7220" s="26" t="s">
        <v>23600</v>
      </c>
      <c r="G7220" s="27" t="s">
        <v>6032</v>
      </c>
      <c r="H7220" s="44" t="s">
        <v>6033</v>
      </c>
      <c r="I7220" s="45" t="s">
        <v>835</v>
      </c>
    </row>
    <row r="7221" spans="1:9" ht="40.4" customHeight="1">
      <c r="A7221" s="5" t="s">
        <v>26606</v>
      </c>
      <c r="B7221" s="5" t="s">
        <v>43351</v>
      </c>
      <c r="C7221" s="5" t="s">
        <v>43352</v>
      </c>
      <c r="D7221" s="246">
        <v>40697</v>
      </c>
      <c r="E7221" s="5" t="s">
        <v>43353</v>
      </c>
      <c r="F7221" s="26" t="s">
        <v>23600</v>
      </c>
      <c r="G7221" s="27" t="s">
        <v>6032</v>
      </c>
      <c r="H7221" s="44" t="s">
        <v>6033</v>
      </c>
      <c r="I7221" s="45" t="s">
        <v>835</v>
      </c>
    </row>
    <row r="7222" spans="1:9" ht="40.4" customHeight="1">
      <c r="A7222" s="5" t="s">
        <v>23764</v>
      </c>
      <c r="B7222" s="5" t="s">
        <v>43354</v>
      </c>
      <c r="C7222" s="5" t="s">
        <v>43355</v>
      </c>
      <c r="D7222" s="246">
        <v>40697</v>
      </c>
      <c r="E7222" s="5" t="s">
        <v>43356</v>
      </c>
      <c r="F7222" s="26" t="s">
        <v>23600</v>
      </c>
      <c r="G7222" s="27" t="s">
        <v>6032</v>
      </c>
      <c r="H7222" s="44" t="s">
        <v>6033</v>
      </c>
      <c r="I7222" s="45" t="s">
        <v>835</v>
      </c>
    </row>
    <row r="7223" spans="1:9" ht="40.4" customHeight="1">
      <c r="A7223" s="5" t="s">
        <v>23888</v>
      </c>
      <c r="B7223" s="5" t="s">
        <v>43357</v>
      </c>
      <c r="C7223" s="5" t="s">
        <v>43358</v>
      </c>
      <c r="D7223" s="246">
        <v>41353</v>
      </c>
      <c r="E7223" s="5" t="s">
        <v>43359</v>
      </c>
      <c r="F7223" s="26" t="s">
        <v>23600</v>
      </c>
      <c r="G7223" s="27" t="s">
        <v>5885</v>
      </c>
      <c r="H7223" s="44" t="s">
        <v>5886</v>
      </c>
      <c r="I7223" s="45" t="s">
        <v>835</v>
      </c>
    </row>
    <row r="7224" spans="1:9" ht="40.4" customHeight="1">
      <c r="A7224" s="5" t="s">
        <v>24963</v>
      </c>
      <c r="B7224" s="5" t="s">
        <v>43360</v>
      </c>
      <c r="C7224" s="5" t="s">
        <v>43361</v>
      </c>
      <c r="D7224" s="246">
        <v>40627</v>
      </c>
      <c r="E7224" s="5" t="s">
        <v>43362</v>
      </c>
      <c r="F7224" s="26" t="s">
        <v>23600</v>
      </c>
      <c r="G7224" s="27" t="s">
        <v>5880</v>
      </c>
      <c r="H7224" s="44" t="s">
        <v>5881</v>
      </c>
      <c r="I7224" s="45" t="s">
        <v>835</v>
      </c>
    </row>
    <row r="7225" spans="1:9" ht="40.4" customHeight="1">
      <c r="A7225" s="5">
        <v>1</v>
      </c>
      <c r="B7225" s="5" t="s">
        <v>43363</v>
      </c>
      <c r="C7225" s="5" t="s">
        <v>43364</v>
      </c>
      <c r="D7225" s="246">
        <v>41012</v>
      </c>
      <c r="E7225" s="5" t="s">
        <v>43365</v>
      </c>
      <c r="F7225" s="26" t="s">
        <v>23600</v>
      </c>
      <c r="G7225" s="27" t="s">
        <v>5836</v>
      </c>
      <c r="H7225" s="44" t="s">
        <v>5837</v>
      </c>
      <c r="I7225" s="45" t="s">
        <v>835</v>
      </c>
    </row>
    <row r="7226" spans="1:9" ht="40.4" customHeight="1">
      <c r="A7226" s="5">
        <v>2</v>
      </c>
      <c r="B7226" s="5" t="s">
        <v>43366</v>
      </c>
      <c r="C7226" s="5" t="s">
        <v>43367</v>
      </c>
      <c r="D7226" s="246">
        <v>41012</v>
      </c>
      <c r="E7226" s="5" t="s">
        <v>43368</v>
      </c>
      <c r="F7226" s="26" t="s">
        <v>23600</v>
      </c>
      <c r="G7226" s="27" t="s">
        <v>5836</v>
      </c>
      <c r="H7226" s="44" t="s">
        <v>5837</v>
      </c>
      <c r="I7226" s="45" t="s">
        <v>835</v>
      </c>
    </row>
    <row r="7227" spans="1:9" ht="33" customHeight="1">
      <c r="A7227" s="5">
        <v>1</v>
      </c>
      <c r="B7227" s="5" t="s">
        <v>43369</v>
      </c>
      <c r="C7227" s="5" t="s">
        <v>43370</v>
      </c>
      <c r="D7227" s="246">
        <v>40661</v>
      </c>
      <c r="E7227" s="5" t="s">
        <v>43371</v>
      </c>
      <c r="F7227" s="26" t="s">
        <v>23600</v>
      </c>
      <c r="G7227" s="27" t="s">
        <v>4587</v>
      </c>
      <c r="H7227" s="28" t="s">
        <v>4588</v>
      </c>
      <c r="I7227" s="5" t="s">
        <v>835</v>
      </c>
    </row>
    <row r="7228" spans="1:9" ht="26.9" customHeight="1">
      <c r="A7228" s="5" t="s">
        <v>24689</v>
      </c>
      <c r="B7228" s="5" t="s">
        <v>43372</v>
      </c>
      <c r="C7228" s="5" t="s">
        <v>43373</v>
      </c>
      <c r="D7228" s="246">
        <v>41261</v>
      </c>
      <c r="E7228" s="5" t="s">
        <v>43326</v>
      </c>
      <c r="F7228" s="26" t="s">
        <v>23600</v>
      </c>
      <c r="G7228" s="27" t="s">
        <v>5571</v>
      </c>
      <c r="H7228" s="28" t="s">
        <v>5572</v>
      </c>
      <c r="I7228" s="5" t="s">
        <v>835</v>
      </c>
    </row>
    <row r="7229" spans="1:9" ht="26.9" customHeight="1">
      <c r="A7229" s="5" t="s">
        <v>24685</v>
      </c>
      <c r="B7229" s="5" t="s">
        <v>43374</v>
      </c>
      <c r="C7229" s="5" t="s">
        <v>43373</v>
      </c>
      <c r="D7229" s="246">
        <v>41261</v>
      </c>
      <c r="E7229" s="5" t="s">
        <v>43326</v>
      </c>
      <c r="F7229" s="26" t="s">
        <v>23600</v>
      </c>
      <c r="G7229" s="27" t="s">
        <v>5559</v>
      </c>
      <c r="H7229" s="28" t="s">
        <v>5560</v>
      </c>
      <c r="I7229" s="5" t="s">
        <v>835</v>
      </c>
    </row>
    <row r="7230" spans="1:9" ht="26.9" customHeight="1">
      <c r="A7230" s="5">
        <v>1</v>
      </c>
      <c r="B7230" s="5" t="s">
        <v>43375</v>
      </c>
      <c r="C7230" s="5" t="s">
        <v>43376</v>
      </c>
      <c r="D7230" s="246">
        <v>41012</v>
      </c>
      <c r="E7230" s="5" t="s">
        <v>43377</v>
      </c>
      <c r="F7230" s="26" t="s">
        <v>23600</v>
      </c>
      <c r="G7230" s="27" t="s">
        <v>5378</v>
      </c>
      <c r="H7230" s="28" t="s">
        <v>5379</v>
      </c>
      <c r="I7230" s="5" t="s">
        <v>835</v>
      </c>
    </row>
    <row r="7231" spans="1:9" ht="26.9" customHeight="1">
      <c r="A7231" s="5">
        <v>1</v>
      </c>
      <c r="B7231" s="5" t="s">
        <v>43378</v>
      </c>
      <c r="C7231" s="5" t="s">
        <v>43379</v>
      </c>
      <c r="D7231" s="246">
        <v>41012</v>
      </c>
      <c r="E7231" s="5" t="s">
        <v>43380</v>
      </c>
      <c r="F7231" s="26" t="s">
        <v>23600</v>
      </c>
      <c r="G7231" s="27" t="s">
        <v>5382</v>
      </c>
      <c r="H7231" s="28" t="s">
        <v>5383</v>
      </c>
      <c r="I7231" s="5" t="s">
        <v>835</v>
      </c>
    </row>
    <row r="7232" spans="1:9" ht="26.9" customHeight="1">
      <c r="A7232" s="5">
        <v>1</v>
      </c>
      <c r="B7232" s="5" t="s">
        <v>43381</v>
      </c>
      <c r="C7232" s="5" t="s">
        <v>43382</v>
      </c>
      <c r="D7232" s="246">
        <v>40917</v>
      </c>
      <c r="E7232" s="5" t="s">
        <v>43383</v>
      </c>
      <c r="F7232" s="26" t="s">
        <v>23600</v>
      </c>
      <c r="G7232" s="27" t="s">
        <v>5405</v>
      </c>
      <c r="H7232" s="28" t="s">
        <v>5406</v>
      </c>
      <c r="I7232" s="5" t="s">
        <v>835</v>
      </c>
    </row>
    <row r="7233" spans="1:9" ht="26.9" customHeight="1">
      <c r="A7233" s="5">
        <v>2</v>
      </c>
      <c r="B7233" s="5" t="s">
        <v>43384</v>
      </c>
      <c r="C7233" s="5" t="s">
        <v>43385</v>
      </c>
      <c r="D7233" s="246">
        <v>40917</v>
      </c>
      <c r="E7233" s="5" t="s">
        <v>43386</v>
      </c>
      <c r="F7233" s="26" t="s">
        <v>23600</v>
      </c>
      <c r="G7233" s="27" t="s">
        <v>5405</v>
      </c>
      <c r="H7233" s="28" t="s">
        <v>5406</v>
      </c>
      <c r="I7233" s="5" t="s">
        <v>835</v>
      </c>
    </row>
    <row r="7234" spans="1:9" ht="32.9" customHeight="1">
      <c r="A7234" s="5">
        <v>1</v>
      </c>
      <c r="B7234" s="5" t="s">
        <v>43387</v>
      </c>
      <c r="C7234" s="5" t="s">
        <v>43388</v>
      </c>
      <c r="D7234" s="246">
        <v>40994</v>
      </c>
      <c r="E7234" s="5" t="s">
        <v>43389</v>
      </c>
      <c r="F7234" s="26" t="s">
        <v>23600</v>
      </c>
      <c r="G7234" s="27" t="s">
        <v>5374</v>
      </c>
      <c r="H7234" s="28" t="s">
        <v>5375</v>
      </c>
      <c r="I7234" s="5" t="s">
        <v>835</v>
      </c>
    </row>
    <row r="7235" spans="1:9" ht="32.9" customHeight="1">
      <c r="A7235" s="5">
        <v>1</v>
      </c>
      <c r="B7235" s="5" t="s">
        <v>43390</v>
      </c>
      <c r="C7235" s="5" t="s">
        <v>43391</v>
      </c>
      <c r="D7235" s="246">
        <v>40994</v>
      </c>
      <c r="E7235" s="5" t="s">
        <v>43392</v>
      </c>
      <c r="F7235" s="26" t="s">
        <v>23600</v>
      </c>
      <c r="G7235" s="27" t="s">
        <v>5244</v>
      </c>
      <c r="H7235" s="28" t="s">
        <v>5245</v>
      </c>
      <c r="I7235" s="5" t="s">
        <v>835</v>
      </c>
    </row>
    <row r="7236" spans="1:9" ht="32.9" customHeight="1">
      <c r="A7236" s="5">
        <v>1</v>
      </c>
      <c r="B7236" s="5" t="s">
        <v>43393</v>
      </c>
      <c r="C7236" s="5" t="s">
        <v>43394</v>
      </c>
      <c r="D7236" s="246">
        <v>40914</v>
      </c>
      <c r="E7236" s="5" t="s">
        <v>43395</v>
      </c>
      <c r="F7236" s="26" t="s">
        <v>23600</v>
      </c>
      <c r="G7236" s="27" t="s">
        <v>5219</v>
      </c>
      <c r="H7236" s="28" t="s">
        <v>5220</v>
      </c>
      <c r="I7236" s="5" t="s">
        <v>835</v>
      </c>
    </row>
    <row r="7237" spans="1:9" ht="31.4" customHeight="1">
      <c r="A7237" s="5">
        <v>1</v>
      </c>
      <c r="B7237" s="5" t="s">
        <v>43396</v>
      </c>
      <c r="C7237" s="5" t="s">
        <v>43397</v>
      </c>
      <c r="D7237" s="246">
        <v>40798</v>
      </c>
      <c r="E7237" s="5" t="s">
        <v>43398</v>
      </c>
      <c r="F7237" s="26" t="s">
        <v>23600</v>
      </c>
      <c r="G7237" s="27" t="s">
        <v>5191</v>
      </c>
      <c r="H7237" s="28" t="s">
        <v>5192</v>
      </c>
      <c r="I7237" s="5" t="s">
        <v>835</v>
      </c>
    </row>
    <row r="7238" spans="1:9" ht="31.4" customHeight="1">
      <c r="A7238" s="5">
        <v>1</v>
      </c>
      <c r="B7238" s="5" t="s">
        <v>43399</v>
      </c>
      <c r="C7238" s="5" t="s">
        <v>43400</v>
      </c>
      <c r="D7238" s="246">
        <v>40994</v>
      </c>
      <c r="E7238" s="5" t="s">
        <v>43401</v>
      </c>
      <c r="F7238" s="26" t="s">
        <v>23600</v>
      </c>
      <c r="G7238" s="27" t="s">
        <v>5131</v>
      </c>
      <c r="H7238" s="28" t="s">
        <v>5132</v>
      </c>
      <c r="I7238" s="5" t="s">
        <v>835</v>
      </c>
    </row>
    <row r="7239" spans="1:9" ht="35.9" customHeight="1">
      <c r="A7239" s="5">
        <v>2</v>
      </c>
      <c r="B7239" s="5" t="s">
        <v>43402</v>
      </c>
      <c r="C7239" s="5" t="s">
        <v>43403</v>
      </c>
      <c r="D7239" s="246">
        <v>40994</v>
      </c>
      <c r="E7239" s="5" t="s">
        <v>43404</v>
      </c>
      <c r="F7239" s="26" t="s">
        <v>23600</v>
      </c>
      <c r="G7239" s="27" t="s">
        <v>5131</v>
      </c>
      <c r="H7239" s="28" t="s">
        <v>5132</v>
      </c>
      <c r="I7239" s="5" t="s">
        <v>835</v>
      </c>
    </row>
    <row r="7240" spans="1:9" ht="35.9" customHeight="1">
      <c r="A7240" s="5">
        <v>1</v>
      </c>
      <c r="B7240" s="5" t="s">
        <v>43405</v>
      </c>
      <c r="C7240" s="5" t="s">
        <v>43406</v>
      </c>
      <c r="D7240" s="246">
        <v>40798</v>
      </c>
      <c r="E7240" s="5" t="s">
        <v>43407</v>
      </c>
      <c r="F7240" s="26" t="s">
        <v>23600</v>
      </c>
      <c r="G7240" s="27" t="s">
        <v>5113</v>
      </c>
      <c r="H7240" s="28" t="s">
        <v>5114</v>
      </c>
      <c r="I7240" s="5" t="s">
        <v>835</v>
      </c>
    </row>
    <row r="7241" spans="1:9" ht="20.25" customHeight="1">
      <c r="A7241" s="5">
        <v>2</v>
      </c>
      <c r="B7241" s="5" t="s">
        <v>43408</v>
      </c>
      <c r="C7241" s="5" t="s">
        <v>43409</v>
      </c>
      <c r="D7241" s="246">
        <v>40798</v>
      </c>
      <c r="E7241" s="5" t="s">
        <v>43410</v>
      </c>
      <c r="F7241" s="26" t="s">
        <v>23600</v>
      </c>
      <c r="G7241" s="27" t="s">
        <v>5113</v>
      </c>
      <c r="H7241" s="28" t="s">
        <v>5114</v>
      </c>
      <c r="I7241" s="5" t="s">
        <v>835</v>
      </c>
    </row>
    <row r="7242" spans="1:9" ht="20.25" customHeight="1">
      <c r="A7242" s="5">
        <v>3</v>
      </c>
      <c r="B7242" s="5" t="s">
        <v>43411</v>
      </c>
      <c r="C7242" s="5" t="s">
        <v>43412</v>
      </c>
      <c r="D7242" s="246">
        <v>40798</v>
      </c>
      <c r="E7242" s="5" t="s">
        <v>43413</v>
      </c>
      <c r="F7242" s="26" t="s">
        <v>23600</v>
      </c>
      <c r="G7242" s="27" t="s">
        <v>5113</v>
      </c>
      <c r="H7242" s="28" t="s">
        <v>5114</v>
      </c>
      <c r="I7242" s="5" t="s">
        <v>835</v>
      </c>
    </row>
    <row r="7243" spans="1:9" ht="51" customHeight="1">
      <c r="A7243" s="5">
        <v>1</v>
      </c>
      <c r="B7243" s="5" t="s">
        <v>43414</v>
      </c>
      <c r="C7243" s="5" t="s">
        <v>43415</v>
      </c>
      <c r="D7243" s="246">
        <v>40661</v>
      </c>
      <c r="E7243" s="5" t="s">
        <v>43416</v>
      </c>
      <c r="F7243" s="26" t="s">
        <v>23600</v>
      </c>
      <c r="G7243" s="27" t="s">
        <v>4848</v>
      </c>
      <c r="H7243" s="28" t="s">
        <v>4849</v>
      </c>
      <c r="I7243" s="5" t="s">
        <v>835</v>
      </c>
    </row>
    <row r="7244" spans="1:9" ht="34.4" customHeight="1">
      <c r="A7244" s="5" t="s">
        <v>24599</v>
      </c>
      <c r="B7244" s="5" t="s">
        <v>43417</v>
      </c>
      <c r="C7244" s="5" t="s">
        <v>43418</v>
      </c>
      <c r="D7244" s="246">
        <v>41110</v>
      </c>
      <c r="E7244" s="5" t="s">
        <v>43419</v>
      </c>
      <c r="F7244" s="26" t="s">
        <v>43282</v>
      </c>
      <c r="G7244" s="27" t="s">
        <v>7813</v>
      </c>
      <c r="H7244" s="28" t="s">
        <v>7814</v>
      </c>
      <c r="I7244" s="5" t="s">
        <v>835</v>
      </c>
    </row>
    <row r="7245" spans="1:9" ht="31.4" customHeight="1">
      <c r="A7245" s="5" t="s">
        <v>24599</v>
      </c>
      <c r="B7245" s="5" t="s">
        <v>43420</v>
      </c>
      <c r="C7245" s="5" t="s">
        <v>43418</v>
      </c>
      <c r="D7245" s="246">
        <v>41110</v>
      </c>
      <c r="E7245" s="5" t="s">
        <v>43421</v>
      </c>
      <c r="F7245" s="26" t="s">
        <v>23600</v>
      </c>
      <c r="G7245" s="27" t="s">
        <v>7813</v>
      </c>
      <c r="H7245" s="28" t="s">
        <v>7814</v>
      </c>
      <c r="I7245" s="5" t="s">
        <v>835</v>
      </c>
    </row>
    <row r="7246" spans="1:9" ht="31.4" customHeight="1">
      <c r="A7246" s="5" t="s">
        <v>23752</v>
      </c>
      <c r="B7246" s="5" t="s">
        <v>43422</v>
      </c>
      <c r="C7246" s="5" t="s">
        <v>43423</v>
      </c>
      <c r="D7246" s="246">
        <v>42075</v>
      </c>
      <c r="E7246" s="5" t="s">
        <v>43424</v>
      </c>
      <c r="F7246" s="26" t="s">
        <v>43282</v>
      </c>
      <c r="G7246" s="27" t="s">
        <v>7813</v>
      </c>
      <c r="H7246" s="28" t="s">
        <v>7814</v>
      </c>
      <c r="I7246" s="5" t="s">
        <v>835</v>
      </c>
    </row>
    <row r="7247" spans="1:9" ht="31.4" customHeight="1">
      <c r="A7247" s="5" t="s">
        <v>23752</v>
      </c>
      <c r="B7247" s="5" t="s">
        <v>43425</v>
      </c>
      <c r="C7247" s="5" t="s">
        <v>43423</v>
      </c>
      <c r="D7247" s="246">
        <v>42075</v>
      </c>
      <c r="E7247" s="5" t="s">
        <v>43426</v>
      </c>
      <c r="F7247" s="26" t="s">
        <v>23600</v>
      </c>
      <c r="G7247" s="27" t="s">
        <v>7813</v>
      </c>
      <c r="H7247" s="28" t="s">
        <v>7814</v>
      </c>
      <c r="I7247" s="5" t="s">
        <v>835</v>
      </c>
    </row>
    <row r="7248" spans="1:9" ht="31.4" customHeight="1">
      <c r="A7248" s="5" t="s">
        <v>24606</v>
      </c>
      <c r="B7248" s="5" t="s">
        <v>43427</v>
      </c>
      <c r="C7248" s="5" t="s">
        <v>43428</v>
      </c>
      <c r="D7248" s="246">
        <v>42075</v>
      </c>
      <c r="E7248" s="5" t="s">
        <v>43429</v>
      </c>
      <c r="F7248" s="26" t="s">
        <v>43282</v>
      </c>
      <c r="G7248" s="27" t="s">
        <v>7813</v>
      </c>
      <c r="H7248" s="28" t="s">
        <v>7814</v>
      </c>
      <c r="I7248" s="5" t="s">
        <v>835</v>
      </c>
    </row>
    <row r="7249" spans="1:9" ht="32.9" customHeight="1">
      <c r="A7249" s="5" t="s">
        <v>24606</v>
      </c>
      <c r="B7249" s="5" t="s">
        <v>43430</v>
      </c>
      <c r="C7249" s="5" t="s">
        <v>43428</v>
      </c>
      <c r="D7249" s="246">
        <v>42075</v>
      </c>
      <c r="E7249" s="5" t="s">
        <v>43431</v>
      </c>
      <c r="F7249" s="26" t="s">
        <v>23600</v>
      </c>
      <c r="G7249" s="27" t="s">
        <v>7813</v>
      </c>
      <c r="H7249" s="28" t="s">
        <v>7814</v>
      </c>
      <c r="I7249" s="5" t="s">
        <v>835</v>
      </c>
    </row>
    <row r="7250" spans="1:9" ht="27.75" customHeight="1">
      <c r="A7250" s="5" t="s">
        <v>25070</v>
      </c>
      <c r="B7250" s="5" t="s">
        <v>43432</v>
      </c>
      <c r="C7250" s="5" t="s">
        <v>43433</v>
      </c>
      <c r="D7250" s="246">
        <v>41149</v>
      </c>
      <c r="E7250" s="5" t="s">
        <v>43434</v>
      </c>
      <c r="F7250" s="26" t="s">
        <v>23600</v>
      </c>
      <c r="G7250" s="27" t="s">
        <v>7755</v>
      </c>
      <c r="H7250" s="28" t="s">
        <v>7756</v>
      </c>
      <c r="I7250" s="5" t="s">
        <v>835</v>
      </c>
    </row>
    <row r="7251" spans="1:9" ht="27.75" customHeight="1">
      <c r="A7251" s="5" t="s">
        <v>25240</v>
      </c>
      <c r="B7251" s="5" t="s">
        <v>43435</v>
      </c>
      <c r="C7251" s="5" t="s">
        <v>43436</v>
      </c>
      <c r="D7251" s="246">
        <v>41771</v>
      </c>
      <c r="E7251" s="5" t="s">
        <v>43437</v>
      </c>
      <c r="F7251" s="26" t="s">
        <v>23600</v>
      </c>
      <c r="G7251" s="27" t="s">
        <v>8092</v>
      </c>
      <c r="H7251" s="28" t="s">
        <v>8093</v>
      </c>
      <c r="I7251" s="5" t="s">
        <v>835</v>
      </c>
    </row>
    <row r="7252" spans="1:9" ht="27.75" customHeight="1">
      <c r="A7252" s="5" t="s">
        <v>24926</v>
      </c>
      <c r="B7252" s="5" t="s">
        <v>43438</v>
      </c>
      <c r="C7252" s="5" t="s">
        <v>43439</v>
      </c>
      <c r="D7252" s="246">
        <v>41085</v>
      </c>
      <c r="E7252" s="5" t="s">
        <v>43440</v>
      </c>
      <c r="F7252" s="26" t="s">
        <v>23600</v>
      </c>
      <c r="G7252" s="27" t="s">
        <v>7675</v>
      </c>
      <c r="H7252" s="28" t="s">
        <v>7676</v>
      </c>
      <c r="I7252" s="5" t="s">
        <v>835</v>
      </c>
    </row>
    <row r="7253" spans="1:9" ht="27.75" customHeight="1">
      <c r="A7253" s="5" t="s">
        <v>27830</v>
      </c>
      <c r="B7253" s="5" t="s">
        <v>43441</v>
      </c>
      <c r="C7253" s="5" t="s">
        <v>43442</v>
      </c>
      <c r="D7253" s="246">
        <v>40575</v>
      </c>
      <c r="E7253" s="5" t="s">
        <v>43443</v>
      </c>
      <c r="F7253" s="26" t="s">
        <v>23600</v>
      </c>
      <c r="G7253" s="27" t="s">
        <v>5647</v>
      </c>
      <c r="H7253" s="28" t="s">
        <v>5648</v>
      </c>
      <c r="I7253" s="5" t="s">
        <v>835</v>
      </c>
    </row>
    <row r="7254" spans="1:9" ht="27.75" customHeight="1">
      <c r="A7254" s="5" t="s">
        <v>23810</v>
      </c>
      <c r="B7254" s="5" t="s">
        <v>43444</v>
      </c>
      <c r="C7254" s="5" t="s">
        <v>43445</v>
      </c>
      <c r="D7254" s="246">
        <v>41898</v>
      </c>
      <c r="E7254" s="5" t="s">
        <v>43446</v>
      </c>
      <c r="F7254" s="26" t="s">
        <v>43282</v>
      </c>
      <c r="G7254" s="27" t="s">
        <v>8664</v>
      </c>
      <c r="H7254" s="28" t="s">
        <v>8665</v>
      </c>
      <c r="I7254" s="5" t="s">
        <v>835</v>
      </c>
    </row>
    <row r="7255" spans="1:9" ht="27.75" customHeight="1">
      <c r="A7255" s="5" t="s">
        <v>23810</v>
      </c>
      <c r="B7255" s="5" t="s">
        <v>43447</v>
      </c>
      <c r="C7255" s="5" t="s">
        <v>43445</v>
      </c>
      <c r="D7255" s="246">
        <v>41898</v>
      </c>
      <c r="E7255" s="5" t="s">
        <v>43448</v>
      </c>
      <c r="F7255" s="26" t="s">
        <v>23600</v>
      </c>
      <c r="G7255" s="27" t="s">
        <v>8664</v>
      </c>
      <c r="H7255" s="28" t="s">
        <v>8665</v>
      </c>
      <c r="I7255" s="5" t="s">
        <v>835</v>
      </c>
    </row>
    <row r="7256" spans="1:9" ht="27.75" customHeight="1">
      <c r="A7256" s="5" t="s">
        <v>25631</v>
      </c>
      <c r="B7256" s="5" t="s">
        <v>43449</v>
      </c>
      <c r="C7256" s="5" t="s">
        <v>43450</v>
      </c>
      <c r="D7256" s="246">
        <v>41411</v>
      </c>
      <c r="E7256" s="5" t="s">
        <v>43451</v>
      </c>
      <c r="F7256" s="26" t="s">
        <v>23600</v>
      </c>
      <c r="G7256" s="27" t="s">
        <v>8756</v>
      </c>
      <c r="H7256" s="28" t="s">
        <v>8757</v>
      </c>
      <c r="I7256" s="5" t="s">
        <v>835</v>
      </c>
    </row>
    <row r="7257" spans="1:9" ht="23.25" customHeight="1">
      <c r="A7257" s="5" t="s">
        <v>25243</v>
      </c>
      <c r="B7257" s="5" t="s">
        <v>43452</v>
      </c>
      <c r="C7257" s="5" t="s">
        <v>43453</v>
      </c>
      <c r="D7257" s="246">
        <v>41709</v>
      </c>
      <c r="E7257" s="5" t="s">
        <v>43454</v>
      </c>
      <c r="F7257" s="26" t="s">
        <v>23600</v>
      </c>
      <c r="G7257" s="27" t="s">
        <v>7989</v>
      </c>
      <c r="H7257" s="28" t="s">
        <v>7990</v>
      </c>
      <c r="I7257" s="5" t="s">
        <v>835</v>
      </c>
    </row>
    <row r="7258" spans="1:9" ht="23.25" customHeight="1">
      <c r="A7258" s="5" t="s">
        <v>26010</v>
      </c>
      <c r="B7258" s="5" t="s">
        <v>43455</v>
      </c>
      <c r="C7258" s="5" t="s">
        <v>43456</v>
      </c>
      <c r="D7258" s="246">
        <v>41501</v>
      </c>
      <c r="E7258" s="5" t="s">
        <v>43457</v>
      </c>
      <c r="F7258" s="26" t="s">
        <v>23600</v>
      </c>
      <c r="G7258" s="27" t="s">
        <v>9105</v>
      </c>
      <c r="H7258" s="28" t="s">
        <v>9106</v>
      </c>
      <c r="I7258" s="5" t="s">
        <v>835</v>
      </c>
    </row>
    <row r="7259" spans="1:9" ht="23.25" customHeight="1">
      <c r="A7259" s="5" t="s">
        <v>26030</v>
      </c>
      <c r="B7259" s="5" t="s">
        <v>43458</v>
      </c>
      <c r="C7259" s="5" t="s">
        <v>43459</v>
      </c>
      <c r="D7259" s="246">
        <v>41730</v>
      </c>
      <c r="E7259" s="5" t="s">
        <v>43460</v>
      </c>
      <c r="F7259" s="26" t="s">
        <v>23600</v>
      </c>
      <c r="G7259" s="27" t="s">
        <v>9105</v>
      </c>
      <c r="H7259" s="28" t="s">
        <v>9106</v>
      </c>
      <c r="I7259" s="5" t="s">
        <v>835</v>
      </c>
    </row>
    <row r="7260" spans="1:9" ht="23.25" customHeight="1">
      <c r="A7260" s="5" t="s">
        <v>23768</v>
      </c>
      <c r="B7260" s="5" t="s">
        <v>43461</v>
      </c>
      <c r="C7260" s="5" t="s">
        <v>43462</v>
      </c>
      <c r="D7260" s="246">
        <v>41730</v>
      </c>
      <c r="E7260" s="5" t="s">
        <v>43463</v>
      </c>
      <c r="F7260" s="26" t="s">
        <v>23600</v>
      </c>
      <c r="G7260" s="27" t="s">
        <v>9105</v>
      </c>
      <c r="H7260" s="28" t="s">
        <v>9106</v>
      </c>
      <c r="I7260" s="5" t="s">
        <v>835</v>
      </c>
    </row>
    <row r="7261" spans="1:9" ht="23.25" customHeight="1">
      <c r="A7261" s="5" t="s">
        <v>23872</v>
      </c>
      <c r="B7261" s="5" t="s">
        <v>43464</v>
      </c>
      <c r="C7261" s="5" t="s">
        <v>43465</v>
      </c>
      <c r="D7261" s="246">
        <v>41582</v>
      </c>
      <c r="E7261" s="5" t="s">
        <v>43466</v>
      </c>
      <c r="F7261" s="26" t="s">
        <v>43282</v>
      </c>
      <c r="G7261" s="27" t="s">
        <v>9304</v>
      </c>
      <c r="H7261" s="28" t="s">
        <v>9305</v>
      </c>
      <c r="I7261" s="5" t="s">
        <v>835</v>
      </c>
    </row>
    <row r="7262" spans="1:9" ht="23.25" customHeight="1">
      <c r="A7262" s="5" t="s">
        <v>23872</v>
      </c>
      <c r="B7262" s="5" t="s">
        <v>43467</v>
      </c>
      <c r="C7262" s="5" t="s">
        <v>43465</v>
      </c>
      <c r="D7262" s="246">
        <v>41582</v>
      </c>
      <c r="E7262" s="5" t="s">
        <v>43468</v>
      </c>
      <c r="F7262" s="26" t="s">
        <v>23600</v>
      </c>
      <c r="G7262" s="27" t="s">
        <v>9304</v>
      </c>
      <c r="H7262" s="28" t="s">
        <v>9305</v>
      </c>
      <c r="I7262" s="5" t="s">
        <v>835</v>
      </c>
    </row>
    <row r="7263" spans="1:9" ht="23.25" customHeight="1">
      <c r="A7263" s="5" t="s">
        <v>23732</v>
      </c>
      <c r="B7263" s="5" t="s">
        <v>43469</v>
      </c>
      <c r="C7263" s="5" t="s">
        <v>43470</v>
      </c>
      <c r="D7263" s="246">
        <v>41261</v>
      </c>
      <c r="E7263" s="5" t="s">
        <v>43471</v>
      </c>
      <c r="F7263" s="26" t="s">
        <v>23600</v>
      </c>
      <c r="G7263" s="27" t="s">
        <v>7793</v>
      </c>
      <c r="H7263" s="28" t="s">
        <v>7794</v>
      </c>
      <c r="I7263" s="5" t="s">
        <v>835</v>
      </c>
    </row>
    <row r="7264" spans="1:9" ht="23.25" customHeight="1">
      <c r="A7264" s="5" t="s">
        <v>24463</v>
      </c>
      <c r="B7264" s="5" t="s">
        <v>43472</v>
      </c>
      <c r="C7264" s="5" t="s">
        <v>43470</v>
      </c>
      <c r="D7264" s="246">
        <v>41261</v>
      </c>
      <c r="E7264" s="5" t="s">
        <v>43473</v>
      </c>
      <c r="F7264" s="26" t="s">
        <v>23600</v>
      </c>
      <c r="G7264" s="27" t="s">
        <v>7793</v>
      </c>
      <c r="H7264" s="28" t="s">
        <v>7794</v>
      </c>
      <c r="I7264" s="5" t="s">
        <v>835</v>
      </c>
    </row>
    <row r="7265" spans="1:9" ht="23.25" customHeight="1">
      <c r="A7265" s="5" t="s">
        <v>35697</v>
      </c>
      <c r="B7265" s="5" t="s">
        <v>43474</v>
      </c>
      <c r="C7265" s="5" t="s">
        <v>43475</v>
      </c>
      <c r="D7265" s="246">
        <v>41393</v>
      </c>
      <c r="E7265" s="5" t="s">
        <v>43476</v>
      </c>
      <c r="F7265" s="26" t="s">
        <v>23600</v>
      </c>
      <c r="G7265" s="27" t="s">
        <v>7869</v>
      </c>
      <c r="H7265" s="28" t="s">
        <v>7870</v>
      </c>
      <c r="I7265" s="5" t="s">
        <v>835</v>
      </c>
    </row>
    <row r="7266" spans="1:9" ht="23.25" customHeight="1">
      <c r="A7266" s="5" t="s">
        <v>24993</v>
      </c>
      <c r="B7266" s="5" t="s">
        <v>43477</v>
      </c>
      <c r="C7266" s="5" t="s">
        <v>43478</v>
      </c>
      <c r="D7266" s="246">
        <v>41624</v>
      </c>
      <c r="E7266" s="5" t="s">
        <v>43479</v>
      </c>
      <c r="F7266" s="26" t="s">
        <v>23600</v>
      </c>
      <c r="G7266" s="27" t="s">
        <v>9358</v>
      </c>
      <c r="H7266" s="28" t="s">
        <v>9359</v>
      </c>
      <c r="I7266" s="5" t="s">
        <v>835</v>
      </c>
    </row>
    <row r="7267" spans="1:9" ht="27" customHeight="1">
      <c r="A7267" s="5" t="s">
        <v>23776</v>
      </c>
      <c r="B7267" s="5" t="s">
        <v>43480</v>
      </c>
      <c r="C7267" s="5" t="s">
        <v>43481</v>
      </c>
      <c r="D7267" s="246">
        <v>42066</v>
      </c>
      <c r="E7267" s="5" t="s">
        <v>43482</v>
      </c>
      <c r="F7267" s="26" t="s">
        <v>23600</v>
      </c>
      <c r="G7267" s="27" t="s">
        <v>9186</v>
      </c>
      <c r="H7267" s="28" t="s">
        <v>9187</v>
      </c>
      <c r="I7267" s="5" t="s">
        <v>835</v>
      </c>
    </row>
    <row r="7268" spans="1:9" ht="27" customHeight="1">
      <c r="A7268" s="5" t="s">
        <v>26415</v>
      </c>
      <c r="B7268" s="5" t="s">
        <v>43483</v>
      </c>
      <c r="C7268" s="5" t="s">
        <v>43484</v>
      </c>
      <c r="D7268" s="246">
        <v>42066</v>
      </c>
      <c r="E7268" s="5" t="s">
        <v>43485</v>
      </c>
      <c r="F7268" s="26" t="s">
        <v>23600</v>
      </c>
      <c r="G7268" s="27" t="s">
        <v>9186</v>
      </c>
      <c r="H7268" s="28" t="s">
        <v>9187</v>
      </c>
      <c r="I7268" s="5" t="s">
        <v>835</v>
      </c>
    </row>
    <row r="7269" spans="1:9" ht="27" customHeight="1">
      <c r="A7269" s="5" t="s">
        <v>26421</v>
      </c>
      <c r="B7269" s="5" t="s">
        <v>43486</v>
      </c>
      <c r="C7269" s="5" t="s">
        <v>43487</v>
      </c>
      <c r="D7269" s="246">
        <v>42066</v>
      </c>
      <c r="E7269" s="5" t="s">
        <v>43488</v>
      </c>
      <c r="F7269" s="26" t="s">
        <v>23600</v>
      </c>
      <c r="G7269" s="27" t="s">
        <v>9186</v>
      </c>
      <c r="H7269" s="28" t="s">
        <v>9187</v>
      </c>
      <c r="I7269" s="5" t="s">
        <v>835</v>
      </c>
    </row>
    <row r="7270" spans="1:9" ht="27" customHeight="1">
      <c r="A7270" s="5" t="s">
        <v>25177</v>
      </c>
      <c r="B7270" s="5" t="s">
        <v>43489</v>
      </c>
      <c r="C7270" s="5" t="s">
        <v>43490</v>
      </c>
      <c r="D7270" s="246">
        <v>42066</v>
      </c>
      <c r="E7270" s="5" t="s">
        <v>43491</v>
      </c>
      <c r="F7270" s="26" t="s">
        <v>23600</v>
      </c>
      <c r="G7270" s="27" t="s">
        <v>9186</v>
      </c>
      <c r="H7270" s="28" t="s">
        <v>9187</v>
      </c>
      <c r="I7270" s="5" t="s">
        <v>835</v>
      </c>
    </row>
    <row r="7271" spans="1:9" ht="27" customHeight="1">
      <c r="A7271" s="5" t="s">
        <v>26443</v>
      </c>
      <c r="B7271" s="5" t="s">
        <v>43492</v>
      </c>
      <c r="C7271" s="5" t="s">
        <v>43493</v>
      </c>
      <c r="D7271" s="246">
        <v>42066</v>
      </c>
      <c r="E7271" s="5" t="s">
        <v>43494</v>
      </c>
      <c r="F7271" s="26" t="s">
        <v>23600</v>
      </c>
      <c r="G7271" s="27" t="s">
        <v>9186</v>
      </c>
      <c r="H7271" s="28" t="s">
        <v>9187</v>
      </c>
      <c r="I7271" s="5" t="s">
        <v>835</v>
      </c>
    </row>
    <row r="7272" spans="1:9" ht="33.75" customHeight="1">
      <c r="A7272" s="5" t="s">
        <v>24929</v>
      </c>
      <c r="B7272" s="5" t="s">
        <v>43495</v>
      </c>
      <c r="C7272" s="5" t="s">
        <v>43496</v>
      </c>
      <c r="D7272" s="246">
        <v>42031</v>
      </c>
      <c r="E7272" s="5" t="s">
        <v>43497</v>
      </c>
      <c r="F7272" s="26" t="s">
        <v>23600</v>
      </c>
      <c r="G7272" s="27" t="s">
        <v>8870</v>
      </c>
      <c r="H7272" s="28" t="s">
        <v>8871</v>
      </c>
      <c r="I7272" s="5" t="s">
        <v>835</v>
      </c>
    </row>
    <row r="7273" spans="1:9" ht="33.75" customHeight="1">
      <c r="A7273" s="5" t="s">
        <v>26052</v>
      </c>
      <c r="B7273" s="5" t="s">
        <v>43498</v>
      </c>
      <c r="C7273" s="5" t="s">
        <v>43499</v>
      </c>
      <c r="D7273" s="246">
        <v>41703</v>
      </c>
      <c r="E7273" s="5" t="s">
        <v>43500</v>
      </c>
      <c r="F7273" s="26" t="s">
        <v>23600</v>
      </c>
      <c r="G7273" s="27" t="s">
        <v>9687</v>
      </c>
      <c r="H7273" s="44" t="s">
        <v>9688</v>
      </c>
      <c r="I7273" s="45" t="s">
        <v>835</v>
      </c>
    </row>
    <row r="7274" spans="1:9" ht="32.25" customHeight="1">
      <c r="A7274" s="5" t="s">
        <v>26058</v>
      </c>
      <c r="B7274" s="5" t="s">
        <v>43501</v>
      </c>
      <c r="C7274" s="5" t="s">
        <v>43502</v>
      </c>
      <c r="D7274" s="246">
        <v>41703</v>
      </c>
      <c r="E7274" s="5" t="s">
        <v>43503</v>
      </c>
      <c r="F7274" s="26" t="s">
        <v>23600</v>
      </c>
      <c r="G7274" s="27" t="s">
        <v>9687</v>
      </c>
      <c r="H7274" s="44" t="s">
        <v>9688</v>
      </c>
      <c r="I7274" s="45" t="s">
        <v>835</v>
      </c>
    </row>
    <row r="7275" spans="1:9" ht="32.25" customHeight="1">
      <c r="A7275" s="5" t="s">
        <v>24685</v>
      </c>
      <c r="B7275" s="5" t="s">
        <v>43504</v>
      </c>
      <c r="C7275" s="5" t="s">
        <v>43505</v>
      </c>
      <c r="D7275" s="246">
        <v>41817</v>
      </c>
      <c r="E7275" s="5" t="s">
        <v>43506</v>
      </c>
      <c r="F7275" s="26" t="s">
        <v>23600</v>
      </c>
      <c r="G7275" s="27" t="s">
        <v>10008</v>
      </c>
      <c r="H7275" s="44" t="s">
        <v>10009</v>
      </c>
      <c r="I7275" s="45" t="s">
        <v>835</v>
      </c>
    </row>
    <row r="7276" spans="1:9" ht="38.25" customHeight="1">
      <c r="A7276" s="5" t="s">
        <v>24685</v>
      </c>
      <c r="B7276" s="5" t="s">
        <v>43507</v>
      </c>
      <c r="C7276" s="5" t="s">
        <v>43505</v>
      </c>
      <c r="D7276" s="246">
        <v>41817</v>
      </c>
      <c r="E7276" s="5" t="s">
        <v>43508</v>
      </c>
      <c r="F7276" s="26" t="s">
        <v>43282</v>
      </c>
      <c r="G7276" s="27" t="s">
        <v>10008</v>
      </c>
      <c r="H7276" s="44" t="s">
        <v>10009</v>
      </c>
      <c r="I7276" s="45" t="s">
        <v>835</v>
      </c>
    </row>
    <row r="7277" spans="1:9" ht="38.25" customHeight="1">
      <c r="A7277" s="5" t="s">
        <v>27824</v>
      </c>
      <c r="B7277" s="5" t="s">
        <v>43509</v>
      </c>
      <c r="C7277" s="5" t="s">
        <v>43510</v>
      </c>
      <c r="D7277" s="246">
        <v>41968</v>
      </c>
      <c r="E7277" s="5" t="s">
        <v>43511</v>
      </c>
      <c r="F7277" s="26" t="s">
        <v>23600</v>
      </c>
      <c r="G7277" s="27" t="s">
        <v>9110</v>
      </c>
      <c r="H7277" s="44" t="s">
        <v>9111</v>
      </c>
      <c r="I7277" s="45" t="s">
        <v>835</v>
      </c>
    </row>
    <row r="7278" spans="1:9" ht="38.25" customHeight="1">
      <c r="A7278" s="5" t="s">
        <v>27824</v>
      </c>
      <c r="B7278" s="5" t="s">
        <v>43512</v>
      </c>
      <c r="C7278" s="5" t="s">
        <v>43510</v>
      </c>
      <c r="D7278" s="246">
        <v>41968</v>
      </c>
      <c r="E7278" s="5" t="s">
        <v>43513</v>
      </c>
      <c r="F7278" s="26" t="s">
        <v>43282</v>
      </c>
      <c r="G7278" s="27" t="s">
        <v>9110</v>
      </c>
      <c r="H7278" s="44" t="s">
        <v>9111</v>
      </c>
      <c r="I7278" s="45" t="s">
        <v>835</v>
      </c>
    </row>
    <row r="7279" spans="1:9" ht="44.9" customHeight="1">
      <c r="A7279" s="5" t="s">
        <v>27830</v>
      </c>
      <c r="B7279" s="5" t="s">
        <v>43514</v>
      </c>
      <c r="C7279" s="5" t="s">
        <v>43515</v>
      </c>
      <c r="D7279" s="246">
        <v>41968</v>
      </c>
      <c r="E7279" s="5" t="s">
        <v>43516</v>
      </c>
      <c r="F7279" s="26" t="s">
        <v>23600</v>
      </c>
      <c r="G7279" s="27" t="s">
        <v>9505</v>
      </c>
      <c r="H7279" s="44" t="s">
        <v>9506</v>
      </c>
      <c r="I7279" s="45" t="s">
        <v>835</v>
      </c>
    </row>
    <row r="7280" spans="1:9" ht="41.9" customHeight="1">
      <c r="A7280" s="5" t="s">
        <v>27836</v>
      </c>
      <c r="B7280" s="5" t="s">
        <v>43517</v>
      </c>
      <c r="C7280" s="5" t="s">
        <v>43518</v>
      </c>
      <c r="D7280" s="246">
        <v>41968</v>
      </c>
      <c r="E7280" s="5" t="s">
        <v>43519</v>
      </c>
      <c r="F7280" s="26" t="s">
        <v>23600</v>
      </c>
      <c r="G7280" s="27" t="s">
        <v>9505</v>
      </c>
      <c r="H7280" s="28" t="s">
        <v>9506</v>
      </c>
      <c r="I7280" s="5" t="s">
        <v>835</v>
      </c>
    </row>
    <row r="7281" spans="1:9" ht="41.9" customHeight="1">
      <c r="A7281" s="5" t="s">
        <v>24693</v>
      </c>
      <c r="B7281" s="5" t="s">
        <v>43520</v>
      </c>
      <c r="C7281" s="5" t="s">
        <v>43521</v>
      </c>
      <c r="D7281" s="246">
        <v>41771</v>
      </c>
      <c r="E7281" s="5" t="s">
        <v>43522</v>
      </c>
      <c r="F7281" s="26" t="s">
        <v>23600</v>
      </c>
      <c r="G7281" s="27" t="s">
        <v>9887</v>
      </c>
      <c r="H7281" s="28" t="s">
        <v>9888</v>
      </c>
      <c r="I7281" s="5" t="s">
        <v>835</v>
      </c>
    </row>
    <row r="7282" spans="1:9" ht="41.9" customHeight="1">
      <c r="A7282" s="5" t="s">
        <v>24693</v>
      </c>
      <c r="B7282" s="5" t="s">
        <v>43523</v>
      </c>
      <c r="C7282" s="5" t="s">
        <v>43521</v>
      </c>
      <c r="D7282" s="246">
        <v>41771</v>
      </c>
      <c r="E7282" s="5" t="s">
        <v>43524</v>
      </c>
      <c r="F7282" s="26" t="s">
        <v>43282</v>
      </c>
      <c r="G7282" s="27" t="s">
        <v>9887</v>
      </c>
      <c r="H7282" s="28" t="s">
        <v>9888</v>
      </c>
      <c r="I7282" s="5" t="s">
        <v>835</v>
      </c>
    </row>
    <row r="7283" spans="1:9" ht="41.9" customHeight="1">
      <c r="A7283" s="5" t="s">
        <v>28329</v>
      </c>
      <c r="B7283" s="5" t="s">
        <v>43525</v>
      </c>
      <c r="C7283" s="5" t="s">
        <v>43526</v>
      </c>
      <c r="D7283" s="246">
        <v>42663</v>
      </c>
      <c r="E7283" s="5" t="s">
        <v>43527</v>
      </c>
      <c r="F7283" s="26" t="s">
        <v>43282</v>
      </c>
      <c r="G7283" s="27" t="s">
        <v>10144</v>
      </c>
      <c r="H7283" s="28" t="s">
        <v>10145</v>
      </c>
      <c r="I7283" s="5" t="s">
        <v>835</v>
      </c>
    </row>
    <row r="7284" spans="1:9" ht="41.9" customHeight="1">
      <c r="A7284" s="5" t="s">
        <v>28329</v>
      </c>
      <c r="B7284" s="5" t="s">
        <v>43528</v>
      </c>
      <c r="C7284" s="5" t="s">
        <v>43526</v>
      </c>
      <c r="D7284" s="246">
        <v>42663</v>
      </c>
      <c r="E7284" s="5" t="s">
        <v>43529</v>
      </c>
      <c r="F7284" s="26" t="s">
        <v>23600</v>
      </c>
      <c r="G7284" s="27" t="s">
        <v>10144</v>
      </c>
      <c r="H7284" s="28" t="s">
        <v>10145</v>
      </c>
      <c r="I7284" s="5" t="s">
        <v>835</v>
      </c>
    </row>
    <row r="7285" spans="1:9" ht="41.9" customHeight="1">
      <c r="A7285" s="5" t="s">
        <v>28332</v>
      </c>
      <c r="B7285" s="5" t="s">
        <v>43530</v>
      </c>
      <c r="C7285" s="5" t="s">
        <v>43531</v>
      </c>
      <c r="D7285" s="246">
        <v>42663</v>
      </c>
      <c r="E7285" s="5" t="s">
        <v>43532</v>
      </c>
      <c r="F7285" s="26" t="s">
        <v>43282</v>
      </c>
      <c r="G7285" s="27" t="s">
        <v>10144</v>
      </c>
      <c r="H7285" s="28" t="s">
        <v>10145</v>
      </c>
      <c r="I7285" s="5" t="s">
        <v>835</v>
      </c>
    </row>
    <row r="7286" spans="1:9" ht="41.9" customHeight="1">
      <c r="A7286" s="5" t="s">
        <v>28332</v>
      </c>
      <c r="B7286" s="5" t="s">
        <v>43533</v>
      </c>
      <c r="C7286" s="5" t="s">
        <v>43531</v>
      </c>
      <c r="D7286" s="246">
        <v>42663</v>
      </c>
      <c r="E7286" s="5" t="s">
        <v>43534</v>
      </c>
      <c r="F7286" s="26" t="s">
        <v>23600</v>
      </c>
      <c r="G7286" s="27" t="s">
        <v>10144</v>
      </c>
      <c r="H7286" s="28" t="s">
        <v>10145</v>
      </c>
      <c r="I7286" s="5" t="s">
        <v>835</v>
      </c>
    </row>
    <row r="7287" spans="1:9" ht="35.25" customHeight="1">
      <c r="A7287" s="5" t="s">
        <v>28335</v>
      </c>
      <c r="B7287" s="5" t="s">
        <v>43535</v>
      </c>
      <c r="C7287" s="5" t="s">
        <v>43536</v>
      </c>
      <c r="D7287" s="246">
        <v>42663</v>
      </c>
      <c r="E7287" s="5" t="s">
        <v>43537</v>
      </c>
      <c r="F7287" s="26" t="s">
        <v>43282</v>
      </c>
      <c r="G7287" s="27" t="s">
        <v>10144</v>
      </c>
      <c r="H7287" s="28" t="s">
        <v>10145</v>
      </c>
      <c r="I7287" s="5" t="s">
        <v>835</v>
      </c>
    </row>
    <row r="7288" spans="1:9" ht="42.75" customHeight="1">
      <c r="A7288" s="5" t="s">
        <v>28335</v>
      </c>
      <c r="B7288" s="5" t="s">
        <v>43538</v>
      </c>
      <c r="C7288" s="5" t="s">
        <v>43536</v>
      </c>
      <c r="D7288" s="246">
        <v>42663</v>
      </c>
      <c r="E7288" s="5" t="s">
        <v>43539</v>
      </c>
      <c r="F7288" s="26" t="s">
        <v>23600</v>
      </c>
      <c r="G7288" s="27" t="s">
        <v>10144</v>
      </c>
      <c r="H7288" s="28" t="s">
        <v>10145</v>
      </c>
      <c r="I7288" s="5" t="s">
        <v>835</v>
      </c>
    </row>
    <row r="7289" spans="1:9" ht="42.75" customHeight="1">
      <c r="A7289" s="5" t="s">
        <v>25066</v>
      </c>
      <c r="B7289" s="5" t="s">
        <v>43540</v>
      </c>
      <c r="C7289" s="5" t="s">
        <v>43541</v>
      </c>
      <c r="D7289" s="246">
        <v>42283</v>
      </c>
      <c r="E7289" s="5" t="s">
        <v>43542</v>
      </c>
      <c r="F7289" s="26" t="s">
        <v>23600</v>
      </c>
      <c r="G7289" s="27" t="s">
        <v>9660</v>
      </c>
      <c r="H7289" s="28" t="s">
        <v>9661</v>
      </c>
      <c r="I7289" s="5" t="s">
        <v>835</v>
      </c>
    </row>
    <row r="7290" spans="1:9" ht="39.75" customHeight="1">
      <c r="A7290" s="5" t="s">
        <v>25066</v>
      </c>
      <c r="B7290" s="5" t="s">
        <v>43543</v>
      </c>
      <c r="C7290" s="5" t="s">
        <v>43541</v>
      </c>
      <c r="D7290" s="246">
        <v>42283</v>
      </c>
      <c r="E7290" s="5" t="s">
        <v>43544</v>
      </c>
      <c r="F7290" s="26" t="s">
        <v>43282</v>
      </c>
      <c r="G7290" s="27" t="s">
        <v>9660</v>
      </c>
      <c r="H7290" s="28" t="s">
        <v>9661</v>
      </c>
      <c r="I7290" s="5" t="s">
        <v>835</v>
      </c>
    </row>
    <row r="7291" spans="1:9" ht="39.75" customHeight="1">
      <c r="A7291" s="5" t="s">
        <v>24347</v>
      </c>
      <c r="B7291" s="5" t="s">
        <v>43545</v>
      </c>
      <c r="C7291" s="5" t="s">
        <v>43546</v>
      </c>
      <c r="D7291" s="246">
        <v>42430</v>
      </c>
      <c r="E7291" s="5" t="s">
        <v>43547</v>
      </c>
      <c r="F7291" s="26" t="s">
        <v>23600</v>
      </c>
      <c r="G7291" s="27" t="s">
        <v>10698</v>
      </c>
      <c r="H7291" s="28" t="s">
        <v>10699</v>
      </c>
      <c r="I7291" s="5" t="s">
        <v>835</v>
      </c>
    </row>
    <row r="7292" spans="1:9" ht="34.4" customHeight="1">
      <c r="A7292" s="5" t="s">
        <v>28619</v>
      </c>
      <c r="B7292" s="5" t="s">
        <v>43548</v>
      </c>
      <c r="C7292" s="5" t="s">
        <v>43549</v>
      </c>
      <c r="D7292" s="246">
        <v>42283</v>
      </c>
      <c r="E7292" s="5" t="s">
        <v>43550</v>
      </c>
      <c r="F7292" s="26" t="s">
        <v>23600</v>
      </c>
      <c r="G7292" s="27" t="s">
        <v>10769</v>
      </c>
      <c r="H7292" s="28" t="s">
        <v>10770</v>
      </c>
      <c r="I7292" s="5" t="s">
        <v>835</v>
      </c>
    </row>
    <row r="7293" spans="1:9" ht="44.9" customHeight="1">
      <c r="A7293" s="5" t="s">
        <v>30214</v>
      </c>
      <c r="B7293" s="5" t="s">
        <v>43551</v>
      </c>
      <c r="C7293" s="5" t="s">
        <v>43552</v>
      </c>
      <c r="D7293" s="246">
        <v>42409</v>
      </c>
      <c r="E7293" s="5" t="s">
        <v>43553</v>
      </c>
      <c r="F7293" s="26" t="s">
        <v>23600</v>
      </c>
      <c r="G7293" s="27" t="s">
        <v>11077</v>
      </c>
      <c r="H7293" s="28" t="s">
        <v>11078</v>
      </c>
      <c r="I7293" s="5" t="s">
        <v>835</v>
      </c>
    </row>
    <row r="7294" spans="1:9" ht="44.9" customHeight="1">
      <c r="A7294" s="5" t="s">
        <v>28323</v>
      </c>
      <c r="B7294" s="5" t="s">
        <v>43554</v>
      </c>
      <c r="C7294" s="5" t="s">
        <v>43555</v>
      </c>
      <c r="D7294" s="246">
        <v>42780</v>
      </c>
      <c r="E7294" s="5" t="s">
        <v>43556</v>
      </c>
      <c r="F7294" s="26" t="s">
        <v>43282</v>
      </c>
      <c r="G7294" s="27" t="s">
        <v>11328</v>
      </c>
      <c r="H7294" s="28" t="s">
        <v>11329</v>
      </c>
      <c r="I7294" s="5" t="s">
        <v>835</v>
      </c>
    </row>
    <row r="7295" spans="1:9" ht="44.9" customHeight="1">
      <c r="A7295" s="5" t="s">
        <v>28323</v>
      </c>
      <c r="B7295" s="5" t="s">
        <v>43557</v>
      </c>
      <c r="C7295" s="5" t="s">
        <v>43555</v>
      </c>
      <c r="D7295" s="246">
        <v>42780</v>
      </c>
      <c r="E7295" s="5" t="s">
        <v>43558</v>
      </c>
      <c r="F7295" s="26" t="s">
        <v>23600</v>
      </c>
      <c r="G7295" s="27" t="s">
        <v>11328</v>
      </c>
      <c r="H7295" s="28" t="s">
        <v>11329</v>
      </c>
      <c r="I7295" s="5" t="s">
        <v>835</v>
      </c>
    </row>
    <row r="7296" spans="1:9" ht="44.9" customHeight="1">
      <c r="A7296" s="5" t="s">
        <v>28326</v>
      </c>
      <c r="B7296" s="5" t="s">
        <v>43559</v>
      </c>
      <c r="C7296" s="5" t="s">
        <v>43560</v>
      </c>
      <c r="D7296" s="246">
        <v>42780</v>
      </c>
      <c r="E7296" s="5" t="s">
        <v>43561</v>
      </c>
      <c r="F7296" s="26" t="s">
        <v>43282</v>
      </c>
      <c r="G7296" s="27" t="s">
        <v>11328</v>
      </c>
      <c r="H7296" s="28" t="s">
        <v>11329</v>
      </c>
      <c r="I7296" s="5" t="s">
        <v>835</v>
      </c>
    </row>
    <row r="7297" spans="1:9" ht="46.5" customHeight="1">
      <c r="A7297" s="5" t="s">
        <v>28326</v>
      </c>
      <c r="B7297" s="5" t="s">
        <v>43562</v>
      </c>
      <c r="C7297" s="5" t="s">
        <v>43560</v>
      </c>
      <c r="D7297" s="246">
        <v>42780</v>
      </c>
      <c r="E7297" s="5" t="s">
        <v>43563</v>
      </c>
      <c r="F7297" s="26" t="s">
        <v>23600</v>
      </c>
      <c r="G7297" s="27" t="s">
        <v>11328</v>
      </c>
      <c r="H7297" s="28" t="s">
        <v>11329</v>
      </c>
      <c r="I7297" s="5" t="s">
        <v>835</v>
      </c>
    </row>
    <row r="7298" spans="1:9" ht="45.75" customHeight="1">
      <c r="A7298" s="5" t="s">
        <v>23641</v>
      </c>
      <c r="B7298" s="5" t="s">
        <v>43564</v>
      </c>
      <c r="C7298" s="5" t="s">
        <v>43565</v>
      </c>
      <c r="D7298" s="246">
        <v>42208</v>
      </c>
      <c r="E7298" s="5" t="s">
        <v>43566</v>
      </c>
      <c r="F7298" s="26" t="s">
        <v>23600</v>
      </c>
      <c r="G7298" s="27" t="s">
        <v>11449</v>
      </c>
      <c r="H7298" s="28" t="s">
        <v>11450</v>
      </c>
      <c r="I7298" s="5" t="s">
        <v>835</v>
      </c>
    </row>
    <row r="7299" spans="1:9" ht="45.75" customHeight="1">
      <c r="A7299" s="5" t="s">
        <v>26364</v>
      </c>
      <c r="B7299" s="5" t="s">
        <v>43567</v>
      </c>
      <c r="C7299" s="5" t="s">
        <v>43568</v>
      </c>
      <c r="D7299" s="246">
        <v>42887</v>
      </c>
      <c r="E7299" s="5" t="s">
        <v>43569</v>
      </c>
      <c r="F7299" s="26" t="s">
        <v>43282</v>
      </c>
      <c r="G7299" s="27" t="s">
        <v>11546</v>
      </c>
      <c r="H7299" s="28" t="s">
        <v>11547</v>
      </c>
      <c r="I7299" s="5" t="s">
        <v>835</v>
      </c>
    </row>
    <row r="7300" spans="1:9" ht="45.75" customHeight="1">
      <c r="A7300" s="5" t="s">
        <v>26364</v>
      </c>
      <c r="B7300" s="5" t="s">
        <v>43570</v>
      </c>
      <c r="C7300" s="5" t="s">
        <v>43568</v>
      </c>
      <c r="D7300" s="246">
        <v>42887</v>
      </c>
      <c r="E7300" s="5" t="s">
        <v>43571</v>
      </c>
      <c r="F7300" s="26" t="s">
        <v>23600</v>
      </c>
      <c r="G7300" s="27" t="s">
        <v>11546</v>
      </c>
      <c r="H7300" s="28" t="s">
        <v>11547</v>
      </c>
      <c r="I7300" s="5" t="s">
        <v>835</v>
      </c>
    </row>
    <row r="7301" spans="1:9" ht="45.75" customHeight="1">
      <c r="A7301" s="5" t="s">
        <v>26064</v>
      </c>
      <c r="B7301" s="5" t="s">
        <v>43572</v>
      </c>
      <c r="C7301" s="5" t="s">
        <v>43573</v>
      </c>
      <c r="D7301" s="246">
        <v>42430</v>
      </c>
      <c r="E7301" s="5" t="s">
        <v>43574</v>
      </c>
      <c r="F7301" s="26" t="s">
        <v>23600</v>
      </c>
      <c r="G7301" s="27" t="s">
        <v>11066</v>
      </c>
      <c r="H7301" s="28" t="s">
        <v>11067</v>
      </c>
      <c r="I7301" s="5" t="s">
        <v>835</v>
      </c>
    </row>
    <row r="7302" spans="1:9" ht="48" customHeight="1">
      <c r="A7302" s="5" t="s">
        <v>26120</v>
      </c>
      <c r="B7302" s="5" t="s">
        <v>43575</v>
      </c>
      <c r="C7302" s="5" t="s">
        <v>43576</v>
      </c>
      <c r="D7302" s="246">
        <v>42780</v>
      </c>
      <c r="E7302" s="5" t="s">
        <v>43577</v>
      </c>
      <c r="F7302" s="26" t="s">
        <v>23600</v>
      </c>
      <c r="G7302" s="27" t="s">
        <v>11802</v>
      </c>
      <c r="H7302" s="28" t="s">
        <v>11803</v>
      </c>
      <c r="I7302" s="45" t="s">
        <v>835</v>
      </c>
    </row>
    <row r="7303" spans="1:9" ht="48" customHeight="1">
      <c r="A7303" s="5" t="s">
        <v>23740</v>
      </c>
      <c r="B7303" s="5" t="s">
        <v>43578</v>
      </c>
      <c r="C7303" s="5" t="s">
        <v>43579</v>
      </c>
      <c r="D7303" s="246">
        <v>42783</v>
      </c>
      <c r="E7303" s="5" t="s">
        <v>43580</v>
      </c>
      <c r="F7303" s="26" t="s">
        <v>23600</v>
      </c>
      <c r="G7303" s="27" t="s">
        <v>11874</v>
      </c>
      <c r="H7303" s="28" t="s">
        <v>11875</v>
      </c>
      <c r="I7303" s="45" t="s">
        <v>835</v>
      </c>
    </row>
    <row r="7304" spans="1:9" ht="48" customHeight="1">
      <c r="A7304" s="5" t="s">
        <v>24452</v>
      </c>
      <c r="B7304" s="5" t="s">
        <v>43581</v>
      </c>
      <c r="C7304" s="5" t="s">
        <v>43582</v>
      </c>
      <c r="D7304" s="246">
        <v>42783</v>
      </c>
      <c r="E7304" s="5" t="s">
        <v>43583</v>
      </c>
      <c r="F7304" s="26" t="s">
        <v>23600</v>
      </c>
      <c r="G7304" s="27" t="s">
        <v>11911</v>
      </c>
      <c r="H7304" s="28" t="s">
        <v>11912</v>
      </c>
      <c r="I7304" s="45" t="s">
        <v>835</v>
      </c>
    </row>
    <row r="7305" spans="1:9" ht="44.9" customHeight="1">
      <c r="A7305" s="5" t="s">
        <v>31134</v>
      </c>
      <c r="B7305" s="5" t="s">
        <v>43584</v>
      </c>
      <c r="C7305" s="5" t="s">
        <v>43585</v>
      </c>
      <c r="D7305" s="246">
        <v>42640</v>
      </c>
      <c r="E7305" s="5" t="s">
        <v>43586</v>
      </c>
      <c r="F7305" s="26" t="s">
        <v>23600</v>
      </c>
      <c r="G7305" s="27" t="s">
        <v>12029</v>
      </c>
      <c r="H7305" s="28" t="s">
        <v>12030</v>
      </c>
      <c r="I7305" s="5" t="s">
        <v>835</v>
      </c>
    </row>
    <row r="7306" spans="1:9" ht="33" customHeight="1">
      <c r="A7306" s="5" t="s">
        <v>25565</v>
      </c>
      <c r="B7306" s="5" t="s">
        <v>43587</v>
      </c>
      <c r="C7306" s="5" t="s">
        <v>43588</v>
      </c>
      <c r="D7306" s="246">
        <v>42496</v>
      </c>
      <c r="E7306" s="5" t="s">
        <v>43589</v>
      </c>
      <c r="F7306" s="26" t="s">
        <v>23600</v>
      </c>
      <c r="G7306" s="27" t="s">
        <v>12371</v>
      </c>
      <c r="H7306" s="28" t="s">
        <v>12372</v>
      </c>
      <c r="I7306" s="5" t="s">
        <v>835</v>
      </c>
    </row>
    <row r="7307" spans="1:9" ht="42" customHeight="1">
      <c r="A7307" s="5" t="s">
        <v>28344</v>
      </c>
      <c r="B7307" s="5" t="s">
        <v>43590</v>
      </c>
      <c r="C7307" s="5" t="s">
        <v>43591</v>
      </c>
      <c r="D7307" s="246">
        <v>42541</v>
      </c>
      <c r="E7307" s="5" t="s">
        <v>43592</v>
      </c>
      <c r="F7307" s="26" t="s">
        <v>43282</v>
      </c>
      <c r="G7307" s="27" t="s">
        <v>12401</v>
      </c>
      <c r="H7307" s="28" t="s">
        <v>12402</v>
      </c>
      <c r="I7307" s="5" t="s">
        <v>835</v>
      </c>
    </row>
    <row r="7308" spans="1:9" ht="42" customHeight="1">
      <c r="A7308" s="5" t="s">
        <v>28344</v>
      </c>
      <c r="B7308" s="5" t="s">
        <v>43593</v>
      </c>
      <c r="C7308" s="5" t="s">
        <v>43591</v>
      </c>
      <c r="D7308" s="246">
        <v>42541</v>
      </c>
      <c r="E7308" s="5" t="s">
        <v>43594</v>
      </c>
      <c r="F7308" s="26" t="s">
        <v>23600</v>
      </c>
      <c r="G7308" s="27" t="s">
        <v>12401</v>
      </c>
      <c r="H7308" s="28" t="s">
        <v>12402</v>
      </c>
      <c r="I7308" s="5" t="s">
        <v>835</v>
      </c>
    </row>
    <row r="7309" spans="1:9" ht="42" customHeight="1">
      <c r="A7309" s="5" t="s">
        <v>23641</v>
      </c>
      <c r="B7309" s="5" t="s">
        <v>43595</v>
      </c>
      <c r="C7309" s="5" t="s">
        <v>43596</v>
      </c>
      <c r="D7309" s="246">
        <v>43004</v>
      </c>
      <c r="E7309" s="5" t="s">
        <v>43597</v>
      </c>
      <c r="F7309" s="26" t="s">
        <v>23600</v>
      </c>
      <c r="G7309" s="27" t="s">
        <v>12548</v>
      </c>
      <c r="H7309" s="28" t="s">
        <v>12549</v>
      </c>
      <c r="I7309" s="5" t="s">
        <v>835</v>
      </c>
    </row>
    <row r="7310" spans="1:9" ht="24" customHeight="1">
      <c r="A7310" s="5" t="s">
        <v>23696</v>
      </c>
      <c r="B7310" s="5" t="s">
        <v>43598</v>
      </c>
      <c r="C7310" s="5" t="s">
        <v>43599</v>
      </c>
      <c r="D7310" s="246">
        <v>43004</v>
      </c>
      <c r="E7310" s="5" t="s">
        <v>43600</v>
      </c>
      <c r="F7310" s="26" t="s">
        <v>23600</v>
      </c>
      <c r="G7310" s="27" t="s">
        <v>12548</v>
      </c>
      <c r="H7310" s="28" t="s">
        <v>12549</v>
      </c>
      <c r="I7310" s="5" t="s">
        <v>835</v>
      </c>
    </row>
    <row r="7311" spans="1:9" ht="24" customHeight="1">
      <c r="A7311" s="5" t="s">
        <v>27187</v>
      </c>
      <c r="B7311" s="5" t="s">
        <v>43601</v>
      </c>
      <c r="C7311" s="5" t="s">
        <v>43602</v>
      </c>
      <c r="D7311" s="246">
        <v>43004</v>
      </c>
      <c r="E7311" s="5" t="s">
        <v>43603</v>
      </c>
      <c r="F7311" s="26" t="s">
        <v>23600</v>
      </c>
      <c r="G7311" s="27" t="s">
        <v>12548</v>
      </c>
      <c r="H7311" s="28" t="s">
        <v>12549</v>
      </c>
      <c r="I7311" s="5" t="s">
        <v>835</v>
      </c>
    </row>
    <row r="7312" spans="1:9" ht="24" customHeight="1">
      <c r="A7312" s="5" t="s">
        <v>28350</v>
      </c>
      <c r="B7312" s="5" t="s">
        <v>43604</v>
      </c>
      <c r="C7312" s="5" t="s">
        <v>43605</v>
      </c>
      <c r="D7312" s="246">
        <v>42531</v>
      </c>
      <c r="E7312" s="5" t="s">
        <v>43592</v>
      </c>
      <c r="F7312" s="26" t="s">
        <v>43282</v>
      </c>
      <c r="G7312" s="27" t="s">
        <v>12482</v>
      </c>
      <c r="H7312" s="28" t="s">
        <v>12483</v>
      </c>
      <c r="I7312" s="5" t="s">
        <v>835</v>
      </c>
    </row>
    <row r="7313" spans="1:9" ht="24" customHeight="1">
      <c r="A7313" s="5" t="s">
        <v>28350</v>
      </c>
      <c r="B7313" s="5" t="s">
        <v>43606</v>
      </c>
      <c r="C7313" s="5" t="s">
        <v>43605</v>
      </c>
      <c r="D7313" s="246">
        <v>42531</v>
      </c>
      <c r="E7313" s="5" t="s">
        <v>43607</v>
      </c>
      <c r="F7313" s="26" t="s">
        <v>23600</v>
      </c>
      <c r="G7313" s="27" t="s">
        <v>12482</v>
      </c>
      <c r="H7313" s="28" t="s">
        <v>12483</v>
      </c>
      <c r="I7313" s="5" t="s">
        <v>835</v>
      </c>
    </row>
    <row r="7314" spans="1:9" ht="24" customHeight="1">
      <c r="A7314" s="5" t="s">
        <v>23596</v>
      </c>
      <c r="B7314" s="5" t="s">
        <v>43608</v>
      </c>
      <c r="C7314" s="5" t="s">
        <v>43609</v>
      </c>
      <c r="D7314" s="246">
        <v>42577</v>
      </c>
      <c r="E7314" s="5" t="s">
        <v>43610</v>
      </c>
      <c r="F7314" s="26" t="s">
        <v>43282</v>
      </c>
      <c r="G7314" s="27" t="s">
        <v>12627</v>
      </c>
      <c r="H7314" s="28" t="s">
        <v>12628</v>
      </c>
      <c r="I7314" s="5" t="s">
        <v>835</v>
      </c>
    </row>
    <row r="7315" spans="1:9" ht="24" customHeight="1">
      <c r="A7315" s="5" t="s">
        <v>23596</v>
      </c>
      <c r="B7315" s="5" t="s">
        <v>43611</v>
      </c>
      <c r="C7315" s="5" t="s">
        <v>43609</v>
      </c>
      <c r="D7315" s="246">
        <v>42577</v>
      </c>
      <c r="E7315" s="5" t="s">
        <v>43612</v>
      </c>
      <c r="F7315" s="26" t="s">
        <v>23600</v>
      </c>
      <c r="G7315" s="27" t="s">
        <v>12627</v>
      </c>
      <c r="H7315" s="28" t="s">
        <v>12628</v>
      </c>
      <c r="I7315" s="5" t="s">
        <v>835</v>
      </c>
    </row>
    <row r="7316" spans="1:9" ht="24" customHeight="1">
      <c r="A7316" s="5" t="s">
        <v>26290</v>
      </c>
      <c r="B7316" s="5" t="s">
        <v>43613</v>
      </c>
      <c r="C7316" s="5" t="s">
        <v>43614</v>
      </c>
      <c r="D7316" s="246">
        <v>43186</v>
      </c>
      <c r="E7316" s="5" t="s">
        <v>43615</v>
      </c>
      <c r="F7316" s="26" t="s">
        <v>43282</v>
      </c>
      <c r="G7316" s="27" t="s">
        <v>12669</v>
      </c>
      <c r="H7316" s="28" t="s">
        <v>12670</v>
      </c>
      <c r="I7316" s="5" t="s">
        <v>835</v>
      </c>
    </row>
    <row r="7317" spans="1:9" ht="24" customHeight="1">
      <c r="A7317" s="5" t="s">
        <v>26290</v>
      </c>
      <c r="B7317" s="5" t="s">
        <v>43616</v>
      </c>
      <c r="C7317" s="5" t="s">
        <v>43614</v>
      </c>
      <c r="D7317" s="246">
        <v>43186</v>
      </c>
      <c r="E7317" s="5" t="s">
        <v>43617</v>
      </c>
      <c r="F7317" s="26" t="s">
        <v>23600</v>
      </c>
      <c r="G7317" s="27" t="s">
        <v>12669</v>
      </c>
      <c r="H7317" s="28" t="s">
        <v>12670</v>
      </c>
      <c r="I7317" s="5" t="s">
        <v>835</v>
      </c>
    </row>
    <row r="7318" spans="1:9" ht="24" customHeight="1">
      <c r="A7318" s="5" t="s">
        <v>30214</v>
      </c>
      <c r="B7318" s="5" t="s">
        <v>43618</v>
      </c>
      <c r="C7318" s="5" t="s">
        <v>43619</v>
      </c>
      <c r="D7318" s="246">
        <v>43186</v>
      </c>
      <c r="E7318" s="5" t="s">
        <v>43620</v>
      </c>
      <c r="F7318" s="26" t="s">
        <v>43282</v>
      </c>
      <c r="G7318" s="27" t="s">
        <v>12669</v>
      </c>
      <c r="H7318" s="28" t="s">
        <v>12670</v>
      </c>
      <c r="I7318" s="5" t="s">
        <v>835</v>
      </c>
    </row>
    <row r="7319" spans="1:9" ht="24.75" customHeight="1">
      <c r="A7319" s="5" t="s">
        <v>30214</v>
      </c>
      <c r="B7319" s="5" t="s">
        <v>43621</v>
      </c>
      <c r="C7319" s="5" t="s">
        <v>43619</v>
      </c>
      <c r="D7319" s="246">
        <v>43186</v>
      </c>
      <c r="E7319" s="5" t="s">
        <v>43622</v>
      </c>
      <c r="F7319" s="26" t="s">
        <v>23600</v>
      </c>
      <c r="G7319" s="27" t="s">
        <v>12669</v>
      </c>
      <c r="H7319" s="28" t="s">
        <v>12670</v>
      </c>
      <c r="I7319" s="5" t="s">
        <v>835</v>
      </c>
    </row>
    <row r="7320" spans="1:9" ht="25.5" customHeight="1">
      <c r="A7320" s="5" t="s">
        <v>33941</v>
      </c>
      <c r="B7320" s="5" t="s">
        <v>43623</v>
      </c>
      <c r="C7320" s="5" t="s">
        <v>43624</v>
      </c>
      <c r="D7320" s="246">
        <v>43186</v>
      </c>
      <c r="E7320" s="5" t="s">
        <v>43625</v>
      </c>
      <c r="F7320" s="26" t="s">
        <v>43282</v>
      </c>
      <c r="G7320" s="27" t="s">
        <v>12669</v>
      </c>
      <c r="H7320" s="28" t="s">
        <v>12670</v>
      </c>
      <c r="I7320" s="5" t="s">
        <v>835</v>
      </c>
    </row>
    <row r="7321" spans="1:9" ht="25.5" customHeight="1">
      <c r="A7321" s="5" t="s">
        <v>33941</v>
      </c>
      <c r="B7321" s="5" t="s">
        <v>43626</v>
      </c>
      <c r="C7321" s="5" t="s">
        <v>43624</v>
      </c>
      <c r="D7321" s="246">
        <v>43186</v>
      </c>
      <c r="E7321" s="5" t="s">
        <v>43627</v>
      </c>
      <c r="F7321" s="26" t="s">
        <v>23600</v>
      </c>
      <c r="G7321" s="27" t="s">
        <v>12669</v>
      </c>
      <c r="H7321" s="28" t="s">
        <v>12670</v>
      </c>
      <c r="I7321" s="5" t="s">
        <v>835</v>
      </c>
    </row>
    <row r="7322" spans="1:9" ht="25.5" customHeight="1">
      <c r="A7322" s="5" t="s">
        <v>29768</v>
      </c>
      <c r="B7322" s="5" t="s">
        <v>43628</v>
      </c>
      <c r="C7322" s="5" t="s">
        <v>43629</v>
      </c>
      <c r="D7322" s="246">
        <v>43004</v>
      </c>
      <c r="E7322" s="5" t="s">
        <v>43630</v>
      </c>
      <c r="F7322" s="26" t="s">
        <v>43282</v>
      </c>
      <c r="G7322" s="27" t="s">
        <v>12743</v>
      </c>
      <c r="H7322" s="28" t="s">
        <v>12744</v>
      </c>
      <c r="I7322" s="5" t="s">
        <v>835</v>
      </c>
    </row>
    <row r="7323" spans="1:9" ht="25.5" customHeight="1">
      <c r="A7323" s="5" t="s">
        <v>29768</v>
      </c>
      <c r="B7323" s="5" t="s">
        <v>43631</v>
      </c>
      <c r="C7323" s="5" t="s">
        <v>43629</v>
      </c>
      <c r="D7323" s="246">
        <v>43004</v>
      </c>
      <c r="E7323" s="5" t="s">
        <v>43632</v>
      </c>
      <c r="F7323" s="26" t="s">
        <v>23600</v>
      </c>
      <c r="G7323" s="27" t="s">
        <v>12743</v>
      </c>
      <c r="H7323" s="28" t="s">
        <v>12744</v>
      </c>
      <c r="I7323" s="5" t="s">
        <v>835</v>
      </c>
    </row>
    <row r="7324" spans="1:9" ht="25.5" customHeight="1">
      <c r="A7324" s="5" t="s">
        <v>25043</v>
      </c>
      <c r="B7324" s="5" t="s">
        <v>43633</v>
      </c>
      <c r="C7324" s="5" t="s">
        <v>43634</v>
      </c>
      <c r="D7324" s="246">
        <v>43080</v>
      </c>
      <c r="E7324" s="5" t="s">
        <v>43635</v>
      </c>
      <c r="F7324" s="26" t="s">
        <v>23600</v>
      </c>
      <c r="G7324" s="27" t="s">
        <v>13152</v>
      </c>
      <c r="H7324" s="28" t="s">
        <v>13153</v>
      </c>
      <c r="I7324" s="5" t="s">
        <v>835</v>
      </c>
    </row>
    <row r="7325" spans="1:9" ht="25.5" customHeight="1">
      <c r="A7325" s="5" t="s">
        <v>29772</v>
      </c>
      <c r="B7325" s="5" t="s">
        <v>43636</v>
      </c>
      <c r="C7325" s="5" t="s">
        <v>43634</v>
      </c>
      <c r="D7325" s="246">
        <v>43083</v>
      </c>
      <c r="E7325" s="5" t="s">
        <v>43637</v>
      </c>
      <c r="F7325" s="26" t="s">
        <v>43282</v>
      </c>
      <c r="G7325" s="27" t="s">
        <v>13295</v>
      </c>
      <c r="H7325" s="28" t="s">
        <v>13296</v>
      </c>
      <c r="I7325" s="5" t="s">
        <v>835</v>
      </c>
    </row>
    <row r="7326" spans="1:9" ht="25.5" customHeight="1">
      <c r="A7326" s="5" t="s">
        <v>29772</v>
      </c>
      <c r="B7326" s="5" t="s">
        <v>43638</v>
      </c>
      <c r="C7326" s="5" t="s">
        <v>43634</v>
      </c>
      <c r="D7326" s="246">
        <v>43083</v>
      </c>
      <c r="E7326" s="5" t="s">
        <v>43639</v>
      </c>
      <c r="F7326" s="26" t="s">
        <v>23600</v>
      </c>
      <c r="G7326" s="27" t="s">
        <v>13295</v>
      </c>
      <c r="H7326" s="28" t="s">
        <v>13296</v>
      </c>
      <c r="I7326" s="5" t="s">
        <v>835</v>
      </c>
    </row>
    <row r="7327" spans="1:9" ht="32.9" customHeight="1">
      <c r="A7327" s="5" t="s">
        <v>24591</v>
      </c>
      <c r="B7327" s="5" t="s">
        <v>43640</v>
      </c>
      <c r="C7327" s="5" t="s">
        <v>43641</v>
      </c>
      <c r="D7327" s="246">
        <v>42555</v>
      </c>
      <c r="E7327" s="5" t="s">
        <v>43642</v>
      </c>
      <c r="F7327" s="26" t="s">
        <v>43282</v>
      </c>
      <c r="G7327" s="27" t="s">
        <v>12552</v>
      </c>
      <c r="H7327" s="28" t="s">
        <v>12553</v>
      </c>
      <c r="I7327" s="5" t="s">
        <v>835</v>
      </c>
    </row>
    <row r="7328" spans="1:9" ht="32.9" customHeight="1">
      <c r="A7328" s="5" t="s">
        <v>24591</v>
      </c>
      <c r="B7328" s="5" t="s">
        <v>43643</v>
      </c>
      <c r="C7328" s="5" t="s">
        <v>43641</v>
      </c>
      <c r="D7328" s="246">
        <v>42555</v>
      </c>
      <c r="E7328" s="5" t="s">
        <v>43644</v>
      </c>
      <c r="F7328" s="26" t="s">
        <v>23600</v>
      </c>
      <c r="G7328" s="27" t="s">
        <v>12552</v>
      </c>
      <c r="H7328" s="28" t="s">
        <v>12553</v>
      </c>
      <c r="I7328" s="5" t="s">
        <v>835</v>
      </c>
    </row>
    <row r="7329" spans="1:9" ht="39.75" customHeight="1">
      <c r="A7329" s="5" t="s">
        <v>24595</v>
      </c>
      <c r="B7329" s="5" t="s">
        <v>43645</v>
      </c>
      <c r="C7329" s="5" t="s">
        <v>43646</v>
      </c>
      <c r="D7329" s="246">
        <v>43004</v>
      </c>
      <c r="E7329" s="5" t="s">
        <v>43647</v>
      </c>
      <c r="F7329" s="26" t="s">
        <v>43282</v>
      </c>
      <c r="G7329" s="27" t="s">
        <v>12552</v>
      </c>
      <c r="H7329" s="28" t="s">
        <v>12553</v>
      </c>
      <c r="I7329" s="5" t="s">
        <v>835</v>
      </c>
    </row>
    <row r="7330" spans="1:9" ht="45.75" customHeight="1">
      <c r="A7330" s="5" t="s">
        <v>24595</v>
      </c>
      <c r="B7330" s="5" t="s">
        <v>43648</v>
      </c>
      <c r="C7330" s="5" t="s">
        <v>43646</v>
      </c>
      <c r="D7330" s="246">
        <v>43004</v>
      </c>
      <c r="E7330" s="5" t="s">
        <v>43649</v>
      </c>
      <c r="F7330" s="26" t="s">
        <v>23600</v>
      </c>
      <c r="G7330" s="27" t="s">
        <v>12552</v>
      </c>
      <c r="H7330" s="28" t="s">
        <v>12553</v>
      </c>
      <c r="I7330" s="5" t="s">
        <v>835</v>
      </c>
    </row>
    <row r="7331" spans="1:9" ht="26.25" customHeight="1">
      <c r="A7331" s="5" t="s">
        <v>24587</v>
      </c>
      <c r="B7331" s="5" t="s">
        <v>43650</v>
      </c>
      <c r="C7331" s="5" t="s">
        <v>43651</v>
      </c>
      <c r="D7331" s="246">
        <v>43165</v>
      </c>
      <c r="E7331" s="5" t="s">
        <v>43652</v>
      </c>
      <c r="F7331" s="26" t="s">
        <v>43282</v>
      </c>
      <c r="G7331" s="27" t="s">
        <v>12961</v>
      </c>
      <c r="H7331" s="28" t="s">
        <v>12962</v>
      </c>
      <c r="I7331" s="5" t="s">
        <v>835</v>
      </c>
    </row>
    <row r="7332" spans="1:9" ht="26.9" customHeight="1">
      <c r="A7332" s="5" t="s">
        <v>24587</v>
      </c>
      <c r="B7332" s="5" t="s">
        <v>43653</v>
      </c>
      <c r="C7332" s="5" t="s">
        <v>43651</v>
      </c>
      <c r="D7332" s="246">
        <v>43165</v>
      </c>
      <c r="E7332" s="5" t="s">
        <v>43654</v>
      </c>
      <c r="F7332" s="26" t="s">
        <v>23600</v>
      </c>
      <c r="G7332" s="27" t="s">
        <v>12961</v>
      </c>
      <c r="H7332" s="28" t="s">
        <v>12962</v>
      </c>
      <c r="I7332" s="5" t="s">
        <v>835</v>
      </c>
    </row>
    <row r="7333" spans="1:9" ht="31.5" customHeight="1">
      <c r="A7333" s="5" t="s">
        <v>37937</v>
      </c>
      <c r="B7333" s="5" t="s">
        <v>43655</v>
      </c>
      <c r="C7333" s="5" t="s">
        <v>43656</v>
      </c>
      <c r="D7333" s="246">
        <v>43340</v>
      </c>
      <c r="E7333" s="5" t="s">
        <v>43657</v>
      </c>
      <c r="F7333" s="26" t="s">
        <v>23600</v>
      </c>
      <c r="G7333" s="27" t="s">
        <v>13723</v>
      </c>
      <c r="H7333" s="28" t="s">
        <v>13724</v>
      </c>
      <c r="I7333" s="5" t="s">
        <v>835</v>
      </c>
    </row>
    <row r="7334" spans="1:9" ht="31.5" customHeight="1">
      <c r="A7334" s="5" t="s">
        <v>26370</v>
      </c>
      <c r="B7334" s="5" t="s">
        <v>43658</v>
      </c>
      <c r="C7334" s="5" t="s">
        <v>43555</v>
      </c>
      <c r="D7334" s="246">
        <v>42780</v>
      </c>
      <c r="E7334" s="5" t="s">
        <v>43556</v>
      </c>
      <c r="F7334" s="26" t="s">
        <v>43282</v>
      </c>
      <c r="G7334" s="27" t="s">
        <v>12148</v>
      </c>
      <c r="H7334" s="28" t="s">
        <v>12149</v>
      </c>
      <c r="I7334" s="5" t="s">
        <v>835</v>
      </c>
    </row>
    <row r="7335" spans="1:9" ht="31.5" customHeight="1">
      <c r="A7335" s="5" t="s">
        <v>26370</v>
      </c>
      <c r="B7335" s="5" t="s">
        <v>43659</v>
      </c>
      <c r="C7335" s="5" t="s">
        <v>43555</v>
      </c>
      <c r="D7335" s="246">
        <v>42780</v>
      </c>
      <c r="E7335" s="5" t="s">
        <v>43660</v>
      </c>
      <c r="F7335" s="26" t="s">
        <v>23600</v>
      </c>
      <c r="G7335" s="27" t="s">
        <v>12148</v>
      </c>
      <c r="H7335" s="28" t="s">
        <v>12149</v>
      </c>
      <c r="I7335" s="5" t="s">
        <v>835</v>
      </c>
    </row>
    <row r="7336" spans="1:9" ht="32.9" customHeight="1">
      <c r="A7336" s="5" t="s">
        <v>28320</v>
      </c>
      <c r="B7336" s="5" t="s">
        <v>43661</v>
      </c>
      <c r="C7336" s="5" t="s">
        <v>43560</v>
      </c>
      <c r="D7336" s="246">
        <v>42780</v>
      </c>
      <c r="E7336" s="5" t="s">
        <v>43561</v>
      </c>
      <c r="F7336" s="26" t="s">
        <v>43282</v>
      </c>
      <c r="G7336" s="27" t="s">
        <v>12148</v>
      </c>
      <c r="H7336" s="28" t="s">
        <v>12149</v>
      </c>
      <c r="I7336" s="5" t="s">
        <v>835</v>
      </c>
    </row>
    <row r="7337" spans="1:9" ht="32.9" customHeight="1">
      <c r="A7337" s="5" t="s">
        <v>28320</v>
      </c>
      <c r="B7337" s="5" t="s">
        <v>43662</v>
      </c>
      <c r="C7337" s="5" t="s">
        <v>43560</v>
      </c>
      <c r="D7337" s="246">
        <v>42780</v>
      </c>
      <c r="E7337" s="5" t="s">
        <v>43563</v>
      </c>
      <c r="F7337" s="26" t="s">
        <v>23600</v>
      </c>
      <c r="G7337" s="27" t="s">
        <v>12148</v>
      </c>
      <c r="H7337" s="28" t="s">
        <v>12149</v>
      </c>
      <c r="I7337" s="5" t="s">
        <v>835</v>
      </c>
    </row>
    <row r="7338" spans="1:9" ht="24.75" customHeight="1">
      <c r="A7338" s="5" t="s">
        <v>25190</v>
      </c>
      <c r="B7338" s="5" t="s">
        <v>43663</v>
      </c>
      <c r="C7338" s="5" t="s">
        <v>43664</v>
      </c>
      <c r="D7338" s="246">
        <v>43340</v>
      </c>
      <c r="E7338" s="5" t="s">
        <v>43665</v>
      </c>
      <c r="F7338" s="26" t="s">
        <v>43282</v>
      </c>
      <c r="G7338" s="27" t="s">
        <v>13764</v>
      </c>
      <c r="H7338" s="28" t="s">
        <v>13765</v>
      </c>
      <c r="I7338" s="5" t="s">
        <v>835</v>
      </c>
    </row>
    <row r="7339" spans="1:9" ht="24.75" customHeight="1">
      <c r="A7339" s="5" t="s">
        <v>25190</v>
      </c>
      <c r="B7339" s="5" t="s">
        <v>43666</v>
      </c>
      <c r="C7339" s="5" t="s">
        <v>43664</v>
      </c>
      <c r="D7339" s="246">
        <v>43340</v>
      </c>
      <c r="E7339" s="5" t="s">
        <v>43667</v>
      </c>
      <c r="F7339" s="26" t="s">
        <v>23600</v>
      </c>
      <c r="G7339" s="27" t="s">
        <v>13764</v>
      </c>
      <c r="H7339" s="28" t="s">
        <v>13765</v>
      </c>
      <c r="I7339" s="5" t="s">
        <v>835</v>
      </c>
    </row>
    <row r="7340" spans="1:9" ht="24.75" customHeight="1">
      <c r="A7340" s="5" t="s">
        <v>37933</v>
      </c>
      <c r="B7340" s="5" t="s">
        <v>43668</v>
      </c>
      <c r="C7340" s="5" t="s">
        <v>43669</v>
      </c>
      <c r="D7340" s="246" t="s">
        <v>68</v>
      </c>
      <c r="E7340" s="5" t="s">
        <v>43670</v>
      </c>
      <c r="F7340" s="26" t="s">
        <v>23600</v>
      </c>
      <c r="G7340" s="27" t="s">
        <v>13798</v>
      </c>
      <c r="H7340" s="28" t="s">
        <v>13799</v>
      </c>
      <c r="I7340" s="5" t="s">
        <v>835</v>
      </c>
    </row>
    <row r="7341" spans="1:9" ht="22.4" customHeight="1">
      <c r="A7341" s="5" t="s">
        <v>25198</v>
      </c>
      <c r="B7341" s="5" t="s">
        <v>43671</v>
      </c>
      <c r="C7341" s="5" t="s">
        <v>43672</v>
      </c>
      <c r="D7341" s="246">
        <v>43474</v>
      </c>
      <c r="E7341" s="5" t="s">
        <v>43673</v>
      </c>
      <c r="F7341" s="26" t="s">
        <v>43282</v>
      </c>
      <c r="G7341" s="27" t="s">
        <v>13898</v>
      </c>
      <c r="H7341" s="28" t="s">
        <v>13899</v>
      </c>
      <c r="I7341" s="5" t="s">
        <v>835</v>
      </c>
    </row>
    <row r="7342" spans="1:9" ht="32.25" customHeight="1">
      <c r="A7342" s="5" t="s">
        <v>25198</v>
      </c>
      <c r="B7342" s="5" t="s">
        <v>43674</v>
      </c>
      <c r="C7342" s="5" t="s">
        <v>43672</v>
      </c>
      <c r="D7342" s="246">
        <v>43474</v>
      </c>
      <c r="E7342" s="5" t="s">
        <v>43675</v>
      </c>
      <c r="F7342" s="26" t="s">
        <v>23600</v>
      </c>
      <c r="G7342" s="27" t="s">
        <v>13898</v>
      </c>
      <c r="H7342" s="28" t="s">
        <v>13899</v>
      </c>
      <c r="I7342" s="5" t="s">
        <v>835</v>
      </c>
    </row>
    <row r="7343" spans="1:9" ht="32.25" customHeight="1">
      <c r="A7343" s="5" t="s">
        <v>27223</v>
      </c>
      <c r="B7343" s="5" t="s">
        <v>43676</v>
      </c>
      <c r="C7343" s="5" t="s">
        <v>43677</v>
      </c>
      <c r="D7343" s="246">
        <v>43080</v>
      </c>
      <c r="E7343" s="5" t="s">
        <v>43678</v>
      </c>
      <c r="F7343" s="26" t="s">
        <v>23600</v>
      </c>
      <c r="G7343" s="27" t="s">
        <v>13036</v>
      </c>
      <c r="H7343" s="28" t="s">
        <v>13037</v>
      </c>
      <c r="I7343" s="5" t="s">
        <v>835</v>
      </c>
    </row>
    <row r="7344" spans="1:9" ht="82.5" customHeight="1">
      <c r="A7344" s="5" t="s">
        <v>27227</v>
      </c>
      <c r="B7344" s="5" t="s">
        <v>43679</v>
      </c>
      <c r="C7344" s="5" t="s">
        <v>43680</v>
      </c>
      <c r="D7344" s="246">
        <v>43080</v>
      </c>
      <c r="E7344" s="5" t="s">
        <v>43681</v>
      </c>
      <c r="F7344" s="26" t="s">
        <v>23600</v>
      </c>
      <c r="G7344" s="27" t="s">
        <v>13036</v>
      </c>
      <c r="H7344" s="28" t="s">
        <v>13037</v>
      </c>
      <c r="I7344" s="5" t="s">
        <v>835</v>
      </c>
    </row>
    <row r="7345" spans="1:9" ht="82.5" customHeight="1">
      <c r="A7345" s="5" t="s">
        <v>25038</v>
      </c>
      <c r="B7345" s="5" t="s">
        <v>43682</v>
      </c>
      <c r="C7345" s="5" t="s">
        <v>43683</v>
      </c>
      <c r="D7345" s="246">
        <v>43080</v>
      </c>
      <c r="E7345" s="5" t="s">
        <v>43684</v>
      </c>
      <c r="F7345" s="26" t="s">
        <v>23600</v>
      </c>
      <c r="G7345" s="27" t="s">
        <v>13036</v>
      </c>
      <c r="H7345" s="28" t="s">
        <v>13037</v>
      </c>
      <c r="I7345" s="5" t="s">
        <v>835</v>
      </c>
    </row>
    <row r="7346" spans="1:9" ht="34.5" customHeight="1">
      <c r="A7346" s="5" t="s">
        <v>28158</v>
      </c>
      <c r="B7346" s="5" t="s">
        <v>43685</v>
      </c>
      <c r="C7346" s="5" t="s">
        <v>43651</v>
      </c>
      <c r="D7346" s="246">
        <v>43165</v>
      </c>
      <c r="E7346" s="5" t="s">
        <v>43652</v>
      </c>
      <c r="F7346" s="26" t="s">
        <v>43282</v>
      </c>
      <c r="G7346" s="27" t="s">
        <v>12966</v>
      </c>
      <c r="H7346" s="28" t="s">
        <v>12967</v>
      </c>
      <c r="I7346" s="5" t="s">
        <v>835</v>
      </c>
    </row>
    <row r="7347" spans="1:9" ht="34.5" customHeight="1">
      <c r="A7347" s="5" t="s">
        <v>28158</v>
      </c>
      <c r="B7347" s="5" t="s">
        <v>43686</v>
      </c>
      <c r="C7347" s="5" t="s">
        <v>43651</v>
      </c>
      <c r="D7347" s="246">
        <v>43165</v>
      </c>
      <c r="E7347" s="5" t="s">
        <v>43687</v>
      </c>
      <c r="F7347" s="26" t="s">
        <v>23600</v>
      </c>
      <c r="G7347" s="27" t="s">
        <v>12966</v>
      </c>
      <c r="H7347" s="28" t="s">
        <v>12967</v>
      </c>
      <c r="I7347" s="5" t="s">
        <v>835</v>
      </c>
    </row>
    <row r="7348" spans="1:9" ht="38.9" customHeight="1">
      <c r="A7348" s="5" t="s">
        <v>28165</v>
      </c>
      <c r="B7348" s="5" t="s">
        <v>43688</v>
      </c>
      <c r="C7348" s="5" t="s">
        <v>43689</v>
      </c>
      <c r="D7348" s="246">
        <v>43473</v>
      </c>
      <c r="E7348" s="5" t="s">
        <v>43690</v>
      </c>
      <c r="F7348" s="26" t="s">
        <v>43282</v>
      </c>
      <c r="G7348" s="27" t="s">
        <v>14258</v>
      </c>
      <c r="H7348" s="28" t="s">
        <v>14259</v>
      </c>
      <c r="I7348" s="5" t="s">
        <v>835</v>
      </c>
    </row>
    <row r="7349" spans="1:9" ht="38.9" customHeight="1">
      <c r="A7349" s="5" t="s">
        <v>28165</v>
      </c>
      <c r="B7349" s="5" t="s">
        <v>43691</v>
      </c>
      <c r="C7349" s="5" t="s">
        <v>43689</v>
      </c>
      <c r="D7349" s="246">
        <v>43473</v>
      </c>
      <c r="E7349" s="5" t="s">
        <v>43692</v>
      </c>
      <c r="F7349" s="26" t="s">
        <v>23600</v>
      </c>
      <c r="G7349" s="27" t="s">
        <v>14258</v>
      </c>
      <c r="H7349" s="28" t="s">
        <v>14259</v>
      </c>
      <c r="I7349" s="5" t="s">
        <v>835</v>
      </c>
    </row>
    <row r="7350" spans="1:9" ht="38.9" customHeight="1">
      <c r="A7350" s="5" t="s">
        <v>23708</v>
      </c>
      <c r="B7350" s="5" t="s">
        <v>43693</v>
      </c>
      <c r="C7350" s="5" t="s">
        <v>43694</v>
      </c>
      <c r="D7350" s="246">
        <v>43536</v>
      </c>
      <c r="E7350" s="5" t="s">
        <v>43695</v>
      </c>
      <c r="F7350" s="26" t="s">
        <v>43282</v>
      </c>
      <c r="G7350" s="27" t="s">
        <v>14549</v>
      </c>
      <c r="H7350" s="28" t="s">
        <v>14550</v>
      </c>
      <c r="I7350" s="5" t="s">
        <v>835</v>
      </c>
    </row>
    <row r="7351" spans="1:9" ht="38.9" customHeight="1">
      <c r="A7351" s="5" t="s">
        <v>23708</v>
      </c>
      <c r="B7351" s="5" t="s">
        <v>43696</v>
      </c>
      <c r="C7351" s="5" t="s">
        <v>43694</v>
      </c>
      <c r="D7351" s="246">
        <v>43536</v>
      </c>
      <c r="E7351" s="5" t="s">
        <v>43697</v>
      </c>
      <c r="F7351" s="26" t="s">
        <v>23600</v>
      </c>
      <c r="G7351" s="27" t="s">
        <v>14549</v>
      </c>
      <c r="H7351" s="28" t="s">
        <v>14550</v>
      </c>
      <c r="I7351" s="5" t="s">
        <v>835</v>
      </c>
    </row>
    <row r="7352" spans="1:9" ht="46.4" customHeight="1">
      <c r="A7352" s="5" t="s">
        <v>27119</v>
      </c>
      <c r="B7352" s="5" t="s">
        <v>43698</v>
      </c>
      <c r="C7352" s="5" t="s">
        <v>43699</v>
      </c>
      <c r="D7352" s="246">
        <v>43473</v>
      </c>
      <c r="E7352" s="5" t="s">
        <v>43700</v>
      </c>
      <c r="F7352" s="26" t="s">
        <v>23600</v>
      </c>
      <c r="G7352" s="27" t="s">
        <v>14759</v>
      </c>
      <c r="H7352" s="28" t="s">
        <v>14760</v>
      </c>
      <c r="I7352" s="5" t="s">
        <v>835</v>
      </c>
    </row>
    <row r="7353" spans="1:9" ht="46.4" customHeight="1">
      <c r="A7353" s="5" t="s">
        <v>28323</v>
      </c>
      <c r="B7353" s="5" t="s">
        <v>43701</v>
      </c>
      <c r="C7353" s="5" t="s">
        <v>43694</v>
      </c>
      <c r="D7353" s="246">
        <v>43536</v>
      </c>
      <c r="E7353" s="5" t="s">
        <v>43702</v>
      </c>
      <c r="F7353" s="26" t="s">
        <v>23600</v>
      </c>
      <c r="G7353" s="27" t="s">
        <v>8238</v>
      </c>
      <c r="H7353" s="28" t="s">
        <v>8239</v>
      </c>
      <c r="I7353" s="5" t="s">
        <v>835</v>
      </c>
    </row>
    <row r="7354" spans="1:9" ht="46.4" customHeight="1">
      <c r="A7354" s="5" t="s">
        <v>27066</v>
      </c>
      <c r="B7354" s="5" t="s">
        <v>43703</v>
      </c>
      <c r="C7354" s="5" t="s">
        <v>43704</v>
      </c>
      <c r="D7354" s="246">
        <v>43474</v>
      </c>
      <c r="E7354" s="5" t="s">
        <v>43705</v>
      </c>
      <c r="F7354" s="26" t="s">
        <v>23600</v>
      </c>
      <c r="G7354" s="27" t="s">
        <v>15133</v>
      </c>
      <c r="H7354" s="28" t="s">
        <v>15134</v>
      </c>
      <c r="I7354" s="5" t="s">
        <v>835</v>
      </c>
    </row>
    <row r="7355" spans="1:9" ht="44.25" customHeight="1">
      <c r="A7355" s="5" t="s">
        <v>23700</v>
      </c>
      <c r="B7355" s="5" t="s">
        <v>43706</v>
      </c>
      <c r="C7355" s="5" t="s">
        <v>43707</v>
      </c>
      <c r="D7355" s="246">
        <v>43739</v>
      </c>
      <c r="E7355" s="5" t="s">
        <v>43708</v>
      </c>
      <c r="F7355" s="26" t="s">
        <v>43282</v>
      </c>
      <c r="G7355" s="27" t="s">
        <v>15164</v>
      </c>
      <c r="H7355" s="28" t="s">
        <v>15165</v>
      </c>
      <c r="I7355" s="5" t="s">
        <v>835</v>
      </c>
    </row>
    <row r="7356" spans="1:9" ht="44.25" customHeight="1">
      <c r="A7356" s="5" t="s">
        <v>23700</v>
      </c>
      <c r="B7356" s="5" t="s">
        <v>43709</v>
      </c>
      <c r="C7356" s="5" t="s">
        <v>43707</v>
      </c>
      <c r="D7356" s="246">
        <v>43739</v>
      </c>
      <c r="E7356" s="5" t="s">
        <v>43710</v>
      </c>
      <c r="F7356" s="26" t="s">
        <v>23600</v>
      </c>
      <c r="G7356" s="27" t="s">
        <v>15164</v>
      </c>
      <c r="H7356" s="28" t="s">
        <v>15165</v>
      </c>
      <c r="I7356" s="5" t="s">
        <v>835</v>
      </c>
    </row>
    <row r="7357" spans="1:9" ht="25.4" customHeight="1">
      <c r="A7357" s="5" t="s">
        <v>39080</v>
      </c>
      <c r="B7357" s="5" t="s">
        <v>43711</v>
      </c>
      <c r="C7357" s="5" t="s">
        <v>43712</v>
      </c>
      <c r="D7357" s="246">
        <v>43340</v>
      </c>
      <c r="E7357" s="5" t="s">
        <v>43713</v>
      </c>
      <c r="F7357" s="26" t="s">
        <v>23600</v>
      </c>
      <c r="G7357" s="27" t="s">
        <v>14281</v>
      </c>
      <c r="H7357" s="28" t="s">
        <v>14282</v>
      </c>
      <c r="I7357" s="5" t="s">
        <v>835</v>
      </c>
    </row>
    <row r="7358" spans="1:9" ht="25.4" customHeight="1">
      <c r="A7358" s="5" t="s">
        <v>23712</v>
      </c>
      <c r="B7358" s="5" t="s">
        <v>43714</v>
      </c>
      <c r="C7358" s="5" t="s">
        <v>43669</v>
      </c>
      <c r="D7358" s="246">
        <v>43340</v>
      </c>
      <c r="E7358" s="5" t="s">
        <v>43715</v>
      </c>
      <c r="F7358" s="26" t="s">
        <v>43282</v>
      </c>
      <c r="G7358" s="27" t="s">
        <v>14287</v>
      </c>
      <c r="H7358" s="28" t="s">
        <v>14288</v>
      </c>
      <c r="I7358" s="5" t="s">
        <v>835</v>
      </c>
    </row>
    <row r="7359" spans="1:9" ht="25.4" customHeight="1">
      <c r="A7359" s="5" t="s">
        <v>23712</v>
      </c>
      <c r="B7359" s="5" t="s">
        <v>43716</v>
      </c>
      <c r="C7359" s="5" t="s">
        <v>43669</v>
      </c>
      <c r="D7359" s="246">
        <v>43340</v>
      </c>
      <c r="E7359" s="5" t="s">
        <v>43717</v>
      </c>
      <c r="F7359" s="26" t="s">
        <v>23600</v>
      </c>
      <c r="G7359" s="27" t="s">
        <v>14287</v>
      </c>
      <c r="H7359" s="28" t="s">
        <v>14288</v>
      </c>
      <c r="I7359" s="5" t="s">
        <v>835</v>
      </c>
    </row>
    <row r="7360" spans="1:9" ht="25.4" customHeight="1">
      <c r="A7360" s="5" t="s">
        <v>37326</v>
      </c>
      <c r="B7360" s="5" t="s">
        <v>43718</v>
      </c>
      <c r="C7360" s="5" t="s">
        <v>43719</v>
      </c>
      <c r="D7360" s="246">
        <v>44026</v>
      </c>
      <c r="E7360" s="5" t="s">
        <v>43720</v>
      </c>
      <c r="F7360" s="26" t="s">
        <v>43282</v>
      </c>
      <c r="G7360" s="27" t="s">
        <v>15670</v>
      </c>
      <c r="H7360" s="28" t="s">
        <v>15671</v>
      </c>
      <c r="I7360" s="5" t="s">
        <v>835</v>
      </c>
    </row>
    <row r="7361" spans="1:9" ht="25.4" customHeight="1">
      <c r="A7361" s="5" t="s">
        <v>37326</v>
      </c>
      <c r="B7361" s="5" t="s">
        <v>43721</v>
      </c>
      <c r="C7361" s="5" t="s">
        <v>43719</v>
      </c>
      <c r="D7361" s="246">
        <v>44026</v>
      </c>
      <c r="E7361" s="5" t="s">
        <v>43722</v>
      </c>
      <c r="F7361" s="26" t="s">
        <v>23600</v>
      </c>
      <c r="G7361" s="27" t="s">
        <v>15670</v>
      </c>
      <c r="H7361" s="28" t="s">
        <v>15671</v>
      </c>
      <c r="I7361" s="5" t="s">
        <v>835</v>
      </c>
    </row>
    <row r="7362" spans="1:9" ht="25.4" customHeight="1">
      <c r="A7362" s="5" t="s">
        <v>35654</v>
      </c>
      <c r="B7362" s="5" t="s">
        <v>43723</v>
      </c>
      <c r="C7362" s="5" t="s">
        <v>43724</v>
      </c>
      <c r="D7362" s="246">
        <v>44026</v>
      </c>
      <c r="E7362" s="5" t="s">
        <v>43725</v>
      </c>
      <c r="F7362" s="26" t="s">
        <v>43282</v>
      </c>
      <c r="G7362" s="27" t="s">
        <v>15670</v>
      </c>
      <c r="H7362" s="28" t="s">
        <v>15671</v>
      </c>
      <c r="I7362" s="5" t="s">
        <v>835</v>
      </c>
    </row>
    <row r="7363" spans="1:9" ht="25.4" customHeight="1">
      <c r="A7363" s="5" t="s">
        <v>35654</v>
      </c>
      <c r="B7363" s="5" t="s">
        <v>43726</v>
      </c>
      <c r="C7363" s="5" t="s">
        <v>43724</v>
      </c>
      <c r="D7363" s="246">
        <v>44026</v>
      </c>
      <c r="E7363" s="5" t="s">
        <v>43727</v>
      </c>
      <c r="F7363" s="26" t="s">
        <v>23600</v>
      </c>
      <c r="G7363" s="27" t="s">
        <v>15670</v>
      </c>
      <c r="H7363" s="28" t="s">
        <v>15671</v>
      </c>
      <c r="I7363" s="5" t="s">
        <v>835</v>
      </c>
    </row>
    <row r="7364" spans="1:9" ht="25.4" customHeight="1">
      <c r="A7364" s="5" t="s">
        <v>23704</v>
      </c>
      <c r="B7364" s="5" t="s">
        <v>43728</v>
      </c>
      <c r="C7364" s="5" t="s">
        <v>43729</v>
      </c>
      <c r="D7364" s="246">
        <v>43900</v>
      </c>
      <c r="E7364" s="5" t="s">
        <v>43730</v>
      </c>
      <c r="F7364" s="26" t="s">
        <v>23600</v>
      </c>
      <c r="G7364" s="27" t="s">
        <v>15932</v>
      </c>
      <c r="H7364" s="28" t="s">
        <v>15933</v>
      </c>
      <c r="I7364" s="5" t="s">
        <v>835</v>
      </c>
    </row>
    <row r="7365" spans="1:9" ht="20.9" customHeight="1">
      <c r="A7365" s="5" t="s">
        <v>28178</v>
      </c>
      <c r="B7365" s="5" t="s">
        <v>43731</v>
      </c>
      <c r="C7365" s="5" t="s">
        <v>43732</v>
      </c>
      <c r="D7365" s="246">
        <v>43900</v>
      </c>
      <c r="E7365" s="5" t="s">
        <v>43733</v>
      </c>
      <c r="F7365" s="26" t="s">
        <v>23600</v>
      </c>
      <c r="G7365" s="27" t="s">
        <v>15932</v>
      </c>
      <c r="H7365" s="28" t="s">
        <v>15933</v>
      </c>
      <c r="I7365" s="5" t="s">
        <v>835</v>
      </c>
    </row>
    <row r="7366" spans="1:9" ht="20.9" customHeight="1">
      <c r="A7366" s="5" t="s">
        <v>24347</v>
      </c>
      <c r="B7366" s="5" t="s">
        <v>43734</v>
      </c>
      <c r="C7366" s="5" t="s">
        <v>43735</v>
      </c>
      <c r="D7366" s="246">
        <v>43486</v>
      </c>
      <c r="E7366" s="5" t="s">
        <v>43736</v>
      </c>
      <c r="F7366" s="26" t="s">
        <v>23600</v>
      </c>
      <c r="G7366" s="27" t="s">
        <v>13678</v>
      </c>
      <c r="H7366" s="28" t="s">
        <v>13679</v>
      </c>
      <c r="I7366" s="5" t="s">
        <v>835</v>
      </c>
    </row>
    <row r="7367" spans="1:9" ht="22.5" customHeight="1">
      <c r="A7367" s="5" t="s">
        <v>27638</v>
      </c>
      <c r="B7367" s="5" t="s">
        <v>43737</v>
      </c>
      <c r="C7367" s="5" t="s">
        <v>43738</v>
      </c>
      <c r="D7367" s="246">
        <v>44026</v>
      </c>
      <c r="E7367" s="5" t="s">
        <v>43739</v>
      </c>
      <c r="F7367" s="26" t="s">
        <v>23600</v>
      </c>
      <c r="G7367" s="27" t="s">
        <v>16549</v>
      </c>
      <c r="H7367" s="28" t="s">
        <v>16550</v>
      </c>
      <c r="I7367" s="5" t="s">
        <v>835</v>
      </c>
    </row>
    <row r="7368" spans="1:9" ht="22.5" customHeight="1">
      <c r="A7368" s="5" t="s">
        <v>43740</v>
      </c>
      <c r="B7368" s="5" t="s">
        <v>43741</v>
      </c>
      <c r="C7368" s="5" t="s">
        <v>43742</v>
      </c>
      <c r="D7368" s="246">
        <v>44138</v>
      </c>
      <c r="E7368" s="5" t="s">
        <v>43743</v>
      </c>
      <c r="F7368" s="26" t="s">
        <v>23600</v>
      </c>
      <c r="G7368" s="27" t="s">
        <v>16798</v>
      </c>
      <c r="H7368" s="28" t="s">
        <v>16799</v>
      </c>
      <c r="I7368" s="5" t="s">
        <v>835</v>
      </c>
    </row>
    <row r="7369" spans="1:9" ht="22.5" customHeight="1">
      <c r="A7369" s="5" t="s">
        <v>28182</v>
      </c>
      <c r="B7369" s="5" t="s">
        <v>43744</v>
      </c>
      <c r="C7369" s="5" t="s">
        <v>43745</v>
      </c>
      <c r="D7369" s="246">
        <v>43900</v>
      </c>
      <c r="E7369" s="5" t="s">
        <v>43746</v>
      </c>
      <c r="F7369" s="26" t="s">
        <v>23600</v>
      </c>
      <c r="G7369" s="27" t="s">
        <v>16472</v>
      </c>
      <c r="H7369" s="28" t="s">
        <v>16473</v>
      </c>
      <c r="I7369" s="5" t="s">
        <v>835</v>
      </c>
    </row>
    <row r="7370" spans="1:9" ht="22.5" customHeight="1">
      <c r="A7370" s="5" t="s">
        <v>25262</v>
      </c>
      <c r="B7370" s="5" t="s">
        <v>43747</v>
      </c>
      <c r="C7370" s="5" t="s">
        <v>43748</v>
      </c>
      <c r="D7370" s="246">
        <v>43900</v>
      </c>
      <c r="E7370" s="5" t="s">
        <v>43749</v>
      </c>
      <c r="F7370" s="26" t="s">
        <v>23600</v>
      </c>
      <c r="G7370" s="27" t="s">
        <v>16472</v>
      </c>
      <c r="H7370" s="28" t="s">
        <v>16473</v>
      </c>
      <c r="I7370" s="5" t="s">
        <v>835</v>
      </c>
    </row>
    <row r="7371" spans="1:9" ht="42.65" customHeight="1">
      <c r="A7371" s="5" t="s">
        <v>25265</v>
      </c>
      <c r="B7371" s="5" t="s">
        <v>43750</v>
      </c>
      <c r="C7371" s="5" t="s">
        <v>43751</v>
      </c>
      <c r="D7371" s="246">
        <v>43900</v>
      </c>
      <c r="E7371" s="5" t="s">
        <v>43752</v>
      </c>
      <c r="F7371" s="26" t="s">
        <v>23600</v>
      </c>
      <c r="G7371" s="27" t="s">
        <v>16472</v>
      </c>
      <c r="H7371" s="28" t="s">
        <v>16473</v>
      </c>
      <c r="I7371" s="5" t="s">
        <v>835</v>
      </c>
    </row>
    <row r="7372" spans="1:9" ht="42.65" customHeight="1">
      <c r="A7372" s="5" t="s">
        <v>27650</v>
      </c>
      <c r="B7372" s="5" t="s">
        <v>43753</v>
      </c>
      <c r="C7372" s="5" t="s">
        <v>43754</v>
      </c>
      <c r="D7372" s="246">
        <v>44026</v>
      </c>
      <c r="E7372" s="5" t="s">
        <v>43755</v>
      </c>
      <c r="F7372" s="26" t="s">
        <v>23600</v>
      </c>
      <c r="G7372" s="27" t="s">
        <v>16461</v>
      </c>
      <c r="H7372" s="28" t="s">
        <v>16462</v>
      </c>
      <c r="I7372" s="5" t="s">
        <v>835</v>
      </c>
    </row>
    <row r="7373" spans="1:9" ht="42.65" customHeight="1">
      <c r="A7373" s="5" t="s">
        <v>27654</v>
      </c>
      <c r="B7373" s="5" t="s">
        <v>43756</v>
      </c>
      <c r="C7373" s="5" t="s">
        <v>43757</v>
      </c>
      <c r="D7373" s="246">
        <v>44026</v>
      </c>
      <c r="E7373" s="5" t="s">
        <v>43758</v>
      </c>
      <c r="F7373" s="26" t="s">
        <v>23600</v>
      </c>
      <c r="G7373" s="27" t="s">
        <v>16461</v>
      </c>
      <c r="H7373" s="28" t="s">
        <v>16462</v>
      </c>
      <c r="I7373" s="5" t="s">
        <v>835</v>
      </c>
    </row>
    <row r="7374" spans="1:9" ht="26.15" customHeight="1">
      <c r="A7374" s="5" t="s">
        <v>35661</v>
      </c>
      <c r="B7374" s="5" t="s">
        <v>43759</v>
      </c>
      <c r="C7374" s="5" t="s">
        <v>43760</v>
      </c>
      <c r="D7374" s="246">
        <v>44026</v>
      </c>
      <c r="E7374" s="5" t="s">
        <v>43761</v>
      </c>
      <c r="F7374" s="26" t="s">
        <v>23600</v>
      </c>
      <c r="G7374" s="27" t="s">
        <v>16870</v>
      </c>
      <c r="H7374" s="28" t="s">
        <v>16871</v>
      </c>
      <c r="I7374" s="5" t="s">
        <v>835</v>
      </c>
    </row>
    <row r="7375" spans="1:9" ht="26.15" customHeight="1">
      <c r="A7375" s="5" t="s">
        <v>25517</v>
      </c>
      <c r="B7375" s="5" t="s">
        <v>43762</v>
      </c>
      <c r="C7375" s="5" t="s">
        <v>43763</v>
      </c>
      <c r="D7375" s="246">
        <v>43711</v>
      </c>
      <c r="E7375" s="5" t="s">
        <v>43764</v>
      </c>
      <c r="F7375" s="26" t="s">
        <v>43282</v>
      </c>
      <c r="G7375" s="27" t="s">
        <v>14744</v>
      </c>
      <c r="H7375" s="28" t="s">
        <v>14745</v>
      </c>
      <c r="I7375" s="5" t="s">
        <v>835</v>
      </c>
    </row>
    <row r="7376" spans="1:9" ht="29.25" customHeight="1">
      <c r="A7376" s="5" t="s">
        <v>25517</v>
      </c>
      <c r="B7376" s="5" t="s">
        <v>43765</v>
      </c>
      <c r="C7376" s="5" t="s">
        <v>43763</v>
      </c>
      <c r="D7376" s="246">
        <v>43711</v>
      </c>
      <c r="E7376" s="5" t="s">
        <v>43766</v>
      </c>
      <c r="F7376" s="26" t="s">
        <v>23600</v>
      </c>
      <c r="G7376" s="27" t="s">
        <v>14744</v>
      </c>
      <c r="H7376" s="28" t="s">
        <v>14745</v>
      </c>
      <c r="I7376" s="5" t="s">
        <v>835</v>
      </c>
    </row>
    <row r="7377" spans="1:9" ht="34.4" customHeight="1">
      <c r="A7377" s="5"/>
      <c r="B7377" s="5" t="s">
        <v>43767</v>
      </c>
      <c r="C7377" s="5" t="s">
        <v>43768</v>
      </c>
      <c r="D7377" s="246">
        <v>44075</v>
      </c>
      <c r="E7377" s="5" t="s">
        <v>43769</v>
      </c>
      <c r="F7377" s="26" t="s">
        <v>43282</v>
      </c>
      <c r="G7377" s="27" t="s">
        <v>17897</v>
      </c>
      <c r="H7377" s="29" t="s">
        <v>17898</v>
      </c>
      <c r="I7377" s="30" t="s">
        <v>835</v>
      </c>
    </row>
    <row r="7378" spans="1:9" ht="34.4" customHeight="1">
      <c r="A7378" s="5"/>
      <c r="B7378" s="5" t="s">
        <v>43770</v>
      </c>
      <c r="C7378" s="5" t="s">
        <v>43771</v>
      </c>
      <c r="D7378" s="246">
        <v>44076</v>
      </c>
      <c r="E7378" s="5" t="s">
        <v>43772</v>
      </c>
      <c r="F7378" s="26" t="s">
        <v>43282</v>
      </c>
      <c r="G7378" s="27" t="s">
        <v>17897</v>
      </c>
      <c r="H7378" s="29" t="s">
        <v>17898</v>
      </c>
      <c r="I7378" s="30" t="s">
        <v>835</v>
      </c>
    </row>
    <row r="7379" spans="1:9" ht="33.65" customHeight="1">
      <c r="A7379" s="5"/>
      <c r="B7379" s="5" t="s">
        <v>43773</v>
      </c>
      <c r="C7379" s="5" t="s">
        <v>43774</v>
      </c>
      <c r="D7379" s="246">
        <v>44348</v>
      </c>
      <c r="E7379" s="5" t="s">
        <v>43775</v>
      </c>
      <c r="F7379" s="26" t="s">
        <v>43282</v>
      </c>
      <c r="G7379" s="27" t="s">
        <v>17897</v>
      </c>
      <c r="H7379" s="29" t="s">
        <v>17898</v>
      </c>
      <c r="I7379" s="46" t="s">
        <v>835</v>
      </c>
    </row>
    <row r="7380" spans="1:9" ht="33.65" customHeight="1">
      <c r="A7380" s="5"/>
      <c r="B7380" s="5" t="s">
        <v>43776</v>
      </c>
      <c r="C7380" s="5" t="s">
        <v>43768</v>
      </c>
      <c r="D7380" s="246">
        <v>44075</v>
      </c>
      <c r="E7380" s="5" t="s">
        <v>43769</v>
      </c>
      <c r="F7380" s="26" t="s">
        <v>43282</v>
      </c>
      <c r="G7380" s="27" t="s">
        <v>17963</v>
      </c>
      <c r="H7380" s="29" t="s">
        <v>17964</v>
      </c>
      <c r="I7380" s="46" t="s">
        <v>835</v>
      </c>
    </row>
    <row r="7381" spans="1:9" ht="33.65" customHeight="1">
      <c r="A7381" s="5"/>
      <c r="B7381" s="5" t="s">
        <v>43777</v>
      </c>
      <c r="C7381" s="5" t="s">
        <v>43771</v>
      </c>
      <c r="D7381" s="246">
        <v>44075</v>
      </c>
      <c r="E7381" s="5" t="s">
        <v>43772</v>
      </c>
      <c r="F7381" s="26" t="s">
        <v>43282</v>
      </c>
      <c r="G7381" s="27" t="s">
        <v>17963</v>
      </c>
      <c r="H7381" s="29" t="s">
        <v>17964</v>
      </c>
      <c r="I7381" s="46" t="s">
        <v>835</v>
      </c>
    </row>
    <row r="7382" spans="1:9" ht="33.65" customHeight="1">
      <c r="A7382" s="5"/>
      <c r="B7382" s="5" t="s">
        <v>43778</v>
      </c>
      <c r="C7382" s="5" t="s">
        <v>43774</v>
      </c>
      <c r="D7382" s="246">
        <v>44348</v>
      </c>
      <c r="E7382" s="5" t="s">
        <v>43775</v>
      </c>
      <c r="F7382" s="26" t="s">
        <v>43282</v>
      </c>
      <c r="G7382" s="27" t="s">
        <v>17963</v>
      </c>
      <c r="H7382" s="29" t="s">
        <v>17964</v>
      </c>
      <c r="I7382" s="46" t="s">
        <v>835</v>
      </c>
    </row>
    <row r="7383" spans="1:9" ht="33" customHeight="1">
      <c r="A7383" s="5"/>
      <c r="B7383" s="5" t="s">
        <v>43779</v>
      </c>
      <c r="C7383" s="5" t="s">
        <v>43768</v>
      </c>
      <c r="D7383" s="246">
        <v>44075</v>
      </c>
      <c r="E7383" s="5" t="s">
        <v>43769</v>
      </c>
      <c r="F7383" s="26" t="s">
        <v>43282</v>
      </c>
      <c r="G7383" s="27" t="s">
        <v>17983</v>
      </c>
      <c r="H7383" s="29" t="s">
        <v>17984</v>
      </c>
      <c r="I7383" s="30" t="s">
        <v>835</v>
      </c>
    </row>
    <row r="7384" spans="1:9" ht="33" customHeight="1">
      <c r="A7384" s="5"/>
      <c r="B7384" s="5" t="s">
        <v>43780</v>
      </c>
      <c r="C7384" s="5" t="s">
        <v>43771</v>
      </c>
      <c r="D7384" s="246">
        <v>44075</v>
      </c>
      <c r="E7384" s="5" t="s">
        <v>43772</v>
      </c>
      <c r="F7384" s="26" t="s">
        <v>43282</v>
      </c>
      <c r="G7384" s="27" t="s">
        <v>17983</v>
      </c>
      <c r="H7384" s="29" t="s">
        <v>17984</v>
      </c>
      <c r="I7384" s="30" t="s">
        <v>835</v>
      </c>
    </row>
    <row r="7385" spans="1:9" ht="33" customHeight="1">
      <c r="A7385" s="5"/>
      <c r="B7385" s="5" t="s">
        <v>43781</v>
      </c>
      <c r="C7385" s="5" t="s">
        <v>43774</v>
      </c>
      <c r="D7385" s="246">
        <v>44348</v>
      </c>
      <c r="E7385" s="5" t="s">
        <v>43775</v>
      </c>
      <c r="F7385" s="26" t="s">
        <v>43282</v>
      </c>
      <c r="G7385" s="27" t="s">
        <v>17983</v>
      </c>
      <c r="H7385" s="29" t="s">
        <v>17984</v>
      </c>
      <c r="I7385" s="30" t="s">
        <v>835</v>
      </c>
    </row>
    <row r="7386" spans="1:9" ht="33" customHeight="1">
      <c r="A7386" s="5"/>
      <c r="B7386" s="5" t="s">
        <v>43782</v>
      </c>
      <c r="C7386" s="5" t="s">
        <v>43783</v>
      </c>
      <c r="D7386" s="246">
        <v>44348</v>
      </c>
      <c r="E7386" s="5" t="s">
        <v>43784</v>
      </c>
      <c r="F7386" s="26" t="s">
        <v>43282</v>
      </c>
      <c r="G7386" s="27" t="s">
        <v>17258</v>
      </c>
      <c r="H7386" s="29" t="s">
        <v>17259</v>
      </c>
      <c r="I7386" s="30" t="s">
        <v>835</v>
      </c>
    </row>
    <row r="7387" spans="1:9" ht="33" customHeight="1">
      <c r="A7387" s="5"/>
      <c r="B7387" s="5" t="str">
        <f>CONCATENATE(G7387,"/",COUNTIF($G$2:G7387,G7387))</f>
        <v>HU-6269/1</v>
      </c>
      <c r="C7387" s="5" t="s">
        <v>43785</v>
      </c>
      <c r="D7387" s="246">
        <v>44433</v>
      </c>
      <c r="E7387" s="5" t="s">
        <v>43786</v>
      </c>
      <c r="F7387" s="26" t="s">
        <v>23600</v>
      </c>
      <c r="G7387" s="27" t="s">
        <v>17600</v>
      </c>
      <c r="H7387" s="29" t="s">
        <v>17601</v>
      </c>
      <c r="I7387" s="30" t="s">
        <v>835</v>
      </c>
    </row>
    <row r="7388" spans="1:9" ht="29.15" customHeight="1">
      <c r="A7388" s="5"/>
      <c r="B7388" s="5" t="str">
        <f>CONCATENATE(G7388,"/",COUNTIF($G$2:G7388,G7388))</f>
        <v>HU-6269/2</v>
      </c>
      <c r="C7388" s="5" t="s">
        <v>43787</v>
      </c>
      <c r="D7388" s="246">
        <v>44433</v>
      </c>
      <c r="E7388" s="5" t="s">
        <v>43788</v>
      </c>
      <c r="F7388" s="26" t="s">
        <v>23600</v>
      </c>
      <c r="G7388" s="27" t="s">
        <v>17600</v>
      </c>
      <c r="H7388" s="29" t="s">
        <v>17601</v>
      </c>
      <c r="I7388" s="30" t="s">
        <v>835</v>
      </c>
    </row>
    <row r="7389" spans="1:9" ht="29.15" customHeight="1">
      <c r="A7389" s="5"/>
      <c r="B7389" s="5" t="str">
        <f>CONCATENATE(G7389,"/",COUNTIF($G$2:G7389,G7389))</f>
        <v>HU-6269/3</v>
      </c>
      <c r="C7389" s="5" t="s">
        <v>43789</v>
      </c>
      <c r="D7389" s="246">
        <v>44433</v>
      </c>
      <c r="E7389" s="5" t="s">
        <v>43790</v>
      </c>
      <c r="F7389" s="26" t="s">
        <v>23600</v>
      </c>
      <c r="G7389" s="27" t="s">
        <v>17600</v>
      </c>
      <c r="H7389" s="29" t="s">
        <v>17601</v>
      </c>
      <c r="I7389" s="30" t="s">
        <v>835</v>
      </c>
    </row>
    <row r="7390" spans="1:9" ht="34.5" customHeight="1">
      <c r="A7390" s="5"/>
      <c r="B7390" s="5" t="str">
        <f>CONCATENATE(G7390,"/",COUNTIF($G$2:G7390,G7390))</f>
        <v>HU-6275/1</v>
      </c>
      <c r="C7390" s="5" t="s">
        <v>43791</v>
      </c>
      <c r="D7390" s="246">
        <v>44432</v>
      </c>
      <c r="E7390" s="5" t="s">
        <v>43792</v>
      </c>
      <c r="F7390" s="26" t="s">
        <v>23600</v>
      </c>
      <c r="G7390" s="27" t="s">
        <v>17827</v>
      </c>
      <c r="H7390" s="29" t="s">
        <v>17828</v>
      </c>
      <c r="I7390" s="30" t="s">
        <v>835</v>
      </c>
    </row>
    <row r="7391" spans="1:9" ht="31.5" customHeight="1">
      <c r="A7391" s="5"/>
      <c r="B7391" s="5" t="str">
        <f>CONCATENATE(G7391,"/",COUNTIF($G$2:G7391,G7391))</f>
        <v>HU-6373/1</v>
      </c>
      <c r="C7391" s="5" t="s">
        <v>43793</v>
      </c>
      <c r="D7391" s="246">
        <v>44432</v>
      </c>
      <c r="E7391" s="5" t="s">
        <v>43794</v>
      </c>
      <c r="F7391" s="26" t="s">
        <v>23600</v>
      </c>
      <c r="G7391" s="27" t="s">
        <v>18369</v>
      </c>
      <c r="H7391" s="28" t="s">
        <v>18370</v>
      </c>
      <c r="I7391" s="5" t="s">
        <v>835</v>
      </c>
    </row>
    <row r="7392" spans="1:9" ht="31.5" customHeight="1">
      <c r="A7392" s="5"/>
      <c r="B7392" s="5" t="str">
        <f>CONCATENATE(G7392,"/",COUNTIF($G$2:G7392,G7392))</f>
        <v>HU-6373/2</v>
      </c>
      <c r="C7392" s="5" t="s">
        <v>43795</v>
      </c>
      <c r="D7392" s="246">
        <v>44432</v>
      </c>
      <c r="E7392" s="5" t="s">
        <v>43796</v>
      </c>
      <c r="F7392" s="26" t="s">
        <v>23600</v>
      </c>
      <c r="G7392" s="27" t="s">
        <v>18369</v>
      </c>
      <c r="H7392" s="28" t="s">
        <v>18370</v>
      </c>
      <c r="I7392" s="5" t="s">
        <v>835</v>
      </c>
    </row>
    <row r="7393" spans="1:9" ht="53.25" customHeight="1">
      <c r="A7393" s="5"/>
      <c r="B7393" s="5" t="str">
        <f>CONCATENATE(G7393,"/",COUNTIF($G$2:G7393,G7393))</f>
        <v>CZ-10028/1</v>
      </c>
      <c r="C7393" s="5" t="s">
        <v>23621</v>
      </c>
      <c r="D7393" s="246">
        <v>44512</v>
      </c>
      <c r="E7393" s="5" t="s">
        <v>43797</v>
      </c>
      <c r="F7393" s="26" t="s">
        <v>23600</v>
      </c>
      <c r="G7393" s="36" t="s">
        <v>18633</v>
      </c>
      <c r="H7393" s="38" t="s">
        <v>18634</v>
      </c>
      <c r="I7393" s="46" t="s">
        <v>16429</v>
      </c>
    </row>
    <row r="7394" spans="1:9" ht="30.75" customHeight="1">
      <c r="A7394" s="5"/>
      <c r="B7394" s="5" t="str">
        <f>CONCATENATE(G7394,"/",COUNTIF($G$2:G7394,G7394))</f>
        <v>PL-10018/1</v>
      </c>
      <c r="C7394" s="5" t="s">
        <v>43798</v>
      </c>
      <c r="D7394" s="246">
        <v>44483</v>
      </c>
      <c r="E7394" s="5" t="s">
        <v>43799</v>
      </c>
      <c r="F7394" s="26" t="s">
        <v>23600</v>
      </c>
      <c r="G7394" s="36" t="s">
        <v>18479</v>
      </c>
      <c r="H7394" s="38" t="s">
        <v>18480</v>
      </c>
      <c r="I7394" s="46" t="s">
        <v>17057</v>
      </c>
    </row>
    <row r="7395" spans="1:9" ht="30.75" customHeight="1">
      <c r="A7395" s="5"/>
      <c r="B7395" s="5" t="str">
        <f>CONCATENATE(G7395,"/",COUNTIF($G$2:G7395,G7395))</f>
        <v>PL-10018/2</v>
      </c>
      <c r="C7395" s="5" t="s">
        <v>43800</v>
      </c>
      <c r="D7395" s="246">
        <v>44483</v>
      </c>
      <c r="E7395" s="5" t="s">
        <v>43801</v>
      </c>
      <c r="F7395" s="26" t="s">
        <v>23600</v>
      </c>
      <c r="G7395" s="36" t="s">
        <v>18479</v>
      </c>
      <c r="H7395" s="38" t="s">
        <v>18480</v>
      </c>
      <c r="I7395" s="46" t="s">
        <v>17057</v>
      </c>
    </row>
    <row r="7396" spans="1:9" ht="30.75" customHeight="1">
      <c r="A7396" s="5"/>
      <c r="B7396" s="5" t="str">
        <f>CONCATENATE(G7396,"/",COUNTIF($G$2:G7396,G7396))</f>
        <v>PL-10018/3</v>
      </c>
      <c r="C7396" s="5" t="s">
        <v>43802</v>
      </c>
      <c r="D7396" s="246">
        <v>44483</v>
      </c>
      <c r="E7396" s="5" t="s">
        <v>43803</v>
      </c>
      <c r="F7396" s="26" t="s">
        <v>23600</v>
      </c>
      <c r="G7396" s="36" t="s">
        <v>18479</v>
      </c>
      <c r="H7396" s="38" t="s">
        <v>18480</v>
      </c>
      <c r="I7396" s="46" t="s">
        <v>17057</v>
      </c>
    </row>
    <row r="7397" spans="1:9" ht="30.75" customHeight="1">
      <c r="A7397" s="5"/>
      <c r="B7397" s="5" t="str">
        <f>CONCATENATE(G7397,"/",COUNTIF($G$2:G7397,G7397))</f>
        <v>PL-10018/4</v>
      </c>
      <c r="C7397" s="5" t="s">
        <v>43804</v>
      </c>
      <c r="D7397" s="246">
        <v>44483</v>
      </c>
      <c r="E7397" s="5" t="s">
        <v>43805</v>
      </c>
      <c r="F7397" s="26" t="s">
        <v>23600</v>
      </c>
      <c r="G7397" s="36" t="s">
        <v>18479</v>
      </c>
      <c r="H7397" s="38" t="s">
        <v>18480</v>
      </c>
      <c r="I7397" s="46" t="s">
        <v>17057</v>
      </c>
    </row>
    <row r="7398" spans="1:9" ht="37.5" customHeight="1">
      <c r="A7398" s="5"/>
      <c r="B7398" s="5" t="str">
        <f>CONCATENATE(G7398,"/",COUNTIF($G$2:G7398,G7398))</f>
        <v>CZ-6299/1</v>
      </c>
      <c r="C7398" s="5" t="s">
        <v>23621</v>
      </c>
      <c r="D7398" s="246">
        <v>44525</v>
      </c>
      <c r="E7398" s="5" t="s">
        <v>43806</v>
      </c>
      <c r="F7398" s="26" t="s">
        <v>23600</v>
      </c>
      <c r="G7398" s="27" t="s">
        <v>17978</v>
      </c>
      <c r="H7398" s="29" t="s">
        <v>17979</v>
      </c>
      <c r="I7398" s="30" t="s">
        <v>16429</v>
      </c>
    </row>
    <row r="7399" spans="1:9" ht="37.5" customHeight="1">
      <c r="A7399" s="5"/>
      <c r="B7399" s="5" t="str">
        <f>CONCATENATE(G7399,"/",COUNTIF($G$2:G7399,G7399))</f>
        <v>CZ-6299/2</v>
      </c>
      <c r="C7399" s="5" t="s">
        <v>23625</v>
      </c>
      <c r="D7399" s="246">
        <v>44525</v>
      </c>
      <c r="E7399" s="5" t="s">
        <v>43807</v>
      </c>
      <c r="F7399" s="26" t="s">
        <v>23600</v>
      </c>
      <c r="G7399" s="27" t="s">
        <v>17978</v>
      </c>
      <c r="H7399" s="29" t="s">
        <v>17979</v>
      </c>
      <c r="I7399" s="30" t="s">
        <v>16429</v>
      </c>
    </row>
    <row r="7400" spans="1:9" ht="37.4" customHeight="1">
      <c r="A7400" s="5"/>
      <c r="B7400" s="5" t="str">
        <f>CONCATENATE(G7400,"/",COUNTIF($G$2:G7400,G7400))</f>
        <v>CZ-6336/1</v>
      </c>
      <c r="C7400" s="5">
        <v>1</v>
      </c>
      <c r="D7400" s="246">
        <v>44531</v>
      </c>
      <c r="E7400" s="5" t="s">
        <v>43808</v>
      </c>
      <c r="F7400" s="26" t="s">
        <v>23600</v>
      </c>
      <c r="G7400" s="27" t="s">
        <v>18186</v>
      </c>
      <c r="H7400" s="29" t="s">
        <v>18187</v>
      </c>
      <c r="I7400" s="30" t="s">
        <v>16429</v>
      </c>
    </row>
    <row r="7401" spans="1:9" ht="37.4" customHeight="1">
      <c r="A7401" s="5"/>
      <c r="B7401" s="5" t="str">
        <f>CONCATENATE(G7401,"/",COUNTIF($G$2:G7401,G7401))</f>
        <v>CZ-6336/2</v>
      </c>
      <c r="C7401" s="5">
        <v>2</v>
      </c>
      <c r="D7401" s="246">
        <v>44531</v>
      </c>
      <c r="E7401" s="5" t="s">
        <v>43809</v>
      </c>
      <c r="F7401" s="26" t="s">
        <v>23600</v>
      </c>
      <c r="G7401" s="27" t="s">
        <v>18186</v>
      </c>
      <c r="H7401" s="29" t="s">
        <v>18187</v>
      </c>
      <c r="I7401" s="30" t="s">
        <v>16429</v>
      </c>
    </row>
    <row r="7402" spans="1:9" ht="31.4" customHeight="1">
      <c r="A7402" s="5"/>
      <c r="B7402" s="5" t="str">
        <f>CONCATENATE(G7402,"/",COUNTIF($G$2:G7402,G7402))</f>
        <v>HU-10007/1</v>
      </c>
      <c r="C7402" s="5" t="s">
        <v>43810</v>
      </c>
      <c r="D7402" s="246">
        <v>44350</v>
      </c>
      <c r="E7402" s="5" t="s">
        <v>43811</v>
      </c>
      <c r="F7402" s="26" t="s">
        <v>23600</v>
      </c>
      <c r="G7402" s="33" t="s">
        <v>17607</v>
      </c>
      <c r="H7402" s="28" t="s">
        <v>17608</v>
      </c>
      <c r="I7402" s="5" t="s">
        <v>17578</v>
      </c>
    </row>
    <row r="7403" spans="1:9" ht="32.25" customHeight="1">
      <c r="A7403" s="5"/>
      <c r="B7403" s="5" t="str">
        <f>CONCATENATE(G7403,"/",COUNTIF($G$2:G7403,G7403))</f>
        <v>HU-10042/1</v>
      </c>
      <c r="C7403" s="5" t="s">
        <v>43812</v>
      </c>
      <c r="D7403" s="246">
        <v>44530</v>
      </c>
      <c r="E7403" s="5" t="s">
        <v>43813</v>
      </c>
      <c r="F7403" s="26" t="s">
        <v>23600</v>
      </c>
      <c r="G7403" s="36" t="s">
        <v>18647</v>
      </c>
      <c r="H7403" s="38" t="s">
        <v>18648</v>
      </c>
      <c r="I7403" s="46" t="s">
        <v>17578</v>
      </c>
    </row>
    <row r="7404" spans="1:9" ht="36.75" customHeight="1">
      <c r="A7404" s="5"/>
      <c r="B7404" s="5" t="str">
        <f>CONCATENATE(G7404,"/",COUNTIF($G$2:G7404,G7404))</f>
        <v>HU-6360/1</v>
      </c>
      <c r="C7404" s="5" t="s">
        <v>43814</v>
      </c>
      <c r="D7404" s="246">
        <v>44536</v>
      </c>
      <c r="E7404" s="5" t="s">
        <v>43815</v>
      </c>
      <c r="F7404" s="26" t="s">
        <v>23600</v>
      </c>
      <c r="G7404" s="27" t="s">
        <v>18338</v>
      </c>
      <c r="H7404" s="38" t="s">
        <v>18339</v>
      </c>
      <c r="I7404" s="46" t="s">
        <v>17578</v>
      </c>
    </row>
    <row r="7405" spans="1:9" ht="34.4" customHeight="1">
      <c r="A7405" s="46"/>
      <c r="B7405" s="5" t="str">
        <f>CONCATENATE(G7405,"/",COUNTIF($G$2:G7405,G7405))</f>
        <v>SK-10157/1</v>
      </c>
      <c r="C7405" s="46" t="s">
        <v>19150</v>
      </c>
      <c r="D7405" s="246">
        <v>44481</v>
      </c>
      <c r="E7405" s="46" t="s">
        <v>43816</v>
      </c>
      <c r="F7405" s="26" t="s">
        <v>23600</v>
      </c>
      <c r="G7405" s="36" t="s">
        <v>19147</v>
      </c>
      <c r="H7405" s="38" t="s">
        <v>19148</v>
      </c>
      <c r="I7405" s="46" t="s">
        <v>19149</v>
      </c>
    </row>
    <row r="7406" spans="1:9" ht="30.75" customHeight="1">
      <c r="A7406" s="46"/>
      <c r="B7406" s="5" t="str">
        <f>CONCATENATE(G7406,"/",COUNTIF($G$2:G7406,G7406))</f>
        <v>HR-6370/1</v>
      </c>
      <c r="C7406" s="46" t="s">
        <v>43817</v>
      </c>
      <c r="D7406" s="246">
        <v>44516</v>
      </c>
      <c r="E7406" s="46" t="s">
        <v>43818</v>
      </c>
      <c r="F7406" s="26" t="s">
        <v>23600</v>
      </c>
      <c r="G7406" s="27" t="s">
        <v>18296</v>
      </c>
      <c r="H7406" s="28" t="s">
        <v>18297</v>
      </c>
      <c r="I7406" s="5" t="s">
        <v>9789</v>
      </c>
    </row>
    <row r="7407" spans="1:9" ht="30.75" customHeight="1">
      <c r="A7407" s="46"/>
      <c r="B7407" s="5" t="str">
        <f>CONCATENATE(G7407,"/",COUNTIF($G$2:G7407,G7407))</f>
        <v>HR-6370/2</v>
      </c>
      <c r="C7407" s="46" t="s">
        <v>43819</v>
      </c>
      <c r="D7407" s="246">
        <v>44516</v>
      </c>
      <c r="E7407" s="46" t="s">
        <v>43820</v>
      </c>
      <c r="F7407" s="26" t="s">
        <v>23600</v>
      </c>
      <c r="G7407" s="27" t="s">
        <v>18296</v>
      </c>
      <c r="H7407" s="28" t="s">
        <v>18297</v>
      </c>
      <c r="I7407" s="5" t="s">
        <v>9789</v>
      </c>
    </row>
    <row r="7408" spans="1:9" ht="32.25" customHeight="1">
      <c r="A7408" s="46"/>
      <c r="B7408" s="5" t="str">
        <f>CONCATENATE(G7408,"/",COUNTIF($G$2:G7408,G7408))</f>
        <v>BE-6195/1</v>
      </c>
      <c r="C7408" s="46" t="s">
        <v>43821</v>
      </c>
      <c r="D7408" s="246">
        <v>44533</v>
      </c>
      <c r="E7408" s="46" t="s">
        <v>43822</v>
      </c>
      <c r="F7408" s="26" t="s">
        <v>23600</v>
      </c>
      <c r="G7408" s="27" t="s">
        <v>17388</v>
      </c>
      <c r="H7408" s="29" t="s">
        <v>17389</v>
      </c>
      <c r="I7408" s="30" t="s">
        <v>14753</v>
      </c>
    </row>
    <row r="7409" spans="1:9" ht="32.25" customHeight="1">
      <c r="A7409" s="46"/>
      <c r="B7409" s="5" t="str">
        <f>CONCATENATE(G7409,"/",COUNTIF($G$2:G7409,G7409))</f>
        <v>BE-6195/2</v>
      </c>
      <c r="C7409" s="46" t="s">
        <v>43823</v>
      </c>
      <c r="D7409" s="246">
        <v>44533</v>
      </c>
      <c r="E7409" s="46" t="s">
        <v>43824</v>
      </c>
      <c r="F7409" s="26" t="s">
        <v>23600</v>
      </c>
      <c r="G7409" s="27" t="s">
        <v>17388</v>
      </c>
      <c r="H7409" s="29" t="s">
        <v>17389</v>
      </c>
      <c r="I7409" s="30" t="s">
        <v>14753</v>
      </c>
    </row>
    <row r="7410" spans="1:9" ht="34.4" customHeight="1">
      <c r="A7410" s="46"/>
      <c r="B7410" s="5" t="str">
        <f>CONCATENATE(G7410,"/",COUNTIF($G$2:G7410,G7410))</f>
        <v>UK-6147/1</v>
      </c>
      <c r="C7410" s="46">
        <v>1</v>
      </c>
      <c r="D7410" s="246">
        <v>44105</v>
      </c>
      <c r="E7410" s="46" t="s">
        <v>43825</v>
      </c>
      <c r="F7410" s="26" t="s">
        <v>23600</v>
      </c>
      <c r="G7410" s="27" t="s">
        <v>17213</v>
      </c>
      <c r="H7410" s="29" t="s">
        <v>17214</v>
      </c>
      <c r="I7410" s="30" t="s">
        <v>233</v>
      </c>
    </row>
    <row r="7411" spans="1:9" ht="36" customHeight="1">
      <c r="A7411" s="46"/>
      <c r="B7411" s="5" t="str">
        <f>CONCATENATE(G7411,"/",COUNTIF($G$2:G7411,G7411))</f>
        <v>UK-6147/2</v>
      </c>
      <c r="C7411" s="46">
        <v>2</v>
      </c>
      <c r="D7411" s="246">
        <v>44105</v>
      </c>
      <c r="E7411" s="46" t="s">
        <v>43826</v>
      </c>
      <c r="F7411" s="26" t="s">
        <v>23600</v>
      </c>
      <c r="G7411" s="27" t="s">
        <v>17213</v>
      </c>
      <c r="H7411" s="29" t="s">
        <v>17214</v>
      </c>
      <c r="I7411" s="30" t="s">
        <v>233</v>
      </c>
    </row>
    <row r="7412" spans="1:9" ht="28.4" customHeight="1">
      <c r="A7412" s="46"/>
      <c r="B7412" s="5" t="str">
        <f>CONCATENATE(G7412,"/",COUNTIF($G$2:G7412,G7412))</f>
        <v>UK-6185/1</v>
      </c>
      <c r="C7412" s="46">
        <v>1</v>
      </c>
      <c r="D7412" s="246">
        <v>44256</v>
      </c>
      <c r="E7412" s="46" t="s">
        <v>43827</v>
      </c>
      <c r="F7412" s="26" t="s">
        <v>23600</v>
      </c>
      <c r="G7412" s="27" t="s">
        <v>17329</v>
      </c>
      <c r="H7412" s="29" t="s">
        <v>17330</v>
      </c>
      <c r="I7412" s="30" t="s">
        <v>233</v>
      </c>
    </row>
    <row r="7413" spans="1:9" ht="28.4" customHeight="1">
      <c r="A7413" s="46"/>
      <c r="B7413" s="5" t="str">
        <f>CONCATENATE(G7413,"/",COUNTIF($G$2:G7413,G7413))</f>
        <v>UK-6185/2</v>
      </c>
      <c r="C7413" s="46">
        <v>2</v>
      </c>
      <c r="D7413" s="246">
        <v>44256</v>
      </c>
      <c r="E7413" s="46" t="s">
        <v>43828</v>
      </c>
      <c r="F7413" s="26" t="s">
        <v>23600</v>
      </c>
      <c r="G7413" s="27" t="s">
        <v>17329</v>
      </c>
      <c r="H7413" s="29" t="s">
        <v>17330</v>
      </c>
      <c r="I7413" s="30" t="s">
        <v>233</v>
      </c>
    </row>
    <row r="7414" spans="1:9" ht="26.9" customHeight="1">
      <c r="A7414" s="46"/>
      <c r="B7414" s="5" t="str">
        <f>CONCATENATE(G7414,"/",COUNTIF($G$2:G7414,G7414))</f>
        <v>UK-6241/1</v>
      </c>
      <c r="C7414" s="46">
        <v>1</v>
      </c>
      <c r="D7414" s="246">
        <v>44228</v>
      </c>
      <c r="E7414" s="46" t="s">
        <v>43829</v>
      </c>
      <c r="F7414" s="26" t="s">
        <v>23600</v>
      </c>
      <c r="G7414" s="27" t="s">
        <v>17487</v>
      </c>
      <c r="H7414" s="29" t="s">
        <v>17488</v>
      </c>
      <c r="I7414" s="30" t="s">
        <v>233</v>
      </c>
    </row>
    <row r="7415" spans="1:9" ht="26.9" customHeight="1">
      <c r="A7415" s="46"/>
      <c r="B7415" s="5" t="str">
        <f>CONCATENATE(G7415,"/",COUNTIF($G$2:G7415,G7415))</f>
        <v>UK-6241/2</v>
      </c>
      <c r="C7415" s="46">
        <v>2</v>
      </c>
      <c r="D7415" s="246">
        <v>44228</v>
      </c>
      <c r="E7415" s="46" t="s">
        <v>43830</v>
      </c>
      <c r="F7415" s="26" t="s">
        <v>23600</v>
      </c>
      <c r="G7415" s="27" t="s">
        <v>17487</v>
      </c>
      <c r="H7415" s="29" t="s">
        <v>17488</v>
      </c>
      <c r="I7415" s="30" t="s">
        <v>233</v>
      </c>
    </row>
    <row r="7416" spans="1:9" ht="26.9" customHeight="1">
      <c r="A7416" s="46"/>
      <c r="B7416" s="5" t="str">
        <f>CONCATENATE(G7416,"/",COUNTIF($G$2:G7416,G7416))</f>
        <v>UK-6241/3</v>
      </c>
      <c r="C7416" s="46">
        <v>3</v>
      </c>
      <c r="D7416" s="246">
        <v>44228</v>
      </c>
      <c r="E7416" s="46" t="s">
        <v>43831</v>
      </c>
      <c r="F7416" s="26" t="s">
        <v>23600</v>
      </c>
      <c r="G7416" s="27" t="s">
        <v>17487</v>
      </c>
      <c r="H7416" s="29" t="s">
        <v>17488</v>
      </c>
      <c r="I7416" s="30" t="s">
        <v>233</v>
      </c>
    </row>
    <row r="7417" spans="1:9" ht="26.9" customHeight="1">
      <c r="A7417" s="46"/>
      <c r="B7417" s="5" t="str">
        <f>CONCATENATE(G7417,"/",COUNTIF($G$2:G7417,G7417))</f>
        <v>UK-6241/4</v>
      </c>
      <c r="C7417" s="46">
        <v>4</v>
      </c>
      <c r="D7417" s="246">
        <v>44228</v>
      </c>
      <c r="E7417" s="46" t="s">
        <v>43832</v>
      </c>
      <c r="F7417" s="26" t="s">
        <v>23600</v>
      </c>
      <c r="G7417" s="27" t="s">
        <v>17487</v>
      </c>
      <c r="H7417" s="29" t="s">
        <v>17488</v>
      </c>
      <c r="I7417" s="30" t="s">
        <v>233</v>
      </c>
    </row>
    <row r="7418" spans="1:9" ht="26.9" customHeight="1">
      <c r="A7418" s="46"/>
      <c r="B7418" s="5" t="str">
        <f>CONCATENATE(G7418,"/",COUNTIF($G$2:G7418,G7418))</f>
        <v>UK-6241/5</v>
      </c>
      <c r="C7418" s="46">
        <v>5</v>
      </c>
      <c r="D7418" s="246">
        <v>44228</v>
      </c>
      <c r="E7418" s="46" t="s">
        <v>43833</v>
      </c>
      <c r="F7418" s="26" t="s">
        <v>23600</v>
      </c>
      <c r="G7418" s="27" t="s">
        <v>17487</v>
      </c>
      <c r="H7418" s="29" t="s">
        <v>17488</v>
      </c>
      <c r="I7418" s="30" t="s">
        <v>233</v>
      </c>
    </row>
    <row r="7419" spans="1:9" ht="26.9" customHeight="1">
      <c r="A7419" s="46"/>
      <c r="B7419" s="5" t="str">
        <f>CONCATENATE(G7419,"/",COUNTIF($G$2:G7419,G7419))</f>
        <v>UK-6241/6</v>
      </c>
      <c r="C7419" s="46">
        <v>6</v>
      </c>
      <c r="D7419" s="246">
        <v>44228</v>
      </c>
      <c r="E7419" s="46" t="s">
        <v>43834</v>
      </c>
      <c r="F7419" s="26" t="s">
        <v>23600</v>
      </c>
      <c r="G7419" s="27" t="s">
        <v>17487</v>
      </c>
      <c r="H7419" s="29" t="s">
        <v>17488</v>
      </c>
      <c r="I7419" s="30" t="s">
        <v>233</v>
      </c>
    </row>
    <row r="7420" spans="1:9" ht="24" customHeight="1">
      <c r="A7420" s="46"/>
      <c r="B7420" s="5" t="str">
        <f>CONCATENATE(G7420,"/",COUNTIF($G$2:G7420,G7420))</f>
        <v>UK-6256/1</v>
      </c>
      <c r="C7420" s="46">
        <v>1</v>
      </c>
      <c r="D7420" s="246">
        <v>44348</v>
      </c>
      <c r="E7420" s="46" t="s">
        <v>43835</v>
      </c>
      <c r="F7420" s="26" t="s">
        <v>23600</v>
      </c>
      <c r="G7420" s="27" t="s">
        <v>17660</v>
      </c>
      <c r="H7420" s="29" t="s">
        <v>17661</v>
      </c>
      <c r="I7420" s="30" t="s">
        <v>233</v>
      </c>
    </row>
    <row r="7421" spans="1:9" ht="24" customHeight="1">
      <c r="A7421" s="46"/>
      <c r="B7421" s="5" t="str">
        <f>CONCATENATE(G7421,"/",COUNTIF($G$2:G7421,G7421))</f>
        <v>UK-6256/2</v>
      </c>
      <c r="C7421" s="46">
        <v>2</v>
      </c>
      <c r="D7421" s="246">
        <v>44348</v>
      </c>
      <c r="E7421" s="46" t="s">
        <v>43836</v>
      </c>
      <c r="F7421" s="26" t="s">
        <v>23600</v>
      </c>
      <c r="G7421" s="27" t="s">
        <v>17660</v>
      </c>
      <c r="H7421" s="29" t="s">
        <v>17661</v>
      </c>
      <c r="I7421" s="30" t="s">
        <v>233</v>
      </c>
    </row>
    <row r="7422" spans="1:9" ht="24" customHeight="1">
      <c r="A7422" s="46"/>
      <c r="B7422" s="5" t="str">
        <f>CONCATENATE(G7422,"/",COUNTIF($G$2:G7422,G7422))</f>
        <v>UK-6256/3</v>
      </c>
      <c r="C7422" s="46">
        <v>3</v>
      </c>
      <c r="D7422" s="246">
        <v>44348</v>
      </c>
      <c r="E7422" s="46" t="s">
        <v>43837</v>
      </c>
      <c r="F7422" s="26" t="s">
        <v>23600</v>
      </c>
      <c r="G7422" s="27" t="s">
        <v>17660</v>
      </c>
      <c r="H7422" s="29" t="s">
        <v>17661</v>
      </c>
      <c r="I7422" s="30" t="s">
        <v>233</v>
      </c>
    </row>
    <row r="7423" spans="1:9" ht="25.5" customHeight="1">
      <c r="A7423" s="46"/>
      <c r="B7423" s="5" t="str">
        <f>CONCATENATE(G7423,"/",COUNTIF($G$2:G7423,G7423))</f>
        <v>UK-6289/1</v>
      </c>
      <c r="C7423" s="46">
        <v>1</v>
      </c>
      <c r="D7423" s="246">
        <v>44440</v>
      </c>
      <c r="E7423" s="46" t="s">
        <v>43838</v>
      </c>
      <c r="F7423" s="26" t="s">
        <v>23600</v>
      </c>
      <c r="G7423" s="27" t="s">
        <v>17805</v>
      </c>
      <c r="H7423" s="29" t="s">
        <v>17806</v>
      </c>
      <c r="I7423" s="30" t="s">
        <v>233</v>
      </c>
    </row>
    <row r="7424" spans="1:9" ht="25.5" customHeight="1">
      <c r="A7424" s="46"/>
      <c r="B7424" s="5" t="str">
        <f>CONCATENATE(G7424,"/",COUNTIF($G$2:G7424,G7424))</f>
        <v>UK-6289/2</v>
      </c>
      <c r="C7424" s="46">
        <v>2</v>
      </c>
      <c r="D7424" s="246">
        <v>44440</v>
      </c>
      <c r="E7424" s="46" t="s">
        <v>43839</v>
      </c>
      <c r="F7424" s="26" t="s">
        <v>23600</v>
      </c>
      <c r="G7424" s="27" t="s">
        <v>17805</v>
      </c>
      <c r="H7424" s="29" t="s">
        <v>17806</v>
      </c>
      <c r="I7424" s="30" t="s">
        <v>233</v>
      </c>
    </row>
    <row r="7425" spans="1:9" ht="25.5" customHeight="1">
      <c r="A7425" s="46"/>
      <c r="B7425" s="5" t="str">
        <f>CONCATENATE(G7425,"/",COUNTIF($G$2:G7425,G7425))</f>
        <v>UK-6289/3</v>
      </c>
      <c r="C7425" s="46">
        <v>3</v>
      </c>
      <c r="D7425" s="246">
        <v>44440</v>
      </c>
      <c r="E7425" s="46" t="s">
        <v>43840</v>
      </c>
      <c r="F7425" s="26" t="s">
        <v>23600</v>
      </c>
      <c r="G7425" s="27" t="s">
        <v>17805</v>
      </c>
      <c r="H7425" s="29" t="s">
        <v>17806</v>
      </c>
      <c r="I7425" s="30" t="s">
        <v>233</v>
      </c>
    </row>
    <row r="7426" spans="1:9" ht="30.75" customHeight="1">
      <c r="A7426" s="46"/>
      <c r="B7426" s="5" t="str">
        <f>CONCATENATE(G7426,"/",COUNTIF($G$2:G7426,G7426))</f>
        <v>UK-6293/1</v>
      </c>
      <c r="C7426" s="46">
        <v>1</v>
      </c>
      <c r="D7426" s="246">
        <v>44378</v>
      </c>
      <c r="E7426" s="46" t="s">
        <v>43841</v>
      </c>
      <c r="F7426" s="26" t="s">
        <v>23600</v>
      </c>
      <c r="G7426" s="27" t="s">
        <v>17876</v>
      </c>
      <c r="H7426" s="29" t="s">
        <v>17877</v>
      </c>
      <c r="I7426" s="30" t="s">
        <v>233</v>
      </c>
    </row>
    <row r="7427" spans="1:9" ht="30.75" customHeight="1">
      <c r="A7427" s="46"/>
      <c r="B7427" s="5" t="str">
        <f>CONCATENATE(G7427,"/",COUNTIF($G$2:G7427,G7427))</f>
        <v>UK-6293/2</v>
      </c>
      <c r="C7427" s="46">
        <v>2</v>
      </c>
      <c r="D7427" s="246">
        <v>44378</v>
      </c>
      <c r="E7427" s="46" t="s">
        <v>43842</v>
      </c>
      <c r="F7427" s="26" t="s">
        <v>23600</v>
      </c>
      <c r="G7427" s="27" t="s">
        <v>17876</v>
      </c>
      <c r="H7427" s="29" t="s">
        <v>17877</v>
      </c>
      <c r="I7427" s="30" t="s">
        <v>233</v>
      </c>
    </row>
    <row r="7428" spans="1:9" ht="30.75" customHeight="1">
      <c r="A7428" s="46"/>
      <c r="B7428" s="5" t="str">
        <f>CONCATENATE(G7428,"/",COUNTIF($G$2:G7428,G7428))</f>
        <v>UK-6293/3</v>
      </c>
      <c r="C7428" s="46">
        <v>3</v>
      </c>
      <c r="D7428" s="246">
        <v>44378</v>
      </c>
      <c r="E7428" s="46" t="s">
        <v>43843</v>
      </c>
      <c r="F7428" s="26" t="s">
        <v>23600</v>
      </c>
      <c r="G7428" s="27" t="s">
        <v>17876</v>
      </c>
      <c r="H7428" s="29" t="s">
        <v>17877</v>
      </c>
      <c r="I7428" s="30" t="s">
        <v>233</v>
      </c>
    </row>
    <row r="7429" spans="1:9" ht="24" customHeight="1">
      <c r="A7429" s="46"/>
      <c r="B7429" s="5" t="str">
        <f>CONCATENATE(G7429,"/",COUNTIF($G$2:G7429,G7429))</f>
        <v>BG-10090/1</v>
      </c>
      <c r="C7429" s="46" t="s">
        <v>43844</v>
      </c>
      <c r="D7429" s="246">
        <v>44531</v>
      </c>
      <c r="E7429" s="46" t="s">
        <v>43845</v>
      </c>
      <c r="F7429" s="26" t="s">
        <v>23600</v>
      </c>
      <c r="G7429" s="36" t="s">
        <v>18909</v>
      </c>
      <c r="H7429" s="29" t="s">
        <v>18910</v>
      </c>
      <c r="I7429" s="46" t="s">
        <v>17773</v>
      </c>
    </row>
    <row r="7430" spans="1:9" ht="24" customHeight="1">
      <c r="A7430" s="46"/>
      <c r="B7430" s="5" t="str">
        <f>CONCATENATE(G7430,"/",COUNTIF($G$2:G7430,G7430))</f>
        <v>BG-10090/2</v>
      </c>
      <c r="C7430" s="46" t="s">
        <v>43846</v>
      </c>
      <c r="D7430" s="246">
        <v>44531</v>
      </c>
      <c r="E7430" s="46" t="s">
        <v>43847</v>
      </c>
      <c r="F7430" s="26" t="s">
        <v>23600</v>
      </c>
      <c r="G7430" s="36" t="s">
        <v>18909</v>
      </c>
      <c r="H7430" s="29" t="s">
        <v>18910</v>
      </c>
      <c r="I7430" s="46" t="s">
        <v>17773</v>
      </c>
    </row>
    <row r="7431" spans="1:9" ht="24" customHeight="1">
      <c r="A7431" s="46"/>
      <c r="B7431" s="5" t="str">
        <f>CONCATENATE(G7431,"/",COUNTIF($G$2:G7431,G7431))</f>
        <v>BG-10090/3</v>
      </c>
      <c r="C7431" s="46" t="s">
        <v>43848</v>
      </c>
      <c r="D7431" s="246">
        <v>44531</v>
      </c>
      <c r="E7431" s="46" t="s">
        <v>43849</v>
      </c>
      <c r="F7431" s="26" t="s">
        <v>23600</v>
      </c>
      <c r="G7431" s="36" t="s">
        <v>18909</v>
      </c>
      <c r="H7431" s="29" t="s">
        <v>18910</v>
      </c>
      <c r="I7431" s="46" t="s">
        <v>17773</v>
      </c>
    </row>
    <row r="7432" spans="1:9" ht="34.4" customHeight="1">
      <c r="A7432" s="46"/>
      <c r="B7432" s="5" t="str">
        <f>CONCATENATE(G7432,"/",COUNTIF($G$2:G7432,G7432))</f>
        <v>FR-6357/1</v>
      </c>
      <c r="C7432" s="46" t="s">
        <v>43850</v>
      </c>
      <c r="D7432" s="246">
        <v>44510</v>
      </c>
      <c r="E7432" s="46" t="s">
        <v>43851</v>
      </c>
      <c r="F7432" s="26" t="s">
        <v>23600</v>
      </c>
      <c r="G7432" s="27" t="s">
        <v>18289</v>
      </c>
      <c r="H7432" s="29" t="s">
        <v>18290</v>
      </c>
      <c r="I7432" s="30" t="s">
        <v>16310</v>
      </c>
    </row>
    <row r="7433" spans="1:9" ht="26.25" customHeight="1">
      <c r="A7433" s="46"/>
      <c r="B7433" s="5" t="str">
        <f>CONCATENATE(G7433,"/",COUNTIF($G$2:G7433,G7433))</f>
        <v>ES-6274/1</v>
      </c>
      <c r="C7433" s="46" t="s">
        <v>43852</v>
      </c>
      <c r="D7433" s="246">
        <v>44455</v>
      </c>
      <c r="E7433" s="46" t="s">
        <v>43853</v>
      </c>
      <c r="F7433" s="26" t="s">
        <v>23600</v>
      </c>
      <c r="G7433" s="27" t="s">
        <v>17818</v>
      </c>
      <c r="H7433" s="29" t="s">
        <v>17819</v>
      </c>
      <c r="I7433" s="30" t="s">
        <v>17820</v>
      </c>
    </row>
    <row r="7434" spans="1:9" ht="26.25" customHeight="1">
      <c r="A7434" s="46"/>
      <c r="B7434" s="5" t="str">
        <f>CONCATENATE(G7434,"/",COUNTIF($G$2:G7434,G7434))</f>
        <v>ES-6274/2</v>
      </c>
      <c r="C7434" s="46" t="s">
        <v>43854</v>
      </c>
      <c r="D7434" s="246">
        <v>44455</v>
      </c>
      <c r="E7434" s="46" t="s">
        <v>43855</v>
      </c>
      <c r="F7434" s="26" t="s">
        <v>23600</v>
      </c>
      <c r="G7434" s="27" t="s">
        <v>17818</v>
      </c>
      <c r="H7434" s="29" t="s">
        <v>17819</v>
      </c>
      <c r="I7434" s="30" t="s">
        <v>17820</v>
      </c>
    </row>
    <row r="7435" spans="1:9" ht="26.25" customHeight="1">
      <c r="A7435" s="46"/>
      <c r="B7435" s="5" t="str">
        <f>CONCATENATE(G7435,"/",COUNTIF($G$2:G7435,G7435))</f>
        <v>ES-6274/3</v>
      </c>
      <c r="C7435" s="46" t="s">
        <v>43856</v>
      </c>
      <c r="D7435" s="246">
        <v>44455</v>
      </c>
      <c r="E7435" s="46" t="s">
        <v>43857</v>
      </c>
      <c r="F7435" s="26" t="s">
        <v>23600</v>
      </c>
      <c r="G7435" s="27" t="s">
        <v>17818</v>
      </c>
      <c r="H7435" s="29" t="s">
        <v>17819</v>
      </c>
      <c r="I7435" s="30" t="s">
        <v>17820</v>
      </c>
    </row>
    <row r="7436" spans="1:9" ht="26.25" customHeight="1">
      <c r="A7436" s="46"/>
      <c r="B7436" s="5" t="str">
        <f>CONCATENATE(G7436,"/",COUNTIF($G$2:G7436,G7436))</f>
        <v>ES-6274/4</v>
      </c>
      <c r="C7436" s="46" t="s">
        <v>43858</v>
      </c>
      <c r="D7436" s="246">
        <v>44455</v>
      </c>
      <c r="E7436" s="46" t="s">
        <v>43859</v>
      </c>
      <c r="F7436" s="26" t="s">
        <v>23600</v>
      </c>
      <c r="G7436" s="27" t="s">
        <v>17818</v>
      </c>
      <c r="H7436" s="29" t="s">
        <v>17819</v>
      </c>
      <c r="I7436" s="30" t="s">
        <v>17820</v>
      </c>
    </row>
    <row r="7437" spans="1:9" ht="26.25" customHeight="1">
      <c r="A7437" s="46"/>
      <c r="B7437" s="5" t="str">
        <f>CONCATENATE(G7437,"/",COUNTIF($G$2:G7437,G7437))</f>
        <v>ES-6274/5</v>
      </c>
      <c r="C7437" s="46" t="s">
        <v>43860</v>
      </c>
      <c r="D7437" s="246">
        <v>44455</v>
      </c>
      <c r="E7437" s="46" t="s">
        <v>43861</v>
      </c>
      <c r="F7437" s="26" t="s">
        <v>23600</v>
      </c>
      <c r="G7437" s="27" t="s">
        <v>17818</v>
      </c>
      <c r="H7437" s="29" t="s">
        <v>17819</v>
      </c>
      <c r="I7437" s="30" t="s">
        <v>17820</v>
      </c>
    </row>
    <row r="7438" spans="1:9" ht="26.25" customHeight="1">
      <c r="A7438" s="46"/>
      <c r="B7438" s="5" t="str">
        <f>CONCATENATE(G7438,"/",COUNTIF($G$2:G7438,G7438))</f>
        <v>ES-6274/6</v>
      </c>
      <c r="C7438" s="46" t="s">
        <v>43862</v>
      </c>
      <c r="D7438" s="246">
        <v>44455</v>
      </c>
      <c r="E7438" s="46" t="s">
        <v>43863</v>
      </c>
      <c r="F7438" s="26" t="s">
        <v>23600</v>
      </c>
      <c r="G7438" s="27" t="s">
        <v>17818</v>
      </c>
      <c r="H7438" s="29" t="s">
        <v>17819</v>
      </c>
      <c r="I7438" s="30" t="s">
        <v>17820</v>
      </c>
    </row>
    <row r="7439" spans="1:9" ht="25.5" customHeight="1">
      <c r="A7439" s="46"/>
      <c r="B7439" s="5" t="str">
        <f>CONCATENATE(G7439,"/",COUNTIF($G$2:G7439,G7439))</f>
        <v>IE-3096/1</v>
      </c>
      <c r="C7439" s="46" t="s">
        <v>43864</v>
      </c>
      <c r="D7439" s="246">
        <v>42471</v>
      </c>
      <c r="E7439" s="46" t="s">
        <v>43865</v>
      </c>
      <c r="F7439" s="26" t="s">
        <v>23600</v>
      </c>
      <c r="G7439" s="27" t="s">
        <v>9452</v>
      </c>
      <c r="H7439" s="47" t="s">
        <v>9453</v>
      </c>
      <c r="I7439" s="30" t="s">
        <v>19136</v>
      </c>
    </row>
    <row r="7440" spans="1:9" ht="25.5" customHeight="1">
      <c r="A7440" s="46"/>
      <c r="B7440" s="5" t="str">
        <f>CONCATENATE(G7440,"/",COUNTIF($G$2:G7440,G7440))</f>
        <v>IE-3096/2</v>
      </c>
      <c r="C7440" s="46" t="s">
        <v>43866</v>
      </c>
      <c r="D7440" s="246">
        <v>42471</v>
      </c>
      <c r="E7440" s="46" t="s">
        <v>43867</v>
      </c>
      <c r="F7440" s="26" t="s">
        <v>23600</v>
      </c>
      <c r="G7440" s="27" t="s">
        <v>9452</v>
      </c>
      <c r="H7440" s="47" t="s">
        <v>9453</v>
      </c>
      <c r="I7440" s="30" t="s">
        <v>19136</v>
      </c>
    </row>
    <row r="7441" spans="1:9" ht="25.5" customHeight="1">
      <c r="A7441" s="46"/>
      <c r="B7441" s="5" t="str">
        <f>CONCATENATE(G7441,"/",COUNTIF($G$2:G7441,G7441))</f>
        <v>IE-3096/3</v>
      </c>
      <c r="C7441" s="46" t="s">
        <v>43868</v>
      </c>
      <c r="D7441" s="246">
        <v>42471</v>
      </c>
      <c r="E7441" s="46" t="s">
        <v>43869</v>
      </c>
      <c r="F7441" s="26" t="s">
        <v>23600</v>
      </c>
      <c r="G7441" s="27" t="s">
        <v>9452</v>
      </c>
      <c r="H7441" s="47" t="s">
        <v>9453</v>
      </c>
      <c r="I7441" s="30" t="s">
        <v>19136</v>
      </c>
    </row>
    <row r="7442" spans="1:9" ht="25.5" customHeight="1">
      <c r="A7442" s="46"/>
      <c r="B7442" s="5" t="str">
        <f>CONCATENATE(G7442,"/",COUNTIF($G$2:G7442,G7442))</f>
        <v>IE-3096/4</v>
      </c>
      <c r="C7442" s="46" t="s">
        <v>43870</v>
      </c>
      <c r="D7442" s="246">
        <v>42471</v>
      </c>
      <c r="E7442" s="46" t="s">
        <v>43871</v>
      </c>
      <c r="F7442" s="26" t="s">
        <v>23600</v>
      </c>
      <c r="G7442" s="27" t="s">
        <v>9452</v>
      </c>
      <c r="H7442" s="47" t="s">
        <v>9453</v>
      </c>
      <c r="I7442" s="30" t="s">
        <v>19136</v>
      </c>
    </row>
    <row r="7443" spans="1:9" ht="25.5" customHeight="1">
      <c r="A7443" s="46"/>
      <c r="B7443" s="5" t="str">
        <f>CONCATENATE(G7443,"/",COUNTIF($G$2:G7443,G7443))</f>
        <v>IE-3096/5</v>
      </c>
      <c r="C7443" s="46" t="s">
        <v>43872</v>
      </c>
      <c r="D7443" s="246">
        <v>42471</v>
      </c>
      <c r="E7443" s="46" t="s">
        <v>43873</v>
      </c>
      <c r="F7443" s="26" t="s">
        <v>23600</v>
      </c>
      <c r="G7443" s="27" t="s">
        <v>9452</v>
      </c>
      <c r="H7443" s="47" t="s">
        <v>9453</v>
      </c>
      <c r="I7443" s="30" t="s">
        <v>19136</v>
      </c>
    </row>
    <row r="7444" spans="1:9" ht="25.5" customHeight="1">
      <c r="A7444" s="46"/>
      <c r="B7444" s="5" t="str">
        <f>CONCATENATE(G7444,"/",COUNTIF($G$2:G7444,G7444))</f>
        <v>IE-3096/6</v>
      </c>
      <c r="C7444" s="46" t="s">
        <v>43874</v>
      </c>
      <c r="D7444" s="246">
        <v>42471</v>
      </c>
      <c r="E7444" s="46" t="s">
        <v>43875</v>
      </c>
      <c r="F7444" s="26" t="s">
        <v>23600</v>
      </c>
      <c r="G7444" s="27" t="s">
        <v>9452</v>
      </c>
      <c r="H7444" s="47" t="s">
        <v>9453</v>
      </c>
      <c r="I7444" s="30" t="s">
        <v>19136</v>
      </c>
    </row>
    <row r="7445" spans="1:9" ht="25.5" customHeight="1">
      <c r="A7445" s="46"/>
      <c r="B7445" s="5" t="str">
        <f>CONCATENATE(G7445,"/",COUNTIF($G$2:G7445,G7445))</f>
        <v>IE-3096/7</v>
      </c>
      <c r="C7445" s="46" t="s">
        <v>43876</v>
      </c>
      <c r="D7445" s="246">
        <v>42471</v>
      </c>
      <c r="E7445" s="46" t="s">
        <v>43877</v>
      </c>
      <c r="F7445" s="26" t="s">
        <v>23600</v>
      </c>
      <c r="G7445" s="27" t="s">
        <v>9452</v>
      </c>
      <c r="H7445" s="47" t="s">
        <v>9453</v>
      </c>
      <c r="I7445" s="30" t="s">
        <v>19136</v>
      </c>
    </row>
    <row r="7446" spans="1:9" ht="25.5" customHeight="1">
      <c r="A7446" s="46"/>
      <c r="B7446" s="5" t="str">
        <f>CONCATENATE(G7446,"/",COUNTIF($G$2:G7446,G7446))</f>
        <v>IE-3096/8</v>
      </c>
      <c r="C7446" s="46" t="s">
        <v>43878</v>
      </c>
      <c r="D7446" s="246">
        <v>42471</v>
      </c>
      <c r="E7446" s="46" t="s">
        <v>43879</v>
      </c>
      <c r="F7446" s="26" t="s">
        <v>23600</v>
      </c>
      <c r="G7446" s="27" t="s">
        <v>9452</v>
      </c>
      <c r="H7446" s="47" t="s">
        <v>9453</v>
      </c>
      <c r="I7446" s="30" t="s">
        <v>19136</v>
      </c>
    </row>
    <row r="7447" spans="1:9" ht="25.5" customHeight="1">
      <c r="A7447" s="46"/>
      <c r="B7447" s="5" t="str">
        <f>CONCATENATE(G7447,"/",COUNTIF($G$2:G7447,G7447))</f>
        <v>IE-3096/9</v>
      </c>
      <c r="C7447" s="46" t="s">
        <v>43880</v>
      </c>
      <c r="D7447" s="246">
        <v>42471</v>
      </c>
      <c r="E7447" s="46" t="s">
        <v>43881</v>
      </c>
      <c r="F7447" s="26" t="s">
        <v>23600</v>
      </c>
      <c r="G7447" s="27" t="s">
        <v>9452</v>
      </c>
      <c r="H7447" s="47" t="s">
        <v>9453</v>
      </c>
      <c r="I7447" s="30" t="s">
        <v>19136</v>
      </c>
    </row>
    <row r="7448" spans="1:9" ht="25.5" customHeight="1">
      <c r="A7448" s="46"/>
      <c r="B7448" s="5" t="str">
        <f>CONCATENATE(G7448,"/",COUNTIF($G$2:G7448,G7448))</f>
        <v>IE-3096/10</v>
      </c>
      <c r="C7448" s="46" t="s">
        <v>43882</v>
      </c>
      <c r="D7448" s="246">
        <v>42471</v>
      </c>
      <c r="E7448" s="46" t="s">
        <v>43883</v>
      </c>
      <c r="F7448" s="26" t="s">
        <v>23600</v>
      </c>
      <c r="G7448" s="27" t="s">
        <v>9452</v>
      </c>
      <c r="H7448" s="47" t="s">
        <v>9453</v>
      </c>
      <c r="I7448" s="30" t="s">
        <v>19136</v>
      </c>
    </row>
    <row r="7449" spans="1:9" ht="25.5" customHeight="1">
      <c r="A7449" s="46"/>
      <c r="B7449" s="5" t="str">
        <f>CONCATENATE(G7449,"/",COUNTIF($G$2:G7449,G7449))</f>
        <v>IE-3096/11</v>
      </c>
      <c r="C7449" s="46" t="s">
        <v>43884</v>
      </c>
      <c r="D7449" s="246">
        <v>42471</v>
      </c>
      <c r="E7449" s="46" t="s">
        <v>43885</v>
      </c>
      <c r="F7449" s="26" t="s">
        <v>23600</v>
      </c>
      <c r="G7449" s="27" t="s">
        <v>9452</v>
      </c>
      <c r="H7449" s="47" t="s">
        <v>9453</v>
      </c>
      <c r="I7449" s="30" t="s">
        <v>19136</v>
      </c>
    </row>
    <row r="7450" spans="1:9" ht="25.5" customHeight="1">
      <c r="A7450" s="46"/>
      <c r="B7450" s="5" t="str">
        <f>CONCATENATE(G7450,"/",COUNTIF($G$2:G7450,G7450))</f>
        <v>IE-3096/12</v>
      </c>
      <c r="C7450" s="46" t="s">
        <v>43886</v>
      </c>
      <c r="D7450" s="246">
        <v>42471</v>
      </c>
      <c r="E7450" s="46" t="s">
        <v>43887</v>
      </c>
      <c r="F7450" s="26" t="s">
        <v>23600</v>
      </c>
      <c r="G7450" s="27" t="s">
        <v>9452</v>
      </c>
      <c r="H7450" s="47" t="s">
        <v>9453</v>
      </c>
      <c r="I7450" s="30" t="s">
        <v>19136</v>
      </c>
    </row>
    <row r="7451" spans="1:9" ht="33.75" customHeight="1">
      <c r="A7451" s="46"/>
      <c r="B7451" s="5" t="str">
        <f>CONCATENATE(G7451,"/",COUNTIF($G$2:G7451,G7451))</f>
        <v>IE-5195/1</v>
      </c>
      <c r="C7451" s="5" t="s">
        <v>43888</v>
      </c>
      <c r="D7451" s="246">
        <v>42159</v>
      </c>
      <c r="E7451" s="5" t="s">
        <v>43889</v>
      </c>
      <c r="F7451" s="26" t="s">
        <v>23600</v>
      </c>
      <c r="G7451" s="27" t="s">
        <v>9979</v>
      </c>
      <c r="H7451" s="29" t="s">
        <v>9980</v>
      </c>
      <c r="I7451" s="30" t="s">
        <v>19136</v>
      </c>
    </row>
    <row r="7452" spans="1:9" ht="34.5" customHeight="1">
      <c r="A7452" s="46"/>
      <c r="B7452" s="5" t="str">
        <f>CONCATENATE(G7452,"/",COUNTIF($G$2:G7452,G7452))</f>
        <v>IE-5195/2</v>
      </c>
      <c r="C7452" s="5" t="s">
        <v>43890</v>
      </c>
      <c r="D7452" s="246">
        <v>42159</v>
      </c>
      <c r="E7452" s="5" t="s">
        <v>43891</v>
      </c>
      <c r="F7452" s="26" t="s">
        <v>23600</v>
      </c>
      <c r="G7452" s="27" t="s">
        <v>9979</v>
      </c>
      <c r="H7452" s="29" t="s">
        <v>9980</v>
      </c>
      <c r="I7452" s="30" t="s">
        <v>19136</v>
      </c>
    </row>
    <row r="7453" spans="1:9" ht="41.25" customHeight="1">
      <c r="A7453" s="46"/>
      <c r="B7453" s="5" t="str">
        <f>CONCATENATE(G7453,"/",COUNTIF($G$2:G7453,G7453))</f>
        <v>IE-5195/3</v>
      </c>
      <c r="C7453" s="5" t="s">
        <v>43892</v>
      </c>
      <c r="D7453" s="246">
        <v>42159</v>
      </c>
      <c r="E7453" s="5" t="s">
        <v>43893</v>
      </c>
      <c r="F7453" s="26" t="s">
        <v>23600</v>
      </c>
      <c r="G7453" s="27" t="s">
        <v>9979</v>
      </c>
      <c r="H7453" s="29" t="s">
        <v>9980</v>
      </c>
      <c r="I7453" s="30" t="s">
        <v>19136</v>
      </c>
    </row>
    <row r="7454" spans="1:9" ht="41.25" customHeight="1">
      <c r="A7454" s="46"/>
      <c r="B7454" s="5" t="str">
        <f>CONCATENATE(G7454,"/",COUNTIF($G$2:G7454,G7454))</f>
        <v>IE-5195/4</v>
      </c>
      <c r="C7454" s="5" t="s">
        <v>43894</v>
      </c>
      <c r="D7454" s="246">
        <v>42159</v>
      </c>
      <c r="E7454" s="5" t="s">
        <v>43895</v>
      </c>
      <c r="F7454" s="26" t="s">
        <v>23600</v>
      </c>
      <c r="G7454" s="27" t="s">
        <v>9979</v>
      </c>
      <c r="H7454" s="29" t="s">
        <v>9980</v>
      </c>
      <c r="I7454" s="30" t="s">
        <v>19136</v>
      </c>
    </row>
    <row r="7455" spans="1:9" ht="35.25" customHeight="1">
      <c r="A7455" s="46"/>
      <c r="B7455" s="5" t="str">
        <f>CONCATENATE(G7455,"/",COUNTIF($G$2:G7455,G7455))</f>
        <v>IE-4959/1</v>
      </c>
      <c r="C7455" s="46" t="s">
        <v>43896</v>
      </c>
      <c r="D7455" s="246">
        <v>42663</v>
      </c>
      <c r="E7455" s="46" t="s">
        <v>43897</v>
      </c>
      <c r="F7455" s="26" t="s">
        <v>23600</v>
      </c>
      <c r="G7455" s="27" t="s">
        <v>11775</v>
      </c>
      <c r="H7455" s="29" t="s">
        <v>11776</v>
      </c>
      <c r="I7455" s="30" t="s">
        <v>19136</v>
      </c>
    </row>
    <row r="7456" spans="1:9" ht="34.5" customHeight="1">
      <c r="A7456" s="46"/>
      <c r="B7456" s="5" t="str">
        <f>CONCATENATE(G7456,"/",COUNTIF($G$2:G7456,G7456))</f>
        <v>IE-6305/1</v>
      </c>
      <c r="C7456" s="46" t="s">
        <v>43898</v>
      </c>
      <c r="D7456" s="246">
        <v>44378</v>
      </c>
      <c r="E7456" s="46" t="s">
        <v>43899</v>
      </c>
      <c r="F7456" s="26" t="s">
        <v>23600</v>
      </c>
      <c r="G7456" s="27" t="s">
        <v>17943</v>
      </c>
      <c r="H7456" s="29" t="s">
        <v>17944</v>
      </c>
      <c r="I7456" s="30" t="s">
        <v>19136</v>
      </c>
    </row>
    <row r="7457" spans="1:9" ht="34.5" customHeight="1">
      <c r="A7457" s="46"/>
      <c r="B7457" s="5" t="str">
        <f>CONCATENATE(G7457,"/",COUNTIF($G$2:G7457,G7457))</f>
        <v>IE-6305/2</v>
      </c>
      <c r="C7457" s="46" t="s">
        <v>43900</v>
      </c>
      <c r="D7457" s="246">
        <v>44378</v>
      </c>
      <c r="E7457" s="46" t="s">
        <v>43901</v>
      </c>
      <c r="F7457" s="26" t="s">
        <v>23600</v>
      </c>
      <c r="G7457" s="27" t="s">
        <v>17943</v>
      </c>
      <c r="H7457" s="29" t="s">
        <v>17944</v>
      </c>
      <c r="I7457" s="30" t="s">
        <v>19136</v>
      </c>
    </row>
    <row r="7458" spans="1:9" ht="34.5" customHeight="1">
      <c r="A7458" s="46"/>
      <c r="B7458" s="5" t="str">
        <f>CONCATENATE(G7458,"/",COUNTIF($G$2:G7458,G7458))</f>
        <v>IE-6305/3</v>
      </c>
      <c r="C7458" s="46" t="s">
        <v>43902</v>
      </c>
      <c r="D7458" s="246">
        <v>44378</v>
      </c>
      <c r="E7458" s="46" t="s">
        <v>43903</v>
      </c>
      <c r="F7458" s="26" t="s">
        <v>23600</v>
      </c>
      <c r="G7458" s="27" t="s">
        <v>17943</v>
      </c>
      <c r="H7458" s="29" t="s">
        <v>17944</v>
      </c>
      <c r="I7458" s="30" t="s">
        <v>19136</v>
      </c>
    </row>
    <row r="7459" spans="1:9" ht="31.5" customHeight="1">
      <c r="A7459" s="46"/>
      <c r="B7459" s="5" t="str">
        <f>CONCATENATE(G7459,"/",COUNTIF($G$2:G7459,G7459))</f>
        <v>NO-6223/1</v>
      </c>
      <c r="C7459" s="46" t="s">
        <v>43904</v>
      </c>
      <c r="D7459" s="246">
        <v>44256</v>
      </c>
      <c r="E7459" s="46" t="s">
        <v>43905</v>
      </c>
      <c r="F7459" s="26" t="s">
        <v>23600</v>
      </c>
      <c r="G7459" s="27" t="s">
        <v>17510</v>
      </c>
      <c r="H7459" s="29" t="s">
        <v>17511</v>
      </c>
      <c r="I7459" s="30" t="s">
        <v>17344</v>
      </c>
    </row>
    <row r="7460" spans="1:9" ht="31.5" customHeight="1">
      <c r="A7460" s="46"/>
      <c r="B7460" s="5" t="str">
        <f>CONCATENATE(G7460,"/",COUNTIF($G$2:G7460,G7460))</f>
        <v>NO-6223/2</v>
      </c>
      <c r="C7460" s="46" t="s">
        <v>43906</v>
      </c>
      <c r="D7460" s="246">
        <v>44256</v>
      </c>
      <c r="E7460" s="46" t="s">
        <v>43907</v>
      </c>
      <c r="F7460" s="26" t="s">
        <v>23600</v>
      </c>
      <c r="G7460" s="27" t="s">
        <v>17510</v>
      </c>
      <c r="H7460" s="29" t="s">
        <v>17511</v>
      </c>
      <c r="I7460" s="30" t="s">
        <v>17344</v>
      </c>
    </row>
    <row r="7461" spans="1:9" ht="32.25" customHeight="1">
      <c r="A7461" s="46"/>
      <c r="B7461" s="5" t="str">
        <f>CONCATENATE(G7461,"/",COUNTIF($G$2:G7461,G7461))</f>
        <v>NO-6331/1</v>
      </c>
      <c r="C7461" s="46" t="s">
        <v>43908</v>
      </c>
      <c r="D7461" s="246">
        <v>44370</v>
      </c>
      <c r="E7461" s="46" t="s">
        <v>43909</v>
      </c>
      <c r="F7461" s="26" t="s">
        <v>23600</v>
      </c>
      <c r="G7461" s="27" t="s">
        <v>17907</v>
      </c>
      <c r="H7461" s="29" t="s">
        <v>17908</v>
      </c>
      <c r="I7461" s="30" t="s">
        <v>17344</v>
      </c>
    </row>
    <row r="7462" spans="1:9" ht="30.75" customHeight="1">
      <c r="A7462" s="46"/>
      <c r="B7462" s="5" t="str">
        <f>CONCATENATE(G7462,"/",COUNTIF($G$2:G7462,G7462))</f>
        <v>NO-6196/1</v>
      </c>
      <c r="C7462" s="46" t="s">
        <v>43910</v>
      </c>
      <c r="D7462" s="246">
        <v>44273</v>
      </c>
      <c r="E7462" s="46" t="s">
        <v>43911</v>
      </c>
      <c r="F7462" s="26" t="s">
        <v>23600</v>
      </c>
      <c r="G7462" s="27" t="s">
        <v>17342</v>
      </c>
      <c r="H7462" s="29" t="s">
        <v>17343</v>
      </c>
      <c r="I7462" s="30" t="s">
        <v>17344</v>
      </c>
    </row>
    <row r="7463" spans="1:9" ht="30.75" customHeight="1">
      <c r="A7463" s="46"/>
      <c r="B7463" s="5" t="str">
        <f>CONCATENATE(G7463,"/",COUNTIF($G$2:G7463,G7463))</f>
        <v>NO-6196/2</v>
      </c>
      <c r="C7463" s="46" t="s">
        <v>43912</v>
      </c>
      <c r="D7463" s="246">
        <v>44273</v>
      </c>
      <c r="E7463" s="46" t="s">
        <v>43913</v>
      </c>
      <c r="F7463" s="26" t="s">
        <v>23600</v>
      </c>
      <c r="G7463" s="27" t="s">
        <v>17342</v>
      </c>
      <c r="H7463" s="29" t="s">
        <v>17343</v>
      </c>
      <c r="I7463" s="30" t="s">
        <v>17344</v>
      </c>
    </row>
    <row r="7464" spans="1:9" ht="30.75" customHeight="1">
      <c r="A7464" s="46"/>
      <c r="B7464" s="5" t="str">
        <f>CONCATENATE(G7464,"/",COUNTIF($G$2:G7464,G7464))</f>
        <v>NO-6196/3</v>
      </c>
      <c r="C7464" s="46" t="s">
        <v>43914</v>
      </c>
      <c r="D7464" s="246">
        <v>44273</v>
      </c>
      <c r="E7464" s="46" t="s">
        <v>43915</v>
      </c>
      <c r="F7464" s="26" t="s">
        <v>23600</v>
      </c>
      <c r="G7464" s="27" t="s">
        <v>17342</v>
      </c>
      <c r="H7464" s="29" t="s">
        <v>17343</v>
      </c>
      <c r="I7464" s="30" t="s">
        <v>17344</v>
      </c>
    </row>
    <row r="7465" spans="1:9" ht="30.75" customHeight="1">
      <c r="A7465" s="46"/>
      <c r="B7465" s="5" t="str">
        <f>CONCATENATE(G7465,"/",COUNTIF($G$2:G7465,G7465))</f>
        <v>NO-6196/4</v>
      </c>
      <c r="C7465" s="46" t="s">
        <v>43916</v>
      </c>
      <c r="D7465" s="246">
        <v>44273</v>
      </c>
      <c r="E7465" s="46" t="s">
        <v>43917</v>
      </c>
      <c r="F7465" s="26" t="s">
        <v>23600</v>
      </c>
      <c r="G7465" s="27" t="s">
        <v>17342</v>
      </c>
      <c r="H7465" s="29" t="s">
        <v>17343</v>
      </c>
      <c r="I7465" s="30" t="s">
        <v>17344</v>
      </c>
    </row>
    <row r="7466" spans="1:9" ht="30" customHeight="1">
      <c r="A7466" s="46"/>
      <c r="B7466" s="5" t="str">
        <f>CONCATENATE(G7466,"/",COUNTIF($G$2:G7466,G7466))</f>
        <v>CZ-6296/1</v>
      </c>
      <c r="C7466" s="46" t="s">
        <v>23621</v>
      </c>
      <c r="D7466" s="246">
        <v>44551</v>
      </c>
      <c r="E7466" s="8" t="s">
        <v>43918</v>
      </c>
      <c r="F7466" s="26" t="s">
        <v>23600</v>
      </c>
      <c r="G7466" s="27" t="s">
        <v>17956</v>
      </c>
      <c r="H7466" s="29" t="s">
        <v>17957</v>
      </c>
      <c r="I7466" s="30" t="s">
        <v>16429</v>
      </c>
    </row>
    <row r="7467" spans="1:9" ht="25.4" customHeight="1">
      <c r="A7467" s="46"/>
      <c r="B7467" s="5" t="str">
        <f>CONCATENATE(G7467,"/",COUNTIF($G$2:G7467,G7467))</f>
        <v>HR-10008/1</v>
      </c>
      <c r="C7467" s="46" t="s">
        <v>43919</v>
      </c>
      <c r="D7467" s="246">
        <v>44545</v>
      </c>
      <c r="E7467" s="46" t="s">
        <v>43920</v>
      </c>
      <c r="F7467" s="26" t="s">
        <v>23600</v>
      </c>
      <c r="G7467" s="33" t="s">
        <v>18417</v>
      </c>
      <c r="H7467" s="44" t="s">
        <v>18418</v>
      </c>
      <c r="I7467" s="45" t="s">
        <v>9789</v>
      </c>
    </row>
    <row r="7468" spans="1:9" ht="23.25" customHeight="1">
      <c r="A7468" s="46"/>
      <c r="B7468" s="5" t="str">
        <f>CONCATENATE(G7468,"/",COUNTIF($G$2:G7468,G7468))</f>
        <v>FR-6108/1</v>
      </c>
      <c r="C7468" s="46" t="s">
        <v>43921</v>
      </c>
      <c r="D7468" s="246">
        <v>44550</v>
      </c>
      <c r="E7468" s="46" t="s">
        <v>43922</v>
      </c>
      <c r="F7468" s="26" t="s">
        <v>23600</v>
      </c>
      <c r="G7468" s="27" t="s">
        <v>17048</v>
      </c>
      <c r="H7468" s="29" t="s">
        <v>17049</v>
      </c>
      <c r="I7468" s="30" t="s">
        <v>16310</v>
      </c>
    </row>
    <row r="7469" spans="1:9" ht="23.25" customHeight="1">
      <c r="A7469" s="46"/>
      <c r="B7469" s="5" t="str">
        <f>CONCATENATE(G7469,"/",COUNTIF($G$2:G7469,G7469))</f>
        <v>FR-6108/2</v>
      </c>
      <c r="C7469" s="46" t="s">
        <v>43923</v>
      </c>
      <c r="D7469" s="246">
        <v>44550</v>
      </c>
      <c r="E7469" s="46" t="s">
        <v>43924</v>
      </c>
      <c r="F7469" s="26" t="s">
        <v>23600</v>
      </c>
      <c r="G7469" s="27" t="s">
        <v>17048</v>
      </c>
      <c r="H7469" s="29" t="s">
        <v>17049</v>
      </c>
      <c r="I7469" s="30" t="s">
        <v>16310</v>
      </c>
    </row>
    <row r="7470" spans="1:9" ht="29.9" customHeight="1">
      <c r="A7470" s="46"/>
      <c r="B7470" s="5" t="str">
        <f>CONCATENATE(G7470,"/",COUNTIF($G$2:G7470,G7470))</f>
        <v>BG-10101/1</v>
      </c>
      <c r="C7470" s="46" t="s">
        <v>43925</v>
      </c>
      <c r="D7470" s="246">
        <v>44544</v>
      </c>
      <c r="E7470" s="46" t="s">
        <v>43926</v>
      </c>
      <c r="F7470" s="26" t="s">
        <v>23600</v>
      </c>
      <c r="G7470" s="36" t="s">
        <v>19187</v>
      </c>
      <c r="H7470" s="29" t="s">
        <v>19188</v>
      </c>
      <c r="I7470" s="30" t="s">
        <v>17773</v>
      </c>
    </row>
    <row r="7471" spans="1:9" ht="29.9" customHeight="1">
      <c r="A7471" s="46"/>
      <c r="B7471" s="5" t="str">
        <f>CONCATENATE(G7471,"/",COUNTIF($G$2:G7471,G7471))</f>
        <v>BG-10101/2</v>
      </c>
      <c r="C7471" s="46" t="s">
        <v>43927</v>
      </c>
      <c r="D7471" s="246">
        <v>44544</v>
      </c>
      <c r="E7471" s="46" t="s">
        <v>43928</v>
      </c>
      <c r="F7471" s="26" t="s">
        <v>23600</v>
      </c>
      <c r="G7471" s="36" t="s">
        <v>19187</v>
      </c>
      <c r="H7471" s="29" t="s">
        <v>19188</v>
      </c>
      <c r="I7471" s="30" t="s">
        <v>17773</v>
      </c>
    </row>
    <row r="7472" spans="1:9" ht="29.9" customHeight="1">
      <c r="A7472" s="46"/>
      <c r="B7472" s="5" t="str">
        <f>CONCATENATE(G7472,"/",COUNTIF($G$2:G7472,G7472))</f>
        <v>BG-10101/3</v>
      </c>
      <c r="C7472" s="46" t="s">
        <v>43929</v>
      </c>
      <c r="D7472" s="246">
        <v>44544</v>
      </c>
      <c r="E7472" s="46" t="s">
        <v>43930</v>
      </c>
      <c r="F7472" s="26" t="s">
        <v>23600</v>
      </c>
      <c r="G7472" s="36" t="s">
        <v>19187</v>
      </c>
      <c r="H7472" s="29" t="s">
        <v>19188</v>
      </c>
      <c r="I7472" s="30" t="s">
        <v>17773</v>
      </c>
    </row>
    <row r="7473" spans="1:9" ht="28.4" customHeight="1">
      <c r="A7473" s="46"/>
      <c r="B7473" s="5" t="str">
        <f>CONCATENATE(G7473,"/",COUNTIF($G$2:G7473,G7473))</f>
        <v>RO-10004/1</v>
      </c>
      <c r="C7473" s="46" t="s">
        <v>31316</v>
      </c>
      <c r="D7473" s="246">
        <v>44552</v>
      </c>
      <c r="E7473" s="46" t="s">
        <v>43931</v>
      </c>
      <c r="F7473" s="26" t="s">
        <v>23600</v>
      </c>
      <c r="G7473" s="33" t="s">
        <v>18408</v>
      </c>
      <c r="H7473" s="44" t="s">
        <v>18409</v>
      </c>
      <c r="I7473" s="45" t="s">
        <v>17682</v>
      </c>
    </row>
    <row r="7474" spans="1:9" ht="28.4" customHeight="1">
      <c r="A7474" s="46"/>
      <c r="B7474" s="5" t="str">
        <f>CONCATENATE(G7474,"/",COUNTIF($G$2:G7474,G7474))</f>
        <v>RO-10004/2</v>
      </c>
      <c r="C7474" s="46" t="s">
        <v>31319</v>
      </c>
      <c r="D7474" s="246">
        <v>44552</v>
      </c>
      <c r="E7474" s="46" t="s">
        <v>43932</v>
      </c>
      <c r="F7474" s="26" t="s">
        <v>23600</v>
      </c>
      <c r="G7474" s="33" t="s">
        <v>18408</v>
      </c>
      <c r="H7474" s="44" t="s">
        <v>18409</v>
      </c>
      <c r="I7474" s="45" t="s">
        <v>17682</v>
      </c>
    </row>
    <row r="7475" spans="1:9" ht="28.4" customHeight="1">
      <c r="A7475" s="46"/>
      <c r="B7475" s="5" t="str">
        <f>CONCATENATE(G7475,"/",COUNTIF($G$2:G7475,G7475))</f>
        <v>RO-10004/3</v>
      </c>
      <c r="C7475" s="46" t="s">
        <v>39762</v>
      </c>
      <c r="D7475" s="246">
        <v>44552</v>
      </c>
      <c r="E7475" s="46" t="s">
        <v>43933</v>
      </c>
      <c r="F7475" s="26" t="s">
        <v>23600</v>
      </c>
      <c r="G7475" s="33" t="s">
        <v>18408</v>
      </c>
      <c r="H7475" s="44" t="s">
        <v>18409</v>
      </c>
      <c r="I7475" s="45" t="s">
        <v>17682</v>
      </c>
    </row>
    <row r="7476" spans="1:9" ht="46.5" customHeight="1">
      <c r="A7476" s="46"/>
      <c r="B7476" s="5" t="str">
        <f>CONCATENATE(G7476,"/",COUNTIF($G$2:G7476,G7476))</f>
        <v>CZ-10052/1</v>
      </c>
      <c r="C7476" s="46" t="s">
        <v>23621</v>
      </c>
      <c r="D7476" s="246">
        <v>44572</v>
      </c>
      <c r="E7476" s="46" t="s">
        <v>43934</v>
      </c>
      <c r="F7476" s="26" t="s">
        <v>23600</v>
      </c>
      <c r="G7476" s="36" t="s">
        <v>18827</v>
      </c>
      <c r="H7476" s="38" t="s">
        <v>18828</v>
      </c>
      <c r="I7476" s="46" t="s">
        <v>16429</v>
      </c>
    </row>
    <row r="7477" spans="1:9" ht="26.25" customHeight="1">
      <c r="A7477" s="46"/>
      <c r="B7477" s="5" t="str">
        <f>CONCATENATE(G7477,"/",COUNTIF($G$2:G7477,G7477))</f>
        <v>PT-5610/1</v>
      </c>
      <c r="C7477" s="46" t="s">
        <v>43935</v>
      </c>
      <c r="D7477" s="246">
        <v>44522</v>
      </c>
      <c r="E7477" s="46" t="s">
        <v>43936</v>
      </c>
      <c r="F7477" s="26" t="s">
        <v>23600</v>
      </c>
      <c r="G7477" s="36" t="s">
        <v>14815</v>
      </c>
      <c r="H7477" s="38" t="s">
        <v>14816</v>
      </c>
      <c r="I7477" s="46" t="s">
        <v>16702</v>
      </c>
    </row>
    <row r="7478" spans="1:9" ht="26.25" customHeight="1">
      <c r="A7478" s="46"/>
      <c r="B7478" s="5" t="str">
        <f>CONCATENATE(G7478,"/",COUNTIF($G$2:G7478,G7478))</f>
        <v>PT-5610/2</v>
      </c>
      <c r="C7478" s="46" t="s">
        <v>43937</v>
      </c>
      <c r="D7478" s="246">
        <v>44522</v>
      </c>
      <c r="E7478" s="46" t="s">
        <v>43938</v>
      </c>
      <c r="F7478" s="26" t="s">
        <v>23600</v>
      </c>
      <c r="G7478" s="36" t="s">
        <v>14815</v>
      </c>
      <c r="H7478" s="38" t="s">
        <v>14816</v>
      </c>
      <c r="I7478" s="46" t="s">
        <v>16702</v>
      </c>
    </row>
    <row r="7479" spans="1:9" ht="26.25" customHeight="1">
      <c r="A7479" s="46"/>
      <c r="B7479" s="5" t="str">
        <f>CONCATENATE(G7479,"/",COUNTIF($G$2:G7479,G7479))</f>
        <v>PT-5610/3</v>
      </c>
      <c r="C7479" s="46" t="s">
        <v>43939</v>
      </c>
      <c r="D7479" s="246">
        <v>44522</v>
      </c>
      <c r="E7479" s="46" t="s">
        <v>43940</v>
      </c>
      <c r="F7479" s="26" t="s">
        <v>23600</v>
      </c>
      <c r="G7479" s="36" t="s">
        <v>14815</v>
      </c>
      <c r="H7479" s="38" t="s">
        <v>14816</v>
      </c>
      <c r="I7479" s="46" t="s">
        <v>16702</v>
      </c>
    </row>
    <row r="7480" spans="1:9" ht="26.25" customHeight="1">
      <c r="A7480" s="46"/>
      <c r="B7480" s="5" t="str">
        <f>CONCATENATE(G7480,"/",COUNTIF($G$2:G7480,G7480))</f>
        <v>PT-5610/4</v>
      </c>
      <c r="C7480" s="46" t="s">
        <v>43941</v>
      </c>
      <c r="D7480" s="246">
        <v>44522</v>
      </c>
      <c r="E7480" s="46" t="s">
        <v>43942</v>
      </c>
      <c r="F7480" s="26" t="s">
        <v>23600</v>
      </c>
      <c r="G7480" s="36" t="s">
        <v>14815</v>
      </c>
      <c r="H7480" s="38" t="s">
        <v>14816</v>
      </c>
      <c r="I7480" s="46" t="s">
        <v>16702</v>
      </c>
    </row>
    <row r="7481" spans="1:9" ht="26.25" customHeight="1">
      <c r="A7481" s="46"/>
      <c r="B7481" s="5" t="str">
        <f>CONCATENATE(G7481,"/",COUNTIF($G$2:G7481,G7481))</f>
        <v>PT-5610/5</v>
      </c>
      <c r="C7481" s="46" t="s">
        <v>43943</v>
      </c>
      <c r="D7481" s="246">
        <v>44522</v>
      </c>
      <c r="E7481" s="46" t="s">
        <v>43944</v>
      </c>
      <c r="F7481" s="26" t="s">
        <v>23600</v>
      </c>
      <c r="G7481" s="36" t="s">
        <v>14815</v>
      </c>
      <c r="H7481" s="38" t="s">
        <v>14816</v>
      </c>
      <c r="I7481" s="46" t="s">
        <v>16702</v>
      </c>
    </row>
    <row r="7482" spans="1:9" ht="26.25" customHeight="1">
      <c r="A7482" s="46"/>
      <c r="B7482" s="5" t="str">
        <f>CONCATENATE(G7482,"/",COUNTIF($G$2:G7482,G7482))</f>
        <v>PT-5610/6</v>
      </c>
      <c r="C7482" s="46" t="s">
        <v>43945</v>
      </c>
      <c r="D7482" s="246">
        <v>44522</v>
      </c>
      <c r="E7482" s="46" t="s">
        <v>43946</v>
      </c>
      <c r="F7482" s="26" t="s">
        <v>23600</v>
      </c>
      <c r="G7482" s="36" t="s">
        <v>14815</v>
      </c>
      <c r="H7482" s="38" t="s">
        <v>14816</v>
      </c>
      <c r="I7482" s="46" t="s">
        <v>16702</v>
      </c>
    </row>
    <row r="7483" spans="1:9" ht="26.25" customHeight="1">
      <c r="A7483" s="46"/>
      <c r="B7483" s="5" t="str">
        <f>CONCATENATE(G7483,"/",COUNTIF($G$2:G7483,G7483))</f>
        <v>PT-5610/7</v>
      </c>
      <c r="C7483" s="46" t="s">
        <v>43947</v>
      </c>
      <c r="D7483" s="246">
        <v>44522</v>
      </c>
      <c r="E7483" s="46" t="s">
        <v>43948</v>
      </c>
      <c r="F7483" s="26" t="s">
        <v>23600</v>
      </c>
      <c r="G7483" s="36" t="s">
        <v>14815</v>
      </c>
      <c r="H7483" s="38" t="s">
        <v>14816</v>
      </c>
      <c r="I7483" s="46" t="s">
        <v>16702</v>
      </c>
    </row>
    <row r="7484" spans="1:9" ht="26.25" customHeight="1">
      <c r="A7484" s="46"/>
      <c r="B7484" s="5" t="str">
        <f>CONCATENATE(G7484,"/",COUNTIF($G$2:G7484,G7484))</f>
        <v>PT-6186/1</v>
      </c>
      <c r="C7484" s="46" t="s">
        <v>43949</v>
      </c>
      <c r="D7484" s="246">
        <v>44560</v>
      </c>
      <c r="E7484" s="46" t="s">
        <v>43950</v>
      </c>
      <c r="F7484" s="26" t="s">
        <v>23600</v>
      </c>
      <c r="G7484" s="27" t="s">
        <v>17288</v>
      </c>
      <c r="H7484" s="29" t="s">
        <v>17289</v>
      </c>
      <c r="I7484" s="46" t="s">
        <v>16702</v>
      </c>
    </row>
    <row r="7485" spans="1:9" ht="29.25" customHeight="1">
      <c r="A7485" s="46"/>
      <c r="B7485" s="5" t="str">
        <f>CONCATENATE(G7485,"/",COUNTIF($G$2:G7485,G7485))</f>
        <v>FR-6222/1</v>
      </c>
      <c r="C7485" s="46" t="s">
        <v>43951</v>
      </c>
      <c r="D7485" s="246">
        <v>44582</v>
      </c>
      <c r="E7485" s="46" t="s">
        <v>43952</v>
      </c>
      <c r="F7485" s="26" t="s">
        <v>23600</v>
      </c>
      <c r="G7485" s="27" t="s">
        <v>17547</v>
      </c>
      <c r="H7485" s="29" t="s">
        <v>17548</v>
      </c>
      <c r="I7485" s="30" t="s">
        <v>16310</v>
      </c>
    </row>
    <row r="7486" spans="1:9" ht="29.25" customHeight="1">
      <c r="A7486" s="46"/>
      <c r="B7486" s="5" t="str">
        <f>CONCATENATE(G7486,"/",COUNTIF($G$2:G7486,G7486))</f>
        <v>FR-6222/2</v>
      </c>
      <c r="C7486" s="46" t="s">
        <v>43953</v>
      </c>
      <c r="D7486" s="246">
        <v>44582</v>
      </c>
      <c r="E7486" s="46" t="s">
        <v>43954</v>
      </c>
      <c r="F7486" s="26" t="s">
        <v>23600</v>
      </c>
      <c r="G7486" s="27" t="s">
        <v>17547</v>
      </c>
      <c r="H7486" s="29" t="s">
        <v>17548</v>
      </c>
      <c r="I7486" s="30" t="s">
        <v>16310</v>
      </c>
    </row>
    <row r="7487" spans="1:9" ht="29.25" customHeight="1">
      <c r="A7487" s="46"/>
      <c r="B7487" s="5" t="str">
        <f>CONCATENATE(G7487,"/",COUNTIF($G$2:G7487,G7487))</f>
        <v>FR-6222/3</v>
      </c>
      <c r="C7487" s="46" t="s">
        <v>43955</v>
      </c>
      <c r="D7487" s="246">
        <v>44582</v>
      </c>
      <c r="E7487" s="46" t="s">
        <v>43956</v>
      </c>
      <c r="F7487" s="26" t="s">
        <v>23600</v>
      </c>
      <c r="G7487" s="27" t="s">
        <v>17547</v>
      </c>
      <c r="H7487" s="29" t="s">
        <v>17548</v>
      </c>
      <c r="I7487" s="30" t="s">
        <v>16310</v>
      </c>
    </row>
    <row r="7488" spans="1:9" ht="29.25" customHeight="1">
      <c r="A7488" s="46"/>
      <c r="B7488" s="5" t="str">
        <f>CONCATENATE(G7488,"/",COUNTIF($G$2:G7488,G7488))</f>
        <v>FR-6222/4</v>
      </c>
      <c r="C7488" s="46" t="s">
        <v>43957</v>
      </c>
      <c r="D7488" s="246">
        <v>44582</v>
      </c>
      <c r="E7488" s="46" t="s">
        <v>43958</v>
      </c>
      <c r="F7488" s="26" t="s">
        <v>23600</v>
      </c>
      <c r="G7488" s="27" t="s">
        <v>17547</v>
      </c>
      <c r="H7488" s="29" t="s">
        <v>17548</v>
      </c>
      <c r="I7488" s="30" t="s">
        <v>16310</v>
      </c>
    </row>
    <row r="7489" spans="1:9" ht="26.9" customHeight="1">
      <c r="A7489" s="46"/>
      <c r="B7489" s="5" t="str">
        <f>CONCATENATE(G7489,"/",COUNTIF($G$2:G7489,G7489))</f>
        <v>CZ-6366/1</v>
      </c>
      <c r="C7489" s="46" t="s">
        <v>23621</v>
      </c>
      <c r="D7489" s="246">
        <v>44585</v>
      </c>
      <c r="E7489" s="46" t="s">
        <v>43959</v>
      </c>
      <c r="F7489" s="26" t="s">
        <v>23600</v>
      </c>
      <c r="G7489" s="27" t="s">
        <v>18360</v>
      </c>
      <c r="H7489" s="38" t="s">
        <v>18361</v>
      </c>
      <c r="I7489" s="30" t="s">
        <v>16429</v>
      </c>
    </row>
    <row r="7490" spans="1:9" ht="32.25" customHeight="1">
      <c r="A7490" s="46"/>
      <c r="B7490" s="5" t="str">
        <f>CONCATENATE(G7490,"/",COUNTIF($G$2:G7490,G7490))</f>
        <v>RO-10016/1</v>
      </c>
      <c r="C7490" s="46" t="s">
        <v>43960</v>
      </c>
      <c r="D7490" s="246">
        <v>44595</v>
      </c>
      <c r="E7490" s="46" t="s">
        <v>43961</v>
      </c>
      <c r="F7490" s="26" t="s">
        <v>23600</v>
      </c>
      <c r="G7490" s="36" t="s">
        <v>18532</v>
      </c>
      <c r="H7490" s="38" t="s">
        <v>18533</v>
      </c>
      <c r="I7490" s="48" t="s">
        <v>17682</v>
      </c>
    </row>
    <row r="7491" spans="1:9" ht="32.25" customHeight="1">
      <c r="A7491" s="46"/>
      <c r="B7491" s="5" t="str">
        <f>CONCATENATE(G7491,"/",COUNTIF($G$2:G7491,G7491))</f>
        <v>RO-10016/2</v>
      </c>
      <c r="C7491" s="46" t="s">
        <v>43962</v>
      </c>
      <c r="D7491" s="246">
        <v>44595</v>
      </c>
      <c r="E7491" s="46" t="s">
        <v>43963</v>
      </c>
      <c r="F7491" s="26" t="s">
        <v>23600</v>
      </c>
      <c r="G7491" s="36" t="s">
        <v>18532</v>
      </c>
      <c r="H7491" s="38" t="s">
        <v>18533</v>
      </c>
      <c r="I7491" s="48" t="s">
        <v>17682</v>
      </c>
    </row>
    <row r="7492" spans="1:9" ht="32.25" customHeight="1">
      <c r="A7492" s="46"/>
      <c r="B7492" s="5" t="str">
        <f>CONCATENATE(G7492,"/",COUNTIF($G$2:G7492,G7492))</f>
        <v>RO-10016/3</v>
      </c>
      <c r="C7492" s="46" t="s">
        <v>43964</v>
      </c>
      <c r="D7492" s="246">
        <v>44595</v>
      </c>
      <c r="E7492" s="46" t="s">
        <v>43965</v>
      </c>
      <c r="F7492" s="26" t="s">
        <v>23600</v>
      </c>
      <c r="G7492" s="36" t="s">
        <v>18532</v>
      </c>
      <c r="H7492" s="38" t="s">
        <v>18533</v>
      </c>
      <c r="I7492" s="48" t="s">
        <v>17682</v>
      </c>
    </row>
    <row r="7493" spans="1:9" ht="36" customHeight="1">
      <c r="A7493" s="46"/>
      <c r="B7493" s="5" t="str">
        <f>CONCATENATE(G7493,"/",COUNTIF($G$2:G7493,G7493))</f>
        <v>HR-10033/1</v>
      </c>
      <c r="C7493" s="46" t="s">
        <v>43966</v>
      </c>
      <c r="D7493" s="246">
        <v>44600</v>
      </c>
      <c r="E7493" s="46" t="s">
        <v>43967</v>
      </c>
      <c r="F7493" s="26" t="s">
        <v>23600</v>
      </c>
      <c r="G7493" s="36" t="s">
        <v>18489</v>
      </c>
      <c r="H7493" s="38" t="s">
        <v>18490</v>
      </c>
      <c r="I7493" s="48" t="s">
        <v>9789</v>
      </c>
    </row>
    <row r="7494" spans="1:9" ht="30" customHeight="1">
      <c r="A7494" s="46"/>
      <c r="B7494" s="5" t="str">
        <f>CONCATENATE(G7494,"/",COUNTIF($G$2:G7494,G7494))</f>
        <v>IT-6182/1</v>
      </c>
      <c r="C7494" s="46" t="s">
        <v>43968</v>
      </c>
      <c r="D7494" s="246">
        <v>44589</v>
      </c>
      <c r="E7494" s="46" t="s">
        <v>43969</v>
      </c>
      <c r="F7494" s="26" t="s">
        <v>23600</v>
      </c>
      <c r="G7494" s="27" t="s">
        <v>17395</v>
      </c>
      <c r="H7494" s="29" t="s">
        <v>17396</v>
      </c>
      <c r="I7494" s="30" t="s">
        <v>18131</v>
      </c>
    </row>
    <row r="7495" spans="1:9" ht="30" customHeight="1">
      <c r="A7495" s="46"/>
      <c r="B7495" s="5" t="str">
        <f>CONCATENATE(G7495,"/",COUNTIF($G$2:G7495,G7495))</f>
        <v>IT-6182/2</v>
      </c>
      <c r="C7495" s="46" t="s">
        <v>43970</v>
      </c>
      <c r="D7495" s="246">
        <v>44589</v>
      </c>
      <c r="E7495" s="46" t="s">
        <v>43971</v>
      </c>
      <c r="F7495" s="26" t="s">
        <v>23600</v>
      </c>
      <c r="G7495" s="27" t="s">
        <v>17395</v>
      </c>
      <c r="H7495" s="29" t="s">
        <v>17396</v>
      </c>
      <c r="I7495" s="30" t="s">
        <v>18131</v>
      </c>
    </row>
    <row r="7496" spans="1:9" ht="30" customHeight="1">
      <c r="A7496" s="46"/>
      <c r="B7496" s="5" t="str">
        <f>CONCATENATE(G7496,"/",COUNTIF($G$2:G7496,G7496))</f>
        <v>IT-6182/3</v>
      </c>
      <c r="C7496" s="46" t="s">
        <v>43972</v>
      </c>
      <c r="D7496" s="246">
        <v>44589</v>
      </c>
      <c r="E7496" s="46" t="s">
        <v>43973</v>
      </c>
      <c r="F7496" s="26" t="s">
        <v>23600</v>
      </c>
      <c r="G7496" s="27" t="s">
        <v>17395</v>
      </c>
      <c r="H7496" s="29" t="s">
        <v>17396</v>
      </c>
      <c r="I7496" s="30" t="s">
        <v>18131</v>
      </c>
    </row>
    <row r="7497" spans="1:9" ht="30" customHeight="1">
      <c r="A7497" s="46"/>
      <c r="B7497" s="5" t="str">
        <f>CONCATENATE(G7497,"/",COUNTIF($G$2:G7497,G7497))</f>
        <v>IT-6182/4</v>
      </c>
      <c r="C7497" s="46" t="s">
        <v>43974</v>
      </c>
      <c r="D7497" s="246">
        <v>44589</v>
      </c>
      <c r="E7497" s="46" t="s">
        <v>43975</v>
      </c>
      <c r="F7497" s="26" t="s">
        <v>23600</v>
      </c>
      <c r="G7497" s="27" t="s">
        <v>17395</v>
      </c>
      <c r="H7497" s="29" t="s">
        <v>17396</v>
      </c>
      <c r="I7497" s="30" t="s">
        <v>18131</v>
      </c>
    </row>
    <row r="7498" spans="1:9" ht="30" customHeight="1">
      <c r="A7498" s="46"/>
      <c r="B7498" s="5" t="str">
        <f>CONCATENATE(G7498,"/",COUNTIF($G$2:G7498,G7498))</f>
        <v>IT-6182/5</v>
      </c>
      <c r="C7498" s="46" t="s">
        <v>43976</v>
      </c>
      <c r="D7498" s="246">
        <v>44589</v>
      </c>
      <c r="E7498" s="46" t="s">
        <v>43977</v>
      </c>
      <c r="F7498" s="26" t="s">
        <v>23600</v>
      </c>
      <c r="G7498" s="27" t="s">
        <v>17395</v>
      </c>
      <c r="H7498" s="29" t="s">
        <v>17396</v>
      </c>
      <c r="I7498" s="30" t="s">
        <v>18131</v>
      </c>
    </row>
    <row r="7499" spans="1:9" ht="32.9" customHeight="1">
      <c r="A7499" s="46"/>
      <c r="B7499" s="5" t="str">
        <f>CONCATENATE(G7499,"/",COUNTIF($G$2:G7499,G7499))</f>
        <v>BG-10124/1</v>
      </c>
      <c r="C7499" s="46" t="s">
        <v>43978</v>
      </c>
      <c r="D7499" s="246">
        <v>44615</v>
      </c>
      <c r="E7499" s="46" t="s">
        <v>43979</v>
      </c>
      <c r="F7499" s="26" t="s">
        <v>23600</v>
      </c>
      <c r="G7499" s="36" t="s">
        <v>19340</v>
      </c>
      <c r="H7499" s="29" t="s">
        <v>19341</v>
      </c>
      <c r="I7499" s="30" t="s">
        <v>17773</v>
      </c>
    </row>
    <row r="7500" spans="1:9" ht="32.9" customHeight="1">
      <c r="A7500" s="46"/>
      <c r="B7500" s="5" t="str">
        <f>CONCATENATE(G7500,"/",COUNTIF($G$2:G7500,G7500))</f>
        <v>BG-10124/2</v>
      </c>
      <c r="C7500" s="46" t="s">
        <v>43980</v>
      </c>
      <c r="D7500" s="246">
        <v>44615</v>
      </c>
      <c r="E7500" s="46" t="s">
        <v>43981</v>
      </c>
      <c r="F7500" s="26" t="s">
        <v>23600</v>
      </c>
      <c r="G7500" s="36" t="s">
        <v>19340</v>
      </c>
      <c r="H7500" s="29" t="s">
        <v>19341</v>
      </c>
      <c r="I7500" s="30" t="s">
        <v>17773</v>
      </c>
    </row>
    <row r="7501" spans="1:9" ht="32.9" customHeight="1">
      <c r="A7501" s="46"/>
      <c r="B7501" s="5" t="str">
        <f>CONCATENATE(G7501,"/",COUNTIF($G$2:G7501,G7501))</f>
        <v>BG-10124/3</v>
      </c>
      <c r="C7501" s="46" t="s">
        <v>43982</v>
      </c>
      <c r="D7501" s="246">
        <v>44615</v>
      </c>
      <c r="E7501" s="46" t="s">
        <v>43983</v>
      </c>
      <c r="F7501" s="26" t="s">
        <v>23600</v>
      </c>
      <c r="G7501" s="36" t="s">
        <v>19340</v>
      </c>
      <c r="H7501" s="29" t="s">
        <v>19341</v>
      </c>
      <c r="I7501" s="30" t="s">
        <v>17773</v>
      </c>
    </row>
    <row r="7502" spans="1:9" ht="32.9" customHeight="1">
      <c r="A7502" s="46"/>
      <c r="B7502" s="5" t="str">
        <f>CONCATENATE(G7502,"/",COUNTIF($G$2:G7502,G7502))</f>
        <v>BG-10124/4</v>
      </c>
      <c r="C7502" s="46" t="s">
        <v>43984</v>
      </c>
      <c r="D7502" s="246">
        <v>44615</v>
      </c>
      <c r="E7502" s="46" t="s">
        <v>43985</v>
      </c>
      <c r="F7502" s="26" t="s">
        <v>23600</v>
      </c>
      <c r="G7502" s="36" t="s">
        <v>19340</v>
      </c>
      <c r="H7502" s="29" t="s">
        <v>19341</v>
      </c>
      <c r="I7502" s="30" t="s">
        <v>17773</v>
      </c>
    </row>
    <row r="7503" spans="1:9" ht="36.75" customHeight="1">
      <c r="A7503" s="46"/>
      <c r="B7503" s="5" t="str">
        <f>CONCATENATE(G7503,"/",COUNTIF($G$2:G7503,G7503))</f>
        <v>PL-10041/1</v>
      </c>
      <c r="C7503" s="46" t="s">
        <v>43986</v>
      </c>
      <c r="D7503" s="246">
        <v>44615</v>
      </c>
      <c r="E7503" s="46" t="s">
        <v>43987</v>
      </c>
      <c r="F7503" s="26" t="s">
        <v>23600</v>
      </c>
      <c r="G7503" s="36" t="s">
        <v>18722</v>
      </c>
      <c r="H7503" s="38" t="s">
        <v>18723</v>
      </c>
      <c r="I7503" s="46" t="s">
        <v>17057</v>
      </c>
    </row>
    <row r="7504" spans="1:9" ht="36.75" customHeight="1">
      <c r="A7504" s="46"/>
      <c r="B7504" s="5" t="str">
        <f>CONCATENATE(G7504,"/",COUNTIF($G$2:G7504,G7504))</f>
        <v>PL-10041/2</v>
      </c>
      <c r="C7504" s="46" t="s">
        <v>43988</v>
      </c>
      <c r="D7504" s="246">
        <v>44615</v>
      </c>
      <c r="E7504" s="46" t="s">
        <v>43989</v>
      </c>
      <c r="F7504" s="26" t="s">
        <v>23600</v>
      </c>
      <c r="G7504" s="36" t="s">
        <v>18722</v>
      </c>
      <c r="H7504" s="38" t="s">
        <v>18723</v>
      </c>
      <c r="I7504" s="46" t="s">
        <v>17057</v>
      </c>
    </row>
    <row r="7505" spans="1:9" ht="36.75" customHeight="1">
      <c r="A7505" s="46"/>
      <c r="B7505" s="5" t="str">
        <f>CONCATENATE(G7505,"/",COUNTIF($G$2:G7505,G7505))</f>
        <v>PL-10041/3</v>
      </c>
      <c r="C7505" s="46" t="s">
        <v>43990</v>
      </c>
      <c r="D7505" s="246">
        <v>44615</v>
      </c>
      <c r="E7505" s="46" t="s">
        <v>43991</v>
      </c>
      <c r="G7505" s="36" t="s">
        <v>18722</v>
      </c>
      <c r="H7505" s="38" t="s">
        <v>18723</v>
      </c>
      <c r="I7505" s="46" t="s">
        <v>17057</v>
      </c>
    </row>
    <row r="7506" spans="1:9" ht="36" customHeight="1">
      <c r="A7506" s="46"/>
      <c r="B7506" s="5" t="str">
        <f>CONCATENATE(G7506,"/",COUNTIF($G$2:G7506,G7506))</f>
        <v>DE-5860/1</v>
      </c>
      <c r="C7506" s="46" t="s">
        <v>43992</v>
      </c>
      <c r="D7506" s="246">
        <v>44644</v>
      </c>
      <c r="E7506" s="46" t="s">
        <v>43993</v>
      </c>
      <c r="F7506" s="26" t="s">
        <v>25439</v>
      </c>
      <c r="G7506" s="27" t="s">
        <v>15178</v>
      </c>
      <c r="H7506" s="29" t="s">
        <v>15179</v>
      </c>
      <c r="I7506" s="30" t="s">
        <v>6455</v>
      </c>
    </row>
    <row r="7507" spans="1:9" ht="44.9" customHeight="1">
      <c r="A7507" s="46"/>
      <c r="B7507" s="5" t="str">
        <f>CONCATENATE(G7507,"/",COUNTIF($G$2:G7507,G7507))</f>
        <v>RO-10035/1</v>
      </c>
      <c r="C7507" s="46" t="s">
        <v>43960</v>
      </c>
      <c r="D7507" s="246">
        <v>44644</v>
      </c>
      <c r="E7507" s="46" t="s">
        <v>43994</v>
      </c>
      <c r="F7507" s="26" t="s">
        <v>23600</v>
      </c>
      <c r="G7507" s="36" t="s">
        <v>18674</v>
      </c>
      <c r="H7507" s="38" t="s">
        <v>18675</v>
      </c>
      <c r="I7507" s="46" t="s">
        <v>17682</v>
      </c>
    </row>
    <row r="7508" spans="1:9" ht="38.9" customHeight="1">
      <c r="A7508" s="46"/>
      <c r="B7508" s="5" t="str">
        <f>CONCATENATE(G7508,"/",COUNTIF($G$2:G7508,G7508))</f>
        <v>HU-10011/1</v>
      </c>
      <c r="C7508" s="46" t="s">
        <v>43995</v>
      </c>
      <c r="D7508" s="246">
        <v>44641</v>
      </c>
      <c r="E7508" s="46" t="s">
        <v>43996</v>
      </c>
      <c r="F7508" s="26" t="s">
        <v>23600</v>
      </c>
      <c r="G7508" s="36" t="s">
        <v>18456</v>
      </c>
      <c r="H7508" s="38" t="s">
        <v>18457</v>
      </c>
      <c r="I7508" s="48" t="s">
        <v>17578</v>
      </c>
    </row>
    <row r="7509" spans="1:9" ht="26.9" customHeight="1">
      <c r="A7509" s="46"/>
      <c r="B7509" s="5" t="str">
        <f>CONCATENATE(G7509,"/",COUNTIF($G$2:G7509,G7509))</f>
        <v>PL-10030/1</v>
      </c>
      <c r="C7509" s="46" t="s">
        <v>43997</v>
      </c>
      <c r="D7509" s="246">
        <v>44629</v>
      </c>
      <c r="E7509" s="46" t="s">
        <v>43998</v>
      </c>
      <c r="F7509" s="26" t="s">
        <v>23600</v>
      </c>
      <c r="G7509" s="36" t="s">
        <v>18596</v>
      </c>
      <c r="H7509" s="38" t="s">
        <v>18597</v>
      </c>
      <c r="I7509" s="46" t="s">
        <v>17057</v>
      </c>
    </row>
    <row r="7510" spans="1:9" ht="26.9" customHeight="1">
      <c r="A7510" s="46"/>
      <c r="B7510" s="5" t="str">
        <f>CONCATENATE(G7510,"/",COUNTIF($G$2:G7510,G7510))</f>
        <v>PL-10030/2</v>
      </c>
      <c r="C7510" s="46" t="s">
        <v>43999</v>
      </c>
      <c r="D7510" s="246">
        <v>44629</v>
      </c>
      <c r="E7510" s="46" t="s">
        <v>44000</v>
      </c>
      <c r="F7510" s="26" t="s">
        <v>23600</v>
      </c>
      <c r="G7510" s="36" t="s">
        <v>18596</v>
      </c>
      <c r="H7510" s="38" t="s">
        <v>18597</v>
      </c>
      <c r="I7510" s="46" t="s">
        <v>17057</v>
      </c>
    </row>
    <row r="7511" spans="1:9" ht="26.9" customHeight="1">
      <c r="A7511" s="46"/>
      <c r="B7511" s="5" t="str">
        <f>CONCATENATE(G7511,"/",COUNTIF($G$2:G7511,G7511))</f>
        <v>PL-10030/3</v>
      </c>
      <c r="C7511" s="46" t="s">
        <v>44001</v>
      </c>
      <c r="D7511" s="246">
        <v>44629</v>
      </c>
      <c r="E7511" s="46" t="s">
        <v>44002</v>
      </c>
      <c r="F7511" s="26" t="s">
        <v>23600</v>
      </c>
      <c r="G7511" s="36" t="s">
        <v>18596</v>
      </c>
      <c r="H7511" s="38" t="s">
        <v>18597</v>
      </c>
      <c r="I7511" s="46" t="s">
        <v>17057</v>
      </c>
    </row>
    <row r="7512" spans="1:9" ht="26.9" customHeight="1">
      <c r="A7512" s="46"/>
      <c r="B7512" s="5" t="str">
        <f>CONCATENATE(G7512,"/",COUNTIF($G$2:G7512,G7512))</f>
        <v>PL-10030/4</v>
      </c>
      <c r="C7512" s="46" t="s">
        <v>44003</v>
      </c>
      <c r="D7512" s="246">
        <v>44629</v>
      </c>
      <c r="E7512" s="46" t="s">
        <v>44004</v>
      </c>
      <c r="F7512" s="26" t="s">
        <v>23600</v>
      </c>
      <c r="G7512" s="36" t="s">
        <v>18596</v>
      </c>
      <c r="H7512" s="38" t="s">
        <v>18597</v>
      </c>
      <c r="I7512" s="46" t="s">
        <v>17057</v>
      </c>
    </row>
    <row r="7513" spans="1:9" ht="26.9" customHeight="1">
      <c r="A7513" s="46"/>
      <c r="B7513" s="5" t="str">
        <f>CONCATENATE(G7513,"/",COUNTIF($G$2:G7513,G7513))</f>
        <v>PL-10030/5</v>
      </c>
      <c r="C7513" s="46" t="s">
        <v>44005</v>
      </c>
      <c r="D7513" s="246">
        <v>44629</v>
      </c>
      <c r="E7513" s="46" t="s">
        <v>44006</v>
      </c>
      <c r="F7513" s="26" t="s">
        <v>23600</v>
      </c>
      <c r="G7513" s="36" t="s">
        <v>18596</v>
      </c>
      <c r="H7513" s="38" t="s">
        <v>18597</v>
      </c>
      <c r="I7513" s="46" t="s">
        <v>17057</v>
      </c>
    </row>
    <row r="7514" spans="1:9" ht="26.9" customHeight="1">
      <c r="A7514" s="46"/>
      <c r="B7514" s="5" t="str">
        <f>CONCATENATE(G7514,"/",COUNTIF($G$2:G7514,G7514))</f>
        <v>PL-10030/6</v>
      </c>
      <c r="C7514" s="46" t="s">
        <v>44007</v>
      </c>
      <c r="D7514" s="246">
        <v>44629</v>
      </c>
      <c r="E7514" s="46" t="s">
        <v>44008</v>
      </c>
      <c r="F7514" s="26" t="s">
        <v>23600</v>
      </c>
      <c r="G7514" s="36" t="s">
        <v>18596</v>
      </c>
      <c r="H7514" s="38" t="s">
        <v>18597</v>
      </c>
      <c r="I7514" s="46" t="s">
        <v>17057</v>
      </c>
    </row>
    <row r="7515" spans="1:9" ht="26.9" customHeight="1">
      <c r="A7515" s="46"/>
      <c r="B7515" s="5" t="str">
        <f>CONCATENATE(G7515,"/",COUNTIF($G$2:G7515,G7515))</f>
        <v>PL-10030/7</v>
      </c>
      <c r="C7515" s="46" t="s">
        <v>44009</v>
      </c>
      <c r="D7515" s="246">
        <v>44629</v>
      </c>
      <c r="E7515" s="46" t="s">
        <v>44010</v>
      </c>
      <c r="F7515" s="26" t="s">
        <v>23600</v>
      </c>
      <c r="G7515" s="36" t="s">
        <v>18596</v>
      </c>
      <c r="H7515" s="38" t="s">
        <v>18597</v>
      </c>
      <c r="I7515" s="46" t="s">
        <v>17057</v>
      </c>
    </row>
    <row r="7516" spans="1:9" ht="26.9" customHeight="1">
      <c r="A7516" s="46"/>
      <c r="B7516" s="5" t="str">
        <f>CONCATENATE(G7516,"/",COUNTIF($G$2:G7516,G7516))</f>
        <v>PL-10030/8</v>
      </c>
      <c r="C7516" s="46" t="s">
        <v>44011</v>
      </c>
      <c r="D7516" s="246">
        <v>44629</v>
      </c>
      <c r="E7516" s="46" t="s">
        <v>44012</v>
      </c>
      <c r="F7516" s="26" t="s">
        <v>23600</v>
      </c>
      <c r="G7516" s="36" t="s">
        <v>18596</v>
      </c>
      <c r="H7516" s="38" t="s">
        <v>18597</v>
      </c>
      <c r="I7516" s="46" t="s">
        <v>17057</v>
      </c>
    </row>
    <row r="7517" spans="1:9" ht="35.25" customHeight="1">
      <c r="A7517" s="46"/>
      <c r="B7517" s="5" t="str">
        <f>CONCATENATE(G7517,"/",COUNTIF($G$2:G7517,G7517))</f>
        <v>CZ-10051/1</v>
      </c>
      <c r="C7517" s="46">
        <v>1</v>
      </c>
      <c r="D7517" s="246">
        <v>44657</v>
      </c>
      <c r="E7517" s="9" t="s">
        <v>44013</v>
      </c>
      <c r="F7517" s="26" t="s">
        <v>23600</v>
      </c>
      <c r="G7517" s="36" t="s">
        <v>18819</v>
      </c>
      <c r="H7517" s="38" t="s">
        <v>18820</v>
      </c>
      <c r="I7517" s="46" t="s">
        <v>16429</v>
      </c>
    </row>
    <row r="7518" spans="1:9" ht="35.25" customHeight="1">
      <c r="A7518" s="46"/>
      <c r="B7518" s="5" t="str">
        <f>CONCATENATE(G7518,"/",COUNTIF($G$2:G7518,G7518))</f>
        <v>CZ-10051/2</v>
      </c>
      <c r="C7518" s="46">
        <v>2</v>
      </c>
      <c r="D7518" s="246">
        <v>44657</v>
      </c>
      <c r="E7518" s="9" t="s">
        <v>44014</v>
      </c>
      <c r="F7518" s="26" t="s">
        <v>23600</v>
      </c>
      <c r="G7518" s="36" t="s">
        <v>18819</v>
      </c>
      <c r="H7518" s="38" t="s">
        <v>18820</v>
      </c>
      <c r="I7518" s="46" t="s">
        <v>16429</v>
      </c>
    </row>
    <row r="7519" spans="1:9" ht="31.4" customHeight="1">
      <c r="A7519" s="46"/>
      <c r="B7519" s="5" t="str">
        <f>CONCATENATE(G7519,"/",COUNTIF($G$2:G7519,G7519))</f>
        <v>DE-6325/1</v>
      </c>
      <c r="C7519" s="46" t="s">
        <v>44015</v>
      </c>
      <c r="D7519" s="246">
        <v>44658</v>
      </c>
      <c r="E7519" s="46" t="s">
        <v>44016</v>
      </c>
      <c r="F7519" s="49" t="s">
        <v>44017</v>
      </c>
      <c r="G7519" s="27" t="s">
        <v>17950</v>
      </c>
      <c r="H7519" s="29" t="s">
        <v>17951</v>
      </c>
      <c r="I7519" s="30" t="s">
        <v>6455</v>
      </c>
    </row>
    <row r="7520" spans="1:9" ht="29.9" customHeight="1">
      <c r="A7520" s="46"/>
      <c r="B7520" s="5" t="str">
        <f>CONCATENATE(G7520,"/",COUNTIF($G$2:G7520,G7520))</f>
        <v>BG-10220/1</v>
      </c>
      <c r="C7520" s="46" t="s">
        <v>44018</v>
      </c>
      <c r="D7520" s="246">
        <v>44652</v>
      </c>
      <c r="E7520" s="46" t="s">
        <v>44019</v>
      </c>
      <c r="F7520" s="26" t="s">
        <v>23600</v>
      </c>
      <c r="G7520" s="36" t="s">
        <v>19608</v>
      </c>
      <c r="H7520" s="38" t="s">
        <v>19609</v>
      </c>
      <c r="I7520" s="46" t="s">
        <v>17773</v>
      </c>
    </row>
    <row r="7521" spans="1:9" ht="29.9" customHeight="1">
      <c r="A7521" s="46"/>
      <c r="B7521" s="5" t="str">
        <f>CONCATENATE(G7521,"/",COUNTIF($G$2:G7521,G7521))</f>
        <v>BG-10220/2</v>
      </c>
      <c r="C7521" s="46" t="s">
        <v>44020</v>
      </c>
      <c r="D7521" s="246">
        <v>44652</v>
      </c>
      <c r="E7521" s="46" t="s">
        <v>44021</v>
      </c>
      <c r="F7521" s="26" t="s">
        <v>23600</v>
      </c>
      <c r="G7521" s="36" t="s">
        <v>19608</v>
      </c>
      <c r="H7521" s="38" t="s">
        <v>19609</v>
      </c>
      <c r="I7521" s="46" t="s">
        <v>17773</v>
      </c>
    </row>
    <row r="7522" spans="1:9" ht="29.9" customHeight="1">
      <c r="A7522" s="46"/>
      <c r="B7522" s="5" t="str">
        <f>CONCATENATE(G7522,"/",COUNTIF($G$2:G7522,G7522))</f>
        <v>BG-10220/3</v>
      </c>
      <c r="C7522" s="46" t="s">
        <v>44022</v>
      </c>
      <c r="D7522" s="246">
        <v>44652</v>
      </c>
      <c r="E7522" s="46" t="s">
        <v>44023</v>
      </c>
      <c r="F7522" s="26" t="s">
        <v>23600</v>
      </c>
      <c r="G7522" s="36" t="s">
        <v>19608</v>
      </c>
      <c r="H7522" s="38" t="s">
        <v>19609</v>
      </c>
      <c r="I7522" s="46" t="s">
        <v>17773</v>
      </c>
    </row>
    <row r="7523" spans="1:9" ht="29.9" customHeight="1">
      <c r="A7523" s="46"/>
      <c r="B7523" s="5" t="str">
        <f>CONCATENATE(G7523,"/",COUNTIF($G$2:G7523,G7523))</f>
        <v>BG-10220/4</v>
      </c>
      <c r="C7523" s="46" t="s">
        <v>44024</v>
      </c>
      <c r="D7523" s="246">
        <v>44652</v>
      </c>
      <c r="E7523" s="46" t="s">
        <v>44025</v>
      </c>
      <c r="F7523" s="26" t="s">
        <v>23600</v>
      </c>
      <c r="G7523" s="36" t="s">
        <v>19608</v>
      </c>
      <c r="H7523" s="38" t="s">
        <v>19609</v>
      </c>
      <c r="I7523" s="46" t="s">
        <v>17773</v>
      </c>
    </row>
    <row r="7524" spans="1:9" ht="29.9" customHeight="1">
      <c r="A7524" s="46"/>
      <c r="B7524" s="5" t="str">
        <f>CONCATENATE(G7524,"/",COUNTIF($G$2:G7524,G7524))</f>
        <v>BG-10220/5</v>
      </c>
      <c r="C7524" s="46" t="s">
        <v>44026</v>
      </c>
      <c r="D7524" s="246">
        <v>44652</v>
      </c>
      <c r="E7524" s="46" t="s">
        <v>44027</v>
      </c>
      <c r="F7524" s="26" t="s">
        <v>23600</v>
      </c>
      <c r="G7524" s="36" t="s">
        <v>19608</v>
      </c>
      <c r="H7524" s="38" t="s">
        <v>19609</v>
      </c>
      <c r="I7524" s="46" t="s">
        <v>17773</v>
      </c>
    </row>
    <row r="7525" spans="1:9" ht="35.25" customHeight="1">
      <c r="A7525" s="5"/>
      <c r="B7525" s="5" t="str">
        <f>CONCATENATE(G7525,"/",COUNTIF($G$2:G7525,G7525))</f>
        <v>RO-10045/1</v>
      </c>
      <c r="C7525" s="5" t="s">
        <v>44028</v>
      </c>
      <c r="D7525" s="246">
        <v>44657</v>
      </c>
      <c r="E7525" s="5" t="s">
        <v>44029</v>
      </c>
      <c r="F7525" s="26" t="s">
        <v>23600</v>
      </c>
      <c r="G7525" s="36" t="s">
        <v>18764</v>
      </c>
      <c r="H7525" s="38" t="s">
        <v>18765</v>
      </c>
      <c r="I7525" s="46" t="s">
        <v>17682</v>
      </c>
    </row>
    <row r="7526" spans="1:9" ht="28.4" customHeight="1">
      <c r="A7526" s="5"/>
      <c r="B7526" s="5" t="str">
        <f>CONCATENATE(G7526,"/",COUNTIF($G$2:G7526,G7526))</f>
        <v>FI-10083/1</v>
      </c>
      <c r="C7526" s="5" t="s">
        <v>44030</v>
      </c>
      <c r="D7526" s="246">
        <v>44670</v>
      </c>
      <c r="E7526" s="5" t="s">
        <v>44031</v>
      </c>
      <c r="F7526" s="26" t="s">
        <v>23600</v>
      </c>
      <c r="G7526" s="36" t="s">
        <v>19022</v>
      </c>
      <c r="H7526" s="29" t="s">
        <v>19023</v>
      </c>
      <c r="I7526" s="46" t="s">
        <v>18881</v>
      </c>
    </row>
    <row r="7527" spans="1:9" ht="28.4" customHeight="1">
      <c r="A7527" s="5"/>
      <c r="B7527" s="5" t="str">
        <f>CONCATENATE(G7527,"/",COUNTIF($G$2:G7527,G7527))</f>
        <v>FI-10083/2</v>
      </c>
      <c r="C7527" s="5" t="s">
        <v>44032</v>
      </c>
      <c r="D7527" s="246">
        <v>44670</v>
      </c>
      <c r="E7527" s="5" t="s">
        <v>44033</v>
      </c>
      <c r="F7527" s="26" t="s">
        <v>23600</v>
      </c>
      <c r="G7527" s="36" t="s">
        <v>19022</v>
      </c>
      <c r="H7527" s="29" t="s">
        <v>19023</v>
      </c>
      <c r="I7527" s="46" t="s">
        <v>18881</v>
      </c>
    </row>
    <row r="7528" spans="1:9" ht="28.4" customHeight="1">
      <c r="A7528" s="5"/>
      <c r="B7528" s="5" t="str">
        <f>CONCATENATE(G7528,"/",COUNTIF($G$2:G7528,G7528))</f>
        <v>FI-10083/3</v>
      </c>
      <c r="C7528" s="5" t="s">
        <v>44034</v>
      </c>
      <c r="D7528" s="246">
        <v>44670</v>
      </c>
      <c r="E7528" s="5" t="s">
        <v>44035</v>
      </c>
      <c r="F7528" s="26" t="s">
        <v>23600</v>
      </c>
      <c r="G7528" s="36" t="s">
        <v>19022</v>
      </c>
      <c r="H7528" s="29" t="s">
        <v>19023</v>
      </c>
      <c r="I7528" s="46" t="s">
        <v>18881</v>
      </c>
    </row>
    <row r="7529" spans="1:9" ht="28.4" customHeight="1">
      <c r="A7529" s="5"/>
      <c r="B7529" s="5" t="str">
        <f>CONCATENATE(G7529,"/",COUNTIF($G$2:G7529,G7529))</f>
        <v>FI-10083/4</v>
      </c>
      <c r="C7529" s="5" t="s">
        <v>44036</v>
      </c>
      <c r="D7529" s="246">
        <v>44670</v>
      </c>
      <c r="E7529" s="5" t="s">
        <v>44037</v>
      </c>
      <c r="F7529" s="26" t="s">
        <v>23600</v>
      </c>
      <c r="G7529" s="36" t="s">
        <v>19022</v>
      </c>
      <c r="H7529" s="29" t="s">
        <v>19023</v>
      </c>
      <c r="I7529" s="46" t="s">
        <v>18881</v>
      </c>
    </row>
    <row r="7530" spans="1:9" ht="37.4" customHeight="1">
      <c r="A7530" s="5"/>
      <c r="B7530" s="5" t="str">
        <f>CONCATENATE(G7530,"/",COUNTIF($G$2:G7530,G7530))</f>
        <v>CZ-10026/1</v>
      </c>
      <c r="C7530" s="5" t="s">
        <v>23621</v>
      </c>
      <c r="D7530" s="246">
        <v>44665</v>
      </c>
      <c r="E7530" s="5" t="s">
        <v>44038</v>
      </c>
      <c r="F7530" s="26" t="s">
        <v>23600</v>
      </c>
      <c r="G7530" s="36" t="s">
        <v>18611</v>
      </c>
      <c r="H7530" s="38" t="s">
        <v>18612</v>
      </c>
      <c r="I7530" s="48" t="s">
        <v>16429</v>
      </c>
    </row>
    <row r="7531" spans="1:9" ht="29.5" customHeight="1">
      <c r="A7531" s="5"/>
      <c r="B7531" s="5" t="str">
        <f>CONCATENATE(G7531,"/",COUNTIF($G$2:G7531,G7531))</f>
        <v>NO-10024/1</v>
      </c>
      <c r="C7531" s="5" t="s">
        <v>44039</v>
      </c>
      <c r="D7531" s="246">
        <v>44227</v>
      </c>
      <c r="E7531" s="5" t="s">
        <v>44040</v>
      </c>
      <c r="F7531" s="26" t="s">
        <v>23600</v>
      </c>
      <c r="G7531" s="36" t="s">
        <v>18561</v>
      </c>
      <c r="H7531" s="50" t="s">
        <v>18562</v>
      </c>
      <c r="I7531" s="48" t="s">
        <v>17344</v>
      </c>
    </row>
    <row r="7532" spans="1:9" ht="29.5" customHeight="1">
      <c r="A7532" s="5"/>
      <c r="B7532" s="5" t="str">
        <f>CONCATENATE(G7532,"/",COUNTIF($G$2:G7532,G7532))</f>
        <v>NO-10024/2</v>
      </c>
      <c r="C7532" s="5" t="s">
        <v>44041</v>
      </c>
      <c r="D7532" s="246">
        <v>44592</v>
      </c>
      <c r="E7532" s="5" t="s">
        <v>44042</v>
      </c>
      <c r="F7532" s="26" t="s">
        <v>23600</v>
      </c>
      <c r="G7532" s="36" t="s">
        <v>18561</v>
      </c>
      <c r="H7532" s="50" t="s">
        <v>18562</v>
      </c>
      <c r="I7532" s="48" t="s">
        <v>17344</v>
      </c>
    </row>
    <row r="7533" spans="1:9" ht="32.5" customHeight="1">
      <c r="A7533" s="5"/>
      <c r="B7533" s="5" t="str">
        <f>CONCATENATE(G7533,"/",COUNTIF($G$2:G7533,G7533))</f>
        <v>CZ-10099/1</v>
      </c>
      <c r="C7533" s="5" t="s">
        <v>23621</v>
      </c>
      <c r="D7533" s="246">
        <v>44672</v>
      </c>
      <c r="E7533" s="5" t="s">
        <v>44043</v>
      </c>
      <c r="F7533" s="26" t="s">
        <v>23600</v>
      </c>
      <c r="G7533" s="36" t="s">
        <v>19197</v>
      </c>
      <c r="H7533" s="29" t="s">
        <v>19198</v>
      </c>
      <c r="I7533" s="30" t="s">
        <v>16429</v>
      </c>
    </row>
    <row r="7534" spans="1:9" ht="24" customHeight="1">
      <c r="A7534" s="5"/>
      <c r="B7534" s="5" t="str">
        <f>CONCATENATE(G7534,"/",COUNTIF($G$2:G7534,G7534))</f>
        <v>FI-10069/1</v>
      </c>
      <c r="C7534" s="5" t="s">
        <v>44044</v>
      </c>
      <c r="D7534" s="246">
        <v>44685</v>
      </c>
      <c r="E7534" s="5" t="s">
        <v>44045</v>
      </c>
      <c r="F7534" s="26" t="s">
        <v>23600</v>
      </c>
      <c r="G7534" s="36" t="s">
        <v>18879</v>
      </c>
      <c r="H7534" s="29" t="s">
        <v>18880</v>
      </c>
      <c r="I7534" s="46" t="s">
        <v>18881</v>
      </c>
    </row>
    <row r="7535" spans="1:9" ht="24" customHeight="1">
      <c r="A7535" s="5"/>
      <c r="B7535" s="5" t="str">
        <f>CONCATENATE(G7535,"/",COUNTIF($G$2:G7535,G7535))</f>
        <v>FI-10069/2</v>
      </c>
      <c r="C7535" s="5" t="s">
        <v>44046</v>
      </c>
      <c r="D7535" s="246">
        <v>44685</v>
      </c>
      <c r="E7535" s="5" t="s">
        <v>44047</v>
      </c>
      <c r="F7535" s="26" t="s">
        <v>23600</v>
      </c>
      <c r="G7535" s="36" t="s">
        <v>18879</v>
      </c>
      <c r="H7535" s="29" t="s">
        <v>18880</v>
      </c>
      <c r="I7535" s="46" t="s">
        <v>18881</v>
      </c>
    </row>
    <row r="7536" spans="1:9" ht="24" customHeight="1">
      <c r="A7536" s="5"/>
      <c r="B7536" s="5" t="str">
        <f>CONCATENATE(G7536,"/",COUNTIF($G$2:G7536,G7536))</f>
        <v>FI-10069/3</v>
      </c>
      <c r="C7536" s="5" t="s">
        <v>44048</v>
      </c>
      <c r="D7536" s="246">
        <v>44685</v>
      </c>
      <c r="E7536" s="5" t="s">
        <v>44049</v>
      </c>
      <c r="F7536" s="26" t="s">
        <v>23600</v>
      </c>
      <c r="G7536" s="36" t="s">
        <v>18879</v>
      </c>
      <c r="H7536" s="29" t="s">
        <v>18880</v>
      </c>
      <c r="I7536" s="46" t="s">
        <v>18881</v>
      </c>
    </row>
    <row r="7537" spans="1:9" ht="24" customHeight="1">
      <c r="A7537" s="5"/>
      <c r="B7537" s="5" t="str">
        <f>CONCATENATE(G7537,"/",COUNTIF($G$2:G7537,G7537))</f>
        <v>FI-10069/4</v>
      </c>
      <c r="C7537" s="5" t="s">
        <v>44050</v>
      </c>
      <c r="D7537" s="246">
        <v>44685</v>
      </c>
      <c r="E7537" s="5" t="s">
        <v>44051</v>
      </c>
      <c r="F7537" s="26" t="s">
        <v>23600</v>
      </c>
      <c r="G7537" s="36" t="s">
        <v>18879</v>
      </c>
      <c r="H7537" s="29" t="s">
        <v>18880</v>
      </c>
      <c r="I7537" s="46" t="s">
        <v>18881</v>
      </c>
    </row>
    <row r="7538" spans="1:9" ht="24" customHeight="1">
      <c r="A7538" s="5"/>
      <c r="B7538" s="5" t="str">
        <f>CONCATENATE(G7538,"/",COUNTIF($G$2:G7538,G7538))</f>
        <v>FI-10069/5</v>
      </c>
      <c r="C7538" s="5" t="s">
        <v>44052</v>
      </c>
      <c r="D7538" s="246">
        <v>44685</v>
      </c>
      <c r="E7538" s="5" t="s">
        <v>44053</v>
      </c>
      <c r="F7538" s="26" t="s">
        <v>23600</v>
      </c>
      <c r="G7538" s="36" t="s">
        <v>18879</v>
      </c>
      <c r="H7538" s="29" t="s">
        <v>18880</v>
      </c>
      <c r="I7538" s="46" t="s">
        <v>18881</v>
      </c>
    </row>
    <row r="7539" spans="1:9" ht="37.4" customHeight="1">
      <c r="A7539" s="5"/>
      <c r="B7539" s="5" t="str">
        <f>CONCATENATE(G7539,"/",COUNTIF($G$2:G7539,G7539))</f>
        <v>ES-10126/1</v>
      </c>
      <c r="C7539" s="5" t="s">
        <v>44054</v>
      </c>
      <c r="D7539" s="246">
        <v>44680</v>
      </c>
      <c r="E7539" s="5" t="s">
        <v>44055</v>
      </c>
      <c r="F7539" s="26" t="s">
        <v>23600</v>
      </c>
      <c r="G7539" s="36" t="s">
        <v>19015</v>
      </c>
      <c r="H7539" s="28" t="s">
        <v>19016</v>
      </c>
      <c r="I7539" s="45" t="s">
        <v>17820</v>
      </c>
    </row>
    <row r="7540" spans="1:9" ht="37.4" customHeight="1">
      <c r="A7540" s="5"/>
      <c r="B7540" s="5" t="str">
        <f>CONCATENATE(G7540,"/",COUNTIF($G$2:G7540,G7540))</f>
        <v>ES-10126/2</v>
      </c>
      <c r="C7540" s="5" t="s">
        <v>44056</v>
      </c>
      <c r="D7540" s="246">
        <v>44680</v>
      </c>
      <c r="E7540" s="5" t="s">
        <v>44057</v>
      </c>
      <c r="F7540" s="26" t="s">
        <v>23600</v>
      </c>
      <c r="G7540" s="36" t="s">
        <v>19015</v>
      </c>
      <c r="H7540" s="28" t="s">
        <v>19016</v>
      </c>
      <c r="I7540" s="45" t="s">
        <v>17820</v>
      </c>
    </row>
    <row r="7541" spans="1:9" ht="27.65" customHeight="1">
      <c r="A7541" s="5"/>
      <c r="B7541" s="5" t="str">
        <f>CONCATENATE(G7541,"/",COUNTIF($G$2:G7541,G7541))</f>
        <v>HR-10034/1</v>
      </c>
      <c r="C7541" s="5" t="s">
        <v>44058</v>
      </c>
      <c r="D7541" s="246">
        <v>44687</v>
      </c>
      <c r="E7541" s="5" t="s">
        <v>44059</v>
      </c>
      <c r="F7541" s="26" t="s">
        <v>23600</v>
      </c>
      <c r="G7541" s="36" t="s">
        <v>18639</v>
      </c>
      <c r="H7541" s="38" t="s">
        <v>18640</v>
      </c>
      <c r="I7541" s="46" t="s">
        <v>9789</v>
      </c>
    </row>
    <row r="7542" spans="1:9" ht="27.65" customHeight="1">
      <c r="A7542" s="5"/>
      <c r="B7542" s="5" t="str">
        <f>CONCATENATE(G7542,"/",COUNTIF($G$2:G7542,G7542))</f>
        <v>HR-10034/2</v>
      </c>
      <c r="C7542" s="5" t="s">
        <v>44060</v>
      </c>
      <c r="D7542" s="246">
        <v>44687</v>
      </c>
      <c r="E7542" s="5" t="s">
        <v>44061</v>
      </c>
      <c r="F7542" s="26" t="s">
        <v>23600</v>
      </c>
      <c r="G7542" s="36" t="s">
        <v>18639</v>
      </c>
      <c r="H7542" s="38" t="s">
        <v>18640</v>
      </c>
      <c r="I7542" s="46" t="s">
        <v>9789</v>
      </c>
    </row>
    <row r="7543" spans="1:9" ht="27.65" customHeight="1">
      <c r="A7543" s="5"/>
      <c r="B7543" s="5" t="str">
        <f>CONCATENATE(G7543,"/",COUNTIF($G$2:G7543,G7543))</f>
        <v>HR-10034/3</v>
      </c>
      <c r="C7543" s="5" t="s">
        <v>44062</v>
      </c>
      <c r="D7543" s="246">
        <v>44687</v>
      </c>
      <c r="E7543" s="5" t="s">
        <v>44063</v>
      </c>
      <c r="F7543" s="26" t="s">
        <v>23600</v>
      </c>
      <c r="G7543" s="36" t="s">
        <v>18639</v>
      </c>
      <c r="H7543" s="38" t="s">
        <v>18640</v>
      </c>
      <c r="I7543" s="46" t="s">
        <v>9789</v>
      </c>
    </row>
    <row r="7544" spans="1:9" ht="27.65" customHeight="1">
      <c r="A7544" s="5"/>
      <c r="B7544" s="5" t="str">
        <f>CONCATENATE(G7544,"/",COUNTIF($G$2:G7544,G7544))</f>
        <v>HR-10034/4</v>
      </c>
      <c r="C7544" s="5" t="s">
        <v>44064</v>
      </c>
      <c r="D7544" s="246">
        <v>44687</v>
      </c>
      <c r="E7544" s="5" t="s">
        <v>44065</v>
      </c>
      <c r="F7544" s="26" t="s">
        <v>23600</v>
      </c>
      <c r="G7544" s="36" t="s">
        <v>18639</v>
      </c>
      <c r="H7544" s="38" t="s">
        <v>18640</v>
      </c>
      <c r="I7544" s="46" t="s">
        <v>9789</v>
      </c>
    </row>
    <row r="7545" spans="1:9" ht="33.75" customHeight="1">
      <c r="A7545" s="5"/>
      <c r="B7545" s="5" t="str">
        <f>CONCATENATE(G7545,"/",COUNTIF($G$2:G7545,G7545))</f>
        <v>CZ-10092/1</v>
      </c>
      <c r="C7545" s="5">
        <v>1</v>
      </c>
      <c r="D7545" s="246">
        <v>44700</v>
      </c>
      <c r="E7545" s="5" t="s">
        <v>44066</v>
      </c>
      <c r="F7545" s="26" t="s">
        <v>23600</v>
      </c>
      <c r="G7545" s="36" t="s">
        <v>19096</v>
      </c>
      <c r="H7545" s="29" t="s">
        <v>19097</v>
      </c>
      <c r="I7545" s="30" t="s">
        <v>16429</v>
      </c>
    </row>
    <row r="7546" spans="1:9" ht="29.15" customHeight="1">
      <c r="A7546" s="5"/>
      <c r="B7546" s="5" t="str">
        <f>CONCATENATE(G7546,"/",COUNTIF($G$2:G7546,G7546))</f>
        <v>BE-10021/1</v>
      </c>
      <c r="C7546" s="5" t="s">
        <v>44067</v>
      </c>
      <c r="D7546" s="246">
        <v>44636</v>
      </c>
      <c r="E7546" s="5" t="s">
        <v>44068</v>
      </c>
      <c r="F7546" s="26" t="s">
        <v>23600</v>
      </c>
      <c r="G7546" s="36" t="s">
        <v>18497</v>
      </c>
      <c r="H7546" s="51" t="s">
        <v>18498</v>
      </c>
      <c r="I7546" s="48" t="s">
        <v>14753</v>
      </c>
    </row>
    <row r="7547" spans="1:9" ht="29.15" customHeight="1">
      <c r="A7547" s="5"/>
      <c r="B7547" s="5" t="str">
        <f>CONCATENATE(G7547,"/",COUNTIF($G$2:G7547,G7547))</f>
        <v>BE-10021/2</v>
      </c>
      <c r="C7547" s="5" t="s">
        <v>44069</v>
      </c>
      <c r="D7547" s="246">
        <v>44636</v>
      </c>
      <c r="E7547" s="5" t="s">
        <v>44070</v>
      </c>
      <c r="F7547" s="26" t="s">
        <v>23600</v>
      </c>
      <c r="G7547" s="36" t="s">
        <v>18497</v>
      </c>
      <c r="H7547" s="51" t="s">
        <v>18498</v>
      </c>
      <c r="I7547" s="48" t="s">
        <v>14753</v>
      </c>
    </row>
    <row r="7548" spans="1:9" ht="29.15" customHeight="1">
      <c r="A7548" s="5"/>
      <c r="B7548" s="5" t="str">
        <f>CONCATENATE(G7548,"/",COUNTIF($G$2:G7548,G7548))</f>
        <v>BE-10021/3</v>
      </c>
      <c r="C7548" s="5" t="s">
        <v>44071</v>
      </c>
      <c r="D7548" s="246">
        <v>44636</v>
      </c>
      <c r="E7548" s="5" t="s">
        <v>44072</v>
      </c>
      <c r="F7548" s="26" t="s">
        <v>23600</v>
      </c>
      <c r="G7548" s="36" t="s">
        <v>18497</v>
      </c>
      <c r="H7548" s="51" t="s">
        <v>18498</v>
      </c>
      <c r="I7548" s="48" t="s">
        <v>14753</v>
      </c>
    </row>
    <row r="7549" spans="1:9" ht="29.15" customHeight="1">
      <c r="A7549" s="5"/>
      <c r="B7549" s="5" t="str">
        <f>CONCATENATE(G7549,"/",COUNTIF($G$2:G7549,G7549))</f>
        <v>BE-10021/4</v>
      </c>
      <c r="C7549" s="5" t="s">
        <v>44073</v>
      </c>
      <c r="D7549" s="246">
        <v>44636</v>
      </c>
      <c r="E7549" s="5" t="s">
        <v>44074</v>
      </c>
      <c r="F7549" s="26" t="s">
        <v>23600</v>
      </c>
      <c r="G7549" s="36" t="s">
        <v>18497</v>
      </c>
      <c r="H7549" s="51" t="s">
        <v>18498</v>
      </c>
      <c r="I7549" s="48" t="s">
        <v>14753</v>
      </c>
    </row>
    <row r="7550" spans="1:9" ht="29.15" customHeight="1">
      <c r="A7550" s="5"/>
      <c r="B7550" s="5" t="str">
        <f>CONCATENATE(G7550,"/",COUNTIF($G$2:G7550,G7550))</f>
        <v>BE-10021/5</v>
      </c>
      <c r="C7550" s="5" t="s">
        <v>44075</v>
      </c>
      <c r="D7550" s="246">
        <v>44636</v>
      </c>
      <c r="E7550" s="5" t="s">
        <v>44076</v>
      </c>
      <c r="F7550" s="26" t="s">
        <v>23600</v>
      </c>
      <c r="G7550" s="36" t="s">
        <v>18497</v>
      </c>
      <c r="H7550" s="51" t="s">
        <v>18498</v>
      </c>
      <c r="I7550" s="48" t="s">
        <v>14753</v>
      </c>
    </row>
    <row r="7551" spans="1:9" ht="29.15" customHeight="1">
      <c r="A7551" s="5"/>
      <c r="B7551" s="5" t="str">
        <f>CONCATENATE(G7551,"/",COUNTIF($G$2:G7551,G7551))</f>
        <v>ES-10111/1</v>
      </c>
      <c r="C7551" s="5" t="s">
        <v>44077</v>
      </c>
      <c r="D7551" s="246">
        <v>44680</v>
      </c>
      <c r="E7551" s="5" t="s">
        <v>44078</v>
      </c>
      <c r="F7551" s="26" t="s">
        <v>23600</v>
      </c>
      <c r="G7551" s="36" t="s">
        <v>18547</v>
      </c>
      <c r="H7551" s="38" t="s">
        <v>18548</v>
      </c>
      <c r="I7551" s="46" t="s">
        <v>17820</v>
      </c>
    </row>
    <row r="7552" spans="1:9" ht="29.15" customHeight="1">
      <c r="A7552" s="5"/>
      <c r="B7552" s="5" t="str">
        <f>CONCATENATE(G7552,"/",COUNTIF($G$2:G7552,G7552))</f>
        <v>ES-10111/2</v>
      </c>
      <c r="C7552" s="5" t="s">
        <v>44079</v>
      </c>
      <c r="D7552" s="246">
        <v>44680</v>
      </c>
      <c r="E7552" s="5" t="s">
        <v>44080</v>
      </c>
      <c r="F7552" s="26" t="s">
        <v>23600</v>
      </c>
      <c r="G7552" s="36" t="s">
        <v>18547</v>
      </c>
      <c r="H7552" s="38" t="s">
        <v>18548</v>
      </c>
      <c r="I7552" s="46" t="s">
        <v>17820</v>
      </c>
    </row>
    <row r="7553" spans="1:9" ht="29.15" customHeight="1">
      <c r="A7553" s="5"/>
      <c r="B7553" s="5" t="str">
        <f>CONCATENATE(G7553,"/",COUNTIF($G$2:G7553,G7553))</f>
        <v>ES-10111/3</v>
      </c>
      <c r="C7553" s="5" t="s">
        <v>44081</v>
      </c>
      <c r="D7553" s="246">
        <v>44680</v>
      </c>
      <c r="E7553" s="5" t="s">
        <v>44082</v>
      </c>
      <c r="F7553" s="26" t="s">
        <v>23600</v>
      </c>
      <c r="G7553" s="36" t="s">
        <v>18547</v>
      </c>
      <c r="H7553" s="38" t="s">
        <v>18548</v>
      </c>
      <c r="I7553" s="46" t="s">
        <v>17820</v>
      </c>
    </row>
    <row r="7554" spans="1:9" ht="29.15" customHeight="1">
      <c r="A7554" s="5"/>
      <c r="B7554" s="5" t="str">
        <f>CONCATENATE(G7554,"/",COUNTIF($G$2:G7554,G7554))</f>
        <v>ES-10111/4</v>
      </c>
      <c r="C7554" s="5" t="s">
        <v>44083</v>
      </c>
      <c r="D7554" s="246">
        <v>44680</v>
      </c>
      <c r="E7554" s="5" t="s">
        <v>44084</v>
      </c>
      <c r="F7554" s="26" t="s">
        <v>23600</v>
      </c>
      <c r="G7554" s="36" t="s">
        <v>18547</v>
      </c>
      <c r="H7554" s="38" t="s">
        <v>18548</v>
      </c>
      <c r="I7554" s="46" t="s">
        <v>17820</v>
      </c>
    </row>
    <row r="7555" spans="1:9" ht="29.15" customHeight="1">
      <c r="A7555" s="5"/>
      <c r="B7555" s="5" t="str">
        <f>CONCATENATE(G7555,"/",COUNTIF($G$2:G7555,G7555))</f>
        <v>ES-10111/5</v>
      </c>
      <c r="C7555" s="5" t="s">
        <v>44085</v>
      </c>
      <c r="D7555" s="246">
        <v>44680</v>
      </c>
      <c r="E7555" s="5" t="s">
        <v>44086</v>
      </c>
      <c r="F7555" s="26" t="s">
        <v>23600</v>
      </c>
      <c r="G7555" s="36" t="s">
        <v>18547</v>
      </c>
      <c r="H7555" s="38" t="s">
        <v>18548</v>
      </c>
      <c r="I7555" s="46" t="s">
        <v>17820</v>
      </c>
    </row>
    <row r="7556" spans="1:9" ht="31.5" customHeight="1">
      <c r="A7556" s="5"/>
      <c r="B7556" s="5" t="str">
        <f>CONCATENATE(G7556,"/",COUNTIF($G$2:G7556,G7556))</f>
        <v>ES-10164/1</v>
      </c>
      <c r="C7556" s="5" t="s">
        <v>44087</v>
      </c>
      <c r="D7556" s="246">
        <v>44707</v>
      </c>
      <c r="E7556" s="5" t="s">
        <v>44088</v>
      </c>
      <c r="F7556" s="26" t="s">
        <v>23600</v>
      </c>
      <c r="G7556" s="36" t="s">
        <v>18505</v>
      </c>
      <c r="H7556" s="38" t="s">
        <v>18506</v>
      </c>
      <c r="I7556" s="46" t="s">
        <v>17820</v>
      </c>
    </row>
    <row r="7557" spans="1:9" ht="31.5" customHeight="1">
      <c r="A7557" s="5"/>
      <c r="B7557" s="5" t="str">
        <f>CONCATENATE(G7557,"/",COUNTIF($G$2:G7557,G7557))</f>
        <v>ES-10164/2</v>
      </c>
      <c r="C7557" s="5" t="s">
        <v>44089</v>
      </c>
      <c r="D7557" s="246">
        <v>44707</v>
      </c>
      <c r="E7557" s="5" t="s">
        <v>44090</v>
      </c>
      <c r="F7557" s="26" t="s">
        <v>23600</v>
      </c>
      <c r="G7557" s="36" t="s">
        <v>18505</v>
      </c>
      <c r="H7557" s="38" t="s">
        <v>18506</v>
      </c>
      <c r="I7557" s="46" t="s">
        <v>17820</v>
      </c>
    </row>
    <row r="7558" spans="1:9" ht="31.5" customHeight="1">
      <c r="A7558" s="5"/>
      <c r="B7558" s="5" t="str">
        <f>CONCATENATE(G7558,"/",COUNTIF($G$2:G7558,G7558))</f>
        <v>ES-10164/3</v>
      </c>
      <c r="C7558" s="5" t="s">
        <v>44091</v>
      </c>
      <c r="D7558" s="246">
        <v>44707</v>
      </c>
      <c r="E7558" s="5" t="s">
        <v>44092</v>
      </c>
      <c r="F7558" s="26" t="s">
        <v>23600</v>
      </c>
      <c r="G7558" s="36" t="s">
        <v>18505</v>
      </c>
      <c r="H7558" s="38" t="s">
        <v>18506</v>
      </c>
      <c r="I7558" s="46" t="s">
        <v>17820</v>
      </c>
    </row>
    <row r="7559" spans="1:9" ht="31.5" customHeight="1">
      <c r="A7559" s="5"/>
      <c r="B7559" s="5" t="str">
        <f>CONCATENATE(G7559,"/",COUNTIF($G$2:G7559,G7559))</f>
        <v>ES-10164/4</v>
      </c>
      <c r="C7559" s="5" t="s">
        <v>44093</v>
      </c>
      <c r="D7559" s="246">
        <v>44707</v>
      </c>
      <c r="E7559" s="5" t="s">
        <v>44094</v>
      </c>
      <c r="F7559" s="26" t="s">
        <v>23600</v>
      </c>
      <c r="G7559" s="36" t="s">
        <v>18505</v>
      </c>
      <c r="H7559" s="38" t="s">
        <v>18506</v>
      </c>
      <c r="I7559" s="46" t="s">
        <v>17820</v>
      </c>
    </row>
    <row r="7560" spans="1:9" ht="29.15" customHeight="1">
      <c r="A7560" s="5"/>
      <c r="B7560" s="5" t="str">
        <f>CONCATENATE(G7560,"/",COUNTIF($G$2:G7560,G7560))</f>
        <v>PL-10106/1</v>
      </c>
      <c r="C7560" s="5" t="s">
        <v>44095</v>
      </c>
      <c r="D7560" s="246">
        <v>44692</v>
      </c>
      <c r="E7560" s="5" t="s">
        <v>44096</v>
      </c>
      <c r="F7560" s="26" t="s">
        <v>23600</v>
      </c>
      <c r="G7560" s="36" t="s">
        <v>19179</v>
      </c>
      <c r="H7560" s="29" t="s">
        <v>19180</v>
      </c>
      <c r="I7560" s="30" t="s">
        <v>17057</v>
      </c>
    </row>
    <row r="7561" spans="1:9" ht="29.15" customHeight="1">
      <c r="A7561" s="5"/>
      <c r="B7561" s="5" t="str">
        <f>CONCATENATE(G7561,"/",COUNTIF($G$2:G7561,G7561))</f>
        <v>PL-10106/2</v>
      </c>
      <c r="C7561" s="5" t="s">
        <v>44097</v>
      </c>
      <c r="D7561" s="246">
        <v>44692</v>
      </c>
      <c r="E7561" s="5" t="s">
        <v>44098</v>
      </c>
      <c r="F7561" s="26" t="s">
        <v>23600</v>
      </c>
      <c r="G7561" s="36" t="s">
        <v>19179</v>
      </c>
      <c r="H7561" s="29" t="s">
        <v>19180</v>
      </c>
      <c r="I7561" s="30" t="s">
        <v>17057</v>
      </c>
    </row>
    <row r="7562" spans="1:9" ht="29.15" customHeight="1">
      <c r="A7562" s="5"/>
      <c r="B7562" s="5" t="str">
        <f>CONCATENATE(G7562,"/",COUNTIF($G$2:G7562,G7562))</f>
        <v>PL-10106/3</v>
      </c>
      <c r="C7562" s="5" t="s">
        <v>44099</v>
      </c>
      <c r="D7562" s="246">
        <v>44692</v>
      </c>
      <c r="E7562" s="5" t="s">
        <v>44100</v>
      </c>
      <c r="F7562" s="26" t="s">
        <v>23600</v>
      </c>
      <c r="G7562" s="36" t="s">
        <v>19179</v>
      </c>
      <c r="H7562" s="29" t="s">
        <v>19180</v>
      </c>
      <c r="I7562" s="30" t="s">
        <v>17057</v>
      </c>
    </row>
    <row r="7563" spans="1:9" ht="29.15" customHeight="1">
      <c r="A7563" s="5"/>
      <c r="B7563" s="5" t="str">
        <f>CONCATENATE(G7563,"/",COUNTIF($G$2:G7563,G7563))</f>
        <v>PL-10106/4</v>
      </c>
      <c r="C7563" s="5" t="s">
        <v>44101</v>
      </c>
      <c r="D7563" s="246">
        <v>44692</v>
      </c>
      <c r="E7563" s="5" t="s">
        <v>44102</v>
      </c>
      <c r="F7563" s="26" t="s">
        <v>23600</v>
      </c>
      <c r="G7563" s="36" t="s">
        <v>19179</v>
      </c>
      <c r="H7563" s="29" t="s">
        <v>19180</v>
      </c>
      <c r="I7563" s="30" t="s">
        <v>17057</v>
      </c>
    </row>
    <row r="7564" spans="1:9" ht="25.5" customHeight="1">
      <c r="A7564" s="5"/>
      <c r="B7564" s="5" t="str">
        <f>CONCATENATE(G7564,"/",COUNTIF($G$2:G7564,G7564))</f>
        <v>SE-10025/1</v>
      </c>
      <c r="C7564" s="5" t="s">
        <v>44103</v>
      </c>
      <c r="D7564" s="246">
        <v>44714</v>
      </c>
      <c r="E7564" s="5" t="s">
        <v>44104</v>
      </c>
      <c r="F7564" s="26" t="s">
        <v>23600</v>
      </c>
      <c r="G7564" s="36" t="s">
        <v>18575</v>
      </c>
      <c r="H7564" s="38" t="s">
        <v>18576</v>
      </c>
      <c r="I7564" s="48" t="s">
        <v>18070</v>
      </c>
    </row>
    <row r="7565" spans="1:9" ht="25.5" customHeight="1">
      <c r="A7565" s="5"/>
      <c r="B7565" s="5" t="str">
        <f>CONCATENATE(G7565,"/",COUNTIF($G$2:G7565,G7565))</f>
        <v>SE-10025/2</v>
      </c>
      <c r="C7565" s="5" t="s">
        <v>44105</v>
      </c>
      <c r="D7565" s="246">
        <v>44714</v>
      </c>
      <c r="E7565" s="5" t="s">
        <v>44106</v>
      </c>
      <c r="F7565" s="26" t="s">
        <v>23600</v>
      </c>
      <c r="G7565" s="36" t="s">
        <v>18575</v>
      </c>
      <c r="H7565" s="38" t="s">
        <v>18576</v>
      </c>
      <c r="I7565" s="48" t="s">
        <v>18070</v>
      </c>
    </row>
    <row r="7566" spans="1:9" ht="25.5" customHeight="1">
      <c r="A7566" s="5"/>
      <c r="B7566" s="5" t="str">
        <f>CONCATENATE(G7566,"/",COUNTIF($G$2:G7566,G7566))</f>
        <v>SE-10025/3</v>
      </c>
      <c r="C7566" s="5" t="s">
        <v>44107</v>
      </c>
      <c r="D7566" s="246">
        <v>44714</v>
      </c>
      <c r="E7566" s="5" t="s">
        <v>44108</v>
      </c>
      <c r="F7566" s="26" t="s">
        <v>23600</v>
      </c>
      <c r="G7566" s="36" t="s">
        <v>18575</v>
      </c>
      <c r="H7566" s="38" t="s">
        <v>18576</v>
      </c>
      <c r="I7566" s="48" t="s">
        <v>18070</v>
      </c>
    </row>
    <row r="7567" spans="1:9" ht="33.65" customHeight="1">
      <c r="A7567" s="5"/>
      <c r="B7567" s="5" t="str">
        <f>CONCATENATE(G7567,"/",COUNTIF($G$2:G7567,G7567))</f>
        <v>RO-10059/1</v>
      </c>
      <c r="C7567" s="5" t="s">
        <v>44109</v>
      </c>
      <c r="D7567" s="246">
        <v>44711</v>
      </c>
      <c r="E7567" s="5" t="s">
        <v>44110</v>
      </c>
      <c r="F7567" s="26" t="s">
        <v>23600</v>
      </c>
      <c r="G7567" s="36" t="s">
        <v>18888</v>
      </c>
      <c r="H7567" s="29" t="s">
        <v>18889</v>
      </c>
      <c r="I7567" s="46" t="s">
        <v>17682</v>
      </c>
    </row>
    <row r="7568" spans="1:9" ht="31.4" customHeight="1">
      <c r="A7568" s="5"/>
      <c r="B7568" s="5" t="str">
        <f>CONCATENATE(G7568,"/",COUNTIF($G$2:G7568,G7568))</f>
        <v>RO-10057/1</v>
      </c>
      <c r="C7568" s="5" t="s">
        <v>44111</v>
      </c>
      <c r="D7568" s="246">
        <v>44711</v>
      </c>
      <c r="E7568" s="5" t="s">
        <v>44112</v>
      </c>
      <c r="F7568" s="26" t="s">
        <v>23600</v>
      </c>
      <c r="G7568" s="36" t="s">
        <v>18861</v>
      </c>
      <c r="H7568" s="29" t="s">
        <v>18862</v>
      </c>
      <c r="I7568" s="46" t="s">
        <v>17682</v>
      </c>
    </row>
    <row r="7569" spans="1:9" ht="31.4" customHeight="1">
      <c r="A7569" s="5"/>
      <c r="B7569" s="5" t="str">
        <f>CONCATENATE(G7569,"/",COUNTIF($G$2:G7569,G7569))</f>
        <v>RO-10057/2</v>
      </c>
      <c r="C7569" s="5" t="s">
        <v>44113</v>
      </c>
      <c r="D7569" s="246">
        <v>44711</v>
      </c>
      <c r="E7569" s="5" t="s">
        <v>44114</v>
      </c>
      <c r="F7569" s="26" t="s">
        <v>23600</v>
      </c>
      <c r="G7569" s="36" t="s">
        <v>18861</v>
      </c>
      <c r="H7569" s="29" t="s">
        <v>18862</v>
      </c>
      <c r="I7569" s="46" t="s">
        <v>17682</v>
      </c>
    </row>
    <row r="7570" spans="1:9" ht="31.4" customHeight="1">
      <c r="A7570" s="5"/>
      <c r="B7570" s="5" t="str">
        <f>CONCATENATE(G7570,"/",COUNTIF($G$2:G7570,G7570))</f>
        <v>RO-10057/3</v>
      </c>
      <c r="C7570" s="5" t="s">
        <v>44115</v>
      </c>
      <c r="D7570" s="246">
        <v>44711</v>
      </c>
      <c r="E7570" s="5" t="s">
        <v>44116</v>
      </c>
      <c r="F7570" s="26" t="s">
        <v>23600</v>
      </c>
      <c r="G7570" s="36" t="s">
        <v>18861</v>
      </c>
      <c r="H7570" s="29" t="s">
        <v>18862</v>
      </c>
      <c r="I7570" s="46" t="s">
        <v>17682</v>
      </c>
    </row>
    <row r="7571" spans="1:9" ht="36" customHeight="1">
      <c r="A7571" s="5"/>
      <c r="B7571" s="5" t="str">
        <f>CONCATENATE(G7571,"/",COUNTIF($G$2:G7571,G7571))</f>
        <v>CZ-10149/1</v>
      </c>
      <c r="C7571" s="5">
        <v>1</v>
      </c>
      <c r="D7571" s="246">
        <v>44721</v>
      </c>
      <c r="E7571" s="5" t="s">
        <v>44117</v>
      </c>
      <c r="F7571" s="26" t="s">
        <v>23600</v>
      </c>
      <c r="G7571" s="36" t="s">
        <v>19453</v>
      </c>
      <c r="H7571" s="38" t="s">
        <v>19454</v>
      </c>
      <c r="I7571" s="46" t="s">
        <v>16429</v>
      </c>
    </row>
    <row r="7572" spans="1:9" ht="32.15" customHeight="1">
      <c r="A7572" s="5"/>
      <c r="B7572" s="5" t="str">
        <f>CONCATENATE(G7572,"/",COUNTIF($G$2:G7572,G7572))</f>
        <v>NO-10174/1</v>
      </c>
      <c r="C7572" s="5" t="s">
        <v>44118</v>
      </c>
      <c r="D7572" s="246">
        <v>44720</v>
      </c>
      <c r="E7572" s="5" t="s">
        <v>44119</v>
      </c>
      <c r="F7572" s="26" t="s">
        <v>23600</v>
      </c>
      <c r="G7572" s="36" t="s">
        <v>19586</v>
      </c>
      <c r="H7572" s="38" t="s">
        <v>19587</v>
      </c>
      <c r="I7572" s="46" t="s">
        <v>17344</v>
      </c>
    </row>
    <row r="7573" spans="1:9" ht="32.15" customHeight="1">
      <c r="A7573" s="5"/>
      <c r="B7573" s="5" t="str">
        <f>CONCATENATE(G7573,"/",COUNTIF($G$2:G7573,G7573))</f>
        <v>RO-10080/1</v>
      </c>
      <c r="C7573" s="5" t="s">
        <v>44120</v>
      </c>
      <c r="D7573" s="246">
        <v>44719</v>
      </c>
      <c r="E7573" s="5" t="s">
        <v>44121</v>
      </c>
      <c r="F7573" s="26" t="s">
        <v>23600</v>
      </c>
      <c r="G7573" s="36" t="s">
        <v>19003</v>
      </c>
      <c r="H7573" s="29" t="s">
        <v>19004</v>
      </c>
      <c r="I7573" s="46" t="s">
        <v>17682</v>
      </c>
    </row>
    <row r="7574" spans="1:9" ht="32.15" customHeight="1">
      <c r="A7574" s="5"/>
      <c r="B7574" s="5" t="str">
        <f>CONCATENATE(G7574,"/",COUNTIF($G$2:G7574,G7574))</f>
        <v>RO-10080/2</v>
      </c>
      <c r="C7574" s="5" t="s">
        <v>44122</v>
      </c>
      <c r="D7574" s="246">
        <v>44719</v>
      </c>
      <c r="E7574" s="5" t="s">
        <v>44123</v>
      </c>
      <c r="F7574" s="26" t="s">
        <v>23600</v>
      </c>
      <c r="G7574" s="36" t="s">
        <v>19003</v>
      </c>
      <c r="H7574" s="29" t="s">
        <v>19004</v>
      </c>
      <c r="I7574" s="46" t="s">
        <v>17682</v>
      </c>
    </row>
    <row r="7575" spans="1:9" ht="32.15" customHeight="1">
      <c r="A7575" s="5"/>
      <c r="B7575" s="5" t="str">
        <f>CONCATENATE(G7575,"/",COUNTIF($G$2:G7575,G7575))</f>
        <v>SE-10019/1</v>
      </c>
      <c r="C7575" s="5" t="s">
        <v>44124</v>
      </c>
      <c r="D7575" s="246">
        <v>44722</v>
      </c>
      <c r="E7575" s="5" t="s">
        <v>44125</v>
      </c>
      <c r="F7575" s="26" t="s">
        <v>23600</v>
      </c>
      <c r="G7575" s="36" t="s">
        <v>18526</v>
      </c>
      <c r="H7575" s="44" t="s">
        <v>18527</v>
      </c>
      <c r="I7575" s="48" t="s">
        <v>18070</v>
      </c>
    </row>
    <row r="7576" spans="1:9" ht="32.15" customHeight="1">
      <c r="A7576" s="5"/>
      <c r="B7576" s="5" t="str">
        <f>CONCATENATE(G7576,"/",COUNTIF($G$2:G7576,G7576))</f>
        <v>SE-10019/2</v>
      </c>
      <c r="C7576" s="5" t="s">
        <v>44126</v>
      </c>
      <c r="D7576" s="246">
        <v>44722</v>
      </c>
      <c r="E7576" s="5" t="s">
        <v>44127</v>
      </c>
      <c r="F7576" s="26" t="s">
        <v>23600</v>
      </c>
      <c r="G7576" s="36" t="s">
        <v>18526</v>
      </c>
      <c r="H7576" s="44" t="s">
        <v>18527</v>
      </c>
      <c r="I7576" s="48" t="s">
        <v>18070</v>
      </c>
    </row>
    <row r="7577" spans="1:9" ht="30" customHeight="1">
      <c r="A7577" s="5"/>
      <c r="B7577" s="5" t="str">
        <f>CONCATENATE(G7577,"/",COUNTIF($G$2:G7577,G7577))</f>
        <v>RO-10074/1</v>
      </c>
      <c r="C7577" s="5" t="s">
        <v>44128</v>
      </c>
      <c r="D7577" s="246">
        <v>44719</v>
      </c>
      <c r="E7577" s="5" t="s">
        <v>44129</v>
      </c>
      <c r="F7577" s="26" t="s">
        <v>23600</v>
      </c>
      <c r="G7577" s="36" t="s">
        <v>18940</v>
      </c>
      <c r="H7577" s="29" t="s">
        <v>18941</v>
      </c>
      <c r="I7577" s="46" t="s">
        <v>17682</v>
      </c>
    </row>
    <row r="7578" spans="1:9" ht="30" customHeight="1">
      <c r="A7578" s="5"/>
      <c r="B7578" s="5" t="str">
        <f>CONCATENATE(G7578,"/",COUNTIF($G$2:G7578,G7578))</f>
        <v>RO-10074/2</v>
      </c>
      <c r="C7578" s="5" t="s">
        <v>44130</v>
      </c>
      <c r="D7578" s="246">
        <v>44719</v>
      </c>
      <c r="E7578" s="5" t="s">
        <v>44131</v>
      </c>
      <c r="F7578" s="26" t="s">
        <v>23600</v>
      </c>
      <c r="G7578" s="36" t="s">
        <v>18940</v>
      </c>
      <c r="H7578" s="29" t="s">
        <v>18941</v>
      </c>
      <c r="I7578" s="46" t="s">
        <v>17682</v>
      </c>
    </row>
    <row r="7579" spans="1:9" ht="31.5" customHeight="1">
      <c r="A7579" s="5"/>
      <c r="B7579" s="5" t="str">
        <f>CONCATENATE(G7579,"/",COUNTIF($G$2:G7579,G7579))</f>
        <v>BG-10180/1</v>
      </c>
      <c r="C7579" s="5" t="s">
        <v>44132</v>
      </c>
      <c r="D7579" s="246">
        <v>44712</v>
      </c>
      <c r="E7579" s="5" t="s">
        <v>44133</v>
      </c>
      <c r="F7579" s="26" t="s">
        <v>23600</v>
      </c>
      <c r="G7579" s="36" t="s">
        <v>19764</v>
      </c>
      <c r="H7579" s="38" t="s">
        <v>19765</v>
      </c>
      <c r="I7579" s="46" t="s">
        <v>17773</v>
      </c>
    </row>
    <row r="7580" spans="1:9" ht="31.5" customHeight="1">
      <c r="A7580" s="5"/>
      <c r="B7580" s="5" t="str">
        <f>CONCATENATE(G7580,"/",COUNTIF($G$2:G7580,G7580))</f>
        <v>BG-10180/2</v>
      </c>
      <c r="C7580" s="5" t="s">
        <v>44134</v>
      </c>
      <c r="D7580" s="246">
        <v>44712</v>
      </c>
      <c r="E7580" s="5" t="s">
        <v>44135</v>
      </c>
      <c r="F7580" s="26" t="s">
        <v>23600</v>
      </c>
      <c r="G7580" s="36" t="s">
        <v>19764</v>
      </c>
      <c r="H7580" s="38" t="s">
        <v>19765</v>
      </c>
      <c r="I7580" s="46" t="s">
        <v>17773</v>
      </c>
    </row>
    <row r="7581" spans="1:9" ht="31.5" customHeight="1">
      <c r="A7581" s="5"/>
      <c r="B7581" s="5" t="str">
        <f>CONCATENATE(G7581,"/",COUNTIF($G$2:G7581,G7581))</f>
        <v>BG-10180/3</v>
      </c>
      <c r="C7581" s="5" t="s">
        <v>44136</v>
      </c>
      <c r="D7581" s="246">
        <v>44712</v>
      </c>
      <c r="E7581" s="5" t="s">
        <v>44137</v>
      </c>
      <c r="F7581" s="26" t="s">
        <v>23600</v>
      </c>
      <c r="G7581" s="36" t="s">
        <v>19764</v>
      </c>
      <c r="H7581" s="38" t="s">
        <v>19765</v>
      </c>
      <c r="I7581" s="46" t="s">
        <v>17773</v>
      </c>
    </row>
    <row r="7582" spans="1:9" ht="31.5" customHeight="1">
      <c r="A7582" s="5"/>
      <c r="B7582" s="5" t="str">
        <f>CONCATENATE(G7582,"/",COUNTIF($G$2:G7582,G7582))</f>
        <v>BG-10180/4</v>
      </c>
      <c r="C7582" s="5" t="s">
        <v>44138</v>
      </c>
      <c r="D7582" s="246">
        <v>44712</v>
      </c>
      <c r="E7582" s="5" t="s">
        <v>44139</v>
      </c>
      <c r="F7582" s="26" t="s">
        <v>23600</v>
      </c>
      <c r="G7582" s="36" t="s">
        <v>19764</v>
      </c>
      <c r="H7582" s="38" t="s">
        <v>19765</v>
      </c>
      <c r="I7582" s="46" t="s">
        <v>17773</v>
      </c>
    </row>
    <row r="7583" spans="1:9" ht="31.5" customHeight="1">
      <c r="A7583" s="5"/>
      <c r="B7583" s="5" t="str">
        <f>CONCATENATE(G7583,"/",COUNTIF($G$2:G7583,G7583))</f>
        <v>BG-10180/5</v>
      </c>
      <c r="C7583" s="5" t="s">
        <v>44140</v>
      </c>
      <c r="D7583" s="246">
        <v>44712</v>
      </c>
      <c r="E7583" s="5" t="s">
        <v>44141</v>
      </c>
      <c r="F7583" s="26" t="s">
        <v>23600</v>
      </c>
      <c r="G7583" s="36" t="s">
        <v>19764</v>
      </c>
      <c r="H7583" s="38" t="s">
        <v>19765</v>
      </c>
      <c r="I7583" s="46" t="s">
        <v>17773</v>
      </c>
    </row>
    <row r="7584" spans="1:9" ht="31.5" customHeight="1">
      <c r="A7584" s="5"/>
      <c r="B7584" s="5" t="str">
        <f>CONCATENATE(G7584,"/",COUNTIF($G$2:G7584,G7584))</f>
        <v>BG-10180/6</v>
      </c>
      <c r="C7584" s="5" t="s">
        <v>44142</v>
      </c>
      <c r="D7584" s="246">
        <v>44712</v>
      </c>
      <c r="E7584" s="5" t="s">
        <v>44143</v>
      </c>
      <c r="F7584" s="26" t="s">
        <v>23600</v>
      </c>
      <c r="G7584" s="36" t="s">
        <v>19764</v>
      </c>
      <c r="H7584" s="38" t="s">
        <v>19765</v>
      </c>
      <c r="I7584" s="46" t="s">
        <v>17773</v>
      </c>
    </row>
    <row r="7585" spans="1:9" ht="37.5" customHeight="1">
      <c r="A7585" s="5"/>
      <c r="B7585" s="5" t="str">
        <f>CONCATENATE(G7585,"/",COUNTIF($G$2:G7585,G7585))</f>
        <v>RO-10094/1</v>
      </c>
      <c r="C7585" s="5" t="s">
        <v>44144</v>
      </c>
      <c r="D7585" s="246">
        <v>44726</v>
      </c>
      <c r="E7585" s="5" t="s">
        <v>44145</v>
      </c>
      <c r="F7585" s="26" t="s">
        <v>23600</v>
      </c>
      <c r="G7585" s="36" t="s">
        <v>19104</v>
      </c>
      <c r="H7585" s="29" t="s">
        <v>19105</v>
      </c>
      <c r="I7585" s="30" t="s">
        <v>17682</v>
      </c>
    </row>
    <row r="7586" spans="1:9" ht="32.15" customHeight="1">
      <c r="A7586" s="5"/>
      <c r="B7586" s="5" t="str">
        <f>CONCATENATE(G7586,"/",COUNTIF($G$2:G7586,G7586))</f>
        <v>DE-10197/1</v>
      </c>
      <c r="C7586" s="5" t="s">
        <v>44146</v>
      </c>
      <c r="D7586" s="246">
        <v>44734</v>
      </c>
      <c r="E7586" s="5" t="s">
        <v>44147</v>
      </c>
      <c r="F7586" s="26" t="s">
        <v>25439</v>
      </c>
      <c r="G7586" s="36" t="s">
        <v>19807</v>
      </c>
      <c r="H7586" s="38" t="s">
        <v>19808</v>
      </c>
      <c r="I7586" s="46" t="s">
        <v>6455</v>
      </c>
    </row>
    <row r="7587" spans="1:9" ht="32.15" customHeight="1">
      <c r="A7587" s="5"/>
      <c r="B7587" s="5" t="str">
        <f>CONCATENATE(G7587,"/",COUNTIF($G$2:G7587,G7587))</f>
        <v>DE-10197/2</v>
      </c>
      <c r="C7587" s="5" t="s">
        <v>44148</v>
      </c>
      <c r="D7587" s="246">
        <v>44734</v>
      </c>
      <c r="E7587" s="5" t="s">
        <v>44149</v>
      </c>
      <c r="F7587" s="26" t="s">
        <v>25439</v>
      </c>
      <c r="G7587" s="36" t="s">
        <v>19807</v>
      </c>
      <c r="H7587" s="38" t="s">
        <v>19808</v>
      </c>
      <c r="I7587" s="46" t="s">
        <v>6455</v>
      </c>
    </row>
    <row r="7588" spans="1:9" ht="36" customHeight="1">
      <c r="A7588" s="5"/>
      <c r="B7588" s="5" t="str">
        <f>CONCATENATE(G7588,"/",COUNTIF($G$2:G7588,G7588))</f>
        <v>CZ-10049/1</v>
      </c>
      <c r="C7588" s="5" t="s">
        <v>23621</v>
      </c>
      <c r="D7588" s="246">
        <v>44736</v>
      </c>
      <c r="E7588" s="5" t="s">
        <v>44150</v>
      </c>
      <c r="F7588" s="26" t="s">
        <v>23600</v>
      </c>
      <c r="G7588" s="36" t="s">
        <v>18806</v>
      </c>
      <c r="H7588" s="38" t="s">
        <v>18807</v>
      </c>
      <c r="I7588" s="46" t="s">
        <v>16429</v>
      </c>
    </row>
    <row r="7589" spans="1:9" ht="36" customHeight="1">
      <c r="A7589" s="5"/>
      <c r="B7589" s="5" t="str">
        <f>CONCATENATE(G7589,"/",COUNTIF($G$2:G7589,G7589))</f>
        <v>CZ-10049/2</v>
      </c>
      <c r="C7589" s="5" t="s">
        <v>23625</v>
      </c>
      <c r="D7589" s="246">
        <v>44736</v>
      </c>
      <c r="E7589" s="5" t="s">
        <v>44151</v>
      </c>
      <c r="F7589" s="26" t="s">
        <v>23600</v>
      </c>
      <c r="G7589" s="36" t="s">
        <v>18806</v>
      </c>
      <c r="H7589" s="38" t="s">
        <v>18807</v>
      </c>
      <c r="I7589" s="46" t="s">
        <v>16429</v>
      </c>
    </row>
    <row r="7590" spans="1:9" ht="36" customHeight="1">
      <c r="A7590" s="5"/>
      <c r="B7590" s="5" t="str">
        <f>CONCATENATE(G7590,"/",COUNTIF($G$2:G7590,G7590))</f>
        <v>CZ-10049/3</v>
      </c>
      <c r="C7590" s="5" t="s">
        <v>25972</v>
      </c>
      <c r="D7590" s="246">
        <v>44736</v>
      </c>
      <c r="E7590" s="5" t="s">
        <v>44152</v>
      </c>
      <c r="F7590" s="26" t="s">
        <v>23600</v>
      </c>
      <c r="G7590" s="36" t="s">
        <v>18806</v>
      </c>
      <c r="H7590" s="38" t="s">
        <v>18807</v>
      </c>
      <c r="I7590" s="46" t="s">
        <v>16429</v>
      </c>
    </row>
    <row r="7591" spans="1:9" ht="36" customHeight="1">
      <c r="A7591" s="5"/>
      <c r="B7591" s="5" t="str">
        <f>CONCATENATE(G7591,"/",COUNTIF($G$2:G7591,G7591))</f>
        <v>RO-10112/1</v>
      </c>
      <c r="C7591" s="5" t="s">
        <v>44153</v>
      </c>
      <c r="D7591" s="246">
        <v>44740</v>
      </c>
      <c r="E7591" s="5" t="s">
        <v>44154</v>
      </c>
      <c r="F7591" s="26" t="s">
        <v>23600</v>
      </c>
      <c r="G7591" s="36" t="s">
        <v>19278</v>
      </c>
      <c r="H7591" s="29" t="s">
        <v>19279</v>
      </c>
      <c r="I7591" s="30" t="s">
        <v>17682</v>
      </c>
    </row>
    <row r="7592" spans="1:9" ht="26.15" customHeight="1">
      <c r="A7592" s="5"/>
      <c r="B7592" s="5" t="str">
        <f>CONCATENATE(G7592,"/",COUNTIF($G$2:G7592,G7592))</f>
        <v>RO-10118/1</v>
      </c>
      <c r="C7592" s="5" t="s">
        <v>44155</v>
      </c>
      <c r="D7592" s="246">
        <v>44739</v>
      </c>
      <c r="E7592" s="5" t="s">
        <v>44156</v>
      </c>
      <c r="F7592" s="26" t="s">
        <v>23600</v>
      </c>
      <c r="G7592" s="36" t="s">
        <v>19316</v>
      </c>
      <c r="H7592" s="29" t="s">
        <v>19317</v>
      </c>
      <c r="I7592" s="30" t="s">
        <v>17682</v>
      </c>
    </row>
    <row r="7593" spans="1:9" ht="37.5" customHeight="1">
      <c r="A7593" s="5"/>
      <c r="B7593" s="5" t="str">
        <f>CONCATENATE(G7593,"/",COUNTIF($G$2:G7593,G7593))</f>
        <v>PL-10075/1</v>
      </c>
      <c r="C7593" s="5" t="s">
        <v>44157</v>
      </c>
      <c r="D7593" s="246">
        <v>44712</v>
      </c>
      <c r="E7593" s="5" t="s">
        <v>44158</v>
      </c>
      <c r="F7593" s="26" t="s">
        <v>23600</v>
      </c>
      <c r="G7593" s="36" t="s">
        <v>18933</v>
      </c>
      <c r="H7593" s="29" t="s">
        <v>18934</v>
      </c>
      <c r="I7593" s="46" t="s">
        <v>17057</v>
      </c>
    </row>
    <row r="7594" spans="1:9" ht="37.5" customHeight="1">
      <c r="A7594" s="5"/>
      <c r="B7594" s="5" t="str">
        <f>CONCATENATE(G7594,"/",COUNTIF($G$2:G7594,G7594))</f>
        <v>PL-10075/2</v>
      </c>
      <c r="C7594" s="5" t="s">
        <v>44159</v>
      </c>
      <c r="D7594" s="246">
        <v>44712</v>
      </c>
      <c r="E7594" s="5" t="s">
        <v>44160</v>
      </c>
      <c r="F7594" s="26" t="s">
        <v>23600</v>
      </c>
      <c r="G7594" s="36" t="s">
        <v>18933</v>
      </c>
      <c r="H7594" s="29" t="s">
        <v>18934</v>
      </c>
      <c r="I7594" s="46" t="s">
        <v>17057</v>
      </c>
    </row>
    <row r="7595" spans="1:9" ht="37.5" customHeight="1">
      <c r="A7595" s="5"/>
      <c r="B7595" s="5" t="str">
        <f>CONCATENATE(G7595,"/",COUNTIF($G$2:G7595,G7595))</f>
        <v>PL-10075/3</v>
      </c>
      <c r="C7595" s="5" t="s">
        <v>44161</v>
      </c>
      <c r="D7595" s="246">
        <v>44712</v>
      </c>
      <c r="E7595" s="5" t="s">
        <v>44162</v>
      </c>
      <c r="F7595" s="26" t="s">
        <v>23600</v>
      </c>
      <c r="G7595" s="36" t="s">
        <v>18933</v>
      </c>
      <c r="H7595" s="29" t="s">
        <v>18934</v>
      </c>
      <c r="I7595" s="46" t="s">
        <v>17057</v>
      </c>
    </row>
    <row r="7596" spans="1:9" ht="37.5" customHeight="1">
      <c r="A7596" s="5"/>
      <c r="B7596" s="5" t="str">
        <f>CONCATENATE(G7596,"/",COUNTIF($G$2:G7596,G7596))</f>
        <v>PL-10075/4</v>
      </c>
      <c r="C7596" s="5" t="s">
        <v>44163</v>
      </c>
      <c r="D7596" s="246">
        <v>44712</v>
      </c>
      <c r="E7596" s="5" t="s">
        <v>44164</v>
      </c>
      <c r="F7596" s="26" t="s">
        <v>23600</v>
      </c>
      <c r="G7596" s="36" t="s">
        <v>18933</v>
      </c>
      <c r="H7596" s="29" t="s">
        <v>18934</v>
      </c>
      <c r="I7596" s="46" t="s">
        <v>17057</v>
      </c>
    </row>
    <row r="7597" spans="1:9" ht="32.5" customHeight="1">
      <c r="A7597" s="5"/>
      <c r="B7597" s="5" t="str">
        <f>CONCATENATE(G7597,"/",COUNTIF($G$2:G7597,G7597))</f>
        <v>PL-10093/1</v>
      </c>
      <c r="C7597" s="5" t="s">
        <v>42086</v>
      </c>
      <c r="D7597" s="246">
        <v>44677</v>
      </c>
      <c r="E7597" s="5" t="s">
        <v>44165</v>
      </c>
      <c r="F7597" s="26" t="s">
        <v>23600</v>
      </c>
      <c r="G7597" s="36" t="s">
        <v>17742</v>
      </c>
      <c r="H7597" s="29" t="s">
        <v>17743</v>
      </c>
      <c r="I7597" s="30" t="s">
        <v>17057</v>
      </c>
    </row>
    <row r="7598" spans="1:9" ht="32.5" customHeight="1">
      <c r="A7598" s="5"/>
      <c r="B7598" s="5" t="str">
        <f>CONCATENATE(G7598,"/",COUNTIF($G$2:G7598,G7598))</f>
        <v>PL-10093/2</v>
      </c>
      <c r="C7598" s="5" t="s">
        <v>44166</v>
      </c>
      <c r="D7598" s="246">
        <v>44677</v>
      </c>
      <c r="E7598" s="5" t="s">
        <v>44167</v>
      </c>
      <c r="F7598" s="26" t="s">
        <v>23600</v>
      </c>
      <c r="G7598" s="36" t="s">
        <v>17742</v>
      </c>
      <c r="H7598" s="29" t="s">
        <v>17743</v>
      </c>
      <c r="I7598" s="30" t="s">
        <v>17057</v>
      </c>
    </row>
    <row r="7599" spans="1:9" ht="32.5" customHeight="1">
      <c r="A7599" s="5"/>
      <c r="B7599" s="5" t="str">
        <f>CONCATENATE(G7599,"/",COUNTIF($G$2:G7599,G7599))</f>
        <v>PL-10093/3</v>
      </c>
      <c r="C7599" s="5" t="s">
        <v>44168</v>
      </c>
      <c r="D7599" s="246">
        <v>44677</v>
      </c>
      <c r="E7599" s="5" t="s">
        <v>44169</v>
      </c>
      <c r="F7599" s="26" t="s">
        <v>23600</v>
      </c>
      <c r="G7599" s="36" t="s">
        <v>17742</v>
      </c>
      <c r="H7599" s="29" t="s">
        <v>17743</v>
      </c>
      <c r="I7599" s="30" t="s">
        <v>17057</v>
      </c>
    </row>
    <row r="7600" spans="1:9" ht="32.5" customHeight="1">
      <c r="A7600" s="5"/>
      <c r="B7600" s="5" t="str">
        <f>CONCATENATE(G7600,"/",COUNTIF($G$2:G7600,G7600))</f>
        <v>PL-10093/4</v>
      </c>
      <c r="C7600" s="5" t="s">
        <v>44170</v>
      </c>
      <c r="D7600" s="246">
        <v>44677</v>
      </c>
      <c r="E7600" s="5" t="s">
        <v>44171</v>
      </c>
      <c r="F7600" s="26" t="s">
        <v>23600</v>
      </c>
      <c r="G7600" s="36" t="s">
        <v>17742</v>
      </c>
      <c r="H7600" s="29" t="s">
        <v>17743</v>
      </c>
      <c r="I7600" s="30" t="s">
        <v>17057</v>
      </c>
    </row>
    <row r="7601" spans="1:9" ht="32.5" customHeight="1">
      <c r="A7601" s="5"/>
      <c r="B7601" s="5" t="str">
        <f>CONCATENATE(G7601,"/",COUNTIF($G$2:G7601,G7601))</f>
        <v>PL-10093/5</v>
      </c>
      <c r="C7601" s="5" t="s">
        <v>44172</v>
      </c>
      <c r="D7601" s="246">
        <v>44677</v>
      </c>
      <c r="E7601" s="5" t="s">
        <v>44173</v>
      </c>
      <c r="F7601" s="26" t="s">
        <v>23600</v>
      </c>
      <c r="G7601" s="36" t="s">
        <v>17742</v>
      </c>
      <c r="H7601" s="29" t="s">
        <v>17743</v>
      </c>
      <c r="I7601" s="30" t="s">
        <v>17057</v>
      </c>
    </row>
    <row r="7602" spans="1:9" ht="31" customHeight="1">
      <c r="A7602" s="5"/>
      <c r="B7602" s="5" t="str">
        <f>CONCATENATE(G7602,"/",COUNTIF($G$2:G7602,G7602))</f>
        <v>ES-10137/1</v>
      </c>
      <c r="C7602" s="5" t="s">
        <v>44174</v>
      </c>
      <c r="D7602" s="246">
        <v>44742</v>
      </c>
      <c r="E7602" s="5" t="s">
        <v>44175</v>
      </c>
      <c r="F7602" s="26" t="s">
        <v>23600</v>
      </c>
      <c r="G7602" s="36" t="s">
        <v>19255</v>
      </c>
      <c r="H7602" s="28" t="s">
        <v>19256</v>
      </c>
      <c r="I7602" s="5" t="s">
        <v>17820</v>
      </c>
    </row>
    <row r="7603" spans="1:9" ht="31" customHeight="1">
      <c r="A7603" s="5"/>
      <c r="B7603" s="5" t="str">
        <f>CONCATENATE(G7603,"/",COUNTIF($G$2:G7603,G7603))</f>
        <v>ES-10137/2</v>
      </c>
      <c r="C7603" s="5" t="s">
        <v>44176</v>
      </c>
      <c r="D7603" s="246">
        <v>44742</v>
      </c>
      <c r="E7603" s="5" t="s">
        <v>44177</v>
      </c>
      <c r="F7603" s="26" t="s">
        <v>23600</v>
      </c>
      <c r="G7603" s="36" t="s">
        <v>19255</v>
      </c>
      <c r="H7603" s="28" t="s">
        <v>19256</v>
      </c>
      <c r="I7603" s="5" t="s">
        <v>17820</v>
      </c>
    </row>
    <row r="7604" spans="1:9" ht="31" customHeight="1">
      <c r="A7604" s="5"/>
      <c r="B7604" s="5" t="str">
        <f>CONCATENATE(G7604,"/",COUNTIF($G$2:G7604,G7604))</f>
        <v>ES-10137/3</v>
      </c>
      <c r="C7604" s="5" t="s">
        <v>44178</v>
      </c>
      <c r="D7604" s="246">
        <v>44742</v>
      </c>
      <c r="E7604" s="5" t="s">
        <v>44179</v>
      </c>
      <c r="F7604" s="26" t="s">
        <v>23600</v>
      </c>
      <c r="G7604" s="36" t="s">
        <v>19255</v>
      </c>
      <c r="H7604" s="28" t="s">
        <v>19256</v>
      </c>
      <c r="I7604" s="5" t="s">
        <v>17820</v>
      </c>
    </row>
    <row r="7605" spans="1:9" ht="31.4" customHeight="1">
      <c r="A7605" s="5"/>
      <c r="B7605" s="5" t="str">
        <f>CONCATENATE(G7605,"/",COUNTIF($G$2:G7605,G7605))</f>
        <v>HR-10116/1</v>
      </c>
      <c r="C7605" s="5" t="s">
        <v>44180</v>
      </c>
      <c r="D7605" s="246">
        <v>44746</v>
      </c>
      <c r="E7605" s="5" t="s">
        <v>44181</v>
      </c>
      <c r="F7605" s="26" t="s">
        <v>23600</v>
      </c>
      <c r="G7605" s="36" t="s">
        <v>19263</v>
      </c>
      <c r="H7605" s="29" t="s">
        <v>19264</v>
      </c>
      <c r="I7605" s="30" t="s">
        <v>9789</v>
      </c>
    </row>
    <row r="7606" spans="1:9" ht="31.4" customHeight="1">
      <c r="A7606" s="5"/>
      <c r="B7606" s="5" t="str">
        <f>CONCATENATE(G7606,"/",COUNTIF($G$2:G7606,G7606))</f>
        <v>HR-10116/2</v>
      </c>
      <c r="C7606" s="5" t="s">
        <v>44182</v>
      </c>
      <c r="D7606" s="246">
        <v>44746</v>
      </c>
      <c r="E7606" s="5" t="s">
        <v>44183</v>
      </c>
      <c r="F7606" s="26" t="s">
        <v>23600</v>
      </c>
      <c r="G7606" s="36" t="s">
        <v>19263</v>
      </c>
      <c r="H7606" s="29" t="s">
        <v>19264</v>
      </c>
      <c r="I7606" s="30" t="s">
        <v>9789</v>
      </c>
    </row>
    <row r="7607" spans="1:9" ht="31.4" customHeight="1">
      <c r="A7607" s="5"/>
      <c r="B7607" s="5" t="str">
        <f>CONCATENATE(G7607,"/",COUNTIF($G$2:G7607,G7607))</f>
        <v>HR-10116/3</v>
      </c>
      <c r="C7607" s="5" t="s">
        <v>44184</v>
      </c>
      <c r="D7607" s="246">
        <v>44746</v>
      </c>
      <c r="E7607" s="5" t="s">
        <v>44185</v>
      </c>
      <c r="F7607" s="26" t="s">
        <v>23600</v>
      </c>
      <c r="G7607" s="36" t="s">
        <v>19263</v>
      </c>
      <c r="H7607" s="29" t="s">
        <v>19264</v>
      </c>
      <c r="I7607" s="30" t="s">
        <v>9789</v>
      </c>
    </row>
    <row r="7608" spans="1:9" ht="31.4" customHeight="1">
      <c r="A7608" s="5"/>
      <c r="B7608" s="5" t="str">
        <f>CONCATENATE(G7608,"/",COUNTIF($G$2:G7608,G7608))</f>
        <v>HR-10116/4</v>
      </c>
      <c r="C7608" s="5" t="s">
        <v>44186</v>
      </c>
      <c r="D7608" s="246">
        <v>44746</v>
      </c>
      <c r="E7608" s="5" t="s">
        <v>44187</v>
      </c>
      <c r="F7608" s="26" t="s">
        <v>23600</v>
      </c>
      <c r="G7608" s="36" t="s">
        <v>19263</v>
      </c>
      <c r="H7608" s="29" t="s">
        <v>19264</v>
      </c>
      <c r="I7608" s="30" t="s">
        <v>9789</v>
      </c>
    </row>
    <row r="7609" spans="1:9" ht="31.4" customHeight="1">
      <c r="A7609" s="5"/>
      <c r="B7609" s="5" t="str">
        <f>CONCATENATE(G7609,"/",COUNTIF($G$2:G7609,G7609))</f>
        <v>HR-10116/5</v>
      </c>
      <c r="C7609" s="5" t="s">
        <v>44188</v>
      </c>
      <c r="D7609" s="246">
        <v>44746</v>
      </c>
      <c r="E7609" s="5" t="s">
        <v>44189</v>
      </c>
      <c r="F7609" s="26" t="s">
        <v>23600</v>
      </c>
      <c r="G7609" s="36" t="s">
        <v>19263</v>
      </c>
      <c r="H7609" s="29" t="s">
        <v>19264</v>
      </c>
      <c r="I7609" s="30" t="s">
        <v>9789</v>
      </c>
    </row>
    <row r="7610" spans="1:9" ht="38.15" customHeight="1">
      <c r="A7610" s="5"/>
      <c r="B7610" s="5" t="str">
        <f>CONCATENATE(G7610,"/",COUNTIF($G$2:G7610,G7610))</f>
        <v>HR-10082/1</v>
      </c>
      <c r="C7610" s="5" t="s">
        <v>44190</v>
      </c>
      <c r="D7610" s="246">
        <v>44747</v>
      </c>
      <c r="E7610" s="5" t="s">
        <v>44191</v>
      </c>
      <c r="F7610" s="26" t="s">
        <v>23600</v>
      </c>
      <c r="G7610" s="36" t="s">
        <v>18962</v>
      </c>
      <c r="H7610" s="29" t="s">
        <v>18963</v>
      </c>
      <c r="I7610" s="46" t="s">
        <v>9789</v>
      </c>
    </row>
    <row r="7611" spans="1:9" ht="38.15" customHeight="1">
      <c r="A7611" s="5"/>
      <c r="B7611" s="5" t="str">
        <f>CONCATENATE(G7611,"/",COUNTIF($G$2:G7611,G7611))</f>
        <v>HR-10082/2</v>
      </c>
      <c r="C7611" s="5" t="s">
        <v>44192</v>
      </c>
      <c r="D7611" s="246">
        <v>44747</v>
      </c>
      <c r="E7611" s="5" t="s">
        <v>44193</v>
      </c>
      <c r="F7611" s="26" t="s">
        <v>23600</v>
      </c>
      <c r="G7611" s="36" t="s">
        <v>18962</v>
      </c>
      <c r="H7611" s="29" t="s">
        <v>18963</v>
      </c>
      <c r="I7611" s="46" t="s">
        <v>9789</v>
      </c>
    </row>
    <row r="7612" spans="1:9" ht="26.15" customHeight="1">
      <c r="A7612" s="5"/>
      <c r="B7612" s="5" t="str">
        <f>CONCATENATE(G7612,"/",COUNTIF($G$2:G7612,G7612))</f>
        <v>PT-6124/1</v>
      </c>
      <c r="C7612" s="5" t="s">
        <v>44194</v>
      </c>
      <c r="D7612" s="246">
        <v>44755</v>
      </c>
      <c r="E7612" s="5" t="s">
        <v>44195</v>
      </c>
      <c r="F7612" s="26" t="s">
        <v>23600</v>
      </c>
      <c r="G7612" s="27" t="s">
        <v>16700</v>
      </c>
      <c r="H7612" s="29" t="s">
        <v>16701</v>
      </c>
      <c r="I7612" s="30" t="s">
        <v>16702</v>
      </c>
    </row>
    <row r="7613" spans="1:9" ht="26.15" customHeight="1">
      <c r="A7613" s="5"/>
      <c r="B7613" s="5" t="str">
        <f>CONCATENATE(G7613,"/",COUNTIF($G$2:G7613,G7613))</f>
        <v>PT-6124/2</v>
      </c>
      <c r="C7613" s="5" t="s">
        <v>44196</v>
      </c>
      <c r="D7613" s="246">
        <v>44755</v>
      </c>
      <c r="E7613" s="5" t="s">
        <v>44197</v>
      </c>
      <c r="F7613" s="26" t="s">
        <v>23600</v>
      </c>
      <c r="G7613" s="27" t="s">
        <v>16700</v>
      </c>
      <c r="H7613" s="29" t="s">
        <v>16701</v>
      </c>
      <c r="I7613" s="30" t="s">
        <v>16702</v>
      </c>
    </row>
    <row r="7614" spans="1:9" ht="26.15" customHeight="1">
      <c r="A7614" s="5"/>
      <c r="B7614" s="5" t="str">
        <f>CONCATENATE(G7614,"/",COUNTIF($G$2:G7614,G7614))</f>
        <v>PT-6124/3</v>
      </c>
      <c r="C7614" s="5" t="s">
        <v>44198</v>
      </c>
      <c r="D7614" s="246">
        <v>44755</v>
      </c>
      <c r="E7614" s="5" t="s">
        <v>44199</v>
      </c>
      <c r="F7614" s="26" t="s">
        <v>23600</v>
      </c>
      <c r="G7614" s="27" t="s">
        <v>16700</v>
      </c>
      <c r="H7614" s="29" t="s">
        <v>16701</v>
      </c>
      <c r="I7614" s="30" t="s">
        <v>16702</v>
      </c>
    </row>
    <row r="7615" spans="1:9" ht="31.5" customHeight="1">
      <c r="A7615" s="5"/>
      <c r="B7615" s="5" t="str">
        <f>CONCATENATE(G7615,"/",COUNTIF($G$2:G7615,G7615))</f>
        <v>RO-6254/1</v>
      </c>
      <c r="C7615" s="5" t="s">
        <v>31316</v>
      </c>
      <c r="D7615" s="246">
        <v>44301</v>
      </c>
      <c r="E7615" s="5" t="s">
        <v>44200</v>
      </c>
      <c r="F7615" s="26" t="s">
        <v>23600</v>
      </c>
      <c r="G7615" s="27" t="s">
        <v>17680</v>
      </c>
      <c r="H7615" s="29" t="s">
        <v>17681</v>
      </c>
      <c r="I7615" s="30" t="s">
        <v>17682</v>
      </c>
    </row>
    <row r="7616" spans="1:9" ht="33.65" customHeight="1">
      <c r="A7616" s="5"/>
      <c r="B7616" s="5" t="str">
        <f>CONCATENATE(G7616,"/",COUNTIF($G$2:G7616,G7616))</f>
        <v>RO-10087/1</v>
      </c>
      <c r="C7616" s="5" t="s">
        <v>44201</v>
      </c>
      <c r="D7616" s="246">
        <v>44746</v>
      </c>
      <c r="E7616" s="5" t="s">
        <v>44202</v>
      </c>
      <c r="F7616" s="26" t="s">
        <v>23600</v>
      </c>
      <c r="G7616" s="36" t="s">
        <v>19066</v>
      </c>
      <c r="H7616" s="29" t="s">
        <v>19067</v>
      </c>
      <c r="I7616" s="46" t="s">
        <v>17682</v>
      </c>
    </row>
    <row r="7617" spans="1:9" ht="33.65" customHeight="1">
      <c r="A7617" s="5"/>
      <c r="B7617" s="5" t="str">
        <f>CONCATENATE(G7617,"/",COUNTIF($G$2:G7617,G7617))</f>
        <v>RO-6277/1</v>
      </c>
      <c r="C7617" s="5" t="s">
        <v>31316</v>
      </c>
      <c r="D7617" s="246">
        <v>44355</v>
      </c>
      <c r="E7617" s="5" t="s">
        <v>44203</v>
      </c>
      <c r="F7617" s="26" t="s">
        <v>23600</v>
      </c>
      <c r="G7617" s="27" t="s">
        <v>17842</v>
      </c>
      <c r="H7617" s="29" t="s">
        <v>17843</v>
      </c>
      <c r="I7617" s="30" t="s">
        <v>17682</v>
      </c>
    </row>
    <row r="7618" spans="1:9" ht="31.5" customHeight="1">
      <c r="A7618" s="5"/>
      <c r="B7618" s="5" t="str">
        <f>CONCATENATE(G7618,"/",COUNTIF($G$2:G7618,G7618))</f>
        <v>DK-10260/1</v>
      </c>
      <c r="C7618" s="5" t="s">
        <v>44204</v>
      </c>
      <c r="D7618" s="246">
        <v>44574</v>
      </c>
      <c r="E7618" s="5" t="s">
        <v>44205</v>
      </c>
      <c r="F7618" s="26" t="s">
        <v>23600</v>
      </c>
      <c r="G7618" s="36" t="s">
        <v>18426</v>
      </c>
      <c r="H7618" s="29" t="s">
        <v>18427</v>
      </c>
      <c r="I7618" s="30" t="s">
        <v>12910</v>
      </c>
    </row>
    <row r="7619" spans="1:9" ht="31.5" customHeight="1">
      <c r="A7619" s="5"/>
      <c r="B7619" s="5" t="str">
        <f>CONCATENATE(G7619,"/",COUNTIF($G$2:G7619,G7619))</f>
        <v>DK-10260/2</v>
      </c>
      <c r="C7619" s="5" t="s">
        <v>44206</v>
      </c>
      <c r="D7619" s="246">
        <v>44574</v>
      </c>
      <c r="E7619" s="5" t="s">
        <v>44207</v>
      </c>
      <c r="F7619" s="26" t="s">
        <v>23600</v>
      </c>
      <c r="G7619" s="36" t="s">
        <v>18426</v>
      </c>
      <c r="H7619" s="29" t="s">
        <v>18427</v>
      </c>
      <c r="I7619" s="30" t="s">
        <v>12910</v>
      </c>
    </row>
    <row r="7620" spans="1:9" ht="31.5" customHeight="1">
      <c r="A7620" s="5"/>
      <c r="B7620" s="5" t="str">
        <f>CONCATENATE(G7620,"/",COUNTIF($G$2:G7620,G7620))</f>
        <v>DK-10260/3</v>
      </c>
      <c r="C7620" s="5" t="s">
        <v>44208</v>
      </c>
      <c r="D7620" s="246">
        <v>44574</v>
      </c>
      <c r="E7620" s="5" t="s">
        <v>44209</v>
      </c>
      <c r="F7620" s="26" t="s">
        <v>23600</v>
      </c>
      <c r="G7620" s="36" t="s">
        <v>18426</v>
      </c>
      <c r="H7620" s="29" t="s">
        <v>18427</v>
      </c>
      <c r="I7620" s="30" t="s">
        <v>12910</v>
      </c>
    </row>
    <row r="7621" spans="1:9" ht="35.5" customHeight="1">
      <c r="A7621" s="5"/>
      <c r="B7621" s="5" t="str">
        <f>CONCATENATE(G7621,"/",COUNTIF($G$2:G7621,G7621))</f>
        <v>DK-10261/1</v>
      </c>
      <c r="C7621" s="5" t="s">
        <v>44210</v>
      </c>
      <c r="D7621" s="246">
        <v>44747</v>
      </c>
      <c r="E7621" s="5" t="s">
        <v>44211</v>
      </c>
      <c r="F7621" s="26" t="s">
        <v>23600</v>
      </c>
      <c r="G7621" s="36" t="s">
        <v>19037</v>
      </c>
      <c r="H7621" s="29" t="s">
        <v>19038</v>
      </c>
      <c r="I7621" s="30" t="s">
        <v>12910</v>
      </c>
    </row>
    <row r="7622" spans="1:9" ht="33" customHeight="1">
      <c r="A7622" s="5"/>
      <c r="B7622" s="5" t="str">
        <f>CONCATENATE(G7622,"/",COUNTIF($G$2:G7622,G7622))</f>
        <v>DK-10267/1</v>
      </c>
      <c r="C7622" s="5" t="s">
        <v>44212</v>
      </c>
      <c r="D7622" s="246">
        <v>44714</v>
      </c>
      <c r="E7622" s="5" t="s">
        <v>44213</v>
      </c>
      <c r="F7622" s="26" t="s">
        <v>23600</v>
      </c>
      <c r="G7622" s="36" t="s">
        <v>19089</v>
      </c>
      <c r="H7622" s="29" t="s">
        <v>19090</v>
      </c>
      <c r="I7622" s="30" t="s">
        <v>12910</v>
      </c>
    </row>
    <row r="7623" spans="1:9" ht="30.65" customHeight="1">
      <c r="A7623" s="5"/>
      <c r="B7623" s="5" t="str">
        <f>CONCATENATE(G7623,"/",COUNTIF($G$2:G7623,G7623))</f>
        <v>RO-6361/1</v>
      </c>
      <c r="C7623" s="5" t="s">
        <v>31316</v>
      </c>
      <c r="D7623" s="246">
        <v>44448</v>
      </c>
      <c r="E7623" s="5" t="s">
        <v>44214</v>
      </c>
      <c r="F7623" s="26" t="s">
        <v>23600</v>
      </c>
      <c r="G7623" s="27" t="s">
        <v>18345</v>
      </c>
      <c r="H7623" s="38" t="s">
        <v>18346</v>
      </c>
      <c r="I7623" s="46" t="s">
        <v>17682</v>
      </c>
    </row>
    <row r="7624" spans="1:9" ht="36.65" customHeight="1">
      <c r="A7624" s="5"/>
      <c r="B7624" s="5" t="str">
        <f>CONCATENATE(G7624,"/",COUNTIF($G$2:G7624,G7624))</f>
        <v>CZ-10147/1</v>
      </c>
      <c r="C7624" s="5" t="s">
        <v>23621</v>
      </c>
      <c r="D7624" s="246">
        <v>44757</v>
      </c>
      <c r="E7624" s="5" t="s">
        <v>44215</v>
      </c>
      <c r="F7624" s="26" t="s">
        <v>23600</v>
      </c>
      <c r="G7624" s="36" t="s">
        <v>19447</v>
      </c>
      <c r="H7624" s="38" t="s">
        <v>19448</v>
      </c>
      <c r="I7624" s="46" t="s">
        <v>16429</v>
      </c>
    </row>
    <row r="7625" spans="1:9" ht="32.5" customHeight="1">
      <c r="A7625" s="5"/>
      <c r="B7625" s="5" t="str">
        <f>CONCATENATE(G7625,"/",COUNTIF($G$2:G7625,G7625))</f>
        <v>AT-10269/1</v>
      </c>
      <c r="C7625" s="5" t="s">
        <v>44216</v>
      </c>
      <c r="D7625" s="246">
        <v>42668</v>
      </c>
      <c r="E7625" s="5" t="s">
        <v>44217</v>
      </c>
      <c r="F7625" s="26" t="s">
        <v>23600</v>
      </c>
      <c r="G7625" s="36" t="s">
        <v>12472</v>
      </c>
      <c r="H7625" s="29" t="s">
        <v>12473</v>
      </c>
      <c r="I7625" s="30" t="s">
        <v>12474</v>
      </c>
    </row>
    <row r="7626" spans="1:9" ht="32.5" customHeight="1">
      <c r="A7626" s="5"/>
      <c r="B7626" s="5" t="str">
        <f>CONCATENATE(G7626,"/",COUNTIF($G$2:G7626,G7626))</f>
        <v>AT-10269/2</v>
      </c>
      <c r="C7626" s="5" t="s">
        <v>44218</v>
      </c>
      <c r="D7626" s="246">
        <v>42668</v>
      </c>
      <c r="E7626" s="5" t="s">
        <v>44219</v>
      </c>
      <c r="F7626" s="26" t="s">
        <v>23600</v>
      </c>
      <c r="G7626" s="36" t="s">
        <v>12472</v>
      </c>
      <c r="H7626" s="29" t="s">
        <v>12473</v>
      </c>
      <c r="I7626" s="30" t="s">
        <v>12474</v>
      </c>
    </row>
    <row r="7627" spans="1:9" ht="32.5" customHeight="1">
      <c r="A7627" s="5"/>
      <c r="B7627" s="5" t="str">
        <f>CONCATENATE(G7627,"/",COUNTIF($G$2:G7627,G7627))</f>
        <v>AT-10269/3</v>
      </c>
      <c r="C7627" s="5" t="s">
        <v>44220</v>
      </c>
      <c r="D7627" s="246">
        <v>42668</v>
      </c>
      <c r="E7627" s="5" t="s">
        <v>44221</v>
      </c>
      <c r="F7627" s="26" t="s">
        <v>23600</v>
      </c>
      <c r="G7627" s="36" t="s">
        <v>12472</v>
      </c>
      <c r="H7627" s="29" t="s">
        <v>12473</v>
      </c>
      <c r="I7627" s="30" t="s">
        <v>12474</v>
      </c>
    </row>
    <row r="7628" spans="1:9" ht="31" customHeight="1">
      <c r="A7628" s="5"/>
      <c r="B7628" s="5" t="str">
        <f>CONCATENATE(G7628,"/",COUNTIF($G$2:G7628,G7628))</f>
        <v>FR-6337/1</v>
      </c>
      <c r="C7628" s="5" t="s">
        <v>44222</v>
      </c>
      <c r="D7628" s="246">
        <v>44761</v>
      </c>
      <c r="E7628" s="5" t="s">
        <v>44223</v>
      </c>
      <c r="F7628" s="26" t="s">
        <v>23600</v>
      </c>
      <c r="G7628" s="27" t="s">
        <v>17583</v>
      </c>
      <c r="H7628" s="29" t="s">
        <v>17584</v>
      </c>
      <c r="I7628" s="30" t="s">
        <v>16310</v>
      </c>
    </row>
    <row r="7629" spans="1:9" ht="31" customHeight="1">
      <c r="A7629" s="5"/>
      <c r="B7629" s="5" t="str">
        <f>CONCATENATE(G7629,"/",COUNTIF($G$2:G7629,G7629))</f>
        <v>FR-6337/2</v>
      </c>
      <c r="C7629" s="5" t="s">
        <v>44224</v>
      </c>
      <c r="D7629" s="246">
        <v>44761</v>
      </c>
      <c r="E7629" s="5" t="s">
        <v>44225</v>
      </c>
      <c r="F7629" s="26" t="s">
        <v>23600</v>
      </c>
      <c r="G7629" s="27" t="s">
        <v>17583</v>
      </c>
      <c r="H7629" s="29" t="s">
        <v>17584</v>
      </c>
      <c r="I7629" s="30" t="s">
        <v>16310</v>
      </c>
    </row>
    <row r="7630" spans="1:9" ht="31" customHeight="1">
      <c r="A7630" s="5"/>
      <c r="B7630" s="5" t="str">
        <f>CONCATENATE(G7630,"/",COUNTIF($G$2:G7630,G7630))</f>
        <v>FR-6337/3</v>
      </c>
      <c r="C7630" s="5" t="s">
        <v>44226</v>
      </c>
      <c r="D7630" s="246">
        <v>44761</v>
      </c>
      <c r="E7630" s="5" t="s">
        <v>44227</v>
      </c>
      <c r="F7630" s="26" t="s">
        <v>23600</v>
      </c>
      <c r="G7630" s="27" t="s">
        <v>17583</v>
      </c>
      <c r="H7630" s="29" t="s">
        <v>17584</v>
      </c>
      <c r="I7630" s="30" t="s">
        <v>16310</v>
      </c>
    </row>
    <row r="7631" spans="1:9" ht="31" customHeight="1">
      <c r="A7631" s="5"/>
      <c r="B7631" s="5" t="str">
        <f>CONCATENATE(G7631,"/",COUNTIF($G$2:G7631,G7631))</f>
        <v>FR-6337/4</v>
      </c>
      <c r="C7631" s="5" t="s">
        <v>44228</v>
      </c>
      <c r="D7631" s="246">
        <v>44761</v>
      </c>
      <c r="E7631" s="5" t="s">
        <v>44229</v>
      </c>
      <c r="F7631" s="26" t="s">
        <v>23600</v>
      </c>
      <c r="G7631" s="27" t="s">
        <v>17583</v>
      </c>
      <c r="H7631" s="29" t="s">
        <v>17584</v>
      </c>
      <c r="I7631" s="30" t="s">
        <v>16310</v>
      </c>
    </row>
    <row r="7632" spans="1:9" ht="34" customHeight="1">
      <c r="A7632" s="5"/>
      <c r="B7632" s="5" t="str">
        <f>CONCATENATE(G7632,"/",COUNTIF($G$2:G7632,G7632))</f>
        <v>HU-10084/1</v>
      </c>
      <c r="C7632" s="5" t="s">
        <v>44230</v>
      </c>
      <c r="D7632" s="246">
        <v>44747</v>
      </c>
      <c r="E7632" s="5" t="s">
        <v>44231</v>
      </c>
      <c r="F7632" s="26" t="s">
        <v>23600</v>
      </c>
      <c r="G7632" s="36" t="s">
        <v>19060</v>
      </c>
      <c r="H7632" s="29" t="s">
        <v>19061</v>
      </c>
      <c r="I7632" s="30" t="s">
        <v>17578</v>
      </c>
    </row>
    <row r="7633" spans="1:9" ht="34" customHeight="1">
      <c r="A7633" s="5"/>
      <c r="B7633" s="5" t="str">
        <f>CONCATENATE(G7633,"/",COUNTIF($G$2:G7633,G7633))</f>
        <v>HU-10084/2</v>
      </c>
      <c r="C7633" s="5" t="s">
        <v>44232</v>
      </c>
      <c r="D7633" s="246">
        <v>44747</v>
      </c>
      <c r="E7633" s="5" t="s">
        <v>44233</v>
      </c>
      <c r="F7633" s="26" t="s">
        <v>23600</v>
      </c>
      <c r="G7633" s="36" t="s">
        <v>19060</v>
      </c>
      <c r="H7633" s="29" t="s">
        <v>19061</v>
      </c>
      <c r="I7633" s="30" t="s">
        <v>17578</v>
      </c>
    </row>
    <row r="7634" spans="1:9" ht="34" customHeight="1">
      <c r="A7634" s="5"/>
      <c r="B7634" s="5" t="str">
        <f>CONCATENATE(G7634,"/",COUNTIF($G$2:G7634,G7634))</f>
        <v>HU-10084/3</v>
      </c>
      <c r="C7634" s="5" t="s">
        <v>44234</v>
      </c>
      <c r="D7634" s="246">
        <v>44747</v>
      </c>
      <c r="E7634" s="5" t="s">
        <v>44235</v>
      </c>
      <c r="F7634" s="26" t="s">
        <v>23600</v>
      </c>
      <c r="G7634" s="36" t="s">
        <v>19060</v>
      </c>
      <c r="H7634" s="29" t="s">
        <v>19061</v>
      </c>
      <c r="I7634" s="30" t="s">
        <v>17578</v>
      </c>
    </row>
    <row r="7635" spans="1:9" ht="34" customHeight="1">
      <c r="A7635" s="5"/>
      <c r="B7635" s="5" t="str">
        <f>CONCATENATE(G7635,"/",COUNTIF($G$2:G7635,G7635))</f>
        <v>HU-10084/4</v>
      </c>
      <c r="C7635" s="5" t="s">
        <v>44236</v>
      </c>
      <c r="D7635" s="246">
        <v>44747</v>
      </c>
      <c r="E7635" s="5" t="s">
        <v>44237</v>
      </c>
      <c r="F7635" s="26" t="s">
        <v>23600</v>
      </c>
      <c r="G7635" s="36" t="s">
        <v>19060</v>
      </c>
      <c r="H7635" s="29" t="s">
        <v>19061</v>
      </c>
      <c r="I7635" s="30" t="s">
        <v>17578</v>
      </c>
    </row>
    <row r="7636" spans="1:9" ht="31" customHeight="1">
      <c r="A7636" s="5"/>
      <c r="B7636" s="5" t="str">
        <f>CONCATENATE(G7636,"/",COUNTIF($G$2:G7636,G7636))</f>
        <v>RO-10097/1</v>
      </c>
      <c r="C7636" s="5" t="s">
        <v>44238</v>
      </c>
      <c r="D7636" s="246">
        <v>44762</v>
      </c>
      <c r="E7636" s="5" t="s">
        <v>44239</v>
      </c>
      <c r="F7636" s="26" t="s">
        <v>23600</v>
      </c>
      <c r="G7636" s="36" t="s">
        <v>19140</v>
      </c>
      <c r="H7636" s="29" t="s">
        <v>19141</v>
      </c>
      <c r="I7636" s="30" t="s">
        <v>17682</v>
      </c>
    </row>
    <row r="7637" spans="1:9" ht="31" customHeight="1">
      <c r="A7637" s="5"/>
      <c r="B7637" s="5" t="str">
        <f>CONCATENATE(G7637,"/",COUNTIF($G$2:G7637,G7637))</f>
        <v>RO-10097/2</v>
      </c>
      <c r="C7637" s="5" t="s">
        <v>44240</v>
      </c>
      <c r="D7637" s="246">
        <v>44762</v>
      </c>
      <c r="E7637" s="5" t="s">
        <v>44241</v>
      </c>
      <c r="F7637" s="26" t="s">
        <v>23600</v>
      </c>
      <c r="G7637" s="36" t="s">
        <v>19140</v>
      </c>
      <c r="H7637" s="29" t="s">
        <v>19141</v>
      </c>
      <c r="I7637" s="30" t="s">
        <v>17682</v>
      </c>
    </row>
    <row r="7638" spans="1:9" ht="24.65" customHeight="1">
      <c r="A7638" s="5"/>
      <c r="B7638" s="5" t="str">
        <f>CONCATENATE(G7638,"/",COUNTIF($G$2:G7638,G7638))</f>
        <v>RO-10096/1</v>
      </c>
      <c r="C7638" s="5" t="s">
        <v>44242</v>
      </c>
      <c r="D7638" s="246">
        <v>44762</v>
      </c>
      <c r="E7638" s="5" t="s">
        <v>44243</v>
      </c>
      <c r="F7638" s="26" t="s">
        <v>23600</v>
      </c>
      <c r="G7638" s="36" t="s">
        <v>19125</v>
      </c>
      <c r="H7638" s="29" t="s">
        <v>19126</v>
      </c>
      <c r="I7638" s="30" t="s">
        <v>17682</v>
      </c>
    </row>
    <row r="7639" spans="1:9" ht="31.5" customHeight="1">
      <c r="A7639" s="5"/>
      <c r="B7639" s="5" t="str">
        <f>CONCATENATE(G7639,"/",COUNTIF($G$2:G7639,G7639))</f>
        <v>RO-10104/1</v>
      </c>
      <c r="C7639" s="5" t="s">
        <v>44244</v>
      </c>
      <c r="D7639" s="246">
        <v>44761</v>
      </c>
      <c r="E7639" s="5" t="s">
        <v>44245</v>
      </c>
      <c r="F7639" s="26" t="s">
        <v>23600</v>
      </c>
      <c r="G7639" s="36" t="s">
        <v>19204</v>
      </c>
      <c r="H7639" s="29" t="s">
        <v>19205</v>
      </c>
      <c r="I7639" s="30" t="s">
        <v>17682</v>
      </c>
    </row>
    <row r="7640" spans="1:9" ht="31.5" customHeight="1">
      <c r="A7640" s="5"/>
      <c r="B7640" s="5" t="str">
        <f>CONCATENATE(G7640,"/",COUNTIF($G$2:G7640,G7640))</f>
        <v>RO-10104/2</v>
      </c>
      <c r="C7640" s="5" t="s">
        <v>44246</v>
      </c>
      <c r="D7640" s="246">
        <v>44761</v>
      </c>
      <c r="E7640" s="5" t="s">
        <v>44247</v>
      </c>
      <c r="F7640" s="26" t="s">
        <v>23600</v>
      </c>
      <c r="G7640" s="36" t="s">
        <v>19204</v>
      </c>
      <c r="H7640" s="29" t="s">
        <v>19205</v>
      </c>
      <c r="I7640" s="30" t="s">
        <v>17682</v>
      </c>
    </row>
    <row r="7641" spans="1:9" ht="24" customHeight="1">
      <c r="A7641" s="5"/>
      <c r="B7641" s="5" t="str">
        <f>CONCATENATE(G7641,"/",COUNTIF($G$2:G7641,G7641))</f>
        <v>ES-10228/1</v>
      </c>
      <c r="C7641" s="5" t="s">
        <v>44248</v>
      </c>
      <c r="D7641" s="246">
        <v>44763</v>
      </c>
      <c r="E7641" s="5" t="s">
        <v>44249</v>
      </c>
      <c r="F7641" s="26" t="s">
        <v>23600</v>
      </c>
      <c r="G7641" s="36" t="s">
        <v>19347</v>
      </c>
      <c r="H7641" s="38" t="s">
        <v>19348</v>
      </c>
      <c r="I7641" s="46" t="s">
        <v>17820</v>
      </c>
    </row>
    <row r="7642" spans="1:9" ht="24" customHeight="1">
      <c r="A7642" s="5"/>
      <c r="B7642" s="5" t="str">
        <f>CONCATENATE(G7642,"/",COUNTIF($G$2:G7642,G7642))</f>
        <v>ES-10228/2</v>
      </c>
      <c r="C7642" s="5" t="s">
        <v>44250</v>
      </c>
      <c r="D7642" s="246">
        <v>44763</v>
      </c>
      <c r="E7642" s="5" t="s">
        <v>44251</v>
      </c>
      <c r="F7642" s="26" t="s">
        <v>23600</v>
      </c>
      <c r="G7642" s="36" t="s">
        <v>19347</v>
      </c>
      <c r="H7642" s="38" t="s">
        <v>19348</v>
      </c>
      <c r="I7642" s="46" t="s">
        <v>17820</v>
      </c>
    </row>
    <row r="7643" spans="1:9" ht="24" customHeight="1">
      <c r="A7643" s="5"/>
      <c r="B7643" s="5" t="str">
        <f>CONCATENATE(G7643,"/",COUNTIF($G$2:G7643,G7643))</f>
        <v>ES-10228/3</v>
      </c>
      <c r="C7643" s="5" t="s">
        <v>44252</v>
      </c>
      <c r="D7643" s="246">
        <v>44763</v>
      </c>
      <c r="E7643" s="5" t="s">
        <v>44253</v>
      </c>
      <c r="F7643" s="26" t="s">
        <v>23600</v>
      </c>
      <c r="G7643" s="36" t="s">
        <v>19347</v>
      </c>
      <c r="H7643" s="38" t="s">
        <v>19348</v>
      </c>
      <c r="I7643" s="46" t="s">
        <v>17820</v>
      </c>
    </row>
    <row r="7644" spans="1:9" ht="24.65" customHeight="1">
      <c r="A7644" s="5"/>
      <c r="B7644" s="5" t="str">
        <f>CONCATENATE(G7644,"/",COUNTIF($G$2:G7644,G7644))</f>
        <v>HU-10148/1</v>
      </c>
      <c r="C7644" s="5" t="s">
        <v>44254</v>
      </c>
      <c r="D7644" s="246">
        <v>44748</v>
      </c>
      <c r="E7644" s="5" t="s">
        <v>44255</v>
      </c>
      <c r="F7644" s="26" t="s">
        <v>23600</v>
      </c>
      <c r="G7644" s="36" t="s">
        <v>19425</v>
      </c>
      <c r="H7644" s="38" t="s">
        <v>19426</v>
      </c>
      <c r="I7644" s="46" t="s">
        <v>17578</v>
      </c>
    </row>
    <row r="7645" spans="1:9" ht="30" customHeight="1">
      <c r="A7645" s="5"/>
      <c r="B7645" s="5" t="str">
        <f>CONCATENATE(G7645,"/",COUNTIF($G$2:G7645,G7645))</f>
        <v>BG-10210/1</v>
      </c>
      <c r="C7645" s="5" t="s">
        <v>44256</v>
      </c>
      <c r="D7645" s="246">
        <v>44767</v>
      </c>
      <c r="E7645" s="5" t="s">
        <v>44257</v>
      </c>
      <c r="F7645" s="26" t="s">
        <v>23600</v>
      </c>
      <c r="G7645" s="36" t="s">
        <v>19922</v>
      </c>
      <c r="H7645" s="38" t="s">
        <v>19923</v>
      </c>
      <c r="I7645" s="46" t="s">
        <v>17773</v>
      </c>
    </row>
    <row r="7646" spans="1:9" ht="30" customHeight="1">
      <c r="A7646" s="5"/>
      <c r="B7646" s="5" t="str">
        <f>CONCATENATE(G7646,"/",COUNTIF($G$2:G7646,G7646))</f>
        <v>BG-10210/2</v>
      </c>
      <c r="C7646" s="5" t="s">
        <v>44258</v>
      </c>
      <c r="D7646" s="246">
        <v>44767</v>
      </c>
      <c r="E7646" s="5" t="s">
        <v>44259</v>
      </c>
      <c r="F7646" s="26" t="s">
        <v>23600</v>
      </c>
      <c r="G7646" s="36" t="s">
        <v>19922</v>
      </c>
      <c r="H7646" s="38" t="s">
        <v>19923</v>
      </c>
      <c r="I7646" s="46" t="s">
        <v>17773</v>
      </c>
    </row>
    <row r="7647" spans="1:9" ht="30" customHeight="1">
      <c r="A7647" s="5"/>
      <c r="B7647" s="5" t="str">
        <f>CONCATENATE(G7647,"/",COUNTIF($G$2:G7647,G7647))</f>
        <v>BG-10210/3</v>
      </c>
      <c r="C7647" s="5" t="s">
        <v>44260</v>
      </c>
      <c r="D7647" s="246">
        <v>44767</v>
      </c>
      <c r="E7647" s="5" t="s">
        <v>44261</v>
      </c>
      <c r="F7647" s="26" t="s">
        <v>23600</v>
      </c>
      <c r="G7647" s="36" t="s">
        <v>19922</v>
      </c>
      <c r="H7647" s="38" t="s">
        <v>19923</v>
      </c>
      <c r="I7647" s="46" t="s">
        <v>17773</v>
      </c>
    </row>
    <row r="7648" spans="1:9" ht="30" customHeight="1">
      <c r="A7648" s="5"/>
      <c r="B7648" s="5" t="str">
        <f>CONCATENATE(G7648,"/",COUNTIF($G$2:G7648,G7648))</f>
        <v>BG-10210/4</v>
      </c>
      <c r="C7648" s="5" t="s">
        <v>44262</v>
      </c>
      <c r="D7648" s="246">
        <v>44767</v>
      </c>
      <c r="E7648" s="5" t="s">
        <v>44263</v>
      </c>
      <c r="F7648" s="26" t="s">
        <v>23600</v>
      </c>
      <c r="G7648" s="36" t="s">
        <v>19922</v>
      </c>
      <c r="H7648" s="38" t="s">
        <v>19923</v>
      </c>
      <c r="I7648" s="46" t="s">
        <v>17773</v>
      </c>
    </row>
    <row r="7649" spans="1:9" ht="30" customHeight="1">
      <c r="A7649" s="5"/>
      <c r="B7649" s="5" t="str">
        <f>CONCATENATE(G7649,"/",COUNTIF($G$2:G7649,G7649))</f>
        <v>BG-10210/5</v>
      </c>
      <c r="C7649" s="5" t="s">
        <v>44264</v>
      </c>
      <c r="D7649" s="246">
        <v>44767</v>
      </c>
      <c r="E7649" s="5" t="s">
        <v>44265</v>
      </c>
      <c r="F7649" s="26" t="s">
        <v>23600</v>
      </c>
      <c r="G7649" s="36" t="s">
        <v>19922</v>
      </c>
      <c r="H7649" s="38" t="s">
        <v>19923</v>
      </c>
      <c r="I7649" s="46" t="s">
        <v>17773</v>
      </c>
    </row>
    <row r="7650" spans="1:9" ht="32.5" customHeight="1">
      <c r="A7650" s="5"/>
      <c r="B7650" s="5" t="str">
        <f>CONCATENATE(G7650,"/",COUNTIF($G$2:G7650,G7650))</f>
        <v>RO-10100/1</v>
      </c>
      <c r="C7650" s="5" t="s">
        <v>44266</v>
      </c>
      <c r="D7650" s="246">
        <v>44763</v>
      </c>
      <c r="E7650" s="5" t="s">
        <v>44267</v>
      </c>
      <c r="F7650" s="26" t="s">
        <v>23600</v>
      </c>
      <c r="G7650" s="36" t="s">
        <v>19170</v>
      </c>
      <c r="H7650" s="29" t="s">
        <v>19171</v>
      </c>
      <c r="I7650" s="30" t="s">
        <v>17682</v>
      </c>
    </row>
    <row r="7651" spans="1:9" ht="32.5" customHeight="1">
      <c r="A7651" s="5"/>
      <c r="B7651" s="5" t="str">
        <f>CONCATENATE(G7651,"/",COUNTIF($G$2:G7651,G7651))</f>
        <v>RO-10100/2</v>
      </c>
      <c r="C7651" s="5" t="s">
        <v>44268</v>
      </c>
      <c r="D7651" s="246">
        <v>44763</v>
      </c>
      <c r="E7651" s="5" t="s">
        <v>44269</v>
      </c>
      <c r="F7651" s="26" t="s">
        <v>23600</v>
      </c>
      <c r="G7651" s="36" t="s">
        <v>19170</v>
      </c>
      <c r="H7651" s="29" t="s">
        <v>19171</v>
      </c>
      <c r="I7651" s="30" t="s">
        <v>17682</v>
      </c>
    </row>
    <row r="7652" spans="1:9" ht="32.5" customHeight="1">
      <c r="A7652" s="5"/>
      <c r="B7652" s="5" t="str">
        <f>CONCATENATE(G7652,"/",COUNTIF($G$2:G7652,G7652))</f>
        <v>RO-10100/3</v>
      </c>
      <c r="C7652" s="5" t="s">
        <v>44270</v>
      </c>
      <c r="D7652" s="246">
        <v>44763</v>
      </c>
      <c r="E7652" s="5" t="s">
        <v>44271</v>
      </c>
      <c r="F7652" s="26" t="s">
        <v>23600</v>
      </c>
      <c r="G7652" s="36" t="s">
        <v>19170</v>
      </c>
      <c r="H7652" s="29" t="s">
        <v>19171</v>
      </c>
      <c r="I7652" s="30" t="s">
        <v>17682</v>
      </c>
    </row>
    <row r="7653" spans="1:9" ht="32.5" customHeight="1">
      <c r="A7653" s="5"/>
      <c r="B7653" s="5" t="str">
        <f>CONCATENATE(G7653,"/",COUNTIF($G$2:G7653,G7653))</f>
        <v>RO-10100/4</v>
      </c>
      <c r="C7653" s="5" t="s">
        <v>44272</v>
      </c>
      <c r="D7653" s="246">
        <v>44763</v>
      </c>
      <c r="E7653" s="5" t="s">
        <v>44273</v>
      </c>
      <c r="F7653" s="26" t="s">
        <v>23600</v>
      </c>
      <c r="G7653" s="36" t="s">
        <v>19170</v>
      </c>
      <c r="H7653" s="29" t="s">
        <v>19171</v>
      </c>
      <c r="I7653" s="30" t="s">
        <v>17682</v>
      </c>
    </row>
    <row r="7654" spans="1:9" ht="31" customHeight="1">
      <c r="A7654" s="5"/>
      <c r="B7654" s="5" t="str">
        <f>CONCATENATE(G7654,"/",COUNTIF($G$2:G7654,G7654))</f>
        <v>CZ-10062/1</v>
      </c>
      <c r="C7654" s="5">
        <v>1</v>
      </c>
      <c r="D7654" s="246">
        <v>44754</v>
      </c>
      <c r="E7654" s="5" t="s">
        <v>44274</v>
      </c>
      <c r="F7654" s="26" t="s">
        <v>23600</v>
      </c>
      <c r="G7654" s="36" t="s">
        <v>18869</v>
      </c>
      <c r="H7654" s="29" t="s">
        <v>18870</v>
      </c>
      <c r="I7654" s="46" t="s">
        <v>16429</v>
      </c>
    </row>
    <row r="7655" spans="1:9" ht="31" customHeight="1">
      <c r="A7655" s="5"/>
      <c r="B7655" s="5" t="str">
        <f>CONCATENATE(G7655,"/",COUNTIF($G$2:G7655,G7655))</f>
        <v>RO-10110/1</v>
      </c>
      <c r="C7655" s="5" t="s">
        <v>44275</v>
      </c>
      <c r="D7655" s="246">
        <v>44761</v>
      </c>
      <c r="E7655" s="5" t="s">
        <v>44276</v>
      </c>
      <c r="F7655" s="26" t="s">
        <v>23600</v>
      </c>
      <c r="G7655" s="36" t="s">
        <v>19239</v>
      </c>
      <c r="H7655" s="29" t="s">
        <v>19240</v>
      </c>
      <c r="I7655" s="30" t="s">
        <v>17682</v>
      </c>
    </row>
    <row r="7656" spans="1:9" ht="35.15" customHeight="1">
      <c r="A7656" s="5"/>
      <c r="B7656" s="5" t="str">
        <f>CONCATENATE(G7656,"/",COUNTIF($G$2:G7656,G7656))</f>
        <v>PT-10181/1</v>
      </c>
      <c r="C7656" s="5" t="s">
        <v>44277</v>
      </c>
      <c r="D7656" s="246">
        <v>44805</v>
      </c>
      <c r="E7656" s="5" t="s">
        <v>44278</v>
      </c>
      <c r="F7656" s="26" t="s">
        <v>23600</v>
      </c>
      <c r="G7656" s="36" t="s">
        <v>19633</v>
      </c>
      <c r="H7656" s="38" t="s">
        <v>19634</v>
      </c>
      <c r="I7656" s="46" t="s">
        <v>16702</v>
      </c>
    </row>
    <row r="7657" spans="1:9" ht="35.15" customHeight="1">
      <c r="A7657" s="5"/>
      <c r="B7657" s="5" t="str">
        <f>CONCATENATE(G7657,"/",COUNTIF($G$2:G7657,G7657))</f>
        <v>PT-10181/2</v>
      </c>
      <c r="C7657" s="5" t="s">
        <v>44279</v>
      </c>
      <c r="D7657" s="246">
        <v>44805</v>
      </c>
      <c r="E7657" s="5" t="s">
        <v>44280</v>
      </c>
      <c r="F7657" s="26" t="s">
        <v>23600</v>
      </c>
      <c r="G7657" s="36" t="s">
        <v>19633</v>
      </c>
      <c r="H7657" s="38" t="s">
        <v>19634</v>
      </c>
      <c r="I7657" s="46" t="s">
        <v>16702</v>
      </c>
    </row>
    <row r="7658" spans="1:9" ht="37.5" customHeight="1">
      <c r="A7658" s="5"/>
      <c r="B7658" s="5" t="str">
        <f>CONCATENATE(G7658,"/",COUNTIF($G$2:G7658,G7658))</f>
        <v>CZ-10125/1</v>
      </c>
      <c r="C7658" s="5">
        <v>1</v>
      </c>
      <c r="D7658" s="246">
        <v>44788</v>
      </c>
      <c r="E7658" s="5" t="s">
        <v>44281</v>
      </c>
      <c r="F7658" s="26" t="s">
        <v>23600</v>
      </c>
      <c r="G7658" s="36" t="s">
        <v>19359</v>
      </c>
      <c r="H7658" s="28" t="s">
        <v>19360</v>
      </c>
      <c r="I7658" s="30" t="s">
        <v>16429</v>
      </c>
    </row>
    <row r="7659" spans="1:9" ht="25.5" customHeight="1">
      <c r="A7659" s="5"/>
      <c r="B7659" s="5" t="str">
        <f>CONCATENATE(G7659,"/",COUNTIF($G$2:G7659,G7659))</f>
        <v>PL-10022/1</v>
      </c>
      <c r="C7659" s="5" t="s">
        <v>44282</v>
      </c>
      <c r="D7659" s="246">
        <v>44763</v>
      </c>
      <c r="E7659" s="5" t="s">
        <v>44283</v>
      </c>
      <c r="F7659" s="26" t="s">
        <v>23600</v>
      </c>
      <c r="G7659" s="36" t="s">
        <v>18554</v>
      </c>
      <c r="H7659" s="52" t="s">
        <v>18555</v>
      </c>
      <c r="I7659" s="48" t="s">
        <v>17057</v>
      </c>
    </row>
    <row r="7660" spans="1:9" ht="22.5" customHeight="1">
      <c r="A7660" s="5"/>
      <c r="B7660" s="5" t="str">
        <f>CONCATENATE(G7660,"/",COUNTIF($G$2:G7660,G7660))</f>
        <v>PL-10022/2</v>
      </c>
      <c r="C7660" s="5" t="s">
        <v>44284</v>
      </c>
      <c r="D7660" s="246">
        <v>44763</v>
      </c>
      <c r="E7660" s="5" t="s">
        <v>44285</v>
      </c>
      <c r="F7660" s="26" t="s">
        <v>23600</v>
      </c>
      <c r="G7660" s="36" t="s">
        <v>18554</v>
      </c>
      <c r="H7660" s="52" t="s">
        <v>18555</v>
      </c>
      <c r="I7660" s="48" t="s">
        <v>17057</v>
      </c>
    </row>
    <row r="7661" spans="1:9" ht="22.5" customHeight="1">
      <c r="A7661" s="5"/>
      <c r="B7661" s="5" t="str">
        <f>CONCATENATE(G7661,"/",COUNTIF($G$2:G7661,G7661))</f>
        <v>PL-10022/3</v>
      </c>
      <c r="C7661" s="5" t="s">
        <v>44286</v>
      </c>
      <c r="D7661" s="246">
        <v>44763</v>
      </c>
      <c r="E7661" s="5" t="s">
        <v>44287</v>
      </c>
      <c r="F7661" s="26" t="s">
        <v>23600</v>
      </c>
      <c r="G7661" s="36" t="s">
        <v>18554</v>
      </c>
      <c r="H7661" s="52" t="s">
        <v>18555</v>
      </c>
      <c r="I7661" s="48" t="s">
        <v>17057</v>
      </c>
    </row>
    <row r="7662" spans="1:9" ht="31" customHeight="1">
      <c r="A7662" s="5"/>
      <c r="B7662" s="5" t="str">
        <f>CONCATENATE(G7662,"/",COUNTIF($G$2:G7662,G7662))</f>
        <v>FI-10162/1</v>
      </c>
      <c r="C7662" s="5" t="s">
        <v>44288</v>
      </c>
      <c r="D7662" s="246">
        <v>44817</v>
      </c>
      <c r="E7662" s="5" t="s">
        <v>44289</v>
      </c>
      <c r="F7662" s="26" t="s">
        <v>23600</v>
      </c>
      <c r="G7662" s="36" t="s">
        <v>19537</v>
      </c>
      <c r="H7662" s="38" t="s">
        <v>19538</v>
      </c>
      <c r="I7662" s="46" t="s">
        <v>18881</v>
      </c>
    </row>
    <row r="7663" spans="1:9" ht="31" customHeight="1">
      <c r="A7663" s="5"/>
      <c r="B7663" s="5" t="str">
        <f>CONCATENATE(G7663,"/",COUNTIF($G$2:G7663,G7663))</f>
        <v>FI-10162/2</v>
      </c>
      <c r="C7663" s="5" t="s">
        <v>44290</v>
      </c>
      <c r="D7663" s="246">
        <v>44817</v>
      </c>
      <c r="E7663" s="5" t="s">
        <v>44291</v>
      </c>
      <c r="F7663" s="26" t="s">
        <v>23600</v>
      </c>
      <c r="G7663" s="36" t="s">
        <v>19537</v>
      </c>
      <c r="H7663" s="38" t="s">
        <v>19538</v>
      </c>
      <c r="I7663" s="46" t="s">
        <v>18881</v>
      </c>
    </row>
    <row r="7664" spans="1:9" ht="31" customHeight="1">
      <c r="A7664" s="5"/>
      <c r="B7664" s="5" t="str">
        <f>CONCATENATE(G7664,"/",COUNTIF($G$2:G7664,G7664))</f>
        <v>FI-10162/3</v>
      </c>
      <c r="C7664" s="5" t="s">
        <v>44292</v>
      </c>
      <c r="D7664" s="246">
        <v>44817</v>
      </c>
      <c r="E7664" s="5" t="s">
        <v>44293</v>
      </c>
      <c r="F7664" s="26" t="s">
        <v>23600</v>
      </c>
      <c r="G7664" s="36" t="s">
        <v>19537</v>
      </c>
      <c r="H7664" s="38" t="s">
        <v>19538</v>
      </c>
      <c r="I7664" s="46" t="s">
        <v>18881</v>
      </c>
    </row>
    <row r="7665" spans="1:9" ht="31.5" customHeight="1">
      <c r="A7665" s="5"/>
      <c r="B7665" s="5" t="str">
        <f>CONCATENATE(G7665,"/",COUNTIF($G$2:G7665,G7665))</f>
        <v>FI-10140/1</v>
      </c>
      <c r="C7665" s="5" t="s">
        <v>44294</v>
      </c>
      <c r="D7665" s="246">
        <v>44833</v>
      </c>
      <c r="E7665" s="5" t="s">
        <v>44295</v>
      </c>
      <c r="F7665" s="26" t="s">
        <v>23600</v>
      </c>
      <c r="G7665" s="36" t="s">
        <v>19380</v>
      </c>
      <c r="H7665" s="38" t="s">
        <v>19381</v>
      </c>
      <c r="I7665" s="46" t="s">
        <v>18881</v>
      </c>
    </row>
    <row r="7666" spans="1:9" ht="31.5" customHeight="1">
      <c r="A7666" s="5"/>
      <c r="B7666" s="5" t="str">
        <f>CONCATENATE(G7666,"/",COUNTIF($G$2:G7666,G7666))</f>
        <v>FI-10140/2</v>
      </c>
      <c r="C7666" s="5" t="s">
        <v>44296</v>
      </c>
      <c r="D7666" s="246">
        <v>44833</v>
      </c>
      <c r="E7666" s="5" t="s">
        <v>44297</v>
      </c>
      <c r="F7666" s="26" t="s">
        <v>23600</v>
      </c>
      <c r="G7666" s="36" t="s">
        <v>19380</v>
      </c>
      <c r="H7666" s="38" t="s">
        <v>19381</v>
      </c>
      <c r="I7666" s="46" t="s">
        <v>18881</v>
      </c>
    </row>
    <row r="7667" spans="1:9" ht="31" customHeight="1">
      <c r="A7667" s="5"/>
      <c r="B7667" s="5" t="str">
        <f>CONCATENATE(G7667,"/",COUNTIF($G$2:G7667,G7667))</f>
        <v>DE-6335/1</v>
      </c>
      <c r="C7667" s="5" t="s">
        <v>44298</v>
      </c>
      <c r="D7667" s="246">
        <v>44803</v>
      </c>
      <c r="E7667" s="5" t="s">
        <v>44299</v>
      </c>
      <c r="F7667" s="26" t="s">
        <v>44017</v>
      </c>
      <c r="G7667" s="27" t="s">
        <v>18153</v>
      </c>
      <c r="H7667" s="29" t="s">
        <v>18154</v>
      </c>
      <c r="I7667" s="30" t="s">
        <v>6455</v>
      </c>
    </row>
    <row r="7668" spans="1:9" ht="31" customHeight="1">
      <c r="A7668" s="5"/>
      <c r="B7668" s="5" t="str">
        <f>CONCATENATE(G7668,"/",COUNTIF($G$2:G7668,G7668))</f>
        <v>DE-6335/2</v>
      </c>
      <c r="C7668" s="5" t="s">
        <v>44300</v>
      </c>
      <c r="D7668" s="246">
        <v>44803</v>
      </c>
      <c r="E7668" s="5" t="s">
        <v>44301</v>
      </c>
      <c r="F7668" s="26" t="s">
        <v>44017</v>
      </c>
      <c r="G7668" s="27" t="s">
        <v>18153</v>
      </c>
      <c r="H7668" s="29" t="s">
        <v>18154</v>
      </c>
      <c r="I7668" s="30" t="s">
        <v>6455</v>
      </c>
    </row>
    <row r="7669" spans="1:9" ht="31" customHeight="1">
      <c r="A7669" s="5"/>
      <c r="B7669" s="5" t="str">
        <f>CONCATENATE(G7669,"/",COUNTIF($G$2:G7669,G7669))</f>
        <v>DE-6335/3</v>
      </c>
      <c r="C7669" s="5" t="s">
        <v>44302</v>
      </c>
      <c r="D7669" s="246">
        <v>44803</v>
      </c>
      <c r="E7669" s="5" t="s">
        <v>44303</v>
      </c>
      <c r="F7669" s="26" t="s">
        <v>44017</v>
      </c>
      <c r="G7669" s="27" t="s">
        <v>18153</v>
      </c>
      <c r="H7669" s="29" t="s">
        <v>18154</v>
      </c>
      <c r="I7669" s="30" t="s">
        <v>6455</v>
      </c>
    </row>
    <row r="7670" spans="1:9" ht="31" customHeight="1">
      <c r="A7670" s="5"/>
      <c r="B7670" s="5" t="str">
        <f>CONCATENATE(G7670,"/",COUNTIF($G$2:G7670,G7670))</f>
        <v>DE-6335/4</v>
      </c>
      <c r="C7670" s="5" t="s">
        <v>44304</v>
      </c>
      <c r="D7670" s="246">
        <v>44803</v>
      </c>
      <c r="E7670" s="5" t="s">
        <v>44305</v>
      </c>
      <c r="F7670" s="26" t="s">
        <v>44017</v>
      </c>
      <c r="G7670" s="27" t="s">
        <v>18153</v>
      </c>
      <c r="H7670" s="29" t="s">
        <v>18154</v>
      </c>
      <c r="I7670" s="30" t="s">
        <v>6455</v>
      </c>
    </row>
    <row r="7671" spans="1:9" ht="34.5" customHeight="1">
      <c r="A7671" s="5"/>
      <c r="B7671" s="5" t="str">
        <f>CONCATENATE(G7671,"/",COUNTIF($G$2:G7671,G7671))</f>
        <v>CZ-10169/1</v>
      </c>
      <c r="C7671" s="5">
        <v>1</v>
      </c>
      <c r="D7671" s="246">
        <v>44844</v>
      </c>
      <c r="E7671" s="5" t="s">
        <v>44306</v>
      </c>
      <c r="F7671" s="26" t="s">
        <v>23600</v>
      </c>
      <c r="G7671" s="5" t="s">
        <v>19654</v>
      </c>
      <c r="H7671" s="28" t="s">
        <v>19655</v>
      </c>
      <c r="I7671" s="5" t="s">
        <v>16429</v>
      </c>
    </row>
    <row r="7672" spans="1:9" ht="32.15" customHeight="1">
      <c r="A7672" s="5"/>
      <c r="B7672" s="5" t="str">
        <f>CONCATENATE(G7672,"/",COUNTIF($G$2:G7672,G7672))</f>
        <v>CZ-10071/1</v>
      </c>
      <c r="C7672" s="5" t="s">
        <v>23621</v>
      </c>
      <c r="D7672" s="246">
        <v>44851</v>
      </c>
      <c r="E7672" s="5" t="s">
        <v>44307</v>
      </c>
      <c r="F7672" s="26" t="s">
        <v>23600</v>
      </c>
      <c r="G7672" s="36" t="s">
        <v>18970</v>
      </c>
      <c r="H7672" s="29" t="s">
        <v>18971</v>
      </c>
      <c r="I7672" s="46" t="s">
        <v>16429</v>
      </c>
    </row>
    <row r="7673" spans="1:9" ht="32.15" customHeight="1">
      <c r="A7673" s="5"/>
      <c r="B7673" s="5" t="str">
        <f>CONCATENATE(G7673,"/",COUNTIF($G$2:G7673,G7673))</f>
        <v>CZ-10071/2</v>
      </c>
      <c r="C7673" s="5" t="s">
        <v>23625</v>
      </c>
      <c r="D7673" s="246">
        <v>44851</v>
      </c>
      <c r="E7673" s="5" t="s">
        <v>44308</v>
      </c>
      <c r="F7673" s="26" t="s">
        <v>23600</v>
      </c>
      <c r="G7673" s="36" t="s">
        <v>18970</v>
      </c>
      <c r="H7673" s="29" t="s">
        <v>18971</v>
      </c>
      <c r="I7673" s="46" t="s">
        <v>16429</v>
      </c>
    </row>
    <row r="7674" spans="1:9" ht="51.65" customHeight="1">
      <c r="A7674" s="5"/>
      <c r="B7674" s="5" t="str">
        <f>CONCATENATE(G7674,"/",COUNTIF($G$2:G7674,G7674))</f>
        <v>CZ-10211/1</v>
      </c>
      <c r="C7674" s="5" t="s">
        <v>23621</v>
      </c>
      <c r="D7674" s="246">
        <v>44866</v>
      </c>
      <c r="E7674" s="5" t="s">
        <v>44309</v>
      </c>
      <c r="F7674" s="26" t="s">
        <v>23600</v>
      </c>
      <c r="G7674" s="36" t="s">
        <v>19943</v>
      </c>
      <c r="H7674" s="38" t="s">
        <v>19944</v>
      </c>
      <c r="I7674" s="46" t="s">
        <v>16429</v>
      </c>
    </row>
    <row r="7675" spans="1:9" ht="32.5" customHeight="1">
      <c r="A7675" s="5"/>
      <c r="B7675" s="5" t="str">
        <f>CONCATENATE(G7675,"/",COUNTIF($G$2:G7675,G7675))</f>
        <v>HU-10177/1</v>
      </c>
      <c r="C7675" s="5" t="s">
        <v>44310</v>
      </c>
      <c r="D7675" s="246">
        <v>44831</v>
      </c>
      <c r="E7675" s="5" t="s">
        <v>44311</v>
      </c>
      <c r="F7675" s="26" t="s">
        <v>23600</v>
      </c>
      <c r="G7675" s="36" t="s">
        <v>19707</v>
      </c>
      <c r="H7675" s="38" t="s">
        <v>19708</v>
      </c>
      <c r="I7675" s="46" t="s">
        <v>17578</v>
      </c>
    </row>
    <row r="7676" spans="1:9" ht="32.5" customHeight="1">
      <c r="A7676" s="5"/>
      <c r="B7676" s="5" t="str">
        <f>CONCATENATE(G7676,"/",COUNTIF($G$2:G7676,G7676))</f>
        <v>HU-10177/2</v>
      </c>
      <c r="C7676" s="5" t="s">
        <v>44312</v>
      </c>
      <c r="D7676" s="246">
        <v>44831</v>
      </c>
      <c r="E7676" s="5" t="s">
        <v>44313</v>
      </c>
      <c r="F7676" s="26" t="s">
        <v>23600</v>
      </c>
      <c r="G7676" s="36" t="s">
        <v>19707</v>
      </c>
      <c r="H7676" s="38" t="s">
        <v>19708</v>
      </c>
      <c r="I7676" s="46" t="s">
        <v>17578</v>
      </c>
    </row>
    <row r="7677" spans="1:9" ht="32.15" customHeight="1">
      <c r="A7677" s="5"/>
      <c r="B7677" s="5" t="str">
        <f>CONCATENATE(G7677,"/",COUNTIF($G$2:G7677,G7677))</f>
        <v>HU-10217/1</v>
      </c>
      <c r="C7677" s="5" t="s">
        <v>44314</v>
      </c>
      <c r="D7677" s="246">
        <v>44838</v>
      </c>
      <c r="E7677" s="5" t="s">
        <v>44315</v>
      </c>
      <c r="F7677" s="26" t="s">
        <v>23600</v>
      </c>
      <c r="G7677" s="36" t="s">
        <v>19961</v>
      </c>
      <c r="H7677" s="38" t="s">
        <v>19962</v>
      </c>
      <c r="I7677" s="46" t="s">
        <v>17578</v>
      </c>
    </row>
    <row r="7678" spans="1:9" ht="32.15" customHeight="1">
      <c r="A7678" s="5"/>
      <c r="B7678" s="5" t="str">
        <f>CONCATENATE(G7678,"/",COUNTIF($G$2:G7678,G7678))</f>
        <v>HU-10217/2</v>
      </c>
      <c r="C7678" s="5" t="s">
        <v>44316</v>
      </c>
      <c r="D7678" s="246">
        <v>44838</v>
      </c>
      <c r="E7678" s="5" t="s">
        <v>44317</v>
      </c>
      <c r="F7678" s="26" t="s">
        <v>23600</v>
      </c>
      <c r="G7678" s="36" t="s">
        <v>19961</v>
      </c>
      <c r="H7678" s="38" t="s">
        <v>19962</v>
      </c>
      <c r="I7678" s="46" t="s">
        <v>17578</v>
      </c>
    </row>
    <row r="7679" spans="1:9" ht="32.15" customHeight="1">
      <c r="A7679" s="5"/>
      <c r="B7679" s="5" t="str">
        <f>CONCATENATE(G7679,"/",COUNTIF($G$2:G7679,G7679))</f>
        <v>HU-10217/3</v>
      </c>
      <c r="C7679" s="5" t="s">
        <v>44318</v>
      </c>
      <c r="D7679" s="246">
        <v>44838</v>
      </c>
      <c r="E7679" s="5" t="s">
        <v>44319</v>
      </c>
      <c r="F7679" s="26" t="s">
        <v>23600</v>
      </c>
      <c r="G7679" s="36" t="s">
        <v>19961</v>
      </c>
      <c r="H7679" s="38" t="s">
        <v>19962</v>
      </c>
      <c r="I7679" s="46" t="s">
        <v>17578</v>
      </c>
    </row>
    <row r="7680" spans="1:9" ht="32.5" customHeight="1">
      <c r="A7680" s="5"/>
      <c r="B7680" s="5" t="str">
        <f>CONCATENATE(G7680,"/",COUNTIF($G$2:G7680,G7680))</f>
        <v>HR-10160/1</v>
      </c>
      <c r="C7680" s="5" t="s">
        <v>44320</v>
      </c>
      <c r="D7680" s="246">
        <v>44862</v>
      </c>
      <c r="E7680" s="5" t="s">
        <v>44321</v>
      </c>
      <c r="F7680" s="26" t="s">
        <v>23600</v>
      </c>
      <c r="G7680" s="36" t="s">
        <v>19494</v>
      </c>
      <c r="H7680" s="38" t="s">
        <v>19495</v>
      </c>
      <c r="I7680" s="46" t="s">
        <v>9789</v>
      </c>
    </row>
    <row r="7681" spans="1:9" ht="32.5" customHeight="1">
      <c r="A7681" s="5"/>
      <c r="B7681" s="5" t="str">
        <f>CONCATENATE(G7681,"/",COUNTIF($G$2:G7681,G7681))</f>
        <v>HR-10160/2</v>
      </c>
      <c r="C7681" s="5" t="s">
        <v>44322</v>
      </c>
      <c r="D7681" s="246">
        <v>44862</v>
      </c>
      <c r="E7681" s="5" t="s">
        <v>44323</v>
      </c>
      <c r="F7681" s="26" t="s">
        <v>23600</v>
      </c>
      <c r="G7681" s="36" t="s">
        <v>19494</v>
      </c>
      <c r="H7681" s="38" t="s">
        <v>19495</v>
      </c>
      <c r="I7681" s="46" t="s">
        <v>9789</v>
      </c>
    </row>
    <row r="7682" spans="1:9" ht="32.5" customHeight="1">
      <c r="A7682" s="5"/>
      <c r="B7682" s="5" t="str">
        <f>CONCATENATE(G7682,"/",COUNTIF($G$2:G7682,G7682))</f>
        <v>HR-10160/3</v>
      </c>
      <c r="C7682" s="5" t="s">
        <v>44324</v>
      </c>
      <c r="D7682" s="246">
        <v>44862</v>
      </c>
      <c r="E7682" s="5" t="s">
        <v>44325</v>
      </c>
      <c r="F7682" s="26" t="s">
        <v>23600</v>
      </c>
      <c r="G7682" s="36" t="s">
        <v>19494</v>
      </c>
      <c r="H7682" s="38" t="s">
        <v>19495</v>
      </c>
      <c r="I7682" s="46" t="s">
        <v>9789</v>
      </c>
    </row>
    <row r="7683" spans="1:9" ht="24.65" customHeight="1">
      <c r="A7683" s="5"/>
      <c r="B7683" s="5" t="str">
        <f>CONCATENATE(G7683,"/",COUNTIF($G$2:G7683,G7683))</f>
        <v>SK-10234/1</v>
      </c>
      <c r="C7683" s="5" t="s">
        <v>44326</v>
      </c>
      <c r="D7683" s="246">
        <v>44858</v>
      </c>
      <c r="E7683" s="5" t="s">
        <v>44327</v>
      </c>
      <c r="F7683" s="26" t="s">
        <v>23600</v>
      </c>
      <c r="G7683" s="36" t="s">
        <v>20118</v>
      </c>
      <c r="H7683" s="38" t="s">
        <v>20119</v>
      </c>
      <c r="I7683" s="46" t="s">
        <v>19149</v>
      </c>
    </row>
    <row r="7684" spans="1:9" ht="24.65" customHeight="1">
      <c r="A7684" s="5"/>
      <c r="B7684" s="5" t="str">
        <f>CONCATENATE(G7684,"/",COUNTIF($G$2:G7684,G7684))</f>
        <v>SK-10234/2</v>
      </c>
      <c r="C7684" s="5" t="s">
        <v>44328</v>
      </c>
      <c r="D7684" s="246">
        <v>44858</v>
      </c>
      <c r="E7684" s="5" t="s">
        <v>44329</v>
      </c>
      <c r="F7684" s="26" t="s">
        <v>23600</v>
      </c>
      <c r="G7684" s="36" t="s">
        <v>20118</v>
      </c>
      <c r="H7684" s="38" t="s">
        <v>20119</v>
      </c>
      <c r="I7684" s="46" t="s">
        <v>19149</v>
      </c>
    </row>
    <row r="7685" spans="1:9" ht="33" customHeight="1">
      <c r="A7685" s="5"/>
      <c r="B7685" s="5" t="str">
        <f>CONCATENATE(G7685,"/",COUNTIF($G$2:G7685,G7685))</f>
        <v>DE-6167/1</v>
      </c>
      <c r="C7685" s="5" t="s">
        <v>44330</v>
      </c>
      <c r="D7685" s="246">
        <v>43847</v>
      </c>
      <c r="E7685" s="5" t="s">
        <v>44331</v>
      </c>
      <c r="F7685" s="26" t="s">
        <v>25439</v>
      </c>
      <c r="G7685" s="27" t="s">
        <v>17071</v>
      </c>
      <c r="H7685" s="29" t="s">
        <v>17072</v>
      </c>
      <c r="I7685" s="30" t="s">
        <v>6455</v>
      </c>
    </row>
    <row r="7686" spans="1:9" ht="32.25" customHeight="1">
      <c r="A7686" s="5"/>
      <c r="B7686" s="5" t="str">
        <f>CONCATENATE(G7686,"/",COUNTIF($G$2:G7686,G7686))</f>
        <v>HU-10224/1</v>
      </c>
      <c r="C7686" s="5" t="s">
        <v>44332</v>
      </c>
      <c r="D7686" s="246">
        <v>44895</v>
      </c>
      <c r="E7686" s="5" t="s">
        <v>44333</v>
      </c>
      <c r="F7686" s="26" t="s">
        <v>23600</v>
      </c>
      <c r="G7686" s="36" t="s">
        <v>19247</v>
      </c>
      <c r="H7686" s="38" t="s">
        <v>19248</v>
      </c>
      <c r="I7686" s="46" t="s">
        <v>17578</v>
      </c>
    </row>
    <row r="7687" spans="1:9" ht="34.5" customHeight="1">
      <c r="A7687" s="5"/>
      <c r="B7687" s="5" t="str">
        <f>CONCATENATE(G7687,"/",COUNTIF($G$2:G7687,G7687))</f>
        <v>HU-10224/2</v>
      </c>
      <c r="C7687" s="5" t="s">
        <v>44334</v>
      </c>
      <c r="D7687" s="246">
        <v>44895</v>
      </c>
      <c r="E7687" s="5" t="s">
        <v>44335</v>
      </c>
      <c r="F7687" s="26" t="s">
        <v>23600</v>
      </c>
      <c r="G7687" s="36" t="s">
        <v>19247</v>
      </c>
      <c r="H7687" s="38" t="s">
        <v>19248</v>
      </c>
      <c r="I7687" s="46" t="s">
        <v>17578</v>
      </c>
    </row>
    <row r="7688" spans="1:9" ht="33" customHeight="1">
      <c r="A7688" s="5"/>
      <c r="B7688" s="5" t="str">
        <f>CONCATENATE(G7688,"/",COUNTIF($G$2:G7688,G7688))</f>
        <v>FR-10117/1</v>
      </c>
      <c r="C7688" s="5" t="s">
        <v>44336</v>
      </c>
      <c r="D7688" s="246">
        <v>44883</v>
      </c>
      <c r="E7688" s="5" t="s">
        <v>44337</v>
      </c>
      <c r="F7688" s="26" t="s">
        <v>23600</v>
      </c>
      <c r="G7688" s="36" t="s">
        <v>19308</v>
      </c>
      <c r="H7688" s="29" t="s">
        <v>19309</v>
      </c>
      <c r="I7688" s="30" t="s">
        <v>16310</v>
      </c>
    </row>
    <row r="7689" spans="1:9" ht="33" customHeight="1">
      <c r="A7689" s="5"/>
      <c r="B7689" s="5" t="str">
        <f>CONCATENATE(G7689,"/",COUNTIF($G$2:G7689,G7689))</f>
        <v>FR-10117/2</v>
      </c>
      <c r="C7689" s="5" t="s">
        <v>44338</v>
      </c>
      <c r="D7689" s="246">
        <v>44883</v>
      </c>
      <c r="E7689" s="5" t="s">
        <v>44339</v>
      </c>
      <c r="F7689" s="26" t="s">
        <v>23600</v>
      </c>
      <c r="G7689" s="36" t="s">
        <v>19308</v>
      </c>
      <c r="H7689" s="29" t="s">
        <v>19309</v>
      </c>
      <c r="I7689" s="30" t="s">
        <v>16310</v>
      </c>
    </row>
    <row r="7690" spans="1:9" ht="33" customHeight="1">
      <c r="A7690" s="5"/>
      <c r="B7690" s="5" t="str">
        <f>CONCATENATE(G7690,"/",COUNTIF($G$2:G7690,G7690))</f>
        <v>FR-10117/3</v>
      </c>
      <c r="C7690" s="5" t="s">
        <v>44340</v>
      </c>
      <c r="D7690" s="246">
        <v>44883</v>
      </c>
      <c r="E7690" s="5" t="s">
        <v>44341</v>
      </c>
      <c r="F7690" s="26" t="s">
        <v>23600</v>
      </c>
      <c r="G7690" s="36" t="s">
        <v>19308</v>
      </c>
      <c r="H7690" s="29" t="s">
        <v>19309</v>
      </c>
      <c r="I7690" s="30" t="s">
        <v>16310</v>
      </c>
    </row>
    <row r="7691" spans="1:9" ht="33" customHeight="1">
      <c r="A7691" s="5"/>
      <c r="B7691" s="5" t="str">
        <f>CONCATENATE(G7691,"/",COUNTIF($G$2:G7691,G7691))</f>
        <v>FR-10117/4</v>
      </c>
      <c r="C7691" s="5" t="s">
        <v>44342</v>
      </c>
      <c r="D7691" s="246">
        <v>44883</v>
      </c>
      <c r="E7691" s="5" t="s">
        <v>44343</v>
      </c>
      <c r="F7691" s="26" t="s">
        <v>23600</v>
      </c>
      <c r="G7691" s="36" t="s">
        <v>19308</v>
      </c>
      <c r="H7691" s="29" t="s">
        <v>19309</v>
      </c>
      <c r="I7691" s="30" t="s">
        <v>16310</v>
      </c>
    </row>
    <row r="7692" spans="1:9" ht="33" customHeight="1">
      <c r="A7692" s="5"/>
      <c r="B7692" s="5" t="str">
        <f>CONCATENATE(G7692,"/",COUNTIF($G$2:G7692,G7692))</f>
        <v>FR-10117/5</v>
      </c>
      <c r="C7692" s="5" t="s">
        <v>44344</v>
      </c>
      <c r="D7692" s="246">
        <v>44883</v>
      </c>
      <c r="E7692" s="5" t="s">
        <v>44345</v>
      </c>
      <c r="F7692" s="26" t="s">
        <v>23600</v>
      </c>
      <c r="G7692" s="36" t="s">
        <v>19308</v>
      </c>
      <c r="H7692" s="29" t="s">
        <v>19309</v>
      </c>
      <c r="I7692" s="30" t="s">
        <v>16310</v>
      </c>
    </row>
    <row r="7693" spans="1:9" ht="33" customHeight="1">
      <c r="A7693" s="5"/>
      <c r="B7693" s="5" t="str">
        <f>CONCATENATE(G7693,"/",COUNTIF($G$2:G7693,G7693))</f>
        <v>FR-10117/6</v>
      </c>
      <c r="C7693" s="5" t="s">
        <v>44346</v>
      </c>
      <c r="D7693" s="246">
        <v>44883</v>
      </c>
      <c r="E7693" s="5" t="s">
        <v>44347</v>
      </c>
      <c r="F7693" s="26" t="s">
        <v>23600</v>
      </c>
      <c r="G7693" s="36" t="s">
        <v>19308</v>
      </c>
      <c r="H7693" s="29" t="s">
        <v>19309</v>
      </c>
      <c r="I7693" s="30" t="s">
        <v>16310</v>
      </c>
    </row>
    <row r="7694" spans="1:9" ht="30.65" customHeight="1">
      <c r="A7694" s="5"/>
      <c r="B7694" s="5" t="str">
        <f>CONCATENATE(G7694,"/",COUNTIF($G$2:G7694,G7694))</f>
        <v>BG-10275/1</v>
      </c>
      <c r="C7694" s="5" t="s">
        <v>44348</v>
      </c>
      <c r="D7694" s="246">
        <v>44893</v>
      </c>
      <c r="E7694" s="5" t="s">
        <v>44349</v>
      </c>
      <c r="F7694" s="26" t="s">
        <v>23600</v>
      </c>
      <c r="G7694" s="36" t="s">
        <v>20292</v>
      </c>
      <c r="H7694" s="29" t="s">
        <v>20293</v>
      </c>
      <c r="I7694" s="30" t="s">
        <v>17773</v>
      </c>
    </row>
    <row r="7695" spans="1:9" ht="30.65" customHeight="1">
      <c r="A7695" s="5"/>
      <c r="B7695" s="5" t="str">
        <f>CONCATENATE(G7695,"/",COUNTIF($G$2:G7695,G7695))</f>
        <v>BG-10275/2</v>
      </c>
      <c r="C7695" s="5" t="s">
        <v>44350</v>
      </c>
      <c r="D7695" s="246">
        <v>44893</v>
      </c>
      <c r="E7695" s="5" t="s">
        <v>44351</v>
      </c>
      <c r="F7695" s="26" t="s">
        <v>23600</v>
      </c>
      <c r="G7695" s="36" t="s">
        <v>20292</v>
      </c>
      <c r="H7695" s="29" t="s">
        <v>20293</v>
      </c>
      <c r="I7695" s="30" t="s">
        <v>17773</v>
      </c>
    </row>
    <row r="7696" spans="1:9" ht="30.65" customHeight="1">
      <c r="A7696" s="5"/>
      <c r="B7696" s="5" t="str">
        <f>CONCATENATE(G7696,"/",COUNTIF($G$2:G7696,G7696))</f>
        <v>BG-10275/3</v>
      </c>
      <c r="C7696" s="5" t="s">
        <v>44352</v>
      </c>
      <c r="D7696" s="246">
        <v>44893</v>
      </c>
      <c r="E7696" s="5" t="s">
        <v>44353</v>
      </c>
      <c r="F7696" s="26" t="s">
        <v>23600</v>
      </c>
      <c r="G7696" s="36" t="s">
        <v>20292</v>
      </c>
      <c r="H7696" s="29" t="s">
        <v>20293</v>
      </c>
      <c r="I7696" s="30" t="s">
        <v>17773</v>
      </c>
    </row>
    <row r="7697" spans="1:9" ht="30.65" customHeight="1">
      <c r="A7697" s="5"/>
      <c r="B7697" s="5" t="str">
        <f>CONCATENATE(G7697,"/",COUNTIF($G$2:G7697,G7697))</f>
        <v>BG-10275/4</v>
      </c>
      <c r="C7697" s="5" t="s">
        <v>44354</v>
      </c>
      <c r="D7697" s="246">
        <v>44893</v>
      </c>
      <c r="E7697" s="5" t="s">
        <v>44355</v>
      </c>
      <c r="F7697" s="26" t="s">
        <v>23600</v>
      </c>
      <c r="G7697" s="36" t="s">
        <v>20292</v>
      </c>
      <c r="H7697" s="29" t="s">
        <v>20293</v>
      </c>
      <c r="I7697" s="30" t="s">
        <v>17773</v>
      </c>
    </row>
    <row r="7698" spans="1:9" ht="26.5" customHeight="1">
      <c r="A7698" s="5"/>
      <c r="B7698" s="5" t="str">
        <f>CONCATENATE(G7698,"/",COUNTIF($G$2:G7698,G7698))</f>
        <v>RO-10166/1</v>
      </c>
      <c r="C7698" s="5" t="s">
        <v>44356</v>
      </c>
      <c r="D7698" s="246">
        <v>44911</v>
      </c>
      <c r="E7698" s="5" t="s">
        <v>44357</v>
      </c>
      <c r="F7698" s="26" t="s">
        <v>23600</v>
      </c>
      <c r="G7698" s="36" t="s">
        <v>19646</v>
      </c>
      <c r="H7698" s="38" t="s">
        <v>19647</v>
      </c>
      <c r="I7698" s="46" t="s">
        <v>17682</v>
      </c>
    </row>
    <row r="7699" spans="1:9" ht="27" customHeight="1">
      <c r="A7699" s="5"/>
      <c r="B7699" s="5" t="str">
        <f>CONCATENATE(G7699,"/",COUNTIF($G$2:G7699,G7699))</f>
        <v>BG-10235/1</v>
      </c>
      <c r="C7699" s="5" t="s">
        <v>44358</v>
      </c>
      <c r="D7699" s="246">
        <v>44910</v>
      </c>
      <c r="E7699" s="5" t="s">
        <v>44359</v>
      </c>
      <c r="F7699" s="26" t="s">
        <v>23600</v>
      </c>
      <c r="G7699" s="36" t="s">
        <v>20137</v>
      </c>
      <c r="H7699" s="38" t="s">
        <v>20138</v>
      </c>
      <c r="I7699" s="46" t="s">
        <v>17773</v>
      </c>
    </row>
    <row r="7700" spans="1:9" ht="27" customHeight="1">
      <c r="A7700" s="5"/>
      <c r="B7700" s="5" t="str">
        <f>CONCATENATE(G7700,"/",COUNTIF($G$2:G7700,G7700))</f>
        <v>BG-10235/2</v>
      </c>
      <c r="C7700" s="5" t="s">
        <v>44360</v>
      </c>
      <c r="D7700" s="246">
        <v>44910</v>
      </c>
      <c r="E7700" s="5" t="s">
        <v>44361</v>
      </c>
      <c r="F7700" s="26" t="s">
        <v>23600</v>
      </c>
      <c r="G7700" s="36" t="s">
        <v>20137</v>
      </c>
      <c r="H7700" s="38" t="s">
        <v>20138</v>
      </c>
      <c r="I7700" s="46" t="s">
        <v>17773</v>
      </c>
    </row>
    <row r="7701" spans="1:9" ht="27" customHeight="1">
      <c r="A7701" s="5"/>
      <c r="B7701" s="5" t="str">
        <f>CONCATENATE(G7701,"/",COUNTIF($G$2:G7701,G7701))</f>
        <v>BG-10235/3</v>
      </c>
      <c r="C7701" s="5" t="s">
        <v>44362</v>
      </c>
      <c r="D7701" s="246">
        <v>44910</v>
      </c>
      <c r="E7701" s="5" t="s">
        <v>44363</v>
      </c>
      <c r="F7701" s="26" t="s">
        <v>23600</v>
      </c>
      <c r="G7701" s="36" t="s">
        <v>20137</v>
      </c>
      <c r="H7701" s="38" t="s">
        <v>20138</v>
      </c>
      <c r="I7701" s="46" t="s">
        <v>17773</v>
      </c>
    </row>
    <row r="7702" spans="1:9" ht="27" customHeight="1">
      <c r="A7702" s="5"/>
      <c r="B7702" s="5" t="str">
        <f>CONCATENATE(G7702,"/",COUNTIF($G$2:G7702,G7702))</f>
        <v>BG-10235/4</v>
      </c>
      <c r="C7702" s="5" t="s">
        <v>44364</v>
      </c>
      <c r="D7702" s="246">
        <v>44910</v>
      </c>
      <c r="E7702" s="5" t="s">
        <v>44365</v>
      </c>
      <c r="F7702" s="26" t="s">
        <v>23600</v>
      </c>
      <c r="G7702" s="36" t="s">
        <v>20137</v>
      </c>
      <c r="H7702" s="38" t="s">
        <v>20138</v>
      </c>
      <c r="I7702" s="46" t="s">
        <v>17773</v>
      </c>
    </row>
    <row r="7703" spans="1:9" ht="27" customHeight="1">
      <c r="A7703" s="5"/>
      <c r="B7703" s="5" t="str">
        <f>CONCATENATE(G7703,"/",COUNTIF($G$2:G7703,G7703))</f>
        <v>BG-10235/5</v>
      </c>
      <c r="C7703" s="5" t="s">
        <v>44366</v>
      </c>
      <c r="D7703" s="246">
        <v>44910</v>
      </c>
      <c r="E7703" s="5" t="s">
        <v>44367</v>
      </c>
      <c r="F7703" s="26" t="s">
        <v>23600</v>
      </c>
      <c r="G7703" s="36" t="s">
        <v>20137</v>
      </c>
      <c r="H7703" s="38" t="s">
        <v>20138</v>
      </c>
      <c r="I7703" s="46" t="s">
        <v>17773</v>
      </c>
    </row>
    <row r="7704" spans="1:9" ht="27" customHeight="1">
      <c r="A7704" s="5"/>
      <c r="B7704" s="5" t="str">
        <f>CONCATENATE(G7704,"/",COUNTIF($G$2:G7704,G7704))</f>
        <v>BG-10235/6</v>
      </c>
      <c r="C7704" s="5" t="s">
        <v>44368</v>
      </c>
      <c r="D7704" s="246">
        <v>44910</v>
      </c>
      <c r="E7704" s="5" t="s">
        <v>44369</v>
      </c>
      <c r="F7704" s="26" t="s">
        <v>23600</v>
      </c>
      <c r="G7704" s="36" t="s">
        <v>20137</v>
      </c>
      <c r="H7704" s="38" t="s">
        <v>20138</v>
      </c>
      <c r="I7704" s="46" t="s">
        <v>17773</v>
      </c>
    </row>
    <row r="7705" spans="1:9" ht="29.5" customHeight="1">
      <c r="A7705" s="5"/>
      <c r="B7705" s="5" t="str">
        <f>CONCATENATE(G7705,"/",COUNTIF($G$2:G7705,G7705))</f>
        <v>RO-10173/1</v>
      </c>
      <c r="C7705" s="5" t="s">
        <v>44370</v>
      </c>
      <c r="D7705" s="246">
        <v>44924</v>
      </c>
      <c r="E7705" s="5" t="s">
        <v>44371</v>
      </c>
      <c r="F7705" s="26" t="s">
        <v>23600</v>
      </c>
      <c r="G7705" s="36" t="s">
        <v>19684</v>
      </c>
      <c r="H7705" s="38" t="s">
        <v>19685</v>
      </c>
      <c r="I7705" s="46" t="s">
        <v>17682</v>
      </c>
    </row>
    <row r="7706" spans="1:9" ht="25.5" customHeight="1">
      <c r="A7706" s="5"/>
      <c r="B7706" s="5" t="str">
        <f>CONCATENATE(G7706,"/",COUNTIF($G$2:G7706,G7706))</f>
        <v>RO-10176/1</v>
      </c>
      <c r="C7706" s="5" t="s">
        <v>44372</v>
      </c>
      <c r="D7706" s="246">
        <v>44924</v>
      </c>
      <c r="E7706" s="5" t="s">
        <v>44373</v>
      </c>
      <c r="F7706" s="26" t="s">
        <v>23600</v>
      </c>
      <c r="G7706" s="36" t="s">
        <v>19700</v>
      </c>
      <c r="H7706" s="38" t="s">
        <v>19701</v>
      </c>
      <c r="I7706" s="46" t="s">
        <v>17682</v>
      </c>
    </row>
    <row r="7707" spans="1:9" ht="25.5" customHeight="1">
      <c r="A7707" s="5"/>
      <c r="B7707" s="5" t="str">
        <f>CONCATENATE(G7707,"/",COUNTIF($G$2:G7707,G7707))</f>
        <v>RO-10176/2</v>
      </c>
      <c r="C7707" s="5" t="s">
        <v>44374</v>
      </c>
      <c r="D7707" s="246">
        <v>44924</v>
      </c>
      <c r="E7707" s="5" t="s">
        <v>44375</v>
      </c>
      <c r="F7707" s="26" t="s">
        <v>23600</v>
      </c>
      <c r="G7707" s="36" t="s">
        <v>19700</v>
      </c>
      <c r="H7707" s="38" t="s">
        <v>19701</v>
      </c>
      <c r="I7707" s="46" t="s">
        <v>17682</v>
      </c>
    </row>
    <row r="7708" spans="1:9" ht="29.5" customHeight="1">
      <c r="A7708" s="5"/>
      <c r="B7708" s="5" t="str">
        <f>CONCATENATE(G7708,"/",COUNTIF($G$2:G7708,G7708))</f>
        <v>DK-10282/1</v>
      </c>
      <c r="C7708" s="5" t="s">
        <v>44376</v>
      </c>
      <c r="D7708" s="246">
        <v>44914</v>
      </c>
      <c r="E7708" s="5" t="s">
        <v>44377</v>
      </c>
      <c r="F7708" s="26" t="s">
        <v>27950</v>
      </c>
      <c r="G7708" s="36" t="s">
        <v>19640</v>
      </c>
      <c r="H7708" s="29" t="s">
        <v>19641</v>
      </c>
      <c r="I7708" s="30" t="s">
        <v>12910</v>
      </c>
    </row>
    <row r="7709" spans="1:9" ht="31" customHeight="1">
      <c r="A7709" s="5"/>
      <c r="B7709" s="5" t="str">
        <f>CONCATENATE(G7709,"/",COUNTIF($G$2:G7709,G7709))</f>
        <v>DK-10286/1</v>
      </c>
      <c r="C7709" s="5" t="s">
        <v>44378</v>
      </c>
      <c r="D7709" s="246">
        <v>44902</v>
      </c>
      <c r="E7709" s="5" t="s">
        <v>44379</v>
      </c>
      <c r="F7709" s="26" t="s">
        <v>27950</v>
      </c>
      <c r="G7709" s="36" t="s">
        <v>19573</v>
      </c>
      <c r="H7709" s="29" t="s">
        <v>19574</v>
      </c>
      <c r="I7709" s="30" t="s">
        <v>12910</v>
      </c>
    </row>
    <row r="7710" spans="1:9" ht="31" customHeight="1">
      <c r="A7710" s="5"/>
      <c r="B7710" s="5" t="str">
        <f>CONCATENATE(G7710,"/",COUNTIF($G$2:G7710,G7710))</f>
        <v>DK-10286/2</v>
      </c>
      <c r="C7710" s="5" t="s">
        <v>44380</v>
      </c>
      <c r="D7710" s="246">
        <v>44902</v>
      </c>
      <c r="E7710" s="5" t="s">
        <v>44381</v>
      </c>
      <c r="F7710" s="26" t="s">
        <v>27950</v>
      </c>
      <c r="G7710" s="36" t="s">
        <v>19573</v>
      </c>
      <c r="H7710" s="29" t="s">
        <v>19574</v>
      </c>
      <c r="I7710" s="30" t="s">
        <v>12910</v>
      </c>
    </row>
    <row r="7711" spans="1:9" ht="31" customHeight="1">
      <c r="A7711" s="5"/>
      <c r="B7711" s="5" t="str">
        <f>CONCATENATE(G7711,"/",COUNTIF($G$2:G7711,G7711))</f>
        <v>DK-10286/3</v>
      </c>
      <c r="C7711" s="5" t="s">
        <v>44382</v>
      </c>
      <c r="D7711" s="246">
        <v>44902</v>
      </c>
      <c r="E7711" s="5" t="s">
        <v>44383</v>
      </c>
      <c r="F7711" s="26" t="s">
        <v>27950</v>
      </c>
      <c r="G7711" s="36" t="s">
        <v>19573</v>
      </c>
      <c r="H7711" s="29" t="s">
        <v>19574</v>
      </c>
      <c r="I7711" s="30" t="s">
        <v>12910</v>
      </c>
    </row>
    <row r="7712" spans="1:9" ht="31" customHeight="1">
      <c r="A7712" s="5"/>
      <c r="B7712" s="5" t="str">
        <f>CONCATENATE(G7712,"/",COUNTIF($G$2:G7712,G7712))</f>
        <v>DK-10286/4</v>
      </c>
      <c r="C7712" s="5" t="s">
        <v>44384</v>
      </c>
      <c r="D7712" s="246">
        <v>44902</v>
      </c>
      <c r="E7712" s="5" t="s">
        <v>44385</v>
      </c>
      <c r="F7712" s="26" t="s">
        <v>27950</v>
      </c>
      <c r="G7712" s="36" t="s">
        <v>19573</v>
      </c>
      <c r="H7712" s="29" t="s">
        <v>19574</v>
      </c>
      <c r="I7712" s="30" t="s">
        <v>12910</v>
      </c>
    </row>
    <row r="7713" spans="1:9" ht="32.5" customHeight="1">
      <c r="A7713" s="5"/>
      <c r="B7713" s="5" t="str">
        <f>CONCATENATE(G7713,"/",COUNTIF($G$2:G7713,G7713))</f>
        <v>CZ-10179/1</v>
      </c>
      <c r="C7713" s="5" t="s">
        <v>23621</v>
      </c>
      <c r="D7713" s="246">
        <v>44935</v>
      </c>
      <c r="E7713" s="5" t="s">
        <v>44386</v>
      </c>
      <c r="F7713" s="26" t="s">
        <v>23600</v>
      </c>
      <c r="G7713" s="36" t="s">
        <v>19720</v>
      </c>
      <c r="H7713" s="38" t="s">
        <v>19721</v>
      </c>
      <c r="I7713" s="46" t="s">
        <v>16429</v>
      </c>
    </row>
    <row r="7714" spans="1:9" ht="32.5" customHeight="1">
      <c r="A7714" s="5"/>
      <c r="B7714" s="5" t="str">
        <f>CONCATENATE(G7714,"/",COUNTIF($G$2:G7714,G7714))</f>
        <v>CZ-10179/2</v>
      </c>
      <c r="C7714" s="5" t="s">
        <v>23625</v>
      </c>
      <c r="D7714" s="246">
        <v>44935</v>
      </c>
      <c r="E7714" s="5" t="s">
        <v>44387</v>
      </c>
      <c r="F7714" s="26" t="s">
        <v>23600</v>
      </c>
      <c r="G7714" s="36" t="s">
        <v>19720</v>
      </c>
      <c r="H7714" s="38" t="s">
        <v>19721</v>
      </c>
      <c r="I7714" s="46" t="s">
        <v>16429</v>
      </c>
    </row>
    <row r="7715" spans="1:9" ht="32.15" customHeight="1">
      <c r="A7715" s="5"/>
      <c r="B7715" s="5" t="str">
        <f>CONCATENATE(G7715,"/",COUNTIF($G$2:G7715,G7715))</f>
        <v>CZ-10091/1</v>
      </c>
      <c r="C7715" s="5">
        <v>1</v>
      </c>
      <c r="D7715" s="246">
        <v>44937</v>
      </c>
      <c r="E7715" s="5" t="s">
        <v>44388</v>
      </c>
      <c r="F7715" s="26" t="s">
        <v>23600</v>
      </c>
      <c r="G7715" s="36" t="s">
        <v>19083</v>
      </c>
      <c r="H7715" s="29" t="s">
        <v>19084</v>
      </c>
      <c r="I7715" s="30" t="s">
        <v>16429</v>
      </c>
    </row>
    <row r="7716" spans="1:9" ht="30.65" customHeight="1">
      <c r="A7716" s="5"/>
      <c r="B7716" s="5" t="str">
        <f>CONCATENATE(G7716,"/",COUNTIF($G$2:G7716,G7716))</f>
        <v>HU-10151/1</v>
      </c>
      <c r="C7716" s="5" t="s">
        <v>44389</v>
      </c>
      <c r="D7716" s="246">
        <v>44564</v>
      </c>
      <c r="E7716" s="5" t="s">
        <v>44390</v>
      </c>
      <c r="F7716" s="26" t="s">
        <v>23600</v>
      </c>
      <c r="G7716" s="36" t="s">
        <v>19468</v>
      </c>
      <c r="H7716" s="38" t="s">
        <v>19469</v>
      </c>
      <c r="I7716" s="46" t="s">
        <v>17578</v>
      </c>
    </row>
    <row r="7717" spans="1:9" ht="33.65" customHeight="1">
      <c r="A7717" s="5"/>
      <c r="B7717" s="5" t="str">
        <f>CONCATENATE(G7717,"/",COUNTIF($G$2:G7717,G7717))</f>
        <v>CH-10239/1</v>
      </c>
      <c r="C7717" s="5" t="s">
        <v>44391</v>
      </c>
      <c r="D7717" s="246">
        <v>44901</v>
      </c>
      <c r="E7717" s="5" t="s">
        <v>44392</v>
      </c>
      <c r="F7717" s="26" t="s">
        <v>23600</v>
      </c>
      <c r="G7717" s="36" t="s">
        <v>20106</v>
      </c>
      <c r="H7717" s="38" t="s">
        <v>20107</v>
      </c>
      <c r="I7717" s="46" t="s">
        <v>15071</v>
      </c>
    </row>
    <row r="7718" spans="1:9" ht="33.65" customHeight="1">
      <c r="A7718" s="5"/>
      <c r="B7718" s="5" t="str">
        <f>CONCATENATE(G7718,"/",COUNTIF($G$2:G7718,G7718))</f>
        <v>CH-10239/2</v>
      </c>
      <c r="C7718" s="5" t="s">
        <v>44393</v>
      </c>
      <c r="D7718" s="246">
        <v>44901</v>
      </c>
      <c r="E7718" s="5" t="s">
        <v>44394</v>
      </c>
      <c r="F7718" s="26" t="s">
        <v>23600</v>
      </c>
      <c r="G7718" s="36" t="s">
        <v>20106</v>
      </c>
      <c r="H7718" s="38" t="s">
        <v>20107</v>
      </c>
      <c r="I7718" s="46" t="s">
        <v>15071</v>
      </c>
    </row>
    <row r="7719" spans="1:9" ht="28.4" customHeight="1">
      <c r="A7719" s="5"/>
      <c r="B7719" s="5" t="str">
        <f>CONCATENATE(G7719,"/",COUNTIF($G$2:G7719,G7719))</f>
        <v>ES-10227/1</v>
      </c>
      <c r="C7719" s="5" t="s">
        <v>44395</v>
      </c>
      <c r="D7719" s="246">
        <v>44915</v>
      </c>
      <c r="E7719" s="5" t="s">
        <v>44396</v>
      </c>
      <c r="F7719" s="26" t="s">
        <v>23600</v>
      </c>
      <c r="G7719" s="36" t="s">
        <v>18800</v>
      </c>
      <c r="H7719" s="38" t="s">
        <v>18801</v>
      </c>
      <c r="I7719" s="46" t="s">
        <v>17820</v>
      </c>
    </row>
    <row r="7720" spans="1:9" ht="28.4" customHeight="1">
      <c r="A7720" s="5"/>
      <c r="B7720" s="5" t="str">
        <f>CONCATENATE(G7720,"/",COUNTIF($G$2:G7720,G7720))</f>
        <v>ES-10227/2</v>
      </c>
      <c r="C7720" s="5" t="s">
        <v>44397</v>
      </c>
      <c r="D7720" s="246">
        <v>44915</v>
      </c>
      <c r="E7720" s="5" t="s">
        <v>44398</v>
      </c>
      <c r="F7720" s="26" t="s">
        <v>23600</v>
      </c>
      <c r="G7720" s="36" t="s">
        <v>18800</v>
      </c>
      <c r="H7720" s="38" t="s">
        <v>18801</v>
      </c>
      <c r="I7720" s="46" t="s">
        <v>17820</v>
      </c>
    </row>
    <row r="7721" spans="1:9" ht="28.4" customHeight="1">
      <c r="A7721" s="5"/>
      <c r="B7721" s="5" t="str">
        <f>CONCATENATE(G7721,"/",COUNTIF($G$2:G7721,G7721))</f>
        <v>ES-10227/3</v>
      </c>
      <c r="C7721" s="5" t="s">
        <v>44399</v>
      </c>
      <c r="D7721" s="246">
        <v>44915</v>
      </c>
      <c r="E7721" s="5" t="s">
        <v>44400</v>
      </c>
      <c r="F7721" s="26" t="s">
        <v>23600</v>
      </c>
      <c r="G7721" s="36" t="s">
        <v>18800</v>
      </c>
      <c r="H7721" s="38" t="s">
        <v>18801</v>
      </c>
      <c r="I7721" s="46" t="s">
        <v>17820</v>
      </c>
    </row>
    <row r="7722" spans="1:9" ht="28.4" customHeight="1">
      <c r="A7722" s="5"/>
      <c r="B7722" s="5" t="str">
        <f>CONCATENATE(G7722,"/",COUNTIF($G$2:G7722,G7722))</f>
        <v>ES-10227/4</v>
      </c>
      <c r="C7722" s="5" t="s">
        <v>44401</v>
      </c>
      <c r="D7722" s="246">
        <v>44915</v>
      </c>
      <c r="E7722" s="5" t="s">
        <v>44402</v>
      </c>
      <c r="F7722" s="26" t="s">
        <v>23600</v>
      </c>
      <c r="G7722" s="36" t="s">
        <v>18800</v>
      </c>
      <c r="H7722" s="38" t="s">
        <v>18801</v>
      </c>
      <c r="I7722" s="46" t="s">
        <v>17820</v>
      </c>
    </row>
    <row r="7723" spans="1:9" ht="28.4" customHeight="1">
      <c r="A7723" s="5"/>
      <c r="B7723" s="5" t="str">
        <f>CONCATENATE(G7723,"/",COUNTIF($G$2:G7723,G7723))</f>
        <v>ES-10227/5</v>
      </c>
      <c r="C7723" s="5" t="s">
        <v>44403</v>
      </c>
      <c r="D7723" s="246">
        <v>44915</v>
      </c>
      <c r="E7723" s="5" t="s">
        <v>44404</v>
      </c>
      <c r="F7723" s="26" t="s">
        <v>23600</v>
      </c>
      <c r="G7723" s="36" t="s">
        <v>18800</v>
      </c>
      <c r="H7723" s="38" t="s">
        <v>18801</v>
      </c>
      <c r="I7723" s="46" t="s">
        <v>17820</v>
      </c>
    </row>
    <row r="7724" spans="1:9" ht="28.4" customHeight="1">
      <c r="A7724" s="5"/>
      <c r="B7724" s="5" t="str">
        <f>CONCATENATE(G7724,"/",COUNTIF($G$2:G7724,G7724))</f>
        <v>ES-10227/6</v>
      </c>
      <c r="C7724" s="5" t="s">
        <v>44405</v>
      </c>
      <c r="D7724" s="246">
        <v>44915</v>
      </c>
      <c r="E7724" s="5" t="s">
        <v>44406</v>
      </c>
      <c r="F7724" s="26" t="s">
        <v>23600</v>
      </c>
      <c r="G7724" s="36" t="s">
        <v>18800</v>
      </c>
      <c r="H7724" s="38" t="s">
        <v>18801</v>
      </c>
      <c r="I7724" s="46" t="s">
        <v>17820</v>
      </c>
    </row>
    <row r="7725" spans="1:9" ht="36" customHeight="1">
      <c r="A7725" s="5"/>
      <c r="B7725" s="5" t="str">
        <f>CONCATENATE(G7725,"/",COUNTIF($G$2:G7725,G7725))</f>
        <v>PL-10186/1</v>
      </c>
      <c r="C7725" s="5" t="s">
        <v>44407</v>
      </c>
      <c r="D7725" s="246">
        <v>44922</v>
      </c>
      <c r="E7725" s="5" t="s">
        <v>44408</v>
      </c>
      <c r="F7725" s="26" t="s">
        <v>23600</v>
      </c>
      <c r="G7725" s="36" t="s">
        <v>19735</v>
      </c>
      <c r="H7725" s="38" t="s">
        <v>19736</v>
      </c>
      <c r="I7725" s="46" t="s">
        <v>17057</v>
      </c>
    </row>
    <row r="7726" spans="1:9" ht="36" customHeight="1">
      <c r="A7726" s="5"/>
      <c r="B7726" s="5" t="str">
        <f>CONCATENATE(G7726,"/",COUNTIF($G$2:G7726,G7726))</f>
        <v>PL-10186/2</v>
      </c>
      <c r="C7726" s="5" t="s">
        <v>44409</v>
      </c>
      <c r="D7726" s="246">
        <v>44922</v>
      </c>
      <c r="E7726" s="5" t="s">
        <v>44410</v>
      </c>
      <c r="F7726" s="26" t="s">
        <v>23600</v>
      </c>
      <c r="G7726" s="36" t="s">
        <v>19735</v>
      </c>
      <c r="H7726" s="38" t="s">
        <v>19736</v>
      </c>
      <c r="I7726" s="46" t="s">
        <v>17057</v>
      </c>
    </row>
    <row r="7727" spans="1:9" ht="36" customHeight="1">
      <c r="A7727" s="5"/>
      <c r="B7727" s="5" t="str">
        <f>CONCATENATE(G7727,"/",COUNTIF($G$2:G7727,G7727))</f>
        <v>PL-10186/3</v>
      </c>
      <c r="C7727" s="5" t="s">
        <v>44411</v>
      </c>
      <c r="D7727" s="246">
        <v>44922</v>
      </c>
      <c r="E7727" s="5" t="s">
        <v>44412</v>
      </c>
      <c r="F7727" s="26" t="s">
        <v>23600</v>
      </c>
      <c r="G7727" s="36" t="s">
        <v>19735</v>
      </c>
      <c r="H7727" s="38" t="s">
        <v>19736</v>
      </c>
      <c r="I7727" s="46" t="s">
        <v>17057</v>
      </c>
    </row>
    <row r="7728" spans="1:9" ht="36" customHeight="1">
      <c r="A7728" s="5"/>
      <c r="B7728" s="5" t="str">
        <f>CONCATENATE(G7728,"/",COUNTIF($G$2:G7728,G7728))</f>
        <v>PL-10186/4</v>
      </c>
      <c r="C7728" s="5" t="s">
        <v>44413</v>
      </c>
      <c r="D7728" s="246">
        <v>44922</v>
      </c>
      <c r="E7728" s="5" t="s">
        <v>44414</v>
      </c>
      <c r="F7728" s="26" t="s">
        <v>23600</v>
      </c>
      <c r="G7728" s="36" t="s">
        <v>19735</v>
      </c>
      <c r="H7728" s="38" t="s">
        <v>19736</v>
      </c>
      <c r="I7728" s="46" t="s">
        <v>17057</v>
      </c>
    </row>
    <row r="7729" spans="1:9" ht="29.5" customHeight="1">
      <c r="A7729" s="5"/>
      <c r="B7729" s="5" t="str">
        <f>CONCATENATE(G7729,"/",COUNTIF($G$2:G7729,G7729))</f>
        <v>PL-10193/1</v>
      </c>
      <c r="C7729" s="5" t="s">
        <v>44415</v>
      </c>
      <c r="D7729" s="246">
        <v>44909</v>
      </c>
      <c r="E7729" s="5" t="s">
        <v>44416</v>
      </c>
      <c r="F7729" s="26" t="s">
        <v>23600</v>
      </c>
      <c r="G7729" s="36" t="s">
        <v>19785</v>
      </c>
      <c r="H7729" s="38" t="s">
        <v>19786</v>
      </c>
      <c r="I7729" s="53" t="s">
        <v>17057</v>
      </c>
    </row>
    <row r="7730" spans="1:9" ht="29.5" customHeight="1">
      <c r="A7730" s="5"/>
      <c r="B7730" s="5" t="str">
        <f>CONCATENATE(G7730,"/",COUNTIF($G$2:G7730,G7730))</f>
        <v>PL-10193/2</v>
      </c>
      <c r="C7730" s="5" t="s">
        <v>44417</v>
      </c>
      <c r="D7730" s="246">
        <v>44909</v>
      </c>
      <c r="E7730" s="5" t="s">
        <v>44418</v>
      </c>
      <c r="F7730" s="26" t="s">
        <v>23600</v>
      </c>
      <c r="G7730" s="36" t="s">
        <v>19785</v>
      </c>
      <c r="H7730" s="38" t="s">
        <v>19786</v>
      </c>
      <c r="I7730" s="53" t="s">
        <v>17057</v>
      </c>
    </row>
    <row r="7731" spans="1:9" ht="29.5" customHeight="1">
      <c r="A7731" s="5"/>
      <c r="B7731" s="5" t="str">
        <f>CONCATENATE(G7731,"/",COUNTIF($G$2:G7731,G7731))</f>
        <v>PL-10193/3</v>
      </c>
      <c r="C7731" s="5" t="s">
        <v>44419</v>
      </c>
      <c r="D7731" s="246">
        <v>44909</v>
      </c>
      <c r="E7731" s="5" t="s">
        <v>44420</v>
      </c>
      <c r="F7731" s="26" t="s">
        <v>23600</v>
      </c>
      <c r="G7731" s="36" t="s">
        <v>19785</v>
      </c>
      <c r="H7731" s="38" t="s">
        <v>19786</v>
      </c>
      <c r="I7731" s="53" t="s">
        <v>17057</v>
      </c>
    </row>
    <row r="7732" spans="1:9" ht="29.5" customHeight="1">
      <c r="A7732" s="5"/>
      <c r="B7732" s="5" t="str">
        <f>CONCATENATE(G7732,"/",COUNTIF($G$2:G7732,G7732))</f>
        <v>PL-10193/4</v>
      </c>
      <c r="C7732" s="5" t="s">
        <v>44421</v>
      </c>
      <c r="D7732" s="246">
        <v>44909</v>
      </c>
      <c r="E7732" s="5" t="s">
        <v>44422</v>
      </c>
      <c r="F7732" s="26" t="s">
        <v>23600</v>
      </c>
      <c r="G7732" s="36" t="s">
        <v>19785</v>
      </c>
      <c r="H7732" s="38" t="s">
        <v>19786</v>
      </c>
      <c r="I7732" s="53" t="s">
        <v>17057</v>
      </c>
    </row>
    <row r="7733" spans="1:9" ht="29.5" customHeight="1">
      <c r="A7733" s="5"/>
      <c r="B7733" s="5" t="str">
        <f>CONCATENATE(G7733,"/",COUNTIF($G$2:G7733,G7733))</f>
        <v>PL-10193/5</v>
      </c>
      <c r="C7733" s="5" t="s">
        <v>44423</v>
      </c>
      <c r="D7733" s="246">
        <v>44909</v>
      </c>
      <c r="E7733" s="5" t="s">
        <v>44424</v>
      </c>
      <c r="F7733" s="26" t="s">
        <v>23600</v>
      </c>
      <c r="G7733" s="36" t="s">
        <v>19785</v>
      </c>
      <c r="H7733" s="38" t="s">
        <v>19786</v>
      </c>
      <c r="I7733" s="53" t="s">
        <v>17057</v>
      </c>
    </row>
    <row r="7734" spans="1:9" ht="30.65" customHeight="1">
      <c r="A7734" s="5"/>
      <c r="B7734" s="5" t="str">
        <f>CONCATENATE(G7734,"/",COUNTIF($G$2:G7734,G7734))</f>
        <v>CZ-10255/1</v>
      </c>
      <c r="C7734" s="5" t="s">
        <v>23621</v>
      </c>
      <c r="D7734" s="246">
        <v>44918</v>
      </c>
      <c r="E7734" s="5" t="s">
        <v>44425</v>
      </c>
      <c r="F7734" s="26" t="s">
        <v>23600</v>
      </c>
      <c r="G7734" s="36" t="s">
        <v>20220</v>
      </c>
      <c r="H7734" s="12" t="s">
        <v>20221</v>
      </c>
      <c r="I7734" s="46" t="s">
        <v>16429</v>
      </c>
    </row>
    <row r="7735" spans="1:9" ht="33.65" customHeight="1">
      <c r="A7735" s="5"/>
      <c r="B7735" s="5" t="str">
        <f>CONCATENATE(G7735,"/",COUNTIF($G$2:G7735,G7735))</f>
        <v>EE-10203/1</v>
      </c>
      <c r="C7735" s="5">
        <v>1</v>
      </c>
      <c r="D7735" s="246">
        <v>44956</v>
      </c>
      <c r="E7735" s="5" t="s">
        <v>44426</v>
      </c>
      <c r="F7735" s="26" t="s">
        <v>23600</v>
      </c>
      <c r="G7735" s="36" t="s">
        <v>19866</v>
      </c>
      <c r="H7735" s="38" t="s">
        <v>19867</v>
      </c>
      <c r="I7735" s="46" t="s">
        <v>19868</v>
      </c>
    </row>
    <row r="7736" spans="1:9" ht="33.65" customHeight="1">
      <c r="A7736" s="5"/>
      <c r="B7736" s="5" t="str">
        <f>CONCATENATE(G7736,"/",COUNTIF($G$2:G7736,G7736))</f>
        <v>EE-10203/2</v>
      </c>
      <c r="C7736" s="5">
        <v>2</v>
      </c>
      <c r="D7736" s="246">
        <v>44956</v>
      </c>
      <c r="E7736" s="5" t="s">
        <v>44427</v>
      </c>
      <c r="F7736" s="26" t="s">
        <v>23600</v>
      </c>
      <c r="G7736" s="36" t="s">
        <v>19866</v>
      </c>
      <c r="H7736" s="38" t="s">
        <v>19867</v>
      </c>
      <c r="I7736" s="46" t="s">
        <v>19868</v>
      </c>
    </row>
    <row r="7737" spans="1:9" ht="33.65" customHeight="1">
      <c r="A7737" s="5"/>
      <c r="B7737" s="5" t="str">
        <f>CONCATENATE(G7737,"/",COUNTIF($G$2:G7737,G7737))</f>
        <v>EE-10203/3</v>
      </c>
      <c r="C7737" s="5">
        <v>3</v>
      </c>
      <c r="D7737" s="246">
        <v>44956</v>
      </c>
      <c r="E7737" s="5" t="s">
        <v>44428</v>
      </c>
      <c r="F7737" s="26" t="s">
        <v>23600</v>
      </c>
      <c r="G7737" s="36" t="s">
        <v>19866</v>
      </c>
      <c r="H7737" s="38" t="s">
        <v>19867</v>
      </c>
      <c r="I7737" s="46" t="s">
        <v>19868</v>
      </c>
    </row>
    <row r="7738" spans="1:9" ht="33.65" customHeight="1">
      <c r="A7738" s="5"/>
      <c r="B7738" s="5" t="str">
        <f>CONCATENATE(G7738,"/",COUNTIF($G$2:G7738,G7738))</f>
        <v>EE-10203/4</v>
      </c>
      <c r="C7738" s="5">
        <v>4</v>
      </c>
      <c r="D7738" s="246">
        <v>44956</v>
      </c>
      <c r="E7738" s="5" t="s">
        <v>44429</v>
      </c>
      <c r="F7738" s="26" t="s">
        <v>23600</v>
      </c>
      <c r="G7738" s="36" t="s">
        <v>19866</v>
      </c>
      <c r="H7738" s="38" t="s">
        <v>19867</v>
      </c>
      <c r="I7738" s="46" t="s">
        <v>19868</v>
      </c>
    </row>
    <row r="7739" spans="1:9" ht="33.65" customHeight="1">
      <c r="A7739" s="5"/>
      <c r="B7739" s="5" t="str">
        <f>CONCATENATE(G7739,"/",COUNTIF($G$2:G7739,G7739))</f>
        <v>EE-10203/5</v>
      </c>
      <c r="C7739" s="5">
        <v>5</v>
      </c>
      <c r="D7739" s="246">
        <v>44956</v>
      </c>
      <c r="E7739" s="5" t="s">
        <v>44430</v>
      </c>
      <c r="F7739" s="26" t="s">
        <v>23600</v>
      </c>
      <c r="G7739" s="36" t="s">
        <v>19866</v>
      </c>
      <c r="H7739" s="38" t="s">
        <v>19867</v>
      </c>
      <c r="I7739" s="46" t="s">
        <v>19868</v>
      </c>
    </row>
    <row r="7740" spans="1:9" ht="38.15" customHeight="1">
      <c r="A7740" s="5"/>
      <c r="B7740" s="5" t="str">
        <f>CONCATENATE(G7740,"/",COUNTIF($G$2:G7740,G7740))</f>
        <v>SE-10152/1</v>
      </c>
      <c r="C7740" s="5" t="s">
        <v>44431</v>
      </c>
      <c r="D7740" s="246">
        <v>44959</v>
      </c>
      <c r="E7740" s="5" t="s">
        <v>44432</v>
      </c>
      <c r="F7740" s="26" t="s">
        <v>23600</v>
      </c>
      <c r="G7740" s="36" t="s">
        <v>19475</v>
      </c>
      <c r="H7740" s="38" t="s">
        <v>19476</v>
      </c>
      <c r="I7740" s="46" t="s">
        <v>18070</v>
      </c>
    </row>
    <row r="7741" spans="1:9" ht="38.15" customHeight="1">
      <c r="A7741" s="5"/>
      <c r="B7741" s="5" t="str">
        <f>CONCATENATE(G7741,"/",COUNTIF($G$2:G7741,G7741))</f>
        <v>SE-10152/2</v>
      </c>
      <c r="C7741" s="5" t="s">
        <v>44433</v>
      </c>
      <c r="D7741" s="246">
        <v>44959</v>
      </c>
      <c r="E7741" s="5" t="s">
        <v>44434</v>
      </c>
      <c r="F7741" s="26" t="s">
        <v>23600</v>
      </c>
      <c r="G7741" s="36" t="s">
        <v>19475</v>
      </c>
      <c r="H7741" s="38" t="s">
        <v>19476</v>
      </c>
      <c r="I7741" s="46" t="s">
        <v>18070</v>
      </c>
    </row>
    <row r="7742" spans="1:9" ht="38.15" customHeight="1">
      <c r="A7742" s="5"/>
      <c r="B7742" s="5" t="str">
        <f>CONCATENATE(G7742,"/",COUNTIF($G$2:G7742,G7742))</f>
        <v>SE-10152/3</v>
      </c>
      <c r="C7742" s="5" t="s">
        <v>44435</v>
      </c>
      <c r="D7742" s="246">
        <v>44959</v>
      </c>
      <c r="E7742" s="5" t="s">
        <v>44436</v>
      </c>
      <c r="F7742" s="26" t="s">
        <v>23600</v>
      </c>
      <c r="G7742" s="36" t="s">
        <v>19475</v>
      </c>
      <c r="H7742" s="38" t="s">
        <v>19476</v>
      </c>
      <c r="I7742" s="46" t="s">
        <v>18070</v>
      </c>
    </row>
    <row r="7743" spans="1:9" ht="33.65" customHeight="1">
      <c r="A7743" s="5"/>
      <c r="B7743" s="5" t="str">
        <f>CONCATENATE(G7743,"/",COUNTIF($G$2:G7743,G7743))</f>
        <v>RO-10191/1</v>
      </c>
      <c r="C7743" s="5" t="s">
        <v>44437</v>
      </c>
      <c r="D7743" s="246">
        <v>44966</v>
      </c>
      <c r="E7743" s="5" t="s">
        <v>44438</v>
      </c>
      <c r="F7743" s="26" t="s">
        <v>23600</v>
      </c>
      <c r="G7743" s="36" t="s">
        <v>19800</v>
      </c>
      <c r="H7743" s="38" t="s">
        <v>19801</v>
      </c>
      <c r="I7743" s="46" t="s">
        <v>17682</v>
      </c>
    </row>
    <row r="7744" spans="1:9" ht="32.5" customHeight="1">
      <c r="A7744" s="5"/>
      <c r="B7744" s="5" t="str">
        <f>CONCATENATE(G7744,"/",COUNTIF($G$2:G7744,G7744))</f>
        <v>CZ-10187/1</v>
      </c>
      <c r="C7744" s="5" t="s">
        <v>23621</v>
      </c>
      <c r="D7744" s="246">
        <v>44977</v>
      </c>
      <c r="E7744" s="5" t="s">
        <v>44439</v>
      </c>
      <c r="F7744" s="26" t="s">
        <v>23600</v>
      </c>
      <c r="G7744" s="36" t="s">
        <v>19778</v>
      </c>
      <c r="H7744" s="38" t="s">
        <v>19779</v>
      </c>
      <c r="I7744" s="46" t="s">
        <v>16429</v>
      </c>
    </row>
    <row r="7745" spans="1:9" ht="39.65" customHeight="1">
      <c r="A7745" s="5"/>
      <c r="B7745" s="5" t="str">
        <f>CONCATENATE(G7745,"/",COUNTIF($G$2:G7745,G7745))</f>
        <v>RO-10192/1</v>
      </c>
      <c r="C7745" s="5" t="s">
        <v>44440</v>
      </c>
      <c r="D7745" s="246">
        <v>44974</v>
      </c>
      <c r="E7745" s="5" t="s">
        <v>44441</v>
      </c>
      <c r="F7745" s="26" t="s">
        <v>23600</v>
      </c>
      <c r="G7745" s="36" t="s">
        <v>19820</v>
      </c>
      <c r="H7745" s="54" t="s">
        <v>19821</v>
      </c>
      <c r="I7745" s="53" t="s">
        <v>17682</v>
      </c>
    </row>
    <row r="7746" spans="1:9" ht="32.5" customHeight="1">
      <c r="A7746" s="5"/>
      <c r="B7746" s="5" t="str">
        <f>CONCATENATE(G7746,"/",COUNTIF($G$2:G7746,G7746))</f>
        <v>RO-10196/1</v>
      </c>
      <c r="C7746" s="5" t="s">
        <v>44442</v>
      </c>
      <c r="D7746" s="246">
        <v>44980</v>
      </c>
      <c r="E7746" s="5" t="s">
        <v>44443</v>
      </c>
      <c r="F7746" s="26" t="s">
        <v>23600</v>
      </c>
      <c r="G7746" s="36" t="s">
        <v>19841</v>
      </c>
      <c r="H7746" s="38" t="s">
        <v>19842</v>
      </c>
      <c r="I7746" s="46" t="s">
        <v>17682</v>
      </c>
    </row>
    <row r="7747" spans="1:9" ht="31" customHeight="1">
      <c r="A7747" s="5"/>
      <c r="B7747" s="5" t="str">
        <f>CONCATENATE(G7747,"/",COUNTIF($G$2:G7747,G7747))</f>
        <v>FR-6355/1</v>
      </c>
      <c r="C7747" s="5" t="s">
        <v>44444</v>
      </c>
      <c r="D7747" s="246">
        <v>44978</v>
      </c>
      <c r="E7747" s="5" t="s">
        <v>44445</v>
      </c>
      <c r="F7747" s="26" t="s">
        <v>23600</v>
      </c>
      <c r="G7747" s="27" t="s">
        <v>18209</v>
      </c>
      <c r="H7747" s="29" t="s">
        <v>18210</v>
      </c>
      <c r="I7747" s="30" t="s">
        <v>16310</v>
      </c>
    </row>
    <row r="7748" spans="1:9" ht="31" customHeight="1">
      <c r="A7748" s="5"/>
      <c r="B7748" s="5" t="str">
        <f>CONCATENATE(G7748,"/",COUNTIF($G$2:G7748,G7748))</f>
        <v>FR-6355/2</v>
      </c>
      <c r="C7748" s="5" t="s">
        <v>44446</v>
      </c>
      <c r="D7748" s="246">
        <v>44978</v>
      </c>
      <c r="E7748" s="5" t="s">
        <v>44447</v>
      </c>
      <c r="F7748" s="26" t="s">
        <v>23600</v>
      </c>
      <c r="G7748" s="27" t="s">
        <v>18209</v>
      </c>
      <c r="H7748" s="29" t="s">
        <v>18210</v>
      </c>
      <c r="I7748" s="30" t="s">
        <v>16310</v>
      </c>
    </row>
    <row r="7749" spans="1:9" ht="31" customHeight="1">
      <c r="A7749" s="5"/>
      <c r="B7749" s="5" t="str">
        <f>CONCATENATE(G7749,"/",COUNTIF($G$2:G7749,G7749))</f>
        <v>FR-6355/3</v>
      </c>
      <c r="C7749" s="5" t="s">
        <v>44448</v>
      </c>
      <c r="D7749" s="246">
        <v>44978</v>
      </c>
      <c r="E7749" s="5" t="s">
        <v>44449</v>
      </c>
      <c r="F7749" s="26" t="s">
        <v>23600</v>
      </c>
      <c r="G7749" s="27" t="s">
        <v>18209</v>
      </c>
      <c r="H7749" s="29" t="s">
        <v>18210</v>
      </c>
      <c r="I7749" s="30" t="s">
        <v>16310</v>
      </c>
    </row>
    <row r="7750" spans="1:9" ht="33" customHeight="1">
      <c r="A7750" s="5"/>
      <c r="B7750" s="5" t="str">
        <f>CONCATENATE(G7750,"/",COUNTIF($G$2:G7750,G7750))</f>
        <v>SE-6334/1</v>
      </c>
      <c r="C7750" s="5" t="s">
        <v>44450</v>
      </c>
      <c r="D7750" s="246">
        <v>44606</v>
      </c>
      <c r="E7750" s="5" t="s">
        <v>44451</v>
      </c>
      <c r="F7750" s="26" t="s">
        <v>23600</v>
      </c>
      <c r="G7750" s="27" t="s">
        <v>18068</v>
      </c>
      <c r="H7750" s="29" t="s">
        <v>18069</v>
      </c>
      <c r="I7750" s="30" t="s">
        <v>18070</v>
      </c>
    </row>
    <row r="7751" spans="1:9" ht="33" customHeight="1">
      <c r="A7751" s="5"/>
      <c r="B7751" s="5" t="str">
        <f>CONCATENATE(G7751,"/",COUNTIF($G$2:G7751,G7751))</f>
        <v>SE-6334/2</v>
      </c>
      <c r="C7751" s="5" t="s">
        <v>44450</v>
      </c>
      <c r="D7751" s="246">
        <v>44606</v>
      </c>
      <c r="E7751" s="5" t="s">
        <v>44452</v>
      </c>
      <c r="F7751" s="26" t="s">
        <v>23600</v>
      </c>
      <c r="G7751" s="27" t="s">
        <v>18068</v>
      </c>
      <c r="H7751" s="29" t="s">
        <v>18069</v>
      </c>
      <c r="I7751" s="30" t="s">
        <v>18070</v>
      </c>
    </row>
    <row r="7752" spans="1:9" ht="33" customHeight="1">
      <c r="A7752" s="5"/>
      <c r="B7752" s="5" t="str">
        <f>CONCATENATE(G7752,"/",COUNTIF($G$2:G7752,G7752))</f>
        <v>SE-6334/3</v>
      </c>
      <c r="C7752" s="5" t="s">
        <v>44453</v>
      </c>
      <c r="D7752" s="246">
        <v>44606</v>
      </c>
      <c r="E7752" s="5" t="s">
        <v>44454</v>
      </c>
      <c r="F7752" s="26" t="s">
        <v>23600</v>
      </c>
      <c r="G7752" s="27" t="s">
        <v>18068</v>
      </c>
      <c r="H7752" s="29" t="s">
        <v>18069</v>
      </c>
      <c r="I7752" s="30" t="s">
        <v>18070</v>
      </c>
    </row>
    <row r="7753" spans="1:9" ht="33" customHeight="1">
      <c r="A7753" s="5"/>
      <c r="B7753" s="5" t="str">
        <f>CONCATENATE(G7753,"/",COUNTIF($G$2:G7753,G7753))</f>
        <v>SE-6334/4</v>
      </c>
      <c r="C7753" s="5" t="s">
        <v>44455</v>
      </c>
      <c r="D7753" s="246">
        <v>44606</v>
      </c>
      <c r="E7753" s="5" t="s">
        <v>44456</v>
      </c>
      <c r="F7753" s="26" t="s">
        <v>23600</v>
      </c>
      <c r="G7753" s="27" t="s">
        <v>18068</v>
      </c>
      <c r="H7753" s="29" t="s">
        <v>18069</v>
      </c>
      <c r="I7753" s="30" t="s">
        <v>18070</v>
      </c>
    </row>
    <row r="7754" spans="1:9" ht="33" customHeight="1">
      <c r="A7754" s="5"/>
      <c r="B7754" s="5" t="str">
        <f>CONCATENATE(G7754,"/",COUNTIF($G$2:G7754,G7754))</f>
        <v>SE-6334/5</v>
      </c>
      <c r="C7754" s="5" t="s">
        <v>44457</v>
      </c>
      <c r="D7754" s="246">
        <v>44606</v>
      </c>
      <c r="E7754" s="5" t="s">
        <v>44458</v>
      </c>
      <c r="F7754" s="26" t="s">
        <v>23600</v>
      </c>
      <c r="G7754" s="27" t="s">
        <v>18068</v>
      </c>
      <c r="H7754" s="29" t="s">
        <v>18069</v>
      </c>
      <c r="I7754" s="30" t="s">
        <v>18070</v>
      </c>
    </row>
    <row r="7755" spans="1:9" ht="33" customHeight="1">
      <c r="A7755" s="5"/>
      <c r="B7755" s="5" t="str">
        <f>CONCATENATE(G7755,"/",COUNTIF($G$2:G7755,G7755))</f>
        <v>FR-10153/1</v>
      </c>
      <c r="C7755" s="5" t="s">
        <v>44459</v>
      </c>
      <c r="D7755" s="246">
        <v>44944</v>
      </c>
      <c r="E7755" s="5" t="s">
        <v>44460</v>
      </c>
      <c r="F7755" s="26" t="s">
        <v>23600</v>
      </c>
      <c r="G7755" s="36" t="s">
        <v>19487</v>
      </c>
      <c r="H7755" s="38" t="s">
        <v>19488</v>
      </c>
      <c r="I7755" s="46" t="s">
        <v>16310</v>
      </c>
    </row>
    <row r="7756" spans="1:9" ht="33" customHeight="1">
      <c r="A7756" s="5"/>
      <c r="B7756" s="5" t="str">
        <f>CONCATENATE(G7756,"/",COUNTIF($G$2:G7756,G7756))</f>
        <v>FR-10153/2</v>
      </c>
      <c r="C7756" s="5" t="s">
        <v>44461</v>
      </c>
      <c r="D7756" s="246">
        <v>44944</v>
      </c>
      <c r="E7756" s="5" t="s">
        <v>44462</v>
      </c>
      <c r="F7756" s="26" t="s">
        <v>23600</v>
      </c>
      <c r="G7756" s="36" t="s">
        <v>19487</v>
      </c>
      <c r="H7756" s="38" t="s">
        <v>19488</v>
      </c>
      <c r="I7756" s="46" t="s">
        <v>16310</v>
      </c>
    </row>
    <row r="7757" spans="1:9" ht="26.5" customHeight="1">
      <c r="A7757" s="5"/>
      <c r="B7757" s="5" t="str">
        <f>CONCATENATE(G7757,"/",COUNTIF($G$2:G7757,G7757))</f>
        <v>PL-6348/1</v>
      </c>
      <c r="C7757" s="5" t="s">
        <v>44463</v>
      </c>
      <c r="D7757" s="246">
        <v>44959</v>
      </c>
      <c r="E7757" s="5" t="s">
        <v>44464</v>
      </c>
      <c r="F7757" s="26" t="s">
        <v>23600</v>
      </c>
      <c r="G7757" s="27" t="s">
        <v>17055</v>
      </c>
      <c r="H7757" s="29" t="s">
        <v>17056</v>
      </c>
      <c r="I7757" s="30" t="s">
        <v>17057</v>
      </c>
    </row>
    <row r="7758" spans="1:9" ht="26.5" customHeight="1">
      <c r="A7758" s="5"/>
      <c r="B7758" s="5" t="str">
        <f>CONCATENATE(G7758,"/",COUNTIF($G$2:G7758,G7758))</f>
        <v>PL-6348/2</v>
      </c>
      <c r="C7758" s="5" t="s">
        <v>44465</v>
      </c>
      <c r="D7758" s="246">
        <v>44959</v>
      </c>
      <c r="E7758" s="5" t="s">
        <v>44466</v>
      </c>
      <c r="F7758" s="26" t="s">
        <v>23600</v>
      </c>
      <c r="G7758" s="27" t="s">
        <v>17055</v>
      </c>
      <c r="H7758" s="29" t="s">
        <v>17056</v>
      </c>
      <c r="I7758" s="30" t="s">
        <v>17057</v>
      </c>
    </row>
    <row r="7759" spans="1:9" ht="26.5" customHeight="1">
      <c r="A7759" s="5"/>
      <c r="B7759" s="5" t="str">
        <f>CONCATENATE(G7759,"/",COUNTIF($G$2:G7759,G7759))</f>
        <v>PL-6348/3</v>
      </c>
      <c r="C7759" s="5" t="s">
        <v>44467</v>
      </c>
      <c r="D7759" s="246">
        <v>44959</v>
      </c>
      <c r="E7759" s="5" t="s">
        <v>44468</v>
      </c>
      <c r="F7759" s="26" t="s">
        <v>23600</v>
      </c>
      <c r="G7759" s="27" t="s">
        <v>17055</v>
      </c>
      <c r="H7759" s="29" t="s">
        <v>17056</v>
      </c>
      <c r="I7759" s="30" t="s">
        <v>17057</v>
      </c>
    </row>
    <row r="7760" spans="1:9" ht="26.5" customHeight="1">
      <c r="A7760" s="5"/>
      <c r="B7760" s="5" t="str">
        <f>CONCATENATE(G7760,"/",COUNTIF($G$2:G7760,G7760))</f>
        <v>PL-6348/4</v>
      </c>
      <c r="C7760" s="5" t="s">
        <v>44469</v>
      </c>
      <c r="D7760" s="246">
        <v>44959</v>
      </c>
      <c r="E7760" s="5" t="s">
        <v>44470</v>
      </c>
      <c r="F7760" s="26" t="s">
        <v>23600</v>
      </c>
      <c r="G7760" s="27" t="s">
        <v>17055</v>
      </c>
      <c r="H7760" s="29" t="s">
        <v>17056</v>
      </c>
      <c r="I7760" s="30" t="s">
        <v>17057</v>
      </c>
    </row>
    <row r="7761" spans="1:9" ht="26.5" customHeight="1">
      <c r="A7761" s="5"/>
      <c r="B7761" s="5" t="str">
        <f>CONCATENATE(G7761,"/",COUNTIF($G$2:G7761,G7761))</f>
        <v>PL-6348/5</v>
      </c>
      <c r="C7761" s="5" t="s">
        <v>44471</v>
      </c>
      <c r="D7761" s="246">
        <v>44959</v>
      </c>
      <c r="E7761" s="5" t="s">
        <v>44472</v>
      </c>
      <c r="F7761" s="26" t="s">
        <v>23600</v>
      </c>
      <c r="G7761" s="27" t="s">
        <v>17055</v>
      </c>
      <c r="H7761" s="29" t="s">
        <v>17056</v>
      </c>
      <c r="I7761" s="30" t="s">
        <v>17057</v>
      </c>
    </row>
    <row r="7762" spans="1:9" ht="26.5" customHeight="1">
      <c r="A7762" s="5"/>
      <c r="B7762" s="5" t="str">
        <f>CONCATENATE(G7762,"/",COUNTIF($G$2:G7762,G7762))</f>
        <v>PL-6348/6</v>
      </c>
      <c r="C7762" s="5" t="s">
        <v>44473</v>
      </c>
      <c r="D7762" s="246">
        <v>44959</v>
      </c>
      <c r="E7762" s="5" t="s">
        <v>44474</v>
      </c>
      <c r="F7762" s="26" t="s">
        <v>23600</v>
      </c>
      <c r="G7762" s="27" t="s">
        <v>17055</v>
      </c>
      <c r="H7762" s="29" t="s">
        <v>17056</v>
      </c>
      <c r="I7762" s="30" t="s">
        <v>17057</v>
      </c>
    </row>
    <row r="7763" spans="1:9" ht="26.5" customHeight="1">
      <c r="A7763" s="5"/>
      <c r="B7763" s="5" t="str">
        <f>CONCATENATE(G7763,"/",COUNTIF($G$2:G7763,G7763))</f>
        <v>PL-6348/7</v>
      </c>
      <c r="C7763" s="5" t="s">
        <v>44475</v>
      </c>
      <c r="D7763" s="246">
        <v>44959</v>
      </c>
      <c r="E7763" s="5" t="s">
        <v>44476</v>
      </c>
      <c r="F7763" s="26" t="s">
        <v>23600</v>
      </c>
      <c r="G7763" s="27" t="s">
        <v>17055</v>
      </c>
      <c r="H7763" s="29" t="s">
        <v>17056</v>
      </c>
      <c r="I7763" s="30" t="s">
        <v>17057</v>
      </c>
    </row>
    <row r="7764" spans="1:9" ht="21.65" customHeight="1">
      <c r="A7764" s="5"/>
      <c r="B7764" s="5" t="str">
        <f>CONCATENATE(G7764,"/",COUNTIF($G$2:G7764,G7764))</f>
        <v>PL-6348/8</v>
      </c>
      <c r="C7764" s="5" t="s">
        <v>44477</v>
      </c>
      <c r="D7764" s="246">
        <v>44959</v>
      </c>
      <c r="E7764" s="5" t="s">
        <v>44478</v>
      </c>
      <c r="F7764" s="26" t="s">
        <v>23600</v>
      </c>
      <c r="G7764" s="27" t="s">
        <v>17055</v>
      </c>
      <c r="H7764" s="29" t="s">
        <v>17056</v>
      </c>
      <c r="I7764" s="30" t="s">
        <v>17057</v>
      </c>
    </row>
    <row r="7765" spans="1:9" ht="30.65" customHeight="1">
      <c r="A7765" s="5"/>
      <c r="B7765" s="5" t="str">
        <f>CONCATENATE(G7765,"/",COUNTIF($G$2:G7765,G7765))</f>
        <v>PL-6348/9</v>
      </c>
      <c r="C7765" s="5" t="s">
        <v>44479</v>
      </c>
      <c r="D7765" s="246">
        <v>44959</v>
      </c>
      <c r="E7765" s="5" t="s">
        <v>44480</v>
      </c>
      <c r="F7765" s="26" t="s">
        <v>23600</v>
      </c>
      <c r="G7765" s="27" t="s">
        <v>17055</v>
      </c>
      <c r="H7765" s="29" t="s">
        <v>17056</v>
      </c>
      <c r="I7765" s="30" t="s">
        <v>17057</v>
      </c>
    </row>
    <row r="7766" spans="1:9" ht="28.5" customHeight="1">
      <c r="A7766" s="5"/>
      <c r="B7766" s="5" t="str">
        <f>CONCATENATE(G7766,"/",COUNTIF($G$2:G7766,G7766))</f>
        <v>IT-6349/1</v>
      </c>
      <c r="C7766" s="5" t="s">
        <v>44481</v>
      </c>
      <c r="D7766" s="246">
        <v>44762</v>
      </c>
      <c r="E7766" s="5" t="s">
        <v>44482</v>
      </c>
      <c r="F7766" s="26" t="s">
        <v>23600</v>
      </c>
      <c r="G7766" s="27" t="s">
        <v>18129</v>
      </c>
      <c r="H7766" s="29" t="s">
        <v>18130</v>
      </c>
      <c r="I7766" s="30" t="s">
        <v>18131</v>
      </c>
    </row>
    <row r="7767" spans="1:9" ht="28.5" customHeight="1">
      <c r="A7767" s="5"/>
      <c r="B7767" s="5" t="str">
        <f>CONCATENATE(G7767,"/",COUNTIF($G$2:G7767,G7767))</f>
        <v>IT-6349/2</v>
      </c>
      <c r="C7767" s="5" t="s">
        <v>44483</v>
      </c>
      <c r="D7767" s="246">
        <v>44762</v>
      </c>
      <c r="E7767" s="5" t="s">
        <v>44484</v>
      </c>
      <c r="F7767" s="26" t="s">
        <v>23600</v>
      </c>
      <c r="G7767" s="27" t="s">
        <v>18129</v>
      </c>
      <c r="H7767" s="29" t="s">
        <v>18130</v>
      </c>
      <c r="I7767" s="30" t="s">
        <v>18131</v>
      </c>
    </row>
    <row r="7768" spans="1:9" ht="28.5" customHeight="1">
      <c r="A7768" s="5"/>
      <c r="B7768" s="5" t="str">
        <f>CONCATENATE(G7768,"/",COUNTIF($G$2:G7768,G7768))</f>
        <v>IT-6349/3</v>
      </c>
      <c r="C7768" s="5" t="s">
        <v>44485</v>
      </c>
      <c r="D7768" s="246">
        <v>44762</v>
      </c>
      <c r="E7768" s="5" t="s">
        <v>44486</v>
      </c>
      <c r="F7768" s="26" t="s">
        <v>23600</v>
      </c>
      <c r="G7768" s="27" t="s">
        <v>18129</v>
      </c>
      <c r="H7768" s="29" t="s">
        <v>18130</v>
      </c>
      <c r="I7768" s="30" t="s">
        <v>18131</v>
      </c>
    </row>
    <row r="7769" spans="1:9" ht="28.5" customHeight="1">
      <c r="A7769" s="5"/>
      <c r="B7769" s="5" t="str">
        <f>CONCATENATE(G7769,"/",COUNTIF($G$2:G7769,G7769))</f>
        <v>IT-6349/4</v>
      </c>
      <c r="C7769" s="5" t="s">
        <v>44487</v>
      </c>
      <c r="D7769" s="246">
        <v>44762</v>
      </c>
      <c r="E7769" s="5" t="s">
        <v>44488</v>
      </c>
      <c r="F7769" s="26" t="s">
        <v>23600</v>
      </c>
      <c r="G7769" s="27" t="s">
        <v>18129</v>
      </c>
      <c r="H7769" s="29" t="s">
        <v>18130</v>
      </c>
      <c r="I7769" s="30" t="s">
        <v>18131</v>
      </c>
    </row>
    <row r="7770" spans="1:9" ht="28.5" customHeight="1">
      <c r="A7770" s="5"/>
      <c r="B7770" s="5" t="str">
        <f>CONCATENATE(G7770,"/",COUNTIF($G$2:G7770,G7770))</f>
        <v>IT-6349/5</v>
      </c>
      <c r="C7770" s="5" t="s">
        <v>44489</v>
      </c>
      <c r="D7770" s="246">
        <v>44762</v>
      </c>
      <c r="E7770" s="5" t="s">
        <v>44490</v>
      </c>
      <c r="F7770" s="26" t="s">
        <v>23600</v>
      </c>
      <c r="G7770" s="27" t="s">
        <v>18129</v>
      </c>
      <c r="H7770" s="29" t="s">
        <v>18130</v>
      </c>
      <c r="I7770" s="30" t="s">
        <v>18131</v>
      </c>
    </row>
    <row r="7771" spans="1:9" ht="28.5" customHeight="1">
      <c r="A7771" s="5"/>
      <c r="B7771" s="5" t="str">
        <f>CONCATENATE(G7771,"/",COUNTIF($G$2:G7771,G7771))</f>
        <v>IT-6349/6</v>
      </c>
      <c r="C7771" s="5" t="s">
        <v>44491</v>
      </c>
      <c r="D7771" s="246">
        <v>44762</v>
      </c>
      <c r="E7771" s="5" t="s">
        <v>44492</v>
      </c>
      <c r="F7771" s="26" t="s">
        <v>23600</v>
      </c>
      <c r="G7771" s="27" t="s">
        <v>18129</v>
      </c>
      <c r="H7771" s="29" t="s">
        <v>18130</v>
      </c>
      <c r="I7771" s="30" t="s">
        <v>18131</v>
      </c>
    </row>
    <row r="7772" spans="1:9" ht="26.5" customHeight="1">
      <c r="A7772" s="5"/>
      <c r="B7772" s="5" t="str">
        <f>CONCATENATE(G7772,"/",COUNTIF($G$2:G7772,G7772))</f>
        <v>IT-10072/1</v>
      </c>
      <c r="C7772" s="5" t="s">
        <v>44493</v>
      </c>
      <c r="D7772" s="246">
        <v>44728</v>
      </c>
      <c r="E7772" s="5" t="s">
        <v>44494</v>
      </c>
      <c r="F7772" s="26" t="s">
        <v>23600</v>
      </c>
      <c r="G7772" s="36" t="s">
        <v>18660</v>
      </c>
      <c r="H7772" s="38" t="s">
        <v>18661</v>
      </c>
      <c r="I7772" s="46" t="s">
        <v>18131</v>
      </c>
    </row>
    <row r="7773" spans="1:9" ht="26.5" customHeight="1">
      <c r="A7773" s="5"/>
      <c r="B7773" s="5" t="str">
        <f>CONCATENATE(G7773,"/",COUNTIF($G$2:G7773,G7773))</f>
        <v>IT-10072/2</v>
      </c>
      <c r="C7773" s="5" t="s">
        <v>44495</v>
      </c>
      <c r="D7773" s="246">
        <v>44728</v>
      </c>
      <c r="E7773" s="5" t="s">
        <v>44496</v>
      </c>
      <c r="F7773" s="26" t="s">
        <v>23600</v>
      </c>
      <c r="G7773" s="36" t="s">
        <v>18660</v>
      </c>
      <c r="H7773" s="38" t="s">
        <v>18661</v>
      </c>
      <c r="I7773" s="46" t="s">
        <v>18131</v>
      </c>
    </row>
    <row r="7774" spans="1:9" ht="26.5" customHeight="1">
      <c r="A7774" s="5"/>
      <c r="B7774" s="5" t="str">
        <f>CONCATENATE(G7774,"/",COUNTIF($G$2:G7774,G7774))</f>
        <v>IT-10072/3</v>
      </c>
      <c r="C7774" s="5" t="s">
        <v>44497</v>
      </c>
      <c r="D7774" s="246">
        <v>44728</v>
      </c>
      <c r="E7774" s="5" t="s">
        <v>44498</v>
      </c>
      <c r="F7774" s="26" t="s">
        <v>23600</v>
      </c>
      <c r="G7774" s="36" t="s">
        <v>18660</v>
      </c>
      <c r="H7774" s="38" t="s">
        <v>18661</v>
      </c>
      <c r="I7774" s="46" t="s">
        <v>18131</v>
      </c>
    </row>
    <row r="7775" spans="1:9" ht="26.5" customHeight="1">
      <c r="A7775" s="5"/>
      <c r="B7775" s="5" t="str">
        <f>CONCATENATE(G7775,"/",COUNTIF($G$2:G7775,G7775))</f>
        <v>IT-10072/4</v>
      </c>
      <c r="C7775" s="5" t="s">
        <v>44499</v>
      </c>
      <c r="D7775" s="246">
        <v>44728</v>
      </c>
      <c r="E7775" s="5" t="s">
        <v>44500</v>
      </c>
      <c r="F7775" s="26" t="s">
        <v>23600</v>
      </c>
      <c r="G7775" s="36" t="s">
        <v>18660</v>
      </c>
      <c r="H7775" s="38" t="s">
        <v>18661</v>
      </c>
      <c r="I7775" s="46" t="s">
        <v>18131</v>
      </c>
    </row>
    <row r="7776" spans="1:9" ht="26.5" customHeight="1">
      <c r="A7776" s="5"/>
      <c r="B7776" s="5" t="str">
        <f>CONCATENATE(G7776,"/",COUNTIF($G$2:G7776,G7776))</f>
        <v>IT-10072/5</v>
      </c>
      <c r="C7776" s="5" t="s">
        <v>44501</v>
      </c>
      <c r="D7776" s="246">
        <v>44728</v>
      </c>
      <c r="E7776" s="5" t="s">
        <v>44502</v>
      </c>
      <c r="F7776" s="26" t="s">
        <v>23600</v>
      </c>
      <c r="G7776" s="36" t="s">
        <v>18660</v>
      </c>
      <c r="H7776" s="38" t="s">
        <v>18661</v>
      </c>
      <c r="I7776" s="46" t="s">
        <v>18131</v>
      </c>
    </row>
    <row r="7777" spans="1:9" ht="26.5" customHeight="1">
      <c r="A7777" s="5"/>
      <c r="B7777" s="5" t="str">
        <f>CONCATENATE(G7777,"/",COUNTIF($G$2:G7777,G7777))</f>
        <v>IT-10072/6</v>
      </c>
      <c r="C7777" s="5" t="s">
        <v>44503</v>
      </c>
      <c r="D7777" s="246">
        <v>44728</v>
      </c>
      <c r="E7777" s="5" t="s">
        <v>44504</v>
      </c>
      <c r="F7777" s="26" t="s">
        <v>23600</v>
      </c>
      <c r="G7777" s="36" t="s">
        <v>18660</v>
      </c>
      <c r="H7777" s="38" t="s">
        <v>18661</v>
      </c>
      <c r="I7777" s="46" t="s">
        <v>18131</v>
      </c>
    </row>
    <row r="7778" spans="1:9" ht="26.5" customHeight="1">
      <c r="A7778" s="5"/>
      <c r="B7778" s="5" t="str">
        <f>CONCATENATE(G7778,"/",COUNTIF($G$2:G7778,G7778))</f>
        <v>IT-10072/7</v>
      </c>
      <c r="C7778" s="5" t="s">
        <v>44505</v>
      </c>
      <c r="D7778" s="246">
        <v>44728</v>
      </c>
      <c r="E7778" s="5" t="s">
        <v>44506</v>
      </c>
      <c r="F7778" s="26" t="s">
        <v>23600</v>
      </c>
      <c r="G7778" s="36" t="s">
        <v>18660</v>
      </c>
      <c r="H7778" s="38" t="s">
        <v>18661</v>
      </c>
      <c r="I7778" s="46" t="s">
        <v>18131</v>
      </c>
    </row>
    <row r="7779" spans="1:9" ht="33.65" customHeight="1">
      <c r="A7779" s="5"/>
      <c r="B7779" s="5" t="str">
        <f>CONCATENATE(G7779,"/",COUNTIF($G$2:G7779,G7779))</f>
        <v>IT-10168/1</v>
      </c>
      <c r="C7779" s="5" t="s">
        <v>44507</v>
      </c>
      <c r="D7779" s="246">
        <v>44888</v>
      </c>
      <c r="E7779" s="5" t="s">
        <v>44508</v>
      </c>
      <c r="F7779" s="26" t="s">
        <v>23600</v>
      </c>
      <c r="G7779" s="36" t="s">
        <v>19530</v>
      </c>
      <c r="H7779" s="38" t="s">
        <v>19531</v>
      </c>
      <c r="I7779" s="46" t="s">
        <v>18131</v>
      </c>
    </row>
    <row r="7780" spans="1:9" ht="33.65" customHeight="1">
      <c r="A7780" s="5"/>
      <c r="B7780" s="5" t="str">
        <f>CONCATENATE(G7780,"/",COUNTIF($G$2:G7780,G7780))</f>
        <v>IT-10168/2</v>
      </c>
      <c r="C7780" s="5" t="s">
        <v>44509</v>
      </c>
      <c r="D7780" s="246">
        <v>44888</v>
      </c>
      <c r="E7780" s="5" t="s">
        <v>44510</v>
      </c>
      <c r="F7780" s="26" t="s">
        <v>23600</v>
      </c>
      <c r="G7780" s="36" t="s">
        <v>19530</v>
      </c>
      <c r="H7780" s="38" t="s">
        <v>19531</v>
      </c>
      <c r="I7780" s="46" t="s">
        <v>18131</v>
      </c>
    </row>
    <row r="7781" spans="1:9" ht="33.65" customHeight="1">
      <c r="A7781" s="5"/>
      <c r="B7781" s="5" t="str">
        <f>CONCATENATE(G7781,"/",COUNTIF($G$2:G7781,G7781))</f>
        <v>IT-10168/3</v>
      </c>
      <c r="C7781" s="5" t="s">
        <v>44511</v>
      </c>
      <c r="D7781" s="246">
        <v>44888</v>
      </c>
      <c r="E7781" s="5" t="s">
        <v>44512</v>
      </c>
      <c r="F7781" s="26" t="s">
        <v>23600</v>
      </c>
      <c r="G7781" s="36" t="s">
        <v>19530</v>
      </c>
      <c r="H7781" s="38" t="s">
        <v>19531</v>
      </c>
      <c r="I7781" s="46" t="s">
        <v>18131</v>
      </c>
    </row>
    <row r="7782" spans="1:9" ht="33.65" customHeight="1">
      <c r="A7782" s="5"/>
      <c r="B7782" s="5" t="str">
        <f>CONCATENATE(G7782,"/",COUNTIF($G$2:G7782,G7782))</f>
        <v>IT-10168/4</v>
      </c>
      <c r="C7782" s="5" t="s">
        <v>44513</v>
      </c>
      <c r="D7782" s="246">
        <v>44888</v>
      </c>
      <c r="E7782" s="5" t="s">
        <v>44514</v>
      </c>
      <c r="F7782" s="26" t="s">
        <v>23600</v>
      </c>
      <c r="G7782" s="36" t="s">
        <v>19530</v>
      </c>
      <c r="H7782" s="38" t="s">
        <v>19531</v>
      </c>
      <c r="I7782" s="46" t="s">
        <v>18131</v>
      </c>
    </row>
    <row r="7783" spans="1:9" ht="35.9" customHeight="1">
      <c r="A7783" s="5"/>
      <c r="B7783" s="5" t="str">
        <f>CONCATENATE(G7783,"/",COUNTIF($G$2:G7783,G7783))</f>
        <v>DE-6329/1</v>
      </c>
      <c r="C7783" s="5" t="s">
        <v>44515</v>
      </c>
      <c r="D7783" s="246">
        <v>44040</v>
      </c>
      <c r="E7783" s="5" t="s">
        <v>44516</v>
      </c>
      <c r="F7783" s="26" t="s">
        <v>25439</v>
      </c>
      <c r="G7783" s="27" t="s">
        <v>17786</v>
      </c>
      <c r="H7783" s="29" t="s">
        <v>17787</v>
      </c>
      <c r="I7783" s="30" t="s">
        <v>582</v>
      </c>
    </row>
    <row r="7784" spans="1:9" ht="33.65" customHeight="1">
      <c r="A7784" s="5"/>
      <c r="B7784" s="5" t="str">
        <f>CONCATENATE(G7784,"/",COUNTIF($G$2:G7784,G7784))</f>
        <v>NO-10128/1</v>
      </c>
      <c r="C7784" s="5" t="s">
        <v>44517</v>
      </c>
      <c r="D7784" s="246">
        <v>44987</v>
      </c>
      <c r="E7784" s="5" t="s">
        <v>44518</v>
      </c>
      <c r="F7784" s="26" t="s">
        <v>23600</v>
      </c>
      <c r="G7784" s="36" t="s">
        <v>19367</v>
      </c>
      <c r="H7784" s="28" t="s">
        <v>19368</v>
      </c>
      <c r="I7784" s="5" t="s">
        <v>17344</v>
      </c>
    </row>
    <row r="7785" spans="1:9" ht="29.5" customHeight="1">
      <c r="A7785" s="5"/>
      <c r="B7785" s="5" t="str">
        <f>CONCATENATE(G7785,"/",COUNTIF($G$2:G7785,G7785))</f>
        <v>HU-3032/1</v>
      </c>
      <c r="C7785" s="5" t="s">
        <v>44519</v>
      </c>
      <c r="D7785" s="246">
        <v>42185</v>
      </c>
      <c r="E7785" s="5" t="s">
        <v>44520</v>
      </c>
      <c r="F7785" s="26" t="s">
        <v>23600</v>
      </c>
      <c r="G7785" s="27" t="s">
        <v>9395</v>
      </c>
      <c r="H7785" s="29" t="s">
        <v>9396</v>
      </c>
      <c r="I7785" s="30" t="s">
        <v>835</v>
      </c>
    </row>
    <row r="7786" spans="1:9" ht="29.5" customHeight="1">
      <c r="A7786" s="5"/>
      <c r="B7786" s="5" t="str">
        <f>CONCATENATE(G7786,"/",COUNTIF($G$2:G7786,G7786))</f>
        <v>HU-3032/2</v>
      </c>
      <c r="C7786" s="5" t="s">
        <v>44521</v>
      </c>
      <c r="D7786" s="246">
        <v>42185</v>
      </c>
      <c r="E7786" s="5" t="s">
        <v>44522</v>
      </c>
      <c r="F7786" s="26" t="s">
        <v>23600</v>
      </c>
      <c r="G7786" s="27" t="s">
        <v>9395</v>
      </c>
      <c r="H7786" s="29" t="s">
        <v>9396</v>
      </c>
      <c r="I7786" s="30" t="s">
        <v>835</v>
      </c>
    </row>
    <row r="7787" spans="1:9" ht="33" customHeight="1">
      <c r="A7787" s="5"/>
      <c r="B7787" s="5" t="str">
        <f>CONCATENATE(G7787,"/",COUNTIF($G$2:G7787,G7787))</f>
        <v>HU-6165/1</v>
      </c>
      <c r="C7787" s="5" t="s">
        <v>44523</v>
      </c>
      <c r="D7787" s="246">
        <v>44180</v>
      </c>
      <c r="E7787" s="5" t="s">
        <v>44524</v>
      </c>
      <c r="F7787" s="26" t="s">
        <v>23600</v>
      </c>
      <c r="G7787" s="27" t="s">
        <v>17124</v>
      </c>
      <c r="H7787" s="29" t="s">
        <v>17125</v>
      </c>
      <c r="I7787" s="30" t="s">
        <v>835</v>
      </c>
    </row>
    <row r="7788" spans="1:9" ht="31.5" customHeight="1">
      <c r="A7788" s="5"/>
      <c r="B7788" s="5" t="str">
        <f>CONCATENATE(G7788,"/",COUNTIF($G$2:G7788,G7788))</f>
        <v>HU-6350/1</v>
      </c>
      <c r="C7788" s="5" t="s">
        <v>44525</v>
      </c>
      <c r="D7788" s="246">
        <v>44180</v>
      </c>
      <c r="E7788" s="5" t="s">
        <v>44526</v>
      </c>
      <c r="F7788" s="26" t="s">
        <v>23600</v>
      </c>
      <c r="G7788" s="27" t="s">
        <v>17408</v>
      </c>
      <c r="H7788" s="29" t="s">
        <v>17409</v>
      </c>
      <c r="I7788" s="30" t="s">
        <v>835</v>
      </c>
    </row>
    <row r="7789" spans="1:9" ht="33" customHeight="1">
      <c r="A7789" s="5"/>
      <c r="B7789" s="5" t="str">
        <f>CONCATENATE(G7789,"/",COUNTIF($G$2:G7789,G7789))</f>
        <v>HU-6310/1</v>
      </c>
      <c r="C7789" s="5" t="s">
        <v>44527</v>
      </c>
      <c r="D7789" s="246">
        <v>44628</v>
      </c>
      <c r="E7789" s="5" t="s">
        <v>44528</v>
      </c>
      <c r="F7789" s="26" t="s">
        <v>43282</v>
      </c>
      <c r="G7789" s="27" t="s">
        <v>18035</v>
      </c>
      <c r="H7789" s="29" t="s">
        <v>18036</v>
      </c>
      <c r="I7789" s="30" t="s">
        <v>835</v>
      </c>
    </row>
    <row r="7790" spans="1:9" ht="31" customHeight="1">
      <c r="A7790" s="5"/>
      <c r="B7790" s="5" t="str">
        <f>CONCATENATE(G7790,"/",COUNTIF($G$2:G7790,G7790))</f>
        <v>HU-6374/1</v>
      </c>
      <c r="C7790" s="5" t="s">
        <v>44529</v>
      </c>
      <c r="D7790" s="246">
        <v>44628</v>
      </c>
      <c r="E7790" s="5" t="s">
        <v>44530</v>
      </c>
      <c r="F7790" s="26" t="s">
        <v>43282</v>
      </c>
      <c r="G7790" s="27" t="s">
        <v>18380</v>
      </c>
      <c r="H7790" s="44" t="s">
        <v>18381</v>
      </c>
      <c r="I7790" s="45" t="s">
        <v>835</v>
      </c>
    </row>
    <row r="7791" spans="1:9" ht="31" customHeight="1">
      <c r="A7791" s="5"/>
      <c r="B7791" s="5" t="str">
        <f>CONCATENATE(G7791,"/",COUNTIF($G$2:G7791,G7791))</f>
        <v>HU-10032/1</v>
      </c>
      <c r="C7791" s="5" t="s">
        <v>44531</v>
      </c>
      <c r="D7791" s="246">
        <v>44628</v>
      </c>
      <c r="E7791" s="5" t="s">
        <v>44532</v>
      </c>
      <c r="F7791" s="26" t="s">
        <v>43282</v>
      </c>
      <c r="G7791" s="36" t="s">
        <v>18582</v>
      </c>
      <c r="H7791" s="38" t="s">
        <v>18583</v>
      </c>
      <c r="I7791" s="46" t="s">
        <v>17578</v>
      </c>
    </row>
    <row r="7792" spans="1:9" ht="27.65" customHeight="1">
      <c r="A7792" s="5"/>
      <c r="B7792" s="5" t="str">
        <f>CONCATENATE(G7792,"/",COUNTIF($G$2:G7792,G7792))</f>
        <v>HU-10161/1</v>
      </c>
      <c r="C7792" s="5" t="s">
        <v>44533</v>
      </c>
      <c r="D7792" s="246">
        <v>44908</v>
      </c>
      <c r="E7792" s="5" t="s">
        <v>44534</v>
      </c>
      <c r="F7792" s="26" t="s">
        <v>43282</v>
      </c>
      <c r="G7792" s="36" t="s">
        <v>19560</v>
      </c>
      <c r="H7792" s="38" t="s">
        <v>19561</v>
      </c>
      <c r="I7792" s="46" t="s">
        <v>17578</v>
      </c>
    </row>
    <row r="7793" spans="1:9" ht="27.65" customHeight="1">
      <c r="A7793" s="5"/>
      <c r="B7793" s="5" t="str">
        <f>CONCATENATE(G7793,"/",COUNTIF($G$2:G7793,G7793))</f>
        <v>HU-10171/1</v>
      </c>
      <c r="C7793" s="5" t="s">
        <v>44535</v>
      </c>
      <c r="D7793" s="246">
        <v>44747</v>
      </c>
      <c r="E7793" s="5" t="s">
        <v>44536</v>
      </c>
      <c r="F7793" s="26" t="s">
        <v>43282</v>
      </c>
      <c r="G7793" s="36" t="s">
        <v>18246</v>
      </c>
      <c r="H7793" s="38" t="s">
        <v>18247</v>
      </c>
      <c r="I7793" s="46" t="s">
        <v>17578</v>
      </c>
    </row>
    <row r="7794" spans="1:9" ht="32.15" customHeight="1">
      <c r="A7794" s="5"/>
      <c r="B7794" s="5" t="str">
        <f>CONCATENATE(G7794,"/",COUNTIF($G$2:G7794,G7794))</f>
        <v>HU-10198/1</v>
      </c>
      <c r="C7794" s="5" t="s">
        <v>44537</v>
      </c>
      <c r="D7794" s="246">
        <v>44747</v>
      </c>
      <c r="E7794" s="5" t="s">
        <v>44538</v>
      </c>
      <c r="F7794" s="26" t="s">
        <v>43282</v>
      </c>
      <c r="G7794" s="36" t="s">
        <v>18990</v>
      </c>
      <c r="H7794" s="38" t="s">
        <v>18991</v>
      </c>
      <c r="I7794" s="46" t="s">
        <v>17578</v>
      </c>
    </row>
    <row r="7795" spans="1:9" ht="35.15" customHeight="1">
      <c r="A7795" s="5"/>
      <c r="B7795" s="5" t="str">
        <f>CONCATENATE(G7795,"/",COUNTIF($G$2:G7795,G7795))</f>
        <v>ES-10306/1</v>
      </c>
      <c r="C7795" s="5" t="s">
        <v>44539</v>
      </c>
      <c r="D7795" s="246">
        <v>45001</v>
      </c>
      <c r="E7795" s="5" t="s">
        <v>44540</v>
      </c>
      <c r="F7795" s="26" t="s">
        <v>23600</v>
      </c>
      <c r="G7795" s="36" t="s">
        <v>20334</v>
      </c>
      <c r="H7795" s="55" t="s">
        <v>20335</v>
      </c>
      <c r="I7795" s="56" t="s">
        <v>17820</v>
      </c>
    </row>
    <row r="7796" spans="1:9" ht="35.15" customHeight="1">
      <c r="A7796" s="5"/>
      <c r="B7796" s="5" t="str">
        <f>CONCATENATE(G7796,"/",COUNTIF($G$2:G7796,G7796))</f>
        <v>ES-10306/2</v>
      </c>
      <c r="C7796" s="5" t="s">
        <v>44541</v>
      </c>
      <c r="D7796" s="246">
        <v>45001</v>
      </c>
      <c r="E7796" s="5" t="s">
        <v>44542</v>
      </c>
      <c r="F7796" s="26" t="s">
        <v>23600</v>
      </c>
      <c r="G7796" s="36" t="s">
        <v>20334</v>
      </c>
      <c r="H7796" s="55" t="s">
        <v>20335</v>
      </c>
      <c r="I7796" s="56" t="s">
        <v>17820</v>
      </c>
    </row>
    <row r="7797" spans="1:9" ht="35.15" customHeight="1">
      <c r="A7797" s="5"/>
      <c r="B7797" s="5" t="str">
        <f>CONCATENATE(G7797,"/",COUNTIF($G$2:G7797,G7797))</f>
        <v>ES-10306/3</v>
      </c>
      <c r="C7797" s="5" t="s">
        <v>44543</v>
      </c>
      <c r="D7797" s="246">
        <v>45001</v>
      </c>
      <c r="E7797" s="5" t="s">
        <v>44544</v>
      </c>
      <c r="F7797" s="26" t="s">
        <v>23600</v>
      </c>
      <c r="G7797" s="36" t="s">
        <v>20334</v>
      </c>
      <c r="H7797" s="55" t="s">
        <v>20335</v>
      </c>
      <c r="I7797" s="56" t="s">
        <v>17820</v>
      </c>
    </row>
    <row r="7798" spans="1:9" ht="35.15" customHeight="1">
      <c r="A7798" s="5"/>
      <c r="B7798" s="5" t="str">
        <f>CONCATENATE(G7798,"/",COUNTIF($G$2:G7798,G7798))</f>
        <v>ES-10306/4</v>
      </c>
      <c r="C7798" s="5" t="s">
        <v>44545</v>
      </c>
      <c r="D7798" s="246">
        <v>45001</v>
      </c>
      <c r="E7798" s="5" t="s">
        <v>44546</v>
      </c>
      <c r="F7798" s="26" t="s">
        <v>23600</v>
      </c>
      <c r="G7798" s="36" t="s">
        <v>20334</v>
      </c>
      <c r="H7798" s="55" t="s">
        <v>20335</v>
      </c>
      <c r="I7798" s="56" t="s">
        <v>17820</v>
      </c>
    </row>
    <row r="7799" spans="1:9" ht="29.5" customHeight="1">
      <c r="A7799" s="5"/>
      <c r="B7799" s="5" t="str">
        <f>CONCATENATE(G7799,"/",COUNTIF($G$2:G7799,G7799))</f>
        <v>RO-10207/1</v>
      </c>
      <c r="C7799" s="5" t="s">
        <v>44547</v>
      </c>
      <c r="D7799" s="246">
        <v>45006</v>
      </c>
      <c r="E7799" s="5" t="s">
        <v>44548</v>
      </c>
      <c r="F7799" s="26" t="s">
        <v>23600</v>
      </c>
      <c r="G7799" s="36" t="s">
        <v>19914</v>
      </c>
      <c r="H7799" s="38" t="s">
        <v>19915</v>
      </c>
      <c r="I7799" s="46" t="s">
        <v>17682</v>
      </c>
    </row>
    <row r="7800" spans="1:9" ht="29.5" customHeight="1">
      <c r="A7800" s="5"/>
      <c r="B7800" s="5" t="str">
        <f>CONCATENATE(G7800,"/",COUNTIF($G$2:G7800,G7800))</f>
        <v>RO-10213/1</v>
      </c>
      <c r="C7800" s="5" t="s">
        <v>44549</v>
      </c>
      <c r="D7800" s="246">
        <v>45013</v>
      </c>
      <c r="E7800" s="5" t="s">
        <v>44550</v>
      </c>
      <c r="F7800" s="26" t="s">
        <v>23600</v>
      </c>
      <c r="G7800" s="36" t="s">
        <v>19956</v>
      </c>
      <c r="H7800" s="38" t="s">
        <v>19957</v>
      </c>
      <c r="I7800" s="46" t="s">
        <v>17682</v>
      </c>
    </row>
    <row r="7801" spans="1:9" ht="27.65" customHeight="1">
      <c r="A7801" s="5"/>
      <c r="B7801" s="5" t="str">
        <f>CONCATENATE(G7801,"/",COUNTIF($G$2:G7801,G7801))</f>
        <v>IE-10375/1</v>
      </c>
      <c r="C7801" s="5" t="s">
        <v>44551</v>
      </c>
      <c r="D7801" s="246">
        <v>44980</v>
      </c>
      <c r="E7801" s="5" t="s">
        <v>44552</v>
      </c>
      <c r="F7801" s="26" t="s">
        <v>23600</v>
      </c>
      <c r="G7801" s="36" t="s">
        <v>19322</v>
      </c>
      <c r="H7801" s="55" t="s">
        <v>19323</v>
      </c>
      <c r="I7801" s="56" t="s">
        <v>19136</v>
      </c>
    </row>
    <row r="7802" spans="1:9" ht="27.65" customHeight="1">
      <c r="A7802" s="5"/>
      <c r="B7802" s="5" t="str">
        <f>CONCATENATE(G7802,"/",COUNTIF($G$2:G7802,G7802))</f>
        <v>IE-10375/2</v>
      </c>
      <c r="C7802" s="5" t="s">
        <v>44553</v>
      </c>
      <c r="D7802" s="246">
        <v>44980</v>
      </c>
      <c r="E7802" s="5" t="s">
        <v>44554</v>
      </c>
      <c r="F7802" s="26" t="s">
        <v>23600</v>
      </c>
      <c r="G7802" s="36" t="s">
        <v>19322</v>
      </c>
      <c r="H7802" s="55" t="s">
        <v>19323</v>
      </c>
      <c r="I7802" s="56" t="s">
        <v>19136</v>
      </c>
    </row>
    <row r="7803" spans="1:9" ht="27.65" customHeight="1">
      <c r="A7803" s="5"/>
      <c r="B7803" s="5" t="str">
        <f>CONCATENATE(G7803,"/",COUNTIF($G$2:G7803,G7803))</f>
        <v>IE-10375/3</v>
      </c>
      <c r="C7803" s="5" t="s">
        <v>44555</v>
      </c>
      <c r="D7803" s="246">
        <v>44980</v>
      </c>
      <c r="E7803" s="5" t="s">
        <v>44556</v>
      </c>
      <c r="F7803" s="26" t="s">
        <v>23600</v>
      </c>
      <c r="G7803" s="36" t="s">
        <v>19322</v>
      </c>
      <c r="H7803" s="55" t="s">
        <v>19323</v>
      </c>
      <c r="I7803" s="56" t="s">
        <v>19136</v>
      </c>
    </row>
    <row r="7804" spans="1:9" ht="27.65" customHeight="1">
      <c r="A7804" s="5"/>
      <c r="B7804" s="5" t="str">
        <f>CONCATENATE(G7804,"/",COUNTIF($G$2:G7804,G7804))</f>
        <v>IE-10375/4</v>
      </c>
      <c r="C7804" s="5" t="s">
        <v>44557</v>
      </c>
      <c r="D7804" s="246">
        <v>44980</v>
      </c>
      <c r="E7804" s="5" t="s">
        <v>44558</v>
      </c>
      <c r="F7804" s="26" t="s">
        <v>23600</v>
      </c>
      <c r="G7804" s="36" t="s">
        <v>19322</v>
      </c>
      <c r="H7804" s="55" t="s">
        <v>19323</v>
      </c>
      <c r="I7804" s="56" t="s">
        <v>19136</v>
      </c>
    </row>
    <row r="7805" spans="1:9" ht="27.65" customHeight="1">
      <c r="A7805" s="5"/>
      <c r="B7805" s="5" t="str">
        <f>CONCATENATE(G7805,"/",COUNTIF($G$2:G7805,G7805))</f>
        <v>IE-10375/5</v>
      </c>
      <c r="C7805" s="5" t="s">
        <v>44559</v>
      </c>
      <c r="D7805" s="246">
        <v>44980</v>
      </c>
      <c r="E7805" s="5" t="s">
        <v>44560</v>
      </c>
      <c r="F7805" s="26" t="s">
        <v>23600</v>
      </c>
      <c r="G7805" s="36" t="s">
        <v>19322</v>
      </c>
      <c r="H7805" s="55" t="s">
        <v>19323</v>
      </c>
      <c r="I7805" s="56" t="s">
        <v>19136</v>
      </c>
    </row>
    <row r="7806" spans="1:9" ht="27.65" customHeight="1">
      <c r="A7806" s="5"/>
      <c r="B7806" s="5" t="str">
        <f>CONCATENATE(G7806,"/",COUNTIF($G$2:G7806,G7806))</f>
        <v>IE-10375/6</v>
      </c>
      <c r="C7806" s="5" t="s">
        <v>44561</v>
      </c>
      <c r="D7806" s="246">
        <v>44980</v>
      </c>
      <c r="E7806" s="5" t="s">
        <v>44562</v>
      </c>
      <c r="F7806" s="26" t="s">
        <v>23600</v>
      </c>
      <c r="G7806" s="36" t="s">
        <v>19322</v>
      </c>
      <c r="H7806" s="55" t="s">
        <v>19323</v>
      </c>
      <c r="I7806" s="56" t="s">
        <v>19136</v>
      </c>
    </row>
    <row r="7807" spans="1:9" ht="27.65" customHeight="1">
      <c r="A7807" s="5"/>
      <c r="B7807" s="5" t="str">
        <f>CONCATENATE(G7807,"/",COUNTIF($G$2:G7807,G7807))</f>
        <v>IE-10375/7</v>
      </c>
      <c r="C7807" s="5" t="s">
        <v>44563</v>
      </c>
      <c r="D7807" s="246">
        <v>44980</v>
      </c>
      <c r="E7807" s="5" t="s">
        <v>44564</v>
      </c>
      <c r="F7807" s="26" t="s">
        <v>23600</v>
      </c>
      <c r="G7807" s="36" t="s">
        <v>19322</v>
      </c>
      <c r="H7807" s="55" t="s">
        <v>19323</v>
      </c>
      <c r="I7807" s="56" t="s">
        <v>19136</v>
      </c>
    </row>
    <row r="7808" spans="1:9" ht="22.5" customHeight="1">
      <c r="A7808" s="5"/>
      <c r="B7808" s="5" t="str">
        <f>CONCATENATE(G7808,"/",COUNTIF($G$2:G7808,G7808))</f>
        <v>IE-10397/1</v>
      </c>
      <c r="C7808" s="5" t="s">
        <v>44565</v>
      </c>
      <c r="D7808" s="246">
        <v>44973</v>
      </c>
      <c r="E7808" s="5" t="s">
        <v>44566</v>
      </c>
      <c r="F7808" s="26" t="s">
        <v>23600</v>
      </c>
      <c r="G7808" s="36" t="s">
        <v>19567</v>
      </c>
      <c r="H7808" s="55" t="s">
        <v>19568</v>
      </c>
      <c r="I7808" s="56" t="s">
        <v>19136</v>
      </c>
    </row>
    <row r="7809" spans="1:9" ht="22.5" customHeight="1">
      <c r="A7809" s="5"/>
      <c r="B7809" s="5" t="str">
        <f>CONCATENATE(G7809,"/",COUNTIF($G$2:G7809,G7809))</f>
        <v>IE-10397/2</v>
      </c>
      <c r="C7809" s="5" t="s">
        <v>44567</v>
      </c>
      <c r="D7809" s="246">
        <v>44973</v>
      </c>
      <c r="E7809" s="5" t="s">
        <v>44568</v>
      </c>
      <c r="F7809" s="26" t="s">
        <v>23600</v>
      </c>
      <c r="G7809" s="36" t="s">
        <v>19567</v>
      </c>
      <c r="H7809" s="55" t="s">
        <v>19568</v>
      </c>
      <c r="I7809" s="56" t="s">
        <v>19136</v>
      </c>
    </row>
    <row r="7810" spans="1:9" ht="22.5" customHeight="1">
      <c r="A7810" s="5"/>
      <c r="B7810" s="5" t="str">
        <f>CONCATENATE(G7810,"/",COUNTIF($G$2:G7810,G7810))</f>
        <v>IE-10397/3</v>
      </c>
      <c r="C7810" s="5" t="s">
        <v>44569</v>
      </c>
      <c r="D7810" s="246">
        <v>44973</v>
      </c>
      <c r="E7810" s="5" t="s">
        <v>44570</v>
      </c>
      <c r="F7810" s="26" t="s">
        <v>23600</v>
      </c>
      <c r="G7810" s="36" t="s">
        <v>19567</v>
      </c>
      <c r="H7810" s="55" t="s">
        <v>19568</v>
      </c>
      <c r="I7810" s="56" t="s">
        <v>19136</v>
      </c>
    </row>
    <row r="7811" spans="1:9" ht="22.5" customHeight="1">
      <c r="A7811" s="5"/>
      <c r="B7811" s="5" t="str">
        <f>CONCATENATE(G7811,"/",COUNTIF($G$2:G7811,G7811))</f>
        <v>IE-10397/4</v>
      </c>
      <c r="C7811" s="5" t="s">
        <v>44571</v>
      </c>
      <c r="D7811" s="246">
        <v>44973</v>
      </c>
      <c r="E7811" s="5" t="s">
        <v>44572</v>
      </c>
      <c r="F7811" s="26" t="s">
        <v>23600</v>
      </c>
      <c r="G7811" s="36" t="s">
        <v>19567</v>
      </c>
      <c r="H7811" s="55" t="s">
        <v>19568</v>
      </c>
      <c r="I7811" s="56" t="s">
        <v>19136</v>
      </c>
    </row>
    <row r="7812" spans="1:9" ht="22.5" customHeight="1">
      <c r="A7812" s="5"/>
      <c r="B7812" s="5" t="str">
        <f>CONCATENATE(G7812,"/",COUNTIF($G$2:G7812,G7812))</f>
        <v>IE-10397/5</v>
      </c>
      <c r="C7812" s="5" t="s">
        <v>44573</v>
      </c>
      <c r="D7812" s="246">
        <v>44973</v>
      </c>
      <c r="E7812" s="5" t="s">
        <v>44574</v>
      </c>
      <c r="F7812" s="26" t="s">
        <v>23600</v>
      </c>
      <c r="G7812" s="36" t="s">
        <v>19567</v>
      </c>
      <c r="H7812" s="55" t="s">
        <v>19568</v>
      </c>
      <c r="I7812" s="56" t="s">
        <v>19136</v>
      </c>
    </row>
    <row r="7813" spans="1:9" ht="22.5" customHeight="1">
      <c r="A7813" s="5"/>
      <c r="B7813" s="5" t="str">
        <f>CONCATENATE(G7813,"/",COUNTIF($G$2:G7813,G7813))</f>
        <v>IE-10397/6</v>
      </c>
      <c r="C7813" s="5" t="s">
        <v>44575</v>
      </c>
      <c r="D7813" s="246">
        <v>44973</v>
      </c>
      <c r="E7813" s="5" t="s">
        <v>44576</v>
      </c>
      <c r="F7813" s="26" t="s">
        <v>23600</v>
      </c>
      <c r="G7813" s="36" t="s">
        <v>19567</v>
      </c>
      <c r="H7813" s="55" t="s">
        <v>19568</v>
      </c>
      <c r="I7813" s="56" t="s">
        <v>19136</v>
      </c>
    </row>
    <row r="7814" spans="1:9" ht="22.5" customHeight="1">
      <c r="A7814" s="5"/>
      <c r="B7814" s="5" t="str">
        <f>CONCATENATE(G7814,"/",COUNTIF($G$2:G7814,G7814))</f>
        <v>IE-10397/7</v>
      </c>
      <c r="C7814" s="5" t="s">
        <v>44577</v>
      </c>
      <c r="D7814" s="246">
        <v>44973</v>
      </c>
      <c r="E7814" s="5" t="s">
        <v>44578</v>
      </c>
      <c r="F7814" s="26" t="s">
        <v>23600</v>
      </c>
      <c r="G7814" s="36" t="s">
        <v>19567</v>
      </c>
      <c r="H7814" s="55" t="s">
        <v>19568</v>
      </c>
      <c r="I7814" s="56" t="s">
        <v>19136</v>
      </c>
    </row>
    <row r="7815" spans="1:9" ht="22.5" customHeight="1">
      <c r="A7815" s="5"/>
      <c r="B7815" s="5" t="str">
        <f>CONCATENATE(G7815,"/",COUNTIF($G$2:G7815,G7815))</f>
        <v>IE-10397/8</v>
      </c>
      <c r="C7815" s="5" t="s">
        <v>44579</v>
      </c>
      <c r="D7815" s="246">
        <v>44973</v>
      </c>
      <c r="E7815" s="5" t="s">
        <v>44580</v>
      </c>
      <c r="F7815" s="26" t="s">
        <v>23600</v>
      </c>
      <c r="G7815" s="36" t="s">
        <v>19567</v>
      </c>
      <c r="H7815" s="55" t="s">
        <v>19568</v>
      </c>
      <c r="I7815" s="56" t="s">
        <v>19136</v>
      </c>
    </row>
    <row r="7816" spans="1:9" ht="22.5" customHeight="1">
      <c r="A7816" s="5"/>
      <c r="B7816" s="5" t="str">
        <f>CONCATENATE(G7816,"/",COUNTIF($G$2:G7816,G7816))</f>
        <v>IE-10397/9</v>
      </c>
      <c r="C7816" s="5" t="s">
        <v>44581</v>
      </c>
      <c r="D7816" s="246">
        <v>44973</v>
      </c>
      <c r="E7816" s="5" t="s">
        <v>44582</v>
      </c>
      <c r="F7816" s="26" t="s">
        <v>23600</v>
      </c>
      <c r="G7816" s="36" t="s">
        <v>19567</v>
      </c>
      <c r="H7816" s="55" t="s">
        <v>19568</v>
      </c>
      <c r="I7816" s="56" t="s">
        <v>19136</v>
      </c>
    </row>
    <row r="7817" spans="1:9" ht="22.5" customHeight="1">
      <c r="A7817" s="5"/>
      <c r="B7817" s="5" t="str">
        <f>CONCATENATE(G7817,"/",COUNTIF($G$2:G7817,G7817))</f>
        <v>IE-10397/10</v>
      </c>
      <c r="C7817" s="5" t="s">
        <v>44583</v>
      </c>
      <c r="D7817" s="246">
        <v>44973</v>
      </c>
      <c r="E7817" s="5" t="s">
        <v>44584</v>
      </c>
      <c r="F7817" s="26" t="s">
        <v>23600</v>
      </c>
      <c r="G7817" s="36" t="s">
        <v>19567</v>
      </c>
      <c r="H7817" s="55" t="s">
        <v>19568</v>
      </c>
      <c r="I7817" s="56" t="s">
        <v>19136</v>
      </c>
    </row>
    <row r="7818" spans="1:9" ht="22.5" customHeight="1">
      <c r="A7818" s="5"/>
      <c r="B7818" s="5" t="str">
        <f>CONCATENATE(G7818,"/",COUNTIF($G$2:G7818,G7818))</f>
        <v>IE-10397/11</v>
      </c>
      <c r="C7818" s="5" t="s">
        <v>44585</v>
      </c>
      <c r="D7818" s="246">
        <v>44973</v>
      </c>
      <c r="E7818" s="5" t="s">
        <v>44586</v>
      </c>
      <c r="F7818" s="26" t="s">
        <v>23600</v>
      </c>
      <c r="G7818" s="36" t="s">
        <v>19567</v>
      </c>
      <c r="H7818" s="55" t="s">
        <v>19568</v>
      </c>
      <c r="I7818" s="56" t="s">
        <v>19136</v>
      </c>
    </row>
    <row r="7819" spans="1:9" ht="22.5" customHeight="1">
      <c r="A7819" s="5"/>
      <c r="B7819" s="5" t="str">
        <f>CONCATENATE(G7819,"/",COUNTIF($G$2:G7819,G7819))</f>
        <v>IE-10397/12</v>
      </c>
      <c r="C7819" s="5" t="s">
        <v>44587</v>
      </c>
      <c r="D7819" s="246">
        <v>44973</v>
      </c>
      <c r="E7819" s="5" t="s">
        <v>44588</v>
      </c>
      <c r="F7819" s="26" t="s">
        <v>23600</v>
      </c>
      <c r="G7819" s="36" t="s">
        <v>19567</v>
      </c>
      <c r="H7819" s="55" t="s">
        <v>19568</v>
      </c>
      <c r="I7819" s="56" t="s">
        <v>19136</v>
      </c>
    </row>
    <row r="7820" spans="1:9" ht="24" customHeight="1">
      <c r="A7820" s="5"/>
      <c r="B7820" s="5" t="str">
        <f>CONCATENATE(G7820,"/",COUNTIF($G$2:G7820,G7820))</f>
        <v>RO-10212/1</v>
      </c>
      <c r="C7820" s="5" t="s">
        <v>44589</v>
      </c>
      <c r="D7820" s="246">
        <v>45016</v>
      </c>
      <c r="E7820" s="5" t="s">
        <v>44590</v>
      </c>
      <c r="F7820" s="26" t="s">
        <v>23600</v>
      </c>
      <c r="G7820" s="36" t="s">
        <v>19950</v>
      </c>
      <c r="H7820" s="38" t="s">
        <v>19951</v>
      </c>
      <c r="I7820" s="46" t="s">
        <v>17682</v>
      </c>
    </row>
    <row r="7821" spans="1:9" ht="24" customHeight="1">
      <c r="A7821" s="5"/>
      <c r="B7821" s="5" t="str">
        <f>CONCATENATE(G7821,"/",COUNTIF($G$2:G7821,G7821))</f>
        <v>RO-10216/1</v>
      </c>
      <c r="C7821" s="5" t="s">
        <v>44591</v>
      </c>
      <c r="D7821" s="246">
        <v>45019</v>
      </c>
      <c r="E7821" s="5" t="s">
        <v>44592</v>
      </c>
      <c r="F7821" s="26" t="s">
        <v>23600</v>
      </c>
      <c r="G7821" s="36" t="s">
        <v>19967</v>
      </c>
      <c r="H7821" s="38" t="s">
        <v>19968</v>
      </c>
      <c r="I7821" s="46" t="s">
        <v>17682</v>
      </c>
    </row>
    <row r="7822" spans="1:9" ht="32.5" customHeight="1">
      <c r="A7822" s="5"/>
      <c r="B7822" s="5" t="str">
        <f>CONCATENATE(G7822,"/",COUNTIF($G$2:G7822,G7822))</f>
        <v>FR-10015/1</v>
      </c>
      <c r="C7822" s="5" t="s">
        <v>44593</v>
      </c>
      <c r="D7822" s="246">
        <v>45006</v>
      </c>
      <c r="E7822" s="5" t="s">
        <v>44594</v>
      </c>
      <c r="F7822" s="26" t="s">
        <v>23600</v>
      </c>
      <c r="G7822" s="36" t="s">
        <v>18450</v>
      </c>
      <c r="H7822" s="38" t="s">
        <v>18451</v>
      </c>
      <c r="I7822" s="48" t="s">
        <v>16310</v>
      </c>
    </row>
    <row r="7823" spans="1:9" ht="32.5" customHeight="1">
      <c r="A7823" s="5"/>
      <c r="B7823" s="5" t="str">
        <f>CONCATENATE(G7823,"/",COUNTIF($G$2:G7823,G7823))</f>
        <v>FR-10015/2</v>
      </c>
      <c r="C7823" s="5" t="s">
        <v>44595</v>
      </c>
      <c r="D7823" s="246">
        <v>45006</v>
      </c>
      <c r="E7823" s="5" t="s">
        <v>44596</v>
      </c>
      <c r="F7823" s="26" t="s">
        <v>23600</v>
      </c>
      <c r="G7823" s="36" t="s">
        <v>18450</v>
      </c>
      <c r="H7823" s="38" t="s">
        <v>18451</v>
      </c>
      <c r="I7823" s="48" t="s">
        <v>16310</v>
      </c>
    </row>
    <row r="7824" spans="1:9" ht="32.5" customHeight="1">
      <c r="A7824" s="5"/>
      <c r="B7824" s="5" t="str">
        <f>CONCATENATE(G7824,"/",COUNTIF($G$2:G7824,G7824))</f>
        <v>FR-10015/3</v>
      </c>
      <c r="C7824" s="5" t="s">
        <v>44597</v>
      </c>
      <c r="D7824" s="246">
        <v>45006</v>
      </c>
      <c r="E7824" s="5" t="s">
        <v>44598</v>
      </c>
      <c r="F7824" s="26" t="s">
        <v>23600</v>
      </c>
      <c r="G7824" s="36" t="s">
        <v>18450</v>
      </c>
      <c r="H7824" s="38" t="s">
        <v>18451</v>
      </c>
      <c r="I7824" s="48" t="s">
        <v>16310</v>
      </c>
    </row>
    <row r="7825" spans="1:9" ht="31" customHeight="1">
      <c r="A7825" s="5"/>
      <c r="B7825" s="5" t="str">
        <f>CONCATENATE(G7825,"/",COUNTIF($G$2:G7825,G7825))</f>
        <v>FR-10015/4</v>
      </c>
      <c r="C7825" s="5" t="s">
        <v>44599</v>
      </c>
      <c r="D7825" s="246">
        <v>45006</v>
      </c>
      <c r="E7825" s="5" t="s">
        <v>44600</v>
      </c>
      <c r="F7825" s="26" t="s">
        <v>23600</v>
      </c>
      <c r="G7825" s="36" t="s">
        <v>18450</v>
      </c>
      <c r="H7825" s="38" t="s">
        <v>18451</v>
      </c>
      <c r="I7825" s="48" t="s">
        <v>16310</v>
      </c>
    </row>
    <row r="7826" spans="1:9" ht="20.5" customHeight="1">
      <c r="A7826" s="5"/>
      <c r="B7826" s="5" t="str">
        <f>CONCATENATE(G7826,"/",COUNTIF($G$2:G7826,G7826))</f>
        <v>HR-10302/1</v>
      </c>
      <c r="C7826" s="5" t="s">
        <v>44601</v>
      </c>
      <c r="D7826" s="246">
        <v>45027</v>
      </c>
      <c r="E7826" s="5" t="s">
        <v>44602</v>
      </c>
      <c r="F7826" s="26" t="s">
        <v>23600</v>
      </c>
      <c r="G7826" s="36" t="s">
        <v>20417</v>
      </c>
      <c r="H7826" s="55" t="s">
        <v>20418</v>
      </c>
      <c r="I7826" s="56" t="s">
        <v>9789</v>
      </c>
    </row>
    <row r="7827" spans="1:9" ht="20.5" customHeight="1">
      <c r="A7827" s="5"/>
      <c r="B7827" s="5" t="str">
        <f>CONCATENATE(G7827,"/",COUNTIF($G$2:G7827,G7827))</f>
        <v>HR-10302/2</v>
      </c>
      <c r="C7827" s="5" t="s">
        <v>44603</v>
      </c>
      <c r="D7827" s="246">
        <v>45027</v>
      </c>
      <c r="E7827" s="5" t="s">
        <v>44604</v>
      </c>
      <c r="F7827" s="26" t="s">
        <v>23600</v>
      </c>
      <c r="G7827" s="36" t="s">
        <v>20417</v>
      </c>
      <c r="H7827" s="55" t="s">
        <v>20418</v>
      </c>
      <c r="I7827" s="56" t="s">
        <v>9789</v>
      </c>
    </row>
    <row r="7828" spans="1:9" ht="20.5" customHeight="1">
      <c r="A7828" s="5"/>
      <c r="B7828" s="5" t="str">
        <f>CONCATENATE(G7828,"/",COUNTIF($G$2:G7828,G7828))</f>
        <v>HR-10302/3</v>
      </c>
      <c r="C7828" s="5" t="s">
        <v>44605</v>
      </c>
      <c r="D7828" s="246">
        <v>45027</v>
      </c>
      <c r="E7828" s="5" t="s">
        <v>44606</v>
      </c>
      <c r="F7828" s="26" t="s">
        <v>23600</v>
      </c>
      <c r="G7828" s="36" t="s">
        <v>20417</v>
      </c>
      <c r="H7828" s="55" t="s">
        <v>20418</v>
      </c>
      <c r="I7828" s="56" t="s">
        <v>9789</v>
      </c>
    </row>
    <row r="7829" spans="1:9" ht="20.5" customHeight="1">
      <c r="A7829" s="5"/>
      <c r="B7829" s="5" t="str">
        <f>CONCATENATE(G7829,"/",COUNTIF($G$2:G7829,G7829))</f>
        <v>HR-10302/4</v>
      </c>
      <c r="C7829" s="5" t="s">
        <v>44607</v>
      </c>
      <c r="D7829" s="246">
        <v>45027</v>
      </c>
      <c r="E7829" s="5" t="s">
        <v>44608</v>
      </c>
      <c r="F7829" s="26" t="s">
        <v>23600</v>
      </c>
      <c r="G7829" s="36" t="s">
        <v>20417</v>
      </c>
      <c r="H7829" s="55" t="s">
        <v>20418</v>
      </c>
      <c r="I7829" s="56" t="s">
        <v>9789</v>
      </c>
    </row>
    <row r="7830" spans="1:9" ht="20.5" customHeight="1">
      <c r="A7830" s="5"/>
      <c r="B7830" s="5" t="str">
        <f>CONCATENATE(G7830,"/",COUNTIF($G$2:G7830,G7830))</f>
        <v>HR-10302/5</v>
      </c>
      <c r="C7830" s="5" t="s">
        <v>44609</v>
      </c>
      <c r="D7830" s="246">
        <v>45027</v>
      </c>
      <c r="E7830" s="5" t="s">
        <v>44610</v>
      </c>
      <c r="F7830" s="26" t="s">
        <v>23600</v>
      </c>
      <c r="G7830" s="36" t="s">
        <v>20417</v>
      </c>
      <c r="H7830" s="55" t="s">
        <v>20418</v>
      </c>
      <c r="I7830" s="56" t="s">
        <v>9789</v>
      </c>
    </row>
    <row r="7831" spans="1:9" ht="20.5" customHeight="1">
      <c r="A7831" s="5"/>
      <c r="B7831" s="5" t="str">
        <f>CONCATENATE(G7831,"/",COUNTIF($G$2:G7831,G7831))</f>
        <v>HR-10302/6</v>
      </c>
      <c r="C7831" s="5" t="s">
        <v>44611</v>
      </c>
      <c r="D7831" s="246">
        <v>45027</v>
      </c>
      <c r="E7831" s="5" t="s">
        <v>44612</v>
      </c>
      <c r="F7831" s="26" t="s">
        <v>23600</v>
      </c>
      <c r="G7831" s="36" t="s">
        <v>20417</v>
      </c>
      <c r="H7831" s="55" t="s">
        <v>20418</v>
      </c>
      <c r="I7831" s="56" t="s">
        <v>9789</v>
      </c>
    </row>
    <row r="7832" spans="1:9" ht="20.5" customHeight="1">
      <c r="A7832" s="5"/>
      <c r="B7832" s="5" t="str">
        <f>CONCATENATE(G7832,"/",COUNTIF($G$2:G7832,G7832))</f>
        <v>HR-10302/7</v>
      </c>
      <c r="C7832" s="5" t="s">
        <v>44613</v>
      </c>
      <c r="D7832" s="246">
        <v>45027</v>
      </c>
      <c r="E7832" s="5" t="s">
        <v>44614</v>
      </c>
      <c r="F7832" s="26" t="s">
        <v>23600</v>
      </c>
      <c r="G7832" s="36" t="s">
        <v>20417</v>
      </c>
      <c r="H7832" s="55" t="s">
        <v>20418</v>
      </c>
      <c r="I7832" s="56" t="s">
        <v>9789</v>
      </c>
    </row>
    <row r="7833" spans="1:9" ht="20.5" customHeight="1">
      <c r="A7833" s="5"/>
      <c r="B7833" s="5" t="str">
        <f>CONCATENATE(G7833,"/",COUNTIF($G$2:G7833,G7833))</f>
        <v>HR-10302/8</v>
      </c>
      <c r="C7833" s="5" t="s">
        <v>44615</v>
      </c>
      <c r="D7833" s="246">
        <v>45027</v>
      </c>
      <c r="E7833" s="5" t="s">
        <v>44616</v>
      </c>
      <c r="F7833" s="26" t="s">
        <v>23600</v>
      </c>
      <c r="G7833" s="36" t="s">
        <v>20417</v>
      </c>
      <c r="H7833" s="55" t="s">
        <v>20418</v>
      </c>
      <c r="I7833" s="56" t="s">
        <v>9789</v>
      </c>
    </row>
    <row r="7834" spans="1:9" ht="34" customHeight="1">
      <c r="A7834" s="5"/>
      <c r="B7834" s="5" t="str">
        <f>CONCATENATE(G7834,"/",COUNTIF($G$2:G7834,G7834))</f>
        <v>RO-10219/1</v>
      </c>
      <c r="C7834" s="5" t="s">
        <v>44617</v>
      </c>
      <c r="D7834" s="246">
        <v>45027</v>
      </c>
      <c r="E7834" s="5" t="s">
        <v>44618</v>
      </c>
      <c r="F7834" s="26" t="s">
        <v>23600</v>
      </c>
      <c r="G7834" s="36" t="s">
        <v>19993</v>
      </c>
      <c r="H7834" s="38" t="s">
        <v>19994</v>
      </c>
      <c r="I7834" s="46" t="s">
        <v>17682</v>
      </c>
    </row>
    <row r="7835" spans="1:9" ht="36.65" customHeight="1">
      <c r="A7835" s="5"/>
      <c r="B7835" s="5" t="str">
        <f>CONCATENATE(G7835,"/",COUNTIF($G$2:G7835,G7835))</f>
        <v>CZ-10204/1</v>
      </c>
      <c r="C7835" s="5" t="s">
        <v>23621</v>
      </c>
      <c r="D7835" s="246">
        <v>45028</v>
      </c>
      <c r="E7835" s="5" t="s">
        <v>44619</v>
      </c>
      <c r="F7835" s="26" t="s">
        <v>23600</v>
      </c>
      <c r="G7835" s="36" t="s">
        <v>19889</v>
      </c>
      <c r="H7835" s="38" t="s">
        <v>19890</v>
      </c>
      <c r="I7835" s="46" t="s">
        <v>16429</v>
      </c>
    </row>
    <row r="7836" spans="1:9" ht="32.5" customHeight="1">
      <c r="A7836" s="5"/>
      <c r="B7836" s="5" t="str">
        <f>CONCATENATE(G7836,"/",COUNTIF($G$2:G7836,G7836))</f>
        <v>ES-10251/1</v>
      </c>
      <c r="C7836" s="5" t="s">
        <v>44620</v>
      </c>
      <c r="D7836" s="246">
        <v>45036</v>
      </c>
      <c r="E7836" s="5" t="s">
        <v>44621</v>
      </c>
      <c r="F7836" s="26" t="s">
        <v>23600</v>
      </c>
      <c r="G7836" s="36" t="s">
        <v>20148</v>
      </c>
      <c r="H7836" s="38" t="s">
        <v>20149</v>
      </c>
      <c r="I7836" s="46" t="s">
        <v>17820</v>
      </c>
    </row>
    <row r="7837" spans="1:9" ht="32.5" customHeight="1">
      <c r="A7837" s="5"/>
      <c r="B7837" s="5" t="str">
        <f>CONCATENATE(G7837,"/",COUNTIF($G$2:G7837,G7837))</f>
        <v>ES-10251/2</v>
      </c>
      <c r="C7837" s="5" t="s">
        <v>44622</v>
      </c>
      <c r="D7837" s="246">
        <v>45036</v>
      </c>
      <c r="E7837" s="5" t="s">
        <v>44623</v>
      </c>
      <c r="F7837" s="26" t="s">
        <v>23600</v>
      </c>
      <c r="G7837" s="36" t="s">
        <v>20148</v>
      </c>
      <c r="H7837" s="38" t="s">
        <v>20149</v>
      </c>
      <c r="I7837" s="46" t="s">
        <v>17820</v>
      </c>
    </row>
    <row r="7838" spans="1:9" ht="34.5" customHeight="1">
      <c r="A7838" s="5"/>
      <c r="B7838" s="5" t="str">
        <f>CONCATENATE(G7838,"/",COUNTIF($G$2:G7838,G7838))</f>
        <v>DK-10313/1</v>
      </c>
      <c r="C7838" s="5" t="s">
        <v>44624</v>
      </c>
      <c r="D7838" s="246">
        <v>45043</v>
      </c>
      <c r="E7838" s="5" t="s">
        <v>44625</v>
      </c>
      <c r="F7838" s="26" t="s">
        <v>23600</v>
      </c>
      <c r="G7838" s="36" t="s">
        <v>20085</v>
      </c>
      <c r="H7838" s="55" t="s">
        <v>20086</v>
      </c>
      <c r="I7838" s="56" t="s">
        <v>12910</v>
      </c>
    </row>
    <row r="7839" spans="1:9" ht="27" customHeight="1">
      <c r="A7839" s="5"/>
      <c r="B7839" s="5" t="str">
        <f>CONCATENATE(G7839,"/",COUNTIF($G$2:G7839,G7839))</f>
        <v>IT-10167/1</v>
      </c>
      <c r="C7839" s="5" t="s">
        <v>44626</v>
      </c>
      <c r="D7839" s="246">
        <v>45002</v>
      </c>
      <c r="E7839" s="5" t="s">
        <v>44627</v>
      </c>
      <c r="F7839" s="26" t="s">
        <v>23600</v>
      </c>
      <c r="G7839" s="36" t="s">
        <v>19599</v>
      </c>
      <c r="H7839" s="38" t="s">
        <v>19600</v>
      </c>
      <c r="I7839" s="46" t="s">
        <v>18131</v>
      </c>
    </row>
    <row r="7840" spans="1:9" ht="27" customHeight="1">
      <c r="A7840" s="5"/>
      <c r="B7840" s="5" t="str">
        <f>CONCATENATE(G7840,"/",COUNTIF($G$2:G7840,G7840))</f>
        <v>IT-10167/2</v>
      </c>
      <c r="C7840" s="5" t="s">
        <v>44628</v>
      </c>
      <c r="D7840" s="246">
        <v>45002</v>
      </c>
      <c r="E7840" s="5" t="s">
        <v>44629</v>
      </c>
      <c r="F7840" s="26" t="s">
        <v>23600</v>
      </c>
      <c r="G7840" s="36" t="s">
        <v>19599</v>
      </c>
      <c r="H7840" s="38" t="s">
        <v>19600</v>
      </c>
      <c r="I7840" s="46" t="s">
        <v>18131</v>
      </c>
    </row>
    <row r="7841" spans="1:9" ht="27" customHeight="1">
      <c r="A7841" s="5"/>
      <c r="B7841" s="5" t="str">
        <f>CONCATENATE(G7841,"/",COUNTIF($G$2:G7841,G7841))</f>
        <v>IT-10167/3</v>
      </c>
      <c r="C7841" s="5" t="s">
        <v>44630</v>
      </c>
      <c r="D7841" s="246">
        <v>45002</v>
      </c>
      <c r="E7841" s="5" t="s">
        <v>44631</v>
      </c>
      <c r="F7841" s="26" t="s">
        <v>23600</v>
      </c>
      <c r="G7841" s="36" t="s">
        <v>19599</v>
      </c>
      <c r="H7841" s="38" t="s">
        <v>19600</v>
      </c>
      <c r="I7841" s="46" t="s">
        <v>18131</v>
      </c>
    </row>
    <row r="7842" spans="1:9" ht="27" customHeight="1">
      <c r="A7842" s="5"/>
      <c r="B7842" s="5" t="str">
        <f>CONCATENATE(G7842,"/",COUNTIF($G$2:G7842,G7842))</f>
        <v>IT-10167/4</v>
      </c>
      <c r="C7842" s="5" t="s">
        <v>44632</v>
      </c>
      <c r="D7842" s="246">
        <v>45002</v>
      </c>
      <c r="E7842" s="5" t="s">
        <v>44633</v>
      </c>
      <c r="F7842" s="26" t="s">
        <v>23600</v>
      </c>
      <c r="G7842" s="36" t="s">
        <v>19599</v>
      </c>
      <c r="H7842" s="38" t="s">
        <v>19600</v>
      </c>
      <c r="I7842" s="46" t="s">
        <v>18131</v>
      </c>
    </row>
    <row r="7843" spans="1:9" ht="27" customHeight="1">
      <c r="A7843" s="5"/>
      <c r="B7843" s="5" t="str">
        <f>CONCATENATE(G7843,"/",COUNTIF($G$2:G7843,G7843))</f>
        <v>IT-10167/5</v>
      </c>
      <c r="C7843" s="5" t="s">
        <v>44634</v>
      </c>
      <c r="D7843" s="246">
        <v>45002</v>
      </c>
      <c r="E7843" s="5" t="s">
        <v>44635</v>
      </c>
      <c r="F7843" s="26" t="s">
        <v>23600</v>
      </c>
      <c r="G7843" s="36" t="s">
        <v>19599</v>
      </c>
      <c r="H7843" s="38" t="s">
        <v>19600</v>
      </c>
      <c r="I7843" s="46" t="s">
        <v>18131</v>
      </c>
    </row>
    <row r="7844" spans="1:9" ht="27" customHeight="1">
      <c r="A7844" s="5"/>
      <c r="B7844" s="5" t="str">
        <f>CONCATENATE(G7844,"/",COUNTIF($G$2:G7844,G7844))</f>
        <v>IT-10167/6</v>
      </c>
      <c r="C7844" s="5" t="s">
        <v>44636</v>
      </c>
      <c r="D7844" s="246">
        <v>45002</v>
      </c>
      <c r="E7844" s="5" t="s">
        <v>44637</v>
      </c>
      <c r="F7844" s="26" t="s">
        <v>23600</v>
      </c>
      <c r="G7844" s="36" t="s">
        <v>19599</v>
      </c>
      <c r="H7844" s="38" t="s">
        <v>19600</v>
      </c>
      <c r="I7844" s="46" t="s">
        <v>18131</v>
      </c>
    </row>
    <row r="7845" spans="1:9" ht="25.5" customHeight="1">
      <c r="A7845" s="5"/>
      <c r="B7845" s="5" t="str">
        <f>CONCATENATE(G7845,"/",COUNTIF($G$2:G7845,G7845))</f>
        <v>IT-10073/1</v>
      </c>
      <c r="C7845" s="5" t="s">
        <v>44638</v>
      </c>
      <c r="D7845" s="246">
        <v>44994</v>
      </c>
      <c r="E7845" s="5" t="s">
        <v>44639</v>
      </c>
      <c r="F7845" s="26" t="s">
        <v>23600</v>
      </c>
      <c r="G7845" s="36" t="s">
        <v>18705</v>
      </c>
      <c r="H7845" s="38" t="s">
        <v>18706</v>
      </c>
      <c r="I7845" s="46" t="s">
        <v>18131</v>
      </c>
    </row>
    <row r="7846" spans="1:9" ht="25.5" customHeight="1">
      <c r="A7846" s="5"/>
      <c r="B7846" s="5" t="str">
        <f>CONCATENATE(G7846,"/",COUNTIF($G$2:G7846,G7846))</f>
        <v>IT-10073/2</v>
      </c>
      <c r="C7846" s="5" t="s">
        <v>44640</v>
      </c>
      <c r="D7846" s="246">
        <v>44994</v>
      </c>
      <c r="E7846" s="5" t="s">
        <v>44641</v>
      </c>
      <c r="F7846" s="26" t="s">
        <v>23600</v>
      </c>
      <c r="G7846" s="36" t="s">
        <v>18705</v>
      </c>
      <c r="H7846" s="38" t="s">
        <v>18706</v>
      </c>
      <c r="I7846" s="46" t="s">
        <v>18131</v>
      </c>
    </row>
    <row r="7847" spans="1:9" ht="25.5" customHeight="1">
      <c r="A7847" s="5"/>
      <c r="B7847" s="5" t="str">
        <f>CONCATENATE(G7847,"/",COUNTIF($G$2:G7847,G7847))</f>
        <v>IT-10073/3</v>
      </c>
      <c r="C7847" s="5" t="s">
        <v>44642</v>
      </c>
      <c r="D7847" s="246">
        <v>44994</v>
      </c>
      <c r="E7847" s="5" t="s">
        <v>44643</v>
      </c>
      <c r="F7847" s="26" t="s">
        <v>23600</v>
      </c>
      <c r="G7847" s="36" t="s">
        <v>18705</v>
      </c>
      <c r="H7847" s="38" t="s">
        <v>18706</v>
      </c>
      <c r="I7847" s="46" t="s">
        <v>18131</v>
      </c>
    </row>
    <row r="7848" spans="1:9" ht="25.5" customHeight="1">
      <c r="A7848" s="5"/>
      <c r="B7848" s="5" t="str">
        <f>CONCATENATE(G7848,"/",COUNTIF($G$2:G7848,G7848))</f>
        <v>IT-10073/4</v>
      </c>
      <c r="C7848" s="5" t="s">
        <v>44644</v>
      </c>
      <c r="D7848" s="246">
        <v>44994</v>
      </c>
      <c r="E7848" s="5" t="s">
        <v>44645</v>
      </c>
      <c r="F7848" s="26" t="s">
        <v>23600</v>
      </c>
      <c r="G7848" s="36" t="s">
        <v>18705</v>
      </c>
      <c r="H7848" s="38" t="s">
        <v>18706</v>
      </c>
      <c r="I7848" s="46" t="s">
        <v>18131</v>
      </c>
    </row>
    <row r="7849" spans="1:9" ht="25.5" customHeight="1">
      <c r="A7849" s="5"/>
      <c r="B7849" s="5" t="str">
        <f>CONCATENATE(G7849,"/",COUNTIF($G$2:G7849,G7849))</f>
        <v>IT-10073/5</v>
      </c>
      <c r="C7849" s="5" t="s">
        <v>44646</v>
      </c>
      <c r="D7849" s="246">
        <v>44994</v>
      </c>
      <c r="E7849" s="5" t="s">
        <v>44647</v>
      </c>
      <c r="F7849" s="26" t="s">
        <v>23600</v>
      </c>
      <c r="G7849" s="36" t="s">
        <v>18705</v>
      </c>
      <c r="H7849" s="38" t="s">
        <v>18706</v>
      </c>
      <c r="I7849" s="46" t="s">
        <v>18131</v>
      </c>
    </row>
    <row r="7850" spans="1:9" ht="25.5" customHeight="1">
      <c r="A7850" s="5"/>
      <c r="B7850" s="5" t="str">
        <f>CONCATENATE(G7850,"/",COUNTIF($G$2:G7850,G7850))</f>
        <v>IT-10073/6</v>
      </c>
      <c r="C7850" s="5" t="s">
        <v>44648</v>
      </c>
      <c r="D7850" s="246">
        <v>44994</v>
      </c>
      <c r="E7850" s="5" t="s">
        <v>44649</v>
      </c>
      <c r="F7850" s="26" t="s">
        <v>23600</v>
      </c>
      <c r="G7850" s="36" t="s">
        <v>18705</v>
      </c>
      <c r="H7850" s="38" t="s">
        <v>18706</v>
      </c>
      <c r="I7850" s="46" t="s">
        <v>18131</v>
      </c>
    </row>
    <row r="7851" spans="1:9" ht="25.5" customHeight="1">
      <c r="A7851" s="5"/>
      <c r="B7851" s="5" t="str">
        <f>CONCATENATE(G7851,"/",COUNTIF($G$2:G7851,G7851))</f>
        <v>IT-10073/7</v>
      </c>
      <c r="C7851" s="5" t="s">
        <v>44650</v>
      </c>
      <c r="D7851" s="246">
        <v>44994</v>
      </c>
      <c r="E7851" s="5" t="s">
        <v>44651</v>
      </c>
      <c r="F7851" s="26" t="s">
        <v>23600</v>
      </c>
      <c r="G7851" s="36" t="s">
        <v>18705</v>
      </c>
      <c r="H7851" s="38" t="s">
        <v>18706</v>
      </c>
      <c r="I7851" s="46" t="s">
        <v>18131</v>
      </c>
    </row>
    <row r="7852" spans="1:9" ht="25.5" customHeight="1">
      <c r="A7852" s="5"/>
      <c r="B7852" s="5" t="str">
        <f>CONCATENATE(G7852,"/",COUNTIF($G$2:G7852,G7852))</f>
        <v>IT-10073/8</v>
      </c>
      <c r="C7852" s="5" t="s">
        <v>44652</v>
      </c>
      <c r="D7852" s="246">
        <v>44994</v>
      </c>
      <c r="E7852" s="5" t="s">
        <v>44653</v>
      </c>
      <c r="F7852" s="26" t="s">
        <v>23600</v>
      </c>
      <c r="G7852" s="36" t="s">
        <v>18705</v>
      </c>
      <c r="H7852" s="38" t="s">
        <v>18706</v>
      </c>
      <c r="I7852" s="46" t="s">
        <v>18131</v>
      </c>
    </row>
    <row r="7853" spans="1:9" ht="27" customHeight="1">
      <c r="A7853" s="5"/>
      <c r="B7853" s="5" t="str">
        <f>CONCATENATE(G7853,"/",COUNTIF($G$2:G7853,G7853))</f>
        <v>BG-10353/1</v>
      </c>
      <c r="C7853" s="5" t="s">
        <v>44654</v>
      </c>
      <c r="D7853" s="246">
        <v>45029</v>
      </c>
      <c r="E7853" s="5" t="s">
        <v>44655</v>
      </c>
      <c r="F7853" s="26" t="s">
        <v>23600</v>
      </c>
      <c r="G7853" s="36" t="s">
        <v>20747</v>
      </c>
      <c r="H7853" s="55" t="s">
        <v>20748</v>
      </c>
      <c r="I7853" s="56" t="s">
        <v>17773</v>
      </c>
    </row>
    <row r="7854" spans="1:9" ht="27" customHeight="1">
      <c r="A7854" s="5"/>
      <c r="B7854" s="5" t="str">
        <f>CONCATENATE(G7854,"/",COUNTIF($G$2:G7854,G7854))</f>
        <v>BG-10353/2</v>
      </c>
      <c r="C7854" s="5" t="s">
        <v>44656</v>
      </c>
      <c r="D7854" s="246">
        <v>45029</v>
      </c>
      <c r="E7854" s="5" t="s">
        <v>44657</v>
      </c>
      <c r="F7854" s="26" t="s">
        <v>23600</v>
      </c>
      <c r="G7854" s="36" t="s">
        <v>20747</v>
      </c>
      <c r="H7854" s="55" t="s">
        <v>20748</v>
      </c>
      <c r="I7854" s="56" t="s">
        <v>17773</v>
      </c>
    </row>
    <row r="7855" spans="1:9" ht="27" customHeight="1">
      <c r="A7855" s="5"/>
      <c r="B7855" s="5" t="str">
        <f>CONCATENATE(G7855,"/",COUNTIF($G$2:G7855,G7855))</f>
        <v>BG-10353/3</v>
      </c>
      <c r="C7855" s="5" t="s">
        <v>44658</v>
      </c>
      <c r="D7855" s="246">
        <v>45029</v>
      </c>
      <c r="E7855" s="5" t="s">
        <v>44659</v>
      </c>
      <c r="F7855" s="26" t="s">
        <v>23600</v>
      </c>
      <c r="G7855" s="36" t="s">
        <v>20747</v>
      </c>
      <c r="H7855" s="55" t="s">
        <v>20748</v>
      </c>
      <c r="I7855" s="56" t="s">
        <v>17773</v>
      </c>
    </row>
    <row r="7856" spans="1:9" ht="27" customHeight="1">
      <c r="A7856" s="5"/>
      <c r="B7856" s="5" t="str">
        <f>CONCATENATE(G7856,"/",COUNTIF($G$2:G7856,G7856))</f>
        <v>BG-10353/4</v>
      </c>
      <c r="C7856" s="5" t="s">
        <v>44660</v>
      </c>
      <c r="D7856" s="246">
        <v>45029</v>
      </c>
      <c r="E7856" s="5" t="s">
        <v>44661</v>
      </c>
      <c r="F7856" s="26" t="s">
        <v>23600</v>
      </c>
      <c r="G7856" s="36" t="s">
        <v>20747</v>
      </c>
      <c r="H7856" s="55" t="s">
        <v>20748</v>
      </c>
      <c r="I7856" s="56" t="s">
        <v>17773</v>
      </c>
    </row>
    <row r="7857" spans="1:9" ht="27" customHeight="1">
      <c r="A7857" s="5"/>
      <c r="B7857" s="5" t="str">
        <f>CONCATENATE(G7857,"/",COUNTIF($G$2:G7857,G7857))</f>
        <v>BG-10353/5</v>
      </c>
      <c r="C7857" s="5" t="s">
        <v>44662</v>
      </c>
      <c r="D7857" s="246">
        <v>45029</v>
      </c>
      <c r="E7857" s="5" t="s">
        <v>44663</v>
      </c>
      <c r="F7857" s="26" t="s">
        <v>23600</v>
      </c>
      <c r="G7857" s="36" t="s">
        <v>20747</v>
      </c>
      <c r="H7857" s="55" t="s">
        <v>20748</v>
      </c>
      <c r="I7857" s="56" t="s">
        <v>17773</v>
      </c>
    </row>
    <row r="7858" spans="1:9" ht="27" customHeight="1">
      <c r="A7858" s="5"/>
      <c r="B7858" s="5" t="str">
        <f>CONCATENATE(G7858,"/",COUNTIF($G$2:G7858,G7858))</f>
        <v>BG-10353/6</v>
      </c>
      <c r="C7858" s="5" t="s">
        <v>44664</v>
      </c>
      <c r="D7858" s="246">
        <v>45029</v>
      </c>
      <c r="E7858" s="5" t="s">
        <v>44665</v>
      </c>
      <c r="F7858" s="26" t="s">
        <v>23600</v>
      </c>
      <c r="G7858" s="36" t="s">
        <v>20747</v>
      </c>
      <c r="H7858" s="55" t="s">
        <v>20748</v>
      </c>
      <c r="I7858" s="56" t="s">
        <v>17773</v>
      </c>
    </row>
    <row r="7859" spans="1:9" ht="27" customHeight="1">
      <c r="A7859" s="5"/>
      <c r="B7859" s="5" t="str">
        <f>CONCATENATE(G7859,"/",COUNTIF($G$2:G7859,G7859))</f>
        <v>BG-10353/7</v>
      </c>
      <c r="C7859" s="5" t="s">
        <v>44666</v>
      </c>
      <c r="D7859" s="246">
        <v>45029</v>
      </c>
      <c r="E7859" s="5" t="s">
        <v>44667</v>
      </c>
      <c r="F7859" s="26" t="s">
        <v>23600</v>
      </c>
      <c r="G7859" s="36" t="s">
        <v>20747</v>
      </c>
      <c r="H7859" s="55" t="s">
        <v>20748</v>
      </c>
      <c r="I7859" s="56" t="s">
        <v>17773</v>
      </c>
    </row>
    <row r="7860" spans="1:9" ht="27" customHeight="1">
      <c r="A7860" s="5"/>
      <c r="B7860" s="5" t="str">
        <f>CONCATENATE(G7860,"/",COUNTIF($G$2:G7860,G7860))</f>
        <v>BG-10353/8</v>
      </c>
      <c r="C7860" s="5" t="s">
        <v>44668</v>
      </c>
      <c r="D7860" s="246">
        <v>45029</v>
      </c>
      <c r="E7860" s="5" t="s">
        <v>44669</v>
      </c>
      <c r="F7860" s="26" t="s">
        <v>23600</v>
      </c>
      <c r="G7860" s="36" t="s">
        <v>20747</v>
      </c>
      <c r="H7860" s="55" t="s">
        <v>20748</v>
      </c>
      <c r="I7860" s="56" t="s">
        <v>17773</v>
      </c>
    </row>
    <row r="7861" spans="1:9" ht="33.65" customHeight="1">
      <c r="A7861" s="5"/>
      <c r="B7861" s="5" t="str">
        <f>CONCATENATE(G7861,"/",COUNTIF($G$2:G7861,G7861))</f>
        <v>CZ-10318/1</v>
      </c>
      <c r="C7861" s="5" t="s">
        <v>23621</v>
      </c>
      <c r="D7861" s="246">
        <v>45084</v>
      </c>
      <c r="E7861" s="5" t="s">
        <v>44670</v>
      </c>
      <c r="F7861" s="26" t="s">
        <v>23600</v>
      </c>
      <c r="G7861" s="36" t="s">
        <v>20485</v>
      </c>
      <c r="H7861" s="55" t="s">
        <v>20486</v>
      </c>
      <c r="I7861" s="56" t="s">
        <v>16429</v>
      </c>
    </row>
    <row r="7862" spans="1:9" ht="33.65" customHeight="1">
      <c r="A7862" s="5"/>
      <c r="B7862" s="5" t="str">
        <f>CONCATENATE(G7862,"/",COUNTIF($G$2:G7862,G7862))</f>
        <v>CZ-10326/1</v>
      </c>
      <c r="C7862" s="5" t="s">
        <v>23621</v>
      </c>
      <c r="D7862" s="246">
        <v>45085</v>
      </c>
      <c r="E7862" s="5" t="s">
        <v>44671</v>
      </c>
      <c r="F7862" s="26" t="s">
        <v>23600</v>
      </c>
      <c r="G7862" s="36" t="s">
        <v>20527</v>
      </c>
      <c r="H7862" s="55" t="s">
        <v>20528</v>
      </c>
      <c r="I7862" s="56" t="s">
        <v>16429</v>
      </c>
    </row>
    <row r="7863" spans="1:9" ht="33.65" customHeight="1">
      <c r="A7863" s="5"/>
      <c r="B7863" s="5" t="str">
        <f>CONCATENATE(G7863,"/",COUNTIF($G$2:G7863,G7863))</f>
        <v>CZ-10326/2</v>
      </c>
      <c r="C7863" s="5" t="s">
        <v>23625</v>
      </c>
      <c r="D7863" s="246">
        <v>45085</v>
      </c>
      <c r="E7863" s="5" t="s">
        <v>44672</v>
      </c>
      <c r="F7863" s="26" t="s">
        <v>23600</v>
      </c>
      <c r="G7863" s="36" t="s">
        <v>20527</v>
      </c>
      <c r="H7863" s="55" t="s">
        <v>20528</v>
      </c>
      <c r="I7863" s="56" t="s">
        <v>16429</v>
      </c>
    </row>
    <row r="7864" spans="1:9" ht="30.65" customHeight="1">
      <c r="A7864" s="5"/>
      <c r="B7864" s="5" t="str">
        <f>CONCATENATE(G7864,"/",COUNTIF($G$2:G7864,G7864))</f>
        <v>ES-10252/1</v>
      </c>
      <c r="C7864" s="5" t="s">
        <v>44673</v>
      </c>
      <c r="D7864" s="246">
        <v>45084</v>
      </c>
      <c r="E7864" s="5" t="s">
        <v>44674</v>
      </c>
      <c r="F7864" s="26" t="s">
        <v>23600</v>
      </c>
      <c r="G7864" s="36" t="s">
        <v>20100</v>
      </c>
      <c r="H7864" s="38" t="s">
        <v>20101</v>
      </c>
      <c r="I7864" s="46" t="s">
        <v>17820</v>
      </c>
    </row>
    <row r="7865" spans="1:9" ht="30.65" customHeight="1">
      <c r="A7865" s="5"/>
      <c r="B7865" s="5" t="str">
        <f>CONCATENATE(G7865,"/",COUNTIF($G$2:G7865,G7865))</f>
        <v>ES-10252/2</v>
      </c>
      <c r="C7865" s="5" t="s">
        <v>44675</v>
      </c>
      <c r="D7865" s="246">
        <v>45084</v>
      </c>
      <c r="E7865" s="5" t="s">
        <v>44676</v>
      </c>
      <c r="F7865" s="26" t="s">
        <v>23600</v>
      </c>
      <c r="G7865" s="36" t="s">
        <v>20100</v>
      </c>
      <c r="H7865" s="38" t="s">
        <v>20101</v>
      </c>
      <c r="I7865" s="46" t="s">
        <v>17820</v>
      </c>
    </row>
    <row r="7866" spans="1:9" ht="30.65" customHeight="1">
      <c r="A7866" s="5"/>
      <c r="B7866" s="5" t="str">
        <f>CONCATENATE(G7866,"/",COUNTIF($G$2:G7866,G7866))</f>
        <v>ES-10252/3</v>
      </c>
      <c r="C7866" s="5" t="s">
        <v>44677</v>
      </c>
      <c r="D7866" s="246">
        <v>45084</v>
      </c>
      <c r="E7866" s="5" t="s">
        <v>44678</v>
      </c>
      <c r="F7866" s="26" t="s">
        <v>23600</v>
      </c>
      <c r="G7866" s="36" t="s">
        <v>20100</v>
      </c>
      <c r="H7866" s="38" t="s">
        <v>20101</v>
      </c>
      <c r="I7866" s="46" t="s">
        <v>17820</v>
      </c>
    </row>
    <row r="7867" spans="1:9" ht="30.65" customHeight="1">
      <c r="A7867" s="5"/>
      <c r="B7867" s="5" t="str">
        <f>CONCATENATE(G7867,"/",COUNTIF($G$2:G7867,G7867))</f>
        <v>ES-10252/4</v>
      </c>
      <c r="C7867" s="5" t="s">
        <v>44679</v>
      </c>
      <c r="D7867" s="246">
        <v>45084</v>
      </c>
      <c r="E7867" s="5" t="s">
        <v>44680</v>
      </c>
      <c r="F7867" s="26" t="s">
        <v>23600</v>
      </c>
      <c r="G7867" s="36" t="s">
        <v>20100</v>
      </c>
      <c r="H7867" s="38" t="s">
        <v>20101</v>
      </c>
      <c r="I7867" s="46" t="s">
        <v>17820</v>
      </c>
    </row>
    <row r="7868" spans="1:9" ht="30.65" customHeight="1">
      <c r="A7868" s="5"/>
      <c r="B7868" s="5" t="str">
        <f>CONCATENATE(G7868,"/",COUNTIF($G$2:G7868,G7868))</f>
        <v>ES-10252/5</v>
      </c>
      <c r="C7868" s="5" t="s">
        <v>44681</v>
      </c>
      <c r="D7868" s="246">
        <v>45084</v>
      </c>
      <c r="E7868" s="5" t="s">
        <v>44682</v>
      </c>
      <c r="F7868" s="26" t="s">
        <v>23600</v>
      </c>
      <c r="G7868" s="36" t="s">
        <v>20100</v>
      </c>
      <c r="H7868" s="38" t="s">
        <v>20101</v>
      </c>
      <c r="I7868" s="46" t="s">
        <v>17820</v>
      </c>
    </row>
    <row r="7869" spans="1:9" ht="30.65" customHeight="1">
      <c r="A7869" s="5"/>
      <c r="B7869" s="5" t="str">
        <f>CONCATENATE(G7869,"/",COUNTIF($G$2:G7869,G7869))</f>
        <v>ES-10252/6</v>
      </c>
      <c r="C7869" s="5" t="s">
        <v>44683</v>
      </c>
      <c r="D7869" s="246">
        <v>45084</v>
      </c>
      <c r="E7869" s="5" t="s">
        <v>44684</v>
      </c>
      <c r="F7869" s="26" t="s">
        <v>23600</v>
      </c>
      <c r="G7869" s="36" t="s">
        <v>20100</v>
      </c>
      <c r="H7869" s="38" t="s">
        <v>20101</v>
      </c>
      <c r="I7869" s="46" t="s">
        <v>17820</v>
      </c>
    </row>
    <row r="7870" spans="1:9" ht="30" customHeight="1">
      <c r="A7870" s="5"/>
      <c r="B7870" s="5" t="str">
        <f>CONCATENATE(G7870,"/",COUNTIF($G$2:G7870,G7870))</f>
        <v>ES-10382/1</v>
      </c>
      <c r="C7870" s="5" t="s">
        <v>44685</v>
      </c>
      <c r="D7870" s="246">
        <v>45084</v>
      </c>
      <c r="E7870" s="5" t="s">
        <v>44686</v>
      </c>
      <c r="F7870" s="26" t="s">
        <v>23600</v>
      </c>
      <c r="G7870" s="36" t="s">
        <v>20571</v>
      </c>
      <c r="H7870" s="55" t="s">
        <v>20572</v>
      </c>
      <c r="I7870" s="56" t="s">
        <v>17820</v>
      </c>
    </row>
    <row r="7871" spans="1:9" ht="30" customHeight="1">
      <c r="A7871" s="5"/>
      <c r="B7871" s="5" t="str">
        <f>CONCATENATE(G7871,"/",COUNTIF($G$2:G7871,G7871))</f>
        <v>ES-10382/2</v>
      </c>
      <c r="C7871" s="5" t="s">
        <v>44687</v>
      </c>
      <c r="D7871" s="246">
        <v>45084</v>
      </c>
      <c r="E7871" s="5" t="s">
        <v>44688</v>
      </c>
      <c r="F7871" s="26" t="s">
        <v>23600</v>
      </c>
      <c r="G7871" s="36" t="s">
        <v>20571</v>
      </c>
      <c r="H7871" s="55" t="s">
        <v>20572</v>
      </c>
      <c r="I7871" s="56" t="s">
        <v>17820</v>
      </c>
    </row>
    <row r="7872" spans="1:9" ht="37" customHeight="1">
      <c r="A7872" s="5"/>
      <c r="B7872" s="5" t="str">
        <f>CONCATENATE(G7872,"/",COUNTIF($G$2:G7872,G7872))</f>
        <v>HR-10214/1</v>
      </c>
      <c r="C7872" s="5" t="s">
        <v>44689</v>
      </c>
      <c r="D7872" s="246">
        <v>45082</v>
      </c>
      <c r="E7872" s="5" t="s">
        <v>44690</v>
      </c>
      <c r="F7872" s="26" t="s">
        <v>23600</v>
      </c>
      <c r="G7872" s="36" t="s">
        <v>19936</v>
      </c>
      <c r="H7872" s="38" t="s">
        <v>19937</v>
      </c>
      <c r="I7872" s="46" t="s">
        <v>9789</v>
      </c>
    </row>
    <row r="7873" spans="1:9" ht="37" customHeight="1">
      <c r="A7873" s="5"/>
      <c r="B7873" s="5" t="str">
        <f>CONCATENATE(G7873,"/",COUNTIF($G$2:G7873,G7873))</f>
        <v>HR-10214/2</v>
      </c>
      <c r="C7873" s="5" t="s">
        <v>44691</v>
      </c>
      <c r="D7873" s="246">
        <v>45082</v>
      </c>
      <c r="E7873" s="5" t="s">
        <v>44692</v>
      </c>
      <c r="F7873" s="26" t="s">
        <v>23600</v>
      </c>
      <c r="G7873" s="36" t="s">
        <v>19936</v>
      </c>
      <c r="H7873" s="38" t="s">
        <v>19937</v>
      </c>
      <c r="I7873" s="46" t="s">
        <v>9789</v>
      </c>
    </row>
    <row r="7874" spans="1:9" ht="50.5" customHeight="1">
      <c r="A7874" s="5"/>
      <c r="B7874" s="5" t="str">
        <f>CONCATENATE(G7874,"/",COUNTIF($G$2:G7874,G7874))</f>
        <v>RO-10238/1</v>
      </c>
      <c r="C7874" s="5" t="s">
        <v>44693</v>
      </c>
      <c r="D7874" s="246">
        <v>45086</v>
      </c>
      <c r="E7874" s="5" t="s">
        <v>44694</v>
      </c>
      <c r="F7874" s="26" t="s">
        <v>23600</v>
      </c>
      <c r="G7874" s="36" t="s">
        <v>20156</v>
      </c>
      <c r="H7874" s="38" t="s">
        <v>20157</v>
      </c>
      <c r="I7874" s="46" t="s">
        <v>17682</v>
      </c>
    </row>
    <row r="7875" spans="1:9" ht="35.15" customHeight="1">
      <c r="A7875" s="5"/>
      <c r="B7875" s="5" t="str">
        <f>CONCATENATE(G7875,"/",COUNTIF($G$2:G7875,G7875))</f>
        <v>NO-10107/1</v>
      </c>
      <c r="C7875" s="5" t="s">
        <v>44695</v>
      </c>
      <c r="D7875" s="246">
        <v>45070</v>
      </c>
      <c r="E7875" s="5" t="s">
        <v>44696</v>
      </c>
      <c r="F7875" s="26" t="s">
        <v>23600</v>
      </c>
      <c r="G7875" s="36" t="s">
        <v>19155</v>
      </c>
      <c r="H7875" s="29" t="s">
        <v>19156</v>
      </c>
      <c r="I7875" s="30" t="s">
        <v>17344</v>
      </c>
    </row>
    <row r="7876" spans="1:9" ht="35.15" customHeight="1">
      <c r="A7876" s="5"/>
      <c r="B7876" s="5" t="str">
        <f>CONCATENATE(G7876,"/",COUNTIF($G$2:G7876,G7876))</f>
        <v>NO-10107/2</v>
      </c>
      <c r="C7876" s="5" t="s">
        <v>44695</v>
      </c>
      <c r="D7876" s="246">
        <v>45070</v>
      </c>
      <c r="E7876" s="5" t="s">
        <v>44696</v>
      </c>
      <c r="F7876" s="26" t="s">
        <v>23600</v>
      </c>
      <c r="G7876" s="36" t="s">
        <v>19155</v>
      </c>
      <c r="H7876" s="29" t="s">
        <v>19156</v>
      </c>
      <c r="I7876" s="30" t="s">
        <v>17344</v>
      </c>
    </row>
    <row r="7877" spans="1:9" ht="35.15" customHeight="1">
      <c r="A7877" s="5"/>
      <c r="B7877" s="5" t="str">
        <f>CONCATENATE(G7877,"/",COUNTIF($G$2:G7877,G7877))</f>
        <v>NO-10107/3</v>
      </c>
      <c r="C7877" s="5" t="s">
        <v>44697</v>
      </c>
      <c r="D7877" s="246">
        <v>45070</v>
      </c>
      <c r="E7877" s="5" t="s">
        <v>44698</v>
      </c>
      <c r="F7877" s="26" t="s">
        <v>23600</v>
      </c>
      <c r="G7877" s="36" t="s">
        <v>19155</v>
      </c>
      <c r="H7877" s="29" t="s">
        <v>19156</v>
      </c>
      <c r="I7877" s="30" t="s">
        <v>17344</v>
      </c>
    </row>
    <row r="7878" spans="1:9" ht="34.5" customHeight="1">
      <c r="A7878" s="5"/>
      <c r="B7878" s="5" t="str">
        <f>CONCATENATE(G7878,"/",COUNTIF($G$2:G7878,G7878))</f>
        <v>CZ-10245/1</v>
      </c>
      <c r="C7878" s="5" t="s">
        <v>23621</v>
      </c>
      <c r="D7878" s="246">
        <v>45093</v>
      </c>
      <c r="E7878" s="5" t="s">
        <v>44699</v>
      </c>
      <c r="F7878" s="26" t="s">
        <v>23600</v>
      </c>
      <c r="G7878" s="36" t="s">
        <v>20195</v>
      </c>
      <c r="H7878" s="38" t="s">
        <v>20196</v>
      </c>
      <c r="I7878" s="46" t="s">
        <v>16429</v>
      </c>
    </row>
    <row r="7879" spans="1:9" ht="36" customHeight="1">
      <c r="A7879" s="5"/>
      <c r="B7879" s="5" t="str">
        <f>CONCATENATE(G7879,"/",COUNTIF($G$2:G7879,G7879))</f>
        <v>CZ-10237/1</v>
      </c>
      <c r="C7879" s="5" t="s">
        <v>23621</v>
      </c>
      <c r="D7879" s="246">
        <v>45100</v>
      </c>
      <c r="E7879" s="5" t="s">
        <v>44700</v>
      </c>
      <c r="F7879" s="26" t="s">
        <v>23600</v>
      </c>
      <c r="G7879" s="36" t="s">
        <v>20143</v>
      </c>
      <c r="H7879" s="38" t="s">
        <v>20144</v>
      </c>
      <c r="I7879" s="46" t="s">
        <v>16429</v>
      </c>
    </row>
    <row r="7880" spans="1:9" ht="36" customHeight="1">
      <c r="A7880" s="5"/>
      <c r="B7880" s="5" t="str">
        <f>CONCATENATE(G7880,"/",COUNTIF($G$2:G7880,G7880))</f>
        <v>CZ-10237/2</v>
      </c>
      <c r="C7880" s="5" t="s">
        <v>23625</v>
      </c>
      <c r="D7880" s="246">
        <v>45100</v>
      </c>
      <c r="E7880" s="5" t="s">
        <v>44701</v>
      </c>
      <c r="F7880" s="26" t="s">
        <v>23600</v>
      </c>
      <c r="G7880" s="36" t="s">
        <v>20143</v>
      </c>
      <c r="H7880" s="38" t="s">
        <v>20144</v>
      </c>
      <c r="I7880" s="46" t="s">
        <v>16429</v>
      </c>
    </row>
    <row r="7881" spans="1:9" ht="32.15" customHeight="1">
      <c r="A7881" s="5"/>
      <c r="B7881" s="5" t="str">
        <f>CONCATENATE(G7881,"/",COUNTIF($G$2:G7881,G7881))</f>
        <v>CZ-10229/1</v>
      </c>
      <c r="C7881" s="5">
        <v>1</v>
      </c>
      <c r="D7881" s="246">
        <v>45100</v>
      </c>
      <c r="E7881" s="5" t="s">
        <v>44702</v>
      </c>
      <c r="F7881" s="26" t="s">
        <v>23600</v>
      </c>
      <c r="G7881" s="36" t="s">
        <v>20051</v>
      </c>
      <c r="H7881" s="38" t="s">
        <v>20052</v>
      </c>
      <c r="I7881" s="46" t="s">
        <v>16429</v>
      </c>
    </row>
    <row r="7882" spans="1:9" ht="31" customHeight="1">
      <c r="A7882" s="5"/>
      <c r="B7882" s="5" t="str">
        <f>CONCATENATE(G7882,"/",COUNTIF($G$2:G7882,G7882))</f>
        <v>ES-10367/1</v>
      </c>
      <c r="C7882" s="5" t="s">
        <v>44703</v>
      </c>
      <c r="D7882" s="246">
        <v>45099</v>
      </c>
      <c r="E7882" s="5" t="s">
        <v>44704</v>
      </c>
      <c r="F7882" s="26" t="s">
        <v>23600</v>
      </c>
      <c r="G7882" s="36" t="s">
        <v>20716</v>
      </c>
      <c r="H7882" s="55" t="s">
        <v>20717</v>
      </c>
      <c r="I7882" s="56" t="s">
        <v>17820</v>
      </c>
    </row>
    <row r="7883" spans="1:9" ht="31" customHeight="1">
      <c r="A7883" s="5"/>
      <c r="B7883" s="5" t="str">
        <f>CONCATENATE(G7883,"/",COUNTIF($G$2:G7883,G7883))</f>
        <v>ES-10367/2</v>
      </c>
      <c r="C7883" s="5" t="s">
        <v>44705</v>
      </c>
      <c r="D7883" s="246">
        <v>45099</v>
      </c>
      <c r="E7883" s="5" t="s">
        <v>44706</v>
      </c>
      <c r="F7883" s="26" t="s">
        <v>23600</v>
      </c>
      <c r="G7883" s="36" t="s">
        <v>20716</v>
      </c>
      <c r="H7883" s="55" t="s">
        <v>20717</v>
      </c>
      <c r="I7883" s="56" t="s">
        <v>17820</v>
      </c>
    </row>
    <row r="7884" spans="1:9" ht="31" customHeight="1">
      <c r="A7884" s="5"/>
      <c r="B7884" s="5" t="str">
        <f>CONCATENATE(G7884,"/",COUNTIF($G$2:G7884,G7884))</f>
        <v>PL-10248/1</v>
      </c>
      <c r="C7884" s="5" t="s">
        <v>44707</v>
      </c>
      <c r="D7884" s="246">
        <v>45082</v>
      </c>
      <c r="E7884" s="5" t="s">
        <v>44708</v>
      </c>
      <c r="F7884" s="26" t="s">
        <v>23600</v>
      </c>
      <c r="G7884" s="36" t="s">
        <v>20177</v>
      </c>
      <c r="H7884" s="38" t="s">
        <v>20178</v>
      </c>
      <c r="I7884" s="46" t="s">
        <v>17057</v>
      </c>
    </row>
    <row r="7885" spans="1:9" ht="31" customHeight="1">
      <c r="A7885" s="5"/>
      <c r="B7885" s="5" t="str">
        <f>CONCATENATE(G7885,"/",COUNTIF($G$2:G7885,G7885))</f>
        <v>PL-10248/2</v>
      </c>
      <c r="C7885" s="5" t="s">
        <v>44709</v>
      </c>
      <c r="D7885" s="246">
        <v>45082</v>
      </c>
      <c r="E7885" s="5" t="s">
        <v>44710</v>
      </c>
      <c r="F7885" s="26" t="s">
        <v>23600</v>
      </c>
      <c r="G7885" s="36" t="s">
        <v>20177</v>
      </c>
      <c r="H7885" s="38" t="s">
        <v>20178</v>
      </c>
      <c r="I7885" s="46" t="s">
        <v>17057</v>
      </c>
    </row>
    <row r="7886" spans="1:9" ht="31" customHeight="1">
      <c r="A7886" s="5"/>
      <c r="B7886" s="5" t="str">
        <f>CONCATENATE(G7886,"/",COUNTIF($G$2:G7886,G7886))</f>
        <v>PL-10248/3</v>
      </c>
      <c r="C7886" s="5" t="s">
        <v>44711</v>
      </c>
      <c r="D7886" s="246">
        <v>45082</v>
      </c>
      <c r="E7886" s="5" t="s">
        <v>44712</v>
      </c>
      <c r="F7886" s="26" t="s">
        <v>23600</v>
      </c>
      <c r="G7886" s="36" t="s">
        <v>20177</v>
      </c>
      <c r="H7886" s="38" t="s">
        <v>20178</v>
      </c>
      <c r="I7886" s="46" t="s">
        <v>17057</v>
      </c>
    </row>
    <row r="7887" spans="1:9" ht="35.15" customHeight="1">
      <c r="A7887" s="5"/>
      <c r="B7887" s="5" t="str">
        <f>CONCATENATE(G7887,"/",COUNTIF($G$2:G7887,G7887))</f>
        <v>RO-10250/1</v>
      </c>
      <c r="C7887" s="5" t="s">
        <v>44713</v>
      </c>
      <c r="D7887" s="246">
        <v>45104</v>
      </c>
      <c r="E7887" s="5" t="s">
        <v>44714</v>
      </c>
      <c r="F7887" s="26" t="s">
        <v>23600</v>
      </c>
      <c r="G7887" s="36" t="s">
        <v>20204</v>
      </c>
      <c r="H7887" s="38" t="s">
        <v>20205</v>
      </c>
      <c r="I7887" s="46" t="s">
        <v>17682</v>
      </c>
    </row>
    <row r="7888" spans="1:9" ht="35.15" customHeight="1">
      <c r="A7888" s="5"/>
      <c r="B7888" s="5" t="str">
        <f>CONCATENATE(G7888,"/",COUNTIF($G$2:G7888,G7888))</f>
        <v>RO-10250/2</v>
      </c>
      <c r="C7888" s="5" t="s">
        <v>44715</v>
      </c>
      <c r="D7888" s="246">
        <v>45104</v>
      </c>
      <c r="E7888" s="5" t="s">
        <v>44716</v>
      </c>
      <c r="F7888" s="26" t="s">
        <v>23600</v>
      </c>
      <c r="G7888" s="36" t="s">
        <v>20204</v>
      </c>
      <c r="H7888" s="38" t="s">
        <v>20205</v>
      </c>
      <c r="I7888" s="46" t="s">
        <v>17682</v>
      </c>
    </row>
    <row r="7889" spans="1:9" ht="31" customHeight="1">
      <c r="A7889" s="5"/>
      <c r="B7889" s="5" t="str">
        <f>CONCATENATE(G7889,"/",COUNTIF($G$2:G7889,G7889))</f>
        <v>NO-10236/1</v>
      </c>
      <c r="C7889" s="5" t="s">
        <v>44717</v>
      </c>
      <c r="D7889" s="246">
        <v>45113</v>
      </c>
      <c r="E7889" s="5" t="s">
        <v>44718</v>
      </c>
      <c r="F7889" s="26" t="s">
        <v>23600</v>
      </c>
      <c r="G7889" s="36" t="s">
        <v>20092</v>
      </c>
      <c r="H7889" s="38" t="s">
        <v>20093</v>
      </c>
      <c r="I7889" s="46" t="s">
        <v>17344</v>
      </c>
    </row>
    <row r="7890" spans="1:9" ht="36" customHeight="1">
      <c r="A7890" s="5"/>
      <c r="B7890" s="5" t="str">
        <f>CONCATENATE(G7890,"/",COUNTIF($G$2:G7890,G7890))</f>
        <v>BG-10330/1</v>
      </c>
      <c r="C7890" s="5" t="s">
        <v>44654</v>
      </c>
      <c r="D7890" s="246">
        <v>45092</v>
      </c>
      <c r="E7890" s="5" t="s">
        <v>44359</v>
      </c>
      <c r="F7890" s="26" t="s">
        <v>23600</v>
      </c>
      <c r="G7890" s="36" t="s">
        <v>20551</v>
      </c>
      <c r="H7890" s="55" t="s">
        <v>20552</v>
      </c>
      <c r="I7890" s="56" t="s">
        <v>17773</v>
      </c>
    </row>
    <row r="7891" spans="1:9" ht="36" customHeight="1">
      <c r="A7891" s="5"/>
      <c r="B7891" s="5" t="str">
        <f>CONCATENATE(G7891,"/",COUNTIF($G$2:G7891,G7891))</f>
        <v>BG-10330/2</v>
      </c>
      <c r="C7891" s="5" t="s">
        <v>44719</v>
      </c>
      <c r="D7891" s="246">
        <v>45092</v>
      </c>
      <c r="E7891" s="5" t="s">
        <v>44720</v>
      </c>
      <c r="F7891" s="26" t="s">
        <v>23600</v>
      </c>
      <c r="G7891" s="36" t="s">
        <v>20551</v>
      </c>
      <c r="H7891" s="55" t="s">
        <v>20552</v>
      </c>
      <c r="I7891" s="56" t="s">
        <v>17773</v>
      </c>
    </row>
    <row r="7892" spans="1:9" ht="36" customHeight="1">
      <c r="A7892" s="5"/>
      <c r="B7892" s="5" t="str">
        <f>CONCATENATE(G7892,"/",COUNTIF($G$2:G7892,G7892))</f>
        <v>BG-10330/3</v>
      </c>
      <c r="C7892" s="5" t="s">
        <v>44721</v>
      </c>
      <c r="D7892" s="246">
        <v>45092</v>
      </c>
      <c r="E7892" s="5" t="s">
        <v>44722</v>
      </c>
      <c r="F7892" s="26" t="s">
        <v>23600</v>
      </c>
      <c r="G7892" s="36" t="s">
        <v>20551</v>
      </c>
      <c r="H7892" s="55" t="s">
        <v>20552</v>
      </c>
      <c r="I7892" s="56" t="s">
        <v>17773</v>
      </c>
    </row>
    <row r="7893" spans="1:9" ht="36" customHeight="1">
      <c r="A7893" s="5"/>
      <c r="B7893" s="5" t="str">
        <f>CONCATENATE(G7893,"/",COUNTIF($G$2:G7893,G7893))</f>
        <v>BG-10330/4</v>
      </c>
      <c r="C7893" s="5" t="s">
        <v>44723</v>
      </c>
      <c r="D7893" s="246">
        <v>45092</v>
      </c>
      <c r="E7893" s="5" t="s">
        <v>44724</v>
      </c>
      <c r="F7893" s="26" t="s">
        <v>23600</v>
      </c>
      <c r="G7893" s="36" t="s">
        <v>20551</v>
      </c>
      <c r="H7893" s="55" t="s">
        <v>20552</v>
      </c>
      <c r="I7893" s="56" t="s">
        <v>17773</v>
      </c>
    </row>
    <row r="7894" spans="1:9" ht="36" customHeight="1">
      <c r="A7894" s="5"/>
      <c r="B7894" s="5" t="str">
        <f>CONCATENATE(G7894,"/",COUNTIF($G$2:G7894,G7894))</f>
        <v>BG-10330/5</v>
      </c>
      <c r="C7894" s="5" t="s">
        <v>44725</v>
      </c>
      <c r="D7894" s="246">
        <v>45092</v>
      </c>
      <c r="E7894" s="5" t="s">
        <v>44726</v>
      </c>
      <c r="F7894" s="26" t="s">
        <v>23600</v>
      </c>
      <c r="G7894" s="36" t="s">
        <v>20551</v>
      </c>
      <c r="H7894" s="55" t="s">
        <v>20552</v>
      </c>
      <c r="I7894" s="56" t="s">
        <v>17773</v>
      </c>
    </row>
    <row r="7895" spans="1:9" ht="31.5" customHeight="1">
      <c r="A7895" s="5"/>
      <c r="B7895" s="5" t="str">
        <f>CONCATENATE(G7895,"/",COUNTIF($G$2:G7895,G7895))</f>
        <v>HR-10297/1</v>
      </c>
      <c r="C7895" s="5" t="s">
        <v>44727</v>
      </c>
      <c r="D7895" s="246">
        <v>45103</v>
      </c>
      <c r="E7895" s="5" t="s">
        <v>44728</v>
      </c>
      <c r="F7895" s="26" t="s">
        <v>23600</v>
      </c>
      <c r="G7895" s="36" t="s">
        <v>20312</v>
      </c>
      <c r="H7895" s="29" t="s">
        <v>20313</v>
      </c>
      <c r="I7895" s="30" t="s">
        <v>9789</v>
      </c>
    </row>
    <row r="7896" spans="1:9" ht="30" customHeight="1">
      <c r="A7896" s="5"/>
      <c r="B7896" s="5" t="str">
        <f>CONCATENATE(G7896,"/",COUNTIF($G$2:G7896,G7896))</f>
        <v>RO-10272/1</v>
      </c>
      <c r="C7896" s="5" t="s">
        <v>44729</v>
      </c>
      <c r="D7896" s="246">
        <v>45120</v>
      </c>
      <c r="E7896" s="5" t="s">
        <v>44730</v>
      </c>
      <c r="F7896" s="26" t="s">
        <v>23600</v>
      </c>
      <c r="G7896" s="36" t="s">
        <v>20256</v>
      </c>
      <c r="H7896" s="29" t="s">
        <v>20257</v>
      </c>
      <c r="I7896" s="30" t="s">
        <v>17682</v>
      </c>
    </row>
    <row r="7897" spans="1:9" ht="33" customHeight="1">
      <c r="A7897" s="5"/>
      <c r="B7897" s="5" t="str">
        <f>CONCATENATE(G7897,"/",COUNTIF($G$2:G7897,G7897))</f>
        <v>RO-10301/1</v>
      </c>
      <c r="C7897" s="5" t="s">
        <v>44731</v>
      </c>
      <c r="D7897" s="246">
        <v>45134</v>
      </c>
      <c r="E7897" s="5" t="s">
        <v>44732</v>
      </c>
      <c r="F7897" s="26" t="s">
        <v>23600</v>
      </c>
      <c r="G7897" s="36" t="s">
        <v>20439</v>
      </c>
      <c r="H7897" s="55" t="s">
        <v>20440</v>
      </c>
      <c r="I7897" s="56" t="s">
        <v>17682</v>
      </c>
    </row>
    <row r="7898" spans="1:9" ht="32.15" customHeight="1">
      <c r="A7898" s="5"/>
      <c r="B7898" s="5" t="str">
        <f>CONCATENATE(G7898,"/",COUNTIF($G$2:G7898,G7898))</f>
        <v>CZ-10274/1</v>
      </c>
      <c r="C7898" s="5">
        <v>1</v>
      </c>
      <c r="D7898" s="246">
        <v>45139</v>
      </c>
      <c r="E7898" s="5" t="s">
        <v>44733</v>
      </c>
      <c r="F7898" s="26" t="s">
        <v>23600</v>
      </c>
      <c r="G7898" s="36" t="s">
        <v>20284</v>
      </c>
      <c r="H7898" s="29" t="s">
        <v>20285</v>
      </c>
      <c r="I7898" s="30" t="s">
        <v>16429</v>
      </c>
    </row>
    <row r="7899" spans="1:9" ht="32.15" customHeight="1">
      <c r="A7899" s="5"/>
      <c r="B7899" s="5" t="str">
        <f>CONCATENATE(G7899,"/",COUNTIF($G$2:G7899,G7899))</f>
        <v>CZ-10274/2</v>
      </c>
      <c r="C7899" s="5">
        <v>2</v>
      </c>
      <c r="D7899" s="246">
        <v>45139</v>
      </c>
      <c r="E7899" s="5" t="s">
        <v>44734</v>
      </c>
      <c r="F7899" s="26" t="s">
        <v>23600</v>
      </c>
      <c r="G7899" s="36" t="s">
        <v>20284</v>
      </c>
      <c r="H7899" s="29" t="s">
        <v>20285</v>
      </c>
      <c r="I7899" s="30" t="s">
        <v>16429</v>
      </c>
    </row>
    <row r="7900" spans="1:9" ht="32.15" customHeight="1">
      <c r="A7900" s="5"/>
      <c r="B7900" s="5" t="str">
        <f>CONCATENATE(G7900,"/",COUNTIF($G$2:G7900,G7900))</f>
        <v>CZ-10274/3</v>
      </c>
      <c r="C7900" s="5">
        <v>3</v>
      </c>
      <c r="D7900" s="246">
        <v>45139</v>
      </c>
      <c r="E7900" s="5" t="s">
        <v>44735</v>
      </c>
      <c r="F7900" s="26" t="s">
        <v>23600</v>
      </c>
      <c r="G7900" s="36" t="s">
        <v>20284</v>
      </c>
      <c r="H7900" s="29" t="s">
        <v>20285</v>
      </c>
      <c r="I7900" s="30" t="s">
        <v>16429</v>
      </c>
    </row>
    <row r="7901" spans="1:9" ht="32.15" customHeight="1">
      <c r="A7901" s="5"/>
      <c r="B7901" s="5" t="str">
        <f>CONCATENATE(G7901,"/",COUNTIF($G$2:G7901,G7901))</f>
        <v>CZ-10274/4</v>
      </c>
      <c r="C7901" s="5">
        <v>4</v>
      </c>
      <c r="D7901" s="246">
        <v>45139</v>
      </c>
      <c r="E7901" s="5" t="s">
        <v>44736</v>
      </c>
      <c r="F7901" s="26" t="s">
        <v>23600</v>
      </c>
      <c r="G7901" s="36" t="s">
        <v>20284</v>
      </c>
      <c r="H7901" s="29" t="s">
        <v>20285</v>
      </c>
      <c r="I7901" s="30" t="s">
        <v>16429</v>
      </c>
    </row>
    <row r="7902" spans="1:9" ht="32.15" customHeight="1">
      <c r="A7902" s="5"/>
      <c r="B7902" s="5" t="str">
        <f>CONCATENATE(G7902,"/",COUNTIF($G$2:G7902,G7902))</f>
        <v>CZ-10274/5</v>
      </c>
      <c r="C7902" s="5">
        <v>5</v>
      </c>
      <c r="D7902" s="246">
        <v>45139</v>
      </c>
      <c r="E7902" s="5" t="s">
        <v>44737</v>
      </c>
      <c r="F7902" s="26" t="s">
        <v>23600</v>
      </c>
      <c r="G7902" s="36" t="s">
        <v>20284</v>
      </c>
      <c r="H7902" s="29" t="s">
        <v>20285</v>
      </c>
      <c r="I7902" s="30" t="s">
        <v>16429</v>
      </c>
    </row>
    <row r="7903" spans="1:9" ht="31" customHeight="1">
      <c r="A7903" s="5"/>
      <c r="B7903" s="5" t="str">
        <f>CONCATENATE(G7903,"/",COUNTIF($G$2:G7903,G7903))</f>
        <v>BE-10294/1</v>
      </c>
      <c r="C7903" s="5" t="s">
        <v>44738</v>
      </c>
      <c r="D7903" s="246">
        <v>45138</v>
      </c>
      <c r="E7903" s="5" t="s">
        <v>44739</v>
      </c>
      <c r="F7903" s="26" t="s">
        <v>23600</v>
      </c>
      <c r="G7903" s="36" t="s">
        <v>20382</v>
      </c>
      <c r="H7903" s="29" t="s">
        <v>20383</v>
      </c>
      <c r="I7903" s="30" t="s">
        <v>14753</v>
      </c>
    </row>
    <row r="7904" spans="1:9" ht="34.5" customHeight="1">
      <c r="A7904" s="5"/>
      <c r="B7904" s="5" t="str">
        <f>CONCATENATE(G7904,"/",COUNTIF($G$2:G7904,G7904))</f>
        <v>RO-10280/1</v>
      </c>
      <c r="C7904" s="5" t="s">
        <v>44740</v>
      </c>
      <c r="D7904" s="246">
        <v>45138</v>
      </c>
      <c r="E7904" s="5" t="s">
        <v>44741</v>
      </c>
      <c r="F7904" s="26" t="s">
        <v>23600</v>
      </c>
      <c r="G7904" s="36" t="s">
        <v>20321</v>
      </c>
      <c r="H7904" s="29" t="s">
        <v>20322</v>
      </c>
      <c r="I7904" s="30" t="s">
        <v>17682</v>
      </c>
    </row>
    <row r="7905" spans="1:9" ht="33" customHeight="1">
      <c r="A7905" s="5"/>
      <c r="B7905" s="5" t="str">
        <f>CONCATENATE(G7905,"/",COUNTIF($G$2:G7905,G7905))</f>
        <v>CZ-6320/1</v>
      </c>
      <c r="C7905" s="5" t="s">
        <v>23621</v>
      </c>
      <c r="D7905" s="246">
        <v>45147</v>
      </c>
      <c r="E7905" s="5" t="s">
        <v>44742</v>
      </c>
      <c r="F7905" s="26" t="s">
        <v>23600</v>
      </c>
      <c r="G7905" s="27" t="s">
        <v>18094</v>
      </c>
      <c r="H7905" s="29" t="s">
        <v>18095</v>
      </c>
      <c r="I7905" s="30" t="s">
        <v>16429</v>
      </c>
    </row>
    <row r="7906" spans="1:9" ht="29.5" customHeight="1">
      <c r="A7906" s="5"/>
      <c r="B7906" s="5" t="str">
        <f>CONCATENATE(G7906,"/",COUNTIF($G$2:G7906,G7906))</f>
        <v>BG-10381/1</v>
      </c>
      <c r="C7906" s="5" t="s">
        <v>44654</v>
      </c>
      <c r="D7906" s="246">
        <v>45139</v>
      </c>
      <c r="E7906" s="5" t="s">
        <v>44743</v>
      </c>
      <c r="F7906" s="26" t="s">
        <v>23600</v>
      </c>
      <c r="G7906" s="36" t="s">
        <v>20915</v>
      </c>
      <c r="H7906" s="55" t="s">
        <v>20916</v>
      </c>
      <c r="I7906" s="56" t="s">
        <v>17773</v>
      </c>
    </row>
    <row r="7907" spans="1:9" ht="29.5" customHeight="1">
      <c r="A7907" s="5"/>
      <c r="B7907" s="5" t="str">
        <f>CONCATENATE(G7907,"/",COUNTIF($G$2:G7907,G7907))</f>
        <v>BG-10381/2</v>
      </c>
      <c r="C7907" s="5" t="s">
        <v>44744</v>
      </c>
      <c r="D7907" s="246">
        <v>45139</v>
      </c>
      <c r="E7907" s="5" t="s">
        <v>44745</v>
      </c>
      <c r="F7907" s="26" t="s">
        <v>23600</v>
      </c>
      <c r="G7907" s="36" t="s">
        <v>20915</v>
      </c>
      <c r="H7907" s="55" t="s">
        <v>20916</v>
      </c>
      <c r="I7907" s="56" t="s">
        <v>17773</v>
      </c>
    </row>
    <row r="7908" spans="1:9" ht="29.5" customHeight="1">
      <c r="A7908" s="5"/>
      <c r="B7908" s="5" t="str">
        <f>CONCATENATE(G7908,"/",COUNTIF($G$2:G7908,G7908))</f>
        <v>BG-10381/3</v>
      </c>
      <c r="C7908" s="5" t="s">
        <v>44746</v>
      </c>
      <c r="D7908" s="246">
        <v>45139</v>
      </c>
      <c r="E7908" s="5" t="s">
        <v>44747</v>
      </c>
      <c r="F7908" s="26" t="s">
        <v>23600</v>
      </c>
      <c r="G7908" s="36" t="s">
        <v>20915</v>
      </c>
      <c r="H7908" s="55" t="s">
        <v>20916</v>
      </c>
      <c r="I7908" s="56" t="s">
        <v>17773</v>
      </c>
    </row>
    <row r="7909" spans="1:9" ht="33" customHeight="1">
      <c r="A7909" s="5"/>
      <c r="B7909" s="5" t="str">
        <f>CONCATENATE(G7909,"/",COUNTIF($G$2:G7909,G7909))</f>
        <v>BE-10241/1</v>
      </c>
      <c r="C7909" s="5" t="s">
        <v>44738</v>
      </c>
      <c r="D7909" s="246">
        <v>45159</v>
      </c>
      <c r="E7909" s="5" t="s">
        <v>44748</v>
      </c>
      <c r="F7909" s="26" t="s">
        <v>23600</v>
      </c>
      <c r="G7909" s="36" t="s">
        <v>20014</v>
      </c>
      <c r="H7909" s="38" t="s">
        <v>20015</v>
      </c>
      <c r="I7909" s="46" t="s">
        <v>14753</v>
      </c>
    </row>
    <row r="7910" spans="1:9" ht="25" customHeight="1">
      <c r="A7910" s="5"/>
      <c r="B7910" s="5" t="str">
        <f>CONCATENATE(G7910,"/",COUNTIF($G$2:G7910,G7910))</f>
        <v>BE-5965/1</v>
      </c>
      <c r="C7910" s="5" t="s">
        <v>44749</v>
      </c>
      <c r="D7910" s="246">
        <v>44096</v>
      </c>
      <c r="E7910" s="5" t="s">
        <v>44750</v>
      </c>
      <c r="F7910" s="26" t="s">
        <v>23600</v>
      </c>
      <c r="G7910" s="27" t="s">
        <v>16082</v>
      </c>
      <c r="H7910" s="29" t="s">
        <v>16083</v>
      </c>
      <c r="I7910" s="30" t="s">
        <v>14753</v>
      </c>
    </row>
    <row r="7911" spans="1:9" ht="25" customHeight="1">
      <c r="A7911" s="5"/>
      <c r="B7911" s="5" t="str">
        <f>CONCATENATE(G7911,"/",COUNTIF($G$2:G7911,G7911))</f>
        <v>BE-5965/2</v>
      </c>
      <c r="C7911" s="5" t="s">
        <v>44751</v>
      </c>
      <c r="D7911" s="246">
        <v>44096</v>
      </c>
      <c r="E7911" s="5" t="s">
        <v>44752</v>
      </c>
      <c r="F7911" s="26" t="s">
        <v>23600</v>
      </c>
      <c r="G7911" s="27" t="s">
        <v>16082</v>
      </c>
      <c r="H7911" s="29" t="s">
        <v>16083</v>
      </c>
      <c r="I7911" s="30" t="s">
        <v>14753</v>
      </c>
    </row>
    <row r="7912" spans="1:9" ht="25" customHeight="1">
      <c r="A7912" s="5"/>
      <c r="B7912" s="5" t="str">
        <f>CONCATENATE(G7912,"/",COUNTIF($G$2:G7912,G7912))</f>
        <v>BE-5965/3</v>
      </c>
      <c r="C7912" s="5" t="s">
        <v>44753</v>
      </c>
      <c r="D7912" s="246">
        <v>44096</v>
      </c>
      <c r="E7912" s="5" t="s">
        <v>44754</v>
      </c>
      <c r="F7912" s="26" t="s">
        <v>23600</v>
      </c>
      <c r="G7912" s="27" t="s">
        <v>16082</v>
      </c>
      <c r="H7912" s="29" t="s">
        <v>16083</v>
      </c>
      <c r="I7912" s="30" t="s">
        <v>14753</v>
      </c>
    </row>
    <row r="7913" spans="1:9" ht="25" customHeight="1">
      <c r="A7913" s="5"/>
      <c r="B7913" s="5" t="str">
        <f>CONCATENATE(G7913,"/",COUNTIF($G$2:G7913,G7913))</f>
        <v>BE-5965/4</v>
      </c>
      <c r="C7913" s="5" t="s">
        <v>44755</v>
      </c>
      <c r="D7913" s="246">
        <v>44096</v>
      </c>
      <c r="E7913" s="5" t="s">
        <v>44756</v>
      </c>
      <c r="F7913" s="26" t="s">
        <v>23600</v>
      </c>
      <c r="G7913" s="27" t="s">
        <v>16082</v>
      </c>
      <c r="H7913" s="29" t="s">
        <v>16083</v>
      </c>
      <c r="I7913" s="30" t="s">
        <v>14753</v>
      </c>
    </row>
    <row r="7914" spans="1:9" ht="25" customHeight="1">
      <c r="A7914" s="5"/>
      <c r="B7914" s="5" t="str">
        <f>CONCATENATE(G7914,"/",COUNTIF($G$2:G7914,G7914))</f>
        <v>BE-5965/5</v>
      </c>
      <c r="C7914" s="5" t="s">
        <v>44757</v>
      </c>
      <c r="D7914" s="246">
        <v>44096</v>
      </c>
      <c r="E7914" s="5" t="s">
        <v>44758</v>
      </c>
      <c r="F7914" s="26" t="s">
        <v>23600</v>
      </c>
      <c r="G7914" s="27" t="s">
        <v>16082</v>
      </c>
      <c r="H7914" s="29" t="s">
        <v>16083</v>
      </c>
      <c r="I7914" s="30" t="s">
        <v>14753</v>
      </c>
    </row>
    <row r="7915" spans="1:9" ht="25" customHeight="1">
      <c r="A7915" s="5"/>
      <c r="B7915" s="5" t="str">
        <f>CONCATENATE(G7915,"/",COUNTIF($G$2:G7915,G7915))</f>
        <v>BE-5965/6</v>
      </c>
      <c r="C7915" s="5" t="s">
        <v>44759</v>
      </c>
      <c r="D7915" s="246">
        <v>44096</v>
      </c>
      <c r="E7915" s="5" t="s">
        <v>44760</v>
      </c>
      <c r="F7915" s="26" t="s">
        <v>23600</v>
      </c>
      <c r="G7915" s="27" t="s">
        <v>16082</v>
      </c>
      <c r="H7915" s="29" t="s">
        <v>16083</v>
      </c>
      <c r="I7915" s="30" t="s">
        <v>14753</v>
      </c>
    </row>
    <row r="7916" spans="1:9" ht="25" customHeight="1">
      <c r="A7916" s="5"/>
      <c r="B7916" s="5" t="str">
        <f>CONCATENATE(G7916,"/",COUNTIF($G$2:G7916,G7916))</f>
        <v>BE-5965/7</v>
      </c>
      <c r="C7916" s="5" t="s">
        <v>44761</v>
      </c>
      <c r="D7916" s="246">
        <v>44096</v>
      </c>
      <c r="E7916" s="5" t="s">
        <v>44762</v>
      </c>
      <c r="F7916" s="26" t="s">
        <v>23600</v>
      </c>
      <c r="G7916" s="27" t="s">
        <v>16082</v>
      </c>
      <c r="H7916" s="29" t="s">
        <v>16083</v>
      </c>
      <c r="I7916" s="30" t="s">
        <v>14753</v>
      </c>
    </row>
    <row r="7917" spans="1:9" ht="25" customHeight="1">
      <c r="A7917" s="5"/>
      <c r="B7917" s="5" t="str">
        <f>CONCATENATE(G7917,"/",COUNTIF($G$2:G7917,G7917))</f>
        <v>BE-5965/8</v>
      </c>
      <c r="C7917" s="5" t="s">
        <v>44763</v>
      </c>
      <c r="D7917" s="246">
        <v>44096</v>
      </c>
      <c r="E7917" s="5" t="s">
        <v>44764</v>
      </c>
      <c r="F7917" s="26" t="s">
        <v>23600</v>
      </c>
      <c r="G7917" s="27" t="s">
        <v>16082</v>
      </c>
      <c r="H7917" s="29" t="s">
        <v>16083</v>
      </c>
      <c r="I7917" s="30" t="s">
        <v>14753</v>
      </c>
    </row>
    <row r="7918" spans="1:9" ht="31.5" customHeight="1">
      <c r="A7918" s="5"/>
      <c r="B7918" s="5" t="str">
        <f>CONCATENATE(G7918,"/",COUNTIF($G$2:G7918,G7918))</f>
        <v>IT-10312/1</v>
      </c>
      <c r="C7918" s="5" t="s">
        <v>44765</v>
      </c>
      <c r="D7918" s="246">
        <v>45103</v>
      </c>
      <c r="E7918" s="5" t="s">
        <v>44766</v>
      </c>
      <c r="F7918" s="26" t="s">
        <v>23600</v>
      </c>
      <c r="G7918" s="36" t="s">
        <v>20269</v>
      </c>
      <c r="H7918" s="55" t="s">
        <v>20270</v>
      </c>
      <c r="I7918" s="56" t="s">
        <v>18131</v>
      </c>
    </row>
    <row r="7919" spans="1:9" ht="31.5" customHeight="1">
      <c r="A7919" s="5"/>
      <c r="B7919" s="5" t="str">
        <f>CONCATENATE(G7919,"/",COUNTIF($G$2:G7919,G7919))</f>
        <v>IT-10312/2</v>
      </c>
      <c r="C7919" s="5" t="s">
        <v>44767</v>
      </c>
      <c r="D7919" s="246">
        <v>45103</v>
      </c>
      <c r="E7919" s="5" t="s">
        <v>44768</v>
      </c>
      <c r="F7919" s="26" t="s">
        <v>23600</v>
      </c>
      <c r="G7919" s="36" t="s">
        <v>20269</v>
      </c>
      <c r="H7919" s="55" t="s">
        <v>20270</v>
      </c>
      <c r="I7919" s="56" t="s">
        <v>18131</v>
      </c>
    </row>
    <row r="7920" spans="1:9" ht="35.15" customHeight="1">
      <c r="A7920" s="5"/>
      <c r="B7920" s="5" t="str">
        <f>CONCATENATE(G7920,"/",COUNTIF($G$2:G7920,G7920))</f>
        <v>IT-10312/3</v>
      </c>
      <c r="C7920" s="5" t="s">
        <v>44769</v>
      </c>
      <c r="D7920" s="246">
        <v>45103</v>
      </c>
      <c r="E7920" s="5" t="s">
        <v>44770</v>
      </c>
      <c r="F7920" s="26" t="s">
        <v>23600</v>
      </c>
      <c r="G7920" s="36" t="s">
        <v>20269</v>
      </c>
      <c r="H7920" s="55" t="s">
        <v>20270</v>
      </c>
      <c r="I7920" s="56" t="s">
        <v>18131</v>
      </c>
    </row>
    <row r="7921" spans="1:9" ht="35.15" customHeight="1">
      <c r="A7921" s="5"/>
      <c r="B7921" s="5" t="str">
        <f>CONCATENATE(G7921,"/",COUNTIF($G$2:G7921,G7921))</f>
        <v>CZ-10300/1</v>
      </c>
      <c r="C7921" s="5" t="s">
        <v>23621</v>
      </c>
      <c r="D7921" s="246">
        <v>45169</v>
      </c>
      <c r="E7921" s="5" t="s">
        <v>44771</v>
      </c>
      <c r="F7921" s="26" t="s">
        <v>23600</v>
      </c>
      <c r="G7921" s="36" t="s">
        <v>20432</v>
      </c>
      <c r="H7921" s="55" t="s">
        <v>20433</v>
      </c>
      <c r="I7921" s="30" t="s">
        <v>16429</v>
      </c>
    </row>
    <row r="7922" spans="1:9" ht="34" customHeight="1">
      <c r="A7922" s="5"/>
      <c r="B7922" s="5" t="str">
        <f>CONCATENATE(G7922,"/",COUNTIF($G$2:G7922,G7922))</f>
        <v>RO-10298/1</v>
      </c>
      <c r="C7922" s="5" t="s">
        <v>44772</v>
      </c>
      <c r="D7922" s="246">
        <v>45147</v>
      </c>
      <c r="E7922" s="5" t="s">
        <v>44773</v>
      </c>
      <c r="F7922" s="26" t="s">
        <v>23600</v>
      </c>
      <c r="G7922" s="36" t="s">
        <v>20410</v>
      </c>
      <c r="H7922" s="29" t="s">
        <v>20411</v>
      </c>
      <c r="I7922" s="30" t="s">
        <v>17682</v>
      </c>
    </row>
    <row r="7923" spans="1:9" ht="34" customHeight="1">
      <c r="A7923" s="5"/>
      <c r="B7923" s="5" t="str">
        <f>CONCATENATE(G7923,"/",COUNTIF($G$2:G7923,G7923))</f>
        <v>RO-10298/2</v>
      </c>
      <c r="C7923" s="5" t="s">
        <v>44774</v>
      </c>
      <c r="D7923" s="246">
        <v>45147</v>
      </c>
      <c r="E7923" s="5" t="s">
        <v>44775</v>
      </c>
      <c r="F7923" s="26" t="s">
        <v>23600</v>
      </c>
      <c r="G7923" s="36" t="s">
        <v>20410</v>
      </c>
      <c r="H7923" s="29" t="s">
        <v>20411</v>
      </c>
      <c r="I7923" s="30" t="s">
        <v>17682</v>
      </c>
    </row>
    <row r="7924" spans="1:9" ht="28.5" customHeight="1">
      <c r="A7924" s="5"/>
      <c r="B7924" s="5" t="str">
        <f>CONCATENATE(G7924,"/",COUNTIF($G$2:G7924,G7924))</f>
        <v>RO-10292/1</v>
      </c>
      <c r="C7924" s="5" t="s">
        <v>44776</v>
      </c>
      <c r="D7924" s="246">
        <v>45162</v>
      </c>
      <c r="E7924" s="5" t="s">
        <v>44777</v>
      </c>
      <c r="F7924" s="26" t="s">
        <v>23600</v>
      </c>
      <c r="G7924" s="36" t="s">
        <v>20368</v>
      </c>
      <c r="H7924" s="29" t="s">
        <v>20369</v>
      </c>
      <c r="I7924" s="30" t="s">
        <v>17682</v>
      </c>
    </row>
    <row r="7925" spans="1:9" ht="28.5" customHeight="1">
      <c r="A7925" s="5"/>
      <c r="B7925" s="5" t="str">
        <f>CONCATENATE(G7925,"/",COUNTIF($G$2:G7925,G7925))</f>
        <v>RO-10292/2</v>
      </c>
      <c r="C7925" s="5" t="s">
        <v>44778</v>
      </c>
      <c r="D7925" s="246">
        <v>45162</v>
      </c>
      <c r="E7925" s="5" t="s">
        <v>44779</v>
      </c>
      <c r="F7925" s="26" t="s">
        <v>23600</v>
      </c>
      <c r="G7925" s="36" t="s">
        <v>20368</v>
      </c>
      <c r="H7925" s="29" t="s">
        <v>20369</v>
      </c>
      <c r="I7925" s="30" t="s">
        <v>17682</v>
      </c>
    </row>
    <row r="7926" spans="1:9" ht="42" customHeight="1">
      <c r="A7926" s="5"/>
      <c r="B7926" s="5" t="str">
        <f>CONCATENATE(G7926,"/",COUNTIF($G$2:G7926,G7926))</f>
        <v>DK-10304/1</v>
      </c>
      <c r="C7926" s="5" t="s">
        <v>44780</v>
      </c>
      <c r="D7926" s="246">
        <v>45160</v>
      </c>
      <c r="E7926" s="5" t="s">
        <v>44781</v>
      </c>
      <c r="F7926" s="26" t="s">
        <v>44782</v>
      </c>
      <c r="G7926" s="36" t="s">
        <v>20361</v>
      </c>
      <c r="H7926" s="55" t="s">
        <v>20362</v>
      </c>
      <c r="I7926" s="56" t="s">
        <v>12910</v>
      </c>
    </row>
    <row r="7927" spans="1:9" ht="42" customHeight="1">
      <c r="A7927" s="5"/>
      <c r="B7927" s="5" t="str">
        <f>CONCATENATE(G7927,"/",COUNTIF($G$2:G7927,G7927))</f>
        <v>DK-10304/2</v>
      </c>
      <c r="C7927" s="5" t="s">
        <v>44783</v>
      </c>
      <c r="D7927" s="246">
        <v>45160</v>
      </c>
      <c r="E7927" s="5" t="s">
        <v>44784</v>
      </c>
      <c r="F7927" s="26" t="s">
        <v>44782</v>
      </c>
      <c r="G7927" s="36" t="s">
        <v>20361</v>
      </c>
      <c r="H7927" s="55" t="s">
        <v>20362</v>
      </c>
      <c r="I7927" s="56" t="s">
        <v>12910</v>
      </c>
    </row>
    <row r="7928" spans="1:9" ht="32.5" customHeight="1">
      <c r="A7928" s="5"/>
      <c r="B7928" s="5" t="str">
        <f>CONCATENATE(G7928,"/",COUNTIF($G$2:G7928,G7928))</f>
        <v>IT-10311/1</v>
      </c>
      <c r="C7928" s="5" t="s">
        <v>44785</v>
      </c>
      <c r="D7928" s="246">
        <v>45133</v>
      </c>
      <c r="E7928" s="5" t="s">
        <v>44786</v>
      </c>
      <c r="F7928" s="26" t="s">
        <v>23600</v>
      </c>
      <c r="G7928" s="36" t="s">
        <v>20262</v>
      </c>
      <c r="H7928" s="55" t="s">
        <v>20263</v>
      </c>
      <c r="I7928" s="56" t="s">
        <v>18131</v>
      </c>
    </row>
    <row r="7929" spans="1:9" ht="32.5" customHeight="1">
      <c r="A7929" s="5"/>
      <c r="B7929" s="5" t="str">
        <f>CONCATENATE(G7929,"/",COUNTIF($G$2:G7929,G7929))</f>
        <v>IT-10311/2</v>
      </c>
      <c r="C7929" s="5" t="s">
        <v>44787</v>
      </c>
      <c r="D7929" s="246">
        <v>45133</v>
      </c>
      <c r="E7929" s="5" t="s">
        <v>44788</v>
      </c>
      <c r="F7929" s="26" t="s">
        <v>23600</v>
      </c>
      <c r="G7929" s="36" t="s">
        <v>20262</v>
      </c>
      <c r="H7929" s="55" t="s">
        <v>20263</v>
      </c>
      <c r="I7929" s="56" t="s">
        <v>18131</v>
      </c>
    </row>
    <row r="7930" spans="1:9" ht="32.5" customHeight="1">
      <c r="A7930" s="5"/>
      <c r="B7930" s="5" t="str">
        <f>CONCATENATE(G7930,"/",COUNTIF($G$2:G7930,G7930))</f>
        <v>IT-10311/3</v>
      </c>
      <c r="C7930" s="5" t="s">
        <v>44789</v>
      </c>
      <c r="D7930" s="246">
        <v>45133</v>
      </c>
      <c r="E7930" s="5" t="s">
        <v>44790</v>
      </c>
      <c r="F7930" s="26" t="s">
        <v>23600</v>
      </c>
      <c r="G7930" s="36" t="s">
        <v>20262</v>
      </c>
      <c r="H7930" s="55" t="s">
        <v>20263</v>
      </c>
      <c r="I7930" s="56" t="s">
        <v>18131</v>
      </c>
    </row>
    <row r="7931" spans="1:9" ht="32.5" customHeight="1">
      <c r="A7931" s="5"/>
      <c r="B7931" s="5" t="str">
        <f>CONCATENATE(G7931,"/",COUNTIF($G$2:G7931,G7931))</f>
        <v>IT-10311/4</v>
      </c>
      <c r="C7931" s="5" t="s">
        <v>44791</v>
      </c>
      <c r="D7931" s="246">
        <v>45133</v>
      </c>
      <c r="E7931" s="5" t="s">
        <v>44792</v>
      </c>
      <c r="F7931" s="26" t="s">
        <v>23600</v>
      </c>
      <c r="G7931" s="36" t="s">
        <v>20262</v>
      </c>
      <c r="H7931" s="55" t="s">
        <v>20263</v>
      </c>
      <c r="I7931" s="56" t="s">
        <v>18131</v>
      </c>
    </row>
    <row r="7932" spans="1:9" ht="34" customHeight="1">
      <c r="A7932" s="5"/>
      <c r="B7932" s="5" t="str">
        <f>CONCATENATE(G7932,"/",COUNTIF($G$2:G7932,G7932))</f>
        <v>RO-10299/1</v>
      </c>
      <c r="C7932" s="5" t="s">
        <v>44793</v>
      </c>
      <c r="D7932" s="246">
        <v>45180</v>
      </c>
      <c r="E7932" s="5" t="s">
        <v>44794</v>
      </c>
      <c r="F7932" s="26" t="s">
        <v>23600</v>
      </c>
      <c r="G7932" s="36" t="s">
        <v>20425</v>
      </c>
      <c r="H7932" s="29" t="s">
        <v>20426</v>
      </c>
      <c r="I7932" s="30" t="s">
        <v>17682</v>
      </c>
    </row>
    <row r="7933" spans="1:9" ht="34" customHeight="1">
      <c r="A7933" s="5"/>
      <c r="B7933" s="5" t="str">
        <f>CONCATENATE(G7933,"/",COUNTIF($G$2:G7933,G7933))</f>
        <v>RO-10299/2</v>
      </c>
      <c r="C7933" s="5" t="s">
        <v>44795</v>
      </c>
      <c r="D7933" s="246">
        <v>45180</v>
      </c>
      <c r="E7933" s="5" t="s">
        <v>44796</v>
      </c>
      <c r="F7933" s="26" t="s">
        <v>23600</v>
      </c>
      <c r="G7933" s="36" t="s">
        <v>20425</v>
      </c>
      <c r="H7933" s="29" t="s">
        <v>20426</v>
      </c>
      <c r="I7933" s="30" t="s">
        <v>17682</v>
      </c>
    </row>
    <row r="7934" spans="1:9" ht="36" customHeight="1">
      <c r="A7934" s="5"/>
      <c r="B7934" s="5" t="str">
        <f>CONCATENATE(G7934,"/",COUNTIF($G$2:G7934,G7934))</f>
        <v>FR-10079/1</v>
      </c>
      <c r="C7934" s="5" t="s">
        <v>44797</v>
      </c>
      <c r="D7934" s="246">
        <v>45142</v>
      </c>
      <c r="E7934" s="5" t="s">
        <v>44798</v>
      </c>
      <c r="F7934" s="26" t="s">
        <v>23600</v>
      </c>
      <c r="G7934" s="36" t="s">
        <v>18947</v>
      </c>
      <c r="H7934" s="29" t="s">
        <v>18948</v>
      </c>
      <c r="I7934" s="46" t="s">
        <v>16310</v>
      </c>
    </row>
    <row r="7935" spans="1:9" ht="36" customHeight="1">
      <c r="A7935" s="5"/>
      <c r="B7935" s="5" t="str">
        <f>CONCATENATE(G7935,"/",COUNTIF($G$2:G7935,G7935))</f>
        <v>FR-10079/2</v>
      </c>
      <c r="C7935" s="5" t="s">
        <v>44799</v>
      </c>
      <c r="D7935" s="246">
        <v>45142</v>
      </c>
      <c r="E7935" s="5" t="s">
        <v>44800</v>
      </c>
      <c r="F7935" s="26" t="s">
        <v>23600</v>
      </c>
      <c r="G7935" s="36" t="s">
        <v>18947</v>
      </c>
      <c r="H7935" s="29" t="s">
        <v>18948</v>
      </c>
      <c r="I7935" s="46" t="s">
        <v>16310</v>
      </c>
    </row>
    <row r="7936" spans="1:9" ht="36" customHeight="1">
      <c r="A7936" s="5"/>
      <c r="B7936" s="5" t="str">
        <f>CONCATENATE(G7936,"/",COUNTIF($G$2:G7936,G7936))</f>
        <v>FR-10079/3</v>
      </c>
      <c r="C7936" s="5" t="s">
        <v>44801</v>
      </c>
      <c r="D7936" s="246">
        <v>45142</v>
      </c>
      <c r="E7936" s="5" t="s">
        <v>44802</v>
      </c>
      <c r="F7936" s="26" t="s">
        <v>23600</v>
      </c>
      <c r="G7936" s="36" t="s">
        <v>18947</v>
      </c>
      <c r="H7936" s="29" t="s">
        <v>18948</v>
      </c>
      <c r="I7936" s="46" t="s">
        <v>16310</v>
      </c>
    </row>
    <row r="7937" spans="1:9" ht="32.5" customHeight="1">
      <c r="A7937" s="5"/>
      <c r="B7937" s="5" t="str">
        <f>CONCATENATE(G7937,"/",COUNTIF($G$2:G7937,G7937))</f>
        <v>FR-10079/4</v>
      </c>
      <c r="C7937" s="5" t="s">
        <v>44803</v>
      </c>
      <c r="D7937" s="246">
        <v>45142</v>
      </c>
      <c r="E7937" s="5" t="s">
        <v>44804</v>
      </c>
      <c r="F7937" s="26" t="s">
        <v>23600</v>
      </c>
      <c r="G7937" s="36" t="s">
        <v>18947</v>
      </c>
      <c r="H7937" s="29" t="s">
        <v>18948</v>
      </c>
      <c r="I7937" s="46" t="s">
        <v>16310</v>
      </c>
    </row>
    <row r="7938" spans="1:9" ht="32.5" customHeight="1">
      <c r="A7938" s="5"/>
      <c r="B7938" s="5" t="str">
        <f>CONCATENATE(G7938,"/",COUNTIF($G$2:G7938,G7938))</f>
        <v>FR-10079/5</v>
      </c>
      <c r="C7938" s="5" t="s">
        <v>44805</v>
      </c>
      <c r="D7938" s="246">
        <v>45142</v>
      </c>
      <c r="E7938" s="5" t="s">
        <v>44806</v>
      </c>
      <c r="F7938" s="26" t="s">
        <v>23600</v>
      </c>
      <c r="G7938" s="36" t="s">
        <v>18947</v>
      </c>
      <c r="H7938" s="29" t="s">
        <v>18948</v>
      </c>
      <c r="I7938" s="46" t="s">
        <v>16310</v>
      </c>
    </row>
    <row r="7939" spans="1:9" ht="32.5" customHeight="1">
      <c r="A7939" s="5"/>
      <c r="B7939" s="5" t="str">
        <f>CONCATENATE(G7939,"/",COUNTIF($G$2:G7939,G7939))</f>
        <v>RO-10314/1</v>
      </c>
      <c r="C7939" s="5" t="s">
        <v>44807</v>
      </c>
      <c r="D7939" s="246">
        <v>45197</v>
      </c>
      <c r="E7939" s="57" t="s">
        <v>44808</v>
      </c>
      <c r="F7939" s="26" t="s">
        <v>23600</v>
      </c>
      <c r="G7939" s="36" t="s">
        <v>20452</v>
      </c>
      <c r="H7939" s="55" t="s">
        <v>20453</v>
      </c>
      <c r="I7939" s="56" t="s">
        <v>17682</v>
      </c>
    </row>
    <row r="7940" spans="1:9" ht="32.5" customHeight="1">
      <c r="A7940" s="5"/>
      <c r="B7940" s="5" t="str">
        <f>CONCATENATE(G7940,"/",COUNTIF($G$2:G7940,G7940))</f>
        <v>BG-10433/1</v>
      </c>
      <c r="C7940" s="5" t="s">
        <v>44809</v>
      </c>
      <c r="D7940" s="246">
        <v>45184</v>
      </c>
      <c r="E7940" s="5" t="s">
        <v>44810</v>
      </c>
      <c r="F7940" s="26" t="s">
        <v>23600</v>
      </c>
      <c r="G7940" s="58" t="s">
        <v>21211</v>
      </c>
      <c r="H7940" s="55" t="s">
        <v>21212</v>
      </c>
      <c r="I7940" s="56" t="s">
        <v>17773</v>
      </c>
    </row>
    <row r="7941" spans="1:9" ht="32.5" customHeight="1">
      <c r="A7941" s="5"/>
      <c r="B7941" s="5" t="str">
        <f>CONCATENATE(G7941,"/",COUNTIF($G$2:G7941,G7941))</f>
        <v>BG-10433/2</v>
      </c>
      <c r="C7941" s="5" t="s">
        <v>44811</v>
      </c>
      <c r="D7941" s="246">
        <v>45184</v>
      </c>
      <c r="E7941" s="5" t="s">
        <v>44812</v>
      </c>
      <c r="F7941" s="26" t="s">
        <v>23600</v>
      </c>
      <c r="G7941" s="58" t="s">
        <v>21211</v>
      </c>
      <c r="H7941" s="55" t="s">
        <v>21212</v>
      </c>
      <c r="I7941" s="56" t="s">
        <v>17773</v>
      </c>
    </row>
    <row r="7942" spans="1:9" ht="32.5" customHeight="1">
      <c r="A7942" s="5"/>
      <c r="B7942" s="5" t="str">
        <f>CONCATENATE(G7942,"/",COUNTIF($G$2:G7942,G7942))</f>
        <v>BG-10433/3</v>
      </c>
      <c r="C7942" s="5" t="s">
        <v>44813</v>
      </c>
      <c r="D7942" s="246">
        <v>45184</v>
      </c>
      <c r="E7942" s="5" t="s">
        <v>44814</v>
      </c>
      <c r="F7942" s="26" t="s">
        <v>23600</v>
      </c>
      <c r="G7942" s="58" t="s">
        <v>21211</v>
      </c>
      <c r="H7942" s="55" t="s">
        <v>21212</v>
      </c>
      <c r="I7942" s="56" t="s">
        <v>17773</v>
      </c>
    </row>
    <row r="7943" spans="1:9" ht="32.5" customHeight="1">
      <c r="A7943" s="5"/>
      <c r="B7943" s="5" t="str">
        <f>CONCATENATE(G7943,"/",COUNTIF($G$2:G7943,G7943))</f>
        <v>BG-10433/4</v>
      </c>
      <c r="C7943" s="5" t="s">
        <v>44815</v>
      </c>
      <c r="D7943" s="246">
        <v>45184</v>
      </c>
      <c r="E7943" s="5" t="s">
        <v>44816</v>
      </c>
      <c r="F7943" s="26" t="s">
        <v>23600</v>
      </c>
      <c r="G7943" s="58" t="s">
        <v>21211</v>
      </c>
      <c r="H7943" s="55" t="s">
        <v>21212</v>
      </c>
      <c r="I7943" s="56" t="s">
        <v>17773</v>
      </c>
    </row>
    <row r="7944" spans="1:9" ht="32.5" customHeight="1">
      <c r="A7944" s="5"/>
      <c r="B7944" s="5" t="str">
        <f>CONCATENATE(G7944,"/",COUNTIF($G$2:G7944,G7944))</f>
        <v>BG-10433/5</v>
      </c>
      <c r="C7944" s="5" t="s">
        <v>44817</v>
      </c>
      <c r="D7944" s="246">
        <v>45184</v>
      </c>
      <c r="E7944" s="5" t="s">
        <v>44818</v>
      </c>
      <c r="F7944" s="26" t="s">
        <v>23600</v>
      </c>
      <c r="G7944" s="58" t="s">
        <v>21211</v>
      </c>
      <c r="H7944" s="55" t="s">
        <v>21212</v>
      </c>
      <c r="I7944" s="56" t="s">
        <v>17773</v>
      </c>
    </row>
    <row r="7945" spans="1:9" ht="32.5" customHeight="1">
      <c r="A7945" s="5"/>
      <c r="B7945" s="5" t="str">
        <f>CONCATENATE(G7945,"/",COUNTIF($G$2:G7945,G7945))</f>
        <v>BG-10433/6</v>
      </c>
      <c r="C7945" s="5" t="s">
        <v>44819</v>
      </c>
      <c r="D7945" s="246">
        <v>45184</v>
      </c>
      <c r="E7945" s="5" t="s">
        <v>44820</v>
      </c>
      <c r="F7945" s="26" t="s">
        <v>23600</v>
      </c>
      <c r="G7945" s="58" t="s">
        <v>21211</v>
      </c>
      <c r="H7945" s="55" t="s">
        <v>21212</v>
      </c>
      <c r="I7945" s="56" t="s">
        <v>17773</v>
      </c>
    </row>
    <row r="7946" spans="1:9" ht="36.65" customHeight="1">
      <c r="A7946" s="5"/>
      <c r="B7946" s="5" t="str">
        <f>CONCATENATE(G7946,"/",COUNTIF($G$2:G7946,G7946))</f>
        <v>RO-10329/1</v>
      </c>
      <c r="C7946" s="5" t="s">
        <v>44821</v>
      </c>
      <c r="D7946" s="246">
        <v>45215</v>
      </c>
      <c r="E7946" s="5" t="s">
        <v>44822</v>
      </c>
      <c r="F7946" s="26" t="s">
        <v>23600</v>
      </c>
      <c r="G7946" s="37" t="s">
        <v>20545</v>
      </c>
      <c r="H7946" s="55" t="s">
        <v>20546</v>
      </c>
      <c r="I7946" s="56" t="s">
        <v>17682</v>
      </c>
    </row>
    <row r="7947" spans="1:9" ht="21.65" customHeight="1">
      <c r="A7947" s="5"/>
      <c r="B7947" s="5" t="str">
        <f>CONCATENATE(G7947,"/",COUNTIF($G$2:G7947,G7947))</f>
        <v>PL-10352/1</v>
      </c>
      <c r="C7947" s="5" t="s">
        <v>44823</v>
      </c>
      <c r="D7947" s="246">
        <v>44868</v>
      </c>
      <c r="E7947" s="5" t="s">
        <v>44824</v>
      </c>
      <c r="F7947" s="26" t="s">
        <v>23600</v>
      </c>
      <c r="G7947" s="37" t="s">
        <v>20558</v>
      </c>
      <c r="H7947" s="55" t="s">
        <v>20559</v>
      </c>
      <c r="I7947" s="56" t="s">
        <v>17057</v>
      </c>
    </row>
    <row r="7948" spans="1:9" ht="21.65" customHeight="1">
      <c r="A7948" s="5"/>
      <c r="B7948" s="5" t="str">
        <f>CONCATENATE(G7948,"/",COUNTIF($G$2:G7948,G7948))</f>
        <v>PL-10352/2</v>
      </c>
      <c r="C7948" s="5" t="s">
        <v>44825</v>
      </c>
      <c r="D7948" s="246">
        <v>45176</v>
      </c>
      <c r="E7948" s="5" t="s">
        <v>44826</v>
      </c>
      <c r="F7948" s="26" t="s">
        <v>23600</v>
      </c>
      <c r="G7948" s="37" t="s">
        <v>20558</v>
      </c>
      <c r="H7948" s="55" t="s">
        <v>20559</v>
      </c>
      <c r="I7948" s="56" t="s">
        <v>17057</v>
      </c>
    </row>
    <row r="7949" spans="1:9" ht="21.65" customHeight="1">
      <c r="A7949" s="5"/>
      <c r="B7949" s="5" t="str">
        <f>CONCATENATE(G7949,"/",COUNTIF($G$2:G7949,G7949))</f>
        <v>PL-10352/3</v>
      </c>
      <c r="C7949" s="5" t="s">
        <v>44827</v>
      </c>
      <c r="D7949" s="246">
        <v>45176</v>
      </c>
      <c r="E7949" s="5" t="s">
        <v>44828</v>
      </c>
      <c r="F7949" s="26" t="s">
        <v>23600</v>
      </c>
      <c r="G7949" s="37" t="s">
        <v>20558</v>
      </c>
      <c r="H7949" s="55" t="s">
        <v>20559</v>
      </c>
      <c r="I7949" s="56" t="s">
        <v>17057</v>
      </c>
    </row>
    <row r="7950" spans="1:9" ht="21.65" customHeight="1">
      <c r="A7950" s="5"/>
      <c r="B7950" s="5" t="str">
        <f>CONCATENATE(G7950,"/",COUNTIF($G$2:G7950,G7950))</f>
        <v>PL-10352/4</v>
      </c>
      <c r="C7950" s="5" t="s">
        <v>44829</v>
      </c>
      <c r="D7950" s="246">
        <v>45176</v>
      </c>
      <c r="E7950" s="5" t="s">
        <v>44830</v>
      </c>
      <c r="F7950" s="26" t="s">
        <v>23600</v>
      </c>
      <c r="G7950" s="37" t="s">
        <v>20558</v>
      </c>
      <c r="H7950" s="55" t="s">
        <v>20559</v>
      </c>
      <c r="I7950" s="56" t="s">
        <v>17057</v>
      </c>
    </row>
    <row r="7951" spans="1:9" ht="21.65" customHeight="1">
      <c r="A7951" s="5"/>
      <c r="B7951" s="5" t="str">
        <f>CONCATENATE(G7951,"/",COUNTIF($G$2:G7951,G7951))</f>
        <v>PL-10352/5</v>
      </c>
      <c r="C7951" s="5" t="s">
        <v>44831</v>
      </c>
      <c r="D7951" s="246">
        <v>45176</v>
      </c>
      <c r="E7951" s="5" t="s">
        <v>44832</v>
      </c>
      <c r="F7951" s="26" t="s">
        <v>23600</v>
      </c>
      <c r="G7951" s="37" t="s">
        <v>20558</v>
      </c>
      <c r="H7951" s="55" t="s">
        <v>20559</v>
      </c>
      <c r="I7951" s="56" t="s">
        <v>17057</v>
      </c>
    </row>
    <row r="7952" spans="1:9" ht="21.65" customHeight="1">
      <c r="A7952" s="5"/>
      <c r="B7952" s="5" t="str">
        <f>CONCATENATE(G7952,"/",COUNTIF($G$2:G7952,G7952))</f>
        <v>PL-10352/6</v>
      </c>
      <c r="C7952" s="5" t="s">
        <v>44833</v>
      </c>
      <c r="D7952" s="246">
        <v>45176</v>
      </c>
      <c r="E7952" s="5" t="s">
        <v>44834</v>
      </c>
      <c r="F7952" s="26" t="s">
        <v>23600</v>
      </c>
      <c r="G7952" s="37" t="s">
        <v>20558</v>
      </c>
      <c r="H7952" s="55" t="s">
        <v>20559</v>
      </c>
      <c r="I7952" s="56" t="s">
        <v>17057</v>
      </c>
    </row>
    <row r="7953" spans="1:9" ht="32.15" customHeight="1">
      <c r="A7953" s="5"/>
      <c r="B7953" s="5" t="str">
        <f>CONCATENATE(G7953,"/",COUNTIF($G$2:G7953,G7953))</f>
        <v>IT-10276/1</v>
      </c>
      <c r="C7953" s="5" t="s">
        <v>44835</v>
      </c>
      <c r="D7953" s="246">
        <v>45194</v>
      </c>
      <c r="E7953" s="5" t="s">
        <v>44836</v>
      </c>
      <c r="F7953" s="26" t="s">
        <v>23600</v>
      </c>
      <c r="G7953" s="37" t="s">
        <v>19900</v>
      </c>
      <c r="H7953" s="29" t="s">
        <v>19901</v>
      </c>
      <c r="I7953" s="30" t="s">
        <v>18131</v>
      </c>
    </row>
    <row r="7954" spans="1:9" ht="32.15" customHeight="1">
      <c r="A7954" s="5"/>
      <c r="B7954" s="5" t="str">
        <f>CONCATENATE(G7954,"/",COUNTIF($G$2:G7954,G7954))</f>
        <v>IT-10276/2</v>
      </c>
      <c r="C7954" s="5" t="s">
        <v>44837</v>
      </c>
      <c r="D7954" s="246">
        <v>45194</v>
      </c>
      <c r="E7954" s="5" t="s">
        <v>44838</v>
      </c>
      <c r="F7954" s="26" t="s">
        <v>23600</v>
      </c>
      <c r="G7954" s="37" t="s">
        <v>19900</v>
      </c>
      <c r="H7954" s="29" t="s">
        <v>19901</v>
      </c>
      <c r="I7954" s="30" t="s">
        <v>18131</v>
      </c>
    </row>
    <row r="7955" spans="1:9" ht="32.15" customHeight="1">
      <c r="A7955" s="5"/>
      <c r="B7955" s="5" t="str">
        <f>CONCATENATE(G7955,"/",COUNTIF($G$2:G7955,G7955))</f>
        <v>IT-10276/3</v>
      </c>
      <c r="C7955" s="5" t="s">
        <v>44839</v>
      </c>
      <c r="D7955" s="246">
        <v>45194</v>
      </c>
      <c r="E7955" s="5" t="s">
        <v>44840</v>
      </c>
      <c r="F7955" s="26" t="s">
        <v>23600</v>
      </c>
      <c r="G7955" s="37" t="s">
        <v>19900</v>
      </c>
      <c r="H7955" s="29" t="s">
        <v>19901</v>
      </c>
      <c r="I7955" s="30" t="s">
        <v>18131</v>
      </c>
    </row>
    <row r="7956" spans="1:9" ht="32.15" customHeight="1">
      <c r="A7956" s="5"/>
      <c r="B7956" s="5" t="str">
        <f>CONCATENATE(G7956,"/",COUNTIF($G$2:G7956,G7956))</f>
        <v>IT-10276/4</v>
      </c>
      <c r="C7956" s="5" t="s">
        <v>44841</v>
      </c>
      <c r="D7956" s="246">
        <v>45194</v>
      </c>
      <c r="E7956" s="5" t="s">
        <v>44842</v>
      </c>
      <c r="F7956" s="26" t="s">
        <v>23600</v>
      </c>
      <c r="G7956" s="37" t="s">
        <v>19900</v>
      </c>
      <c r="H7956" s="29" t="s">
        <v>19901</v>
      </c>
      <c r="I7956" s="30" t="s">
        <v>18131</v>
      </c>
    </row>
    <row r="7957" spans="1:9" ht="32.15" customHeight="1">
      <c r="A7957" s="5"/>
      <c r="B7957" s="5" t="str">
        <f>CONCATENATE(G7957,"/",COUNTIF($G$2:G7957,G7957))</f>
        <v>IT-10276/5</v>
      </c>
      <c r="C7957" s="5" t="s">
        <v>44843</v>
      </c>
      <c r="D7957" s="246">
        <v>45194</v>
      </c>
      <c r="E7957" s="5" t="s">
        <v>44844</v>
      </c>
      <c r="F7957" s="26" t="s">
        <v>23600</v>
      </c>
      <c r="G7957" s="37" t="s">
        <v>19900</v>
      </c>
      <c r="H7957" s="29" t="s">
        <v>19901</v>
      </c>
      <c r="I7957" s="30" t="s">
        <v>18131</v>
      </c>
    </row>
    <row r="7958" spans="1:9" ht="32.15" customHeight="1">
      <c r="A7958" s="5"/>
      <c r="B7958" s="5" t="str">
        <f>CONCATENATE(G7958,"/",COUNTIF($G$2:G7958,G7958))</f>
        <v>IT-10276/6</v>
      </c>
      <c r="C7958" s="5" t="s">
        <v>44845</v>
      </c>
      <c r="D7958" s="246">
        <v>45194</v>
      </c>
      <c r="E7958" s="5" t="s">
        <v>44846</v>
      </c>
      <c r="F7958" s="26" t="s">
        <v>23600</v>
      </c>
      <c r="G7958" s="37" t="s">
        <v>19900</v>
      </c>
      <c r="H7958" s="29" t="s">
        <v>19901</v>
      </c>
      <c r="I7958" s="30" t="s">
        <v>18131</v>
      </c>
    </row>
    <row r="7959" spans="1:9" ht="32.15" customHeight="1">
      <c r="A7959" s="5"/>
      <c r="B7959" s="5" t="str">
        <f>CONCATENATE(G7959,"/",COUNTIF($G$2:G7959,G7959))</f>
        <v>IT-10276/7</v>
      </c>
      <c r="C7959" s="5" t="s">
        <v>44847</v>
      </c>
      <c r="D7959" s="246">
        <v>45194</v>
      </c>
      <c r="E7959" s="5" t="s">
        <v>44848</v>
      </c>
      <c r="F7959" s="26" t="s">
        <v>23600</v>
      </c>
      <c r="G7959" s="37" t="s">
        <v>19900</v>
      </c>
      <c r="H7959" s="29" t="s">
        <v>19901</v>
      </c>
      <c r="I7959" s="30" t="s">
        <v>18131</v>
      </c>
    </row>
    <row r="7960" spans="1:9" ht="31.5" customHeight="1">
      <c r="A7960" s="5"/>
      <c r="B7960" s="5" t="str">
        <f>CONCATENATE(G7960,"/",COUNTIF($G$2:G7960,G7960))</f>
        <v>CZ-10332/1</v>
      </c>
      <c r="C7960" s="5" t="s">
        <v>23621</v>
      </c>
      <c r="D7960" s="246">
        <v>45236</v>
      </c>
      <c r="E7960" s="5" t="s">
        <v>44849</v>
      </c>
      <c r="F7960" s="26" t="s">
        <v>23600</v>
      </c>
      <c r="G7960" s="37" t="s">
        <v>20590</v>
      </c>
      <c r="H7960" s="55" t="s">
        <v>20591</v>
      </c>
      <c r="I7960" s="56" t="s">
        <v>16429</v>
      </c>
    </row>
    <row r="7961" spans="1:9" ht="34" customHeight="1">
      <c r="A7961" s="5"/>
      <c r="B7961" s="5" t="str">
        <f>CONCATENATE(G7961,"/",COUNTIF($G$2:G7961,G7961))</f>
        <v>CZ-10414/1</v>
      </c>
      <c r="C7961" s="5">
        <v>1</v>
      </c>
      <c r="D7961" s="246">
        <v>45254</v>
      </c>
      <c r="E7961" s="5" t="s">
        <v>44850</v>
      </c>
      <c r="F7961" s="26" t="s">
        <v>23600</v>
      </c>
      <c r="G7961" s="37" t="s">
        <v>21116</v>
      </c>
      <c r="H7961" s="55" t="s">
        <v>21117</v>
      </c>
      <c r="I7961" s="56" t="s">
        <v>16429</v>
      </c>
    </row>
    <row r="7962" spans="1:9" ht="34" customHeight="1">
      <c r="A7962" s="5"/>
      <c r="B7962" s="5" t="str">
        <f>CONCATENATE(G7962,"/",COUNTIF($G$2:G7962,G7962))</f>
        <v>CZ-10414/2</v>
      </c>
      <c r="C7962" s="5">
        <v>2</v>
      </c>
      <c r="D7962" s="246">
        <v>45254</v>
      </c>
      <c r="E7962" s="5" t="s">
        <v>44851</v>
      </c>
      <c r="F7962" s="26" t="s">
        <v>23600</v>
      </c>
      <c r="G7962" s="37" t="s">
        <v>21116</v>
      </c>
      <c r="H7962" s="55" t="s">
        <v>21117</v>
      </c>
      <c r="I7962" s="56" t="s">
        <v>16429</v>
      </c>
    </row>
    <row r="7963" spans="1:9" ht="34" customHeight="1">
      <c r="A7963" s="5"/>
      <c r="B7963" s="5" t="str">
        <f>CONCATENATE(G7963,"/",COUNTIF($G$2:G7963,G7963))</f>
        <v>CZ-10414/3</v>
      </c>
      <c r="C7963" s="5">
        <v>3</v>
      </c>
      <c r="D7963" s="246">
        <v>45254</v>
      </c>
      <c r="E7963" s="5" t="s">
        <v>44852</v>
      </c>
      <c r="F7963" s="26" t="s">
        <v>23600</v>
      </c>
      <c r="G7963" s="37" t="s">
        <v>21116</v>
      </c>
      <c r="H7963" s="55" t="s">
        <v>21117</v>
      </c>
      <c r="I7963" s="56" t="s">
        <v>16429</v>
      </c>
    </row>
    <row r="7964" spans="1:9" ht="31" customHeight="1">
      <c r="A7964" s="5"/>
      <c r="B7964" s="5" t="str">
        <f>CONCATENATE(G7964,"/",COUNTIF($G$2:G7964,G7964))</f>
        <v>IT-10270/1</v>
      </c>
      <c r="C7964" s="5" t="s">
        <v>44853</v>
      </c>
      <c r="D7964" s="246">
        <v>45236</v>
      </c>
      <c r="E7964" s="5" t="s">
        <v>44854</v>
      </c>
      <c r="F7964" s="26" t="s">
        <v>23600</v>
      </c>
      <c r="G7964" s="37" t="s">
        <v>20122</v>
      </c>
      <c r="H7964" s="29" t="s">
        <v>20123</v>
      </c>
      <c r="I7964" s="30" t="s">
        <v>18131</v>
      </c>
    </row>
    <row r="7965" spans="1:9" ht="31" customHeight="1">
      <c r="A7965" s="5"/>
      <c r="B7965" s="5" t="str">
        <f>CONCATENATE(G7965,"/",COUNTIF($G$2:G7965,G7965))</f>
        <v>IT-10270/2</v>
      </c>
      <c r="C7965" s="5" t="s">
        <v>44855</v>
      </c>
      <c r="D7965" s="246">
        <v>45236</v>
      </c>
      <c r="E7965" s="5" t="s">
        <v>44856</v>
      </c>
      <c r="F7965" s="26" t="s">
        <v>23600</v>
      </c>
      <c r="G7965" s="37" t="s">
        <v>20122</v>
      </c>
      <c r="H7965" s="29" t="s">
        <v>20123</v>
      </c>
      <c r="I7965" s="30" t="s">
        <v>18131</v>
      </c>
    </row>
    <row r="7966" spans="1:9" ht="31" customHeight="1">
      <c r="A7966" s="5"/>
      <c r="B7966" s="5" t="str">
        <f>CONCATENATE(G7966,"/",COUNTIF($G$2:G7966,G7966))</f>
        <v>IT-10270/3</v>
      </c>
      <c r="C7966" s="5" t="s">
        <v>44857</v>
      </c>
      <c r="D7966" s="246">
        <v>45236</v>
      </c>
      <c r="E7966" s="5" t="s">
        <v>44858</v>
      </c>
      <c r="F7966" s="26" t="s">
        <v>23600</v>
      </c>
      <c r="G7966" s="37" t="s">
        <v>20122</v>
      </c>
      <c r="H7966" s="29" t="s">
        <v>20123</v>
      </c>
      <c r="I7966" s="30" t="s">
        <v>18131</v>
      </c>
    </row>
    <row r="7967" spans="1:9" ht="31" customHeight="1">
      <c r="A7967" s="5"/>
      <c r="B7967" s="5" t="str">
        <f>CONCATENATE(G7967,"/",COUNTIF($G$2:G7967,G7967))</f>
        <v>IT-10270/4</v>
      </c>
      <c r="C7967" s="5" t="s">
        <v>44859</v>
      </c>
      <c r="D7967" s="246">
        <v>45236</v>
      </c>
      <c r="E7967" s="5" t="s">
        <v>44860</v>
      </c>
      <c r="F7967" s="26" t="s">
        <v>23600</v>
      </c>
      <c r="G7967" s="37" t="s">
        <v>20122</v>
      </c>
      <c r="H7967" s="29" t="s">
        <v>20123</v>
      </c>
      <c r="I7967" s="30" t="s">
        <v>18131</v>
      </c>
    </row>
    <row r="7968" spans="1:9" ht="31" customHeight="1">
      <c r="A7968" s="5"/>
      <c r="B7968" s="5" t="str">
        <f>CONCATENATE(G7968,"/",COUNTIF($G$2:G7968,G7968))</f>
        <v>IT-10270/5</v>
      </c>
      <c r="C7968" s="5" t="s">
        <v>44861</v>
      </c>
      <c r="D7968" s="246">
        <v>45236</v>
      </c>
      <c r="E7968" s="5" t="s">
        <v>44862</v>
      </c>
      <c r="F7968" s="26" t="s">
        <v>23600</v>
      </c>
      <c r="G7968" s="37" t="s">
        <v>20122</v>
      </c>
      <c r="H7968" s="29" t="s">
        <v>20123</v>
      </c>
      <c r="I7968" s="30" t="s">
        <v>18131</v>
      </c>
    </row>
    <row r="7969" spans="1:9" ht="32.5" customHeight="1">
      <c r="A7969" s="5"/>
      <c r="B7969" s="5" t="str">
        <f>CONCATENATE(G7969,"/",COUNTIF($G$2:G7969,G7969))</f>
        <v>RO-10344/1</v>
      </c>
      <c r="C7969" s="5" t="s">
        <v>44863</v>
      </c>
      <c r="D7969" s="246">
        <v>45258</v>
      </c>
      <c r="E7969" s="5" t="s">
        <v>44864</v>
      </c>
      <c r="F7969" s="26" t="s">
        <v>23600</v>
      </c>
      <c r="G7969" s="37" t="s">
        <v>20667</v>
      </c>
      <c r="H7969" s="55" t="s">
        <v>20668</v>
      </c>
      <c r="I7969" s="56" t="s">
        <v>17682</v>
      </c>
    </row>
    <row r="7970" spans="1:9" ht="32.5" customHeight="1">
      <c r="A7970" s="5"/>
      <c r="B7970" s="5" t="str">
        <f>CONCATENATE(G7970,"/",COUNTIF($G$2:G7970,G7970))</f>
        <v>RO-10344/2</v>
      </c>
      <c r="C7970" s="5" t="s">
        <v>44865</v>
      </c>
      <c r="D7970" s="246">
        <v>45258</v>
      </c>
      <c r="E7970" s="5" t="s">
        <v>44866</v>
      </c>
      <c r="F7970" s="26" t="s">
        <v>23600</v>
      </c>
      <c r="G7970" s="37" t="s">
        <v>20667</v>
      </c>
      <c r="H7970" s="55" t="s">
        <v>20668</v>
      </c>
      <c r="I7970" s="56" t="s">
        <v>17682</v>
      </c>
    </row>
    <row r="7971" spans="1:9" ht="30.65" customHeight="1">
      <c r="A7971" s="5"/>
      <c r="B7971" s="5" t="str">
        <f>CONCATENATE(G7971,"/",COUNTIF($G$2:G7971,G7971))</f>
        <v>IT-10335/1</v>
      </c>
      <c r="C7971" s="5" t="s">
        <v>44867</v>
      </c>
      <c r="D7971" s="246">
        <v>45240</v>
      </c>
      <c r="E7971" s="5" t="s">
        <v>44868</v>
      </c>
      <c r="F7971" s="26" t="s">
        <v>23600</v>
      </c>
      <c r="G7971" s="37" t="s">
        <v>20583</v>
      </c>
      <c r="H7971" s="55" t="s">
        <v>20584</v>
      </c>
      <c r="I7971" s="56" t="s">
        <v>18131</v>
      </c>
    </row>
    <row r="7972" spans="1:9" ht="30.65" customHeight="1">
      <c r="A7972" s="5"/>
      <c r="B7972" s="5" t="str">
        <f>CONCATENATE(G7972,"/",COUNTIF($G$2:G7972,G7972))</f>
        <v>IT-10335/2</v>
      </c>
      <c r="C7972" s="5" t="s">
        <v>44869</v>
      </c>
      <c r="D7972" s="246">
        <v>45240</v>
      </c>
      <c r="E7972" s="5" t="s">
        <v>44870</v>
      </c>
      <c r="F7972" s="26" t="s">
        <v>23600</v>
      </c>
      <c r="G7972" s="37" t="s">
        <v>20583</v>
      </c>
      <c r="H7972" s="55" t="s">
        <v>20584</v>
      </c>
      <c r="I7972" s="56" t="s">
        <v>18131</v>
      </c>
    </row>
    <row r="7973" spans="1:9" ht="30.65" customHeight="1">
      <c r="A7973" s="5"/>
      <c r="B7973" s="5" t="str">
        <f>CONCATENATE(G7973,"/",COUNTIF($G$2:G7973,G7973))</f>
        <v>IT-10335/3</v>
      </c>
      <c r="C7973" s="5" t="s">
        <v>44871</v>
      </c>
      <c r="D7973" s="246">
        <v>45240</v>
      </c>
      <c r="E7973" s="5" t="s">
        <v>44872</v>
      </c>
      <c r="F7973" s="26" t="s">
        <v>23600</v>
      </c>
      <c r="G7973" s="37" t="s">
        <v>20583</v>
      </c>
      <c r="H7973" s="55" t="s">
        <v>20584</v>
      </c>
      <c r="I7973" s="56" t="s">
        <v>18131</v>
      </c>
    </row>
    <row r="7974" spans="1:9" ht="30.65" customHeight="1">
      <c r="A7974" s="5"/>
      <c r="B7974" s="5" t="str">
        <f>CONCATENATE(G7974,"/",COUNTIF($G$2:G7974,G7974))</f>
        <v>IT-10335/4</v>
      </c>
      <c r="C7974" s="5" t="s">
        <v>44873</v>
      </c>
      <c r="D7974" s="246">
        <v>45240</v>
      </c>
      <c r="E7974" s="5" t="s">
        <v>44874</v>
      </c>
      <c r="F7974" s="26" t="s">
        <v>23600</v>
      </c>
      <c r="G7974" s="37" t="s">
        <v>20583</v>
      </c>
      <c r="H7974" s="55" t="s">
        <v>20584</v>
      </c>
      <c r="I7974" s="56" t="s">
        <v>18131</v>
      </c>
    </row>
    <row r="7975" spans="1:9" ht="30.65" customHeight="1">
      <c r="A7975" s="5"/>
      <c r="B7975" s="5" t="str">
        <f>CONCATENATE(G7975,"/",COUNTIF($G$2:G7975,G7975))</f>
        <v>IT-10335/5</v>
      </c>
      <c r="C7975" s="5" t="s">
        <v>44875</v>
      </c>
      <c r="D7975" s="246">
        <v>45240</v>
      </c>
      <c r="E7975" s="5" t="s">
        <v>44876</v>
      </c>
      <c r="F7975" s="26" t="s">
        <v>23600</v>
      </c>
      <c r="G7975" s="37" t="s">
        <v>20583</v>
      </c>
      <c r="H7975" s="55" t="s">
        <v>20584</v>
      </c>
      <c r="I7975" s="56" t="s">
        <v>18131</v>
      </c>
    </row>
    <row r="7976" spans="1:9" ht="32.15" customHeight="1">
      <c r="A7976" s="5"/>
      <c r="B7976" s="5" t="str">
        <f>CONCATENATE(G7976,"/",COUNTIF($G$2:G7976,G7976))</f>
        <v>PT-10369/1</v>
      </c>
      <c r="C7976" s="5" t="s">
        <v>44877</v>
      </c>
      <c r="D7976" s="246">
        <v>45273</v>
      </c>
      <c r="E7976" s="5" t="s">
        <v>44878</v>
      </c>
      <c r="F7976" s="26" t="s">
        <v>23600</v>
      </c>
      <c r="G7976" s="37" t="s">
        <v>20577</v>
      </c>
      <c r="H7976" s="55" t="s">
        <v>20578</v>
      </c>
      <c r="I7976" s="56" t="s">
        <v>16702</v>
      </c>
    </row>
    <row r="7977" spans="1:9" ht="32.15" customHeight="1">
      <c r="A7977" s="5"/>
      <c r="B7977" s="5" t="str">
        <f>CONCATENATE(G7977,"/",COUNTIF($G$2:G7977,G7977))</f>
        <v>PT-10369/2</v>
      </c>
      <c r="C7977" s="5" t="s">
        <v>44879</v>
      </c>
      <c r="D7977" s="246">
        <v>45273</v>
      </c>
      <c r="E7977" s="5" t="s">
        <v>44880</v>
      </c>
      <c r="F7977" s="26" t="s">
        <v>23600</v>
      </c>
      <c r="G7977" s="37" t="s">
        <v>20577</v>
      </c>
      <c r="H7977" s="55" t="s">
        <v>20578</v>
      </c>
      <c r="I7977" s="56" t="s">
        <v>16702</v>
      </c>
    </row>
    <row r="7978" spans="1:9" ht="32.15" customHeight="1">
      <c r="A7978" s="5"/>
      <c r="B7978" s="5" t="str">
        <f>CONCATENATE(G7978,"/",COUNTIF($G$2:G7978,G7978))</f>
        <v>PT-10369/3</v>
      </c>
      <c r="C7978" s="5" t="s">
        <v>44881</v>
      </c>
      <c r="D7978" s="246">
        <v>45273</v>
      </c>
      <c r="E7978" s="5" t="s">
        <v>44882</v>
      </c>
      <c r="F7978" s="26" t="s">
        <v>23600</v>
      </c>
      <c r="G7978" s="37" t="s">
        <v>20577</v>
      </c>
      <c r="H7978" s="55" t="s">
        <v>20578</v>
      </c>
      <c r="I7978" s="56" t="s">
        <v>16702</v>
      </c>
    </row>
    <row r="7979" spans="1:9" ht="32.15" customHeight="1">
      <c r="A7979" s="5"/>
      <c r="B7979" s="5" t="str">
        <f>CONCATENATE(G7979,"/",COUNTIF($G$2:G7979,G7979))</f>
        <v>PT-10369/4</v>
      </c>
      <c r="C7979" s="5" t="s">
        <v>44883</v>
      </c>
      <c r="D7979" s="246">
        <v>45273</v>
      </c>
      <c r="E7979" s="5" t="s">
        <v>44884</v>
      </c>
      <c r="F7979" s="26" t="s">
        <v>23600</v>
      </c>
      <c r="G7979" s="37" t="s">
        <v>20577</v>
      </c>
      <c r="H7979" s="55" t="s">
        <v>20578</v>
      </c>
      <c r="I7979" s="56" t="s">
        <v>16702</v>
      </c>
    </row>
    <row r="7980" spans="1:9" ht="33.65" customHeight="1">
      <c r="A7980" s="5"/>
      <c r="B7980" s="5" t="str">
        <f>CONCATENATE(G7980,"/",COUNTIF($G$2:G7980,G7980))</f>
        <v>CZ-10347/1</v>
      </c>
      <c r="C7980" s="5" t="s">
        <v>23621</v>
      </c>
      <c r="D7980" s="246">
        <v>45275</v>
      </c>
      <c r="E7980" s="5" t="s">
        <v>44885</v>
      </c>
      <c r="F7980" s="26" t="s">
        <v>23600</v>
      </c>
      <c r="G7980" s="37" t="s">
        <v>20695</v>
      </c>
      <c r="H7980" s="55" t="s">
        <v>20696</v>
      </c>
      <c r="I7980" s="56" t="s">
        <v>16429</v>
      </c>
    </row>
    <row r="7981" spans="1:9" ht="33.65" customHeight="1">
      <c r="A7981" s="5"/>
      <c r="B7981" s="5" t="str">
        <f>CONCATENATE(G7981,"/",COUNTIF($G$2:G7981,G7981))</f>
        <v>IT-10253/1</v>
      </c>
      <c r="C7981" s="5" t="s">
        <v>44886</v>
      </c>
      <c r="D7981" s="247">
        <v>45257</v>
      </c>
      <c r="E7981" s="5" t="s">
        <v>44887</v>
      </c>
      <c r="F7981" s="26" t="s">
        <v>23600</v>
      </c>
      <c r="G7981" s="37" t="s">
        <v>19691</v>
      </c>
      <c r="H7981" s="38" t="s">
        <v>19692</v>
      </c>
      <c r="I7981" s="46" t="s">
        <v>18131</v>
      </c>
    </row>
    <row r="7982" spans="1:9" ht="33.65" customHeight="1">
      <c r="A7982" s="5"/>
      <c r="B7982" s="5" t="str">
        <f>CONCATENATE(G7982,"/",COUNTIF($G$2:G7982,G7982))</f>
        <v>IT-10253/2</v>
      </c>
      <c r="C7982" s="26" t="s">
        <v>44888</v>
      </c>
      <c r="D7982" s="248">
        <v>45257</v>
      </c>
      <c r="E7982" s="28" t="s">
        <v>44889</v>
      </c>
      <c r="F7982" s="26" t="s">
        <v>23600</v>
      </c>
      <c r="G7982" s="37" t="s">
        <v>19691</v>
      </c>
      <c r="H7982" s="38" t="s">
        <v>19692</v>
      </c>
      <c r="I7982" s="46" t="s">
        <v>18131</v>
      </c>
    </row>
    <row r="7983" spans="1:9" ht="33.65" customHeight="1">
      <c r="A7983" s="5"/>
      <c r="B7983" s="5" t="str">
        <f>CONCATENATE(G7983,"/",COUNTIF($G$2:G7983,G7983))</f>
        <v>IT-10253/3</v>
      </c>
      <c r="C7983" s="26" t="s">
        <v>44890</v>
      </c>
      <c r="D7983" s="248">
        <v>45257</v>
      </c>
      <c r="E7983" s="28" t="s">
        <v>44891</v>
      </c>
      <c r="F7983" s="26" t="s">
        <v>23600</v>
      </c>
      <c r="G7983" s="37" t="s">
        <v>19691</v>
      </c>
      <c r="H7983" s="38" t="s">
        <v>19692</v>
      </c>
      <c r="I7983" s="46" t="s">
        <v>18131</v>
      </c>
    </row>
    <row r="7984" spans="1:9" ht="35.15" customHeight="1">
      <c r="A7984" s="5"/>
      <c r="B7984" s="5" t="str">
        <f>CONCATENATE(G7984,"/",COUNTIF($G$2:G7984,G7984))</f>
        <v>CZ-10417/1</v>
      </c>
      <c r="C7984" s="26">
        <v>1</v>
      </c>
      <c r="D7984" s="248">
        <v>45279</v>
      </c>
      <c r="E7984" s="28" t="s">
        <v>44892</v>
      </c>
      <c r="F7984" s="26" t="s">
        <v>23600</v>
      </c>
      <c r="G7984" s="37" t="s">
        <v>21122</v>
      </c>
      <c r="H7984" s="55" t="s">
        <v>21123</v>
      </c>
      <c r="I7984" s="56" t="s">
        <v>16429</v>
      </c>
    </row>
    <row r="7985" spans="1:9" ht="26.15" customHeight="1">
      <c r="A7985" s="5"/>
      <c r="B7985" s="5" t="str">
        <f>CONCATENATE(G7985,"/",COUNTIF($G$2:G7985,G7985))</f>
        <v>PL-10357/1</v>
      </c>
      <c r="C7985" s="5" t="s">
        <v>44823</v>
      </c>
      <c r="D7985" s="248">
        <v>45271</v>
      </c>
      <c r="E7985" s="5" t="s">
        <v>44893</v>
      </c>
      <c r="F7985" s="26" t="s">
        <v>23600</v>
      </c>
      <c r="G7985" s="37" t="s">
        <v>20709</v>
      </c>
      <c r="H7985" s="55" t="s">
        <v>20710</v>
      </c>
      <c r="I7985" s="56" t="s">
        <v>17057</v>
      </c>
    </row>
    <row r="7986" spans="1:9" ht="26.15" customHeight="1">
      <c r="A7986" s="5"/>
      <c r="B7986" s="5" t="str">
        <f>CONCATENATE(G7986,"/",COUNTIF($G$2:G7986,G7986))</f>
        <v>PL-10357/2</v>
      </c>
      <c r="C7986" s="5" t="s">
        <v>44894</v>
      </c>
      <c r="D7986" s="248">
        <v>45271</v>
      </c>
      <c r="E7986" s="5" t="s">
        <v>44895</v>
      </c>
      <c r="F7986" s="26" t="s">
        <v>23600</v>
      </c>
      <c r="G7986" s="37" t="s">
        <v>20709</v>
      </c>
      <c r="H7986" s="55" t="s">
        <v>20710</v>
      </c>
      <c r="I7986" s="56" t="s">
        <v>17057</v>
      </c>
    </row>
    <row r="7987" spans="1:9" ht="26.15" customHeight="1">
      <c r="A7987" s="5"/>
      <c r="B7987" s="5" t="str">
        <f>CONCATENATE(G7987,"/",COUNTIF($G$2:G7987,G7987))</f>
        <v>PL-10357/3</v>
      </c>
      <c r="C7987" s="5" t="s">
        <v>44896</v>
      </c>
      <c r="D7987" s="248">
        <v>45271</v>
      </c>
      <c r="E7987" s="5" t="s">
        <v>44897</v>
      </c>
      <c r="F7987" s="26" t="s">
        <v>23600</v>
      </c>
      <c r="G7987" s="37" t="s">
        <v>20709</v>
      </c>
      <c r="H7987" s="55" t="s">
        <v>20710</v>
      </c>
      <c r="I7987" s="56" t="s">
        <v>17057</v>
      </c>
    </row>
    <row r="7988" spans="1:9" ht="26.15" customHeight="1">
      <c r="A7988" s="5"/>
      <c r="B7988" s="5" t="str">
        <f>CONCATENATE(G7988,"/",COUNTIF($G$2:G7988,G7988))</f>
        <v>PL-10357/4</v>
      </c>
      <c r="C7988" s="5" t="s">
        <v>44898</v>
      </c>
      <c r="D7988" s="248">
        <v>45271</v>
      </c>
      <c r="E7988" s="5" t="s">
        <v>44899</v>
      </c>
      <c r="F7988" s="26" t="s">
        <v>23600</v>
      </c>
      <c r="G7988" s="37" t="s">
        <v>20709</v>
      </c>
      <c r="H7988" s="55" t="s">
        <v>20710</v>
      </c>
      <c r="I7988" s="56" t="s">
        <v>17057</v>
      </c>
    </row>
    <row r="7989" spans="1:9" ht="26.15" customHeight="1">
      <c r="A7989" s="5"/>
      <c r="B7989" s="5" t="str">
        <f>CONCATENATE(G7989,"/",COUNTIF($G$2:G7989,G7989))</f>
        <v>PL-10357/5</v>
      </c>
      <c r="C7989" s="5" t="s">
        <v>44900</v>
      </c>
      <c r="D7989" s="248">
        <v>45271</v>
      </c>
      <c r="E7989" s="5" t="s">
        <v>44901</v>
      </c>
      <c r="F7989" s="26" t="s">
        <v>23600</v>
      </c>
      <c r="G7989" s="37" t="s">
        <v>20709</v>
      </c>
      <c r="H7989" s="55" t="s">
        <v>20710</v>
      </c>
      <c r="I7989" s="56" t="s">
        <v>17057</v>
      </c>
    </row>
    <row r="7990" spans="1:9" ht="26.15" customHeight="1">
      <c r="A7990" s="5"/>
      <c r="B7990" s="5" t="str">
        <f>CONCATENATE(G7990,"/",COUNTIF($G$2:G7990,G7990))</f>
        <v>PL-10357/6</v>
      </c>
      <c r="C7990" s="5" t="s">
        <v>44902</v>
      </c>
      <c r="D7990" s="248">
        <v>45271</v>
      </c>
      <c r="E7990" s="5" t="s">
        <v>44903</v>
      </c>
      <c r="F7990" s="26" t="s">
        <v>23600</v>
      </c>
      <c r="G7990" s="37" t="s">
        <v>20709</v>
      </c>
      <c r="H7990" s="55" t="s">
        <v>20710</v>
      </c>
      <c r="I7990" s="56" t="s">
        <v>17057</v>
      </c>
    </row>
    <row r="7991" spans="1:9" ht="26.15" customHeight="1">
      <c r="A7991" s="5"/>
      <c r="B7991" s="5" t="str">
        <f>CONCATENATE(G7991,"/",COUNTIF($G$2:G7991,G7991))</f>
        <v>PL-10357/7</v>
      </c>
      <c r="C7991" s="5" t="s">
        <v>44904</v>
      </c>
      <c r="D7991" s="248">
        <v>45271</v>
      </c>
      <c r="E7991" s="5" t="s">
        <v>44905</v>
      </c>
      <c r="F7991" s="26" t="s">
        <v>23600</v>
      </c>
      <c r="G7991" s="37" t="s">
        <v>20709</v>
      </c>
      <c r="H7991" s="55" t="s">
        <v>20710</v>
      </c>
      <c r="I7991" s="56" t="s">
        <v>17057</v>
      </c>
    </row>
    <row r="7992" spans="1:9" ht="26.15" customHeight="1">
      <c r="A7992" s="5"/>
      <c r="B7992" s="5" t="str">
        <f>CONCATENATE(G7992,"/",COUNTIF($G$2:G7992,G7992))</f>
        <v>PL-10357/8</v>
      </c>
      <c r="C7992" s="5" t="s">
        <v>42090</v>
      </c>
      <c r="D7992" s="248">
        <v>45271</v>
      </c>
      <c r="E7992" s="5" t="s">
        <v>44906</v>
      </c>
      <c r="F7992" s="26" t="s">
        <v>23600</v>
      </c>
      <c r="G7992" s="37" t="s">
        <v>20709</v>
      </c>
      <c r="H7992" s="55" t="s">
        <v>20710</v>
      </c>
      <c r="I7992" s="56" t="s">
        <v>17057</v>
      </c>
    </row>
    <row r="7993" spans="1:9" ht="31" customHeight="1">
      <c r="A7993" s="5"/>
      <c r="B7993" s="5" t="str">
        <f>CONCATENATE(G7993,"/",COUNTIF($G$2:G7993,G7993))</f>
        <v>HR-10342/1</v>
      </c>
      <c r="C7993" s="5" t="s">
        <v>44907</v>
      </c>
      <c r="D7993" s="248">
        <v>45289</v>
      </c>
      <c r="E7993" s="5" t="s">
        <v>44908</v>
      </c>
      <c r="F7993" s="26" t="s">
        <v>23600</v>
      </c>
      <c r="G7993" s="37" t="s">
        <v>20623</v>
      </c>
      <c r="H7993" s="55" t="s">
        <v>20624</v>
      </c>
      <c r="I7993" s="56" t="s">
        <v>9789</v>
      </c>
    </row>
    <row r="7994" spans="1:9" ht="34" customHeight="1">
      <c r="A7994" s="5"/>
      <c r="B7994" s="5" t="str">
        <f>CONCATENATE(G7994,"/",COUNTIF($G$2:G7994,G7994))</f>
        <v>HR-10361/1</v>
      </c>
      <c r="C7994" s="5" t="s">
        <v>44909</v>
      </c>
      <c r="D7994" s="248">
        <v>45282</v>
      </c>
      <c r="E7994" s="5" t="s">
        <v>44910</v>
      </c>
      <c r="F7994" s="26" t="s">
        <v>23600</v>
      </c>
      <c r="G7994" s="37" t="s">
        <v>20769</v>
      </c>
      <c r="H7994" s="55" t="s">
        <v>20770</v>
      </c>
      <c r="I7994" s="56" t="s">
        <v>9789</v>
      </c>
    </row>
    <row r="7995" spans="1:9" ht="34" customHeight="1">
      <c r="A7995" s="5"/>
      <c r="B7995" s="5" t="str">
        <f>CONCATENATE(G7995,"/",COUNTIF($G$2:G7995,G7995))</f>
        <v>HR-10361/2</v>
      </c>
      <c r="C7995" s="5" t="s">
        <v>44911</v>
      </c>
      <c r="D7995" s="248">
        <v>45282</v>
      </c>
      <c r="E7995" s="5" t="s">
        <v>44912</v>
      </c>
      <c r="F7995" s="26" t="s">
        <v>23600</v>
      </c>
      <c r="G7995" s="37" t="s">
        <v>20769</v>
      </c>
      <c r="H7995" s="55" t="s">
        <v>20770</v>
      </c>
      <c r="I7995" s="56" t="s">
        <v>9789</v>
      </c>
    </row>
    <row r="7996" spans="1:9" ht="34" customHeight="1">
      <c r="A7996" s="5"/>
      <c r="B7996" s="5" t="str">
        <f>CONCATENATE(G7996,"/",COUNTIF($G$2:G7996,G7996))</f>
        <v>HR-10361/3</v>
      </c>
      <c r="C7996" s="5" t="s">
        <v>44913</v>
      </c>
      <c r="D7996" s="248">
        <v>45282</v>
      </c>
      <c r="E7996" s="5" t="s">
        <v>44914</v>
      </c>
      <c r="F7996" s="26" t="s">
        <v>23600</v>
      </c>
      <c r="G7996" s="37" t="s">
        <v>20769</v>
      </c>
      <c r="H7996" s="55" t="s">
        <v>20770</v>
      </c>
      <c r="I7996" s="56" t="s">
        <v>9789</v>
      </c>
    </row>
    <row r="7997" spans="1:9" ht="32.5" customHeight="1">
      <c r="A7997" s="5"/>
      <c r="B7997" s="5" t="str">
        <f>CONCATENATE(G7997,"/",COUNTIF($G$2:G7997,G7997))</f>
        <v>RO-10348/1</v>
      </c>
      <c r="C7997" s="5" t="s">
        <v>44915</v>
      </c>
      <c r="D7997" s="248">
        <v>45278</v>
      </c>
      <c r="E7997" s="5" t="s">
        <v>44916</v>
      </c>
      <c r="F7997" s="26" t="s">
        <v>23600</v>
      </c>
      <c r="G7997" s="37" t="s">
        <v>20734</v>
      </c>
      <c r="H7997" s="55" t="s">
        <v>20735</v>
      </c>
      <c r="I7997" s="56" t="s">
        <v>17682</v>
      </c>
    </row>
    <row r="7998" spans="1:9" ht="30.65" customHeight="1">
      <c r="A7998" s="5"/>
      <c r="B7998" s="5" t="str">
        <f>CONCATENATE(G7998,"/",COUNTIF($G$2:G7998,G7998))</f>
        <v>RO-10350/1</v>
      </c>
      <c r="C7998" s="5" t="s">
        <v>44917</v>
      </c>
      <c r="D7998" s="246">
        <v>44930</v>
      </c>
      <c r="E7998" s="5" t="s">
        <v>44918</v>
      </c>
      <c r="F7998" s="26" t="s">
        <v>23600</v>
      </c>
      <c r="G7998" s="37" t="s">
        <v>20756</v>
      </c>
      <c r="H7998" s="55" t="s">
        <v>20757</v>
      </c>
      <c r="I7998" s="56" t="s">
        <v>17682</v>
      </c>
    </row>
    <row r="7999" spans="1:9" ht="40" customHeight="1">
      <c r="A7999" s="5"/>
      <c r="B7999" s="5" t="str">
        <f>CONCATENATE(G7999,"/",COUNTIF($G$2:G7999,G7999))</f>
        <v>NO-10331/1</v>
      </c>
      <c r="C7999" s="5" t="s">
        <v>44919</v>
      </c>
      <c r="D7999" s="246">
        <v>45301</v>
      </c>
      <c r="E7999" s="5" t="s">
        <v>44920</v>
      </c>
      <c r="F7999" s="26" t="s">
        <v>23600</v>
      </c>
      <c r="G7999" s="37" t="s">
        <v>20565</v>
      </c>
      <c r="H7999" s="55" t="s">
        <v>20566</v>
      </c>
      <c r="I7999" s="56" t="s">
        <v>17344</v>
      </c>
    </row>
    <row r="8000" spans="1:9" ht="40" customHeight="1">
      <c r="A8000" s="5"/>
      <c r="B8000" s="5" t="str">
        <f>CONCATENATE(G8000,"/",COUNTIF($G$2:G8000,G8000))</f>
        <v>NO-10331/2</v>
      </c>
      <c r="C8000" s="5" t="s">
        <v>44921</v>
      </c>
      <c r="D8000" s="246">
        <v>45301</v>
      </c>
      <c r="E8000" s="5" t="s">
        <v>44922</v>
      </c>
      <c r="F8000" s="26" t="s">
        <v>23600</v>
      </c>
      <c r="G8000" s="37" t="s">
        <v>20565</v>
      </c>
      <c r="H8000" s="55" t="s">
        <v>20566</v>
      </c>
      <c r="I8000" s="56" t="s">
        <v>17344</v>
      </c>
    </row>
    <row r="8001" spans="1:9" ht="31.5" customHeight="1">
      <c r="A8001" s="5"/>
      <c r="B8001" s="5" t="str">
        <f>CONCATENATE(G8001,"/",COUNTIF($G$2:G8001,G8001))</f>
        <v>DE-10233/1</v>
      </c>
      <c r="C8001" s="5" t="s">
        <v>44923</v>
      </c>
      <c r="D8001" s="248">
        <v>45280</v>
      </c>
      <c r="E8001" s="5" t="s">
        <v>44924</v>
      </c>
      <c r="F8001" s="26" t="s">
        <v>25439</v>
      </c>
      <c r="G8001" s="37" t="s">
        <v>20058</v>
      </c>
      <c r="H8001" s="38" t="s">
        <v>20059</v>
      </c>
      <c r="I8001" s="46" t="s">
        <v>6455</v>
      </c>
    </row>
    <row r="8002" spans="1:9" ht="31.5" customHeight="1">
      <c r="A8002" s="5"/>
      <c r="B8002" s="5" t="str">
        <f>CONCATENATE(G8002,"/",COUNTIF($G$2:G8002,G8002))</f>
        <v>DE-10233/2</v>
      </c>
      <c r="C8002" s="5" t="s">
        <v>44925</v>
      </c>
      <c r="D8002" s="248">
        <v>45280</v>
      </c>
      <c r="E8002" s="5" t="s">
        <v>44926</v>
      </c>
      <c r="F8002" s="26" t="s">
        <v>25439</v>
      </c>
      <c r="G8002" s="37" t="s">
        <v>20058</v>
      </c>
      <c r="H8002" s="38" t="s">
        <v>20059</v>
      </c>
      <c r="I8002" s="46" t="s">
        <v>6455</v>
      </c>
    </row>
    <row r="8003" spans="1:9" ht="31.5" customHeight="1">
      <c r="A8003" s="5"/>
      <c r="B8003" s="5" t="str">
        <f>CONCATENATE(G8003,"/",COUNTIF($G$2:G8003,G8003))</f>
        <v>DE-10233/3</v>
      </c>
      <c r="C8003" s="5" t="s">
        <v>44927</v>
      </c>
      <c r="D8003" s="248">
        <v>45280</v>
      </c>
      <c r="E8003" s="5" t="s">
        <v>44928</v>
      </c>
      <c r="F8003" s="26" t="s">
        <v>25439</v>
      </c>
      <c r="G8003" s="37" t="s">
        <v>20058</v>
      </c>
      <c r="H8003" s="38" t="s">
        <v>20059</v>
      </c>
      <c r="I8003" s="46" t="s">
        <v>6455</v>
      </c>
    </row>
    <row r="8004" spans="1:9" ht="31.5" customHeight="1">
      <c r="A8004" s="5"/>
      <c r="B8004" s="5" t="str">
        <f>CONCATENATE(G8004,"/",COUNTIF($G$2:G8004,G8004))</f>
        <v>DE-10233/4</v>
      </c>
      <c r="C8004" s="59" t="s">
        <v>44929</v>
      </c>
      <c r="D8004" s="246">
        <v>45280</v>
      </c>
      <c r="E8004" s="5" t="s">
        <v>44930</v>
      </c>
      <c r="F8004" s="26" t="s">
        <v>25439</v>
      </c>
      <c r="G8004" s="37" t="s">
        <v>20058</v>
      </c>
      <c r="H8004" s="38" t="s">
        <v>20059</v>
      </c>
      <c r="I8004" s="46" t="s">
        <v>6455</v>
      </c>
    </row>
    <row r="8005" spans="1:9" ht="31.5" customHeight="1">
      <c r="A8005" s="5"/>
      <c r="B8005" s="5" t="str">
        <f>CONCATENATE(G8005,"/",COUNTIF($G$2:G8005,G8005))</f>
        <v>DE-10233/5</v>
      </c>
      <c r="C8005" s="5" t="s">
        <v>44931</v>
      </c>
      <c r="D8005" s="246">
        <v>45280</v>
      </c>
      <c r="E8005" s="5" t="s">
        <v>44932</v>
      </c>
      <c r="F8005" s="26" t="s">
        <v>25439</v>
      </c>
      <c r="G8005" s="37" t="s">
        <v>20058</v>
      </c>
      <c r="H8005" s="38" t="s">
        <v>20059</v>
      </c>
      <c r="I8005" s="46" t="s">
        <v>6455</v>
      </c>
    </row>
    <row r="8006" spans="1:9" ht="35.5" customHeight="1">
      <c r="A8006" s="5"/>
      <c r="B8006" s="5" t="str">
        <f>CONCATENATE(G8006,"/",COUNTIF($G$2:G8006,G8006))</f>
        <v>PL-10387/1</v>
      </c>
      <c r="C8006" s="5" t="s">
        <v>44933</v>
      </c>
      <c r="D8006" s="246">
        <v>45279</v>
      </c>
      <c r="E8006" s="5" t="s">
        <v>44934</v>
      </c>
      <c r="F8006" s="26" t="s">
        <v>23600</v>
      </c>
      <c r="G8006" s="37" t="s">
        <v>20877</v>
      </c>
      <c r="H8006" s="55" t="s">
        <v>20878</v>
      </c>
      <c r="I8006" s="56" t="s">
        <v>17057</v>
      </c>
    </row>
    <row r="8007" spans="1:9" ht="35.5" customHeight="1">
      <c r="A8007" s="5"/>
      <c r="B8007" s="5" t="str">
        <f>CONCATENATE(G8007,"/",COUNTIF($G$2:G8007,G8007))</f>
        <v>PL-10387/2</v>
      </c>
      <c r="C8007" s="5" t="s">
        <v>44933</v>
      </c>
      <c r="D8007" s="246">
        <v>45279</v>
      </c>
      <c r="E8007" s="5" t="s">
        <v>44935</v>
      </c>
      <c r="F8007" s="26" t="s">
        <v>23600</v>
      </c>
      <c r="G8007" s="37" t="s">
        <v>20877</v>
      </c>
      <c r="H8007" s="55" t="s">
        <v>20878</v>
      </c>
      <c r="I8007" s="56" t="s">
        <v>17057</v>
      </c>
    </row>
    <row r="8008" spans="1:9" ht="35.5" customHeight="1">
      <c r="A8008" s="5"/>
      <c r="B8008" s="5" t="str">
        <f>CONCATENATE(G8008,"/",COUNTIF($G$2:G8008,G8008))</f>
        <v>PL-10387/3</v>
      </c>
      <c r="C8008" s="5" t="s">
        <v>42090</v>
      </c>
      <c r="D8008" s="246">
        <v>45279</v>
      </c>
      <c r="E8008" s="5" t="s">
        <v>44936</v>
      </c>
      <c r="F8008" s="26" t="s">
        <v>23600</v>
      </c>
      <c r="G8008" s="37" t="s">
        <v>20877</v>
      </c>
      <c r="H8008" s="55" t="s">
        <v>20878</v>
      </c>
      <c r="I8008" s="56" t="s">
        <v>17057</v>
      </c>
    </row>
    <row r="8009" spans="1:9" ht="35.5" customHeight="1">
      <c r="A8009" s="5"/>
      <c r="B8009" s="5" t="str">
        <f>CONCATENATE(G8009,"/",COUNTIF($G$2:G8009,G8009))</f>
        <v>PL-10387/4</v>
      </c>
      <c r="C8009" s="5" t="s">
        <v>44937</v>
      </c>
      <c r="D8009" s="246">
        <v>45279</v>
      </c>
      <c r="E8009" s="5" t="s">
        <v>44938</v>
      </c>
      <c r="F8009" s="26" t="s">
        <v>23600</v>
      </c>
      <c r="G8009" s="37" t="s">
        <v>20877</v>
      </c>
      <c r="H8009" s="55" t="s">
        <v>20878</v>
      </c>
      <c r="I8009" s="56" t="s">
        <v>17057</v>
      </c>
    </row>
    <row r="8010" spans="1:9" ht="35.5" customHeight="1">
      <c r="A8010" s="5"/>
      <c r="B8010" s="5" t="str">
        <f>CONCATENATE(G8010,"/",COUNTIF($G$2:G8010,G8010))</f>
        <v>PL-10387/5</v>
      </c>
      <c r="C8010" s="5" t="s">
        <v>44939</v>
      </c>
      <c r="D8010" s="246">
        <v>45279</v>
      </c>
      <c r="E8010" s="5" t="s">
        <v>44940</v>
      </c>
      <c r="F8010" s="26" t="s">
        <v>23600</v>
      </c>
      <c r="G8010" s="37" t="s">
        <v>20877</v>
      </c>
      <c r="H8010" s="55" t="s">
        <v>20878</v>
      </c>
      <c r="I8010" s="56" t="s">
        <v>17057</v>
      </c>
    </row>
    <row r="8011" spans="1:9" ht="32.5" customHeight="1">
      <c r="A8011" s="5"/>
      <c r="B8011" s="5" t="str">
        <f>CONCATENATE(G8011,"/",COUNTIF($G$2:G8011,G8011))</f>
        <v>CZ-10319/1</v>
      </c>
      <c r="C8011" s="5" t="s">
        <v>23621</v>
      </c>
      <c r="D8011" s="246">
        <v>45316</v>
      </c>
      <c r="E8011" s="5" t="s">
        <v>44941</v>
      </c>
      <c r="F8011" s="26" t="s">
        <v>23600</v>
      </c>
      <c r="G8011" s="37" t="s">
        <v>20480</v>
      </c>
      <c r="H8011" s="55" t="s">
        <v>20481</v>
      </c>
      <c r="I8011" s="56" t="s">
        <v>16429</v>
      </c>
    </row>
    <row r="8012" spans="1:9" ht="31.5" customHeight="1">
      <c r="A8012" s="5"/>
      <c r="B8012" s="5" t="str">
        <f>CONCATENATE(G8012,"/",COUNTIF($G$2:G8012,G8012))</f>
        <v>AT-5618/1</v>
      </c>
      <c r="C8012" s="5" t="s">
        <v>44942</v>
      </c>
      <c r="D8012" s="246">
        <v>45280</v>
      </c>
      <c r="E8012" s="5" t="s">
        <v>44943</v>
      </c>
      <c r="F8012" s="26" t="s">
        <v>25439</v>
      </c>
      <c r="G8012" s="37" t="s">
        <v>14560</v>
      </c>
      <c r="H8012" s="29" t="s">
        <v>14561</v>
      </c>
      <c r="I8012" s="30" t="s">
        <v>12474</v>
      </c>
    </row>
    <row r="8013" spans="1:9" ht="31.5" customHeight="1">
      <c r="A8013" s="5"/>
      <c r="B8013" s="5" t="str">
        <f>CONCATENATE(G8013,"/",COUNTIF($G$2:G8013,G8013))</f>
        <v>AT-5618/2</v>
      </c>
      <c r="C8013" s="5" t="s">
        <v>44944</v>
      </c>
      <c r="D8013" s="246">
        <v>45280</v>
      </c>
      <c r="E8013" s="5" t="s">
        <v>44945</v>
      </c>
      <c r="F8013" s="26" t="s">
        <v>25439</v>
      </c>
      <c r="G8013" s="37" t="s">
        <v>14560</v>
      </c>
      <c r="H8013" s="29" t="s">
        <v>14561</v>
      </c>
      <c r="I8013" s="30" t="s">
        <v>12474</v>
      </c>
    </row>
    <row r="8014" spans="1:9" ht="25" customHeight="1">
      <c r="A8014" s="5"/>
      <c r="B8014" s="5" t="str">
        <f>CONCATENATE(G8014,"/",COUNTIF($G$2:G8014,G8014))</f>
        <v>PL-10366/1</v>
      </c>
      <c r="C8014" s="5" t="s">
        <v>44823</v>
      </c>
      <c r="D8014" s="246">
        <v>45307</v>
      </c>
      <c r="E8014" s="5" t="s">
        <v>44946</v>
      </c>
      <c r="F8014" s="26" t="s">
        <v>23600</v>
      </c>
      <c r="G8014" s="37" t="s">
        <v>20794</v>
      </c>
      <c r="H8014" s="55" t="s">
        <v>20795</v>
      </c>
      <c r="I8014" s="56" t="s">
        <v>17057</v>
      </c>
    </row>
    <row r="8015" spans="1:9" ht="25" customHeight="1">
      <c r="A8015" s="5"/>
      <c r="B8015" s="5" t="str">
        <f>CONCATENATE(G8015,"/",COUNTIF($G$2:G8015,G8015))</f>
        <v>PL-10366/2</v>
      </c>
      <c r="C8015" s="5" t="s">
        <v>44947</v>
      </c>
      <c r="D8015" s="246">
        <v>45307</v>
      </c>
      <c r="E8015" s="5" t="s">
        <v>44948</v>
      </c>
      <c r="F8015" s="26" t="s">
        <v>23600</v>
      </c>
      <c r="G8015" s="37" t="s">
        <v>20794</v>
      </c>
      <c r="H8015" s="55" t="s">
        <v>20795</v>
      </c>
      <c r="I8015" s="56" t="s">
        <v>17057</v>
      </c>
    </row>
    <row r="8016" spans="1:9" ht="25" customHeight="1">
      <c r="A8016" s="5"/>
      <c r="B8016" s="5" t="str">
        <f>CONCATENATE(G8016,"/",COUNTIF($G$2:G8016,G8016))</f>
        <v>PL-10366/3</v>
      </c>
      <c r="C8016" s="5" t="s">
        <v>44949</v>
      </c>
      <c r="D8016" s="246">
        <v>45307</v>
      </c>
      <c r="E8016" s="5" t="s">
        <v>44950</v>
      </c>
      <c r="F8016" s="26" t="s">
        <v>23600</v>
      </c>
      <c r="G8016" s="37" t="s">
        <v>20794</v>
      </c>
      <c r="H8016" s="55" t="s">
        <v>20795</v>
      </c>
      <c r="I8016" s="56" t="s">
        <v>17057</v>
      </c>
    </row>
    <row r="8017" spans="1:9" ht="25" customHeight="1">
      <c r="A8017" s="5"/>
      <c r="B8017" s="5" t="str">
        <f>CONCATENATE(G8017,"/",COUNTIF($G$2:G8017,G8017))</f>
        <v>PL-10366/4</v>
      </c>
      <c r="C8017" s="5" t="s">
        <v>44951</v>
      </c>
      <c r="D8017" s="246">
        <v>45307</v>
      </c>
      <c r="E8017" s="5" t="s">
        <v>44952</v>
      </c>
      <c r="F8017" s="26" t="s">
        <v>23600</v>
      </c>
      <c r="G8017" s="37" t="s">
        <v>20794</v>
      </c>
      <c r="H8017" s="55" t="s">
        <v>20795</v>
      </c>
      <c r="I8017" s="56" t="s">
        <v>17057</v>
      </c>
    </row>
    <row r="8018" spans="1:9" ht="25" customHeight="1">
      <c r="A8018" s="5"/>
      <c r="B8018" s="5" t="str">
        <f>CONCATENATE(G8018,"/",COUNTIF($G$2:G8018,G8018))</f>
        <v>PL-10366/5</v>
      </c>
      <c r="C8018" s="5" t="s">
        <v>44953</v>
      </c>
      <c r="D8018" s="246">
        <v>45307</v>
      </c>
      <c r="E8018" s="5" t="s">
        <v>44954</v>
      </c>
      <c r="F8018" s="26" t="s">
        <v>23600</v>
      </c>
      <c r="G8018" s="37" t="s">
        <v>20794</v>
      </c>
      <c r="H8018" s="55" t="s">
        <v>20795</v>
      </c>
      <c r="I8018" s="56" t="s">
        <v>17057</v>
      </c>
    </row>
    <row r="8019" spans="1:9" ht="25" customHeight="1">
      <c r="A8019" s="5"/>
      <c r="B8019" s="5" t="str">
        <f>CONCATENATE(G8019,"/",COUNTIF($G$2:G8019,G8019))</f>
        <v>PL-10366/6</v>
      </c>
      <c r="C8019" s="5" t="s">
        <v>44955</v>
      </c>
      <c r="D8019" s="246">
        <v>45307</v>
      </c>
      <c r="E8019" s="5" t="s">
        <v>44956</v>
      </c>
      <c r="F8019" s="26" t="s">
        <v>23600</v>
      </c>
      <c r="G8019" s="37" t="s">
        <v>20794</v>
      </c>
      <c r="H8019" s="55" t="s">
        <v>20795</v>
      </c>
      <c r="I8019" s="56" t="s">
        <v>17057</v>
      </c>
    </row>
    <row r="8020" spans="1:9" ht="25" customHeight="1">
      <c r="A8020" s="5"/>
      <c r="B8020" s="5" t="str">
        <f>CONCATENATE(G8020,"/",COUNTIF($G$2:G8020,G8020))</f>
        <v>PL-10366/7</v>
      </c>
      <c r="C8020" s="5" t="s">
        <v>44957</v>
      </c>
      <c r="D8020" s="246">
        <v>45307</v>
      </c>
      <c r="E8020" s="5" t="s">
        <v>44958</v>
      </c>
      <c r="F8020" s="26" t="s">
        <v>23600</v>
      </c>
      <c r="G8020" s="37" t="s">
        <v>20794</v>
      </c>
      <c r="H8020" s="55" t="s">
        <v>20795</v>
      </c>
      <c r="I8020" s="56" t="s">
        <v>17057</v>
      </c>
    </row>
    <row r="8021" spans="1:9" ht="25" customHeight="1">
      <c r="A8021" s="5"/>
      <c r="B8021" s="5" t="str">
        <f>CONCATENATE(G8021,"/",COUNTIF($G$2:G8021,G8021))</f>
        <v>PL-10366/8</v>
      </c>
      <c r="C8021" s="5" t="s">
        <v>44959</v>
      </c>
      <c r="D8021" s="246">
        <v>45307</v>
      </c>
      <c r="E8021" s="5" t="s">
        <v>44960</v>
      </c>
      <c r="F8021" s="26" t="s">
        <v>23600</v>
      </c>
      <c r="G8021" s="37" t="s">
        <v>20794</v>
      </c>
      <c r="H8021" s="55" t="s">
        <v>20795</v>
      </c>
      <c r="I8021" s="56" t="s">
        <v>17057</v>
      </c>
    </row>
    <row r="8022" spans="1:9" ht="29.15" customHeight="1">
      <c r="A8022" s="5"/>
      <c r="B8022" s="5" t="str">
        <f>CONCATENATE(G8022,"/",COUNTIF($G$2:G8022,G8022))</f>
        <v>DE-6204/1</v>
      </c>
      <c r="C8022" s="5" t="s">
        <v>44961</v>
      </c>
      <c r="D8022" s="246">
        <v>44004</v>
      </c>
      <c r="E8022" s="5" t="s">
        <v>44962</v>
      </c>
      <c r="F8022" s="5" t="s">
        <v>25439</v>
      </c>
      <c r="G8022" s="37" t="s">
        <v>17271</v>
      </c>
      <c r="H8022" s="29" t="s">
        <v>17272</v>
      </c>
      <c r="I8022" s="30" t="s">
        <v>6455</v>
      </c>
    </row>
    <row r="8023" spans="1:9" ht="29.15" customHeight="1">
      <c r="A8023" s="5"/>
      <c r="B8023" s="5" t="str">
        <f>CONCATENATE(G8023,"/",COUNTIF($G$2:G8023,G8023))</f>
        <v>RO-10384/1</v>
      </c>
      <c r="C8023" s="5" t="s">
        <v>44963</v>
      </c>
      <c r="D8023" s="246">
        <v>45329</v>
      </c>
      <c r="E8023" s="5" t="s">
        <v>44964</v>
      </c>
      <c r="F8023" s="26" t="s">
        <v>23600</v>
      </c>
      <c r="G8023" s="37" t="s">
        <v>20923</v>
      </c>
      <c r="H8023" s="55" t="s">
        <v>20924</v>
      </c>
      <c r="I8023" s="56" t="s">
        <v>17682</v>
      </c>
    </row>
    <row r="8024" spans="1:9" ht="29.15" customHeight="1">
      <c r="A8024" s="5"/>
      <c r="B8024" s="5" t="str">
        <f>CONCATENATE(G8024,"/",COUNTIF($G$2:G8024,G8024))</f>
        <v>PL-10379/1</v>
      </c>
      <c r="C8024" s="5" t="s">
        <v>44965</v>
      </c>
      <c r="D8024" s="246">
        <v>45314</v>
      </c>
      <c r="E8024" s="5" t="s">
        <v>44966</v>
      </c>
      <c r="F8024" s="26" t="s">
        <v>23600</v>
      </c>
      <c r="G8024" s="37" t="s">
        <v>20856</v>
      </c>
      <c r="H8024" s="55" t="s">
        <v>20857</v>
      </c>
      <c r="I8024" s="56" t="s">
        <v>17057</v>
      </c>
    </row>
    <row r="8025" spans="1:9" ht="29.15" customHeight="1">
      <c r="A8025" s="5"/>
      <c r="B8025" s="5" t="str">
        <f>CONCATENATE(G8025,"/",COUNTIF($G$2:G8025,G8025))</f>
        <v>PL-10379/2</v>
      </c>
      <c r="C8025" s="5" t="s">
        <v>44967</v>
      </c>
      <c r="D8025" s="246">
        <v>45314</v>
      </c>
      <c r="E8025" s="5" t="s">
        <v>44968</v>
      </c>
      <c r="F8025" s="26" t="s">
        <v>23600</v>
      </c>
      <c r="G8025" s="37" t="s">
        <v>20856</v>
      </c>
      <c r="H8025" s="55" t="s">
        <v>20857</v>
      </c>
      <c r="I8025" s="56" t="s">
        <v>17057</v>
      </c>
    </row>
    <row r="8026" spans="1:9" ht="29.15" customHeight="1">
      <c r="A8026" s="5"/>
      <c r="B8026" s="5" t="str">
        <f>CONCATENATE(G8026,"/",COUNTIF($G$2:G8026,G8026))</f>
        <v>PL-10379/3</v>
      </c>
      <c r="C8026" s="5" t="s">
        <v>44969</v>
      </c>
      <c r="D8026" s="246">
        <v>45314</v>
      </c>
      <c r="E8026" s="5" t="s">
        <v>44970</v>
      </c>
      <c r="F8026" s="26" t="s">
        <v>23600</v>
      </c>
      <c r="G8026" s="37" t="s">
        <v>20856</v>
      </c>
      <c r="H8026" s="55" t="s">
        <v>20857</v>
      </c>
      <c r="I8026" s="56" t="s">
        <v>17057</v>
      </c>
    </row>
    <row r="8027" spans="1:9" ht="29.15" customHeight="1">
      <c r="A8027" s="5"/>
      <c r="B8027" s="5" t="str">
        <f>CONCATENATE(G8027,"/",COUNTIF($G$2:G8027,G8027))</f>
        <v>PL-10379/4</v>
      </c>
      <c r="C8027" s="5" t="s">
        <v>44971</v>
      </c>
      <c r="D8027" s="246">
        <v>45314</v>
      </c>
      <c r="E8027" s="5" t="s">
        <v>44972</v>
      </c>
      <c r="F8027" s="26" t="s">
        <v>23600</v>
      </c>
      <c r="G8027" s="37" t="s">
        <v>20856</v>
      </c>
      <c r="H8027" s="55" t="s">
        <v>20857</v>
      </c>
      <c r="I8027" s="56" t="s">
        <v>17057</v>
      </c>
    </row>
    <row r="8028" spans="1:9" ht="29.15" customHeight="1">
      <c r="A8028" s="5"/>
      <c r="B8028" s="5" t="str">
        <f>CONCATENATE(G8028,"/",COUNTIF($G$2:G8028,G8028))</f>
        <v>PL-10379/5</v>
      </c>
      <c r="C8028" s="5" t="s">
        <v>44973</v>
      </c>
      <c r="D8028" s="246">
        <v>45314</v>
      </c>
      <c r="E8028" s="5" t="s">
        <v>44974</v>
      </c>
      <c r="F8028" s="26" t="s">
        <v>23600</v>
      </c>
      <c r="G8028" s="37" t="s">
        <v>20856</v>
      </c>
      <c r="H8028" s="55" t="s">
        <v>20857</v>
      </c>
      <c r="I8028" s="56" t="s">
        <v>17057</v>
      </c>
    </row>
    <row r="8029" spans="1:9" ht="29.15" customHeight="1">
      <c r="A8029" s="5"/>
      <c r="B8029" s="5" t="str">
        <f>CONCATENATE(G8029,"/",COUNTIF($G$2:G8029,G8029))</f>
        <v>PL-10379/6</v>
      </c>
      <c r="C8029" s="5" t="s">
        <v>44975</v>
      </c>
      <c r="D8029" s="246">
        <v>45314</v>
      </c>
      <c r="E8029" s="5" t="s">
        <v>44976</v>
      </c>
      <c r="F8029" s="26" t="s">
        <v>23600</v>
      </c>
      <c r="G8029" s="37" t="s">
        <v>20856</v>
      </c>
      <c r="H8029" s="55" t="s">
        <v>20857</v>
      </c>
      <c r="I8029" s="56" t="s">
        <v>17057</v>
      </c>
    </row>
    <row r="8030" spans="1:9" ht="29.15" customHeight="1">
      <c r="A8030" s="5"/>
      <c r="B8030" s="5" t="str">
        <f>CONCATENATE(G8030,"/",COUNTIF($G$2:G8030,G8030))</f>
        <v>PL-10379/7</v>
      </c>
      <c r="C8030" s="5" t="s">
        <v>44977</v>
      </c>
      <c r="D8030" s="246">
        <v>45314</v>
      </c>
      <c r="E8030" s="5" t="s">
        <v>44978</v>
      </c>
      <c r="F8030" s="26" t="s">
        <v>23600</v>
      </c>
      <c r="G8030" s="37" t="s">
        <v>20856</v>
      </c>
      <c r="H8030" s="55" t="s">
        <v>20857</v>
      </c>
      <c r="I8030" s="56" t="s">
        <v>17057</v>
      </c>
    </row>
    <row r="8031" spans="1:9" ht="31.5" customHeight="1">
      <c r="A8031" s="5"/>
      <c r="B8031" s="5" t="str">
        <f>CONCATENATE(G8031,"/",COUNTIF($G$2:G8031,G8031))</f>
        <v>PL-10416/1</v>
      </c>
      <c r="C8031" s="5" t="s">
        <v>44979</v>
      </c>
      <c r="D8031" s="246">
        <v>45323</v>
      </c>
      <c r="E8031" s="5" t="s">
        <v>44980</v>
      </c>
      <c r="F8031" s="26" t="s">
        <v>23600</v>
      </c>
      <c r="G8031" s="37" t="s">
        <v>21082</v>
      </c>
      <c r="H8031" s="55" t="s">
        <v>21083</v>
      </c>
      <c r="I8031" s="56" t="s">
        <v>17057</v>
      </c>
    </row>
    <row r="8032" spans="1:9" ht="31.5" customHeight="1">
      <c r="A8032" s="5"/>
      <c r="B8032" s="5" t="str">
        <f>CONCATENATE(G8032,"/",COUNTIF($G$2:G8032,G8032))</f>
        <v>PL-10416/2</v>
      </c>
      <c r="C8032" s="5" t="s">
        <v>44981</v>
      </c>
      <c r="D8032" s="246">
        <v>45323</v>
      </c>
      <c r="E8032" s="5" t="s">
        <v>44982</v>
      </c>
      <c r="F8032" s="26" t="s">
        <v>23600</v>
      </c>
      <c r="G8032" s="37" t="s">
        <v>21082</v>
      </c>
      <c r="H8032" s="55" t="s">
        <v>21083</v>
      </c>
      <c r="I8032" s="56" t="s">
        <v>17057</v>
      </c>
    </row>
    <row r="8033" spans="1:9" ht="31.5" customHeight="1">
      <c r="A8033" s="5"/>
      <c r="B8033" s="5" t="str">
        <f>CONCATENATE(G8033,"/",COUNTIF($G$2:G8033,G8033))</f>
        <v>PL-10416/3</v>
      </c>
      <c r="C8033" s="5" t="s">
        <v>44983</v>
      </c>
      <c r="D8033" s="246">
        <v>45323</v>
      </c>
      <c r="E8033" s="5" t="s">
        <v>44984</v>
      </c>
      <c r="F8033" s="26" t="s">
        <v>23600</v>
      </c>
      <c r="G8033" s="37" t="s">
        <v>21082</v>
      </c>
      <c r="H8033" s="55" t="s">
        <v>21083</v>
      </c>
      <c r="I8033" s="56" t="s">
        <v>17057</v>
      </c>
    </row>
    <row r="8034" spans="1:9" ht="35.15" customHeight="1">
      <c r="A8034" s="5"/>
      <c r="B8034" s="5" t="str">
        <f>CONCATENATE(G8034,"/",COUNTIF($G$2:G8034,G8034))</f>
        <v>RO-10380/1</v>
      </c>
      <c r="C8034" s="5" t="s">
        <v>44985</v>
      </c>
      <c r="D8034" s="246">
        <v>45341</v>
      </c>
      <c r="E8034" s="5" t="s">
        <v>44986</v>
      </c>
      <c r="F8034" s="26" t="s">
        <v>23600</v>
      </c>
      <c r="G8034" s="37" t="s">
        <v>20890</v>
      </c>
      <c r="H8034" s="55" t="s">
        <v>20891</v>
      </c>
      <c r="I8034" s="56" t="s">
        <v>17682</v>
      </c>
    </row>
    <row r="8035" spans="1:9" ht="36" customHeight="1">
      <c r="A8035" s="5"/>
      <c r="B8035" s="5" t="str">
        <f>CONCATENATE(G8035,"/",COUNTIF($G$2:G8035,G8035))</f>
        <v>BG-10485/1</v>
      </c>
      <c r="C8035" s="5" t="s">
        <v>44654</v>
      </c>
      <c r="D8035" s="246">
        <v>45328</v>
      </c>
      <c r="E8035" s="5" t="s">
        <v>44987</v>
      </c>
      <c r="F8035" s="26" t="s">
        <v>23600</v>
      </c>
      <c r="G8035" s="37" t="s">
        <v>21582</v>
      </c>
      <c r="H8035" s="55" t="s">
        <v>21583</v>
      </c>
      <c r="I8035" s="55" t="s">
        <v>17773</v>
      </c>
    </row>
    <row r="8036" spans="1:9" ht="36" customHeight="1">
      <c r="A8036" s="5"/>
      <c r="B8036" s="5" t="str">
        <f>CONCATENATE(G8036,"/",COUNTIF($G$2:G8036,G8036))</f>
        <v>BG-10485/2</v>
      </c>
      <c r="C8036" s="5" t="s">
        <v>44988</v>
      </c>
      <c r="D8036" s="246">
        <v>45328</v>
      </c>
      <c r="E8036" s="5" t="s">
        <v>44989</v>
      </c>
      <c r="F8036" s="26" t="s">
        <v>23600</v>
      </c>
      <c r="G8036" s="37" t="s">
        <v>21582</v>
      </c>
      <c r="H8036" s="55" t="s">
        <v>21583</v>
      </c>
      <c r="I8036" s="55" t="s">
        <v>17773</v>
      </c>
    </row>
    <row r="8037" spans="1:9" ht="36" customHeight="1">
      <c r="A8037" s="5"/>
      <c r="B8037" s="5" t="str">
        <f>CONCATENATE(G8037,"/",COUNTIF($G$2:G8037,G8037))</f>
        <v>BG-10485/3</v>
      </c>
      <c r="C8037" s="5" t="s">
        <v>44990</v>
      </c>
      <c r="D8037" s="246">
        <v>45328</v>
      </c>
      <c r="E8037" s="5" t="s">
        <v>44991</v>
      </c>
      <c r="F8037" s="26" t="s">
        <v>23600</v>
      </c>
      <c r="G8037" s="37" t="s">
        <v>21582</v>
      </c>
      <c r="H8037" s="55" t="s">
        <v>21583</v>
      </c>
      <c r="I8037" s="55" t="s">
        <v>17773</v>
      </c>
    </row>
    <row r="8038" spans="1:9" ht="36" customHeight="1">
      <c r="A8038" s="5"/>
      <c r="B8038" s="5" t="str">
        <f>CONCATENATE(G8038,"/",COUNTIF($G$2:G8038,G8038))</f>
        <v>BG-10485/4</v>
      </c>
      <c r="C8038" s="5" t="s">
        <v>44992</v>
      </c>
      <c r="D8038" s="246">
        <v>45328</v>
      </c>
      <c r="E8038" s="5" t="s">
        <v>44993</v>
      </c>
      <c r="F8038" s="26" t="s">
        <v>23600</v>
      </c>
      <c r="G8038" s="37" t="s">
        <v>21582</v>
      </c>
      <c r="H8038" s="55" t="s">
        <v>21583</v>
      </c>
      <c r="I8038" s="55" t="s">
        <v>17773</v>
      </c>
    </row>
    <row r="8039" spans="1:9" ht="36" customHeight="1">
      <c r="A8039" s="5"/>
      <c r="B8039" s="5" t="str">
        <f>CONCATENATE(G8039,"/",COUNTIF($G$2:G8039,G8039))</f>
        <v>BG-10485/5</v>
      </c>
      <c r="C8039" s="5" t="s">
        <v>44994</v>
      </c>
      <c r="D8039" s="246">
        <v>45328</v>
      </c>
      <c r="E8039" s="5" t="s">
        <v>44995</v>
      </c>
      <c r="F8039" s="26" t="s">
        <v>23600</v>
      </c>
      <c r="G8039" s="37" t="s">
        <v>21582</v>
      </c>
      <c r="H8039" s="55" t="s">
        <v>21583</v>
      </c>
      <c r="I8039" s="55" t="s">
        <v>17773</v>
      </c>
    </row>
    <row r="8040" spans="1:9" ht="32.5" customHeight="1">
      <c r="A8040" s="5"/>
      <c r="B8040" s="5" t="str">
        <f>CONCATENATE(G8040,"/",COUNTIF($G$2:G8040,G8040))</f>
        <v>DK-10401/1</v>
      </c>
      <c r="C8040" s="5" t="s">
        <v>44996</v>
      </c>
      <c r="D8040" s="246">
        <v>45349</v>
      </c>
      <c r="E8040" s="5" t="s">
        <v>44997</v>
      </c>
      <c r="F8040" s="26" t="s">
        <v>23600</v>
      </c>
      <c r="G8040" s="37" t="s">
        <v>20930</v>
      </c>
      <c r="H8040" s="55" t="s">
        <v>20931</v>
      </c>
      <c r="I8040" s="56" t="s">
        <v>12910</v>
      </c>
    </row>
    <row r="8041" spans="1:9" ht="45" customHeight="1">
      <c r="A8041" s="5"/>
      <c r="B8041" s="5" t="str">
        <f>CONCATENATE(G8041,"/",COUNTIF($G$2:G8041,G8041))</f>
        <v>CZ-10377/1</v>
      </c>
      <c r="C8041" s="5" t="s">
        <v>23621</v>
      </c>
      <c r="D8041" s="246">
        <v>45349</v>
      </c>
      <c r="E8041" s="5" t="s">
        <v>44998</v>
      </c>
      <c r="F8041" s="26" t="s">
        <v>23600</v>
      </c>
      <c r="G8041" s="37" t="s">
        <v>20870</v>
      </c>
      <c r="H8041" s="55" t="s">
        <v>20871</v>
      </c>
      <c r="I8041" s="56" t="s">
        <v>16429</v>
      </c>
    </row>
    <row r="8042" spans="1:9" ht="38.15" customHeight="1">
      <c r="A8042" s="5"/>
      <c r="B8042" s="5" t="str">
        <f>CONCATENATE(G8042,"/",COUNTIF($G$2:G8042,G8042))</f>
        <v>RO-10392/1</v>
      </c>
      <c r="C8042" s="5" t="s">
        <v>44999</v>
      </c>
      <c r="D8042" s="246">
        <v>45357</v>
      </c>
      <c r="E8042" s="5" t="s">
        <v>45000</v>
      </c>
      <c r="F8042" s="26" t="s">
        <v>23600</v>
      </c>
      <c r="G8042" s="37" t="s">
        <v>20974</v>
      </c>
      <c r="H8042" s="55" t="s">
        <v>20975</v>
      </c>
      <c r="I8042" s="56" t="s">
        <v>17682</v>
      </c>
    </row>
    <row r="8043" spans="1:9" ht="38.15" customHeight="1">
      <c r="A8043" s="5"/>
      <c r="B8043" s="5" t="str">
        <f>CONCATENATE(G8043,"/",COUNTIF($G$2:G8043,G8043))</f>
        <v>RO-10392/2</v>
      </c>
      <c r="C8043" s="5" t="s">
        <v>45001</v>
      </c>
      <c r="D8043" s="246">
        <v>45357</v>
      </c>
      <c r="E8043" s="5" t="s">
        <v>45002</v>
      </c>
      <c r="F8043" s="26" t="s">
        <v>23600</v>
      </c>
      <c r="G8043" s="37" t="s">
        <v>20974</v>
      </c>
      <c r="H8043" s="55" t="s">
        <v>20975</v>
      </c>
      <c r="I8043" s="56" t="s">
        <v>17682</v>
      </c>
    </row>
    <row r="8044" spans="1:9" ht="32.5" customHeight="1">
      <c r="A8044" s="5"/>
      <c r="B8044" s="5" t="str">
        <f>CONCATENATE(G8044,"/",COUNTIF($G$2:G8044,G8044))</f>
        <v>NO-10393/1</v>
      </c>
      <c r="C8044" s="5" t="s">
        <v>45003</v>
      </c>
      <c r="D8044" s="246">
        <v>45362</v>
      </c>
      <c r="E8044" s="5" t="s">
        <v>45004</v>
      </c>
      <c r="F8044" s="26" t="s">
        <v>23600</v>
      </c>
      <c r="G8044" s="37" t="s">
        <v>20959</v>
      </c>
      <c r="H8044" s="55" t="s">
        <v>20960</v>
      </c>
      <c r="I8044" s="56" t="s">
        <v>17344</v>
      </c>
    </row>
    <row r="8045" spans="1:9" ht="32.5" customHeight="1">
      <c r="A8045" s="5"/>
      <c r="B8045" s="5" t="str">
        <f>CONCATENATE(G8045,"/",COUNTIF($G$2:G8045,G8045))</f>
        <v>RO-10390/1</v>
      </c>
      <c r="C8045" s="5" t="s">
        <v>45005</v>
      </c>
      <c r="D8045" s="246">
        <v>45362</v>
      </c>
      <c r="E8045" s="5" t="s">
        <v>45006</v>
      </c>
      <c r="F8045" s="26" t="s">
        <v>23600</v>
      </c>
      <c r="G8045" s="37" t="s">
        <v>20966</v>
      </c>
      <c r="H8045" s="55" t="s">
        <v>20967</v>
      </c>
      <c r="I8045" s="56" t="s">
        <v>17682</v>
      </c>
    </row>
    <row r="8046" spans="1:9" ht="32.5" customHeight="1">
      <c r="A8046" s="5"/>
      <c r="B8046" s="5" t="str">
        <f>CONCATENATE(G8046,"/",COUNTIF($G$2:G8046,G8046))</f>
        <v>RO-10390/2</v>
      </c>
      <c r="C8046" s="5" t="s">
        <v>45007</v>
      </c>
      <c r="D8046" s="246">
        <v>45362</v>
      </c>
      <c r="E8046" s="5" t="s">
        <v>45008</v>
      </c>
      <c r="F8046" s="26" t="s">
        <v>23600</v>
      </c>
      <c r="G8046" s="37" t="s">
        <v>20966</v>
      </c>
      <c r="H8046" s="55" t="s">
        <v>20967</v>
      </c>
      <c r="I8046" s="56" t="s">
        <v>17682</v>
      </c>
    </row>
    <row r="8047" spans="1:9" ht="31.5" customHeight="1">
      <c r="A8047" s="5"/>
      <c r="B8047" s="5" t="str">
        <f>CONCATENATE(G8047,"/",COUNTIF($G$2:G8047,G8047))</f>
        <v>HU-10322/1</v>
      </c>
      <c r="C8047" s="5" t="s">
        <v>45009</v>
      </c>
      <c r="D8047" s="246">
        <v>45264</v>
      </c>
      <c r="E8047" s="5" t="s">
        <v>45010</v>
      </c>
      <c r="F8047" s="26" t="s">
        <v>23600</v>
      </c>
      <c r="G8047" s="37" t="s">
        <v>20495</v>
      </c>
      <c r="H8047" s="55" t="s">
        <v>20496</v>
      </c>
      <c r="I8047" s="56" t="s">
        <v>17578</v>
      </c>
    </row>
    <row r="8048" spans="1:9" ht="31.5" customHeight="1">
      <c r="A8048" s="5"/>
      <c r="B8048" s="5" t="str">
        <f>CONCATENATE(G8048,"/",COUNTIF($G$2:G8048,G8048))</f>
        <v>HU-10322/2</v>
      </c>
      <c r="C8048" s="5" t="s">
        <v>45011</v>
      </c>
      <c r="D8048" s="246">
        <v>45264</v>
      </c>
      <c r="E8048" s="5" t="s">
        <v>45012</v>
      </c>
      <c r="F8048" s="26" t="s">
        <v>23600</v>
      </c>
      <c r="G8048" s="37" t="s">
        <v>20495</v>
      </c>
      <c r="H8048" s="55" t="s">
        <v>20496</v>
      </c>
      <c r="I8048" s="56" t="s">
        <v>17578</v>
      </c>
    </row>
    <row r="8049" spans="1:9" ht="30" customHeight="1">
      <c r="A8049" s="5"/>
      <c r="B8049" s="5" t="str">
        <f>CONCATENATE(G8049,"/",COUNTIF($G$2:G8049,G8049))</f>
        <v>IE-10404/1</v>
      </c>
      <c r="C8049" s="5" t="s">
        <v>45013</v>
      </c>
      <c r="D8049" s="246">
        <v>45373</v>
      </c>
      <c r="E8049" s="5" t="s">
        <v>45014</v>
      </c>
      <c r="F8049" s="26" t="s">
        <v>23600</v>
      </c>
      <c r="G8049" s="37" t="s">
        <v>20897</v>
      </c>
      <c r="H8049" s="55" t="s">
        <v>20898</v>
      </c>
      <c r="I8049" s="56" t="s">
        <v>19136</v>
      </c>
    </row>
    <row r="8050" spans="1:9" ht="30" customHeight="1">
      <c r="A8050" s="5"/>
      <c r="B8050" s="5" t="str">
        <f>CONCATENATE(G8050,"/",COUNTIF($G$2:G8050,G8050))</f>
        <v>IE-10404/2</v>
      </c>
      <c r="C8050" s="5" t="s">
        <v>45015</v>
      </c>
      <c r="D8050" s="246">
        <v>45373</v>
      </c>
      <c r="E8050" s="5" t="s">
        <v>45016</v>
      </c>
      <c r="F8050" s="26" t="s">
        <v>23600</v>
      </c>
      <c r="G8050" s="37" t="s">
        <v>20897</v>
      </c>
      <c r="H8050" s="55" t="s">
        <v>20898</v>
      </c>
      <c r="I8050" s="56" t="s">
        <v>19136</v>
      </c>
    </row>
    <row r="8051" spans="1:9" ht="30" customHeight="1">
      <c r="A8051" s="5"/>
      <c r="B8051" s="5" t="str">
        <f>CONCATENATE(G8051,"/",COUNTIF($G$2:G8051,G8051))</f>
        <v>IE-10404/3</v>
      </c>
      <c r="C8051" s="5" t="s">
        <v>45017</v>
      </c>
      <c r="D8051" s="246">
        <v>45373</v>
      </c>
      <c r="E8051" s="5" t="s">
        <v>45018</v>
      </c>
      <c r="F8051" s="26" t="s">
        <v>23600</v>
      </c>
      <c r="G8051" s="37" t="s">
        <v>20897</v>
      </c>
      <c r="H8051" s="55" t="s">
        <v>20898</v>
      </c>
      <c r="I8051" s="56" t="s">
        <v>19136</v>
      </c>
    </row>
    <row r="8052" spans="1:9" ht="30" customHeight="1">
      <c r="A8052" s="5"/>
      <c r="B8052" s="5" t="str">
        <f>CONCATENATE(G8052,"/",COUNTIF($G$2:G8052,G8052))</f>
        <v>IE-10404/4</v>
      </c>
      <c r="C8052" s="5" t="s">
        <v>45019</v>
      </c>
      <c r="D8052" s="246">
        <v>45373</v>
      </c>
      <c r="E8052" s="5" t="s">
        <v>45020</v>
      </c>
      <c r="F8052" s="26" t="s">
        <v>23600</v>
      </c>
      <c r="G8052" s="37" t="s">
        <v>20897</v>
      </c>
      <c r="H8052" s="55" t="s">
        <v>20898</v>
      </c>
      <c r="I8052" s="56" t="s">
        <v>19136</v>
      </c>
    </row>
    <row r="8053" spans="1:9" ht="30" customHeight="1">
      <c r="A8053" s="5"/>
      <c r="B8053" s="5" t="str">
        <f>CONCATENATE(G8053,"/",COUNTIF($G$2:G8053,G8053))</f>
        <v>IE-10404/5</v>
      </c>
      <c r="C8053" s="5" t="s">
        <v>45021</v>
      </c>
      <c r="D8053" s="246">
        <v>45373</v>
      </c>
      <c r="E8053" s="5" t="s">
        <v>45022</v>
      </c>
      <c r="F8053" s="26" t="s">
        <v>23600</v>
      </c>
      <c r="G8053" s="37" t="s">
        <v>20897</v>
      </c>
      <c r="H8053" s="55" t="s">
        <v>20898</v>
      </c>
      <c r="I8053" s="56" t="s">
        <v>19136</v>
      </c>
    </row>
    <row r="8054" spans="1:9" ht="33" customHeight="1">
      <c r="A8054" s="5"/>
      <c r="B8054" s="5" t="str">
        <f>CONCATENATE(G8054,"/",COUNTIF($G$2:G8054,G8054))</f>
        <v>RO-10395/1</v>
      </c>
      <c r="C8054" s="5" t="s">
        <v>45023</v>
      </c>
      <c r="D8054" s="246">
        <v>45377</v>
      </c>
      <c r="E8054" s="5" t="s">
        <v>45024</v>
      </c>
      <c r="F8054" s="26" t="s">
        <v>23600</v>
      </c>
      <c r="G8054" s="37" t="s">
        <v>20997</v>
      </c>
      <c r="H8054" s="55" t="s">
        <v>20998</v>
      </c>
      <c r="I8054" s="56" t="s">
        <v>17682</v>
      </c>
    </row>
    <row r="8055" spans="1:9" ht="30" customHeight="1">
      <c r="A8055" s="5"/>
      <c r="B8055" s="5" t="str">
        <f>CONCATENATE(G8055,"/",COUNTIF($G$2:G8055,G8055))</f>
        <v>HU-10247/1</v>
      </c>
      <c r="C8055" s="5" t="s">
        <v>45025</v>
      </c>
      <c r="D8055" s="246">
        <v>45034</v>
      </c>
      <c r="E8055" s="5" t="s">
        <v>45026</v>
      </c>
      <c r="F8055" s="26" t="s">
        <v>23600</v>
      </c>
      <c r="G8055" s="37" t="s">
        <v>20189</v>
      </c>
      <c r="H8055" s="38" t="s">
        <v>20190</v>
      </c>
      <c r="I8055" s="46" t="s">
        <v>17578</v>
      </c>
    </row>
    <row r="8056" spans="1:9" ht="34.5" customHeight="1">
      <c r="A8056" s="5"/>
      <c r="B8056" s="5" t="str">
        <f>CONCATENATE(G8056,"/",COUNTIF($G$2:G8056,G8056))</f>
        <v>NO-10398/1</v>
      </c>
      <c r="C8056" s="5" t="s">
        <v>45027</v>
      </c>
      <c r="D8056" s="246">
        <v>45384</v>
      </c>
      <c r="E8056" s="5" t="s">
        <v>45028</v>
      </c>
      <c r="F8056" s="26" t="s">
        <v>23600</v>
      </c>
      <c r="G8056" s="37" t="s">
        <v>21009</v>
      </c>
      <c r="H8056" s="55" t="s">
        <v>21010</v>
      </c>
      <c r="I8056" s="56" t="s">
        <v>17344</v>
      </c>
    </row>
    <row r="8057" spans="1:9" ht="33.65" customHeight="1">
      <c r="A8057" s="5"/>
      <c r="B8057" s="5" t="str">
        <f>CONCATENATE(G8057,"/",COUNTIF($G$2:G8057,G8057))</f>
        <v>DK-10283/1</v>
      </c>
      <c r="C8057" s="5" t="s">
        <v>45029</v>
      </c>
      <c r="D8057" s="246">
        <v>45393</v>
      </c>
      <c r="E8057" s="5" t="s">
        <v>45030</v>
      </c>
      <c r="F8057" s="26" t="s">
        <v>23600</v>
      </c>
      <c r="G8057" s="37" t="s">
        <v>19728</v>
      </c>
      <c r="H8057" s="29" t="s">
        <v>19729</v>
      </c>
      <c r="I8057" s="30" t="s">
        <v>12910</v>
      </c>
    </row>
    <row r="8058" spans="1:9" ht="33.65" customHeight="1">
      <c r="A8058" s="5"/>
      <c r="B8058" s="5" t="str">
        <f>CONCATENATE(G8058,"/",COUNTIF($G$2:G8058,G8058))</f>
        <v>DK-10283/2</v>
      </c>
      <c r="C8058" s="5" t="s">
        <v>45031</v>
      </c>
      <c r="D8058" s="246">
        <v>45393</v>
      </c>
      <c r="E8058" s="5" t="s">
        <v>45032</v>
      </c>
      <c r="F8058" s="26" t="s">
        <v>23600</v>
      </c>
      <c r="G8058" s="37" t="s">
        <v>19728</v>
      </c>
      <c r="H8058" s="29" t="s">
        <v>19729</v>
      </c>
      <c r="I8058" s="30" t="s">
        <v>12910</v>
      </c>
    </row>
    <row r="8059" spans="1:9" ht="32.5" customHeight="1">
      <c r="A8059" s="5"/>
      <c r="B8059" s="5" t="str">
        <f>CONCATENATE(G8059,"/",COUNTIF($G$2:G8059,G8059))</f>
        <v>CZ-10200/1</v>
      </c>
      <c r="C8059" s="5" t="s">
        <v>23621</v>
      </c>
      <c r="D8059" s="246">
        <v>45394</v>
      </c>
      <c r="E8059" s="5" t="s">
        <v>45033</v>
      </c>
      <c r="F8059" s="26" t="s">
        <v>23600</v>
      </c>
      <c r="G8059" s="37" t="s">
        <v>19860</v>
      </c>
      <c r="H8059" s="38" t="s">
        <v>19861</v>
      </c>
      <c r="I8059" s="46" t="s">
        <v>16429</v>
      </c>
    </row>
    <row r="8060" spans="1:9" ht="28" customHeight="1">
      <c r="A8060" s="5"/>
      <c r="B8060" s="5" t="str">
        <f>CONCATENATE(G8060,"/",COUNTIF($G$2:G8060,G8060))</f>
        <v>HU-10178/1</v>
      </c>
      <c r="C8060" s="5" t="s">
        <v>45034</v>
      </c>
      <c r="D8060" s="246">
        <v>44908</v>
      </c>
      <c r="E8060" s="5" t="s">
        <v>45035</v>
      </c>
      <c r="F8060" s="26" t="s">
        <v>23600</v>
      </c>
      <c r="G8060" s="37" t="s">
        <v>19714</v>
      </c>
      <c r="H8060" s="5" t="s">
        <v>19715</v>
      </c>
      <c r="I8060" s="5" t="s">
        <v>17578</v>
      </c>
    </row>
    <row r="8061" spans="1:9" ht="34" customHeight="1">
      <c r="A8061" s="5"/>
      <c r="B8061" s="5" t="str">
        <f>CONCATENATE(G8061,"/",COUNTIF($G$2:G8061,G8061))</f>
        <v>HU-10310/1</v>
      </c>
      <c r="C8061" s="5" t="s">
        <v>45036</v>
      </c>
      <c r="D8061" s="246">
        <v>44837</v>
      </c>
      <c r="E8061" s="5" t="s">
        <v>45037</v>
      </c>
      <c r="F8061" s="26" t="s">
        <v>23600</v>
      </c>
      <c r="G8061" s="37" t="s">
        <v>20396</v>
      </c>
      <c r="H8061" s="55" t="s">
        <v>20397</v>
      </c>
      <c r="I8061" s="56" t="s">
        <v>17578</v>
      </c>
    </row>
    <row r="8062" spans="1:9" ht="34" customHeight="1">
      <c r="A8062" s="5"/>
      <c r="B8062" s="5" t="str">
        <f>CONCATENATE(G8062,"/",COUNTIF($G$2:G8062,G8062))</f>
        <v>PL-10418/1</v>
      </c>
      <c r="C8062" s="5" t="s">
        <v>45038</v>
      </c>
      <c r="D8062" s="246">
        <v>45369</v>
      </c>
      <c r="E8062" s="5" t="s">
        <v>45039</v>
      </c>
      <c r="F8062" s="26" t="s">
        <v>23600</v>
      </c>
      <c r="G8062" s="37" t="s">
        <v>21077</v>
      </c>
      <c r="H8062" s="55" t="s">
        <v>21078</v>
      </c>
      <c r="I8062" s="56" t="s">
        <v>17057</v>
      </c>
    </row>
    <row r="8063" spans="1:9" ht="34" customHeight="1">
      <c r="A8063" s="5"/>
      <c r="B8063" s="5" t="str">
        <f>CONCATENATE(G8063,"/",COUNTIF($G$2:G8063,G8063))</f>
        <v>PL-10418/2</v>
      </c>
      <c r="C8063" s="5" t="s">
        <v>45040</v>
      </c>
      <c r="D8063" s="246">
        <v>45369</v>
      </c>
      <c r="E8063" s="5" t="s">
        <v>45041</v>
      </c>
      <c r="F8063" s="26" t="s">
        <v>23600</v>
      </c>
      <c r="G8063" s="37" t="s">
        <v>21077</v>
      </c>
      <c r="H8063" s="55" t="s">
        <v>21078</v>
      </c>
      <c r="I8063" s="56" t="s">
        <v>17057</v>
      </c>
    </row>
    <row r="8064" spans="1:9" ht="34" customHeight="1">
      <c r="A8064" s="5"/>
      <c r="B8064" s="5" t="str">
        <f>CONCATENATE(G8064,"/",COUNTIF($G$2:G8064,G8064))</f>
        <v>PL-10418/3</v>
      </c>
      <c r="C8064" s="5" t="s">
        <v>45042</v>
      </c>
      <c r="D8064" s="246">
        <v>45369</v>
      </c>
      <c r="E8064" s="5" t="s">
        <v>45043</v>
      </c>
      <c r="F8064" s="26" t="s">
        <v>23600</v>
      </c>
      <c r="G8064" s="37" t="s">
        <v>21077</v>
      </c>
      <c r="H8064" s="55" t="s">
        <v>21078</v>
      </c>
      <c r="I8064" s="56" t="s">
        <v>17057</v>
      </c>
    </row>
    <row r="8065" spans="1:9" ht="33" customHeight="1">
      <c r="A8065" s="5"/>
      <c r="B8065" s="5" t="str">
        <f>CONCATENATE(G8065,"/",COUNTIF($G$2:G8065,G8065))</f>
        <v>IT-10368/1</v>
      </c>
      <c r="C8065" s="5" t="s">
        <v>45044</v>
      </c>
      <c r="D8065" s="246">
        <v>45412</v>
      </c>
      <c r="E8065" s="5" t="s">
        <v>45045</v>
      </c>
      <c r="F8065" s="26" t="s">
        <v>23600</v>
      </c>
      <c r="G8065" s="37" t="s">
        <v>20828</v>
      </c>
      <c r="H8065" s="55" t="s">
        <v>20829</v>
      </c>
      <c r="I8065" s="56" t="s">
        <v>18131</v>
      </c>
    </row>
    <row r="8066" spans="1:9" ht="33" customHeight="1">
      <c r="A8066" s="5"/>
      <c r="B8066" s="5" t="str">
        <f>CONCATENATE(G8066,"/",COUNTIF($G$2:G8066,G8066))</f>
        <v>IT-10368/2</v>
      </c>
      <c r="C8066" s="5" t="s">
        <v>45046</v>
      </c>
      <c r="D8066" s="246">
        <v>45412</v>
      </c>
      <c r="E8066" s="5" t="s">
        <v>45047</v>
      </c>
      <c r="F8066" s="26" t="s">
        <v>23600</v>
      </c>
      <c r="G8066" s="37" t="s">
        <v>20828</v>
      </c>
      <c r="H8066" s="55" t="s">
        <v>20829</v>
      </c>
      <c r="I8066" s="56" t="s">
        <v>18131</v>
      </c>
    </row>
    <row r="8067" spans="1:9" ht="33" customHeight="1">
      <c r="A8067" s="5"/>
      <c r="B8067" s="5" t="str">
        <f>CONCATENATE(G8067,"/",COUNTIF($G$2:G8067,G8067))</f>
        <v>IT-10368/3</v>
      </c>
      <c r="C8067" s="5" t="s">
        <v>45048</v>
      </c>
      <c r="D8067" s="246">
        <v>45412</v>
      </c>
      <c r="E8067" s="5" t="s">
        <v>45049</v>
      </c>
      <c r="F8067" s="26" t="s">
        <v>23600</v>
      </c>
      <c r="G8067" s="37" t="s">
        <v>20828</v>
      </c>
      <c r="H8067" s="55" t="s">
        <v>20829</v>
      </c>
      <c r="I8067" s="56" t="s">
        <v>18131</v>
      </c>
    </row>
    <row r="8068" spans="1:9" ht="33" customHeight="1">
      <c r="A8068" s="5"/>
      <c r="B8068" s="5" t="str">
        <f>CONCATENATE(G8068,"/",COUNTIF($G$2:G8068,G8068))</f>
        <v>IT-10368/4</v>
      </c>
      <c r="C8068" s="5" t="s">
        <v>45050</v>
      </c>
      <c r="D8068" s="246">
        <v>45412</v>
      </c>
      <c r="E8068" s="5" t="s">
        <v>45051</v>
      </c>
      <c r="F8068" s="26" t="s">
        <v>23600</v>
      </c>
      <c r="G8068" s="37" t="s">
        <v>20828</v>
      </c>
      <c r="H8068" s="55" t="s">
        <v>20829</v>
      </c>
      <c r="I8068" s="56" t="s">
        <v>18131</v>
      </c>
    </row>
    <row r="8069" spans="1:9" ht="33" customHeight="1">
      <c r="A8069" s="5"/>
      <c r="B8069" s="5" t="str">
        <f>CONCATENATE(G8069,"/",COUNTIF($G$2:G8069,G8069))</f>
        <v>IT-10368/5</v>
      </c>
      <c r="C8069" s="5" t="s">
        <v>45052</v>
      </c>
      <c r="D8069" s="246">
        <v>45412</v>
      </c>
      <c r="E8069" s="5" t="s">
        <v>45053</v>
      </c>
      <c r="F8069" s="26" t="s">
        <v>23600</v>
      </c>
      <c r="G8069" s="37" t="s">
        <v>20828</v>
      </c>
      <c r="H8069" s="55" t="s">
        <v>20829</v>
      </c>
      <c r="I8069" s="56" t="s">
        <v>18131</v>
      </c>
    </row>
    <row r="8070" spans="1:9" ht="35.5" customHeight="1">
      <c r="A8070" s="5"/>
      <c r="B8070" s="5" t="str">
        <f>CONCATENATE(G8070,"/",COUNTIF($G$2:G8070,G8070))</f>
        <v>IT-10368/6</v>
      </c>
      <c r="C8070" s="5" t="s">
        <v>45054</v>
      </c>
      <c r="D8070" s="246">
        <v>45412</v>
      </c>
      <c r="E8070" s="5" t="s">
        <v>45055</v>
      </c>
      <c r="F8070" s="26" t="s">
        <v>23600</v>
      </c>
      <c r="G8070" s="37" t="s">
        <v>20828</v>
      </c>
      <c r="H8070" s="55" t="s">
        <v>20829</v>
      </c>
      <c r="I8070" s="56" t="s">
        <v>18131</v>
      </c>
    </row>
    <row r="8071" spans="1:9" ht="33" customHeight="1">
      <c r="A8071" s="5"/>
      <c r="B8071" s="5" t="str">
        <f>CONCATENATE(G8071,"/",COUNTIF($G$2:G8071,G8071))</f>
        <v>RO-10402/1</v>
      </c>
      <c r="C8071" s="5" t="s">
        <v>45056</v>
      </c>
      <c r="D8071" s="246">
        <v>45385</v>
      </c>
      <c r="E8071" s="5" t="s">
        <v>45057</v>
      </c>
      <c r="F8071" s="26" t="s">
        <v>23600</v>
      </c>
      <c r="G8071" s="37" t="s">
        <v>21033</v>
      </c>
      <c r="H8071" s="55" t="s">
        <v>21034</v>
      </c>
      <c r="I8071" s="56" t="s">
        <v>17682</v>
      </c>
    </row>
    <row r="8072" spans="1:9" ht="33" customHeight="1">
      <c r="A8072" s="5"/>
      <c r="B8072" s="5" t="str">
        <f>CONCATENATE(G8072,"/",COUNTIF($G$2:G8072,G8072))</f>
        <v>ES-10383/1</v>
      </c>
      <c r="C8072" s="5" t="s">
        <v>45058</v>
      </c>
      <c r="D8072" s="246">
        <v>45407</v>
      </c>
      <c r="E8072" s="5" t="s">
        <v>45059</v>
      </c>
      <c r="F8072" s="26" t="s">
        <v>23600</v>
      </c>
      <c r="G8072" s="37" t="s">
        <v>20836</v>
      </c>
      <c r="H8072" s="55" t="s">
        <v>20837</v>
      </c>
      <c r="I8072" s="56" t="s">
        <v>17820</v>
      </c>
    </row>
    <row r="8073" spans="1:9" ht="33" customHeight="1">
      <c r="A8073" s="5"/>
      <c r="B8073" s="5" t="str">
        <f>CONCATENATE(G8073,"/",COUNTIF($G$2:G8073,G8073))</f>
        <v>ES-10383/2</v>
      </c>
      <c r="C8073" s="5" t="s">
        <v>45060</v>
      </c>
      <c r="D8073" s="246">
        <v>45407</v>
      </c>
      <c r="E8073" s="5" t="s">
        <v>45061</v>
      </c>
      <c r="F8073" s="26" t="s">
        <v>23600</v>
      </c>
      <c r="G8073" s="37" t="s">
        <v>20836</v>
      </c>
      <c r="H8073" s="55" t="s">
        <v>20837</v>
      </c>
      <c r="I8073" s="56" t="s">
        <v>17820</v>
      </c>
    </row>
    <row r="8074" spans="1:9" ht="33" customHeight="1">
      <c r="A8074" s="5"/>
      <c r="B8074" s="5" t="str">
        <f>CONCATENATE(G8074,"/",COUNTIF($G$2:G8074,G8074))</f>
        <v>ES-10383/3</v>
      </c>
      <c r="C8074" s="5" t="s">
        <v>45062</v>
      </c>
      <c r="D8074" s="246">
        <v>45407</v>
      </c>
      <c r="E8074" s="5" t="s">
        <v>45063</v>
      </c>
      <c r="F8074" s="26" t="s">
        <v>23600</v>
      </c>
      <c r="G8074" s="37" t="s">
        <v>20836</v>
      </c>
      <c r="H8074" s="55" t="s">
        <v>20837</v>
      </c>
      <c r="I8074" s="56" t="s">
        <v>17820</v>
      </c>
    </row>
    <row r="8075" spans="1:9" ht="33" customHeight="1">
      <c r="A8075" s="5"/>
      <c r="B8075" s="5" t="str">
        <f>CONCATENATE(G8075,"/",COUNTIF($G$2:G8075,G8075))</f>
        <v>ES-10383/4</v>
      </c>
      <c r="C8075" s="5" t="s">
        <v>45064</v>
      </c>
      <c r="D8075" s="246">
        <v>45407</v>
      </c>
      <c r="E8075" s="5" t="s">
        <v>45065</v>
      </c>
      <c r="F8075" s="26" t="s">
        <v>23600</v>
      </c>
      <c r="G8075" s="37" t="s">
        <v>20836</v>
      </c>
      <c r="H8075" s="55" t="s">
        <v>20837</v>
      </c>
      <c r="I8075" s="56" t="s">
        <v>17820</v>
      </c>
    </row>
    <row r="8076" spans="1:9" ht="33" customHeight="1">
      <c r="A8076" s="5"/>
      <c r="B8076" s="5" t="str">
        <f>CONCATENATE(G8076,"/",COUNTIF($G$2:G8076,G8076))</f>
        <v>ES-10383/5</v>
      </c>
      <c r="C8076" s="5" t="s">
        <v>45066</v>
      </c>
      <c r="D8076" s="246">
        <v>45407</v>
      </c>
      <c r="E8076" s="5" t="s">
        <v>45067</v>
      </c>
      <c r="F8076" s="26" t="s">
        <v>23600</v>
      </c>
      <c r="G8076" s="37" t="s">
        <v>20836</v>
      </c>
      <c r="H8076" s="55" t="s">
        <v>20837</v>
      </c>
      <c r="I8076" s="56" t="s">
        <v>17820</v>
      </c>
    </row>
    <row r="8077" spans="1:9" ht="33" customHeight="1">
      <c r="A8077" s="5"/>
      <c r="B8077" s="5" t="str">
        <f>CONCATENATE(G8077,"/",COUNTIF($G$2:G8077,G8077))</f>
        <v>ES-10383/6</v>
      </c>
      <c r="C8077" s="5" t="s">
        <v>45068</v>
      </c>
      <c r="D8077" s="246">
        <v>45407</v>
      </c>
      <c r="E8077" s="5" t="s">
        <v>45069</v>
      </c>
      <c r="F8077" s="26" t="s">
        <v>23600</v>
      </c>
      <c r="G8077" s="37" t="s">
        <v>20836</v>
      </c>
      <c r="H8077" s="55" t="s">
        <v>20837</v>
      </c>
      <c r="I8077" s="56" t="s">
        <v>17820</v>
      </c>
    </row>
    <row r="8078" spans="1:9" ht="33" customHeight="1">
      <c r="A8078" s="5"/>
      <c r="B8078" s="5" t="str">
        <f>CONCATENATE(G8078,"/",COUNTIF($G$2:G8078,G8078))</f>
        <v>ES-10383/7</v>
      </c>
      <c r="C8078" s="5" t="s">
        <v>45070</v>
      </c>
      <c r="D8078" s="246">
        <v>45407</v>
      </c>
      <c r="E8078" s="5" t="s">
        <v>45071</v>
      </c>
      <c r="F8078" s="26" t="s">
        <v>23600</v>
      </c>
      <c r="G8078" s="37" t="s">
        <v>20836</v>
      </c>
      <c r="H8078" s="55" t="s">
        <v>20837</v>
      </c>
      <c r="I8078" s="56" t="s">
        <v>17820</v>
      </c>
    </row>
    <row r="8079" spans="1:9" ht="31" customHeight="1">
      <c r="A8079" s="5"/>
      <c r="B8079" s="5" t="str">
        <f>CONCATENATE(G8079,"/",COUNTIF($G$2:G8079,G8079))</f>
        <v>RO-10411/1</v>
      </c>
      <c r="C8079" s="5" t="s">
        <v>45072</v>
      </c>
      <c r="D8079" s="246">
        <v>45428</v>
      </c>
      <c r="E8079" s="5" t="s">
        <v>45073</v>
      </c>
      <c r="F8079" s="26" t="s">
        <v>23600</v>
      </c>
      <c r="G8079" s="37" t="s">
        <v>21087</v>
      </c>
      <c r="H8079" s="55" t="s">
        <v>21088</v>
      </c>
      <c r="I8079" s="56" t="s">
        <v>17682</v>
      </c>
    </row>
    <row r="8080" spans="1:9" ht="31" customHeight="1">
      <c r="A8080" s="5"/>
      <c r="B8080" s="5" t="str">
        <f>CONCATENATE(G8080,"/",COUNTIF($G$2:G8080,G8080))</f>
        <v>RO-10411/2</v>
      </c>
      <c r="C8080" s="5" t="s">
        <v>45074</v>
      </c>
      <c r="D8080" s="246">
        <v>45428</v>
      </c>
      <c r="E8080" s="5" t="s">
        <v>45075</v>
      </c>
      <c r="F8080" s="26" t="s">
        <v>23600</v>
      </c>
      <c r="G8080" s="37" t="s">
        <v>21087</v>
      </c>
      <c r="H8080" s="55" t="s">
        <v>21088</v>
      </c>
      <c r="I8080" s="56" t="s">
        <v>17682</v>
      </c>
    </row>
    <row r="8081" spans="1:9" ht="35.15" customHeight="1">
      <c r="A8081" s="5"/>
      <c r="B8081" s="5" t="str">
        <f>CONCATENATE(G8081,"/",COUNTIF($G$2:G8081,G8081))</f>
        <v>NL-10405/1</v>
      </c>
      <c r="C8081" s="5">
        <v>1</v>
      </c>
      <c r="D8081" s="246">
        <v>45427</v>
      </c>
      <c r="E8081" s="5" t="s">
        <v>45076</v>
      </c>
      <c r="F8081" s="26" t="s">
        <v>39913</v>
      </c>
      <c r="G8081" s="37" t="s">
        <v>21018</v>
      </c>
      <c r="H8081" s="55" t="s">
        <v>21019</v>
      </c>
      <c r="I8081" s="56" t="s">
        <v>21020</v>
      </c>
    </row>
    <row r="8082" spans="1:9" ht="35.15" customHeight="1">
      <c r="A8082" s="5"/>
      <c r="B8082" s="5" t="str">
        <f>CONCATENATE(G8082,"/",COUNTIF($G$2:G8082,G8082))</f>
        <v>NL-10405/2</v>
      </c>
      <c r="C8082" s="5">
        <v>2</v>
      </c>
      <c r="D8082" s="246">
        <v>45427</v>
      </c>
      <c r="E8082" s="5" t="s">
        <v>45077</v>
      </c>
      <c r="F8082" s="26" t="s">
        <v>39913</v>
      </c>
      <c r="G8082" s="37" t="s">
        <v>21018</v>
      </c>
      <c r="H8082" s="55" t="s">
        <v>21019</v>
      </c>
      <c r="I8082" s="56" t="s">
        <v>21020</v>
      </c>
    </row>
    <row r="8083" spans="1:9" ht="31" customHeight="1">
      <c r="A8083" s="5"/>
      <c r="B8083" s="5" t="str">
        <f>CONCATENATE(G8083,"/",COUNTIF($G$2:G8083,G8083))</f>
        <v>NL-10405/3</v>
      </c>
      <c r="C8083" s="5">
        <v>3</v>
      </c>
      <c r="D8083" s="246">
        <v>45427</v>
      </c>
      <c r="E8083" s="5" t="s">
        <v>45078</v>
      </c>
      <c r="F8083" s="26" t="s">
        <v>39913</v>
      </c>
      <c r="G8083" s="37" t="s">
        <v>21018</v>
      </c>
      <c r="H8083" s="55" t="s">
        <v>21019</v>
      </c>
      <c r="I8083" s="56" t="s">
        <v>21020</v>
      </c>
    </row>
    <row r="8084" spans="1:9" ht="29.5" customHeight="1">
      <c r="A8084" s="5"/>
      <c r="B8084" s="5" t="str">
        <f>CONCATENATE(G8084,"/",COUNTIF($G$2:G8084,G8084))</f>
        <v>NL-10405/4</v>
      </c>
      <c r="C8084" s="5">
        <v>4</v>
      </c>
      <c r="D8084" s="246">
        <v>45427</v>
      </c>
      <c r="E8084" s="5" t="s">
        <v>45079</v>
      </c>
      <c r="F8084" s="26" t="s">
        <v>39913</v>
      </c>
      <c r="G8084" s="37" t="s">
        <v>21018</v>
      </c>
      <c r="H8084" s="55" t="s">
        <v>21019</v>
      </c>
      <c r="I8084" s="56" t="s">
        <v>21020</v>
      </c>
    </row>
    <row r="8085" spans="1:9" ht="29.5" customHeight="1">
      <c r="A8085" s="5"/>
      <c r="B8085" s="5" t="str">
        <f>CONCATENATE(G8085,"/",COUNTIF($G$2:G8085,G8085))</f>
        <v>NL-10405/5</v>
      </c>
      <c r="C8085" s="5">
        <v>5</v>
      </c>
      <c r="D8085" s="246">
        <v>45427</v>
      </c>
      <c r="E8085" s="5" t="s">
        <v>45080</v>
      </c>
      <c r="F8085" s="26" t="s">
        <v>39913</v>
      </c>
      <c r="G8085" s="37" t="s">
        <v>21018</v>
      </c>
      <c r="H8085" s="55" t="s">
        <v>21019</v>
      </c>
      <c r="I8085" s="56" t="s">
        <v>21020</v>
      </c>
    </row>
    <row r="8086" spans="1:9" ht="31" customHeight="1">
      <c r="A8086" s="5"/>
      <c r="B8086" s="5" t="str">
        <f>CONCATENATE(G8086,"/",COUNTIF($G$2:G8086,G8086))</f>
        <v>HU-10324/1</v>
      </c>
      <c r="C8086" s="5" t="s">
        <v>45081</v>
      </c>
      <c r="D8086" s="246">
        <v>45435</v>
      </c>
      <c r="E8086" s="5" t="s">
        <v>45082</v>
      </c>
      <c r="F8086" s="26" t="s">
        <v>23600</v>
      </c>
      <c r="G8086" s="37" t="s">
        <v>20510</v>
      </c>
      <c r="H8086" s="55" t="s">
        <v>20511</v>
      </c>
      <c r="I8086" s="56" t="s">
        <v>17578</v>
      </c>
    </row>
    <row r="8087" spans="1:9" ht="34.5" customHeight="1">
      <c r="A8087" s="5"/>
      <c r="B8087" s="5" t="str">
        <f>CONCATENATE(G8087,"/",COUNTIF($G$2:G8087,G8087))</f>
        <v>AT-10226/1</v>
      </c>
      <c r="C8087" s="5" t="s">
        <v>45083</v>
      </c>
      <c r="D8087" s="246">
        <v>45411</v>
      </c>
      <c r="E8087" s="5" t="s">
        <v>45084</v>
      </c>
      <c r="F8087" s="26" t="s">
        <v>23600</v>
      </c>
      <c r="G8087" s="37" t="s">
        <v>20028</v>
      </c>
      <c r="H8087" s="29" t="s">
        <v>20029</v>
      </c>
      <c r="I8087" s="46" t="s">
        <v>12474</v>
      </c>
    </row>
    <row r="8088" spans="1:9" ht="34.5" customHeight="1">
      <c r="A8088" s="5"/>
      <c r="B8088" s="5" t="str">
        <f>CONCATENATE(G8088,"/",COUNTIF($G$2:G8088,G8088))</f>
        <v>AT-10226/2</v>
      </c>
      <c r="C8088" s="5" t="s">
        <v>45085</v>
      </c>
      <c r="D8088" s="246">
        <v>45411</v>
      </c>
      <c r="E8088" s="5" t="s">
        <v>45086</v>
      </c>
      <c r="F8088" s="26" t="s">
        <v>23600</v>
      </c>
      <c r="G8088" s="37" t="s">
        <v>20028</v>
      </c>
      <c r="H8088" s="29" t="s">
        <v>20029</v>
      </c>
      <c r="I8088" s="46" t="s">
        <v>12474</v>
      </c>
    </row>
    <row r="8089" spans="1:9" ht="34.5" customHeight="1">
      <c r="A8089" s="5"/>
      <c r="B8089" s="5" t="str">
        <f>CONCATENATE(G8089,"/",COUNTIF($G$2:G8089,G8089))</f>
        <v>AT-10226/3</v>
      </c>
      <c r="C8089" s="5" t="s">
        <v>45087</v>
      </c>
      <c r="D8089" s="246">
        <v>45411</v>
      </c>
      <c r="E8089" s="5" t="s">
        <v>45088</v>
      </c>
      <c r="F8089" s="26" t="s">
        <v>23600</v>
      </c>
      <c r="G8089" s="37" t="s">
        <v>20028</v>
      </c>
      <c r="H8089" s="29" t="s">
        <v>20029</v>
      </c>
      <c r="I8089" s="46" t="s">
        <v>12474</v>
      </c>
    </row>
    <row r="8090" spans="1:9" ht="34.5" customHeight="1">
      <c r="A8090" s="5"/>
      <c r="B8090" s="5" t="str">
        <f>CONCATENATE(G8090,"/",COUNTIF($G$2:G8090,G8090))</f>
        <v>AT-10226/4</v>
      </c>
      <c r="C8090" s="5" t="s">
        <v>45089</v>
      </c>
      <c r="D8090" s="246">
        <v>45411</v>
      </c>
      <c r="E8090" s="5" t="s">
        <v>45090</v>
      </c>
      <c r="F8090" s="26" t="s">
        <v>23600</v>
      </c>
      <c r="G8090" s="37" t="s">
        <v>20028</v>
      </c>
      <c r="H8090" s="29" t="s">
        <v>20029</v>
      </c>
      <c r="I8090" s="46" t="s">
        <v>12474</v>
      </c>
    </row>
    <row r="8091" spans="1:9" ht="34.5" customHeight="1">
      <c r="A8091" s="5"/>
      <c r="B8091" s="5" t="str">
        <f>CONCATENATE(G8091,"/",COUNTIF($G$2:G8091,G8091))</f>
        <v>RO-10420/1</v>
      </c>
      <c r="C8091" s="5" t="s">
        <v>45091</v>
      </c>
      <c r="D8091" s="246">
        <v>45435</v>
      </c>
      <c r="E8091" s="5" t="s">
        <v>45092</v>
      </c>
      <c r="F8091" s="26" t="s">
        <v>23600</v>
      </c>
      <c r="G8091" s="37" t="s">
        <v>21127</v>
      </c>
      <c r="H8091" s="55" t="s">
        <v>21128</v>
      </c>
      <c r="I8091" s="56" t="s">
        <v>17682</v>
      </c>
    </row>
    <row r="8092" spans="1:9" ht="34.5" customHeight="1">
      <c r="A8092" s="5"/>
      <c r="B8092" s="5" t="str">
        <f>CONCATENATE(G8092,"/",COUNTIF($G$2:G8092,G8092))</f>
        <v>RO-10420/2</v>
      </c>
      <c r="C8092" s="5" t="s">
        <v>45093</v>
      </c>
      <c r="D8092" s="246">
        <v>45435</v>
      </c>
      <c r="E8092" s="5" t="s">
        <v>45094</v>
      </c>
      <c r="F8092" s="26" t="s">
        <v>23600</v>
      </c>
      <c r="G8092" s="37" t="s">
        <v>21127</v>
      </c>
      <c r="H8092" s="55" t="s">
        <v>21128</v>
      </c>
      <c r="I8092" s="56" t="s">
        <v>17682</v>
      </c>
    </row>
    <row r="8093" spans="1:9" ht="34.5" customHeight="1">
      <c r="A8093" s="5"/>
      <c r="B8093" s="5" t="str">
        <f>CONCATENATE(G8093,"/",COUNTIF($G$2:G8093,G8093))</f>
        <v>RO-10420/3</v>
      </c>
      <c r="C8093" s="5" t="s">
        <v>45095</v>
      </c>
      <c r="D8093" s="246">
        <v>45435</v>
      </c>
      <c r="E8093" s="5" t="s">
        <v>45096</v>
      </c>
      <c r="F8093" s="26" t="s">
        <v>23600</v>
      </c>
      <c r="G8093" s="37" t="s">
        <v>21127</v>
      </c>
      <c r="H8093" s="55" t="s">
        <v>21128</v>
      </c>
      <c r="I8093" s="56" t="s">
        <v>17682</v>
      </c>
    </row>
    <row r="8094" spans="1:9" ht="32.15" customHeight="1">
      <c r="A8094" s="5"/>
      <c r="B8094" s="5" t="str">
        <f>CONCATENATE(G8094,"/",COUNTIF($G$2:G8094,G8094))</f>
        <v>CZ-10511/1</v>
      </c>
      <c r="C8094" s="5" t="s">
        <v>23621</v>
      </c>
      <c r="D8094" s="246">
        <v>45450</v>
      </c>
      <c r="E8094" s="5" t="s">
        <v>45097</v>
      </c>
      <c r="F8094" s="26" t="s">
        <v>23600</v>
      </c>
      <c r="G8094" s="37" t="s">
        <v>21758</v>
      </c>
      <c r="H8094" s="55" t="s">
        <v>21759</v>
      </c>
      <c r="I8094" s="55" t="s">
        <v>16429</v>
      </c>
    </row>
    <row r="8095" spans="1:9" ht="31.5" customHeight="1">
      <c r="A8095" s="5"/>
      <c r="B8095" s="5" t="str">
        <f>CONCATENATE(G8095,"/",COUNTIF($G$2:G8095,G8095))</f>
        <v>AT-6217/1</v>
      </c>
      <c r="C8095" s="5" t="s">
        <v>45098</v>
      </c>
      <c r="D8095" s="246">
        <v>45369</v>
      </c>
      <c r="E8095" s="5" t="s">
        <v>45099</v>
      </c>
      <c r="F8095" s="26" t="s">
        <v>23600</v>
      </c>
      <c r="G8095" s="37" t="s">
        <v>16571</v>
      </c>
      <c r="H8095" s="29" t="s">
        <v>16572</v>
      </c>
      <c r="I8095" s="30" t="s">
        <v>12474</v>
      </c>
    </row>
    <row r="8096" spans="1:9" ht="30.65" customHeight="1">
      <c r="A8096" s="5"/>
      <c r="B8096" s="5" t="str">
        <f>CONCATENATE(G8096,"/",COUNTIF($G$2:G8096,G8096))</f>
        <v>CZ-10429/1</v>
      </c>
      <c r="C8096" s="5" t="s">
        <v>23621</v>
      </c>
      <c r="D8096" s="246">
        <v>45456</v>
      </c>
      <c r="E8096" s="5" t="s">
        <v>45100</v>
      </c>
      <c r="F8096" s="26" t="s">
        <v>23600</v>
      </c>
      <c r="G8096" s="37" t="s">
        <v>21177</v>
      </c>
      <c r="H8096" s="55" t="s">
        <v>21178</v>
      </c>
      <c r="I8096" s="56" t="s">
        <v>16429</v>
      </c>
    </row>
    <row r="8097" spans="1:9" ht="32.5" customHeight="1">
      <c r="A8097" s="5"/>
      <c r="B8097" s="5" t="str">
        <f>CONCATENATE(G8097,"/",COUNTIF($G$2:G8097,G8097))</f>
        <v>HR-10428/1</v>
      </c>
      <c r="C8097" s="5" t="s">
        <v>45101</v>
      </c>
      <c r="D8097" s="246">
        <v>45453</v>
      </c>
      <c r="E8097" s="5" t="s">
        <v>45102</v>
      </c>
      <c r="F8097" s="26" t="s">
        <v>23600</v>
      </c>
      <c r="G8097" s="37" t="s">
        <v>21152</v>
      </c>
      <c r="H8097" s="55" t="s">
        <v>21153</v>
      </c>
      <c r="I8097" s="56" t="s">
        <v>9789</v>
      </c>
    </row>
    <row r="8098" spans="1:9" ht="29.15" customHeight="1">
      <c r="A8098" s="5"/>
      <c r="B8098" s="5" t="str">
        <f>CONCATENATE(G8098,"/",COUNTIF($G$2:G8098,G8098))</f>
        <v>FI-10451/1</v>
      </c>
      <c r="C8098" s="5" t="s">
        <v>45103</v>
      </c>
      <c r="D8098" s="246">
        <v>45462</v>
      </c>
      <c r="E8098" s="5" t="s">
        <v>45104</v>
      </c>
      <c r="F8098" s="26" t="s">
        <v>23600</v>
      </c>
      <c r="G8098" s="37" t="s">
        <v>21363</v>
      </c>
      <c r="H8098" s="55" t="s">
        <v>21364</v>
      </c>
      <c r="I8098" s="55" t="s">
        <v>18881</v>
      </c>
    </row>
    <row r="8099" spans="1:9" ht="29.15" customHeight="1">
      <c r="A8099" s="5"/>
      <c r="B8099" s="5" t="str">
        <f>CONCATENATE(G8099,"/",COUNTIF($G$2:G8099,G8099))</f>
        <v>FI-10451/2</v>
      </c>
      <c r="C8099" s="5" t="s">
        <v>45105</v>
      </c>
      <c r="D8099" s="246">
        <v>45462</v>
      </c>
      <c r="E8099" s="5" t="s">
        <v>45106</v>
      </c>
      <c r="F8099" s="26" t="s">
        <v>23600</v>
      </c>
      <c r="G8099" s="37" t="s">
        <v>21363</v>
      </c>
      <c r="H8099" s="55" t="s">
        <v>21364</v>
      </c>
      <c r="I8099" s="55" t="s">
        <v>18881</v>
      </c>
    </row>
    <row r="8100" spans="1:9" ht="29.15" customHeight="1">
      <c r="A8100" s="5"/>
      <c r="B8100" s="5" t="str">
        <f>CONCATENATE(G8100,"/",COUNTIF($G$2:G8100,G8100))</f>
        <v>FI-10451/3</v>
      </c>
      <c r="C8100" s="5" t="s">
        <v>45107</v>
      </c>
      <c r="D8100" s="246">
        <v>45462</v>
      </c>
      <c r="E8100" s="5" t="s">
        <v>45108</v>
      </c>
      <c r="F8100" s="26" t="s">
        <v>23600</v>
      </c>
      <c r="G8100" s="37" t="s">
        <v>21363</v>
      </c>
      <c r="H8100" s="55" t="s">
        <v>21364</v>
      </c>
      <c r="I8100" s="55" t="s">
        <v>18881</v>
      </c>
    </row>
    <row r="8101" spans="1:9" ht="29.15" customHeight="1">
      <c r="A8101" s="5"/>
      <c r="B8101" s="5" t="str">
        <f>CONCATENATE(G8101,"/",COUNTIF($G$2:G8101,G8101))</f>
        <v>FI-10451/4</v>
      </c>
      <c r="C8101" s="5" t="s">
        <v>45109</v>
      </c>
      <c r="D8101" s="246">
        <v>45462</v>
      </c>
      <c r="E8101" s="5" t="s">
        <v>45110</v>
      </c>
      <c r="F8101" s="26" t="s">
        <v>23600</v>
      </c>
      <c r="G8101" s="37" t="s">
        <v>21363</v>
      </c>
      <c r="H8101" s="55" t="s">
        <v>21364</v>
      </c>
      <c r="I8101" s="55" t="s">
        <v>18881</v>
      </c>
    </row>
    <row r="8102" spans="1:9" ht="27" customHeight="1">
      <c r="A8102" s="5"/>
      <c r="B8102" s="5" t="str">
        <f>CONCATENATE(G8102,"/",COUNTIF($G$2:G8102,G8102))</f>
        <v>BG-10472/1</v>
      </c>
      <c r="C8102" s="5" t="s">
        <v>45111</v>
      </c>
      <c r="D8102" s="246">
        <v>45468</v>
      </c>
      <c r="E8102" s="5" t="s">
        <v>45112</v>
      </c>
      <c r="F8102" s="26" t="s">
        <v>23600</v>
      </c>
      <c r="G8102" s="37" t="s">
        <v>21475</v>
      </c>
      <c r="H8102" s="55" t="s">
        <v>21476</v>
      </c>
      <c r="I8102" s="55" t="s">
        <v>17773</v>
      </c>
    </row>
    <row r="8103" spans="1:9" ht="27" customHeight="1">
      <c r="A8103" s="5"/>
      <c r="B8103" s="5" t="str">
        <f>CONCATENATE(G8103,"/",COUNTIF($G$2:G8103,G8103))</f>
        <v>BG-10472/2</v>
      </c>
      <c r="C8103" s="5" t="s">
        <v>45113</v>
      </c>
      <c r="D8103" s="246">
        <v>45468</v>
      </c>
      <c r="E8103" s="5" t="s">
        <v>45114</v>
      </c>
      <c r="F8103" s="26" t="s">
        <v>23600</v>
      </c>
      <c r="G8103" s="37" t="s">
        <v>21475</v>
      </c>
      <c r="H8103" s="55" t="s">
        <v>21476</v>
      </c>
      <c r="I8103" s="55" t="s">
        <v>17773</v>
      </c>
    </row>
    <row r="8104" spans="1:9" ht="27" customHeight="1">
      <c r="A8104" s="5"/>
      <c r="B8104" s="5" t="str">
        <f>CONCATENATE(G8104,"/",COUNTIF($G$2:G8104,G8104))</f>
        <v>BG-10472/3</v>
      </c>
      <c r="C8104" s="5" t="s">
        <v>45115</v>
      </c>
      <c r="D8104" s="246">
        <v>45468</v>
      </c>
      <c r="E8104" s="5" t="s">
        <v>45116</v>
      </c>
      <c r="F8104" s="26" t="s">
        <v>23600</v>
      </c>
      <c r="G8104" s="37" t="s">
        <v>21475</v>
      </c>
      <c r="H8104" s="55" t="s">
        <v>21476</v>
      </c>
      <c r="I8104" s="55" t="s">
        <v>17773</v>
      </c>
    </row>
    <row r="8105" spans="1:9" ht="27" customHeight="1">
      <c r="A8105" s="5"/>
      <c r="B8105" s="5" t="str">
        <f>CONCATENATE(G8105,"/",COUNTIF($G$2:G8105,G8105))</f>
        <v>BG-10472/4</v>
      </c>
      <c r="C8105" s="5" t="s">
        <v>45117</v>
      </c>
      <c r="D8105" s="246">
        <v>45468</v>
      </c>
      <c r="E8105" s="5" t="s">
        <v>45118</v>
      </c>
      <c r="F8105" s="26" t="s">
        <v>23600</v>
      </c>
      <c r="G8105" s="37" t="s">
        <v>21475</v>
      </c>
      <c r="H8105" s="55" t="s">
        <v>21476</v>
      </c>
      <c r="I8105" s="55" t="s">
        <v>17773</v>
      </c>
    </row>
    <row r="8106" spans="1:9" ht="27" customHeight="1">
      <c r="A8106" s="5"/>
      <c r="B8106" s="5" t="str">
        <f>CONCATENATE(G8106,"/",COUNTIF($G$2:G8106,G8106))</f>
        <v>BG-10472/5</v>
      </c>
      <c r="C8106" s="5" t="s">
        <v>45119</v>
      </c>
      <c r="D8106" s="246">
        <v>45468</v>
      </c>
      <c r="E8106" s="5" t="s">
        <v>45120</v>
      </c>
      <c r="F8106" s="26" t="s">
        <v>23600</v>
      </c>
      <c r="G8106" s="37" t="s">
        <v>21475</v>
      </c>
      <c r="H8106" s="55" t="s">
        <v>21476</v>
      </c>
      <c r="I8106" s="55" t="s">
        <v>17773</v>
      </c>
    </row>
    <row r="8107" spans="1:9" ht="27" customHeight="1">
      <c r="A8107" s="5"/>
      <c r="B8107" s="5" t="str">
        <f>CONCATENATE(G8107,"/",COUNTIF($G$2:G8107,G8107))</f>
        <v>BG-10472/6</v>
      </c>
      <c r="C8107" s="5" t="s">
        <v>45121</v>
      </c>
      <c r="D8107" s="246">
        <v>45468</v>
      </c>
      <c r="E8107" s="5" t="s">
        <v>45122</v>
      </c>
      <c r="F8107" s="26" t="s">
        <v>23600</v>
      </c>
      <c r="G8107" s="37" t="s">
        <v>21475</v>
      </c>
      <c r="H8107" s="55" t="s">
        <v>21476</v>
      </c>
      <c r="I8107" s="55" t="s">
        <v>17773</v>
      </c>
    </row>
    <row r="8108" spans="1:9" ht="29.15" customHeight="1">
      <c r="A8108" s="5"/>
      <c r="B8108" s="5" t="str">
        <f>CONCATENATE(G8108,"/",COUNTIF($G$2:G8108,G8108))</f>
        <v>CZ-10455/1</v>
      </c>
      <c r="C8108" s="5" t="s">
        <v>23621</v>
      </c>
      <c r="D8108" s="246">
        <v>45470</v>
      </c>
      <c r="E8108" s="5" t="s">
        <v>45123</v>
      </c>
      <c r="F8108" s="26" t="s">
        <v>23600</v>
      </c>
      <c r="G8108" s="37" t="s">
        <v>21393</v>
      </c>
      <c r="H8108" s="55" t="s">
        <v>21394</v>
      </c>
      <c r="I8108" s="55" t="s">
        <v>16429</v>
      </c>
    </row>
    <row r="8109" spans="1:9" ht="31.5" customHeight="1">
      <c r="A8109" s="5"/>
      <c r="B8109" s="5" t="str">
        <f>CONCATENATE(G8109,"/",COUNTIF($G$2:G8109,G8109))</f>
        <v>ES-10479/1</v>
      </c>
      <c r="C8109" s="5" t="s">
        <v>45124</v>
      </c>
      <c r="D8109" s="246">
        <v>45463</v>
      </c>
      <c r="E8109" s="5" t="s">
        <v>45125</v>
      </c>
      <c r="F8109" s="26" t="s">
        <v>23600</v>
      </c>
      <c r="G8109" s="37" t="s">
        <v>21095</v>
      </c>
      <c r="H8109" s="55" t="s">
        <v>21096</v>
      </c>
      <c r="I8109" s="56" t="s">
        <v>17820</v>
      </c>
    </row>
    <row r="8110" spans="1:9" ht="31.5" customHeight="1">
      <c r="A8110" s="5"/>
      <c r="B8110" s="5" t="str">
        <f>CONCATENATE(G8110,"/",COUNTIF($G$2:G8110,G8110))</f>
        <v>ES-10479/2</v>
      </c>
      <c r="C8110" s="5" t="s">
        <v>45126</v>
      </c>
      <c r="D8110" s="246">
        <v>45463</v>
      </c>
      <c r="E8110" s="5" t="s">
        <v>45127</v>
      </c>
      <c r="F8110" s="26" t="s">
        <v>23600</v>
      </c>
      <c r="G8110" s="37" t="s">
        <v>21095</v>
      </c>
      <c r="H8110" s="55" t="s">
        <v>21096</v>
      </c>
      <c r="I8110" s="56" t="s">
        <v>17820</v>
      </c>
    </row>
    <row r="8111" spans="1:9" ht="31.5" customHeight="1">
      <c r="A8111" s="5"/>
      <c r="B8111" s="5" t="str">
        <f>CONCATENATE(G8111,"/",COUNTIF($G$2:G8111,G8111))</f>
        <v>ES-10479/3</v>
      </c>
      <c r="C8111" s="5" t="s">
        <v>45128</v>
      </c>
      <c r="D8111" s="246">
        <v>45463</v>
      </c>
      <c r="E8111" s="5" t="s">
        <v>45129</v>
      </c>
      <c r="F8111" s="26" t="s">
        <v>23600</v>
      </c>
      <c r="G8111" s="37" t="s">
        <v>21095</v>
      </c>
      <c r="H8111" s="55" t="s">
        <v>21096</v>
      </c>
      <c r="I8111" s="56" t="s">
        <v>17820</v>
      </c>
    </row>
    <row r="8112" spans="1:9" ht="31.5" customHeight="1">
      <c r="A8112" s="5"/>
      <c r="B8112" s="5" t="str">
        <f>CONCATENATE(G8112,"/",COUNTIF($G$2:G8112,G8112))</f>
        <v>ES-10479/4</v>
      </c>
      <c r="C8112" s="5" t="s">
        <v>45130</v>
      </c>
      <c r="D8112" s="246">
        <v>45463</v>
      </c>
      <c r="E8112" s="5" t="s">
        <v>45131</v>
      </c>
      <c r="F8112" s="26" t="s">
        <v>23600</v>
      </c>
      <c r="G8112" s="37" t="s">
        <v>21095</v>
      </c>
      <c r="H8112" s="55" t="s">
        <v>21096</v>
      </c>
      <c r="I8112" s="56" t="s">
        <v>17820</v>
      </c>
    </row>
    <row r="8113" spans="1:9" ht="31.5" customHeight="1">
      <c r="A8113" s="5"/>
      <c r="B8113" s="5" t="str">
        <f>CONCATENATE(G8113,"/",COUNTIF($G$2:G8113,G8113))</f>
        <v>ES-10479/5</v>
      </c>
      <c r="C8113" s="5" t="s">
        <v>45132</v>
      </c>
      <c r="D8113" s="246">
        <v>45463</v>
      </c>
      <c r="E8113" s="5" t="s">
        <v>45133</v>
      </c>
      <c r="F8113" s="26" t="s">
        <v>23600</v>
      </c>
      <c r="G8113" s="37" t="s">
        <v>21095</v>
      </c>
      <c r="H8113" s="55" t="s">
        <v>21096</v>
      </c>
      <c r="I8113" s="56" t="s">
        <v>17820</v>
      </c>
    </row>
    <row r="8114" spans="1:9" ht="22" customHeight="1">
      <c r="A8114" s="5"/>
      <c r="B8114" s="5" t="str">
        <f>CONCATENATE(G8114,"/",COUNTIF($G$2:G8114,G8114))</f>
        <v>SE-10415/1</v>
      </c>
      <c r="C8114" s="5" t="s">
        <v>45134</v>
      </c>
      <c r="D8114" s="246">
        <v>45460</v>
      </c>
      <c r="E8114" s="5" t="s">
        <v>45135</v>
      </c>
      <c r="F8114" s="26" t="s">
        <v>23600</v>
      </c>
      <c r="G8114" s="37" t="s">
        <v>21108</v>
      </c>
      <c r="H8114" s="55" t="s">
        <v>21109</v>
      </c>
      <c r="I8114" s="56" t="s">
        <v>18070</v>
      </c>
    </row>
    <row r="8115" spans="1:9" ht="22" customHeight="1">
      <c r="A8115" s="5"/>
      <c r="B8115" s="5" t="str">
        <f>CONCATENATE(G8115,"/",COUNTIF($G$2:G8115,G8115))</f>
        <v>SE-10415/2</v>
      </c>
      <c r="C8115" s="5" t="s">
        <v>45136</v>
      </c>
      <c r="D8115" s="246">
        <v>45460</v>
      </c>
      <c r="E8115" s="5" t="s">
        <v>45137</v>
      </c>
      <c r="F8115" s="26" t="s">
        <v>23600</v>
      </c>
      <c r="G8115" s="37" t="s">
        <v>21108</v>
      </c>
      <c r="H8115" s="55" t="s">
        <v>21109</v>
      </c>
      <c r="I8115" s="56" t="s">
        <v>18070</v>
      </c>
    </row>
    <row r="8116" spans="1:9" ht="22" customHeight="1">
      <c r="A8116" s="5"/>
      <c r="B8116" s="5" t="str">
        <f>CONCATENATE(G8116,"/",COUNTIF($G$2:G8116,G8116))</f>
        <v>SE-10415/3</v>
      </c>
      <c r="C8116" s="5" t="s">
        <v>45136</v>
      </c>
      <c r="D8116" s="246">
        <v>45460</v>
      </c>
      <c r="E8116" s="5" t="s">
        <v>45138</v>
      </c>
      <c r="F8116" s="26" t="s">
        <v>23600</v>
      </c>
      <c r="G8116" s="37" t="s">
        <v>21108</v>
      </c>
      <c r="H8116" s="55" t="s">
        <v>21109</v>
      </c>
      <c r="I8116" s="56" t="s">
        <v>18070</v>
      </c>
    </row>
    <row r="8117" spans="1:9" ht="22" customHeight="1">
      <c r="A8117" s="5"/>
      <c r="B8117" s="5" t="str">
        <f>CONCATENATE(G8117,"/",COUNTIF($G$2:G8117,G8117))</f>
        <v>SE-10415/4</v>
      </c>
      <c r="C8117" s="5" t="s">
        <v>45139</v>
      </c>
      <c r="D8117" s="246">
        <v>45460</v>
      </c>
      <c r="E8117" s="5" t="s">
        <v>45140</v>
      </c>
      <c r="F8117" s="26" t="s">
        <v>23600</v>
      </c>
      <c r="G8117" s="37" t="s">
        <v>21108</v>
      </c>
      <c r="H8117" s="55" t="s">
        <v>21109</v>
      </c>
      <c r="I8117" s="56" t="s">
        <v>18070</v>
      </c>
    </row>
    <row r="8118" spans="1:9" ht="22" customHeight="1">
      <c r="A8118" s="5"/>
      <c r="B8118" s="5" t="str">
        <f>CONCATENATE(G8118,"/",COUNTIF($G$2:G8118,G8118))</f>
        <v>SE-10415/5</v>
      </c>
      <c r="C8118" s="5" t="s">
        <v>45139</v>
      </c>
      <c r="D8118" s="246">
        <v>45460</v>
      </c>
      <c r="E8118" s="5" t="s">
        <v>45141</v>
      </c>
      <c r="F8118" s="26" t="s">
        <v>23600</v>
      </c>
      <c r="G8118" s="37" t="s">
        <v>21108</v>
      </c>
      <c r="H8118" s="55" t="s">
        <v>21109</v>
      </c>
      <c r="I8118" s="56" t="s">
        <v>18070</v>
      </c>
    </row>
    <row r="8119" spans="1:9" ht="22" customHeight="1">
      <c r="A8119" s="5"/>
      <c r="B8119" s="5" t="str">
        <f>CONCATENATE(G8119,"/",COUNTIF($G$2:G8119,G8119))</f>
        <v>SE-10415/6</v>
      </c>
      <c r="C8119" s="5" t="s">
        <v>45139</v>
      </c>
      <c r="D8119" s="246">
        <v>45460</v>
      </c>
      <c r="E8119" s="5" t="s">
        <v>45142</v>
      </c>
      <c r="F8119" s="26" t="s">
        <v>23600</v>
      </c>
      <c r="G8119" s="37" t="s">
        <v>21108</v>
      </c>
      <c r="H8119" s="55" t="s">
        <v>21109</v>
      </c>
      <c r="I8119" s="56" t="s">
        <v>18070</v>
      </c>
    </row>
    <row r="8120" spans="1:9" ht="32.5" customHeight="1">
      <c r="A8120" s="5"/>
      <c r="B8120" s="5" t="str">
        <f>CONCATENATE(G8120,"/",COUNTIF($G$2:G8120,G8120))</f>
        <v>DE-10206/1</v>
      </c>
      <c r="C8120" s="5" t="s">
        <v>45143</v>
      </c>
      <c r="D8120" s="246">
        <v>45434</v>
      </c>
      <c r="E8120" s="5" t="s">
        <v>45144</v>
      </c>
      <c r="F8120" s="26" t="s">
        <v>25439</v>
      </c>
      <c r="G8120" s="37" t="s">
        <v>19834</v>
      </c>
      <c r="H8120" s="38" t="s">
        <v>19835</v>
      </c>
      <c r="I8120" s="46" t="s">
        <v>6455</v>
      </c>
    </row>
    <row r="8121" spans="1:9" ht="31.5" customHeight="1">
      <c r="A8121" s="5"/>
      <c r="B8121" s="5" t="str">
        <f>CONCATENATE(G8121,"/",COUNTIF($G$2:G8121,G8121))</f>
        <v>CZ-10194/1</v>
      </c>
      <c r="C8121" s="5" t="s">
        <v>23621</v>
      </c>
      <c r="D8121" s="246">
        <v>45484</v>
      </c>
      <c r="E8121" s="5" t="s">
        <v>45145</v>
      </c>
      <c r="F8121" s="26" t="s">
        <v>23600</v>
      </c>
      <c r="G8121" s="37" t="s">
        <v>19814</v>
      </c>
      <c r="H8121" s="38" t="s">
        <v>19815</v>
      </c>
      <c r="I8121" s="53" t="s">
        <v>16429</v>
      </c>
    </row>
    <row r="8122" spans="1:9" ht="33" customHeight="1">
      <c r="A8122" s="5"/>
      <c r="B8122" s="5" t="str">
        <f>CONCATENATE(G8122,"/",COUNTIF($G$2:G8122,G8122))</f>
        <v>HR-10410/1</v>
      </c>
      <c r="C8122" s="5" t="s">
        <v>45146</v>
      </c>
      <c r="D8122" s="246">
        <v>45499</v>
      </c>
      <c r="E8122" s="5" t="s">
        <v>45147</v>
      </c>
      <c r="F8122" s="26" t="s">
        <v>23600</v>
      </c>
      <c r="G8122" s="37" t="s">
        <v>21063</v>
      </c>
      <c r="H8122" s="55" t="s">
        <v>21064</v>
      </c>
      <c r="I8122" s="56" t="s">
        <v>9789</v>
      </c>
    </row>
    <row r="8123" spans="1:9" ht="34.5" customHeight="1">
      <c r="A8123" s="5"/>
      <c r="B8123" s="5" t="str">
        <f>CONCATENATE(G8123,"/",COUNTIF($G$2:G8123,G8123))</f>
        <v>CZ-10434/1</v>
      </c>
      <c r="C8123" s="5">
        <v>1</v>
      </c>
      <c r="D8123" s="246">
        <v>45506</v>
      </c>
      <c r="E8123" s="5" t="s">
        <v>45148</v>
      </c>
      <c r="F8123" s="26" t="s">
        <v>23600</v>
      </c>
      <c r="G8123" s="37" t="s">
        <v>21226</v>
      </c>
      <c r="H8123" s="55" t="s">
        <v>21227</v>
      </c>
      <c r="I8123" s="56" t="s">
        <v>16429</v>
      </c>
    </row>
    <row r="8124" spans="1:9" ht="31.5" customHeight="1">
      <c r="A8124" s="5"/>
      <c r="B8124" s="5" t="str">
        <f>CONCATENATE(G8124,"/",COUNTIF($G$2:G8124,G8124))</f>
        <v>RO-10432/1</v>
      </c>
      <c r="C8124" s="5" t="s">
        <v>45149</v>
      </c>
      <c r="D8124" s="246">
        <v>45504</v>
      </c>
      <c r="E8124" s="5" t="s">
        <v>45150</v>
      </c>
      <c r="F8124" s="26" t="s">
        <v>23600</v>
      </c>
      <c r="G8124" s="37" t="s">
        <v>21219</v>
      </c>
      <c r="H8124" s="55" t="s">
        <v>21220</v>
      </c>
      <c r="I8124" s="56" t="s">
        <v>17682</v>
      </c>
    </row>
    <row r="8125" spans="1:9" ht="31.5" customHeight="1">
      <c r="A8125" s="5"/>
      <c r="B8125" s="5" t="str">
        <f>CONCATENATE(G8125,"/",COUNTIF($G$2:G8125,G8125))</f>
        <v>RO-10432/2</v>
      </c>
      <c r="C8125" s="5" t="s">
        <v>45151</v>
      </c>
      <c r="D8125" s="246">
        <v>45504</v>
      </c>
      <c r="E8125" s="5" t="s">
        <v>45152</v>
      </c>
      <c r="F8125" s="26" t="s">
        <v>23600</v>
      </c>
      <c r="G8125" s="37" t="s">
        <v>21219</v>
      </c>
      <c r="H8125" s="55" t="s">
        <v>21220</v>
      </c>
      <c r="I8125" s="56" t="s">
        <v>17682</v>
      </c>
    </row>
    <row r="8126" spans="1:9" ht="31" customHeight="1">
      <c r="A8126" s="5"/>
      <c r="B8126" s="5" t="str">
        <f>CONCATENATE(G8126,"/",COUNTIF($G$2:G8126,G8126))</f>
        <v>RO-10438/1</v>
      </c>
      <c r="C8126" s="5" t="s">
        <v>45153</v>
      </c>
      <c r="D8126" s="246">
        <v>45512</v>
      </c>
      <c r="E8126" s="5" t="s">
        <v>45154</v>
      </c>
      <c r="F8126" s="26" t="s">
        <v>23600</v>
      </c>
      <c r="G8126" s="37" t="s">
        <v>21246</v>
      </c>
      <c r="H8126" s="55" t="s">
        <v>21247</v>
      </c>
      <c r="I8126" s="56" t="s">
        <v>17682</v>
      </c>
    </row>
    <row r="8127" spans="1:9" ht="31" customHeight="1">
      <c r="A8127" s="5"/>
      <c r="B8127" s="5" t="str">
        <f>CONCATENATE(G8127,"/",COUNTIF($G$2:G8127,G8127))</f>
        <v>RO-10438/2</v>
      </c>
      <c r="C8127" s="5" t="s">
        <v>45155</v>
      </c>
      <c r="D8127" s="246">
        <v>45512</v>
      </c>
      <c r="E8127" s="5" t="s">
        <v>45156</v>
      </c>
      <c r="F8127" s="26" t="s">
        <v>23600</v>
      </c>
      <c r="G8127" s="37" t="s">
        <v>21246</v>
      </c>
      <c r="H8127" s="55" t="s">
        <v>21247</v>
      </c>
      <c r="I8127" s="56" t="s">
        <v>17682</v>
      </c>
    </row>
    <row r="8128" spans="1:9" ht="34" customHeight="1">
      <c r="A8128" s="5"/>
      <c r="B8128" s="5" t="str">
        <f>CONCATENATE(G8128,"/",COUNTIF($G$2:G8128,G8128))</f>
        <v>DK-10465/1</v>
      </c>
      <c r="C8128" s="5" t="s">
        <v>45157</v>
      </c>
      <c r="D8128" s="246">
        <v>45517</v>
      </c>
      <c r="E8128" s="5" t="s">
        <v>45158</v>
      </c>
      <c r="F8128" s="26" t="s">
        <v>23600</v>
      </c>
      <c r="G8128" s="37" t="s">
        <v>21271</v>
      </c>
      <c r="H8128" s="55" t="s">
        <v>21272</v>
      </c>
      <c r="I8128" s="56" t="s">
        <v>12910</v>
      </c>
    </row>
    <row r="8129" spans="1:9" ht="29.5" customHeight="1">
      <c r="A8129" s="5"/>
      <c r="B8129" s="5" t="str">
        <f>CONCATENATE(G8129,"/",COUNTIF($G$2:G8129,G8129))</f>
        <v>BE-10439/1</v>
      </c>
      <c r="C8129" s="5" t="s">
        <v>44738</v>
      </c>
      <c r="D8129" s="246">
        <v>45492</v>
      </c>
      <c r="E8129" s="5" t="s">
        <v>45159</v>
      </c>
      <c r="F8129" s="26" t="s">
        <v>23600</v>
      </c>
      <c r="G8129" s="37" t="s">
        <v>21183</v>
      </c>
      <c r="H8129" s="55" t="s">
        <v>21184</v>
      </c>
      <c r="I8129" s="56" t="s">
        <v>14753</v>
      </c>
    </row>
    <row r="8130" spans="1:9" ht="29.5" customHeight="1">
      <c r="A8130" s="5"/>
      <c r="B8130" s="5" t="str">
        <f>CONCATENATE(G8130,"/",COUNTIF($G$2:G8130,G8130))</f>
        <v>BE-10439/2</v>
      </c>
      <c r="C8130" s="5" t="s">
        <v>45160</v>
      </c>
      <c r="D8130" s="246">
        <v>45492</v>
      </c>
      <c r="E8130" s="5" t="s">
        <v>45161</v>
      </c>
      <c r="F8130" s="26" t="s">
        <v>23600</v>
      </c>
      <c r="G8130" s="37" t="s">
        <v>21183</v>
      </c>
      <c r="H8130" s="55" t="s">
        <v>21184</v>
      </c>
      <c r="I8130" s="56" t="s">
        <v>14753</v>
      </c>
    </row>
    <row r="8131" spans="1:9" ht="29.5" customHeight="1">
      <c r="A8131" s="5"/>
      <c r="B8131" s="5" t="str">
        <f>CONCATENATE(G8131,"/",COUNTIF($G$2:G8131,G8131))</f>
        <v>BE-10439/3</v>
      </c>
      <c r="C8131" s="5" t="s">
        <v>45162</v>
      </c>
      <c r="D8131" s="246">
        <v>45492</v>
      </c>
      <c r="E8131" s="5" t="s">
        <v>45163</v>
      </c>
      <c r="F8131" s="26" t="s">
        <v>23600</v>
      </c>
      <c r="G8131" s="37" t="s">
        <v>21183</v>
      </c>
      <c r="H8131" s="55" t="s">
        <v>21184</v>
      </c>
      <c r="I8131" s="56" t="s">
        <v>14753</v>
      </c>
    </row>
    <row r="8132" spans="1:9" ht="31" customHeight="1">
      <c r="A8132" s="5"/>
      <c r="B8132" s="5" t="str">
        <f>CONCATENATE(G8132,"/",COUNTIF($G$2:G8132,G8132))</f>
        <v>IT-10351/1</v>
      </c>
      <c r="C8132" s="5" t="s">
        <v>45164</v>
      </c>
      <c r="D8132" s="246">
        <v>45510</v>
      </c>
      <c r="E8132" s="5" t="s">
        <v>45165</v>
      </c>
      <c r="F8132" s="26" t="s">
        <v>23600</v>
      </c>
      <c r="G8132" s="37" t="s">
        <v>20702</v>
      </c>
      <c r="H8132" s="55" t="s">
        <v>20703</v>
      </c>
      <c r="I8132" s="56" t="s">
        <v>18131</v>
      </c>
    </row>
    <row r="8133" spans="1:9" ht="31" customHeight="1">
      <c r="A8133" s="5"/>
      <c r="B8133" s="5" t="str">
        <f>CONCATENATE(G8133,"/",COUNTIF($G$2:G8133,G8133))</f>
        <v>IT-10351/2</v>
      </c>
      <c r="C8133" s="5" t="s">
        <v>45166</v>
      </c>
      <c r="D8133" s="246">
        <v>45510</v>
      </c>
      <c r="E8133" s="5" t="s">
        <v>45167</v>
      </c>
      <c r="F8133" s="26" t="s">
        <v>23600</v>
      </c>
      <c r="G8133" s="37" t="s">
        <v>20702</v>
      </c>
      <c r="H8133" s="55" t="s">
        <v>20703</v>
      </c>
      <c r="I8133" s="56" t="s">
        <v>18131</v>
      </c>
    </row>
    <row r="8134" spans="1:9" ht="31" customHeight="1">
      <c r="A8134" s="5"/>
      <c r="B8134" s="5" t="str">
        <f>CONCATENATE(G8134,"/",COUNTIF($G$2:G8134,G8134))</f>
        <v>IT-10351/3</v>
      </c>
      <c r="C8134" s="5" t="s">
        <v>45168</v>
      </c>
      <c r="D8134" s="246">
        <v>45510</v>
      </c>
      <c r="E8134" s="5" t="s">
        <v>45169</v>
      </c>
      <c r="F8134" s="26" t="s">
        <v>23600</v>
      </c>
      <c r="G8134" s="37" t="s">
        <v>20702</v>
      </c>
      <c r="H8134" s="55" t="s">
        <v>20703</v>
      </c>
      <c r="I8134" s="56" t="s">
        <v>18131</v>
      </c>
    </row>
    <row r="8135" spans="1:9" ht="35.15" customHeight="1">
      <c r="A8135" s="5"/>
      <c r="B8135" s="5" t="str">
        <f>CONCATENATE(G8135,"/",COUNTIF($G$2:G8135,G8135))</f>
        <v>RO-10445/1</v>
      </c>
      <c r="C8135" s="5" t="s">
        <v>45170</v>
      </c>
      <c r="D8135" s="246">
        <v>45524</v>
      </c>
      <c r="E8135" s="5" t="s">
        <v>45171</v>
      </c>
      <c r="F8135" s="26" t="s">
        <v>23600</v>
      </c>
      <c r="G8135" s="37" t="s">
        <v>21278</v>
      </c>
      <c r="H8135" s="55" t="s">
        <v>21279</v>
      </c>
      <c r="I8135" s="56" t="s">
        <v>17682</v>
      </c>
    </row>
    <row r="8136" spans="1:9" ht="35.15" customHeight="1">
      <c r="A8136" s="5"/>
      <c r="B8136" s="5" t="str">
        <f>CONCATENATE(G8136,"/",COUNTIF($G$2:G8136,G8136))</f>
        <v>RO-10445/2</v>
      </c>
      <c r="C8136" s="5" t="s">
        <v>45172</v>
      </c>
      <c r="D8136" s="246">
        <v>45524</v>
      </c>
      <c r="E8136" s="5" t="s">
        <v>45173</v>
      </c>
      <c r="F8136" s="26" t="s">
        <v>23600</v>
      </c>
      <c r="G8136" s="37" t="s">
        <v>21278</v>
      </c>
      <c r="H8136" s="55" t="s">
        <v>21279</v>
      </c>
      <c r="I8136" s="56" t="s">
        <v>17682</v>
      </c>
    </row>
    <row r="8137" spans="1:9" ht="24" customHeight="1">
      <c r="A8137" s="5"/>
      <c r="B8137" s="5" t="str">
        <f>CONCATENATE(G8137,"/",COUNTIF($G$2:G8137,G8137))</f>
        <v>DK-10467/1</v>
      </c>
      <c r="C8137" s="5" t="s">
        <v>45174</v>
      </c>
      <c r="D8137" s="246">
        <v>45540</v>
      </c>
      <c r="E8137" s="5" t="s">
        <v>45175</v>
      </c>
      <c r="F8137" s="26" t="s">
        <v>23600</v>
      </c>
      <c r="G8137" s="37" t="s">
        <v>21311</v>
      </c>
      <c r="H8137" s="55" t="s">
        <v>21312</v>
      </c>
      <c r="I8137" s="56" t="s">
        <v>12910</v>
      </c>
    </row>
    <row r="8138" spans="1:9" ht="24" customHeight="1">
      <c r="A8138" s="5"/>
      <c r="B8138" s="5" t="str">
        <f>CONCATENATE(G8138,"/",COUNTIF($G$2:G8138,G8138))</f>
        <v>DK-10467/2</v>
      </c>
      <c r="C8138" s="5" t="s">
        <v>45176</v>
      </c>
      <c r="D8138" s="246">
        <v>45540</v>
      </c>
      <c r="E8138" s="5" t="s">
        <v>45177</v>
      </c>
      <c r="F8138" s="26" t="s">
        <v>23600</v>
      </c>
      <c r="G8138" s="37" t="s">
        <v>21311</v>
      </c>
      <c r="H8138" s="55" t="s">
        <v>21312</v>
      </c>
      <c r="I8138" s="56" t="s">
        <v>12910</v>
      </c>
    </row>
    <row r="8139" spans="1:9" ht="31.5" customHeight="1">
      <c r="A8139" s="5"/>
      <c r="B8139" s="5" t="str">
        <f>CONCATENATE(G8139,"/",COUNTIF($G$2:G8139,G8139))</f>
        <v>PL-10444/1</v>
      </c>
      <c r="C8139" s="5" t="s">
        <v>45178</v>
      </c>
      <c r="D8139" s="246">
        <v>45505</v>
      </c>
      <c r="E8139" s="5" t="s">
        <v>45179</v>
      </c>
      <c r="F8139" s="26" t="s">
        <v>23600</v>
      </c>
      <c r="G8139" s="37" t="s">
        <v>21285</v>
      </c>
      <c r="H8139" s="55" t="s">
        <v>21286</v>
      </c>
      <c r="I8139" s="56" t="s">
        <v>17057</v>
      </c>
    </row>
    <row r="8140" spans="1:9" ht="31.5" customHeight="1">
      <c r="A8140" s="5"/>
      <c r="B8140" s="5" t="str">
        <f>CONCATENATE(G8140,"/",COUNTIF($G$2:G8140,G8140))</f>
        <v>PL-10444/2</v>
      </c>
      <c r="C8140" s="5" t="s">
        <v>45180</v>
      </c>
      <c r="D8140" s="246">
        <v>45505</v>
      </c>
      <c r="E8140" s="5" t="s">
        <v>45181</v>
      </c>
      <c r="F8140" s="26" t="s">
        <v>23600</v>
      </c>
      <c r="G8140" s="37" t="s">
        <v>21285</v>
      </c>
      <c r="H8140" s="55" t="s">
        <v>21286</v>
      </c>
      <c r="I8140" s="56" t="s">
        <v>17057</v>
      </c>
    </row>
    <row r="8141" spans="1:9" ht="31.5" customHeight="1">
      <c r="A8141" s="5"/>
      <c r="B8141" s="5" t="str">
        <f>CONCATENATE(G8141,"/",COUNTIF($G$2:G8141,G8141))</f>
        <v>PL-10444/3</v>
      </c>
      <c r="C8141" s="5" t="s">
        <v>45182</v>
      </c>
      <c r="D8141" s="246">
        <v>45505</v>
      </c>
      <c r="E8141" s="5" t="s">
        <v>45183</v>
      </c>
      <c r="F8141" s="26" t="s">
        <v>23600</v>
      </c>
      <c r="G8141" s="37" t="s">
        <v>21285</v>
      </c>
      <c r="H8141" s="55" t="s">
        <v>21286</v>
      </c>
      <c r="I8141" s="56" t="s">
        <v>17057</v>
      </c>
    </row>
    <row r="8142" spans="1:9" ht="31.5" customHeight="1">
      <c r="A8142" s="5"/>
      <c r="B8142" s="5" t="str">
        <f>CONCATENATE(G8142,"/",COUNTIF($G$2:G8142,G8142))</f>
        <v>PL-10444/4</v>
      </c>
      <c r="C8142" s="5" t="s">
        <v>45184</v>
      </c>
      <c r="D8142" s="246">
        <v>45505</v>
      </c>
      <c r="E8142" s="5" t="s">
        <v>45185</v>
      </c>
      <c r="F8142" s="26" t="s">
        <v>23600</v>
      </c>
      <c r="G8142" s="37" t="s">
        <v>21285</v>
      </c>
      <c r="H8142" s="55" t="s">
        <v>21286</v>
      </c>
      <c r="I8142" s="56" t="s">
        <v>17057</v>
      </c>
    </row>
    <row r="8143" spans="1:9" ht="31.5" customHeight="1">
      <c r="A8143" s="5"/>
      <c r="B8143" s="5" t="str">
        <f>CONCATENATE(G8143,"/",COUNTIF($G$2:G8143,G8143))</f>
        <v>PL-10444/5</v>
      </c>
      <c r="C8143" s="5" t="s">
        <v>42083</v>
      </c>
      <c r="D8143" s="246">
        <v>45505</v>
      </c>
      <c r="E8143" s="5" t="s">
        <v>45186</v>
      </c>
      <c r="F8143" s="26" t="s">
        <v>23600</v>
      </c>
      <c r="G8143" s="37" t="s">
        <v>21285</v>
      </c>
      <c r="H8143" s="55" t="s">
        <v>21286</v>
      </c>
      <c r="I8143" s="56" t="s">
        <v>17057</v>
      </c>
    </row>
    <row r="8144" spans="1:9" ht="25" customHeight="1">
      <c r="A8144" s="5"/>
      <c r="B8144" s="5" t="str">
        <f>CONCATENATE(G8144,"/",COUNTIF($G$2:G8144,G8144))</f>
        <v>PL-10422/1</v>
      </c>
      <c r="C8144" s="5" t="s">
        <v>45187</v>
      </c>
      <c r="D8144" s="246">
        <v>45483</v>
      </c>
      <c r="E8144" s="5" t="s">
        <v>45188</v>
      </c>
      <c r="F8144" s="26" t="s">
        <v>23600</v>
      </c>
      <c r="G8144" s="37" t="s">
        <v>19986</v>
      </c>
      <c r="H8144" s="60" t="s">
        <v>19987</v>
      </c>
      <c r="I8144" s="61" t="s">
        <v>17057</v>
      </c>
    </row>
    <row r="8145" spans="1:9" ht="25" customHeight="1">
      <c r="A8145" s="5"/>
      <c r="B8145" s="5" t="str">
        <f>CONCATENATE(G8145,"/",COUNTIF($G$2:G8145,G8145))</f>
        <v>PL-10422/2</v>
      </c>
      <c r="C8145" s="5" t="s">
        <v>45189</v>
      </c>
      <c r="D8145" s="246">
        <v>45483</v>
      </c>
      <c r="E8145" s="5" t="s">
        <v>45190</v>
      </c>
      <c r="F8145" s="26" t="s">
        <v>23600</v>
      </c>
      <c r="G8145" s="37" t="s">
        <v>19986</v>
      </c>
      <c r="H8145" s="60" t="s">
        <v>19987</v>
      </c>
      <c r="I8145" s="61" t="s">
        <v>17057</v>
      </c>
    </row>
    <row r="8146" spans="1:9" ht="25" customHeight="1">
      <c r="A8146" s="5"/>
      <c r="B8146" s="5" t="str">
        <f>CONCATENATE(G8146,"/",COUNTIF($G$2:G8146,G8146))</f>
        <v>PL-10422/3</v>
      </c>
      <c r="C8146" s="5" t="s">
        <v>45191</v>
      </c>
      <c r="D8146" s="246">
        <v>45483</v>
      </c>
      <c r="E8146" s="5" t="s">
        <v>45192</v>
      </c>
      <c r="F8146" s="26" t="s">
        <v>23600</v>
      </c>
      <c r="G8146" s="37" t="s">
        <v>19986</v>
      </c>
      <c r="H8146" s="60" t="s">
        <v>19987</v>
      </c>
      <c r="I8146" s="61" t="s">
        <v>17057</v>
      </c>
    </row>
    <row r="8147" spans="1:9" ht="25" customHeight="1">
      <c r="A8147" s="5"/>
      <c r="B8147" s="5" t="str">
        <f>CONCATENATE(G8147,"/",COUNTIF($G$2:G8147,G8147))</f>
        <v>PL-10422/4</v>
      </c>
      <c r="C8147" s="5" t="s">
        <v>45193</v>
      </c>
      <c r="D8147" s="246">
        <v>45483</v>
      </c>
      <c r="E8147" s="5" t="s">
        <v>45194</v>
      </c>
      <c r="F8147" s="26" t="s">
        <v>23600</v>
      </c>
      <c r="G8147" s="37" t="s">
        <v>19986</v>
      </c>
      <c r="H8147" s="60" t="s">
        <v>19987</v>
      </c>
      <c r="I8147" s="61" t="s">
        <v>17057</v>
      </c>
    </row>
    <row r="8148" spans="1:9" ht="25" customHeight="1">
      <c r="A8148" s="5"/>
      <c r="B8148" s="5" t="str">
        <f>CONCATENATE(G8148,"/",COUNTIF($G$2:G8148,G8148))</f>
        <v>PL-10422/5</v>
      </c>
      <c r="C8148" s="5" t="s">
        <v>45195</v>
      </c>
      <c r="D8148" s="246">
        <v>45483</v>
      </c>
      <c r="E8148" s="5" t="s">
        <v>45196</v>
      </c>
      <c r="F8148" s="26" t="s">
        <v>23600</v>
      </c>
      <c r="G8148" s="37" t="s">
        <v>19986</v>
      </c>
      <c r="H8148" s="60" t="s">
        <v>19987</v>
      </c>
      <c r="I8148" s="61" t="s">
        <v>17057</v>
      </c>
    </row>
    <row r="8149" spans="1:9" ht="25" customHeight="1">
      <c r="A8149" s="5"/>
      <c r="B8149" s="5" t="str">
        <f>CONCATENATE(G8149,"/",COUNTIF($G$2:G8149,G8149))</f>
        <v>PL-10422/6</v>
      </c>
      <c r="C8149" s="5" t="s">
        <v>45197</v>
      </c>
      <c r="D8149" s="246">
        <v>45483</v>
      </c>
      <c r="E8149" s="5" t="s">
        <v>45198</v>
      </c>
      <c r="F8149" s="26" t="s">
        <v>23600</v>
      </c>
      <c r="G8149" s="37" t="s">
        <v>19986</v>
      </c>
      <c r="H8149" s="60" t="s">
        <v>19987</v>
      </c>
      <c r="I8149" s="61" t="s">
        <v>17057</v>
      </c>
    </row>
    <row r="8150" spans="1:9" ht="25" customHeight="1">
      <c r="A8150" s="5"/>
      <c r="B8150" s="5" t="str">
        <f>CONCATENATE(G8150,"/",COUNTIF($G$2:G8150,G8150))</f>
        <v>PL-10422/7</v>
      </c>
      <c r="C8150" s="5" t="s">
        <v>45199</v>
      </c>
      <c r="D8150" s="246">
        <v>45483</v>
      </c>
      <c r="E8150" s="5" t="s">
        <v>45200</v>
      </c>
      <c r="F8150" s="26" t="s">
        <v>23600</v>
      </c>
      <c r="G8150" s="37" t="s">
        <v>19986</v>
      </c>
      <c r="H8150" s="60" t="s">
        <v>19987</v>
      </c>
      <c r="I8150" s="61" t="s">
        <v>17057</v>
      </c>
    </row>
    <row r="8151" spans="1:9" ht="25" customHeight="1">
      <c r="A8151" s="5"/>
      <c r="B8151" s="5" t="str">
        <f>CONCATENATE(G8151,"/",COUNTIF($G$2:G8151,G8151))</f>
        <v>PL-10422/8</v>
      </c>
      <c r="C8151" s="5" t="s">
        <v>45201</v>
      </c>
      <c r="D8151" s="246">
        <v>45483</v>
      </c>
      <c r="E8151" s="5" t="s">
        <v>45202</v>
      </c>
      <c r="F8151" s="26" t="s">
        <v>23600</v>
      </c>
      <c r="G8151" s="37" t="s">
        <v>19986</v>
      </c>
      <c r="H8151" s="60" t="s">
        <v>19987</v>
      </c>
      <c r="I8151" s="61" t="s">
        <v>17057</v>
      </c>
    </row>
    <row r="8152" spans="1:9" ht="25" customHeight="1">
      <c r="A8152" s="5"/>
      <c r="B8152" s="5" t="str">
        <f>CONCATENATE(G8152,"/",COUNTIF($G$2:G8152,G8152))</f>
        <v>PL-10422/9</v>
      </c>
      <c r="C8152" s="5" t="s">
        <v>45203</v>
      </c>
      <c r="D8152" s="246">
        <v>45483</v>
      </c>
      <c r="E8152" s="5" t="s">
        <v>45204</v>
      </c>
      <c r="F8152" s="26" t="s">
        <v>23600</v>
      </c>
      <c r="G8152" s="37" t="s">
        <v>19986</v>
      </c>
      <c r="H8152" s="60" t="s">
        <v>19987</v>
      </c>
      <c r="I8152" s="61" t="s">
        <v>17057</v>
      </c>
    </row>
    <row r="8153" spans="1:9" ht="37.5" customHeight="1">
      <c r="A8153" s="5"/>
      <c r="B8153" s="5" t="str">
        <f>CONCATENATE(G8153,"/",COUNTIF($G$2:G8153,G8153))</f>
        <v>CZ-10376/1</v>
      </c>
      <c r="C8153" s="5" t="s">
        <v>23621</v>
      </c>
      <c r="D8153" s="246">
        <v>45544</v>
      </c>
      <c r="E8153" s="5" t="s">
        <v>45205</v>
      </c>
      <c r="F8153" s="26" t="s">
        <v>23600</v>
      </c>
      <c r="G8153" s="37" t="s">
        <v>20864</v>
      </c>
      <c r="H8153" s="55" t="s">
        <v>20865</v>
      </c>
      <c r="I8153" s="56" t="s">
        <v>16429</v>
      </c>
    </row>
    <row r="8154" spans="1:9" ht="37.5" customHeight="1">
      <c r="A8154" s="5"/>
      <c r="B8154" s="5" t="str">
        <f>CONCATENATE(G8154,"/",COUNTIF($G$2:G8154,G8154))</f>
        <v>CZ-10376/2</v>
      </c>
      <c r="C8154" s="5" t="s">
        <v>23625</v>
      </c>
      <c r="D8154" s="246">
        <v>45544</v>
      </c>
      <c r="E8154" s="5" t="s">
        <v>45206</v>
      </c>
      <c r="F8154" s="26" t="s">
        <v>23600</v>
      </c>
      <c r="G8154" s="37" t="s">
        <v>20864</v>
      </c>
      <c r="H8154" s="55" t="s">
        <v>20865</v>
      </c>
      <c r="I8154" s="56" t="s">
        <v>16429</v>
      </c>
    </row>
    <row r="8155" spans="1:9" ht="46" customHeight="1">
      <c r="A8155" s="5"/>
      <c r="B8155" s="5" t="str">
        <f>CONCATENATE(G8155,"/",COUNTIF($G$2:G8155,G8155))</f>
        <v>CZ-10190/1</v>
      </c>
      <c r="C8155" s="5">
        <v>1</v>
      </c>
      <c r="D8155" s="246">
        <v>45541</v>
      </c>
      <c r="E8155" s="5" t="s">
        <v>45207</v>
      </c>
      <c r="F8155" s="26" t="s">
        <v>23600</v>
      </c>
      <c r="G8155" s="37" t="s">
        <v>19792</v>
      </c>
      <c r="H8155" s="38" t="s">
        <v>19793</v>
      </c>
      <c r="I8155" s="46" t="s">
        <v>16429</v>
      </c>
    </row>
    <row r="8156" spans="1:9" ht="32.5" customHeight="1">
      <c r="A8156" s="5"/>
      <c r="B8156" s="5" t="str">
        <f>CONCATENATE(G8156,"/",COUNTIF($G$2:G8156,G8156))</f>
        <v>CZ-10461/1</v>
      </c>
      <c r="C8156" s="5" t="s">
        <v>23621</v>
      </c>
      <c r="D8156" s="246">
        <v>45547</v>
      </c>
      <c r="E8156" s="5" t="s">
        <v>45208</v>
      </c>
      <c r="F8156" s="26" t="s">
        <v>23600</v>
      </c>
      <c r="G8156" s="37" t="s">
        <v>21432</v>
      </c>
      <c r="H8156" s="55" t="s">
        <v>21433</v>
      </c>
      <c r="I8156" s="55" t="s">
        <v>16429</v>
      </c>
    </row>
    <row r="8157" spans="1:9" ht="33" customHeight="1">
      <c r="A8157" s="5"/>
      <c r="B8157" s="5" t="str">
        <f>CONCATENATE(G8157,"/",COUNTIF($G$2:G8157,G8157))</f>
        <v>BG-10523/1</v>
      </c>
      <c r="C8157" s="5" t="s">
        <v>45209</v>
      </c>
      <c r="D8157" s="246">
        <v>45545</v>
      </c>
      <c r="E8157" s="5" t="s">
        <v>45210</v>
      </c>
      <c r="F8157" s="26" t="s">
        <v>23600</v>
      </c>
      <c r="G8157" s="37" t="s">
        <v>21773</v>
      </c>
      <c r="H8157" s="55" t="s">
        <v>21774</v>
      </c>
      <c r="I8157" s="55" t="s">
        <v>17773</v>
      </c>
    </row>
    <row r="8158" spans="1:9" ht="33" customHeight="1">
      <c r="A8158" s="5"/>
      <c r="B8158" s="5" t="str">
        <f>CONCATENATE(G8158,"/",COUNTIF($G$2:G8158,G8158))</f>
        <v>BG-10523/2</v>
      </c>
      <c r="C8158" s="5" t="s">
        <v>45211</v>
      </c>
      <c r="D8158" s="246">
        <v>45545</v>
      </c>
      <c r="E8158" s="5" t="s">
        <v>45212</v>
      </c>
      <c r="F8158" s="26" t="s">
        <v>23600</v>
      </c>
      <c r="G8158" s="37" t="s">
        <v>21773</v>
      </c>
      <c r="H8158" s="55" t="s">
        <v>21774</v>
      </c>
      <c r="I8158" s="55" t="s">
        <v>17773</v>
      </c>
    </row>
    <row r="8159" spans="1:9" ht="33" customHeight="1">
      <c r="A8159" s="5"/>
      <c r="B8159" s="5" t="str">
        <f>CONCATENATE(G8159,"/",COUNTIF($G$2:G8159,G8159))</f>
        <v>BG-10523/3</v>
      </c>
      <c r="C8159" s="5" t="s">
        <v>45213</v>
      </c>
      <c r="D8159" s="246">
        <v>45545</v>
      </c>
      <c r="E8159" s="5" t="s">
        <v>45214</v>
      </c>
      <c r="F8159" s="26" t="s">
        <v>23600</v>
      </c>
      <c r="G8159" s="37" t="s">
        <v>21773</v>
      </c>
      <c r="H8159" s="55" t="s">
        <v>21774</v>
      </c>
      <c r="I8159" s="55" t="s">
        <v>17773</v>
      </c>
    </row>
    <row r="8160" spans="1:9" ht="33" customHeight="1">
      <c r="A8160" s="5"/>
      <c r="B8160" s="5" t="str">
        <f>CONCATENATE(G8160,"/",COUNTIF($G$2:G8160,G8160))</f>
        <v>BG-10523/4</v>
      </c>
      <c r="C8160" s="5" t="s">
        <v>45215</v>
      </c>
      <c r="D8160" s="246">
        <v>45545</v>
      </c>
      <c r="E8160" s="5" t="s">
        <v>45216</v>
      </c>
      <c r="F8160" s="26" t="s">
        <v>23600</v>
      </c>
      <c r="G8160" s="37" t="s">
        <v>21773</v>
      </c>
      <c r="H8160" s="55" t="s">
        <v>21774</v>
      </c>
      <c r="I8160" s="55" t="s">
        <v>17773</v>
      </c>
    </row>
    <row r="8161" spans="1:9" ht="33" customHeight="1">
      <c r="A8161" s="5"/>
      <c r="B8161" s="5" t="str">
        <f>CONCATENATE(G8161,"/",COUNTIF($G$2:G8161,G8161))</f>
        <v>BG-10523/5</v>
      </c>
      <c r="C8161" s="5" t="s">
        <v>45217</v>
      </c>
      <c r="D8161" s="246">
        <v>45545</v>
      </c>
      <c r="E8161" s="5" t="s">
        <v>45218</v>
      </c>
      <c r="F8161" s="26" t="s">
        <v>23600</v>
      </c>
      <c r="G8161" s="37" t="s">
        <v>21773</v>
      </c>
      <c r="H8161" s="55" t="s">
        <v>21774</v>
      </c>
      <c r="I8161" s="55" t="s">
        <v>17773</v>
      </c>
    </row>
    <row r="8162" spans="1:9" ht="36.65" customHeight="1">
      <c r="A8162" s="5"/>
      <c r="B8162" s="5" t="str">
        <f>CONCATENATE(G8162,"/",COUNTIF($G$2:G8162,G8162))</f>
        <v>RO-10454/1</v>
      </c>
      <c r="C8162" s="5" t="s">
        <v>45219</v>
      </c>
      <c r="D8162" s="246">
        <v>45566</v>
      </c>
      <c r="E8162" s="5" t="s">
        <v>45220</v>
      </c>
      <c r="F8162" s="26" t="s">
        <v>23600</v>
      </c>
      <c r="G8162" s="37" t="s">
        <v>21386</v>
      </c>
      <c r="H8162" s="55" t="s">
        <v>21387</v>
      </c>
      <c r="I8162" s="55" t="s">
        <v>17682</v>
      </c>
    </row>
    <row r="8163" spans="1:9" ht="34.5" customHeight="1">
      <c r="A8163" s="5"/>
      <c r="B8163" s="5" t="str">
        <f>CONCATENATE(G8163,"/",COUNTIF($G$2:G8163,G8163))</f>
        <v>RO-10474/1</v>
      </c>
      <c r="C8163" s="5" t="s">
        <v>45221</v>
      </c>
      <c r="D8163" s="246">
        <v>45568</v>
      </c>
      <c r="E8163" s="5" t="s">
        <v>45222</v>
      </c>
      <c r="F8163" s="26" t="s">
        <v>23600</v>
      </c>
      <c r="G8163" s="37" t="s">
        <v>21489</v>
      </c>
      <c r="H8163" s="55" t="s">
        <v>21490</v>
      </c>
      <c r="I8163" s="55" t="s">
        <v>17682</v>
      </c>
    </row>
    <row r="8164" spans="1:9" ht="36" customHeight="1">
      <c r="A8164" s="5"/>
      <c r="B8164" s="5" t="str">
        <f>CONCATENATE(G8164,"/",COUNTIF($G$2:G8164,G8164))</f>
        <v>NO-10452/1</v>
      </c>
      <c r="C8164" s="5" t="s">
        <v>45223</v>
      </c>
      <c r="D8164" s="246">
        <v>45586</v>
      </c>
      <c r="E8164" s="5" t="s">
        <v>45224</v>
      </c>
      <c r="F8164" s="26" t="s">
        <v>23600</v>
      </c>
      <c r="G8164" s="37" t="s">
        <v>21343</v>
      </c>
      <c r="H8164" s="55" t="s">
        <v>21344</v>
      </c>
      <c r="I8164" s="56" t="s">
        <v>17344</v>
      </c>
    </row>
    <row r="8165" spans="1:9" ht="36" customHeight="1">
      <c r="A8165" s="5"/>
      <c r="B8165" s="5" t="str">
        <f>CONCATENATE(G8165,"/",COUNTIF($G$2:G8165,G8165))</f>
        <v>NO-10452/2</v>
      </c>
      <c r="C8165" s="5" t="s">
        <v>45225</v>
      </c>
      <c r="D8165" s="246">
        <v>45586</v>
      </c>
      <c r="E8165" s="5" t="s">
        <v>45226</v>
      </c>
      <c r="F8165" s="26" t="s">
        <v>23600</v>
      </c>
      <c r="G8165" s="37" t="s">
        <v>21343</v>
      </c>
      <c r="H8165" s="55" t="s">
        <v>21344</v>
      </c>
      <c r="I8165" s="56" t="s">
        <v>17344</v>
      </c>
    </row>
    <row r="8166" spans="1:9" ht="30" customHeight="1">
      <c r="A8166" s="5"/>
      <c r="B8166" s="5" t="str">
        <f>CONCATENATE(G8166,"/",COUNTIF($G$2:G8166,G8166))</f>
        <v>SE-10437/1</v>
      </c>
      <c r="C8166" s="5" t="s">
        <v>45227</v>
      </c>
      <c r="D8166" s="246">
        <v>45593</v>
      </c>
      <c r="E8166" s="5" t="s">
        <v>45228</v>
      </c>
      <c r="F8166" s="26" t="s">
        <v>23600</v>
      </c>
      <c r="G8166" s="37" t="s">
        <v>21239</v>
      </c>
      <c r="H8166" s="55" t="s">
        <v>21240</v>
      </c>
      <c r="I8166" s="56" t="s">
        <v>18070</v>
      </c>
    </row>
    <row r="8167" spans="1:9" ht="30" customHeight="1">
      <c r="A8167" s="5"/>
      <c r="B8167" s="5" t="str">
        <f>CONCATENATE(G8167,"/",COUNTIF($G$2:G8167,G8167))</f>
        <v>SE-10437/2</v>
      </c>
      <c r="C8167" s="5" t="s">
        <v>45229</v>
      </c>
      <c r="D8167" s="246">
        <v>45593</v>
      </c>
      <c r="E8167" s="5" t="s">
        <v>45230</v>
      </c>
      <c r="F8167" s="26" t="s">
        <v>23600</v>
      </c>
      <c r="G8167" s="37" t="s">
        <v>21239</v>
      </c>
      <c r="H8167" s="55" t="s">
        <v>21240</v>
      </c>
      <c r="I8167" s="56" t="s">
        <v>18070</v>
      </c>
    </row>
    <row r="8168" spans="1:9" ht="30" customHeight="1">
      <c r="A8168" s="5"/>
      <c r="B8168" s="5" t="str">
        <f>CONCATENATE(G8168,"/",COUNTIF($G$2:G8168,G8168))</f>
        <v>SE-10437/3</v>
      </c>
      <c r="C8168" s="5" t="s">
        <v>45231</v>
      </c>
      <c r="D8168" s="246">
        <v>45593</v>
      </c>
      <c r="E8168" s="5" t="s">
        <v>45232</v>
      </c>
      <c r="F8168" s="26" t="s">
        <v>23600</v>
      </c>
      <c r="G8168" s="37" t="s">
        <v>21239</v>
      </c>
      <c r="H8168" s="55" t="s">
        <v>21240</v>
      </c>
      <c r="I8168" s="56" t="s">
        <v>18070</v>
      </c>
    </row>
    <row r="8169" spans="1:9" ht="30" customHeight="1">
      <c r="A8169" s="5"/>
      <c r="B8169" s="5" t="str">
        <f>CONCATENATE(G8169,"/",COUNTIF($G$2:G8169,G8169))</f>
        <v>SE-10437/4</v>
      </c>
      <c r="C8169" s="5" t="s">
        <v>45233</v>
      </c>
      <c r="D8169" s="246">
        <v>45593</v>
      </c>
      <c r="E8169" s="5" t="s">
        <v>45234</v>
      </c>
      <c r="F8169" s="26" t="s">
        <v>23600</v>
      </c>
      <c r="G8169" s="37" t="s">
        <v>21239</v>
      </c>
      <c r="H8169" s="55" t="s">
        <v>21240</v>
      </c>
      <c r="I8169" s="56" t="s">
        <v>18070</v>
      </c>
    </row>
    <row r="8170" spans="1:9" ht="30" customHeight="1">
      <c r="A8170" s="5"/>
      <c r="B8170" s="5" t="str">
        <f>CONCATENATE(G8170,"/",COUNTIF($G$2:G8170,G8170))</f>
        <v>SE-10437/5</v>
      </c>
      <c r="C8170" s="5" t="s">
        <v>45235</v>
      </c>
      <c r="D8170" s="246">
        <v>45593</v>
      </c>
      <c r="E8170" s="5" t="s">
        <v>45236</v>
      </c>
      <c r="F8170" s="26" t="s">
        <v>23600</v>
      </c>
      <c r="G8170" s="37" t="s">
        <v>21239</v>
      </c>
      <c r="H8170" s="55" t="s">
        <v>21240</v>
      </c>
      <c r="I8170" s="56" t="s">
        <v>18070</v>
      </c>
    </row>
    <row r="8171" spans="1:9" ht="30" customHeight="1">
      <c r="A8171" s="5"/>
      <c r="B8171" s="5" t="str">
        <f>CONCATENATE(G8171,"/",COUNTIF($G$2:G8171,G8171))</f>
        <v>SE-10437/6</v>
      </c>
      <c r="C8171" s="5" t="s">
        <v>45237</v>
      </c>
      <c r="D8171" s="246">
        <v>45593</v>
      </c>
      <c r="E8171" s="5" t="s">
        <v>45238</v>
      </c>
      <c r="F8171" s="26" t="s">
        <v>23600</v>
      </c>
      <c r="G8171" s="37" t="s">
        <v>21239</v>
      </c>
      <c r="H8171" s="55" t="s">
        <v>21240</v>
      </c>
      <c r="I8171" s="56" t="s">
        <v>18070</v>
      </c>
    </row>
    <row r="8172" spans="1:9" ht="30" customHeight="1">
      <c r="A8172" s="5"/>
      <c r="B8172" s="5" t="str">
        <f>CONCATENATE(G8172,"/",COUNTIF($G$2:G8172,G8172))</f>
        <v>SE-10437/7</v>
      </c>
      <c r="C8172" s="5" t="s">
        <v>45239</v>
      </c>
      <c r="D8172" s="246">
        <v>45593</v>
      </c>
      <c r="E8172" s="5" t="s">
        <v>45240</v>
      </c>
      <c r="F8172" s="26" t="s">
        <v>23600</v>
      </c>
      <c r="G8172" s="37" t="s">
        <v>21239</v>
      </c>
      <c r="H8172" s="55" t="s">
        <v>21240</v>
      </c>
      <c r="I8172" s="56" t="s">
        <v>18070</v>
      </c>
    </row>
    <row r="8173" spans="1:9" ht="35.15" customHeight="1">
      <c r="A8173" s="5"/>
      <c r="B8173" s="5" t="str">
        <f>CONCATENATE(G8173,"/",COUNTIF($G$2:G8173,G8173))</f>
        <v>CZ-10473/1</v>
      </c>
      <c r="C8173" s="5" t="s">
        <v>23621</v>
      </c>
      <c r="D8173" s="246">
        <v>45595</v>
      </c>
      <c r="E8173" s="5" t="s">
        <v>45241</v>
      </c>
      <c r="F8173" s="26" t="s">
        <v>23600</v>
      </c>
      <c r="G8173" s="37" t="s">
        <v>21483</v>
      </c>
      <c r="H8173" s="55" t="s">
        <v>21484</v>
      </c>
      <c r="I8173" s="55" t="s">
        <v>16429</v>
      </c>
    </row>
    <row r="8174" spans="1:9" ht="31" customHeight="1">
      <c r="A8174" s="5"/>
      <c r="B8174" s="5" t="str">
        <f>CONCATENATE(G8174,"/",COUNTIF($G$2:G8174,G8174))</f>
        <v>BG-10562/1</v>
      </c>
      <c r="C8174" s="5" t="s">
        <v>44654</v>
      </c>
      <c r="D8174" s="246">
        <v>45581</v>
      </c>
      <c r="E8174" s="5" t="s">
        <v>45242</v>
      </c>
      <c r="F8174" s="26" t="s">
        <v>23600</v>
      </c>
      <c r="G8174" s="37" t="s">
        <v>22049</v>
      </c>
      <c r="H8174" s="55" t="s">
        <v>22050</v>
      </c>
      <c r="I8174" s="55" t="s">
        <v>17773</v>
      </c>
    </row>
    <row r="8175" spans="1:9" ht="31" customHeight="1">
      <c r="A8175" s="5"/>
      <c r="B8175" s="5" t="str">
        <f>CONCATENATE(G8175,"/",COUNTIF($G$2:G8175,G8175))</f>
        <v>BG-10562/2</v>
      </c>
      <c r="C8175" s="5" t="s">
        <v>45243</v>
      </c>
      <c r="D8175" s="246">
        <v>45581</v>
      </c>
      <c r="E8175" s="5" t="s">
        <v>45244</v>
      </c>
      <c r="F8175" s="26" t="s">
        <v>23600</v>
      </c>
      <c r="G8175" s="37" t="s">
        <v>22049</v>
      </c>
      <c r="H8175" s="55" t="s">
        <v>22050</v>
      </c>
      <c r="I8175" s="55" t="s">
        <v>17773</v>
      </c>
    </row>
    <row r="8176" spans="1:9" ht="37" customHeight="1">
      <c r="A8176" s="5"/>
      <c r="B8176" s="5" t="str">
        <f>CONCATENATE(G8176,"/",COUNTIF($G$2:G8176,G8176))</f>
        <v>RO-10468/1</v>
      </c>
      <c r="C8176" s="5" t="s">
        <v>45245</v>
      </c>
      <c r="D8176" s="246">
        <v>45588</v>
      </c>
      <c r="E8176" s="5" t="s">
        <v>45246</v>
      </c>
      <c r="F8176" s="26" t="s">
        <v>23600</v>
      </c>
      <c r="G8176" s="37" t="s">
        <v>21445</v>
      </c>
      <c r="H8176" s="55" t="s">
        <v>21446</v>
      </c>
      <c r="I8176" s="55" t="s">
        <v>17682</v>
      </c>
    </row>
    <row r="8177" spans="1:9" ht="27.65" customHeight="1">
      <c r="A8177" s="5"/>
      <c r="B8177" s="5" t="str">
        <f>CONCATENATE(G8177,"/",COUNTIF($G$2:G8177,G8177))</f>
        <v>BE-10440/1</v>
      </c>
      <c r="C8177" s="5" t="s">
        <v>44738</v>
      </c>
      <c r="D8177" s="246">
        <v>45589</v>
      </c>
      <c r="E8177" s="5" t="s">
        <v>45247</v>
      </c>
      <c r="F8177" s="26" t="s">
        <v>23600</v>
      </c>
      <c r="G8177" s="37" t="s">
        <v>21190</v>
      </c>
      <c r="H8177" s="55" t="s">
        <v>21191</v>
      </c>
      <c r="I8177" s="56" t="s">
        <v>14753</v>
      </c>
    </row>
    <row r="8178" spans="1:9" ht="27.65" customHeight="1">
      <c r="A8178" s="5"/>
      <c r="B8178" s="5" t="str">
        <f>CONCATENATE(G8178,"/",COUNTIF($G$2:G8178,G8178))</f>
        <v>BE-10440/2</v>
      </c>
      <c r="C8178" s="5" t="s">
        <v>45160</v>
      </c>
      <c r="D8178" s="246">
        <v>45589</v>
      </c>
      <c r="E8178" s="5" t="s">
        <v>45248</v>
      </c>
      <c r="F8178" s="26" t="s">
        <v>23600</v>
      </c>
      <c r="G8178" s="37" t="s">
        <v>21190</v>
      </c>
      <c r="H8178" s="55" t="s">
        <v>21191</v>
      </c>
      <c r="I8178" s="56" t="s">
        <v>14753</v>
      </c>
    </row>
    <row r="8179" spans="1:9" ht="35.5" customHeight="1">
      <c r="A8179" s="5"/>
      <c r="B8179" s="5" t="str">
        <f>CONCATENATE(G8179,"/",COUNTIF($G$2:G8179,G8179))</f>
        <v>RO-10470/1</v>
      </c>
      <c r="C8179" s="5" t="s">
        <v>45249</v>
      </c>
      <c r="D8179" s="246">
        <v>45595</v>
      </c>
      <c r="E8179" s="5" t="s">
        <v>45250</v>
      </c>
      <c r="F8179" s="26" t="s">
        <v>23600</v>
      </c>
      <c r="G8179" s="37" t="s">
        <v>21468</v>
      </c>
      <c r="H8179" s="55" t="s">
        <v>21469</v>
      </c>
      <c r="I8179" s="55" t="s">
        <v>17682</v>
      </c>
    </row>
    <row r="8180" spans="1:9" ht="34.5" customHeight="1">
      <c r="A8180" s="5"/>
      <c r="B8180" s="5" t="str">
        <f>CONCATENATE(G8180,"/",COUNTIF($G$2:G8180,G8180))</f>
        <v>NO-10460/1</v>
      </c>
      <c r="C8180" s="5" t="s">
        <v>45251</v>
      </c>
      <c r="D8180" s="246">
        <v>45609</v>
      </c>
      <c r="E8180" s="5" t="s">
        <v>45252</v>
      </c>
      <c r="F8180" s="26" t="s">
        <v>23600</v>
      </c>
      <c r="G8180" s="37" t="s">
        <v>21418</v>
      </c>
      <c r="H8180" s="55" t="s">
        <v>21419</v>
      </c>
      <c r="I8180" s="55" t="s">
        <v>17344</v>
      </c>
    </row>
    <row r="8181" spans="1:9" ht="33" customHeight="1">
      <c r="A8181" s="5"/>
      <c r="B8181" s="5" t="str">
        <f>CONCATENATE(G8181,"/",COUNTIF($G$2:G8181,G8181))</f>
        <v>RO-10478/1</v>
      </c>
      <c r="C8181" s="5" t="s">
        <v>45253</v>
      </c>
      <c r="D8181" s="246">
        <v>45601</v>
      </c>
      <c r="E8181" s="5" t="s">
        <v>45254</v>
      </c>
      <c r="F8181" s="26" t="s">
        <v>23600</v>
      </c>
      <c r="G8181" s="37" t="s">
        <v>21538</v>
      </c>
      <c r="H8181" s="55" t="s">
        <v>21539</v>
      </c>
      <c r="I8181" s="55" t="s">
        <v>17682</v>
      </c>
    </row>
    <row r="8182" spans="1:9" ht="28" customHeight="1">
      <c r="A8182" s="5"/>
      <c r="B8182" s="5" t="str">
        <f>CONCATENATE(G8182,"/",COUNTIF($G$2:G8182,G8182))</f>
        <v>BG-10561/1</v>
      </c>
      <c r="C8182" s="5" t="s">
        <v>44654</v>
      </c>
      <c r="D8182" s="246">
        <v>45596</v>
      </c>
      <c r="E8182" s="5" t="s">
        <v>45255</v>
      </c>
      <c r="F8182" s="26" t="s">
        <v>23600</v>
      </c>
      <c r="G8182" s="37" t="s">
        <v>22041</v>
      </c>
      <c r="H8182" s="55" t="s">
        <v>22042</v>
      </c>
      <c r="I8182" s="55" t="s">
        <v>17773</v>
      </c>
    </row>
    <row r="8183" spans="1:9" ht="28" customHeight="1">
      <c r="A8183" s="5"/>
      <c r="B8183" s="5" t="str">
        <f>CONCATENATE(G8183,"/",COUNTIF($G$2:G8183,G8183))</f>
        <v>BG-10561/2</v>
      </c>
      <c r="C8183" s="5" t="s">
        <v>45256</v>
      </c>
      <c r="D8183" s="246">
        <v>45596</v>
      </c>
      <c r="E8183" s="5" t="s">
        <v>45257</v>
      </c>
      <c r="F8183" s="26" t="s">
        <v>23600</v>
      </c>
      <c r="G8183" s="37" t="s">
        <v>22041</v>
      </c>
      <c r="H8183" s="55" t="s">
        <v>22042</v>
      </c>
      <c r="I8183" s="55" t="s">
        <v>17773</v>
      </c>
    </row>
    <row r="8184" spans="1:9" ht="28" customHeight="1">
      <c r="A8184" s="5"/>
      <c r="B8184" s="5" t="str">
        <f>CONCATENATE(G8184,"/",COUNTIF($G$2:G8184,G8184))</f>
        <v>BG-10561/3</v>
      </c>
      <c r="C8184" s="5" t="s">
        <v>45258</v>
      </c>
      <c r="D8184" s="246">
        <v>45596</v>
      </c>
      <c r="E8184" s="5" t="s">
        <v>45259</v>
      </c>
      <c r="F8184" s="26" t="s">
        <v>23600</v>
      </c>
      <c r="G8184" s="37" t="s">
        <v>22041</v>
      </c>
      <c r="H8184" s="55" t="s">
        <v>22042</v>
      </c>
      <c r="I8184" s="55" t="s">
        <v>17773</v>
      </c>
    </row>
    <row r="8185" spans="1:9" ht="28" customHeight="1">
      <c r="A8185" s="5"/>
      <c r="B8185" s="5" t="str">
        <f>CONCATENATE(G8185,"/",COUNTIF($G$2:G8185,G8185))</f>
        <v>BG-10561/4</v>
      </c>
      <c r="C8185" s="5" t="s">
        <v>45260</v>
      </c>
      <c r="D8185" s="246">
        <v>45596</v>
      </c>
      <c r="E8185" s="5" t="s">
        <v>45261</v>
      </c>
      <c r="F8185" s="26" t="s">
        <v>23600</v>
      </c>
      <c r="G8185" s="37" t="s">
        <v>22041</v>
      </c>
      <c r="H8185" s="55" t="s">
        <v>22042</v>
      </c>
      <c r="I8185" s="55" t="s">
        <v>17773</v>
      </c>
    </row>
    <row r="8186" spans="1:9" ht="28" customHeight="1">
      <c r="A8186" s="5"/>
      <c r="B8186" s="5" t="str">
        <f>CONCATENATE(G8186,"/",COUNTIF($G$2:G8186,G8186))</f>
        <v>BG-10561/5</v>
      </c>
      <c r="C8186" s="5" t="s">
        <v>45262</v>
      </c>
      <c r="D8186" s="246">
        <v>45596</v>
      </c>
      <c r="E8186" s="5" t="s">
        <v>45263</v>
      </c>
      <c r="F8186" s="26" t="s">
        <v>23600</v>
      </c>
      <c r="G8186" s="37" t="s">
        <v>22041</v>
      </c>
      <c r="H8186" s="55" t="s">
        <v>22042</v>
      </c>
      <c r="I8186" s="55" t="s">
        <v>17773</v>
      </c>
    </row>
    <row r="8187" spans="1:9" ht="28" customHeight="1">
      <c r="A8187" s="5"/>
      <c r="B8187" s="5" t="str">
        <f>CONCATENATE(G8187,"/",COUNTIF($G$2:G8187,G8187))</f>
        <v>BG-10561/6</v>
      </c>
      <c r="C8187" s="5" t="s">
        <v>45264</v>
      </c>
      <c r="D8187" s="246">
        <v>45596</v>
      </c>
      <c r="E8187" s="5" t="s">
        <v>45265</v>
      </c>
      <c r="F8187" s="26" t="s">
        <v>23600</v>
      </c>
      <c r="G8187" s="37" t="s">
        <v>22041</v>
      </c>
      <c r="H8187" s="55" t="s">
        <v>22042</v>
      </c>
      <c r="I8187" s="55" t="s">
        <v>17773</v>
      </c>
    </row>
    <row r="8188" spans="1:9" ht="30" customHeight="1">
      <c r="A8188" s="5"/>
      <c r="B8188" s="5" t="str">
        <f>CONCATENATE(G8188,"/",COUNTIF($G$2:G8188,G8188))</f>
        <v>FI-10480/1</v>
      </c>
      <c r="C8188" s="5" t="s">
        <v>45266</v>
      </c>
      <c r="D8188" s="246">
        <v>45618</v>
      </c>
      <c r="E8188" s="5" t="s">
        <v>45267</v>
      </c>
      <c r="F8188" s="26" t="s">
        <v>23600</v>
      </c>
      <c r="G8188" s="62" t="s">
        <v>21559</v>
      </c>
      <c r="H8188" s="55" t="s">
        <v>45268</v>
      </c>
      <c r="I8188" s="55" t="s">
        <v>18881</v>
      </c>
    </row>
    <row r="8189" spans="1:9" ht="30" customHeight="1">
      <c r="A8189" s="5"/>
      <c r="B8189" s="5" t="str">
        <f>CONCATENATE(G8189,"/",COUNTIF($G$2:G8189,G8189))</f>
        <v>FI-10480/2</v>
      </c>
      <c r="C8189" s="5" t="s">
        <v>45269</v>
      </c>
      <c r="D8189" s="246">
        <v>45618</v>
      </c>
      <c r="E8189" s="5" t="s">
        <v>45270</v>
      </c>
      <c r="F8189" s="26" t="s">
        <v>23600</v>
      </c>
      <c r="G8189" s="62" t="s">
        <v>21559</v>
      </c>
      <c r="H8189" s="55" t="s">
        <v>45268</v>
      </c>
      <c r="I8189" s="55" t="s">
        <v>18881</v>
      </c>
    </row>
    <row r="8190" spans="1:9" ht="30" customHeight="1">
      <c r="A8190" s="5"/>
      <c r="B8190" s="5" t="str">
        <f>CONCATENATE(G8190,"/",COUNTIF($G$2:G8190,G8190))</f>
        <v>FI-10480/3</v>
      </c>
      <c r="C8190" s="5" t="s">
        <v>45271</v>
      </c>
      <c r="D8190" s="246">
        <v>45618</v>
      </c>
      <c r="E8190" s="5" t="s">
        <v>45272</v>
      </c>
      <c r="F8190" s="26" t="s">
        <v>23600</v>
      </c>
      <c r="G8190" s="62" t="s">
        <v>21559</v>
      </c>
      <c r="H8190" s="55" t="s">
        <v>45268</v>
      </c>
      <c r="I8190" s="55" t="s">
        <v>18881</v>
      </c>
    </row>
    <row r="8191" spans="1:9" ht="30" customHeight="1">
      <c r="A8191" s="5"/>
      <c r="B8191" s="5" t="str">
        <f>CONCATENATE(G8191,"/",COUNTIF($G$2:G8191,G8191))</f>
        <v>FI-10480/4</v>
      </c>
      <c r="C8191" s="5" t="s">
        <v>45273</v>
      </c>
      <c r="D8191" s="246">
        <v>45618</v>
      </c>
      <c r="E8191" s="5" t="s">
        <v>45274</v>
      </c>
      <c r="F8191" s="26" t="s">
        <v>23600</v>
      </c>
      <c r="G8191" s="62" t="s">
        <v>21559</v>
      </c>
      <c r="H8191" s="55" t="s">
        <v>45268</v>
      </c>
      <c r="I8191" s="55" t="s">
        <v>18881</v>
      </c>
    </row>
    <row r="8192" spans="1:9" ht="30" customHeight="1">
      <c r="A8192" s="5"/>
      <c r="B8192" s="5" t="str">
        <f>CONCATENATE(G8192,"/",COUNTIF($G$2:G8192,G8192))</f>
        <v>FI-10480/5</v>
      </c>
      <c r="C8192" s="5" t="s">
        <v>45275</v>
      </c>
      <c r="D8192" s="246">
        <v>45618</v>
      </c>
      <c r="E8192" s="5" t="s">
        <v>45276</v>
      </c>
      <c r="F8192" s="26" t="s">
        <v>23600</v>
      </c>
      <c r="G8192" s="62" t="s">
        <v>21559</v>
      </c>
      <c r="H8192" s="55" t="s">
        <v>45268</v>
      </c>
      <c r="I8192" s="55" t="s">
        <v>18881</v>
      </c>
    </row>
    <row r="8193" spans="1:9" ht="27" customHeight="1">
      <c r="A8193" s="5"/>
      <c r="B8193" s="5" t="str">
        <f>CONCATENATE(G8193,"/",COUNTIF($G$2:G8193,G8193))</f>
        <v>LV-10482/1</v>
      </c>
      <c r="C8193" s="5" t="s">
        <v>45277</v>
      </c>
      <c r="D8193" s="246">
        <v>45628</v>
      </c>
      <c r="E8193" s="5" t="s">
        <v>45278</v>
      </c>
      <c r="F8193" s="5" t="s">
        <v>45279</v>
      </c>
      <c r="G8193" s="37" t="s">
        <v>21568</v>
      </c>
      <c r="H8193" s="55" t="s">
        <v>21569</v>
      </c>
      <c r="I8193" s="55" t="s">
        <v>19670</v>
      </c>
    </row>
    <row r="8194" spans="1:9" ht="27" customHeight="1">
      <c r="A8194" s="5"/>
      <c r="B8194" s="5" t="str">
        <f>CONCATENATE(G8194,"/",COUNTIF($G$2:G8194,G8194))</f>
        <v>LV-10482/2</v>
      </c>
      <c r="C8194" s="5" t="s">
        <v>45280</v>
      </c>
      <c r="D8194" s="246">
        <v>45628</v>
      </c>
      <c r="E8194" s="5" t="s">
        <v>45281</v>
      </c>
      <c r="F8194" s="5" t="s">
        <v>45279</v>
      </c>
      <c r="G8194" s="37" t="s">
        <v>21568</v>
      </c>
      <c r="H8194" s="55" t="s">
        <v>21569</v>
      </c>
      <c r="I8194" s="55" t="s">
        <v>19670</v>
      </c>
    </row>
    <row r="8195" spans="1:9" ht="27" customHeight="1">
      <c r="A8195" s="5"/>
      <c r="B8195" s="5" t="str">
        <f>CONCATENATE(G8195,"/",COUNTIF($G$2:G8195,G8195))</f>
        <v>LV-10482/3</v>
      </c>
      <c r="C8195" s="5" t="s">
        <v>45282</v>
      </c>
      <c r="D8195" s="246">
        <v>45628</v>
      </c>
      <c r="E8195" s="5" t="s">
        <v>45283</v>
      </c>
      <c r="F8195" s="5" t="s">
        <v>45279</v>
      </c>
      <c r="G8195" s="37" t="s">
        <v>21568</v>
      </c>
      <c r="H8195" s="55" t="s">
        <v>21569</v>
      </c>
      <c r="I8195" s="55" t="s">
        <v>19670</v>
      </c>
    </row>
    <row r="8196" spans="1:9" ht="27" customHeight="1">
      <c r="A8196" s="5"/>
      <c r="B8196" s="5" t="str">
        <f>CONCATENATE(G8196,"/",COUNTIF($G$2:G8196,G8196))</f>
        <v>RO-10483/1</v>
      </c>
      <c r="C8196" s="5" t="s">
        <v>45284</v>
      </c>
      <c r="D8196" s="246">
        <v>45617</v>
      </c>
      <c r="E8196" s="5" t="s">
        <v>45285</v>
      </c>
      <c r="F8196" s="5" t="s">
        <v>23600</v>
      </c>
      <c r="G8196" s="37" t="s">
        <v>21552</v>
      </c>
      <c r="H8196" s="55" t="s">
        <v>21553</v>
      </c>
      <c r="I8196" s="55" t="s">
        <v>17682</v>
      </c>
    </row>
    <row r="8197" spans="1:9" ht="27" customHeight="1">
      <c r="A8197" s="5"/>
      <c r="B8197" s="5" t="str">
        <f>CONCATENATE(G8197,"/",COUNTIF($G$2:G8197,G8197))</f>
        <v>HU-10441/1</v>
      </c>
      <c r="C8197" s="5" t="s">
        <v>45286</v>
      </c>
      <c r="D8197" s="246">
        <v>45595</v>
      </c>
      <c r="E8197" s="5" t="s">
        <v>45287</v>
      </c>
      <c r="F8197" s="5" t="s">
        <v>23600</v>
      </c>
      <c r="G8197" s="37" t="s">
        <v>21263</v>
      </c>
      <c r="H8197" s="55" t="s">
        <v>45288</v>
      </c>
      <c r="I8197" s="55" t="s">
        <v>17578</v>
      </c>
    </row>
    <row r="8198" spans="1:9" ht="27" customHeight="1">
      <c r="A8198" s="5"/>
      <c r="B8198" s="5" t="str">
        <f>CONCATENATE(G8198,"/",COUNTIF($G$2:G8198,G8198))</f>
        <v>HU-10441/2</v>
      </c>
      <c r="C8198" s="5" t="s">
        <v>45289</v>
      </c>
      <c r="D8198" s="246">
        <v>45595</v>
      </c>
      <c r="E8198" s="5" t="s">
        <v>45290</v>
      </c>
      <c r="F8198" s="5" t="s">
        <v>23600</v>
      </c>
      <c r="G8198" s="37" t="s">
        <v>21263</v>
      </c>
      <c r="H8198" s="55" t="s">
        <v>45288</v>
      </c>
      <c r="I8198" s="55" t="s">
        <v>17578</v>
      </c>
    </row>
    <row r="8199" spans="1:9" ht="27" customHeight="1">
      <c r="A8199" s="5"/>
      <c r="B8199" s="5" t="str">
        <f>CONCATENATE(G8199,"/",COUNTIF($G$2:G8199,G8199))</f>
        <v>AT-10006/1</v>
      </c>
      <c r="C8199" s="5" t="s">
        <v>45291</v>
      </c>
      <c r="D8199" s="246">
        <v>45631</v>
      </c>
      <c r="E8199" s="55" t="s">
        <v>45292</v>
      </c>
      <c r="F8199" s="5" t="s">
        <v>23600</v>
      </c>
      <c r="G8199" s="33" t="s">
        <v>18386</v>
      </c>
      <c r="H8199" s="55" t="s">
        <v>45293</v>
      </c>
      <c r="I8199" s="55" t="s">
        <v>12474</v>
      </c>
    </row>
    <row r="8200" spans="1:9" ht="27" customHeight="1">
      <c r="A8200" s="5"/>
      <c r="B8200" s="5" t="str">
        <f>CONCATENATE(G8200,"/",COUNTIF($G$2:G8200,G8200))</f>
        <v>AT-10006/2</v>
      </c>
      <c r="C8200" s="5" t="s">
        <v>45294</v>
      </c>
      <c r="D8200" s="246">
        <v>45631</v>
      </c>
      <c r="E8200" s="55" t="s">
        <v>45295</v>
      </c>
      <c r="F8200" s="5" t="s">
        <v>23600</v>
      </c>
      <c r="G8200" s="33" t="s">
        <v>18386</v>
      </c>
      <c r="H8200" s="55" t="s">
        <v>45293</v>
      </c>
      <c r="I8200" s="55" t="s">
        <v>12474</v>
      </c>
    </row>
    <row r="8201" spans="1:9" ht="27" customHeight="1">
      <c r="A8201" s="5"/>
      <c r="B8201" s="5" t="str">
        <f>CONCATENATE(G8201,"/",COUNTIF($G$2:G8201,G8201))</f>
        <v>AT-10006/3</v>
      </c>
      <c r="C8201" s="5" t="s">
        <v>45296</v>
      </c>
      <c r="D8201" s="246">
        <v>45631</v>
      </c>
      <c r="E8201" s="55" t="s">
        <v>45297</v>
      </c>
      <c r="F8201" s="5" t="s">
        <v>23600</v>
      </c>
      <c r="G8201" s="33" t="s">
        <v>18386</v>
      </c>
      <c r="H8201" s="55" t="s">
        <v>45293</v>
      </c>
      <c r="I8201" s="55" t="s">
        <v>12474</v>
      </c>
    </row>
    <row r="8202" spans="1:9" ht="27" customHeight="1">
      <c r="A8202" s="5"/>
      <c r="B8202" s="5" t="str">
        <f>CONCATENATE(G8202,"/",COUNTIF($G$2:G8202,G8202))</f>
        <v>CZ-10492/1</v>
      </c>
      <c r="C8202" s="5" t="s">
        <v>23621</v>
      </c>
      <c r="D8202" s="246">
        <v>45638</v>
      </c>
      <c r="E8202" s="55" t="s">
        <v>45298</v>
      </c>
      <c r="F8202" s="5" t="s">
        <v>23600</v>
      </c>
      <c r="G8202" s="33" t="s">
        <v>21662</v>
      </c>
      <c r="H8202" s="24" t="s">
        <v>21663</v>
      </c>
      <c r="I8202" s="55" t="s">
        <v>16429</v>
      </c>
    </row>
    <row r="8203" spans="1:9" ht="27" customHeight="1">
      <c r="A8203" s="5"/>
      <c r="B8203" s="5" t="str">
        <f>CONCATENATE(G8203,"/",COUNTIF($G$2:G8203,G8203))</f>
        <v>RO-10490/1</v>
      </c>
      <c r="C8203" s="5" t="s">
        <v>45299</v>
      </c>
      <c r="D8203" s="246">
        <v>45636</v>
      </c>
      <c r="E8203" s="55" t="s">
        <v>45300</v>
      </c>
      <c r="F8203" s="5" t="s">
        <v>23600</v>
      </c>
      <c r="G8203" s="33" t="s">
        <v>21655</v>
      </c>
      <c r="H8203" s="24" t="s">
        <v>21656</v>
      </c>
      <c r="I8203" s="55" t="s">
        <v>17682</v>
      </c>
    </row>
    <row r="8204" spans="1:9" ht="27" customHeight="1">
      <c r="A8204" s="5"/>
      <c r="B8204" s="5" t="str">
        <f>CONCATENATE(G8204,"/",COUNTIF($G$2:G8204,G8204))</f>
        <v>IT-10446/1</v>
      </c>
      <c r="C8204" s="5" t="s">
        <v>45301</v>
      </c>
      <c r="D8204" s="246">
        <v>45617</v>
      </c>
      <c r="E8204" s="55" t="s">
        <v>45302</v>
      </c>
      <c r="F8204" s="5" t="s">
        <v>23600</v>
      </c>
      <c r="G8204" s="33" t="s">
        <v>21297</v>
      </c>
      <c r="H8204" s="5" t="s">
        <v>45303</v>
      </c>
      <c r="I8204" s="55" t="s">
        <v>18131</v>
      </c>
    </row>
    <row r="8205" spans="1:9" ht="27" customHeight="1">
      <c r="A8205" s="5"/>
      <c r="B8205" s="5" t="str">
        <f>CONCATENATE(G8205,"/",COUNTIF($G$2:G8205,G8205))</f>
        <v>IT-10446/2</v>
      </c>
      <c r="C8205" s="5" t="s">
        <v>45304</v>
      </c>
      <c r="D8205" s="246">
        <v>45617</v>
      </c>
      <c r="E8205" s="55" t="s">
        <v>45305</v>
      </c>
      <c r="F8205" s="5" t="s">
        <v>23600</v>
      </c>
      <c r="G8205" s="33" t="s">
        <v>21297</v>
      </c>
      <c r="H8205" s="5" t="s">
        <v>45303</v>
      </c>
      <c r="I8205" s="55" t="s">
        <v>18131</v>
      </c>
    </row>
    <row r="8206" spans="1:9" ht="27" customHeight="1">
      <c r="A8206" s="5"/>
      <c r="B8206" s="5" t="str">
        <f>CONCATENATE(G8206,"/",COUNTIF($G$2:G8206,G8206))</f>
        <v>IT-10446/3</v>
      </c>
      <c r="C8206" s="5" t="s">
        <v>45306</v>
      </c>
      <c r="D8206" s="246">
        <v>45617</v>
      </c>
      <c r="E8206" s="55" t="s">
        <v>45307</v>
      </c>
      <c r="F8206" s="5" t="s">
        <v>23600</v>
      </c>
      <c r="G8206" s="33" t="s">
        <v>21297</v>
      </c>
      <c r="H8206" s="5" t="s">
        <v>45303</v>
      </c>
      <c r="I8206" s="55" t="s">
        <v>18131</v>
      </c>
    </row>
    <row r="8207" spans="1:9" ht="27" customHeight="1">
      <c r="A8207" s="5"/>
      <c r="B8207" s="5" t="str">
        <f>CONCATENATE(G8207,"/",COUNTIF($G$2:G8207,G8207))</f>
        <v>IT-10446/4</v>
      </c>
      <c r="C8207" s="5" t="s">
        <v>45308</v>
      </c>
      <c r="D8207" s="246">
        <v>45617</v>
      </c>
      <c r="E8207" s="55" t="s">
        <v>45309</v>
      </c>
      <c r="F8207" s="5" t="s">
        <v>23600</v>
      </c>
      <c r="G8207" s="33" t="s">
        <v>21297</v>
      </c>
      <c r="H8207" s="5" t="s">
        <v>45303</v>
      </c>
      <c r="I8207" s="55" t="s">
        <v>18131</v>
      </c>
    </row>
    <row r="8208" spans="1:9" ht="27" customHeight="1">
      <c r="A8208" s="5"/>
      <c r="B8208" s="5" t="str">
        <f>CONCATENATE(G8208,"/",COUNTIF($G$2:G8208,G8208))</f>
        <v>IT-10446/5</v>
      </c>
      <c r="C8208" s="5" t="s">
        <v>45310</v>
      </c>
      <c r="D8208" s="246">
        <v>45617</v>
      </c>
      <c r="E8208" s="55" t="s">
        <v>45311</v>
      </c>
      <c r="F8208" s="5" t="s">
        <v>23600</v>
      </c>
      <c r="G8208" s="33" t="s">
        <v>21297</v>
      </c>
      <c r="H8208" s="5" t="s">
        <v>45303</v>
      </c>
      <c r="I8208" s="55" t="s">
        <v>18131</v>
      </c>
    </row>
    <row r="8209" spans="1:9" ht="27" customHeight="1">
      <c r="A8209" s="5"/>
      <c r="B8209" s="5" t="str">
        <f>CONCATENATE(G8209,"/",COUNTIF($G$2:G8209,G8209))</f>
        <v>IT-10446/6</v>
      </c>
      <c r="C8209" s="5" t="s">
        <v>45312</v>
      </c>
      <c r="D8209" s="246">
        <v>45617</v>
      </c>
      <c r="E8209" s="55" t="s">
        <v>45313</v>
      </c>
      <c r="F8209" s="5" t="s">
        <v>23600</v>
      </c>
      <c r="G8209" s="33" t="s">
        <v>21297</v>
      </c>
      <c r="H8209" s="5" t="s">
        <v>45303</v>
      </c>
      <c r="I8209" s="55" t="s">
        <v>18131</v>
      </c>
    </row>
    <row r="8210" spans="1:9" ht="27" customHeight="1">
      <c r="A8210" s="5"/>
      <c r="B8210" s="5" t="str">
        <f>CONCATENATE(G8210,"/",COUNTIF($G$2:G8210,G8210))</f>
        <v>IT-10446/7</v>
      </c>
      <c r="C8210" s="5" t="s">
        <v>45314</v>
      </c>
      <c r="D8210" s="246">
        <v>45617</v>
      </c>
      <c r="E8210" s="55" t="s">
        <v>45315</v>
      </c>
      <c r="F8210" s="5" t="s">
        <v>23600</v>
      </c>
      <c r="G8210" s="33" t="s">
        <v>21297</v>
      </c>
      <c r="H8210" s="5" t="s">
        <v>45303</v>
      </c>
      <c r="I8210" s="55" t="s">
        <v>18131</v>
      </c>
    </row>
    <row r="8211" spans="1:9" ht="27" customHeight="1">
      <c r="A8211" s="5"/>
      <c r="B8211" s="5" t="str">
        <f>CONCATENATE(G8211,"/",COUNTIF($G$2:G8211,G8211))</f>
        <v>HR-10541 /1</v>
      </c>
      <c r="C8211" s="5" t="s">
        <v>45316</v>
      </c>
      <c r="D8211" s="246">
        <v>45638</v>
      </c>
      <c r="E8211" s="55" t="s">
        <v>45317</v>
      </c>
      <c r="F8211" s="5" t="s">
        <v>23600</v>
      </c>
      <c r="G8211" s="33" t="s">
        <v>45318</v>
      </c>
      <c r="H8211" s="5" t="s">
        <v>21904</v>
      </c>
      <c r="I8211" s="55" t="s">
        <v>9789</v>
      </c>
    </row>
    <row r="8212" spans="1:9" ht="27" customHeight="1">
      <c r="A8212" s="5"/>
      <c r="B8212" s="5" t="str">
        <f>CONCATENATE(G8212,"/",COUNTIF($G$2:G8212,G8212))</f>
        <v>HR-10541 /2</v>
      </c>
      <c r="C8212" s="5" t="s">
        <v>45319</v>
      </c>
      <c r="D8212" s="246">
        <v>45638</v>
      </c>
      <c r="E8212" s="55" t="s">
        <v>45320</v>
      </c>
      <c r="F8212" s="5" t="s">
        <v>23600</v>
      </c>
      <c r="G8212" s="33" t="s">
        <v>45318</v>
      </c>
      <c r="H8212" s="5" t="s">
        <v>21904</v>
      </c>
      <c r="I8212" s="55" t="s">
        <v>9789</v>
      </c>
    </row>
    <row r="8213" spans="1:9" ht="27" customHeight="1">
      <c r="A8213" s="5"/>
      <c r="B8213" s="5" t="str">
        <f>CONCATENATE(G8213,"/",COUNTIF($G$2:G8213,G8213))</f>
        <v>HR-10458/1</v>
      </c>
      <c r="C8213" s="5" t="s">
        <v>45321</v>
      </c>
      <c r="D8213" s="246">
        <v>45646</v>
      </c>
      <c r="E8213" s="55" t="s">
        <v>45322</v>
      </c>
      <c r="F8213" s="5" t="s">
        <v>23600</v>
      </c>
      <c r="G8213" s="33" t="s">
        <v>21374</v>
      </c>
      <c r="H8213" s="5" t="s">
        <v>21375</v>
      </c>
      <c r="I8213" s="55" t="s">
        <v>9789</v>
      </c>
    </row>
    <row r="8214" spans="1:9" ht="27" customHeight="1">
      <c r="A8214" s="5"/>
      <c r="B8214" s="5" t="str">
        <f>CONCATENATE(G8214,"/",COUNTIF($G$2:G8214,G8214))</f>
        <v>BG-10554/1</v>
      </c>
      <c r="C8214" s="5" t="s">
        <v>45323</v>
      </c>
      <c r="D8214" s="246">
        <v>45645</v>
      </c>
      <c r="E8214" s="55" t="s">
        <v>45255</v>
      </c>
      <c r="F8214" s="5" t="s">
        <v>45324</v>
      </c>
      <c r="G8214" s="36" t="s">
        <v>21993</v>
      </c>
      <c r="H8214" s="5" t="s">
        <v>21994</v>
      </c>
      <c r="I8214" s="55" t="s">
        <v>17773</v>
      </c>
    </row>
    <row r="8215" spans="1:9" ht="27" customHeight="1">
      <c r="A8215" s="5"/>
      <c r="B8215" s="5" t="str">
        <f>CONCATENATE(G8215,"/",COUNTIF($G$2:G8215,G8215))</f>
        <v>BG-10554/2</v>
      </c>
      <c r="C8215" s="5" t="s">
        <v>45325</v>
      </c>
      <c r="D8215" s="246">
        <v>45645</v>
      </c>
      <c r="E8215" s="55" t="s">
        <v>45326</v>
      </c>
      <c r="F8215" s="5" t="s">
        <v>45324</v>
      </c>
      <c r="G8215" s="36" t="s">
        <v>21993</v>
      </c>
      <c r="H8215" s="5" t="s">
        <v>21994</v>
      </c>
      <c r="I8215" s="55" t="s">
        <v>17773</v>
      </c>
    </row>
    <row r="8216" spans="1:9" ht="27" customHeight="1">
      <c r="A8216" s="5"/>
      <c r="B8216" s="5" t="str">
        <f>CONCATENATE(G8216,"/",COUNTIF($G$2:G8216,G8216))</f>
        <v>BG-10554/3</v>
      </c>
      <c r="C8216" s="5" t="s">
        <v>45327</v>
      </c>
      <c r="D8216" s="246">
        <v>45645</v>
      </c>
      <c r="E8216" s="55" t="s">
        <v>45328</v>
      </c>
      <c r="F8216" s="5" t="s">
        <v>45324</v>
      </c>
      <c r="G8216" s="36" t="s">
        <v>21993</v>
      </c>
      <c r="H8216" s="5" t="s">
        <v>21994</v>
      </c>
      <c r="I8216" s="55" t="s">
        <v>17773</v>
      </c>
    </row>
    <row r="8217" spans="1:9" ht="27" customHeight="1">
      <c r="A8217" s="5"/>
      <c r="B8217" s="5" t="str">
        <f>CONCATENATE(G8217,"/",COUNTIF($G$2:G8217,G8217))</f>
        <v>BG-10554/4</v>
      </c>
      <c r="C8217" s="5" t="s">
        <v>45329</v>
      </c>
      <c r="D8217" s="246">
        <v>45645</v>
      </c>
      <c r="E8217" s="5" t="s">
        <v>45330</v>
      </c>
      <c r="F8217" s="5" t="s">
        <v>45324</v>
      </c>
      <c r="G8217" s="36" t="s">
        <v>21993</v>
      </c>
      <c r="H8217" s="5" t="s">
        <v>21994</v>
      </c>
      <c r="I8217" s="55" t="s">
        <v>17773</v>
      </c>
    </row>
    <row r="8218" spans="1:9" ht="27" customHeight="1">
      <c r="A8218" s="5"/>
      <c r="B8218" s="5" t="str">
        <f>CONCATENATE(G8218,"/",COUNTIF($G$2:G8218,G8218))</f>
        <v>BG-10554/5</v>
      </c>
      <c r="C8218" s="5" t="s">
        <v>45331</v>
      </c>
      <c r="D8218" s="246">
        <v>45645</v>
      </c>
      <c r="E8218" s="5" t="s">
        <v>45332</v>
      </c>
      <c r="F8218" s="5" t="s">
        <v>23600</v>
      </c>
      <c r="G8218" s="36" t="s">
        <v>21993</v>
      </c>
      <c r="H8218" s="5" t="s">
        <v>21994</v>
      </c>
      <c r="I8218" s="55" t="s">
        <v>17773</v>
      </c>
    </row>
    <row r="8219" spans="1:9" ht="27" customHeight="1">
      <c r="A8219" s="5"/>
      <c r="B8219" s="5" t="str">
        <f>CONCATENATE(G8219,"/",COUNTIF($G$2:G8219,G8219))</f>
        <v>SK-10571/1</v>
      </c>
      <c r="C8219" s="5" t="s">
        <v>45333</v>
      </c>
      <c r="D8219" s="246">
        <v>45626</v>
      </c>
      <c r="E8219" s="5" t="s">
        <v>45334</v>
      </c>
      <c r="F8219" s="5" t="s">
        <v>23600</v>
      </c>
      <c r="G8219" s="36" t="s">
        <v>22110</v>
      </c>
      <c r="H8219" s="5" t="s">
        <v>19150</v>
      </c>
      <c r="I8219" s="55" t="s">
        <v>19149</v>
      </c>
    </row>
    <row r="8220" spans="1:9" ht="27" customHeight="1">
      <c r="A8220" s="5"/>
      <c r="B8220" s="5" t="str">
        <f>CONCATENATE(G8220,"/",COUNTIF($G$2:G8220,G8220))</f>
        <v>SK-10571/2</v>
      </c>
      <c r="C8220" s="5" t="s">
        <v>45333</v>
      </c>
      <c r="D8220" s="246">
        <v>45626</v>
      </c>
      <c r="E8220" s="5" t="s">
        <v>45335</v>
      </c>
      <c r="F8220" s="5" t="s">
        <v>23600</v>
      </c>
      <c r="G8220" s="36" t="s">
        <v>22110</v>
      </c>
      <c r="H8220" s="5" t="s">
        <v>19150</v>
      </c>
      <c r="I8220" s="55" t="s">
        <v>19149</v>
      </c>
    </row>
    <row r="8221" spans="1:9" ht="27" customHeight="1">
      <c r="A8221" s="5"/>
      <c r="B8221" s="5" t="str">
        <f>CONCATENATE(G8221,"/",COUNTIF($G$2:G8221,G8221))</f>
        <v>SK-10571/3</v>
      </c>
      <c r="C8221" s="5" t="s">
        <v>45333</v>
      </c>
      <c r="D8221" s="246">
        <v>45626</v>
      </c>
      <c r="E8221" s="5" t="s">
        <v>45336</v>
      </c>
      <c r="F8221" s="5" t="s">
        <v>23600</v>
      </c>
      <c r="G8221" s="36" t="s">
        <v>22110</v>
      </c>
      <c r="H8221" s="5" t="s">
        <v>19150</v>
      </c>
      <c r="I8221" s="55" t="s">
        <v>19149</v>
      </c>
    </row>
    <row r="8222" spans="1:9" ht="27" customHeight="1">
      <c r="A8222" s="5"/>
      <c r="B8222" s="5" t="str">
        <f>CONCATENATE(G8222,"/",COUNTIF($G$2:G8222,G8222))</f>
        <v>SK-10571/4</v>
      </c>
      <c r="C8222" s="5" t="s">
        <v>45333</v>
      </c>
      <c r="D8222" s="246">
        <v>45626</v>
      </c>
      <c r="E8222" s="5" t="s">
        <v>45337</v>
      </c>
      <c r="F8222" s="5" t="s">
        <v>23600</v>
      </c>
      <c r="G8222" s="36" t="s">
        <v>22110</v>
      </c>
      <c r="H8222" s="5" t="s">
        <v>19150</v>
      </c>
      <c r="I8222" s="55" t="s">
        <v>19149</v>
      </c>
    </row>
    <row r="8223" spans="1:9" ht="27" customHeight="1">
      <c r="A8223" s="5"/>
      <c r="B8223" s="5" t="str">
        <f>CONCATENATE(G8223,"/",COUNTIF($G$2:G8223,G8223))</f>
        <v>FI-10522/1</v>
      </c>
      <c r="C8223" s="5" t="s">
        <v>45338</v>
      </c>
      <c r="D8223" s="246">
        <v>45637</v>
      </c>
      <c r="E8223" s="5" t="s">
        <v>45339</v>
      </c>
      <c r="F8223" s="5" t="s">
        <v>23600</v>
      </c>
      <c r="G8223" s="36" t="s">
        <v>21785</v>
      </c>
      <c r="H8223" s="5" t="s">
        <v>45340</v>
      </c>
      <c r="I8223" s="55" t="s">
        <v>18881</v>
      </c>
    </row>
    <row r="8224" spans="1:9" ht="27" customHeight="1">
      <c r="A8224" s="5"/>
      <c r="B8224" s="5" t="str">
        <f>CONCATENATE(G8224,"/",COUNTIF($G$2:G8224,G8224))</f>
        <v>FI-10522/2</v>
      </c>
      <c r="C8224" s="5" t="s">
        <v>45341</v>
      </c>
      <c r="D8224" s="246">
        <v>45637</v>
      </c>
      <c r="E8224" s="5" t="s">
        <v>45342</v>
      </c>
      <c r="F8224" s="5" t="s">
        <v>23600</v>
      </c>
      <c r="G8224" s="36" t="s">
        <v>21785</v>
      </c>
      <c r="H8224" s="5" t="s">
        <v>45340</v>
      </c>
      <c r="I8224" s="55" t="s">
        <v>18881</v>
      </c>
    </row>
    <row r="8225" spans="1:9" ht="27" customHeight="1">
      <c r="A8225" s="5"/>
      <c r="B8225" s="5" t="str">
        <f>CONCATENATE(G8225,"/",COUNTIF($G$2:G8225,G8225))</f>
        <v>RO-10509/1</v>
      </c>
      <c r="C8225" s="5" t="s">
        <v>45343</v>
      </c>
      <c r="D8225" s="246">
        <v>45646</v>
      </c>
      <c r="E8225" s="5" t="s">
        <v>45344</v>
      </c>
      <c r="F8225" s="5" t="s">
        <v>38347</v>
      </c>
      <c r="G8225" s="36" t="s">
        <v>21730</v>
      </c>
      <c r="H8225" s="5" t="s">
        <v>21731</v>
      </c>
      <c r="I8225" s="55" t="s">
        <v>17682</v>
      </c>
    </row>
    <row r="8226" spans="1:9" ht="27" customHeight="1">
      <c r="A8226" s="5"/>
      <c r="B8226" s="5" t="str">
        <f>CONCATENATE(G8226,"/",COUNTIF($G$2:G8226,G8226))</f>
        <v>RO-10506/1</v>
      </c>
      <c r="C8226" s="5" t="s">
        <v>45345</v>
      </c>
      <c r="D8226" s="246">
        <v>45649</v>
      </c>
      <c r="E8226" s="5" t="s">
        <v>45346</v>
      </c>
      <c r="F8226" s="5" t="s">
        <v>38347</v>
      </c>
      <c r="G8226" s="36" t="s">
        <v>21723</v>
      </c>
      <c r="H8226" s="5" t="s">
        <v>21724</v>
      </c>
      <c r="I8226" s="55" t="s">
        <v>17682</v>
      </c>
    </row>
    <row r="8227" spans="1:9" ht="27" customHeight="1">
      <c r="A8227" s="5"/>
      <c r="B8227" s="5" t="str">
        <f>CONCATENATE(G8227,"/",COUNTIF($G$2:G8227,G8227))</f>
        <v>DE-6207/1</v>
      </c>
      <c r="C8227" s="5" t="s">
        <v>45347</v>
      </c>
      <c r="D8227" s="246">
        <v>45671</v>
      </c>
      <c r="E8227" s="5" t="s">
        <v>45348</v>
      </c>
      <c r="F8227" s="5" t="s">
        <v>25439</v>
      </c>
      <c r="G8227" s="27" t="s">
        <v>17417</v>
      </c>
      <c r="H8227" s="5" t="s">
        <v>45349</v>
      </c>
      <c r="I8227" s="55" t="s">
        <v>6455</v>
      </c>
    </row>
    <row r="8228" spans="1:9" ht="27" customHeight="1">
      <c r="A8228" s="5"/>
      <c r="B8228" s="5" t="str">
        <f>CONCATENATE(G8228,"/",COUNTIF($G$2:G8228,G8228))</f>
        <v>RO-10510/1</v>
      </c>
      <c r="C8228" s="5" t="s">
        <v>45350</v>
      </c>
      <c r="D8228" s="246">
        <v>45667</v>
      </c>
      <c r="E8228" s="5" t="s">
        <v>45351</v>
      </c>
      <c r="F8228" s="5" t="s">
        <v>38347</v>
      </c>
      <c r="G8228" s="36" t="s">
        <v>21750</v>
      </c>
      <c r="H8228" s="5" t="s">
        <v>21751</v>
      </c>
      <c r="I8228" s="5" t="s">
        <v>17682</v>
      </c>
    </row>
    <row r="8229" spans="1:9" ht="27" customHeight="1">
      <c r="A8229" s="5"/>
      <c r="B8229" s="5" t="str">
        <f>CONCATENATE(G8229,"/",COUNTIF($G$2:G8229,G8229))</f>
        <v>RO-10510/2</v>
      </c>
      <c r="C8229" s="5" t="s">
        <v>45352</v>
      </c>
      <c r="D8229" s="246">
        <v>45667</v>
      </c>
      <c r="E8229" s="5" t="s">
        <v>45353</v>
      </c>
      <c r="F8229" s="5" t="s">
        <v>38347</v>
      </c>
      <c r="G8229" s="36" t="s">
        <v>21750</v>
      </c>
      <c r="H8229" s="5" t="s">
        <v>21751</v>
      </c>
      <c r="I8229" s="5" t="s">
        <v>17682</v>
      </c>
    </row>
    <row r="8230" spans="1:9" ht="27" customHeight="1">
      <c r="A8230" s="5"/>
      <c r="B8230" s="5" t="str">
        <f>CONCATENATE(G8230,"/",COUNTIF($G$2:G8230,G8230))</f>
        <v>BG-10599/1</v>
      </c>
      <c r="C8230" s="5" t="s">
        <v>44654</v>
      </c>
      <c r="D8230" s="246">
        <v>45671</v>
      </c>
      <c r="E8230" s="5" t="s">
        <v>45255</v>
      </c>
      <c r="F8230" s="5" t="s">
        <v>45324</v>
      </c>
      <c r="G8230" s="36" t="s">
        <v>22288</v>
      </c>
      <c r="H8230" s="5" t="s">
        <v>22289</v>
      </c>
      <c r="I8230" s="5" t="s">
        <v>17773</v>
      </c>
    </row>
    <row r="8231" spans="1:9" ht="27" customHeight="1">
      <c r="A8231" s="5"/>
      <c r="B8231" s="5" t="str">
        <f>CONCATENATE(G8231,"/",COUNTIF($G$2:G8231,G8231))</f>
        <v>BG-10599/2</v>
      </c>
      <c r="C8231" s="5" t="s">
        <v>45354</v>
      </c>
      <c r="D8231" s="246">
        <v>45671</v>
      </c>
      <c r="E8231" s="5" t="s">
        <v>45355</v>
      </c>
      <c r="F8231" s="5" t="s">
        <v>45324</v>
      </c>
      <c r="G8231" s="36" t="s">
        <v>22288</v>
      </c>
      <c r="H8231" s="5" t="s">
        <v>22289</v>
      </c>
      <c r="I8231" s="5" t="s">
        <v>17773</v>
      </c>
    </row>
    <row r="8232" spans="1:9" ht="27" customHeight="1">
      <c r="A8232" s="5"/>
      <c r="B8232" s="5" t="str">
        <f>CONCATENATE(G8232,"/",COUNTIF($G$2:G8232,G8232))</f>
        <v>BG-10599/3</v>
      </c>
      <c r="C8232" s="5" t="s">
        <v>45356</v>
      </c>
      <c r="D8232" s="246">
        <v>45671</v>
      </c>
      <c r="E8232" s="5" t="s">
        <v>45357</v>
      </c>
      <c r="F8232" s="5" t="s">
        <v>45324</v>
      </c>
      <c r="G8232" s="36" t="s">
        <v>22288</v>
      </c>
      <c r="H8232" s="5" t="s">
        <v>22289</v>
      </c>
      <c r="I8232" s="5" t="s">
        <v>17773</v>
      </c>
    </row>
    <row r="8233" spans="1:9" ht="27" customHeight="1">
      <c r="A8233" s="5"/>
      <c r="B8233" s="5" t="str">
        <f>CONCATENATE(G8233,"/",COUNTIF($G$2:G8233,G8233))</f>
        <v>BG-10599/4</v>
      </c>
      <c r="C8233" s="5" t="s">
        <v>45358</v>
      </c>
      <c r="D8233" s="246">
        <v>45671</v>
      </c>
      <c r="E8233" s="5" t="s">
        <v>45359</v>
      </c>
      <c r="F8233" s="5" t="s">
        <v>45324</v>
      </c>
      <c r="G8233" s="36" t="s">
        <v>22288</v>
      </c>
      <c r="H8233" s="5" t="s">
        <v>22289</v>
      </c>
      <c r="I8233" s="5" t="s">
        <v>17773</v>
      </c>
    </row>
    <row r="8234" spans="1:9" ht="27" customHeight="1">
      <c r="A8234" s="5"/>
      <c r="B8234" s="5" t="str">
        <f>CONCATENATE(G8234,"/",COUNTIF($G$2:G8234,G8234))</f>
        <v>BG-10599/5</v>
      </c>
      <c r="C8234" s="5" t="s">
        <v>45360</v>
      </c>
      <c r="D8234" s="246">
        <v>45671</v>
      </c>
      <c r="E8234" s="5" t="s">
        <v>45361</v>
      </c>
      <c r="F8234" s="5" t="s">
        <v>45324</v>
      </c>
      <c r="G8234" s="36" t="s">
        <v>22288</v>
      </c>
      <c r="H8234" s="5" t="s">
        <v>22289</v>
      </c>
      <c r="I8234" s="5" t="s">
        <v>17773</v>
      </c>
    </row>
    <row r="8235" spans="1:9" ht="27" customHeight="1">
      <c r="A8235" s="5"/>
      <c r="B8235" s="5" t="str">
        <f>CONCATENATE(G8235,"/",COUNTIF($G$2:G8235,G8235))</f>
        <v>BG-10599/6</v>
      </c>
      <c r="C8235" s="5" t="s">
        <v>45362</v>
      </c>
      <c r="D8235" s="246">
        <v>45671</v>
      </c>
      <c r="E8235" s="5" t="s">
        <v>45363</v>
      </c>
      <c r="F8235" s="5" t="s">
        <v>45324</v>
      </c>
      <c r="G8235" s="36" t="s">
        <v>22288</v>
      </c>
      <c r="H8235" s="5" t="s">
        <v>22289</v>
      </c>
      <c r="I8235" s="5" t="s">
        <v>17773</v>
      </c>
    </row>
    <row r="8236" spans="1:9" ht="27" customHeight="1">
      <c r="A8236" s="5"/>
      <c r="B8236" s="5" t="str">
        <f>CONCATENATE(G8236,"/",COUNTIF($G$2:G8236,G8236))</f>
        <v>DE-6329/2</v>
      </c>
      <c r="C8236" s="5" t="s">
        <v>44515</v>
      </c>
      <c r="D8236" s="246">
        <v>44040</v>
      </c>
      <c r="E8236" s="5" t="s">
        <v>44516</v>
      </c>
      <c r="F8236" s="5" t="s">
        <v>25439</v>
      </c>
      <c r="G8236" s="27" t="s">
        <v>17786</v>
      </c>
      <c r="H8236" s="5" t="s">
        <v>17787</v>
      </c>
      <c r="I8236" s="5" t="s">
        <v>6455</v>
      </c>
    </row>
    <row r="8237" spans="1:9" ht="27" customHeight="1">
      <c r="A8237" s="5"/>
      <c r="B8237" s="5" t="str">
        <f>CONCATENATE(G8237,"/",COUNTIF($G$2:G8237,G8237))</f>
        <v>FR-10278/1</v>
      </c>
      <c r="C8237" s="5" t="s">
        <v>45364</v>
      </c>
      <c r="D8237" s="246">
        <v>45686</v>
      </c>
      <c r="E8237" s="5" t="s">
        <v>45365</v>
      </c>
      <c r="F8237" s="5" t="s">
        <v>24939</v>
      </c>
      <c r="G8237" s="27" t="s">
        <v>20250</v>
      </c>
      <c r="H8237" s="29" t="s">
        <v>20251</v>
      </c>
      <c r="I8237" s="5" t="s">
        <v>16310</v>
      </c>
    </row>
    <row r="8238" spans="1:9" ht="27" customHeight="1">
      <c r="A8238" s="5"/>
      <c r="B8238" s="5" t="str">
        <f>CONCATENATE(G8238,"/",COUNTIF($G$2:G8238,G8238))</f>
        <v>FR-10278/2</v>
      </c>
      <c r="C8238" s="5" t="s">
        <v>45366</v>
      </c>
      <c r="D8238" s="246">
        <v>45686</v>
      </c>
      <c r="E8238" s="5" t="s">
        <v>45367</v>
      </c>
      <c r="F8238" s="5" t="s">
        <v>24939</v>
      </c>
      <c r="G8238" s="27" t="s">
        <v>20250</v>
      </c>
      <c r="H8238" s="29" t="s">
        <v>20251</v>
      </c>
      <c r="I8238" s="5" t="s">
        <v>16310</v>
      </c>
    </row>
    <row r="8239" spans="1:9" ht="27" customHeight="1">
      <c r="A8239" s="5"/>
      <c r="B8239" s="5" t="str">
        <f>CONCATENATE(G8239,"/",COUNTIF($G$2:G8239,G8239))</f>
        <v>FR-10278/3</v>
      </c>
      <c r="C8239" s="5" t="s">
        <v>45368</v>
      </c>
      <c r="D8239" s="246">
        <v>45686</v>
      </c>
      <c r="E8239" s="5" t="s">
        <v>45369</v>
      </c>
      <c r="F8239" s="5" t="s">
        <v>24939</v>
      </c>
      <c r="G8239" s="27" t="s">
        <v>20250</v>
      </c>
      <c r="H8239" s="29" t="s">
        <v>20251</v>
      </c>
      <c r="I8239" s="5" t="s">
        <v>16310</v>
      </c>
    </row>
    <row r="8240" spans="1:9" ht="27" customHeight="1">
      <c r="A8240" s="5"/>
      <c r="B8240" s="5" t="str">
        <f>CONCATENATE(G8240,"/",COUNTIF($G$2:G8240,G8240))</f>
        <v>FR-10278/4</v>
      </c>
      <c r="C8240" s="5" t="s">
        <v>45370</v>
      </c>
      <c r="D8240" s="246">
        <v>45686</v>
      </c>
      <c r="E8240" s="5" t="s">
        <v>45371</v>
      </c>
      <c r="F8240" s="5" t="s">
        <v>24939</v>
      </c>
      <c r="G8240" s="27" t="s">
        <v>20250</v>
      </c>
      <c r="H8240" s="29" t="s">
        <v>20251</v>
      </c>
      <c r="I8240" s="5" t="s">
        <v>16310</v>
      </c>
    </row>
    <row r="8241" spans="1:9" ht="27" customHeight="1">
      <c r="A8241" s="5"/>
      <c r="B8241" s="5" t="str">
        <f>CONCATENATE(G8241,"/",COUNTIF($G$2:G8241,G8241))</f>
        <v>FR-10278/5</v>
      </c>
      <c r="C8241" s="5" t="s">
        <v>45372</v>
      </c>
      <c r="D8241" s="246">
        <v>45686</v>
      </c>
      <c r="E8241" s="5" t="s">
        <v>45373</v>
      </c>
      <c r="F8241" s="5" t="s">
        <v>24939</v>
      </c>
      <c r="G8241" s="27" t="s">
        <v>20250</v>
      </c>
      <c r="H8241" s="29" t="s">
        <v>20251</v>
      </c>
      <c r="I8241" s="5" t="s">
        <v>16310</v>
      </c>
    </row>
    <row r="8242" spans="1:9" ht="27" customHeight="1">
      <c r="A8242" s="5"/>
      <c r="B8242" s="5" t="str">
        <f>CONCATENATE(G8242,"/",COUNTIF($G$2:G8242,G8242))</f>
        <v>FR-10278/6</v>
      </c>
      <c r="C8242" s="5" t="s">
        <v>45374</v>
      </c>
      <c r="D8242" s="246">
        <v>45686</v>
      </c>
      <c r="E8242" s="5" t="s">
        <v>45375</v>
      </c>
      <c r="F8242" s="5" t="s">
        <v>24939</v>
      </c>
      <c r="G8242" s="27" t="s">
        <v>20250</v>
      </c>
      <c r="H8242" s="29" t="s">
        <v>20251</v>
      </c>
      <c r="I8242" s="5" t="s">
        <v>16310</v>
      </c>
    </row>
    <row r="8243" spans="1:9" ht="27" customHeight="1">
      <c r="A8243" s="5"/>
      <c r="B8243" s="5" t="str">
        <f>CONCATENATE(G8243,"/",COUNTIF($G$2:G8243,G8243))</f>
        <v>PL-10513/1</v>
      </c>
      <c r="C8243" s="5" t="s">
        <v>45376</v>
      </c>
      <c r="D8243" s="246">
        <v>45667</v>
      </c>
      <c r="E8243" s="5" t="s">
        <v>45377</v>
      </c>
      <c r="F8243" s="27" t="s">
        <v>23600</v>
      </c>
      <c r="G8243" s="27" t="s">
        <v>21737</v>
      </c>
      <c r="H8243" s="55" t="s">
        <v>21738</v>
      </c>
      <c r="I8243" s="27" t="s">
        <v>17057</v>
      </c>
    </row>
    <row r="8244" spans="1:9" ht="27" customHeight="1">
      <c r="A8244" s="5"/>
      <c r="B8244" s="5" t="str">
        <f>CONCATENATE(G8244,"/",COUNTIF($G$2:G8244,G8244))</f>
        <v>PL-10513/2</v>
      </c>
      <c r="C8244" s="5" t="s">
        <v>45378</v>
      </c>
      <c r="D8244" s="246">
        <v>45667</v>
      </c>
      <c r="E8244" s="5" t="s">
        <v>45379</v>
      </c>
      <c r="F8244" s="27" t="s">
        <v>23600</v>
      </c>
      <c r="G8244" s="27" t="s">
        <v>21737</v>
      </c>
      <c r="H8244" s="55" t="s">
        <v>21738</v>
      </c>
      <c r="I8244" s="27" t="s">
        <v>17057</v>
      </c>
    </row>
    <row r="8245" spans="1:9" ht="27" customHeight="1">
      <c r="A8245" s="5"/>
      <c r="B8245" s="5" t="str">
        <f>CONCATENATE(G8245,"/",COUNTIF($G$2:G8245,G8245))</f>
        <v>PL-10513/3</v>
      </c>
      <c r="C8245" s="5" t="s">
        <v>45380</v>
      </c>
      <c r="D8245" s="246">
        <v>45667</v>
      </c>
      <c r="E8245" s="5" t="s">
        <v>45381</v>
      </c>
      <c r="F8245" s="27" t="s">
        <v>23600</v>
      </c>
      <c r="G8245" s="27" t="s">
        <v>21737</v>
      </c>
      <c r="H8245" s="55" t="s">
        <v>21738</v>
      </c>
      <c r="I8245" s="27" t="s">
        <v>17057</v>
      </c>
    </row>
    <row r="8246" spans="1:9" ht="27" customHeight="1">
      <c r="A8246" s="5"/>
      <c r="B8246" s="5" t="str">
        <f>CONCATENATE(G8246,"/",COUNTIF($G$2:G8246,G8246))</f>
        <v>PL-10513/4</v>
      </c>
      <c r="C8246" s="5" t="s">
        <v>45382</v>
      </c>
      <c r="D8246" s="246">
        <v>45667</v>
      </c>
      <c r="E8246" s="5" t="s">
        <v>45383</v>
      </c>
      <c r="F8246" s="27" t="s">
        <v>23600</v>
      </c>
      <c r="G8246" s="27" t="s">
        <v>21737</v>
      </c>
      <c r="H8246" s="55" t="s">
        <v>21738</v>
      </c>
      <c r="I8246" s="27" t="s">
        <v>17057</v>
      </c>
    </row>
    <row r="8247" spans="1:9" ht="27" customHeight="1">
      <c r="A8247" s="5"/>
      <c r="B8247" s="5" t="str">
        <f>CONCATENATE(G8247,"/",COUNTIF($G$2:G8247,G8247))</f>
        <v>PL-10513/5</v>
      </c>
      <c r="C8247" s="5" t="s">
        <v>45384</v>
      </c>
      <c r="D8247" s="246">
        <v>45667</v>
      </c>
      <c r="E8247" s="5" t="s">
        <v>45385</v>
      </c>
      <c r="F8247" s="27" t="s">
        <v>23600</v>
      </c>
      <c r="G8247" s="27" t="s">
        <v>21737</v>
      </c>
      <c r="H8247" s="55" t="s">
        <v>21738</v>
      </c>
      <c r="I8247" s="27" t="s">
        <v>17057</v>
      </c>
    </row>
    <row r="8248" spans="1:9" ht="27" customHeight="1">
      <c r="A8248" s="5"/>
      <c r="B8248" s="5" t="str">
        <f>CONCATENATE(G8248,"/",COUNTIF($G$2:G8248,G8248))</f>
        <v>IT-10481/1</v>
      </c>
      <c r="C8248" s="5" t="s">
        <v>45386</v>
      </c>
      <c r="D8248" s="246">
        <v>45695</v>
      </c>
      <c r="E8248" s="5" t="s">
        <v>45387</v>
      </c>
      <c r="F8248" s="27" t="s">
        <v>23600</v>
      </c>
      <c r="G8248" s="27" t="s">
        <v>21546</v>
      </c>
      <c r="H8248" s="55" t="s">
        <v>45388</v>
      </c>
      <c r="I8248" s="27" t="s">
        <v>18131</v>
      </c>
    </row>
    <row r="8249" spans="1:9" ht="27" customHeight="1">
      <c r="A8249" s="5"/>
      <c r="B8249" s="5" t="str">
        <f>CONCATENATE(G8249,"/",COUNTIF($G$2:G8249,G8249))</f>
        <v>IT-10481/2</v>
      </c>
      <c r="C8249" s="5" t="s">
        <v>45389</v>
      </c>
      <c r="D8249" s="246">
        <v>45695</v>
      </c>
      <c r="E8249" s="5" t="s">
        <v>45390</v>
      </c>
      <c r="F8249" s="27" t="s">
        <v>23600</v>
      </c>
      <c r="G8249" s="27" t="s">
        <v>21546</v>
      </c>
      <c r="H8249" s="55" t="s">
        <v>45388</v>
      </c>
      <c r="I8249" s="27" t="s">
        <v>18131</v>
      </c>
    </row>
    <row r="8250" spans="1:9" ht="27" customHeight="1">
      <c r="A8250" s="5"/>
      <c r="B8250" s="5" t="str">
        <f>CONCATENATE(G8250,"/",COUNTIF($G$2:G8250,G8250))</f>
        <v>IT-10481/3</v>
      </c>
      <c r="C8250" s="5" t="s">
        <v>45391</v>
      </c>
      <c r="D8250" s="246">
        <v>45695</v>
      </c>
      <c r="E8250" s="5" t="s">
        <v>45392</v>
      </c>
      <c r="F8250" s="27" t="s">
        <v>23600</v>
      </c>
      <c r="G8250" s="27" t="s">
        <v>21546</v>
      </c>
      <c r="H8250" s="55" t="s">
        <v>45388</v>
      </c>
      <c r="I8250" s="27" t="s">
        <v>18131</v>
      </c>
    </row>
    <row r="8251" spans="1:9" ht="27" customHeight="1">
      <c r="A8251" s="5"/>
      <c r="B8251" s="5" t="str">
        <f>CONCATENATE(G8251,"/",COUNTIF($G$2:G8251,G8251))</f>
        <v>IT-10481/4</v>
      </c>
      <c r="C8251" s="5" t="s">
        <v>45393</v>
      </c>
      <c r="D8251" s="246">
        <v>45695</v>
      </c>
      <c r="E8251" s="5" t="s">
        <v>45394</v>
      </c>
      <c r="F8251" s="27" t="s">
        <v>23600</v>
      </c>
      <c r="G8251" s="27" t="s">
        <v>21546</v>
      </c>
      <c r="H8251" s="55" t="s">
        <v>45388</v>
      </c>
      <c r="I8251" s="27" t="s">
        <v>18131</v>
      </c>
    </row>
    <row r="8252" spans="1:9" ht="27" customHeight="1">
      <c r="A8252" s="5"/>
      <c r="B8252" s="5" t="str">
        <f>CONCATENATE(G8252,"/",COUNTIF($G$2:G8252,G8252))</f>
        <v>DE-6285/1</v>
      </c>
      <c r="C8252" s="5" t="s">
        <v>45395</v>
      </c>
      <c r="D8252" s="246">
        <v>45664</v>
      </c>
      <c r="E8252" s="5" t="s">
        <v>45396</v>
      </c>
      <c r="F8252" s="27" t="s">
        <v>25439</v>
      </c>
      <c r="G8252" s="27" t="s">
        <v>17794</v>
      </c>
      <c r="H8252" s="55" t="s">
        <v>45397</v>
      </c>
      <c r="I8252" s="27" t="s">
        <v>6455</v>
      </c>
    </row>
    <row r="8253" spans="1:9" ht="27" customHeight="1">
      <c r="A8253" s="5"/>
      <c r="B8253" s="5" t="str">
        <f>CONCATENATE(G8253,"/",COUNTIF($G$2:G8253,G8253))</f>
        <v>DE-6285/2</v>
      </c>
      <c r="C8253" s="5" t="s">
        <v>45398</v>
      </c>
      <c r="D8253" s="246">
        <v>45664</v>
      </c>
      <c r="E8253" s="5" t="s">
        <v>45399</v>
      </c>
      <c r="F8253" s="27" t="s">
        <v>25439</v>
      </c>
      <c r="G8253" s="27" t="s">
        <v>17794</v>
      </c>
      <c r="H8253" s="55" t="s">
        <v>45397</v>
      </c>
      <c r="I8253" s="27" t="s">
        <v>6455</v>
      </c>
    </row>
    <row r="8254" spans="1:9" ht="27" customHeight="1">
      <c r="A8254" s="5"/>
      <c r="B8254" s="5" t="str">
        <f>CONCATENATE(G8254,"/",COUNTIF($G$2:G8254,G8254))</f>
        <v>DE-10413/1</v>
      </c>
      <c r="C8254" s="5" t="s">
        <v>45400</v>
      </c>
      <c r="D8254" s="246">
        <v>45692</v>
      </c>
      <c r="E8254" s="5" t="s">
        <v>45401</v>
      </c>
      <c r="F8254" s="27" t="s">
        <v>25439</v>
      </c>
      <c r="G8254" s="27" t="s">
        <v>20639</v>
      </c>
      <c r="H8254" s="55" t="s">
        <v>45402</v>
      </c>
      <c r="I8254" s="27" t="s">
        <v>6455</v>
      </c>
    </row>
    <row r="8255" spans="1:9" ht="27" customHeight="1">
      <c r="A8255" s="5"/>
      <c r="B8255" s="5" t="str">
        <f>CONCATENATE(G8255,"/",COUNTIF($G$2:G8255,G8255))</f>
        <v>DE-10413/2</v>
      </c>
      <c r="C8255" s="5" t="s">
        <v>45403</v>
      </c>
      <c r="D8255" s="246">
        <v>45692</v>
      </c>
      <c r="E8255" s="5" t="s">
        <v>45404</v>
      </c>
      <c r="F8255" s="27" t="s">
        <v>25439</v>
      </c>
      <c r="G8255" s="27" t="s">
        <v>20639</v>
      </c>
      <c r="H8255" s="55" t="s">
        <v>45402</v>
      </c>
      <c r="I8255" s="27" t="s">
        <v>6455</v>
      </c>
    </row>
    <row r="8256" spans="1:9" ht="27" customHeight="1">
      <c r="A8256" s="5"/>
      <c r="B8256" s="5" t="str">
        <f>CONCATENATE(G8256,"/",COUNTIF($G$2:G8256,G8256))</f>
        <v>SE-10542/1</v>
      </c>
      <c r="C8256" s="5" t="s">
        <v>45134</v>
      </c>
      <c r="D8256" s="246">
        <v>45695</v>
      </c>
      <c r="E8256" s="5" t="s">
        <v>45405</v>
      </c>
      <c r="F8256" s="27" t="s">
        <v>23600</v>
      </c>
      <c r="G8256" s="27" t="s">
        <v>21911</v>
      </c>
      <c r="H8256" s="46" t="s">
        <v>21912</v>
      </c>
      <c r="I8256" s="27" t="s">
        <v>18070</v>
      </c>
    </row>
    <row r="8257" spans="1:9" ht="27" customHeight="1">
      <c r="A8257" s="5"/>
      <c r="B8257" s="5" t="str">
        <f>CONCATENATE(G8257,"/",COUNTIF($G$2:G8257,G8257))</f>
        <v>SE-10542/2</v>
      </c>
      <c r="C8257" s="5" t="s">
        <v>45134</v>
      </c>
      <c r="D8257" s="246">
        <v>45695</v>
      </c>
      <c r="E8257" s="5" t="s">
        <v>45406</v>
      </c>
      <c r="F8257" s="27" t="s">
        <v>23600</v>
      </c>
      <c r="G8257" s="27" t="s">
        <v>21911</v>
      </c>
      <c r="H8257" s="46" t="s">
        <v>21912</v>
      </c>
      <c r="I8257" s="27" t="s">
        <v>18070</v>
      </c>
    </row>
    <row r="8258" spans="1:9" ht="27" customHeight="1">
      <c r="A8258" s="5"/>
      <c r="B8258" s="5" t="str">
        <f>CONCATENATE(G8258,"/",COUNTIF($G$2:G8258,G8258))</f>
        <v>RO-10394/1</v>
      </c>
      <c r="C8258" s="5" t="s">
        <v>45407</v>
      </c>
      <c r="D8258" s="246">
        <v>45701</v>
      </c>
      <c r="E8258" s="5" t="s">
        <v>45408</v>
      </c>
      <c r="F8258" s="27" t="s">
        <v>38347</v>
      </c>
      <c r="G8258" s="27" t="s">
        <v>20989</v>
      </c>
      <c r="H8258" s="46" t="s">
        <v>45409</v>
      </c>
      <c r="I8258" s="27" t="s">
        <v>17682</v>
      </c>
    </row>
    <row r="8259" spans="1:9" ht="27" customHeight="1">
      <c r="A8259" s="5"/>
      <c r="B8259" s="5" t="str">
        <f>CONCATENATE(G8259,"/",COUNTIF($G$2:G8259,G8259))</f>
        <v>RO-10394/2</v>
      </c>
      <c r="C8259" s="5" t="s">
        <v>45410</v>
      </c>
      <c r="D8259" s="246">
        <v>45701</v>
      </c>
      <c r="E8259" s="5" t="s">
        <v>45411</v>
      </c>
      <c r="F8259" s="27" t="s">
        <v>38347</v>
      </c>
      <c r="G8259" s="27" t="s">
        <v>20989</v>
      </c>
      <c r="H8259" s="46" t="s">
        <v>45409</v>
      </c>
      <c r="I8259" s="27" t="s">
        <v>17682</v>
      </c>
    </row>
    <row r="8260" spans="1:9" ht="27" customHeight="1">
      <c r="A8260" s="5"/>
      <c r="B8260" s="5" t="str">
        <f>CONCATENATE(G8260,"/",COUNTIF($G$2:G8260,G8260))</f>
        <v>RO-10528/1</v>
      </c>
      <c r="C8260" s="5" t="s">
        <v>45412</v>
      </c>
      <c r="D8260" s="246">
        <v>45712</v>
      </c>
      <c r="E8260" s="5" t="s">
        <v>45413</v>
      </c>
      <c r="F8260" s="27" t="s">
        <v>38347</v>
      </c>
      <c r="G8260" s="27" t="s">
        <v>21825</v>
      </c>
      <c r="H8260" s="27" t="s">
        <v>21826</v>
      </c>
      <c r="I8260" s="27" t="s">
        <v>17682</v>
      </c>
    </row>
    <row r="8261" spans="1:9" ht="27" customHeight="1">
      <c r="A8261" s="5"/>
      <c r="B8261" s="5" t="str">
        <f>CONCATENATE(G8261,"/",COUNTIF($G$2:G8261,G8261))</f>
        <v>RO-10528/2</v>
      </c>
      <c r="C8261" s="5" t="s">
        <v>45414</v>
      </c>
      <c r="D8261" s="246">
        <v>45712</v>
      </c>
      <c r="E8261" s="5" t="s">
        <v>45415</v>
      </c>
      <c r="F8261" s="27" t="s">
        <v>38347</v>
      </c>
      <c r="G8261" s="27" t="s">
        <v>21825</v>
      </c>
      <c r="H8261" s="27" t="s">
        <v>21826</v>
      </c>
      <c r="I8261" s="27" t="s">
        <v>17682</v>
      </c>
    </row>
    <row r="8262" spans="1:9" ht="27" customHeight="1">
      <c r="A8262" s="5"/>
      <c r="B8262" s="5" t="str">
        <f>CONCATENATE(G8262,"/",COUNTIF($G$2:G8262,G8262))</f>
        <v>RO-10528/3</v>
      </c>
      <c r="C8262" s="5" t="s">
        <v>45416</v>
      </c>
      <c r="D8262" s="246">
        <v>45712</v>
      </c>
      <c r="E8262" s="5" t="s">
        <v>45417</v>
      </c>
      <c r="F8262" s="27" t="s">
        <v>38347</v>
      </c>
      <c r="G8262" s="27" t="s">
        <v>21825</v>
      </c>
      <c r="H8262" s="27" t="s">
        <v>21826</v>
      </c>
      <c r="I8262" s="27" t="s">
        <v>17682</v>
      </c>
    </row>
    <row r="8263" spans="1:9" ht="27" customHeight="1">
      <c r="A8263" s="5"/>
      <c r="B8263" s="5" t="str">
        <f>CONCATENATE(G8263,"/",COUNTIF($G$2:G8263,G8263))</f>
        <v>CZ-10531/1</v>
      </c>
      <c r="C8263" s="63" t="s">
        <v>23621</v>
      </c>
      <c r="D8263" s="246">
        <v>45714</v>
      </c>
      <c r="E8263" s="5" t="s">
        <v>45418</v>
      </c>
      <c r="F8263" s="27" t="s">
        <v>23600</v>
      </c>
      <c r="G8263" s="27" t="s">
        <v>21839</v>
      </c>
      <c r="H8263" s="27" t="s">
        <v>21840</v>
      </c>
      <c r="I8263" s="27" t="s">
        <v>16429</v>
      </c>
    </row>
    <row r="8264" spans="1:9" ht="27" customHeight="1">
      <c r="A8264" s="5"/>
      <c r="B8264" s="5" t="str">
        <f>CONCATENATE(G8264,"/",COUNTIF($G$2:G8264,G8264))</f>
        <v>RO-10530/1</v>
      </c>
      <c r="C8264" s="63" t="s">
        <v>45419</v>
      </c>
      <c r="D8264" s="246">
        <v>45714</v>
      </c>
      <c r="E8264" s="5" t="s">
        <v>45420</v>
      </c>
      <c r="F8264" s="27" t="s">
        <v>38347</v>
      </c>
      <c r="G8264" s="27" t="s">
        <v>21832</v>
      </c>
      <c r="H8264" s="27" t="s">
        <v>21833</v>
      </c>
      <c r="I8264" s="27" t="s">
        <v>17682</v>
      </c>
    </row>
    <row r="8265" spans="1:9" ht="27" customHeight="1">
      <c r="A8265" s="5"/>
      <c r="B8265" s="5" t="str">
        <f>CONCATENATE(G8265,"/",COUNTIF($G$2:G8265,G8265))</f>
        <v>EL-10464/1</v>
      </c>
      <c r="C8265" s="63" t="s">
        <v>45421</v>
      </c>
      <c r="D8265" s="246">
        <v>45715</v>
      </c>
      <c r="E8265" s="5" t="s">
        <v>45422</v>
      </c>
      <c r="F8265" s="27" t="s">
        <v>23600</v>
      </c>
      <c r="G8265" s="27" t="s">
        <v>20937</v>
      </c>
      <c r="H8265" s="55" t="s">
        <v>20938</v>
      </c>
      <c r="I8265" s="27" t="s">
        <v>20939</v>
      </c>
    </row>
    <row r="8266" spans="1:9" ht="27" customHeight="1">
      <c r="A8266" s="5"/>
      <c r="B8266" s="5" t="str">
        <f>CONCATENATE(G8266,"/",COUNTIF($G$2:G8266,G8266))</f>
        <v>RO-10532/1</v>
      </c>
      <c r="C8266" s="63" t="s">
        <v>45423</v>
      </c>
      <c r="D8266" s="246">
        <v>45722</v>
      </c>
      <c r="E8266" s="5" t="s">
        <v>45424</v>
      </c>
      <c r="F8266" s="63" t="s">
        <v>38347</v>
      </c>
      <c r="G8266" s="27" t="s">
        <v>21860</v>
      </c>
      <c r="H8266" s="55" t="s">
        <v>21861</v>
      </c>
      <c r="I8266" s="55" t="s">
        <v>17682</v>
      </c>
    </row>
    <row r="8267" spans="1:9" ht="27" customHeight="1">
      <c r="A8267" s="5"/>
      <c r="B8267" s="5" t="str">
        <f>CONCATENATE(G8267,"/",COUNTIF($G$2:G8267,G8267))</f>
        <v>FR-10425/1</v>
      </c>
      <c r="C8267" s="63" t="s">
        <v>24995</v>
      </c>
      <c r="D8267" s="246">
        <v>45729</v>
      </c>
      <c r="E8267" s="5" t="s">
        <v>45425</v>
      </c>
      <c r="F8267" s="63" t="s">
        <v>24939</v>
      </c>
      <c r="G8267" s="27" t="s">
        <v>21159</v>
      </c>
      <c r="H8267" s="55" t="s">
        <v>21160</v>
      </c>
      <c r="I8267" s="55" t="s">
        <v>16310</v>
      </c>
    </row>
    <row r="8268" spans="1:9" ht="27" customHeight="1">
      <c r="A8268" s="5"/>
      <c r="B8268" s="5" t="str">
        <f>CONCATENATE(G8268,"/",COUNTIF($G$2:G8268,G8268))</f>
        <v>FR-10425/2</v>
      </c>
      <c r="C8268" s="63" t="s">
        <v>24998</v>
      </c>
      <c r="D8268" s="246">
        <v>45729</v>
      </c>
      <c r="E8268" s="5" t="s">
        <v>45426</v>
      </c>
      <c r="F8268" s="63" t="s">
        <v>24939</v>
      </c>
      <c r="G8268" s="27" t="s">
        <v>21159</v>
      </c>
      <c r="H8268" s="55" t="s">
        <v>21160</v>
      </c>
      <c r="I8268" s="55" t="s">
        <v>16310</v>
      </c>
    </row>
    <row r="8269" spans="1:9" ht="27" customHeight="1">
      <c r="A8269" s="5"/>
      <c r="B8269" s="5" t="str">
        <f>CONCATENATE(G8269,"/",COUNTIF($G$2:G8269,G8269))</f>
        <v>FR-10425/3</v>
      </c>
      <c r="C8269" s="63" t="s">
        <v>25050</v>
      </c>
      <c r="D8269" s="246">
        <v>45729</v>
      </c>
      <c r="E8269" s="5" t="s">
        <v>45427</v>
      </c>
      <c r="F8269" s="63" t="s">
        <v>24939</v>
      </c>
      <c r="G8269" s="27" t="s">
        <v>21159</v>
      </c>
      <c r="H8269" s="55" t="s">
        <v>21160</v>
      </c>
      <c r="I8269" s="55" t="s">
        <v>16310</v>
      </c>
    </row>
    <row r="8270" spans="1:9" ht="27" customHeight="1">
      <c r="A8270" s="5"/>
      <c r="B8270" s="5" t="str">
        <f>CONCATENATE(G8270,"/",COUNTIF($G$2:G8270,G8270))</f>
        <v>FR-10425/4</v>
      </c>
      <c r="C8270" s="63" t="s">
        <v>25249</v>
      </c>
      <c r="D8270" s="246">
        <v>45729</v>
      </c>
      <c r="E8270" s="5" t="s">
        <v>45428</v>
      </c>
      <c r="F8270" s="63" t="s">
        <v>24939</v>
      </c>
      <c r="G8270" s="27" t="s">
        <v>21159</v>
      </c>
      <c r="H8270" s="55" t="s">
        <v>21160</v>
      </c>
      <c r="I8270" s="55" t="s">
        <v>16310</v>
      </c>
    </row>
    <row r="8271" spans="1:9" ht="27" customHeight="1">
      <c r="A8271" s="5"/>
      <c r="B8271" s="5" t="str">
        <f>CONCATENATE(G8271,"/",COUNTIF($G$2:G8271,G8271))</f>
        <v>FR-10425/5</v>
      </c>
      <c r="C8271" s="63" t="s">
        <v>25252</v>
      </c>
      <c r="D8271" s="246">
        <v>45729</v>
      </c>
      <c r="E8271" s="5" t="s">
        <v>45429</v>
      </c>
      <c r="F8271" s="63" t="s">
        <v>24939</v>
      </c>
      <c r="G8271" s="27" t="s">
        <v>21159</v>
      </c>
      <c r="H8271" s="55" t="s">
        <v>21160</v>
      </c>
      <c r="I8271" s="55" t="s">
        <v>16310</v>
      </c>
    </row>
    <row r="8272" spans="1:9" ht="27" customHeight="1">
      <c r="A8272" s="5"/>
      <c r="B8272" s="5" t="str">
        <f>CONCATENATE(G8272,"/",COUNTIF($G$2:G8272,G8272))</f>
        <v>FR-10425/6</v>
      </c>
      <c r="C8272" s="63" t="s">
        <v>25276</v>
      </c>
      <c r="D8272" s="246">
        <v>45729</v>
      </c>
      <c r="E8272" s="5" t="s">
        <v>45430</v>
      </c>
      <c r="F8272" s="63" t="s">
        <v>24939</v>
      </c>
      <c r="G8272" s="27" t="s">
        <v>21159</v>
      </c>
      <c r="H8272" s="55" t="s">
        <v>21160</v>
      </c>
      <c r="I8272" s="55" t="s">
        <v>16310</v>
      </c>
    </row>
    <row r="8273" spans="1:9" ht="27" customHeight="1">
      <c r="A8273" s="5"/>
      <c r="B8273" s="5" t="str">
        <f>CONCATENATE(G8273,"/",COUNTIF($G$2:G8273,G8273))</f>
        <v>DK-10553/1</v>
      </c>
      <c r="C8273" s="5" t="s">
        <v>45431</v>
      </c>
      <c r="D8273" s="246">
        <v>45743</v>
      </c>
      <c r="E8273" s="5" t="s">
        <v>45432</v>
      </c>
      <c r="F8273" s="63" t="s">
        <v>27950</v>
      </c>
      <c r="G8273" s="27" t="s">
        <v>21986</v>
      </c>
      <c r="H8273" s="55" t="s">
        <v>2264</v>
      </c>
      <c r="I8273" s="55" t="s">
        <v>12910</v>
      </c>
    </row>
    <row r="8274" spans="1:9" ht="27" customHeight="1">
      <c r="A8274" s="5"/>
      <c r="B8274" s="5" t="str">
        <f>CONCATENATE(G8274,"/",COUNTIF($G$2:G8274,G8274))</f>
        <v>PL-10456/1</v>
      </c>
      <c r="C8274" s="5" t="s">
        <v>45433</v>
      </c>
      <c r="D8274" s="246">
        <v>45713</v>
      </c>
      <c r="E8274" s="5" t="s">
        <v>45434</v>
      </c>
      <c r="F8274" s="27" t="s">
        <v>23600</v>
      </c>
      <c r="G8274" s="27" t="s">
        <v>21399</v>
      </c>
      <c r="H8274" s="55" t="s">
        <v>45435</v>
      </c>
      <c r="I8274" s="55" t="s">
        <v>17057</v>
      </c>
    </row>
    <row r="8275" spans="1:9" ht="27" customHeight="1">
      <c r="A8275" s="5"/>
      <c r="B8275" s="5" t="str">
        <f>CONCATENATE(G8275,"/",COUNTIF($G$2:G8275,G8275))</f>
        <v>PL-10456/2</v>
      </c>
      <c r="C8275" s="5" t="s">
        <v>45436</v>
      </c>
      <c r="D8275" s="246">
        <v>45713</v>
      </c>
      <c r="E8275" s="5" t="s">
        <v>45437</v>
      </c>
      <c r="F8275" s="27" t="s">
        <v>23600</v>
      </c>
      <c r="G8275" s="27" t="s">
        <v>21399</v>
      </c>
      <c r="H8275" s="55" t="s">
        <v>45435</v>
      </c>
      <c r="I8275" s="55" t="s">
        <v>17057</v>
      </c>
    </row>
    <row r="8276" spans="1:9" ht="27" customHeight="1">
      <c r="A8276" s="5"/>
      <c r="B8276" s="5" t="str">
        <f>CONCATENATE(G8276,"/",COUNTIF($G$2:G8276,G8276))</f>
        <v>PL-10456/3</v>
      </c>
      <c r="C8276" s="5" t="s">
        <v>45438</v>
      </c>
      <c r="D8276" s="246">
        <v>45713</v>
      </c>
      <c r="E8276" s="5" t="s">
        <v>45439</v>
      </c>
      <c r="F8276" s="27" t="s">
        <v>23600</v>
      </c>
      <c r="G8276" s="27" t="s">
        <v>21399</v>
      </c>
      <c r="H8276" s="55" t="s">
        <v>45435</v>
      </c>
      <c r="I8276" s="55" t="s">
        <v>17057</v>
      </c>
    </row>
    <row r="8277" spans="1:9" ht="27" customHeight="1">
      <c r="A8277" s="5"/>
      <c r="B8277" s="5" t="str">
        <f>CONCATENATE(G8277,"/",COUNTIF($G$2:G8277,G8277))</f>
        <v>PL-10456/4</v>
      </c>
      <c r="C8277" s="5" t="s">
        <v>45440</v>
      </c>
      <c r="D8277" s="246">
        <v>45713</v>
      </c>
      <c r="E8277" s="5" t="s">
        <v>45441</v>
      </c>
      <c r="F8277" s="27" t="s">
        <v>23600</v>
      </c>
      <c r="G8277" s="27" t="s">
        <v>21399</v>
      </c>
      <c r="H8277" s="55" t="s">
        <v>45435</v>
      </c>
      <c r="I8277" s="55" t="s">
        <v>17057</v>
      </c>
    </row>
    <row r="8278" spans="1:9" ht="27" customHeight="1">
      <c r="A8278" s="5"/>
      <c r="B8278" s="5" t="str">
        <f>CONCATENATE(G8278,"/",COUNTIF($G$2:G8278,G8278))</f>
        <v>PL-10456/5</v>
      </c>
      <c r="C8278" s="5" t="s">
        <v>45442</v>
      </c>
      <c r="D8278" s="246">
        <v>45713</v>
      </c>
      <c r="E8278" s="5" t="s">
        <v>45443</v>
      </c>
      <c r="F8278" s="27" t="s">
        <v>23600</v>
      </c>
      <c r="G8278" s="27" t="s">
        <v>21399</v>
      </c>
      <c r="H8278" s="55" t="s">
        <v>45435</v>
      </c>
      <c r="I8278" s="55" t="s">
        <v>17057</v>
      </c>
    </row>
    <row r="8279" spans="1:9" ht="27" customHeight="1">
      <c r="A8279" s="5"/>
      <c r="B8279" s="5" t="str">
        <f>CONCATENATE(G8279,"/",COUNTIF($G$2:G8279,G8279))</f>
        <v>PL-10456/6</v>
      </c>
      <c r="C8279" s="5" t="s">
        <v>45444</v>
      </c>
      <c r="D8279" s="246">
        <v>45713</v>
      </c>
      <c r="E8279" s="5" t="s">
        <v>45445</v>
      </c>
      <c r="F8279" s="27" t="s">
        <v>23600</v>
      </c>
      <c r="G8279" s="27" t="s">
        <v>21399</v>
      </c>
      <c r="H8279" s="55" t="s">
        <v>45435</v>
      </c>
      <c r="I8279" s="55" t="s">
        <v>17057</v>
      </c>
    </row>
    <row r="8280" spans="1:9" ht="27" customHeight="1">
      <c r="A8280" s="5"/>
      <c r="B8280" s="5" t="str">
        <f>CONCATENATE(G8280,"/",COUNTIF($G$2:G8280,G8280))</f>
        <v>CZ-10317/1</v>
      </c>
      <c r="C8280" s="64">
        <v>1</v>
      </c>
      <c r="D8280" s="246">
        <v>45744</v>
      </c>
      <c r="E8280" s="5" t="s">
        <v>45446</v>
      </c>
      <c r="F8280" s="5" t="s">
        <v>36725</v>
      </c>
      <c r="G8280" s="27" t="s">
        <v>20465</v>
      </c>
      <c r="H8280" s="55" t="s">
        <v>20466</v>
      </c>
      <c r="I8280" s="55" t="s">
        <v>16429</v>
      </c>
    </row>
    <row r="8281" spans="1:9" ht="27" customHeight="1">
      <c r="A8281" s="5"/>
      <c r="B8281" s="5" t="str">
        <f>CONCATENATE(G8281,"/",COUNTIF($G$2:G8281,G8281))</f>
        <v>IT-10399/1</v>
      </c>
      <c r="C8281" s="5" t="s">
        <v>45447</v>
      </c>
      <c r="D8281" s="246">
        <v>45735</v>
      </c>
      <c r="E8281" s="5" t="s">
        <v>45448</v>
      </c>
      <c r="F8281" s="27" t="s">
        <v>23600</v>
      </c>
      <c r="G8281" s="27" t="s">
        <v>20981</v>
      </c>
      <c r="H8281" s="55" t="s">
        <v>20982</v>
      </c>
      <c r="I8281" s="55" t="s">
        <v>18131</v>
      </c>
    </row>
    <row r="8282" spans="1:9" ht="27" customHeight="1">
      <c r="A8282" s="5"/>
      <c r="B8282" s="5" t="str">
        <f>CONCATENATE(G8282,"/",COUNTIF($G$2:G8282,G8282))</f>
        <v>IT-10399/2</v>
      </c>
      <c r="C8282" s="5" t="s">
        <v>45449</v>
      </c>
      <c r="D8282" s="246">
        <v>45735</v>
      </c>
      <c r="E8282" s="5" t="s">
        <v>45450</v>
      </c>
      <c r="F8282" s="27" t="s">
        <v>23600</v>
      </c>
      <c r="G8282" s="27" t="s">
        <v>20981</v>
      </c>
      <c r="H8282" s="55" t="s">
        <v>20982</v>
      </c>
      <c r="I8282" s="55" t="s">
        <v>18131</v>
      </c>
    </row>
    <row r="8283" spans="1:9" ht="27" customHeight="1">
      <c r="A8283" s="5"/>
      <c r="B8283" s="5" t="str">
        <f>CONCATENATE(G8283,"/",COUNTIF($G$2:G8283,G8283))</f>
        <v>IT-10399/3</v>
      </c>
      <c r="C8283" s="5" t="s">
        <v>45451</v>
      </c>
      <c r="D8283" s="246">
        <v>45735</v>
      </c>
      <c r="E8283" s="5" t="s">
        <v>45452</v>
      </c>
      <c r="F8283" s="27" t="s">
        <v>23600</v>
      </c>
      <c r="G8283" s="27" t="s">
        <v>20981</v>
      </c>
      <c r="H8283" s="55" t="s">
        <v>20982</v>
      </c>
      <c r="I8283" s="55" t="s">
        <v>18131</v>
      </c>
    </row>
    <row r="8284" spans="1:9" ht="27" customHeight="1">
      <c r="A8284" s="5"/>
      <c r="B8284" s="5" t="str">
        <f>CONCATENATE(G8284,"/",COUNTIF($G$2:G8284,G8284))</f>
        <v>CZ-10588/1</v>
      </c>
      <c r="C8284" s="5" t="s">
        <v>23621</v>
      </c>
      <c r="D8284" s="246">
        <v>45755</v>
      </c>
      <c r="E8284" s="5" t="s">
        <v>45453</v>
      </c>
      <c r="F8284" s="27" t="s">
        <v>23600</v>
      </c>
      <c r="G8284" s="27" t="s">
        <v>22219</v>
      </c>
      <c r="H8284" s="55" t="s">
        <v>22220</v>
      </c>
      <c r="I8284" s="55" t="s">
        <v>16429</v>
      </c>
    </row>
    <row r="8285" spans="1:9" ht="27" customHeight="1">
      <c r="A8285" s="5"/>
      <c r="B8285" s="5" t="str">
        <f>CONCATENATE(G8285,"/",COUNTIF($G$2:G8285,G8285))</f>
        <v>RO-10549/1</v>
      </c>
      <c r="C8285" s="5" t="s">
        <v>45454</v>
      </c>
      <c r="D8285" s="246">
        <v>45762</v>
      </c>
      <c r="E8285" s="5" t="s">
        <v>45455</v>
      </c>
      <c r="F8285" s="27" t="s">
        <v>38347</v>
      </c>
      <c r="G8285" s="27" t="s">
        <v>21958</v>
      </c>
      <c r="H8285" s="55" t="s">
        <v>21959</v>
      </c>
      <c r="I8285" s="55" t="s">
        <v>17682</v>
      </c>
    </row>
    <row r="8286" spans="1:9" ht="27" customHeight="1">
      <c r="A8286" s="5"/>
      <c r="B8286" s="5" t="str">
        <f>CONCATENATE(G8286,"/",COUNTIF($G$2:G8286,G8286))</f>
        <v>RO-10549/2</v>
      </c>
      <c r="C8286" s="5" t="s">
        <v>45456</v>
      </c>
      <c r="D8286" s="246">
        <v>45762</v>
      </c>
      <c r="E8286" s="5" t="s">
        <v>45457</v>
      </c>
      <c r="F8286" s="27" t="s">
        <v>38347</v>
      </c>
      <c r="G8286" s="27" t="s">
        <v>21958</v>
      </c>
      <c r="H8286" s="55" t="s">
        <v>21959</v>
      </c>
      <c r="I8286" s="55" t="s">
        <v>17682</v>
      </c>
    </row>
    <row r="8287" spans="1:9" ht="27" customHeight="1">
      <c r="A8287" s="5"/>
      <c r="B8287" s="5" t="str">
        <f>CONCATENATE(G8287,"/",COUNTIF($G$2:G8287,G8287))</f>
        <v>RO-10543/1</v>
      </c>
      <c r="C8287" s="5" t="s">
        <v>45458</v>
      </c>
      <c r="D8287" s="246">
        <v>45763</v>
      </c>
      <c r="E8287" s="5" t="s">
        <v>45459</v>
      </c>
      <c r="F8287" s="27" t="s">
        <v>38347</v>
      </c>
      <c r="G8287" s="27" t="s">
        <v>21918</v>
      </c>
      <c r="H8287" s="55" t="s">
        <v>45460</v>
      </c>
      <c r="I8287" s="55" t="s">
        <v>17682</v>
      </c>
    </row>
    <row r="8288" spans="1:9" ht="27" customHeight="1">
      <c r="A8288" s="5"/>
      <c r="B8288" s="5" t="str">
        <f>CONCATENATE(G8288,"/",COUNTIF($G$2:G8288,G8288))</f>
        <v>RO-10543/2</v>
      </c>
      <c r="C8288" s="5" t="s">
        <v>45461</v>
      </c>
      <c r="D8288" s="246">
        <v>45763</v>
      </c>
      <c r="E8288" s="5" t="s">
        <v>45462</v>
      </c>
      <c r="F8288" s="27" t="s">
        <v>38347</v>
      </c>
      <c r="G8288" s="27" t="s">
        <v>21918</v>
      </c>
      <c r="H8288" s="55" t="s">
        <v>45460</v>
      </c>
      <c r="I8288" s="55" t="s">
        <v>17682</v>
      </c>
    </row>
    <row r="8289" spans="1:9" ht="27" customHeight="1">
      <c r="A8289" s="5"/>
      <c r="B8289" s="5" t="str">
        <f>CONCATENATE(G8289,"/",COUNTIF($G$2:G8289,G8289))</f>
        <v>RO-10543/3</v>
      </c>
      <c r="C8289" s="5" t="s">
        <v>45463</v>
      </c>
      <c r="D8289" s="246">
        <v>45763</v>
      </c>
      <c r="E8289" s="5" t="s">
        <v>45464</v>
      </c>
      <c r="F8289" s="27" t="s">
        <v>38347</v>
      </c>
      <c r="G8289" s="27" t="s">
        <v>21918</v>
      </c>
      <c r="H8289" s="55" t="s">
        <v>45460</v>
      </c>
      <c r="I8289" s="55" t="s">
        <v>17682</v>
      </c>
    </row>
    <row r="8290" spans="1:9" ht="27" customHeight="1">
      <c r="A8290" s="5"/>
      <c r="B8290" s="5" t="str">
        <f>CONCATENATE(G8290,"/",COUNTIF($G$2:G8290,G8290))</f>
        <v>HU-10209/1</v>
      </c>
      <c r="C8290" s="5" t="s">
        <v>45465</v>
      </c>
      <c r="D8290" s="246">
        <v>45775</v>
      </c>
      <c r="E8290" s="5" t="s">
        <v>45466</v>
      </c>
      <c r="F8290" s="27" t="s">
        <v>23600</v>
      </c>
      <c r="G8290" s="27" t="s">
        <v>19930</v>
      </c>
      <c r="H8290" s="55" t="s">
        <v>19931</v>
      </c>
      <c r="I8290" s="55" t="s">
        <v>17578</v>
      </c>
    </row>
    <row r="8291" spans="1:9" ht="27" customHeight="1">
      <c r="A8291" s="5"/>
      <c r="B8291" s="5" t="str">
        <f>CONCATENATE(G8291,"/",COUNTIF($G$2:G8291,G8291))</f>
        <v>HU-10209/2</v>
      </c>
      <c r="C8291" s="5" t="s">
        <v>45467</v>
      </c>
      <c r="D8291" s="246">
        <v>45775</v>
      </c>
      <c r="E8291" s="5" t="s">
        <v>45468</v>
      </c>
      <c r="F8291" s="27" t="s">
        <v>23600</v>
      </c>
      <c r="G8291" s="27" t="s">
        <v>19930</v>
      </c>
      <c r="H8291" s="55" t="s">
        <v>19931</v>
      </c>
      <c r="I8291" s="55" t="s">
        <v>17578</v>
      </c>
    </row>
    <row r="8292" spans="1:9" ht="27" customHeight="1">
      <c r="A8292" s="5"/>
      <c r="B8292" s="5" t="str">
        <f>CONCATENATE(G8292,"/",COUNTIF($G$2:G8292,G8292))</f>
        <v>HU-10209/3</v>
      </c>
      <c r="C8292" s="5" t="s">
        <v>45469</v>
      </c>
      <c r="D8292" s="246">
        <v>45775</v>
      </c>
      <c r="E8292" s="5" t="s">
        <v>45470</v>
      </c>
      <c r="F8292" s="27" t="s">
        <v>23600</v>
      </c>
      <c r="G8292" s="27" t="s">
        <v>19930</v>
      </c>
      <c r="H8292" s="55" t="s">
        <v>19931</v>
      </c>
      <c r="I8292" s="55" t="s">
        <v>17578</v>
      </c>
    </row>
    <row r="8293" spans="1:9" ht="27" customHeight="1">
      <c r="A8293" s="5"/>
      <c r="B8293" s="5" t="str">
        <f>CONCATENATE(G8293,"/",COUNTIF($G$2:G8293,G8293))</f>
        <v>DK-10556/1</v>
      </c>
      <c r="C8293" s="5" t="s">
        <v>45471</v>
      </c>
      <c r="D8293" s="246">
        <v>45791</v>
      </c>
      <c r="E8293" s="5" t="s">
        <v>45472</v>
      </c>
      <c r="F8293" s="27" t="s">
        <v>27950</v>
      </c>
      <c r="G8293" s="27" t="s">
        <v>22007</v>
      </c>
      <c r="H8293" s="5" t="s">
        <v>45473</v>
      </c>
      <c r="I8293" s="55" t="s">
        <v>12910</v>
      </c>
    </row>
    <row r="8294" spans="1:9" ht="27" customHeight="1">
      <c r="A8294" s="5"/>
      <c r="B8294" s="5" t="str">
        <f>CONCATENATE(G8294,"/",COUNTIF($G$2:G8294,G8294))</f>
        <v>CZ-10424/1</v>
      </c>
      <c r="C8294" s="5" t="s">
        <v>23621</v>
      </c>
      <c r="D8294" s="246">
        <v>45792</v>
      </c>
      <c r="E8294" s="5" t="s">
        <v>45474</v>
      </c>
      <c r="F8294" s="27" t="s">
        <v>23600</v>
      </c>
      <c r="G8294" s="27" t="s">
        <v>21145</v>
      </c>
      <c r="H8294" s="5" t="s">
        <v>21146</v>
      </c>
      <c r="I8294" s="55" t="s">
        <v>16429</v>
      </c>
    </row>
    <row r="8295" spans="1:9" ht="27" customHeight="1">
      <c r="A8295" s="5"/>
      <c r="B8295" s="5" t="str">
        <f>CONCATENATE(G8295,"/",COUNTIF($G$2:G8295,G8295))</f>
        <v>CH-10442/1</v>
      </c>
      <c r="C8295" s="5" t="s">
        <v>45475</v>
      </c>
      <c r="D8295" s="246">
        <v>45804</v>
      </c>
      <c r="E8295" s="5" t="s">
        <v>45476</v>
      </c>
      <c r="F8295" s="27" t="s">
        <v>23600</v>
      </c>
      <c r="G8295" s="27" t="s">
        <v>21254</v>
      </c>
      <c r="H8295" s="5" t="s">
        <v>45477</v>
      </c>
      <c r="I8295" s="55" t="s">
        <v>15071</v>
      </c>
    </row>
    <row r="8296" spans="1:9" ht="27" customHeight="1">
      <c r="A8296" s="5"/>
      <c r="B8296" s="5" t="str">
        <f>CONCATENATE(G8296,"/",COUNTIF($G$2:G8296,G8296))</f>
        <v>CH-10442/2</v>
      </c>
      <c r="C8296" s="5" t="s">
        <v>45478</v>
      </c>
      <c r="D8296" s="246">
        <v>45804</v>
      </c>
      <c r="E8296" s="5" t="s">
        <v>45479</v>
      </c>
      <c r="F8296" s="27" t="s">
        <v>23600</v>
      </c>
      <c r="G8296" s="27" t="s">
        <v>21254</v>
      </c>
      <c r="H8296" s="5" t="s">
        <v>45477</v>
      </c>
      <c r="I8296" s="55" t="s">
        <v>15071</v>
      </c>
    </row>
    <row r="8297" spans="1:9" ht="27" customHeight="1">
      <c r="A8297" s="5"/>
      <c r="B8297" s="5" t="str">
        <f>CONCATENATE(G8297,"/",COUNTIF($G$2:G8297,G8297))</f>
        <v>CH-10442/3</v>
      </c>
      <c r="C8297" s="5" t="s">
        <v>45480</v>
      </c>
      <c r="D8297" s="246">
        <v>45804</v>
      </c>
      <c r="E8297" s="5" t="s">
        <v>45481</v>
      </c>
      <c r="F8297" s="27" t="s">
        <v>23600</v>
      </c>
      <c r="G8297" s="27" t="s">
        <v>21254</v>
      </c>
      <c r="H8297" s="5" t="s">
        <v>45477</v>
      </c>
      <c r="I8297" s="55" t="s">
        <v>15071</v>
      </c>
    </row>
    <row r="8298" spans="1:9" ht="27" customHeight="1">
      <c r="A8298" s="5"/>
      <c r="B8298" s="5" t="str">
        <f>CONCATENATE(G8298,"/",COUNTIF($G$2:G8298,G8298))</f>
        <v>CH-10442/4</v>
      </c>
      <c r="C8298" s="5" t="s">
        <v>45482</v>
      </c>
      <c r="D8298" s="246">
        <v>45804</v>
      </c>
      <c r="E8298" s="5" t="s">
        <v>45483</v>
      </c>
      <c r="F8298" s="27" t="s">
        <v>23600</v>
      </c>
      <c r="G8298" s="27" t="s">
        <v>21254</v>
      </c>
      <c r="H8298" s="5" t="s">
        <v>45477</v>
      </c>
      <c r="I8298" s="55" t="s">
        <v>15071</v>
      </c>
    </row>
    <row r="8299" spans="1:9" ht="27" customHeight="1">
      <c r="A8299" s="5"/>
      <c r="B8299" s="5" t="str">
        <f>CONCATENATE(G8299,"/",COUNTIF($G$2:G8299,G8299))</f>
        <v>RO-10564/1</v>
      </c>
      <c r="C8299" s="5" t="s">
        <v>45484</v>
      </c>
      <c r="D8299" s="246">
        <v>45797</v>
      </c>
      <c r="E8299" s="5" t="s">
        <v>45485</v>
      </c>
      <c r="F8299" s="27" t="s">
        <v>38347</v>
      </c>
      <c r="G8299" s="27" t="s">
        <v>22065</v>
      </c>
      <c r="H8299" s="5" t="s">
        <v>22066</v>
      </c>
      <c r="I8299" s="5" t="s">
        <v>17682</v>
      </c>
    </row>
    <row r="8300" spans="1:9" ht="27" customHeight="1">
      <c r="A8300" s="5"/>
      <c r="B8300" s="5" t="str">
        <f>CONCATENATE(G8300,"/",COUNTIF($G$2:G8300,G8300))</f>
        <v>PL-10517/1</v>
      </c>
      <c r="C8300" s="5" t="s">
        <v>45486</v>
      </c>
      <c r="D8300" s="246">
        <v>45762</v>
      </c>
      <c r="E8300" s="5" t="s">
        <v>45487</v>
      </c>
      <c r="F8300" s="27" t="s">
        <v>23600</v>
      </c>
      <c r="G8300" s="27" t="s">
        <v>21614</v>
      </c>
      <c r="H8300" s="5" t="s">
        <v>45488</v>
      </c>
      <c r="I8300" s="5" t="s">
        <v>17057</v>
      </c>
    </row>
    <row r="8301" spans="1:9" ht="27" customHeight="1">
      <c r="A8301" s="5"/>
      <c r="B8301" s="5" t="str">
        <f>CONCATENATE(G8301,"/",COUNTIF($G$2:G8301,G8301))</f>
        <v>PL-10517/2</v>
      </c>
      <c r="C8301" s="5" t="s">
        <v>45489</v>
      </c>
      <c r="D8301" s="246">
        <v>45762</v>
      </c>
      <c r="E8301" s="5" t="s">
        <v>45490</v>
      </c>
      <c r="F8301" s="27" t="s">
        <v>23600</v>
      </c>
      <c r="G8301" s="27" t="s">
        <v>21614</v>
      </c>
      <c r="H8301" s="5" t="s">
        <v>45488</v>
      </c>
      <c r="I8301" s="5" t="s">
        <v>17057</v>
      </c>
    </row>
    <row r="8302" spans="1:9" ht="27" customHeight="1">
      <c r="A8302" s="5"/>
      <c r="B8302" s="5" t="str">
        <f>CONCATENATE(G8302,"/",COUNTIF($G$2:G8302,G8302))</f>
        <v>PL-10517/3</v>
      </c>
      <c r="C8302" s="5" t="s">
        <v>45491</v>
      </c>
      <c r="D8302" s="246">
        <v>45762</v>
      </c>
      <c r="E8302" s="5" t="s">
        <v>45492</v>
      </c>
      <c r="F8302" s="27" t="s">
        <v>23600</v>
      </c>
      <c r="G8302" s="27" t="s">
        <v>21614</v>
      </c>
      <c r="H8302" s="5" t="s">
        <v>45488</v>
      </c>
      <c r="I8302" s="5" t="s">
        <v>17057</v>
      </c>
    </row>
    <row r="8303" spans="1:9" ht="27" customHeight="1">
      <c r="A8303" s="5"/>
      <c r="B8303" s="5" t="str">
        <f>CONCATENATE(G8303,"/",COUNTIF($G$2:G8303,G8303))</f>
        <v>PL-10517/4</v>
      </c>
      <c r="C8303" s="5" t="s">
        <v>45493</v>
      </c>
      <c r="D8303" s="246">
        <v>45762</v>
      </c>
      <c r="E8303" s="5" t="s">
        <v>45494</v>
      </c>
      <c r="F8303" s="27" t="s">
        <v>23600</v>
      </c>
      <c r="G8303" s="27" t="s">
        <v>21614</v>
      </c>
      <c r="H8303" s="5" t="s">
        <v>45488</v>
      </c>
      <c r="I8303" s="5" t="s">
        <v>17057</v>
      </c>
    </row>
    <row r="8304" spans="1:9" ht="27" customHeight="1">
      <c r="A8304" s="5"/>
      <c r="B8304" s="5" t="str">
        <f>CONCATENATE(G8304,"/",COUNTIF($G$2:G8304,G8304))</f>
        <v>PL-10517/5</v>
      </c>
      <c r="C8304" s="5" t="s">
        <v>45495</v>
      </c>
      <c r="D8304" s="246">
        <v>45762</v>
      </c>
      <c r="E8304" s="5" t="s">
        <v>45496</v>
      </c>
      <c r="F8304" s="27" t="s">
        <v>23600</v>
      </c>
      <c r="G8304" s="27" t="s">
        <v>21614</v>
      </c>
      <c r="H8304" s="5" t="s">
        <v>45488</v>
      </c>
      <c r="I8304" s="5" t="s">
        <v>17057</v>
      </c>
    </row>
    <row r="8305" spans="1:9" ht="27" customHeight="1">
      <c r="A8305" s="5"/>
      <c r="B8305" s="5" t="str">
        <f>CONCATENATE(G8305,"/",COUNTIF($G$2:G8305,G8305))</f>
        <v>DE-10412/1</v>
      </c>
      <c r="C8305" s="64" t="s">
        <v>45497</v>
      </c>
      <c r="D8305" s="246">
        <v>45771</v>
      </c>
      <c r="E8305" s="5" t="s">
        <v>45498</v>
      </c>
      <c r="F8305" s="27" t="s">
        <v>25439</v>
      </c>
      <c r="G8305" s="27" t="s">
        <v>21057</v>
      </c>
      <c r="H8305" s="5" t="s">
        <v>45499</v>
      </c>
      <c r="I8305" s="5" t="s">
        <v>6455</v>
      </c>
    </row>
    <row r="8306" spans="1:9" ht="27" customHeight="1">
      <c r="A8306" s="5"/>
      <c r="B8306" s="5" t="str">
        <f>CONCATENATE(G8306,"/",COUNTIF($G$2:G8306,G8306))</f>
        <v>DE-10412/2</v>
      </c>
      <c r="C8306" s="65" t="s">
        <v>45500</v>
      </c>
      <c r="D8306" s="246">
        <v>45771</v>
      </c>
      <c r="E8306" s="5" t="s">
        <v>45501</v>
      </c>
      <c r="F8306" s="27" t="s">
        <v>25439</v>
      </c>
      <c r="G8306" s="27" t="s">
        <v>21057</v>
      </c>
      <c r="H8306" s="5" t="s">
        <v>45499</v>
      </c>
      <c r="I8306" s="5" t="s">
        <v>6455</v>
      </c>
    </row>
    <row r="8307" spans="1:9" ht="27" customHeight="1">
      <c r="A8307" s="5"/>
      <c r="B8307" s="5" t="str">
        <f>CONCATENATE(G8307,"/",COUNTIF($G$2:G8307,G8307))</f>
        <v>BG-10639/1</v>
      </c>
      <c r="C8307" s="5" t="s">
        <v>45502</v>
      </c>
      <c r="D8307" s="246">
        <v>45755</v>
      </c>
      <c r="E8307" s="5" t="s">
        <v>45503</v>
      </c>
      <c r="F8307" s="27" t="s">
        <v>45324</v>
      </c>
      <c r="G8307" s="27" t="s">
        <v>22539</v>
      </c>
      <c r="H8307" s="5" t="s">
        <v>22540</v>
      </c>
      <c r="I8307" s="5" t="s">
        <v>17773</v>
      </c>
    </row>
    <row r="8308" spans="1:9" ht="27" customHeight="1">
      <c r="A8308" s="5"/>
      <c r="B8308" s="5" t="str">
        <f>CONCATENATE(G8308,"/",COUNTIF($G$2:G8308,G8308))</f>
        <v>BG-10639/2</v>
      </c>
      <c r="C8308" s="5" t="s">
        <v>45504</v>
      </c>
      <c r="D8308" s="246">
        <v>45755</v>
      </c>
      <c r="E8308" s="5" t="s">
        <v>45505</v>
      </c>
      <c r="F8308" s="27" t="s">
        <v>45324</v>
      </c>
      <c r="G8308" s="27" t="s">
        <v>22539</v>
      </c>
      <c r="H8308" s="5" t="s">
        <v>22540</v>
      </c>
      <c r="I8308" s="5" t="s">
        <v>17773</v>
      </c>
    </row>
    <row r="8309" spans="1:9" ht="27" customHeight="1">
      <c r="A8309" s="5"/>
      <c r="B8309" s="5" t="str">
        <f>CONCATENATE(G8309,"/",COUNTIF($G$2:G8309,G8309))</f>
        <v>BG-10639/3</v>
      </c>
      <c r="C8309" s="5" t="s">
        <v>45506</v>
      </c>
      <c r="D8309" s="246">
        <v>45755</v>
      </c>
      <c r="E8309" s="5" t="s">
        <v>45507</v>
      </c>
      <c r="F8309" s="27" t="s">
        <v>45324</v>
      </c>
      <c r="G8309" s="27" t="s">
        <v>22539</v>
      </c>
      <c r="H8309" s="5" t="s">
        <v>22540</v>
      </c>
      <c r="I8309" s="5" t="s">
        <v>17773</v>
      </c>
    </row>
    <row r="8310" spans="1:9" ht="27" customHeight="1">
      <c r="A8310" s="5"/>
      <c r="B8310" s="5" t="str">
        <f>CONCATENATE(G8310,"/",COUNTIF($G$2:G8310,G8310))</f>
        <v>BG-10639/4</v>
      </c>
      <c r="C8310" s="5" t="s">
        <v>45508</v>
      </c>
      <c r="D8310" s="246">
        <v>45755</v>
      </c>
      <c r="E8310" s="5" t="s">
        <v>45509</v>
      </c>
      <c r="F8310" s="27" t="s">
        <v>45324</v>
      </c>
      <c r="G8310" s="27" t="s">
        <v>22539</v>
      </c>
      <c r="H8310" s="5" t="s">
        <v>22540</v>
      </c>
      <c r="I8310" s="5" t="s">
        <v>17773</v>
      </c>
    </row>
    <row r="8311" spans="1:9" ht="27" customHeight="1">
      <c r="A8311" s="5"/>
      <c r="B8311" s="5" t="str">
        <f>CONCATENATE(G8311,"/",COUNTIF($G$2:G8311,G8311))</f>
        <v>BG-10639/5</v>
      </c>
      <c r="C8311" s="5" t="s">
        <v>45510</v>
      </c>
      <c r="D8311" s="246">
        <v>45755</v>
      </c>
      <c r="E8311" s="5" t="s">
        <v>45511</v>
      </c>
      <c r="F8311" s="27" t="s">
        <v>45324</v>
      </c>
      <c r="G8311" s="27" t="s">
        <v>22539</v>
      </c>
      <c r="H8311" s="5" t="s">
        <v>22540</v>
      </c>
      <c r="I8311" s="5" t="s">
        <v>17773</v>
      </c>
    </row>
    <row r="8312" spans="1:9" ht="27" customHeight="1">
      <c r="A8312" s="5"/>
      <c r="B8312" s="5" t="str">
        <f>CONCATENATE(G8312,"/",COUNTIF($G$2:G8312,G8312))</f>
        <v>BG-10639/6</v>
      </c>
      <c r="C8312" s="5" t="s">
        <v>45512</v>
      </c>
      <c r="D8312" s="246">
        <v>45755</v>
      </c>
      <c r="E8312" s="5" t="s">
        <v>45513</v>
      </c>
      <c r="F8312" s="27" t="s">
        <v>45324</v>
      </c>
      <c r="G8312" s="27" t="s">
        <v>22539</v>
      </c>
      <c r="H8312" s="5" t="s">
        <v>22540</v>
      </c>
      <c r="I8312" s="5" t="s">
        <v>17773</v>
      </c>
    </row>
    <row r="8313" spans="1:9" ht="27" customHeight="1">
      <c r="A8313" s="5"/>
      <c r="B8313" s="5" t="str">
        <f>CONCATENATE(G8313,"/",COUNTIF($G$2:G8313,G8313))</f>
        <v>BG-10639/7</v>
      </c>
      <c r="C8313" s="5" t="s">
        <v>45514</v>
      </c>
      <c r="D8313" s="246">
        <v>45755</v>
      </c>
      <c r="E8313" s="5" t="s">
        <v>45515</v>
      </c>
      <c r="F8313" s="27" t="s">
        <v>45324</v>
      </c>
      <c r="G8313" s="27" t="s">
        <v>22539</v>
      </c>
      <c r="H8313" s="5" t="s">
        <v>22540</v>
      </c>
      <c r="I8313" s="5" t="s">
        <v>17773</v>
      </c>
    </row>
    <row r="8314" spans="1:9" ht="27" customHeight="1">
      <c r="A8314" s="5"/>
      <c r="B8314" s="5" t="str">
        <f>CONCATENATE(G8314,"/",COUNTIF($G$2:G8314,G8314))</f>
        <v>BE-10535/1</v>
      </c>
      <c r="C8314" s="5" t="s">
        <v>44738</v>
      </c>
      <c r="D8314" s="246">
        <v>45821</v>
      </c>
      <c r="E8314" s="5" t="s">
        <v>45516</v>
      </c>
      <c r="F8314" s="27" t="s">
        <v>39913</v>
      </c>
      <c r="G8314" s="27" t="s">
        <v>21853</v>
      </c>
      <c r="H8314" s="5" t="s">
        <v>21855</v>
      </c>
      <c r="I8314" s="5" t="s">
        <v>17773</v>
      </c>
    </row>
    <row r="8315" spans="1:9" ht="27" customHeight="1">
      <c r="A8315" s="5"/>
      <c r="B8315" s="5" t="str">
        <f>CONCATENATE(G8315,"/",COUNTIF($G$2:G8315,G8315))</f>
        <v>PL-10550/1</v>
      </c>
      <c r="C8315" s="5" t="s">
        <v>45517</v>
      </c>
      <c r="D8315" s="246">
        <v>45810</v>
      </c>
      <c r="E8315" s="5" t="s">
        <v>45518</v>
      </c>
      <c r="F8315" s="27" t="s">
        <v>23600</v>
      </c>
      <c r="G8315" s="27" t="s">
        <v>21965</v>
      </c>
      <c r="H8315" s="5" t="s">
        <v>73</v>
      </c>
      <c r="I8315" s="5" t="s">
        <v>17057</v>
      </c>
    </row>
    <row r="8316" spans="1:9" ht="27" customHeight="1">
      <c r="A8316" s="5"/>
      <c r="B8316" s="5" t="str">
        <f>CONCATENATE(G8316,"/",COUNTIF($G$2:G8316,G8316))</f>
        <v>PL-10550/2</v>
      </c>
      <c r="C8316" s="5" t="s">
        <v>45519</v>
      </c>
      <c r="D8316" s="246">
        <v>45810</v>
      </c>
      <c r="E8316" s="5" t="s">
        <v>45520</v>
      </c>
      <c r="F8316" s="27" t="s">
        <v>23600</v>
      </c>
      <c r="G8316" s="27" t="s">
        <v>21965</v>
      </c>
      <c r="H8316" s="5" t="s">
        <v>73</v>
      </c>
      <c r="I8316" s="5" t="s">
        <v>17057</v>
      </c>
    </row>
    <row r="8317" spans="1:9" ht="27" customHeight="1">
      <c r="A8317" s="5"/>
      <c r="B8317" s="5" t="str">
        <f>CONCATENATE(G8317,"/",COUNTIF($G$2:G8317,G8317))</f>
        <v>PL-10550/3</v>
      </c>
      <c r="C8317" s="5" t="s">
        <v>45521</v>
      </c>
      <c r="D8317" s="246">
        <v>45810</v>
      </c>
      <c r="E8317" s="5" t="s">
        <v>45522</v>
      </c>
      <c r="F8317" s="27" t="s">
        <v>23600</v>
      </c>
      <c r="G8317" s="27" t="s">
        <v>21965</v>
      </c>
      <c r="H8317" s="5" t="s">
        <v>73</v>
      </c>
      <c r="I8317" s="5" t="s">
        <v>17057</v>
      </c>
    </row>
    <row r="8318" spans="1:9" ht="27" customHeight="1">
      <c r="A8318" s="5"/>
      <c r="B8318" s="5" t="str">
        <f>CONCATENATE(G8318,"/",COUNTIF($G$2:G8318,G8318))</f>
        <v>IT-10576/1</v>
      </c>
      <c r="C8318" s="5" t="s">
        <v>45523</v>
      </c>
      <c r="D8318" s="246">
        <v>45811</v>
      </c>
      <c r="E8318" s="5" t="s">
        <v>45524</v>
      </c>
      <c r="F8318" s="27" t="s">
        <v>23600</v>
      </c>
      <c r="G8318" s="27" t="s">
        <v>22137</v>
      </c>
      <c r="H8318" s="5" t="s">
        <v>45525</v>
      </c>
      <c r="I8318" s="5" t="s">
        <v>18131</v>
      </c>
    </row>
    <row r="8319" spans="1:9" ht="27" customHeight="1">
      <c r="A8319" s="5"/>
      <c r="B8319" s="5" t="str">
        <f>CONCATENATE(G8319,"/",COUNTIF($G$2:G8319,G8319))</f>
        <v>IT-10576/2</v>
      </c>
      <c r="C8319" s="5" t="s">
        <v>45526</v>
      </c>
      <c r="D8319" s="246">
        <v>45811</v>
      </c>
      <c r="E8319" s="5" t="s">
        <v>45527</v>
      </c>
      <c r="F8319" s="27" t="s">
        <v>23600</v>
      </c>
      <c r="G8319" s="27" t="s">
        <v>22137</v>
      </c>
      <c r="H8319" s="5" t="s">
        <v>45525</v>
      </c>
      <c r="I8319" s="5" t="s">
        <v>18131</v>
      </c>
    </row>
    <row r="8320" spans="1:9" ht="27" customHeight="1">
      <c r="A8320" s="5"/>
      <c r="B8320" s="5" t="str">
        <f>CONCATENATE(G8320,"/",COUNTIF($G$2:G8320,G8320))</f>
        <v>IT-10576/3</v>
      </c>
      <c r="C8320" s="5" t="s">
        <v>45528</v>
      </c>
      <c r="D8320" s="246">
        <v>45811</v>
      </c>
      <c r="E8320" s="5" t="s">
        <v>45529</v>
      </c>
      <c r="F8320" s="27" t="s">
        <v>23600</v>
      </c>
      <c r="G8320" s="27" t="s">
        <v>22137</v>
      </c>
      <c r="H8320" s="5" t="s">
        <v>45525</v>
      </c>
      <c r="I8320" s="5" t="s">
        <v>18131</v>
      </c>
    </row>
    <row r="8321" spans="1:9" ht="27" customHeight="1">
      <c r="A8321" s="5"/>
      <c r="B8321" s="5" t="str">
        <f>CONCATENATE(G8321,"/",COUNTIF($G$2:G8321,G8321))</f>
        <v>IT-10576/4</v>
      </c>
      <c r="C8321" s="5" t="s">
        <v>45530</v>
      </c>
      <c r="D8321" s="246">
        <v>45811</v>
      </c>
      <c r="E8321" s="5" t="s">
        <v>45531</v>
      </c>
      <c r="F8321" s="27" t="s">
        <v>23600</v>
      </c>
      <c r="G8321" s="27" t="s">
        <v>22137</v>
      </c>
      <c r="H8321" s="5" t="s">
        <v>45525</v>
      </c>
      <c r="I8321" s="5" t="s">
        <v>18131</v>
      </c>
    </row>
    <row r="8322" spans="1:9" ht="27" customHeight="1">
      <c r="A8322" s="5"/>
      <c r="B8322" s="5" t="str">
        <f>CONCATENATE(G8322,"/",COUNTIF($G$2:G8322,G8322))</f>
        <v>DE-10279/1</v>
      </c>
      <c r="C8322" s="5" t="s">
        <v>45532</v>
      </c>
      <c r="D8322" s="246">
        <v>45444</v>
      </c>
      <c r="E8322" s="5" t="s">
        <v>45533</v>
      </c>
      <c r="F8322" s="27" t="s">
        <v>25439</v>
      </c>
      <c r="G8322" s="27" t="s">
        <v>20130</v>
      </c>
      <c r="H8322" s="5" t="s">
        <v>20131</v>
      </c>
      <c r="I8322" s="5" t="s">
        <v>6455</v>
      </c>
    </row>
    <row r="8323" spans="1:9" ht="27" customHeight="1">
      <c r="A8323" s="5"/>
      <c r="B8323" s="5" t="str">
        <f>CONCATENATE(G8323,"/",COUNTIF($G$2:G8323,G8323))</f>
        <v>DE-10279/2</v>
      </c>
      <c r="C8323" s="66" t="s">
        <v>45534</v>
      </c>
      <c r="D8323" s="246">
        <v>45444</v>
      </c>
      <c r="E8323" s="5" t="s">
        <v>45535</v>
      </c>
      <c r="F8323" s="27" t="s">
        <v>25439</v>
      </c>
      <c r="G8323" s="27" t="s">
        <v>20130</v>
      </c>
      <c r="H8323" s="5" t="s">
        <v>20131</v>
      </c>
      <c r="I8323" s="5" t="s">
        <v>6455</v>
      </c>
    </row>
    <row r="8324" spans="1:9" ht="27" customHeight="1">
      <c r="A8324" s="5"/>
      <c r="B8324" s="5" t="str">
        <f>CONCATENATE(G8324,"/",COUNTIF($G$2:G8324,G8324))</f>
        <v>DE-10279/3</v>
      </c>
      <c r="C8324" s="66" t="s">
        <v>45536</v>
      </c>
      <c r="D8324" s="246">
        <v>45804</v>
      </c>
      <c r="E8324" s="5" t="s">
        <v>45537</v>
      </c>
      <c r="F8324" s="27" t="s">
        <v>25439</v>
      </c>
      <c r="G8324" s="27" t="s">
        <v>20130</v>
      </c>
      <c r="H8324" s="5" t="s">
        <v>20131</v>
      </c>
      <c r="I8324" s="5" t="s">
        <v>6455</v>
      </c>
    </row>
    <row r="8325" spans="1:9" ht="27" customHeight="1">
      <c r="A8325" s="5"/>
      <c r="B8325" s="5" t="str">
        <f>CONCATENATE(G8325,"/",COUNTIF($G$2:G8325,G8325))</f>
        <v>DE-10279/4</v>
      </c>
      <c r="C8325" s="67" t="s">
        <v>45538</v>
      </c>
      <c r="D8325" s="246">
        <v>45804</v>
      </c>
      <c r="E8325" s="5" t="s">
        <v>45539</v>
      </c>
      <c r="F8325" s="27" t="s">
        <v>25439</v>
      </c>
      <c r="G8325" s="27" t="s">
        <v>20130</v>
      </c>
      <c r="H8325" s="5" t="s">
        <v>20131</v>
      </c>
      <c r="I8325" s="5" t="s">
        <v>6455</v>
      </c>
    </row>
    <row r="8326" spans="1:9" ht="27" customHeight="1">
      <c r="A8326" s="5"/>
      <c r="B8326" s="5" t="str">
        <f>CONCATENATE(G8326,"/",COUNTIF($G$2:G8326,G8326))</f>
        <v>ES-10614/1</v>
      </c>
      <c r="C8326" s="67" t="s">
        <v>45540</v>
      </c>
      <c r="D8326" s="246">
        <v>45834</v>
      </c>
      <c r="E8326" s="67" t="s">
        <v>45541</v>
      </c>
      <c r="F8326" s="27" t="s">
        <v>23600</v>
      </c>
      <c r="G8326" s="27" t="s">
        <v>22384</v>
      </c>
      <c r="H8326" s="5" t="s">
        <v>22385</v>
      </c>
      <c r="I8326" s="5" t="s">
        <v>17820</v>
      </c>
    </row>
    <row r="8327" spans="1:9" ht="27" customHeight="1">
      <c r="A8327" s="5"/>
      <c r="B8327" s="5" t="str">
        <f>CONCATENATE(G8327,"/",COUNTIF($G$2:G8327,G8327))</f>
        <v>ES-10614/2</v>
      </c>
      <c r="C8327" s="67" t="s">
        <v>45542</v>
      </c>
      <c r="D8327" s="246">
        <v>45834</v>
      </c>
      <c r="E8327" s="67" t="s">
        <v>45543</v>
      </c>
      <c r="F8327" s="27" t="s">
        <v>23600</v>
      </c>
      <c r="G8327" s="27" t="s">
        <v>22384</v>
      </c>
      <c r="H8327" s="5" t="s">
        <v>22385</v>
      </c>
      <c r="I8327" s="5" t="s">
        <v>17820</v>
      </c>
    </row>
    <row r="8328" spans="1:9" ht="27" customHeight="1">
      <c r="A8328" s="5"/>
      <c r="B8328" s="5" t="str">
        <f>CONCATENATE(G8328,"/",COUNTIF($G$2:G8328,G8328))</f>
        <v>ES-10614/3</v>
      </c>
      <c r="C8328" s="67" t="s">
        <v>45544</v>
      </c>
      <c r="D8328" s="246">
        <v>45834</v>
      </c>
      <c r="E8328" s="67" t="s">
        <v>45545</v>
      </c>
      <c r="F8328" s="27" t="s">
        <v>23600</v>
      </c>
      <c r="G8328" s="27" t="s">
        <v>22384</v>
      </c>
      <c r="H8328" s="5" t="s">
        <v>22385</v>
      </c>
      <c r="I8328" s="5" t="s">
        <v>17820</v>
      </c>
    </row>
    <row r="8329" spans="1:9" ht="27" customHeight="1">
      <c r="A8329" s="5"/>
      <c r="B8329" s="5" t="str">
        <f>CONCATENATE(G8329,"/",COUNTIF($G$2:G8329,G8329))</f>
        <v>ES-10614/4</v>
      </c>
      <c r="C8329" s="67" t="s">
        <v>45546</v>
      </c>
      <c r="D8329" s="246">
        <v>45834</v>
      </c>
      <c r="E8329" s="67" t="s">
        <v>45547</v>
      </c>
      <c r="F8329" s="27" t="s">
        <v>23600</v>
      </c>
      <c r="G8329" s="27" t="s">
        <v>22384</v>
      </c>
      <c r="H8329" s="5" t="s">
        <v>22385</v>
      </c>
      <c r="I8329" s="5" t="s">
        <v>17820</v>
      </c>
    </row>
    <row r="8330" spans="1:9" ht="27" customHeight="1">
      <c r="A8330" s="5"/>
      <c r="B8330" s="5" t="str">
        <f>CONCATENATE(G8330,"/",COUNTIF($G$2:G8330,G8330))</f>
        <v>ES-10614/5</v>
      </c>
      <c r="C8330" s="67" t="s">
        <v>45548</v>
      </c>
      <c r="D8330" s="246">
        <v>45834</v>
      </c>
      <c r="E8330" s="67" t="s">
        <v>45549</v>
      </c>
      <c r="F8330" s="27" t="s">
        <v>23600</v>
      </c>
      <c r="G8330" s="27" t="s">
        <v>22384</v>
      </c>
      <c r="H8330" s="5" t="s">
        <v>22385</v>
      </c>
      <c r="I8330" s="5" t="s">
        <v>17820</v>
      </c>
    </row>
    <row r="8331" spans="1:9" ht="27" customHeight="1">
      <c r="A8331" s="5"/>
      <c r="B8331" s="5" t="str">
        <f>CONCATENATE(G8331,"/",COUNTIF($G$2:G8331,G8331))</f>
        <v>ES-10614/6</v>
      </c>
      <c r="C8331" s="67" t="s">
        <v>45550</v>
      </c>
      <c r="D8331" s="246">
        <v>45834</v>
      </c>
      <c r="E8331" s="67" t="s">
        <v>45551</v>
      </c>
      <c r="F8331" s="27" t="s">
        <v>23600</v>
      </c>
      <c r="G8331" s="27" t="s">
        <v>22384</v>
      </c>
      <c r="H8331" s="5" t="s">
        <v>22385</v>
      </c>
      <c r="I8331" s="5" t="s">
        <v>17820</v>
      </c>
    </row>
    <row r="8332" spans="1:9" ht="27" customHeight="1">
      <c r="A8332" s="5"/>
      <c r="B8332" s="5" t="str">
        <f>CONCATENATE(G8332,"/",COUNTIF($G$2:G8332,G8332))</f>
        <v>ES-10614/7</v>
      </c>
      <c r="C8332" s="67" t="s">
        <v>45552</v>
      </c>
      <c r="D8332" s="246">
        <v>45834</v>
      </c>
      <c r="E8332" s="67" t="s">
        <v>45553</v>
      </c>
      <c r="F8332" s="27" t="s">
        <v>23600</v>
      </c>
      <c r="G8332" s="27" t="s">
        <v>22384</v>
      </c>
      <c r="H8332" s="5" t="s">
        <v>22385</v>
      </c>
      <c r="I8332" s="5" t="s">
        <v>17820</v>
      </c>
    </row>
    <row r="8333" spans="1:9" ht="27" customHeight="1">
      <c r="A8333" s="5"/>
      <c r="B8333" s="5" t="str">
        <f>CONCATENATE(G8333,"/",COUNTIF($G$2:G8333,G8333))</f>
        <v>DE-10502/1</v>
      </c>
      <c r="C8333" s="67" t="s">
        <v>45554</v>
      </c>
      <c r="D8333" s="246">
        <v>45798</v>
      </c>
      <c r="E8333" s="67" t="s">
        <v>45555</v>
      </c>
      <c r="F8333" s="27" t="s">
        <v>25439</v>
      </c>
      <c r="G8333" s="27" t="s">
        <v>21512</v>
      </c>
      <c r="H8333" s="5" t="s">
        <v>21513</v>
      </c>
      <c r="I8333" s="5" t="s">
        <v>6455</v>
      </c>
    </row>
    <row r="8334" spans="1:9" ht="27" customHeight="1">
      <c r="A8334" s="5"/>
      <c r="B8334" s="5" t="str">
        <f>CONCATENATE(G8334,"/",COUNTIF($G$2:G8334,G8334))</f>
        <v>DE-10502/2</v>
      </c>
      <c r="C8334" s="67" t="s">
        <v>45556</v>
      </c>
      <c r="D8334" s="246">
        <v>45798</v>
      </c>
      <c r="E8334" s="67" t="s">
        <v>45557</v>
      </c>
      <c r="F8334" s="27" t="s">
        <v>25439</v>
      </c>
      <c r="G8334" s="27" t="s">
        <v>21512</v>
      </c>
      <c r="H8334" s="5" t="s">
        <v>21513</v>
      </c>
      <c r="I8334" s="5" t="s">
        <v>6455</v>
      </c>
    </row>
    <row r="8335" spans="1:9" ht="27" customHeight="1">
      <c r="A8335" s="5"/>
      <c r="B8335" s="5" t="str">
        <f>CONCATENATE(G8335,"/",COUNTIF($G$2:G8335,G8335))</f>
        <v>DE-10610/1</v>
      </c>
      <c r="C8335" s="67" t="s">
        <v>45558</v>
      </c>
      <c r="D8335" s="246">
        <v>45812</v>
      </c>
      <c r="E8335" s="67" t="s">
        <v>45559</v>
      </c>
      <c r="F8335" s="67" t="s">
        <v>25439</v>
      </c>
      <c r="G8335" s="27" t="s">
        <v>22361</v>
      </c>
      <c r="H8335" s="5" t="s">
        <v>22362</v>
      </c>
      <c r="I8335" s="5" t="s">
        <v>6455</v>
      </c>
    </row>
    <row r="8336" spans="1:9" ht="27" customHeight="1">
      <c r="A8336" s="5"/>
      <c r="B8336" s="5" t="str">
        <f>CONCATENATE(G8336,"/",COUNTIF($G$2:G8336,G8336))</f>
        <v>RO-10583/1</v>
      </c>
      <c r="C8336" s="67" t="s">
        <v>45560</v>
      </c>
      <c r="D8336" s="246">
        <v>45841</v>
      </c>
      <c r="E8336" s="67" t="s">
        <v>45561</v>
      </c>
      <c r="F8336" s="67" t="s">
        <v>38347</v>
      </c>
      <c r="G8336" s="27" t="s">
        <v>22187</v>
      </c>
      <c r="H8336" s="5" t="s">
        <v>45562</v>
      </c>
      <c r="I8336" s="5" t="s">
        <v>17682</v>
      </c>
    </row>
    <row r="8337" spans="1:9" ht="27" customHeight="1">
      <c r="A8337" s="5"/>
      <c r="B8337" s="5" t="str">
        <f>CONCATENATE(G8337,"/",COUNTIF($G$2:G8337,G8337))</f>
        <v>PL-10574/1</v>
      </c>
      <c r="C8337" s="67" t="s">
        <v>45563</v>
      </c>
      <c r="D8337" s="246">
        <v>45833</v>
      </c>
      <c r="E8337" s="67" t="s">
        <v>45564</v>
      </c>
      <c r="F8337" s="67" t="s">
        <v>23600</v>
      </c>
      <c r="G8337" s="27" t="s">
        <v>22124</v>
      </c>
      <c r="H8337" s="5" t="s">
        <v>116</v>
      </c>
      <c r="I8337" s="5" t="s">
        <v>17057</v>
      </c>
    </row>
    <row r="8338" spans="1:9" ht="27" customHeight="1">
      <c r="A8338" s="5"/>
      <c r="B8338" s="5" t="str">
        <f>CONCATENATE(G8338,"/",COUNTIF($G$2:G8338,G8338))</f>
        <v>PL-10574/2</v>
      </c>
      <c r="C8338" s="67" t="s">
        <v>45565</v>
      </c>
      <c r="D8338" s="246">
        <v>45833</v>
      </c>
      <c r="E8338" s="67" t="s">
        <v>45566</v>
      </c>
      <c r="F8338" s="67" t="s">
        <v>23600</v>
      </c>
      <c r="G8338" s="27" t="s">
        <v>22124</v>
      </c>
      <c r="H8338" s="5" t="s">
        <v>116</v>
      </c>
      <c r="I8338" s="5" t="s">
        <v>17057</v>
      </c>
    </row>
    <row r="8339" spans="1:9" ht="27" customHeight="1">
      <c r="A8339" s="5"/>
      <c r="B8339" s="5" t="str">
        <f>CONCATENATE(G8339,"/",COUNTIF($G$2:G8339,G8339))</f>
        <v>PL-10574/3</v>
      </c>
      <c r="C8339" s="67" t="s">
        <v>45567</v>
      </c>
      <c r="D8339" s="246">
        <v>45833</v>
      </c>
      <c r="E8339" s="67" t="s">
        <v>45568</v>
      </c>
      <c r="F8339" s="67" t="s">
        <v>23600</v>
      </c>
      <c r="G8339" s="27" t="s">
        <v>22124</v>
      </c>
      <c r="H8339" s="5" t="s">
        <v>116</v>
      </c>
      <c r="I8339" s="5" t="s">
        <v>17057</v>
      </c>
    </row>
    <row r="8340" spans="1:9" ht="27" customHeight="1">
      <c r="A8340" s="5"/>
      <c r="B8340" s="5" t="str">
        <f>CONCATENATE(G8340,"/",COUNTIF($G$2:G8340,G8340))</f>
        <v>PL-10574/4</v>
      </c>
      <c r="C8340" s="67" t="s">
        <v>45569</v>
      </c>
      <c r="D8340" s="246">
        <v>45833</v>
      </c>
      <c r="E8340" s="67" t="s">
        <v>45570</v>
      </c>
      <c r="F8340" s="67" t="s">
        <v>23600</v>
      </c>
      <c r="G8340" s="27" t="s">
        <v>22124</v>
      </c>
      <c r="H8340" s="5" t="s">
        <v>116</v>
      </c>
      <c r="I8340" s="5" t="s">
        <v>17057</v>
      </c>
    </row>
    <row r="8341" spans="1:9" ht="27" customHeight="1">
      <c r="A8341" s="5"/>
      <c r="B8341" s="5" t="str">
        <f>CONCATENATE(G8341,"/",COUNTIF($G$2:G8341,G8341))</f>
        <v>PL-10574/5</v>
      </c>
      <c r="C8341" s="67" t="s">
        <v>45571</v>
      </c>
      <c r="D8341" s="246">
        <v>45833</v>
      </c>
      <c r="E8341" s="67" t="s">
        <v>45572</v>
      </c>
      <c r="F8341" s="67" t="s">
        <v>23600</v>
      </c>
      <c r="G8341" s="27" t="s">
        <v>22124</v>
      </c>
      <c r="H8341" s="5" t="s">
        <v>116</v>
      </c>
      <c r="I8341" s="5" t="s">
        <v>17057</v>
      </c>
    </row>
    <row r="8342" spans="1:9" ht="27" customHeight="1">
      <c r="A8342" s="5"/>
      <c r="B8342" s="5" t="str">
        <f>CONCATENATE(G8342,"/",COUNTIF($G$2:G8342,G8342))</f>
        <v>PL-10574/6</v>
      </c>
      <c r="C8342" s="67" t="s">
        <v>45573</v>
      </c>
      <c r="D8342" s="246">
        <v>45833</v>
      </c>
      <c r="E8342" s="67" t="s">
        <v>45574</v>
      </c>
      <c r="F8342" s="67" t="s">
        <v>23600</v>
      </c>
      <c r="G8342" s="27" t="s">
        <v>22124</v>
      </c>
      <c r="H8342" s="5" t="s">
        <v>116</v>
      </c>
      <c r="I8342" s="5" t="s">
        <v>17057</v>
      </c>
    </row>
    <row r="8343" spans="1:9" ht="27" customHeight="1">
      <c r="A8343" s="5"/>
      <c r="B8343" s="5" t="str">
        <f>CONCATENATE(G8343,"/",COUNTIF($G$2:G8343,G8343))</f>
        <v>PL-10574/7</v>
      </c>
      <c r="C8343" s="67" t="s">
        <v>45575</v>
      </c>
      <c r="D8343" s="246">
        <v>45833</v>
      </c>
      <c r="E8343" s="67" t="s">
        <v>45576</v>
      </c>
      <c r="F8343" s="67" t="s">
        <v>23600</v>
      </c>
      <c r="G8343" s="27" t="s">
        <v>22124</v>
      </c>
      <c r="H8343" s="5" t="s">
        <v>116</v>
      </c>
      <c r="I8343" s="5" t="s">
        <v>17057</v>
      </c>
    </row>
    <row r="8344" spans="1:9" ht="27" customHeight="1">
      <c r="A8344" s="5"/>
      <c r="B8344" s="5" t="str">
        <f>CONCATENATE(G8344,"/",COUNTIF($G$2:G8344,G8344))</f>
        <v>PL-10574/8</v>
      </c>
      <c r="C8344" s="67" t="s">
        <v>45577</v>
      </c>
      <c r="D8344" s="246">
        <v>45833</v>
      </c>
      <c r="E8344" s="67" t="s">
        <v>45578</v>
      </c>
      <c r="F8344" s="67" t="s">
        <v>23600</v>
      </c>
      <c r="G8344" s="27" t="s">
        <v>22124</v>
      </c>
      <c r="H8344" s="5" t="s">
        <v>116</v>
      </c>
      <c r="I8344" s="5" t="s">
        <v>17057</v>
      </c>
    </row>
    <row r="8345" spans="1:9" ht="27" customHeight="1">
      <c r="A8345" s="5"/>
      <c r="B8345" s="5" t="str">
        <f>CONCATENATE(G8345,"/",COUNTIF($G$2:G8345,G8345))</f>
        <v>DK-10586/1</v>
      </c>
      <c r="C8345" s="5" t="s">
        <v>45579</v>
      </c>
      <c r="D8345" s="246">
        <v>45853</v>
      </c>
      <c r="E8345" s="67" t="s">
        <v>45580</v>
      </c>
      <c r="F8345" s="67" t="s">
        <v>23600</v>
      </c>
      <c r="G8345" s="27" t="s">
        <v>22208</v>
      </c>
      <c r="H8345" s="5" t="s">
        <v>45581</v>
      </c>
      <c r="I8345" s="5" t="s">
        <v>12910</v>
      </c>
    </row>
    <row r="8346" spans="1:9" ht="27" customHeight="1">
      <c r="A8346" s="5"/>
      <c r="B8346" s="5" t="str">
        <f>CONCATENATE(G8346,"/",COUNTIF($G$2:G8346,G8346))</f>
        <v>AT-10618/1</v>
      </c>
      <c r="C8346" s="5" t="s">
        <v>45582</v>
      </c>
      <c r="D8346" s="246">
        <v>45859</v>
      </c>
      <c r="E8346" s="5" t="s">
        <v>45583</v>
      </c>
      <c r="F8346" s="67" t="s">
        <v>45584</v>
      </c>
      <c r="G8346" s="27" t="s">
        <v>22410</v>
      </c>
      <c r="H8346" s="5" t="s">
        <v>22411</v>
      </c>
      <c r="I8346" s="5" t="s">
        <v>12474</v>
      </c>
    </row>
    <row r="8347" spans="1:9" ht="27" customHeight="1">
      <c r="A8347" s="5"/>
      <c r="B8347" s="5" t="str">
        <f>CONCATENATE(G8347,"/",COUNTIF($G$2:G8347,G8347))</f>
        <v>AT-10618/2</v>
      </c>
      <c r="C8347" s="5" t="s">
        <v>45585</v>
      </c>
      <c r="D8347" s="246">
        <v>45859</v>
      </c>
      <c r="E8347" s="5" t="s">
        <v>45586</v>
      </c>
      <c r="F8347" s="67" t="s">
        <v>45584</v>
      </c>
      <c r="G8347" s="27" t="s">
        <v>22410</v>
      </c>
      <c r="H8347" s="5" t="s">
        <v>22411</v>
      </c>
      <c r="I8347" s="5" t="s">
        <v>12474</v>
      </c>
    </row>
    <row r="8348" spans="1:9" ht="27" customHeight="1">
      <c r="A8348" s="5"/>
      <c r="B8348" s="5" t="str">
        <f>CONCATENATE(G8348,"/",COUNTIF($G$2:G8348,G8348))</f>
        <v>AT-10618/3</v>
      </c>
      <c r="C8348" s="5" t="s">
        <v>45587</v>
      </c>
      <c r="D8348" s="246">
        <v>45859</v>
      </c>
      <c r="E8348" s="5" t="s">
        <v>45588</v>
      </c>
      <c r="F8348" s="67" t="s">
        <v>45584</v>
      </c>
      <c r="G8348" s="27" t="s">
        <v>22410</v>
      </c>
      <c r="H8348" s="5" t="s">
        <v>22411</v>
      </c>
      <c r="I8348" s="5" t="s">
        <v>12474</v>
      </c>
    </row>
    <row r="8349" spans="1:9" ht="27" customHeight="1">
      <c r="A8349" s="5"/>
      <c r="B8349" s="5" t="str">
        <f>CONCATENATE(G8349,"/",COUNTIF($G$2:G8349,G8349))</f>
        <v>AT-10618/4</v>
      </c>
      <c r="C8349" s="5" t="s">
        <v>45589</v>
      </c>
      <c r="D8349" s="246">
        <v>45859</v>
      </c>
      <c r="E8349" s="5" t="s">
        <v>45590</v>
      </c>
      <c r="F8349" s="67" t="s">
        <v>45584</v>
      </c>
      <c r="G8349" s="27" t="s">
        <v>22410</v>
      </c>
      <c r="H8349" s="5" t="s">
        <v>22411</v>
      </c>
      <c r="I8349" s="5" t="s">
        <v>12474</v>
      </c>
    </row>
    <row r="8350" spans="1:9" ht="27" customHeight="1">
      <c r="A8350" s="5"/>
      <c r="B8350" s="5" t="str">
        <f>CONCATENATE(G8350,"/",COUNTIF($G$2:G8350,G8350))</f>
        <v>AT-10618/5</v>
      </c>
      <c r="C8350" s="5" t="s">
        <v>45591</v>
      </c>
      <c r="D8350" s="246">
        <v>45859</v>
      </c>
      <c r="E8350" s="5" t="s">
        <v>45592</v>
      </c>
      <c r="F8350" s="67" t="s">
        <v>45584</v>
      </c>
      <c r="G8350" s="27" t="s">
        <v>22410</v>
      </c>
      <c r="H8350" s="5" t="s">
        <v>22411</v>
      </c>
      <c r="I8350" s="5" t="s">
        <v>12474</v>
      </c>
    </row>
    <row r="8351" spans="1:9" ht="27" customHeight="1">
      <c r="A8351" s="5"/>
      <c r="B8351" s="5" t="str">
        <f>CONCATENATE(G8351,"/",COUNTIF($G$2:G8351,G8351))</f>
        <v>AT-10618/6</v>
      </c>
      <c r="C8351" s="5" t="s">
        <v>45593</v>
      </c>
      <c r="D8351" s="246">
        <v>45859</v>
      </c>
      <c r="E8351" s="5" t="s">
        <v>45594</v>
      </c>
      <c r="F8351" s="67" t="s">
        <v>45584</v>
      </c>
      <c r="G8351" s="27" t="s">
        <v>22410</v>
      </c>
      <c r="H8351" s="5" t="s">
        <v>22411</v>
      </c>
      <c r="I8351" s="5" t="s">
        <v>12474</v>
      </c>
    </row>
    <row r="8352" spans="1:9" ht="27" customHeight="1">
      <c r="A8352" s="5"/>
      <c r="B8352" s="5" t="str">
        <f>CONCATENATE(G8352,"/",COUNTIF($G$2:G8352,G8352))</f>
        <v>AT-10618/7</v>
      </c>
      <c r="C8352" s="5" t="s">
        <v>45595</v>
      </c>
      <c r="D8352" s="246">
        <v>45859</v>
      </c>
      <c r="E8352" s="5" t="s">
        <v>45596</v>
      </c>
      <c r="F8352" s="67" t="s">
        <v>45584</v>
      </c>
      <c r="G8352" s="27" t="s">
        <v>22410</v>
      </c>
      <c r="H8352" s="5" t="s">
        <v>22411</v>
      </c>
      <c r="I8352" s="5" t="s">
        <v>12474</v>
      </c>
    </row>
    <row r="8353" spans="1:9" ht="27" customHeight="1">
      <c r="A8353" s="5"/>
      <c r="B8353" s="5" t="str">
        <f>CONCATENATE(G8353,"/",COUNTIF($G$2:G8353,G8353))</f>
        <v>AT-10618/8</v>
      </c>
      <c r="C8353" s="5" t="s">
        <v>45597</v>
      </c>
      <c r="D8353" s="246">
        <v>45859</v>
      </c>
      <c r="E8353" s="5" t="s">
        <v>45598</v>
      </c>
      <c r="F8353" s="67" t="s">
        <v>45584</v>
      </c>
      <c r="G8353" s="27" t="s">
        <v>22410</v>
      </c>
      <c r="H8353" s="5" t="s">
        <v>22411</v>
      </c>
      <c r="I8353" s="5" t="s">
        <v>12474</v>
      </c>
    </row>
    <row r="8354" spans="1:9" ht="27" customHeight="1">
      <c r="A8354" s="5"/>
      <c r="B8354" s="5" t="str">
        <f>CONCATENATE(G8354,"/",COUNTIF($G$2:G8354,G8354))</f>
        <v>HR-10590/1</v>
      </c>
      <c r="C8354" s="5" t="s">
        <v>45599</v>
      </c>
      <c r="D8354" s="246">
        <v>45856</v>
      </c>
      <c r="E8354" s="5" t="s">
        <v>45600</v>
      </c>
      <c r="F8354" s="67" t="s">
        <v>23600</v>
      </c>
      <c r="G8354" s="27" t="s">
        <v>22231</v>
      </c>
      <c r="H8354" s="5" t="s">
        <v>22232</v>
      </c>
      <c r="I8354" s="5" t="s">
        <v>9789</v>
      </c>
    </row>
    <row r="8355" spans="1:9" ht="27" customHeight="1">
      <c r="A8355" s="5"/>
      <c r="B8355" s="5" t="str">
        <f>CONCATENATE(G8355,"/",COUNTIF($G$2:G8355,G8355))</f>
        <v>HR-10477/1</v>
      </c>
      <c r="C8355" s="5" t="s">
        <v>45601</v>
      </c>
      <c r="D8355" s="246">
        <v>45706</v>
      </c>
      <c r="E8355" s="5" t="s">
        <v>45602</v>
      </c>
      <c r="F8355" s="67" t="s">
        <v>23600</v>
      </c>
      <c r="G8355" s="27" t="s">
        <v>21496</v>
      </c>
      <c r="H8355" s="5" t="s">
        <v>21497</v>
      </c>
      <c r="I8355" s="5" t="s">
        <v>9789</v>
      </c>
    </row>
    <row r="8356" spans="1:9" ht="27" customHeight="1">
      <c r="A8356" s="5"/>
      <c r="B8356" s="5" t="str">
        <f>CONCATENATE(G8356,"/",COUNTIF($G$2:G8356,G8356))</f>
        <v>BE-10567/1</v>
      </c>
      <c r="C8356" s="5" t="s">
        <v>44738</v>
      </c>
      <c r="D8356" s="246">
        <v>45853</v>
      </c>
      <c r="E8356" s="5" t="s">
        <v>45603</v>
      </c>
      <c r="F8356" s="67" t="s">
        <v>45604</v>
      </c>
      <c r="G8356" s="27" t="s">
        <v>22082</v>
      </c>
      <c r="H8356" s="5" t="s">
        <v>22084</v>
      </c>
      <c r="I8356" s="5" t="s">
        <v>14753</v>
      </c>
    </row>
    <row r="8357" spans="1:9" ht="27" customHeight="1">
      <c r="A8357" s="5"/>
      <c r="B8357" s="5" t="str">
        <f>CONCATENATE(G8357,"/",COUNTIF($G$2:G8357,G8357))</f>
        <v>BE-10567/2</v>
      </c>
      <c r="C8357" s="5" t="s">
        <v>45160</v>
      </c>
      <c r="D8357" s="246">
        <v>45853</v>
      </c>
      <c r="E8357" s="5" t="s">
        <v>45605</v>
      </c>
      <c r="F8357" s="67" t="s">
        <v>45604</v>
      </c>
      <c r="G8357" s="27" t="s">
        <v>22082</v>
      </c>
      <c r="H8357" s="5" t="s">
        <v>22084</v>
      </c>
      <c r="I8357" s="5" t="s">
        <v>14753</v>
      </c>
    </row>
    <row r="8358" spans="1:9" ht="27" customHeight="1">
      <c r="A8358" s="5"/>
      <c r="B8358" s="5" t="str">
        <f>CONCATENATE(G8358,"/",COUNTIF($G$2:G8358,G8358))</f>
        <v>BE-10567/3</v>
      </c>
      <c r="C8358" s="5" t="s">
        <v>45162</v>
      </c>
      <c r="D8358" s="246">
        <v>45853</v>
      </c>
      <c r="E8358" s="5" t="s">
        <v>45606</v>
      </c>
      <c r="F8358" s="67" t="s">
        <v>45604</v>
      </c>
      <c r="G8358" s="27" t="s">
        <v>22082</v>
      </c>
      <c r="H8358" s="5" t="s">
        <v>22084</v>
      </c>
      <c r="I8358" s="5" t="s">
        <v>14753</v>
      </c>
    </row>
    <row r="8359" spans="1:9" ht="27" customHeight="1">
      <c r="A8359" s="5"/>
      <c r="B8359" s="5" t="str">
        <f>CONCATENATE(G8359,"/",COUNTIF($G$2:G8359,G8359))</f>
        <v>BE-10557/1</v>
      </c>
      <c r="C8359" s="5" t="s">
        <v>44738</v>
      </c>
      <c r="D8359" s="246">
        <v>45866</v>
      </c>
      <c r="E8359" s="5" t="s">
        <v>45607</v>
      </c>
      <c r="F8359" s="67" t="s">
        <v>45604</v>
      </c>
      <c r="G8359" s="27" t="s">
        <v>22015</v>
      </c>
      <c r="H8359" s="5" t="s">
        <v>22017</v>
      </c>
      <c r="I8359" s="5" t="s">
        <v>14753</v>
      </c>
    </row>
    <row r="8360" spans="1:9" ht="27" customHeight="1">
      <c r="A8360" s="5"/>
      <c r="B8360" s="5" t="str">
        <f>CONCATENATE(G8360,"/",COUNTIF($G$2:G8360,G8360))</f>
        <v>BE-10557/2</v>
      </c>
      <c r="C8360" s="5" t="s">
        <v>45160</v>
      </c>
      <c r="D8360" s="246">
        <v>45866</v>
      </c>
      <c r="E8360" s="5" t="s">
        <v>45608</v>
      </c>
      <c r="F8360" s="67" t="s">
        <v>45604</v>
      </c>
      <c r="G8360" s="27" t="s">
        <v>22015</v>
      </c>
      <c r="H8360" s="5" t="s">
        <v>22017</v>
      </c>
      <c r="I8360" s="5" t="s">
        <v>14753</v>
      </c>
    </row>
    <row r="8361" spans="1:9" ht="27" customHeight="1">
      <c r="A8361" s="5"/>
      <c r="B8361" s="5" t="str">
        <f>CONCATENATE(G8361,"/",COUNTIF($G$2:G8361,G8361))</f>
        <v>BE-10557/3</v>
      </c>
      <c r="C8361" s="5" t="s">
        <v>45162</v>
      </c>
      <c r="D8361" s="246">
        <v>45866</v>
      </c>
      <c r="E8361" s="5" t="s">
        <v>45609</v>
      </c>
      <c r="F8361" s="67" t="s">
        <v>45604</v>
      </c>
      <c r="G8361" s="27" t="s">
        <v>22015</v>
      </c>
      <c r="H8361" s="5" t="s">
        <v>22017</v>
      </c>
      <c r="I8361" s="5" t="s">
        <v>14753</v>
      </c>
    </row>
    <row r="8362" spans="1:9" ht="27" customHeight="1">
      <c r="A8362" s="5"/>
      <c r="B8362" s="5" t="str">
        <f>CONCATENATE(G8362,"/",COUNTIF($G$2:G8362,G8362))</f>
        <v>DE-6327/1</v>
      </c>
      <c r="C8362" s="5" t="s">
        <v>45610</v>
      </c>
      <c r="D8362" s="246">
        <v>45860</v>
      </c>
      <c r="E8362" s="5" t="s">
        <v>45611</v>
      </c>
      <c r="F8362" s="67" t="s">
        <v>25439</v>
      </c>
      <c r="G8362" s="27" t="s">
        <v>18027</v>
      </c>
      <c r="H8362" s="5" t="s">
        <v>18028</v>
      </c>
      <c r="I8362" s="5" t="s">
        <v>6455</v>
      </c>
    </row>
    <row r="8363" spans="1:9" ht="27" customHeight="1">
      <c r="A8363" s="5"/>
      <c r="B8363" s="5" t="str">
        <f>CONCATENATE(G8363,"/",COUNTIF($G$2:G8363,G8363))</f>
        <v>RO-10593/1</v>
      </c>
      <c r="C8363" s="5" t="s">
        <v>45612</v>
      </c>
      <c r="D8363" s="246">
        <v>45894</v>
      </c>
      <c r="E8363" s="5" t="s">
        <v>45613</v>
      </c>
      <c r="F8363" s="67" t="s">
        <v>38347</v>
      </c>
      <c r="G8363" s="27" t="s">
        <v>22252</v>
      </c>
      <c r="H8363" s="5" t="s">
        <v>45614</v>
      </c>
      <c r="I8363" s="5" t="s">
        <v>17682</v>
      </c>
    </row>
    <row r="8364" spans="1:9" ht="27" customHeight="1">
      <c r="A8364" s="5"/>
      <c r="B8364" s="5" t="str">
        <f>CONCATENATE(G8364,"/",COUNTIF($G$2:G8364,G8364))</f>
        <v>DK-10449/1</v>
      </c>
      <c r="C8364" s="5" t="s">
        <v>45615</v>
      </c>
      <c r="D8364" s="246">
        <v>45902</v>
      </c>
      <c r="E8364" s="5" t="s">
        <v>45616</v>
      </c>
      <c r="F8364" s="67" t="s">
        <v>27950</v>
      </c>
      <c r="G8364" s="27" t="s">
        <v>21317</v>
      </c>
      <c r="H8364" s="5" t="s">
        <v>45617</v>
      </c>
      <c r="I8364" s="5" t="s">
        <v>12910</v>
      </c>
    </row>
    <row r="8365" spans="1:9" ht="27" customHeight="1">
      <c r="A8365" s="5"/>
      <c r="B8365" s="5" t="str">
        <f>CONCATENATE(G8365,"/",COUNTIF($G$2:G8365,G8365))</f>
        <v>DK-10449/2</v>
      </c>
      <c r="C8365" s="5" t="s">
        <v>45618</v>
      </c>
      <c r="D8365" s="246">
        <v>45902</v>
      </c>
      <c r="E8365" s="5" t="s">
        <v>45619</v>
      </c>
      <c r="F8365" s="67" t="s">
        <v>27950</v>
      </c>
      <c r="G8365" s="27" t="s">
        <v>21317</v>
      </c>
      <c r="H8365" s="5" t="s">
        <v>45617</v>
      </c>
      <c r="I8365" s="5" t="s">
        <v>12910</v>
      </c>
    </row>
    <row r="8366" spans="1:9" ht="27" customHeight="1">
      <c r="A8366" s="5"/>
      <c r="B8366" s="5" t="str">
        <f>CONCATENATE(G8366,"/",COUNTIF($G$2:G8366,G8366))</f>
        <v>HU-10475/1</v>
      </c>
      <c r="C8366" s="5" t="s">
        <v>45620</v>
      </c>
      <c r="D8366" s="246">
        <v>45884</v>
      </c>
      <c r="E8366" s="5" t="s">
        <v>45621</v>
      </c>
      <c r="F8366" s="67" t="s">
        <v>23600</v>
      </c>
      <c r="G8366" s="27" t="s">
        <v>21504</v>
      </c>
      <c r="H8366" s="5" t="s">
        <v>45622</v>
      </c>
      <c r="I8366" s="5" t="s">
        <v>17578</v>
      </c>
    </row>
    <row r="8367" spans="1:9" ht="27" customHeight="1">
      <c r="A8367" s="5"/>
      <c r="B8367" s="5" t="str">
        <f>CONCATENATE(G8367,"/",COUNTIF($G$2:G8367,G8367))</f>
        <v>HU-10548/1</v>
      </c>
      <c r="C8367" s="5" t="s">
        <v>45623</v>
      </c>
      <c r="D8367" s="246">
        <v>45884</v>
      </c>
      <c r="E8367" s="5" t="s">
        <v>45624</v>
      </c>
      <c r="F8367" s="67" t="s">
        <v>23600</v>
      </c>
      <c r="G8367" s="27" t="s">
        <v>21950</v>
      </c>
      <c r="H8367" s="5" t="s">
        <v>21951</v>
      </c>
      <c r="I8367" s="5" t="s">
        <v>17578</v>
      </c>
    </row>
    <row r="8368" spans="1:9" ht="27" customHeight="1">
      <c r="A8368" s="5"/>
      <c r="B8368" s="5" t="str">
        <f>CONCATENATE(G8368,"/",COUNTIF($G$2:G8368,G8368))</f>
        <v>HU-10569/1</v>
      </c>
      <c r="C8368" s="5" t="s">
        <v>45625</v>
      </c>
      <c r="D8368" s="246">
        <v>45880</v>
      </c>
      <c r="E8368" s="5" t="s">
        <v>45626</v>
      </c>
      <c r="F8368" s="67" t="s">
        <v>23600</v>
      </c>
      <c r="G8368" s="5" t="s">
        <v>22096</v>
      </c>
      <c r="H8368" s="5" t="s">
        <v>45627</v>
      </c>
      <c r="I8368" s="5" t="s">
        <v>17578</v>
      </c>
    </row>
    <row r="8369" spans="1:9" ht="27" customHeight="1">
      <c r="A8369" s="5"/>
      <c r="B8369" s="5" t="str">
        <f>CONCATENATE(G8369,"/",COUNTIF($G$2:G8369,G8369))</f>
        <v>DK-10619/1</v>
      </c>
      <c r="C8369" s="5" t="s">
        <v>45628</v>
      </c>
      <c r="D8369" s="246">
        <v>45909</v>
      </c>
      <c r="E8369" s="5" t="s">
        <v>45629</v>
      </c>
      <c r="F8369" s="67" t="s">
        <v>27950</v>
      </c>
      <c r="G8369" s="5" t="s">
        <v>22418</v>
      </c>
      <c r="H8369" s="5" t="s">
        <v>45630</v>
      </c>
      <c r="I8369" s="5" t="s">
        <v>12910</v>
      </c>
    </row>
    <row r="8370" spans="1:9" ht="27" customHeight="1">
      <c r="A8370" s="5"/>
      <c r="B8370" s="5" t="str">
        <f>CONCATENATE(G8370,"/",COUNTIF($G$2:G8370,G8370))</f>
        <v>DK-10615/1</v>
      </c>
      <c r="C8370" s="5" t="s">
        <v>45631</v>
      </c>
      <c r="D8370" s="246">
        <v>45912</v>
      </c>
      <c r="E8370" s="5" t="s">
        <v>45632</v>
      </c>
      <c r="F8370" s="67" t="s">
        <v>27950</v>
      </c>
      <c r="G8370" s="5" t="s">
        <v>22391</v>
      </c>
      <c r="H8370" s="5" t="s">
        <v>45633</v>
      </c>
      <c r="I8370" s="5" t="s">
        <v>12910</v>
      </c>
    </row>
    <row r="8371" spans="1:9" ht="27" customHeight="1">
      <c r="A8371" s="5"/>
      <c r="B8371" s="5" t="str">
        <f>CONCATENATE(G8371,"/",COUNTIF($G$2:G8371,G8371))</f>
        <v>RO-10602/1</v>
      </c>
      <c r="C8371" s="5" t="s">
        <v>45634</v>
      </c>
      <c r="D8371" s="246">
        <v>45894</v>
      </c>
      <c r="E8371" s="5" t="s">
        <v>45635</v>
      </c>
      <c r="F8371" s="5" t="s">
        <v>38347</v>
      </c>
      <c r="G8371" s="5" t="s">
        <v>22309</v>
      </c>
      <c r="H8371" s="5" t="s">
        <v>45636</v>
      </c>
      <c r="I8371" s="5" t="s">
        <v>17682</v>
      </c>
    </row>
    <row r="8372" spans="1:9" ht="27" customHeight="1">
      <c r="A8372" s="5"/>
      <c r="B8372" s="5" t="str">
        <f>CONCATENATE(G8372,"/",COUNTIF($G$2:G8372,G8372))</f>
        <v>RO-10604/1</v>
      </c>
      <c r="C8372" s="5" t="s">
        <v>45637</v>
      </c>
      <c r="D8372" s="246">
        <v>45908</v>
      </c>
      <c r="E8372" s="5" t="s">
        <v>45638</v>
      </c>
      <c r="F8372" s="5" t="s">
        <v>38347</v>
      </c>
      <c r="G8372" s="5" t="s">
        <v>22324</v>
      </c>
      <c r="H8372" s="5" t="s">
        <v>22325</v>
      </c>
      <c r="I8372" s="5" t="s">
        <v>17682</v>
      </c>
    </row>
    <row r="8373" spans="1:9" ht="27" customHeight="1">
      <c r="A8373" s="5"/>
      <c r="B8373" s="5" t="str">
        <f>CONCATENATE(G8373,"/",COUNTIF($G$2:G8373,G8373))</f>
        <v>RO-10604/2</v>
      </c>
      <c r="C8373" s="5" t="s">
        <v>45639</v>
      </c>
      <c r="D8373" s="246">
        <v>45908</v>
      </c>
      <c r="E8373" s="5" t="s">
        <v>45640</v>
      </c>
      <c r="F8373" s="5" t="s">
        <v>38347</v>
      </c>
      <c r="G8373" s="5" t="s">
        <v>22324</v>
      </c>
      <c r="H8373" s="5" t="s">
        <v>22325</v>
      </c>
      <c r="I8373" s="5" t="s">
        <v>17682</v>
      </c>
    </row>
    <row r="8374" spans="1:9" ht="27" customHeight="1">
      <c r="A8374" s="5"/>
      <c r="B8374" s="5" t="str">
        <f>CONCATENATE(G8374,"/",COUNTIF($G$2:G8374,G8374))</f>
        <v>CZ-10600/1</v>
      </c>
      <c r="C8374" s="5" t="s">
        <v>23621</v>
      </c>
      <c r="D8374" s="246">
        <v>45916</v>
      </c>
      <c r="E8374" s="5" t="s">
        <v>45641</v>
      </c>
      <c r="F8374" s="5" t="s">
        <v>23600</v>
      </c>
      <c r="G8374" s="5" t="s">
        <v>22295</v>
      </c>
      <c r="H8374" s="5" t="s">
        <v>22296</v>
      </c>
      <c r="I8374" s="5" t="s">
        <v>16429</v>
      </c>
    </row>
    <row r="8375" spans="1:9" ht="27" customHeight="1">
      <c r="A8375" s="5"/>
      <c r="B8375" s="5" t="str">
        <f>CONCATENATE(G8375,"/",COUNTIF($G$2:G8375,G8375))</f>
        <v>CZ-10345/1</v>
      </c>
      <c r="C8375" s="5" t="s">
        <v>23621</v>
      </c>
      <c r="D8375" s="246">
        <v>45923</v>
      </c>
      <c r="E8375" s="5" t="s">
        <v>45642</v>
      </c>
      <c r="F8375" s="5" t="s">
        <v>23600</v>
      </c>
      <c r="G8375" s="5" t="s">
        <v>20675</v>
      </c>
      <c r="H8375" s="5" t="s">
        <v>20676</v>
      </c>
      <c r="I8375" s="5" t="s">
        <v>16429</v>
      </c>
    </row>
    <row r="8376" spans="1:9" ht="27" customHeight="1">
      <c r="A8376" s="5"/>
      <c r="B8376" s="5" t="str">
        <f>CONCATENATE(G8376,"/",COUNTIF($G$2:G8376,G8376))</f>
        <v>CZ-10592/1</v>
      </c>
      <c r="C8376" s="5" t="s">
        <v>23621</v>
      </c>
      <c r="D8376" s="246">
        <v>45930</v>
      </c>
      <c r="E8376" s="5" t="s">
        <v>45643</v>
      </c>
      <c r="F8376" s="5" t="s">
        <v>36725</v>
      </c>
      <c r="G8376" s="5" t="s">
        <v>22246</v>
      </c>
      <c r="H8376" s="5" t="s">
        <v>22247</v>
      </c>
      <c r="I8376" s="5" t="s">
        <v>16429</v>
      </c>
    </row>
    <row r="8377" spans="1:9" ht="27" customHeight="1">
      <c r="A8377" s="5"/>
      <c r="B8377" s="5" t="str">
        <f>CONCATENATE(G8377,"/",COUNTIF($G$2:G8377,G8377))</f>
        <v>RO-10622/1</v>
      </c>
      <c r="C8377" s="5" t="s">
        <v>45644</v>
      </c>
      <c r="D8377" s="246">
        <v>45932</v>
      </c>
      <c r="E8377" s="5" t="s">
        <v>45645</v>
      </c>
      <c r="F8377" s="5" t="s">
        <v>38347</v>
      </c>
      <c r="G8377" s="5" t="s">
        <v>22437</v>
      </c>
      <c r="H8377" s="5" t="s">
        <v>22438</v>
      </c>
      <c r="I8377" s="5" t="s">
        <v>17682</v>
      </c>
    </row>
    <row r="8378" spans="1:9" ht="27" customHeight="1">
      <c r="A8378" s="5"/>
      <c r="B8378" s="5" t="str">
        <f>CONCATENATE(G8378,"/",COUNTIF($G$2:G8378,G8378))</f>
        <v>BE-10471/1</v>
      </c>
      <c r="C8378" s="5" t="s">
        <v>44738</v>
      </c>
      <c r="D8378" s="246">
        <v>45924</v>
      </c>
      <c r="E8378" s="5" t="s">
        <v>45646</v>
      </c>
      <c r="F8378" s="5" t="s">
        <v>45647</v>
      </c>
      <c r="G8378" s="5" t="s">
        <v>21452</v>
      </c>
      <c r="H8378" s="5" t="s">
        <v>21454</v>
      </c>
      <c r="I8378" s="5" t="s">
        <v>14753</v>
      </c>
    </row>
    <row r="8379" spans="1:9" ht="27" customHeight="1">
      <c r="A8379" s="5"/>
      <c r="B8379" s="5" t="str">
        <f>CONCATENATE(G8379,"/",COUNTIF($G$2:G8379,G8379))</f>
        <v>RO-10630/1</v>
      </c>
      <c r="C8379" s="5" t="s">
        <v>45648</v>
      </c>
      <c r="D8379" s="246">
        <v>45943</v>
      </c>
      <c r="E8379" s="5" t="s">
        <v>45649</v>
      </c>
      <c r="F8379" s="5" t="s">
        <v>38347</v>
      </c>
      <c r="G8379" s="5" t="s">
        <v>22482</v>
      </c>
      <c r="H8379" s="5" t="s">
        <v>45650</v>
      </c>
      <c r="I8379" s="5" t="s">
        <v>17682</v>
      </c>
    </row>
    <row r="8380" spans="1:9" ht="27" customHeight="1">
      <c r="A8380" s="5"/>
      <c r="B8380" s="5" t="str">
        <f>CONCATENATE(G8380,"/",COUNTIF($G$2:G8380,G8380))</f>
        <v>RO-10630/2</v>
      </c>
      <c r="C8380" s="5" t="s">
        <v>45651</v>
      </c>
      <c r="D8380" s="246">
        <v>45943</v>
      </c>
      <c r="E8380" s="5" t="s">
        <v>45652</v>
      </c>
      <c r="F8380" s="5" t="s">
        <v>38347</v>
      </c>
      <c r="G8380" s="5" t="s">
        <v>22482</v>
      </c>
      <c r="H8380" s="5" t="s">
        <v>45650</v>
      </c>
      <c r="I8380" s="5" t="s">
        <v>17682</v>
      </c>
    </row>
    <row r="8381" spans="1:9" ht="27" customHeight="1">
      <c r="A8381" s="5"/>
      <c r="B8381" s="5" t="str">
        <f>CONCATENATE(G8381,"/",COUNTIF($G$2:G8381,G8381))</f>
        <v>RO-10630/3</v>
      </c>
      <c r="C8381" s="5" t="s">
        <v>45653</v>
      </c>
      <c r="D8381" s="246">
        <v>45943</v>
      </c>
      <c r="E8381" s="5" t="s">
        <v>45654</v>
      </c>
      <c r="F8381" s="5" t="s">
        <v>38347</v>
      </c>
      <c r="G8381" s="5" t="s">
        <v>22482</v>
      </c>
      <c r="H8381" s="5" t="s">
        <v>45650</v>
      </c>
      <c r="I8381" s="5" t="s">
        <v>17682</v>
      </c>
    </row>
    <row r="8382" spans="1:9" ht="27" customHeight="1">
      <c r="A8382" s="5"/>
      <c r="B8382" s="5" t="str">
        <f>CONCATENATE(G8382,"/",COUNTIF($G$2:G8382,G8382))</f>
        <v>NO-10536/1</v>
      </c>
      <c r="C8382" s="5" t="s">
        <v>45655</v>
      </c>
      <c r="D8382" s="246">
        <v>45944</v>
      </c>
      <c r="E8382" s="5" t="s">
        <v>45656</v>
      </c>
      <c r="F8382" s="5" t="s">
        <v>23600</v>
      </c>
      <c r="G8382" s="5" t="s">
        <v>21873</v>
      </c>
      <c r="H8382" s="5" t="s">
        <v>21874</v>
      </c>
      <c r="I8382" s="5" t="s">
        <v>17344</v>
      </c>
    </row>
    <row r="8383" spans="1:9" ht="27" customHeight="1">
      <c r="A8383" s="5"/>
      <c r="B8383" s="5" t="str">
        <f>CONCATENATE(G8383,"/",COUNTIF($G$2:G8383,G8383))</f>
        <v>NO-10536/2</v>
      </c>
      <c r="C8383" s="5" t="s">
        <v>45657</v>
      </c>
      <c r="D8383" s="246">
        <v>45944</v>
      </c>
      <c r="E8383" s="5" t="s">
        <v>45658</v>
      </c>
      <c r="F8383" s="5" t="s">
        <v>23600</v>
      </c>
      <c r="G8383" s="5" t="s">
        <v>21873</v>
      </c>
      <c r="H8383" s="5" t="s">
        <v>21874</v>
      </c>
      <c r="I8383" s="5" t="s">
        <v>17344</v>
      </c>
    </row>
    <row r="8384" spans="1:9" ht="27" customHeight="1">
      <c r="A8384" s="5"/>
      <c r="B8384" s="5" t="str">
        <f>CONCATENATE(G8384,"/",COUNTIF($G$2:G8384,G8384))</f>
        <v>NO-10536/3</v>
      </c>
      <c r="C8384" s="5" t="s">
        <v>45659</v>
      </c>
      <c r="D8384" s="246">
        <v>45944</v>
      </c>
      <c r="E8384" s="5" t="s">
        <v>45660</v>
      </c>
      <c r="F8384" s="5" t="s">
        <v>23600</v>
      </c>
      <c r="G8384" s="5" t="s">
        <v>21873</v>
      </c>
      <c r="H8384" s="5" t="s">
        <v>21874</v>
      </c>
      <c r="I8384" s="5" t="s">
        <v>17344</v>
      </c>
    </row>
    <row r="8385" spans="1:9" ht="27" customHeight="1">
      <c r="A8385" s="5"/>
      <c r="B8385" s="5" t="str">
        <f>CONCATENATE(G8385,"/",COUNTIF($G$2:G8385,G8385))</f>
        <v>HR-10589/1</v>
      </c>
      <c r="C8385" s="5" t="s">
        <v>45661</v>
      </c>
      <c r="D8385" s="246">
        <v>45957</v>
      </c>
      <c r="E8385" s="5" t="s">
        <v>45662</v>
      </c>
      <c r="F8385" s="5" t="s">
        <v>23600</v>
      </c>
      <c r="G8385" s="5" t="s">
        <v>22224</v>
      </c>
      <c r="H8385" s="5" t="s">
        <v>22225</v>
      </c>
      <c r="I8385" s="5" t="s">
        <v>9789</v>
      </c>
    </row>
    <row r="8386" spans="1:9" ht="27" customHeight="1">
      <c r="A8386" s="5"/>
      <c r="B8386" s="5" t="str">
        <f>CONCATENATE(G8386,"/",COUNTIF($G$2:G8386,G8386))</f>
        <v>HR-10589/2</v>
      </c>
      <c r="C8386" s="5" t="s">
        <v>45663</v>
      </c>
      <c r="D8386" s="246">
        <v>45957</v>
      </c>
      <c r="E8386" s="5" t="s">
        <v>45664</v>
      </c>
      <c r="F8386" s="5" t="s">
        <v>23600</v>
      </c>
      <c r="G8386" s="5" t="s">
        <v>22224</v>
      </c>
      <c r="H8386" s="5" t="s">
        <v>22225</v>
      </c>
      <c r="I8386" s="5" t="s">
        <v>9789</v>
      </c>
    </row>
    <row r="8387" spans="1:9" ht="27" customHeight="1">
      <c r="A8387" s="5"/>
      <c r="B8387" s="5" t="str">
        <f>CONCATENATE(G8387,"/",COUNTIF($G$2:G8387,G8387))</f>
        <v>HR-10589/3</v>
      </c>
      <c r="C8387" s="5" t="s">
        <v>45665</v>
      </c>
      <c r="D8387" s="246">
        <v>45957</v>
      </c>
      <c r="E8387" s="5" t="s">
        <v>45666</v>
      </c>
      <c r="F8387" s="5" t="s">
        <v>23600</v>
      </c>
      <c r="G8387" s="5" t="s">
        <v>22224</v>
      </c>
      <c r="H8387" s="5" t="s">
        <v>22225</v>
      </c>
      <c r="I8387" s="5" t="s">
        <v>9789</v>
      </c>
    </row>
    <row r="8388" spans="1:9" ht="27" customHeight="1">
      <c r="A8388" s="5"/>
      <c r="B8388" s="5" t="str">
        <f>CONCATENATE(G8388,"/",COUNTIF($G$2:G8388,G8388))</f>
        <v>HR-10626/1</v>
      </c>
      <c r="C8388" s="5" t="s">
        <v>45667</v>
      </c>
      <c r="D8388" s="246">
        <v>45957</v>
      </c>
      <c r="E8388" s="5" t="s">
        <v>45668</v>
      </c>
      <c r="F8388" s="5" t="s">
        <v>23600</v>
      </c>
      <c r="G8388" s="5" t="s">
        <v>22460</v>
      </c>
      <c r="H8388" s="5" t="s">
        <v>22461</v>
      </c>
      <c r="I8388" s="5" t="s">
        <v>9789</v>
      </c>
    </row>
    <row r="8389" spans="1:9" ht="27" customHeight="1">
      <c r="A8389" s="5"/>
      <c r="B8389" s="5" t="str">
        <f>CONCATENATE(G8389,"/",COUNTIF($G$2:G8389,G8389))</f>
        <v>HR-10626/2</v>
      </c>
      <c r="C8389" s="5" t="s">
        <v>45669</v>
      </c>
      <c r="D8389" s="246">
        <v>45957</v>
      </c>
      <c r="E8389" s="5" t="s">
        <v>45670</v>
      </c>
      <c r="F8389" s="5" t="s">
        <v>23600</v>
      </c>
      <c r="G8389" s="5" t="s">
        <v>22460</v>
      </c>
      <c r="H8389" s="5" t="s">
        <v>22461</v>
      </c>
      <c r="I8389" s="5" t="s">
        <v>9789</v>
      </c>
    </row>
    <row r="8390" spans="1:9" ht="27" customHeight="1">
      <c r="A8390" s="5"/>
      <c r="B8390" s="5" t="str">
        <f>CONCATENATE(G8390,"/",COUNTIF($G$2:G8390,G8390))</f>
        <v>HR-10626/3</v>
      </c>
      <c r="C8390" s="5" t="s">
        <v>45671</v>
      </c>
      <c r="D8390" s="246">
        <v>45957</v>
      </c>
      <c r="E8390" s="5" t="s">
        <v>45672</v>
      </c>
      <c r="F8390" s="5" t="s">
        <v>23600</v>
      </c>
      <c r="G8390" s="5" t="s">
        <v>22460</v>
      </c>
      <c r="H8390" s="5" t="s">
        <v>22461</v>
      </c>
      <c r="I8390" s="5" t="s">
        <v>9789</v>
      </c>
    </row>
    <row r="8391" spans="1:9" ht="27" customHeight="1">
      <c r="A8391" s="5"/>
      <c r="B8391" s="5" t="str">
        <f>CONCATENATE(G8391,"/",COUNTIF($G$2:G8391,G8391))</f>
        <v>HR-10626/4</v>
      </c>
      <c r="C8391" s="5" t="s">
        <v>45673</v>
      </c>
      <c r="D8391" s="246">
        <v>45957</v>
      </c>
      <c r="E8391" s="5" t="s">
        <v>45674</v>
      </c>
      <c r="F8391" s="5" t="s">
        <v>23600</v>
      </c>
      <c r="G8391" s="5" t="s">
        <v>22460</v>
      </c>
      <c r="H8391" s="5" t="s">
        <v>22461</v>
      </c>
      <c r="I8391" s="5" t="s">
        <v>9789</v>
      </c>
    </row>
    <row r="8392" spans="1:9" ht="27" customHeight="1">
      <c r="A8392" s="5"/>
      <c r="B8392" s="5" t="str">
        <f>CONCATENATE(G8392,"/",COUNTIF($G$2:G8392,G8392))</f>
        <v>HR-10626/5</v>
      </c>
      <c r="C8392" s="5" t="s">
        <v>45675</v>
      </c>
      <c r="D8392" s="246">
        <v>45957</v>
      </c>
      <c r="E8392" s="5" t="s">
        <v>45676</v>
      </c>
      <c r="F8392" s="5" t="s">
        <v>23600</v>
      </c>
      <c r="G8392" s="5" t="s">
        <v>22460</v>
      </c>
      <c r="H8392" s="5" t="s">
        <v>22461</v>
      </c>
      <c r="I8392" s="5" t="s">
        <v>9789</v>
      </c>
    </row>
    <row r="8393" spans="1:9" ht="27" customHeight="1">
      <c r="A8393" s="5"/>
      <c r="B8393" s="5" t="str">
        <f>CONCATENATE(G8393,"/",COUNTIF($G$2:G8393,G8393))</f>
        <v>ES-10647/1</v>
      </c>
      <c r="C8393" s="5" t="s">
        <v>45677</v>
      </c>
      <c r="D8393" s="246">
        <v>45946</v>
      </c>
      <c r="E8393" s="5" t="s">
        <v>45678</v>
      </c>
      <c r="F8393" s="5" t="s">
        <v>23600</v>
      </c>
      <c r="G8393" s="5" t="s">
        <v>22591</v>
      </c>
      <c r="H8393" s="5" t="s">
        <v>22592</v>
      </c>
      <c r="I8393" s="5" t="s">
        <v>17820</v>
      </c>
    </row>
    <row r="8394" spans="1:9" ht="27" customHeight="1">
      <c r="A8394" s="5"/>
      <c r="B8394" s="5" t="str">
        <f>CONCATENATE(G8394,"/",COUNTIF($G$2:G8394,G8394))</f>
        <v>ES-10647/2</v>
      </c>
      <c r="C8394" s="5" t="s">
        <v>45679</v>
      </c>
      <c r="D8394" s="246">
        <v>45946</v>
      </c>
      <c r="E8394" s="5" t="s">
        <v>45680</v>
      </c>
      <c r="F8394" s="5" t="s">
        <v>23600</v>
      </c>
      <c r="G8394" s="5" t="s">
        <v>22591</v>
      </c>
      <c r="H8394" s="5" t="s">
        <v>22592</v>
      </c>
      <c r="I8394" s="5" t="s">
        <v>17820</v>
      </c>
    </row>
    <row r="8395" spans="1:9" ht="27" customHeight="1">
      <c r="A8395" s="5"/>
      <c r="B8395" s="5" t="str">
        <f>CONCATENATE(G8395,"/",COUNTIF($G$2:G8395,G8395))</f>
        <v>ES-10647/3</v>
      </c>
      <c r="C8395" s="5" t="s">
        <v>45681</v>
      </c>
      <c r="D8395" s="246">
        <v>45946</v>
      </c>
      <c r="E8395" s="5" t="s">
        <v>45682</v>
      </c>
      <c r="F8395" s="5" t="s">
        <v>23600</v>
      </c>
      <c r="G8395" s="5" t="s">
        <v>22591</v>
      </c>
      <c r="H8395" s="5" t="s">
        <v>22592</v>
      </c>
      <c r="I8395" s="5" t="s">
        <v>17820</v>
      </c>
    </row>
    <row r="8396" spans="1:9" ht="27" customHeight="1">
      <c r="A8396" s="5"/>
      <c r="B8396" s="5" t="str">
        <f>CONCATENATE(G8396,"/",COUNTIF($G$2:G8396,G8396))</f>
        <v>IT-10491/1</v>
      </c>
      <c r="C8396" s="5" t="s">
        <v>45683</v>
      </c>
      <c r="D8396" s="246">
        <v>45915</v>
      </c>
      <c r="E8396" s="5" t="s">
        <v>45684</v>
      </c>
      <c r="F8396" s="5" t="s">
        <v>23600</v>
      </c>
      <c r="G8396" s="5" t="s">
        <v>21526</v>
      </c>
      <c r="H8396" s="5" t="s">
        <v>45685</v>
      </c>
      <c r="I8396" s="5" t="s">
        <v>18131</v>
      </c>
    </row>
    <row r="8397" spans="1:9" ht="27" customHeight="1">
      <c r="A8397" s="5"/>
      <c r="B8397" s="5" t="str">
        <f>CONCATENATE(G8397,"/",COUNTIF($G$2:G8397,G8397))</f>
        <v>IT-10491/2</v>
      </c>
      <c r="C8397" s="5" t="s">
        <v>45686</v>
      </c>
      <c r="D8397" s="246">
        <v>45915</v>
      </c>
      <c r="E8397" s="5" t="s">
        <v>45687</v>
      </c>
      <c r="F8397" s="5" t="s">
        <v>23600</v>
      </c>
      <c r="G8397" s="5" t="s">
        <v>21526</v>
      </c>
      <c r="H8397" s="5" t="s">
        <v>45685</v>
      </c>
      <c r="I8397" s="5" t="s">
        <v>18131</v>
      </c>
    </row>
    <row r="8398" spans="1:9" ht="27" customHeight="1">
      <c r="A8398" s="5"/>
      <c r="B8398" s="5" t="str">
        <f>CONCATENATE(G8398,"/",COUNTIF($G$2:G8398,G8398))</f>
        <v>IT-10491/3</v>
      </c>
      <c r="C8398" s="5" t="s">
        <v>45688</v>
      </c>
      <c r="D8398" s="246">
        <v>45915</v>
      </c>
      <c r="E8398" s="5" t="s">
        <v>45689</v>
      </c>
      <c r="F8398" s="5" t="s">
        <v>23600</v>
      </c>
      <c r="G8398" s="5" t="s">
        <v>21526</v>
      </c>
      <c r="H8398" s="5" t="s">
        <v>45685</v>
      </c>
      <c r="I8398" s="5" t="s">
        <v>18131</v>
      </c>
    </row>
    <row r="8399" spans="1:9" ht="27" customHeight="1">
      <c r="A8399" s="5"/>
      <c r="B8399" s="5" t="str">
        <f>CONCATENATE(G8399,"/",COUNTIF($G$2:G8399,G8399))</f>
        <v>IT-10491/4</v>
      </c>
      <c r="C8399" s="5" t="s">
        <v>45690</v>
      </c>
      <c r="D8399" s="246">
        <v>45915</v>
      </c>
      <c r="E8399" s="5" t="s">
        <v>45691</v>
      </c>
      <c r="F8399" s="5" t="s">
        <v>23600</v>
      </c>
      <c r="G8399" s="5" t="s">
        <v>21526</v>
      </c>
      <c r="H8399" s="5" t="s">
        <v>45685</v>
      </c>
      <c r="I8399" s="5" t="s">
        <v>18131</v>
      </c>
    </row>
    <row r="8400" spans="1:9" ht="27" customHeight="1">
      <c r="A8400" s="5"/>
      <c r="B8400" s="5" t="str">
        <f>CONCATENATE(G8400,"/",COUNTIF($G$2:G8400,G8400))</f>
        <v>IT-10491/5</v>
      </c>
      <c r="C8400" s="5" t="s">
        <v>45692</v>
      </c>
      <c r="D8400" s="246">
        <v>45915</v>
      </c>
      <c r="E8400" s="5" t="s">
        <v>45693</v>
      </c>
      <c r="F8400" s="5" t="s">
        <v>23600</v>
      </c>
      <c r="G8400" s="5" t="s">
        <v>21526</v>
      </c>
      <c r="H8400" s="5" t="s">
        <v>45685</v>
      </c>
      <c r="I8400" s="5" t="s">
        <v>18131</v>
      </c>
    </row>
    <row r="8401" spans="1:9" ht="27" customHeight="1">
      <c r="A8401" s="5"/>
      <c r="B8401" s="5" t="str">
        <f>CONCATENATE(G8401,"/",COUNTIF($G$2:G8401,G8401))</f>
        <v>IT-10491/6</v>
      </c>
      <c r="C8401" s="5" t="s">
        <v>45694</v>
      </c>
      <c r="D8401" s="246">
        <v>45915</v>
      </c>
      <c r="E8401" s="5" t="s">
        <v>45695</v>
      </c>
      <c r="F8401" s="5" t="s">
        <v>23600</v>
      </c>
      <c r="G8401" s="5" t="s">
        <v>21526</v>
      </c>
      <c r="H8401" s="5" t="s">
        <v>45685</v>
      </c>
      <c r="I8401" s="5" t="s">
        <v>18131</v>
      </c>
    </row>
    <row r="8402" spans="1:9" ht="27" customHeight="1">
      <c r="A8402" s="5"/>
      <c r="B8402" s="5" t="str">
        <f>CONCATENATE(G8402,"/",COUNTIF($G$2:G8402,G8402))</f>
        <v>IT-10493/1</v>
      </c>
      <c r="C8402" s="5" t="s">
        <v>45696</v>
      </c>
      <c r="D8402" s="246">
        <v>45925</v>
      </c>
      <c r="E8402" s="5" t="s">
        <v>45697</v>
      </c>
      <c r="F8402" s="5" t="s">
        <v>23600</v>
      </c>
      <c r="G8402" s="5" t="s">
        <v>21641</v>
      </c>
      <c r="H8402" s="5" t="s">
        <v>21643</v>
      </c>
      <c r="I8402" s="5" t="s">
        <v>18131</v>
      </c>
    </row>
    <row r="8403" spans="1:9" ht="27" customHeight="1">
      <c r="A8403" s="5"/>
      <c r="B8403" s="5" t="str">
        <f>CONCATENATE(G8403,"/",COUNTIF($G$2:G8403,G8403))</f>
        <v>IT-10493/2</v>
      </c>
      <c r="C8403" s="5" t="s">
        <v>45698</v>
      </c>
      <c r="D8403" s="246">
        <v>45925</v>
      </c>
      <c r="E8403" s="5" t="s">
        <v>45699</v>
      </c>
      <c r="F8403" s="5" t="s">
        <v>23600</v>
      </c>
      <c r="G8403" s="5" t="s">
        <v>21641</v>
      </c>
      <c r="H8403" s="5" t="s">
        <v>21643</v>
      </c>
      <c r="I8403" s="5" t="s">
        <v>18131</v>
      </c>
    </row>
    <row r="8404" spans="1:9" ht="27" customHeight="1">
      <c r="A8404" s="5"/>
      <c r="B8404" s="5" t="str">
        <f>CONCATENATE(G8404,"/",COUNTIF($G$2:G8404,G8404))</f>
        <v>IT-10493/3</v>
      </c>
      <c r="C8404" s="5" t="s">
        <v>45700</v>
      </c>
      <c r="D8404" s="246">
        <v>45925</v>
      </c>
      <c r="E8404" s="5" t="s">
        <v>45701</v>
      </c>
      <c r="F8404" s="5" t="s">
        <v>23600</v>
      </c>
      <c r="G8404" s="5" t="s">
        <v>21641</v>
      </c>
      <c r="H8404" s="5" t="s">
        <v>21643</v>
      </c>
      <c r="I8404" s="5" t="s">
        <v>18131</v>
      </c>
    </row>
    <row r="8405" spans="1:9" ht="27" customHeight="1">
      <c r="A8405" s="5"/>
      <c r="B8405" s="5" t="str">
        <f>CONCATENATE(G8405,"/",COUNTIF($G$2:G8405,G8405))</f>
        <v>CZ-10421/1</v>
      </c>
      <c r="C8405" s="5" t="s">
        <v>23621</v>
      </c>
      <c r="D8405" s="246">
        <v>45965</v>
      </c>
      <c r="E8405" s="5" t="s">
        <v>45702</v>
      </c>
      <c r="F8405" s="5" t="s">
        <v>23600</v>
      </c>
      <c r="G8405" s="5" t="s">
        <v>21133</v>
      </c>
      <c r="H8405" s="5" t="s">
        <v>45703</v>
      </c>
      <c r="I8405" s="5" t="s">
        <v>16429</v>
      </c>
    </row>
    <row r="8406" spans="1:9" ht="27" customHeight="1">
      <c r="A8406" s="5"/>
      <c r="B8406" s="5" t="str">
        <f>CONCATENATE(G8406,"/",COUNTIF($G$2:G8406,G8406))</f>
        <v>RO-10486/1</v>
      </c>
      <c r="C8406" s="5" t="s">
        <v>45704</v>
      </c>
      <c r="D8406" s="246">
        <v>45628</v>
      </c>
      <c r="E8406" s="5" t="s">
        <v>45705</v>
      </c>
      <c r="F8406" s="5" t="s">
        <v>38347</v>
      </c>
      <c r="G8406" s="5" t="s">
        <v>21622</v>
      </c>
      <c r="H8406" s="5" t="s">
        <v>21623</v>
      </c>
      <c r="I8406" s="5" t="s">
        <v>17682</v>
      </c>
    </row>
    <row r="8407" spans="1:9" ht="27" customHeight="1">
      <c r="A8407" s="5"/>
      <c r="B8407" s="5" t="str">
        <f>CONCATENATE(G8407,"/",COUNTIF($G$2:G8407,G8407))</f>
        <v>RO-10486/2</v>
      </c>
      <c r="C8407" s="5" t="s">
        <v>45706</v>
      </c>
      <c r="D8407" s="246">
        <v>45628</v>
      </c>
      <c r="E8407" s="5" t="s">
        <v>45707</v>
      </c>
      <c r="F8407" s="5" t="s">
        <v>38347</v>
      </c>
      <c r="G8407" s="5" t="s">
        <v>21622</v>
      </c>
      <c r="H8407" s="5" t="s">
        <v>21623</v>
      </c>
      <c r="I8407" s="5" t="s">
        <v>17682</v>
      </c>
    </row>
    <row r="8408" spans="1:9" ht="27" customHeight="1">
      <c r="A8408" s="5"/>
      <c r="B8408" s="5" t="str">
        <f>CONCATENATE(G8408,"/",COUNTIF($G$2:G8408,G8408))</f>
        <v>RO-10486/3</v>
      </c>
      <c r="C8408" s="5" t="s">
        <v>45708</v>
      </c>
      <c r="D8408" s="246">
        <v>45628</v>
      </c>
      <c r="E8408" s="5" t="s">
        <v>45709</v>
      </c>
      <c r="F8408" s="5" t="s">
        <v>38347</v>
      </c>
      <c r="G8408" s="5" t="s">
        <v>21622</v>
      </c>
      <c r="H8408" s="5" t="s">
        <v>21623</v>
      </c>
      <c r="I8408" s="5" t="s">
        <v>17682</v>
      </c>
    </row>
    <row r="8409" spans="1:9" ht="27" customHeight="1">
      <c r="A8409" s="5"/>
      <c r="B8409" s="5" t="str">
        <f>CONCATENATE(G8409,"/",COUNTIF($G$2:G8409,G8409))</f>
        <v>RO-10617/1</v>
      </c>
      <c r="C8409" s="5" t="s">
        <v>45710</v>
      </c>
      <c r="D8409" s="246">
        <v>45953</v>
      </c>
      <c r="E8409" s="5" t="s">
        <v>45711</v>
      </c>
      <c r="F8409" s="5" t="s">
        <v>38347</v>
      </c>
      <c r="G8409" s="5" t="s">
        <v>22404</v>
      </c>
      <c r="H8409" s="5" t="s">
        <v>22405</v>
      </c>
      <c r="I8409" s="5" t="s">
        <v>17682</v>
      </c>
    </row>
    <row r="8410" spans="1:9" ht="27" customHeight="1">
      <c r="A8410" s="5"/>
      <c r="B8410" s="5" t="str">
        <f>CONCATENATE(G8410,"/",COUNTIF($G$2:G8410,G8410))</f>
        <v>RO-10621/1</v>
      </c>
      <c r="C8410" s="24" t="s">
        <v>45712</v>
      </c>
      <c r="D8410" s="246">
        <v>45960</v>
      </c>
      <c r="E8410" s="5" t="s">
        <v>45713</v>
      </c>
      <c r="F8410" s="5" t="s">
        <v>38347</v>
      </c>
      <c r="G8410" s="5" t="s">
        <v>22430</v>
      </c>
      <c r="H8410" s="5" t="s">
        <v>22431</v>
      </c>
      <c r="I8410" s="5" t="s">
        <v>17682</v>
      </c>
    </row>
    <row r="8411" spans="1:9" ht="27" customHeight="1">
      <c r="A8411" s="5"/>
      <c r="B8411" s="5" t="str">
        <f>CONCATENATE(G8411,"/",COUNTIF($G$2:G8411,G8411))</f>
        <v>BG-10642/1</v>
      </c>
      <c r="C8411" s="5" t="s">
        <v>45714</v>
      </c>
      <c r="D8411" s="246">
        <v>45910</v>
      </c>
      <c r="E8411" s="5" t="s">
        <v>45715</v>
      </c>
      <c r="F8411" s="24" t="s">
        <v>45324</v>
      </c>
      <c r="G8411" s="5" t="s">
        <v>22557</v>
      </c>
      <c r="H8411" s="5" t="s">
        <v>45716</v>
      </c>
      <c r="I8411" s="24" t="s">
        <v>17773</v>
      </c>
    </row>
    <row r="8412" spans="1:9" ht="27" customHeight="1">
      <c r="A8412" s="5"/>
      <c r="B8412" s="5" t="str">
        <f>CONCATENATE(G8412,"/",COUNTIF($G$2:G8412,G8412))</f>
        <v>BG-10642/2</v>
      </c>
      <c r="C8412" s="5" t="s">
        <v>45717</v>
      </c>
      <c r="D8412" s="246">
        <v>45910</v>
      </c>
      <c r="E8412" s="5" t="s">
        <v>45718</v>
      </c>
      <c r="F8412" s="24" t="s">
        <v>45324</v>
      </c>
      <c r="G8412" s="5" t="s">
        <v>22557</v>
      </c>
      <c r="H8412" s="5" t="s">
        <v>45716</v>
      </c>
      <c r="I8412" s="24" t="s">
        <v>17773</v>
      </c>
    </row>
    <row r="8413" spans="1:9" ht="27" customHeight="1">
      <c r="A8413" s="5"/>
      <c r="B8413" s="5" t="str">
        <f>CONCATENATE(G8413,"/",COUNTIF($G$2:G8413,G8413))</f>
        <v>BG-10642/3</v>
      </c>
      <c r="C8413" s="5" t="s">
        <v>45719</v>
      </c>
      <c r="D8413" s="246">
        <v>45910</v>
      </c>
      <c r="E8413" s="5" t="s">
        <v>45720</v>
      </c>
      <c r="F8413" s="24" t="s">
        <v>45324</v>
      </c>
      <c r="G8413" s="5" t="s">
        <v>22557</v>
      </c>
      <c r="H8413" s="5" t="s">
        <v>45716</v>
      </c>
      <c r="I8413" s="24" t="s">
        <v>17773</v>
      </c>
    </row>
    <row r="8414" spans="1:9" ht="27" customHeight="1">
      <c r="A8414" s="5"/>
      <c r="B8414" s="5" t="str">
        <f>CONCATENATE(G8414,"/",COUNTIF($G$2:G8414,G8414))</f>
        <v>BG-10642/4</v>
      </c>
      <c r="C8414" s="5" t="s">
        <v>45721</v>
      </c>
      <c r="D8414" s="246">
        <v>45910</v>
      </c>
      <c r="E8414" s="5" t="s">
        <v>45722</v>
      </c>
      <c r="F8414" s="24" t="s">
        <v>45324</v>
      </c>
      <c r="G8414" s="5" t="s">
        <v>22557</v>
      </c>
      <c r="H8414" s="5" t="s">
        <v>45716</v>
      </c>
      <c r="I8414" s="24" t="s">
        <v>17773</v>
      </c>
    </row>
    <row r="8415" spans="1:9" ht="27" customHeight="1">
      <c r="A8415" s="5"/>
      <c r="B8415" s="5" t="str">
        <f>CONCATENATE(G8415,"/",COUNTIF($G$2:G8415,G8415))</f>
        <v>BG-10642/5</v>
      </c>
      <c r="C8415" s="5" t="s">
        <v>45723</v>
      </c>
      <c r="D8415" s="246">
        <v>45910</v>
      </c>
      <c r="E8415" s="5" t="s">
        <v>45724</v>
      </c>
      <c r="F8415" s="24" t="s">
        <v>45324</v>
      </c>
      <c r="G8415" s="5" t="s">
        <v>22557</v>
      </c>
      <c r="H8415" s="5" t="s">
        <v>45716</v>
      </c>
      <c r="I8415" s="24" t="s">
        <v>17773</v>
      </c>
    </row>
    <row r="8416" spans="1:9" ht="27" customHeight="1">
      <c r="A8416" s="5"/>
      <c r="B8416" s="5" t="str">
        <f>CONCATENATE(G8416,"/",COUNTIF($G$2:G8416,G8416))</f>
        <v>BG-10642/6</v>
      </c>
      <c r="C8416" s="5" t="s">
        <v>45725</v>
      </c>
      <c r="D8416" s="246">
        <v>45910</v>
      </c>
      <c r="E8416" s="5" t="s">
        <v>45726</v>
      </c>
      <c r="F8416" s="24" t="s">
        <v>45324</v>
      </c>
      <c r="G8416" s="5" t="s">
        <v>22557</v>
      </c>
      <c r="H8416" s="5" t="s">
        <v>45716</v>
      </c>
      <c r="I8416" s="24" t="s">
        <v>17773</v>
      </c>
    </row>
    <row r="8417" spans="1:9" ht="27" customHeight="1">
      <c r="A8417" s="5"/>
      <c r="B8417" s="5" t="str">
        <f>CONCATENATE(G8417,"/",COUNTIF($G$2:G8417,G8417))</f>
        <v>BG-10642/7</v>
      </c>
      <c r="C8417" s="5" t="s">
        <v>45727</v>
      </c>
      <c r="D8417" s="246">
        <v>45910</v>
      </c>
      <c r="E8417" s="5" t="s">
        <v>45728</v>
      </c>
      <c r="F8417" s="24" t="s">
        <v>45324</v>
      </c>
      <c r="G8417" s="5" t="s">
        <v>22557</v>
      </c>
      <c r="H8417" s="5" t="s">
        <v>45716</v>
      </c>
      <c r="I8417" s="24" t="s">
        <v>17773</v>
      </c>
    </row>
    <row r="8418" spans="1:9" ht="27" customHeight="1">
      <c r="A8418" s="5"/>
      <c r="B8418" s="5" t="str">
        <f>CONCATENATE(G8418,"/",COUNTIF($G$2:G8418,G8418))</f>
        <v>FI-10631/1</v>
      </c>
      <c r="C8418" s="5" t="s">
        <v>45729</v>
      </c>
      <c r="D8418" s="246">
        <v>45978</v>
      </c>
      <c r="E8418" s="5" t="s">
        <v>45730</v>
      </c>
      <c r="F8418" s="24" t="s">
        <v>23600</v>
      </c>
      <c r="G8418" s="5" t="s">
        <v>22491</v>
      </c>
      <c r="H8418" s="5" t="s">
        <v>45731</v>
      </c>
      <c r="I8418" s="24" t="s">
        <v>18881</v>
      </c>
    </row>
    <row r="8419" spans="1:9" ht="27" customHeight="1">
      <c r="A8419" s="5"/>
      <c r="B8419" s="5" t="str">
        <f>CONCATENATE(G8419,"/",COUNTIF($G$2:G8419,G8419))</f>
        <v>FI-10631/2</v>
      </c>
      <c r="C8419" s="5" t="s">
        <v>45732</v>
      </c>
      <c r="D8419" s="246">
        <v>45978</v>
      </c>
      <c r="E8419" s="5" t="s">
        <v>45733</v>
      </c>
      <c r="F8419" s="24" t="s">
        <v>23600</v>
      </c>
      <c r="G8419" s="5" t="s">
        <v>22491</v>
      </c>
      <c r="H8419" s="5" t="s">
        <v>45731</v>
      </c>
      <c r="I8419" s="24" t="s">
        <v>18881</v>
      </c>
    </row>
    <row r="8420" spans="1:9" ht="27" customHeight="1">
      <c r="A8420" s="5"/>
      <c r="B8420" s="5" t="str">
        <f>CONCATENATE(G8420,"/",COUNTIF($G$2:G8420,G8420))</f>
        <v>FI-10631/3</v>
      </c>
      <c r="C8420" s="5" t="s">
        <v>45734</v>
      </c>
      <c r="D8420" s="246">
        <v>45978</v>
      </c>
      <c r="E8420" s="5" t="s">
        <v>45735</v>
      </c>
      <c r="F8420" s="24" t="s">
        <v>23600</v>
      </c>
      <c r="G8420" s="5" t="s">
        <v>22491</v>
      </c>
      <c r="H8420" s="5" t="s">
        <v>45731</v>
      </c>
      <c r="I8420" s="24" t="s">
        <v>18881</v>
      </c>
    </row>
    <row r="8421" spans="1:9" ht="27" customHeight="1">
      <c r="A8421" s="5"/>
      <c r="B8421" s="5" t="str">
        <f>CONCATENATE(G8421,"/",COUNTIF($G$2:G8421,G8421))</f>
        <v>FI-10631/4</v>
      </c>
      <c r="C8421" s="5" t="s">
        <v>45736</v>
      </c>
      <c r="D8421" s="246">
        <v>45978</v>
      </c>
      <c r="E8421" s="5" t="s">
        <v>45737</v>
      </c>
      <c r="F8421" s="24" t="s">
        <v>23600</v>
      </c>
      <c r="G8421" s="5" t="s">
        <v>22491</v>
      </c>
      <c r="H8421" s="5" t="s">
        <v>45731</v>
      </c>
      <c r="I8421" s="24" t="s">
        <v>18881</v>
      </c>
    </row>
    <row r="8422" spans="1:9" ht="27" customHeight="1">
      <c r="A8422" s="5"/>
      <c r="B8422" s="5" t="str">
        <f>CONCATENATE(G8422,"/",COUNTIF($G$2:G8422,G8422))</f>
        <v>IT-10582/1</v>
      </c>
      <c r="C8422" s="5" t="s">
        <v>45738</v>
      </c>
      <c r="D8422" s="246">
        <v>45966</v>
      </c>
      <c r="E8422" s="5" t="s">
        <v>45739</v>
      </c>
      <c r="F8422" s="24" t="s">
        <v>23600</v>
      </c>
      <c r="G8422" s="5" t="s">
        <v>22179</v>
      </c>
      <c r="H8422" s="5" t="s">
        <v>45740</v>
      </c>
      <c r="I8422" s="24" t="s">
        <v>18131</v>
      </c>
    </row>
    <row r="8423" spans="1:9" ht="27" customHeight="1">
      <c r="A8423" s="5"/>
      <c r="B8423" s="5" t="str">
        <f>CONCATENATE(G8423,"/",COUNTIF($G$2:G8423,G8423))</f>
        <v>IT-10582/2</v>
      </c>
      <c r="C8423" s="5" t="s">
        <v>45741</v>
      </c>
      <c r="D8423" s="246">
        <v>45966</v>
      </c>
      <c r="E8423" s="5" t="s">
        <v>45742</v>
      </c>
      <c r="F8423" s="24" t="s">
        <v>23600</v>
      </c>
      <c r="G8423" s="5" t="s">
        <v>22179</v>
      </c>
      <c r="H8423" s="5" t="s">
        <v>45740</v>
      </c>
      <c r="I8423" s="24" t="s">
        <v>18131</v>
      </c>
    </row>
    <row r="8424" spans="1:9" ht="27" customHeight="1">
      <c r="A8424" s="5"/>
      <c r="B8424" s="5" t="str">
        <f>CONCATENATE(G8424,"/",COUNTIF($G$2:G8424,G8424))</f>
        <v>IT-10582/3</v>
      </c>
      <c r="C8424" s="5" t="s">
        <v>45743</v>
      </c>
      <c r="D8424" s="246">
        <v>45966</v>
      </c>
      <c r="E8424" s="5" t="s">
        <v>45744</v>
      </c>
      <c r="F8424" s="24" t="s">
        <v>23600</v>
      </c>
      <c r="G8424" s="5" t="s">
        <v>22179</v>
      </c>
      <c r="H8424" s="5" t="s">
        <v>45740</v>
      </c>
      <c r="I8424" s="24" t="s">
        <v>18131</v>
      </c>
    </row>
    <row r="8425" spans="1:9" ht="27" customHeight="1">
      <c r="A8425" s="5"/>
      <c r="B8425" s="5" t="str">
        <f>CONCATENATE(G8425,"/",COUNTIF($G$2:G8425,G8425))</f>
        <v>IT-10582/4</v>
      </c>
      <c r="C8425" s="5" t="s">
        <v>45745</v>
      </c>
      <c r="D8425" s="246">
        <v>45966</v>
      </c>
      <c r="E8425" s="5" t="s">
        <v>45746</v>
      </c>
      <c r="F8425" s="24" t="s">
        <v>23600</v>
      </c>
      <c r="G8425" s="5" t="s">
        <v>22179</v>
      </c>
      <c r="H8425" s="5" t="s">
        <v>45740</v>
      </c>
      <c r="I8425" s="24" t="s">
        <v>18131</v>
      </c>
    </row>
    <row r="8426" spans="1:9" ht="27" customHeight="1">
      <c r="A8426" s="5"/>
      <c r="B8426" s="5" t="s">
        <v>45747</v>
      </c>
      <c r="C8426" s="5" t="s">
        <v>45748</v>
      </c>
      <c r="D8426" s="246">
        <v>45945</v>
      </c>
      <c r="E8426" s="5" t="s">
        <v>45749</v>
      </c>
      <c r="F8426" s="24" t="s">
        <v>25439</v>
      </c>
      <c r="G8426" s="5" t="s">
        <v>20681</v>
      </c>
      <c r="H8426" s="5" t="s">
        <v>20682</v>
      </c>
      <c r="I8426" s="24" t="s">
        <v>6455</v>
      </c>
    </row>
    <row r="8427" spans="1:9" ht="29">
      <c r="A8427" s="5"/>
      <c r="B8427" s="5" t="s">
        <v>45750</v>
      </c>
      <c r="C8427" s="5" t="s">
        <v>45751</v>
      </c>
      <c r="D8427" s="246">
        <v>45978</v>
      </c>
      <c r="E8427" s="5" t="s">
        <v>45752</v>
      </c>
      <c r="F8427" s="24" t="s">
        <v>23600</v>
      </c>
      <c r="G8427" s="5" t="s">
        <v>23081</v>
      </c>
      <c r="H8427" s="5" t="s">
        <v>45753</v>
      </c>
      <c r="I8427" s="24" t="s">
        <v>19149</v>
      </c>
    </row>
    <row r="8428" spans="1:9" ht="43.5">
      <c r="A8428" s="5"/>
      <c r="B8428" s="5" t="s">
        <v>45754</v>
      </c>
      <c r="C8428" s="5" t="s">
        <v>45751</v>
      </c>
      <c r="D8428" s="246">
        <v>45978</v>
      </c>
      <c r="E8428" s="5" t="s">
        <v>45755</v>
      </c>
      <c r="F8428" s="24" t="s">
        <v>23600</v>
      </c>
      <c r="G8428" s="5" t="s">
        <v>23081</v>
      </c>
      <c r="H8428" s="5" t="s">
        <v>45753</v>
      </c>
      <c r="I8428" s="24" t="s">
        <v>19149</v>
      </c>
    </row>
    <row r="8429" spans="1:9" ht="87">
      <c r="A8429" s="5"/>
      <c r="B8429" s="5" t="s">
        <v>45756</v>
      </c>
      <c r="C8429" s="5" t="s">
        <v>45751</v>
      </c>
      <c r="D8429" s="246">
        <v>45978</v>
      </c>
      <c r="E8429" s="5" t="s">
        <v>45757</v>
      </c>
      <c r="F8429" s="24" t="s">
        <v>23600</v>
      </c>
      <c r="G8429" s="5" t="s">
        <v>23081</v>
      </c>
      <c r="H8429" s="5" t="s">
        <v>45753</v>
      </c>
      <c r="I8429" s="24" t="s">
        <v>19149</v>
      </c>
    </row>
    <row r="8430" spans="1:9" ht="43.5">
      <c r="A8430" s="5"/>
      <c r="B8430" s="5" t="s">
        <v>45758</v>
      </c>
      <c r="C8430" s="5" t="s">
        <v>45759</v>
      </c>
      <c r="D8430" s="246">
        <v>45929</v>
      </c>
      <c r="E8430" s="5" t="s">
        <v>45760</v>
      </c>
      <c r="F8430" s="24" t="s">
        <v>45324</v>
      </c>
      <c r="G8430" s="5" t="s">
        <v>23138</v>
      </c>
      <c r="H8430" s="5" t="s">
        <v>45761</v>
      </c>
      <c r="I8430" s="24" t="s">
        <v>17773</v>
      </c>
    </row>
    <row r="8431" spans="1:9" ht="58">
      <c r="A8431" s="5"/>
      <c r="B8431" s="5" t="s">
        <v>45762</v>
      </c>
      <c r="C8431" s="5" t="s">
        <v>45763</v>
      </c>
      <c r="D8431" s="246">
        <v>45929</v>
      </c>
      <c r="E8431" s="5" t="s">
        <v>45764</v>
      </c>
      <c r="F8431" s="24" t="s">
        <v>45324</v>
      </c>
      <c r="G8431" s="5" t="s">
        <v>23138</v>
      </c>
      <c r="H8431" s="5" t="s">
        <v>45761</v>
      </c>
      <c r="I8431" s="24" t="s">
        <v>17773</v>
      </c>
    </row>
    <row r="8432" spans="1:9" ht="43.5">
      <c r="A8432" s="5"/>
      <c r="B8432" s="5" t="s">
        <v>45765</v>
      </c>
      <c r="C8432" s="5" t="s">
        <v>45766</v>
      </c>
      <c r="D8432" s="246">
        <v>45929</v>
      </c>
      <c r="E8432" s="5" t="s">
        <v>45767</v>
      </c>
      <c r="F8432" s="24" t="s">
        <v>45324</v>
      </c>
      <c r="G8432" s="5" t="s">
        <v>23138</v>
      </c>
      <c r="H8432" s="5" t="s">
        <v>45761</v>
      </c>
      <c r="I8432" s="24" t="s">
        <v>17773</v>
      </c>
    </row>
    <row r="8433" spans="1:9" ht="43.5">
      <c r="A8433" s="5"/>
      <c r="B8433" s="5" t="s">
        <v>45768</v>
      </c>
      <c r="C8433" s="5" t="s">
        <v>45769</v>
      </c>
      <c r="D8433" s="246">
        <v>45929</v>
      </c>
      <c r="E8433" s="5" t="s">
        <v>45770</v>
      </c>
      <c r="F8433" s="24" t="s">
        <v>45324</v>
      </c>
      <c r="G8433" s="5" t="s">
        <v>23138</v>
      </c>
      <c r="H8433" s="5" t="s">
        <v>45761</v>
      </c>
      <c r="I8433" s="24" t="s">
        <v>17773</v>
      </c>
    </row>
    <row r="8434" spans="1:9" ht="43.5">
      <c r="A8434" s="5"/>
      <c r="B8434" s="5" t="s">
        <v>45771</v>
      </c>
      <c r="C8434" s="5" t="s">
        <v>45772</v>
      </c>
      <c r="D8434" s="246">
        <v>45929</v>
      </c>
      <c r="E8434" s="5" t="s">
        <v>45773</v>
      </c>
      <c r="F8434" s="24" t="s">
        <v>45324</v>
      </c>
      <c r="G8434" s="5" t="s">
        <v>23138</v>
      </c>
      <c r="H8434" s="5" t="s">
        <v>45761</v>
      </c>
      <c r="I8434" s="24" t="s">
        <v>17773</v>
      </c>
    </row>
    <row r="8435" spans="1:9" ht="43.5">
      <c r="A8435" s="5"/>
      <c r="B8435" s="5" t="s">
        <v>45774</v>
      </c>
      <c r="C8435" s="5" t="s">
        <v>45775</v>
      </c>
      <c r="D8435" s="246">
        <v>45929</v>
      </c>
      <c r="E8435" s="5" t="s">
        <v>45776</v>
      </c>
      <c r="F8435" s="24" t="s">
        <v>45324</v>
      </c>
      <c r="G8435" s="5" t="s">
        <v>23138</v>
      </c>
      <c r="H8435" s="5" t="s">
        <v>45761</v>
      </c>
      <c r="I8435" s="24" t="s">
        <v>17773</v>
      </c>
    </row>
    <row r="8436" spans="1:9" ht="43.5">
      <c r="A8436" s="5"/>
      <c r="B8436" s="5" t="s">
        <v>45777</v>
      </c>
      <c r="C8436" s="5" t="s">
        <v>45775</v>
      </c>
      <c r="D8436" s="246">
        <v>45929</v>
      </c>
      <c r="E8436" s="5" t="s">
        <v>45778</v>
      </c>
      <c r="F8436" s="24" t="s">
        <v>45324</v>
      </c>
      <c r="G8436" s="5" t="s">
        <v>23138</v>
      </c>
      <c r="H8436" s="5" t="s">
        <v>45761</v>
      </c>
      <c r="I8436" s="24" t="s">
        <v>17773</v>
      </c>
    </row>
    <row r="8437" spans="1:9" ht="116">
      <c r="A8437" s="5"/>
      <c r="B8437" s="5" t="s">
        <v>45779</v>
      </c>
      <c r="C8437" s="226">
        <v>1</v>
      </c>
      <c r="D8437" s="246">
        <v>45993</v>
      </c>
      <c r="E8437" s="5" t="s">
        <v>45780</v>
      </c>
      <c r="F8437" s="24" t="s">
        <v>23600</v>
      </c>
      <c r="G8437" s="5" t="s">
        <v>22335</v>
      </c>
      <c r="H8437" s="5" t="s">
        <v>22336</v>
      </c>
      <c r="I8437" s="24" t="s">
        <v>21020</v>
      </c>
    </row>
    <row r="8438" spans="1:9" ht="43.5">
      <c r="A8438" s="5"/>
      <c r="B8438" s="5" t="s">
        <v>45781</v>
      </c>
      <c r="C8438" s="226">
        <v>2</v>
      </c>
      <c r="D8438" s="246">
        <v>45993</v>
      </c>
      <c r="E8438" s="5" t="s">
        <v>45782</v>
      </c>
      <c r="F8438" s="24" t="s">
        <v>23600</v>
      </c>
      <c r="G8438" s="5" t="s">
        <v>22335</v>
      </c>
      <c r="H8438" s="5" t="s">
        <v>22336</v>
      </c>
      <c r="I8438" s="24" t="s">
        <v>21020</v>
      </c>
    </row>
    <row r="8439" spans="1:9" ht="116">
      <c r="A8439" s="5"/>
      <c r="B8439" s="5" t="s">
        <v>45783</v>
      </c>
      <c r="C8439" s="226">
        <v>3</v>
      </c>
      <c r="D8439" s="246">
        <v>45993</v>
      </c>
      <c r="E8439" s="5" t="s">
        <v>45784</v>
      </c>
      <c r="F8439" s="24" t="s">
        <v>23600</v>
      </c>
      <c r="G8439" s="5" t="s">
        <v>22335</v>
      </c>
      <c r="H8439" s="5" t="s">
        <v>22336</v>
      </c>
      <c r="I8439" s="24" t="s">
        <v>21020</v>
      </c>
    </row>
    <row r="8440" spans="1:9" ht="43.5">
      <c r="A8440" s="5"/>
      <c r="B8440" s="5" t="s">
        <v>45785</v>
      </c>
      <c r="C8440" s="5" t="s">
        <v>45786</v>
      </c>
      <c r="D8440" s="246">
        <v>46008</v>
      </c>
      <c r="E8440" s="5" t="s">
        <v>45787</v>
      </c>
      <c r="F8440" s="24" t="s">
        <v>27950</v>
      </c>
      <c r="G8440" s="5" t="s">
        <v>22546</v>
      </c>
      <c r="H8440" s="5" t="s">
        <v>45788</v>
      </c>
      <c r="I8440" s="24" t="s">
        <v>12910</v>
      </c>
    </row>
    <row r="8441" spans="1:9" ht="87">
      <c r="A8441" s="5"/>
      <c r="B8441" s="5" t="s">
        <v>45789</v>
      </c>
      <c r="C8441" s="5" t="s">
        <v>45790</v>
      </c>
      <c r="D8441" s="246">
        <v>46007</v>
      </c>
      <c r="E8441" s="5" t="s">
        <v>45791</v>
      </c>
      <c r="F8441" s="24" t="s">
        <v>45792</v>
      </c>
      <c r="G8441" s="5" t="s">
        <v>22499</v>
      </c>
      <c r="H8441" s="5" t="s">
        <v>22500</v>
      </c>
      <c r="I8441" s="24" t="s">
        <v>12910</v>
      </c>
    </row>
    <row r="8442" spans="1:9" ht="225" customHeight="1">
      <c r="A8442" s="5"/>
      <c r="B8442" s="5" t="s">
        <v>45793</v>
      </c>
      <c r="C8442" s="5" t="s">
        <v>45794</v>
      </c>
      <c r="D8442" s="246">
        <v>46003</v>
      </c>
      <c r="E8442" s="227" t="s">
        <v>45795</v>
      </c>
      <c r="F8442" s="24" t="s">
        <v>38347</v>
      </c>
      <c r="G8442" s="5" t="s">
        <v>22664</v>
      </c>
      <c r="H8442" s="5" t="s">
        <v>22665</v>
      </c>
      <c r="I8442" s="24" t="s">
        <v>17682</v>
      </c>
    </row>
    <row r="8443" spans="1:9" ht="225" customHeight="1">
      <c r="A8443" s="5"/>
      <c r="B8443" s="5" t="s">
        <v>45796</v>
      </c>
      <c r="C8443" s="5" t="s">
        <v>45797</v>
      </c>
      <c r="D8443" s="246">
        <v>46003</v>
      </c>
      <c r="E8443" s="5" t="s">
        <v>45798</v>
      </c>
      <c r="F8443" s="24" t="s">
        <v>38347</v>
      </c>
      <c r="G8443" s="5" t="s">
        <v>22664</v>
      </c>
      <c r="H8443" s="5" t="s">
        <v>22665</v>
      </c>
      <c r="I8443" s="24" t="s">
        <v>17682</v>
      </c>
    </row>
    <row r="8444" spans="1:9" ht="108.65" customHeight="1">
      <c r="A8444" s="5"/>
      <c r="B8444" s="5" t="s">
        <v>45799</v>
      </c>
      <c r="C8444" s="5" t="s">
        <v>45800</v>
      </c>
      <c r="D8444" s="246">
        <v>46009</v>
      </c>
      <c r="E8444" s="5" t="s">
        <v>45801</v>
      </c>
      <c r="F8444" s="24" t="s">
        <v>45802</v>
      </c>
      <c r="G8444" s="5" t="s">
        <v>22576</v>
      </c>
      <c r="H8444" s="5" t="s">
        <v>22577</v>
      </c>
      <c r="I8444" s="24" t="s">
        <v>12910</v>
      </c>
    </row>
    <row r="8445" spans="1:9" ht="58">
      <c r="A8445" s="5"/>
      <c r="B8445" s="5" t="s">
        <v>45803</v>
      </c>
      <c r="C8445" s="5" t="s">
        <v>45804</v>
      </c>
      <c r="D8445" s="246">
        <v>44734</v>
      </c>
      <c r="E8445" s="5" t="s">
        <v>45805</v>
      </c>
      <c r="F8445" s="24" t="s">
        <v>25439</v>
      </c>
      <c r="G8445" s="5" t="s">
        <v>19807</v>
      </c>
      <c r="H8445" s="5" t="s">
        <v>19808</v>
      </c>
      <c r="I8445" s="24" t="s">
        <v>6455</v>
      </c>
    </row>
    <row r="8446" spans="1:9" ht="43.5">
      <c r="A8446" s="5"/>
      <c r="B8446" s="5" t="s">
        <v>45806</v>
      </c>
      <c r="C8446" s="5" t="s">
        <v>45807</v>
      </c>
      <c r="D8446" s="246">
        <v>44734</v>
      </c>
      <c r="E8446" s="5" t="s">
        <v>45808</v>
      </c>
      <c r="F8446" s="24" t="s">
        <v>25439</v>
      </c>
      <c r="G8446" s="5" t="s">
        <v>19807</v>
      </c>
      <c r="H8446" s="5" t="s">
        <v>19808</v>
      </c>
      <c r="I8446" s="24" t="s">
        <v>6455</v>
      </c>
    </row>
    <row r="8447" spans="1:9" ht="100.5" customHeight="1">
      <c r="A8447" s="5"/>
      <c r="B8447" s="5" t="s">
        <v>45809</v>
      </c>
      <c r="C8447" s="5" t="s">
        <v>45810</v>
      </c>
      <c r="D8447" s="246">
        <v>45973</v>
      </c>
      <c r="E8447" s="5" t="s">
        <v>45811</v>
      </c>
      <c r="F8447" s="24" t="s">
        <v>25439</v>
      </c>
      <c r="G8447" s="5" t="s">
        <v>22522</v>
      </c>
      <c r="H8447" s="5" t="s">
        <v>22523</v>
      </c>
      <c r="I8447" s="24" t="s">
        <v>6455</v>
      </c>
    </row>
    <row r="8448" spans="1:9" ht="43.5">
      <c r="A8448" s="5"/>
      <c r="B8448" s="5" t="s">
        <v>45812</v>
      </c>
      <c r="C8448" s="5" t="s">
        <v>45813</v>
      </c>
      <c r="D8448" s="246">
        <v>45692</v>
      </c>
      <c r="E8448" s="5" t="s">
        <v>45814</v>
      </c>
      <c r="F8448" s="24" t="s">
        <v>25439</v>
      </c>
      <c r="G8448" s="5" t="s">
        <v>21845</v>
      </c>
      <c r="H8448" s="5" t="s">
        <v>21846</v>
      </c>
      <c r="I8448" s="24" t="s">
        <v>6455</v>
      </c>
    </row>
    <row r="8449" spans="1:9" ht="72.5">
      <c r="A8449" s="5"/>
      <c r="B8449" s="5" t="s">
        <v>45815</v>
      </c>
      <c r="C8449" s="5" t="s">
        <v>45816</v>
      </c>
      <c r="D8449" s="246" t="s">
        <v>45817</v>
      </c>
      <c r="E8449" s="5" t="s">
        <v>45818</v>
      </c>
      <c r="F8449" s="24" t="s">
        <v>38347</v>
      </c>
      <c r="G8449" s="5" t="s">
        <v>22583</v>
      </c>
      <c r="H8449" s="5" t="s">
        <v>22584</v>
      </c>
      <c r="I8449" s="24" t="s">
        <v>17682</v>
      </c>
    </row>
    <row r="8450" spans="1:9" ht="72.5">
      <c r="A8450" s="5"/>
      <c r="B8450" s="5" t="s">
        <v>45819</v>
      </c>
      <c r="C8450" s="5" t="s">
        <v>45820</v>
      </c>
      <c r="D8450" s="246" t="s">
        <v>45817</v>
      </c>
      <c r="E8450" s="5" t="s">
        <v>45821</v>
      </c>
      <c r="F8450" s="24" t="s">
        <v>38347</v>
      </c>
      <c r="G8450" s="5" t="s">
        <v>22583</v>
      </c>
      <c r="H8450" s="5" t="s">
        <v>22584</v>
      </c>
      <c r="I8450" s="24" t="s">
        <v>17682</v>
      </c>
    </row>
    <row r="8451" spans="1:9" ht="72.5">
      <c r="A8451" s="5"/>
      <c r="B8451" s="5" t="s">
        <v>45822</v>
      </c>
      <c r="C8451" s="5" t="s">
        <v>45823</v>
      </c>
      <c r="D8451" s="246" t="s">
        <v>45817</v>
      </c>
      <c r="E8451" s="5" t="s">
        <v>45824</v>
      </c>
      <c r="F8451" s="24" t="s">
        <v>38347</v>
      </c>
      <c r="G8451" s="5" t="s">
        <v>22583</v>
      </c>
      <c r="H8451" s="5" t="s">
        <v>22584</v>
      </c>
      <c r="I8451" s="24" t="s">
        <v>17682</v>
      </c>
    </row>
    <row r="8452" spans="1:9" ht="72.5">
      <c r="A8452" s="5"/>
      <c r="B8452" s="5" t="s">
        <v>45825</v>
      </c>
      <c r="C8452" s="5" t="s">
        <v>45826</v>
      </c>
      <c r="D8452" s="246" t="s">
        <v>45817</v>
      </c>
      <c r="E8452" s="5" t="s">
        <v>45827</v>
      </c>
      <c r="F8452" s="24" t="s">
        <v>38347</v>
      </c>
      <c r="G8452" s="5" t="s">
        <v>22583</v>
      </c>
      <c r="H8452" s="5" t="s">
        <v>22584</v>
      </c>
      <c r="I8452" s="24" t="s">
        <v>17682</v>
      </c>
    </row>
    <row r="8453" spans="1:9" ht="58">
      <c r="A8453" s="5"/>
      <c r="B8453" s="5" t="s">
        <v>45828</v>
      </c>
      <c r="C8453" s="5" t="s">
        <v>45829</v>
      </c>
      <c r="D8453" s="246" t="s">
        <v>45817</v>
      </c>
      <c r="E8453" s="5" t="s">
        <v>45830</v>
      </c>
      <c r="F8453" s="24" t="s">
        <v>38347</v>
      </c>
      <c r="G8453" s="5" t="s">
        <v>22583</v>
      </c>
      <c r="H8453" s="5" t="s">
        <v>22584</v>
      </c>
      <c r="I8453" s="24" t="s">
        <v>17682</v>
      </c>
    </row>
    <row r="8454" spans="1:9" ht="87">
      <c r="A8454" s="5"/>
      <c r="B8454" s="5" t="s">
        <v>45831</v>
      </c>
      <c r="C8454" s="5" t="s">
        <v>45832</v>
      </c>
      <c r="D8454" s="246" t="s">
        <v>45833</v>
      </c>
      <c r="E8454" s="5" t="s">
        <v>45834</v>
      </c>
      <c r="F8454" s="24" t="s">
        <v>38347</v>
      </c>
      <c r="G8454" s="5" t="s">
        <v>22583</v>
      </c>
      <c r="H8454" s="5" t="s">
        <v>22584</v>
      </c>
      <c r="I8454" s="24" t="s">
        <v>17682</v>
      </c>
    </row>
    <row r="8455" spans="1:9" ht="217.5">
      <c r="A8455" s="5"/>
      <c r="B8455" s="5" t="s">
        <v>45835</v>
      </c>
      <c r="C8455" s="5" t="s">
        <v>45836</v>
      </c>
      <c r="D8455" s="246" t="s">
        <v>45837</v>
      </c>
      <c r="E8455" s="5" t="s">
        <v>45838</v>
      </c>
      <c r="F8455" s="24" t="s">
        <v>38347</v>
      </c>
      <c r="G8455" s="5" t="s">
        <v>22583</v>
      </c>
      <c r="H8455" s="5" t="s">
        <v>22584</v>
      </c>
      <c r="I8455" s="24" t="s">
        <v>17682</v>
      </c>
    </row>
    <row r="8456" spans="1:9" ht="43.5">
      <c r="A8456" s="5"/>
      <c r="B8456" s="5" t="s">
        <v>45839</v>
      </c>
      <c r="C8456" s="5" t="s">
        <v>45840</v>
      </c>
      <c r="D8456" s="246" t="s">
        <v>45841</v>
      </c>
      <c r="E8456" s="5" t="s">
        <v>45842</v>
      </c>
      <c r="F8456" s="24" t="s">
        <v>45279</v>
      </c>
      <c r="G8456" s="5" t="s">
        <v>45843</v>
      </c>
      <c r="H8456" s="5" t="s">
        <v>45844</v>
      </c>
      <c r="I8456" s="24" t="s">
        <v>19670</v>
      </c>
    </row>
    <row r="8457" spans="1:9" ht="29">
      <c r="A8457" s="5"/>
      <c r="B8457" s="5" t="s">
        <v>45845</v>
      </c>
      <c r="C8457" s="5" t="s">
        <v>45846</v>
      </c>
      <c r="D8457" s="246" t="s">
        <v>45847</v>
      </c>
      <c r="E8457" s="5" t="s">
        <v>45848</v>
      </c>
      <c r="F8457" s="24" t="s">
        <v>45849</v>
      </c>
      <c r="G8457" s="5" t="s">
        <v>22777</v>
      </c>
      <c r="H8457" s="5" t="s">
        <v>116</v>
      </c>
      <c r="I8457" s="24" t="s">
        <v>17057</v>
      </c>
    </row>
    <row r="8458" spans="1:9" ht="29">
      <c r="A8458" s="5"/>
      <c r="B8458" s="5" t="s">
        <v>45850</v>
      </c>
      <c r="C8458" s="5" t="s">
        <v>45851</v>
      </c>
      <c r="D8458" s="246" t="s">
        <v>45847</v>
      </c>
      <c r="E8458" s="5" t="s">
        <v>45852</v>
      </c>
      <c r="F8458" s="24" t="s">
        <v>45849</v>
      </c>
      <c r="G8458" s="5" t="s">
        <v>22777</v>
      </c>
      <c r="H8458" s="5" t="s">
        <v>116</v>
      </c>
      <c r="I8458" s="24" t="s">
        <v>17057</v>
      </c>
    </row>
    <row r="8459" spans="1:9" ht="29">
      <c r="A8459" s="5"/>
      <c r="B8459" s="5" t="s">
        <v>45853</v>
      </c>
      <c r="C8459" s="5" t="s">
        <v>45854</v>
      </c>
      <c r="D8459" s="246" t="s">
        <v>45847</v>
      </c>
      <c r="E8459" s="5" t="s">
        <v>45855</v>
      </c>
      <c r="F8459" s="24" t="s">
        <v>45849</v>
      </c>
      <c r="G8459" s="5" t="s">
        <v>22777</v>
      </c>
      <c r="H8459" s="5" t="s">
        <v>116</v>
      </c>
      <c r="I8459" s="24" t="s">
        <v>17057</v>
      </c>
    </row>
    <row r="8460" spans="1:9" ht="43.5">
      <c r="A8460" s="5"/>
      <c r="B8460" s="5" t="s">
        <v>45856</v>
      </c>
      <c r="C8460" s="5" t="s">
        <v>45857</v>
      </c>
      <c r="D8460" s="246" t="s">
        <v>45847</v>
      </c>
      <c r="E8460" s="5" t="s">
        <v>45858</v>
      </c>
      <c r="F8460" s="24" t="s">
        <v>45849</v>
      </c>
      <c r="G8460" s="5" t="s">
        <v>22777</v>
      </c>
      <c r="H8460" s="5" t="s">
        <v>116</v>
      </c>
      <c r="I8460" s="24" t="s">
        <v>17057</v>
      </c>
    </row>
    <row r="8461" spans="1:9" ht="58">
      <c r="A8461" s="5"/>
      <c r="B8461" s="5" t="s">
        <v>45859</v>
      </c>
      <c r="C8461" s="5" t="s">
        <v>45860</v>
      </c>
      <c r="D8461" s="246" t="s">
        <v>45847</v>
      </c>
      <c r="E8461" s="5" t="s">
        <v>45861</v>
      </c>
      <c r="F8461" s="24" t="s">
        <v>45849</v>
      </c>
      <c r="G8461" s="5" t="s">
        <v>22777</v>
      </c>
      <c r="H8461" s="5" t="s">
        <v>116</v>
      </c>
      <c r="I8461" s="24" t="s">
        <v>17057</v>
      </c>
    </row>
    <row r="8462" spans="1:9" ht="87">
      <c r="A8462" s="5"/>
      <c r="B8462" s="5" t="s">
        <v>45862</v>
      </c>
      <c r="C8462" s="5" t="s">
        <v>45863</v>
      </c>
      <c r="D8462" s="246" t="s">
        <v>45864</v>
      </c>
      <c r="E8462" s="5" t="s">
        <v>45865</v>
      </c>
      <c r="F8462" s="24" t="s">
        <v>45849</v>
      </c>
      <c r="G8462" s="5" t="s">
        <v>22471</v>
      </c>
      <c r="H8462" s="5" t="s">
        <v>116</v>
      </c>
      <c r="I8462" s="24" t="s">
        <v>17057</v>
      </c>
    </row>
    <row r="8463" spans="1:9" ht="58">
      <c r="A8463" s="5"/>
      <c r="B8463" s="5" t="s">
        <v>45866</v>
      </c>
      <c r="C8463" s="5" t="s">
        <v>45867</v>
      </c>
      <c r="D8463" s="246" t="s">
        <v>45868</v>
      </c>
      <c r="E8463" s="5" t="s">
        <v>45869</v>
      </c>
      <c r="F8463" s="24" t="s">
        <v>45849</v>
      </c>
      <c r="G8463" s="5" t="s">
        <v>22505</v>
      </c>
      <c r="H8463" s="5" t="s">
        <v>45870</v>
      </c>
      <c r="I8463" s="24" t="s">
        <v>17057</v>
      </c>
    </row>
    <row r="8464" spans="1:9" ht="58">
      <c r="A8464" s="5"/>
      <c r="B8464" s="5" t="s">
        <v>45871</v>
      </c>
      <c r="C8464" s="5" t="s">
        <v>45872</v>
      </c>
      <c r="D8464" s="246" t="s">
        <v>45868</v>
      </c>
      <c r="E8464" s="5" t="s">
        <v>45873</v>
      </c>
      <c r="F8464" s="24" t="s">
        <v>45849</v>
      </c>
      <c r="G8464" s="5" t="s">
        <v>22505</v>
      </c>
      <c r="H8464" s="5" t="s">
        <v>45870</v>
      </c>
      <c r="I8464" s="24" t="s">
        <v>17057</v>
      </c>
    </row>
    <row r="8465" spans="1:9" ht="43.5">
      <c r="A8465" s="5"/>
      <c r="B8465" s="5" t="s">
        <v>45874</v>
      </c>
      <c r="C8465" s="5" t="s">
        <v>45875</v>
      </c>
      <c r="D8465" s="246" t="s">
        <v>45868</v>
      </c>
      <c r="E8465" s="5" t="s">
        <v>45876</v>
      </c>
      <c r="F8465" s="24" t="s">
        <v>45849</v>
      </c>
      <c r="G8465" s="5" t="s">
        <v>22505</v>
      </c>
      <c r="H8465" s="5" t="s">
        <v>45870</v>
      </c>
      <c r="I8465" s="24" t="s">
        <v>17057</v>
      </c>
    </row>
    <row r="8466" spans="1:9" ht="159.5">
      <c r="A8466" s="5"/>
      <c r="B8466" s="5" t="s">
        <v>45877</v>
      </c>
      <c r="C8466" s="5" t="s">
        <v>45878</v>
      </c>
      <c r="D8466" s="246" t="s">
        <v>45879</v>
      </c>
      <c r="E8466" s="5" t="s">
        <v>45880</v>
      </c>
      <c r="F8466" s="24" t="s">
        <v>38347</v>
      </c>
      <c r="G8466" s="5" t="s">
        <v>22635</v>
      </c>
      <c r="H8466" s="5" t="s">
        <v>22636</v>
      </c>
      <c r="I8466" s="24" t="s">
        <v>17682</v>
      </c>
    </row>
    <row r="8467" spans="1:9" ht="101.5">
      <c r="A8467" s="5"/>
      <c r="B8467" s="5" t="s">
        <v>45881</v>
      </c>
      <c r="C8467" s="5" t="s">
        <v>23621</v>
      </c>
      <c r="D8467" s="246">
        <v>46057</v>
      </c>
      <c r="E8467" s="5" t="s">
        <v>45882</v>
      </c>
      <c r="F8467" s="24" t="s">
        <v>23600</v>
      </c>
      <c r="G8467" s="5" t="s">
        <v>22213</v>
      </c>
      <c r="H8467" s="5" t="s">
        <v>22214</v>
      </c>
      <c r="I8467" s="24" t="s">
        <v>16429</v>
      </c>
    </row>
    <row r="8468" spans="1:9" ht="232">
      <c r="A8468" s="5"/>
      <c r="B8468" s="5" t="s">
        <v>45883</v>
      </c>
      <c r="C8468" s="5" t="s">
        <v>45884</v>
      </c>
      <c r="D8468" s="246" t="s">
        <v>45885</v>
      </c>
      <c r="E8468" s="5" t="s">
        <v>45886</v>
      </c>
      <c r="F8468" s="24" t="s">
        <v>38347</v>
      </c>
      <c r="G8468" s="5" t="s">
        <v>22643</v>
      </c>
      <c r="H8468" s="5" t="s">
        <v>22644</v>
      </c>
      <c r="I8468" s="24" t="s">
        <v>17682</v>
      </c>
    </row>
    <row r="8469" spans="1:9" ht="101.5">
      <c r="A8469" s="5"/>
      <c r="B8469" s="5" t="s">
        <v>45887</v>
      </c>
      <c r="C8469" s="5" t="s">
        <v>45888</v>
      </c>
      <c r="D8469" s="246" t="s">
        <v>45879</v>
      </c>
      <c r="E8469" s="5" t="s">
        <v>45889</v>
      </c>
      <c r="F8469" s="24" t="s">
        <v>29621</v>
      </c>
      <c r="G8469" s="5" t="s">
        <v>22397</v>
      </c>
      <c r="H8469" s="5" t="s">
        <v>22398</v>
      </c>
      <c r="I8469" s="24" t="s">
        <v>17820</v>
      </c>
    </row>
    <row r="8470" spans="1:9" ht="87">
      <c r="A8470" s="5"/>
      <c r="B8470" s="5" t="s">
        <v>45890</v>
      </c>
      <c r="C8470" s="5" t="s">
        <v>45891</v>
      </c>
      <c r="D8470" s="246" t="s">
        <v>45879</v>
      </c>
      <c r="E8470" s="5" t="s">
        <v>45892</v>
      </c>
      <c r="F8470" s="24" t="s">
        <v>29621</v>
      </c>
      <c r="G8470" s="5" t="s">
        <v>22397</v>
      </c>
      <c r="H8470" s="5" t="s">
        <v>22398</v>
      </c>
      <c r="I8470" s="24" t="s">
        <v>17820</v>
      </c>
    </row>
    <row r="8471" spans="1:9" ht="72.5">
      <c r="A8471" s="5"/>
      <c r="B8471" s="5" t="s">
        <v>45893</v>
      </c>
      <c r="C8471" s="5" t="s">
        <v>45894</v>
      </c>
      <c r="D8471" s="246" t="s">
        <v>45879</v>
      </c>
      <c r="E8471" s="5" t="s">
        <v>45895</v>
      </c>
      <c r="F8471" s="24" t="s">
        <v>29621</v>
      </c>
      <c r="G8471" s="5" t="s">
        <v>22397</v>
      </c>
      <c r="H8471" s="5" t="s">
        <v>22398</v>
      </c>
      <c r="I8471" s="24" t="s">
        <v>17820</v>
      </c>
    </row>
    <row r="8472" spans="1:9" ht="130.5">
      <c r="A8472" s="5"/>
      <c r="B8472" s="5" t="s">
        <v>45896</v>
      </c>
      <c r="C8472" s="64">
        <v>1</v>
      </c>
      <c r="D8472" s="246">
        <v>46057</v>
      </c>
      <c r="E8472" s="5" t="s">
        <v>45897</v>
      </c>
      <c r="F8472" s="24" t="s">
        <v>36725</v>
      </c>
      <c r="G8472" s="5" t="s">
        <v>22614</v>
      </c>
      <c r="H8472" s="5" t="s">
        <v>22615</v>
      </c>
      <c r="I8472" s="24" t="s">
        <v>16429</v>
      </c>
    </row>
    <row r="8473" spans="1:9" ht="203">
      <c r="A8473" s="5"/>
      <c r="B8473" s="5" t="s">
        <v>45903</v>
      </c>
      <c r="C8473" s="64" t="s">
        <v>45900</v>
      </c>
      <c r="D8473" s="246">
        <v>45811</v>
      </c>
      <c r="E8473" s="5" t="s">
        <v>45901</v>
      </c>
      <c r="F8473" s="24" t="s">
        <v>23605</v>
      </c>
      <c r="G8473" s="5" t="s">
        <v>21810</v>
      </c>
      <c r="H8473" s="5" t="s">
        <v>45902</v>
      </c>
      <c r="I8473" s="24" t="s">
        <v>17344</v>
      </c>
    </row>
    <row r="8474" spans="1:9" ht="203">
      <c r="A8474" s="5"/>
      <c r="B8474" s="5" t="s">
        <v>45906</v>
      </c>
      <c r="C8474" s="64" t="s">
        <v>45904</v>
      </c>
      <c r="D8474" s="246">
        <v>45811</v>
      </c>
      <c r="E8474" s="5" t="s">
        <v>45905</v>
      </c>
      <c r="F8474" s="24" t="s">
        <v>23605</v>
      </c>
      <c r="G8474" s="5" t="s">
        <v>21810</v>
      </c>
      <c r="H8474" s="5" t="s">
        <v>45902</v>
      </c>
      <c r="I8474" s="24" t="s">
        <v>17344</v>
      </c>
    </row>
    <row r="8475" spans="1:9" ht="43.5">
      <c r="A8475" s="5"/>
      <c r="B8475" s="5" t="s">
        <v>45918</v>
      </c>
      <c r="C8475" s="64" t="s">
        <v>45915</v>
      </c>
      <c r="D8475" s="246" t="s">
        <v>45917</v>
      </c>
      <c r="E8475" s="5" t="s">
        <v>45916</v>
      </c>
      <c r="F8475" s="24" t="s">
        <v>23600</v>
      </c>
      <c r="G8475" s="5" t="s">
        <v>22650</v>
      </c>
      <c r="H8475" s="5" t="s">
        <v>73</v>
      </c>
      <c r="I8475" s="24" t="s">
        <v>17578</v>
      </c>
    </row>
    <row r="8476" spans="1:9" ht="58">
      <c r="A8476" s="5"/>
      <c r="B8476" s="5" t="s">
        <v>45919</v>
      </c>
      <c r="C8476" s="64" t="s">
        <v>45921</v>
      </c>
      <c r="D8476" s="246" t="s">
        <v>45917</v>
      </c>
      <c r="E8476" s="5" t="s">
        <v>45922</v>
      </c>
      <c r="F8476" s="24" t="s">
        <v>23600</v>
      </c>
      <c r="G8476" s="5" t="s">
        <v>22650</v>
      </c>
      <c r="H8476" s="5" t="s">
        <v>73</v>
      </c>
      <c r="I8476" s="24" t="s">
        <v>17578</v>
      </c>
    </row>
    <row r="8477" spans="1:9" ht="43.5">
      <c r="A8477" s="5"/>
      <c r="B8477" s="5" t="s">
        <v>45920</v>
      </c>
      <c r="C8477" s="64" t="s">
        <v>45923</v>
      </c>
      <c r="D8477" s="246" t="s">
        <v>45917</v>
      </c>
      <c r="E8477" s="5" t="s">
        <v>45924</v>
      </c>
      <c r="F8477" s="24" t="s">
        <v>23600</v>
      </c>
      <c r="G8477" s="5" t="s">
        <v>22650</v>
      </c>
      <c r="H8477" s="5" t="s">
        <v>73</v>
      </c>
      <c r="I8477" s="24" t="s">
        <v>17578</v>
      </c>
    </row>
    <row r="8478" spans="1:9" ht="58">
      <c r="A8478" s="5"/>
      <c r="B8478" s="5" t="s">
        <v>45930</v>
      </c>
      <c r="C8478" s="64" t="s">
        <v>44738</v>
      </c>
      <c r="D8478" s="246" t="s">
        <v>45934</v>
      </c>
      <c r="E8478" s="5" t="s">
        <v>45932</v>
      </c>
      <c r="F8478" s="24" t="s">
        <v>45933</v>
      </c>
      <c r="G8478" s="5" t="s">
        <v>22478</v>
      </c>
      <c r="H8478" s="5" t="s">
        <v>45926</v>
      </c>
      <c r="I8478" s="24" t="s">
        <v>14753</v>
      </c>
    </row>
    <row r="8479" spans="1:9" ht="58">
      <c r="A8479" s="5"/>
      <c r="B8479" s="5" t="s">
        <v>45931</v>
      </c>
      <c r="C8479" s="64" t="s">
        <v>45160</v>
      </c>
      <c r="D8479" s="246" t="s">
        <v>45934</v>
      </c>
      <c r="E8479" s="5" t="s">
        <v>45935</v>
      </c>
      <c r="F8479" s="24" t="s">
        <v>45933</v>
      </c>
      <c r="G8479" s="5" t="s">
        <v>22478</v>
      </c>
      <c r="H8479" s="5" t="s">
        <v>45926</v>
      </c>
      <c r="I8479" s="24" t="s">
        <v>14753</v>
      </c>
    </row>
    <row r="8480" spans="1:9" ht="29">
      <c r="A8480" s="5"/>
      <c r="B8480" s="5" t="s">
        <v>45952</v>
      </c>
      <c r="C8480" s="64" t="s">
        <v>44654</v>
      </c>
      <c r="D8480" s="246" t="s">
        <v>45959</v>
      </c>
      <c r="E8480" s="5" t="s">
        <v>45957</v>
      </c>
      <c r="F8480" s="24" t="s">
        <v>45324</v>
      </c>
      <c r="G8480" s="5" t="s">
        <v>22938</v>
      </c>
      <c r="H8480" s="5" t="s">
        <v>45958</v>
      </c>
      <c r="I8480" s="24" t="s">
        <v>17773</v>
      </c>
    </row>
    <row r="8481" spans="1:9" ht="87">
      <c r="A8481" s="5"/>
      <c r="B8481" s="5" t="s">
        <v>45953</v>
      </c>
      <c r="C8481" s="64" t="s">
        <v>45960</v>
      </c>
      <c r="D8481" s="246" t="s">
        <v>45959</v>
      </c>
      <c r="E8481" s="5" t="s">
        <v>45961</v>
      </c>
      <c r="F8481" s="24" t="s">
        <v>45324</v>
      </c>
      <c r="G8481" s="5" t="s">
        <v>22938</v>
      </c>
      <c r="H8481" s="5" t="s">
        <v>45958</v>
      </c>
      <c r="I8481" s="24" t="s">
        <v>17773</v>
      </c>
    </row>
    <row r="8482" spans="1:9" ht="58">
      <c r="A8482" s="5"/>
      <c r="B8482" s="5" t="s">
        <v>45954</v>
      </c>
      <c r="C8482" s="64" t="s">
        <v>45962</v>
      </c>
      <c r="D8482" s="246" t="s">
        <v>45959</v>
      </c>
      <c r="E8482" s="5" t="s">
        <v>45963</v>
      </c>
      <c r="F8482" s="24" t="s">
        <v>45324</v>
      </c>
      <c r="G8482" s="5" t="s">
        <v>22938</v>
      </c>
      <c r="H8482" s="5" t="s">
        <v>45958</v>
      </c>
      <c r="I8482" s="24" t="s">
        <v>17773</v>
      </c>
    </row>
    <row r="8483" spans="1:9" ht="43.5">
      <c r="A8483" s="5"/>
      <c r="B8483" s="5" t="s">
        <v>45955</v>
      </c>
      <c r="C8483" s="64" t="s">
        <v>45964</v>
      </c>
      <c r="D8483" s="246" t="s">
        <v>45959</v>
      </c>
      <c r="E8483" s="5" t="s">
        <v>45965</v>
      </c>
      <c r="F8483" s="24" t="s">
        <v>45324</v>
      </c>
      <c r="G8483" s="5" t="s">
        <v>22938</v>
      </c>
      <c r="H8483" s="5" t="s">
        <v>45958</v>
      </c>
      <c r="I8483" s="24" t="s">
        <v>17773</v>
      </c>
    </row>
    <row r="8484" spans="1:9" ht="58">
      <c r="A8484" s="5"/>
      <c r="B8484" s="5" t="s">
        <v>45956</v>
      </c>
      <c r="C8484" s="64" t="s">
        <v>45966</v>
      </c>
      <c r="D8484" s="246" t="s">
        <v>45959</v>
      </c>
      <c r="E8484" s="5" t="s">
        <v>45967</v>
      </c>
      <c r="F8484" s="24" t="s">
        <v>45324</v>
      </c>
      <c r="G8484" s="5" t="s">
        <v>22938</v>
      </c>
      <c r="H8484" s="5" t="s">
        <v>45958</v>
      </c>
      <c r="I8484" s="24" t="s">
        <v>17773</v>
      </c>
    </row>
    <row r="8485" spans="1:9" ht="58">
      <c r="A8485" s="5"/>
      <c r="B8485" s="5" t="s">
        <v>45980</v>
      </c>
      <c r="C8485" s="64" t="s">
        <v>45971</v>
      </c>
      <c r="D8485" s="246" t="s">
        <v>45973</v>
      </c>
      <c r="E8485" s="5" t="s">
        <v>45972</v>
      </c>
      <c r="F8485" s="24" t="s">
        <v>23600</v>
      </c>
      <c r="G8485" s="5" t="s">
        <v>22747</v>
      </c>
      <c r="H8485" s="5" t="s">
        <v>22748</v>
      </c>
      <c r="I8485" s="24" t="s">
        <v>9789</v>
      </c>
    </row>
    <row r="8486" spans="1:9" ht="58">
      <c r="A8486" s="5"/>
      <c r="B8486" s="5" t="s">
        <v>45981</v>
      </c>
      <c r="C8486" s="64" t="s">
        <v>45974</v>
      </c>
      <c r="D8486" s="246" t="s">
        <v>45973</v>
      </c>
      <c r="E8486" s="5" t="s">
        <v>45975</v>
      </c>
      <c r="F8486" s="24" t="s">
        <v>23600</v>
      </c>
      <c r="G8486" s="5" t="s">
        <v>22747</v>
      </c>
      <c r="H8486" s="5" t="s">
        <v>22748</v>
      </c>
      <c r="I8486" s="24" t="s">
        <v>9789</v>
      </c>
    </row>
    <row r="8487" spans="1:9" ht="87">
      <c r="A8487" s="5"/>
      <c r="B8487" s="5" t="s">
        <v>45982</v>
      </c>
      <c r="C8487" s="64" t="s">
        <v>45976</v>
      </c>
      <c r="D8487" s="246" t="s">
        <v>45973</v>
      </c>
      <c r="E8487" s="5" t="s">
        <v>45977</v>
      </c>
      <c r="F8487" s="24" t="s">
        <v>23600</v>
      </c>
      <c r="G8487" s="5" t="s">
        <v>22747</v>
      </c>
      <c r="H8487" s="5" t="s">
        <v>22748</v>
      </c>
      <c r="I8487" s="24" t="s">
        <v>9789</v>
      </c>
    </row>
    <row r="8488" spans="1:9" ht="58">
      <c r="A8488" s="5"/>
      <c r="B8488" s="5" t="s">
        <v>45983</v>
      </c>
      <c r="C8488" s="64" t="s">
        <v>45978</v>
      </c>
      <c r="D8488" s="246" t="s">
        <v>45973</v>
      </c>
      <c r="E8488" s="5" t="s">
        <v>45979</v>
      </c>
      <c r="F8488" s="24" t="s">
        <v>23600</v>
      </c>
      <c r="G8488" s="5" t="s">
        <v>22747</v>
      </c>
      <c r="H8488" s="5" t="s">
        <v>22748</v>
      </c>
      <c r="I8488" s="24" t="s">
        <v>9789</v>
      </c>
    </row>
    <row r="8489" spans="1:9" ht="304.5">
      <c r="A8489" s="5"/>
      <c r="B8489" s="5" t="s">
        <v>46003</v>
      </c>
      <c r="C8489" s="64" t="s">
        <v>45994</v>
      </c>
      <c r="D8489" s="246" t="s">
        <v>45998</v>
      </c>
      <c r="E8489" s="5" t="s">
        <v>45995</v>
      </c>
      <c r="F8489" s="24" t="s">
        <v>45996</v>
      </c>
      <c r="G8489" s="5" t="s">
        <v>22772</v>
      </c>
      <c r="H8489" s="5" t="s">
        <v>45997</v>
      </c>
      <c r="I8489" s="24" t="s">
        <v>12474</v>
      </c>
    </row>
    <row r="8490" spans="1:9" ht="409.5">
      <c r="A8490" s="5"/>
      <c r="B8490" s="5" t="s">
        <v>46004</v>
      </c>
      <c r="C8490" s="64" t="s">
        <v>45999</v>
      </c>
      <c r="D8490" s="246" t="s">
        <v>45998</v>
      </c>
      <c r="E8490" s="5" t="s">
        <v>46000</v>
      </c>
      <c r="F8490" s="24" t="s">
        <v>45996</v>
      </c>
      <c r="G8490" s="5" t="s">
        <v>22772</v>
      </c>
      <c r="H8490" s="5" t="s">
        <v>45997</v>
      </c>
      <c r="I8490" s="24" t="s">
        <v>12474</v>
      </c>
    </row>
    <row r="8491" spans="1:9" ht="377">
      <c r="A8491" s="5"/>
      <c r="B8491" s="5" t="s">
        <v>46005</v>
      </c>
      <c r="C8491" s="64" t="s">
        <v>46001</v>
      </c>
      <c r="D8491" s="246" t="s">
        <v>45998</v>
      </c>
      <c r="E8491" s="5" t="s">
        <v>46002</v>
      </c>
      <c r="F8491" s="24" t="s">
        <v>45996</v>
      </c>
      <c r="G8491" s="5" t="s">
        <v>22772</v>
      </c>
      <c r="H8491" s="5" t="s">
        <v>45997</v>
      </c>
      <c r="I8491" s="24" t="s">
        <v>12474</v>
      </c>
    </row>
    <row r="8492" spans="1:9" ht="87">
      <c r="A8492" s="5"/>
      <c r="B8492" s="5" t="s">
        <v>46013</v>
      </c>
      <c r="C8492" s="64" t="s">
        <v>46009</v>
      </c>
      <c r="D8492" s="246" t="s">
        <v>45998</v>
      </c>
      <c r="E8492" s="5" t="s">
        <v>46010</v>
      </c>
      <c r="F8492" s="24" t="s">
        <v>38347</v>
      </c>
      <c r="G8492" s="5" t="s">
        <v>22712</v>
      </c>
      <c r="H8492" s="5" t="s">
        <v>22713</v>
      </c>
      <c r="I8492" s="24" t="s">
        <v>17682</v>
      </c>
    </row>
    <row r="8493" spans="1:9" ht="72.5">
      <c r="A8493" s="5"/>
      <c r="B8493" s="5" t="s">
        <v>46014</v>
      </c>
      <c r="C8493" s="64" t="s">
        <v>46011</v>
      </c>
      <c r="D8493" s="246" t="s">
        <v>45998</v>
      </c>
      <c r="E8493" s="5" t="s">
        <v>46012</v>
      </c>
      <c r="F8493" s="24" t="s">
        <v>38347</v>
      </c>
      <c r="G8493" s="5" t="s">
        <v>22712</v>
      </c>
      <c r="H8493" s="5" t="s">
        <v>22713</v>
      </c>
      <c r="I8493" s="24" t="s">
        <v>17682</v>
      </c>
    </row>
    <row r="8494" spans="1:9" ht="87">
      <c r="A8494" s="5"/>
      <c r="B8494" s="5" t="s">
        <v>46017</v>
      </c>
      <c r="C8494" s="64" t="s">
        <v>46015</v>
      </c>
      <c r="D8494" s="246" t="s">
        <v>46016</v>
      </c>
      <c r="E8494" s="5" t="s">
        <v>46023</v>
      </c>
      <c r="F8494" s="24" t="s">
        <v>23600</v>
      </c>
      <c r="G8494" s="5" t="s">
        <v>23164</v>
      </c>
      <c r="H8494" s="5" t="s">
        <v>23165</v>
      </c>
      <c r="I8494" s="24" t="s">
        <v>19149</v>
      </c>
    </row>
    <row r="8495" spans="1:9" ht="58">
      <c r="A8495" s="5"/>
      <c r="B8495" s="5" t="s">
        <v>46018</v>
      </c>
      <c r="C8495" s="64" t="s">
        <v>46015</v>
      </c>
      <c r="D8495" s="246" t="s">
        <v>46016</v>
      </c>
      <c r="E8495" s="5" t="s">
        <v>46024</v>
      </c>
      <c r="F8495" s="24" t="s">
        <v>23600</v>
      </c>
      <c r="G8495" s="5" t="s">
        <v>23164</v>
      </c>
      <c r="H8495" s="5" t="s">
        <v>23165</v>
      </c>
      <c r="I8495" s="24" t="s">
        <v>19149</v>
      </c>
    </row>
    <row r="8496" spans="1:9" ht="58">
      <c r="A8496" s="5"/>
      <c r="B8496" s="5" t="s">
        <v>46019</v>
      </c>
      <c r="C8496" s="64" t="s">
        <v>46015</v>
      </c>
      <c r="D8496" s="246" t="s">
        <v>46016</v>
      </c>
      <c r="E8496" s="5" t="s">
        <v>46028</v>
      </c>
      <c r="F8496" s="24" t="s">
        <v>23600</v>
      </c>
      <c r="G8496" s="5" t="s">
        <v>23164</v>
      </c>
      <c r="H8496" s="5" t="s">
        <v>23165</v>
      </c>
      <c r="I8496" s="24" t="s">
        <v>19149</v>
      </c>
    </row>
    <row r="8497" spans="1:9" ht="145">
      <c r="A8497" s="5"/>
      <c r="B8497" s="5" t="s">
        <v>46020</v>
      </c>
      <c r="C8497" s="64" t="s">
        <v>46015</v>
      </c>
      <c r="D8497" s="246" t="s">
        <v>46016</v>
      </c>
      <c r="E8497" s="5" t="s">
        <v>46025</v>
      </c>
      <c r="F8497" s="24" t="s">
        <v>23600</v>
      </c>
      <c r="G8497" s="5" t="s">
        <v>23164</v>
      </c>
      <c r="H8497" s="5" t="s">
        <v>23165</v>
      </c>
      <c r="I8497" s="24" t="s">
        <v>19149</v>
      </c>
    </row>
    <row r="8498" spans="1:9" ht="116">
      <c r="A8498" s="5"/>
      <c r="B8498" s="5" t="s">
        <v>46021</v>
      </c>
      <c r="C8498" s="64" t="s">
        <v>46015</v>
      </c>
      <c r="D8498" s="246" t="s">
        <v>46016</v>
      </c>
      <c r="E8498" s="5" t="s">
        <v>46026</v>
      </c>
      <c r="F8498" s="24" t="s">
        <v>23600</v>
      </c>
      <c r="G8498" s="5" t="s">
        <v>23164</v>
      </c>
      <c r="H8498" s="5" t="s">
        <v>23165</v>
      </c>
      <c r="I8498" s="24" t="s">
        <v>19149</v>
      </c>
    </row>
    <row r="8499" spans="1:9" ht="72.5">
      <c r="A8499" s="5"/>
      <c r="B8499" s="5" t="s">
        <v>46022</v>
      </c>
      <c r="C8499" s="64" t="s">
        <v>46015</v>
      </c>
      <c r="D8499" s="246" t="s">
        <v>46016</v>
      </c>
      <c r="E8499" s="5" t="s">
        <v>46027</v>
      </c>
      <c r="F8499" s="24" t="s">
        <v>23600</v>
      </c>
      <c r="G8499" s="5" t="s">
        <v>23164</v>
      </c>
      <c r="H8499" s="5" t="s">
        <v>23165</v>
      </c>
      <c r="I8499" s="24" t="s">
        <v>19149</v>
      </c>
    </row>
    <row r="8500" spans="1:9" ht="333.5">
      <c r="A8500" s="5"/>
      <c r="B8500" s="5" t="s">
        <v>46042</v>
      </c>
      <c r="C8500" s="64" t="s">
        <v>23621</v>
      </c>
      <c r="D8500" s="246">
        <v>46085</v>
      </c>
      <c r="E8500" s="5" t="s">
        <v>46038</v>
      </c>
      <c r="F8500" s="24" t="s">
        <v>23600</v>
      </c>
      <c r="G8500" s="5" t="s">
        <v>21772</v>
      </c>
      <c r="H8500" s="5" t="s">
        <v>46029</v>
      </c>
      <c r="I8500" s="24" t="s">
        <v>16429</v>
      </c>
    </row>
    <row r="8501" spans="1:9" ht="275.5">
      <c r="A8501" s="5"/>
      <c r="B8501" s="5" t="s">
        <v>46043</v>
      </c>
      <c r="C8501" s="64" t="s">
        <v>23625</v>
      </c>
      <c r="D8501" s="246">
        <v>46085</v>
      </c>
      <c r="E8501" s="5" t="s">
        <v>46039</v>
      </c>
      <c r="F8501" s="24" t="s">
        <v>23600</v>
      </c>
      <c r="G8501" s="5" t="s">
        <v>21772</v>
      </c>
      <c r="H8501" s="5" t="s">
        <v>46029</v>
      </c>
      <c r="I8501" s="24" t="s">
        <v>16429</v>
      </c>
    </row>
    <row r="8502" spans="1:9" ht="275.5">
      <c r="A8502" s="5"/>
      <c r="B8502" s="5" t="s">
        <v>46044</v>
      </c>
      <c r="C8502" s="64" t="s">
        <v>25972</v>
      </c>
      <c r="D8502" s="246">
        <v>46085</v>
      </c>
      <c r="E8502" s="5" t="s">
        <v>46040</v>
      </c>
      <c r="F8502" s="24" t="s">
        <v>23600</v>
      </c>
      <c r="G8502" s="5" t="s">
        <v>21772</v>
      </c>
      <c r="H8502" s="5" t="s">
        <v>46029</v>
      </c>
      <c r="I8502" s="24" t="s">
        <v>16429</v>
      </c>
    </row>
    <row r="8503" spans="1:9" ht="138">
      <c r="A8503" s="5"/>
      <c r="B8503" s="5" t="s">
        <v>46045</v>
      </c>
      <c r="C8503" s="64" t="s">
        <v>25928</v>
      </c>
      <c r="D8503" s="246">
        <v>46085</v>
      </c>
      <c r="E8503" s="5" t="s">
        <v>46041</v>
      </c>
      <c r="F8503" s="24" t="s">
        <v>23600</v>
      </c>
      <c r="G8503" s="5" t="s">
        <v>21772</v>
      </c>
      <c r="H8503" s="5" t="s">
        <v>46029</v>
      </c>
      <c r="I8503" s="24" t="s">
        <v>16429</v>
      </c>
    </row>
    <row r="8504" spans="1:9">
      <c r="D8504" s="25"/>
    </row>
    <row r="8505" spans="1:9">
      <c r="D8505" s="25"/>
    </row>
    <row r="8506" spans="1:9">
      <c r="D8506" s="25"/>
    </row>
    <row r="8507" spans="1:9">
      <c r="D8507" s="25"/>
    </row>
    <row r="8508" spans="1:9">
      <c r="D8508" s="25"/>
    </row>
    <row r="8509" spans="1:9">
      <c r="D8509" s="25"/>
    </row>
    <row r="8510" spans="1:9">
      <c r="D8510" s="25"/>
    </row>
    <row r="8511" spans="1:9">
      <c r="D8511" s="25"/>
    </row>
    <row r="8512" spans="1:9">
      <c r="D8512" s="25"/>
    </row>
    <row r="8513" spans="4:4">
      <c r="D8513" s="25"/>
    </row>
  </sheetData>
  <autoFilter ref="A1:I8472" xr:uid="{00000000-0001-0000-0100-000000000000}"/>
  <phoneticPr fontId="11" type="noConversion"/>
  <hyperlinks>
    <hyperlink ref="G7940:G7945" r:id="rId1" display="BG-10433" xr:uid="{DF035143-7C6C-4616-8AC6-44BB6E0D9DDF}"/>
    <hyperlink ref="G7946" r:id="rId2" display="https://www.era.europa.eu/system/files/2023-10/RO-10329 - RI Racari 01 11 2022 final trimis.pdf" xr:uid="{64A3B4B6-C967-44FA-9B16-E5E4E2BA2E51}"/>
    <hyperlink ref="G7947:G7952" r:id="rId3" display="https://www.era.europa.eu/system/files/2023-10/PL-10352 - Report_EN_No_PKBWK_03_2023.pdf" xr:uid="{998B9EE8-1DC7-4D8B-8BF7-93E69858F367}"/>
    <hyperlink ref="G7953:G7959" r:id="rId4" display="https://www.era.europa.eu/system/files/2023-10/IT-10276 - Relazione Finale_Rastignano_19-03-2022.pdf" xr:uid="{33016356-F784-47CC-A4A0-5DF87CB52B75}"/>
    <hyperlink ref="G7960" r:id="rId5" display="https://www.era.europa.eu/system/files/2023-11/CZ-10332 - Final_Report_M%C4%9Bln%C3%ADk_CZ-10332.pdf" xr:uid="{611CC742-281B-4A4F-BE32-B7C728E2AD7E}"/>
    <hyperlink ref="G7961" r:id="rId6" display="https://www.era.europa.eu/system/files/2023-11/CZ-10414 - 231128_final_report_Krasna_Lipa_Rumburk.pdf" xr:uid="{FA9A3EEB-1C07-452B-BE2B-FEDC3E8B5A4A}"/>
    <hyperlink ref="G7962:G7963" r:id="rId7" display="https://www.era.europa.eu/system/files/2023-11/CZ-10414 - 231128_final_report_Krasna_Lipa_Rumburk.pdf" xr:uid="{8D5C44AA-C49A-469B-B7EF-5E15E32F71A0}"/>
    <hyperlink ref="G7964:G7968" r:id="rId8" display="https://www.era.europa.eu/system/files/2023-12/IT-10270 -Relazione finale_Prenestina_03-06-2022_pubblica.pdf" xr:uid="{B5AD4916-F830-43C9-A757-B613383DABC8}"/>
    <hyperlink ref="G7969:G7970" r:id="rId9" display="https://www.era.europa.eu/system/files/2023-12/RO-10344 - RI Gugesti 01 12 2022 final transmis.pdf" xr:uid="{9794CF19-61C5-44BC-B76D-03F02A6C5B10}"/>
    <hyperlink ref="G7971:G7975" r:id="rId10" display="https://www.era.europa.eu/system/files/2023-12/IT-10335 - Relazione finale_Pompei_07-11-2022_pubblica.pdf" xr:uid="{407B38D1-E1C2-4717-BC03-1E6BE2A69315}"/>
    <hyperlink ref="G7976:G7979" r:id="rId11" display="https://www.era.europa.eu/system/files/2023-12/PT-10369 - RI2023_01.pdf" xr:uid="{92D489ED-A7E5-43D6-B68E-0D58F052F695}"/>
    <hyperlink ref="G7980" r:id="rId12" display="https://www.era.europa.eu/system/files/2023-12/CZ-10347 - ZZ_Final_report_Brno-Malomerice.pdf" xr:uid="{82F62B93-75AD-4707-B3BC-7F66EB702A9C}"/>
    <hyperlink ref="G7981:G7983" r:id="rId13" display="https://www.era.europa.eu/system/files/2023-12/IT-10253 - Relazione finale_Barletta_04-01-2022_pubblica.pdf" xr:uid="{8D35C4DA-FE39-4EA7-93CA-F62EFD8716E4}"/>
    <hyperlink ref="G7984" r:id="rId14" display="https://www.era.europa.eu/system/files/2023-12/CZ-10417 - 231217_final_report_Bystrice_pod_Hostynem_Holesov.pdf" xr:uid="{329CD9EA-B806-4258-8538-ACC6B75193A7}"/>
    <hyperlink ref="G7985:G7992" r:id="rId15" display="https://www.era.europa.eu/system/files/2024-01/PL-10357 - Report_PKBWK_4_2023_EN.pdf" xr:uid="{28545045-CFA8-4666-9B43-1A12DED9DC2B}"/>
    <hyperlink ref="G7993" r:id="rId16" display="https://www.era.europa.eu/system/files/2024-01/HR-10342 - Kona%C4%8Dno izvje%C5%A1%C4%87e %C5%A0krljevo14.11.2022 z.pdf" xr:uid="{4E8C3E8B-FD11-45E2-9DDF-14DB5FD6FE13}"/>
    <hyperlink ref="G7994:G7996" r:id="rId17" display="https://www.era.europa.eu/system/files/2024-01/HR-10361 -Kona%C4%8Dno nesre%C4%87a Pula nalet  14.01.2023. objava_.pdf" xr:uid="{8B1EB0BF-6BE4-4944-B48D-2947032CDB21}"/>
    <hyperlink ref="G7997" r:id="rId18" display="https://www.era.europa.eu/system/files/2024-01/RO-10348 - RI Timisoara Est  29 12 2022 final transmis.pdf" xr:uid="{641EA18E-3EFF-4F27-B337-C0F16BC977DA}"/>
    <hyperlink ref="G7998" r:id="rId19" display="https://www.era.europa.eu/system/files/2024-01/RO-10350 - RI Campia Turzii 07 01 2023 final transmis.pdf" xr:uid="{FA3868F6-1CB1-4B8F-9F6F-3F86F39B8B1C}"/>
    <hyperlink ref="G7999:G8000" r:id="rId20" display="https://www.era.europa.eu/system/files/2024-01/NO-10331 - 2024-01 Heskestad.pdf" xr:uid="{B1D5381A-9432-4112-9107-FDA66ABF2D73}"/>
    <hyperlink ref="G8001:G8005" r:id="rId21" display="https://www.era.europa.eu/system/files/2024-01/DE-10233_German investigation report trains collision Altheim %28Hess%29 - Dieburg.pdf" xr:uid="{9DC793CC-D4F2-45C4-931D-4ABDF237CE8B}"/>
    <hyperlink ref="G8006" r:id="rId22" display="https://www.era.europa.eu/system/files/2024-02/PL-10387 - Raport nr PKBWK 5 2023_en.pdf" xr:uid="{15B94249-79D5-45B3-9B3E-014023470B83}"/>
    <hyperlink ref="G8007:G8010" r:id="rId23" display="https://www.era.europa.eu/system/files/2024-02/PL-10387 - Raport nr PKBWK 5 2023_en.pdf" xr:uid="{70FA02F9-5585-4840-A34C-3828CA0E27DA}"/>
    <hyperlink ref="G8011" r:id="rId24" display="https://www.era.europa.eu/system/files/2024-02/CZ-10319 - ZZ_Final_report_Poricany.pdf" xr:uid="{9BB4E5F9-27D5-4E00-BFF4-17D9FA2121EB}"/>
    <hyperlink ref="G8012:G8013" r:id="rId25" display="https://www.era.europa.eu/system/files/2024-02/AT-5618 - 795.390_UB_1.0.pdf" xr:uid="{C940C150-7847-4476-A53E-E59BA5579D37}"/>
    <hyperlink ref="G8014:G8021" r:id="rId26" display="https://www.era.europa.eu/system/files/2024-02/PL-10366 - Report PKBWK 1 2024_EN.docx.pdf" xr:uid="{D82DE288-A618-4A56-B4A3-22D9D928B1A8}"/>
    <hyperlink ref="G8022" r:id="rId27" display="https://www.era.europa.eu/system/files/2024-02/DE-6204 investigation report trains collision near miss Griesen Obb.pdf" xr:uid="{4F31B7A1-B938-445F-940B-E0D750488D5C}"/>
    <hyperlink ref="G8023" r:id="rId28" display="https://www.era.europa.eu/system/files/2024-02/RO-10384 - RI Augustin Apata 28 02 2023 final transmis.pdf" xr:uid="{89A10539-FED7-4FDD-8973-D6BAEC55A8DD}"/>
    <hyperlink ref="G8024:G8030" r:id="rId29" display="https://www.era.europa.eu/system/files/2024-02/PL-10379 - Report 2 2024_EN.pdf" xr:uid="{516DCC9B-3D28-4681-A32B-EAFABAF03CFC}"/>
    <hyperlink ref="G8031:G8033" r:id="rId30" display="https://www.era.europa.eu/system/files/2024-02/PL-10416 - Report 3 2024_EN.pdf" xr:uid="{05E9AF4A-6903-4A8A-8EA9-E6265FE0399B}"/>
    <hyperlink ref="G8034" r:id="rId31" display="https://www.era.europa.eu/system/files/2024-03/RO-10380 - RI Zalau Nord Mirsid 22 02 2023 final transmis.pdf" xr:uid="{581C212A-0788-4C11-8B1A-C28EE153ADBB}"/>
    <hyperlink ref="G8035:G8039" r:id="rId32" display="https://www.era.europa.eu/system/files/2024-03/BG-10485 - Final report 44202_NIB BG ENG 1.pdf" xr:uid="{6A60942C-A12D-481B-A425-CA6415D3EB05}"/>
    <hyperlink ref="G8040" r:id="rId33" display="https://www.era.europa.eu/system/files/2024-03/DK-10401 - 2023-163 EN Report Summary Conclusion and Recommendations.pdf" xr:uid="{821EE721-946D-43CD-AFB2-6BC8B6F21180}"/>
    <hyperlink ref="G8041" r:id="rId34" display="https://www.era.europa.eu/system/files/2024-03/CZ-10377 - Final_report_Chlumcany_u_Dobran.pdf" xr:uid="{18FECEC2-D8A9-41D7-8A33-FF3B3CA49F12}"/>
    <hyperlink ref="G8042:G8043" r:id="rId35" display="https://www.era.europa.eu/system/files/2024-03/RO-10392 - RI Beia Cata 17 03 2023 final transmis.pdf" xr:uid="{76ACE0FC-59DC-4682-90F4-3D928DF99E8A}"/>
    <hyperlink ref="G8044" r:id="rId36" display="https://www.era.europa.eu/system/files/2024-03/NO-10393 - 2024-02 Narvik.pdf" xr:uid="{E36F2DF1-0BFA-40BC-8C8E-9ED77325EC4E}"/>
    <hyperlink ref="G8045" r:id="rId37" display="https://www.era.europa.eu/system/files/2024-03/RO-10390 - RI Rosiori Nord 13 03 2023 final transmis.pdf" xr:uid="{05EF2487-5EC0-433D-AF9E-975234A4EDF2}"/>
    <hyperlink ref="G8046" r:id="rId38" display="https://www.era.europa.eu/system/files/2024-03/RO-10390 - RI Rosiori Nord 13 03 2023 final transmis.pdf" xr:uid="{074DA1DB-8F15-4E00-B19F-75337469F151}"/>
    <hyperlink ref="G8047" r:id="rId39" display="https://www.era.europa.eu/system/files/2024-03/HU-10322 - 2022-1166-5_zj_EN.pdf" xr:uid="{AF69A49E-32B2-4029-A885-EFC9E7C65218}"/>
    <hyperlink ref="G8048" r:id="rId40" display="https://www.era.europa.eu/system/files/2024-03/HU-10322 - 2022-1166-5_zj_EN.pdf" xr:uid="{ACA0EA98-604C-4F21-B5A5-7E571176FC05}"/>
    <hyperlink ref="G8049" r:id="rId41" display="https://www.era.europa.eu/system/files/2024-03/IE-10404 - 230222 Broken Rail Emly.pdf" xr:uid="{15841A94-34A8-43DA-887B-06438941051E}"/>
    <hyperlink ref="G8050" r:id="rId42" display="https://www.era.europa.eu/system/files/2024-03/IE-10404 - 230222 Broken Rail Emly.pdf" xr:uid="{0AFB04D1-2DBD-4AE9-B2A2-47703E86D7BA}"/>
    <hyperlink ref="G8051" r:id="rId43" display="https://www.era.europa.eu/system/files/2024-03/IE-10404 - 230222 Broken Rail Emly.pdf" xr:uid="{89CDA395-AE0B-47D3-816F-A25E84A5DD1C}"/>
    <hyperlink ref="G8052" r:id="rId44" display="https://www.era.europa.eu/system/files/2024-03/IE-10404 - 230222 Broken Rail Emly.pdf" xr:uid="{0C697102-908C-413C-8A1A-DF4BAF4E889A}"/>
    <hyperlink ref="G8053" r:id="rId45" display="https://www.era.europa.eu/system/files/2024-03/IE-10404 - 230222 Broken Rail Emly.pdf" xr:uid="{49AC5870-6EF0-4A2A-A5AE-5933D834942B}"/>
    <hyperlink ref="G8054" r:id="rId46" display="https://www.era.europa.eu/system/files/2024-04/RO-10395 - RI Berbesti Popesti 28 03 2023 final transmis.pdf" xr:uid="{94421484-276E-4F0D-BF3C-41C1AD50B349}"/>
    <hyperlink ref="G8055" r:id="rId47" display="https://www.era.europa.eu/system/files/2024-04/HU-10247 - 2022-0682-5_zj_EN.docx" xr:uid="{626091AB-7738-4059-821C-DA3596BD1304}"/>
    <hyperlink ref="G8056" r:id="rId48" display="https://www.era.europa.eu/system/files/2024-04/NO-10398 - 2024-03 Bybanen.pdf" xr:uid="{2374B676-FA98-4472-9E48-734F9A5F101F}"/>
    <hyperlink ref="G8057" r:id="rId49" display="https://www.era.europa.eu/system/files/2024-04/DK-10283 - 2022-34 Report Ejby wheel failure_ EN.pdf" xr:uid="{37CAFE09-3D26-4856-A62C-D23C0A2CD57F}"/>
    <hyperlink ref="G8058" r:id="rId50" display="https://www.era.europa.eu/system/files/2024-04/DK-10283 - 2022-34 Report Ejby wheel failure_ EN.pdf" xr:uid="{C314BFF9-D7B8-4A9B-ABC4-06AE4138BCE7}"/>
    <hyperlink ref="G8059" r:id="rId51" display="https://www.era.europa.eu/system/files/2024-04/CZ-10200 - Final_report_Skaly_CZ-10200.pdf" xr:uid="{5EB846CF-BF62-4AE8-9B67-CD60AFF3185A}"/>
    <hyperlink ref="G8060" r:id="rId52" display="https://www.era.europa.eu/system/files/2024-04/HU-10178 - 2022-0048-5_zj_EN_EN_BT.docx" xr:uid="{6C1E4FB7-45AF-45A9-96BB-6C9D815CF5D7}"/>
    <hyperlink ref="G8061" r:id="rId53" display="https://www.era.europa.eu/system/files/2024-04/HU-10310 - 2022-0960-5_zj_EN_EN_BT.docx" xr:uid="{F89E0432-A635-48F8-84F7-84682DB5B12F}"/>
    <hyperlink ref="G8062:G8064" r:id="rId54" display="https://www.era.europa.eu/system/files/2024-04/PL-10418 - Report No PKBWK 04 2024_EN.pdf" xr:uid="{1B40784B-AB1C-425D-84E5-BC0CE978E0C8}"/>
    <hyperlink ref="G8065:G8070" r:id="rId55" display="https://www.era.europa.eu/system/files/2024-05/IT-10368 - Relazione finale_Pozzano_26-01-2023_pubblica.pdf" xr:uid="{85C70092-73FC-4D1B-98F8-BF76E7BCB5AA}"/>
    <hyperlink ref="G8071" r:id="rId56" display="https://www.era.europa.eu/system/files/2024-05/RO-10402 - RI Sannicolau  Mare Cenad 18 04 2023 final transmis.pdf" xr:uid="{E6971BE5-C542-497F-A96E-42C75EADBCF1}"/>
    <hyperlink ref="G8072:G8078" r:id="rId57" display="https://www.era.europa.eu/system/files/2024-05/ES-10383 - 2023-11-0130-IF.pdf" xr:uid="{8C6247C1-B136-4DD2-9C92-E982291715FD}"/>
    <hyperlink ref="G8079" r:id="rId58" display="https://www.era.europa.eu/system/files/2024-05/RO-10411 - RI Toporu 17 05 2023 final transmis.pdf" xr:uid="{3BD22BD3-604E-4BBB-800F-186636C8F99A}"/>
    <hyperlink ref="G8080" r:id="rId59" display="https://www.era.europa.eu/system/files/2024-05/RO-10411 - RI Toporu 17 05 2023 final transmis.pdf" xr:uid="{D3DCD73E-FC76-4BDC-B0BD-51AB2CB7544A}"/>
    <hyperlink ref="G8081" r:id="rId60" display="https://www.era.europa.eu/system/files/2024-05/NL-10405 - Final report_0.pdf" xr:uid="{A6E979A5-D1D5-4EA0-B1EB-9D6028899508}"/>
    <hyperlink ref="G8082" r:id="rId61" display="https://www.era.europa.eu/system/files/2024-05/NL-10405 - Final report_0.pdf" xr:uid="{6A75F74D-B2F4-4689-837B-C50FA3226823}"/>
    <hyperlink ref="G8083" r:id="rId62" display="https://www.era.europa.eu/system/files/2024-05/NL-10405 - Final report_0.pdf" xr:uid="{57B1CF62-02CA-4499-87C5-42F0FB2B1FD8}"/>
    <hyperlink ref="G8084" r:id="rId63" display="https://www.era.europa.eu/system/files/2024-05/NL-10405 - Final report_0.pdf" xr:uid="{0FDAB3A1-A697-433D-B55B-20C12A2331EF}"/>
    <hyperlink ref="G8085" r:id="rId64" display="https://www.era.europa.eu/system/files/2024-05/NL-10405 - Final report_0.pdf" xr:uid="{9BBDD8A1-8E80-490A-A942-F10A5EAB6BB5}"/>
    <hyperlink ref="G8086" r:id="rId65" display="https://www.era.europa.eu/system/files/2024-05/HU-10324 - 2022-1184-5_zj_EN.pdf" xr:uid="{24F74599-3A91-47C2-B9F9-0A918DF552DC}"/>
    <hyperlink ref="G8087:G8090" r:id="rId66" display="https://www.era.europa.eu/system/files/2024-05/AT-10226 - 795.404_UB_1.0_Optimized.pdf" xr:uid="{1FD73359-0DC6-493B-93D2-E449A327DE88}"/>
    <hyperlink ref="G8091" r:id="rId67" display="https://www.era.europa.eu/system/files/2024-05/RO-10420 - RI Sighisoara 08 06 2023 final transmis.pdf" xr:uid="{994DE2D7-6208-4F1A-B9B3-3E7005A79BBB}"/>
    <hyperlink ref="G8092" r:id="rId68" display="https://www.era.europa.eu/system/files/2024-05/RO-10420 - RI Sighisoara 08 06 2023 final transmis.pdf" xr:uid="{2F604F95-64C9-48AA-9720-5A57EE7F7931}"/>
    <hyperlink ref="G8093" r:id="rId69" display="https://www.era.europa.eu/system/files/2024-05/RO-10420 - RI Sighisoara 08 06 2023 final transmis.pdf" xr:uid="{4094E305-06D8-4411-A6A5-E4756AA297FE}"/>
    <hyperlink ref="G8094" r:id="rId70" display="https://www.era.europa.eu/system/files/2024-06/CZ-10511 - Final_report_Rynoltice.pdf" xr:uid="{AD964D14-0401-4F75-920E-0F101D0D0823}"/>
    <hyperlink ref="G8096" r:id="rId71" display="https://www.era.europa.eu/system/files/2024-06/CZ-10429 - Final_report_Bozice_u_Znojma_P7118.pdf" xr:uid="{7721A2E4-142C-45BD-9B7E-2D5E958A238A}"/>
    <hyperlink ref="G8097" r:id="rId72" display="https://www.era.europa.eu/system/files/2024-06/HR-10428 - KI incident izbjegnut sudar Su%C5%A1ak Pe%C4%87ine    22.06.2023._.pdf" xr:uid="{CB24B51B-D90C-472B-853E-258F9A32AE18}"/>
    <hyperlink ref="G8098" r:id="rId73" display="https://www.era.europa.eu/era-folder/fi-10451" xr:uid="{83EAA6E6-A8FC-4FBC-BB4E-A2274CDE1794}"/>
    <hyperlink ref="G8099" r:id="rId74" display="https://www.era.europa.eu/era-folder/fi-10451" xr:uid="{DA3A6FCC-EAF5-43AA-AE6C-F1E77A09A29D}"/>
    <hyperlink ref="G8100" r:id="rId75" display="https://www.era.europa.eu/era-folder/fi-10451" xr:uid="{FABCEB52-B355-4240-8390-57E0399B1854}"/>
    <hyperlink ref="G8101" r:id="rId76" display="https://www.era.europa.eu/era-folder/fi-10451" xr:uid="{F87F814F-5D26-47AF-B264-716DFE9DD64D}"/>
    <hyperlink ref="G8095" r:id="rId77" display="https://www.era.europa.eu/system/files/2024-06/AT-6217 - 190701_Kollision_Bf_Floridsdorf_795399_EUB %288%29_0.pdf" xr:uid="{CA3B311A-DE9A-44F1-A740-5ADEBE6C6530}"/>
    <hyperlink ref="G8102" r:id="rId78" display="https://www.era.europa.eu/system/files/2024-06/BG-10472 - Final report IP4IL_NIB BG.pdf" xr:uid="{64AD2E8B-0AB5-4CC3-9D6E-9E559FFD2450}"/>
    <hyperlink ref="G8103" r:id="rId79" display="https://www.era.europa.eu/system/files/2024-06/BG-10472 - Final report IP4IL_NIB BG.pdf" xr:uid="{3073D42E-738E-4187-8787-AD07DE6DC6FC}"/>
    <hyperlink ref="G8104" r:id="rId80" display="https://www.era.europa.eu/system/files/2024-06/BG-10472 - Final report IP4IL_NIB BG.pdf" xr:uid="{9A20DB5D-BCAE-4994-A514-3EDBCA4109BD}"/>
    <hyperlink ref="G8105" r:id="rId81" display="https://www.era.europa.eu/system/files/2024-06/BG-10472 - Final report IP4IL_NIB BG.pdf" xr:uid="{90F16EF9-382F-4475-A962-2E8E269C616C}"/>
    <hyperlink ref="G8106" r:id="rId82" display="https://www.era.europa.eu/system/files/2024-06/BG-10472 - Final report IP4IL_NIB BG.pdf" xr:uid="{8D54EAA0-42DE-4E3C-8364-422C76D428EC}"/>
    <hyperlink ref="G8107" r:id="rId83" display="https://www.era.europa.eu/system/files/2024-06/BG-10472 - Final report IP4IL_NIB BG.pdf" xr:uid="{2B1C8A20-882C-4568-AEE6-77E07C56376A}"/>
    <hyperlink ref="G8108" r:id="rId84" display="https://www.era.europa.eu/system/files/2024-07/CZ-10455 - Final_report_Belcice_Blatna.pdf" xr:uid="{7AD695F6-BB7C-4D66-856D-EEF52B65CD54}"/>
    <hyperlink ref="G8109:G8113" r:id="rId85" display="https://www.era.europa.eu/system/files/2024-07/ES-10479 - Final Report - 2023-43-0518-IF.pdf" xr:uid="{4E8467EE-1032-46B4-A065-521FF26615C3}"/>
    <hyperlink ref="G8114" r:id="rId86" display="https://www.era.europa.eu/system/files/2024-07/SE-10415 - SHK 2024_ 08 Slutrapport - Arlanda Express.pdf" xr:uid="{D703B04F-639E-4FA8-9250-108D55E4E9B3}"/>
    <hyperlink ref="G8115" r:id="rId87" display="https://www.era.europa.eu/system/files/2024-07/SE-10415 - SHK 2024_ 08 Slutrapport - Arlanda Express.pdf" xr:uid="{A2FE4C85-E1CB-4821-B86B-ACF9F1694BFA}"/>
    <hyperlink ref="G8116" r:id="rId88" display="https://www.era.europa.eu/system/files/2024-07/SE-10415 - SHK 2024_ 08 Slutrapport - Arlanda Express.pdf" xr:uid="{07DB66EC-3F7E-4345-AE9F-BA631D483F88}"/>
    <hyperlink ref="G8117" r:id="rId89" display="https://www.era.europa.eu/system/files/2024-07/SE-10415 - SHK 2024_ 08 Slutrapport - Arlanda Express.pdf" xr:uid="{94ED20DA-F271-462C-9225-A14BAE7BF295}"/>
    <hyperlink ref="G8118" r:id="rId90" display="https://www.era.europa.eu/system/files/2024-07/SE-10415 - SHK 2024_ 08 Slutrapport - Arlanda Express.pdf" xr:uid="{B3DBC7DC-5875-4D43-911A-D7D1A953A15B}"/>
    <hyperlink ref="G8119" r:id="rId91" display="https://www.era.europa.eu/system/files/2024-07/SE-10415 - SHK 2024_ 08 Slutrapport - Arlanda Express.pdf" xr:uid="{EBA55C6D-2E8A-4031-B043-0E21E48BCB5C}"/>
    <hyperlink ref="G8120" r:id="rId92" display="https://www.era.europa.eu/system/files/2024-07/DE-10206 investigation excerpts Bf R%C3%BCsselsheim train derailment 230202022.pdf" xr:uid="{B6FAAA3F-E739-472C-BEA0-4C0480295F0E}"/>
    <hyperlink ref="G2848" r:id="rId93" display="https://www.era.europa.eu/system/files/2024-07/CH-10119 - 2020101901_EB_SB-EU_Basel_Gefahrgutereignis_V7_1_D_lus.pdf" xr:uid="{0AE0DBFB-D0F3-48BD-B582-9F800DF441A8}"/>
    <hyperlink ref="G8121" r:id="rId94" display="https://www.era.europa.eu/system/files/2024-07/CZ-10194 - Final_report_Zdarec_Hlinsko.pdf" xr:uid="{1A5497E9-5723-4D7C-969F-5FE731745AF6}"/>
    <hyperlink ref="G8122" r:id="rId95" display="https://www.era.europa.eu/system/files/2024-07/HR-10410 - Final Report  KONA%C4%8CNO izvje%C5%A1%C4%87e Andrijevci WEB.pdf" xr:uid="{B828F190-1DA9-4660-BD69-9BAB391D70A5}"/>
    <hyperlink ref="G8123" r:id="rId96" display="https://www.era.europa.eu/system/files/2024-08/CZ-10434 - 240802_final_report_Dluhonice.pdf" xr:uid="{B5DC35C5-C3AD-4D65-B4BE-E88D253FB0F3}"/>
    <hyperlink ref="G8124:G8125" r:id="rId97" display="https://www.era.europa.eu/system/files/2024-08/RO-10432 - RI Rosiori Atarnati 01 08 2023 final transmis.pdf" xr:uid="{0DB7853A-000D-44FF-A54D-CFCB691151C5}"/>
    <hyperlink ref="G8126:G8127" r:id="rId98" display="https://www.era.europa.eu/system/files/2024-08/RO-10438 - RI Catusa 09 08 2023 final transmis.pdf" xr:uid="{70707C72-10A0-4FFE-A056-E153A3E3FB5B}"/>
    <hyperlink ref="G8128" r:id="rId99" display="https://www.era.europa.eu/system/files/2024-08/DK-10465 - 2023-422 Redeg%C3%B8relse Aarhus Letbane Personp%C3%A5k%C3%B8rsel %2817-08-2023%29.pdf" xr:uid="{7D46BE2F-A533-4E98-853D-94B5275216C7}"/>
    <hyperlink ref="G8129:G8131" r:id="rId100" display="https://www.era.europa.eu/system/files/2024-08/BE-10439 - rapport Qu%C3%A9vy.pdf" xr:uid="{48FDAE8C-FCA5-49A2-8F68-4A32AF0E4A21}"/>
    <hyperlink ref="G8132" r:id="rId101" display="https://www.era.europa.eu/system/files/2024-08/IT-10351 - Relazione finale_Iseo_10-12-2022_pubblica.pdf" xr:uid="{D1427836-6BF4-4379-9C38-BDC1F0208DE9}"/>
    <hyperlink ref="G8133" r:id="rId102" display="https://www.era.europa.eu/system/files/2024-08/IT-10351 - Relazione finale_Iseo_10-12-2022_pubblica.pdf" xr:uid="{9C3166F8-3F6C-4F27-8DC9-FEDC142C5BDF}"/>
    <hyperlink ref="G8134" r:id="rId103" display="https://www.era.europa.eu/system/files/2024-08/IT-10351 - Relazione finale_Iseo_10-12-2022_pubblica.pdf" xr:uid="{60229B18-9B47-4002-8369-4699C2608A01}"/>
    <hyperlink ref="G8135:G8136" r:id="rId104" display="https://www.era.europa.eu/system/files/2024-08/RO-10445 - RI Tarnaveni Vest Jidvei 23 08 2024 final transmis.pdf" xr:uid="{685E0497-05AE-4219-BB12-CEF209753F1D}"/>
    <hyperlink ref="G8137:G8138" r:id="rId105" display="https://www.era.europa.eu/system/files/2024-09/DK-10467 - 2023-452 Redeg%C3%B8relse N%C3%A6rved-p%C3%A5k%C3%B8rsel af banearbejdere %28d. 06-09-2023%29.pdf" xr:uid="{ED902421-5476-4859-B35A-12E062899E0C}"/>
    <hyperlink ref="G8139:G8143" r:id="rId106" display="https://www.era.europa.eu/system/files/2024-09/pl-10444 - report_pkbwk_06_2024_en.pdf" xr:uid="{9E7A6DA5-9991-4D53-81E1-F6A6427DCF40}"/>
    <hyperlink ref="G8144:G8152" r:id="rId107" display="https://www.era.europa.eu/system/files/2024-09/pl-10422 - report no. pkbwk 5_2024_en.pdf" xr:uid="{9CD4486B-0394-457A-AE38-CAC7E96CC214}"/>
    <hyperlink ref="G8153:G8154" r:id="rId108" display="https://www.era.europa.eu/system/files/2024-09/cz-10376 - final_report_cervenka_stepanov.pdf" xr:uid="{EE07FFE7-F83F-47F6-B647-D1F48E9B509D}"/>
    <hyperlink ref="G8155" r:id="rId109" display="https://www.era.europa.eu/system/files/2024-09/cz-10190 - 240912_final_report_decin_prostr_zleb.pdf" xr:uid="{F62B433B-D4B2-437C-8774-EA038E201E71}"/>
    <hyperlink ref="G8156" r:id="rId110" display="https://www.era.europa.eu/system/files/2024-09/cz-10461 - final_report_olomouc_hl_n_cz-10461.pdf" xr:uid="{343C365F-1A5A-4DC9-B150-425817DD72E3}"/>
    <hyperlink ref="G8157:G8161" r:id="rId111" display="https://www.era.europa.eu/system/files/2024-10/bg-10523 - final report_46660_eng %D1%81%D1%82%D1%80.pdf" xr:uid="{1E56D642-C963-45AD-8831-9A4327C1DD34}"/>
    <hyperlink ref="G8162" r:id="rId112" display="https://www.era.europa.eu/system/files/2024-10/ro-10454 - ri augustin racos 03 10 2023 final transmis.pdf" xr:uid="{023412BB-F356-4F8C-A6C1-76B4190AEAF6}"/>
    <hyperlink ref="G8163" r:id="rId113" display="https://www.era.europa.eu/system/files/2024-10/ro-10474 - ri aradu nou 14 11 2023 final transmis.pdf" xr:uid="{252E755F-44BB-40C4-A685-21ABDC323122}"/>
    <hyperlink ref="G8164:G8165" r:id="rId114" display="https://www.era.europa.eu/system/files/2024-10/no-10452 - 2024-05 dunderland-bolna.pdf" xr:uid="{04E3472E-BB05-4DF2-8909-F81BDE93F5CC}"/>
    <hyperlink ref="G8166:G8172" r:id="rId115" display="https://www.era.europa.eu/system/files/2024-10/se-10437 - final report shk 2024_14 slutrapport - iggesund.pdf" xr:uid="{B796DC92-F4C8-4734-A17B-D065BED093D4}"/>
    <hyperlink ref="G8173" r:id="rId116" display="https://www.era.europa.eu/system/files/2024-10/cz-10473 - final_report_pelhrimov.pdf" xr:uid="{C6039FCC-E36F-4768-84BB-94AF0A6D5A42}"/>
    <hyperlink ref="G8174:G8175" r:id="rId117" display="https://www.era.europa.eu/system/files/2024-11/bg-10562 - final report_30114_nib bg.pdf" xr:uid="{99D6CC12-9D48-4537-8467-9AB75825C4FF}"/>
    <hyperlink ref="G8176" r:id="rId118" display="https://www.era.europa.eu/system/files/2024-11/ro-10468 - ri mirosi costesti  24 10 2023 final transmis.pdf" xr:uid="{8D030254-5E64-4785-BC3A-E84596560D88}"/>
    <hyperlink ref="G8177:G8178" r:id="rId119" display="https://www.era.europa.eu/era-folder/be-10440" xr:uid="{AB6AAAF2-6EE5-4751-913D-3E20C14AC5EC}"/>
    <hyperlink ref="G8179" r:id="rId120" display="https://www.era.europa.eu/system/files/2024-11/ro-10470 - ri dragotesti borascu 05 11 2023 final transmis.pdf" xr:uid="{5EA317C3-E293-4CF2-B7EC-1A0DE10D8CE4}"/>
    <hyperlink ref="G8180" r:id="rId121" display="https://www.era.europa.eu/system/files/2024-11/no-10460 - 2024-04 %C3%A5neby.pdf" xr:uid="{8F2B847C-D202-4E98-91AB-D3D3B2894591}"/>
    <hyperlink ref="G8181" r:id="rId122" display="https://www.era.europa.eu/system/files/2024-11/ro-10478 - ri todireni trusesti 27 11 2023 final transmis.pdf" xr:uid="{F9F344F6-E8DA-45B9-A83C-C3D6CCF92A24}"/>
    <hyperlink ref="G8182:G8187" r:id="rId123" display="https://www.era.europa.eu/system/files/2024-11/bg-10561 - final report_nib bg_2654.pdf" xr:uid="{EB9E0B8A-D33F-491A-9410-43A216217D20}"/>
    <hyperlink ref="G8188:G8192" r:id="rId124" display="https://www.era.europa.eu/sites/default/files/2024-11/r2023-02 summary.docx" xr:uid="{D5B8EAE8-F958-4610-976B-7EF6C6C4A3D9}"/>
    <hyperlink ref="G8193:G8195" r:id="rId125" display="https://www.era.europa.eu/sites/default/files/2024-12/lv-10482 - final report 5_02_1_23_lv.pdf" xr:uid="{FA6FD0CE-8E81-48BF-9B2F-1F6999A008B4}"/>
    <hyperlink ref="G8196" r:id="rId126" display="https://www.era.europa.eu/sites/default/files/2024-12/lv-10482 - final report 5_02_1_23_lv.pdf" xr:uid="{4EEA5E7B-82E5-49C7-AEB3-409A1196D7A8}"/>
    <hyperlink ref="G8382" r:id="rId127" xr:uid="{7F3DF44E-FA7C-4CCD-B5E9-822CE7E57B6F}"/>
    <hyperlink ref="G8383" r:id="rId128" xr:uid="{9A2BA135-359B-47C4-8C7A-BCBBE1066D1A}"/>
    <hyperlink ref="G8384" r:id="rId129" xr:uid="{DCE7D998-F9AC-43C4-9236-D1ED89E2D1A7}"/>
  </hyperlinks>
  <pageMargins left="0.7" right="0.7" top="0.75" bottom="0.75" header="0.3" footer="0.3"/>
  <pageSetup paperSize="9" orientation="portrait" r:id="rId1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3.xml><?xml version="1.0" encoding="utf-8"?>
<?mso-contentType ?>
<SharedContentType xmlns="Microsoft.SharePoint.Taxonomy.ContentTypeSync" SourceId="ec698c8c-469b-4390-ad13-30cd69364034" ContentTypeId="0x010100ED194B9F7C15044CBD43C025EAD2ECAB" PreviousValue="true"/>
</file>

<file path=customXml/item4.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56" ma:contentTypeDescription="" ma:contentTypeScope="" ma:versionID="4e2e566d522a729864701d372fb6e9a7">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33bbaa2f8478456cc2a0fc9f0e63fc03"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file>

<file path=customXml/itemProps1.xml><?xml version="1.0" encoding="utf-8"?>
<ds:datastoreItem xmlns:ds="http://schemas.openxmlformats.org/officeDocument/2006/customXml" ds:itemID="{DF604F09-CAE1-4A6B-AFEB-5ADD0FE608FA}">
  <ds:schemaRefs>
    <ds:schemaRef ds:uri="http://schemas.microsoft.com/sharepoint/events"/>
  </ds:schemaRefs>
</ds:datastoreItem>
</file>

<file path=customXml/itemProps2.xml><?xml version="1.0" encoding="utf-8"?>
<ds:datastoreItem xmlns:ds="http://schemas.openxmlformats.org/officeDocument/2006/customXml" ds:itemID="{B06A3FEB-B5F9-4893-90DE-A2F44984AD5A}">
  <ds:schemaRefs>
    <ds:schemaRef ds:uri="49592fe1-76b3-425e-9982-488f19897f48"/>
    <ds:schemaRef ds:uri="http://schemas.microsoft.com/office/2006/documentManagement/types"/>
    <ds:schemaRef ds:uri="c268e5cf-c7f9-4f24-ae1d-b336e86cca1e"/>
    <ds:schemaRef ds:uri="http://purl.org/dc/dcmitype/"/>
    <ds:schemaRef ds:uri="http://schemas.openxmlformats.org/package/2006/metadata/core-properties"/>
    <ds:schemaRef ds:uri="http://schemas.microsoft.com/office/2006/metadata/properties"/>
    <ds:schemaRef ds:uri="http://purl.org/dc/terms/"/>
    <ds:schemaRef ds:uri="http://purl.org/dc/elements/1.1/"/>
    <ds:schemaRef ds:uri="http://schemas.microsoft.com/office/infopath/2007/PartnerControls"/>
    <ds:schemaRef ds:uri="f4db13fc-9234-456a-852b-8b5b7cf9acf1"/>
    <ds:schemaRef ds:uri="http://www.w3.org/XML/1998/namespace"/>
  </ds:schemaRefs>
</ds:datastoreItem>
</file>

<file path=customXml/itemProps3.xml><?xml version="1.0" encoding="utf-8"?>
<ds:datastoreItem xmlns:ds="http://schemas.openxmlformats.org/officeDocument/2006/customXml" ds:itemID="{D9D81E51-1C88-4624-9971-5F1C52DA66BA}">
  <ds:schemaRefs>
    <ds:schemaRef ds:uri="Microsoft.SharePoint.Taxonomy.ContentTypeSync"/>
  </ds:schemaRefs>
</ds:datastoreItem>
</file>

<file path=customXml/itemProps4.xml><?xml version="1.0" encoding="utf-8"?>
<ds:datastoreItem xmlns:ds="http://schemas.openxmlformats.org/officeDocument/2006/customXml" ds:itemID="{FF47C5C6-623D-440F-94C2-19F24B85B9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92fe1-76b3-425e-9982-488f19897f48"/>
    <ds:schemaRef ds:uri="f4db13fc-9234-456a-852b-8b5b7cf9acf1"/>
    <ds:schemaRef ds:uri="c268e5cf-c7f9-4f24-ae1d-b336e86cc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61EDBBF-FC29-4404-A3A6-29A33DFBA5DF}">
  <ds:schemaRefs>
    <ds:schemaRef ds:uri="http://schemas.microsoft.com/sharepoint/v3/contenttype/forms"/>
  </ds:schemaRefs>
</ds:datastoreItem>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Investigations</vt:lpstr>
      <vt:lpstr>Safety recommendations</vt:lpstr>
    </vt:vector>
  </TitlesOfParts>
  <Manager/>
  <Company>European Railway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CAPUOZZO Simona</cp:lastModifiedBy>
  <cp:revision/>
  <dcterms:created xsi:type="dcterms:W3CDTF">2021-02-10T11:56:29Z</dcterms:created>
  <dcterms:modified xsi:type="dcterms:W3CDTF">2026-03-17T13:16:18Z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y fmtid="{D5CDD505-2E9C-101B-9397-08002B2CF9AE}" pid="8" name="Origin_x002d_Author">
    <vt:lpwstr>3;#ERA|8287c6ea-6f12-4bfd-9fc9-6825fce534f5</vt:lpwstr>
  </property>
  <property fmtid="{D5CDD505-2E9C-101B-9397-08002B2CF9AE}" pid="9" name="Document_x0020_type">
    <vt:lpwstr>79;#Technical Document|9faa2977-25ea-4ed6-974b-53a8139bec3f</vt:lpwstr>
  </property>
</Properties>
</file>